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updateLinks="never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Z:\Работа\Прайсы\Nika Decor\Прайсы\"/>
    </mc:Choice>
  </mc:AlternateContent>
  <xr:revisionPtr revIDLastSave="0" documentId="8_{4079A302-0472-40D9-90BD-463D6171B395}" xr6:coauthVersionLast="47" xr6:coauthVersionMax="47" xr10:uidLastSave="{00000000-0000-0000-0000-000000000000}"/>
  <bookViews>
    <workbookView xWindow="-108" yWindow="-108" windowWidth="23256" windowHeight="12456" tabRatio="856" firstSheet="47" activeTab="50" xr2:uid="{D3939C5F-4A96-4E49-83CB-6931FAE2B0CA}"/>
  </bookViews>
  <sheets>
    <sheet name="Титульный лист" sheetId="57" state="hidden" r:id="rId1"/>
    <sheet name="СОДЕРЖАНИЕ" sheetId="29" r:id="rId2"/>
    <sheet name="KFC" sheetId="26" r:id="rId3"/>
    <sheet name="Вертикальные" sheetId="2" r:id="rId4"/>
    <sheet name="Замена ткани вертикальной" sheetId="3" r:id="rId5"/>
    <sheet name="Расчёт кол-ва ламелей" sheetId="86" r:id="rId6"/>
    <sheet name="Горизонтальные алюминиевые " sheetId="1" r:id="rId7"/>
    <sheet name="Алюминиевые АБСОЛЮТ 50 мм" sheetId="96" r:id="rId8"/>
    <sheet name="Готовые горизонтальные жалюзи" sheetId="33" r:id="rId9"/>
    <sheet name="Дерево, бамбук 25 мм" sheetId="31" r:id="rId10"/>
    <sheet name="Дерево, бамбук 50 мм АБСОЛЮТ" sheetId="92" r:id="rId11"/>
    <sheet name="Изолайт 25мм белая фурнитура " sheetId="104" r:id="rId12"/>
    <sheet name="Изолайт 25мм цветная фурнитура" sheetId="103" r:id="rId13"/>
    <sheet name="Изолайт 16мм белая фурнитура" sheetId="105" r:id="rId14"/>
    <sheet name="Изолайт 16мм цветная фурнитура" sheetId="106" r:id="rId15"/>
    <sheet name="Исотра Хит 2 25мм" sheetId="107" r:id="rId16"/>
    <sheet name="Исотра Хит 2 25мм ламинация" sheetId="108" r:id="rId17"/>
    <sheet name="Исотра Хит 2 16мм " sheetId="109" r:id="rId18"/>
    <sheet name="Исотра Хит 2 16мм ламинация" sheetId="110" r:id="rId19"/>
    <sheet name="Исотра 25мм" sheetId="111" r:id="rId20"/>
    <sheet name="Исотра 16мм" sheetId="112" r:id="rId21"/>
    <sheet name="V-LITE" sheetId="21" r:id="rId22"/>
    <sheet name="Ткани по категориям " sheetId="100" r:id="rId23"/>
    <sheet name="Рулонные СТАНДАРТ" sheetId="5" r:id="rId24"/>
    <sheet name="Рулонные КОМФОРТ" sheetId="113" r:id="rId25"/>
    <sheet name="Рулонные Классик(Премиум,Дабл)" sheetId="91" r:id="rId26"/>
    <sheet name="Рулонные Люкс(Премиум,Дабл)" sheetId="28" r:id="rId27"/>
    <sheet name="Рулонные КВАТРО Классик" sheetId="98" r:id="rId28"/>
    <sheet name="Рулонные КВАТРО Люкс" sheetId="97" r:id="rId29"/>
    <sheet name="Руло ГРАНД" sheetId="81" r:id="rId30"/>
    <sheet name="Рулонные СПРИНГ" sheetId="90" r:id="rId31"/>
    <sheet name="Мини Нью" sheetId="99" r:id="rId32"/>
    <sheet name="Мини" sheetId="9" r:id="rId33"/>
    <sheet name="Уни - 1" sheetId="14" r:id="rId34"/>
    <sheet name="Уни - 1 ламинация" sheetId="66" r:id="rId35"/>
    <sheet name="Уни - 2" sheetId="27" r:id="rId36"/>
    <sheet name="Уни - 2 ламинация" sheetId="67" r:id="rId37"/>
    <sheet name="Р-ЛАЙТ" sheetId="61" r:id="rId38"/>
    <sheet name="Замена ткани рулонной" sheetId="13" r:id="rId39"/>
    <sheet name="Ткани КОМБО по категориям" sheetId="58" r:id="rId40"/>
    <sheet name="КОМБО Мини Нью" sheetId="94" r:id="rId41"/>
    <sheet name="КОМБО В-52 Стандарт" sheetId="65" r:id="rId42"/>
    <sheet name="КОМБО Классик" sheetId="93" r:id="rId43"/>
    <sheet name="КОМБО В-52 Люкс" sheetId="39" r:id="rId44"/>
    <sheet name="Комбо Кватро Классик" sheetId="101" r:id="rId45"/>
    <sheet name="Комбо Кватро Люкс" sheetId="102" r:id="rId46"/>
    <sheet name="Замена ткани КОМБО" sheetId="46" r:id="rId47"/>
    <sheet name="Комбо Уни-1 (белый)" sheetId="84" r:id="rId48"/>
    <sheet name="Комбо УНИ-2 (белый)" sheetId="49" r:id="rId49"/>
    <sheet name="Комбо УНИ-2 (лам)" sheetId="48" r:id="rId50"/>
    <sheet name="Римские шторы Компакт и XL " sheetId="114" r:id="rId51"/>
    <sheet name="Образцы" sheetId="34" r:id="rId52"/>
    <sheet name="Огран. для электр. КОМБО" sheetId="82" r:id="rId53"/>
  </sheets>
  <definedNames>
    <definedName name="курс_уе">KFC!$C$5</definedName>
    <definedName name="_xlnm.Print_Area" localSheetId="2">KFC!$A$1:$C$49</definedName>
    <definedName name="_xlnm.Print_Area" localSheetId="21">'V-LITE'!$A$1:$K$37</definedName>
    <definedName name="_xlnm.Print_Area" localSheetId="3">Вертикальные!$A$1:$H$103</definedName>
    <definedName name="_xlnm.Print_Area" localSheetId="6">'Горизонтальные алюминиевые '!$A$1:$E$141</definedName>
    <definedName name="_xlnm.Print_Area" localSheetId="8">'Готовые горизонтальные жалюзи'!$A$1:$D$23</definedName>
    <definedName name="_xlnm.Print_Area" localSheetId="9">'Дерево, бамбук 25 мм'!$A$1:$E$36</definedName>
    <definedName name="_xlnm.Print_Area" localSheetId="4">'Замена ткани вертикальной'!$A$1:$H$64</definedName>
    <definedName name="_xlnm.Print_Area" localSheetId="46">'Замена ткани КОМБО'!$A$1:$AA$158</definedName>
    <definedName name="_xlnm.Print_Area" localSheetId="38">'Замена ткани рулонной'!$A$1:$AC$248</definedName>
    <definedName name="_xlnm.Print_Area" localSheetId="13">'Изолайт 16мм белая фурнитура'!$A$1:$AT$64</definedName>
    <definedName name="_xlnm.Print_Area" localSheetId="14">'Изолайт 16мм цветная фурнитура'!$A$1:$AT$65</definedName>
    <definedName name="_xlnm.Print_Area" localSheetId="11">'Изолайт 25мм белая фурнитура '!$A$1:$AT$115</definedName>
    <definedName name="_xlnm.Print_Area" localSheetId="12">'Изолайт 25мм цветная фурнитура'!$A$1:$AT$115</definedName>
    <definedName name="_xlnm.Print_Area" localSheetId="20">'Исотра 16мм'!$A$1:$AT$65</definedName>
    <definedName name="_xlnm.Print_Area" localSheetId="19">'Исотра 25мм'!$A$1:$AT$115</definedName>
    <definedName name="_xlnm.Print_Area" localSheetId="17">'Исотра Хит 2 16мм '!$A$1:$AT$65</definedName>
    <definedName name="_xlnm.Print_Area" localSheetId="18">'Исотра Хит 2 16мм ламинация'!$A$1:$AT$65</definedName>
    <definedName name="_xlnm.Print_Area" localSheetId="15">'Исотра Хит 2 25мм'!$A$1:$AT$115</definedName>
    <definedName name="_xlnm.Print_Area" localSheetId="16">'Исотра Хит 2 25мм ламинация'!$A$1:$AT$115</definedName>
    <definedName name="_xlnm.Print_Area" localSheetId="43">'КОМБО В-52 Люкс'!$A$1:$Z$264</definedName>
    <definedName name="_xlnm.Print_Area" localSheetId="41">'КОМБО В-52 Стандарт'!$A$1:$P$135</definedName>
    <definedName name="_xlnm.Print_Area" localSheetId="44">'Комбо Кватро Классик'!$A$1:$P$138</definedName>
    <definedName name="_xlnm.Print_Area" localSheetId="47">'Комбо Уни-1 (белый)'!$A$1:$AR$99</definedName>
    <definedName name="_xlnm.Print_Area" localSheetId="48">'Комбо УНИ-2 (белый)'!$A$1:$AR$100</definedName>
    <definedName name="_xlnm.Print_Area" localSheetId="49">'Комбо УНИ-2 (лам)'!$A$1:$AR$100</definedName>
    <definedName name="_xlnm.Print_Area" localSheetId="32">Мини!$A$1:$N$143</definedName>
    <definedName name="_xlnm.Print_Area" localSheetId="31">'Мини Нью'!$A$1:$N$144</definedName>
    <definedName name="_xlnm.Print_Area" localSheetId="51">Образцы!$A$1:$C$42</definedName>
    <definedName name="_xlnm.Print_Area" localSheetId="50">'Римские шторы Компакт и XL '!$A$1:$BG$238</definedName>
    <definedName name="_xlnm.Print_Area" localSheetId="37">'Р-ЛАЙТ'!$A$1:$L$251</definedName>
    <definedName name="_xlnm.Print_Area" localSheetId="27">'Рулонные КВАТРО Классик'!$A$1:$S$185</definedName>
    <definedName name="_xlnm.Print_Area" localSheetId="28">'Рулонные КВАТРО Люкс'!$A$1:$AA$390</definedName>
    <definedName name="_xlnm.Print_Area" localSheetId="25">'Рулонные Классик(Премиум,Дабл)'!$A$1:$P$177</definedName>
    <definedName name="_xlnm.Print_Area" localSheetId="26">'Рулонные Люкс(Премиум,Дабл)'!$A$1:$AC$365</definedName>
    <definedName name="_xlnm.Print_Area" localSheetId="30">'Рулонные СПРИНГ'!$A$1:$O$142</definedName>
    <definedName name="_xlnm.Print_Area" localSheetId="23">'Рулонные СТАНДАРТ'!$A$1:$P$194</definedName>
    <definedName name="_xlnm.Print_Area" localSheetId="1">СОДЕРЖАНИЕ!$A$1:$L$59</definedName>
    <definedName name="_xlnm.Print_Area" localSheetId="0">'Титульный лист'!$A$1:$H$43</definedName>
    <definedName name="_xlnm.Print_Area" localSheetId="39">'Ткани КОМБО по категориям'!$A$1:$B$32</definedName>
    <definedName name="_xlnm.Print_Area" localSheetId="22">'Ткани по категориям '!$A$1:$C$116</definedName>
    <definedName name="_xlnm.Print_Area" localSheetId="33">'Уни - 1'!$A$1:$AQ$157</definedName>
    <definedName name="_xlnm.Print_Area" localSheetId="34">'Уни - 1 ламинация'!$A$1:$AP$153</definedName>
    <definedName name="_xlnm.Print_Area" localSheetId="35">'Уни - 2'!$A$1:$AP$168</definedName>
    <definedName name="_xlnm.Print_Area" localSheetId="36">'Уни - 2 ламинация'!$A$1:$AP$159</definedName>
    <definedName name="скидка">KFC!$B$2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238" i="114" l="1"/>
  <c r="R238" i="114"/>
  <c r="S237" i="114"/>
  <c r="R237" i="114"/>
  <c r="S236" i="114"/>
  <c r="R236" i="114"/>
  <c r="S235" i="114"/>
  <c r="R235" i="114"/>
  <c r="S234" i="114"/>
  <c r="R234" i="114"/>
  <c r="S233" i="114"/>
  <c r="R233" i="114"/>
  <c r="S232" i="114"/>
  <c r="R232" i="114"/>
  <c r="S231" i="114"/>
  <c r="R231" i="114"/>
  <c r="S230" i="114"/>
  <c r="R230" i="114"/>
  <c r="S229" i="114"/>
  <c r="R229" i="114"/>
  <c r="S228" i="114"/>
  <c r="R228" i="114"/>
  <c r="S214" i="114"/>
  <c r="R214" i="114"/>
  <c r="S213" i="114"/>
  <c r="R213" i="114"/>
  <c r="S212" i="114"/>
  <c r="R212" i="114"/>
  <c r="S211" i="114"/>
  <c r="R211" i="114"/>
  <c r="S210" i="114"/>
  <c r="R210" i="114"/>
  <c r="S209" i="114"/>
  <c r="R209" i="114"/>
  <c r="S208" i="114"/>
  <c r="R208" i="114"/>
  <c r="S207" i="114"/>
  <c r="R207" i="114"/>
  <c r="S206" i="114"/>
  <c r="R206" i="114"/>
  <c r="S205" i="114"/>
  <c r="R205" i="114"/>
  <c r="S204" i="114"/>
  <c r="R204" i="114"/>
  <c r="S203" i="114"/>
  <c r="R203" i="114"/>
  <c r="S202" i="114"/>
  <c r="R202" i="114"/>
  <c r="S201" i="114"/>
  <c r="R201" i="114"/>
  <c r="S200" i="114"/>
  <c r="R200" i="114"/>
  <c r="S199" i="114"/>
  <c r="R199" i="114"/>
  <c r="S198" i="114"/>
  <c r="R198" i="114"/>
  <c r="S197" i="114"/>
  <c r="R197" i="114"/>
  <c r="S196" i="114"/>
  <c r="R196" i="114"/>
  <c r="S195" i="114"/>
  <c r="R195" i="114"/>
  <c r="S194" i="114"/>
  <c r="R194" i="114"/>
  <c r="S193" i="114"/>
  <c r="R193" i="114"/>
  <c r="S192" i="114"/>
  <c r="R192" i="114"/>
  <c r="S191" i="114"/>
  <c r="R191" i="114"/>
  <c r="S190" i="114"/>
  <c r="R190" i="114"/>
  <c r="S167" i="114"/>
  <c r="R167" i="114"/>
  <c r="S166" i="114"/>
  <c r="R166" i="114"/>
  <c r="S165" i="114"/>
  <c r="R165" i="114"/>
  <c r="S164" i="114"/>
  <c r="R164" i="114"/>
  <c r="S163" i="114"/>
  <c r="R163" i="114"/>
  <c r="S162" i="114"/>
  <c r="R162" i="114"/>
  <c r="S161" i="114"/>
  <c r="R161" i="114"/>
  <c r="S160" i="114"/>
  <c r="R160" i="114"/>
  <c r="S159" i="114"/>
  <c r="R159" i="114"/>
  <c r="S158" i="114"/>
  <c r="R158" i="114"/>
  <c r="S157" i="114"/>
  <c r="R157" i="114"/>
  <c r="S156" i="114"/>
  <c r="R156" i="114"/>
  <c r="S155" i="114"/>
  <c r="R155" i="114"/>
  <c r="S154" i="114"/>
  <c r="R154" i="114"/>
  <c r="S153" i="114"/>
  <c r="R153" i="114"/>
  <c r="S152" i="114"/>
  <c r="R152" i="114"/>
  <c r="S150" i="114"/>
  <c r="R150" i="114"/>
  <c r="S149" i="114"/>
  <c r="R149" i="114"/>
  <c r="R147" i="114"/>
  <c r="S147" i="114"/>
  <c r="R148" i="114"/>
  <c r="S148" i="114"/>
  <c r="R145" i="114"/>
  <c r="S145" i="114"/>
  <c r="R146" i="114"/>
  <c r="S146" i="114"/>
  <c r="S144" i="114"/>
  <c r="R144" i="114"/>
  <c r="S143" i="114"/>
  <c r="R143" i="114"/>
  <c r="N121" i="114"/>
  <c r="O121" i="114"/>
  <c r="N122" i="114"/>
  <c r="O122" i="114"/>
  <c r="N123" i="114"/>
  <c r="O123" i="114"/>
  <c r="N124" i="114"/>
  <c r="O124" i="114"/>
  <c r="N125" i="114"/>
  <c r="O125" i="114"/>
  <c r="O120" i="114"/>
  <c r="N120" i="114"/>
  <c r="D117" i="114"/>
  <c r="E117" i="114"/>
  <c r="F117" i="114"/>
  <c r="G117" i="114"/>
  <c r="H117" i="114"/>
  <c r="I117" i="114"/>
  <c r="J117" i="114"/>
  <c r="K117" i="114"/>
  <c r="L117" i="114"/>
  <c r="M117" i="114"/>
  <c r="N117" i="114"/>
  <c r="O117" i="114"/>
  <c r="P117" i="114"/>
  <c r="D114" i="114"/>
  <c r="E114" i="114"/>
  <c r="F114" i="114"/>
  <c r="G114" i="114"/>
  <c r="H114" i="114"/>
  <c r="I114" i="114"/>
  <c r="J114" i="114"/>
  <c r="K114" i="114"/>
  <c r="L114" i="114"/>
  <c r="M114" i="114"/>
  <c r="N114" i="114"/>
  <c r="O114" i="114"/>
  <c r="P114" i="114"/>
  <c r="Q114" i="114"/>
  <c r="R114" i="114"/>
  <c r="S114" i="114"/>
  <c r="C117" i="114"/>
  <c r="C114" i="114"/>
  <c r="D110" i="114"/>
  <c r="E110" i="114"/>
  <c r="F110" i="114"/>
  <c r="G110" i="114"/>
  <c r="H110" i="114"/>
  <c r="I110" i="114"/>
  <c r="J110" i="114"/>
  <c r="K110" i="114"/>
  <c r="L110" i="114"/>
  <c r="M110" i="114"/>
  <c r="C110" i="114"/>
  <c r="D107" i="114"/>
  <c r="E107" i="114"/>
  <c r="F107" i="114"/>
  <c r="G107" i="114"/>
  <c r="H107" i="114"/>
  <c r="I107" i="114"/>
  <c r="J107" i="114"/>
  <c r="K107" i="114"/>
  <c r="L107" i="114"/>
  <c r="M107" i="114"/>
  <c r="N107" i="114"/>
  <c r="O107" i="114"/>
  <c r="P107" i="114"/>
  <c r="Q107" i="114"/>
  <c r="R107" i="114"/>
  <c r="S107" i="114"/>
  <c r="C107" i="114"/>
  <c r="K102" i="114"/>
  <c r="J102" i="114"/>
  <c r="K101" i="114"/>
  <c r="J101" i="114"/>
  <c r="K98" i="114"/>
  <c r="F98" i="114"/>
  <c r="C48" i="114"/>
  <c r="D48" i="114"/>
  <c r="E48" i="114"/>
  <c r="F48" i="114"/>
  <c r="G48" i="114"/>
  <c r="H48" i="114"/>
  <c r="I48" i="114"/>
  <c r="J48" i="114"/>
  <c r="K48" i="114"/>
  <c r="L48" i="114"/>
  <c r="M48" i="114"/>
  <c r="N48" i="114"/>
  <c r="O48" i="114"/>
  <c r="P48" i="114"/>
  <c r="Q48" i="114"/>
  <c r="R48" i="114"/>
  <c r="S48" i="114"/>
  <c r="T48" i="114"/>
  <c r="U48" i="114"/>
  <c r="V48" i="114"/>
  <c r="W48" i="114"/>
  <c r="X48" i="114"/>
  <c r="Y48" i="114"/>
  <c r="Z48" i="114"/>
  <c r="AA48" i="114"/>
  <c r="AB48" i="114"/>
  <c r="AC48" i="114"/>
  <c r="C49" i="114"/>
  <c r="D49" i="114"/>
  <c r="E49" i="114"/>
  <c r="F49" i="114"/>
  <c r="G49" i="114"/>
  <c r="H49" i="114"/>
  <c r="I49" i="114"/>
  <c r="J49" i="114"/>
  <c r="K49" i="114"/>
  <c r="L49" i="114"/>
  <c r="M49" i="114"/>
  <c r="N49" i="114"/>
  <c r="O49" i="114"/>
  <c r="P49" i="114"/>
  <c r="Q49" i="114"/>
  <c r="R49" i="114"/>
  <c r="S49" i="114"/>
  <c r="T49" i="114"/>
  <c r="U49" i="114"/>
  <c r="V49" i="114"/>
  <c r="W49" i="114"/>
  <c r="X49" i="114"/>
  <c r="Y49" i="114"/>
  <c r="Z49" i="114"/>
  <c r="AA49" i="114"/>
  <c r="AB49" i="114"/>
  <c r="AC49" i="114"/>
  <c r="C50" i="114"/>
  <c r="D50" i="114"/>
  <c r="E50" i="114"/>
  <c r="F50" i="114"/>
  <c r="G50" i="114"/>
  <c r="H50" i="114"/>
  <c r="I50" i="114"/>
  <c r="J50" i="114"/>
  <c r="K50" i="114"/>
  <c r="L50" i="114"/>
  <c r="M50" i="114"/>
  <c r="N50" i="114"/>
  <c r="O50" i="114"/>
  <c r="P50" i="114"/>
  <c r="Q50" i="114"/>
  <c r="R50" i="114"/>
  <c r="S50" i="114"/>
  <c r="T50" i="114"/>
  <c r="U50" i="114"/>
  <c r="V50" i="114"/>
  <c r="W50" i="114"/>
  <c r="X50" i="114"/>
  <c r="Y50" i="114"/>
  <c r="Z50" i="114"/>
  <c r="AA50" i="114"/>
  <c r="AB50" i="114"/>
  <c r="AC50" i="114"/>
  <c r="C51" i="114"/>
  <c r="D51" i="114"/>
  <c r="E51" i="114"/>
  <c r="F51" i="114"/>
  <c r="G51" i="114"/>
  <c r="H51" i="114"/>
  <c r="I51" i="114"/>
  <c r="J51" i="114"/>
  <c r="K51" i="114"/>
  <c r="L51" i="114"/>
  <c r="M51" i="114"/>
  <c r="N51" i="114"/>
  <c r="O51" i="114"/>
  <c r="P51" i="114"/>
  <c r="Q51" i="114"/>
  <c r="R51" i="114"/>
  <c r="S51" i="114"/>
  <c r="T51" i="114"/>
  <c r="U51" i="114"/>
  <c r="V51" i="114"/>
  <c r="W51" i="114"/>
  <c r="X51" i="114"/>
  <c r="Y51" i="114"/>
  <c r="Z51" i="114"/>
  <c r="AA51" i="114"/>
  <c r="AB51" i="114"/>
  <c r="AC51" i="114"/>
  <c r="C52" i="114"/>
  <c r="D52" i="114"/>
  <c r="E52" i="114"/>
  <c r="F52" i="114"/>
  <c r="G52" i="114"/>
  <c r="H52" i="114"/>
  <c r="I52" i="114"/>
  <c r="J52" i="114"/>
  <c r="K52" i="114"/>
  <c r="L52" i="114"/>
  <c r="M52" i="114"/>
  <c r="N52" i="114"/>
  <c r="O52" i="114"/>
  <c r="P52" i="114"/>
  <c r="Q52" i="114"/>
  <c r="R52" i="114"/>
  <c r="S52" i="114"/>
  <c r="T52" i="114"/>
  <c r="U52" i="114"/>
  <c r="V52" i="114"/>
  <c r="W52" i="114"/>
  <c r="X52" i="114"/>
  <c r="Y52" i="114"/>
  <c r="Z52" i="114"/>
  <c r="AA52" i="114"/>
  <c r="AB52" i="114"/>
  <c r="AC52" i="114"/>
  <c r="C53" i="114"/>
  <c r="D53" i="114"/>
  <c r="E53" i="114"/>
  <c r="F53" i="114"/>
  <c r="G53" i="114"/>
  <c r="H53" i="114"/>
  <c r="I53" i="114"/>
  <c r="J53" i="114"/>
  <c r="K53" i="114"/>
  <c r="L53" i="114"/>
  <c r="M53" i="114"/>
  <c r="N53" i="114"/>
  <c r="O53" i="114"/>
  <c r="P53" i="114"/>
  <c r="Q53" i="114"/>
  <c r="R53" i="114"/>
  <c r="S53" i="114"/>
  <c r="T53" i="114"/>
  <c r="U53" i="114"/>
  <c r="V53" i="114"/>
  <c r="W53" i="114"/>
  <c r="X53" i="114"/>
  <c r="Y53" i="114"/>
  <c r="Z53" i="114"/>
  <c r="AA53" i="114"/>
  <c r="AB53" i="114"/>
  <c r="AC53" i="114"/>
  <c r="C54" i="114"/>
  <c r="D54" i="114"/>
  <c r="E54" i="114"/>
  <c r="F54" i="114"/>
  <c r="G54" i="114"/>
  <c r="H54" i="114"/>
  <c r="I54" i="114"/>
  <c r="J54" i="114"/>
  <c r="K54" i="114"/>
  <c r="L54" i="114"/>
  <c r="M54" i="114"/>
  <c r="N54" i="114"/>
  <c r="O54" i="114"/>
  <c r="P54" i="114"/>
  <c r="Q54" i="114"/>
  <c r="R54" i="114"/>
  <c r="S54" i="114"/>
  <c r="T54" i="114"/>
  <c r="U54" i="114"/>
  <c r="V54" i="114"/>
  <c r="W54" i="114"/>
  <c r="X54" i="114"/>
  <c r="Y54" i="114"/>
  <c r="Z54" i="114"/>
  <c r="AA54" i="114"/>
  <c r="AB54" i="114"/>
  <c r="AC54" i="114"/>
  <c r="C55" i="114"/>
  <c r="D55" i="114"/>
  <c r="E55" i="114"/>
  <c r="F55" i="114"/>
  <c r="G55" i="114"/>
  <c r="H55" i="114"/>
  <c r="I55" i="114"/>
  <c r="J55" i="114"/>
  <c r="K55" i="114"/>
  <c r="L55" i="114"/>
  <c r="M55" i="114"/>
  <c r="N55" i="114"/>
  <c r="O55" i="114"/>
  <c r="P55" i="114"/>
  <c r="Q55" i="114"/>
  <c r="R55" i="114"/>
  <c r="S55" i="114"/>
  <c r="T55" i="114"/>
  <c r="U55" i="114"/>
  <c r="V55" i="114"/>
  <c r="W55" i="114"/>
  <c r="X55" i="114"/>
  <c r="Y55" i="114"/>
  <c r="Z55" i="114"/>
  <c r="AA55" i="114"/>
  <c r="AB55" i="114"/>
  <c r="AC55" i="114"/>
  <c r="C56" i="114"/>
  <c r="D56" i="114"/>
  <c r="E56" i="114"/>
  <c r="F56" i="114"/>
  <c r="G56" i="114"/>
  <c r="H56" i="114"/>
  <c r="I56" i="114"/>
  <c r="J56" i="114"/>
  <c r="K56" i="114"/>
  <c r="L56" i="114"/>
  <c r="M56" i="114"/>
  <c r="N56" i="114"/>
  <c r="O56" i="114"/>
  <c r="P56" i="114"/>
  <c r="Q56" i="114"/>
  <c r="R56" i="114"/>
  <c r="S56" i="114"/>
  <c r="T56" i="114"/>
  <c r="U56" i="114"/>
  <c r="V56" i="114"/>
  <c r="W56" i="114"/>
  <c r="X56" i="114"/>
  <c r="Y56" i="114"/>
  <c r="Z56" i="114"/>
  <c r="AA56" i="114"/>
  <c r="AB56" i="114"/>
  <c r="AC56" i="114"/>
  <c r="C57" i="114"/>
  <c r="D57" i="114"/>
  <c r="E57" i="114"/>
  <c r="F57" i="114"/>
  <c r="G57" i="114"/>
  <c r="H57" i="114"/>
  <c r="I57" i="114"/>
  <c r="J57" i="114"/>
  <c r="K57" i="114"/>
  <c r="L57" i="114"/>
  <c r="M57" i="114"/>
  <c r="N57" i="114"/>
  <c r="O57" i="114"/>
  <c r="P57" i="114"/>
  <c r="Q57" i="114"/>
  <c r="R57" i="114"/>
  <c r="S57" i="114"/>
  <c r="T57" i="114"/>
  <c r="U57" i="114"/>
  <c r="V57" i="114"/>
  <c r="W57" i="114"/>
  <c r="X57" i="114"/>
  <c r="Y57" i="114"/>
  <c r="Z57" i="114"/>
  <c r="AA57" i="114"/>
  <c r="AB57" i="114"/>
  <c r="AC57" i="114"/>
  <c r="C58" i="114"/>
  <c r="D58" i="114"/>
  <c r="E58" i="114"/>
  <c r="F58" i="114"/>
  <c r="G58" i="114"/>
  <c r="H58" i="114"/>
  <c r="I58" i="114"/>
  <c r="J58" i="114"/>
  <c r="K58" i="114"/>
  <c r="L58" i="114"/>
  <c r="M58" i="114"/>
  <c r="N58" i="114"/>
  <c r="O58" i="114"/>
  <c r="P58" i="114"/>
  <c r="Q58" i="114"/>
  <c r="R58" i="114"/>
  <c r="S58" i="114"/>
  <c r="T58" i="114"/>
  <c r="U58" i="114"/>
  <c r="V58" i="114"/>
  <c r="W58" i="114"/>
  <c r="X58" i="114"/>
  <c r="Y58" i="114"/>
  <c r="Z58" i="114"/>
  <c r="AA58" i="114"/>
  <c r="AB58" i="114"/>
  <c r="AC58" i="114"/>
  <c r="C59" i="114"/>
  <c r="D59" i="114"/>
  <c r="E59" i="114"/>
  <c r="F59" i="114"/>
  <c r="G59" i="114"/>
  <c r="H59" i="114"/>
  <c r="I59" i="114"/>
  <c r="J59" i="114"/>
  <c r="K59" i="114"/>
  <c r="L59" i="114"/>
  <c r="M59" i="114"/>
  <c r="N59" i="114"/>
  <c r="O59" i="114"/>
  <c r="P59" i="114"/>
  <c r="Q59" i="114"/>
  <c r="R59" i="114"/>
  <c r="S59" i="114"/>
  <c r="T59" i="114"/>
  <c r="U59" i="114"/>
  <c r="V59" i="114"/>
  <c r="W59" i="114"/>
  <c r="X59" i="114"/>
  <c r="Y59" i="114"/>
  <c r="Z59" i="114"/>
  <c r="AA59" i="114"/>
  <c r="AB59" i="114"/>
  <c r="AC59" i="114"/>
  <c r="C60" i="114"/>
  <c r="D60" i="114"/>
  <c r="E60" i="114"/>
  <c r="F60" i="114"/>
  <c r="G60" i="114"/>
  <c r="H60" i="114"/>
  <c r="I60" i="114"/>
  <c r="J60" i="114"/>
  <c r="K60" i="114"/>
  <c r="L60" i="114"/>
  <c r="M60" i="114"/>
  <c r="N60" i="114"/>
  <c r="O60" i="114"/>
  <c r="P60" i="114"/>
  <c r="Q60" i="114"/>
  <c r="R60" i="114"/>
  <c r="S60" i="114"/>
  <c r="T60" i="114"/>
  <c r="U60" i="114"/>
  <c r="V60" i="114"/>
  <c r="W60" i="114"/>
  <c r="X60" i="114"/>
  <c r="Y60" i="114"/>
  <c r="Z60" i="114"/>
  <c r="AA60" i="114"/>
  <c r="AB60" i="114"/>
  <c r="AC60" i="114"/>
  <c r="C61" i="114"/>
  <c r="D61" i="114"/>
  <c r="E61" i="114"/>
  <c r="F61" i="114"/>
  <c r="G61" i="114"/>
  <c r="H61" i="114"/>
  <c r="I61" i="114"/>
  <c r="J61" i="114"/>
  <c r="K61" i="114"/>
  <c r="L61" i="114"/>
  <c r="M61" i="114"/>
  <c r="N61" i="114"/>
  <c r="O61" i="114"/>
  <c r="P61" i="114"/>
  <c r="Q61" i="114"/>
  <c r="R61" i="114"/>
  <c r="S61" i="114"/>
  <c r="T61" i="114"/>
  <c r="U61" i="114"/>
  <c r="V61" i="114"/>
  <c r="W61" i="114"/>
  <c r="X61" i="114"/>
  <c r="Y61" i="114"/>
  <c r="Z61" i="114"/>
  <c r="AA61" i="114"/>
  <c r="AB61" i="114"/>
  <c r="AC61" i="114"/>
  <c r="C62" i="114"/>
  <c r="D62" i="114"/>
  <c r="E62" i="114"/>
  <c r="F62" i="114"/>
  <c r="G62" i="114"/>
  <c r="H62" i="114"/>
  <c r="I62" i="114"/>
  <c r="J62" i="114"/>
  <c r="K62" i="114"/>
  <c r="L62" i="114"/>
  <c r="M62" i="114"/>
  <c r="N62" i="114"/>
  <c r="O62" i="114"/>
  <c r="P62" i="114"/>
  <c r="Q62" i="114"/>
  <c r="R62" i="114"/>
  <c r="S62" i="114"/>
  <c r="T62" i="114"/>
  <c r="U62" i="114"/>
  <c r="V62" i="114"/>
  <c r="W62" i="114"/>
  <c r="X62" i="114"/>
  <c r="Y62" i="114"/>
  <c r="Z62" i="114"/>
  <c r="AA62" i="114"/>
  <c r="AB62" i="114"/>
  <c r="AC62" i="114"/>
  <c r="C63" i="114"/>
  <c r="D63" i="114"/>
  <c r="E63" i="114"/>
  <c r="F63" i="114"/>
  <c r="G63" i="114"/>
  <c r="H63" i="114"/>
  <c r="I63" i="114"/>
  <c r="J63" i="114"/>
  <c r="K63" i="114"/>
  <c r="L63" i="114"/>
  <c r="M63" i="114"/>
  <c r="N63" i="114"/>
  <c r="O63" i="114"/>
  <c r="P63" i="114"/>
  <c r="Q63" i="114"/>
  <c r="R63" i="114"/>
  <c r="S63" i="114"/>
  <c r="T63" i="114"/>
  <c r="U63" i="114"/>
  <c r="V63" i="114"/>
  <c r="W63" i="114"/>
  <c r="X63" i="114"/>
  <c r="Y63" i="114"/>
  <c r="Z63" i="114"/>
  <c r="AA63" i="114"/>
  <c r="AB63" i="114"/>
  <c r="AC63" i="114"/>
  <c r="C64" i="114"/>
  <c r="D64" i="114"/>
  <c r="E64" i="114"/>
  <c r="F64" i="114"/>
  <c r="G64" i="114"/>
  <c r="H64" i="114"/>
  <c r="I64" i="114"/>
  <c r="J64" i="114"/>
  <c r="K64" i="114"/>
  <c r="L64" i="114"/>
  <c r="M64" i="114"/>
  <c r="N64" i="114"/>
  <c r="O64" i="114"/>
  <c r="P64" i="114"/>
  <c r="Q64" i="114"/>
  <c r="R64" i="114"/>
  <c r="S64" i="114"/>
  <c r="T64" i="114"/>
  <c r="U64" i="114"/>
  <c r="V64" i="114"/>
  <c r="W64" i="114"/>
  <c r="X64" i="114"/>
  <c r="Y64" i="114"/>
  <c r="Z64" i="114"/>
  <c r="AA64" i="114"/>
  <c r="AB64" i="114"/>
  <c r="AC64" i="114"/>
  <c r="C65" i="114"/>
  <c r="D65" i="114"/>
  <c r="E65" i="114"/>
  <c r="F65" i="114"/>
  <c r="G65" i="114"/>
  <c r="H65" i="114"/>
  <c r="I65" i="114"/>
  <c r="J65" i="114"/>
  <c r="K65" i="114"/>
  <c r="L65" i="114"/>
  <c r="M65" i="114"/>
  <c r="N65" i="114"/>
  <c r="O65" i="114"/>
  <c r="P65" i="114"/>
  <c r="Q65" i="114"/>
  <c r="R65" i="114"/>
  <c r="S65" i="114"/>
  <c r="T65" i="114"/>
  <c r="U65" i="114"/>
  <c r="V65" i="114"/>
  <c r="W65" i="114"/>
  <c r="X65" i="114"/>
  <c r="Y65" i="114"/>
  <c r="Z65" i="114"/>
  <c r="AA65" i="114"/>
  <c r="AB65" i="114"/>
  <c r="AC65" i="114"/>
  <c r="C66" i="114"/>
  <c r="D66" i="114"/>
  <c r="E66" i="114"/>
  <c r="F66" i="114"/>
  <c r="G66" i="114"/>
  <c r="H66" i="114"/>
  <c r="I66" i="114"/>
  <c r="J66" i="114"/>
  <c r="K66" i="114"/>
  <c r="L66" i="114"/>
  <c r="M66" i="114"/>
  <c r="N66" i="114"/>
  <c r="O66" i="114"/>
  <c r="P66" i="114"/>
  <c r="Q66" i="114"/>
  <c r="R66" i="114"/>
  <c r="S66" i="114"/>
  <c r="T66" i="114"/>
  <c r="U66" i="114"/>
  <c r="V66" i="114"/>
  <c r="W66" i="114"/>
  <c r="X66" i="114"/>
  <c r="Y66" i="114"/>
  <c r="Z66" i="114"/>
  <c r="AA66" i="114"/>
  <c r="AB66" i="114"/>
  <c r="AC66" i="114"/>
  <c r="C67" i="114"/>
  <c r="D67" i="114"/>
  <c r="E67" i="114"/>
  <c r="F67" i="114"/>
  <c r="G67" i="114"/>
  <c r="H67" i="114"/>
  <c r="I67" i="114"/>
  <c r="J67" i="114"/>
  <c r="K67" i="114"/>
  <c r="L67" i="114"/>
  <c r="M67" i="114"/>
  <c r="N67" i="114"/>
  <c r="O67" i="114"/>
  <c r="P67" i="114"/>
  <c r="Q67" i="114"/>
  <c r="R67" i="114"/>
  <c r="S67" i="114"/>
  <c r="T67" i="114"/>
  <c r="U67" i="114"/>
  <c r="V67" i="114"/>
  <c r="W67" i="114"/>
  <c r="X67" i="114"/>
  <c r="Y67" i="114"/>
  <c r="Z67" i="114"/>
  <c r="AA67" i="114"/>
  <c r="AB67" i="114"/>
  <c r="AC67" i="114"/>
  <c r="C68" i="114"/>
  <c r="D68" i="114"/>
  <c r="E68" i="114"/>
  <c r="F68" i="114"/>
  <c r="G68" i="114"/>
  <c r="H68" i="114"/>
  <c r="I68" i="114"/>
  <c r="J68" i="114"/>
  <c r="K68" i="114"/>
  <c r="L68" i="114"/>
  <c r="M68" i="114"/>
  <c r="N68" i="114"/>
  <c r="O68" i="114"/>
  <c r="P68" i="114"/>
  <c r="Q68" i="114"/>
  <c r="R68" i="114"/>
  <c r="S68" i="114"/>
  <c r="T68" i="114"/>
  <c r="U68" i="114"/>
  <c r="V68" i="114"/>
  <c r="W68" i="114"/>
  <c r="X68" i="114"/>
  <c r="Y68" i="114"/>
  <c r="Z68" i="114"/>
  <c r="AA68" i="114"/>
  <c r="AB68" i="114"/>
  <c r="AC68" i="114"/>
  <c r="C69" i="114"/>
  <c r="D69" i="114"/>
  <c r="E69" i="114"/>
  <c r="F69" i="114"/>
  <c r="G69" i="114"/>
  <c r="H69" i="114"/>
  <c r="I69" i="114"/>
  <c r="J69" i="114"/>
  <c r="K69" i="114"/>
  <c r="L69" i="114"/>
  <c r="M69" i="114"/>
  <c r="N69" i="114"/>
  <c r="O69" i="114"/>
  <c r="P69" i="114"/>
  <c r="Q69" i="114"/>
  <c r="R69" i="114"/>
  <c r="S69" i="114"/>
  <c r="T69" i="114"/>
  <c r="U69" i="114"/>
  <c r="V69" i="114"/>
  <c r="W69" i="114"/>
  <c r="X69" i="114"/>
  <c r="Y69" i="114"/>
  <c r="Z69" i="114"/>
  <c r="AA69" i="114"/>
  <c r="AB69" i="114"/>
  <c r="AC69" i="114"/>
  <c r="C70" i="114"/>
  <c r="D70" i="114"/>
  <c r="E70" i="114"/>
  <c r="F70" i="114"/>
  <c r="G70" i="114"/>
  <c r="H70" i="114"/>
  <c r="I70" i="114"/>
  <c r="J70" i="114"/>
  <c r="K70" i="114"/>
  <c r="L70" i="114"/>
  <c r="M70" i="114"/>
  <c r="N70" i="114"/>
  <c r="O70" i="114"/>
  <c r="P70" i="114"/>
  <c r="Q70" i="114"/>
  <c r="R70" i="114"/>
  <c r="S70" i="114"/>
  <c r="T70" i="114"/>
  <c r="U70" i="114"/>
  <c r="V70" i="114"/>
  <c r="W70" i="114"/>
  <c r="X70" i="114"/>
  <c r="Y70" i="114"/>
  <c r="Z70" i="114"/>
  <c r="AA70" i="114"/>
  <c r="AB70" i="114"/>
  <c r="AC70" i="114"/>
  <c r="C71" i="114"/>
  <c r="D71" i="114"/>
  <c r="E71" i="114"/>
  <c r="F71" i="114"/>
  <c r="G71" i="114"/>
  <c r="H71" i="114"/>
  <c r="I71" i="114"/>
  <c r="J71" i="114"/>
  <c r="K71" i="114"/>
  <c r="L71" i="114"/>
  <c r="M71" i="114"/>
  <c r="N71" i="114"/>
  <c r="O71" i="114"/>
  <c r="P71" i="114"/>
  <c r="Q71" i="114"/>
  <c r="R71" i="114"/>
  <c r="S71" i="114"/>
  <c r="T71" i="114"/>
  <c r="U71" i="114"/>
  <c r="V71" i="114"/>
  <c r="W71" i="114"/>
  <c r="X71" i="114"/>
  <c r="Y71" i="114"/>
  <c r="Z71" i="114"/>
  <c r="AA71" i="114"/>
  <c r="AB71" i="114"/>
  <c r="AC71" i="114"/>
  <c r="C72" i="114"/>
  <c r="D72" i="114"/>
  <c r="E72" i="114"/>
  <c r="F72" i="114"/>
  <c r="G72" i="114"/>
  <c r="H72" i="114"/>
  <c r="I72" i="114"/>
  <c r="J72" i="114"/>
  <c r="K72" i="114"/>
  <c r="L72" i="114"/>
  <c r="M72" i="114"/>
  <c r="N72" i="114"/>
  <c r="O72" i="114"/>
  <c r="P72" i="114"/>
  <c r="Q72" i="114"/>
  <c r="R72" i="114"/>
  <c r="S72" i="114"/>
  <c r="T72" i="114"/>
  <c r="U72" i="114"/>
  <c r="V72" i="114"/>
  <c r="W72" i="114"/>
  <c r="X72" i="114"/>
  <c r="Y72" i="114"/>
  <c r="Z72" i="114"/>
  <c r="AA72" i="114"/>
  <c r="AB72" i="114"/>
  <c r="AC72" i="114"/>
  <c r="C73" i="114"/>
  <c r="D73" i="114"/>
  <c r="E73" i="114"/>
  <c r="F73" i="114"/>
  <c r="G73" i="114"/>
  <c r="H73" i="114"/>
  <c r="I73" i="114"/>
  <c r="J73" i="114"/>
  <c r="K73" i="114"/>
  <c r="L73" i="114"/>
  <c r="M73" i="114"/>
  <c r="N73" i="114"/>
  <c r="O73" i="114"/>
  <c r="P73" i="114"/>
  <c r="Q73" i="114"/>
  <c r="R73" i="114"/>
  <c r="S73" i="114"/>
  <c r="T73" i="114"/>
  <c r="U73" i="114"/>
  <c r="V73" i="114"/>
  <c r="W73" i="114"/>
  <c r="X73" i="114"/>
  <c r="Y73" i="114"/>
  <c r="Z73" i="114"/>
  <c r="AA73" i="114"/>
  <c r="AB73" i="114"/>
  <c r="AC73" i="114"/>
  <c r="C74" i="114"/>
  <c r="D74" i="114"/>
  <c r="E74" i="114"/>
  <c r="F74" i="114"/>
  <c r="G74" i="114"/>
  <c r="H74" i="114"/>
  <c r="I74" i="114"/>
  <c r="J74" i="114"/>
  <c r="K74" i="114"/>
  <c r="L74" i="114"/>
  <c r="M74" i="114"/>
  <c r="N74" i="114"/>
  <c r="O74" i="114"/>
  <c r="P74" i="114"/>
  <c r="Q74" i="114"/>
  <c r="R74" i="114"/>
  <c r="S74" i="114"/>
  <c r="T74" i="114"/>
  <c r="U74" i="114"/>
  <c r="V74" i="114"/>
  <c r="W74" i="114"/>
  <c r="X74" i="114"/>
  <c r="Y74" i="114"/>
  <c r="Z74" i="114"/>
  <c r="AA74" i="114"/>
  <c r="AB74" i="114"/>
  <c r="AC74" i="114"/>
  <c r="C75" i="114"/>
  <c r="D75" i="114"/>
  <c r="E75" i="114"/>
  <c r="F75" i="114"/>
  <c r="G75" i="114"/>
  <c r="H75" i="114"/>
  <c r="I75" i="114"/>
  <c r="J75" i="114"/>
  <c r="K75" i="114"/>
  <c r="L75" i="114"/>
  <c r="M75" i="114"/>
  <c r="N75" i="114"/>
  <c r="O75" i="114"/>
  <c r="P75" i="114"/>
  <c r="Q75" i="114"/>
  <c r="R75" i="114"/>
  <c r="S75" i="114"/>
  <c r="T75" i="114"/>
  <c r="U75" i="114"/>
  <c r="V75" i="114"/>
  <c r="W75" i="114"/>
  <c r="X75" i="114"/>
  <c r="Y75" i="114"/>
  <c r="Z75" i="114"/>
  <c r="AA75" i="114"/>
  <c r="AB75" i="114"/>
  <c r="AC75" i="114"/>
  <c r="C76" i="114"/>
  <c r="D76" i="114"/>
  <c r="E76" i="114"/>
  <c r="F76" i="114"/>
  <c r="G76" i="114"/>
  <c r="H76" i="114"/>
  <c r="I76" i="114"/>
  <c r="J76" i="114"/>
  <c r="K76" i="114"/>
  <c r="L76" i="114"/>
  <c r="M76" i="114"/>
  <c r="N76" i="114"/>
  <c r="O76" i="114"/>
  <c r="P76" i="114"/>
  <c r="Q76" i="114"/>
  <c r="R76" i="114"/>
  <c r="S76" i="114"/>
  <c r="T76" i="114"/>
  <c r="U76" i="114"/>
  <c r="V76" i="114"/>
  <c r="W76" i="114"/>
  <c r="X76" i="114"/>
  <c r="Y76" i="114"/>
  <c r="Z76" i="114"/>
  <c r="AA76" i="114"/>
  <c r="AB76" i="114"/>
  <c r="AC76" i="114"/>
  <c r="C77" i="114"/>
  <c r="D77" i="114"/>
  <c r="E77" i="114"/>
  <c r="F77" i="114"/>
  <c r="G77" i="114"/>
  <c r="H77" i="114"/>
  <c r="I77" i="114"/>
  <c r="J77" i="114"/>
  <c r="K77" i="114"/>
  <c r="L77" i="114"/>
  <c r="M77" i="114"/>
  <c r="N77" i="114"/>
  <c r="O77" i="114"/>
  <c r="P77" i="114"/>
  <c r="Q77" i="114"/>
  <c r="R77" i="114"/>
  <c r="S77" i="114"/>
  <c r="T77" i="114"/>
  <c r="U77" i="114"/>
  <c r="V77" i="114"/>
  <c r="W77" i="114"/>
  <c r="X77" i="114"/>
  <c r="Y77" i="114"/>
  <c r="Z77" i="114"/>
  <c r="AA77" i="114"/>
  <c r="AB77" i="114"/>
  <c r="AC77" i="114"/>
  <c r="C78" i="114"/>
  <c r="D78" i="114"/>
  <c r="E78" i="114"/>
  <c r="F78" i="114"/>
  <c r="G78" i="114"/>
  <c r="H78" i="114"/>
  <c r="I78" i="114"/>
  <c r="J78" i="114"/>
  <c r="K78" i="114"/>
  <c r="L78" i="114"/>
  <c r="M78" i="114"/>
  <c r="N78" i="114"/>
  <c r="O78" i="114"/>
  <c r="P78" i="114"/>
  <c r="Q78" i="114"/>
  <c r="R78" i="114"/>
  <c r="S78" i="114"/>
  <c r="T78" i="114"/>
  <c r="U78" i="114"/>
  <c r="V78" i="114"/>
  <c r="W78" i="114"/>
  <c r="X78" i="114"/>
  <c r="Y78" i="114"/>
  <c r="Z78" i="114"/>
  <c r="AA78" i="114"/>
  <c r="AB78" i="114"/>
  <c r="AC78" i="114"/>
  <c r="C79" i="114"/>
  <c r="D79" i="114"/>
  <c r="E79" i="114"/>
  <c r="F79" i="114"/>
  <c r="G79" i="114"/>
  <c r="H79" i="114"/>
  <c r="I79" i="114"/>
  <c r="J79" i="114"/>
  <c r="K79" i="114"/>
  <c r="L79" i="114"/>
  <c r="M79" i="114"/>
  <c r="N79" i="114"/>
  <c r="O79" i="114"/>
  <c r="P79" i="114"/>
  <c r="Q79" i="114"/>
  <c r="R79" i="114"/>
  <c r="S79" i="114"/>
  <c r="T79" i="114"/>
  <c r="U79" i="114"/>
  <c r="V79" i="114"/>
  <c r="W79" i="114"/>
  <c r="X79" i="114"/>
  <c r="Y79" i="114"/>
  <c r="Z79" i="114"/>
  <c r="AA79" i="114"/>
  <c r="AB79" i="114"/>
  <c r="AC79" i="114"/>
  <c r="C80" i="114"/>
  <c r="D80" i="114"/>
  <c r="E80" i="114"/>
  <c r="F80" i="114"/>
  <c r="G80" i="114"/>
  <c r="H80" i="114"/>
  <c r="I80" i="114"/>
  <c r="J80" i="114"/>
  <c r="K80" i="114"/>
  <c r="L80" i="114"/>
  <c r="M80" i="114"/>
  <c r="N80" i="114"/>
  <c r="O80" i="114"/>
  <c r="P80" i="114"/>
  <c r="Q80" i="114"/>
  <c r="R80" i="114"/>
  <c r="S80" i="114"/>
  <c r="T80" i="114"/>
  <c r="U80" i="114"/>
  <c r="V80" i="114"/>
  <c r="W80" i="114"/>
  <c r="X80" i="114"/>
  <c r="Y80" i="114"/>
  <c r="Z80" i="114"/>
  <c r="AA80" i="114"/>
  <c r="AB80" i="114"/>
  <c r="AC80" i="114"/>
  <c r="C81" i="114"/>
  <c r="D81" i="114"/>
  <c r="E81" i="114"/>
  <c r="F81" i="114"/>
  <c r="G81" i="114"/>
  <c r="H81" i="114"/>
  <c r="I81" i="114"/>
  <c r="J81" i="114"/>
  <c r="K81" i="114"/>
  <c r="L81" i="114"/>
  <c r="M81" i="114"/>
  <c r="N81" i="114"/>
  <c r="O81" i="114"/>
  <c r="P81" i="114"/>
  <c r="Q81" i="114"/>
  <c r="R81" i="114"/>
  <c r="S81" i="114"/>
  <c r="T81" i="114"/>
  <c r="U81" i="114"/>
  <c r="V81" i="114"/>
  <c r="W81" i="114"/>
  <c r="X81" i="114"/>
  <c r="Y81" i="114"/>
  <c r="Z81" i="114"/>
  <c r="AA81" i="114"/>
  <c r="AB81" i="114"/>
  <c r="AC81" i="114"/>
  <c r="C82" i="114"/>
  <c r="D82" i="114"/>
  <c r="E82" i="114"/>
  <c r="F82" i="114"/>
  <c r="G82" i="114"/>
  <c r="H82" i="114"/>
  <c r="I82" i="114"/>
  <c r="J82" i="114"/>
  <c r="K82" i="114"/>
  <c r="L82" i="114"/>
  <c r="M82" i="114"/>
  <c r="N82" i="114"/>
  <c r="O82" i="114"/>
  <c r="P82" i="114"/>
  <c r="Q82" i="114"/>
  <c r="R82" i="114"/>
  <c r="S82" i="114"/>
  <c r="T82" i="114"/>
  <c r="U82" i="114"/>
  <c r="V82" i="114"/>
  <c r="W82" i="114"/>
  <c r="X82" i="114"/>
  <c r="Y82" i="114"/>
  <c r="Z82" i="114"/>
  <c r="AA82" i="114"/>
  <c r="AB82" i="114"/>
  <c r="AC82" i="114"/>
  <c r="C83" i="114"/>
  <c r="D83" i="114"/>
  <c r="E83" i="114"/>
  <c r="F83" i="114"/>
  <c r="G83" i="114"/>
  <c r="H83" i="114"/>
  <c r="I83" i="114"/>
  <c r="J83" i="114"/>
  <c r="K83" i="114"/>
  <c r="L83" i="114"/>
  <c r="M83" i="114"/>
  <c r="N83" i="114"/>
  <c r="O83" i="114"/>
  <c r="P83" i="114"/>
  <c r="Q83" i="114"/>
  <c r="R83" i="114"/>
  <c r="S83" i="114"/>
  <c r="T83" i="114"/>
  <c r="U83" i="114"/>
  <c r="V83" i="114"/>
  <c r="W83" i="114"/>
  <c r="X83" i="114"/>
  <c r="Y83" i="114"/>
  <c r="Z83" i="114"/>
  <c r="AA83" i="114"/>
  <c r="AB83" i="114"/>
  <c r="AC83" i="114"/>
  <c r="C84" i="114"/>
  <c r="D84" i="114"/>
  <c r="E84" i="114"/>
  <c r="F84" i="114"/>
  <c r="G84" i="114"/>
  <c r="H84" i="114"/>
  <c r="I84" i="114"/>
  <c r="J84" i="114"/>
  <c r="K84" i="114"/>
  <c r="L84" i="114"/>
  <c r="M84" i="114"/>
  <c r="N84" i="114"/>
  <c r="O84" i="114"/>
  <c r="P84" i="114"/>
  <c r="Q84" i="114"/>
  <c r="R84" i="114"/>
  <c r="S84" i="114"/>
  <c r="T84" i="114"/>
  <c r="U84" i="114"/>
  <c r="V84" i="114"/>
  <c r="W84" i="114"/>
  <c r="X84" i="114"/>
  <c r="Y84" i="114"/>
  <c r="Z84" i="114"/>
  <c r="AA84" i="114"/>
  <c r="AB84" i="114"/>
  <c r="AC84" i="114"/>
  <c r="C85" i="114"/>
  <c r="D85" i="114"/>
  <c r="E85" i="114"/>
  <c r="F85" i="114"/>
  <c r="G85" i="114"/>
  <c r="H85" i="114"/>
  <c r="I85" i="114"/>
  <c r="J85" i="114"/>
  <c r="K85" i="114"/>
  <c r="L85" i="114"/>
  <c r="M85" i="114"/>
  <c r="N85" i="114"/>
  <c r="O85" i="114"/>
  <c r="P85" i="114"/>
  <c r="Q85" i="114"/>
  <c r="R85" i="114"/>
  <c r="S85" i="114"/>
  <c r="T85" i="114"/>
  <c r="U85" i="114"/>
  <c r="V85" i="114"/>
  <c r="W85" i="114"/>
  <c r="X85" i="114"/>
  <c r="Y85" i="114"/>
  <c r="Z85" i="114"/>
  <c r="AA85" i="114"/>
  <c r="AB85" i="114"/>
  <c r="AC85" i="114"/>
  <c r="C86" i="114"/>
  <c r="D86" i="114"/>
  <c r="E86" i="114"/>
  <c r="F86" i="114"/>
  <c r="G86" i="114"/>
  <c r="H86" i="114"/>
  <c r="I86" i="114"/>
  <c r="J86" i="114"/>
  <c r="K86" i="114"/>
  <c r="L86" i="114"/>
  <c r="M86" i="114"/>
  <c r="N86" i="114"/>
  <c r="O86" i="114"/>
  <c r="P86" i="114"/>
  <c r="Q86" i="114"/>
  <c r="R86" i="114"/>
  <c r="S86" i="114"/>
  <c r="T86" i="114"/>
  <c r="U86" i="114"/>
  <c r="V86" i="114"/>
  <c r="W86" i="114"/>
  <c r="X86" i="114"/>
  <c r="Y86" i="114"/>
  <c r="Z86" i="114"/>
  <c r="AA86" i="114"/>
  <c r="AB86" i="114"/>
  <c r="AC86" i="114"/>
  <c r="C87" i="114"/>
  <c r="D87" i="114"/>
  <c r="E87" i="114"/>
  <c r="F87" i="114"/>
  <c r="G87" i="114"/>
  <c r="H87" i="114"/>
  <c r="I87" i="114"/>
  <c r="J87" i="114"/>
  <c r="K87" i="114"/>
  <c r="L87" i="114"/>
  <c r="M87" i="114"/>
  <c r="N87" i="114"/>
  <c r="O87" i="114"/>
  <c r="P87" i="114"/>
  <c r="Q87" i="114"/>
  <c r="R87" i="114"/>
  <c r="S87" i="114"/>
  <c r="T87" i="114"/>
  <c r="U87" i="114"/>
  <c r="V87" i="114"/>
  <c r="W87" i="114"/>
  <c r="X87" i="114"/>
  <c r="Y87" i="114"/>
  <c r="Z87" i="114"/>
  <c r="AA87" i="114"/>
  <c r="AB87" i="114"/>
  <c r="AC87" i="114"/>
  <c r="C88" i="114"/>
  <c r="D88" i="114"/>
  <c r="E88" i="114"/>
  <c r="F88" i="114"/>
  <c r="G88" i="114"/>
  <c r="H88" i="114"/>
  <c r="I88" i="114"/>
  <c r="J88" i="114"/>
  <c r="K88" i="114"/>
  <c r="L88" i="114"/>
  <c r="M88" i="114"/>
  <c r="N88" i="114"/>
  <c r="O88" i="114"/>
  <c r="P88" i="114"/>
  <c r="Q88" i="114"/>
  <c r="R88" i="114"/>
  <c r="S88" i="114"/>
  <c r="T88" i="114"/>
  <c r="U88" i="114"/>
  <c r="V88" i="114"/>
  <c r="W88" i="114"/>
  <c r="X88" i="114"/>
  <c r="Y88" i="114"/>
  <c r="Z88" i="114"/>
  <c r="AA88" i="114"/>
  <c r="AB88" i="114"/>
  <c r="AC88" i="114"/>
  <c r="C89" i="114"/>
  <c r="D89" i="114"/>
  <c r="E89" i="114"/>
  <c r="F89" i="114"/>
  <c r="G89" i="114"/>
  <c r="H89" i="114"/>
  <c r="I89" i="114"/>
  <c r="J89" i="114"/>
  <c r="K89" i="114"/>
  <c r="L89" i="114"/>
  <c r="M89" i="114"/>
  <c r="N89" i="114"/>
  <c r="O89" i="114"/>
  <c r="P89" i="114"/>
  <c r="Q89" i="114"/>
  <c r="R89" i="114"/>
  <c r="S89" i="114"/>
  <c r="T89" i="114"/>
  <c r="U89" i="114"/>
  <c r="V89" i="114"/>
  <c r="W89" i="114"/>
  <c r="X89" i="114"/>
  <c r="Y89" i="114"/>
  <c r="Z89" i="114"/>
  <c r="AA89" i="114"/>
  <c r="AB89" i="114"/>
  <c r="AC89" i="114"/>
  <c r="C90" i="114"/>
  <c r="D90" i="114"/>
  <c r="E90" i="114"/>
  <c r="F90" i="114"/>
  <c r="G90" i="114"/>
  <c r="H90" i="114"/>
  <c r="I90" i="114"/>
  <c r="J90" i="114"/>
  <c r="K90" i="114"/>
  <c r="L90" i="114"/>
  <c r="M90" i="114"/>
  <c r="N90" i="114"/>
  <c r="O90" i="114"/>
  <c r="P90" i="114"/>
  <c r="Q90" i="114"/>
  <c r="R90" i="114"/>
  <c r="S90" i="114"/>
  <c r="T90" i="114"/>
  <c r="U90" i="114"/>
  <c r="V90" i="114"/>
  <c r="W90" i="114"/>
  <c r="X90" i="114"/>
  <c r="Y90" i="114"/>
  <c r="Z90" i="114"/>
  <c r="AA90" i="114"/>
  <c r="AB90" i="114"/>
  <c r="AC90" i="114"/>
  <c r="C91" i="114"/>
  <c r="D91" i="114"/>
  <c r="E91" i="114"/>
  <c r="F91" i="114"/>
  <c r="G91" i="114"/>
  <c r="H91" i="114"/>
  <c r="I91" i="114"/>
  <c r="J91" i="114"/>
  <c r="K91" i="114"/>
  <c r="L91" i="114"/>
  <c r="M91" i="114"/>
  <c r="N91" i="114"/>
  <c r="O91" i="114"/>
  <c r="P91" i="114"/>
  <c r="Q91" i="114"/>
  <c r="R91" i="114"/>
  <c r="S91" i="114"/>
  <c r="T91" i="114"/>
  <c r="U91" i="114"/>
  <c r="V91" i="114"/>
  <c r="W91" i="114"/>
  <c r="X91" i="114"/>
  <c r="Y91" i="114"/>
  <c r="Z91" i="114"/>
  <c r="AA91" i="114"/>
  <c r="AB91" i="114"/>
  <c r="AC91" i="114"/>
  <c r="C92" i="114"/>
  <c r="D92" i="114"/>
  <c r="E92" i="114"/>
  <c r="F92" i="114"/>
  <c r="G92" i="114"/>
  <c r="H92" i="114"/>
  <c r="I92" i="114"/>
  <c r="J92" i="114"/>
  <c r="K92" i="114"/>
  <c r="L92" i="114"/>
  <c r="M92" i="114"/>
  <c r="N92" i="114"/>
  <c r="O92" i="114"/>
  <c r="P92" i="114"/>
  <c r="Q92" i="114"/>
  <c r="R92" i="114"/>
  <c r="S92" i="114"/>
  <c r="T92" i="114"/>
  <c r="U92" i="114"/>
  <c r="V92" i="114"/>
  <c r="W92" i="114"/>
  <c r="X92" i="114"/>
  <c r="Y92" i="114"/>
  <c r="Z92" i="114"/>
  <c r="AA92" i="114"/>
  <c r="AB92" i="114"/>
  <c r="AC92" i="114"/>
  <c r="C93" i="114"/>
  <c r="D93" i="114"/>
  <c r="E93" i="114"/>
  <c r="F93" i="114"/>
  <c r="G93" i="114"/>
  <c r="H93" i="114"/>
  <c r="I93" i="114"/>
  <c r="J93" i="114"/>
  <c r="K93" i="114"/>
  <c r="L93" i="114"/>
  <c r="M93" i="114"/>
  <c r="N93" i="114"/>
  <c r="O93" i="114"/>
  <c r="P93" i="114"/>
  <c r="Q93" i="114"/>
  <c r="R93" i="114"/>
  <c r="S93" i="114"/>
  <c r="T93" i="114"/>
  <c r="U93" i="114"/>
  <c r="V93" i="114"/>
  <c r="W93" i="114"/>
  <c r="X93" i="114"/>
  <c r="Y93" i="114"/>
  <c r="Z93" i="114"/>
  <c r="AA93" i="114"/>
  <c r="AB93" i="114"/>
  <c r="AC93" i="114"/>
  <c r="C94" i="114"/>
  <c r="D94" i="114"/>
  <c r="E94" i="114"/>
  <c r="F94" i="114"/>
  <c r="G94" i="114"/>
  <c r="H94" i="114"/>
  <c r="I94" i="114"/>
  <c r="J94" i="114"/>
  <c r="K94" i="114"/>
  <c r="L94" i="114"/>
  <c r="M94" i="114"/>
  <c r="N94" i="114"/>
  <c r="O94" i="114"/>
  <c r="P94" i="114"/>
  <c r="Q94" i="114"/>
  <c r="R94" i="114"/>
  <c r="S94" i="114"/>
  <c r="T94" i="114"/>
  <c r="U94" i="114"/>
  <c r="V94" i="114"/>
  <c r="W94" i="114"/>
  <c r="X94" i="114"/>
  <c r="Y94" i="114"/>
  <c r="Z94" i="114"/>
  <c r="AA94" i="114"/>
  <c r="AB94" i="114"/>
  <c r="AC94" i="114"/>
  <c r="C95" i="114"/>
  <c r="D95" i="114"/>
  <c r="E95" i="114"/>
  <c r="F95" i="114"/>
  <c r="G95" i="114"/>
  <c r="H95" i="114"/>
  <c r="I95" i="114"/>
  <c r="J95" i="114"/>
  <c r="K95" i="114"/>
  <c r="L95" i="114"/>
  <c r="M95" i="114"/>
  <c r="N95" i="114"/>
  <c r="O95" i="114"/>
  <c r="P95" i="114"/>
  <c r="Q95" i="114"/>
  <c r="R95" i="114"/>
  <c r="S95" i="114"/>
  <c r="T95" i="114"/>
  <c r="U95" i="114"/>
  <c r="V95" i="114"/>
  <c r="W95" i="114"/>
  <c r="X95" i="114"/>
  <c r="Y95" i="114"/>
  <c r="Z95" i="114"/>
  <c r="AA95" i="114"/>
  <c r="AB95" i="114"/>
  <c r="AC95" i="114"/>
  <c r="C96" i="114"/>
  <c r="D96" i="114"/>
  <c r="E96" i="114"/>
  <c r="F96" i="114"/>
  <c r="G96" i="114"/>
  <c r="H96" i="114"/>
  <c r="I96" i="114"/>
  <c r="J96" i="114"/>
  <c r="K96" i="114"/>
  <c r="L96" i="114"/>
  <c r="M96" i="114"/>
  <c r="N96" i="114"/>
  <c r="O96" i="114"/>
  <c r="P96" i="114"/>
  <c r="Q96" i="114"/>
  <c r="R96" i="114"/>
  <c r="S96" i="114"/>
  <c r="T96" i="114"/>
  <c r="U96" i="114"/>
  <c r="V96" i="114"/>
  <c r="W96" i="114"/>
  <c r="X96" i="114"/>
  <c r="Y96" i="114"/>
  <c r="Z96" i="114"/>
  <c r="AA96" i="114"/>
  <c r="AB96" i="114"/>
  <c r="AC96" i="114"/>
  <c r="D47" i="114"/>
  <c r="E47" i="114"/>
  <c r="F47" i="114"/>
  <c r="G47" i="114"/>
  <c r="H47" i="114"/>
  <c r="I47" i="114"/>
  <c r="J47" i="114"/>
  <c r="K47" i="114"/>
  <c r="L47" i="114"/>
  <c r="M47" i="114"/>
  <c r="N47" i="114"/>
  <c r="O47" i="114"/>
  <c r="P47" i="114"/>
  <c r="Q47" i="114"/>
  <c r="R47" i="114"/>
  <c r="S47" i="114"/>
  <c r="T47" i="114"/>
  <c r="U47" i="114"/>
  <c r="V47" i="114"/>
  <c r="W47" i="114"/>
  <c r="X47" i="114"/>
  <c r="Y47" i="114"/>
  <c r="Z47" i="114"/>
  <c r="AA47" i="114"/>
  <c r="AB47" i="114"/>
  <c r="AC47" i="114"/>
  <c r="C47" i="114"/>
  <c r="C7" i="114"/>
  <c r="D7" i="114"/>
  <c r="E7" i="114"/>
  <c r="F7" i="114"/>
  <c r="G7" i="114"/>
  <c r="H7" i="114"/>
  <c r="I7" i="114"/>
  <c r="J7" i="114"/>
  <c r="K7" i="114"/>
  <c r="L7" i="114"/>
  <c r="M7" i="114"/>
  <c r="N7" i="114"/>
  <c r="O7" i="114"/>
  <c r="P7" i="114"/>
  <c r="Q7" i="114"/>
  <c r="R7" i="114"/>
  <c r="S7" i="114"/>
  <c r="T7" i="114"/>
  <c r="U7" i="114"/>
  <c r="V7" i="114"/>
  <c r="W7" i="114"/>
  <c r="X7" i="114"/>
  <c r="Y7" i="114"/>
  <c r="Z7" i="114"/>
  <c r="AA7" i="114"/>
  <c r="AB7" i="114"/>
  <c r="AC7" i="114"/>
  <c r="C8" i="114"/>
  <c r="D8" i="114"/>
  <c r="E8" i="114"/>
  <c r="F8" i="114"/>
  <c r="G8" i="114"/>
  <c r="H8" i="114"/>
  <c r="I8" i="114"/>
  <c r="J8" i="114"/>
  <c r="K8" i="114"/>
  <c r="L8" i="114"/>
  <c r="M8" i="114"/>
  <c r="N8" i="114"/>
  <c r="O8" i="114"/>
  <c r="P8" i="114"/>
  <c r="Q8" i="114"/>
  <c r="R8" i="114"/>
  <c r="S8" i="114"/>
  <c r="T8" i="114"/>
  <c r="U8" i="114"/>
  <c r="V8" i="114"/>
  <c r="W8" i="114"/>
  <c r="X8" i="114"/>
  <c r="Y8" i="114"/>
  <c r="Z8" i="114"/>
  <c r="AA8" i="114"/>
  <c r="AB8" i="114"/>
  <c r="AC8" i="114"/>
  <c r="C9" i="114"/>
  <c r="D9" i="114"/>
  <c r="E9" i="114"/>
  <c r="F9" i="114"/>
  <c r="G9" i="114"/>
  <c r="H9" i="114"/>
  <c r="I9" i="114"/>
  <c r="J9" i="114"/>
  <c r="K9" i="114"/>
  <c r="L9" i="114"/>
  <c r="M9" i="114"/>
  <c r="N9" i="114"/>
  <c r="O9" i="114"/>
  <c r="P9" i="114"/>
  <c r="Q9" i="114"/>
  <c r="R9" i="114"/>
  <c r="S9" i="114"/>
  <c r="T9" i="114"/>
  <c r="U9" i="114"/>
  <c r="V9" i="114"/>
  <c r="W9" i="114"/>
  <c r="X9" i="114"/>
  <c r="Y9" i="114"/>
  <c r="Z9" i="114"/>
  <c r="AA9" i="114"/>
  <c r="AB9" i="114"/>
  <c r="AC9" i="114"/>
  <c r="C10" i="114"/>
  <c r="D10" i="114"/>
  <c r="E10" i="114"/>
  <c r="F10" i="114"/>
  <c r="G10" i="114"/>
  <c r="H10" i="114"/>
  <c r="I10" i="114"/>
  <c r="J10" i="114"/>
  <c r="K10" i="114"/>
  <c r="L10" i="114"/>
  <c r="M10" i="114"/>
  <c r="N10" i="114"/>
  <c r="O10" i="114"/>
  <c r="P10" i="114"/>
  <c r="Q10" i="114"/>
  <c r="R10" i="114"/>
  <c r="S10" i="114"/>
  <c r="T10" i="114"/>
  <c r="U10" i="114"/>
  <c r="V10" i="114"/>
  <c r="W10" i="114"/>
  <c r="X10" i="114"/>
  <c r="Y10" i="114"/>
  <c r="Z10" i="114"/>
  <c r="AA10" i="114"/>
  <c r="AB10" i="114"/>
  <c r="AC10" i="114"/>
  <c r="C11" i="114"/>
  <c r="D11" i="114"/>
  <c r="E11" i="114"/>
  <c r="F11" i="114"/>
  <c r="G11" i="114"/>
  <c r="H11" i="114"/>
  <c r="I11" i="114"/>
  <c r="J11" i="114"/>
  <c r="K11" i="114"/>
  <c r="L11" i="114"/>
  <c r="M11" i="114"/>
  <c r="N11" i="114"/>
  <c r="O11" i="114"/>
  <c r="P11" i="114"/>
  <c r="Q11" i="114"/>
  <c r="R11" i="114"/>
  <c r="S11" i="114"/>
  <c r="T11" i="114"/>
  <c r="U11" i="114"/>
  <c r="V11" i="114"/>
  <c r="W11" i="114"/>
  <c r="X11" i="114"/>
  <c r="Y11" i="114"/>
  <c r="Z11" i="114"/>
  <c r="AA11" i="114"/>
  <c r="AB11" i="114"/>
  <c r="AC11" i="114"/>
  <c r="C12" i="114"/>
  <c r="D12" i="114"/>
  <c r="E12" i="114"/>
  <c r="F12" i="114"/>
  <c r="G12" i="114"/>
  <c r="H12" i="114"/>
  <c r="I12" i="114"/>
  <c r="J12" i="114"/>
  <c r="K12" i="114"/>
  <c r="L12" i="114"/>
  <c r="M12" i="114"/>
  <c r="N12" i="114"/>
  <c r="O12" i="114"/>
  <c r="P12" i="114"/>
  <c r="Q12" i="114"/>
  <c r="R12" i="114"/>
  <c r="S12" i="114"/>
  <c r="T12" i="114"/>
  <c r="U12" i="114"/>
  <c r="V12" i="114"/>
  <c r="W12" i="114"/>
  <c r="X12" i="114"/>
  <c r="Y12" i="114"/>
  <c r="Z12" i="114"/>
  <c r="AA12" i="114"/>
  <c r="AB12" i="114"/>
  <c r="AC12" i="114"/>
  <c r="C13" i="114"/>
  <c r="D13" i="114"/>
  <c r="E13" i="114"/>
  <c r="F13" i="114"/>
  <c r="G13" i="114"/>
  <c r="H13" i="114"/>
  <c r="I13" i="114"/>
  <c r="J13" i="114"/>
  <c r="K13" i="114"/>
  <c r="L13" i="114"/>
  <c r="M13" i="114"/>
  <c r="N13" i="114"/>
  <c r="O13" i="114"/>
  <c r="P13" i="114"/>
  <c r="Q13" i="114"/>
  <c r="R13" i="114"/>
  <c r="S13" i="114"/>
  <c r="T13" i="114"/>
  <c r="U13" i="114"/>
  <c r="V13" i="114"/>
  <c r="W13" i="114"/>
  <c r="X13" i="114"/>
  <c r="Y13" i="114"/>
  <c r="Z13" i="114"/>
  <c r="AA13" i="114"/>
  <c r="AB13" i="114"/>
  <c r="AC13" i="114"/>
  <c r="C14" i="114"/>
  <c r="D14" i="114"/>
  <c r="E14" i="114"/>
  <c r="F14" i="114"/>
  <c r="G14" i="114"/>
  <c r="H14" i="114"/>
  <c r="I14" i="114"/>
  <c r="J14" i="114"/>
  <c r="K14" i="114"/>
  <c r="L14" i="114"/>
  <c r="M14" i="114"/>
  <c r="N14" i="114"/>
  <c r="O14" i="114"/>
  <c r="P14" i="114"/>
  <c r="Q14" i="114"/>
  <c r="R14" i="114"/>
  <c r="S14" i="114"/>
  <c r="T14" i="114"/>
  <c r="U14" i="114"/>
  <c r="V14" i="114"/>
  <c r="W14" i="114"/>
  <c r="X14" i="114"/>
  <c r="Y14" i="114"/>
  <c r="Z14" i="114"/>
  <c r="AA14" i="114"/>
  <c r="AB14" i="114"/>
  <c r="AC14" i="114"/>
  <c r="C15" i="114"/>
  <c r="D15" i="114"/>
  <c r="E15" i="114"/>
  <c r="F15" i="114"/>
  <c r="G15" i="114"/>
  <c r="H15" i="114"/>
  <c r="I15" i="114"/>
  <c r="J15" i="114"/>
  <c r="K15" i="114"/>
  <c r="L15" i="114"/>
  <c r="M15" i="114"/>
  <c r="N15" i="114"/>
  <c r="O15" i="114"/>
  <c r="P15" i="114"/>
  <c r="Q15" i="114"/>
  <c r="R15" i="114"/>
  <c r="S15" i="114"/>
  <c r="T15" i="114"/>
  <c r="U15" i="114"/>
  <c r="V15" i="114"/>
  <c r="W15" i="114"/>
  <c r="X15" i="114"/>
  <c r="Y15" i="114"/>
  <c r="Z15" i="114"/>
  <c r="AA15" i="114"/>
  <c r="AB15" i="114"/>
  <c r="AC15" i="114"/>
  <c r="C16" i="114"/>
  <c r="D16" i="114"/>
  <c r="E16" i="114"/>
  <c r="F16" i="114"/>
  <c r="G16" i="114"/>
  <c r="H16" i="114"/>
  <c r="I16" i="114"/>
  <c r="J16" i="114"/>
  <c r="K16" i="114"/>
  <c r="L16" i="114"/>
  <c r="M16" i="114"/>
  <c r="N16" i="114"/>
  <c r="O16" i="114"/>
  <c r="P16" i="114"/>
  <c r="Q16" i="114"/>
  <c r="R16" i="114"/>
  <c r="S16" i="114"/>
  <c r="T16" i="114"/>
  <c r="U16" i="114"/>
  <c r="V16" i="114"/>
  <c r="W16" i="114"/>
  <c r="X16" i="114"/>
  <c r="Y16" i="114"/>
  <c r="Z16" i="114"/>
  <c r="AA16" i="114"/>
  <c r="AB16" i="114"/>
  <c r="AC16" i="114"/>
  <c r="C17" i="114"/>
  <c r="D17" i="114"/>
  <c r="E17" i="114"/>
  <c r="F17" i="114"/>
  <c r="G17" i="114"/>
  <c r="H17" i="114"/>
  <c r="I17" i="114"/>
  <c r="J17" i="114"/>
  <c r="K17" i="114"/>
  <c r="L17" i="114"/>
  <c r="M17" i="114"/>
  <c r="N17" i="114"/>
  <c r="O17" i="114"/>
  <c r="P17" i="114"/>
  <c r="Q17" i="114"/>
  <c r="R17" i="114"/>
  <c r="S17" i="114"/>
  <c r="T17" i="114"/>
  <c r="U17" i="114"/>
  <c r="V17" i="114"/>
  <c r="W17" i="114"/>
  <c r="X17" i="114"/>
  <c r="Y17" i="114"/>
  <c r="Z17" i="114"/>
  <c r="AA17" i="114"/>
  <c r="AB17" i="114"/>
  <c r="AC17" i="114"/>
  <c r="C18" i="114"/>
  <c r="D18" i="114"/>
  <c r="E18" i="114"/>
  <c r="F18" i="114"/>
  <c r="G18" i="114"/>
  <c r="H18" i="114"/>
  <c r="I18" i="114"/>
  <c r="J18" i="114"/>
  <c r="K18" i="114"/>
  <c r="L18" i="114"/>
  <c r="M18" i="114"/>
  <c r="N18" i="114"/>
  <c r="O18" i="114"/>
  <c r="P18" i="114"/>
  <c r="Q18" i="114"/>
  <c r="R18" i="114"/>
  <c r="S18" i="114"/>
  <c r="T18" i="114"/>
  <c r="U18" i="114"/>
  <c r="V18" i="114"/>
  <c r="W18" i="114"/>
  <c r="X18" i="114"/>
  <c r="Y18" i="114"/>
  <c r="Z18" i="114"/>
  <c r="AA18" i="114"/>
  <c r="AB18" i="114"/>
  <c r="AC18" i="114"/>
  <c r="C19" i="114"/>
  <c r="D19" i="114"/>
  <c r="E19" i="114"/>
  <c r="F19" i="114"/>
  <c r="G19" i="114"/>
  <c r="H19" i="114"/>
  <c r="I19" i="114"/>
  <c r="J19" i="114"/>
  <c r="K19" i="114"/>
  <c r="L19" i="114"/>
  <c r="M19" i="114"/>
  <c r="N19" i="114"/>
  <c r="O19" i="114"/>
  <c r="P19" i="114"/>
  <c r="Q19" i="114"/>
  <c r="R19" i="114"/>
  <c r="S19" i="114"/>
  <c r="T19" i="114"/>
  <c r="U19" i="114"/>
  <c r="V19" i="114"/>
  <c r="W19" i="114"/>
  <c r="X19" i="114"/>
  <c r="Y19" i="114"/>
  <c r="Z19" i="114"/>
  <c r="AA19" i="114"/>
  <c r="AB19" i="114"/>
  <c r="AC19" i="114"/>
  <c r="C20" i="114"/>
  <c r="D20" i="114"/>
  <c r="E20" i="114"/>
  <c r="F20" i="114"/>
  <c r="G20" i="114"/>
  <c r="H20" i="114"/>
  <c r="I20" i="114"/>
  <c r="J20" i="114"/>
  <c r="K20" i="114"/>
  <c r="L20" i="114"/>
  <c r="M20" i="114"/>
  <c r="N20" i="114"/>
  <c r="O20" i="114"/>
  <c r="P20" i="114"/>
  <c r="Q20" i="114"/>
  <c r="R20" i="114"/>
  <c r="S20" i="114"/>
  <c r="T20" i="114"/>
  <c r="U20" i="114"/>
  <c r="V20" i="114"/>
  <c r="W20" i="114"/>
  <c r="X20" i="114"/>
  <c r="Y20" i="114"/>
  <c r="Z20" i="114"/>
  <c r="AA20" i="114"/>
  <c r="AB20" i="114"/>
  <c r="AC20" i="114"/>
  <c r="C21" i="114"/>
  <c r="D21" i="114"/>
  <c r="E21" i="114"/>
  <c r="F21" i="114"/>
  <c r="G21" i="114"/>
  <c r="H21" i="114"/>
  <c r="I21" i="114"/>
  <c r="J21" i="114"/>
  <c r="K21" i="114"/>
  <c r="L21" i="114"/>
  <c r="M21" i="114"/>
  <c r="N21" i="114"/>
  <c r="O21" i="114"/>
  <c r="P21" i="114"/>
  <c r="Q21" i="114"/>
  <c r="R21" i="114"/>
  <c r="S21" i="114"/>
  <c r="T21" i="114"/>
  <c r="U21" i="114"/>
  <c r="V21" i="114"/>
  <c r="W21" i="114"/>
  <c r="X21" i="114"/>
  <c r="Y21" i="114"/>
  <c r="Z21" i="114"/>
  <c r="AA21" i="114"/>
  <c r="AB21" i="114"/>
  <c r="AC21" i="114"/>
  <c r="C22" i="114"/>
  <c r="D22" i="114"/>
  <c r="E22" i="114"/>
  <c r="F22" i="114"/>
  <c r="G22" i="114"/>
  <c r="H22" i="114"/>
  <c r="I22" i="114"/>
  <c r="J22" i="114"/>
  <c r="K22" i="114"/>
  <c r="L22" i="114"/>
  <c r="M22" i="114"/>
  <c r="N22" i="114"/>
  <c r="O22" i="114"/>
  <c r="P22" i="114"/>
  <c r="Q22" i="114"/>
  <c r="R22" i="114"/>
  <c r="S22" i="114"/>
  <c r="T22" i="114"/>
  <c r="U22" i="114"/>
  <c r="V22" i="114"/>
  <c r="W22" i="114"/>
  <c r="X22" i="114"/>
  <c r="Y22" i="114"/>
  <c r="Z22" i="114"/>
  <c r="AA22" i="114"/>
  <c r="AB22" i="114"/>
  <c r="AC22" i="114"/>
  <c r="C23" i="114"/>
  <c r="D23" i="114"/>
  <c r="E23" i="114"/>
  <c r="F23" i="114"/>
  <c r="G23" i="114"/>
  <c r="H23" i="114"/>
  <c r="I23" i="114"/>
  <c r="J23" i="114"/>
  <c r="K23" i="114"/>
  <c r="L23" i="114"/>
  <c r="M23" i="114"/>
  <c r="N23" i="114"/>
  <c r="O23" i="114"/>
  <c r="P23" i="114"/>
  <c r="Q23" i="114"/>
  <c r="R23" i="114"/>
  <c r="S23" i="114"/>
  <c r="T23" i="114"/>
  <c r="U23" i="114"/>
  <c r="V23" i="114"/>
  <c r="W23" i="114"/>
  <c r="X23" i="114"/>
  <c r="Y23" i="114"/>
  <c r="Z23" i="114"/>
  <c r="AA23" i="114"/>
  <c r="AB23" i="114"/>
  <c r="AC23" i="114"/>
  <c r="C24" i="114"/>
  <c r="D24" i="114"/>
  <c r="E24" i="114"/>
  <c r="F24" i="114"/>
  <c r="G24" i="114"/>
  <c r="H24" i="114"/>
  <c r="I24" i="114"/>
  <c r="J24" i="114"/>
  <c r="K24" i="114"/>
  <c r="L24" i="114"/>
  <c r="M24" i="114"/>
  <c r="N24" i="114"/>
  <c r="O24" i="114"/>
  <c r="P24" i="114"/>
  <c r="Q24" i="114"/>
  <c r="R24" i="114"/>
  <c r="S24" i="114"/>
  <c r="T24" i="114"/>
  <c r="U24" i="114"/>
  <c r="V24" i="114"/>
  <c r="W24" i="114"/>
  <c r="X24" i="114"/>
  <c r="Y24" i="114"/>
  <c r="Z24" i="114"/>
  <c r="AA24" i="114"/>
  <c r="AB24" i="114"/>
  <c r="AC24" i="114"/>
  <c r="C25" i="114"/>
  <c r="D25" i="114"/>
  <c r="E25" i="114"/>
  <c r="F25" i="114"/>
  <c r="G25" i="114"/>
  <c r="H25" i="114"/>
  <c r="I25" i="114"/>
  <c r="J25" i="114"/>
  <c r="K25" i="114"/>
  <c r="L25" i="114"/>
  <c r="M25" i="114"/>
  <c r="N25" i="114"/>
  <c r="O25" i="114"/>
  <c r="P25" i="114"/>
  <c r="Q25" i="114"/>
  <c r="R25" i="114"/>
  <c r="S25" i="114"/>
  <c r="T25" i="114"/>
  <c r="U25" i="114"/>
  <c r="V25" i="114"/>
  <c r="W25" i="114"/>
  <c r="X25" i="114"/>
  <c r="Y25" i="114"/>
  <c r="Z25" i="114"/>
  <c r="AA25" i="114"/>
  <c r="AB25" i="114"/>
  <c r="AC25" i="114"/>
  <c r="C26" i="114"/>
  <c r="D26" i="114"/>
  <c r="E26" i="114"/>
  <c r="F26" i="114"/>
  <c r="G26" i="114"/>
  <c r="H26" i="114"/>
  <c r="I26" i="114"/>
  <c r="J26" i="114"/>
  <c r="K26" i="114"/>
  <c r="L26" i="114"/>
  <c r="M26" i="114"/>
  <c r="N26" i="114"/>
  <c r="O26" i="114"/>
  <c r="P26" i="114"/>
  <c r="Q26" i="114"/>
  <c r="R26" i="114"/>
  <c r="S26" i="114"/>
  <c r="T26" i="114"/>
  <c r="U26" i="114"/>
  <c r="V26" i="114"/>
  <c r="W26" i="114"/>
  <c r="X26" i="114"/>
  <c r="Y26" i="114"/>
  <c r="Z26" i="114"/>
  <c r="AA26" i="114"/>
  <c r="AB26" i="114"/>
  <c r="AC26" i="114"/>
  <c r="C27" i="114"/>
  <c r="D27" i="114"/>
  <c r="E27" i="114"/>
  <c r="F27" i="114"/>
  <c r="G27" i="114"/>
  <c r="H27" i="114"/>
  <c r="I27" i="114"/>
  <c r="J27" i="114"/>
  <c r="K27" i="114"/>
  <c r="L27" i="114"/>
  <c r="M27" i="114"/>
  <c r="N27" i="114"/>
  <c r="O27" i="114"/>
  <c r="P27" i="114"/>
  <c r="Q27" i="114"/>
  <c r="R27" i="114"/>
  <c r="S27" i="114"/>
  <c r="T27" i="114"/>
  <c r="U27" i="114"/>
  <c r="V27" i="114"/>
  <c r="W27" i="114"/>
  <c r="X27" i="114"/>
  <c r="Y27" i="114"/>
  <c r="Z27" i="114"/>
  <c r="AA27" i="114"/>
  <c r="AB27" i="114"/>
  <c r="AC27" i="114"/>
  <c r="C28" i="114"/>
  <c r="D28" i="114"/>
  <c r="E28" i="114"/>
  <c r="F28" i="114"/>
  <c r="G28" i="114"/>
  <c r="H28" i="114"/>
  <c r="I28" i="114"/>
  <c r="J28" i="114"/>
  <c r="K28" i="114"/>
  <c r="L28" i="114"/>
  <c r="M28" i="114"/>
  <c r="N28" i="114"/>
  <c r="O28" i="114"/>
  <c r="P28" i="114"/>
  <c r="Q28" i="114"/>
  <c r="R28" i="114"/>
  <c r="S28" i="114"/>
  <c r="T28" i="114"/>
  <c r="U28" i="114"/>
  <c r="V28" i="114"/>
  <c r="W28" i="114"/>
  <c r="X28" i="114"/>
  <c r="Y28" i="114"/>
  <c r="Z28" i="114"/>
  <c r="AA28" i="114"/>
  <c r="AB28" i="114"/>
  <c r="AC28" i="114"/>
  <c r="C29" i="114"/>
  <c r="D29" i="114"/>
  <c r="E29" i="114"/>
  <c r="F29" i="114"/>
  <c r="G29" i="114"/>
  <c r="H29" i="114"/>
  <c r="I29" i="114"/>
  <c r="J29" i="114"/>
  <c r="K29" i="114"/>
  <c r="L29" i="114"/>
  <c r="M29" i="114"/>
  <c r="N29" i="114"/>
  <c r="O29" i="114"/>
  <c r="P29" i="114"/>
  <c r="Q29" i="114"/>
  <c r="R29" i="114"/>
  <c r="S29" i="114"/>
  <c r="T29" i="114"/>
  <c r="U29" i="114"/>
  <c r="V29" i="114"/>
  <c r="W29" i="114"/>
  <c r="X29" i="114"/>
  <c r="Y29" i="114"/>
  <c r="Z29" i="114"/>
  <c r="AA29" i="114"/>
  <c r="AB29" i="114"/>
  <c r="AC29" i="114"/>
  <c r="C30" i="114"/>
  <c r="D30" i="114"/>
  <c r="E30" i="114"/>
  <c r="F30" i="114"/>
  <c r="G30" i="114"/>
  <c r="H30" i="114"/>
  <c r="I30" i="114"/>
  <c r="J30" i="114"/>
  <c r="K30" i="114"/>
  <c r="L30" i="114"/>
  <c r="M30" i="114"/>
  <c r="N30" i="114"/>
  <c r="O30" i="114"/>
  <c r="P30" i="114"/>
  <c r="Q30" i="114"/>
  <c r="R30" i="114"/>
  <c r="S30" i="114"/>
  <c r="T30" i="114"/>
  <c r="U30" i="114"/>
  <c r="V30" i="114"/>
  <c r="W30" i="114"/>
  <c r="X30" i="114"/>
  <c r="Y30" i="114"/>
  <c r="Z30" i="114"/>
  <c r="AA30" i="114"/>
  <c r="AB30" i="114"/>
  <c r="AC30" i="114"/>
  <c r="D6" i="114"/>
  <c r="E6" i="114"/>
  <c r="F6" i="114"/>
  <c r="G6" i="114"/>
  <c r="H6" i="114"/>
  <c r="I6" i="114"/>
  <c r="J6" i="114"/>
  <c r="K6" i="114"/>
  <c r="L6" i="114"/>
  <c r="M6" i="114"/>
  <c r="N6" i="114"/>
  <c r="O6" i="114"/>
  <c r="P6" i="114"/>
  <c r="Q6" i="114"/>
  <c r="R6" i="114"/>
  <c r="S6" i="114"/>
  <c r="T6" i="114"/>
  <c r="U6" i="114"/>
  <c r="V6" i="114"/>
  <c r="W6" i="114"/>
  <c r="X6" i="114"/>
  <c r="Y6" i="114"/>
  <c r="Z6" i="114"/>
  <c r="AA6" i="114"/>
  <c r="AB6" i="114"/>
  <c r="AC6" i="114"/>
  <c r="C6" i="114"/>
  <c r="H20" i="2" l="1"/>
  <c r="H19" i="2"/>
  <c r="H18" i="2"/>
  <c r="H17" i="2"/>
  <c r="H16" i="2"/>
  <c r="H15" i="2"/>
  <c r="H14" i="2"/>
  <c r="H13" i="2"/>
  <c r="H12" i="2"/>
  <c r="H11" i="2"/>
  <c r="H10" i="2"/>
  <c r="H9" i="2"/>
  <c r="H8" i="2"/>
  <c r="F20" i="2"/>
  <c r="F19" i="2"/>
  <c r="F18" i="2"/>
  <c r="F17" i="2"/>
  <c r="F16" i="2"/>
  <c r="F15" i="2"/>
  <c r="F14" i="2"/>
  <c r="F13" i="2"/>
  <c r="F12" i="2"/>
  <c r="F11" i="2"/>
  <c r="F10" i="2"/>
  <c r="F9" i="2"/>
  <c r="F8" i="2"/>
  <c r="D20" i="2"/>
  <c r="D19" i="2"/>
  <c r="D18" i="2"/>
  <c r="D17" i="2"/>
  <c r="D16" i="2"/>
  <c r="D15" i="2"/>
  <c r="D14" i="2"/>
  <c r="D13" i="2"/>
  <c r="D12" i="2"/>
  <c r="D11" i="2"/>
  <c r="D10" i="2"/>
  <c r="D9" i="2"/>
  <c r="D8" i="2"/>
  <c r="B9" i="2"/>
  <c r="B10" i="2"/>
  <c r="B11" i="2"/>
  <c r="B12" i="2"/>
  <c r="B13" i="2"/>
  <c r="B14" i="2"/>
  <c r="B15" i="2"/>
  <c r="B16" i="2"/>
  <c r="B17" i="2"/>
  <c r="B18" i="2"/>
  <c r="B19" i="2"/>
  <c r="B20" i="2"/>
  <c r="B8" i="2"/>
  <c r="H83" i="2" l="1"/>
  <c r="G83" i="2"/>
  <c r="H82" i="2"/>
  <c r="H81" i="2"/>
  <c r="G81" i="2"/>
  <c r="H80" i="2"/>
  <c r="H73" i="2"/>
  <c r="Q103" i="2"/>
  <c r="G103" i="2" s="1"/>
  <c r="Q102" i="2"/>
  <c r="G102" i="2" s="1"/>
  <c r="Q101" i="2"/>
  <c r="G101" i="2" s="1"/>
  <c r="Q100" i="2"/>
  <c r="G100" i="2" s="1"/>
  <c r="Q99" i="2"/>
  <c r="G99" i="2" s="1"/>
  <c r="Q98" i="2"/>
  <c r="G98" i="2" s="1"/>
  <c r="Q97" i="2"/>
  <c r="G97" i="2" s="1"/>
  <c r="Q96" i="2"/>
  <c r="G96" i="2" s="1"/>
  <c r="Q95" i="2"/>
  <c r="G95" i="2" s="1"/>
  <c r="Q94" i="2"/>
  <c r="G94" i="2" s="1"/>
  <c r="Q93" i="2"/>
  <c r="G93" i="2" s="1"/>
  <c r="Q82" i="2"/>
  <c r="G82" i="2" s="1"/>
  <c r="Q80" i="2"/>
  <c r="G80" i="2" s="1"/>
  <c r="R72" i="2"/>
  <c r="H72" i="2" s="1"/>
  <c r="P59" i="2"/>
  <c r="F59" i="2" s="1"/>
  <c r="P58" i="2"/>
  <c r="F58" i="2" s="1"/>
  <c r="R53" i="2"/>
  <c r="H53" i="2" s="1"/>
  <c r="N53" i="2"/>
  <c r="D53" i="2" s="1"/>
  <c r="R52" i="2"/>
  <c r="H52" i="2" s="1"/>
  <c r="N52" i="2"/>
  <c r="D52" i="2" s="1"/>
  <c r="R50" i="2"/>
  <c r="H50" i="2" s="1"/>
  <c r="N50" i="2"/>
  <c r="D50" i="2" s="1"/>
  <c r="R49" i="2"/>
  <c r="H49" i="2" s="1"/>
  <c r="N49" i="2"/>
  <c r="D49" i="2" s="1"/>
  <c r="R48" i="2"/>
  <c r="H48" i="2" s="1"/>
  <c r="N48" i="2"/>
  <c r="D48" i="2" s="1"/>
  <c r="F35" i="2"/>
  <c r="F34" i="2"/>
  <c r="D36" i="2"/>
  <c r="D35" i="2"/>
  <c r="D34" i="2"/>
  <c r="H28" i="2"/>
  <c r="H27" i="2"/>
  <c r="F29" i="2"/>
  <c r="F28" i="2"/>
  <c r="F27" i="2"/>
  <c r="D29" i="2"/>
  <c r="D28" i="2"/>
  <c r="D27" i="2"/>
  <c r="B29" i="2"/>
  <c r="B28" i="2"/>
  <c r="B27" i="2"/>
  <c r="B10" i="26"/>
  <c r="B11" i="26"/>
  <c r="B12" i="26"/>
  <c r="B13" i="26"/>
  <c r="B14" i="26"/>
  <c r="B15" i="26"/>
  <c r="B16" i="26"/>
  <c r="B17" i="26"/>
  <c r="B18" i="26"/>
  <c r="B19" i="26"/>
  <c r="B20" i="26"/>
  <c r="B21" i="26"/>
  <c r="B22" i="26"/>
  <c r="B23" i="26"/>
  <c r="B24" i="26"/>
  <c r="B25" i="26"/>
  <c r="B26" i="26"/>
  <c r="B27" i="26"/>
  <c r="B28" i="26"/>
  <c r="B29" i="26"/>
  <c r="B30" i="26"/>
  <c r="B31" i="26"/>
  <c r="B32" i="26"/>
  <c r="B33" i="26"/>
  <c r="B34" i="26"/>
  <c r="B35" i="26"/>
  <c r="B36" i="26"/>
  <c r="B37" i="26"/>
  <c r="B38" i="26"/>
  <c r="B39" i="26"/>
  <c r="B40" i="26"/>
  <c r="B41" i="26"/>
  <c r="B42" i="26"/>
  <c r="B9" i="26"/>
  <c r="C29" i="92" l="1"/>
  <c r="AK72" i="84" l="1"/>
  <c r="AK71" i="84"/>
  <c r="AL71" i="84" s="1"/>
  <c r="AK70" i="84"/>
  <c r="AL70" i="84" s="1"/>
  <c r="AK69" i="84"/>
  <c r="AL69" i="84" s="1"/>
  <c r="AK68" i="84"/>
  <c r="AL68" i="84" s="1"/>
  <c r="AK67" i="84"/>
  <c r="AL67" i="84" s="1"/>
  <c r="AM67" i="84" s="1"/>
  <c r="AK66" i="84"/>
  <c r="AL66" i="84"/>
  <c r="AM66" i="84" s="1"/>
  <c r="AN66" i="84" s="1"/>
  <c r="AO66" i="84" s="1"/>
  <c r="AP66" i="84" s="1"/>
  <c r="AQ66" i="84" s="1"/>
  <c r="AR66" i="84" s="1"/>
  <c r="AK65" i="84"/>
  <c r="AL65" i="84" s="1"/>
  <c r="AK64" i="84"/>
  <c r="AL64" i="84" s="1"/>
  <c r="AK63" i="84"/>
  <c r="AL63" i="84" s="1"/>
  <c r="AK62" i="84"/>
  <c r="AL62" i="84" s="1"/>
  <c r="AM62" i="84" s="1"/>
  <c r="AN62" i="84" s="1"/>
  <c r="AO62" i="84" s="1"/>
  <c r="AP62" i="84" s="1"/>
  <c r="AQ62" i="84" s="1"/>
  <c r="AR62" i="84" s="1"/>
  <c r="AK61" i="84"/>
  <c r="AL61" i="84"/>
  <c r="AM61" i="84" s="1"/>
  <c r="AK60" i="84"/>
  <c r="AL60" i="84" s="1"/>
  <c r="AK59" i="84"/>
  <c r="AL59" i="84" s="1"/>
  <c r="AM59" i="84" s="1"/>
  <c r="AN59" i="84" s="1"/>
  <c r="AO59" i="84" s="1"/>
  <c r="AP59" i="84" s="1"/>
  <c r="AK55" i="84"/>
  <c r="AL55" i="84" s="1"/>
  <c r="AK54" i="84"/>
  <c r="AL54" i="84" s="1"/>
  <c r="AM54" i="84" s="1"/>
  <c r="AN54" i="84" s="1"/>
  <c r="AO54" i="84" s="1"/>
  <c r="AK53" i="84"/>
  <c r="AL53" i="84"/>
  <c r="AM53" i="84" s="1"/>
  <c r="AN53" i="84" s="1"/>
  <c r="AO53" i="84" s="1"/>
  <c r="AK52" i="84"/>
  <c r="AL52" i="84" s="1"/>
  <c r="AK51" i="84"/>
  <c r="AL51" i="84" s="1"/>
  <c r="AM51" i="84" s="1"/>
  <c r="AN51" i="84" s="1"/>
  <c r="AK50" i="84"/>
  <c r="AL50" i="84" s="1"/>
  <c r="AM50" i="84" s="1"/>
  <c r="AN50" i="84" s="1"/>
  <c r="AO50" i="84" s="1"/>
  <c r="AP50" i="84" s="1"/>
  <c r="AQ50" i="84" s="1"/>
  <c r="AR50" i="84" s="1"/>
  <c r="AK49" i="84"/>
  <c r="AL49" i="84" s="1"/>
  <c r="AM49" i="84" s="1"/>
  <c r="AN49" i="84" s="1"/>
  <c r="AK48" i="84"/>
  <c r="AL48" i="84" s="1"/>
  <c r="AM48" i="84" s="1"/>
  <c r="AK47" i="84"/>
  <c r="AL47" i="84" s="1"/>
  <c r="AM47" i="84" s="1"/>
  <c r="AN47" i="84" s="1"/>
  <c r="AO47" i="84" s="1"/>
  <c r="AP47" i="84" s="1"/>
  <c r="AQ47" i="84" s="1"/>
  <c r="AR47" i="84" s="1"/>
  <c r="AK46" i="84"/>
  <c r="AL46" i="84" s="1"/>
  <c r="AM46" i="84" s="1"/>
  <c r="AN46" i="84" s="1"/>
  <c r="AO46" i="84" s="1"/>
  <c r="AK45" i="84"/>
  <c r="AL45" i="84" s="1"/>
  <c r="AM45" i="84" s="1"/>
  <c r="AN45" i="84" s="1"/>
  <c r="AO45" i="84" s="1"/>
  <c r="AP45" i="84" s="1"/>
  <c r="AQ45" i="84" s="1"/>
  <c r="AR45" i="84" s="1"/>
  <c r="AK44" i="84"/>
  <c r="AL44" i="84" s="1"/>
  <c r="AM44" i="84" s="1"/>
  <c r="AN44" i="84" s="1"/>
  <c r="AO44" i="84" s="1"/>
  <c r="AK43" i="84"/>
  <c r="AL43" i="84" s="1"/>
  <c r="AK42" i="84"/>
  <c r="AL42" i="84" s="1"/>
  <c r="AK38" i="84"/>
  <c r="AL38" i="84" s="1"/>
  <c r="AK37" i="84"/>
  <c r="AL37" i="84" s="1"/>
  <c r="AK36" i="84"/>
  <c r="AL36" i="84" s="1"/>
  <c r="AM36" i="84" s="1"/>
  <c r="AK35" i="84"/>
  <c r="AL35" i="84" s="1"/>
  <c r="AM35" i="84" s="1"/>
  <c r="AN35" i="84" s="1"/>
  <c r="AO35" i="84" s="1"/>
  <c r="AP35" i="84" s="1"/>
  <c r="AK34" i="84"/>
  <c r="AL34" i="84" s="1"/>
  <c r="AK33" i="84"/>
  <c r="AL33" i="84" s="1"/>
  <c r="AK32" i="84"/>
  <c r="AL32" i="84" s="1"/>
  <c r="AK31" i="84"/>
  <c r="AL31" i="84" s="1"/>
  <c r="AK30" i="84"/>
  <c r="AL30" i="84" s="1"/>
  <c r="AK29" i="84"/>
  <c r="AL29" i="84"/>
  <c r="AM29" i="84" s="1"/>
  <c r="AN29" i="84" s="1"/>
  <c r="AO29" i="84" s="1"/>
  <c r="AP29" i="84"/>
  <c r="AQ29" i="84" s="1"/>
  <c r="AR29" i="84" s="1"/>
  <c r="AK28" i="84"/>
  <c r="AL28" i="84" s="1"/>
  <c r="AK27" i="84"/>
  <c r="AL27" i="84" s="1"/>
  <c r="AK26" i="84"/>
  <c r="AL26" i="84" s="1"/>
  <c r="AK25" i="84"/>
  <c r="AL25" i="84" s="1"/>
  <c r="AK21" i="84"/>
  <c r="AL21" i="84" s="1"/>
  <c r="AK20" i="84"/>
  <c r="AL20" i="84" s="1"/>
  <c r="AK19" i="84"/>
  <c r="AL19" i="84" s="1"/>
  <c r="AM19" i="84" s="1"/>
  <c r="AN19" i="84" s="1"/>
  <c r="AO19" i="84" s="1"/>
  <c r="AP19" i="84" s="1"/>
  <c r="AQ19" i="84" s="1"/>
  <c r="AR19" i="84" s="1"/>
  <c r="AK18" i="84"/>
  <c r="AL18" i="84" s="1"/>
  <c r="AK17" i="84"/>
  <c r="AL17" i="84" s="1"/>
  <c r="AK16" i="84"/>
  <c r="AL16" i="84" s="1"/>
  <c r="AM16" i="84" s="1"/>
  <c r="AN16" i="84" s="1"/>
  <c r="AK15" i="84"/>
  <c r="AL15" i="84" s="1"/>
  <c r="AM15" i="84" s="1"/>
  <c r="AN15" i="84" s="1"/>
  <c r="AO15" i="84" s="1"/>
  <c r="AP15" i="84" s="1"/>
  <c r="AK14" i="84"/>
  <c r="AL14" i="84" s="1"/>
  <c r="AK13" i="84"/>
  <c r="AL13" i="84" s="1"/>
  <c r="AM13" i="84" s="1"/>
  <c r="AN13" i="84" s="1"/>
  <c r="AO13" i="84" s="1"/>
  <c r="AK12" i="84"/>
  <c r="AK11" i="84"/>
  <c r="AL11" i="84" s="1"/>
  <c r="AM11" i="84" s="1"/>
  <c r="AK10" i="84"/>
  <c r="AL10" i="84" s="1"/>
  <c r="AM10" i="84" s="1"/>
  <c r="AK9" i="84"/>
  <c r="AL9" i="84" s="1"/>
  <c r="AM9" i="84" s="1"/>
  <c r="AN9" i="84" s="1"/>
  <c r="AK8" i="84"/>
  <c r="AK72" i="49"/>
  <c r="AL72" i="49"/>
  <c r="AM72" i="49" s="1"/>
  <c r="AK71" i="49"/>
  <c r="AL71" i="49" s="1"/>
  <c r="AK70" i="49"/>
  <c r="AL70" i="49" s="1"/>
  <c r="AK69" i="49"/>
  <c r="AL69" i="49" s="1"/>
  <c r="AM69" i="49" s="1"/>
  <c r="AK68" i="49"/>
  <c r="AK67" i="49"/>
  <c r="AL67" i="49" s="1"/>
  <c r="AM67" i="49" s="1"/>
  <c r="AN67" i="49" s="1"/>
  <c r="AO67" i="49" s="1"/>
  <c r="AK66" i="49"/>
  <c r="AL66" i="49" s="1"/>
  <c r="AM66" i="49" s="1"/>
  <c r="AK65" i="49"/>
  <c r="AL65" i="49" s="1"/>
  <c r="AM65" i="49" s="1"/>
  <c r="AN65" i="49" s="1"/>
  <c r="AO65" i="49" s="1"/>
  <c r="AP65" i="49" s="1"/>
  <c r="AK64" i="49"/>
  <c r="AL64" i="49" s="1"/>
  <c r="AM64" i="49" s="1"/>
  <c r="AN64" i="49" s="1"/>
  <c r="AK63" i="49"/>
  <c r="AK62" i="49"/>
  <c r="AL62" i="49" s="1"/>
  <c r="AM62" i="49" s="1"/>
  <c r="AK61" i="49"/>
  <c r="AK60" i="49"/>
  <c r="AL60" i="49" s="1"/>
  <c r="AK59" i="49"/>
  <c r="AL59" i="49" s="1"/>
  <c r="AL68" i="49"/>
  <c r="AL63" i="49"/>
  <c r="AM63" i="49" s="1"/>
  <c r="AN63" i="49" s="1"/>
  <c r="AO63" i="49" s="1"/>
  <c r="AP63" i="49" s="1"/>
  <c r="AK55" i="49"/>
  <c r="AL55" i="49"/>
  <c r="AM55" i="49" s="1"/>
  <c r="AK54" i="49"/>
  <c r="AL54" i="49" s="1"/>
  <c r="AM54" i="49" s="1"/>
  <c r="AN54" i="49" s="1"/>
  <c r="AO54" i="49" s="1"/>
  <c r="AK53" i="49"/>
  <c r="AL53" i="49" s="1"/>
  <c r="AM53" i="49" s="1"/>
  <c r="AK52" i="49"/>
  <c r="AK51" i="49"/>
  <c r="AK50" i="49"/>
  <c r="AL50" i="49" s="1"/>
  <c r="AK49" i="49"/>
  <c r="AL49" i="49" s="1"/>
  <c r="AM49" i="49" s="1"/>
  <c r="AK48" i="49"/>
  <c r="AL48" i="49" s="1"/>
  <c r="AM48" i="49" s="1"/>
  <c r="AN48" i="49" s="1"/>
  <c r="AO48" i="49" s="1"/>
  <c r="AP48" i="49" s="1"/>
  <c r="AQ48" i="49" s="1"/>
  <c r="AR48" i="49" s="1"/>
  <c r="AK47" i="49"/>
  <c r="AK46" i="49"/>
  <c r="AK45" i="49"/>
  <c r="AK44" i="49"/>
  <c r="AL44" i="49" s="1"/>
  <c r="AM44" i="49" s="1"/>
  <c r="AN44" i="49" s="1"/>
  <c r="AK43" i="49"/>
  <c r="AL43" i="49"/>
  <c r="AM43" i="49" s="1"/>
  <c r="AK42" i="49"/>
  <c r="AL42" i="49" s="1"/>
  <c r="AK38" i="49"/>
  <c r="AK37" i="49"/>
  <c r="AL37" i="49" s="1"/>
  <c r="AK36" i="49"/>
  <c r="AK35" i="49"/>
  <c r="AL35" i="49" s="1"/>
  <c r="AK34" i="49"/>
  <c r="AL34" i="49" s="1"/>
  <c r="AM34" i="49" s="1"/>
  <c r="AN34" i="49" s="1"/>
  <c r="AK33" i="49"/>
  <c r="AL33" i="49" s="1"/>
  <c r="AM33" i="49"/>
  <c r="AN33" i="49" s="1"/>
  <c r="AO33" i="49" s="1"/>
  <c r="AP33" i="49" s="1"/>
  <c r="AQ33" i="49" s="1"/>
  <c r="AR33" i="49" s="1"/>
  <c r="AK32" i="49"/>
  <c r="AK31" i="49"/>
  <c r="AL31" i="49" s="1"/>
  <c r="AM31" i="49" s="1"/>
  <c r="AN31" i="49" s="1"/>
  <c r="AK30" i="49"/>
  <c r="AK29" i="49"/>
  <c r="AL29" i="49" s="1"/>
  <c r="AM29" i="49" s="1"/>
  <c r="AK28" i="49"/>
  <c r="AL28" i="49" s="1"/>
  <c r="AM28" i="49" s="1"/>
  <c r="AN28" i="49" s="1"/>
  <c r="AO28" i="49" s="1"/>
  <c r="AK27" i="49"/>
  <c r="AK26" i="49"/>
  <c r="AL26" i="49" s="1"/>
  <c r="AK25" i="49"/>
  <c r="AL25" i="49" s="1"/>
  <c r="AM25" i="49" s="1"/>
  <c r="AN25" i="49" s="1"/>
  <c r="AL36" i="49"/>
  <c r="AM36" i="49" s="1"/>
  <c r="AN36" i="49" s="1"/>
  <c r="AL27" i="49"/>
  <c r="AM27" i="49" s="1"/>
  <c r="AN27" i="49" s="1"/>
  <c r="AO27" i="49" s="1"/>
  <c r="AL30" i="49"/>
  <c r="AK21" i="49"/>
  <c r="AL21" i="49" s="1"/>
  <c r="AM21" i="49" s="1"/>
  <c r="AN21" i="49" s="1"/>
  <c r="AK20" i="49"/>
  <c r="AL20" i="49"/>
  <c r="AM20" i="49" s="1"/>
  <c r="AK19" i="49"/>
  <c r="AK18" i="49"/>
  <c r="AL18" i="49" s="1"/>
  <c r="AM18" i="49" s="1"/>
  <c r="AN18" i="49" s="1"/>
  <c r="AO18" i="49" s="1"/>
  <c r="AP18" i="49" s="1"/>
  <c r="AK17" i="49"/>
  <c r="AK16" i="49"/>
  <c r="AL16" i="49" s="1"/>
  <c r="AM16" i="49" s="1"/>
  <c r="AN16" i="49" s="1"/>
  <c r="AO16" i="49" s="1"/>
  <c r="AP16" i="49" s="1"/>
  <c r="AQ16" i="49" s="1"/>
  <c r="AK15" i="49"/>
  <c r="AK14" i="49"/>
  <c r="AL14" i="49"/>
  <c r="AM14" i="49" s="1"/>
  <c r="AN14" i="49" s="1"/>
  <c r="AK13" i="49"/>
  <c r="AL13" i="49" s="1"/>
  <c r="AK12" i="49"/>
  <c r="AK11" i="49"/>
  <c r="AL11" i="49" s="1"/>
  <c r="AM11" i="49" s="1"/>
  <c r="AN11" i="49" s="1"/>
  <c r="AO11" i="49" s="1"/>
  <c r="AP11" i="49" s="1"/>
  <c r="AK10" i="49"/>
  <c r="AK9" i="49"/>
  <c r="AK8" i="49"/>
  <c r="AL19" i="49"/>
  <c r="AM19" i="49" s="1"/>
  <c r="AN19" i="49" s="1"/>
  <c r="AL8" i="49"/>
  <c r="AM8" i="49" s="1"/>
  <c r="AK72" i="48"/>
  <c r="AL72" i="48" s="1"/>
  <c r="AK71" i="48"/>
  <c r="AL71" i="48"/>
  <c r="AM71" i="48" s="1"/>
  <c r="AN71" i="48" s="1"/>
  <c r="AK70" i="48"/>
  <c r="AL70" i="48" s="1"/>
  <c r="AM70" i="48" s="1"/>
  <c r="AK69" i="48"/>
  <c r="AL69" i="48" s="1"/>
  <c r="AK68" i="48"/>
  <c r="AL68" i="48" s="1"/>
  <c r="AK67" i="48"/>
  <c r="AK66" i="48"/>
  <c r="AK65" i="48"/>
  <c r="AK64" i="48"/>
  <c r="AL64" i="48"/>
  <c r="AM64" i="48" s="1"/>
  <c r="AK63" i="48"/>
  <c r="AL63" i="48" s="1"/>
  <c r="AK62" i="48"/>
  <c r="AL62" i="48" s="1"/>
  <c r="AK61" i="48"/>
  <c r="AL61" i="48" s="1"/>
  <c r="AK60" i="48"/>
  <c r="AK59" i="48"/>
  <c r="AL59" i="48" s="1"/>
  <c r="AN29" i="49"/>
  <c r="AK55" i="48"/>
  <c r="AK54" i="48"/>
  <c r="AL54" i="48" s="1"/>
  <c r="AM54" i="48" s="1"/>
  <c r="AN54" i="48" s="1"/>
  <c r="AO54" i="48" s="1"/>
  <c r="AK53" i="48"/>
  <c r="AL53" i="48"/>
  <c r="AM53" i="48" s="1"/>
  <c r="AK52" i="48"/>
  <c r="AL52" i="48" s="1"/>
  <c r="AM52" i="48" s="1"/>
  <c r="AN52" i="48" s="1"/>
  <c r="AO52" i="48" s="1"/>
  <c r="AP52" i="48" s="1"/>
  <c r="AQ52" i="48" s="1"/>
  <c r="AR52" i="48" s="1"/>
  <c r="AK51" i="48"/>
  <c r="AK50" i="48"/>
  <c r="AL50" i="48" s="1"/>
  <c r="AK49" i="48"/>
  <c r="AK48" i="48"/>
  <c r="AL48" i="48" s="1"/>
  <c r="AM48" i="48" s="1"/>
  <c r="AN48" i="48" s="1"/>
  <c r="AO48" i="48" s="1"/>
  <c r="AP48" i="48" s="1"/>
  <c r="AK47" i="48"/>
  <c r="AK46" i="48"/>
  <c r="AL46" i="48" s="1"/>
  <c r="AK45" i="48"/>
  <c r="AK44" i="48"/>
  <c r="AL44" i="48" s="1"/>
  <c r="AK43" i="48"/>
  <c r="AL43" i="48" s="1"/>
  <c r="AK42" i="48"/>
  <c r="AL42" i="48" s="1"/>
  <c r="AL49" i="48"/>
  <c r="AL55" i="48"/>
  <c r="AM55" i="48" s="1"/>
  <c r="AN55" i="48" s="1"/>
  <c r="AK38" i="48"/>
  <c r="AL38" i="48" s="1"/>
  <c r="AK37" i="48"/>
  <c r="AL37" i="48"/>
  <c r="AK36" i="48"/>
  <c r="AL36" i="48"/>
  <c r="AK35" i="48"/>
  <c r="AL35" i="48" s="1"/>
  <c r="AK34" i="48"/>
  <c r="AL34" i="48" s="1"/>
  <c r="AK33" i="48"/>
  <c r="AL33" i="48" s="1"/>
  <c r="AM33" i="48" s="1"/>
  <c r="AK32" i="48"/>
  <c r="AL32" i="48" s="1"/>
  <c r="AM32" i="48" s="1"/>
  <c r="AK31" i="48"/>
  <c r="AK30" i="48"/>
  <c r="AL30" i="48" s="1"/>
  <c r="AK29" i="48"/>
  <c r="AL29" i="48" s="1"/>
  <c r="AM29" i="48" s="1"/>
  <c r="AN29" i="48" s="1"/>
  <c r="AO29" i="48" s="1"/>
  <c r="AP29" i="48" s="1"/>
  <c r="AQ29" i="48" s="1"/>
  <c r="AR29" i="48" s="1"/>
  <c r="AK28" i="48"/>
  <c r="AL28" i="48" s="1"/>
  <c r="AK27" i="48"/>
  <c r="AL27" i="48" s="1"/>
  <c r="AK26" i="48"/>
  <c r="AL26" i="48" s="1"/>
  <c r="AM26" i="48" s="1"/>
  <c r="AK25" i="48"/>
  <c r="AL25" i="48" s="1"/>
  <c r="AK21" i="48"/>
  <c r="AK20" i="48"/>
  <c r="AL20" i="48" s="1"/>
  <c r="AM20" i="48" s="1"/>
  <c r="AK19" i="48"/>
  <c r="AK18" i="48"/>
  <c r="AK17" i="48"/>
  <c r="AL17" i="48" s="1"/>
  <c r="AK16" i="48"/>
  <c r="AL16" i="48" s="1"/>
  <c r="AM16" i="48" s="1"/>
  <c r="AN16" i="48" s="1"/>
  <c r="AO16" i="48" s="1"/>
  <c r="AK15" i="48"/>
  <c r="AL15" i="48" s="1"/>
  <c r="AK14" i="48"/>
  <c r="AL14" i="48" s="1"/>
  <c r="AK13" i="48"/>
  <c r="AL13" i="48" s="1"/>
  <c r="AK12" i="48"/>
  <c r="AL12" i="48" s="1"/>
  <c r="AK11" i="48"/>
  <c r="AL11" i="48" s="1"/>
  <c r="AK10" i="48"/>
  <c r="AL10" i="48" s="1"/>
  <c r="AM10" i="48" s="1"/>
  <c r="AN10" i="48" s="1"/>
  <c r="AO10" i="48" s="1"/>
  <c r="AP10" i="48" s="1"/>
  <c r="AQ10" i="48" s="1"/>
  <c r="AR10" i="48" s="1"/>
  <c r="AK9" i="48"/>
  <c r="AL9" i="48" s="1"/>
  <c r="AM9" i="48" s="1"/>
  <c r="AK8" i="48"/>
  <c r="AL8" i="48" s="1"/>
  <c r="AL19" i="48"/>
  <c r="AM19" i="48" s="1"/>
  <c r="AN19" i="48" s="1"/>
  <c r="AJ134" i="67"/>
  <c r="AK134" i="67"/>
  <c r="AL134" i="67" s="1"/>
  <c r="AM134" i="67" s="1"/>
  <c r="AJ133" i="67"/>
  <c r="AK133" i="67"/>
  <c r="AJ132" i="67"/>
  <c r="AK132" i="67"/>
  <c r="AL132" i="67" s="1"/>
  <c r="AM132" i="67" s="1"/>
  <c r="AN132" i="67" s="1"/>
  <c r="AJ131" i="67"/>
  <c r="AK131" i="67" s="1"/>
  <c r="AJ130" i="67"/>
  <c r="AK130" i="67" s="1"/>
  <c r="AJ129" i="67"/>
  <c r="AK129" i="67" s="1"/>
  <c r="AL129" i="67" s="1"/>
  <c r="AM129" i="67" s="1"/>
  <c r="AJ128" i="67"/>
  <c r="AK128" i="67" s="1"/>
  <c r="AL128" i="67" s="1"/>
  <c r="AM128" i="67" s="1"/>
  <c r="AN128" i="67" s="1"/>
  <c r="AO128" i="67" s="1"/>
  <c r="AP128" i="67" s="1"/>
  <c r="AJ127" i="67"/>
  <c r="AJ126" i="67"/>
  <c r="AK126" i="67" s="1"/>
  <c r="AL126" i="67"/>
  <c r="AJ125" i="67"/>
  <c r="AK125" i="67" s="1"/>
  <c r="AJ124" i="67"/>
  <c r="AK124" i="67"/>
  <c r="AJ123" i="67"/>
  <c r="AK123" i="67" s="1"/>
  <c r="AJ122" i="67"/>
  <c r="AJ121" i="67"/>
  <c r="AK121" i="67" s="1"/>
  <c r="AL121" i="67" s="1"/>
  <c r="AJ120" i="67"/>
  <c r="AJ119" i="67"/>
  <c r="AK119" i="67" s="1"/>
  <c r="AJ118" i="67"/>
  <c r="AK118" i="67" s="1"/>
  <c r="AL118" i="67" s="1"/>
  <c r="AJ117" i="67"/>
  <c r="AK122" i="67"/>
  <c r="AJ113" i="67"/>
  <c r="AJ112" i="67"/>
  <c r="AK112" i="67" s="1"/>
  <c r="AL112" i="67" s="1"/>
  <c r="AM112" i="67" s="1"/>
  <c r="AJ111" i="67"/>
  <c r="AJ110" i="67"/>
  <c r="AK110" i="67" s="1"/>
  <c r="AL110" i="67" s="1"/>
  <c r="AJ109" i="67"/>
  <c r="AK109" i="67" s="1"/>
  <c r="AL109" i="67" s="1"/>
  <c r="AM109" i="67" s="1"/>
  <c r="AJ108" i="67"/>
  <c r="AJ107" i="67"/>
  <c r="AJ106" i="67"/>
  <c r="AK106" i="67"/>
  <c r="AL106" i="67" s="1"/>
  <c r="AJ105" i="67"/>
  <c r="AJ104" i="67"/>
  <c r="AK104" i="67" s="1"/>
  <c r="AJ103" i="67"/>
  <c r="AK103" i="67" s="1"/>
  <c r="AJ102" i="67"/>
  <c r="AK102" i="67" s="1"/>
  <c r="AL102" i="67" s="1"/>
  <c r="AM102" i="67" s="1"/>
  <c r="AJ101" i="67"/>
  <c r="AJ100" i="67"/>
  <c r="AJ99" i="67"/>
  <c r="AK99" i="67" s="1"/>
  <c r="AJ98" i="67"/>
  <c r="AK98" i="67" s="1"/>
  <c r="AJ97" i="67"/>
  <c r="AK97" i="67" s="1"/>
  <c r="AL97" i="67" s="1"/>
  <c r="AM97" i="67" s="1"/>
  <c r="AN97" i="67" s="1"/>
  <c r="AJ96" i="67"/>
  <c r="AK96" i="67" s="1"/>
  <c r="AK105" i="67"/>
  <c r="AL105" i="67" s="1"/>
  <c r="AM121" i="67"/>
  <c r="AN121" i="67" s="1"/>
  <c r="AO121" i="67" s="1"/>
  <c r="AP121" i="67" s="1"/>
  <c r="AK108" i="67"/>
  <c r="AL108" i="67" s="1"/>
  <c r="AJ92" i="67"/>
  <c r="AJ91" i="67"/>
  <c r="AJ90" i="67"/>
  <c r="AK90" i="67" s="1"/>
  <c r="AL90" i="67" s="1"/>
  <c r="AJ89" i="67"/>
  <c r="AK89" i="67" s="1"/>
  <c r="AL89" i="67" s="1"/>
  <c r="AJ88" i="67"/>
  <c r="AK88" i="67" s="1"/>
  <c r="AJ87" i="67"/>
  <c r="AJ86" i="67"/>
  <c r="AJ85" i="67"/>
  <c r="AK85" i="67" s="1"/>
  <c r="AL85" i="67" s="1"/>
  <c r="AJ84" i="67"/>
  <c r="AK84" i="67"/>
  <c r="AL84" i="67" s="1"/>
  <c r="AM84" i="67" s="1"/>
  <c r="AN84" i="67" s="1"/>
  <c r="AO84" i="67" s="1"/>
  <c r="AP84" i="67" s="1"/>
  <c r="AJ83" i="67"/>
  <c r="AK83" i="67" s="1"/>
  <c r="AJ82" i="67"/>
  <c r="AK82" i="67" s="1"/>
  <c r="AL82" i="67" s="1"/>
  <c r="AJ81" i="67"/>
  <c r="AJ80" i="67"/>
  <c r="AK80" i="67" s="1"/>
  <c r="AJ79" i="67"/>
  <c r="AK79" i="67" s="1"/>
  <c r="AL79" i="67" s="1"/>
  <c r="AM79" i="67" s="1"/>
  <c r="AJ78" i="67"/>
  <c r="AK78" i="67" s="1"/>
  <c r="AL78" i="67" s="1"/>
  <c r="AM78" i="67" s="1"/>
  <c r="AN78" i="67" s="1"/>
  <c r="AO78" i="67" s="1"/>
  <c r="AJ77" i="67"/>
  <c r="AJ76" i="67"/>
  <c r="AK76" i="67" s="1"/>
  <c r="AJ75" i="67"/>
  <c r="AK81" i="67"/>
  <c r="AL81" i="67" s="1"/>
  <c r="AK75" i="67"/>
  <c r="AL75" i="67" s="1"/>
  <c r="AM75" i="67" s="1"/>
  <c r="AK77" i="67"/>
  <c r="AJ71" i="67"/>
  <c r="AJ70" i="67"/>
  <c r="AK70" i="67" s="1"/>
  <c r="AJ69" i="67"/>
  <c r="AK69" i="67" s="1"/>
  <c r="AJ68" i="67"/>
  <c r="AK68" i="67" s="1"/>
  <c r="AL68" i="67" s="1"/>
  <c r="AJ67" i="67"/>
  <c r="AJ66" i="67"/>
  <c r="AJ65" i="67"/>
  <c r="AJ64" i="67"/>
  <c r="AJ63" i="67"/>
  <c r="AK63" i="67" s="1"/>
  <c r="AJ62" i="67"/>
  <c r="AK62" i="67" s="1"/>
  <c r="AL62" i="67" s="1"/>
  <c r="AM62" i="67" s="1"/>
  <c r="AN62" i="67" s="1"/>
  <c r="AJ61" i="67"/>
  <c r="AJ60" i="67"/>
  <c r="AK60" i="67" s="1"/>
  <c r="AJ59" i="67"/>
  <c r="AK59" i="67" s="1"/>
  <c r="AJ58" i="67"/>
  <c r="AK58" i="67" s="1"/>
  <c r="AL58" i="67" s="1"/>
  <c r="AM58" i="67" s="1"/>
  <c r="AN58" i="67" s="1"/>
  <c r="AJ57" i="67"/>
  <c r="AJ56" i="67"/>
  <c r="AK56" i="67" s="1"/>
  <c r="AJ55" i="67"/>
  <c r="AK55" i="67" s="1"/>
  <c r="AJ54" i="67"/>
  <c r="AK54" i="67" s="1"/>
  <c r="AK66" i="67"/>
  <c r="AK67" i="67"/>
  <c r="AL77" i="67"/>
  <c r="AM77" i="67" s="1"/>
  <c r="AK61" i="67"/>
  <c r="AL61" i="67" s="1"/>
  <c r="AK57" i="67"/>
  <c r="AK65" i="67"/>
  <c r="AJ50" i="67"/>
  <c r="AK50" i="67" s="1"/>
  <c r="AJ49" i="67"/>
  <c r="AK49" i="67" s="1"/>
  <c r="AJ48" i="67"/>
  <c r="AJ47" i="67"/>
  <c r="AJ46" i="67"/>
  <c r="AK46" i="67"/>
  <c r="AJ45" i="67"/>
  <c r="AJ44" i="67"/>
  <c r="AK44" i="67" s="1"/>
  <c r="AL44" i="67" s="1"/>
  <c r="AJ43" i="67"/>
  <c r="AK43" i="67" s="1"/>
  <c r="AJ42" i="67"/>
  <c r="AJ41" i="67"/>
  <c r="AJ40" i="67"/>
  <c r="AJ39" i="67"/>
  <c r="AK39" i="67" s="1"/>
  <c r="AL39" i="67" s="1"/>
  <c r="AM39" i="67" s="1"/>
  <c r="AJ38" i="67"/>
  <c r="AK38" i="67" s="1"/>
  <c r="AJ37" i="67"/>
  <c r="AK37" i="67" s="1"/>
  <c r="AJ36" i="67"/>
  <c r="AJ35" i="67"/>
  <c r="AK35" i="67" s="1"/>
  <c r="AL35" i="67" s="1"/>
  <c r="AM35" i="67" s="1"/>
  <c r="AJ34" i="67"/>
  <c r="AK34" i="67" s="1"/>
  <c r="AJ33" i="67"/>
  <c r="AL65" i="67"/>
  <c r="AK40" i="67"/>
  <c r="AL40" i="67" s="1"/>
  <c r="AM40" i="67" s="1"/>
  <c r="AN40" i="67" s="1"/>
  <c r="AL57" i="67"/>
  <c r="AM57" i="67" s="1"/>
  <c r="AN57" i="67" s="1"/>
  <c r="AK33" i="67"/>
  <c r="AK48" i="67"/>
  <c r="AL48" i="67" s="1"/>
  <c r="AJ29" i="67"/>
  <c r="AK29" i="67" s="1"/>
  <c r="AL29" i="67" s="1"/>
  <c r="AM29" i="67" s="1"/>
  <c r="AN29" i="67" s="1"/>
  <c r="AO29" i="67" s="1"/>
  <c r="AP29" i="67" s="1"/>
  <c r="AJ28" i="67"/>
  <c r="AJ27" i="67"/>
  <c r="AK27" i="67" s="1"/>
  <c r="AL27" i="67" s="1"/>
  <c r="AM27" i="67" s="1"/>
  <c r="AN27" i="67" s="1"/>
  <c r="AJ26" i="67"/>
  <c r="AJ25" i="67"/>
  <c r="AK25" i="67" s="1"/>
  <c r="AL25" i="67" s="1"/>
  <c r="AM25" i="67" s="1"/>
  <c r="AN25" i="67" s="1"/>
  <c r="AO25" i="67" s="1"/>
  <c r="AJ24" i="67"/>
  <c r="AJ23" i="67"/>
  <c r="AJ22" i="67"/>
  <c r="AK22" i="67" s="1"/>
  <c r="AJ21" i="67"/>
  <c r="AJ20" i="67"/>
  <c r="AK20" i="67" s="1"/>
  <c r="AL20" i="67" s="1"/>
  <c r="AM20" i="67" s="1"/>
  <c r="AN20" i="67" s="1"/>
  <c r="AO20" i="67" s="1"/>
  <c r="AP20" i="67" s="1"/>
  <c r="AJ19" i="67"/>
  <c r="AJ18" i="67"/>
  <c r="AK18" i="67" s="1"/>
  <c r="AL18" i="67" s="1"/>
  <c r="AM18" i="67" s="1"/>
  <c r="AN18" i="67" s="1"/>
  <c r="AJ17" i="67"/>
  <c r="AK17" i="67" s="1"/>
  <c r="AL17" i="67" s="1"/>
  <c r="AM17" i="67" s="1"/>
  <c r="AN17" i="67" s="1"/>
  <c r="AO17" i="67" s="1"/>
  <c r="AJ16" i="67"/>
  <c r="AK16" i="67" s="1"/>
  <c r="AJ15" i="67"/>
  <c r="AK15" i="67" s="1"/>
  <c r="AJ14" i="67"/>
  <c r="AK14" i="67" s="1"/>
  <c r="AL14" i="67" s="1"/>
  <c r="AJ13" i="67"/>
  <c r="AJ12" i="67"/>
  <c r="AK12" i="67" s="1"/>
  <c r="AL12" i="67" s="1"/>
  <c r="AK24" i="67"/>
  <c r="AL24" i="67" s="1"/>
  <c r="AK19" i="67"/>
  <c r="AL19" i="67" s="1"/>
  <c r="AM19" i="67" s="1"/>
  <c r="AN19" i="67" s="1"/>
  <c r="AO19" i="67" s="1"/>
  <c r="AP19" i="67" s="1"/>
  <c r="AK13" i="67"/>
  <c r="AL13" i="67" s="1"/>
  <c r="AK28" i="67"/>
  <c r="AL28" i="67"/>
  <c r="AM28" i="67" s="1"/>
  <c r="AJ135" i="27"/>
  <c r="AJ134" i="27"/>
  <c r="AJ133" i="27"/>
  <c r="AK133" i="27" s="1"/>
  <c r="AJ132" i="27"/>
  <c r="AK132" i="27" s="1"/>
  <c r="AL132" i="27" s="1"/>
  <c r="AM132" i="27" s="1"/>
  <c r="AJ131" i="27"/>
  <c r="AK131" i="27" s="1"/>
  <c r="AJ130" i="27"/>
  <c r="AK130" i="27" s="1"/>
  <c r="AL130" i="27" s="1"/>
  <c r="AM130" i="27" s="1"/>
  <c r="AN130" i="27" s="1"/>
  <c r="AJ129" i="27"/>
  <c r="AJ128" i="27"/>
  <c r="AJ127" i="27"/>
  <c r="AJ126" i="27"/>
  <c r="AK126" i="27" s="1"/>
  <c r="AJ125" i="27"/>
  <c r="AJ124" i="27"/>
  <c r="AK124" i="27" s="1"/>
  <c r="AL124" i="27" s="1"/>
  <c r="AM124" i="27" s="1"/>
  <c r="AN124" i="27" s="1"/>
  <c r="AJ123" i="27"/>
  <c r="AJ122" i="27"/>
  <c r="AJ121" i="27"/>
  <c r="AK121" i="27"/>
  <c r="AL121" i="27" s="1"/>
  <c r="AM121" i="27" s="1"/>
  <c r="AN121" i="27" s="1"/>
  <c r="AJ120" i="27"/>
  <c r="AK120" i="27"/>
  <c r="AL120" i="27" s="1"/>
  <c r="AM120" i="27" s="1"/>
  <c r="AJ119" i="27"/>
  <c r="AJ118" i="27"/>
  <c r="AK118" i="27" s="1"/>
  <c r="AL118" i="27" s="1"/>
  <c r="AM118" i="27" s="1"/>
  <c r="AK128" i="27"/>
  <c r="AK119" i="27"/>
  <c r="AK129" i="27"/>
  <c r="AL129" i="27" s="1"/>
  <c r="AK134" i="27"/>
  <c r="AL134" i="27" s="1"/>
  <c r="AM134" i="27" s="1"/>
  <c r="AN134" i="27" s="1"/>
  <c r="AO134" i="27" s="1"/>
  <c r="AP134" i="27" s="1"/>
  <c r="AJ114" i="27"/>
  <c r="AJ113" i="27"/>
  <c r="AK113" i="27" s="1"/>
  <c r="AJ112" i="27"/>
  <c r="AK112" i="27"/>
  <c r="AL112" i="27" s="1"/>
  <c r="AJ111" i="27"/>
  <c r="AK111" i="27" s="1"/>
  <c r="AJ110" i="27"/>
  <c r="AJ109" i="27"/>
  <c r="AK109" i="27"/>
  <c r="AL109" i="27" s="1"/>
  <c r="AM109" i="27" s="1"/>
  <c r="AJ108" i="27"/>
  <c r="AK108" i="27" s="1"/>
  <c r="AL108" i="27" s="1"/>
  <c r="AJ107" i="27"/>
  <c r="AK107" i="27" s="1"/>
  <c r="AJ106" i="27"/>
  <c r="AK106" i="27" s="1"/>
  <c r="AL106" i="27" s="1"/>
  <c r="AM106" i="27" s="1"/>
  <c r="AN106" i="27" s="1"/>
  <c r="AJ105" i="27"/>
  <c r="AJ104" i="27"/>
  <c r="AK104" i="27" s="1"/>
  <c r="AL104" i="27" s="1"/>
  <c r="AM104" i="27" s="1"/>
  <c r="AJ103" i="27"/>
  <c r="AJ102" i="27"/>
  <c r="AK102" i="27" s="1"/>
  <c r="AJ101" i="27"/>
  <c r="AK101" i="27" s="1"/>
  <c r="AL101" i="27" s="1"/>
  <c r="AJ100" i="27"/>
  <c r="AJ99" i="27"/>
  <c r="AK99" i="27" s="1"/>
  <c r="AJ98" i="27"/>
  <c r="AK98" i="27" s="1"/>
  <c r="AL98" i="27" s="1"/>
  <c r="AJ97" i="27"/>
  <c r="AO57" i="67"/>
  <c r="AP57" i="67" s="1"/>
  <c r="AK105" i="27"/>
  <c r="AK110" i="27"/>
  <c r="AL119" i="27"/>
  <c r="AM119" i="27"/>
  <c r="AK100" i="27"/>
  <c r="AK97" i="27"/>
  <c r="AK114" i="27"/>
  <c r="AJ93" i="27"/>
  <c r="AK93" i="27" s="1"/>
  <c r="AJ92" i="27"/>
  <c r="AJ91" i="27"/>
  <c r="AK91" i="27" s="1"/>
  <c r="AJ90" i="27"/>
  <c r="AK90" i="27" s="1"/>
  <c r="AJ89" i="27"/>
  <c r="AK89" i="27" s="1"/>
  <c r="AL89" i="27" s="1"/>
  <c r="AM89" i="27" s="1"/>
  <c r="AJ88" i="27"/>
  <c r="AJ87" i="27"/>
  <c r="AJ86" i="27"/>
  <c r="AJ85" i="27"/>
  <c r="AK85" i="27" s="1"/>
  <c r="AJ84" i="27"/>
  <c r="AK84" i="27" s="1"/>
  <c r="AL84" i="27" s="1"/>
  <c r="AM84" i="27" s="1"/>
  <c r="AJ83" i="27"/>
  <c r="AK83" i="27" s="1"/>
  <c r="AJ82" i="27"/>
  <c r="AJ81" i="27"/>
  <c r="AJ80" i="27"/>
  <c r="AJ79" i="27"/>
  <c r="AK79" i="27" s="1"/>
  <c r="AJ78" i="27"/>
  <c r="AK78" i="27" s="1"/>
  <c r="AJ77" i="27"/>
  <c r="AK77" i="27"/>
  <c r="AJ76" i="27"/>
  <c r="AO27" i="67"/>
  <c r="AP27" i="67" s="1"/>
  <c r="AK92" i="27"/>
  <c r="AL92" i="27" s="1"/>
  <c r="AM92" i="27" s="1"/>
  <c r="AL110" i="27"/>
  <c r="AM110" i="27" s="1"/>
  <c r="AN110" i="27" s="1"/>
  <c r="AL100" i="27"/>
  <c r="AK87" i="27"/>
  <c r="AL87" i="27" s="1"/>
  <c r="AK88" i="27"/>
  <c r="AL88" i="27" s="1"/>
  <c r="AM88" i="27" s="1"/>
  <c r="AK86" i="27"/>
  <c r="AK81" i="27"/>
  <c r="AJ72" i="27"/>
  <c r="AK72" i="27" s="1"/>
  <c r="AJ71" i="27"/>
  <c r="AK71" i="27"/>
  <c r="AJ70" i="27"/>
  <c r="AJ69" i="27"/>
  <c r="AK69" i="27" s="1"/>
  <c r="AJ68" i="27"/>
  <c r="AJ67" i="27"/>
  <c r="AK67" i="27"/>
  <c r="AL67" i="27" s="1"/>
  <c r="AJ66" i="27"/>
  <c r="AJ65" i="27"/>
  <c r="AK65" i="27" s="1"/>
  <c r="AJ64" i="27"/>
  <c r="AK64" i="27" s="1"/>
  <c r="AJ63" i="27"/>
  <c r="AK63" i="27" s="1"/>
  <c r="AJ62" i="27"/>
  <c r="AK62" i="27" s="1"/>
  <c r="AJ61" i="27"/>
  <c r="AJ60" i="27"/>
  <c r="AK60" i="27" s="1"/>
  <c r="AJ59" i="27"/>
  <c r="AJ58" i="27"/>
  <c r="AK58" i="27" s="1"/>
  <c r="AL58" i="27" s="1"/>
  <c r="AM58" i="27" s="1"/>
  <c r="AN58" i="27" s="1"/>
  <c r="AO58" i="27" s="1"/>
  <c r="AP58" i="27" s="1"/>
  <c r="AJ57" i="27"/>
  <c r="AK57" i="27" s="1"/>
  <c r="AJ56" i="27"/>
  <c r="AK56" i="27" s="1"/>
  <c r="AJ55" i="27"/>
  <c r="AK66" i="27"/>
  <c r="AL86" i="27"/>
  <c r="AM86" i="27" s="1"/>
  <c r="AK61" i="27"/>
  <c r="AL61" i="27" s="1"/>
  <c r="AM61" i="27" s="1"/>
  <c r="AJ51" i="27"/>
  <c r="AJ50" i="27"/>
  <c r="AK50" i="27" s="1"/>
  <c r="AL50" i="27" s="1"/>
  <c r="AJ49" i="27"/>
  <c r="AK49" i="27"/>
  <c r="AJ48" i="27"/>
  <c r="AK48" i="27" s="1"/>
  <c r="AJ47" i="27"/>
  <c r="AJ46" i="27"/>
  <c r="AJ45" i="27"/>
  <c r="AK45" i="27" s="1"/>
  <c r="AL45" i="27" s="1"/>
  <c r="AM45" i="27" s="1"/>
  <c r="AN45" i="27" s="1"/>
  <c r="AO45" i="27" s="1"/>
  <c r="AP45" i="27" s="1"/>
  <c r="AJ44" i="27"/>
  <c r="AJ43" i="27"/>
  <c r="AJ42" i="27"/>
  <c r="AJ41" i="27"/>
  <c r="AK41" i="27"/>
  <c r="AL41" i="27" s="1"/>
  <c r="AM41" i="27" s="1"/>
  <c r="AJ40" i="27"/>
  <c r="AK40" i="27"/>
  <c r="AL40" i="27" s="1"/>
  <c r="AM40" i="27" s="1"/>
  <c r="AN40" i="27" s="1"/>
  <c r="AJ39" i="27"/>
  <c r="AK39" i="27" s="1"/>
  <c r="AL39" i="27" s="1"/>
  <c r="AJ38" i="27"/>
  <c r="AK38" i="27"/>
  <c r="AL38" i="27" s="1"/>
  <c r="AJ37" i="27"/>
  <c r="AK37" i="27" s="1"/>
  <c r="AJ36" i="27"/>
  <c r="AK36" i="27" s="1"/>
  <c r="AL36" i="27" s="1"/>
  <c r="AM36" i="27" s="1"/>
  <c r="AJ35" i="27"/>
  <c r="AK35" i="27" s="1"/>
  <c r="AJ34" i="27"/>
  <c r="AK34" i="27"/>
  <c r="AL35" i="27"/>
  <c r="AM35" i="27" s="1"/>
  <c r="AN35" i="27" s="1"/>
  <c r="AO35" i="27" s="1"/>
  <c r="AP35" i="27" s="1"/>
  <c r="AK47" i="27"/>
  <c r="AL47" i="27" s="1"/>
  <c r="AK46" i="27"/>
  <c r="AJ30" i="27"/>
  <c r="AJ29" i="27"/>
  <c r="AK29" i="27" s="1"/>
  <c r="AL29" i="27" s="1"/>
  <c r="AM29" i="27" s="1"/>
  <c r="AN29" i="27" s="1"/>
  <c r="AO29" i="27" s="1"/>
  <c r="AP29" i="27" s="1"/>
  <c r="AJ28" i="27"/>
  <c r="AK28" i="27" s="1"/>
  <c r="AJ27" i="27"/>
  <c r="AK27" i="27" s="1"/>
  <c r="AL27" i="27" s="1"/>
  <c r="AJ26" i="27"/>
  <c r="AK26" i="27" s="1"/>
  <c r="AL26" i="27" s="1"/>
  <c r="AJ25" i="27"/>
  <c r="AJ24" i="27"/>
  <c r="AK24" i="27" s="1"/>
  <c r="AJ23" i="27"/>
  <c r="AK23" i="27" s="1"/>
  <c r="AJ22" i="27"/>
  <c r="AJ21" i="27"/>
  <c r="AK21" i="27" s="1"/>
  <c r="AL21" i="27" s="1"/>
  <c r="AM21" i="27" s="1"/>
  <c r="AN21" i="27" s="1"/>
  <c r="AO21" i="27" s="1"/>
  <c r="AP21" i="27" s="1"/>
  <c r="AJ20" i="27"/>
  <c r="AJ19" i="27"/>
  <c r="AK19" i="27"/>
  <c r="AL19" i="27" s="1"/>
  <c r="AM19" i="27" s="1"/>
  <c r="AN19" i="27" s="1"/>
  <c r="AO19" i="27" s="1"/>
  <c r="AP19" i="27" s="1"/>
  <c r="AJ18" i="27"/>
  <c r="AJ17" i="27"/>
  <c r="AK17" i="27" s="1"/>
  <c r="AJ16" i="27"/>
  <c r="AK16" i="27" s="1"/>
  <c r="AJ15" i="27"/>
  <c r="AK15" i="27"/>
  <c r="AJ14" i="27"/>
  <c r="AJ13" i="27"/>
  <c r="AK13" i="27" s="1"/>
  <c r="AL13" i="27" s="1"/>
  <c r="AN36" i="27"/>
  <c r="AO36" i="27" s="1"/>
  <c r="AP36" i="27" s="1"/>
  <c r="AM27" i="27"/>
  <c r="AN27" i="27" s="1"/>
  <c r="AK14" i="27"/>
  <c r="AK22" i="27"/>
  <c r="AL22" i="27" s="1"/>
  <c r="AM22" i="27" s="1"/>
  <c r="AN22" i="27" s="1"/>
  <c r="AO22" i="27" s="1"/>
  <c r="AP22" i="27" s="1"/>
  <c r="AJ129" i="66"/>
  <c r="AJ128" i="66"/>
  <c r="AJ127" i="66"/>
  <c r="AJ126" i="66"/>
  <c r="AK126" i="66" s="1"/>
  <c r="AL126" i="66" s="1"/>
  <c r="AJ125" i="66"/>
  <c r="AJ124" i="66"/>
  <c r="AJ123" i="66"/>
  <c r="AK123" i="66" s="1"/>
  <c r="AJ122" i="66"/>
  <c r="AJ121" i="66"/>
  <c r="AJ120" i="66"/>
  <c r="AK120" i="66" s="1"/>
  <c r="AL120" i="66" s="1"/>
  <c r="AM120" i="66" s="1"/>
  <c r="AJ119" i="66"/>
  <c r="AJ118" i="66"/>
  <c r="AJ117" i="66"/>
  <c r="AJ116" i="66"/>
  <c r="AJ115" i="66"/>
  <c r="AJ114" i="66"/>
  <c r="AK114" i="66" s="1"/>
  <c r="AL114" i="66" s="1"/>
  <c r="AM114" i="66" s="1"/>
  <c r="AJ113" i="66"/>
  <c r="AJ112" i="66"/>
  <c r="AL14" i="27"/>
  <c r="AM14" i="27" s="1"/>
  <c r="AJ108" i="66"/>
  <c r="AK108" i="66" s="1"/>
  <c r="AL108" i="66" s="1"/>
  <c r="AJ107" i="66"/>
  <c r="AK107" i="66"/>
  <c r="AL107" i="66" s="1"/>
  <c r="AJ106" i="66"/>
  <c r="AK106" i="66" s="1"/>
  <c r="AJ105" i="66"/>
  <c r="AK105" i="66" s="1"/>
  <c r="AL105" i="66" s="1"/>
  <c r="AJ104" i="66"/>
  <c r="AJ103" i="66"/>
  <c r="AJ102" i="66"/>
  <c r="AK102" i="66" s="1"/>
  <c r="AJ101" i="66"/>
  <c r="AK101" i="66"/>
  <c r="AL101" i="66"/>
  <c r="AM101" i="66"/>
  <c r="AJ100" i="66"/>
  <c r="AJ99" i="66"/>
  <c r="AJ98" i="66"/>
  <c r="AK98" i="66" s="1"/>
  <c r="AJ97" i="66"/>
  <c r="AK97" i="66" s="1"/>
  <c r="AJ96" i="66"/>
  <c r="AJ95" i="66"/>
  <c r="AK95" i="66" s="1"/>
  <c r="AJ94" i="66"/>
  <c r="AK94" i="66" s="1"/>
  <c r="AJ93" i="66"/>
  <c r="AK93" i="66" s="1"/>
  <c r="AJ92" i="66"/>
  <c r="AK92" i="66" s="1"/>
  <c r="AJ91" i="66"/>
  <c r="AK91" i="66" s="1"/>
  <c r="AJ87" i="66"/>
  <c r="AK87" i="66" s="1"/>
  <c r="AJ86" i="66"/>
  <c r="AJ85" i="66"/>
  <c r="AK85" i="66" s="1"/>
  <c r="AJ84" i="66"/>
  <c r="AK84" i="66" s="1"/>
  <c r="AL84" i="66" s="1"/>
  <c r="AJ83" i="66"/>
  <c r="AK83" i="66" s="1"/>
  <c r="AJ82" i="66"/>
  <c r="AK82" i="66" s="1"/>
  <c r="AJ81" i="66"/>
  <c r="AK81" i="66" s="1"/>
  <c r="AL81" i="66" s="1"/>
  <c r="AJ80" i="66"/>
  <c r="AK80" i="66"/>
  <c r="AL80" i="66" s="1"/>
  <c r="AJ79" i="66"/>
  <c r="AJ78" i="66"/>
  <c r="AK78" i="66" s="1"/>
  <c r="AJ77" i="66"/>
  <c r="AK77" i="66" s="1"/>
  <c r="AL77" i="66" s="1"/>
  <c r="AM77" i="66" s="1"/>
  <c r="AJ76" i="66"/>
  <c r="AK76" i="66" s="1"/>
  <c r="AJ75" i="66"/>
  <c r="AK75" i="66" s="1"/>
  <c r="AJ74" i="66"/>
  <c r="AJ73" i="66"/>
  <c r="AJ72" i="66"/>
  <c r="AK72" i="66" s="1"/>
  <c r="AJ71" i="66"/>
  <c r="AK71" i="66" s="1"/>
  <c r="AL71" i="66" s="1"/>
  <c r="AM71" i="66" s="1"/>
  <c r="AJ70" i="66"/>
  <c r="AJ66" i="66"/>
  <c r="AK66" i="66"/>
  <c r="AL66" i="66" s="1"/>
  <c r="AJ65" i="66"/>
  <c r="AK65" i="66" s="1"/>
  <c r="AL65" i="66"/>
  <c r="AJ64" i="66"/>
  <c r="AK64" i="66" s="1"/>
  <c r="AL64" i="66" s="1"/>
  <c r="AJ63" i="66"/>
  <c r="AK63" i="66" s="1"/>
  <c r="AJ62" i="66"/>
  <c r="AK62" i="66" s="1"/>
  <c r="AJ61" i="66"/>
  <c r="AK61" i="66" s="1"/>
  <c r="AJ60" i="66"/>
  <c r="AJ59" i="66"/>
  <c r="AK59" i="66" s="1"/>
  <c r="AJ58" i="66"/>
  <c r="AK58" i="66" s="1"/>
  <c r="AJ57" i="66"/>
  <c r="AJ56" i="66"/>
  <c r="AK56" i="66" s="1"/>
  <c r="AL56" i="66" s="1"/>
  <c r="AM56" i="66" s="1"/>
  <c r="AN56" i="66" s="1"/>
  <c r="AJ55" i="66"/>
  <c r="AK55" i="66" s="1"/>
  <c r="AL55" i="66" s="1"/>
  <c r="AM55" i="66" s="1"/>
  <c r="AN55" i="66" s="1"/>
  <c r="AJ54" i="66"/>
  <c r="AJ53" i="66"/>
  <c r="AK53" i="66" s="1"/>
  <c r="AJ52" i="66"/>
  <c r="AK52" i="66" s="1"/>
  <c r="AJ51" i="66"/>
  <c r="AJ50" i="66"/>
  <c r="AJ49" i="66"/>
  <c r="AK49" i="66" s="1"/>
  <c r="AJ45" i="66"/>
  <c r="AJ44" i="66"/>
  <c r="AK44" i="66" s="1"/>
  <c r="AL44" i="66" s="1"/>
  <c r="AJ43" i="66"/>
  <c r="AJ42" i="66"/>
  <c r="AJ41" i="66"/>
  <c r="AK41" i="66" s="1"/>
  <c r="AL41" i="66" s="1"/>
  <c r="AM41" i="66" s="1"/>
  <c r="AN41" i="66" s="1"/>
  <c r="AO41" i="66" s="1"/>
  <c r="AJ40" i="66"/>
  <c r="AK40" i="66"/>
  <c r="AL40" i="66" s="1"/>
  <c r="AM40" i="66" s="1"/>
  <c r="AN40" i="66" s="1"/>
  <c r="AJ39" i="66"/>
  <c r="AK39" i="66" s="1"/>
  <c r="AJ38" i="66"/>
  <c r="AK38" i="66" s="1"/>
  <c r="AJ37" i="66"/>
  <c r="AK37" i="66" s="1"/>
  <c r="AJ36" i="66"/>
  <c r="AJ35" i="66"/>
  <c r="AJ34" i="66"/>
  <c r="AK34" i="66"/>
  <c r="AL34" i="66" s="1"/>
  <c r="AJ33" i="66"/>
  <c r="AJ32" i="66"/>
  <c r="AK32" i="66" s="1"/>
  <c r="AJ31" i="66"/>
  <c r="AK31" i="66" s="1"/>
  <c r="AJ30" i="66"/>
  <c r="AJ29" i="66"/>
  <c r="AK29" i="66" s="1"/>
  <c r="AJ28" i="66"/>
  <c r="AK28" i="66"/>
  <c r="AL28" i="66" s="1"/>
  <c r="AJ24" i="66"/>
  <c r="AK24" i="66" s="1"/>
  <c r="AJ23" i="66"/>
  <c r="AK23" i="66" s="1"/>
  <c r="AL23" i="66" s="1"/>
  <c r="AJ22" i="66"/>
  <c r="AK22" i="66" s="1"/>
  <c r="AJ21" i="66"/>
  <c r="AJ20" i="66"/>
  <c r="AK20" i="66" s="1"/>
  <c r="AL20" i="66" s="1"/>
  <c r="AM20" i="66" s="1"/>
  <c r="AN20" i="66" s="1"/>
  <c r="AO20" i="66" s="1"/>
  <c r="AP20" i="66" s="1"/>
  <c r="AJ19" i="66"/>
  <c r="AK19" i="66" s="1"/>
  <c r="AJ18" i="66"/>
  <c r="AJ17" i="66"/>
  <c r="AJ16" i="66"/>
  <c r="AK16" i="66" s="1"/>
  <c r="AJ15" i="66"/>
  <c r="AJ14" i="66"/>
  <c r="AK14" i="66" s="1"/>
  <c r="AJ13" i="66"/>
  <c r="AK13" i="66" s="1"/>
  <c r="AJ12" i="66"/>
  <c r="AJ11" i="66"/>
  <c r="AK11" i="66" s="1"/>
  <c r="AJ10" i="66"/>
  <c r="AK10" i="66" s="1"/>
  <c r="AJ9" i="66"/>
  <c r="AJ8" i="66"/>
  <c r="AK8" i="66" s="1"/>
  <c r="AJ7" i="66"/>
  <c r="AK7" i="66" s="1"/>
  <c r="AK130" i="14"/>
  <c r="AL130" i="14" s="1"/>
  <c r="AK129" i="14"/>
  <c r="AL129" i="14"/>
  <c r="AK128" i="14"/>
  <c r="AL128" i="14"/>
  <c r="AM128" i="14" s="1"/>
  <c r="AK127" i="14"/>
  <c r="AL127" i="14" s="1"/>
  <c r="AM127" i="14" s="1"/>
  <c r="AN127" i="14" s="1"/>
  <c r="AK126" i="14"/>
  <c r="AL126" i="14" s="1"/>
  <c r="AK125" i="14"/>
  <c r="AL125" i="14" s="1"/>
  <c r="AK124" i="14"/>
  <c r="AL124" i="14"/>
  <c r="AK123" i="14"/>
  <c r="AL123" i="14"/>
  <c r="AM123" i="14" s="1"/>
  <c r="AK122" i="14"/>
  <c r="AL122" i="14" s="1"/>
  <c r="AK121" i="14"/>
  <c r="AL121" i="14" s="1"/>
  <c r="AM121" i="14" s="1"/>
  <c r="AK120" i="14"/>
  <c r="AL120" i="14" s="1"/>
  <c r="AK119" i="14"/>
  <c r="AL119" i="14" s="1"/>
  <c r="AK118" i="14"/>
  <c r="AL118" i="14"/>
  <c r="AK117" i="14"/>
  <c r="AL117" i="14"/>
  <c r="AM117" i="14" s="1"/>
  <c r="AN117" i="14" s="1"/>
  <c r="AO117" i="14" s="1"/>
  <c r="AP117" i="14" s="1"/>
  <c r="AK116" i="14"/>
  <c r="AL116" i="14" s="1"/>
  <c r="AK115" i="14"/>
  <c r="AL115" i="14" s="1"/>
  <c r="AK114" i="14"/>
  <c r="AL114" i="14" s="1"/>
  <c r="AM114" i="14" s="1"/>
  <c r="AN114" i="14" s="1"/>
  <c r="AK113" i="14"/>
  <c r="AL113" i="14"/>
  <c r="AK109" i="14"/>
  <c r="AL109" i="14" s="1"/>
  <c r="AK108" i="14"/>
  <c r="AL108" i="14" s="1"/>
  <c r="AK107" i="14"/>
  <c r="AL107" i="14" s="1"/>
  <c r="AK106" i="14"/>
  <c r="AL106" i="14" s="1"/>
  <c r="AK105" i="14"/>
  <c r="AL105" i="14" s="1"/>
  <c r="AM105" i="14" s="1"/>
  <c r="AK104" i="14"/>
  <c r="AL104" i="14" s="1"/>
  <c r="AK103" i="14"/>
  <c r="AL103" i="14"/>
  <c r="AM103" i="14" s="1"/>
  <c r="AK102" i="14"/>
  <c r="AL102" i="14" s="1"/>
  <c r="AM102" i="14" s="1"/>
  <c r="AN102" i="14" s="1"/>
  <c r="AK101" i="14"/>
  <c r="AL101" i="14" s="1"/>
  <c r="AK100" i="14"/>
  <c r="AL100" i="14" s="1"/>
  <c r="AK99" i="14"/>
  <c r="AL99" i="14" s="1"/>
  <c r="AM99" i="14" s="1"/>
  <c r="AK98" i="14"/>
  <c r="AL98" i="14" s="1"/>
  <c r="AK97" i="14"/>
  <c r="AK96" i="14"/>
  <c r="AL96" i="14"/>
  <c r="AK95" i="14"/>
  <c r="AL95" i="14" s="1"/>
  <c r="AM95" i="14" s="1"/>
  <c r="AN95" i="14" s="1"/>
  <c r="AK94" i="14"/>
  <c r="AL94" i="14"/>
  <c r="AM94" i="14" s="1"/>
  <c r="AK93" i="14"/>
  <c r="AK92" i="14"/>
  <c r="AL92" i="14" s="1"/>
  <c r="AL97" i="14"/>
  <c r="AM97" i="14" s="1"/>
  <c r="AN97" i="14" s="1"/>
  <c r="AO97" i="14" s="1"/>
  <c r="AP97" i="14" s="1"/>
  <c r="AQ97" i="14" s="1"/>
  <c r="AK88" i="14"/>
  <c r="AL88" i="14" s="1"/>
  <c r="AK87" i="14"/>
  <c r="AL87" i="14"/>
  <c r="AM87" i="14" s="1"/>
  <c r="AK86" i="14"/>
  <c r="AK85" i="14"/>
  <c r="AL85" i="14" s="1"/>
  <c r="AK84" i="14"/>
  <c r="AL84" i="14" s="1"/>
  <c r="AK83" i="14"/>
  <c r="AL83" i="14"/>
  <c r="AM83" i="14" s="1"/>
  <c r="AK82" i="14"/>
  <c r="AL82" i="14"/>
  <c r="AM82" i="14" s="1"/>
  <c r="AK81" i="14"/>
  <c r="AL81" i="14" s="1"/>
  <c r="AK80" i="14"/>
  <c r="AK79" i="14"/>
  <c r="AL79" i="14"/>
  <c r="AM79" i="14" s="1"/>
  <c r="AK78" i="14"/>
  <c r="AL78" i="14" s="1"/>
  <c r="AK77" i="14"/>
  <c r="AK76" i="14"/>
  <c r="AL76" i="14" s="1"/>
  <c r="AK75" i="14"/>
  <c r="AL75" i="14" s="1"/>
  <c r="AM75" i="14" s="1"/>
  <c r="AN75" i="14" s="1"/>
  <c r="AO75" i="14" s="1"/>
  <c r="AP75" i="14" s="1"/>
  <c r="AQ75" i="14" s="1"/>
  <c r="AK74" i="14"/>
  <c r="AK73" i="14"/>
  <c r="AK72" i="14"/>
  <c r="AL72" i="14" s="1"/>
  <c r="AK71" i="14"/>
  <c r="AK67" i="14"/>
  <c r="AL67" i="14" s="1"/>
  <c r="AK66" i="14"/>
  <c r="AL66" i="14" s="1"/>
  <c r="AK65" i="14"/>
  <c r="AL65" i="14" s="1"/>
  <c r="AK64" i="14"/>
  <c r="AK63" i="14"/>
  <c r="AL63" i="14" s="1"/>
  <c r="AK62" i="14"/>
  <c r="AK61" i="14"/>
  <c r="AK60" i="14"/>
  <c r="AL60" i="14"/>
  <c r="AM60" i="14" s="1"/>
  <c r="AN60" i="14" s="1"/>
  <c r="AO60" i="14" s="1"/>
  <c r="AK59" i="14"/>
  <c r="AL59" i="14"/>
  <c r="AM59" i="14" s="1"/>
  <c r="AN59" i="14" s="1"/>
  <c r="AK58" i="14"/>
  <c r="AL58" i="14" s="1"/>
  <c r="AM58" i="14" s="1"/>
  <c r="AK57" i="14"/>
  <c r="AL57" i="14" s="1"/>
  <c r="AK56" i="14"/>
  <c r="AL56" i="14" s="1"/>
  <c r="AK55" i="14"/>
  <c r="AK54" i="14"/>
  <c r="AK53" i="14"/>
  <c r="AL53" i="14" s="1"/>
  <c r="AK52" i="14"/>
  <c r="AL52" i="14" s="1"/>
  <c r="AK51" i="14"/>
  <c r="AK50" i="14"/>
  <c r="AL62" i="14"/>
  <c r="AK46" i="14"/>
  <c r="AL46" i="14" s="1"/>
  <c r="AK45" i="14"/>
  <c r="AK44" i="14"/>
  <c r="AK43" i="14"/>
  <c r="AL43" i="14" s="1"/>
  <c r="AK42" i="14"/>
  <c r="AL42" i="14"/>
  <c r="AM42" i="14" s="1"/>
  <c r="AN42" i="14" s="1"/>
  <c r="AK41" i="14"/>
  <c r="AL41" i="14" s="1"/>
  <c r="AK40" i="14"/>
  <c r="AL40" i="14" s="1"/>
  <c r="AK39" i="14"/>
  <c r="AK38" i="14"/>
  <c r="AL38" i="14" s="1"/>
  <c r="AK37" i="14"/>
  <c r="AL37" i="14"/>
  <c r="AK36" i="14"/>
  <c r="AL36" i="14" s="1"/>
  <c r="AM36" i="14" s="1"/>
  <c r="AN36" i="14" s="1"/>
  <c r="AO36" i="14" s="1"/>
  <c r="AK35" i="14"/>
  <c r="AL35" i="14" s="1"/>
  <c r="AM35" i="14" s="1"/>
  <c r="AK34" i="14"/>
  <c r="AL34" i="14" s="1"/>
  <c r="AK33" i="14"/>
  <c r="AK32" i="14"/>
  <c r="AL32" i="14" s="1"/>
  <c r="AM32" i="14" s="1"/>
  <c r="AN32" i="14" s="1"/>
  <c r="AO32" i="14" s="1"/>
  <c r="AK31" i="14"/>
  <c r="AL31" i="14" s="1"/>
  <c r="AK30" i="14"/>
  <c r="AK29" i="14"/>
  <c r="AL29" i="14" s="1"/>
  <c r="AM29" i="14" s="1"/>
  <c r="AL44" i="14"/>
  <c r="AM44" i="14"/>
  <c r="AK25" i="14"/>
  <c r="AL25" i="14" s="1"/>
  <c r="AK24" i="14"/>
  <c r="AL24" i="14" s="1"/>
  <c r="AK23" i="14"/>
  <c r="AK22" i="14"/>
  <c r="AL22" i="14" s="1"/>
  <c r="AK21" i="14"/>
  <c r="AL21" i="14" s="1"/>
  <c r="AK20" i="14"/>
  <c r="AL20" i="14" s="1"/>
  <c r="AK19" i="14"/>
  <c r="AL19" i="14"/>
  <c r="AK18" i="14"/>
  <c r="AL18" i="14" s="1"/>
  <c r="AK17" i="14"/>
  <c r="AL17" i="14" s="1"/>
  <c r="AK16" i="14"/>
  <c r="AK15" i="14"/>
  <c r="AL15" i="14" s="1"/>
  <c r="AM15" i="14" s="1"/>
  <c r="AK14" i="14"/>
  <c r="AK13" i="14"/>
  <c r="AK12" i="14"/>
  <c r="AK11" i="14"/>
  <c r="AK10" i="14"/>
  <c r="AL10" i="14" s="1"/>
  <c r="AK9" i="14"/>
  <c r="AL9" i="14" s="1"/>
  <c r="AM9" i="14" s="1"/>
  <c r="AK8" i="14"/>
  <c r="AL8" i="14" s="1"/>
  <c r="AL11" i="14"/>
  <c r="AL12" i="14"/>
  <c r="AM12" i="14" s="1"/>
  <c r="AL13" i="14"/>
  <c r="AL14" i="14"/>
  <c r="AM14" i="14" s="1"/>
  <c r="O93" i="102"/>
  <c r="P126" i="98"/>
  <c r="I283" i="97"/>
  <c r="AL36" i="96"/>
  <c r="X243" i="81"/>
  <c r="E8" i="103"/>
  <c r="H16" i="21"/>
  <c r="C136" i="93"/>
  <c r="L41" i="14"/>
  <c r="J139" i="27"/>
  <c r="K115" i="39"/>
  <c r="O202" i="96"/>
  <c r="F91" i="61"/>
  <c r="E16" i="98"/>
  <c r="M62" i="98"/>
  <c r="E47" i="98"/>
  <c r="F45" i="98"/>
  <c r="G30" i="98"/>
  <c r="O22" i="98"/>
  <c r="F116" i="98"/>
  <c r="O99" i="98"/>
  <c r="E45" i="98"/>
  <c r="L25" i="98"/>
  <c r="P13" i="98"/>
  <c r="E69" i="98"/>
  <c r="H33" i="98"/>
  <c r="D29" i="98"/>
  <c r="H17" i="98"/>
  <c r="M32" i="98"/>
  <c r="F17" i="98"/>
  <c r="H13" i="98"/>
  <c r="D9" i="98"/>
  <c r="C16" i="98"/>
  <c r="R23" i="98"/>
  <c r="H147" i="98"/>
  <c r="J11" i="98"/>
  <c r="L19" i="98"/>
  <c r="R47" i="98"/>
  <c r="S148" i="98"/>
  <c r="P27" i="98"/>
  <c r="S47" i="98"/>
  <c r="N76" i="98"/>
  <c r="K12" i="98"/>
  <c r="I20" i="98"/>
  <c r="O50" i="98"/>
  <c r="I77" i="98"/>
  <c r="E39" i="98"/>
  <c r="Q108" i="98"/>
  <c r="F162" i="98"/>
  <c r="D23" i="98"/>
  <c r="S30" i="98"/>
  <c r="K41" i="98"/>
  <c r="Q9" i="98"/>
  <c r="C11" i="98"/>
  <c r="F12" i="98"/>
  <c r="I13" i="98"/>
  <c r="L14" i="98"/>
  <c r="O15" i="98"/>
  <c r="R16" i="98"/>
  <c r="J20" i="98"/>
  <c r="H26" i="98"/>
  <c r="K27" i="98"/>
  <c r="N28" i="98"/>
  <c r="F32" i="98"/>
  <c r="I33" i="98"/>
  <c r="L37" i="98"/>
  <c r="O38" i="98"/>
  <c r="D41" i="98"/>
  <c r="Q50" i="98"/>
  <c r="R57" i="98"/>
  <c r="Q61" i="98"/>
  <c r="J68" i="98"/>
  <c r="N72" i="98"/>
  <c r="F80" i="98"/>
  <c r="S91" i="98"/>
  <c r="M103" i="98"/>
  <c r="G112" i="98"/>
  <c r="N116" i="98"/>
  <c r="K132" i="98"/>
  <c r="J185" i="98"/>
  <c r="M178" i="98"/>
  <c r="E185" i="98"/>
  <c r="F183" i="98"/>
  <c r="K178" i="98"/>
  <c r="S176" i="98"/>
  <c r="I176" i="98"/>
  <c r="F175" i="98"/>
  <c r="C174" i="98"/>
  <c r="J173" i="98"/>
  <c r="D171" i="98"/>
  <c r="K170" i="98"/>
  <c r="R169" i="98"/>
  <c r="E168" i="98"/>
  <c r="L167" i="98"/>
  <c r="S166" i="98"/>
  <c r="F165" i="98"/>
  <c r="J163" i="98"/>
  <c r="Q162" i="98"/>
  <c r="G162" i="98"/>
  <c r="D161" i="98"/>
  <c r="Q176" i="98"/>
  <c r="F176" i="98"/>
  <c r="L175" i="98"/>
  <c r="R174" i="98"/>
  <c r="M173" i="98"/>
  <c r="H170" i="98"/>
  <c r="N169" i="98"/>
  <c r="C169" i="98"/>
  <c r="O167" i="98"/>
  <c r="D167" i="98"/>
  <c r="J166" i="98"/>
  <c r="P163" i="98"/>
  <c r="K162" i="98"/>
  <c r="Q161" i="98"/>
  <c r="L160" i="98"/>
  <c r="S159" i="98"/>
  <c r="M157" i="98"/>
  <c r="C157" i="98"/>
  <c r="G155" i="98"/>
  <c r="N154" i="98"/>
  <c r="D154" i="98"/>
  <c r="H149" i="98"/>
  <c r="O148" i="98"/>
  <c r="L147" i="98"/>
  <c r="I146" i="98"/>
  <c r="J143" i="98"/>
  <c r="Q142" i="98"/>
  <c r="G142" i="98"/>
  <c r="N141" i="98"/>
  <c r="D141" i="98"/>
  <c r="K140" i="98"/>
  <c r="R139" i="98"/>
  <c r="P135" i="98"/>
  <c r="F135" i="98"/>
  <c r="M134" i="98"/>
  <c r="C134" i="98"/>
  <c r="J133" i="98"/>
  <c r="N131" i="98"/>
  <c r="D131" i="98"/>
  <c r="R129" i="98"/>
  <c r="H129" i="98"/>
  <c r="P125" i="98"/>
  <c r="F125" i="98"/>
  <c r="M124" i="98"/>
  <c r="C124" i="98"/>
  <c r="Q119" i="98"/>
  <c r="G119" i="98"/>
  <c r="N118" i="98"/>
  <c r="P176" i="98"/>
  <c r="K175" i="98"/>
  <c r="F174" i="98"/>
  <c r="R172" i="98"/>
  <c r="R170" i="98"/>
  <c r="G170" i="98"/>
  <c r="M169" i="98"/>
  <c r="H168" i="98"/>
  <c r="N167" i="98"/>
  <c r="H166" i="98"/>
  <c r="O163" i="98"/>
  <c r="J162" i="98"/>
  <c r="P161" i="98"/>
  <c r="E161" i="98"/>
  <c r="R159" i="98"/>
  <c r="E158" i="98"/>
  <c r="L157" i="98"/>
  <c r="P155" i="98"/>
  <c r="F155" i="98"/>
  <c r="M154" i="98"/>
  <c r="G149" i="98"/>
  <c r="D148" i="98"/>
  <c r="K147" i="98"/>
  <c r="H146" i="98"/>
  <c r="O145" i="98"/>
  <c r="I143" i="98"/>
  <c r="P142" i="98"/>
  <c r="F142" i="98"/>
  <c r="M141" i="98"/>
  <c r="G139" i="98"/>
  <c r="K137" i="98"/>
  <c r="R136" i="98"/>
  <c r="H136" i="98"/>
  <c r="E135" i="98"/>
  <c r="L134" i="98"/>
  <c r="S133" i="98"/>
  <c r="C131" i="98"/>
  <c r="J130" i="98"/>
  <c r="G129" i="98"/>
  <c r="N128" i="98"/>
  <c r="D128" i="98"/>
  <c r="O125" i="98"/>
  <c r="E125" i="98"/>
  <c r="I120" i="98"/>
  <c r="P119" i="98"/>
  <c r="F119" i="98"/>
  <c r="M118" i="98"/>
  <c r="I177" i="98"/>
  <c r="O176" i="98"/>
  <c r="P174" i="98"/>
  <c r="K173" i="98"/>
  <c r="K171" i="98"/>
  <c r="Q170" i="98"/>
  <c r="F170" i="98"/>
  <c r="L169" i="98"/>
  <c r="R168" i="98"/>
  <c r="R166" i="98"/>
  <c r="N163" i="98"/>
  <c r="C163" i="98"/>
  <c r="I162" i="98"/>
  <c r="O161" i="98"/>
  <c r="C161" i="98"/>
  <c r="J160" i="98"/>
  <c r="D158" i="98"/>
  <c r="K157" i="98"/>
  <c r="E155" i="98"/>
  <c r="L154" i="98"/>
  <c r="P149" i="98"/>
  <c r="F149" i="98"/>
  <c r="C148" i="98"/>
  <c r="J147" i="98"/>
  <c r="Q146" i="98"/>
  <c r="G146" i="98"/>
  <c r="R143" i="98"/>
  <c r="E142" i="98"/>
  <c r="S140" i="98"/>
  <c r="I140" i="98"/>
  <c r="P139" i="98"/>
  <c r="C138" i="98"/>
  <c r="J137" i="98"/>
  <c r="G136" i="98"/>
  <c r="N135" i="98"/>
  <c r="R133" i="98"/>
  <c r="L131" i="98"/>
  <c r="S130" i="98"/>
  <c r="I130" i="98"/>
  <c r="P129" i="98"/>
  <c r="M128" i="98"/>
  <c r="C128" i="98"/>
  <c r="N125" i="98"/>
  <c r="K124" i="98"/>
  <c r="R120" i="98"/>
  <c r="O119" i="98"/>
  <c r="E119" i="98"/>
  <c r="S177" i="98"/>
  <c r="N176" i="98"/>
  <c r="C176" i="98"/>
  <c r="I175" i="98"/>
  <c r="D174" i="98"/>
  <c r="D172" i="98"/>
  <c r="J171" i="98"/>
  <c r="Q168" i="98"/>
  <c r="F168" i="98"/>
  <c r="K167" i="98"/>
  <c r="L165" i="98"/>
  <c r="R164" i="98"/>
  <c r="M163" i="98"/>
  <c r="S162" i="98"/>
  <c r="H162" i="98"/>
  <c r="F159" i="98"/>
  <c r="C158" i="98"/>
  <c r="J157" i="98"/>
  <c r="Q156" i="98"/>
  <c r="G156" i="98"/>
  <c r="D155" i="98"/>
  <c r="O149" i="98"/>
  <c r="L148" i="98"/>
  <c r="S147" i="98"/>
  <c r="I147" i="98"/>
  <c r="F146" i="98"/>
  <c r="J144" i="98"/>
  <c r="Q143" i="98"/>
  <c r="D142" i="98"/>
  <c r="R140" i="98"/>
  <c r="H140" i="98"/>
  <c r="L138" i="98"/>
  <c r="S137" i="98"/>
  <c r="I137" i="98"/>
  <c r="M135" i="98"/>
  <c r="C135" i="98"/>
  <c r="D132" i="98"/>
  <c r="K131" i="98"/>
  <c r="R130" i="98"/>
  <c r="H130" i="98"/>
  <c r="H178" i="98"/>
  <c r="C177" i="98"/>
  <c r="C175" i="98"/>
  <c r="O173" i="98"/>
  <c r="P171" i="98"/>
  <c r="E171" i="98"/>
  <c r="J170" i="98"/>
  <c r="Q167" i="98"/>
  <c r="F167" i="98"/>
  <c r="L166" i="98"/>
  <c r="R165" i="98"/>
  <c r="G165" i="98"/>
  <c r="H161" i="98"/>
  <c r="D160" i="98"/>
  <c r="K159" i="98"/>
  <c r="R158" i="98"/>
  <c r="H158" i="98"/>
  <c r="O157" i="98"/>
  <c r="S155" i="98"/>
  <c r="P154" i="98"/>
  <c r="F154" i="98"/>
  <c r="Q148" i="98"/>
  <c r="D147" i="98"/>
  <c r="K146" i="98"/>
  <c r="R145" i="98"/>
  <c r="H145" i="98"/>
  <c r="E144" i="98"/>
  <c r="S142" i="98"/>
  <c r="F141" i="98"/>
  <c r="C140" i="98"/>
  <c r="Q138" i="98"/>
  <c r="G138" i="98"/>
  <c r="N137" i="98"/>
  <c r="O134" i="98"/>
  <c r="E134" i="98"/>
  <c r="L133" i="98"/>
  <c r="S132" i="98"/>
  <c r="P131" i="98"/>
  <c r="F131" i="98"/>
  <c r="Q128" i="98"/>
  <c r="D127" i="98"/>
  <c r="K126" i="98"/>
  <c r="R125" i="98"/>
  <c r="H125" i="98"/>
  <c r="L120" i="98"/>
  <c r="I119" i="98"/>
  <c r="P118" i="98"/>
  <c r="M117" i="98"/>
  <c r="N114" i="98"/>
  <c r="D114" i="98"/>
  <c r="K113" i="98"/>
  <c r="R112" i="98"/>
  <c r="H112" i="98"/>
  <c r="L110" i="98"/>
  <c r="P108" i="98"/>
  <c r="M107" i="98"/>
  <c r="C107" i="98"/>
  <c r="Q105" i="98"/>
  <c r="G105" i="98"/>
  <c r="N104" i="98"/>
  <c r="H102" i="98"/>
  <c r="E101" i="98"/>
  <c r="S99" i="98"/>
  <c r="I99" i="98"/>
  <c r="O177" i="98"/>
  <c r="P173" i="98"/>
  <c r="Q169" i="98"/>
  <c r="L168" i="98"/>
  <c r="G167" i="98"/>
  <c r="O160" i="98"/>
  <c r="L159" i="98"/>
  <c r="I158" i="98"/>
  <c r="F157" i="98"/>
  <c r="Q154" i="98"/>
  <c r="N153" i="98"/>
  <c r="S145" i="98"/>
  <c r="P144" i="98"/>
  <c r="G141" i="98"/>
  <c r="D140" i="98"/>
  <c r="O137" i="98"/>
  <c r="F134" i="98"/>
  <c r="C133" i="98"/>
  <c r="Q131" i="98"/>
  <c r="N130" i="98"/>
  <c r="M127" i="98"/>
  <c r="M119" i="98"/>
  <c r="O118" i="98"/>
  <c r="P117" i="98"/>
  <c r="E117" i="98"/>
  <c r="K116" i="98"/>
  <c r="P115" i="98"/>
  <c r="E115" i="98"/>
  <c r="L112" i="98"/>
  <c r="R109" i="98"/>
  <c r="G109" i="98"/>
  <c r="M108" i="98"/>
  <c r="N106" i="98"/>
  <c r="C106" i="98"/>
  <c r="I105" i="98"/>
  <c r="I103" i="98"/>
  <c r="O102" i="98"/>
  <c r="D102" i="98"/>
  <c r="Q98" i="98"/>
  <c r="G98" i="98"/>
  <c r="N97" i="98"/>
  <c r="D97" i="98"/>
  <c r="E91" i="98"/>
  <c r="L90" i="98"/>
  <c r="S89" i="98"/>
  <c r="I89" i="98"/>
  <c r="F88" i="98"/>
  <c r="C87" i="98"/>
  <c r="G85" i="98"/>
  <c r="D84" i="98"/>
  <c r="K83" i="98"/>
  <c r="R82" i="98"/>
  <c r="H82" i="98"/>
  <c r="O81" i="98"/>
  <c r="S79" i="98"/>
  <c r="P78" i="98"/>
  <c r="C77" i="98"/>
  <c r="J76" i="98"/>
  <c r="Q75" i="98"/>
  <c r="G75" i="98"/>
  <c r="D74" i="98"/>
  <c r="K73" i="98"/>
  <c r="O71" i="98"/>
  <c r="E71" i="98"/>
  <c r="S69" i="98"/>
  <c r="F68" i="98"/>
  <c r="M67" i="98"/>
  <c r="C67" i="98"/>
  <c r="Q62" i="98"/>
  <c r="G62" i="98"/>
  <c r="D61" i="98"/>
  <c r="H59" i="98"/>
  <c r="O58" i="98"/>
  <c r="E58" i="98"/>
  <c r="I56" i="98"/>
  <c r="P55" i="98"/>
  <c r="F55" i="98"/>
  <c r="M54" i="98"/>
  <c r="G52" i="98"/>
  <c r="N51" i="98"/>
  <c r="D51" i="98"/>
  <c r="R49" i="98"/>
  <c r="H49" i="98"/>
  <c r="L47" i="98"/>
  <c r="S46" i="98"/>
  <c r="I46" i="98"/>
  <c r="G176" i="98"/>
  <c r="N173" i="98"/>
  <c r="I172" i="98"/>
  <c r="O169" i="98"/>
  <c r="J168" i="98"/>
  <c r="E167" i="98"/>
  <c r="K164" i="98"/>
  <c r="R161" i="98"/>
  <c r="D157" i="98"/>
  <c r="R155" i="98"/>
  <c r="O154" i="98"/>
  <c r="L153" i="98"/>
  <c r="I149" i="98"/>
  <c r="F148" i="98"/>
  <c r="C147" i="98"/>
  <c r="E141" i="98"/>
  <c r="P138" i="98"/>
  <c r="M137" i="98"/>
  <c r="J136" i="98"/>
  <c r="G135" i="98"/>
  <c r="D134" i="98"/>
  <c r="R132" i="98"/>
  <c r="J128" i="98"/>
  <c r="I127" i="98"/>
  <c r="J124" i="98"/>
  <c r="M120" i="98"/>
  <c r="L119" i="98"/>
  <c r="O117" i="98"/>
  <c r="I116" i="98"/>
  <c r="D115" i="98"/>
  <c r="J114" i="98"/>
  <c r="P113" i="98"/>
  <c r="E113" i="98"/>
  <c r="K110" i="98"/>
  <c r="F109" i="98"/>
  <c r="L108" i="98"/>
  <c r="G107" i="98"/>
  <c r="M106" i="98"/>
  <c r="S105" i="98"/>
  <c r="M104" i="98"/>
  <c r="S103" i="98"/>
  <c r="C102" i="98"/>
  <c r="O100" i="98"/>
  <c r="J99" i="98"/>
  <c r="F98" i="98"/>
  <c r="M97" i="98"/>
  <c r="C97" i="98"/>
  <c r="J96" i="98"/>
  <c r="G95" i="98"/>
  <c r="D91" i="98"/>
  <c r="K90" i="98"/>
  <c r="E88" i="98"/>
  <c r="L87" i="98"/>
  <c r="S86" i="98"/>
  <c r="P85" i="98"/>
  <c r="F85" i="98"/>
  <c r="M84" i="98"/>
  <c r="Q82" i="98"/>
  <c r="N81" i="98"/>
  <c r="D81" i="98"/>
  <c r="H79" i="98"/>
  <c r="O78" i="98"/>
  <c r="L77" i="98"/>
  <c r="S76" i="98"/>
  <c r="I76" i="98"/>
  <c r="M74" i="98"/>
  <c r="C74" i="98"/>
  <c r="Q72" i="98"/>
  <c r="N71" i="98"/>
  <c r="K70" i="98"/>
  <c r="R69" i="98"/>
  <c r="H69" i="98"/>
  <c r="O68" i="98"/>
  <c r="P62" i="98"/>
  <c r="F62" i="98"/>
  <c r="M61" i="98"/>
  <c r="C61" i="98"/>
  <c r="J60" i="98"/>
  <c r="G59" i="98"/>
  <c r="N58" i="98"/>
  <c r="H56" i="98"/>
  <c r="E55" i="98"/>
  <c r="L54" i="98"/>
  <c r="S53" i="98"/>
  <c r="I53" i="98"/>
  <c r="P52" i="98"/>
  <c r="F52" i="98"/>
  <c r="G49" i="98"/>
  <c r="N48" i="98"/>
  <c r="K47" i="98"/>
  <c r="R46" i="98"/>
  <c r="H46" i="98"/>
  <c r="P178" i="98"/>
  <c r="G177" i="98"/>
  <c r="N174" i="98"/>
  <c r="C172" i="98"/>
  <c r="J169" i="98"/>
  <c r="K165" i="98"/>
  <c r="F164" i="98"/>
  <c r="R162" i="98"/>
  <c r="H160" i="98"/>
  <c r="E159" i="98"/>
  <c r="P156" i="98"/>
  <c r="M155" i="98"/>
  <c r="G153" i="98"/>
  <c r="O146" i="98"/>
  <c r="I144" i="98"/>
  <c r="F143" i="98"/>
  <c r="C142" i="98"/>
  <c r="K138" i="98"/>
  <c r="H137" i="98"/>
  <c r="E136" i="98"/>
  <c r="S134" i="98"/>
  <c r="P133" i="98"/>
  <c r="I129" i="98"/>
  <c r="H127" i="98"/>
  <c r="J125" i="98"/>
  <c r="I124" i="98"/>
  <c r="K120" i="98"/>
  <c r="K119" i="98"/>
  <c r="N117" i="98"/>
  <c r="S116" i="98"/>
  <c r="C115" i="98"/>
  <c r="D113" i="98"/>
  <c r="J112" i="98"/>
  <c r="P111" i="98"/>
  <c r="J110" i="98"/>
  <c r="E109" i="98"/>
  <c r="K108" i="98"/>
  <c r="Q107" i="98"/>
  <c r="L106" i="98"/>
  <c r="F105" i="98"/>
  <c r="M102" i="98"/>
  <c r="S101" i="98"/>
  <c r="H101" i="98"/>
  <c r="N100" i="98"/>
  <c r="C100" i="98"/>
  <c r="H99" i="98"/>
  <c r="L97" i="98"/>
  <c r="P95" i="98"/>
  <c r="F95" i="98"/>
  <c r="C91" i="98"/>
  <c r="J90" i="98"/>
  <c r="Q89" i="98"/>
  <c r="G89" i="98"/>
  <c r="N88" i="98"/>
  <c r="O85" i="98"/>
  <c r="E85" i="98"/>
  <c r="L84" i="98"/>
  <c r="S83" i="98"/>
  <c r="P82" i="98"/>
  <c r="M81" i="98"/>
  <c r="C81" i="98"/>
  <c r="G79" i="98"/>
  <c r="D78" i="98"/>
  <c r="K77" i="98"/>
  <c r="R76" i="98"/>
  <c r="O75" i="98"/>
  <c r="E75" i="98"/>
  <c r="I73" i="98"/>
  <c r="F72" i="98"/>
  <c r="M71" i="98"/>
  <c r="Q69" i="98"/>
  <c r="G69" i="98"/>
  <c r="N68" i="98"/>
  <c r="D68" i="98"/>
  <c r="R66" i="98"/>
  <c r="H66" i="98"/>
  <c r="S60" i="98"/>
  <c r="I60" i="98"/>
  <c r="F59" i="98"/>
  <c r="M58" i="98"/>
  <c r="J57" i="98"/>
  <c r="Q56" i="98"/>
  <c r="G56" i="98"/>
  <c r="K54" i="98"/>
  <c r="R53" i="98"/>
  <c r="O52" i="98"/>
  <c r="S50" i="98"/>
  <c r="I50" i="98"/>
  <c r="F49" i="98"/>
  <c r="M48" i="98"/>
  <c r="J47" i="98"/>
  <c r="Q46" i="98"/>
  <c r="G46" i="98"/>
  <c r="N45" i="98"/>
  <c r="G173" i="98"/>
  <c r="S171" i="98"/>
  <c r="N170" i="98"/>
  <c r="C168" i="98"/>
  <c r="O166" i="98"/>
  <c r="J165" i="98"/>
  <c r="K161" i="98"/>
  <c r="G160" i="98"/>
  <c r="D159" i="98"/>
  <c r="L155" i="98"/>
  <c r="F153" i="98"/>
  <c r="C149" i="98"/>
  <c r="K145" i="98"/>
  <c r="H144" i="98"/>
  <c r="E143" i="98"/>
  <c r="S141" i="98"/>
  <c r="P140" i="98"/>
  <c r="J138" i="98"/>
  <c r="L132" i="98"/>
  <c r="I131" i="98"/>
  <c r="F130" i="98"/>
  <c r="E129" i="98"/>
  <c r="H128" i="98"/>
  <c r="G127" i="98"/>
  <c r="F126" i="98"/>
  <c r="I118" i="98"/>
  <c r="L117" i="98"/>
  <c r="G116" i="98"/>
  <c r="M115" i="98"/>
  <c r="S114" i="98"/>
  <c r="N113" i="98"/>
  <c r="C113" i="98"/>
  <c r="I112" i="98"/>
  <c r="O109" i="98"/>
  <c r="D109" i="98"/>
  <c r="J108" i="98"/>
  <c r="K106" i="98"/>
  <c r="P105" i="98"/>
  <c r="E105" i="98"/>
  <c r="Q103" i="98"/>
  <c r="L102" i="98"/>
  <c r="M100" i="98"/>
  <c r="R99" i="98"/>
  <c r="G99" i="98"/>
  <c r="N98" i="98"/>
  <c r="R96" i="98"/>
  <c r="H96" i="98"/>
  <c r="L91" i="98"/>
  <c r="S90" i="98"/>
  <c r="P89" i="98"/>
  <c r="F89" i="98"/>
  <c r="M88" i="98"/>
  <c r="J87" i="98"/>
  <c r="Q86" i="98"/>
  <c r="K84" i="98"/>
  <c r="R83" i="98"/>
  <c r="H83" i="98"/>
  <c r="E82" i="98"/>
  <c r="S80" i="98"/>
  <c r="P79" i="98"/>
  <c r="F79" i="98"/>
  <c r="M78" i="98"/>
  <c r="J77" i="98"/>
  <c r="G76" i="98"/>
  <c r="N75" i="98"/>
  <c r="H73" i="98"/>
  <c r="O72" i="98"/>
  <c r="E72" i="98"/>
  <c r="L71" i="98"/>
  <c r="I70" i="98"/>
  <c r="P69" i="98"/>
  <c r="F69" i="98"/>
  <c r="Q66" i="98"/>
  <c r="N62" i="98"/>
  <c r="D62" i="98"/>
  <c r="K61" i="98"/>
  <c r="H60" i="98"/>
  <c r="E59" i="98"/>
  <c r="S57" i="98"/>
  <c r="I57" i="98"/>
  <c r="P56" i="98"/>
  <c r="J178" i="98"/>
  <c r="E177" i="98"/>
  <c r="F173" i="98"/>
  <c r="M170" i="98"/>
  <c r="G169" i="98"/>
  <c r="S167" i="98"/>
  <c r="N166" i="98"/>
  <c r="I165" i="98"/>
  <c r="D164" i="98"/>
  <c r="N156" i="98"/>
  <c r="I178" i="98"/>
  <c r="D177" i="98"/>
  <c r="O175" i="98"/>
  <c r="J174" i="98"/>
  <c r="Q171" i="98"/>
  <c r="L170" i="98"/>
  <c r="F169" i="98"/>
  <c r="S163" i="98"/>
  <c r="I161" i="98"/>
  <c r="S158" i="98"/>
  <c r="P157" i="98"/>
  <c r="M156" i="98"/>
  <c r="Q177" i="98"/>
  <c r="L176" i="98"/>
  <c r="R173" i="98"/>
  <c r="N168" i="98"/>
  <c r="I167" i="98"/>
  <c r="P164" i="98"/>
  <c r="K163" i="98"/>
  <c r="E162" i="98"/>
  <c r="N159" i="98"/>
  <c r="K158" i="98"/>
  <c r="S154" i="98"/>
  <c r="M149" i="98"/>
  <c r="J148" i="98"/>
  <c r="G147" i="98"/>
  <c r="O143" i="98"/>
  <c r="I141" i="98"/>
  <c r="F140" i="98"/>
  <c r="Q137" i="98"/>
  <c r="N136" i="98"/>
  <c r="H134" i="98"/>
  <c r="E133" i="98"/>
  <c r="N129" i="98"/>
  <c r="P128" i="98"/>
  <c r="O126" i="98"/>
  <c r="Q124" i="98"/>
  <c r="P120" i="98"/>
  <c r="R119" i="98"/>
  <c r="M116" i="98"/>
  <c r="S115" i="98"/>
  <c r="H115" i="98"/>
  <c r="M114" i="98"/>
  <c r="S113" i="98"/>
  <c r="C112" i="98"/>
  <c r="O110" i="98"/>
  <c r="J109" i="98"/>
  <c r="D108" i="98"/>
  <c r="J107" i="98"/>
  <c r="P106" i="98"/>
  <c r="E106" i="98"/>
  <c r="F104" i="98"/>
  <c r="L103" i="98"/>
  <c r="L101" i="98"/>
  <c r="R100" i="98"/>
  <c r="M99" i="98"/>
  <c r="S98" i="98"/>
  <c r="P97" i="98"/>
  <c r="M96" i="98"/>
  <c r="J95" i="98"/>
  <c r="Q91" i="98"/>
  <c r="G91" i="98"/>
  <c r="D90" i="98"/>
  <c r="H88" i="98"/>
  <c r="O87" i="98"/>
  <c r="S85" i="98"/>
  <c r="I85" i="98"/>
  <c r="P84" i="98"/>
  <c r="F84" i="98"/>
  <c r="C83" i="98"/>
  <c r="J82" i="98"/>
  <c r="N80" i="98"/>
  <c r="R78" i="98"/>
  <c r="H78" i="98"/>
  <c r="E77" i="98"/>
  <c r="L76" i="98"/>
  <c r="S75" i="98"/>
  <c r="I75" i="98"/>
  <c r="P74" i="98"/>
  <c r="F74" i="98"/>
  <c r="N70" i="98"/>
  <c r="D70" i="98"/>
  <c r="K69" i="98"/>
  <c r="R68" i="98"/>
  <c r="H68" i="98"/>
  <c r="O67" i="98"/>
  <c r="L66" i="98"/>
  <c r="I62" i="98"/>
  <c r="M60" i="98"/>
  <c r="J59" i="98"/>
  <c r="Q58" i="98"/>
  <c r="G58" i="98"/>
  <c r="K56" i="98"/>
  <c r="R55" i="98"/>
  <c r="H55" i="98"/>
  <c r="E54" i="98"/>
  <c r="S52" i="98"/>
  <c r="I52" i="98"/>
  <c r="C50" i="98"/>
  <c r="J49" i="98"/>
  <c r="Q48" i="98"/>
  <c r="G48" i="98"/>
  <c r="D47" i="98"/>
  <c r="K46" i="98"/>
  <c r="O44" i="98"/>
  <c r="G178" i="98"/>
  <c r="S173" i="98"/>
  <c r="E165" i="98"/>
  <c r="R160" i="98"/>
  <c r="G154" i="98"/>
  <c r="L146" i="98"/>
  <c r="F144" i="98"/>
  <c r="E137" i="98"/>
  <c r="P134" i="98"/>
  <c r="J132" i="98"/>
  <c r="D130" i="98"/>
  <c r="D119" i="98"/>
  <c r="J117" i="98"/>
  <c r="Q114" i="98"/>
  <c r="L113" i="98"/>
  <c r="R110" i="98"/>
  <c r="M109" i="98"/>
  <c r="S106" i="98"/>
  <c r="N105" i="98"/>
  <c r="D103" i="98"/>
  <c r="E99" i="98"/>
  <c r="S97" i="98"/>
  <c r="P96" i="98"/>
  <c r="G90" i="98"/>
  <c r="D89" i="98"/>
  <c r="R87" i="98"/>
  <c r="I84" i="98"/>
  <c r="F83" i="98"/>
  <c r="C82" i="98"/>
  <c r="K78" i="98"/>
  <c r="H77" i="98"/>
  <c r="S74" i="98"/>
  <c r="P73" i="98"/>
  <c r="G70" i="98"/>
  <c r="R67" i="98"/>
  <c r="O66" i="98"/>
  <c r="L62" i="98"/>
  <c r="I61" i="98"/>
  <c r="C59" i="98"/>
  <c r="K55" i="98"/>
  <c r="L52" i="98"/>
  <c r="K51" i="98"/>
  <c r="N50" i="98"/>
  <c r="M49" i="98"/>
  <c r="L48" i="98"/>
  <c r="O47" i="98"/>
  <c r="N46" i="98"/>
  <c r="K42" i="98"/>
  <c r="R41" i="98"/>
  <c r="H41" i="98"/>
  <c r="O40" i="98"/>
  <c r="E40" i="98"/>
  <c r="L39" i="98"/>
  <c r="P37" i="98"/>
  <c r="F37" i="98"/>
  <c r="M33" i="98"/>
  <c r="G31" i="98"/>
  <c r="N30" i="98"/>
  <c r="K29" i="98"/>
  <c r="H28" i="98"/>
  <c r="O27" i="98"/>
  <c r="E27" i="98"/>
  <c r="L26" i="98"/>
  <c r="I25" i="98"/>
  <c r="M23" i="98"/>
  <c r="Q21" i="98"/>
  <c r="G21" i="98"/>
  <c r="N20" i="98"/>
  <c r="D20" i="98"/>
  <c r="K19" i="98"/>
  <c r="O17" i="98"/>
  <c r="E17" i="98"/>
  <c r="I15" i="98"/>
  <c r="P14" i="98"/>
  <c r="M13" i="98"/>
  <c r="C13" i="98"/>
  <c r="Q11" i="98"/>
  <c r="N10" i="98"/>
  <c r="D10" i="98"/>
  <c r="R8" i="98"/>
  <c r="R177" i="98"/>
  <c r="Q173" i="98"/>
  <c r="Q164" i="98"/>
  <c r="K156" i="98"/>
  <c r="P148" i="98"/>
  <c r="D144" i="98"/>
  <c r="O141" i="98"/>
  <c r="I139" i="98"/>
  <c r="H132" i="98"/>
  <c r="S129" i="98"/>
  <c r="R127" i="98"/>
  <c r="C126" i="98"/>
  <c r="D116" i="98"/>
  <c r="J113" i="98"/>
  <c r="E112" i="98"/>
  <c r="Q110" i="98"/>
  <c r="G108" i="98"/>
  <c r="R106" i="98"/>
  <c r="M105" i="98"/>
  <c r="I100" i="98"/>
  <c r="D99" i="98"/>
  <c r="O96" i="98"/>
  <c r="L95" i="98"/>
  <c r="I91" i="98"/>
  <c r="C89" i="98"/>
  <c r="K85" i="98"/>
  <c r="E83" i="98"/>
  <c r="S81" i="98"/>
  <c r="P80" i="98"/>
  <c r="M79" i="98"/>
  <c r="G77" i="98"/>
  <c r="D76" i="98"/>
  <c r="I71" i="98"/>
  <c r="C69" i="98"/>
  <c r="Q67" i="98"/>
  <c r="N66" i="98"/>
  <c r="K62" i="98"/>
  <c r="H61" i="98"/>
  <c r="S58" i="98"/>
  <c r="J55" i="98"/>
  <c r="K52" i="98"/>
  <c r="J51" i="98"/>
  <c r="L50" i="98"/>
  <c r="K48" i="98"/>
  <c r="M47" i="98"/>
  <c r="L45" i="98"/>
  <c r="R44" i="98"/>
  <c r="G44" i="98"/>
  <c r="G41" i="98"/>
  <c r="N40" i="98"/>
  <c r="D40" i="98"/>
  <c r="R38" i="98"/>
  <c r="H38" i="98"/>
  <c r="O37" i="98"/>
  <c r="E37" i="98"/>
  <c r="L33" i="98"/>
  <c r="P31" i="98"/>
  <c r="J29" i="98"/>
  <c r="Q28" i="98"/>
  <c r="G28" i="98"/>
  <c r="N27" i="98"/>
  <c r="K26" i="98"/>
  <c r="R25" i="98"/>
  <c r="O24" i="98"/>
  <c r="E24" i="98"/>
  <c r="I22" i="98"/>
  <c r="M20" i="98"/>
  <c r="C20" i="98"/>
  <c r="J19" i="98"/>
  <c r="Q18" i="98"/>
  <c r="N17" i="98"/>
  <c r="K16" i="98"/>
  <c r="R15" i="98"/>
  <c r="E14" i="98"/>
  <c r="L13" i="98"/>
  <c r="I12" i="98"/>
  <c r="P11" i="98"/>
  <c r="C10" i="98"/>
  <c r="Q8" i="98"/>
  <c r="G8" i="98"/>
  <c r="P177" i="98"/>
  <c r="P168" i="98"/>
  <c r="O164" i="98"/>
  <c r="C160" i="98"/>
  <c r="P143" i="98"/>
  <c r="J141" i="98"/>
  <c r="D139" i="98"/>
  <c r="O136" i="98"/>
  <c r="I134" i="98"/>
  <c r="O129" i="98"/>
  <c r="Q127" i="98"/>
  <c r="S118" i="98"/>
  <c r="C116" i="98"/>
  <c r="I113" i="98"/>
  <c r="D112" i="98"/>
  <c r="P110" i="98"/>
  <c r="K109" i="98"/>
  <c r="G104" i="98"/>
  <c r="S102" i="98"/>
  <c r="H100" i="98"/>
  <c r="C99" i="98"/>
  <c r="Q97" i="98"/>
  <c r="H91" i="98"/>
  <c r="E90" i="98"/>
  <c r="P87" i="98"/>
  <c r="J85" i="98"/>
  <c r="D83" i="98"/>
  <c r="R81" i="98"/>
  <c r="L79" i="98"/>
  <c r="I78" i="98"/>
  <c r="F77" i="98"/>
  <c r="N73" i="98"/>
  <c r="K72" i="98"/>
  <c r="P67" i="98"/>
  <c r="M66" i="98"/>
  <c r="J62" i="98"/>
  <c r="G61" i="98"/>
  <c r="R58" i="98"/>
  <c r="O57" i="98"/>
  <c r="L56" i="98"/>
  <c r="G53" i="98"/>
  <c r="H50" i="98"/>
  <c r="K49" i="98"/>
  <c r="I47" i="98"/>
  <c r="L46" i="98"/>
  <c r="K45" i="98"/>
  <c r="F44" i="98"/>
  <c r="L43" i="98"/>
  <c r="S42" i="98"/>
  <c r="C40" i="98"/>
  <c r="J39" i="98"/>
  <c r="G38" i="98"/>
  <c r="N37" i="98"/>
  <c r="D37" i="98"/>
  <c r="K33" i="98"/>
  <c r="R32" i="98"/>
  <c r="O31" i="98"/>
  <c r="L30" i="98"/>
  <c r="F28" i="98"/>
  <c r="M27" i="98"/>
  <c r="C27" i="98"/>
  <c r="J26" i="98"/>
  <c r="Q25" i="98"/>
  <c r="K23" i="98"/>
  <c r="R22" i="98"/>
  <c r="H22" i="98"/>
  <c r="E21" i="98"/>
  <c r="S19" i="98"/>
  <c r="I19" i="98"/>
  <c r="P18" i="98"/>
  <c r="J16" i="98"/>
  <c r="Q15" i="98"/>
  <c r="G15" i="98"/>
  <c r="N14" i="98"/>
  <c r="K13" i="98"/>
  <c r="R12" i="98"/>
  <c r="L10" i="98"/>
  <c r="I9" i="98"/>
  <c r="P8" i="98"/>
  <c r="F8" i="98"/>
  <c r="R176" i="98"/>
  <c r="N172" i="98"/>
  <c r="O159" i="98"/>
  <c r="O153" i="98"/>
  <c r="I148" i="98"/>
  <c r="H141" i="98"/>
  <c r="S138" i="98"/>
  <c r="G134" i="98"/>
  <c r="R131" i="98"/>
  <c r="M129" i="98"/>
  <c r="O120" i="98"/>
  <c r="Q118" i="98"/>
  <c r="R115" i="98"/>
  <c r="G113" i="98"/>
  <c r="N110" i="98"/>
  <c r="H109" i="98"/>
  <c r="O106" i="98"/>
  <c r="J105" i="98"/>
  <c r="P102" i="98"/>
  <c r="R98" i="98"/>
  <c r="O97" i="98"/>
  <c r="L96" i="98"/>
  <c r="I95" i="98"/>
  <c r="Q88" i="98"/>
  <c r="N87" i="98"/>
  <c r="H85" i="98"/>
  <c r="P81" i="98"/>
  <c r="M80" i="98"/>
  <c r="J79" i="98"/>
  <c r="D77" i="98"/>
  <c r="R75" i="98"/>
  <c r="L73" i="98"/>
  <c r="F71" i="98"/>
  <c r="C70" i="98"/>
  <c r="K66" i="98"/>
  <c r="E61" i="98"/>
  <c r="P58" i="98"/>
  <c r="M57" i="98"/>
  <c r="J56" i="98"/>
  <c r="G55" i="98"/>
  <c r="G54" i="98"/>
  <c r="H51" i="98"/>
  <c r="H47" i="98"/>
  <c r="J46" i="98"/>
  <c r="J45" i="98"/>
  <c r="P44" i="98"/>
  <c r="D44" i="98"/>
  <c r="K43" i="98"/>
  <c r="R42" i="98"/>
  <c r="L40" i="98"/>
  <c r="P38" i="98"/>
  <c r="F38" i="98"/>
  <c r="M37" i="98"/>
  <c r="C37" i="98"/>
  <c r="J33" i="98"/>
  <c r="G32" i="98"/>
  <c r="K30" i="98"/>
  <c r="R29" i="98"/>
  <c r="H29" i="98"/>
  <c r="L27" i="98"/>
  <c r="I26" i="98"/>
  <c r="P25" i="98"/>
  <c r="M24" i="98"/>
  <c r="J23" i="98"/>
  <c r="Q22" i="98"/>
  <c r="G22" i="98"/>
  <c r="N21" i="98"/>
  <c r="R19" i="98"/>
  <c r="E18" i="98"/>
  <c r="L17" i="98"/>
  <c r="I16" i="98"/>
  <c r="P15" i="98"/>
  <c r="M14" i="98"/>
  <c r="C14" i="98"/>
  <c r="J13" i="98"/>
  <c r="N11" i="98"/>
  <c r="D11" i="98"/>
  <c r="O8" i="98"/>
  <c r="E8" i="98"/>
  <c r="M176" i="98"/>
  <c r="L172" i="98"/>
  <c r="P167" i="98"/>
  <c r="M159" i="98"/>
  <c r="E153" i="98"/>
  <c r="J145" i="98"/>
  <c r="O140" i="98"/>
  <c r="C136" i="98"/>
  <c r="N133" i="98"/>
  <c r="D129" i="98"/>
  <c r="F127" i="98"/>
  <c r="F120" i="98"/>
  <c r="H118" i="98"/>
  <c r="Q116" i="98"/>
  <c r="G114" i="98"/>
  <c r="S112" i="98"/>
  <c r="C109" i="98"/>
  <c r="I106" i="98"/>
  <c r="D105" i="98"/>
  <c r="P103" i="98"/>
  <c r="K102" i="98"/>
  <c r="F101" i="98"/>
  <c r="M98" i="98"/>
  <c r="J97" i="98"/>
  <c r="R90" i="98"/>
  <c r="L88" i="98"/>
  <c r="I87" i="98"/>
  <c r="F86" i="98"/>
  <c r="C85" i="98"/>
  <c r="Q83" i="98"/>
  <c r="K81" i="98"/>
  <c r="S77" i="98"/>
  <c r="P76" i="98"/>
  <c r="M75" i="98"/>
  <c r="G73" i="98"/>
  <c r="D72" i="98"/>
  <c r="R70" i="98"/>
  <c r="O69" i="98"/>
  <c r="C62" i="98"/>
  <c r="Q60" i="98"/>
  <c r="N59" i="98"/>
  <c r="K58" i="98"/>
  <c r="H57" i="98"/>
  <c r="C55" i="98"/>
  <c r="E53" i="98"/>
  <c r="D52" i="98"/>
  <c r="E49" i="98"/>
  <c r="H48" i="98"/>
  <c r="G47" i="98"/>
  <c r="F46" i="98"/>
  <c r="I45" i="98"/>
  <c r="K176" i="98"/>
  <c r="J167" i="98"/>
  <c r="Q158" i="98"/>
  <c r="D153" i="98"/>
  <c r="O147" i="98"/>
  <c r="I145" i="98"/>
  <c r="C143" i="98"/>
  <c r="N140" i="98"/>
  <c r="H138" i="98"/>
  <c r="S135" i="98"/>
  <c r="C129" i="98"/>
  <c r="C125" i="98"/>
  <c r="E120" i="98"/>
  <c r="G118" i="98"/>
  <c r="P116" i="98"/>
  <c r="K115" i="98"/>
  <c r="F114" i="98"/>
  <c r="L111" i="98"/>
  <c r="G110" i="98"/>
  <c r="H106" i="98"/>
  <c r="C105" i="98"/>
  <c r="O103" i="98"/>
  <c r="J102" i="98"/>
  <c r="D101" i="98"/>
  <c r="L98" i="98"/>
  <c r="I97" i="98"/>
  <c r="F96" i="98"/>
  <c r="C95" i="98"/>
  <c r="K88" i="98"/>
  <c r="H87" i="98"/>
  <c r="E86" i="98"/>
  <c r="P83" i="98"/>
  <c r="M82" i="98"/>
  <c r="J81" i="98"/>
  <c r="G80" i="98"/>
  <c r="D79" i="98"/>
  <c r="O76" i="98"/>
  <c r="I74" i="98"/>
  <c r="C72" i="98"/>
  <c r="Q70" i="98"/>
  <c r="N69" i="98"/>
  <c r="K68" i="98"/>
  <c r="H67" i="98"/>
  <c r="E66" i="98"/>
  <c r="P60" i="98"/>
  <c r="M59" i="98"/>
  <c r="D56" i="98"/>
  <c r="S54" i="98"/>
  <c r="D54" i="98"/>
  <c r="D53" i="98"/>
  <c r="C52" i="98"/>
  <c r="E51" i="98"/>
  <c r="D49" i="98"/>
  <c r="F47" i="98"/>
  <c r="E46" i="98"/>
  <c r="I170" i="98"/>
  <c r="E166" i="98"/>
  <c r="D162" i="98"/>
  <c r="N157" i="98"/>
  <c r="R154" i="98"/>
  <c r="Q144" i="98"/>
  <c r="K142" i="98"/>
  <c r="E140" i="98"/>
  <c r="P137" i="98"/>
  <c r="D133" i="98"/>
  <c r="O130" i="98"/>
  <c r="L128" i="98"/>
  <c r="N126" i="98"/>
  <c r="Q117" i="98"/>
  <c r="L116" i="98"/>
  <c r="F115" i="98"/>
  <c r="R113" i="98"/>
  <c r="M112" i="98"/>
  <c r="C110" i="98"/>
  <c r="N108" i="98"/>
  <c r="D106" i="98"/>
  <c r="J103" i="98"/>
  <c r="E102" i="98"/>
  <c r="Q100" i="98"/>
  <c r="L99" i="98"/>
  <c r="H98" i="98"/>
  <c r="E97" i="98"/>
  <c r="M90" i="98"/>
  <c r="J89" i="98"/>
  <c r="D87" i="98"/>
  <c r="R85" i="98"/>
  <c r="O84" i="98"/>
  <c r="L83" i="98"/>
  <c r="I82" i="98"/>
  <c r="F81" i="98"/>
  <c r="Q78" i="98"/>
  <c r="K76" i="98"/>
  <c r="E74" i="98"/>
  <c r="S72" i="98"/>
  <c r="P71" i="98"/>
  <c r="M70" i="98"/>
  <c r="J69" i="98"/>
  <c r="D67" i="98"/>
  <c r="R62" i="98"/>
  <c r="O61" i="98"/>
  <c r="F58" i="98"/>
  <c r="C57" i="98"/>
  <c r="Q55" i="98"/>
  <c r="P54" i="98"/>
  <c r="N52" i="98"/>
  <c r="Q51" i="98"/>
  <c r="P50" i="98"/>
  <c r="O49" i="98"/>
  <c r="R48" i="98"/>
  <c r="S45" i="98"/>
  <c r="D45" i="98"/>
  <c r="P43" i="98"/>
  <c r="F43" i="98"/>
  <c r="M42" i="98"/>
  <c r="C42" i="98"/>
  <c r="J41" i="98"/>
  <c r="Q40" i="98"/>
  <c r="N39" i="98"/>
  <c r="R37" i="98"/>
  <c r="H37" i="98"/>
  <c r="O33" i="98"/>
  <c r="E33" i="98"/>
  <c r="L32" i="98"/>
  <c r="S31" i="98"/>
  <c r="I31" i="98"/>
  <c r="F30" i="98"/>
  <c r="C29" i="98"/>
  <c r="Q27" i="98"/>
  <c r="G27" i="98"/>
  <c r="N26" i="98"/>
  <c r="D26" i="98"/>
  <c r="K25" i="98"/>
  <c r="R24" i="98"/>
  <c r="E23" i="98"/>
  <c r="L22" i="98"/>
  <c r="S21" i="98"/>
  <c r="P20" i="98"/>
  <c r="F20" i="98"/>
  <c r="M19" i="98"/>
  <c r="C19" i="98"/>
  <c r="J18" i="98"/>
  <c r="N16" i="98"/>
  <c r="D16" i="98"/>
  <c r="K15" i="98"/>
  <c r="R14" i="98"/>
  <c r="O13" i="98"/>
  <c r="E13" i="98"/>
  <c r="L12" i="98"/>
  <c r="I11" i="98"/>
  <c r="F10" i="98"/>
  <c r="M9" i="98"/>
  <c r="C9" i="98"/>
  <c r="J8" i="98"/>
  <c r="E9" i="98"/>
  <c r="K11" i="98"/>
  <c r="Q13" i="98"/>
  <c r="C15" i="98"/>
  <c r="I17" i="98"/>
  <c r="L18" i="98"/>
  <c r="O19" i="98"/>
  <c r="R20" i="98"/>
  <c r="D22" i="98"/>
  <c r="G23" i="98"/>
  <c r="P26" i="98"/>
  <c r="S27" i="98"/>
  <c r="H30" i="98"/>
  <c r="K31" i="98"/>
  <c r="N32" i="98"/>
  <c r="Q33" i="98"/>
  <c r="C38" i="98"/>
  <c r="I40" i="98"/>
  <c r="L41" i="98"/>
  <c r="R43" i="98"/>
  <c r="P48" i="98"/>
  <c r="R51" i="98"/>
  <c r="R54" i="98"/>
  <c r="D59" i="98"/>
  <c r="M69" i="98"/>
  <c r="Q73" i="98"/>
  <c r="P77" i="98"/>
  <c r="I81" i="98"/>
  <c r="M85" i="98"/>
  <c r="E96" i="98"/>
  <c r="K100" i="98"/>
  <c r="R104" i="98"/>
  <c r="M113" i="98"/>
  <c r="D118" i="98"/>
  <c r="C127" i="98"/>
  <c r="Q134" i="98"/>
  <c r="M142" i="98"/>
  <c r="S149" i="98"/>
  <c r="C8" i="98"/>
  <c r="F9" i="98"/>
  <c r="L11" i="98"/>
  <c r="O12" i="98"/>
  <c r="R13" i="98"/>
  <c r="D15" i="98"/>
  <c r="G16" i="98"/>
  <c r="J17" i="98"/>
  <c r="M18" i="98"/>
  <c r="S20" i="98"/>
  <c r="H23" i="98"/>
  <c r="K24" i="98"/>
  <c r="N25" i="98"/>
  <c r="Q26" i="98"/>
  <c r="C28" i="98"/>
  <c r="F29" i="98"/>
  <c r="I30" i="98"/>
  <c r="L31" i="98"/>
  <c r="D38" i="98"/>
  <c r="G39" i="98"/>
  <c r="J40" i="98"/>
  <c r="M41" i="98"/>
  <c r="P42" i="98"/>
  <c r="S43" i="98"/>
  <c r="Q45" i="98"/>
  <c r="S48" i="98"/>
  <c r="S51" i="98"/>
  <c r="D66" i="98"/>
  <c r="H70" i="98"/>
  <c r="G74" i="98"/>
  <c r="Q77" i="98"/>
  <c r="D82" i="98"/>
  <c r="C86" i="98"/>
  <c r="M89" i="98"/>
  <c r="Q96" i="98"/>
  <c r="S104" i="98"/>
  <c r="C114" i="98"/>
  <c r="E118" i="98"/>
  <c r="F128" i="98"/>
  <c r="L135" i="98"/>
  <c r="R142" i="98"/>
  <c r="H154" i="98"/>
  <c r="K166" i="98"/>
  <c r="D8" i="98"/>
  <c r="J10" i="98"/>
  <c r="M11" i="98"/>
  <c r="P12" i="98"/>
  <c r="S13" i="98"/>
  <c r="E15" i="98"/>
  <c r="H16" i="98"/>
  <c r="N18" i="98"/>
  <c r="Q19" i="98"/>
  <c r="C21" i="98"/>
  <c r="I23" i="98"/>
  <c r="L24" i="98"/>
  <c r="O25" i="98"/>
  <c r="R26" i="98"/>
  <c r="D28" i="98"/>
  <c r="J30" i="98"/>
  <c r="M31" i="98"/>
  <c r="P32" i="98"/>
  <c r="S33" i="98"/>
  <c r="H39" i="98"/>
  <c r="K40" i="98"/>
  <c r="N41" i="98"/>
  <c r="Q42" i="98"/>
  <c r="C46" i="98"/>
  <c r="C49" i="98"/>
  <c r="M52" i="98"/>
  <c r="S55" i="98"/>
  <c r="L59" i="98"/>
  <c r="O70" i="98"/>
  <c r="H74" i="98"/>
  <c r="L78" i="98"/>
  <c r="D86" i="98"/>
  <c r="H90" i="98"/>
  <c r="G97" i="98"/>
  <c r="C101" i="98"/>
  <c r="O105" i="98"/>
  <c r="E110" i="98"/>
  <c r="H119" i="98"/>
  <c r="R128" i="98"/>
  <c r="G144" i="98"/>
  <c r="C155" i="98"/>
  <c r="H167" i="98"/>
  <c r="I8" i="98"/>
  <c r="L9" i="98"/>
  <c r="O10" i="98"/>
  <c r="R11" i="98"/>
  <c r="G14" i="98"/>
  <c r="M16" i="98"/>
  <c r="P17" i="98"/>
  <c r="S18" i="98"/>
  <c r="E20" i="98"/>
  <c r="H21" i="98"/>
  <c r="K22" i="98"/>
  <c r="N23" i="98"/>
  <c r="Q24" i="98"/>
  <c r="I28" i="98"/>
  <c r="L29" i="98"/>
  <c r="O30" i="98"/>
  <c r="R31" i="98"/>
  <c r="D33" i="98"/>
  <c r="G37" i="98"/>
  <c r="J38" i="98"/>
  <c r="M39" i="98"/>
  <c r="P40" i="98"/>
  <c r="I44" i="98"/>
  <c r="D46" i="98"/>
  <c r="N49" i="98"/>
  <c r="R52" i="98"/>
  <c r="C56" i="98"/>
  <c r="G60" i="98"/>
  <c r="F67" i="98"/>
  <c r="P70" i="98"/>
  <c r="S78" i="98"/>
  <c r="P86" i="98"/>
  <c r="O90" i="98"/>
  <c r="H97" i="98"/>
  <c r="Q101" i="98"/>
  <c r="F106" i="98"/>
  <c r="F110" i="98"/>
  <c r="R114" i="98"/>
  <c r="S128" i="98"/>
  <c r="F137" i="98"/>
  <c r="H155" i="98"/>
  <c r="D170" i="98"/>
  <c r="N9" i="98"/>
  <c r="Q10" i="98"/>
  <c r="C12" i="98"/>
  <c r="I14" i="98"/>
  <c r="L15" i="98"/>
  <c r="O16" i="98"/>
  <c r="R17" i="98"/>
  <c r="D19" i="98"/>
  <c r="J21" i="98"/>
  <c r="M22" i="98"/>
  <c r="P23" i="98"/>
  <c r="S24" i="98"/>
  <c r="H27" i="98"/>
  <c r="K28" i="98"/>
  <c r="N29" i="98"/>
  <c r="Q30" i="98"/>
  <c r="F33" i="98"/>
  <c r="I37" i="98"/>
  <c r="L38" i="98"/>
  <c r="O39" i="98"/>
  <c r="R40" i="98"/>
  <c r="G43" i="98"/>
  <c r="K44" i="98"/>
  <c r="O46" i="98"/>
  <c r="C53" i="98"/>
  <c r="O56" i="98"/>
  <c r="N60" i="98"/>
  <c r="G67" i="98"/>
  <c r="K71" i="98"/>
  <c r="J75" i="98"/>
  <c r="G83" i="98"/>
  <c r="F87" i="98"/>
  <c r="C98" i="98"/>
  <c r="G102" i="98"/>
  <c r="G106" i="98"/>
  <c r="S110" i="98"/>
  <c r="I115" i="98"/>
  <c r="D120" i="98"/>
  <c r="E130" i="98"/>
  <c r="G145" i="98"/>
  <c r="G171" i="98"/>
  <c r="R10" i="98"/>
  <c r="D12" i="98"/>
  <c r="G13" i="98"/>
  <c r="J14" i="98"/>
  <c r="M15" i="98"/>
  <c r="P16" i="98"/>
  <c r="S17" i="98"/>
  <c r="E19" i="98"/>
  <c r="H20" i="98"/>
  <c r="Q23" i="98"/>
  <c r="C25" i="98"/>
  <c r="F26" i="98"/>
  <c r="I27" i="98"/>
  <c r="L28" i="98"/>
  <c r="O29" i="98"/>
  <c r="R30" i="98"/>
  <c r="D32" i="98"/>
  <c r="J37" i="98"/>
  <c r="P39" i="98"/>
  <c r="S40" i="98"/>
  <c r="E42" i="98"/>
  <c r="H43" i="98"/>
  <c r="L44" i="98"/>
  <c r="C47" i="98"/>
  <c r="D50" i="98"/>
  <c r="E57" i="98"/>
  <c r="O60" i="98"/>
  <c r="R71" i="98"/>
  <c r="K75" i="98"/>
  <c r="O79" i="98"/>
  <c r="N83" i="98"/>
  <c r="G87" i="98"/>
  <c r="K91" i="98"/>
  <c r="I102" i="98"/>
  <c r="D107" i="98"/>
  <c r="J111" i="98"/>
  <c r="G124" i="98"/>
  <c r="Q130" i="98"/>
  <c r="F138" i="98"/>
  <c r="M146" i="98"/>
  <c r="J158" i="98"/>
  <c r="G78" i="39"/>
  <c r="R67" i="39"/>
  <c r="R90" i="39"/>
  <c r="K77" i="39"/>
  <c r="R88" i="39"/>
  <c r="Y31" i="39"/>
  <c r="E28" i="39"/>
  <c r="Z134" i="39"/>
  <c r="L139" i="39"/>
  <c r="Y145" i="39"/>
  <c r="O100" i="39"/>
  <c r="O140" i="39"/>
  <c r="H157" i="39"/>
  <c r="F29" i="39"/>
  <c r="V149" i="39"/>
  <c r="K31" i="39"/>
  <c r="G151" i="39"/>
  <c r="F117" i="39"/>
  <c r="N139" i="39"/>
  <c r="K23" i="99"/>
  <c r="L114" i="99"/>
  <c r="E112" i="9"/>
  <c r="H74" i="99"/>
  <c r="J16" i="9"/>
  <c r="C12" i="9"/>
  <c r="J107" i="9"/>
  <c r="E34" i="99"/>
  <c r="D31" i="9"/>
  <c r="K113" i="90"/>
  <c r="L83" i="90"/>
  <c r="F130" i="90"/>
  <c r="I132" i="90"/>
  <c r="E87" i="9"/>
  <c r="AC84" i="13"/>
  <c r="C66" i="9"/>
  <c r="E30" i="9"/>
  <c r="H107" i="99"/>
  <c r="L90" i="9"/>
  <c r="J58" i="9"/>
  <c r="D80" i="99"/>
  <c r="H119" i="90"/>
  <c r="L40" i="90"/>
  <c r="L18" i="90" s="1"/>
  <c r="C104" i="9"/>
  <c r="I10" i="9"/>
  <c r="J89" i="99"/>
  <c r="L47" i="90"/>
  <c r="L25" i="90" s="1"/>
  <c r="J110" i="90"/>
  <c r="K129" i="90"/>
  <c r="D100" i="90"/>
  <c r="D80" i="90"/>
  <c r="M57" i="90"/>
  <c r="F96" i="90"/>
  <c r="N65" i="90"/>
  <c r="E87" i="90"/>
  <c r="F63" i="90"/>
  <c r="D101" i="90"/>
  <c r="G90" i="90"/>
  <c r="H67" i="90"/>
  <c r="M46" i="90"/>
  <c r="M24" i="90" s="1"/>
  <c r="J122" i="90"/>
  <c r="G135" i="90"/>
  <c r="H130" i="90"/>
  <c r="E122" i="90"/>
  <c r="O75" i="90"/>
  <c r="O106" i="90"/>
  <c r="L99" i="90"/>
  <c r="F125" i="90"/>
  <c r="G110" i="90"/>
  <c r="O128" i="90"/>
  <c r="H76" i="90"/>
  <c r="C70" i="90"/>
  <c r="L57" i="90"/>
  <c r="O109" i="90"/>
  <c r="J136" i="90"/>
  <c r="K64" i="90"/>
  <c r="E58" i="90"/>
  <c r="H48" i="90"/>
  <c r="H26" i="90" s="1"/>
  <c r="E16" i="94"/>
  <c r="G30" i="94"/>
  <c r="G21" i="94"/>
  <c r="H16" i="94"/>
  <c r="C85" i="94"/>
  <c r="L81" i="94"/>
  <c r="J81" i="94"/>
  <c r="N75" i="94"/>
  <c r="G56" i="94"/>
  <c r="K47" i="94"/>
  <c r="H32" i="94"/>
  <c r="J11" i="94"/>
  <c r="L8" i="94"/>
  <c r="D64" i="94"/>
  <c r="F56" i="94"/>
  <c r="I19" i="94"/>
  <c r="C16" i="94"/>
  <c r="J44" i="94"/>
  <c r="L33" i="94"/>
  <c r="F77" i="94"/>
  <c r="I69" i="94"/>
  <c r="H23" i="94"/>
  <c r="F65" i="94"/>
  <c r="G47" i="94"/>
  <c r="L107" i="90"/>
  <c r="O123" i="90"/>
  <c r="L122" i="90"/>
  <c r="M35" i="94"/>
  <c r="L92" i="90"/>
  <c r="I36" i="90"/>
  <c r="I14" i="90" s="1"/>
  <c r="N60" i="94"/>
  <c r="R124" i="98"/>
  <c r="E73" i="98"/>
  <c r="Q37" i="98"/>
  <c r="I58" i="98"/>
  <c r="E103" i="98"/>
  <c r="K18" i="98"/>
  <c r="C41" i="98"/>
  <c r="P112" i="98"/>
  <c r="R21" i="98"/>
  <c r="P53" i="98"/>
  <c r="L162" i="98"/>
  <c r="S28" i="98"/>
  <c r="J61" i="98"/>
  <c r="F76" i="98"/>
  <c r="K107" i="98"/>
  <c r="L158" i="98"/>
  <c r="F19" i="98"/>
  <c r="E32" i="98"/>
  <c r="E131" i="98"/>
  <c r="J88" i="98"/>
  <c r="R84" i="98"/>
  <c r="Q14" i="98"/>
  <c r="P33" i="98"/>
  <c r="N99" i="98"/>
  <c r="C18" i="98"/>
  <c r="Q43" i="98"/>
  <c r="F133" i="98"/>
  <c r="D25" i="98"/>
  <c r="E89" i="98"/>
  <c r="J104" i="98"/>
  <c r="N149" i="98"/>
  <c r="C102" i="46"/>
  <c r="Z35" i="46"/>
  <c r="AA146" i="46"/>
  <c r="G52" i="46"/>
  <c r="N61" i="46"/>
  <c r="AA25" i="46"/>
  <c r="W124" i="46"/>
  <c r="Q146" i="46"/>
  <c r="Z8" i="46"/>
  <c r="Z123" i="46"/>
  <c r="D132" i="46"/>
  <c r="R34" i="46"/>
  <c r="N67" i="46"/>
  <c r="O83" i="46"/>
  <c r="V130" i="46"/>
  <c r="P96" i="46"/>
  <c r="V123" i="46"/>
  <c r="M151" i="46"/>
  <c r="G149" i="46"/>
  <c r="E136" i="46"/>
  <c r="D77" i="46"/>
  <c r="X104" i="46"/>
  <c r="J39" i="46"/>
  <c r="T157" i="46"/>
  <c r="O109" i="46"/>
  <c r="S54" i="46"/>
  <c r="F141" i="46"/>
  <c r="P133" i="46"/>
  <c r="AA58" i="46"/>
  <c r="Z47" i="46"/>
  <c r="G89" i="46"/>
  <c r="K127" i="46"/>
  <c r="R93" i="46"/>
  <c r="T31" i="46"/>
  <c r="G122" i="46"/>
  <c r="H110" i="46"/>
  <c r="C85" i="46"/>
  <c r="G134" i="46"/>
  <c r="Q147" i="46"/>
  <c r="L139" i="46"/>
  <c r="U104" i="46"/>
  <c r="R40" i="46"/>
  <c r="Z113" i="46"/>
  <c r="V145" i="46"/>
  <c r="H146" i="46"/>
  <c r="T48" i="46"/>
  <c r="H155" i="46"/>
  <c r="F85" i="46"/>
  <c r="W33" i="46"/>
  <c r="G73" i="46"/>
  <c r="W97" i="46"/>
  <c r="M62" i="46"/>
  <c r="G38" i="46"/>
  <c r="V52" i="46"/>
  <c r="U132" i="46"/>
  <c r="Z50" i="46"/>
  <c r="Y94" i="46"/>
  <c r="K141" i="46"/>
  <c r="Z77" i="46"/>
  <c r="J94" i="46"/>
  <c r="O77" i="46"/>
  <c r="X138" i="46"/>
  <c r="F8" i="46"/>
  <c r="Y79" i="46"/>
  <c r="N94" i="46"/>
  <c r="R14" i="46"/>
  <c r="M57" i="46"/>
  <c r="G44" i="46"/>
  <c r="L21" i="46"/>
  <c r="AA132" i="46"/>
  <c r="I5" i="46"/>
  <c r="T66" i="46"/>
  <c r="S68" i="46"/>
  <c r="X132" i="46"/>
  <c r="R73" i="46"/>
  <c r="L137" i="46"/>
  <c r="E123" i="46"/>
  <c r="H98" i="46"/>
  <c r="G45" i="46"/>
  <c r="F78" i="46"/>
  <c r="AA126" i="46"/>
  <c r="F116" i="46"/>
  <c r="O135" i="46"/>
  <c r="V134" i="46"/>
  <c r="V115" i="46"/>
  <c r="D106" i="46"/>
  <c r="T145" i="46"/>
  <c r="J49" i="46"/>
  <c r="H26" i="46"/>
  <c r="W74" i="46"/>
  <c r="F65" i="46"/>
  <c r="AA38" i="46"/>
  <c r="K65" i="46"/>
  <c r="AA45" i="46"/>
  <c r="S46" i="46"/>
  <c r="K110" i="46"/>
  <c r="R101" i="46"/>
  <c r="R35" i="46"/>
  <c r="T116" i="46"/>
  <c r="T152" i="46"/>
  <c r="R76" i="46"/>
  <c r="U97" i="46"/>
  <c r="E69" i="46"/>
  <c r="O22" i="46"/>
  <c r="C152" i="46"/>
  <c r="P131" i="46"/>
  <c r="I98" i="46"/>
  <c r="V155" i="46"/>
  <c r="H28" i="46"/>
  <c r="Y103" i="46"/>
  <c r="Z137" i="46"/>
  <c r="Q78" i="46"/>
  <c r="K138" i="46"/>
  <c r="M115" i="46"/>
  <c r="H48" i="46"/>
  <c r="L122" i="46"/>
  <c r="N150" i="46"/>
  <c r="H25" i="46"/>
  <c r="L17" i="46"/>
  <c r="I149" i="46"/>
  <c r="O18" i="46"/>
  <c r="N5" i="46"/>
  <c r="X155" i="46"/>
  <c r="N53" i="46"/>
  <c r="D148" i="46"/>
  <c r="X126" i="46"/>
  <c r="D34" i="46"/>
  <c r="E142" i="46"/>
  <c r="T137" i="46"/>
  <c r="R91" i="46"/>
  <c r="X16" i="46"/>
  <c r="M122" i="46"/>
  <c r="N39" i="46"/>
  <c r="AA65" i="46"/>
  <c r="G93" i="46"/>
  <c r="H109" i="46"/>
  <c r="E133" i="46"/>
  <c r="X6" i="46"/>
  <c r="T67" i="46"/>
  <c r="O116" i="46"/>
  <c r="Q115" i="46"/>
  <c r="F125" i="46"/>
  <c r="M63" i="46"/>
  <c r="K114" i="46"/>
  <c r="S122" i="46"/>
  <c r="T10" i="46"/>
  <c r="Z31" i="46"/>
  <c r="Z15" i="46"/>
  <c r="G132" i="46"/>
  <c r="N139" i="46"/>
  <c r="W93" i="46"/>
  <c r="M60" i="46"/>
  <c r="P18" i="46"/>
  <c r="R20" i="46"/>
  <c r="S151" i="46"/>
  <c r="W15" i="46"/>
  <c r="I70" i="46"/>
  <c r="H44" i="46"/>
  <c r="C144" i="46"/>
  <c r="E6" i="46"/>
  <c r="M76" i="46"/>
  <c r="H84" i="46"/>
  <c r="T47" i="46"/>
  <c r="W57" i="46"/>
  <c r="D111" i="46"/>
  <c r="Y87" i="46"/>
  <c r="Q122" i="46"/>
  <c r="O124" i="46"/>
  <c r="J140" i="46"/>
  <c r="H9" i="46"/>
  <c r="Q101" i="46"/>
  <c r="J14" i="46"/>
  <c r="Y108" i="46"/>
  <c r="J111" i="46"/>
  <c r="L76" i="46"/>
  <c r="D149" i="46"/>
  <c r="L39" i="46"/>
  <c r="R62" i="46"/>
  <c r="M95" i="46"/>
  <c r="K103" i="46"/>
  <c r="AA105" i="46"/>
  <c r="F149" i="46"/>
  <c r="X57" i="46"/>
  <c r="P77" i="46"/>
  <c r="L142" i="46"/>
  <c r="R23" i="46"/>
  <c r="T12" i="46"/>
  <c r="H125" i="46"/>
  <c r="Z9" i="46"/>
  <c r="J45" i="46"/>
  <c r="S35" i="46"/>
  <c r="Z135" i="46"/>
  <c r="W47" i="46"/>
  <c r="AA20" i="46"/>
  <c r="W49" i="46"/>
  <c r="V93" i="46"/>
  <c r="L102" i="46"/>
  <c r="K105" i="46"/>
  <c r="V141" i="46"/>
  <c r="N138" i="46"/>
  <c r="D16" i="33"/>
  <c r="D19" i="33"/>
  <c r="D11" i="33"/>
  <c r="D22" i="33"/>
  <c r="D9" i="33"/>
  <c r="D10" i="33"/>
  <c r="D15" i="33"/>
  <c r="D12" i="33"/>
  <c r="D20" i="33"/>
  <c r="D18" i="33"/>
  <c r="D21" i="33"/>
  <c r="D14" i="33"/>
  <c r="D13" i="33"/>
  <c r="D17" i="33"/>
  <c r="D23" i="33"/>
  <c r="AJ23" i="96"/>
  <c r="D30" i="96"/>
  <c r="AW63" i="96"/>
  <c r="AW44" i="96"/>
  <c r="AM73" i="96"/>
  <c r="C70" i="96"/>
  <c r="AP76" i="96"/>
  <c r="AW27" i="96"/>
  <c r="AD96" i="96"/>
  <c r="AG31" i="96"/>
  <c r="AB41" i="96"/>
  <c r="AT29" i="96"/>
  <c r="C73" i="96"/>
  <c r="AL32" i="96"/>
  <c r="AK74" i="96"/>
  <c r="AS79" i="96"/>
  <c r="AK26" i="96"/>
  <c r="M23" i="96"/>
  <c r="AW58" i="96"/>
  <c r="T50" i="96"/>
  <c r="V59" i="96"/>
  <c r="AW14" i="96"/>
  <c r="J49" i="96"/>
  <c r="S50" i="96"/>
  <c r="Z36" i="96"/>
  <c r="V66" i="96"/>
  <c r="J63" i="96"/>
  <c r="X19" i="96"/>
  <c r="D36" i="96"/>
  <c r="V102" i="96"/>
  <c r="AR47" i="96"/>
  <c r="AB33" i="96"/>
  <c r="G24" i="96"/>
  <c r="AK16" i="96"/>
  <c r="J93" i="96"/>
  <c r="AG69" i="96"/>
  <c r="P25" i="96"/>
  <c r="AI53" i="96"/>
  <c r="X33" i="96"/>
  <c r="AJ33" i="96"/>
  <c r="R13" i="96"/>
  <c r="AD74" i="96"/>
  <c r="U14" i="96"/>
  <c r="AH72" i="96"/>
  <c r="AA14" i="96"/>
  <c r="O9" i="96"/>
  <c r="Y74" i="96"/>
  <c r="X32" i="96"/>
  <c r="T91" i="96"/>
  <c r="Q92" i="96"/>
  <c r="G76" i="96"/>
  <c r="C25" i="96"/>
  <c r="J14" i="96"/>
  <c r="AE45" i="96"/>
  <c r="I91" i="96"/>
  <c r="AM58" i="96"/>
  <c r="J70" i="96"/>
  <c r="AN13" i="96"/>
  <c r="AG71" i="96"/>
  <c r="AH19" i="96"/>
  <c r="L99" i="96"/>
  <c r="E50" i="96"/>
  <c r="R70" i="96"/>
  <c r="I93" i="96"/>
  <c r="R33" i="96"/>
  <c r="J19" i="96"/>
  <c r="U24" i="96"/>
  <c r="E23" i="96"/>
  <c r="N24" i="96"/>
  <c r="W21" i="96"/>
  <c r="M67" i="96"/>
  <c r="R86" i="96"/>
  <c r="AM21" i="96"/>
  <c r="U44" i="96"/>
  <c r="AS18" i="96"/>
  <c r="U100" i="96"/>
  <c r="AI60" i="96"/>
  <c r="O35" i="96"/>
  <c r="D50" i="96"/>
  <c r="X57" i="96"/>
  <c r="G36" i="96"/>
  <c r="V40" i="96"/>
  <c r="O52" i="96"/>
  <c r="I18" i="96"/>
  <c r="E28" i="96"/>
  <c r="O18" i="96"/>
  <c r="Q28" i="96"/>
  <c r="AD99" i="96"/>
  <c r="AR36" i="96"/>
  <c r="AQ62" i="96"/>
  <c r="AQ97" i="96"/>
  <c r="F80" i="96"/>
  <c r="AL87" i="96"/>
  <c r="Y13" i="96"/>
  <c r="AM23" i="96"/>
  <c r="AI97" i="96"/>
  <c r="Z49" i="96"/>
  <c r="AA47" i="96"/>
  <c r="U95" i="96"/>
  <c r="Y95" i="96"/>
  <c r="AJ39" i="96"/>
  <c r="AV65" i="96"/>
  <c r="Y31" i="96"/>
  <c r="AR88" i="96"/>
  <c r="AK99" i="96"/>
  <c r="Z100" i="96"/>
  <c r="AE77" i="96"/>
  <c r="AL96" i="96"/>
  <c r="AF35" i="96"/>
  <c r="AN35" i="96"/>
  <c r="AM93" i="96"/>
  <c r="AO41" i="96"/>
  <c r="AV73" i="96"/>
  <c r="AC71" i="96"/>
  <c r="X101" i="96"/>
  <c r="AT36" i="96"/>
  <c r="AF101" i="96"/>
  <c r="AD85" i="96"/>
  <c r="AF36" i="96"/>
  <c r="AH39" i="96"/>
  <c r="AV69" i="96"/>
  <c r="F64" i="96"/>
  <c r="H16" i="96"/>
  <c r="AE92" i="96"/>
  <c r="AF44" i="96"/>
  <c r="AC77" i="96"/>
  <c r="AO31" i="96"/>
  <c r="U26" i="96"/>
  <c r="AV87" i="96"/>
  <c r="D60" i="96"/>
  <c r="U92" i="96"/>
  <c r="H59" i="96"/>
  <c r="I57" i="96"/>
  <c r="AI100" i="96"/>
  <c r="AN52" i="96"/>
  <c r="AB60" i="96"/>
  <c r="AF92" i="96"/>
  <c r="AS89" i="96"/>
  <c r="J75" i="96"/>
  <c r="V85" i="96"/>
  <c r="Q77" i="96"/>
  <c r="AD51" i="96"/>
  <c r="AD71" i="96"/>
  <c r="AM60" i="96"/>
  <c r="AQ12" i="96"/>
  <c r="M77" i="96"/>
  <c r="AF38" i="96"/>
  <c r="R72" i="96"/>
  <c r="C53" i="96"/>
  <c r="U88" i="96"/>
  <c r="J97" i="96"/>
  <c r="N20" i="96"/>
  <c r="L29" i="96"/>
  <c r="AL34" i="96"/>
  <c r="K23" i="96"/>
  <c r="S89" i="96"/>
  <c r="AE8" i="96"/>
  <c r="G38" i="96"/>
  <c r="L47" i="96"/>
  <c r="AG98" i="96"/>
  <c r="F24" i="96"/>
  <c r="F36" i="96"/>
  <c r="Y17" i="96"/>
  <c r="S27" i="96"/>
  <c r="AM26" i="96"/>
  <c r="AN8" i="96"/>
  <c r="K73" i="96"/>
  <c r="AK58" i="96"/>
  <c r="R65" i="96"/>
  <c r="T39" i="96"/>
  <c r="M52" i="96"/>
  <c r="T76" i="96"/>
  <c r="G28" i="96"/>
  <c r="C22" i="96"/>
  <c r="AQ49" i="96"/>
  <c r="AG72" i="96"/>
  <c r="AU68" i="96"/>
  <c r="AN86" i="96"/>
  <c r="N96" i="96"/>
  <c r="W32" i="96"/>
  <c r="AH84" i="96"/>
  <c r="E95" i="96"/>
  <c r="AM15" i="96"/>
  <c r="AJ67" i="96"/>
  <c r="AS10" i="96"/>
  <c r="AD90" i="96"/>
  <c r="V14" i="96"/>
  <c r="AQ71" i="96"/>
  <c r="Q29" i="96"/>
  <c r="K80" i="96"/>
  <c r="F9" i="96"/>
  <c r="H79" i="96"/>
  <c r="AB50" i="96"/>
  <c r="AG16" i="96"/>
  <c r="U69" i="96"/>
  <c r="W94" i="96"/>
  <c r="L36" i="96"/>
  <c r="AF21" i="96"/>
  <c r="Q65" i="96"/>
  <c r="E11" i="96"/>
  <c r="AV8" i="96"/>
  <c r="W20" i="96"/>
  <c r="AU76" i="96"/>
  <c r="Y89" i="96"/>
  <c r="AE24" i="96"/>
  <c r="L100" i="96"/>
  <c r="AC37" i="96"/>
  <c r="R39" i="96"/>
  <c r="K16" i="96"/>
  <c r="AO9" i="96"/>
  <c r="C28" i="96"/>
  <c r="AB31" i="96"/>
  <c r="L94" i="96"/>
  <c r="O50" i="96"/>
  <c r="M59" i="96"/>
  <c r="P81" i="96"/>
  <c r="AW57" i="96"/>
  <c r="L53" i="96"/>
  <c r="AM45" i="96"/>
  <c r="N76" i="96"/>
  <c r="AG23" i="96"/>
  <c r="G8" i="96"/>
  <c r="Q18" i="96"/>
  <c r="E35" i="96"/>
  <c r="O32" i="96"/>
  <c r="C46" i="96"/>
  <c r="R94" i="96"/>
  <c r="AV33" i="96"/>
  <c r="Y35" i="96"/>
  <c r="AH60" i="96"/>
  <c r="I15" i="96"/>
  <c r="Z15" i="96"/>
  <c r="AH96" i="96"/>
  <c r="N65" i="96"/>
  <c r="U48" i="96"/>
  <c r="N64" i="96"/>
  <c r="V93" i="96"/>
  <c r="AG19" i="96"/>
  <c r="W71" i="96"/>
  <c r="F34" i="96"/>
  <c r="D94" i="96"/>
  <c r="AL77" i="96"/>
  <c r="S22" i="96"/>
  <c r="AP71" i="96"/>
  <c r="P101" i="96"/>
  <c r="U38" i="96"/>
  <c r="AQ9" i="96"/>
  <c r="AB28" i="96"/>
  <c r="P39" i="96"/>
  <c r="X36" i="96"/>
  <c r="E90" i="96"/>
  <c r="R87" i="96"/>
  <c r="P24" i="96"/>
  <c r="Z58" i="96"/>
  <c r="V12" i="96"/>
  <c r="M14" i="96"/>
  <c r="W38" i="96"/>
  <c r="Y26" i="96"/>
  <c r="T84" i="96"/>
  <c r="W24" i="96"/>
  <c r="C35" i="96"/>
  <c r="Z84" i="96"/>
  <c r="W78" i="96"/>
  <c r="H17" i="96"/>
  <c r="AM32" i="96"/>
  <c r="Q74" i="96"/>
  <c r="AA100" i="96"/>
  <c r="H60" i="96"/>
  <c r="AD100" i="96"/>
  <c r="AG86" i="96"/>
  <c r="V100" i="96"/>
  <c r="AM96" i="96"/>
  <c r="AQ13" i="96"/>
  <c r="G59" i="96"/>
  <c r="AR35" i="96"/>
  <c r="O112" i="96"/>
  <c r="M72" i="96"/>
  <c r="C71" i="96"/>
  <c r="AS97" i="96"/>
  <c r="L19" i="96"/>
  <c r="C90" i="96"/>
  <c r="AU79" i="96"/>
  <c r="AO47" i="96"/>
  <c r="AF50" i="96"/>
  <c r="AE33" i="96"/>
  <c r="W88" i="96"/>
  <c r="AF15" i="96"/>
  <c r="M88" i="96"/>
  <c r="D66" i="96"/>
  <c r="AO87" i="96"/>
  <c r="AN77" i="96"/>
  <c r="AF41" i="96"/>
  <c r="AD35" i="96"/>
  <c r="Z39" i="96"/>
  <c r="J57" i="96"/>
  <c r="AM51" i="96"/>
  <c r="AT78" i="96"/>
  <c r="AG45" i="96"/>
  <c r="X44" i="96"/>
  <c r="D79" i="96"/>
  <c r="T97" i="96"/>
  <c r="C80" i="96"/>
  <c r="C76" i="96"/>
  <c r="AN71" i="96"/>
  <c r="AF83" i="96"/>
  <c r="AP30" i="96"/>
  <c r="N88" i="96"/>
  <c r="AV80" i="96"/>
  <c r="AI46" i="96"/>
  <c r="AS80" i="96"/>
  <c r="AM27" i="96"/>
  <c r="W96" i="96"/>
  <c r="N39" i="96"/>
  <c r="D68" i="96"/>
  <c r="AG93" i="96"/>
  <c r="AR72" i="96"/>
  <c r="AD81" i="96"/>
  <c r="AS48" i="96"/>
  <c r="AF60" i="96"/>
  <c r="C64" i="96"/>
  <c r="AJ48" i="96"/>
  <c r="AU74" i="96"/>
  <c r="AW78" i="96"/>
  <c r="T46" i="96"/>
  <c r="AP46" i="96"/>
  <c r="R100" i="96"/>
  <c r="Q37" i="96"/>
  <c r="AT95" i="96"/>
  <c r="AJ91" i="96"/>
  <c r="AS29" i="96"/>
  <c r="AI49" i="96"/>
  <c r="AI36" i="96"/>
  <c r="AQ16" i="96"/>
  <c r="AT45" i="96"/>
  <c r="AL49" i="96"/>
  <c r="J58" i="96"/>
  <c r="AU99" i="96"/>
  <c r="AR79" i="96"/>
  <c r="AU29" i="96"/>
  <c r="AJ80" i="96"/>
  <c r="AG35" i="96"/>
  <c r="AN20" i="96"/>
  <c r="C72" i="96"/>
  <c r="G58" i="96"/>
  <c r="AL43" i="96"/>
  <c r="AB48" i="96"/>
  <c r="AV67" i="96"/>
  <c r="AP16" i="96"/>
  <c r="AT92" i="96"/>
  <c r="M44" i="96"/>
  <c r="AP53" i="96"/>
  <c r="AE102" i="96"/>
  <c r="AT83" i="96"/>
  <c r="AQ23" i="96"/>
  <c r="Y82" i="96"/>
  <c r="W17" i="96"/>
  <c r="J59" i="96"/>
  <c r="AF91" i="96"/>
  <c r="AG90" i="96"/>
  <c r="AR33" i="96"/>
  <c r="AD34" i="96"/>
  <c r="AP26" i="96"/>
  <c r="AH65" i="96"/>
  <c r="AN91" i="96"/>
  <c r="AM46" i="96"/>
  <c r="AM82" i="96"/>
  <c r="AW21" i="96"/>
  <c r="AH49" i="96"/>
  <c r="AP19" i="96"/>
  <c r="AI84" i="96"/>
  <c r="AQ87" i="96"/>
  <c r="AH41" i="96"/>
  <c r="AE44" i="96"/>
  <c r="AV86" i="96"/>
  <c r="AK66" i="96"/>
  <c r="AV53" i="96"/>
  <c r="AL52" i="96"/>
  <c r="AS63" i="96"/>
  <c r="AP92" i="96"/>
  <c r="P32" i="96"/>
  <c r="AG47" i="96"/>
  <c r="AD41" i="96"/>
  <c r="AE78" i="96"/>
  <c r="AS96" i="96"/>
  <c r="AV81" i="96"/>
  <c r="AI99" i="96"/>
  <c r="AN93" i="96"/>
  <c r="X42" i="96"/>
  <c r="G53" i="96"/>
  <c r="E74" i="96"/>
  <c r="AQ27" i="96"/>
  <c r="AF89" i="96"/>
  <c r="AI51" i="96"/>
  <c r="AW70" i="96"/>
  <c r="D84" i="96"/>
  <c r="AG48" i="96"/>
  <c r="AM89" i="96"/>
  <c r="C75" i="96"/>
  <c r="AH87" i="96"/>
  <c r="AB86" i="96"/>
  <c r="H62" i="96"/>
  <c r="AV83" i="96"/>
  <c r="AB91" i="96"/>
  <c r="E22" i="96"/>
  <c r="AF53" i="96"/>
  <c r="AJ72" i="96"/>
  <c r="E51" i="96"/>
  <c r="AW13" i="96"/>
  <c r="AS41" i="96"/>
  <c r="AG34" i="96"/>
  <c r="AH92" i="96"/>
  <c r="AU32" i="96"/>
  <c r="D8" i="96"/>
  <c r="AO77" i="96"/>
  <c r="P58" i="96"/>
  <c r="X98" i="96"/>
  <c r="E45" i="96"/>
  <c r="T30" i="96"/>
  <c r="AP68" i="96"/>
  <c r="U23" i="96"/>
  <c r="P63" i="96"/>
  <c r="P91" i="96"/>
  <c r="G74" i="96"/>
  <c r="V19" i="96"/>
  <c r="G25" i="96"/>
  <c r="D26" i="96"/>
  <c r="AS9" i="96"/>
  <c r="S45" i="96"/>
  <c r="AF63" i="96"/>
  <c r="AD67" i="96"/>
  <c r="S84" i="96"/>
  <c r="I43" i="96"/>
  <c r="AE27" i="96"/>
  <c r="Y11" i="96"/>
  <c r="AR22" i="96"/>
  <c r="S16" i="96"/>
  <c r="AA72" i="96"/>
  <c r="N62" i="96"/>
  <c r="AQ24" i="96"/>
  <c r="K74" i="96"/>
  <c r="AC65" i="96"/>
  <c r="L42" i="96"/>
  <c r="AE13" i="96"/>
  <c r="I38" i="96"/>
  <c r="AH14" i="96"/>
  <c r="J16" i="96"/>
  <c r="X15" i="96"/>
  <c r="G9" i="96"/>
  <c r="G73" i="96"/>
  <c r="AA29" i="96"/>
  <c r="AT9" i="96"/>
  <c r="AD20" i="96"/>
  <c r="Z27" i="96"/>
  <c r="V33" i="96"/>
  <c r="N69" i="96"/>
  <c r="U47" i="96"/>
  <c r="N32" i="96"/>
  <c r="D42" i="96"/>
  <c r="Z9" i="96"/>
  <c r="AO61" i="96"/>
  <c r="J32" i="96"/>
  <c r="AT21" i="96"/>
  <c r="T78" i="96"/>
  <c r="AV14" i="96"/>
  <c r="AJ10" i="96"/>
  <c r="AQ79" i="96"/>
  <c r="N46" i="96"/>
  <c r="K79" i="96"/>
  <c r="AA19" i="96"/>
  <c r="K13" i="96"/>
  <c r="AI77" i="96"/>
  <c r="L82" i="96"/>
  <c r="T92" i="96"/>
  <c r="AP11" i="96"/>
  <c r="R73" i="96"/>
  <c r="AJ17" i="96"/>
  <c r="O76" i="96"/>
  <c r="F96" i="96"/>
  <c r="H87" i="96"/>
  <c r="AA99" i="96"/>
  <c r="Y68" i="96"/>
  <c r="AW61" i="96"/>
  <c r="N41" i="96"/>
  <c r="O69" i="96"/>
  <c r="I98" i="96"/>
  <c r="N60" i="96"/>
  <c r="AC89" i="96"/>
  <c r="Q13" i="96"/>
  <c r="F12" i="96"/>
  <c r="O97" i="96"/>
  <c r="AH13" i="96"/>
  <c r="AC21" i="96"/>
  <c r="T25" i="96"/>
  <c r="AR13" i="96"/>
  <c r="G90" i="96"/>
  <c r="C23" i="96"/>
  <c r="D89" i="96"/>
  <c r="R91" i="96"/>
  <c r="AL83" i="96"/>
  <c r="AN23" i="96"/>
  <c r="W41" i="96"/>
  <c r="K34" i="96"/>
  <c r="AV46" i="96"/>
  <c r="V31" i="96"/>
  <c r="O84" i="96"/>
  <c r="R21" i="96"/>
  <c r="K71" i="96"/>
  <c r="AP72" i="96"/>
  <c r="Y40" i="96"/>
  <c r="AA69" i="96"/>
  <c r="N92" i="96"/>
  <c r="V15" i="96"/>
  <c r="AN15" i="96"/>
  <c r="L28" i="96"/>
  <c r="T32" i="96"/>
  <c r="AG24" i="96"/>
  <c r="L61" i="96"/>
  <c r="N68" i="96"/>
  <c r="L89" i="96"/>
  <c r="R64" i="96"/>
  <c r="G45" i="96"/>
  <c r="F23" i="96"/>
  <c r="AQ14" i="96"/>
  <c r="AA71" i="96"/>
  <c r="AE30" i="96"/>
  <c r="R45" i="96"/>
  <c r="F83" i="96"/>
  <c r="M48" i="96"/>
  <c r="F17" i="96"/>
  <c r="P20" i="96"/>
  <c r="S30" i="96"/>
  <c r="AP81" i="96"/>
  <c r="J53" i="96"/>
  <c r="AA27" i="96"/>
  <c r="AB26" i="96"/>
  <c r="AJ11" i="96"/>
  <c r="AI68" i="96"/>
  <c r="AI27" i="96"/>
  <c r="X31" i="96"/>
  <c r="AC18" i="96"/>
  <c r="S68" i="96"/>
  <c r="Q102" i="96"/>
  <c r="P17" i="96"/>
  <c r="W25" i="96"/>
  <c r="AF76" i="96"/>
  <c r="M63" i="96"/>
  <c r="Z78" i="96"/>
  <c r="AC60" i="96"/>
  <c r="AI11" i="96"/>
  <c r="J78" i="96"/>
  <c r="G35" i="96"/>
  <c r="N99" i="96"/>
  <c r="X81" i="96"/>
  <c r="Y29" i="96"/>
  <c r="O83" i="96"/>
  <c r="AA101" i="96"/>
  <c r="Q69" i="96"/>
  <c r="AU58" i="96"/>
  <c r="K61" i="96"/>
  <c r="I51" i="96"/>
  <c r="C31" i="96"/>
  <c r="Q73" i="96"/>
  <c r="G95" i="96"/>
  <c r="AR18" i="96"/>
  <c r="Y44" i="96"/>
  <c r="AV11" i="96"/>
  <c r="AC29" i="96"/>
  <c r="AS23" i="96"/>
  <c r="O96" i="96"/>
  <c r="O93" i="96"/>
  <c r="U57" i="96"/>
  <c r="F28" i="96"/>
  <c r="R96" i="96"/>
  <c r="P89" i="96"/>
  <c r="T26" i="96"/>
  <c r="W68" i="96"/>
  <c r="R77" i="96"/>
  <c r="Q67" i="96"/>
  <c r="J98" i="96"/>
  <c r="I92" i="96"/>
  <c r="E84" i="96"/>
  <c r="AR61" i="96"/>
  <c r="T85" i="96"/>
  <c r="H37" i="96"/>
  <c r="K29" i="96"/>
  <c r="N59" i="96"/>
  <c r="AL90" i="96"/>
  <c r="K88" i="96"/>
  <c r="L15" i="96"/>
  <c r="AK28" i="96"/>
  <c r="S96" i="96"/>
  <c r="AH21" i="96"/>
  <c r="W40" i="96"/>
  <c r="AU14" i="96"/>
  <c r="W28" i="96"/>
  <c r="T65" i="96"/>
  <c r="AJ69" i="96"/>
  <c r="AT63" i="96"/>
  <c r="E96" i="96"/>
  <c r="N83" i="96"/>
  <c r="R80" i="96"/>
  <c r="AW101" i="96"/>
  <c r="AR37" i="96"/>
  <c r="AA51" i="96"/>
  <c r="AQ102" i="96"/>
  <c r="D58" i="96"/>
  <c r="AN36" i="96"/>
  <c r="T86" i="96"/>
  <c r="W61" i="96"/>
  <c r="F65" i="96"/>
  <c r="I62" i="96"/>
  <c r="S14" i="96"/>
  <c r="AQ72" i="96"/>
  <c r="AO26" i="96"/>
  <c r="AA79" i="96"/>
  <c r="AL78" i="96"/>
  <c r="C60" i="96"/>
  <c r="J11" i="96"/>
  <c r="AN44" i="96"/>
  <c r="AQ43" i="96"/>
  <c r="S97" i="96"/>
  <c r="AP101" i="96"/>
  <c r="AH48" i="96"/>
  <c r="AR78" i="96"/>
  <c r="V47" i="96"/>
  <c r="Z93" i="96"/>
  <c r="AR87" i="96"/>
  <c r="AQ34" i="96"/>
  <c r="AB38" i="96"/>
  <c r="G57" i="96"/>
  <c r="AQ47" i="96"/>
  <c r="AL28" i="96"/>
  <c r="Z97" i="96"/>
  <c r="AA37" i="96"/>
  <c r="N91" i="96"/>
  <c r="AV32" i="96"/>
  <c r="AH77" i="96"/>
  <c r="AL73" i="96"/>
  <c r="W95" i="96"/>
  <c r="AS90" i="96"/>
  <c r="AS98" i="96"/>
  <c r="AJ70" i="96"/>
  <c r="Q34" i="96"/>
  <c r="AR101" i="96"/>
  <c r="AC48" i="96"/>
  <c r="AN96" i="96"/>
  <c r="AQ90" i="96"/>
  <c r="AD48" i="96"/>
  <c r="AE89" i="96"/>
  <c r="V72" i="96"/>
  <c r="AL74" i="96"/>
  <c r="AG46" i="96"/>
  <c r="Z33" i="96"/>
  <c r="Z50" i="96"/>
  <c r="I61" i="96"/>
  <c r="W97" i="96"/>
  <c r="AU49" i="96"/>
  <c r="AA88" i="96"/>
  <c r="K9" i="96"/>
  <c r="AK86" i="96"/>
  <c r="AC36" i="96"/>
  <c r="AP47" i="96"/>
  <c r="AM85" i="96"/>
  <c r="AU98" i="96"/>
  <c r="L68" i="96"/>
  <c r="V50" i="96"/>
  <c r="AV31" i="96"/>
  <c r="AU83" i="96"/>
  <c r="C93" i="96"/>
  <c r="C79" i="96"/>
  <c r="O22" i="96"/>
  <c r="L14" i="96"/>
  <c r="AA22" i="96"/>
  <c r="T36" i="96"/>
  <c r="N48" i="96"/>
  <c r="Z60" i="96"/>
  <c r="I30" i="96"/>
  <c r="AC16" i="96"/>
  <c r="AH34" i="96"/>
  <c r="AB27" i="96"/>
  <c r="AF12" i="96"/>
  <c r="X45" i="96"/>
  <c r="Q59" i="96"/>
  <c r="Z19" i="96"/>
  <c r="X43" i="96"/>
  <c r="I25" i="96"/>
  <c r="O17" i="96"/>
  <c r="AO23" i="96"/>
  <c r="F35" i="96"/>
  <c r="U82" i="96"/>
  <c r="AI20" i="96"/>
  <c r="AB15" i="96"/>
  <c r="AA58" i="96"/>
  <c r="D96" i="96"/>
  <c r="V89" i="96"/>
  <c r="AC33" i="96"/>
  <c r="O47" i="96"/>
  <c r="AD13" i="96"/>
  <c r="U8" i="96"/>
  <c r="Y25" i="96"/>
  <c r="E40" i="96"/>
  <c r="M64" i="96"/>
  <c r="V63" i="96"/>
  <c r="AA45" i="96"/>
  <c r="M11" i="96"/>
  <c r="AF58" i="96"/>
  <c r="T22" i="96"/>
  <c r="I52" i="96"/>
  <c r="L10" i="96"/>
  <c r="C77" i="96"/>
  <c r="J102" i="96"/>
  <c r="N53" i="96"/>
  <c r="K90" i="96"/>
  <c r="O67" i="96"/>
  <c r="J37" i="96"/>
  <c r="AR14" i="96"/>
  <c r="L69" i="96"/>
  <c r="Q84" i="96"/>
  <c r="AF57" i="96"/>
  <c r="K26" i="96"/>
  <c r="Q23" i="96"/>
  <c r="L83" i="96"/>
  <c r="I65" i="96"/>
  <c r="Z102" i="96"/>
  <c r="AD9" i="96"/>
  <c r="Z81" i="96"/>
  <c r="J18" i="96"/>
  <c r="F39" i="96"/>
  <c r="AT11" i="96"/>
  <c r="AI21" i="96"/>
  <c r="N97" i="96"/>
  <c r="H81" i="96"/>
  <c r="U87" i="96"/>
  <c r="W11" i="96"/>
  <c r="H15" i="96"/>
  <c r="R97" i="96"/>
  <c r="W36" i="96"/>
  <c r="Z31" i="96"/>
  <c r="J39" i="96"/>
  <c r="W66" i="96"/>
  <c r="R30" i="96"/>
  <c r="Y19" i="96"/>
  <c r="C33" i="96"/>
  <c r="S18" i="96"/>
  <c r="K18" i="96"/>
  <c r="F78" i="96"/>
  <c r="W51" i="96"/>
  <c r="AN16" i="96"/>
  <c r="AE10" i="96"/>
  <c r="AK8" i="96"/>
  <c r="AE26" i="96"/>
  <c r="W84" i="96"/>
  <c r="F67" i="96"/>
  <c r="O44" i="96"/>
  <c r="L35" i="96"/>
  <c r="W85" i="96"/>
  <c r="AE40" i="96"/>
  <c r="T31" i="96"/>
  <c r="AE16" i="96"/>
  <c r="N98" i="96"/>
  <c r="E32" i="96"/>
  <c r="AH22" i="96"/>
  <c r="AO96" i="96"/>
  <c r="AI18" i="96"/>
  <c r="K38" i="96"/>
  <c r="AL16" i="96"/>
  <c r="AD78" i="96"/>
  <c r="Z66" i="96"/>
  <c r="AG8" i="96"/>
  <c r="AA26" i="96"/>
  <c r="T98" i="96"/>
  <c r="AP14" i="96"/>
  <c r="AW8" i="96"/>
  <c r="AC63" i="96"/>
  <c r="I26" i="96"/>
  <c r="AU10" i="96"/>
  <c r="U62" i="96"/>
  <c r="F33" i="96"/>
  <c r="I41" i="96"/>
  <c r="P38" i="96"/>
  <c r="L16" i="96"/>
  <c r="AA31" i="96"/>
  <c r="W63" i="96"/>
  <c r="H80" i="96"/>
  <c r="N37" i="96"/>
  <c r="AO59" i="96"/>
  <c r="F93" i="96"/>
  <c r="Y30" i="96"/>
  <c r="AE15" i="96"/>
  <c r="N15" i="96"/>
  <c r="S75" i="96"/>
  <c r="AE11" i="96"/>
  <c r="AL30" i="96"/>
  <c r="AA43" i="96"/>
  <c r="S34" i="96"/>
  <c r="S62" i="96"/>
  <c r="U70" i="96"/>
  <c r="X59" i="96"/>
  <c r="AH17" i="96"/>
  <c r="S42" i="96"/>
  <c r="K72" i="96"/>
  <c r="AD29" i="96"/>
  <c r="F48" i="96"/>
  <c r="AP13" i="96"/>
  <c r="O43" i="96"/>
  <c r="P95" i="96"/>
  <c r="Z68" i="96"/>
  <c r="E83" i="96"/>
  <c r="U30" i="96"/>
  <c r="AH62" i="96"/>
  <c r="AK40" i="96"/>
  <c r="X60" i="96"/>
  <c r="O46" i="96"/>
  <c r="AL14" i="96"/>
  <c r="C19" i="96"/>
  <c r="P18" i="96"/>
  <c r="W10" i="96"/>
  <c r="AM28" i="96"/>
  <c r="AF49" i="96"/>
  <c r="U50" i="96"/>
  <c r="AF17" i="96"/>
  <c r="AL79" i="96"/>
  <c r="T51" i="96"/>
  <c r="AO67" i="96"/>
  <c r="K64" i="96"/>
  <c r="H90" i="96"/>
  <c r="AE23" i="96"/>
  <c r="H73" i="96"/>
  <c r="T61" i="96"/>
  <c r="P31" i="96"/>
  <c r="E36" i="96"/>
  <c r="X61" i="96"/>
  <c r="AF71" i="96"/>
  <c r="H22" i="96"/>
  <c r="R34" i="96"/>
  <c r="AU53" i="96"/>
  <c r="AU95" i="96"/>
  <c r="AC102" i="96"/>
  <c r="AI32" i="96"/>
  <c r="AV45" i="96"/>
  <c r="AT97" i="96"/>
  <c r="H64" i="96"/>
  <c r="AQ67" i="96"/>
  <c r="O121" i="96"/>
  <c r="AU97" i="96"/>
  <c r="D76" i="96"/>
  <c r="D74" i="96"/>
  <c r="Z53" i="96"/>
  <c r="AO82" i="96"/>
  <c r="Y52" i="96"/>
  <c r="M94" i="96"/>
  <c r="AR99" i="96"/>
  <c r="E63" i="96"/>
  <c r="AK36" i="96"/>
  <c r="AC101" i="96"/>
  <c r="AH50" i="96"/>
  <c r="AT32" i="96"/>
  <c r="AD95" i="96"/>
  <c r="AT27" i="96"/>
  <c r="W102" i="96"/>
  <c r="Q31" i="96"/>
  <c r="AT37" i="96"/>
  <c r="AF88" i="96"/>
  <c r="AI41" i="96"/>
  <c r="U102" i="96"/>
  <c r="AR85" i="96"/>
  <c r="AQ83" i="96"/>
  <c r="AH80" i="96"/>
  <c r="AL99" i="96"/>
  <c r="I39" i="96"/>
  <c r="AJ88" i="96"/>
  <c r="AL46" i="96"/>
  <c r="AQ26" i="96"/>
  <c r="AO21" i="96"/>
  <c r="W44" i="96"/>
  <c r="AI85" i="96"/>
  <c r="AO27" i="96"/>
  <c r="AJ28" i="96"/>
  <c r="AR46" i="96"/>
  <c r="AP63" i="96"/>
  <c r="E80" i="96"/>
  <c r="AT79" i="96"/>
  <c r="AM37" i="96"/>
  <c r="L45" i="96"/>
  <c r="E57" i="96"/>
  <c r="AP82" i="96"/>
  <c r="AQ73" i="96"/>
  <c r="AN101" i="96"/>
  <c r="AD43" i="96"/>
  <c r="AV48" i="96"/>
  <c r="AJ75" i="96"/>
  <c r="AQ44" i="96"/>
  <c r="AU71" i="96"/>
  <c r="AR51" i="96"/>
  <c r="AC46" i="96"/>
  <c r="E58" i="96"/>
  <c r="AN102" i="96"/>
  <c r="AP65" i="96"/>
  <c r="AH37" i="96"/>
  <c r="L91" i="96"/>
  <c r="AP67" i="96"/>
  <c r="AU48" i="96"/>
  <c r="AC69" i="96"/>
  <c r="AI69" i="96"/>
  <c r="AG91" i="96"/>
  <c r="AC31" i="96"/>
  <c r="R84" i="96"/>
  <c r="O39" i="96"/>
  <c r="AH11" i="96"/>
  <c r="H94" i="96"/>
  <c r="N75" i="96"/>
  <c r="K15" i="96"/>
  <c r="H88" i="96"/>
  <c r="U98" i="96"/>
  <c r="W77" i="96"/>
  <c r="AN42" i="96"/>
  <c r="T42" i="96"/>
  <c r="M13" i="96"/>
  <c r="R32" i="96"/>
  <c r="R95" i="96"/>
  <c r="D90" i="96"/>
  <c r="I70" i="96"/>
  <c r="AF85" i="96"/>
  <c r="AS8" i="96"/>
  <c r="X27" i="96"/>
  <c r="V32" i="96"/>
  <c r="J96" i="96"/>
  <c r="T12" i="96"/>
  <c r="D31" i="96"/>
  <c r="AF80" i="96"/>
  <c r="S91" i="96"/>
  <c r="AD61" i="96"/>
  <c r="Z89" i="96"/>
  <c r="F95" i="96"/>
  <c r="N52" i="96"/>
  <c r="AV64" i="96"/>
  <c r="G78" i="96"/>
  <c r="Q16" i="96"/>
  <c r="X46" i="96"/>
  <c r="L33" i="96"/>
  <c r="C12" i="96"/>
  <c r="O23" i="96"/>
  <c r="R59" i="96"/>
  <c r="E44" i="96"/>
  <c r="AK42" i="96"/>
  <c r="J17" i="96"/>
  <c r="AA63" i="96"/>
  <c r="Z48" i="96"/>
  <c r="K27" i="96"/>
  <c r="T89" i="96"/>
  <c r="U74" i="96"/>
  <c r="D45" i="96"/>
  <c r="U68" i="96"/>
  <c r="K28" i="96"/>
  <c r="D92" i="96"/>
  <c r="D98" i="96"/>
  <c r="O100" i="96"/>
  <c r="H92" i="96"/>
  <c r="AU17" i="96"/>
  <c r="AF34" i="96"/>
  <c r="V74" i="96"/>
  <c r="C10" i="96"/>
  <c r="AD79" i="96"/>
  <c r="T83" i="96"/>
  <c r="AS58" i="96"/>
  <c r="V52" i="96"/>
  <c r="E94" i="96"/>
  <c r="AI31" i="96"/>
  <c r="AC24" i="96"/>
  <c r="AP12" i="96"/>
  <c r="AC52" i="96"/>
  <c r="Q50" i="96"/>
  <c r="Y24" i="96"/>
  <c r="I81" i="96"/>
  <c r="N80" i="96"/>
  <c r="R69" i="96"/>
  <c r="S25" i="96"/>
  <c r="G80" i="96"/>
  <c r="J31" i="96"/>
  <c r="J30" i="96"/>
  <c r="O59" i="96"/>
  <c r="T94" i="96"/>
  <c r="W37" i="96"/>
  <c r="Q72" i="96"/>
  <c r="AF9" i="96"/>
  <c r="T43" i="96"/>
  <c r="X24" i="96"/>
  <c r="T9" i="96"/>
  <c r="N36" i="96"/>
  <c r="G77" i="96"/>
  <c r="U10" i="96"/>
  <c r="U91" i="96"/>
  <c r="AL71" i="96"/>
  <c r="P35" i="96"/>
  <c r="AI59" i="96"/>
  <c r="D15" i="96"/>
  <c r="U40" i="96"/>
  <c r="AB45" i="96"/>
  <c r="K82" i="96"/>
  <c r="H26" i="96"/>
  <c r="Y8" i="96"/>
  <c r="U49" i="96"/>
  <c r="AO93" i="96"/>
  <c r="L43" i="96"/>
  <c r="U75" i="96"/>
  <c r="AK14" i="96"/>
  <c r="AK15" i="96"/>
  <c r="AB49" i="96"/>
  <c r="I85" i="96"/>
  <c r="C52" i="96"/>
  <c r="U39" i="96"/>
  <c r="H93" i="96"/>
  <c r="Z76" i="96"/>
  <c r="N13" i="96"/>
  <c r="N49" i="96"/>
  <c r="C36" i="96"/>
  <c r="AB97" i="96"/>
  <c r="K84" i="96"/>
  <c r="G72" i="96"/>
  <c r="J23" i="96"/>
  <c r="K89" i="96"/>
  <c r="AH64" i="96"/>
  <c r="AP75" i="96"/>
  <c r="S73" i="96"/>
  <c r="J15" i="96"/>
  <c r="AB10" i="96"/>
  <c r="AN66" i="96"/>
  <c r="Z11" i="96"/>
  <c r="AR27" i="96"/>
  <c r="AD58" i="96"/>
  <c r="J77" i="96"/>
  <c r="H97" i="96"/>
  <c r="M89" i="96"/>
  <c r="AE22" i="96"/>
  <c r="M95" i="96"/>
  <c r="E82" i="96"/>
  <c r="L75" i="96"/>
  <c r="AO40" i="96"/>
  <c r="R40" i="96"/>
  <c r="W15" i="96"/>
  <c r="P84" i="96"/>
  <c r="AE62" i="96"/>
  <c r="G83" i="96"/>
  <c r="AK17" i="96"/>
  <c r="L95" i="96"/>
  <c r="W33" i="96"/>
  <c r="AA60" i="96"/>
  <c r="F27" i="96"/>
  <c r="R81" i="96"/>
  <c r="S53" i="96"/>
  <c r="H23" i="96"/>
  <c r="AH28" i="96"/>
  <c r="AK78" i="96"/>
  <c r="AB17" i="96"/>
  <c r="AF27" i="96"/>
  <c r="Z83" i="96"/>
  <c r="O87" i="96"/>
  <c r="M87" i="96"/>
  <c r="M102" i="96"/>
  <c r="AH82" i="96"/>
  <c r="AE69" i="96"/>
  <c r="AH61" i="96"/>
  <c r="W42" i="96"/>
  <c r="AD12" i="96"/>
  <c r="G30" i="96"/>
  <c r="Z46" i="96"/>
  <c r="K58" i="96"/>
  <c r="AQ74" i="96"/>
  <c r="W70" i="96"/>
  <c r="U67" i="96"/>
  <c r="AD10" i="96"/>
  <c r="AT85" i="96"/>
  <c r="AV66" i="96"/>
  <c r="AE100" i="96"/>
  <c r="Z62" i="96"/>
  <c r="AU89" i="96"/>
  <c r="AQ52" i="96"/>
  <c r="T59" i="96"/>
  <c r="AV91" i="96"/>
  <c r="AW87" i="96"/>
  <c r="AU92" i="96"/>
  <c r="AM41" i="96"/>
  <c r="AU66" i="96"/>
  <c r="AW68" i="96"/>
  <c r="AU42" i="96"/>
  <c r="D48" i="96"/>
  <c r="AT51" i="96"/>
  <c r="AF94" i="96"/>
  <c r="AF42" i="96"/>
  <c r="AT73" i="96"/>
  <c r="E102" i="96"/>
  <c r="C82" i="96"/>
  <c r="AW25" i="96"/>
  <c r="AF81" i="96"/>
  <c r="Y91" i="96"/>
  <c r="AU94" i="96"/>
  <c r="AW83" i="96"/>
  <c r="AT70" i="96"/>
  <c r="X96" i="96"/>
  <c r="J9" i="96"/>
  <c r="AG99" i="96"/>
  <c r="AD91" i="96"/>
  <c r="AM20" i="96"/>
  <c r="AA62" i="96"/>
  <c r="AT94" i="96"/>
  <c r="AN81" i="96"/>
  <c r="AP77" i="96"/>
  <c r="AB37" i="96"/>
  <c r="V92" i="96"/>
  <c r="S57" i="96"/>
  <c r="AL80" i="96"/>
  <c r="U97" i="96"/>
  <c r="G63" i="96"/>
  <c r="AK85" i="96"/>
  <c r="AQ20" i="96"/>
  <c r="E87" i="96"/>
  <c r="AR100" i="96"/>
  <c r="AR81" i="96"/>
  <c r="AK97" i="96"/>
  <c r="AP96" i="96"/>
  <c r="AO28" i="96"/>
  <c r="AS19" i="96"/>
  <c r="AO91" i="96"/>
  <c r="AL24" i="96"/>
  <c r="AK95" i="96"/>
  <c r="Z85" i="96"/>
  <c r="AB14" i="96"/>
  <c r="AF82" i="96"/>
  <c r="E77" i="96"/>
  <c r="AN83" i="96"/>
  <c r="AO102" i="96"/>
  <c r="AL42" i="96"/>
  <c r="AK21" i="96"/>
  <c r="AR31" i="96"/>
  <c r="X52" i="96"/>
  <c r="C78" i="96"/>
  <c r="AN82" i="96"/>
  <c r="E65" i="96"/>
  <c r="AW59" i="96"/>
  <c r="AC94" i="96"/>
  <c r="AU101" i="96"/>
  <c r="M62" i="96"/>
  <c r="I102" i="96"/>
  <c r="AA15" i="96"/>
  <c r="L20" i="96"/>
  <c r="R12" i="96"/>
  <c r="AG63" i="96"/>
  <c r="C100" i="96"/>
  <c r="U53" i="96"/>
  <c r="AA24" i="96"/>
  <c r="AS66" i="96"/>
  <c r="U33" i="96"/>
  <c r="H69" i="96"/>
  <c r="M39" i="96"/>
  <c r="AH18" i="96"/>
  <c r="F32" i="96"/>
  <c r="L57" i="96"/>
  <c r="AE60" i="96"/>
  <c r="Q81" i="96"/>
  <c r="Y21" i="96"/>
  <c r="J89" i="96"/>
  <c r="J46" i="96"/>
  <c r="I29" i="96"/>
  <c r="AA16" i="96"/>
  <c r="AA84" i="96"/>
  <c r="AT8" i="96"/>
  <c r="AS75" i="96"/>
  <c r="AE67" i="96"/>
  <c r="J25" i="96"/>
  <c r="S29" i="96"/>
  <c r="AK67" i="96"/>
  <c r="K59" i="96"/>
  <c r="J20" i="96"/>
  <c r="AM29" i="96"/>
  <c r="D13" i="96"/>
  <c r="L41" i="96"/>
  <c r="T57" i="96"/>
  <c r="AT65" i="96"/>
  <c r="AF30" i="96"/>
  <c r="AS73" i="96"/>
  <c r="AA66" i="96"/>
  <c r="AJ20" i="96"/>
  <c r="AG67" i="96"/>
  <c r="AL25" i="96"/>
  <c r="O27" i="96"/>
  <c r="X12" i="96"/>
  <c r="M32" i="96"/>
  <c r="Q25" i="96"/>
  <c r="T66" i="96"/>
  <c r="E21" i="96"/>
  <c r="X74" i="96"/>
  <c r="AH59" i="96"/>
  <c r="K97" i="96"/>
  <c r="F89" i="96"/>
  <c r="Y34" i="96"/>
  <c r="H40" i="96"/>
  <c r="P21" i="96"/>
  <c r="V13" i="96"/>
  <c r="Y27" i="96"/>
  <c r="AF20" i="96"/>
  <c r="P99" i="96"/>
  <c r="L12" i="96"/>
  <c r="AT12" i="96"/>
  <c r="P34" i="96"/>
  <c r="T15" i="96"/>
  <c r="AS65" i="96"/>
  <c r="AB22" i="96"/>
  <c r="P82" i="96"/>
  <c r="F85" i="96"/>
  <c r="W57" i="96"/>
  <c r="R66" i="96"/>
  <c r="Y60" i="96"/>
  <c r="AF78" i="96"/>
  <c r="O101" i="96"/>
  <c r="AL61" i="96"/>
  <c r="Z82" i="96"/>
  <c r="AI64" i="96"/>
  <c r="AJ15" i="96"/>
  <c r="P71" i="96"/>
  <c r="P30" i="96"/>
  <c r="Q40" i="96"/>
  <c r="AB13" i="96"/>
  <c r="D44" i="96"/>
  <c r="S17" i="96"/>
  <c r="D38" i="96"/>
  <c r="E34" i="96"/>
  <c r="AI67" i="96"/>
  <c r="Y83" i="96"/>
  <c r="J48" i="96"/>
  <c r="W69" i="96"/>
  <c r="Q87" i="96"/>
  <c r="AE64" i="96"/>
  <c r="AC40" i="96"/>
  <c r="L23" i="96"/>
  <c r="D20" i="96"/>
  <c r="H29" i="96"/>
  <c r="AS12" i="96"/>
  <c r="U84" i="96"/>
  <c r="S65" i="96"/>
  <c r="W23" i="96"/>
  <c r="X72" i="96"/>
  <c r="AA68" i="96"/>
  <c r="P23" i="96"/>
  <c r="W27" i="96"/>
  <c r="F47" i="96"/>
  <c r="T79" i="96"/>
  <c r="J29" i="96"/>
  <c r="AG58" i="96"/>
  <c r="H8" i="96"/>
  <c r="Q41" i="96"/>
  <c r="M12" i="96"/>
  <c r="V35" i="96"/>
  <c r="J80" i="96"/>
  <c r="E14" i="96"/>
  <c r="F43" i="96"/>
  <c r="AL69" i="96"/>
  <c r="F98" i="96"/>
  <c r="AT62" i="96"/>
  <c r="J36" i="96"/>
  <c r="AH75" i="96"/>
  <c r="M76" i="96"/>
  <c r="N34" i="96"/>
  <c r="H70" i="96"/>
  <c r="AJ18" i="96"/>
  <c r="P28" i="96"/>
  <c r="C42" i="96"/>
  <c r="O63" i="96"/>
  <c r="V45" i="96"/>
  <c r="AB65" i="96"/>
  <c r="AC57" i="96"/>
  <c r="Z71" i="96"/>
  <c r="O75" i="96"/>
  <c r="AI22" i="96"/>
  <c r="AV22" i="96"/>
  <c r="L31" i="96"/>
  <c r="S20" i="96"/>
  <c r="AD28" i="96"/>
  <c r="AI75" i="96"/>
  <c r="AB66" i="96"/>
  <c r="Q71" i="96"/>
  <c r="N86" i="96"/>
  <c r="Q75" i="96"/>
  <c r="D28" i="96"/>
  <c r="AH27" i="96"/>
  <c r="AN57" i="96"/>
  <c r="AF87" i="96"/>
  <c r="K50" i="96"/>
  <c r="AK13" i="96"/>
  <c r="K42" i="96"/>
  <c r="U59" i="96"/>
  <c r="AP57" i="96"/>
  <c r="R14" i="96"/>
  <c r="G93" i="96"/>
  <c r="W86" i="96"/>
  <c r="AA17" i="96"/>
  <c r="F75" i="96"/>
  <c r="AG70" i="96"/>
  <c r="O81" i="96"/>
  <c r="F8" i="96"/>
  <c r="L49" i="96"/>
  <c r="AS16" i="96"/>
  <c r="L90" i="96"/>
  <c r="AI57" i="96"/>
  <c r="T23" i="96"/>
  <c r="Z23" i="96"/>
  <c r="AC86" i="96"/>
  <c r="AO68" i="96"/>
  <c r="AH47" i="96"/>
  <c r="AM78" i="96"/>
  <c r="J95" i="96"/>
  <c r="AR49" i="96"/>
  <c r="AV40" i="96"/>
  <c r="W45" i="96"/>
  <c r="AL102" i="96"/>
  <c r="AP87" i="96"/>
  <c r="AR90" i="96"/>
  <c r="AD53" i="96"/>
  <c r="AR29" i="96"/>
  <c r="AP24" i="96"/>
  <c r="I9" i="96"/>
  <c r="J91" i="96"/>
  <c r="AR92" i="96"/>
  <c r="AU73" i="96"/>
  <c r="AW38" i="96"/>
  <c r="AR28" i="96"/>
  <c r="AJ83" i="96"/>
  <c r="AW97" i="96"/>
  <c r="AP31" i="96"/>
  <c r="AT86" i="96"/>
  <c r="AB83" i="96"/>
  <c r="AN99" i="96"/>
  <c r="AU81" i="96"/>
  <c r="AK32" i="96"/>
  <c r="AJ71" i="96"/>
  <c r="AA78" i="96"/>
  <c r="K35" i="96"/>
  <c r="AV68" i="96"/>
  <c r="AV18" i="96"/>
  <c r="AB52" i="96"/>
  <c r="AA89" i="96"/>
  <c r="AV99" i="96"/>
  <c r="AM81" i="96"/>
  <c r="AA36" i="96"/>
  <c r="AP95" i="96"/>
  <c r="AV84" i="96"/>
  <c r="AM75" i="96"/>
  <c r="AL95" i="96"/>
  <c r="AR86" i="96"/>
  <c r="AA49" i="96"/>
  <c r="AK23" i="96"/>
  <c r="AG40" i="96"/>
  <c r="AQ46" i="96"/>
  <c r="Z101" i="96"/>
  <c r="AV71" i="96"/>
  <c r="AM95" i="96"/>
  <c r="AI34" i="96"/>
  <c r="T99" i="96"/>
  <c r="K76" i="96"/>
  <c r="AH89" i="96"/>
  <c r="AW98" i="96"/>
  <c r="AO22" i="96"/>
  <c r="AW94" i="96"/>
  <c r="AC38" i="96"/>
  <c r="AO90" i="96"/>
  <c r="AH38" i="96"/>
  <c r="AQ42" i="96"/>
  <c r="AP102" i="96"/>
  <c r="Q64" i="96"/>
  <c r="AT80" i="96"/>
  <c r="D63" i="96"/>
  <c r="E75" i="96"/>
  <c r="AG96" i="96"/>
  <c r="AO45" i="96"/>
  <c r="AK70" i="96"/>
  <c r="AL81" i="96"/>
  <c r="G64" i="96"/>
  <c r="D40" i="96"/>
  <c r="AP45" i="96"/>
  <c r="K51" i="96"/>
  <c r="AD72" i="96"/>
  <c r="AD38" i="96"/>
  <c r="S15" i="96"/>
  <c r="AG75" i="96"/>
  <c r="AO13" i="96"/>
  <c r="AP28" i="96"/>
  <c r="T93" i="96"/>
  <c r="AF61" i="96"/>
  <c r="G39" i="96"/>
  <c r="N72" i="96"/>
  <c r="AJ13" i="96"/>
  <c r="AJ65" i="96"/>
  <c r="F21" i="96"/>
  <c r="E91" i="96"/>
  <c r="Y16" i="96"/>
  <c r="L93" i="96"/>
  <c r="AM36" i="96"/>
  <c r="N70" i="96"/>
  <c r="V76" i="96"/>
  <c r="S10" i="96"/>
  <c r="V91" i="96"/>
  <c r="U79" i="96"/>
  <c r="X93" i="96"/>
  <c r="T35" i="96"/>
  <c r="J67" i="96"/>
  <c r="M82" i="96"/>
  <c r="AE70" i="96"/>
  <c r="F22" i="96"/>
  <c r="I63" i="96"/>
  <c r="P61" i="96"/>
  <c r="AS11" i="96"/>
  <c r="Y88" i="96"/>
  <c r="Z24" i="96"/>
  <c r="M100" i="96"/>
  <c r="P87" i="96"/>
  <c r="AT22" i="96"/>
  <c r="E93" i="96"/>
  <c r="AC66" i="96"/>
  <c r="AL58" i="96"/>
  <c r="W67" i="96"/>
  <c r="F99" i="96"/>
  <c r="M70" i="96"/>
  <c r="AJ24" i="96"/>
  <c r="AP59" i="96"/>
  <c r="H82" i="96"/>
  <c r="U22" i="96"/>
  <c r="AC90" i="96"/>
  <c r="P79" i="96"/>
  <c r="X95" i="96"/>
  <c r="AC85" i="96"/>
  <c r="AD64" i="96"/>
  <c r="AK9" i="96"/>
  <c r="I24" i="96"/>
  <c r="L32" i="96"/>
  <c r="AQ70" i="96"/>
  <c r="Q47" i="96"/>
  <c r="AG64" i="96"/>
  <c r="C51" i="96"/>
  <c r="P36" i="96"/>
  <c r="P68" i="96"/>
  <c r="S47" i="96"/>
  <c r="AP64" i="96"/>
  <c r="AM71" i="96"/>
  <c r="AT17" i="96"/>
  <c r="I64" i="96"/>
  <c r="I36" i="96"/>
  <c r="I88" i="96"/>
  <c r="Q58" i="96"/>
  <c r="P48" i="96"/>
  <c r="S63" i="96"/>
  <c r="T14" i="96"/>
  <c r="AU59" i="96"/>
  <c r="AU18" i="96"/>
  <c r="AA23" i="96"/>
  <c r="G85" i="96"/>
  <c r="V62" i="96"/>
  <c r="M49" i="96"/>
  <c r="R24" i="96"/>
  <c r="U15" i="96"/>
  <c r="L48" i="96"/>
  <c r="AB59" i="96"/>
  <c r="L17" i="96"/>
  <c r="S49" i="96"/>
  <c r="AA76" i="96"/>
  <c r="M26" i="96"/>
  <c r="P80" i="96"/>
  <c r="V23" i="96"/>
  <c r="R37" i="96"/>
  <c r="AJ22" i="96"/>
  <c r="S44" i="96"/>
  <c r="K52" i="96"/>
  <c r="W87" i="96"/>
  <c r="V83" i="96"/>
  <c r="O94" i="96"/>
  <c r="M30" i="96"/>
  <c r="U65" i="96"/>
  <c r="Q78" i="96"/>
  <c r="AD15" i="96"/>
  <c r="M60" i="96"/>
  <c r="S64" i="96"/>
  <c r="AH43" i="96"/>
  <c r="AH58" i="96"/>
  <c r="Y96" i="96"/>
  <c r="M41" i="96"/>
  <c r="AG9" i="96"/>
  <c r="N73" i="96"/>
  <c r="I83" i="96"/>
  <c r="S76" i="96"/>
  <c r="M10" i="96"/>
  <c r="V75" i="96"/>
  <c r="AC43" i="96"/>
  <c r="Z12" i="96"/>
  <c r="AB58" i="96"/>
  <c r="AF23" i="96"/>
  <c r="M57" i="96"/>
  <c r="T45" i="96"/>
  <c r="F31" i="96"/>
  <c r="L70" i="96"/>
  <c r="S40" i="96"/>
  <c r="AM59" i="96"/>
  <c r="Q62" i="96"/>
  <c r="AO60" i="96"/>
  <c r="H30" i="96"/>
  <c r="P22" i="96"/>
  <c r="AK77" i="96"/>
  <c r="X8" i="96"/>
  <c r="AO34" i="96"/>
  <c r="N50" i="96"/>
  <c r="AG65" i="96"/>
  <c r="AC70" i="96"/>
  <c r="I32" i="96"/>
  <c r="H83" i="96"/>
  <c r="P27" i="96"/>
  <c r="X83" i="96"/>
  <c r="AT64" i="96"/>
  <c r="M27" i="96"/>
  <c r="Q24" i="96"/>
  <c r="AG17" i="96"/>
  <c r="C13" i="96"/>
  <c r="Y32" i="96"/>
  <c r="T71" i="96"/>
  <c r="X64" i="96"/>
  <c r="J13" i="96"/>
  <c r="AG26" i="96"/>
  <c r="H9" i="96"/>
  <c r="C40" i="96"/>
  <c r="AB77" i="96"/>
  <c r="E17" i="96"/>
  <c r="C24" i="96"/>
  <c r="T38" i="96"/>
  <c r="C49" i="96"/>
  <c r="M92" i="96"/>
  <c r="X25" i="96"/>
  <c r="G89" i="96"/>
  <c r="AK43" i="96"/>
  <c r="H66" i="96"/>
  <c r="AV20" i="96"/>
  <c r="Q79" i="96"/>
  <c r="AB12" i="96"/>
  <c r="F46" i="96"/>
  <c r="M71" i="96"/>
  <c r="AT99" i="96"/>
  <c r="AN32" i="96"/>
  <c r="AL68" i="96"/>
  <c r="H63" i="96"/>
  <c r="AN72" i="96"/>
  <c r="AW79" i="96"/>
  <c r="AN100" i="96"/>
  <c r="AQ76" i="96"/>
  <c r="AA44" i="96"/>
  <c r="V67" i="96"/>
  <c r="AU72" i="96"/>
  <c r="AL75" i="96"/>
  <c r="AG18" i="96"/>
  <c r="AE87" i="96"/>
  <c r="AQ75" i="96"/>
  <c r="AT43" i="96"/>
  <c r="AR34" i="96"/>
  <c r="AN95" i="96"/>
  <c r="C69" i="96"/>
  <c r="AA85" i="96"/>
  <c r="O122" i="96"/>
  <c r="AP80" i="96"/>
  <c r="AG41" i="96"/>
  <c r="AW31" i="96"/>
  <c r="AV17" i="96"/>
  <c r="AW34" i="96"/>
  <c r="AO75" i="96"/>
  <c r="AV44" i="96"/>
  <c r="AM31" i="96"/>
  <c r="K8" i="96"/>
  <c r="AS24" i="96"/>
  <c r="AT30" i="96"/>
  <c r="L71" i="96"/>
  <c r="AP94" i="96"/>
  <c r="AP18" i="96"/>
  <c r="AN78" i="96"/>
  <c r="V68" i="96"/>
  <c r="AM22" i="96"/>
  <c r="AK71" i="96"/>
  <c r="S13" i="96"/>
  <c r="AS50" i="96"/>
  <c r="AW102" i="96"/>
  <c r="AE91" i="96"/>
  <c r="V48" i="96"/>
  <c r="P12" i="96"/>
  <c r="F30" i="96"/>
  <c r="I99" i="96"/>
  <c r="AV15" i="96"/>
  <c r="U77" i="96"/>
  <c r="E42" i="96"/>
  <c r="G79" i="96"/>
  <c r="R78" i="96"/>
  <c r="Z86" i="96"/>
  <c r="M46" i="96"/>
  <c r="Y66" i="96"/>
  <c r="N25" i="96"/>
  <c r="Q98" i="96"/>
  <c r="V90" i="96"/>
  <c r="M97" i="96"/>
  <c r="V37" i="96"/>
  <c r="O86" i="96"/>
  <c r="E52" i="96"/>
  <c r="M66" i="96"/>
  <c r="S69" i="96"/>
  <c r="N87" i="96"/>
  <c r="W8" i="96"/>
  <c r="AL53" i="96"/>
  <c r="W16" i="96"/>
  <c r="Z22" i="96"/>
  <c r="AT19" i="96"/>
  <c r="AH57" i="96"/>
  <c r="N29" i="96"/>
  <c r="I46" i="96"/>
  <c r="AF26" i="96"/>
  <c r="AP62" i="96"/>
  <c r="AN12" i="96"/>
  <c r="F101" i="96"/>
  <c r="AK72" i="96"/>
  <c r="AE12" i="96"/>
  <c r="AM42" i="96"/>
  <c r="S74" i="96"/>
  <c r="AQ11" i="96"/>
  <c r="AN17" i="96"/>
  <c r="R79" i="96"/>
  <c r="C29" i="96"/>
  <c r="N81" i="96"/>
  <c r="H49" i="96"/>
  <c r="X37" i="96"/>
  <c r="P88" i="96"/>
  <c r="AG25" i="96"/>
  <c r="K68" i="96"/>
  <c r="L58" i="96"/>
  <c r="H50" i="96"/>
  <c r="AW62" i="96"/>
  <c r="O53" i="96"/>
  <c r="T101" i="96"/>
  <c r="Y57" i="96"/>
  <c r="AG13" i="96"/>
  <c r="K87" i="96"/>
  <c r="AH29" i="96"/>
  <c r="O49" i="96"/>
  <c r="AO16" i="96"/>
  <c r="P69" i="96"/>
  <c r="E19" i="96"/>
  <c r="G26" i="96"/>
  <c r="AC88" i="96"/>
  <c r="P70" i="96"/>
  <c r="AC13" i="96"/>
  <c r="AD69" i="96"/>
  <c r="E15" i="96"/>
  <c r="AO72" i="96"/>
  <c r="E100" i="96"/>
  <c r="AM57" i="96"/>
  <c r="V24" i="96"/>
  <c r="M40" i="96"/>
  <c r="C44" i="96"/>
  <c r="AM70" i="96"/>
  <c r="I90" i="96"/>
  <c r="O16" i="96"/>
  <c r="F50" i="96"/>
  <c r="F60" i="96"/>
  <c r="Y92" i="96"/>
  <c r="AN65" i="96"/>
  <c r="K11" i="96"/>
  <c r="Z73" i="96"/>
  <c r="G81" i="96"/>
  <c r="AH40" i="96"/>
  <c r="AJ29" i="96"/>
  <c r="I45" i="96"/>
  <c r="E16" i="96"/>
  <c r="Q42" i="96"/>
  <c r="AF65" i="96"/>
  <c r="F76" i="96"/>
  <c r="Z65" i="96"/>
  <c r="AE61" i="96"/>
  <c r="F97" i="96"/>
  <c r="S100" i="96"/>
  <c r="H41" i="96"/>
  <c r="S9" i="96"/>
  <c r="Y76" i="96"/>
  <c r="V42" i="96"/>
  <c r="T8" i="96"/>
  <c r="L84" i="96"/>
  <c r="Z30" i="96"/>
  <c r="AP60" i="96"/>
  <c r="R52" i="96"/>
  <c r="K31" i="96"/>
  <c r="AS95" i="96"/>
  <c r="AG38" i="96"/>
  <c r="X90" i="96"/>
  <c r="AV49" i="96"/>
  <c r="K22" i="96"/>
  <c r="U41" i="96"/>
  <c r="AU46" i="96"/>
  <c r="AI83" i="96"/>
  <c r="AF29" i="96"/>
  <c r="O13" i="96"/>
  <c r="I60" i="96"/>
  <c r="AE39" i="96"/>
  <c r="AU44" i="96"/>
  <c r="AN46" i="96"/>
  <c r="AC78" i="96"/>
  <c r="AC39" i="96"/>
  <c r="AB96" i="96"/>
  <c r="AJ40" i="96"/>
  <c r="AE101" i="96"/>
  <c r="V49" i="96"/>
  <c r="Y65" i="96"/>
  <c r="AV27" i="96"/>
  <c r="X49" i="96"/>
  <c r="AS102" i="96"/>
  <c r="AA40" i="96"/>
  <c r="R53" i="96"/>
  <c r="AE83" i="96"/>
  <c r="I23" i="96"/>
  <c r="AT13" i="96"/>
  <c r="Z43" i="96"/>
  <c r="AG82" i="96"/>
  <c r="AH94" i="96"/>
  <c r="R90" i="96"/>
  <c r="AO48" i="96"/>
  <c r="AW51" i="96"/>
  <c r="AN27" i="96"/>
  <c r="D9" i="96"/>
  <c r="F15" i="96"/>
  <c r="AU50" i="96"/>
  <c r="G27" i="96"/>
  <c r="C86" i="96"/>
  <c r="AN98" i="96"/>
  <c r="AC92" i="96"/>
  <c r="AU9" i="96"/>
  <c r="Y36" i="96"/>
  <c r="AT25" i="96"/>
  <c r="L65" i="96"/>
  <c r="W46" i="96"/>
  <c r="AC64" i="96"/>
  <c r="AA82" i="96"/>
  <c r="E49" i="96"/>
  <c r="Z16" i="96"/>
  <c r="C32" i="96"/>
  <c r="AN69" i="96"/>
  <c r="K92" i="96"/>
  <c r="J26" i="96"/>
  <c r="AG73" i="96"/>
  <c r="V44" i="96"/>
  <c r="U72" i="96"/>
  <c r="AK60" i="96"/>
  <c r="K47" i="96"/>
  <c r="D22" i="96"/>
  <c r="D29" i="96"/>
  <c r="AE25" i="96"/>
  <c r="L86" i="96"/>
  <c r="N14" i="96"/>
  <c r="AP17" i="96"/>
  <c r="J88" i="96"/>
  <c r="R75" i="96"/>
  <c r="U16" i="96"/>
  <c r="R88" i="96"/>
  <c r="W39" i="96"/>
  <c r="P11" i="96"/>
  <c r="AE14" i="96"/>
  <c r="Q82" i="96"/>
  <c r="AI9" i="96"/>
  <c r="G34" i="96"/>
  <c r="X85" i="96"/>
  <c r="AB11" i="96"/>
  <c r="AM8" i="96"/>
  <c r="I80" i="96"/>
  <c r="AB40" i="96"/>
  <c r="AC26" i="96"/>
  <c r="K99" i="96"/>
  <c r="AR58" i="96"/>
  <c r="AB75" i="96"/>
  <c r="X58" i="96"/>
  <c r="R89" i="96"/>
  <c r="V27" i="96"/>
  <c r="AD26" i="96"/>
  <c r="L60" i="96"/>
  <c r="O91" i="96"/>
  <c r="N22" i="96"/>
  <c r="AF28" i="96"/>
  <c r="P85" i="96"/>
  <c r="R47" i="96"/>
  <c r="S61" i="96"/>
  <c r="J52" i="96"/>
  <c r="M24" i="96"/>
  <c r="AB78" i="96"/>
  <c r="U73" i="96"/>
  <c r="R93" i="96"/>
  <c r="L18" i="96"/>
  <c r="AW22" i="96"/>
  <c r="AH9" i="96"/>
  <c r="AP58" i="96"/>
  <c r="T58" i="96"/>
  <c r="AD73" i="96"/>
  <c r="X30" i="96"/>
  <c r="AA87" i="96"/>
  <c r="AM62" i="96"/>
  <c r="Y77" i="96"/>
  <c r="Y37" i="96"/>
  <c r="N27" i="96"/>
  <c r="AK63" i="96"/>
  <c r="AS20" i="96"/>
  <c r="S83" i="96"/>
  <c r="I79" i="96"/>
  <c r="R67" i="96"/>
  <c r="AW12" i="96"/>
  <c r="Y46" i="96"/>
  <c r="AW9" i="96"/>
  <c r="W31" i="96"/>
  <c r="AQ31" i="96"/>
  <c r="AD80" i="96"/>
  <c r="C27" i="96"/>
  <c r="L62" i="96"/>
  <c r="AK19" i="96"/>
  <c r="N12" i="96"/>
  <c r="I97" i="96"/>
  <c r="X11" i="96"/>
  <c r="R16" i="96"/>
  <c r="AI58" i="96"/>
  <c r="I48" i="96"/>
  <c r="L37" i="96"/>
  <c r="V101" i="96"/>
  <c r="V29" i="96"/>
  <c r="R92" i="96"/>
  <c r="P98" i="96"/>
  <c r="J86" i="96"/>
  <c r="AB32" i="96"/>
  <c r="G52" i="96"/>
  <c r="AR59" i="96"/>
  <c r="S66" i="96"/>
  <c r="M45" i="96"/>
  <c r="S43" i="96"/>
  <c r="Q44" i="96"/>
  <c r="AR53" i="96"/>
  <c r="AW77" i="96"/>
  <c r="AR62" i="96"/>
  <c r="AE53" i="96"/>
  <c r="H76" i="96"/>
  <c r="F69" i="96"/>
  <c r="AJ101" i="96"/>
  <c r="AJ92" i="96"/>
  <c r="V9" i="96"/>
  <c r="D85" i="96"/>
  <c r="AW100" i="96"/>
  <c r="AQ22" i="96"/>
  <c r="AV47" i="96"/>
  <c r="AB101" i="96"/>
  <c r="P37" i="96"/>
  <c r="E61" i="96"/>
  <c r="Y100" i="96"/>
  <c r="W79" i="96"/>
  <c r="AI50" i="96"/>
  <c r="F57" i="96"/>
  <c r="C92" i="96"/>
  <c r="AG43" i="96"/>
  <c r="Y86" i="96"/>
  <c r="AK90" i="96"/>
  <c r="AE86" i="96"/>
  <c r="E79" i="96"/>
  <c r="AM40" i="96"/>
  <c r="O48" i="96"/>
  <c r="AV28" i="96"/>
  <c r="AS83" i="96"/>
  <c r="Y48" i="96"/>
  <c r="AQ33" i="96"/>
  <c r="AN94" i="96"/>
  <c r="R10" i="96"/>
  <c r="AW45" i="96"/>
  <c r="AU70" i="96"/>
  <c r="C74" i="96"/>
  <c r="AT38" i="96"/>
  <c r="E68" i="96"/>
  <c r="AV89" i="96"/>
  <c r="AE97" i="96"/>
  <c r="AV75" i="96"/>
  <c r="AW95" i="96"/>
  <c r="AE19" i="96"/>
  <c r="AL59" i="96"/>
  <c r="V18" i="96"/>
  <c r="T60" i="96"/>
  <c r="AF77" i="96"/>
  <c r="X23" i="96"/>
  <c r="V41" i="96"/>
  <c r="S36" i="96"/>
  <c r="R27" i="96"/>
  <c r="K67" i="96"/>
  <c r="AA59" i="96"/>
  <c r="L81" i="96"/>
  <c r="E86" i="96"/>
  <c r="AG22" i="96"/>
  <c r="O99" i="96"/>
  <c r="AF10" i="96"/>
  <c r="N74" i="96"/>
  <c r="U60" i="96"/>
  <c r="AQ25" i="96"/>
  <c r="AE66" i="96"/>
  <c r="AK12" i="96"/>
  <c r="V60" i="96"/>
  <c r="W93" i="96"/>
  <c r="AN14" i="96"/>
  <c r="V96" i="96"/>
  <c r="J68" i="96"/>
  <c r="G37" i="96"/>
  <c r="L80" i="96"/>
  <c r="O21" i="96"/>
  <c r="J43" i="96"/>
  <c r="C15" i="96"/>
  <c r="K48" i="96"/>
  <c r="M35" i="96"/>
  <c r="AQ15" i="96"/>
  <c r="AL37" i="96"/>
  <c r="Q20" i="96"/>
  <c r="C8" i="96"/>
  <c r="C101" i="96"/>
  <c r="AA77" i="96"/>
  <c r="AE63" i="96"/>
  <c r="F82" i="96"/>
  <c r="P92" i="96"/>
  <c r="AD18" i="96"/>
  <c r="D99" i="96"/>
  <c r="X29" i="96"/>
  <c r="Q95" i="96"/>
  <c r="O71" i="96"/>
  <c r="C16" i="96"/>
  <c r="AD17" i="96"/>
  <c r="R9" i="96"/>
  <c r="Z35" i="96"/>
  <c r="AP34" i="96"/>
  <c r="Q32" i="96"/>
  <c r="H42" i="96"/>
  <c r="AV9" i="96"/>
  <c r="AD14" i="96"/>
  <c r="R50" i="96"/>
  <c r="AA98" i="96"/>
  <c r="J44" i="96"/>
  <c r="F44" i="96"/>
  <c r="V69" i="96"/>
  <c r="AO66" i="96"/>
  <c r="Y69" i="96"/>
  <c r="I27" i="96"/>
  <c r="AL15" i="96"/>
  <c r="AM25" i="96"/>
  <c r="AG61" i="96"/>
  <c r="AJ34" i="96"/>
  <c r="K65" i="96"/>
  <c r="AG15" i="96"/>
  <c r="V30" i="96"/>
  <c r="AD59" i="96"/>
  <c r="AM19" i="96"/>
  <c r="H78" i="96"/>
  <c r="J66" i="96"/>
  <c r="O57" i="96"/>
  <c r="P93" i="96"/>
  <c r="V64" i="96"/>
  <c r="AH16" i="96"/>
  <c r="G11" i="96"/>
  <c r="X89" i="96"/>
  <c r="AP61" i="96"/>
  <c r="F86" i="96"/>
  <c r="V82" i="96"/>
  <c r="AE32" i="96"/>
  <c r="Q63" i="96"/>
  <c r="AQ17" i="96"/>
  <c r="J65" i="96"/>
  <c r="AU16" i="96"/>
  <c r="H100" i="96"/>
  <c r="AF75" i="96"/>
  <c r="AA67" i="96"/>
  <c r="AK18" i="96"/>
  <c r="N26" i="96"/>
  <c r="O80" i="96"/>
  <c r="Y10" i="96"/>
  <c r="C26" i="96"/>
  <c r="AK64" i="96"/>
  <c r="Q15" i="96"/>
  <c r="T18" i="96"/>
  <c r="AL48" i="96"/>
  <c r="AP8" i="96"/>
  <c r="AC58" i="96"/>
  <c r="AH81" i="96"/>
  <c r="P26" i="96"/>
  <c r="AS26" i="96"/>
  <c r="AS49" i="96"/>
  <c r="AK39" i="96"/>
  <c r="AT23" i="96"/>
  <c r="AS30" i="96"/>
  <c r="AC47" i="96"/>
  <c r="F91" i="96"/>
  <c r="AU41" i="96"/>
  <c r="AW28" i="96"/>
  <c r="AT101" i="96"/>
  <c r="AS59" i="96"/>
  <c r="AS52" i="96"/>
  <c r="AH88" i="96"/>
  <c r="AK100" i="96"/>
  <c r="AC91" i="96"/>
  <c r="C63" i="96"/>
  <c r="AW46" i="96"/>
  <c r="AI79" i="96"/>
  <c r="N38" i="96"/>
  <c r="AL41" i="96"/>
  <c r="AW64" i="96"/>
  <c r="D65" i="96"/>
  <c r="AP25" i="96"/>
  <c r="X91" i="96"/>
  <c r="AE96" i="96"/>
  <c r="V97" i="96"/>
  <c r="AS77" i="96"/>
  <c r="Z90" i="96"/>
  <c r="AU51" i="96"/>
  <c r="AK73" i="96"/>
  <c r="AV90" i="96"/>
  <c r="W89" i="96"/>
  <c r="AT34" i="96"/>
  <c r="AU40" i="96"/>
  <c r="AE80" i="96"/>
  <c r="U99" i="96"/>
  <c r="AU20" i="96"/>
  <c r="F66" i="96"/>
  <c r="AT96" i="96"/>
  <c r="AT76" i="96"/>
  <c r="H61" i="96"/>
  <c r="AU30" i="96"/>
  <c r="AP35" i="96"/>
  <c r="Z20" i="96"/>
  <c r="AB57" i="96"/>
  <c r="AB16" i="96"/>
  <c r="M28" i="96"/>
  <c r="AK68" i="96"/>
  <c r="AB35" i="96"/>
  <c r="AH33" i="96"/>
  <c r="V78" i="96"/>
  <c r="L98" i="96"/>
  <c r="Q26" i="96"/>
  <c r="J92" i="96"/>
  <c r="P51" i="96"/>
  <c r="AC72" i="96"/>
  <c r="F40" i="96"/>
  <c r="Z29" i="96"/>
  <c r="T34" i="96"/>
  <c r="M86" i="96"/>
  <c r="R17" i="96"/>
  <c r="J81" i="96"/>
  <c r="AR94" i="96"/>
  <c r="AA21" i="96"/>
  <c r="N89" i="96"/>
  <c r="AH24" i="96"/>
  <c r="X100" i="96"/>
  <c r="AB23" i="96"/>
  <c r="O92" i="96"/>
  <c r="I16" i="96"/>
  <c r="E85" i="96"/>
  <c r="J35" i="96"/>
  <c r="F87" i="96"/>
  <c r="AG10" i="96"/>
  <c r="AS22" i="96"/>
  <c r="AL8" i="96"/>
  <c r="Z61" i="96"/>
  <c r="AU36" i="96"/>
  <c r="AF73" i="96"/>
  <c r="J33" i="96"/>
  <c r="AR15" i="96"/>
  <c r="D17" i="96"/>
  <c r="AO14" i="96"/>
  <c r="AA65" i="96"/>
  <c r="D88" i="96"/>
  <c r="S35" i="96"/>
  <c r="AK57" i="96"/>
  <c r="V80" i="96"/>
  <c r="AW20" i="96"/>
  <c r="AF62" i="96"/>
  <c r="G100" i="96"/>
  <c r="Z44" i="96"/>
  <c r="J100" i="96"/>
  <c r="G14" i="96"/>
  <c r="AG20" i="96"/>
  <c r="AE71" i="96"/>
  <c r="R19" i="96"/>
  <c r="D23" i="96"/>
  <c r="Q85" i="96"/>
  <c r="L11" i="96"/>
  <c r="AS67" i="96"/>
  <c r="W90" i="96"/>
  <c r="J83" i="96"/>
  <c r="Z42" i="96"/>
  <c r="V38" i="96"/>
  <c r="AO62" i="96"/>
  <c r="Z64" i="96"/>
  <c r="S92" i="96"/>
  <c r="M78" i="96"/>
  <c r="Z80" i="96"/>
  <c r="X63" i="96"/>
  <c r="S12" i="96"/>
  <c r="AD77" i="96"/>
  <c r="P43" i="96"/>
  <c r="W22" i="96"/>
  <c r="U81" i="96"/>
  <c r="AC73" i="96"/>
  <c r="AI72" i="96"/>
  <c r="X35" i="96"/>
  <c r="J12" i="96"/>
  <c r="V11" i="96"/>
  <c r="M99" i="96"/>
  <c r="AN60" i="96"/>
  <c r="N100" i="96"/>
  <c r="V17" i="96"/>
  <c r="Y28" i="96"/>
  <c r="F49" i="96"/>
  <c r="V51" i="96"/>
  <c r="S51" i="96"/>
  <c r="O10" i="96"/>
  <c r="Y72" i="96"/>
  <c r="AD32" i="96"/>
  <c r="U76" i="96"/>
  <c r="M61" i="96"/>
  <c r="AM65" i="96"/>
  <c r="H95" i="96"/>
  <c r="AF48" i="96"/>
  <c r="C48" i="96"/>
  <c r="D10" i="96"/>
  <c r="C34" i="96"/>
  <c r="M80" i="96"/>
  <c r="O29" i="96"/>
  <c r="J79" i="96"/>
  <c r="S95" i="96"/>
  <c r="O15" i="96"/>
  <c r="P94" i="96"/>
  <c r="N21" i="96"/>
  <c r="T74" i="96"/>
  <c r="AM77" i="96"/>
  <c r="AU88" i="96"/>
  <c r="AJ26" i="96"/>
  <c r="T70" i="96"/>
  <c r="G65" i="96"/>
  <c r="AF45" i="96"/>
  <c r="K40" i="96"/>
  <c r="AV36" i="96"/>
  <c r="T27" i="96"/>
  <c r="AT20" i="96"/>
  <c r="AI88" i="96"/>
  <c r="L46" i="96"/>
  <c r="AN75" i="96"/>
  <c r="AT50" i="96"/>
  <c r="AO43" i="96"/>
  <c r="AS69" i="96"/>
  <c r="AL10" i="96"/>
  <c r="AV94" i="96"/>
  <c r="AB64" i="96"/>
  <c r="G61" i="96"/>
  <c r="C94" i="96"/>
  <c r="AG39" i="96"/>
  <c r="W100" i="96"/>
  <c r="AL26" i="96"/>
  <c r="AI33" i="96"/>
  <c r="AD102" i="96"/>
  <c r="AI98" i="96"/>
  <c r="W60" i="96"/>
  <c r="G10" i="96"/>
  <c r="AF79" i="96"/>
  <c r="J94" i="96"/>
  <c r="R62" i="96"/>
  <c r="AN79" i="96"/>
  <c r="AG51" i="96"/>
  <c r="M42" i="96"/>
  <c r="AM69" i="96"/>
  <c r="G31" i="96"/>
  <c r="AB25" i="96"/>
  <c r="U43" i="96"/>
  <c r="AE42" i="96"/>
  <c r="C57" i="96"/>
  <c r="U27" i="96"/>
  <c r="E25" i="96"/>
  <c r="AK11" i="96"/>
  <c r="E13" i="96"/>
  <c r="Q14" i="96"/>
  <c r="O98" i="96"/>
  <c r="AI62" i="96"/>
  <c r="E48" i="96"/>
  <c r="F51" i="96"/>
  <c r="AV13" i="96"/>
  <c r="P49" i="96"/>
  <c r="X69" i="96"/>
  <c r="AL67" i="96"/>
  <c r="F18" i="96"/>
  <c r="L26" i="96"/>
  <c r="X18" i="96"/>
  <c r="U42" i="96"/>
  <c r="F88" i="96"/>
  <c r="C14" i="96"/>
  <c r="G40" i="96"/>
  <c r="AA18" i="96"/>
  <c r="AA57" i="96"/>
  <c r="AN64" i="96"/>
  <c r="AJ59" i="96"/>
  <c r="Q93" i="96"/>
  <c r="O89" i="96"/>
  <c r="N44" i="96"/>
  <c r="AV57" i="96"/>
  <c r="O51" i="96"/>
  <c r="AG101" i="96"/>
  <c r="I101" i="96"/>
  <c r="S38" i="96"/>
  <c r="G46" i="96"/>
  <c r="F42" i="96"/>
  <c r="I22" i="96"/>
  <c r="X71" i="96"/>
  <c r="H31" i="96"/>
  <c r="L88" i="96"/>
  <c r="V61" i="96"/>
  <c r="Q21" i="96"/>
  <c r="K81" i="96"/>
  <c r="W65" i="96"/>
  <c r="V28" i="96"/>
  <c r="AD98" i="96"/>
  <c r="P19" i="96"/>
  <c r="H85" i="96"/>
  <c r="Q66" i="96"/>
  <c r="AA25" i="96"/>
  <c r="AE74" i="96"/>
  <c r="AD88" i="96"/>
  <c r="N10" i="96"/>
  <c r="AU85" i="96"/>
  <c r="Z38" i="96"/>
  <c r="AB53" i="96"/>
  <c r="AI90" i="96"/>
  <c r="AE38" i="96"/>
  <c r="AS93" i="96"/>
  <c r="E67" i="96"/>
  <c r="AW33" i="96"/>
  <c r="AW91" i="96"/>
  <c r="AD86" i="96"/>
  <c r="AO94" i="96"/>
  <c r="Y102" i="96"/>
  <c r="AI48" i="96"/>
  <c r="AH44" i="96"/>
  <c r="AM88" i="96"/>
  <c r="AI96" i="96"/>
  <c r="I10" i="96"/>
  <c r="AK46" i="96"/>
  <c r="AS71" i="96"/>
  <c r="AI26" i="96"/>
  <c r="AH98" i="96"/>
  <c r="AJ85" i="96"/>
  <c r="D73" i="96"/>
  <c r="K24" i="96"/>
  <c r="I89" i="96"/>
  <c r="D32" i="96"/>
  <c r="Z79" i="96"/>
  <c r="Q19" i="96"/>
  <c r="G92" i="96"/>
  <c r="L9" i="96"/>
  <c r="AJ19" i="96"/>
  <c r="J60" i="96"/>
  <c r="Z41" i="96"/>
  <c r="AA38" i="96"/>
  <c r="Y23" i="96"/>
  <c r="AF59" i="96"/>
  <c r="Y78" i="96"/>
  <c r="E98" i="96"/>
  <c r="M90" i="96"/>
  <c r="AV102" i="96"/>
  <c r="P41" i="96"/>
  <c r="O74" i="96"/>
  <c r="AB9" i="96"/>
  <c r="D87" i="96"/>
  <c r="V86" i="96"/>
  <c r="E46" i="96"/>
  <c r="AI8" i="96"/>
  <c r="O33" i="96"/>
  <c r="K30" i="96"/>
  <c r="P33" i="96"/>
  <c r="AR16" i="96"/>
  <c r="D16" i="96"/>
  <c r="I76" i="96"/>
  <c r="E8" i="96"/>
  <c r="X28" i="96"/>
  <c r="N57" i="96"/>
  <c r="AW18" i="96"/>
  <c r="AS53" i="96"/>
  <c r="K77" i="96"/>
  <c r="S21" i="96"/>
  <c r="D53" i="96"/>
  <c r="O36" i="96"/>
  <c r="J27" i="96"/>
  <c r="AB88" i="96"/>
  <c r="AI66" i="96"/>
  <c r="AG33" i="96"/>
  <c r="M93" i="96"/>
  <c r="T33" i="96"/>
  <c r="E38" i="96"/>
  <c r="L97" i="96"/>
  <c r="H72" i="96"/>
  <c r="K94" i="96"/>
  <c r="R20" i="96"/>
  <c r="Q30" i="96"/>
  <c r="T82" i="96"/>
  <c r="W13" i="96"/>
  <c r="Q90" i="96"/>
  <c r="S37" i="96"/>
  <c r="H11" i="96"/>
  <c r="O19" i="96"/>
  <c r="Z18" i="96"/>
  <c r="W50" i="96"/>
  <c r="H96" i="96"/>
  <c r="AL22" i="96"/>
  <c r="AV12" i="96"/>
  <c r="C61" i="96"/>
  <c r="AH10" i="96"/>
  <c r="Y75" i="96"/>
  <c r="F16" i="96"/>
  <c r="AW67" i="96"/>
  <c r="L50" i="96"/>
  <c r="AF100" i="96"/>
  <c r="AR83" i="96"/>
  <c r="AR73" i="96"/>
  <c r="AO32" i="96"/>
  <c r="AU47" i="96"/>
  <c r="AL91" i="96"/>
  <c r="AW37" i="96"/>
  <c r="AS68" i="96"/>
  <c r="AV100" i="96"/>
  <c r="AA94" i="96"/>
  <c r="AW30" i="96"/>
  <c r="AR39" i="96"/>
  <c r="AS31" i="96"/>
  <c r="AK33" i="96"/>
  <c r="AT49" i="96"/>
  <c r="AR71" i="96"/>
  <c r="AL101" i="96"/>
  <c r="V22" i="96"/>
  <c r="G42" i="96"/>
  <c r="V20" i="96"/>
  <c r="L72" i="96"/>
  <c r="AC68" i="96"/>
  <c r="AJ61" i="96"/>
  <c r="H44" i="96"/>
  <c r="G86" i="96"/>
  <c r="D93" i="96"/>
  <c r="W30" i="96"/>
  <c r="T64" i="96"/>
  <c r="AU57" i="96"/>
  <c r="T88" i="96"/>
  <c r="AJ8" i="96"/>
  <c r="AF8" i="96"/>
  <c r="AB21" i="96"/>
  <c r="G69" i="96"/>
  <c r="T20" i="96"/>
  <c r="AN31" i="96"/>
  <c r="J41" i="96"/>
  <c r="L92" i="96"/>
  <c r="W26" i="96"/>
  <c r="AI13" i="96"/>
  <c r="AA74" i="96"/>
  <c r="N16" i="96"/>
  <c r="H25" i="96"/>
  <c r="T62" i="96"/>
  <c r="I75" i="96"/>
  <c r="P59" i="96"/>
  <c r="S52" i="96"/>
  <c r="Y47" i="96"/>
  <c r="I68" i="96"/>
  <c r="K41" i="96"/>
  <c r="AL57" i="96"/>
  <c r="K10" i="96"/>
  <c r="AQ57" i="96"/>
  <c r="AE85" i="96"/>
  <c r="O60" i="96"/>
  <c r="H86" i="96"/>
  <c r="N66" i="96"/>
  <c r="J51" i="96"/>
  <c r="I33" i="96"/>
  <c r="T77" i="96"/>
  <c r="Z17" i="96"/>
  <c r="AM16" i="96"/>
  <c r="Z63" i="96"/>
  <c r="K102" i="96"/>
  <c r="AQ84" i="96"/>
  <c r="U12" i="96"/>
  <c r="T17" i="96"/>
  <c r="M29" i="96"/>
  <c r="Q99" i="96"/>
  <c r="K63" i="96"/>
  <c r="AC75" i="96"/>
  <c r="Q11" i="96"/>
  <c r="K45" i="96"/>
  <c r="U13" i="96"/>
  <c r="AF22" i="96"/>
  <c r="G48" i="96"/>
  <c r="I96" i="96"/>
  <c r="AK69" i="96"/>
  <c r="AE90" i="96"/>
  <c r="T48" i="96"/>
  <c r="AM50" i="96"/>
  <c r="C91" i="96"/>
  <c r="R26" i="96"/>
  <c r="AK98" i="96"/>
  <c r="X88" i="96"/>
  <c r="AT87" i="96"/>
  <c r="AB94" i="96"/>
  <c r="AT33" i="96"/>
  <c r="AQ95" i="96"/>
  <c r="AK76" i="96"/>
  <c r="E64" i="96"/>
  <c r="AR74" i="96"/>
  <c r="AR52" i="96"/>
  <c r="D70" i="96"/>
  <c r="AR102" i="96"/>
  <c r="AU22" i="96"/>
  <c r="D83" i="96"/>
  <c r="AV52" i="96"/>
  <c r="E47" i="96"/>
  <c r="AT77" i="96"/>
  <c r="I47" i="96"/>
  <c r="D62" i="96"/>
  <c r="AR70" i="96"/>
  <c r="D86" i="96"/>
  <c r="Q97" i="96"/>
  <c r="D41" i="96"/>
  <c r="K85" i="96"/>
  <c r="AD11" i="96"/>
  <c r="N95" i="96"/>
  <c r="AJ12" i="96"/>
  <c r="T37" i="96"/>
  <c r="AE49" i="96"/>
  <c r="H43" i="96"/>
  <c r="K20" i="96"/>
  <c r="X73" i="96"/>
  <c r="J38" i="96"/>
  <c r="N43" i="96"/>
  <c r="Q27" i="96"/>
  <c r="U63" i="96"/>
  <c r="AM61" i="96"/>
  <c r="H98" i="96"/>
  <c r="AD23" i="96"/>
  <c r="N58" i="96"/>
  <c r="R71" i="96"/>
  <c r="AV16" i="96"/>
  <c r="P16" i="96"/>
  <c r="AE21" i="96"/>
  <c r="Z67" i="96"/>
  <c r="AH23" i="96"/>
  <c r="F26" i="96"/>
  <c r="G43" i="96"/>
  <c r="U35" i="96"/>
  <c r="Y33" i="96"/>
  <c r="H84" i="96"/>
  <c r="C88" i="96"/>
  <c r="O12" i="96"/>
  <c r="O102" i="96"/>
  <c r="M85" i="96"/>
  <c r="L77" i="96"/>
  <c r="S46" i="96"/>
  <c r="E24" i="96"/>
  <c r="E97" i="96"/>
  <c r="V39" i="96"/>
  <c r="R18" i="96"/>
  <c r="J76" i="96"/>
  <c r="X13" i="96"/>
  <c r="S86" i="96"/>
  <c r="C43" i="96"/>
  <c r="O45" i="96"/>
  <c r="V53" i="96"/>
  <c r="P57" i="96"/>
  <c r="O61" i="96"/>
  <c r="M9" i="96"/>
  <c r="M15" i="96"/>
  <c r="W43" i="96"/>
  <c r="P13" i="96"/>
  <c r="AL9" i="96"/>
  <c r="G41" i="96"/>
  <c r="L59" i="96"/>
  <c r="H53" i="96"/>
  <c r="K60" i="96"/>
  <c r="Z75" i="96"/>
  <c r="R60" i="96"/>
  <c r="AD76" i="96"/>
  <c r="X47" i="96"/>
  <c r="F52" i="96"/>
  <c r="I59" i="96"/>
  <c r="AN18" i="96"/>
  <c r="AS85" i="96"/>
  <c r="AM64" i="96"/>
  <c r="V98" i="96"/>
  <c r="AD101" i="96"/>
  <c r="AF72" i="96"/>
  <c r="AI45" i="96"/>
  <c r="AM39" i="96"/>
  <c r="AK51" i="96"/>
  <c r="AN41" i="96"/>
  <c r="O110" i="96"/>
  <c r="AN37" i="96"/>
  <c r="AB46" i="96"/>
  <c r="AO64" i="96"/>
  <c r="N79" i="96"/>
  <c r="Q36" i="96"/>
  <c r="L101" i="96"/>
  <c r="Q57" i="96"/>
  <c r="AN10" i="96"/>
  <c r="K33" i="96"/>
  <c r="P67" i="96"/>
  <c r="AR25" i="96"/>
  <c r="O11" i="96"/>
  <c r="Q70" i="96"/>
  <c r="P72" i="96"/>
  <c r="AT18" i="96"/>
  <c r="M74" i="96"/>
  <c r="P86" i="96"/>
  <c r="Z77" i="96"/>
  <c r="D33" i="96"/>
  <c r="Q9" i="96"/>
  <c r="C97" i="96"/>
  <c r="K70" i="96"/>
  <c r="M17" i="96"/>
  <c r="Q10" i="96"/>
  <c r="AB19" i="96"/>
  <c r="D46" i="96"/>
  <c r="L73" i="96"/>
  <c r="AS60" i="96"/>
  <c r="AH31" i="96"/>
  <c r="M25" i="96"/>
  <c r="K43" i="96"/>
  <c r="AJ9" i="96"/>
  <c r="AP84" i="96"/>
  <c r="W9" i="96"/>
  <c r="T19" i="96"/>
  <c r="O66" i="96"/>
  <c r="S48" i="96"/>
  <c r="M36" i="96"/>
  <c r="T68" i="96"/>
  <c r="N61" i="96"/>
  <c r="S26" i="96"/>
  <c r="Z10" i="96"/>
  <c r="W92" i="96"/>
  <c r="J10" i="96"/>
  <c r="AC27" i="96"/>
  <c r="AA42" i="96"/>
  <c r="H91" i="96"/>
  <c r="AD25" i="96"/>
  <c r="AK41" i="96"/>
  <c r="N85" i="96"/>
  <c r="AW26" i="96"/>
  <c r="T100" i="96"/>
  <c r="AF84" i="96"/>
  <c r="AG89" i="96"/>
  <c r="AO80" i="96"/>
  <c r="AH25" i="96"/>
  <c r="AN90" i="96"/>
  <c r="W73" i="96"/>
  <c r="AS57" i="96"/>
  <c r="Y58" i="96"/>
  <c r="H101" i="96"/>
  <c r="AB24" i="96"/>
  <c r="F77" i="96"/>
  <c r="F84" i="96"/>
  <c r="K21" i="96"/>
  <c r="X80" i="96"/>
  <c r="P75" i="96"/>
  <c r="M33" i="96"/>
  <c r="E9" i="96"/>
  <c r="AT10" i="96"/>
  <c r="AI16" i="96"/>
  <c r="AW15" i="96"/>
  <c r="K36" i="96"/>
  <c r="D24" i="96"/>
  <c r="AD21" i="96"/>
  <c r="E89" i="96"/>
  <c r="W76" i="96"/>
  <c r="AB30" i="96"/>
  <c r="AP66" i="96"/>
  <c r="M84" i="96"/>
  <c r="AO12" i="96"/>
  <c r="AA90" i="96"/>
  <c r="X75" i="96"/>
  <c r="Q43" i="96"/>
  <c r="R25" i="96"/>
  <c r="AS64" i="96"/>
  <c r="AK20" i="96"/>
  <c r="F41" i="96"/>
  <c r="W59" i="96"/>
  <c r="T28" i="96"/>
  <c r="AM33" i="96"/>
  <c r="I17" i="96"/>
  <c r="N23" i="96"/>
  <c r="D52" i="96"/>
  <c r="P52" i="96"/>
  <c r="AJ93" i="96"/>
  <c r="AI93" i="96"/>
  <c r="AT53" i="96"/>
  <c r="M83" i="96"/>
  <c r="W47" i="96"/>
  <c r="U21" i="96"/>
  <c r="AW42" i="96"/>
  <c r="AQ82" i="96"/>
  <c r="AT69" i="96"/>
  <c r="AG78" i="96"/>
  <c r="R101" i="96"/>
  <c r="AG97" i="96"/>
  <c r="AU86" i="96"/>
  <c r="AS35" i="96"/>
  <c r="AM67" i="96"/>
  <c r="E88" i="96"/>
  <c r="H34" i="96"/>
  <c r="AI61" i="96"/>
  <c r="N94" i="96"/>
  <c r="G101" i="96"/>
  <c r="AI40" i="96"/>
  <c r="J34" i="96"/>
  <c r="F81" i="96"/>
  <c r="AI74" i="96"/>
  <c r="V57" i="96"/>
  <c r="T44" i="96"/>
  <c r="Y64" i="96"/>
  <c r="D100" i="96"/>
  <c r="AE79" i="96"/>
  <c r="R83" i="96"/>
  <c r="C38" i="96"/>
  <c r="AA13" i="96"/>
  <c r="AB82" i="96"/>
  <c r="H13" i="96"/>
  <c r="C98" i="96"/>
  <c r="T96" i="96"/>
  <c r="AF32" i="96"/>
  <c r="S8" i="96"/>
  <c r="Z57" i="96"/>
  <c r="F100" i="96"/>
  <c r="AE31" i="96"/>
  <c r="AQ58" i="96"/>
  <c r="R85" i="96"/>
  <c r="D97" i="96"/>
  <c r="P74" i="96"/>
  <c r="E27" i="96"/>
  <c r="R98" i="96"/>
  <c r="AO17" i="96"/>
  <c r="P14" i="96"/>
  <c r="S41" i="96"/>
  <c r="AE18" i="96"/>
  <c r="P15" i="96"/>
  <c r="Z26" i="96"/>
  <c r="M43" i="96"/>
  <c r="Z99" i="96"/>
  <c r="AK94" i="96"/>
  <c r="AD93" i="96"/>
  <c r="AJ96" i="96"/>
  <c r="AC97" i="96"/>
  <c r="AJ51" i="96"/>
  <c r="AB89" i="96"/>
  <c r="AF39" i="96"/>
  <c r="AQ80" i="96"/>
  <c r="E62" i="96"/>
  <c r="AR32" i="96"/>
  <c r="AL94" i="96"/>
  <c r="AH51" i="96"/>
  <c r="AT14" i="96"/>
  <c r="AP78" i="96"/>
  <c r="Q100" i="96"/>
  <c r="AQ78" i="96"/>
  <c r="AA12" i="96"/>
  <c r="E70" i="96"/>
  <c r="H33" i="96"/>
  <c r="Y97" i="96"/>
  <c r="Q46" i="96"/>
  <c r="Y79" i="96"/>
  <c r="AP21" i="96"/>
  <c r="E10" i="96"/>
  <c r="V65" i="96"/>
  <c r="G17" i="96"/>
  <c r="AI73" i="96"/>
  <c r="M65" i="96"/>
  <c r="AD83" i="96"/>
  <c r="AJ89" i="96"/>
  <c r="Q88" i="96"/>
  <c r="L76" i="96"/>
  <c r="S88" i="96"/>
  <c r="N45" i="96"/>
  <c r="H77" i="96"/>
  <c r="K62" i="96"/>
  <c r="AH26" i="96"/>
  <c r="Y18" i="96"/>
  <c r="K19" i="96"/>
  <c r="AL60" i="96"/>
  <c r="Q52" i="96"/>
  <c r="AW36" i="96"/>
  <c r="L102" i="96"/>
  <c r="G29" i="96"/>
  <c r="AG57" i="96"/>
  <c r="D27" i="96"/>
  <c r="T73" i="96"/>
  <c r="I49" i="96"/>
  <c r="S31" i="96"/>
  <c r="AL19" i="96"/>
  <c r="Q22" i="96"/>
  <c r="AE68" i="96"/>
  <c r="AH79" i="96"/>
  <c r="AV26" i="96"/>
  <c r="AT98" i="96"/>
  <c r="AM34" i="96"/>
  <c r="E31" i="96"/>
  <c r="AB34" i="96"/>
  <c r="C30" i="96"/>
  <c r="J87" i="96"/>
  <c r="L13" i="96"/>
  <c r="S11" i="96"/>
  <c r="F11" i="96"/>
  <c r="J71" i="96"/>
  <c r="W12" i="96"/>
  <c r="S19" i="96"/>
  <c r="AU26" i="96"/>
  <c r="AM11" i="96"/>
  <c r="AE73" i="96"/>
  <c r="AW23" i="96"/>
  <c r="Q94" i="96"/>
  <c r="O38" i="96"/>
  <c r="K75" i="96"/>
  <c r="AC25" i="96"/>
  <c r="E53" i="96"/>
  <c r="AV10" i="96"/>
  <c r="C39" i="96"/>
  <c r="U83" i="96"/>
  <c r="R38" i="96"/>
  <c r="K78" i="96"/>
  <c r="AG11" i="96"/>
  <c r="AH20" i="96"/>
  <c r="AR57" i="96"/>
  <c r="O119" i="96"/>
  <c r="AM84" i="96"/>
  <c r="AQ101" i="96"/>
  <c r="AE82" i="96"/>
  <c r="M31" i="96"/>
  <c r="AP69" i="96"/>
  <c r="S81" i="96"/>
  <c r="Z92" i="96"/>
  <c r="AS27" i="96"/>
  <c r="AQ35" i="96"/>
  <c r="H27" i="96"/>
  <c r="N18" i="96"/>
  <c r="Z88" i="96"/>
  <c r="N11" i="96"/>
  <c r="G99" i="96"/>
  <c r="H67" i="96"/>
  <c r="J99" i="96"/>
  <c r="AN9" i="96"/>
  <c r="AF66" i="96"/>
  <c r="AF19" i="96"/>
  <c r="G102" i="96"/>
  <c r="S58" i="96"/>
  <c r="J24" i="96"/>
  <c r="AJ63" i="96"/>
  <c r="K12" i="96"/>
  <c r="G82" i="96"/>
  <c r="AT57" i="96"/>
  <c r="AB71" i="96"/>
  <c r="E20" i="96"/>
  <c r="AN38" i="96"/>
  <c r="AA93" i="96"/>
  <c r="AJ14" i="96"/>
  <c r="P97" i="96"/>
  <c r="AO84" i="96"/>
  <c r="AN88" i="96"/>
  <c r="AO101" i="96"/>
  <c r="AH99" i="96"/>
  <c r="AO70" i="96"/>
  <c r="AJ43" i="96"/>
  <c r="AI47" i="96"/>
  <c r="AQ28" i="96"/>
  <c r="AA80" i="96"/>
  <c r="AS61" i="96"/>
  <c r="AR77" i="96"/>
  <c r="D35" i="96"/>
  <c r="Y70" i="96"/>
  <c r="M98" i="96"/>
  <c r="AB20" i="96"/>
  <c r="AC17" i="96"/>
  <c r="Q91" i="96"/>
  <c r="G50" i="96"/>
  <c r="W75" i="96"/>
  <c r="O85" i="96"/>
  <c r="AU33" i="96"/>
  <c r="M58" i="96"/>
  <c r="H10" i="96"/>
  <c r="P66" i="96"/>
  <c r="AC67" i="96"/>
  <c r="AM13" i="96"/>
  <c r="M21" i="96"/>
  <c r="V25" i="96"/>
  <c r="AU15" i="96"/>
  <c r="N51" i="96"/>
  <c r="AE58" i="96"/>
  <c r="AL62" i="96"/>
  <c r="AJ79" i="96"/>
  <c r="I11" i="96"/>
  <c r="M38" i="96"/>
  <c r="AU87" i="96"/>
  <c r="AK80" i="96"/>
  <c r="AB95" i="96"/>
  <c r="E78" i="96"/>
  <c r="AA52" i="96"/>
  <c r="AP99" i="96"/>
  <c r="AP74" i="96"/>
  <c r="AH71" i="96"/>
  <c r="V79" i="96"/>
  <c r="I100" i="96"/>
  <c r="D18" i="96"/>
  <c r="R99" i="96"/>
  <c r="N35" i="96"/>
  <c r="T69" i="96"/>
  <c r="N84" i="96"/>
  <c r="AH66" i="96"/>
  <c r="F25" i="96"/>
  <c r="AI10" i="96"/>
  <c r="AS70" i="96"/>
  <c r="G18" i="96"/>
  <c r="P76" i="96"/>
  <c r="X97" i="96"/>
  <c r="E29" i="96"/>
  <c r="Q49" i="96"/>
  <c r="E99" i="96"/>
  <c r="U64" i="96"/>
  <c r="AC22" i="96"/>
  <c r="AA10" i="96"/>
  <c r="J22" i="96"/>
  <c r="L63" i="96"/>
  <c r="AQ88" i="96"/>
  <c r="AI24" i="96"/>
  <c r="AJ102" i="96"/>
  <c r="AP97" i="96"/>
  <c r="AU43" i="96"/>
  <c r="H68" i="96"/>
  <c r="I86" i="96"/>
  <c r="AD16" i="96"/>
  <c r="AF13" i="96"/>
  <c r="AQ21" i="96"/>
  <c r="X9" i="96"/>
  <c r="C99" i="96"/>
  <c r="R23" i="96"/>
  <c r="AB69" i="96"/>
  <c r="AP22" i="96"/>
  <c r="V84" i="96"/>
  <c r="M8" i="96"/>
  <c r="AB29" i="96"/>
  <c r="S78" i="96"/>
  <c r="AV88" i="96"/>
  <c r="AU60" i="96"/>
  <c r="AP100" i="96"/>
  <c r="AF99" i="96"/>
  <c r="AP39" i="96"/>
  <c r="AJ97" i="96"/>
  <c r="G66" i="96"/>
  <c r="P65" i="96"/>
  <c r="AW93" i="96"/>
  <c r="Z70" i="96"/>
  <c r="AM90" i="96"/>
  <c r="W35" i="96"/>
  <c r="AQ30" i="96"/>
  <c r="AJ57" i="96"/>
  <c r="O40" i="96"/>
  <c r="X10" i="96"/>
  <c r="U29" i="96"/>
  <c r="H99" i="96"/>
  <c r="V73" i="96"/>
  <c r="AF64" i="96"/>
  <c r="AI12" i="96"/>
  <c r="AC87" i="96"/>
  <c r="Q51" i="96"/>
  <c r="S28" i="96"/>
  <c r="P50" i="96"/>
  <c r="C66" i="96"/>
  <c r="AE51" i="96"/>
  <c r="AB99" i="96"/>
  <c r="Q76" i="96"/>
  <c r="AA86" i="96"/>
  <c r="AN19" i="96"/>
  <c r="AT31" i="96"/>
  <c r="AU80" i="96"/>
  <c r="AP83" i="96"/>
  <c r="AE75" i="96"/>
  <c r="Y67" i="96"/>
  <c r="AT71" i="96"/>
  <c r="U20" i="96"/>
  <c r="Z13" i="96"/>
  <c r="Y12" i="96"/>
  <c r="AC14" i="96"/>
  <c r="Q61" i="96"/>
  <c r="U61" i="96"/>
  <c r="AL65" i="96"/>
  <c r="H45" i="96"/>
  <c r="X22" i="96"/>
  <c r="N47" i="96"/>
  <c r="AD19" i="96"/>
  <c r="AP52" i="96"/>
  <c r="AJ98" i="96"/>
  <c r="AK29" i="96"/>
  <c r="AT89" i="96"/>
  <c r="Z95" i="96"/>
  <c r="J84" i="96"/>
  <c r="Z37" i="96"/>
  <c r="O79" i="96"/>
  <c r="AN21" i="96"/>
  <c r="AE88" i="96"/>
  <c r="I31" i="96"/>
  <c r="AI37" i="96"/>
  <c r="AA35" i="96"/>
  <c r="R31" i="96"/>
  <c r="E39" i="96"/>
  <c r="U66" i="96"/>
  <c r="AP15" i="96"/>
  <c r="S77" i="96"/>
  <c r="I71" i="96"/>
  <c r="AP90" i="96"/>
  <c r="AJ66" i="96"/>
  <c r="AD33" i="96"/>
  <c r="O14" i="96"/>
  <c r="AS33" i="96"/>
  <c r="AM48" i="96"/>
  <c r="AB36" i="96"/>
  <c r="AE29" i="96"/>
  <c r="AH67" i="96"/>
  <c r="AG30" i="96"/>
  <c r="N102" i="96"/>
  <c r="AI52" i="96"/>
  <c r="G91" i="96"/>
  <c r="AR65" i="96"/>
  <c r="I28" i="96"/>
  <c r="L51" i="96"/>
  <c r="V70" i="96"/>
  <c r="AO74" i="96"/>
  <c r="H74" i="96"/>
  <c r="AV30" i="96"/>
  <c r="G13" i="96"/>
  <c r="R28" i="96"/>
  <c r="I78" i="96"/>
  <c r="C45" i="96"/>
  <c r="AD62" i="96"/>
  <c r="H39" i="96"/>
  <c r="K91" i="96"/>
  <c r="M68" i="96"/>
  <c r="N63" i="96"/>
  <c r="AH70" i="96"/>
  <c r="I67" i="96"/>
  <c r="G96" i="96"/>
  <c r="G98" i="96"/>
  <c r="W29" i="96"/>
  <c r="Q48" i="96"/>
  <c r="AA20" i="96"/>
  <c r="AE34" i="96"/>
  <c r="AL11" i="96"/>
  <c r="L21" i="96"/>
  <c r="G16" i="96"/>
  <c r="M79" i="96"/>
  <c r="S67" i="96"/>
  <c r="AL27" i="96"/>
  <c r="AR60" i="96"/>
  <c r="AB62" i="96"/>
  <c r="AJ50" i="96"/>
  <c r="AG32" i="96"/>
  <c r="AU28" i="96"/>
  <c r="X94" i="96"/>
  <c r="AC35" i="96"/>
  <c r="AR80" i="96"/>
  <c r="AE37" i="96"/>
  <c r="AJ25" i="96"/>
  <c r="X39" i="96"/>
  <c r="AL51" i="96"/>
  <c r="AQ39" i="96"/>
  <c r="AW73" i="96"/>
  <c r="AJ73" i="96"/>
  <c r="AQ94" i="96"/>
  <c r="AG88" i="96"/>
  <c r="AO65" i="96"/>
  <c r="AL93" i="96"/>
  <c r="AK10" i="96"/>
  <c r="C96" i="96"/>
  <c r="AA48" i="96"/>
  <c r="AT60" i="96"/>
  <c r="H19" i="96"/>
  <c r="X76" i="96"/>
  <c r="K14" i="96"/>
  <c r="AN59" i="96"/>
  <c r="AU64" i="96"/>
  <c r="J90" i="96"/>
  <c r="AB98" i="96"/>
  <c r="AF86" i="96"/>
  <c r="D51" i="96"/>
  <c r="Q17" i="96"/>
  <c r="AO38" i="96"/>
  <c r="AS34" i="96"/>
  <c r="AG94" i="96"/>
  <c r="W52" i="96"/>
  <c r="O90" i="96"/>
  <c r="AW85" i="96"/>
  <c r="AV98" i="96"/>
  <c r="AV74" i="96"/>
  <c r="AW71" i="96"/>
  <c r="AM47" i="96"/>
  <c r="E60" i="96"/>
  <c r="R46" i="96"/>
  <c r="I19" i="96"/>
  <c r="AQ8" i="96"/>
  <c r="X78" i="96"/>
  <c r="AJ16" i="96"/>
  <c r="AK62" i="96"/>
  <c r="AI14" i="96"/>
  <c r="AB93" i="96"/>
  <c r="Y94" i="96"/>
  <c r="AM102" i="96"/>
  <c r="AT52" i="96"/>
  <c r="R36" i="96"/>
  <c r="M47" i="96"/>
  <c r="Q39" i="96"/>
  <c r="P46" i="96"/>
  <c r="L24" i="96"/>
  <c r="T67" i="96"/>
  <c r="AN84" i="96"/>
  <c r="AE59" i="96"/>
  <c r="Z96" i="96"/>
  <c r="H28" i="96"/>
  <c r="K17" i="96"/>
  <c r="D82" i="96"/>
  <c r="AK59" i="96"/>
  <c r="Y14" i="96"/>
  <c r="L22" i="96"/>
  <c r="G19" i="96"/>
  <c r="G87" i="96"/>
  <c r="S87" i="96"/>
  <c r="T72" i="96"/>
  <c r="AH101" i="96"/>
  <c r="AV85" i="96"/>
  <c r="AM53" i="96"/>
  <c r="U31" i="96"/>
  <c r="T90" i="96"/>
  <c r="AN47" i="96"/>
  <c r="Z25" i="96"/>
  <c r="AG14" i="96"/>
  <c r="AG62" i="96"/>
  <c r="AM10" i="96"/>
  <c r="AD65" i="96"/>
  <c r="I40" i="96"/>
  <c r="I94" i="96"/>
  <c r="C9" i="96"/>
  <c r="AO19" i="96"/>
  <c r="F73" i="96"/>
  <c r="AP86" i="96"/>
  <c r="U52" i="96"/>
  <c r="AJ27" i="96"/>
  <c r="V10" i="96"/>
  <c r="AN58" i="96"/>
  <c r="Q86" i="96"/>
  <c r="C20" i="96"/>
  <c r="AC76" i="96"/>
  <c r="G88" i="96"/>
  <c r="AA11" i="96"/>
  <c r="Q38" i="96"/>
  <c r="AC8" i="96"/>
  <c r="AP9" i="96"/>
  <c r="AO95" i="96"/>
  <c r="AI71" i="96"/>
  <c r="I8" i="96"/>
  <c r="AJ37" i="96"/>
  <c r="Q45" i="96"/>
  <c r="N31" i="96"/>
  <c r="H47" i="96"/>
  <c r="T40" i="96"/>
  <c r="H48" i="96"/>
  <c r="AA33" i="96"/>
  <c r="H35" i="96"/>
  <c r="K32" i="96"/>
  <c r="J73" i="96"/>
  <c r="M50" i="96"/>
  <c r="Z45" i="96"/>
  <c r="Z28" i="96"/>
  <c r="N33" i="96"/>
  <c r="AC30" i="96"/>
  <c r="L27" i="96"/>
  <c r="C11" i="96"/>
  <c r="R48" i="96"/>
  <c r="C21" i="96"/>
  <c r="G51" i="96"/>
  <c r="G70" i="96"/>
  <c r="X65" i="96"/>
  <c r="W81" i="96"/>
  <c r="AL31" i="96"/>
  <c r="P29" i="96"/>
  <c r="AT58" i="96"/>
  <c r="AD22" i="96"/>
  <c r="M18" i="96"/>
  <c r="AP23" i="96"/>
  <c r="AR76" i="96"/>
  <c r="AK44" i="96"/>
  <c r="D64" i="96"/>
  <c r="AU52" i="96"/>
  <c r="AU21" i="96"/>
  <c r="Y101" i="96"/>
  <c r="AW49" i="96"/>
  <c r="AF33" i="96"/>
  <c r="AW89" i="96"/>
  <c r="AS25" i="96"/>
  <c r="AK92" i="96"/>
  <c r="AI43" i="96"/>
  <c r="F58" i="96"/>
  <c r="Z87" i="96"/>
  <c r="I14" i="96"/>
  <c r="AN70" i="96"/>
  <c r="AF43" i="96"/>
  <c r="E71" i="96"/>
  <c r="C102" i="96"/>
  <c r="I35" i="96"/>
  <c r="V16" i="96"/>
  <c r="K53" i="96"/>
  <c r="AO11" i="96"/>
  <c r="F102" i="96"/>
  <c r="J40" i="96"/>
  <c r="R58" i="96"/>
  <c r="X50" i="96"/>
  <c r="P100" i="96"/>
  <c r="S101" i="96"/>
  <c r="AT35" i="96"/>
  <c r="T13" i="96"/>
  <c r="I21" i="96"/>
  <c r="Y43" i="96"/>
  <c r="G71" i="96"/>
  <c r="L30" i="96"/>
  <c r="AO42" i="96"/>
  <c r="AT28" i="96"/>
  <c r="AW92" i="96"/>
  <c r="AH74" i="96"/>
  <c r="AP44" i="96"/>
  <c r="I12" i="96"/>
  <c r="AE17" i="96"/>
  <c r="L79" i="96"/>
  <c r="AD49" i="96"/>
  <c r="U17" i="96"/>
  <c r="R42" i="96"/>
  <c r="K69" i="96"/>
  <c r="AN68" i="96"/>
  <c r="AH45" i="96"/>
  <c r="AJ99" i="96"/>
  <c r="AM83" i="96"/>
  <c r="AR12" i="96"/>
  <c r="C50" i="96"/>
  <c r="Y87" i="96"/>
  <c r="AI65" i="96"/>
  <c r="AJ64" i="96"/>
  <c r="I74" i="96"/>
  <c r="AK25" i="96"/>
  <c r="AP51" i="96"/>
  <c r="AB102" i="96"/>
  <c r="AV77" i="96"/>
  <c r="AO46" i="96"/>
  <c r="D12" i="96"/>
  <c r="X40" i="96"/>
  <c r="Y15" i="96"/>
  <c r="E101" i="96"/>
  <c r="Y9" i="96"/>
  <c r="AO18" i="96"/>
  <c r="AU100" i="96"/>
  <c r="AO76" i="96"/>
  <c r="AJ36" i="96"/>
  <c r="AT75" i="96"/>
  <c r="R22" i="96"/>
  <c r="AU45" i="96"/>
  <c r="N71" i="96"/>
  <c r="AV19" i="96"/>
  <c r="AE20" i="96"/>
  <c r="G22" i="96"/>
  <c r="I34" i="96"/>
  <c r="S70" i="96"/>
  <c r="AH93" i="96"/>
  <c r="U46" i="96"/>
  <c r="AV25" i="96"/>
  <c r="AG44" i="96"/>
  <c r="AL39" i="96"/>
  <c r="AW84" i="96"/>
  <c r="AC53" i="96"/>
  <c r="AS38" i="96"/>
  <c r="S24" i="96"/>
  <c r="U90" i="96"/>
  <c r="X34" i="96"/>
  <c r="T10" i="96"/>
  <c r="J74" i="96"/>
  <c r="J101" i="96"/>
  <c r="X77" i="96"/>
  <c r="U11" i="96"/>
  <c r="AO58" i="96"/>
  <c r="L44" i="96"/>
  <c r="AS21" i="96"/>
  <c r="D11" i="96"/>
  <c r="M75" i="96"/>
  <c r="M20" i="96"/>
  <c r="U9" i="96"/>
  <c r="Z34" i="96"/>
  <c r="AD30" i="96"/>
  <c r="S98" i="96"/>
  <c r="AR68" i="96"/>
  <c r="AB92" i="96"/>
  <c r="AK34" i="96"/>
  <c r="AJ35" i="96"/>
  <c r="AO29" i="96"/>
  <c r="AR98" i="96"/>
  <c r="AC84" i="96"/>
  <c r="AF14" i="96"/>
  <c r="AO8" i="96"/>
  <c r="AU13" i="96"/>
  <c r="O41" i="96"/>
  <c r="J64" i="96"/>
  <c r="N93" i="96"/>
  <c r="G15" i="96"/>
  <c r="Q83" i="96"/>
  <c r="AW39" i="96"/>
  <c r="R76" i="96"/>
  <c r="AF11" i="96"/>
  <c r="T63" i="96"/>
  <c r="O8" i="96"/>
  <c r="AE65" i="96"/>
  <c r="AJ38" i="96"/>
  <c r="AN34" i="96"/>
  <c r="AF46" i="96"/>
  <c r="AD94" i="96"/>
  <c r="AE47" i="96"/>
  <c r="AT88" i="96"/>
  <c r="AW72" i="96"/>
  <c r="AU19" i="96"/>
  <c r="R51" i="96"/>
  <c r="AC9" i="96"/>
  <c r="U89" i="96"/>
  <c r="AD45" i="96"/>
  <c r="AD60" i="96"/>
  <c r="Y22" i="96"/>
  <c r="Q8" i="96"/>
  <c r="AM80" i="96"/>
  <c r="AP38" i="96"/>
  <c r="AD27" i="96"/>
  <c r="O34" i="96"/>
  <c r="AC61" i="96"/>
  <c r="K39" i="96"/>
  <c r="AL63" i="96"/>
  <c r="AJ84" i="96"/>
  <c r="AN73" i="96"/>
  <c r="AS37" i="96"/>
  <c r="AV35" i="96"/>
  <c r="AP70" i="96"/>
  <c r="O26" i="96"/>
  <c r="Z47" i="96"/>
  <c r="AN26" i="96"/>
  <c r="AA41" i="96"/>
  <c r="AL70" i="96"/>
  <c r="M69" i="96"/>
  <c r="D14" i="96"/>
  <c r="AA70" i="96"/>
  <c r="AW88" i="96"/>
  <c r="AL64" i="96"/>
  <c r="AM9" i="96"/>
  <c r="U85" i="96"/>
  <c r="AJ100" i="96"/>
  <c r="O31" i="96"/>
  <c r="AM12" i="96"/>
  <c r="T87" i="96"/>
  <c r="E26" i="96"/>
  <c r="AW10" i="96"/>
  <c r="X99" i="96"/>
  <c r="AR75" i="96"/>
  <c r="AP42" i="96"/>
  <c r="AJ94" i="96"/>
  <c r="N8" i="96"/>
  <c r="F71" i="96"/>
  <c r="AB63" i="96"/>
  <c r="L64" i="96"/>
  <c r="AD50" i="96"/>
  <c r="W64" i="96"/>
  <c r="Z72" i="96"/>
  <c r="X92" i="96"/>
  <c r="AH32" i="96"/>
  <c r="Z32" i="96"/>
  <c r="C65" i="96"/>
  <c r="AM94" i="96"/>
  <c r="AU61" i="96"/>
  <c r="AT15" i="96"/>
  <c r="U28" i="96"/>
  <c r="V81" i="96"/>
  <c r="X17" i="96"/>
  <c r="AG27" i="96"/>
  <c r="AU12" i="96"/>
  <c r="AA64" i="96"/>
  <c r="W99" i="96"/>
  <c r="H46" i="96"/>
  <c r="N90" i="96"/>
  <c r="H51" i="96"/>
  <c r="Z14" i="96"/>
  <c r="AF68" i="96"/>
  <c r="AG68" i="96"/>
  <c r="O95" i="96"/>
  <c r="Q35" i="96"/>
  <c r="I72" i="96"/>
  <c r="AN61" i="96"/>
  <c r="Y39" i="96"/>
  <c r="O58" i="96"/>
  <c r="F10" i="96"/>
  <c r="L66" i="96"/>
  <c r="AF16" i="96"/>
  <c r="X16" i="96"/>
  <c r="T16" i="96"/>
  <c r="D49" i="96"/>
  <c r="AC83" i="96"/>
  <c r="AH52" i="96"/>
  <c r="AG100" i="96"/>
  <c r="AF67" i="96"/>
  <c r="F72" i="96"/>
  <c r="AM38" i="96"/>
  <c r="AC96" i="96"/>
  <c r="AQ29" i="96"/>
  <c r="AG79" i="96"/>
  <c r="W53" i="96"/>
  <c r="S99" i="96"/>
  <c r="P96" i="96"/>
  <c r="AM101" i="96"/>
  <c r="AS91" i="96"/>
  <c r="AS87" i="96"/>
  <c r="AP91" i="96"/>
  <c r="AT66" i="96"/>
  <c r="Z94" i="96"/>
  <c r="AB18" i="96"/>
  <c r="I73" i="96"/>
  <c r="AU82" i="96"/>
  <c r="S71" i="96"/>
  <c r="R43" i="96"/>
  <c r="AK27" i="96"/>
  <c r="I53" i="96"/>
  <c r="U78" i="96"/>
  <c r="AG21" i="96"/>
  <c r="L39" i="96"/>
  <c r="Z40" i="96"/>
  <c r="AD31" i="96"/>
  <c r="AS86" i="96"/>
  <c r="V58" i="96"/>
  <c r="C37" i="96"/>
  <c r="M16" i="96"/>
  <c r="K101" i="96"/>
  <c r="P53" i="96"/>
  <c r="F37" i="96"/>
  <c r="D69" i="96"/>
  <c r="AO36" i="96"/>
  <c r="AR66" i="96"/>
  <c r="AN89" i="96"/>
  <c r="O120" i="96"/>
  <c r="AK91" i="96"/>
  <c r="O30" i="96"/>
  <c r="W91" i="96"/>
  <c r="O70" i="96"/>
  <c r="AK61" i="96"/>
  <c r="V71" i="96"/>
  <c r="L96" i="96"/>
  <c r="M22" i="96"/>
  <c r="T80" i="96"/>
  <c r="AW50" i="96"/>
  <c r="AR67" i="96"/>
  <c r="AM68" i="96"/>
  <c r="AV41" i="96"/>
  <c r="F53" i="96"/>
  <c r="AS100" i="96"/>
  <c r="G23" i="96"/>
  <c r="P60" i="96"/>
  <c r="E37" i="96"/>
  <c r="P62" i="96"/>
  <c r="R63" i="96"/>
  <c r="T95" i="96"/>
  <c r="AS40" i="96"/>
  <c r="AB44" i="96"/>
  <c r="AH95" i="96"/>
  <c r="AR84" i="96"/>
  <c r="K83" i="96"/>
  <c r="Y62" i="96"/>
  <c r="AH63" i="96"/>
  <c r="M91" i="96"/>
  <c r="X21" i="96"/>
  <c r="W101" i="96"/>
  <c r="AE52" i="96"/>
  <c r="N78" i="96"/>
  <c r="AJ47" i="96"/>
  <c r="W101" i="46"/>
  <c r="Z150" i="46"/>
  <c r="O68" i="96"/>
  <c r="AQ98" i="96"/>
  <c r="Q101" i="96"/>
  <c r="AU24" i="96"/>
  <c r="V77" i="96"/>
  <c r="AJ62" i="96"/>
  <c r="R11" i="96"/>
  <c r="X26" i="96"/>
  <c r="AP36" i="96"/>
  <c r="AR43" i="96"/>
  <c r="AB76" i="96"/>
  <c r="I66" i="96"/>
  <c r="Z21" i="96"/>
  <c r="Z8" i="96"/>
  <c r="AM63" i="96"/>
  <c r="Y38" i="96"/>
  <c r="K46" i="96"/>
  <c r="J102" i="46"/>
  <c r="N90" i="46"/>
  <c r="AM17" i="96"/>
  <c r="AW52" i="96"/>
  <c r="AW16" i="96"/>
  <c r="AQ40" i="96"/>
  <c r="AL100" i="96"/>
  <c r="U96" i="96"/>
  <c r="E33" i="96"/>
  <c r="S79" i="96"/>
  <c r="AS13" i="96"/>
  <c r="AA149" i="46"/>
  <c r="AG77" i="96"/>
  <c r="AJ76" i="96"/>
  <c r="AU102" i="96"/>
  <c r="AA50" i="96"/>
  <c r="AT41" i="96"/>
  <c r="AQ53" i="96"/>
  <c r="AC62" i="96"/>
  <c r="Q33" i="96"/>
  <c r="AI39" i="96"/>
  <c r="P102" i="96"/>
  <c r="AV39" i="96"/>
  <c r="AA138" i="46"/>
  <c r="H21" i="46"/>
  <c r="C41" i="96"/>
  <c r="AM24" i="96"/>
  <c r="E125" i="46"/>
  <c r="AO100" i="96"/>
  <c r="AU96" i="96"/>
  <c r="AJ53" i="96"/>
  <c r="AT67" i="96"/>
  <c r="L40" i="96"/>
  <c r="AD47" i="96"/>
  <c r="U94" i="96"/>
  <c r="AR10" i="96"/>
  <c r="I77" i="96"/>
  <c r="AQ37" i="96"/>
  <c r="D87" i="46"/>
  <c r="L52" i="46"/>
  <c r="Y48" i="46"/>
  <c r="Y80" i="96"/>
  <c r="AI76" i="96"/>
  <c r="O58" i="46"/>
  <c r="AD52" i="96"/>
  <c r="AN63" i="96"/>
  <c r="N77" i="96"/>
  <c r="K66" i="96"/>
  <c r="Z103" i="46"/>
  <c r="I140" i="46"/>
  <c r="Y73" i="96"/>
  <c r="AR63" i="96"/>
  <c r="F63" i="96"/>
  <c r="AB72" i="96"/>
  <c r="AH46" i="96"/>
  <c r="AO53" i="96"/>
  <c r="D61" i="96"/>
  <c r="AG29" i="96"/>
  <c r="AN62" i="96"/>
  <c r="O82" i="96"/>
  <c r="K95" i="96"/>
  <c r="E92" i="96"/>
  <c r="AA83" i="96"/>
  <c r="AN43" i="96"/>
  <c r="W107" i="46"/>
  <c r="U67" i="46"/>
  <c r="N91" i="46"/>
  <c r="AD40" i="96"/>
  <c r="Z74" i="96"/>
  <c r="AG76" i="96"/>
  <c r="K98" i="96"/>
  <c r="AK81" i="96"/>
  <c r="P149" i="46"/>
  <c r="V88" i="96"/>
  <c r="AO69" i="96"/>
  <c r="M101" i="96"/>
  <c r="AA53" i="96"/>
  <c r="P47" i="96"/>
  <c r="AS44" i="96"/>
  <c r="AB80" i="96"/>
  <c r="AL20" i="96"/>
  <c r="R35" i="96"/>
  <c r="AQ99" i="96"/>
  <c r="AJ68" i="96"/>
  <c r="AW60" i="96"/>
  <c r="AA8" i="96"/>
  <c r="J50" i="96"/>
  <c r="W34" i="96"/>
  <c r="F19" i="96"/>
  <c r="Q89" i="96"/>
  <c r="AO81" i="96"/>
  <c r="D136" i="46"/>
  <c r="X34" i="46"/>
  <c r="V91" i="46"/>
  <c r="P64" i="96"/>
  <c r="AR17" i="96"/>
  <c r="AV96" i="96"/>
  <c r="AL23" i="96"/>
  <c r="Y49" i="96"/>
  <c r="AO37" i="96"/>
  <c r="Z91" i="96"/>
  <c r="Y53" i="96"/>
  <c r="R29" i="96"/>
  <c r="AR97" i="96"/>
  <c r="W58" i="96"/>
  <c r="S59" i="96"/>
  <c r="AD68" i="96"/>
  <c r="R57" i="96"/>
  <c r="H38" i="96"/>
  <c r="O136" i="46"/>
  <c r="D8" i="46"/>
  <c r="V73" i="46"/>
  <c r="AA39" i="96"/>
  <c r="H75" i="96"/>
  <c r="F95" i="99"/>
  <c r="K94" i="99"/>
  <c r="F85" i="9"/>
  <c r="L59" i="99"/>
  <c r="D78" i="9"/>
  <c r="F30" i="99"/>
  <c r="D115" i="99"/>
  <c r="J116" i="39"/>
  <c r="T35" i="39"/>
  <c r="R65" i="39"/>
  <c r="U149" i="39"/>
  <c r="E143" i="39"/>
  <c r="U92" i="39"/>
  <c r="O88" i="39"/>
  <c r="I135" i="39"/>
  <c r="S105" i="39"/>
  <c r="F10" i="39"/>
  <c r="Y103" i="39"/>
  <c r="W154" i="39"/>
  <c r="S141" i="39"/>
  <c r="F88" i="9"/>
  <c r="H80" i="9"/>
  <c r="J36" i="99"/>
  <c r="C19" i="9"/>
  <c r="C46" i="9"/>
  <c r="D76" i="9"/>
  <c r="L71" i="9"/>
  <c r="J60" i="99"/>
  <c r="E18" i="9"/>
  <c r="Q62" i="39"/>
  <c r="U22" i="39"/>
  <c r="H41" i="39"/>
  <c r="D58" i="39"/>
  <c r="F130" i="39"/>
  <c r="L101" i="39"/>
  <c r="W12" i="39"/>
  <c r="V146" i="39"/>
  <c r="G10" i="39"/>
  <c r="H18" i="39"/>
  <c r="T158" i="39"/>
  <c r="T110" i="39"/>
  <c r="M137" i="39"/>
  <c r="Y111" i="39"/>
  <c r="K35" i="39"/>
  <c r="N63" i="39"/>
  <c r="E9" i="39"/>
  <c r="M31" i="39"/>
  <c r="L55" i="39"/>
  <c r="Y115" i="39"/>
  <c r="U10" i="39"/>
  <c r="E101" i="39"/>
  <c r="K48" i="9"/>
  <c r="G88" i="99"/>
  <c r="J54" i="99"/>
  <c r="D104" i="9"/>
  <c r="D10" i="9"/>
  <c r="D106" i="9"/>
  <c r="F13" i="99"/>
  <c r="K35" i="99"/>
  <c r="G33" i="99"/>
  <c r="S57" i="39"/>
  <c r="U41" i="39"/>
  <c r="X89" i="39"/>
  <c r="K64" i="39"/>
  <c r="D39" i="39"/>
  <c r="Y129" i="39"/>
  <c r="K24" i="39"/>
  <c r="L56" i="39"/>
  <c r="R34" i="39"/>
  <c r="D110" i="39"/>
  <c r="L21" i="39"/>
  <c r="C148" i="39"/>
  <c r="M33" i="39"/>
  <c r="Q49" i="39"/>
  <c r="X73" i="39"/>
  <c r="J109" i="39"/>
  <c r="W22" i="39"/>
  <c r="U33" i="39"/>
  <c r="H102" i="39"/>
  <c r="K130" i="39"/>
  <c r="N104" i="39"/>
  <c r="O18" i="39"/>
  <c r="S128" i="39"/>
  <c r="N66" i="39"/>
  <c r="R159" i="39"/>
  <c r="O75" i="39"/>
  <c r="M50" i="39"/>
  <c r="F93" i="99"/>
  <c r="C105" i="9"/>
  <c r="C85" i="9"/>
  <c r="C115" i="99"/>
  <c r="H35" i="99"/>
  <c r="C34" i="99"/>
  <c r="G9" i="99"/>
  <c r="E114" i="9"/>
  <c r="J113" i="9"/>
  <c r="J103" i="9"/>
  <c r="C80" i="9"/>
  <c r="D41" i="9"/>
  <c r="D23" i="99"/>
  <c r="C27" i="9"/>
  <c r="E16" i="9"/>
  <c r="K67" i="9"/>
  <c r="L95" i="9"/>
  <c r="E105" i="9"/>
  <c r="I28" i="99"/>
  <c r="F119" i="99"/>
  <c r="G90" i="99"/>
  <c r="J77" i="99"/>
  <c r="F14" i="99"/>
  <c r="D108" i="9"/>
  <c r="L14" i="9"/>
  <c r="G71" i="9"/>
  <c r="K89" i="9"/>
  <c r="L69" i="9"/>
  <c r="J90" i="99"/>
  <c r="E62" i="99"/>
  <c r="E135" i="39"/>
  <c r="M134" i="39"/>
  <c r="P127" i="39"/>
  <c r="W153" i="39"/>
  <c r="C117" i="39"/>
  <c r="Q128" i="39"/>
  <c r="Y37" i="39"/>
  <c r="N128" i="39"/>
  <c r="I73" i="39"/>
  <c r="L97" i="39"/>
  <c r="V16" i="39"/>
  <c r="N130" i="39"/>
  <c r="U18" i="39"/>
  <c r="T13" i="39"/>
  <c r="S107" i="39"/>
  <c r="R20" i="39"/>
  <c r="G44" i="39"/>
  <c r="D152" i="39"/>
  <c r="Q41" i="39"/>
  <c r="I150" i="39"/>
  <c r="D159" i="39"/>
  <c r="X104" i="39"/>
  <c r="P68" i="39"/>
  <c r="U118" i="39"/>
  <c r="O82" i="39"/>
  <c r="L27" i="39"/>
  <c r="I154" i="39"/>
  <c r="N37" i="39"/>
  <c r="F69" i="39"/>
  <c r="Q96" i="39"/>
  <c r="Q15" i="39"/>
  <c r="S74" i="39"/>
  <c r="W118" i="39"/>
  <c r="E99" i="39"/>
  <c r="H67" i="39"/>
  <c r="Q77" i="39"/>
  <c r="Q101" i="39"/>
  <c r="F81" i="39"/>
  <c r="D144" i="39"/>
  <c r="H107" i="39"/>
  <c r="D10" i="39"/>
  <c r="K82" i="39"/>
  <c r="Z135" i="39"/>
  <c r="P12" i="39"/>
  <c r="S103" i="39"/>
  <c r="U44" i="39"/>
  <c r="J146" i="39"/>
  <c r="I68" i="39"/>
  <c r="V66" i="39"/>
  <c r="Q19" i="39"/>
  <c r="Y51" i="39"/>
  <c r="G88" i="39"/>
  <c r="P70" i="39"/>
  <c r="R24" i="39"/>
  <c r="Q105" i="39"/>
  <c r="D18" i="39"/>
  <c r="W15" i="39"/>
  <c r="W94" i="39"/>
  <c r="P58" i="39"/>
  <c r="Y107" i="39"/>
  <c r="M12" i="39"/>
  <c r="V131" i="39"/>
  <c r="U63" i="39"/>
  <c r="F52" i="39"/>
  <c r="Y160" i="39"/>
  <c r="U158" i="39"/>
  <c r="Y117" i="39"/>
  <c r="I49" i="39"/>
  <c r="R114" i="39"/>
  <c r="M89" i="39"/>
  <c r="E137" i="39"/>
  <c r="P149" i="39"/>
  <c r="T24" i="39"/>
  <c r="Z11" i="39"/>
  <c r="G37" i="39"/>
  <c r="P116" i="39"/>
  <c r="Y81" i="39"/>
  <c r="V97" i="39"/>
  <c r="X32" i="39"/>
  <c r="V67" i="39"/>
  <c r="Z137" i="39"/>
  <c r="S56" i="39"/>
  <c r="D25" i="39"/>
  <c r="Y14" i="39"/>
  <c r="Q10" i="39"/>
  <c r="U56" i="39"/>
  <c r="D9" i="39"/>
  <c r="M53" i="39"/>
  <c r="Z10" i="39"/>
  <c r="X111" i="39"/>
  <c r="L9" i="39"/>
  <c r="U150" i="39"/>
  <c r="Y136" i="39"/>
  <c r="K118" i="39"/>
  <c r="J56" i="39"/>
  <c r="X128" i="39"/>
  <c r="M117" i="39"/>
  <c r="U127" i="39"/>
  <c r="N14" i="39"/>
  <c r="K41" i="39"/>
  <c r="S23" i="39"/>
  <c r="I161" i="39"/>
  <c r="C132" i="39"/>
  <c r="F40" i="39"/>
  <c r="X137" i="39"/>
  <c r="U27" i="39"/>
  <c r="P25" i="39"/>
  <c r="O132" i="39"/>
  <c r="O112" i="39"/>
  <c r="N119" i="39"/>
  <c r="Y140" i="39"/>
  <c r="E75" i="39"/>
  <c r="E130" i="39"/>
  <c r="T132" i="39"/>
  <c r="V44" i="39"/>
  <c r="L32" i="39"/>
  <c r="T44" i="39"/>
  <c r="P40" i="39"/>
  <c r="V77" i="39"/>
  <c r="J82" i="39"/>
  <c r="S106" i="39"/>
  <c r="S146" i="39"/>
  <c r="T19" i="39"/>
  <c r="Y113" i="39"/>
  <c r="O30" i="39"/>
  <c r="G116" i="39"/>
  <c r="U30" i="39"/>
  <c r="D77" i="39"/>
  <c r="M13" i="39"/>
  <c r="V37" i="39"/>
  <c r="Y110" i="39"/>
  <c r="E157" i="39"/>
  <c r="S110" i="39"/>
  <c r="X117" i="39"/>
  <c r="K141" i="39"/>
  <c r="Q154" i="39"/>
  <c r="G152" i="39"/>
  <c r="W150" i="39"/>
  <c r="I9" i="39"/>
  <c r="K105" i="39"/>
  <c r="J142" i="39"/>
  <c r="C40" i="39"/>
  <c r="C127" i="39"/>
  <c r="C99" i="39"/>
  <c r="P64" i="39"/>
  <c r="X147" i="39"/>
  <c r="Z103" i="39"/>
  <c r="D113" i="39"/>
  <c r="O111" i="39"/>
  <c r="N89" i="39"/>
  <c r="C111" i="39"/>
  <c r="E29" i="39"/>
  <c r="O94" i="39"/>
  <c r="I132" i="39"/>
  <c r="L60" i="39"/>
  <c r="H147" i="39"/>
  <c r="S132" i="39"/>
  <c r="J19" i="39"/>
  <c r="M68" i="39"/>
  <c r="Q114" i="39"/>
  <c r="L141" i="39"/>
  <c r="F105" i="39"/>
  <c r="J36" i="39"/>
  <c r="G97" i="39"/>
  <c r="K139" i="39"/>
  <c r="R137" i="39"/>
  <c r="S111" i="39"/>
  <c r="N73" i="39"/>
  <c r="L147" i="39"/>
  <c r="N108" i="39"/>
  <c r="U100" i="39"/>
  <c r="H91" i="39"/>
  <c r="I53" i="39"/>
  <c r="R17" i="39"/>
  <c r="X134" i="39"/>
  <c r="X92" i="39"/>
  <c r="O81" i="39"/>
  <c r="R22" i="39"/>
  <c r="F58" i="39"/>
  <c r="W105" i="39"/>
  <c r="N151" i="39"/>
  <c r="G111" i="39"/>
  <c r="F75" i="39"/>
  <c r="N103" i="39"/>
  <c r="Q158" i="39"/>
  <c r="Y41" i="39"/>
  <c r="P104" i="39"/>
  <c r="R138" i="39"/>
  <c r="I101" i="39"/>
  <c r="H74" i="39"/>
  <c r="S16" i="39"/>
  <c r="O44" i="39"/>
  <c r="H161" i="39"/>
  <c r="S155" i="39"/>
  <c r="L113" i="39"/>
  <c r="Z57" i="39"/>
  <c r="K54" i="39"/>
  <c r="V94" i="39"/>
  <c r="X109" i="39"/>
  <c r="Z109" i="39"/>
  <c r="S153" i="39"/>
  <c r="Z62" i="39"/>
  <c r="X10" i="39"/>
  <c r="W136" i="39"/>
  <c r="G115" i="39"/>
  <c r="N64" i="39"/>
  <c r="M107" i="39"/>
  <c r="I59" i="39"/>
  <c r="E16" i="39"/>
  <c r="R10" i="39"/>
  <c r="V13" i="39"/>
  <c r="W104" i="39"/>
  <c r="I37" i="39"/>
  <c r="D76" i="39"/>
  <c r="Z95" i="39"/>
  <c r="O13" i="39"/>
  <c r="W126" i="39"/>
  <c r="E63" i="39"/>
  <c r="Z75" i="39"/>
  <c r="O115" i="39"/>
  <c r="X44" i="39"/>
  <c r="L42" i="39"/>
  <c r="N102" i="39"/>
  <c r="W122" i="39"/>
  <c r="X37" i="39"/>
  <c r="R155" i="39"/>
  <c r="C25" i="39"/>
  <c r="G16" i="39"/>
  <c r="J141" i="39"/>
  <c r="P15" i="39"/>
  <c r="T140" i="39"/>
  <c r="S108" i="39"/>
  <c r="D143" i="39"/>
  <c r="Q40" i="39"/>
  <c r="V108" i="39"/>
  <c r="Q140" i="39"/>
  <c r="S44" i="39"/>
  <c r="D102" i="39"/>
  <c r="G40" i="39"/>
  <c r="I131" i="39"/>
  <c r="T139" i="39"/>
  <c r="V143" i="39"/>
  <c r="J28" i="39"/>
  <c r="O40" i="39"/>
  <c r="G127" i="39"/>
  <c r="L127" i="39"/>
  <c r="S148" i="39"/>
  <c r="K55" i="39"/>
  <c r="M132" i="39"/>
  <c r="F150" i="39"/>
  <c r="H56" i="39"/>
  <c r="P10" i="39"/>
  <c r="G108" i="39"/>
  <c r="I69" i="39"/>
  <c r="T104" i="39"/>
  <c r="Y161" i="39"/>
  <c r="M111" i="39"/>
  <c r="D101" i="39"/>
  <c r="I105" i="39"/>
  <c r="S145" i="39"/>
  <c r="F153" i="39"/>
  <c r="N50" i="39"/>
  <c r="J37" i="39"/>
  <c r="W93" i="39"/>
  <c r="J111" i="39"/>
  <c r="O109" i="39"/>
  <c r="H100" i="39"/>
  <c r="G109" i="39"/>
  <c r="P154" i="39"/>
  <c r="F120" i="39"/>
  <c r="F19" i="39"/>
  <c r="F142" i="39"/>
  <c r="X64" i="39"/>
  <c r="P100" i="39"/>
  <c r="H138" i="39"/>
  <c r="X54" i="39"/>
  <c r="I121" i="39"/>
  <c r="V12" i="39"/>
  <c r="M40" i="39"/>
  <c r="J27" i="39"/>
  <c r="H72" i="39"/>
  <c r="Q51" i="39"/>
  <c r="V93" i="39"/>
  <c r="Q145" i="39"/>
  <c r="N34" i="39"/>
  <c r="Z93" i="39"/>
  <c r="V27" i="39"/>
  <c r="X31" i="39"/>
  <c r="P27" i="39"/>
  <c r="L81" i="39"/>
  <c r="X74" i="39"/>
  <c r="J137" i="39"/>
  <c r="M142" i="39"/>
  <c r="K149" i="39"/>
  <c r="Z48" i="39"/>
  <c r="Z42" i="39"/>
  <c r="J17" i="39"/>
  <c r="J35" i="39"/>
  <c r="K137" i="39"/>
  <c r="X161" i="39"/>
  <c r="W147" i="39"/>
  <c r="O91" i="39"/>
  <c r="T72" i="39"/>
  <c r="P69" i="39"/>
  <c r="U65" i="39"/>
  <c r="K135" i="39"/>
  <c r="P133" i="39"/>
  <c r="N99" i="39"/>
  <c r="Z132" i="39"/>
  <c r="X25" i="39"/>
  <c r="C98" i="39"/>
  <c r="J143" i="39"/>
  <c r="J33" i="39"/>
  <c r="D157" i="39"/>
  <c r="D161" i="39"/>
  <c r="T153" i="39"/>
  <c r="E102" i="39"/>
  <c r="S126" i="39"/>
  <c r="Q110" i="39"/>
  <c r="K102" i="39"/>
  <c r="L77" i="39"/>
  <c r="D91" i="39"/>
  <c r="V79" i="39"/>
  <c r="T150" i="39"/>
  <c r="X24" i="39"/>
  <c r="C61" i="39"/>
  <c r="K93" i="39"/>
  <c r="Y138" i="39"/>
  <c r="Q31" i="39"/>
  <c r="M127" i="39"/>
  <c r="X87" i="39"/>
  <c r="U135" i="39"/>
  <c r="M113" i="39"/>
  <c r="X22" i="39"/>
  <c r="P143" i="39"/>
  <c r="W77" i="39"/>
  <c r="D98" i="39"/>
  <c r="U112" i="39"/>
  <c r="W132" i="39"/>
  <c r="U39" i="39"/>
  <c r="H33" i="39"/>
  <c r="V129" i="39"/>
  <c r="V34" i="39"/>
  <c r="U72" i="39"/>
  <c r="O21" i="39"/>
  <c r="M59" i="39"/>
  <c r="Z71" i="39"/>
  <c r="Y112" i="39"/>
  <c r="S76" i="39"/>
  <c r="H20" i="39"/>
  <c r="S20" i="39"/>
  <c r="L52" i="39"/>
  <c r="G62" i="39"/>
  <c r="K19" i="39"/>
  <c r="V57" i="39"/>
  <c r="E62" i="39"/>
  <c r="R33" i="39"/>
  <c r="U67" i="39"/>
  <c r="L44" i="39"/>
  <c r="H130" i="39"/>
  <c r="W82" i="39"/>
  <c r="L152" i="39"/>
  <c r="P66" i="39"/>
  <c r="M64" i="39"/>
  <c r="N82" i="39"/>
  <c r="J144" i="39"/>
  <c r="K80" i="39"/>
  <c r="M16" i="39"/>
  <c r="V52" i="39"/>
  <c r="K72" i="39"/>
  <c r="N160" i="39"/>
  <c r="J127" i="39"/>
  <c r="M128" i="39"/>
  <c r="E131" i="39"/>
  <c r="Z61" i="39"/>
  <c r="C24" i="39"/>
  <c r="U103" i="39"/>
  <c r="R91" i="39"/>
  <c r="Q81" i="39"/>
  <c r="S21" i="39"/>
  <c r="W152" i="39"/>
  <c r="P23" i="39"/>
  <c r="Y59" i="39"/>
  <c r="O151" i="39"/>
  <c r="C9" i="39"/>
  <c r="H105" i="39"/>
  <c r="O49" i="39"/>
  <c r="O144" i="39"/>
  <c r="V87" i="39"/>
  <c r="T90" i="39"/>
  <c r="N140" i="39"/>
  <c r="N132" i="39"/>
  <c r="K140" i="39"/>
  <c r="G75" i="39"/>
  <c r="H119" i="39"/>
  <c r="R134" i="39"/>
  <c r="W33" i="39"/>
  <c r="E39" i="39"/>
  <c r="H136" i="39"/>
  <c r="V82" i="39"/>
  <c r="G95" i="39"/>
  <c r="P96" i="39"/>
  <c r="O148" i="39"/>
  <c r="G53" i="39"/>
  <c r="Q91" i="39"/>
  <c r="O74" i="39"/>
  <c r="S30" i="39"/>
  <c r="L28" i="39"/>
  <c r="V74" i="39"/>
  <c r="Q90" i="39"/>
  <c r="Q50" i="39"/>
  <c r="G51" i="39"/>
  <c r="T130" i="39"/>
  <c r="N109" i="39"/>
  <c r="S150" i="39"/>
  <c r="X12" i="39"/>
  <c r="U76" i="39"/>
  <c r="P49" i="39"/>
  <c r="F114" i="39"/>
  <c r="D83" i="39"/>
  <c r="Z143" i="39"/>
  <c r="R139" i="39"/>
  <c r="P53" i="39"/>
  <c r="Y68" i="39"/>
  <c r="Z22" i="39"/>
  <c r="O24" i="39"/>
  <c r="H66" i="39"/>
  <c r="H71" i="39"/>
  <c r="Y74" i="39"/>
  <c r="P35" i="39"/>
  <c r="N56" i="39"/>
  <c r="M141" i="39"/>
  <c r="W87" i="39"/>
  <c r="M66" i="39"/>
  <c r="O143" i="39"/>
  <c r="P87" i="39"/>
  <c r="J97" i="39"/>
  <c r="E83" i="39"/>
  <c r="Z53" i="39"/>
  <c r="W142" i="39"/>
  <c r="I36" i="39"/>
  <c r="S119" i="39"/>
  <c r="J55" i="39"/>
  <c r="J9" i="39"/>
  <c r="L98" i="39"/>
  <c r="T111" i="39"/>
  <c r="L92" i="39"/>
  <c r="H58" i="39"/>
  <c r="R29" i="39"/>
  <c r="L153" i="39"/>
  <c r="U122" i="39"/>
  <c r="M78" i="39"/>
  <c r="M157" i="39"/>
  <c r="L102" i="39"/>
  <c r="C64" i="39"/>
  <c r="Q66" i="39"/>
  <c r="Y42" i="39"/>
  <c r="Y96" i="39"/>
  <c r="V68" i="39"/>
  <c r="E43" i="39"/>
  <c r="G33" i="39"/>
  <c r="F145" i="39"/>
  <c r="C36" i="39"/>
  <c r="V105" i="39"/>
  <c r="V20" i="39"/>
  <c r="D78" i="39"/>
  <c r="S18" i="39"/>
  <c r="K38" i="39"/>
  <c r="K161" i="39"/>
  <c r="H126" i="39"/>
  <c r="H95" i="39"/>
  <c r="H148" i="39"/>
  <c r="F33" i="39"/>
  <c r="X143" i="39"/>
  <c r="X139" i="39"/>
  <c r="Q74" i="39"/>
  <c r="O135" i="39"/>
  <c r="U34" i="39"/>
  <c r="D100" i="39"/>
  <c r="G63" i="39"/>
  <c r="S114" i="39"/>
  <c r="V152" i="39"/>
  <c r="Y25" i="39"/>
  <c r="I26" i="39"/>
  <c r="J99" i="39"/>
  <c r="D105" i="39"/>
  <c r="S75" i="39"/>
  <c r="H64" i="39"/>
  <c r="R43" i="39"/>
  <c r="P82" i="39"/>
  <c r="G102" i="39"/>
  <c r="N72" i="39"/>
  <c r="H156" i="39"/>
  <c r="M10" i="39"/>
  <c r="I127" i="39"/>
  <c r="X153" i="39"/>
  <c r="V150" i="39"/>
  <c r="J80" i="39"/>
  <c r="M32" i="39"/>
  <c r="U157" i="39"/>
  <c r="Y19" i="39"/>
  <c r="G28" i="39"/>
  <c r="D106" i="39"/>
  <c r="K92" i="39"/>
  <c r="S12" i="39"/>
  <c r="V42" i="39"/>
  <c r="D108" i="39"/>
  <c r="Y69" i="39"/>
  <c r="P92" i="39"/>
  <c r="F98" i="39"/>
  <c r="C75" i="39"/>
  <c r="R145" i="39"/>
  <c r="M25" i="39"/>
  <c r="N79" i="39"/>
  <c r="H137" i="39"/>
  <c r="E23" i="39"/>
  <c r="I64" i="39"/>
  <c r="P54" i="39"/>
  <c r="L12" i="39"/>
  <c r="I107" i="39"/>
  <c r="E159" i="39"/>
  <c r="U153" i="39"/>
  <c r="R9" i="39"/>
  <c r="Z146" i="39"/>
  <c r="E82" i="39"/>
  <c r="C81" i="39"/>
  <c r="I81" i="39"/>
  <c r="G17" i="39"/>
  <c r="C87" i="39"/>
  <c r="G110" i="39"/>
  <c r="H37" i="39"/>
  <c r="V134" i="39"/>
  <c r="L37" i="39"/>
  <c r="S134" i="39"/>
  <c r="V114" i="39"/>
  <c r="C32" i="39"/>
  <c r="U145" i="39"/>
  <c r="G77" i="39"/>
  <c r="S61" i="39"/>
  <c r="T30" i="39"/>
  <c r="J101" i="39"/>
  <c r="R40" i="39"/>
  <c r="V115" i="39"/>
  <c r="I77" i="39"/>
  <c r="R135" i="39"/>
  <c r="J50" i="39"/>
  <c r="N87" i="39"/>
  <c r="K158" i="39"/>
  <c r="W101" i="39"/>
  <c r="W145" i="39"/>
  <c r="U91" i="39"/>
  <c r="G121" i="39"/>
  <c r="R102" i="39"/>
  <c r="D114" i="39"/>
  <c r="L71" i="39"/>
  <c r="G11" i="39"/>
  <c r="Y159" i="39"/>
  <c r="V89" i="39"/>
  <c r="Z114" i="39"/>
  <c r="Q42" i="39"/>
  <c r="F97" i="39"/>
  <c r="V140" i="39"/>
  <c r="G12" i="39"/>
  <c r="E133" i="39"/>
  <c r="Y151" i="39"/>
  <c r="S22" i="39"/>
  <c r="N24" i="39"/>
  <c r="W29" i="39"/>
  <c r="Y39" i="39"/>
  <c r="W34" i="39"/>
  <c r="K129" i="39"/>
  <c r="Y53" i="39"/>
  <c r="H94" i="39"/>
  <c r="H26" i="39"/>
  <c r="I97" i="39"/>
  <c r="G43" i="39"/>
  <c r="Z119" i="39"/>
  <c r="U88" i="39"/>
  <c r="V24" i="39"/>
  <c r="J87" i="39"/>
  <c r="N29" i="39"/>
  <c r="I157" i="39"/>
  <c r="D141" i="39"/>
  <c r="U155" i="39"/>
  <c r="O16" i="39"/>
  <c r="Y22" i="39"/>
  <c r="K79" i="39"/>
  <c r="Q17" i="39"/>
  <c r="F66" i="39"/>
  <c r="Q122" i="39"/>
  <c r="H144" i="39"/>
  <c r="T58" i="39"/>
  <c r="Z83" i="39"/>
  <c r="N12" i="39"/>
  <c r="X18" i="39"/>
  <c r="G70" i="39"/>
  <c r="Y60" i="39"/>
  <c r="J138" i="39"/>
  <c r="W141" i="39"/>
  <c r="Q14" i="39"/>
  <c r="X79" i="39"/>
  <c r="L100" i="39"/>
  <c r="K23" i="39"/>
  <c r="S24" i="39"/>
  <c r="U60" i="39"/>
  <c r="J69" i="39"/>
  <c r="I140" i="39"/>
  <c r="G134" i="39"/>
  <c r="I40" i="39"/>
  <c r="C52" i="39"/>
  <c r="O119" i="39"/>
  <c r="Z49" i="39"/>
  <c r="C94" i="39"/>
  <c r="V39" i="39"/>
  <c r="G141" i="39"/>
  <c r="O80" i="39"/>
  <c r="E12" i="39"/>
  <c r="P101" i="39"/>
  <c r="T79" i="39"/>
  <c r="Y93" i="39"/>
  <c r="U139" i="39"/>
  <c r="S90" i="39"/>
  <c r="F133" i="39"/>
  <c r="O27" i="39"/>
  <c r="M160" i="39"/>
  <c r="M72" i="39"/>
  <c r="D40" i="39"/>
  <c r="V128" i="39"/>
  <c r="Z100" i="39"/>
  <c r="X121" i="39"/>
  <c r="V65" i="39"/>
  <c r="P160" i="39"/>
  <c r="H43" i="39"/>
  <c r="T69" i="39"/>
  <c r="U105" i="39"/>
  <c r="T60" i="39"/>
  <c r="J160" i="39"/>
  <c r="V58" i="39"/>
  <c r="L144" i="39"/>
  <c r="K91" i="39"/>
  <c r="R39" i="39"/>
  <c r="C116" i="39"/>
  <c r="T115" i="39"/>
  <c r="C73" i="39"/>
  <c r="H128" i="39"/>
  <c r="N18" i="39"/>
  <c r="U71" i="39"/>
  <c r="V145" i="39"/>
  <c r="U42" i="39"/>
  <c r="U80" i="39"/>
  <c r="N33" i="39"/>
  <c r="N53" i="39"/>
  <c r="O79" i="39"/>
  <c r="S15" i="39"/>
  <c r="Y28" i="39"/>
  <c r="D33" i="39"/>
  <c r="Z145" i="39"/>
  <c r="N57" i="39"/>
  <c r="O42" i="39"/>
  <c r="V113" i="39"/>
  <c r="R149" i="39"/>
  <c r="K20" i="39"/>
  <c r="Z94" i="39"/>
  <c r="M14" i="39"/>
  <c r="M143" i="39"/>
  <c r="V17" i="39"/>
  <c r="K142" i="39"/>
  <c r="D127" i="39"/>
  <c r="Q63" i="39"/>
  <c r="C69" i="39"/>
  <c r="E34" i="39"/>
  <c r="W9" i="39"/>
  <c r="P99" i="39"/>
  <c r="K160" i="39"/>
  <c r="Q142" i="39"/>
  <c r="S51" i="39"/>
  <c r="Q64" i="39"/>
  <c r="K98" i="39"/>
  <c r="N96" i="39"/>
  <c r="G18" i="39"/>
  <c r="K152" i="39"/>
  <c r="Z144" i="39"/>
  <c r="P9" i="39"/>
  <c r="K22" i="39"/>
  <c r="P37" i="39"/>
  <c r="H106" i="39"/>
  <c r="O99" i="39"/>
  <c r="Q73" i="39"/>
  <c r="M41" i="39"/>
  <c r="F157" i="39"/>
  <c r="D118" i="39"/>
  <c r="J115" i="39"/>
  <c r="N41" i="39"/>
  <c r="W116" i="39"/>
  <c r="X154" i="39"/>
  <c r="Z161" i="39"/>
  <c r="Y153" i="39"/>
  <c r="W16" i="39"/>
  <c r="M93" i="39"/>
  <c r="O23" i="39"/>
  <c r="H118" i="39"/>
  <c r="W144" i="39"/>
  <c r="D80" i="39"/>
  <c r="R77" i="39"/>
  <c r="J130" i="39"/>
  <c r="Q83" i="39"/>
  <c r="Y63" i="39"/>
  <c r="X35" i="39"/>
  <c r="R121" i="39"/>
  <c r="N145" i="39"/>
  <c r="Y24" i="39"/>
  <c r="U55" i="39"/>
  <c r="X81" i="39"/>
  <c r="F12" i="39"/>
  <c r="Q157" i="39"/>
  <c r="I82" i="39"/>
  <c r="T15" i="39"/>
  <c r="W146" i="39"/>
  <c r="K78" i="39"/>
  <c r="O72" i="39"/>
  <c r="M77" i="39"/>
  <c r="Z113" i="39"/>
  <c r="P26" i="39"/>
  <c r="F103" i="39"/>
  <c r="D132" i="39"/>
  <c r="C158" i="39"/>
  <c r="X15" i="39"/>
  <c r="K110" i="39"/>
  <c r="E132" i="39"/>
  <c r="F110" i="39"/>
  <c r="O32" i="39"/>
  <c r="R15" i="39"/>
  <c r="O36" i="39"/>
  <c r="Q113" i="39"/>
  <c r="Y133" i="39"/>
  <c r="R38" i="39"/>
  <c r="U136" i="39"/>
  <c r="H154" i="39"/>
  <c r="D30" i="39"/>
  <c r="J96" i="39"/>
  <c r="V73" i="39"/>
  <c r="D50" i="39"/>
  <c r="U130" i="39"/>
  <c r="R129" i="39"/>
  <c r="W99" i="39"/>
  <c r="M147" i="39"/>
  <c r="C68" i="39"/>
  <c r="G145" i="39"/>
  <c r="T76" i="39"/>
  <c r="R116" i="39"/>
  <c r="N133" i="39"/>
  <c r="V141" i="39"/>
  <c r="N154" i="39"/>
  <c r="Z77" i="39"/>
  <c r="R150" i="39"/>
  <c r="C100" i="39"/>
  <c r="V122" i="39"/>
  <c r="H49" i="39"/>
  <c r="W65" i="39"/>
  <c r="K147" i="39"/>
  <c r="Q137" i="39"/>
  <c r="H14" i="39"/>
  <c r="C95" i="39"/>
  <c r="J65" i="39"/>
  <c r="H93" i="39"/>
  <c r="D81" i="39"/>
  <c r="C126" i="39"/>
  <c r="R68" i="39"/>
  <c r="G120" i="39"/>
  <c r="X119" i="39"/>
  <c r="E154" i="39"/>
  <c r="F17" i="39"/>
  <c r="J154" i="39"/>
  <c r="D29" i="39"/>
  <c r="I38" i="39"/>
  <c r="F158" i="39"/>
  <c r="Y101" i="39"/>
  <c r="M27" i="39"/>
  <c r="M74" i="39"/>
  <c r="F14" i="39"/>
  <c r="X56" i="39"/>
  <c r="E113" i="39"/>
  <c r="Q138" i="39"/>
  <c r="T92" i="39"/>
  <c r="J58" i="39"/>
  <c r="I27" i="39"/>
  <c r="Q28" i="39"/>
  <c r="D65" i="39"/>
  <c r="R55" i="39"/>
  <c r="D90" i="39"/>
  <c r="L40" i="39"/>
  <c r="C96" i="39"/>
  <c r="Q127" i="39"/>
  <c r="P76" i="39"/>
  <c r="Y128" i="39"/>
  <c r="Y132" i="39"/>
  <c r="W148" i="39"/>
  <c r="C122" i="39"/>
  <c r="J77" i="39"/>
  <c r="C44" i="39"/>
  <c r="G52" i="39"/>
  <c r="Y58" i="39"/>
  <c r="Q104" i="39"/>
  <c r="E160" i="39"/>
  <c r="D138" i="39"/>
  <c r="K94" i="39"/>
  <c r="R122" i="39"/>
  <c r="X138" i="39"/>
  <c r="E72" i="39"/>
  <c r="E140" i="39"/>
  <c r="T66" i="39"/>
  <c r="T75" i="39"/>
  <c r="X113" i="39"/>
  <c r="L120" i="39"/>
  <c r="Z52" i="39"/>
  <c r="E51" i="39"/>
  <c r="K67" i="39"/>
  <c r="F37" i="39"/>
  <c r="F137" i="39"/>
  <c r="F63" i="39"/>
  <c r="Z131" i="39"/>
  <c r="W115" i="39"/>
  <c r="V53" i="39"/>
  <c r="R112" i="39"/>
  <c r="N129" i="39"/>
  <c r="Y105" i="39"/>
  <c r="P122" i="39"/>
  <c r="P145" i="39"/>
  <c r="R144" i="39"/>
  <c r="D156" i="39"/>
  <c r="W44" i="39"/>
  <c r="X102" i="39"/>
  <c r="V102" i="39"/>
  <c r="M130" i="39"/>
  <c r="S38" i="39"/>
  <c r="I75" i="39"/>
  <c r="O56" i="39"/>
  <c r="N117" i="39"/>
  <c r="L131" i="39"/>
  <c r="N21" i="39"/>
  <c r="G25" i="39"/>
  <c r="F53" i="39"/>
  <c r="R101" i="39"/>
  <c r="N93" i="39"/>
  <c r="Z126" i="39"/>
  <c r="R118" i="39"/>
  <c r="D26" i="39"/>
  <c r="F72" i="39"/>
  <c r="N122" i="39"/>
  <c r="N9" i="39"/>
  <c r="R92" i="39"/>
  <c r="Y121" i="39"/>
  <c r="X55" i="39"/>
  <c r="U36" i="39"/>
  <c r="O15" i="39"/>
  <c r="I160" i="39"/>
  <c r="O152" i="39"/>
  <c r="S149" i="39"/>
  <c r="P140" i="39"/>
  <c r="C50" i="39"/>
  <c r="L70" i="39"/>
  <c r="H153" i="39"/>
  <c r="G158" i="39"/>
  <c r="T22" i="39"/>
  <c r="Z130" i="39"/>
  <c r="E76" i="39"/>
  <c r="T138" i="39"/>
  <c r="T10" i="39"/>
  <c r="X50" i="39"/>
  <c r="O59" i="39"/>
  <c r="Z16" i="39"/>
  <c r="P120" i="39"/>
  <c r="U61" i="39"/>
  <c r="F36" i="39"/>
  <c r="U66" i="39"/>
  <c r="J61" i="39"/>
  <c r="R93" i="39"/>
  <c r="F38" i="39"/>
  <c r="U16" i="39"/>
  <c r="Z38" i="39"/>
  <c r="T9" i="39"/>
  <c r="R148" i="39"/>
  <c r="V106" i="39"/>
  <c r="F108" i="39"/>
  <c r="H103" i="39"/>
  <c r="H82" i="39"/>
  <c r="I41" i="39"/>
  <c r="K63" i="39"/>
  <c r="E127" i="39"/>
  <c r="I20" i="39"/>
  <c r="U117" i="39"/>
  <c r="P121" i="39"/>
  <c r="Y102" i="39"/>
  <c r="P153" i="39"/>
  <c r="L17" i="39"/>
  <c r="S151" i="39"/>
  <c r="D112" i="39"/>
  <c r="D154" i="39"/>
  <c r="Y149" i="39"/>
  <c r="F131" i="39"/>
  <c r="S27" i="39"/>
  <c r="X149" i="39"/>
  <c r="H155" i="39"/>
  <c r="W24" i="39"/>
  <c r="F148" i="39"/>
  <c r="G81" i="39"/>
  <c r="K120" i="39"/>
  <c r="G80" i="39"/>
  <c r="R50" i="39"/>
  <c r="G150" i="39"/>
  <c r="C128" i="39"/>
  <c r="F11" i="39"/>
  <c r="U107" i="39"/>
  <c r="I134" i="39"/>
  <c r="J108" i="39"/>
  <c r="O77" i="39"/>
  <c r="M54" i="39"/>
  <c r="J95" i="39"/>
  <c r="F107" i="39"/>
  <c r="Q131" i="39"/>
  <c r="H114" i="39"/>
  <c r="U69" i="39"/>
  <c r="G104" i="39"/>
  <c r="R52" i="39"/>
  <c r="U121" i="39"/>
  <c r="U89" i="39"/>
  <c r="H120" i="39"/>
  <c r="H113" i="39"/>
  <c r="G38" i="39"/>
  <c r="E48" i="39"/>
  <c r="V71" i="39"/>
  <c r="T71" i="39"/>
  <c r="I15" i="39"/>
  <c r="N152" i="39"/>
  <c r="K66" i="39"/>
  <c r="O43" i="39"/>
  <c r="G13" i="39"/>
  <c r="W76" i="39"/>
  <c r="H69" i="39"/>
  <c r="K36" i="9"/>
  <c r="H108" i="9"/>
  <c r="F78" i="99"/>
  <c r="L42" i="99"/>
  <c r="G30" i="99"/>
  <c r="K77" i="9"/>
  <c r="G56" i="99"/>
  <c r="J30" i="9"/>
  <c r="F58" i="9"/>
  <c r="I15" i="99"/>
  <c r="E95" i="9"/>
  <c r="I70" i="99"/>
  <c r="H61" i="9"/>
  <c r="J42" i="9"/>
  <c r="G105" i="9"/>
  <c r="D71" i="99"/>
  <c r="D18" i="9"/>
  <c r="G97" i="9"/>
  <c r="I53" i="99"/>
  <c r="E117" i="9"/>
  <c r="G93" i="9"/>
  <c r="K43" i="99"/>
  <c r="I68" i="99"/>
  <c r="C50" i="9"/>
  <c r="J19" i="9"/>
  <c r="J23" i="9"/>
  <c r="L55" i="9"/>
  <c r="I99" i="9"/>
  <c r="C115" i="9"/>
  <c r="K68" i="9"/>
  <c r="I11" i="9"/>
  <c r="H60" i="9"/>
  <c r="I16" i="99"/>
  <c r="E12" i="9"/>
  <c r="E36" i="9"/>
  <c r="D37" i="9"/>
  <c r="E107" i="99"/>
  <c r="E75" i="9"/>
  <c r="I88" i="9"/>
  <c r="E35" i="99"/>
  <c r="I38" i="9"/>
  <c r="L10" i="9"/>
  <c r="I21" i="9"/>
  <c r="L31" i="99"/>
  <c r="I16" i="9"/>
  <c r="F95" i="9"/>
  <c r="J90" i="9"/>
  <c r="I118" i="9"/>
  <c r="I18" i="9"/>
  <c r="D75" i="99"/>
  <c r="F36" i="9"/>
  <c r="E16" i="99"/>
  <c r="C55" i="9"/>
  <c r="F40" i="99"/>
  <c r="K37" i="9"/>
  <c r="I111" i="9"/>
  <c r="D77" i="9"/>
  <c r="G14" i="99"/>
  <c r="G67" i="9"/>
  <c r="E115" i="9"/>
  <c r="C48" i="99"/>
  <c r="G91" i="9"/>
  <c r="J39" i="9"/>
  <c r="K73" i="9"/>
  <c r="C103" i="9"/>
  <c r="E107" i="9"/>
  <c r="E39" i="9"/>
  <c r="H71" i="99"/>
  <c r="J57" i="9"/>
  <c r="D85" i="9"/>
  <c r="H112" i="99"/>
  <c r="D33" i="9"/>
  <c r="I105" i="99"/>
  <c r="H14" i="99"/>
  <c r="D86" i="9"/>
  <c r="F69" i="99"/>
  <c r="C29" i="9"/>
  <c r="K22" i="9"/>
  <c r="L36" i="99"/>
  <c r="J20" i="99"/>
  <c r="H27" i="9"/>
  <c r="L59" i="9"/>
  <c r="F33" i="99"/>
  <c r="L23" i="9"/>
  <c r="D28" i="9"/>
  <c r="K27" i="9"/>
  <c r="J91" i="9"/>
  <c r="J86" i="99"/>
  <c r="D94" i="9"/>
  <c r="I109" i="99"/>
  <c r="E98" i="9"/>
  <c r="J40" i="9"/>
  <c r="K39" i="9"/>
  <c r="L61" i="9"/>
  <c r="G36" i="99"/>
  <c r="G75" i="9"/>
  <c r="F104" i="9"/>
  <c r="I88" i="99"/>
  <c r="G12" i="9"/>
  <c r="J91" i="99"/>
  <c r="I103" i="9"/>
  <c r="F91" i="99"/>
  <c r="K85" i="99"/>
  <c r="G96" i="99"/>
  <c r="L94" i="99"/>
  <c r="F110" i="9"/>
  <c r="E13" i="9"/>
  <c r="C21" i="9"/>
  <c r="C92" i="99"/>
  <c r="I50" i="99"/>
  <c r="J9" i="99"/>
  <c r="K87" i="9"/>
  <c r="G74" i="99"/>
  <c r="D11" i="9"/>
  <c r="D113" i="9"/>
  <c r="L49" i="9"/>
  <c r="J14" i="9"/>
  <c r="H92" i="99"/>
  <c r="C79" i="9"/>
  <c r="L81" i="99"/>
  <c r="C18" i="9"/>
  <c r="F111" i="9"/>
  <c r="H49" i="9"/>
  <c r="H66" i="99"/>
  <c r="I21" i="99"/>
  <c r="C9" i="9"/>
  <c r="J92" i="99"/>
  <c r="C35" i="9"/>
  <c r="E98" i="99"/>
  <c r="F36" i="99"/>
  <c r="E55" i="9"/>
  <c r="H56" i="99"/>
  <c r="K46" i="9"/>
  <c r="K11" i="9"/>
  <c r="I75" i="9"/>
  <c r="K53" i="9"/>
  <c r="J61" i="99"/>
  <c r="I20" i="9"/>
  <c r="C23" i="99"/>
  <c r="F67" i="9"/>
  <c r="K40" i="99"/>
  <c r="K94" i="9"/>
  <c r="H47" i="99"/>
  <c r="L88" i="9"/>
  <c r="G49" i="9"/>
  <c r="J15" i="99"/>
  <c r="K42" i="9"/>
  <c r="J115" i="99"/>
  <c r="H89" i="9"/>
  <c r="H96" i="9"/>
  <c r="D89" i="99"/>
  <c r="C17" i="9"/>
  <c r="C116" i="99"/>
  <c r="I69" i="9"/>
  <c r="D74" i="99"/>
  <c r="I36" i="9"/>
  <c r="I19" i="99"/>
  <c r="J54" i="9"/>
  <c r="E103" i="9"/>
  <c r="L67" i="99"/>
  <c r="D40" i="99"/>
  <c r="G55" i="99"/>
  <c r="G54" i="99"/>
  <c r="K30" i="9"/>
  <c r="K98" i="9"/>
  <c r="J46" i="9"/>
  <c r="D99" i="9"/>
  <c r="F118" i="99"/>
  <c r="L85" i="9"/>
  <c r="C73" i="9"/>
  <c r="L96" i="9"/>
  <c r="E94" i="9"/>
  <c r="F29" i="9"/>
  <c r="D107" i="9"/>
  <c r="D47" i="99"/>
  <c r="L108" i="99"/>
  <c r="K90" i="99"/>
  <c r="H87" i="9"/>
  <c r="H117" i="9"/>
  <c r="L51" i="99"/>
  <c r="L39" i="99"/>
  <c r="G114" i="9"/>
  <c r="H111" i="99"/>
  <c r="G96" i="9"/>
  <c r="H113" i="9"/>
  <c r="C112" i="9"/>
  <c r="L112" i="99"/>
  <c r="H71" i="9"/>
  <c r="F99" i="99"/>
  <c r="G8" i="9"/>
  <c r="C80" i="99"/>
  <c r="K75" i="9"/>
  <c r="G28" i="9"/>
  <c r="F22" i="9"/>
  <c r="C109" i="99"/>
  <c r="J13" i="99"/>
  <c r="J36" i="9"/>
  <c r="G80" i="9"/>
  <c r="E108" i="99"/>
  <c r="L60" i="99"/>
  <c r="J115" i="9"/>
  <c r="H110" i="9"/>
  <c r="E88" i="99"/>
  <c r="C28" i="99"/>
  <c r="K97" i="99"/>
  <c r="I9" i="9"/>
  <c r="C71" i="9"/>
  <c r="F68" i="99"/>
  <c r="G39" i="9"/>
  <c r="K71" i="99"/>
  <c r="L74" i="9"/>
  <c r="K31" i="9"/>
  <c r="I42" i="9"/>
  <c r="D87" i="99"/>
  <c r="D32" i="9"/>
  <c r="H73" i="99"/>
  <c r="C90" i="9"/>
  <c r="I50" i="9"/>
  <c r="C47" i="9"/>
  <c r="H53" i="9"/>
  <c r="H41" i="99"/>
  <c r="J35" i="99"/>
  <c r="F80" i="99"/>
  <c r="D68" i="99"/>
  <c r="I41" i="9"/>
  <c r="G61" i="9"/>
  <c r="L106" i="99"/>
  <c r="L28" i="99"/>
  <c r="F9" i="99"/>
  <c r="K73" i="99"/>
  <c r="I49" i="9"/>
  <c r="G11" i="9"/>
  <c r="D72" i="99"/>
  <c r="E118" i="99"/>
  <c r="D17" i="9"/>
  <c r="F31" i="9"/>
  <c r="L20" i="99"/>
  <c r="G108" i="99"/>
  <c r="J52" i="9"/>
  <c r="E81" i="99"/>
  <c r="F87" i="9"/>
  <c r="E80" i="99"/>
  <c r="G110" i="9"/>
  <c r="I38" i="99"/>
  <c r="K55" i="99"/>
  <c r="L68" i="9"/>
  <c r="J105" i="9"/>
  <c r="F37" i="99"/>
  <c r="G78" i="99"/>
  <c r="J69" i="9"/>
  <c r="G73" i="9"/>
  <c r="H127" i="9"/>
  <c r="H93" i="99"/>
  <c r="J75" i="99"/>
  <c r="D47" i="9"/>
  <c r="F23" i="9"/>
  <c r="F11" i="99"/>
  <c r="I12" i="99"/>
  <c r="J118" i="9"/>
  <c r="J42" i="99"/>
  <c r="H70" i="9"/>
  <c r="H88" i="9"/>
  <c r="E21" i="9"/>
  <c r="K52" i="9"/>
  <c r="F18" i="99"/>
  <c r="I66" i="99"/>
  <c r="K15" i="99"/>
  <c r="G68" i="99"/>
  <c r="L22" i="9"/>
  <c r="J108" i="9"/>
  <c r="K100" i="99"/>
  <c r="H39" i="99"/>
  <c r="L58" i="99"/>
  <c r="L77" i="99"/>
  <c r="D9" i="99"/>
  <c r="L96" i="99"/>
  <c r="G113" i="99"/>
  <c r="F73" i="99"/>
  <c r="F92" i="99"/>
  <c r="H72" i="99"/>
  <c r="H60" i="99"/>
  <c r="L114" i="9"/>
  <c r="G15" i="9"/>
  <c r="J85" i="9"/>
  <c r="L40" i="9"/>
  <c r="L80" i="99"/>
  <c r="F75" i="99"/>
  <c r="E58" i="99"/>
  <c r="G92" i="99"/>
  <c r="D22" i="99"/>
  <c r="C30" i="99"/>
  <c r="D31" i="99"/>
  <c r="K93" i="99"/>
  <c r="G106" i="99"/>
  <c r="C69" i="99"/>
  <c r="K29" i="9"/>
  <c r="J109" i="9"/>
  <c r="K58" i="9"/>
  <c r="F14" i="9"/>
  <c r="L86" i="9"/>
  <c r="H53" i="99"/>
  <c r="G32" i="99"/>
  <c r="H68" i="99"/>
  <c r="L29" i="99"/>
  <c r="L22" i="99"/>
  <c r="E60" i="99"/>
  <c r="F100" i="99"/>
  <c r="H67" i="99"/>
  <c r="C72" i="99"/>
  <c r="L52" i="99"/>
  <c r="D66" i="99"/>
  <c r="C31" i="99"/>
  <c r="G117" i="99"/>
  <c r="J51" i="9"/>
  <c r="E53" i="9"/>
  <c r="L17" i="9"/>
  <c r="J61" i="9"/>
  <c r="K78" i="99"/>
  <c r="E96" i="99"/>
  <c r="D57" i="99"/>
  <c r="F38" i="99"/>
  <c r="E66" i="99"/>
  <c r="K74" i="99"/>
  <c r="K105" i="99"/>
  <c r="I113" i="99"/>
  <c r="D10" i="99"/>
  <c r="K87" i="99"/>
  <c r="D55" i="99"/>
  <c r="E53" i="99"/>
  <c r="E22" i="99"/>
  <c r="C15" i="9"/>
  <c r="K16" i="9"/>
  <c r="J88" i="9"/>
  <c r="E32" i="9"/>
  <c r="G17" i="9"/>
  <c r="G30" i="9"/>
  <c r="D54" i="9"/>
  <c r="G69" i="99"/>
  <c r="K99" i="9"/>
  <c r="K70" i="99"/>
  <c r="L86" i="99"/>
  <c r="K60" i="9"/>
  <c r="F34" i="99"/>
  <c r="G105" i="99"/>
  <c r="H99" i="99"/>
  <c r="E116" i="99"/>
  <c r="K115" i="99"/>
  <c r="E36" i="99"/>
  <c r="I112" i="99"/>
  <c r="D81" i="99"/>
  <c r="G77" i="99"/>
  <c r="L75" i="99"/>
  <c r="H18" i="99"/>
  <c r="H62" i="99"/>
  <c r="I32" i="99"/>
  <c r="G77" i="9"/>
  <c r="I90" i="9"/>
  <c r="L36" i="9"/>
  <c r="D57" i="9"/>
  <c r="E104" i="9"/>
  <c r="E37" i="99"/>
  <c r="I67" i="99"/>
  <c r="J93" i="99"/>
  <c r="E33" i="99"/>
  <c r="C117" i="99"/>
  <c r="D69" i="99"/>
  <c r="C54" i="99"/>
  <c r="C47" i="99"/>
  <c r="K8" i="99"/>
  <c r="D54" i="99"/>
  <c r="L104" i="99"/>
  <c r="H75" i="99"/>
  <c r="D14" i="99"/>
  <c r="J97" i="9"/>
  <c r="I92" i="9"/>
  <c r="C108" i="9"/>
  <c r="J73" i="9"/>
  <c r="K9" i="9"/>
  <c r="E99" i="9"/>
  <c r="F66" i="99"/>
  <c r="E15" i="99"/>
  <c r="L13" i="9"/>
  <c r="J81" i="99"/>
  <c r="K41" i="99"/>
  <c r="E11" i="99"/>
  <c r="D15" i="99"/>
  <c r="F81" i="99"/>
  <c r="J29" i="99"/>
  <c r="J74" i="99"/>
  <c r="G107" i="99"/>
  <c r="K19" i="99"/>
  <c r="F29" i="99"/>
  <c r="F53" i="9"/>
  <c r="E37" i="9"/>
  <c r="L12" i="9"/>
  <c r="C30" i="9"/>
  <c r="D16" i="99"/>
  <c r="C75" i="99"/>
  <c r="I18" i="99"/>
  <c r="I58" i="99"/>
  <c r="J73" i="99"/>
  <c r="H98" i="99"/>
  <c r="G48" i="99"/>
  <c r="C59" i="99"/>
  <c r="C81" i="99"/>
  <c r="K41" i="9"/>
  <c r="L107" i="9"/>
  <c r="C88" i="9"/>
  <c r="I95" i="99"/>
  <c r="H100" i="99"/>
  <c r="K104" i="99"/>
  <c r="J76" i="99"/>
  <c r="K22" i="99"/>
  <c r="K81" i="99"/>
  <c r="D114" i="99"/>
  <c r="J66" i="99"/>
  <c r="E10" i="99"/>
  <c r="L16" i="99"/>
  <c r="G80" i="99"/>
  <c r="K118" i="99"/>
  <c r="L54" i="99"/>
  <c r="I87" i="9"/>
  <c r="F11" i="9"/>
  <c r="H66" i="9"/>
  <c r="K69" i="9"/>
  <c r="D50" i="99"/>
  <c r="E59" i="99"/>
  <c r="F61" i="99"/>
  <c r="F23" i="99"/>
  <c r="C77" i="99"/>
  <c r="G61" i="99"/>
  <c r="F21" i="99"/>
  <c r="E31" i="99"/>
  <c r="J48" i="99"/>
  <c r="E68" i="9"/>
  <c r="F66" i="9"/>
  <c r="J95" i="9"/>
  <c r="I89" i="9"/>
  <c r="C86" i="9"/>
  <c r="L85" i="99"/>
  <c r="D62" i="99"/>
  <c r="C10" i="99"/>
  <c r="L95" i="99"/>
  <c r="C49" i="99"/>
  <c r="E105" i="99"/>
  <c r="H52" i="99"/>
  <c r="F77" i="99"/>
  <c r="C36" i="99"/>
  <c r="H76" i="99"/>
  <c r="I58" i="9"/>
  <c r="E74" i="9"/>
  <c r="G42" i="9"/>
  <c r="E71" i="9"/>
  <c r="G81" i="99"/>
  <c r="G42" i="99"/>
  <c r="H79" i="99"/>
  <c r="J34" i="99"/>
  <c r="E111" i="99"/>
  <c r="G13" i="99"/>
  <c r="J16" i="99"/>
  <c r="E86" i="99"/>
  <c r="E12" i="99"/>
  <c r="I34" i="9"/>
  <c r="J89" i="9"/>
  <c r="D90" i="9"/>
  <c r="D40" i="9"/>
  <c r="L118" i="99"/>
  <c r="D29" i="9"/>
  <c r="I117" i="99"/>
  <c r="I72" i="99"/>
  <c r="E40" i="99"/>
  <c r="D113" i="99"/>
  <c r="C57" i="99"/>
  <c r="L11" i="99"/>
  <c r="D95" i="99"/>
  <c r="G62" i="99"/>
  <c r="G75" i="99"/>
  <c r="G13" i="9"/>
  <c r="K92" i="9"/>
  <c r="L80" i="9"/>
  <c r="J112" i="9"/>
  <c r="C111" i="9"/>
  <c r="I61" i="99"/>
  <c r="C14" i="99"/>
  <c r="C110" i="99"/>
  <c r="C15" i="99"/>
  <c r="F58" i="99"/>
  <c r="K12" i="99"/>
  <c r="D73" i="99"/>
  <c r="K117" i="99"/>
  <c r="I8" i="99"/>
  <c r="L16" i="9"/>
  <c r="G53" i="9"/>
  <c r="F46" i="9"/>
  <c r="G109" i="99"/>
  <c r="D73" i="9"/>
  <c r="L50" i="99"/>
  <c r="C67" i="99"/>
  <c r="J80" i="99"/>
  <c r="L57" i="99"/>
  <c r="J112" i="99"/>
  <c r="C11" i="9"/>
  <c r="H118" i="9"/>
  <c r="I96" i="9"/>
  <c r="L115" i="99"/>
  <c r="H17" i="99"/>
  <c r="G39" i="99"/>
  <c r="K72" i="99"/>
  <c r="D97" i="99"/>
  <c r="E43" i="99"/>
  <c r="F59" i="9"/>
  <c r="H65" i="9"/>
  <c r="I13" i="9"/>
  <c r="K38" i="99"/>
  <c r="D96" i="99"/>
  <c r="E54" i="99"/>
  <c r="C71" i="99"/>
  <c r="I51" i="99"/>
  <c r="I118" i="99"/>
  <c r="I36" i="99"/>
  <c r="J11" i="9"/>
  <c r="H67" i="9"/>
  <c r="E88" i="9"/>
  <c r="H114" i="9"/>
  <c r="C52" i="99"/>
  <c r="C73" i="99"/>
  <c r="J72" i="9"/>
  <c r="G34" i="99"/>
  <c r="E47" i="99"/>
  <c r="K9" i="99"/>
  <c r="L37" i="9"/>
  <c r="H105" i="9"/>
  <c r="E23" i="9"/>
  <c r="D92" i="99"/>
  <c r="I97" i="99"/>
  <c r="L12" i="99"/>
  <c r="G53" i="99"/>
  <c r="G21" i="99"/>
  <c r="E97" i="99"/>
  <c r="J59" i="99"/>
  <c r="D30" i="9"/>
  <c r="G68" i="9"/>
  <c r="H34" i="9"/>
  <c r="D118" i="9"/>
  <c r="H118" i="99"/>
  <c r="I34" i="99"/>
  <c r="C89" i="99"/>
  <c r="L48" i="99"/>
  <c r="I23" i="99"/>
  <c r="L10" i="99"/>
  <c r="H12" i="9"/>
  <c r="J116" i="9"/>
  <c r="C114" i="99"/>
  <c r="J87" i="99"/>
  <c r="L17" i="99"/>
  <c r="G23" i="99"/>
  <c r="G38" i="99"/>
  <c r="K33" i="99"/>
  <c r="I55" i="99"/>
  <c r="H28" i="99"/>
  <c r="D8" i="9"/>
  <c r="H109" i="9"/>
  <c r="J106" i="9"/>
  <c r="H104" i="99"/>
  <c r="F96" i="99"/>
  <c r="F116" i="99"/>
  <c r="C74" i="99"/>
  <c r="C12" i="99"/>
  <c r="K42" i="99"/>
  <c r="J12" i="99"/>
  <c r="C89" i="9"/>
  <c r="F15" i="9"/>
  <c r="E85" i="99"/>
  <c r="H116" i="99"/>
  <c r="E20" i="99"/>
  <c r="I37" i="99"/>
  <c r="K69" i="99"/>
  <c r="H51" i="9"/>
  <c r="G65" i="9"/>
  <c r="F109" i="99"/>
  <c r="C119" i="99"/>
  <c r="F28" i="99"/>
  <c r="I96" i="99"/>
  <c r="J12" i="9"/>
  <c r="D65" i="9"/>
  <c r="G47" i="99"/>
  <c r="H51" i="99"/>
  <c r="J21" i="99"/>
  <c r="D33" i="99"/>
  <c r="I15" i="9"/>
  <c r="H39" i="9"/>
  <c r="G110" i="99"/>
  <c r="G29" i="99"/>
  <c r="H96" i="99"/>
  <c r="L8" i="99"/>
  <c r="D66" i="9"/>
  <c r="D60" i="9"/>
  <c r="G118" i="99"/>
  <c r="D98" i="99"/>
  <c r="D19" i="99"/>
  <c r="E94" i="99"/>
  <c r="J74" i="9"/>
  <c r="F34" i="9"/>
  <c r="D118" i="99"/>
  <c r="K108" i="99"/>
  <c r="F22" i="99"/>
  <c r="K109" i="99"/>
  <c r="G94" i="9"/>
  <c r="L61" i="99"/>
  <c r="K79" i="99"/>
  <c r="H80" i="99"/>
  <c r="D85" i="99"/>
  <c r="H128" i="99"/>
  <c r="L11" i="9"/>
  <c r="I67" i="9"/>
  <c r="J97" i="99"/>
  <c r="C17" i="99"/>
  <c r="D116" i="99"/>
  <c r="I74" i="9"/>
  <c r="F84" i="9"/>
  <c r="E50" i="99"/>
  <c r="H95" i="99"/>
  <c r="D76" i="99"/>
  <c r="H19" i="9"/>
  <c r="E90" i="99"/>
  <c r="J56" i="99"/>
  <c r="I32" i="9"/>
  <c r="L89" i="9"/>
  <c r="I119" i="99"/>
  <c r="I42" i="99"/>
  <c r="D39" i="99"/>
  <c r="K97" i="9"/>
  <c r="C18" i="99"/>
  <c r="D77" i="99"/>
  <c r="L104" i="9"/>
  <c r="K103" i="9"/>
  <c r="L98" i="99"/>
  <c r="H19" i="99"/>
  <c r="D21" i="9"/>
  <c r="K98" i="99"/>
  <c r="K80" i="99"/>
  <c r="F33" i="9"/>
  <c r="K113" i="99"/>
  <c r="L19" i="99"/>
  <c r="D29" i="99"/>
  <c r="F8" i="99"/>
  <c r="I46" i="9"/>
  <c r="E48" i="99"/>
  <c r="C97" i="99"/>
  <c r="C118" i="9"/>
  <c r="J67" i="9"/>
  <c r="E38" i="99"/>
  <c r="D74" i="9"/>
  <c r="F41" i="99"/>
  <c r="J9" i="9"/>
  <c r="F15" i="99"/>
  <c r="E42" i="99"/>
  <c r="C92" i="9"/>
  <c r="J113" i="99"/>
  <c r="G112" i="99"/>
  <c r="L56" i="9"/>
  <c r="C53" i="99"/>
  <c r="C95" i="9"/>
  <c r="K31" i="99"/>
  <c r="H36" i="99"/>
  <c r="F38" i="9"/>
  <c r="I84" i="9"/>
  <c r="J78" i="99"/>
  <c r="C9" i="99"/>
  <c r="F35" i="9"/>
  <c r="C36" i="9"/>
  <c r="I17" i="99"/>
  <c r="G43" i="99"/>
  <c r="K10" i="9"/>
  <c r="D99" i="99"/>
  <c r="G114" i="99"/>
  <c r="J8" i="9"/>
  <c r="C108" i="99"/>
  <c r="G86" i="9"/>
  <c r="J39" i="99"/>
  <c r="K51" i="9"/>
  <c r="H54" i="99"/>
  <c r="L70" i="99"/>
  <c r="H115" i="99"/>
  <c r="E13" i="99"/>
  <c r="F78" i="9"/>
  <c r="D48" i="9"/>
  <c r="K114" i="99"/>
  <c r="K90" i="9"/>
  <c r="I33" i="9"/>
  <c r="J116" i="99"/>
  <c r="E8" i="99"/>
  <c r="E69" i="99"/>
  <c r="J111" i="99"/>
  <c r="J114" i="99"/>
  <c r="D43" i="99"/>
  <c r="J108" i="99"/>
  <c r="E112" i="99"/>
  <c r="K51" i="99"/>
  <c r="F85" i="99"/>
  <c r="C21" i="99"/>
  <c r="D9" i="9"/>
  <c r="H78" i="9"/>
  <c r="G54" i="9"/>
  <c r="D36" i="99"/>
  <c r="I57" i="9"/>
  <c r="J41" i="9"/>
  <c r="K114" i="9"/>
  <c r="H37" i="99"/>
  <c r="G89" i="99"/>
  <c r="J114" i="9"/>
  <c r="K111" i="9"/>
  <c r="G111" i="99"/>
  <c r="L71" i="99"/>
  <c r="E89" i="9"/>
  <c r="J37" i="99"/>
  <c r="I13" i="99"/>
  <c r="K118" i="9"/>
  <c r="H16" i="99"/>
  <c r="G19" i="99"/>
  <c r="L87" i="99"/>
  <c r="C54" i="9"/>
  <c r="E23" i="99"/>
  <c r="J67" i="99"/>
  <c r="J119" i="99"/>
  <c r="I106" i="9"/>
  <c r="I29" i="99"/>
  <c r="G20" i="9"/>
  <c r="D70" i="99"/>
  <c r="G91" i="99"/>
  <c r="K32" i="9"/>
  <c r="H41" i="9"/>
  <c r="F54" i="99"/>
  <c r="E46" i="9"/>
  <c r="K54" i="9"/>
  <c r="E92" i="9"/>
  <c r="G76" i="99"/>
  <c r="L111" i="99"/>
  <c r="H77" i="99"/>
  <c r="L15" i="99"/>
  <c r="C118" i="99"/>
  <c r="C69" i="9"/>
  <c r="J47" i="9"/>
  <c r="K40" i="9"/>
  <c r="G59" i="99"/>
  <c r="E77" i="9"/>
  <c r="C61" i="9"/>
  <c r="I23" i="9"/>
  <c r="G79" i="99"/>
  <c r="J18" i="99"/>
  <c r="K112" i="99"/>
  <c r="L30" i="9"/>
  <c r="D20" i="99"/>
  <c r="H15" i="9"/>
  <c r="I17" i="9"/>
  <c r="D109" i="99"/>
  <c r="K12" i="9"/>
  <c r="K10" i="99"/>
  <c r="C113" i="9"/>
  <c r="J96" i="99"/>
  <c r="D75" i="9"/>
  <c r="C22" i="99"/>
  <c r="J109" i="99"/>
  <c r="C106" i="99"/>
  <c r="H105" i="99"/>
  <c r="G21" i="9"/>
  <c r="D90" i="99"/>
  <c r="I80" i="9"/>
  <c r="I52" i="9"/>
  <c r="E70" i="9"/>
  <c r="F19" i="9"/>
  <c r="D38" i="99"/>
  <c r="J49" i="9"/>
  <c r="H78" i="99"/>
  <c r="E96" i="9"/>
  <c r="J17" i="99"/>
  <c r="D28" i="99"/>
  <c r="H50" i="99"/>
  <c r="K61" i="99"/>
  <c r="K15" i="9"/>
  <c r="K50" i="99"/>
  <c r="I43" i="99"/>
  <c r="E74" i="99"/>
  <c r="I41" i="99"/>
  <c r="G52" i="9"/>
  <c r="K18" i="9"/>
  <c r="K95" i="9"/>
  <c r="D111" i="99"/>
  <c r="J32" i="9"/>
  <c r="D58" i="9"/>
  <c r="E18" i="99"/>
  <c r="L49" i="99"/>
  <c r="L76" i="9"/>
  <c r="L31" i="9"/>
  <c r="F8" i="9"/>
  <c r="G99" i="99"/>
  <c r="L116" i="9"/>
  <c r="D55" i="9"/>
  <c r="D8" i="99"/>
  <c r="K93" i="9"/>
  <c r="E56" i="99"/>
  <c r="I27" i="9"/>
  <c r="F50" i="99"/>
  <c r="L73" i="9"/>
  <c r="C11" i="99"/>
  <c r="K21" i="99"/>
  <c r="E70" i="99"/>
  <c r="H97" i="9"/>
  <c r="L13" i="99"/>
  <c r="L72" i="9"/>
  <c r="H8" i="9"/>
  <c r="H11" i="99"/>
  <c r="K110" i="99"/>
  <c r="G29" i="9"/>
  <c r="J70" i="99"/>
  <c r="J32" i="99"/>
  <c r="K76" i="99"/>
  <c r="F114" i="99"/>
  <c r="L48" i="9"/>
  <c r="F115" i="9"/>
  <c r="G34" i="9"/>
  <c r="D119" i="99"/>
  <c r="K57" i="99"/>
  <c r="F65" i="9"/>
  <c r="E27" i="9"/>
  <c r="D17" i="99"/>
  <c r="F20" i="9"/>
  <c r="E104" i="99"/>
  <c r="L78" i="9"/>
  <c r="D115" i="9"/>
  <c r="J88" i="99"/>
  <c r="D80" i="9"/>
  <c r="K14" i="9"/>
  <c r="F79" i="99"/>
  <c r="F57" i="9"/>
  <c r="G22" i="99"/>
  <c r="D38" i="9"/>
  <c r="I75" i="99"/>
  <c r="F117" i="99"/>
  <c r="G36" i="9"/>
  <c r="I47" i="99"/>
  <c r="D34" i="9"/>
  <c r="C84" i="9"/>
  <c r="F20" i="99"/>
  <c r="K59" i="99"/>
  <c r="F41" i="9"/>
  <c r="H13" i="9"/>
  <c r="E52" i="99"/>
  <c r="G104" i="99"/>
  <c r="K49" i="99"/>
  <c r="F32" i="99"/>
  <c r="C66" i="99"/>
  <c r="F107" i="99"/>
  <c r="J85" i="99"/>
  <c r="H29" i="9"/>
  <c r="F12" i="99"/>
  <c r="C42" i="99"/>
  <c r="D21" i="99"/>
  <c r="D58" i="99"/>
  <c r="C67" i="9"/>
  <c r="C14" i="9"/>
  <c r="E57" i="99"/>
  <c r="G32" i="9"/>
  <c r="D23" i="9"/>
  <c r="K107" i="9"/>
  <c r="L74" i="99"/>
  <c r="K52" i="99"/>
  <c r="L54" i="9"/>
  <c r="I76" i="99"/>
  <c r="C104" i="99"/>
  <c r="I29" i="9"/>
  <c r="L100" i="99"/>
  <c r="G10" i="99"/>
  <c r="I12" i="9"/>
  <c r="K37" i="99"/>
  <c r="D88" i="9"/>
  <c r="G103" i="9"/>
  <c r="L119" i="99"/>
  <c r="G50" i="9"/>
  <c r="I106" i="99"/>
  <c r="E19" i="99"/>
  <c r="I79" i="9"/>
  <c r="J71" i="99"/>
  <c r="G104" i="9"/>
  <c r="L32" i="9"/>
  <c r="E59" i="9"/>
  <c r="D56" i="99"/>
  <c r="I61" i="9"/>
  <c r="C20" i="9"/>
  <c r="C10" i="9"/>
  <c r="H89" i="99"/>
  <c r="L20" i="9"/>
  <c r="G86" i="99"/>
  <c r="H38" i="99"/>
  <c r="C93" i="9"/>
  <c r="H50" i="9"/>
  <c r="F90" i="99"/>
  <c r="G51" i="9"/>
  <c r="K19" i="9"/>
  <c r="I78" i="99"/>
  <c r="L33" i="99"/>
  <c r="J69" i="99"/>
  <c r="H59" i="99"/>
  <c r="E15" i="9"/>
  <c r="D79" i="99"/>
  <c r="J20" i="9"/>
  <c r="H20" i="99"/>
  <c r="K65" i="9"/>
  <c r="I9" i="99"/>
  <c r="J68" i="9"/>
  <c r="J62" i="99"/>
  <c r="H38" i="9"/>
  <c r="L38" i="9"/>
  <c r="C42" i="9"/>
  <c r="J94" i="9"/>
  <c r="L15" i="9"/>
  <c r="E108" i="9"/>
  <c r="E92" i="99"/>
  <c r="I107" i="99"/>
  <c r="F32" i="9"/>
  <c r="L35" i="99"/>
  <c r="G94" i="99"/>
  <c r="H58" i="9"/>
  <c r="H76" i="9"/>
  <c r="K50" i="9"/>
  <c r="J55" i="99"/>
  <c r="L62" i="99"/>
  <c r="I14" i="99"/>
  <c r="I47" i="9"/>
  <c r="G73" i="99"/>
  <c r="G111" i="9"/>
  <c r="D112" i="99"/>
  <c r="D87" i="9"/>
  <c r="G12" i="99"/>
  <c r="K21" i="9"/>
  <c r="G97" i="99"/>
  <c r="H35" i="9"/>
  <c r="I71" i="9"/>
  <c r="H110" i="99"/>
  <c r="L117" i="9"/>
  <c r="L110" i="99"/>
  <c r="I62" i="99"/>
  <c r="I87" i="99"/>
  <c r="C16" i="9"/>
  <c r="H56" i="9"/>
  <c r="C43" i="99"/>
  <c r="C22" i="9"/>
  <c r="C38" i="9"/>
  <c r="H22" i="99"/>
  <c r="D71" i="9"/>
  <c r="J53" i="9"/>
  <c r="D78" i="99"/>
  <c r="F70" i="9"/>
  <c r="L23" i="99"/>
  <c r="K57" i="9"/>
  <c r="E115" i="99"/>
  <c r="G40" i="9"/>
  <c r="I73" i="99"/>
  <c r="J95" i="99"/>
  <c r="E67" i="99"/>
  <c r="H94" i="9"/>
  <c r="H86" i="9"/>
  <c r="L108" i="9"/>
  <c r="C110" i="9"/>
  <c r="E99" i="99"/>
  <c r="F70" i="99"/>
  <c r="D61" i="9"/>
  <c r="L113" i="9"/>
  <c r="L32" i="99"/>
  <c r="I60" i="99"/>
  <c r="D37" i="99"/>
  <c r="J31" i="99"/>
  <c r="G85" i="9"/>
  <c r="F93" i="9"/>
  <c r="E106" i="9"/>
  <c r="K13" i="9"/>
  <c r="F51" i="9"/>
  <c r="G41" i="99"/>
  <c r="J50" i="9"/>
  <c r="D98" i="9"/>
  <c r="E60" i="9"/>
  <c r="F42" i="99"/>
  <c r="G118" i="9"/>
  <c r="H108" i="99"/>
  <c r="F16" i="99"/>
  <c r="E21" i="99"/>
  <c r="H114" i="99"/>
  <c r="E19" i="9"/>
  <c r="C98" i="99"/>
  <c r="G16" i="9"/>
  <c r="L84" i="9"/>
  <c r="K75" i="99"/>
  <c r="C94" i="9"/>
  <c r="J68" i="99"/>
  <c r="I59" i="99"/>
  <c r="K111" i="99"/>
  <c r="G116" i="9"/>
  <c r="E17" i="9"/>
  <c r="D110" i="99"/>
  <c r="G95" i="99"/>
  <c r="E51" i="9"/>
  <c r="I104" i="9"/>
  <c r="C33" i="9"/>
  <c r="I81" i="99"/>
  <c r="F90" i="9"/>
  <c r="F10" i="99"/>
  <c r="K58" i="99"/>
  <c r="F77" i="9"/>
  <c r="K88" i="9"/>
  <c r="J55" i="9"/>
  <c r="L19" i="9"/>
  <c r="D59" i="9"/>
  <c r="K17" i="99"/>
  <c r="F49" i="99"/>
  <c r="L76" i="99"/>
  <c r="G28" i="99"/>
  <c r="F51" i="99"/>
  <c r="K47" i="9"/>
  <c r="C77" i="9"/>
  <c r="G48" i="9"/>
  <c r="L79" i="9"/>
  <c r="C57" i="9"/>
  <c r="L58" i="9"/>
  <c r="E61" i="99"/>
  <c r="F99" i="9"/>
  <c r="H43" i="99"/>
  <c r="E79" i="9"/>
  <c r="E113" i="99"/>
  <c r="F54" i="9"/>
  <c r="D68" i="9"/>
  <c r="I107" i="9"/>
  <c r="L66" i="99"/>
  <c r="G119" i="99"/>
  <c r="K48" i="99"/>
  <c r="J53" i="99"/>
  <c r="E116" i="9"/>
  <c r="L109" i="99"/>
  <c r="C116" i="9"/>
  <c r="E95" i="99"/>
  <c r="I69" i="99"/>
  <c r="K84" i="9"/>
  <c r="F108" i="9"/>
  <c r="G49" i="99"/>
  <c r="K110" i="9"/>
  <c r="H106" i="9"/>
  <c r="F92" i="9"/>
  <c r="K78" i="9"/>
  <c r="G70" i="9"/>
  <c r="F117" i="9"/>
  <c r="H97" i="99"/>
  <c r="D11" i="99"/>
  <c r="I117" i="9"/>
  <c r="K88" i="99"/>
  <c r="K32" i="99"/>
  <c r="H103" i="9"/>
  <c r="L66" i="9"/>
  <c r="E109" i="9"/>
  <c r="G71" i="99"/>
  <c r="F76" i="9"/>
  <c r="G108" i="9"/>
  <c r="J43" i="99"/>
  <c r="D67" i="9"/>
  <c r="J66" i="9"/>
  <c r="C56" i="9"/>
  <c r="C87" i="9"/>
  <c r="L30" i="99"/>
  <c r="K28" i="9"/>
  <c r="E33" i="9"/>
  <c r="E28" i="99"/>
  <c r="J105" i="99"/>
  <c r="E79" i="99"/>
  <c r="E11" i="9"/>
  <c r="H52" i="9"/>
  <c r="L41" i="9"/>
  <c r="D50" i="9"/>
  <c r="I30" i="39"/>
  <c r="N161" i="39"/>
  <c r="W107" i="39"/>
  <c r="N150" i="39"/>
  <c r="H110" i="39"/>
  <c r="L132" i="39"/>
  <c r="W60" i="39"/>
  <c r="P62" i="39"/>
  <c r="O70" i="39"/>
  <c r="V59" i="39"/>
  <c r="N146" i="39"/>
  <c r="I89" i="39"/>
  <c r="G137" i="39"/>
  <c r="I98" i="39"/>
  <c r="G49" i="39"/>
  <c r="S53" i="39"/>
  <c r="G139" i="39"/>
  <c r="F24" i="39"/>
  <c r="D111" i="39"/>
  <c r="F35" i="39"/>
  <c r="K122" i="39"/>
  <c r="P18" i="39"/>
  <c r="H87" i="39"/>
  <c r="X13" i="39"/>
  <c r="L142" i="39"/>
  <c r="V117" i="39"/>
  <c r="R82" i="39"/>
  <c r="K52" i="39"/>
  <c r="V160" i="39"/>
  <c r="F74" i="39"/>
  <c r="I96" i="39"/>
  <c r="C131" i="39"/>
  <c r="W100" i="39"/>
  <c r="L93" i="39"/>
  <c r="H151" i="39"/>
  <c r="F71" i="39"/>
  <c r="L140" i="39"/>
  <c r="X34" i="39"/>
  <c r="D13" i="39"/>
  <c r="K26" i="39"/>
  <c r="Y66" i="39"/>
  <c r="N65" i="39"/>
  <c r="H32" i="39"/>
  <c r="M115" i="39"/>
  <c r="H48" i="39"/>
  <c r="Z31" i="39"/>
  <c r="T108" i="39"/>
  <c r="I109" i="9"/>
  <c r="I11" i="65"/>
  <c r="I11" i="93" s="1"/>
  <c r="K77" i="99"/>
  <c r="C76" i="99"/>
  <c r="J10" i="99"/>
  <c r="H55" i="99"/>
  <c r="H57" i="9"/>
  <c r="J96" i="9"/>
  <c r="I70" i="9"/>
  <c r="F103" i="9"/>
  <c r="G17" i="99"/>
  <c r="E41" i="99"/>
  <c r="E9" i="9"/>
  <c r="J49" i="99"/>
  <c r="P52" i="39"/>
  <c r="V121" i="39"/>
  <c r="S68" i="39"/>
  <c r="Z111" i="39"/>
  <c r="F139" i="39"/>
  <c r="Y118" i="39"/>
  <c r="G94" i="39"/>
  <c r="R59" i="39"/>
  <c r="Z87" i="39"/>
  <c r="C147" i="39"/>
  <c r="J92" i="39"/>
  <c r="J139" i="39"/>
  <c r="M136" i="39"/>
  <c r="V76" i="39"/>
  <c r="O50" i="39"/>
  <c r="Y55" i="39"/>
  <c r="W160" i="39"/>
  <c r="I151" i="39"/>
  <c r="W39" i="39"/>
  <c r="C37" i="39"/>
  <c r="F43" i="39"/>
  <c r="R51" i="39"/>
  <c r="M95" i="39"/>
  <c r="H78" i="39"/>
  <c r="N98" i="39"/>
  <c r="N155" i="39"/>
  <c r="S100" i="39"/>
  <c r="L161" i="39"/>
  <c r="Z64" i="39"/>
  <c r="T98" i="39"/>
  <c r="C43" i="39"/>
  <c r="Z115" i="39"/>
  <c r="G64" i="39"/>
  <c r="L89" i="39"/>
  <c r="N67" i="39"/>
  <c r="D105" i="9"/>
  <c r="G115" i="9"/>
  <c r="J84" i="9"/>
  <c r="G41" i="9"/>
  <c r="K60" i="99"/>
  <c r="K91" i="9"/>
  <c r="F60" i="99"/>
  <c r="F39" i="9"/>
  <c r="C112" i="99"/>
  <c r="G31" i="9"/>
  <c r="G33" i="9"/>
  <c r="Y27" i="39"/>
  <c r="Z36" i="39"/>
  <c r="P33" i="39"/>
  <c r="U134" i="39"/>
  <c r="Q107" i="39"/>
  <c r="W81" i="39"/>
  <c r="P109" i="39"/>
  <c r="J151" i="39"/>
  <c r="F73" i="39"/>
  <c r="L116" i="39"/>
  <c r="E60" i="39"/>
  <c r="I136" i="39"/>
  <c r="W111" i="39"/>
  <c r="T112" i="39"/>
  <c r="E54" i="39"/>
  <c r="H149" i="39"/>
  <c r="J126" i="39"/>
  <c r="W119" i="39"/>
  <c r="Z107" i="39"/>
  <c r="Z159" i="39"/>
  <c r="H68" i="39"/>
  <c r="H133" i="39"/>
  <c r="Q139" i="39"/>
  <c r="I87" i="39"/>
  <c r="Z97" i="39"/>
  <c r="C13" i="39"/>
  <c r="X68" i="39"/>
  <c r="I148" i="39"/>
  <c r="Z106" i="39"/>
  <c r="Z41" i="39"/>
  <c r="R78" i="39"/>
  <c r="K28" i="39"/>
  <c r="H50" i="39"/>
  <c r="V135" i="39"/>
  <c r="S43" i="39"/>
  <c r="W137" i="39"/>
  <c r="V81" i="39"/>
  <c r="X38" i="39"/>
  <c r="R37" i="39"/>
  <c r="U98" i="39"/>
  <c r="K25" i="39"/>
  <c r="E115" i="39"/>
  <c r="Y108" i="39"/>
  <c r="X66" i="39"/>
  <c r="R18" i="39"/>
  <c r="J98" i="39"/>
  <c r="P50" i="39"/>
  <c r="E112" i="39"/>
  <c r="J30" i="39"/>
  <c r="T29" i="39"/>
  <c r="W27" i="39"/>
  <c r="Y97" i="39"/>
  <c r="F70" i="39"/>
  <c r="O146" i="39"/>
  <c r="W63" i="39"/>
  <c r="I60" i="39"/>
  <c r="E20" i="39"/>
  <c r="D71" i="39"/>
  <c r="F159" i="39"/>
  <c r="J41" i="39"/>
  <c r="Y80" i="39"/>
  <c r="P137" i="39"/>
  <c r="D60" i="39"/>
  <c r="Q72" i="39"/>
  <c r="D15" i="39"/>
  <c r="G154" i="39"/>
  <c r="G142" i="39"/>
  <c r="X41" i="39"/>
  <c r="M23" i="39"/>
  <c r="H143" i="39"/>
  <c r="D92" i="39"/>
  <c r="K70" i="39"/>
  <c r="T146" i="39"/>
  <c r="M17" i="39"/>
  <c r="Y82" i="39"/>
  <c r="Z39" i="39"/>
  <c r="M87" i="39"/>
  <c r="I50" i="39"/>
  <c r="Q11" i="39"/>
  <c r="G147" i="39"/>
  <c r="D104" i="39"/>
  <c r="C101" i="39"/>
  <c r="O35" i="39"/>
  <c r="D93" i="39"/>
  <c r="U37" i="39"/>
  <c r="R81" i="39"/>
  <c r="Y130" i="39"/>
  <c r="Q111" i="39"/>
  <c r="H23" i="39"/>
  <c r="M122" i="39"/>
  <c r="D160" i="39"/>
  <c r="O160" i="39"/>
  <c r="Q21" i="39"/>
  <c r="G69" i="39"/>
  <c r="J120" i="39"/>
  <c r="J22" i="39"/>
  <c r="N40" i="39"/>
  <c r="P65" i="39"/>
  <c r="K121" i="39"/>
  <c r="J107" i="39"/>
  <c r="P130" i="39"/>
  <c r="D95" i="39"/>
  <c r="D130" i="39"/>
  <c r="L160" i="39"/>
  <c r="C89" i="39"/>
  <c r="X142" i="39"/>
  <c r="C154" i="39"/>
  <c r="X132" i="39"/>
  <c r="Y95" i="39"/>
  <c r="M67" i="39"/>
  <c r="K146" i="39"/>
  <c r="F95" i="39"/>
  <c r="I83" i="39"/>
  <c r="E29" i="9"/>
  <c r="H15" i="99"/>
  <c r="I56" i="99"/>
  <c r="J110" i="9"/>
  <c r="I72" i="9"/>
  <c r="G112" i="9"/>
  <c r="E10" i="9"/>
  <c r="F115" i="99"/>
  <c r="I35" i="99"/>
  <c r="E110" i="99"/>
  <c r="K104" i="9"/>
  <c r="G18" i="99"/>
  <c r="J60" i="9"/>
  <c r="I40" i="9"/>
  <c r="X48" i="39"/>
  <c r="Q27" i="39"/>
  <c r="R132" i="39"/>
  <c r="G71" i="39"/>
  <c r="F104" i="39"/>
  <c r="M110" i="39"/>
  <c r="X63" i="39"/>
  <c r="E138" i="39"/>
  <c r="E69" i="39"/>
  <c r="E148" i="39"/>
  <c r="S66" i="39"/>
  <c r="E152" i="39"/>
  <c r="L95" i="39"/>
  <c r="Y57" i="39"/>
  <c r="I79" i="39"/>
  <c r="E94" i="39"/>
  <c r="Z104" i="39"/>
  <c r="S72" i="39"/>
  <c r="C118" i="39"/>
  <c r="L49" i="39"/>
  <c r="J76" i="9"/>
  <c r="H32" i="99"/>
  <c r="G72" i="99"/>
  <c r="L97" i="9"/>
  <c r="E8" i="9"/>
  <c r="K117" i="9"/>
  <c r="D13" i="99"/>
  <c r="F113" i="99"/>
  <c r="G85" i="99"/>
  <c r="D110" i="9"/>
  <c r="J33" i="9"/>
  <c r="I85" i="9"/>
  <c r="G37" i="9"/>
  <c r="I115" i="9"/>
  <c r="K115" i="9"/>
  <c r="L34" i="9"/>
  <c r="O20" i="39"/>
  <c r="Z55" i="39"/>
  <c r="N44" i="39"/>
  <c r="J103" i="39"/>
  <c r="C15" i="39"/>
  <c r="R99" i="39"/>
  <c r="I52" i="39"/>
  <c r="T161" i="39"/>
  <c r="F30" i="39"/>
  <c r="E98" i="39"/>
  <c r="L108" i="39"/>
  <c r="I147" i="39"/>
  <c r="V126" i="39"/>
  <c r="V83" i="39"/>
  <c r="L67" i="39"/>
  <c r="D56" i="39"/>
  <c r="E44" i="39"/>
  <c r="E74" i="39"/>
  <c r="L61" i="39"/>
  <c r="C37" i="99"/>
  <c r="G35" i="9"/>
  <c r="D91" i="99"/>
  <c r="H28" i="9"/>
  <c r="H40" i="9"/>
  <c r="I71" i="99"/>
  <c r="E106" i="99"/>
  <c r="D100" i="99"/>
  <c r="C60" i="9"/>
  <c r="F89" i="9"/>
  <c r="D53" i="9"/>
  <c r="J31" i="9"/>
  <c r="K67" i="99"/>
  <c r="K33" i="9"/>
  <c r="J79" i="9"/>
  <c r="I79" i="99"/>
  <c r="W130" i="39"/>
  <c r="Z32" i="39"/>
  <c r="O117" i="39"/>
  <c r="F94" i="39"/>
  <c r="G82" i="39"/>
  <c r="P131" i="39"/>
  <c r="E61" i="39"/>
  <c r="P148" i="39"/>
  <c r="Z78" i="39"/>
  <c r="Y17" i="39"/>
  <c r="W133" i="39"/>
  <c r="E146" i="39"/>
  <c r="J88" i="39"/>
  <c r="J75" i="39"/>
  <c r="Y139" i="39"/>
  <c r="I99" i="39"/>
  <c r="U28" i="39"/>
  <c r="X43" i="39"/>
  <c r="N135" i="39"/>
  <c r="S35" i="39"/>
  <c r="L74" i="39"/>
  <c r="K159" i="39"/>
  <c r="O118" i="39"/>
  <c r="D153" i="39"/>
  <c r="C79" i="39"/>
  <c r="I34" i="39"/>
  <c r="I93" i="39"/>
  <c r="E106" i="39"/>
  <c r="J152" i="39"/>
  <c r="Q152" i="39"/>
  <c r="S52" i="39"/>
  <c r="N159" i="39"/>
  <c r="W96" i="39"/>
  <c r="L13" i="39"/>
  <c r="F136" i="39"/>
  <c r="D87" i="39"/>
  <c r="C65" i="9"/>
  <c r="I116" i="9"/>
  <c r="D86" i="99"/>
  <c r="I56" i="9"/>
  <c r="F19" i="99"/>
  <c r="D19" i="9"/>
  <c r="E117" i="99"/>
  <c r="L94" i="9"/>
  <c r="I110" i="9"/>
  <c r="L70" i="9"/>
  <c r="C58" i="9"/>
  <c r="H90" i="99"/>
  <c r="F31" i="99"/>
  <c r="L53" i="9"/>
  <c r="I112" i="9"/>
  <c r="L60" i="9"/>
  <c r="J99" i="99"/>
  <c r="F111" i="99"/>
  <c r="H16" i="9"/>
  <c r="D12" i="9"/>
  <c r="J30" i="99"/>
  <c r="K34" i="9"/>
  <c r="D103" i="9"/>
  <c r="J21" i="9"/>
  <c r="C50" i="99"/>
  <c r="C68" i="9"/>
  <c r="K68" i="99"/>
  <c r="D35" i="9"/>
  <c r="W106" i="39"/>
  <c r="L21" i="99"/>
  <c r="E50" i="9"/>
  <c r="D114" i="9"/>
  <c r="F30" i="9"/>
  <c r="I54" i="9"/>
  <c r="C56" i="99"/>
  <c r="E73" i="99"/>
  <c r="C55" i="99"/>
  <c r="I94" i="99"/>
  <c r="K35" i="9"/>
  <c r="G11" i="99"/>
  <c r="E28" i="9"/>
  <c r="F52" i="99"/>
  <c r="C53" i="9"/>
  <c r="G66" i="99"/>
  <c r="G109" i="9"/>
  <c r="J92" i="9"/>
  <c r="D117" i="99"/>
  <c r="L98" i="9"/>
  <c r="I48" i="9"/>
  <c r="H36" i="9"/>
  <c r="I30" i="99"/>
  <c r="K92" i="99"/>
  <c r="F88" i="99"/>
  <c r="E68" i="99"/>
  <c r="C51" i="99"/>
  <c r="L38" i="99"/>
  <c r="I11" i="99"/>
  <c r="E75" i="99"/>
  <c r="K72" i="9"/>
  <c r="H22" i="9"/>
  <c r="E31" i="9"/>
  <c r="I22" i="99"/>
  <c r="J41" i="99"/>
  <c r="D92" i="9"/>
  <c r="H48" i="99"/>
  <c r="F28" i="9"/>
  <c r="I77" i="9"/>
  <c r="G117" i="9"/>
  <c r="C97" i="9"/>
  <c r="J22" i="99"/>
  <c r="D56" i="9"/>
  <c r="G90" i="9"/>
  <c r="G98" i="99"/>
  <c r="C76" i="9"/>
  <c r="I99" i="99"/>
  <c r="F42" i="9"/>
  <c r="K59" i="9"/>
  <c r="C107" i="9"/>
  <c r="F96" i="9"/>
  <c r="D34" i="99"/>
  <c r="D14" i="9"/>
  <c r="E110" i="9"/>
  <c r="K99" i="99"/>
  <c r="L52" i="9"/>
  <c r="F40" i="9"/>
  <c r="E85" i="9"/>
  <c r="H119" i="99"/>
  <c r="K20" i="9"/>
  <c r="K105" i="9"/>
  <c r="G130" i="39"/>
  <c r="E89" i="39"/>
  <c r="P110" i="39"/>
  <c r="L22" i="39"/>
  <c r="J121" i="39"/>
  <c r="E155" i="39"/>
  <c r="D148" i="39"/>
  <c r="O76" i="39"/>
  <c r="H92" i="39"/>
  <c r="K157" i="39"/>
  <c r="O97" i="39"/>
  <c r="V142" i="39"/>
  <c r="Y147" i="39"/>
  <c r="G60" i="39"/>
  <c r="M116" i="39"/>
  <c r="Y79" i="39"/>
  <c r="Q37" i="39"/>
  <c r="Q25" i="39"/>
  <c r="H65" i="39"/>
  <c r="U99" i="39"/>
  <c r="C136" i="39"/>
  <c r="R133" i="39"/>
  <c r="O155" i="39"/>
  <c r="K107" i="39"/>
  <c r="K155" i="39"/>
  <c r="Q24" i="39"/>
  <c r="G155" i="39"/>
  <c r="F111" i="39"/>
  <c r="O62" i="39"/>
  <c r="J94" i="39"/>
  <c r="G161" i="39"/>
  <c r="D17" i="39"/>
  <c r="S41" i="39"/>
  <c r="N32" i="39"/>
  <c r="Z148" i="39"/>
  <c r="C103" i="39"/>
  <c r="X11" i="39"/>
  <c r="V90" i="39"/>
  <c r="O121" i="39"/>
  <c r="V119" i="39"/>
  <c r="Q161" i="39"/>
  <c r="V33" i="39"/>
  <c r="E110" i="39"/>
  <c r="D27" i="39"/>
  <c r="T134" i="39"/>
  <c r="D64" i="39"/>
  <c r="V91" i="39"/>
  <c r="Z155" i="39"/>
  <c r="M24" i="39"/>
  <c r="F64" i="39"/>
  <c r="W67" i="39"/>
  <c r="V26" i="39"/>
  <c r="C31" i="39"/>
  <c r="T152" i="39"/>
  <c r="C33" i="39"/>
  <c r="C133" i="39"/>
  <c r="I115" i="39"/>
  <c r="D42" i="39"/>
  <c r="Q133" i="39"/>
  <c r="Z151" i="39"/>
  <c r="U32" i="39"/>
  <c r="Q54" i="39"/>
  <c r="K81" i="39"/>
  <c r="Q143" i="39"/>
  <c r="Z35" i="39"/>
  <c r="Q155" i="39"/>
  <c r="T95" i="39"/>
  <c r="F116" i="39"/>
  <c r="K43" i="39"/>
  <c r="K154" i="39"/>
  <c r="D14" i="39"/>
  <c r="Z110" i="39"/>
  <c r="L114" i="39"/>
  <c r="U57" i="39"/>
  <c r="O93" i="39"/>
  <c r="Z141" i="39"/>
  <c r="J112" i="39"/>
  <c r="R72" i="39"/>
  <c r="G39" i="39"/>
  <c r="E151" i="39"/>
  <c r="J32" i="39"/>
  <c r="T151" i="39"/>
  <c r="Z15" i="39"/>
  <c r="C77" i="39"/>
  <c r="K69" i="39"/>
  <c r="I18" i="39"/>
  <c r="N134" i="39"/>
  <c r="C11" i="39"/>
  <c r="R120" i="39"/>
  <c r="U132" i="39"/>
  <c r="C142" i="39"/>
  <c r="U12" i="39"/>
  <c r="L143" i="39"/>
  <c r="E53" i="39"/>
  <c r="Z157" i="39"/>
  <c r="F96" i="39"/>
  <c r="C49" i="39"/>
  <c r="D37" i="39"/>
  <c r="I25" i="39"/>
  <c r="Z153" i="39"/>
  <c r="K12" i="39"/>
  <c r="W42" i="39"/>
  <c r="U113" i="39"/>
  <c r="C38" i="39"/>
  <c r="V147" i="39"/>
  <c r="N110" i="39"/>
  <c r="C157" i="39"/>
  <c r="Q57" i="39"/>
  <c r="T28" i="39"/>
  <c r="P59" i="39"/>
  <c r="H35" i="39"/>
  <c r="P78" i="39"/>
  <c r="K114" i="39"/>
  <c r="F68" i="39"/>
  <c r="J14" i="99"/>
  <c r="J94" i="99"/>
  <c r="F113" i="9"/>
  <c r="D15" i="9"/>
  <c r="I35" i="9"/>
  <c r="E41" i="9"/>
  <c r="F105" i="9"/>
  <c r="F57" i="99"/>
  <c r="F94" i="9"/>
  <c r="D32" i="99"/>
  <c r="H55" i="9"/>
  <c r="I86" i="9"/>
  <c r="K86" i="9"/>
  <c r="G50" i="99"/>
  <c r="G23" i="9"/>
  <c r="J35" i="9"/>
  <c r="H109" i="39"/>
  <c r="W108" i="39"/>
  <c r="H98" i="39"/>
  <c r="G99" i="39"/>
  <c r="S60" i="39"/>
  <c r="T105" i="39"/>
  <c r="G72" i="39"/>
  <c r="V98" i="39"/>
  <c r="Y91" i="39"/>
  <c r="T144" i="39"/>
  <c r="E100" i="39"/>
  <c r="F135" i="39"/>
  <c r="S140" i="39"/>
  <c r="Q13" i="39"/>
  <c r="S55" i="39"/>
  <c r="R66" i="39"/>
  <c r="W83" i="39"/>
  <c r="X71" i="39"/>
  <c r="F23" i="39"/>
  <c r="P115" i="39"/>
  <c r="L58" i="39"/>
  <c r="M52" i="39"/>
  <c r="J80" i="9"/>
  <c r="K20" i="99"/>
  <c r="F12" i="9"/>
  <c r="L111" i="9"/>
  <c r="K13" i="99"/>
  <c r="J72" i="99"/>
  <c r="H95" i="9"/>
  <c r="C93" i="99"/>
  <c r="K29" i="99"/>
  <c r="G74" i="9"/>
  <c r="C51" i="9"/>
  <c r="E48" i="9"/>
  <c r="I97" i="9"/>
  <c r="H21" i="99"/>
  <c r="F47" i="99"/>
  <c r="I108" i="99"/>
  <c r="F41" i="39"/>
  <c r="L128" i="39"/>
  <c r="X62" i="39"/>
  <c r="X27" i="39"/>
  <c r="D31" i="39"/>
  <c r="H146" i="39"/>
  <c r="G93" i="39"/>
  <c r="P98" i="39"/>
  <c r="U48" i="39"/>
  <c r="T65" i="39"/>
  <c r="H111" i="39"/>
  <c r="O22" i="39"/>
  <c r="O28" i="39"/>
  <c r="U21" i="39"/>
  <c r="U138" i="39"/>
  <c r="O26" i="39"/>
  <c r="W18" i="39"/>
  <c r="H76" i="39"/>
  <c r="I95" i="39"/>
  <c r="O114" i="39"/>
  <c r="K62" i="39"/>
  <c r="L36" i="39"/>
  <c r="Q82" i="39"/>
  <c r="H29" i="39"/>
  <c r="P30" i="39"/>
  <c r="K106" i="99"/>
  <c r="E69" i="9"/>
  <c r="F17" i="99"/>
  <c r="H107" i="9"/>
  <c r="J78" i="9"/>
  <c r="L18" i="9"/>
  <c r="C78" i="99"/>
  <c r="G14" i="9"/>
  <c r="E30" i="99"/>
  <c r="L50" i="9"/>
  <c r="C78" i="9"/>
  <c r="H77" i="9"/>
  <c r="L87" i="9"/>
  <c r="I33" i="99"/>
  <c r="K74" i="9"/>
  <c r="E97" i="9"/>
  <c r="K89" i="99"/>
  <c r="G136" i="39"/>
  <c r="P79" i="39"/>
  <c r="Q22" i="39"/>
  <c r="D55" i="39"/>
  <c r="V43" i="39"/>
  <c r="S92" i="39"/>
  <c r="K99" i="39"/>
  <c r="S48" i="39"/>
  <c r="N78" i="39"/>
  <c r="R108" i="39"/>
  <c r="G117" i="39"/>
  <c r="V32" i="39"/>
  <c r="V151" i="39"/>
  <c r="C159" i="39"/>
  <c r="Z102" i="39"/>
  <c r="R97" i="39"/>
  <c r="J51" i="39"/>
  <c r="M70" i="39"/>
  <c r="P144" i="39"/>
  <c r="T142" i="39"/>
  <c r="X151" i="39"/>
  <c r="R44" i="39"/>
  <c r="T73" i="39"/>
  <c r="Y62" i="39"/>
  <c r="H28" i="39"/>
  <c r="U114" i="39"/>
  <c r="J21" i="39"/>
  <c r="Q9" i="39"/>
  <c r="C97" i="39"/>
  <c r="V156" i="39"/>
  <c r="Y152" i="39"/>
  <c r="K30" i="39"/>
  <c r="F128" i="39"/>
  <c r="Y88" i="39"/>
  <c r="G14" i="39"/>
  <c r="L80" i="39"/>
  <c r="C145" i="39"/>
  <c r="F91" i="39"/>
  <c r="K16" i="99"/>
  <c r="I60" i="9"/>
  <c r="G100" i="99"/>
  <c r="G22" i="9"/>
  <c r="F114" i="9"/>
  <c r="E51" i="99"/>
  <c r="L93" i="99"/>
  <c r="C88" i="99"/>
  <c r="J70" i="9"/>
  <c r="I20" i="99"/>
  <c r="D108" i="99"/>
  <c r="C33" i="99"/>
  <c r="G18" i="9"/>
  <c r="E34" i="9"/>
  <c r="F60" i="9"/>
  <c r="H42" i="9"/>
  <c r="F86" i="9"/>
  <c r="D49" i="9"/>
  <c r="H40" i="99"/>
  <c r="F35" i="99"/>
  <c r="H106" i="99"/>
  <c r="E20" i="9"/>
  <c r="I98" i="9"/>
  <c r="F109" i="9"/>
  <c r="F89" i="99"/>
  <c r="F27" i="9"/>
  <c r="J86" i="9"/>
  <c r="K28" i="99"/>
  <c r="E111" i="9"/>
  <c r="C20" i="99"/>
  <c r="L47" i="99"/>
  <c r="F105" i="99"/>
  <c r="L37" i="99"/>
  <c r="L67" i="9"/>
  <c r="F48" i="99"/>
  <c r="C13" i="9"/>
  <c r="C105" i="99"/>
  <c r="C29" i="99"/>
  <c r="C111" i="99"/>
  <c r="D107" i="99"/>
  <c r="D105" i="99"/>
  <c r="D16" i="9"/>
  <c r="J100" i="99"/>
  <c r="K17" i="9"/>
  <c r="H20" i="9"/>
  <c r="I89" i="99"/>
  <c r="I48" i="99"/>
  <c r="F97" i="9"/>
  <c r="K70" i="9"/>
  <c r="L53" i="99"/>
  <c r="G10" i="9"/>
  <c r="H31" i="9"/>
  <c r="E40" i="9"/>
  <c r="J93" i="9"/>
  <c r="L27" i="9"/>
  <c r="F73" i="9"/>
  <c r="E78" i="99"/>
  <c r="I54" i="99"/>
  <c r="G40" i="99"/>
  <c r="L9" i="99"/>
  <c r="L97" i="99"/>
  <c r="E72" i="9"/>
  <c r="J33" i="99"/>
  <c r="D116" i="9"/>
  <c r="L41" i="99"/>
  <c r="I111" i="99"/>
  <c r="C95" i="99"/>
  <c r="H70" i="99"/>
  <c r="E67" i="9"/>
  <c r="L109" i="9"/>
  <c r="E114" i="99"/>
  <c r="F86" i="99"/>
  <c r="E17" i="99"/>
  <c r="H29" i="99"/>
  <c r="J28" i="9"/>
  <c r="H69" i="99"/>
  <c r="E22" i="9"/>
  <c r="F107" i="9"/>
  <c r="F71" i="99"/>
  <c r="F61" i="9"/>
  <c r="H58" i="99"/>
  <c r="L29" i="9"/>
  <c r="C16" i="99"/>
  <c r="G92" i="9"/>
  <c r="K80" i="9"/>
  <c r="G79" i="9"/>
  <c r="H54" i="9"/>
  <c r="E56" i="9"/>
  <c r="C40" i="9"/>
  <c r="J98" i="99"/>
  <c r="I113" i="9"/>
  <c r="I78" i="9"/>
  <c r="K40" i="39"/>
  <c r="M129" i="39"/>
  <c r="O71" i="39"/>
  <c r="C138" i="39"/>
  <c r="W64" i="39"/>
  <c r="J68" i="39"/>
  <c r="P93" i="39"/>
  <c r="N39" i="39"/>
  <c r="E128" i="39"/>
  <c r="Y18" i="39"/>
  <c r="C51" i="39"/>
  <c r="Y135" i="39"/>
  <c r="J135" i="39"/>
  <c r="I57" i="39"/>
  <c r="V30" i="39"/>
  <c r="X135" i="39"/>
  <c r="H70" i="39"/>
  <c r="Z68" i="39"/>
  <c r="L53" i="39"/>
  <c r="I106" i="39"/>
  <c r="L103" i="39"/>
  <c r="V118" i="39"/>
  <c r="Z105" i="39"/>
  <c r="P134" i="39"/>
  <c r="G112" i="39"/>
  <c r="J20" i="39"/>
  <c r="Q117" i="39"/>
  <c r="Z147" i="39"/>
  <c r="W102" i="39"/>
  <c r="L25" i="39"/>
  <c r="Y20" i="39"/>
  <c r="X99" i="39"/>
  <c r="I10" i="39"/>
  <c r="K34" i="39"/>
  <c r="O29" i="39"/>
  <c r="M108" i="39"/>
  <c r="Y29" i="39"/>
  <c r="Z12" i="39"/>
  <c r="S67" i="39"/>
  <c r="I63" i="39"/>
  <c r="Y94" i="39"/>
  <c r="N114" i="39"/>
  <c r="L26" i="39"/>
  <c r="S34" i="39"/>
  <c r="L78" i="39"/>
  <c r="Q61" i="39"/>
  <c r="O19" i="39"/>
  <c r="N112" i="39"/>
  <c r="O130" i="39"/>
  <c r="Z43" i="39"/>
  <c r="F155" i="39"/>
  <c r="P114" i="39"/>
  <c r="G113" i="39"/>
  <c r="G50" i="39"/>
  <c r="U144" i="39"/>
  <c r="M155" i="39"/>
  <c r="F127" i="39"/>
  <c r="F76" i="39"/>
  <c r="Y15" i="39"/>
  <c r="J34" i="39"/>
  <c r="G55" i="39"/>
  <c r="S42" i="39"/>
  <c r="S50" i="39"/>
  <c r="R146" i="39"/>
  <c r="E56" i="39"/>
  <c r="Y33" i="39"/>
  <c r="K143" i="39"/>
  <c r="H11" i="39"/>
  <c r="O41" i="39"/>
  <c r="E59" i="39"/>
  <c r="I153" i="39"/>
  <c r="M112" i="39"/>
  <c r="P111" i="39"/>
  <c r="H75" i="39"/>
  <c r="Z27" i="39"/>
  <c r="W36" i="39"/>
  <c r="D54" i="39"/>
  <c r="X61" i="39"/>
  <c r="L73" i="39"/>
  <c r="Q60" i="39"/>
  <c r="P71" i="39"/>
  <c r="O108" i="39"/>
  <c r="Q146" i="39"/>
  <c r="E66" i="39"/>
  <c r="K117" i="39"/>
  <c r="O156" i="39"/>
  <c r="Q150" i="39"/>
  <c r="D62" i="39"/>
  <c r="P141" i="39"/>
  <c r="O12" i="39"/>
  <c r="J161" i="39"/>
  <c r="S83" i="39"/>
  <c r="Y65" i="39"/>
  <c r="V55" i="39"/>
  <c r="W127" i="39"/>
  <c r="F156" i="39"/>
  <c r="P158" i="39"/>
  <c r="Y56" i="39"/>
  <c r="G59" i="39"/>
  <c r="H22" i="39"/>
  <c r="Y156" i="39"/>
  <c r="J24" i="39"/>
  <c r="M148" i="39"/>
  <c r="Q20" i="39"/>
  <c r="S64" i="39"/>
  <c r="O89" i="39"/>
  <c r="I144" i="39"/>
  <c r="P28" i="39"/>
  <c r="N55" i="39"/>
  <c r="R89" i="39"/>
  <c r="C18" i="39"/>
  <c r="O142" i="39"/>
  <c r="Y13" i="39"/>
  <c r="G98" i="9"/>
  <c r="R55" i="13"/>
  <c r="U145" i="13"/>
  <c r="AA56" i="13"/>
  <c r="C233" i="13"/>
  <c r="Q133" i="13"/>
  <c r="P95" i="13"/>
  <c r="H97" i="13"/>
  <c r="M240" i="13"/>
  <c r="Z43" i="13"/>
  <c r="E26" i="13"/>
  <c r="AC20" i="13"/>
  <c r="L64" i="13"/>
  <c r="P205" i="13"/>
  <c r="Q47" i="13"/>
  <c r="E152" i="13"/>
  <c r="Y67" i="13"/>
  <c r="X87" i="13"/>
  <c r="Q184" i="13"/>
  <c r="N91" i="94"/>
  <c r="D91" i="94"/>
  <c r="F90" i="94"/>
  <c r="H89" i="94"/>
  <c r="L87" i="94"/>
  <c r="D86" i="94"/>
  <c r="J83" i="94"/>
  <c r="L82" i="94"/>
  <c r="N81" i="94"/>
  <c r="D81" i="94"/>
  <c r="H79" i="94"/>
  <c r="L77" i="94"/>
  <c r="F75" i="94"/>
  <c r="H74" i="94"/>
  <c r="J73" i="94"/>
  <c r="L69" i="94"/>
  <c r="D68" i="94"/>
  <c r="H66" i="94"/>
  <c r="N63" i="94"/>
  <c r="D63" i="94"/>
  <c r="F62" i="94"/>
  <c r="H61" i="94"/>
  <c r="L59" i="94"/>
  <c r="D58" i="94"/>
  <c r="J55" i="94"/>
  <c r="L54" i="94"/>
  <c r="N53" i="94"/>
  <c r="D53" i="94"/>
  <c r="H51" i="94"/>
  <c r="L46" i="94"/>
  <c r="F44" i="94"/>
  <c r="H43" i="94"/>
  <c r="J42" i="94"/>
  <c r="L41" i="94"/>
  <c r="D40" i="94"/>
  <c r="H38" i="94"/>
  <c r="N35" i="94"/>
  <c r="D35" i="94"/>
  <c r="F34" i="94"/>
  <c r="H33" i="94"/>
  <c r="L31" i="94"/>
  <c r="D30" i="94"/>
  <c r="J24" i="94"/>
  <c r="L23" i="94"/>
  <c r="N22" i="94"/>
  <c r="D22" i="94"/>
  <c r="H20" i="94"/>
  <c r="L18" i="94"/>
  <c r="F16" i="94"/>
  <c r="H15" i="94"/>
  <c r="J14" i="94"/>
  <c r="L13" i="94"/>
  <c r="M91" i="94"/>
  <c r="E90" i="94"/>
  <c r="K87" i="94"/>
  <c r="M86" i="94"/>
  <c r="C86" i="94"/>
  <c r="E85" i="94"/>
  <c r="I83" i="94"/>
  <c r="M81" i="94"/>
  <c r="K90" i="94"/>
  <c r="M89" i="94"/>
  <c r="C89" i="94"/>
  <c r="E88" i="94"/>
  <c r="I86" i="94"/>
  <c r="M84" i="94"/>
  <c r="G82" i="94"/>
  <c r="I81" i="94"/>
  <c r="K80" i="94"/>
  <c r="M79" i="94"/>
  <c r="E78" i="94"/>
  <c r="I76" i="94"/>
  <c r="C74" i="94"/>
  <c r="E73" i="94"/>
  <c r="G69" i="94"/>
  <c r="I68" i="94"/>
  <c r="M66" i="94"/>
  <c r="E65" i="94"/>
  <c r="K62" i="94"/>
  <c r="M61" i="94"/>
  <c r="C61" i="94"/>
  <c r="E60" i="94"/>
  <c r="I58" i="94"/>
  <c r="M56" i="94"/>
  <c r="G54" i="94"/>
  <c r="I53" i="94"/>
  <c r="K52" i="94"/>
  <c r="M51" i="94"/>
  <c r="E47" i="94"/>
  <c r="I45" i="94"/>
  <c r="C43" i="94"/>
  <c r="E42" i="94"/>
  <c r="G41" i="94"/>
  <c r="I40" i="94"/>
  <c r="M38" i="94"/>
  <c r="E37" i="94"/>
  <c r="K34" i="94"/>
  <c r="M33" i="94"/>
  <c r="C33" i="94"/>
  <c r="E32" i="94"/>
  <c r="I30" i="94"/>
  <c r="M25" i="94"/>
  <c r="G23" i="94"/>
  <c r="I22" i="94"/>
  <c r="K21" i="94"/>
  <c r="M20" i="94"/>
  <c r="E19" i="94"/>
  <c r="I17" i="94"/>
  <c r="C15" i="94"/>
  <c r="E14" i="94"/>
  <c r="G13" i="94"/>
  <c r="I12" i="94"/>
  <c r="I89" i="94"/>
  <c r="D87" i="94"/>
  <c r="H83" i="94"/>
  <c r="F82" i="94"/>
  <c r="E81" i="94"/>
  <c r="C80" i="94"/>
  <c r="N77" i="94"/>
  <c r="M75" i="94"/>
  <c r="K69" i="94"/>
  <c r="K68" i="94"/>
  <c r="J67" i="94"/>
  <c r="J66" i="94"/>
  <c r="I64" i="94"/>
  <c r="H62" i="94"/>
  <c r="F59" i="94"/>
  <c r="F58" i="94"/>
  <c r="E57" i="94"/>
  <c r="E56" i="94"/>
  <c r="D54" i="94"/>
  <c r="C52" i="94"/>
  <c r="M45" i="94"/>
  <c r="M44" i="94"/>
  <c r="L43" i="94"/>
  <c r="L42" i="94"/>
  <c r="K40" i="94"/>
  <c r="J38" i="94"/>
  <c r="H35" i="94"/>
  <c r="H34" i="94"/>
  <c r="G33" i="94"/>
  <c r="G32" i="94"/>
  <c r="F30" i="94"/>
  <c r="E25" i="94"/>
  <c r="C22" i="94"/>
  <c r="C21" i="94"/>
  <c r="N19" i="94"/>
  <c r="N18" i="94"/>
  <c r="M16" i="94"/>
  <c r="L14" i="94"/>
  <c r="L11" i="94"/>
  <c r="N10" i="94"/>
  <c r="D10" i="94"/>
  <c r="F9" i="94"/>
  <c r="J7" i="94"/>
  <c r="I90" i="94"/>
  <c r="C87" i="94"/>
  <c r="L85" i="94"/>
  <c r="J84" i="94"/>
  <c r="G83" i="94"/>
  <c r="N80" i="94"/>
  <c r="M78" i="94"/>
  <c r="L75" i="94"/>
  <c r="K74" i="94"/>
  <c r="K73" i="94"/>
  <c r="J69" i="94"/>
  <c r="I67" i="94"/>
  <c r="H65" i="94"/>
  <c r="G62" i="94"/>
  <c r="F61" i="94"/>
  <c r="F60" i="94"/>
  <c r="E59" i="94"/>
  <c r="D57" i="94"/>
  <c r="C55" i="94"/>
  <c r="N51" i="94"/>
  <c r="M47" i="94"/>
  <c r="M46" i="94"/>
  <c r="L45" i="94"/>
  <c r="K43" i="94"/>
  <c r="J41" i="94"/>
  <c r="I38" i="94"/>
  <c r="H37" i="94"/>
  <c r="H36" i="94"/>
  <c r="G35" i="94"/>
  <c r="F33" i="94"/>
  <c r="E31" i="94"/>
  <c r="D25" i="94"/>
  <c r="C24" i="94"/>
  <c r="C23" i="94"/>
  <c r="N21" i="94"/>
  <c r="M19" i="94"/>
  <c r="L17" i="94"/>
  <c r="K14" i="94"/>
  <c r="J13" i="94"/>
  <c r="J12" i="94"/>
  <c r="K11" i="94"/>
  <c r="C10" i="94"/>
  <c r="I7" i="94"/>
  <c r="M88" i="94"/>
  <c r="J87" i="94"/>
  <c r="H86" i="94"/>
  <c r="G85" i="94"/>
  <c r="N82" i="94"/>
  <c r="I80" i="94"/>
  <c r="H77" i="94"/>
  <c r="G76" i="94"/>
  <c r="G75" i="94"/>
  <c r="F74" i="94"/>
  <c r="E69" i="94"/>
  <c r="D67" i="94"/>
  <c r="C64" i="94"/>
  <c r="N62" i="94"/>
  <c r="N61" i="94"/>
  <c r="M60" i="94"/>
  <c r="L58" i="94"/>
  <c r="K56" i="94"/>
  <c r="J53" i="94"/>
  <c r="I52" i="94"/>
  <c r="I51" i="94"/>
  <c r="H47" i="94"/>
  <c r="G45" i="94"/>
  <c r="F43" i="94"/>
  <c r="E40" i="94"/>
  <c r="D39" i="94"/>
  <c r="D38" i="94"/>
  <c r="C37" i="94"/>
  <c r="N34" i="94"/>
  <c r="M32" i="94"/>
  <c r="L29" i="94"/>
  <c r="K25" i="94"/>
  <c r="K24" i="94"/>
  <c r="J23" i="94"/>
  <c r="I21" i="94"/>
  <c r="H19" i="94"/>
  <c r="G16" i="94"/>
  <c r="F15" i="94"/>
  <c r="F14" i="94"/>
  <c r="E13" i="94"/>
  <c r="G11" i="94"/>
  <c r="K9" i="94"/>
  <c r="E7" i="94"/>
  <c r="H7" i="94"/>
  <c r="K8" i="94"/>
  <c r="M9" i="94"/>
  <c r="F12" i="94"/>
  <c r="E15" i="94"/>
  <c r="K19" i="94"/>
  <c r="E21" i="94"/>
  <c r="K22" i="94"/>
  <c r="F24" i="94"/>
  <c r="C30" i="94"/>
  <c r="D33" i="94"/>
  <c r="K37" i="94"/>
  <c r="C39" i="94"/>
  <c r="H40" i="94"/>
  <c r="C42" i="94"/>
  <c r="C45" i="94"/>
  <c r="D51" i="94"/>
  <c r="H55" i="94"/>
  <c r="N56" i="94"/>
  <c r="H58" i="94"/>
  <c r="N59" i="94"/>
  <c r="M62" i="94"/>
  <c r="M65" i="94"/>
  <c r="G73" i="94"/>
  <c r="N74" i="94"/>
  <c r="F76" i="94"/>
  <c r="K77" i="94"/>
  <c r="L80" i="94"/>
  <c r="E84" i="94"/>
  <c r="I87" i="94"/>
  <c r="E89" i="94"/>
  <c r="N90" i="94"/>
  <c r="L7" i="94"/>
  <c r="N8" i="94"/>
  <c r="E10" i="94"/>
  <c r="F11" i="94"/>
  <c r="H12" i="94"/>
  <c r="I15" i="94"/>
  <c r="I18" i="94"/>
  <c r="D20" i="94"/>
  <c r="H21" i="94"/>
  <c r="M22" i="94"/>
  <c r="H24" i="94"/>
  <c r="N25" i="94"/>
  <c r="H30" i="94"/>
  <c r="I33" i="94"/>
  <c r="F36" i="94"/>
  <c r="M37" i="94"/>
  <c r="G39" i="94"/>
  <c r="M40" i="94"/>
  <c r="G42" i="94"/>
  <c r="N43" i="94"/>
  <c r="F45" i="94"/>
  <c r="F51" i="94"/>
  <c r="F54" i="94"/>
  <c r="L55" i="94"/>
  <c r="G57" i="94"/>
  <c r="K58" i="94"/>
  <c r="D60" i="94"/>
  <c r="K61" i="94"/>
  <c r="E63" i="94"/>
  <c r="E66" i="94"/>
  <c r="D69" i="94"/>
  <c r="I73" i="94"/>
  <c r="D75" i="94"/>
  <c r="J76" i="94"/>
  <c r="D78" i="94"/>
  <c r="J79" i="94"/>
  <c r="F81" i="94"/>
  <c r="I84" i="94"/>
  <c r="N87" i="94"/>
  <c r="K89" i="94"/>
  <c r="G91" i="94"/>
  <c r="M7" i="94"/>
  <c r="C9" i="94"/>
  <c r="F10" i="94"/>
  <c r="H11" i="94"/>
  <c r="D14" i="94"/>
  <c r="E17" i="94"/>
  <c r="J18" i="94"/>
  <c r="E20" i="94"/>
  <c r="J21" i="94"/>
  <c r="E23" i="94"/>
  <c r="I24" i="94"/>
  <c r="C29" i="94"/>
  <c r="C32" i="94"/>
  <c r="C35" i="94"/>
  <c r="J36" i="94"/>
  <c r="N37" i="94"/>
  <c r="H39" i="94"/>
  <c r="C41" i="94"/>
  <c r="H42" i="94"/>
  <c r="C44" i="94"/>
  <c r="C47" i="94"/>
  <c r="M52" i="94"/>
  <c r="H54" i="94"/>
  <c r="M55" i="94"/>
  <c r="H57" i="94"/>
  <c r="M58" i="94"/>
  <c r="H60" i="94"/>
  <c r="L61" i="94"/>
  <c r="M64" i="94"/>
  <c r="M67" i="94"/>
  <c r="F69" i="94"/>
  <c r="M73" i="94"/>
  <c r="E75" i="94"/>
  <c r="K76" i="94"/>
  <c r="F78" i="94"/>
  <c r="K79" i="94"/>
  <c r="C83" i="94"/>
  <c r="G86" i="94"/>
  <c r="C88" i="94"/>
  <c r="L89" i="94"/>
  <c r="H91" i="94"/>
  <c r="N7" i="94"/>
  <c r="D9" i="94"/>
  <c r="G10" i="94"/>
  <c r="M12" i="94"/>
  <c r="N15" i="94"/>
  <c r="F17" i="94"/>
  <c r="K18" i="94"/>
  <c r="F20" i="94"/>
  <c r="L21" i="94"/>
  <c r="F23" i="94"/>
  <c r="L24" i="94"/>
  <c r="K30" i="94"/>
  <c r="K33" i="94"/>
  <c r="E35" i="94"/>
  <c r="K36" i="94"/>
  <c r="E38" i="94"/>
  <c r="L39" i="94"/>
  <c r="D41" i="94"/>
  <c r="I42" i="94"/>
  <c r="J45" i="94"/>
  <c r="J51" i="94"/>
  <c r="E53" i="94"/>
  <c r="I54" i="94"/>
  <c r="N55" i="94"/>
  <c r="I57" i="94"/>
  <c r="C59" i="94"/>
  <c r="I60" i="94"/>
  <c r="J63" i="94"/>
  <c r="G66" i="94"/>
  <c r="N67" i="94"/>
  <c r="H69" i="94"/>
  <c r="N73" i="94"/>
  <c r="H75" i="94"/>
  <c r="C77" i="94"/>
  <c r="G78" i="94"/>
  <c r="H81" i="94"/>
  <c r="N84" i="94"/>
  <c r="J86" i="94"/>
  <c r="G88" i="94"/>
  <c r="N89" i="94"/>
  <c r="J91" i="94"/>
  <c r="M141" i="5"/>
  <c r="M142" i="91" s="1"/>
  <c r="I43" i="5"/>
  <c r="I18" i="5" s="1"/>
  <c r="E55" i="5"/>
  <c r="E30" i="5" s="1"/>
  <c r="K78" i="5"/>
  <c r="K79" i="91" s="1"/>
  <c r="H113" i="5"/>
  <c r="H114" i="91" s="1"/>
  <c r="C134" i="5"/>
  <c r="C135" i="91" s="1"/>
  <c r="AA321" i="81"/>
  <c r="AD320" i="81"/>
  <c r="T108" i="81"/>
  <c r="T49" i="81" s="1"/>
  <c r="L279" i="81"/>
  <c r="P155" i="81"/>
  <c r="Z174" i="81"/>
  <c r="U104" i="81"/>
  <c r="U45" i="81" s="1"/>
  <c r="AB92" i="81"/>
  <c r="AB33" i="81" s="1"/>
  <c r="R154" i="81"/>
  <c r="H81" i="81"/>
  <c r="H22" i="81" s="1"/>
  <c r="AE279" i="81"/>
  <c r="U112" i="81"/>
  <c r="U53" i="81" s="1"/>
  <c r="M86" i="81"/>
  <c r="M27" i="81" s="1"/>
  <c r="U115" i="81"/>
  <c r="U56" i="81" s="1"/>
  <c r="O243" i="81"/>
  <c r="S165" i="81"/>
  <c r="X321" i="81"/>
  <c r="V294" i="81"/>
  <c r="AG143" i="81"/>
  <c r="P97" i="81"/>
  <c r="P38" i="81" s="1"/>
  <c r="AH235" i="81"/>
  <c r="I120" i="81"/>
  <c r="I61" i="81" s="1"/>
  <c r="Q315" i="81"/>
  <c r="P162" i="81"/>
  <c r="AA76" i="81"/>
  <c r="AA17" i="81" s="1"/>
  <c r="AB345" i="81"/>
  <c r="P364" i="81"/>
  <c r="F336" i="81"/>
  <c r="N203" i="81"/>
  <c r="E141" i="81"/>
  <c r="Q227" i="81"/>
  <c r="S263" i="81"/>
  <c r="N345" i="81"/>
  <c r="R118" i="81"/>
  <c r="R59" i="81" s="1"/>
  <c r="AB242" i="81"/>
  <c r="J270" i="81"/>
  <c r="H92" i="81"/>
  <c r="H33" i="81" s="1"/>
  <c r="T299" i="81"/>
  <c r="M85" i="81"/>
  <c r="M26" i="81" s="1"/>
  <c r="K323" i="81"/>
  <c r="C223" i="81"/>
  <c r="P340" i="81"/>
  <c r="AE231" i="81"/>
  <c r="AC204" i="81"/>
  <c r="AF165" i="81"/>
  <c r="M95" i="81"/>
  <c r="M36" i="81" s="1"/>
  <c r="S123" i="81"/>
  <c r="S64" i="81" s="1"/>
  <c r="Z96" i="81"/>
  <c r="Z37" i="81" s="1"/>
  <c r="E336" i="81"/>
  <c r="T85" i="81"/>
  <c r="T26" i="81" s="1"/>
  <c r="H137" i="81"/>
  <c r="W138" i="81"/>
  <c r="S313" i="81"/>
  <c r="T268" i="81"/>
  <c r="X349" i="81"/>
  <c r="R338" i="81"/>
  <c r="I185" i="81"/>
  <c r="AF218" i="81"/>
  <c r="AF85" i="81"/>
  <c r="AF26" i="81" s="1"/>
  <c r="E131" i="81"/>
  <c r="O282" i="81"/>
  <c r="Z345" i="81"/>
  <c r="N191" i="81"/>
  <c r="Q354" i="81"/>
  <c r="AD296" i="81"/>
  <c r="I70" i="81"/>
  <c r="I11" i="81" s="1"/>
  <c r="Z244" i="81"/>
  <c r="AE84" i="81"/>
  <c r="AE25" i="81" s="1"/>
  <c r="R346" i="81"/>
  <c r="R295" i="81"/>
  <c r="AB331" i="81"/>
  <c r="P225" i="81"/>
  <c r="AG304" i="81"/>
  <c r="Y200" i="81"/>
  <c r="H119" i="81"/>
  <c r="H60" i="81" s="1"/>
  <c r="T238" i="81"/>
  <c r="Y257" i="81"/>
  <c r="M212" i="81"/>
  <c r="D252" i="81"/>
  <c r="W225" i="81"/>
  <c r="E264" i="81"/>
  <c r="U202" i="81"/>
  <c r="AG174" i="81"/>
  <c r="U338" i="81"/>
  <c r="AG211" i="81"/>
  <c r="Y348" i="81"/>
  <c r="D341" i="81"/>
  <c r="O206" i="81"/>
  <c r="Y88" i="81"/>
  <c r="Y29" i="81" s="1"/>
  <c r="G146" i="81"/>
  <c r="X111" i="81"/>
  <c r="X52" i="81" s="1"/>
  <c r="L118" i="81"/>
  <c r="L59" i="81" s="1"/>
  <c r="J212" i="81"/>
  <c r="D326" i="81"/>
  <c r="M180" i="81"/>
  <c r="T95" i="81"/>
  <c r="T36" i="81" s="1"/>
  <c r="E137" i="81"/>
  <c r="Z92" i="81"/>
  <c r="Z33" i="81" s="1"/>
  <c r="AF212" i="81"/>
  <c r="AD202" i="81"/>
  <c r="K358" i="81"/>
  <c r="R289" i="81"/>
  <c r="C328" i="81"/>
  <c r="Y361" i="81"/>
  <c r="V195" i="81"/>
  <c r="AE160" i="81"/>
  <c r="H88" i="81"/>
  <c r="H29" i="81" s="1"/>
  <c r="AG337" i="81"/>
  <c r="N344" i="81"/>
  <c r="AA191" i="81"/>
  <c r="AD297" i="81"/>
  <c r="K97" i="81"/>
  <c r="K38" i="81" s="1"/>
  <c r="J109" i="81"/>
  <c r="J50" i="81" s="1"/>
  <c r="C224" i="81"/>
  <c r="Z363" i="81"/>
  <c r="N168" i="81"/>
  <c r="AH347" i="81"/>
  <c r="W362" i="81"/>
  <c r="V222" i="81"/>
  <c r="N77" i="81"/>
  <c r="N18" i="81" s="1"/>
  <c r="Q339" i="81"/>
  <c r="AG224" i="81"/>
  <c r="F301" i="81"/>
  <c r="R253" i="81"/>
  <c r="W342" i="81"/>
  <c r="I196" i="81"/>
  <c r="N198" i="81"/>
  <c r="AA100" i="81"/>
  <c r="AA41" i="81" s="1"/>
  <c r="M96" i="81"/>
  <c r="M37" i="81" s="1"/>
  <c r="M103" i="81"/>
  <c r="M44" i="81" s="1"/>
  <c r="N138" i="81"/>
  <c r="C112" i="81"/>
  <c r="C53" i="81" s="1"/>
  <c r="M256" i="81"/>
  <c r="R172" i="81"/>
  <c r="AC213" i="81"/>
  <c r="M364" i="81"/>
  <c r="I89" i="81"/>
  <c r="I30" i="81" s="1"/>
  <c r="I154" i="81"/>
  <c r="C146" i="81"/>
  <c r="F304" i="81"/>
  <c r="G142" i="81"/>
  <c r="J336" i="81"/>
  <c r="X294" i="81"/>
  <c r="S105" i="81"/>
  <c r="S46" i="81" s="1"/>
  <c r="AA158" i="81"/>
  <c r="AH281" i="81"/>
  <c r="I212" i="81"/>
  <c r="L296" i="81"/>
  <c r="AC224" i="81"/>
  <c r="O244" i="81"/>
  <c r="G335" i="81"/>
  <c r="T360" i="81"/>
  <c r="AB159" i="81"/>
  <c r="AA340" i="81"/>
  <c r="T256" i="81"/>
  <c r="Q81" i="81"/>
  <c r="Q22" i="81" s="1"/>
  <c r="F357" i="81"/>
  <c r="T80" i="81"/>
  <c r="T21" i="81" s="1"/>
  <c r="J111" i="81"/>
  <c r="J52" i="81" s="1"/>
  <c r="D263" i="81"/>
  <c r="K272" i="81"/>
  <c r="AF265" i="81"/>
  <c r="AF240" i="81"/>
  <c r="AF122" i="81"/>
  <c r="AF63" i="81" s="1"/>
  <c r="N184" i="81"/>
  <c r="Z271" i="81"/>
  <c r="G131" i="81"/>
  <c r="H343" i="81"/>
  <c r="X159" i="81"/>
  <c r="Y170" i="81"/>
  <c r="Y108" i="81"/>
  <c r="Y49" i="81" s="1"/>
  <c r="W212" i="81"/>
  <c r="AF220" i="81"/>
  <c r="H331" i="81"/>
  <c r="N125" i="81"/>
  <c r="N66" i="81" s="1"/>
  <c r="C93" i="81"/>
  <c r="C34" i="81" s="1"/>
  <c r="AG364" i="81"/>
  <c r="O156" i="81"/>
  <c r="X237" i="81"/>
  <c r="U284" i="81"/>
  <c r="E233" i="81"/>
  <c r="T81" i="81"/>
  <c r="T22" i="81" s="1"/>
  <c r="AB252" i="81"/>
  <c r="X164" i="81"/>
  <c r="O299" i="81"/>
  <c r="S100" i="48"/>
  <c r="I43" i="98"/>
  <c r="G24" i="98"/>
  <c r="I41" i="98"/>
  <c r="S71" i="98"/>
  <c r="L139" i="98"/>
  <c r="E10" i="98"/>
  <c r="J25" i="98"/>
  <c r="O43" i="98"/>
  <c r="L42" i="98"/>
  <c r="R27" i="98"/>
  <c r="R50" i="98"/>
  <c r="H58" i="98"/>
  <c r="D18" i="98"/>
  <c r="Q29" i="98"/>
  <c r="C45" i="98"/>
  <c r="J84" i="98"/>
  <c r="G140" i="98"/>
  <c r="E178" i="98"/>
  <c r="G172" i="98"/>
  <c r="I166" i="98"/>
  <c r="N182" i="98"/>
  <c r="H172" i="98"/>
  <c r="O165" i="98"/>
  <c r="I159" i="98"/>
  <c r="K153" i="98"/>
  <c r="M144" i="98"/>
  <c r="O138" i="98"/>
  <c r="Q132" i="98"/>
  <c r="S126" i="98"/>
  <c r="S178" i="98"/>
  <c r="F172" i="98"/>
  <c r="N165" i="98"/>
  <c r="H159" i="98"/>
  <c r="J153" i="98"/>
  <c r="L144" i="98"/>
  <c r="N138" i="98"/>
  <c r="P132" i="98"/>
  <c r="R126" i="98"/>
  <c r="C118" i="98"/>
  <c r="P172" i="98"/>
  <c r="G166" i="98"/>
  <c r="Q159" i="98"/>
  <c r="S153" i="98"/>
  <c r="D145" i="98"/>
  <c r="F139" i="98"/>
  <c r="H133" i="98"/>
  <c r="J127" i="98"/>
  <c r="L118" i="98"/>
  <c r="I173" i="98"/>
  <c r="Q166" i="98"/>
  <c r="I160" i="98"/>
  <c r="K154" i="98"/>
  <c r="M145" i="98"/>
  <c r="O139" i="98"/>
  <c r="Q133" i="98"/>
  <c r="H176" i="98"/>
  <c r="P169" i="98"/>
  <c r="G163" i="98"/>
  <c r="E157" i="98"/>
  <c r="G148" i="98"/>
  <c r="I142" i="98"/>
  <c r="K136" i="98"/>
  <c r="M130" i="98"/>
  <c r="O124" i="98"/>
  <c r="Q115" i="98"/>
  <c r="S109" i="98"/>
  <c r="D104" i="98"/>
  <c r="J176" i="98"/>
  <c r="H163" i="98"/>
  <c r="H148" i="98"/>
  <c r="L136" i="98"/>
  <c r="L125" i="98"/>
  <c r="K114" i="98"/>
  <c r="S107" i="98"/>
  <c r="J101" i="98"/>
  <c r="H95" i="98"/>
  <c r="J86" i="98"/>
  <c r="L80" i="98"/>
  <c r="N74" i="98"/>
  <c r="P68" i="98"/>
  <c r="R59" i="98"/>
  <c r="C54" i="98"/>
  <c r="E48" i="98"/>
  <c r="C171" i="98"/>
  <c r="G158" i="98"/>
  <c r="K143" i="98"/>
  <c r="O131" i="98"/>
  <c r="K118" i="98"/>
  <c r="Q111" i="98"/>
  <c r="H105" i="98"/>
  <c r="P98" i="98"/>
  <c r="R89" i="98"/>
  <c r="C84" i="98"/>
  <c r="E78" i="98"/>
  <c r="G72" i="98"/>
  <c r="I66" i="98"/>
  <c r="K57" i="98"/>
  <c r="M51" i="98"/>
  <c r="O45" i="98"/>
  <c r="P166" i="98"/>
  <c r="J154" i="98"/>
  <c r="N139" i="98"/>
  <c r="I128" i="98"/>
  <c r="H116" i="98"/>
  <c r="P109" i="98"/>
  <c r="G103" i="98"/>
  <c r="S96" i="98"/>
  <c r="D88" i="98"/>
  <c r="F82" i="98"/>
  <c r="H76" i="98"/>
  <c r="J70" i="98"/>
  <c r="L61" i="98"/>
  <c r="N55" i="98"/>
  <c r="P49" i="98"/>
  <c r="R175" i="98"/>
  <c r="P162" i="98"/>
  <c r="Q147" i="98"/>
  <c r="D136" i="98"/>
  <c r="I125" i="98"/>
  <c r="H114" i="98"/>
  <c r="P107" i="98"/>
  <c r="G101" i="98"/>
  <c r="E95" i="98"/>
  <c r="G86" i="98"/>
  <c r="I80" i="98"/>
  <c r="K74" i="98"/>
  <c r="M68" i="98"/>
  <c r="O59" i="98"/>
  <c r="Q175" i="98"/>
  <c r="O162" i="98"/>
  <c r="E173" i="98"/>
  <c r="E160" i="98"/>
  <c r="C170" i="98"/>
  <c r="H157" i="98"/>
  <c r="L142" i="98"/>
  <c r="P130" i="98"/>
  <c r="R117" i="98"/>
  <c r="I111" i="98"/>
  <c r="Q104" i="98"/>
  <c r="I98" i="98"/>
  <c r="K89" i="98"/>
  <c r="M83" i="98"/>
  <c r="O77" i="98"/>
  <c r="Q71" i="98"/>
  <c r="S62" i="98"/>
  <c r="D57" i="98"/>
  <c r="F51" i="98"/>
  <c r="H45" i="98"/>
  <c r="R148" i="98"/>
  <c r="D126" i="98"/>
  <c r="H108" i="98"/>
  <c r="M95" i="98"/>
  <c r="Q80" i="98"/>
  <c r="D69" i="98"/>
  <c r="J54" i="98"/>
  <c r="S44" i="98"/>
  <c r="S38" i="98"/>
  <c r="D30" i="98"/>
  <c r="F24" i="98"/>
  <c r="H18" i="98"/>
  <c r="J12" i="98"/>
  <c r="D169" i="98"/>
  <c r="C137" i="98"/>
  <c r="P114" i="98"/>
  <c r="N101" i="98"/>
  <c r="N86" i="98"/>
  <c r="R74" i="98"/>
  <c r="E60" i="98"/>
  <c r="L49" i="98"/>
  <c r="Q41" i="98"/>
  <c r="S32" i="98"/>
  <c r="D27" i="98"/>
  <c r="F21" i="98"/>
  <c r="H15" i="98"/>
  <c r="J9" i="98"/>
  <c r="K148" i="98"/>
  <c r="S125" i="98"/>
  <c r="E108" i="98"/>
  <c r="K95" i="98"/>
  <c r="O80" i="98"/>
  <c r="S68" i="98"/>
  <c r="H54" i="98"/>
  <c r="Q44" i="98"/>
  <c r="Q38" i="98"/>
  <c r="S29" i="98"/>
  <c r="D24" i="98"/>
  <c r="F18" i="98"/>
  <c r="H12" i="98"/>
  <c r="M168" i="98"/>
  <c r="M136" i="98"/>
  <c r="L114" i="98"/>
  <c r="K101" i="98"/>
  <c r="K86" i="98"/>
  <c r="O74" i="98"/>
  <c r="S59" i="98"/>
  <c r="I49" i="98"/>
  <c r="O41" i="98"/>
  <c r="Q32" i="98"/>
  <c r="S26" i="98"/>
  <c r="D21" i="98"/>
  <c r="F15" i="98"/>
  <c r="H9" i="98"/>
  <c r="P147" i="98"/>
  <c r="G125" i="98"/>
  <c r="O107" i="98"/>
  <c r="D95" i="98"/>
  <c r="H80" i="98"/>
  <c r="L68" i="98"/>
  <c r="F54" i="98"/>
  <c r="N44" i="98"/>
  <c r="H11" i="98"/>
  <c r="N42" i="98"/>
  <c r="I24" i="98"/>
  <c r="M8" i="98"/>
  <c r="K37" i="98"/>
  <c r="Q54" i="98"/>
  <c r="O83" i="98"/>
  <c r="H174" i="98"/>
  <c r="L21" i="98"/>
  <c r="Q39" i="98"/>
  <c r="E126" i="98"/>
  <c r="E12" i="98"/>
  <c r="C39" i="98"/>
  <c r="E80" i="98"/>
  <c r="S87" i="98"/>
  <c r="G19" i="98"/>
  <c r="C31" i="98"/>
  <c r="P47" i="98"/>
  <c r="I88" i="98"/>
  <c r="M147" i="98"/>
  <c r="L177" i="98"/>
  <c r="N171" i="98"/>
  <c r="P165" i="98"/>
  <c r="F178" i="98"/>
  <c r="M171" i="98"/>
  <c r="D165" i="98"/>
  <c r="P158" i="98"/>
  <c r="R149" i="98"/>
  <c r="C144" i="98"/>
  <c r="E138" i="98"/>
  <c r="G132" i="98"/>
  <c r="I126" i="98"/>
  <c r="D178" i="98"/>
  <c r="L171" i="98"/>
  <c r="C165" i="98"/>
  <c r="O158" i="98"/>
  <c r="Q149" i="98"/>
  <c r="S143" i="98"/>
  <c r="D138" i="98"/>
  <c r="F132" i="98"/>
  <c r="H126" i="98"/>
  <c r="R178" i="98"/>
  <c r="E172" i="98"/>
  <c r="M165" i="98"/>
  <c r="G159" i="98"/>
  <c r="I153" i="98"/>
  <c r="K144" i="98"/>
  <c r="M138" i="98"/>
  <c r="O132" i="98"/>
  <c r="Q126" i="98"/>
  <c r="S117" i="98"/>
  <c r="O172" i="98"/>
  <c r="F166" i="98"/>
  <c r="P159" i="98"/>
  <c r="R153" i="98"/>
  <c r="C145" i="98"/>
  <c r="E139" i="98"/>
  <c r="G133" i="98"/>
  <c r="N175" i="98"/>
  <c r="E169" i="98"/>
  <c r="M162" i="98"/>
  <c r="L156" i="98"/>
  <c r="N147" i="98"/>
  <c r="P141" i="98"/>
  <c r="R135" i="98"/>
  <c r="C130" i="98"/>
  <c r="E124" i="98"/>
  <c r="G115" i="98"/>
  <c r="I109" i="98"/>
  <c r="K103" i="98"/>
  <c r="D175" i="98"/>
  <c r="C162" i="98"/>
  <c r="E147" i="98"/>
  <c r="I135" i="98"/>
  <c r="N124" i="98"/>
  <c r="Q113" i="98"/>
  <c r="H107" i="98"/>
  <c r="P100" i="98"/>
  <c r="O91" i="98"/>
  <c r="R91" i="98"/>
  <c r="N95" i="98"/>
  <c r="F42" i="98"/>
  <c r="D73" i="98"/>
  <c r="Q84" i="98"/>
  <c r="N54" i="98"/>
  <c r="H81" i="98"/>
  <c r="R80" i="98"/>
  <c r="J31" i="98"/>
  <c r="N19" i="98"/>
  <c r="I108" i="98"/>
  <c r="S14" i="98"/>
  <c r="N8" i="98"/>
  <c r="P22" i="98"/>
  <c r="R39" i="98"/>
  <c r="M76" i="98"/>
  <c r="G161" i="98"/>
  <c r="P175" i="98"/>
  <c r="O168" i="98"/>
  <c r="N161" i="98"/>
  <c r="S170" i="98"/>
  <c r="E163" i="98"/>
  <c r="Q155" i="98"/>
  <c r="P145" i="98"/>
  <c r="L137" i="98"/>
  <c r="K130" i="98"/>
  <c r="J120" i="98"/>
  <c r="L173" i="98"/>
  <c r="I164" i="98"/>
  <c r="S156" i="98"/>
  <c r="R146" i="98"/>
  <c r="Q139" i="98"/>
  <c r="M131" i="98"/>
  <c r="L124" i="98"/>
  <c r="J175" i="98"/>
  <c r="M167" i="98"/>
  <c r="N158" i="98"/>
  <c r="M148" i="98"/>
  <c r="L141" i="98"/>
  <c r="K134" i="98"/>
  <c r="G126" i="98"/>
  <c r="H177" i="98"/>
  <c r="K169" i="98"/>
  <c r="M161" i="98"/>
  <c r="H153" i="98"/>
  <c r="G143" i="98"/>
  <c r="F136" i="98"/>
  <c r="N177" i="98"/>
  <c r="K168" i="98"/>
  <c r="N160" i="98"/>
  <c r="M153" i="98"/>
  <c r="L143" i="98"/>
  <c r="H135" i="98"/>
  <c r="G128" i="98"/>
  <c r="F118" i="98"/>
  <c r="E111" i="98"/>
  <c r="R102" i="98"/>
  <c r="F171" i="98"/>
  <c r="C156" i="98"/>
  <c r="R138" i="98"/>
  <c r="N120" i="98"/>
  <c r="R111" i="98"/>
  <c r="C104" i="98"/>
  <c r="K96" i="98"/>
  <c r="Q85" i="98"/>
  <c r="I79" i="98"/>
  <c r="R72" i="98"/>
  <c r="J66" i="98"/>
  <c r="S56" i="98"/>
  <c r="K50" i="98"/>
  <c r="S174" i="98"/>
  <c r="M160" i="98"/>
  <c r="N144" i="98"/>
  <c r="L130" i="98"/>
  <c r="D117" i="98"/>
  <c r="Q109" i="98"/>
  <c r="N102" i="98"/>
  <c r="Q95" i="98"/>
  <c r="I86" i="98"/>
  <c r="R79" i="98"/>
  <c r="J73" i="98"/>
  <c r="S66" i="98"/>
  <c r="R56" i="98"/>
  <c r="J50" i="98"/>
  <c r="S175" i="98"/>
  <c r="L161" i="98"/>
  <c r="L145" i="98"/>
  <c r="M132" i="98"/>
  <c r="J118" i="98"/>
  <c r="D111" i="98"/>
  <c r="R103" i="98"/>
  <c r="I96" i="98"/>
  <c r="R86" i="98"/>
  <c r="J80" i="98"/>
  <c r="S73" i="98"/>
  <c r="K67" i="98"/>
  <c r="C58" i="98"/>
  <c r="L51" i="98"/>
  <c r="N178" i="98"/>
  <c r="E164" i="98"/>
  <c r="N146" i="98"/>
  <c r="O133" i="98"/>
  <c r="J119" i="98"/>
  <c r="N111" i="98"/>
  <c r="K104" i="98"/>
  <c r="K97" i="98"/>
  <c r="C88" i="98"/>
  <c r="L81" i="98"/>
  <c r="D75" i="98"/>
  <c r="C68" i="98"/>
  <c r="L58" i="98"/>
  <c r="R171" i="98"/>
  <c r="Q157" i="98"/>
  <c r="M166" i="98"/>
  <c r="G175" i="98"/>
  <c r="Q160" i="98"/>
  <c r="R144" i="98"/>
  <c r="S131" i="98"/>
  <c r="G117" i="98"/>
  <c r="D110" i="98"/>
  <c r="Q102" i="98"/>
  <c r="C96" i="98"/>
  <c r="L86" i="98"/>
  <c r="D80" i="98"/>
  <c r="M73" i="98"/>
  <c r="E67" i="98"/>
  <c r="N57" i="98"/>
  <c r="M50" i="98"/>
  <c r="E44" i="98"/>
  <c r="Q141" i="98"/>
  <c r="E116" i="98"/>
  <c r="P101" i="98"/>
  <c r="L85" i="98"/>
  <c r="M72" i="98"/>
  <c r="N56" i="98"/>
  <c r="M45" i="98"/>
  <c r="I38" i="98"/>
  <c r="R28" i="98"/>
  <c r="J22" i="98"/>
  <c r="S15" i="98"/>
  <c r="K9" i="98"/>
  <c r="J146" i="98"/>
  <c r="C119" i="98"/>
  <c r="H104" i="98"/>
  <c r="Q87" i="98"/>
  <c r="O73" i="98"/>
  <c r="P57" i="98"/>
  <c r="M46" i="98"/>
  <c r="K39" i="98"/>
  <c r="C30" i="98"/>
  <c r="L23" i="98"/>
  <c r="D17" i="98"/>
  <c r="M10" i="98"/>
  <c r="Q153" i="98"/>
  <c r="Q120" i="98"/>
  <c r="L105" i="98"/>
  <c r="S88" i="98"/>
  <c r="C76" i="98"/>
  <c r="D60" i="98"/>
  <c r="J48" i="98"/>
  <c r="M40" i="98"/>
  <c r="E31" i="98"/>
  <c r="N24" i="98"/>
  <c r="M17" i="98"/>
  <c r="E11" i="98"/>
  <c r="D156" i="98"/>
  <c r="O127" i="98"/>
  <c r="C108" i="98"/>
  <c r="F91" i="98"/>
  <c r="G78" i="98"/>
  <c r="H62" i="98"/>
  <c r="G50" i="98"/>
  <c r="E41" i="98"/>
  <c r="N31" i="98"/>
  <c r="F25" i="98"/>
  <c r="O18" i="98"/>
  <c r="G12" i="98"/>
  <c r="L163" i="98"/>
  <c r="H131" i="98"/>
  <c r="H110" i="98"/>
  <c r="G96" i="98"/>
  <c r="E79" i="98"/>
  <c r="F66" i="98"/>
  <c r="G51" i="98"/>
  <c r="I163" i="98"/>
  <c r="M133" i="98"/>
  <c r="Q112" i="98"/>
  <c r="P99" i="98"/>
  <c r="S84" i="98"/>
  <c r="F73" i="98"/>
  <c r="J58" i="98"/>
  <c r="F48" i="98"/>
  <c r="F147" i="98"/>
  <c r="P124" i="98"/>
  <c r="I107" i="98"/>
  <c r="P91" i="98"/>
  <c r="C80" i="98"/>
  <c r="G68" i="98"/>
  <c r="O53" i="98"/>
  <c r="J44" i="98"/>
  <c r="K38" i="98"/>
  <c r="M29" i="98"/>
  <c r="O23" i="98"/>
  <c r="Q17" i="98"/>
  <c r="S11" i="98"/>
  <c r="N12" i="98"/>
  <c r="J24" i="98"/>
  <c r="F39" i="98"/>
  <c r="C66" i="98"/>
  <c r="R108" i="98"/>
  <c r="I10" i="98"/>
  <c r="E22" i="98"/>
  <c r="R33" i="98"/>
  <c r="L55" i="98"/>
  <c r="S100" i="98"/>
  <c r="K17" i="98"/>
  <c r="G29" i="98"/>
  <c r="C44" i="98"/>
  <c r="K82" i="98"/>
  <c r="Q135" i="98"/>
  <c r="J15" i="98"/>
  <c r="F27" i="98"/>
  <c r="S41" i="98"/>
  <c r="C75" i="98"/>
  <c r="C120" i="98"/>
  <c r="K8" i="98"/>
  <c r="G20" i="98"/>
  <c r="C32" i="98"/>
  <c r="S49" i="98"/>
  <c r="P90" i="98"/>
  <c r="I157" i="98"/>
  <c r="O9" i="98"/>
  <c r="K21" i="98"/>
  <c r="G33" i="98"/>
  <c r="N53" i="98"/>
  <c r="J98" i="98"/>
  <c r="I171" i="98"/>
  <c r="R61" i="98"/>
  <c r="S10" i="98"/>
  <c r="G10" i="98"/>
  <c r="O112" i="98"/>
  <c r="D96" i="98"/>
  <c r="N103" i="98"/>
  <c r="N38" i="98"/>
  <c r="O20" i="98"/>
  <c r="K117" i="98"/>
  <c r="S23" i="98"/>
  <c r="G42" i="98"/>
  <c r="F99" i="98"/>
  <c r="L178" i="98"/>
  <c r="Q172" i="98"/>
  <c r="C164" i="98"/>
  <c r="G174" i="98"/>
  <c r="J164" i="98"/>
  <c r="J156" i="98"/>
  <c r="F145" i="98"/>
  <c r="I136" i="98"/>
  <c r="O128" i="98"/>
  <c r="J177" i="98"/>
  <c r="S168" i="98"/>
  <c r="K160" i="98"/>
  <c r="N148" i="98"/>
  <c r="C141" i="98"/>
  <c r="I133" i="98"/>
  <c r="S120" i="98"/>
  <c r="E174" i="98"/>
  <c r="H164" i="98"/>
  <c r="H156" i="98"/>
  <c r="N145" i="98"/>
  <c r="Q136" i="98"/>
  <c r="F129" i="98"/>
  <c r="Q178" i="98"/>
  <c r="E170" i="98"/>
  <c r="S160" i="98"/>
  <c r="E149" i="98"/>
  <c r="K141" i="98"/>
  <c r="N132" i="98"/>
  <c r="D173" i="98"/>
  <c r="L164" i="98"/>
  <c r="I155" i="98"/>
  <c r="O144" i="98"/>
  <c r="D137" i="98"/>
  <c r="N127" i="98"/>
  <c r="C117" i="98"/>
  <c r="F108" i="98"/>
  <c r="L100" i="98"/>
  <c r="N164" i="98"/>
  <c r="M143" i="98"/>
  <c r="K128" i="98"/>
  <c r="F113" i="98"/>
  <c r="O104" i="98"/>
  <c r="R95" i="98"/>
  <c r="N84" i="98"/>
  <c r="M77" i="98"/>
  <c r="L70" i="98"/>
  <c r="K60" i="98"/>
  <c r="Q52" i="98"/>
  <c r="P45" i="98"/>
  <c r="F163" i="98"/>
  <c r="Q145" i="98"/>
  <c r="K129" i="98"/>
  <c r="O115" i="98"/>
  <c r="R107" i="98"/>
  <c r="D100" i="98"/>
  <c r="H89" i="98"/>
  <c r="G82" i="98"/>
  <c r="F75" i="98"/>
  <c r="E68" i="98"/>
  <c r="D58" i="98"/>
  <c r="Q49" i="98"/>
  <c r="H173" i="98"/>
  <c r="S157" i="98"/>
  <c r="Q140" i="98"/>
  <c r="J126" i="98"/>
  <c r="O113" i="98"/>
  <c r="R105" i="98"/>
  <c r="E98" i="98"/>
  <c r="K87" i="98"/>
  <c r="Q79" i="98"/>
  <c r="P72" i="98"/>
  <c r="O62" i="98"/>
  <c r="D55" i="98"/>
  <c r="C48" i="98"/>
  <c r="I169" i="98"/>
  <c r="I154" i="98"/>
  <c r="G137" i="98"/>
  <c r="G120" i="98"/>
  <c r="C111" i="98"/>
  <c r="F103" i="98"/>
  <c r="O95" i="98"/>
  <c r="D85" i="98"/>
  <c r="C78" i="98"/>
  <c r="S70" i="98"/>
  <c r="R60" i="98"/>
  <c r="K174" i="98"/>
  <c r="C159" i="98"/>
  <c r="H165" i="98"/>
  <c r="M172" i="98"/>
  <c r="E156" i="98"/>
  <c r="C139" i="98"/>
  <c r="Q125" i="98"/>
  <c r="H113" i="98"/>
  <c r="K105" i="98"/>
  <c r="F97" i="98"/>
  <c r="E87" i="98"/>
  <c r="K79" i="98"/>
  <c r="J72" i="98"/>
  <c r="P61" i="98"/>
  <c r="O54" i="98"/>
  <c r="N47" i="98"/>
  <c r="G157" i="98"/>
  <c r="F124" i="98"/>
  <c r="I104" i="98"/>
  <c r="O86" i="98"/>
  <c r="J71" i="98"/>
  <c r="M53" i="98"/>
  <c r="D43" i="98"/>
  <c r="C33" i="98"/>
  <c r="S25" i="98"/>
  <c r="R18" i="98"/>
  <c r="G11" i="98"/>
  <c r="E154" i="98"/>
  <c r="D124" i="98"/>
  <c r="C103" i="98"/>
  <c r="H84" i="98"/>
  <c r="F70" i="98"/>
  <c r="K53" i="98"/>
  <c r="C43" i="98"/>
  <c r="I32" i="98"/>
  <c r="H25" i="98"/>
  <c r="G18" i="98"/>
  <c r="F11" i="98"/>
  <c r="E146" i="98"/>
  <c r="H117" i="98"/>
  <c r="M101" i="98"/>
  <c r="G84" i="98"/>
  <c r="E70" i="98"/>
  <c r="J52" i="98"/>
  <c r="I42" i="98"/>
  <c r="H32" i="98"/>
  <c r="G25" i="98"/>
  <c r="C17" i="98"/>
  <c r="S9" i="98"/>
  <c r="C146" i="98"/>
  <c r="F117" i="98"/>
  <c r="F100" i="98"/>
  <c r="S82" i="98"/>
  <c r="Q68" i="98"/>
  <c r="H52" i="98"/>
  <c r="H42" i="98"/>
  <c r="D31" i="98"/>
  <c r="C24" i="98"/>
  <c r="S16" i="98"/>
  <c r="R9" i="98"/>
  <c r="D143" i="98"/>
  <c r="L115" i="98"/>
  <c r="Q99" i="98"/>
  <c r="N82" i="98"/>
  <c r="I67" i="98"/>
  <c r="F50" i="98"/>
  <c r="J155" i="98"/>
  <c r="E127" i="98"/>
  <c r="N107" i="98"/>
  <c r="Q90" i="98"/>
  <c r="R77" i="98"/>
  <c r="S61" i="98"/>
  <c r="E50" i="98"/>
  <c r="L149" i="98"/>
  <c r="N119" i="98"/>
  <c r="P104" i="98"/>
  <c r="G88" i="98"/>
  <c r="H75" i="98"/>
  <c r="I59" i="98"/>
  <c r="Q47" i="98"/>
  <c r="G40" i="98"/>
  <c r="P30" i="98"/>
  <c r="H24" i="98"/>
  <c r="G17" i="98"/>
  <c r="P10" i="98"/>
  <c r="F16" i="98"/>
  <c r="E29" i="98"/>
  <c r="G45" i="98"/>
  <c r="L89" i="98"/>
  <c r="C166" i="98"/>
  <c r="P19" i="98"/>
  <c r="O32" i="98"/>
  <c r="K59" i="98"/>
  <c r="N109" i="98"/>
  <c r="G9" i="98"/>
  <c r="F22" i="98"/>
  <c r="E38" i="98"/>
  <c r="P66" i="98"/>
  <c r="E114" i="98"/>
  <c r="D13" i="98"/>
  <c r="C26" i="98"/>
  <c r="E43" i="98"/>
  <c r="L82" i="98"/>
  <c r="S144" i="98"/>
  <c r="F13" i="98"/>
  <c r="E26" i="98"/>
  <c r="D42" i="98"/>
  <c r="C79" i="98"/>
  <c r="R137" i="98"/>
  <c r="L8" i="98"/>
  <c r="N22" i="98"/>
  <c r="M38" i="98"/>
  <c r="S67" i="98"/>
  <c r="J115" i="98"/>
  <c r="E95" i="1"/>
  <c r="U305" i="28"/>
  <c r="O183" i="96"/>
  <c r="Q150" i="14"/>
  <c r="O133" i="96"/>
  <c r="E59" i="92"/>
  <c r="M143" i="99"/>
  <c r="E123" i="1"/>
  <c r="U410" i="81"/>
  <c r="Q158" i="27"/>
  <c r="U429" i="81"/>
  <c r="E120" i="1"/>
  <c r="E83" i="92"/>
  <c r="T289" i="28"/>
  <c r="E109" i="1"/>
  <c r="O170" i="96"/>
  <c r="U219" i="39"/>
  <c r="U435" i="81"/>
  <c r="T393" i="81"/>
  <c r="O188" i="96"/>
  <c r="U218" i="39"/>
  <c r="U364" i="97"/>
  <c r="U413" i="81"/>
  <c r="U342" i="97"/>
  <c r="E92" i="92"/>
  <c r="E89" i="1"/>
  <c r="E91" i="1"/>
  <c r="E62" i="1"/>
  <c r="E94" i="92"/>
  <c r="U415" i="81"/>
  <c r="D167" i="13"/>
  <c r="E198" i="13"/>
  <c r="R164" i="13"/>
  <c r="F221" i="13"/>
  <c r="H238" i="13"/>
  <c r="U65" i="13"/>
  <c r="Y46" i="13"/>
  <c r="Q187" i="13"/>
  <c r="Q69" i="13"/>
  <c r="Q201" i="13"/>
  <c r="G75" i="13"/>
  <c r="L216" i="13"/>
  <c r="I84" i="13"/>
  <c r="M47" i="13"/>
  <c r="K244" i="13"/>
  <c r="L17" i="13"/>
  <c r="U41" i="13"/>
  <c r="S39" i="13"/>
  <c r="I187" i="13"/>
  <c r="H63" i="13"/>
  <c r="H235" i="13"/>
  <c r="J33" i="13"/>
  <c r="Q96" i="13"/>
  <c r="M225" i="13"/>
  <c r="AB230" i="13"/>
  <c r="E78" i="13"/>
  <c r="J141" i="13"/>
  <c r="S244" i="13"/>
  <c r="AC234" i="13"/>
  <c r="V213" i="13"/>
  <c r="J64" i="13"/>
  <c r="M87" i="13"/>
  <c r="F41" i="13"/>
  <c r="AA135" i="13"/>
  <c r="AA55" i="13"/>
  <c r="J174" i="13"/>
  <c r="Z20" i="13"/>
  <c r="K69" i="13"/>
  <c r="M69" i="13"/>
  <c r="D24" i="13"/>
  <c r="AA198" i="13"/>
  <c r="G118" i="13"/>
  <c r="O159" i="13"/>
  <c r="T214" i="13"/>
  <c r="G196" i="13"/>
  <c r="L238" i="13"/>
  <c r="W67" i="13"/>
  <c r="Z184" i="13"/>
  <c r="V244" i="13"/>
  <c r="U114" i="13"/>
  <c r="K34" i="13"/>
  <c r="E19" i="13"/>
  <c r="AB119" i="13"/>
  <c r="M161" i="13"/>
  <c r="S15" i="13"/>
  <c r="M100" i="13"/>
  <c r="N52" i="13"/>
  <c r="F194" i="13"/>
  <c r="K144" i="13"/>
  <c r="J180" i="13"/>
  <c r="V179" i="13"/>
  <c r="F31" i="13"/>
  <c r="F92" i="13"/>
  <c r="AB134" i="13"/>
  <c r="F192" i="13"/>
  <c r="AB30" i="13"/>
  <c r="O152" i="13"/>
  <c r="G37" i="13"/>
  <c r="M174" i="13"/>
  <c r="X137" i="13"/>
  <c r="N70" i="13"/>
  <c r="T177" i="13"/>
  <c r="AB22" i="13"/>
  <c r="C147" i="13"/>
  <c r="AA146" i="13"/>
  <c r="X231" i="13"/>
  <c r="Q56" i="13"/>
  <c r="G218" i="13"/>
  <c r="AA201" i="13"/>
  <c r="W93" i="13"/>
  <c r="X135" i="13"/>
  <c r="P47" i="13"/>
  <c r="I55" i="13"/>
  <c r="C158" i="13"/>
  <c r="AC135" i="13"/>
  <c r="Z188" i="13"/>
  <c r="V29" i="13"/>
  <c r="S60" i="13"/>
  <c r="P64" i="13"/>
  <c r="F238" i="13"/>
  <c r="AC205" i="13"/>
  <c r="Y227" i="13"/>
  <c r="K228" i="13"/>
  <c r="D235" i="13"/>
  <c r="Y205" i="13"/>
  <c r="U236" i="13"/>
  <c r="V135" i="13"/>
  <c r="L83" i="13"/>
  <c r="R238" i="13"/>
  <c r="V96" i="13"/>
  <c r="Y55" i="13"/>
  <c r="R104" i="13"/>
  <c r="K77" i="13"/>
  <c r="M158" i="13"/>
  <c r="U91" i="13"/>
  <c r="X31" i="13"/>
  <c r="AB194" i="13"/>
  <c r="X96" i="13"/>
  <c r="T23" i="13"/>
  <c r="C67" i="13"/>
  <c r="L206" i="13"/>
  <c r="K59" i="13"/>
  <c r="N151" i="13"/>
  <c r="V204" i="13"/>
  <c r="E145" i="13"/>
  <c r="U81" i="13"/>
  <c r="E164" i="13"/>
  <c r="AC125" i="13"/>
  <c r="H45" i="13"/>
  <c r="V91" i="13"/>
  <c r="AA193" i="13"/>
  <c r="F182" i="13"/>
  <c r="N17" i="13"/>
  <c r="X62" i="13"/>
  <c r="N55" i="13"/>
  <c r="U52" i="13"/>
  <c r="F143" i="13"/>
  <c r="I232" i="13"/>
  <c r="S32" i="13"/>
  <c r="J44" i="13"/>
  <c r="O234" i="13"/>
  <c r="H205" i="13"/>
  <c r="Z229" i="13"/>
  <c r="U165" i="13"/>
  <c r="O33" i="13"/>
  <c r="AC226" i="13"/>
  <c r="H26" i="13"/>
  <c r="L227" i="13"/>
  <c r="AC232" i="13"/>
  <c r="P12" i="13"/>
  <c r="X11" i="13"/>
  <c r="Y194" i="13"/>
  <c r="G240" i="13"/>
  <c r="L176" i="13"/>
  <c r="I139" i="13"/>
  <c r="AA171" i="13"/>
  <c r="L94" i="13"/>
  <c r="Y31" i="13"/>
  <c r="G53" i="13"/>
  <c r="D137" i="13"/>
  <c r="S198" i="13"/>
  <c r="P199" i="13"/>
  <c r="X156" i="13"/>
  <c r="W28" i="13"/>
  <c r="Z203" i="13"/>
  <c r="K109" i="13"/>
  <c r="W163" i="13"/>
  <c r="AC107" i="13"/>
  <c r="M187" i="13"/>
  <c r="AA40" i="13"/>
  <c r="P150" i="13"/>
  <c r="R136" i="13"/>
  <c r="AC165" i="13"/>
  <c r="T205" i="13"/>
  <c r="E100" i="13"/>
  <c r="H217" i="13"/>
  <c r="G11" i="13"/>
  <c r="F34" i="13"/>
  <c r="H25" i="13"/>
  <c r="AB12" i="13"/>
  <c r="H56" i="13"/>
  <c r="X98" i="13"/>
  <c r="Z235" i="13"/>
  <c r="S193" i="13"/>
  <c r="G47" i="13"/>
  <c r="K113" i="13"/>
  <c r="Q65" i="13"/>
  <c r="M103" i="13"/>
  <c r="Z166" i="13"/>
  <c r="O136" i="13"/>
  <c r="N95" i="13"/>
  <c r="P233" i="13"/>
  <c r="O101" i="13"/>
  <c r="O127" i="13"/>
  <c r="O157" i="13"/>
  <c r="Z185" i="13"/>
  <c r="M202" i="13"/>
  <c r="S233" i="13"/>
  <c r="Y83" i="13"/>
  <c r="S151" i="13"/>
  <c r="Q46" i="13"/>
  <c r="Y41" i="13"/>
  <c r="H85" i="13"/>
  <c r="D217" i="13"/>
  <c r="O166" i="13"/>
  <c r="K54" i="13"/>
  <c r="AA162" i="13"/>
  <c r="E162" i="13"/>
  <c r="F57" i="13"/>
  <c r="N67" i="13"/>
  <c r="E223" i="13"/>
  <c r="D14" i="13"/>
  <c r="L221" i="13"/>
  <c r="W143" i="13"/>
  <c r="U245" i="13"/>
  <c r="I132" i="13"/>
  <c r="R110" i="13"/>
  <c r="F136" i="13"/>
  <c r="C87" i="13"/>
  <c r="W193" i="13"/>
  <c r="K56" i="13"/>
  <c r="X99" i="13"/>
  <c r="L202" i="13"/>
  <c r="K217" i="13"/>
  <c r="L86" i="13"/>
  <c r="D230" i="13"/>
  <c r="V241" i="13"/>
  <c r="O222" i="13"/>
  <c r="N91" i="13"/>
  <c r="O53" i="13"/>
  <c r="X16" i="13"/>
  <c r="T26" i="13"/>
  <c r="P196" i="13"/>
  <c r="S145" i="13"/>
  <c r="L118" i="13"/>
  <c r="H35" i="13"/>
  <c r="P121" i="13"/>
  <c r="AA190" i="13"/>
  <c r="F29" i="13"/>
  <c r="G23" i="13"/>
  <c r="AC151" i="13"/>
  <c r="N63" i="13"/>
  <c r="H159" i="13"/>
  <c r="AB102" i="13"/>
  <c r="C63" i="13"/>
  <c r="Z91" i="13"/>
  <c r="H189" i="13"/>
  <c r="T76" i="13"/>
  <c r="G223" i="13"/>
  <c r="K135" i="13"/>
  <c r="T73" i="13"/>
  <c r="U44" i="13"/>
  <c r="Q190" i="13"/>
  <c r="Z116" i="13"/>
  <c r="F215" i="13"/>
  <c r="J133" i="13"/>
  <c r="U137" i="13"/>
  <c r="E118" i="13"/>
  <c r="M92" i="13"/>
  <c r="D182" i="13"/>
  <c r="J78" i="13"/>
  <c r="L39" i="13"/>
  <c r="N75" i="13"/>
  <c r="AB98" i="13"/>
  <c r="Y203" i="13"/>
  <c r="E103" i="13"/>
  <c r="H15" i="13"/>
  <c r="K62" i="13"/>
  <c r="AA223" i="13"/>
  <c r="T35" i="13"/>
  <c r="AA185" i="13"/>
  <c r="Q228" i="13"/>
  <c r="J58" i="13"/>
  <c r="Q213" i="13"/>
  <c r="N107" i="13"/>
  <c r="AC47" i="13"/>
  <c r="S186" i="13"/>
  <c r="F40" i="13"/>
  <c r="AA78" i="13"/>
  <c r="M189" i="13"/>
  <c r="S235" i="13"/>
  <c r="E121" i="13"/>
  <c r="AC215" i="13"/>
  <c r="S62" i="13"/>
  <c r="AA140" i="13"/>
  <c r="Z240" i="13"/>
  <c r="Y193" i="13"/>
  <c r="O142" i="13"/>
  <c r="Z112" i="13"/>
  <c r="X41" i="13"/>
  <c r="Y219" i="13"/>
  <c r="K22" i="13"/>
  <c r="V127" i="13"/>
  <c r="U172" i="13"/>
  <c r="L100" i="13"/>
  <c r="C107" i="13"/>
  <c r="R172" i="13"/>
  <c r="V28" i="13"/>
  <c r="K204" i="13"/>
  <c r="C115" i="13"/>
  <c r="K246" i="13"/>
  <c r="I16" i="13"/>
  <c r="U12" i="13"/>
  <c r="C95" i="13"/>
  <c r="M185" i="13"/>
  <c r="S109" i="13"/>
  <c r="W218" i="13"/>
  <c r="H211" i="13"/>
  <c r="J203" i="13"/>
  <c r="AA184" i="13"/>
  <c r="F162" i="13"/>
  <c r="C188" i="13"/>
  <c r="S189" i="13"/>
  <c r="O237" i="13"/>
  <c r="R197" i="13"/>
  <c r="K172" i="13"/>
  <c r="M115" i="13"/>
  <c r="AC42" i="13"/>
  <c r="I140" i="13"/>
  <c r="AB39" i="13"/>
  <c r="N156" i="13"/>
  <c r="C186" i="13"/>
  <c r="T70" i="13"/>
  <c r="V56" i="13"/>
  <c r="Y211" i="13"/>
  <c r="AC120" i="13"/>
  <c r="V149" i="13"/>
  <c r="I238" i="13"/>
  <c r="AB196" i="13"/>
  <c r="C17" i="13"/>
  <c r="AC75" i="13"/>
  <c r="AA204" i="13"/>
  <c r="H218" i="13"/>
  <c r="I75" i="13"/>
  <c r="Y47" i="13"/>
  <c r="D191" i="13"/>
  <c r="M181" i="13"/>
  <c r="D119" i="13"/>
  <c r="AC236" i="13"/>
  <c r="AB38" i="13"/>
  <c r="Q31" i="13"/>
  <c r="G22" i="13"/>
  <c r="AB143" i="13"/>
  <c r="E238" i="13"/>
  <c r="I185" i="13"/>
  <c r="Z98" i="13"/>
  <c r="C86" i="13"/>
  <c r="J86" i="13"/>
  <c r="T165" i="13"/>
  <c r="Z187" i="13"/>
  <c r="K106" i="13"/>
  <c r="X115" i="13"/>
  <c r="D32" i="13"/>
  <c r="AB57" i="13"/>
  <c r="E140" i="13"/>
  <c r="H124" i="13"/>
  <c r="F166" i="13"/>
  <c r="T144" i="13"/>
  <c r="L139" i="13"/>
  <c r="M98" i="13"/>
  <c r="X20" i="13"/>
  <c r="E109" i="13"/>
  <c r="U118" i="13"/>
  <c r="P224" i="13"/>
  <c r="O181" i="13"/>
  <c r="D152" i="13"/>
  <c r="AB237" i="13"/>
  <c r="AA15" i="13"/>
  <c r="L174" i="13"/>
  <c r="R43" i="13"/>
  <c r="T77" i="13"/>
  <c r="C174" i="13"/>
  <c r="R15" i="13"/>
  <c r="R126" i="13"/>
  <c r="T20" i="13"/>
  <c r="I150" i="13"/>
  <c r="AA85" i="13"/>
  <c r="P84" i="13"/>
  <c r="AC27" i="13"/>
  <c r="H111" i="13"/>
  <c r="D37" i="13"/>
  <c r="Y246" i="13"/>
  <c r="O220" i="13"/>
  <c r="E108" i="13"/>
  <c r="O230" i="13"/>
  <c r="AB244" i="13"/>
  <c r="AB214" i="13"/>
  <c r="Z167" i="13"/>
  <c r="H99" i="13"/>
  <c r="L151" i="13"/>
  <c r="U119" i="13"/>
  <c r="Z60" i="13"/>
  <c r="E147" i="13"/>
  <c r="L215" i="13"/>
  <c r="K148" i="13"/>
  <c r="X35" i="13"/>
  <c r="S133" i="13"/>
  <c r="H103" i="13"/>
  <c r="H28" i="13"/>
  <c r="U61" i="13"/>
  <c r="L105" i="13"/>
  <c r="AA234" i="13"/>
  <c r="AB53" i="13"/>
  <c r="AC93" i="13"/>
  <c r="G195" i="13"/>
  <c r="L24" i="13"/>
  <c r="U43" i="13"/>
  <c r="L115" i="13"/>
  <c r="D109" i="13"/>
  <c r="Q111" i="13"/>
  <c r="N93" i="13"/>
  <c r="G133" i="13"/>
  <c r="O17" i="13"/>
  <c r="Y35" i="13"/>
  <c r="Q159" i="13"/>
  <c r="S11" i="13"/>
  <c r="O225" i="13"/>
  <c r="G94" i="13"/>
  <c r="Y34" i="13"/>
  <c r="M93" i="13"/>
  <c r="S102" i="13"/>
  <c r="F47" i="13"/>
  <c r="O43" i="13"/>
  <c r="Y143" i="13"/>
  <c r="E137" i="13"/>
  <c r="K73" i="13"/>
  <c r="Y178" i="13"/>
  <c r="S23" i="13"/>
  <c r="F180" i="13"/>
  <c r="V117" i="13"/>
  <c r="AB60" i="13"/>
  <c r="E132" i="13"/>
  <c r="AC99" i="13"/>
  <c r="N139" i="13"/>
  <c r="X194" i="13"/>
  <c r="L203" i="13"/>
  <c r="L164" i="13"/>
  <c r="T247" i="13"/>
  <c r="Z120" i="13"/>
  <c r="D243" i="13"/>
  <c r="T87" i="13"/>
  <c r="C143" i="13"/>
  <c r="X146" i="13"/>
  <c r="W71" i="13"/>
  <c r="R189" i="13"/>
  <c r="Z125" i="13"/>
  <c r="K141" i="13"/>
  <c r="Q188" i="13"/>
  <c r="AA156" i="13"/>
  <c r="AC29" i="13"/>
  <c r="H95" i="13"/>
  <c r="J45" i="13"/>
  <c r="AB23" i="13"/>
  <c r="N206" i="13"/>
  <c r="C77" i="13"/>
  <c r="F124" i="13"/>
  <c r="AB198" i="13"/>
  <c r="AC213" i="13"/>
  <c r="C68" i="13"/>
  <c r="P172" i="13"/>
  <c r="L181" i="13"/>
  <c r="N85" i="13"/>
  <c r="Y40" i="13"/>
  <c r="L59" i="13"/>
  <c r="R105" i="13"/>
  <c r="H80" i="13"/>
  <c r="P86" i="13"/>
  <c r="N38" i="13"/>
  <c r="T154" i="13"/>
  <c r="S164" i="13"/>
  <c r="I27" i="13"/>
  <c r="AB120" i="13"/>
  <c r="AC188" i="13"/>
  <c r="F78" i="13"/>
  <c r="M105" i="13"/>
  <c r="AC40" i="13"/>
  <c r="P87" i="13"/>
  <c r="K226" i="13"/>
  <c r="V100" i="13"/>
  <c r="N123" i="13"/>
  <c r="Z23" i="13"/>
  <c r="R188" i="13"/>
  <c r="G183" i="13"/>
  <c r="P44" i="13"/>
  <c r="P194" i="13"/>
  <c r="AB109" i="13"/>
  <c r="S131" i="13"/>
  <c r="G12" i="13"/>
  <c r="K61" i="13"/>
  <c r="H112" i="13"/>
  <c r="F137" i="13"/>
  <c r="C91" i="13"/>
  <c r="T42" i="13"/>
  <c r="R81" i="13"/>
  <c r="V245" i="13"/>
  <c r="O55" i="13"/>
  <c r="I23" i="13"/>
  <c r="F62" i="13"/>
  <c r="AB235" i="13"/>
  <c r="C83" i="13"/>
  <c r="D59" i="13"/>
  <c r="R146" i="13"/>
  <c r="W108" i="13"/>
  <c r="Y59" i="13"/>
  <c r="J42" i="13"/>
  <c r="M21" i="13"/>
  <c r="D23" i="13"/>
  <c r="S196" i="13"/>
  <c r="Y51" i="13"/>
  <c r="P203" i="13"/>
  <c r="AC180" i="13"/>
  <c r="Y39" i="13"/>
  <c r="U87" i="13"/>
  <c r="F11" i="13"/>
  <c r="F176" i="13"/>
  <c r="L22" i="13"/>
  <c r="V193" i="13"/>
  <c r="D33" i="13"/>
  <c r="P79" i="13"/>
  <c r="K143" i="13"/>
  <c r="X157" i="13"/>
  <c r="L126" i="13"/>
  <c r="AA244" i="13"/>
  <c r="R72" i="13"/>
  <c r="L35" i="13"/>
  <c r="V26" i="13"/>
  <c r="U190" i="13"/>
  <c r="C22" i="13"/>
  <c r="F18" i="13"/>
  <c r="Z78" i="13"/>
  <c r="L25" i="13"/>
  <c r="P60" i="13"/>
  <c r="G147" i="13"/>
  <c r="S166" i="13"/>
  <c r="E65" i="13"/>
  <c r="M19" i="13"/>
  <c r="X152" i="13"/>
  <c r="K234" i="13"/>
  <c r="N98" i="13"/>
  <c r="T64" i="13"/>
  <c r="E45" i="13"/>
  <c r="T180" i="13"/>
  <c r="U46" i="13"/>
  <c r="AB83" i="13"/>
  <c r="Y244" i="13"/>
  <c r="AB242" i="13"/>
  <c r="K57" i="13"/>
  <c r="Q193" i="13"/>
  <c r="Y103" i="13"/>
  <c r="P101" i="13"/>
  <c r="O28" i="13"/>
  <c r="K110" i="13"/>
  <c r="AC192" i="13"/>
  <c r="H64" i="13"/>
  <c r="P138" i="13"/>
  <c r="V109" i="13"/>
  <c r="D104" i="13"/>
  <c r="AA22" i="13"/>
  <c r="G124" i="13"/>
  <c r="U21" i="13"/>
  <c r="O79" i="13"/>
  <c r="Z159" i="13"/>
  <c r="U117" i="13"/>
  <c r="C69" i="13"/>
  <c r="I135" i="13"/>
  <c r="P123" i="13"/>
  <c r="AB193" i="13"/>
  <c r="I181" i="13"/>
  <c r="Y23" i="13"/>
  <c r="H114" i="13"/>
  <c r="F116" i="13"/>
  <c r="Q217" i="13"/>
  <c r="Z97" i="13"/>
  <c r="H115" i="13"/>
  <c r="J198" i="13"/>
  <c r="S28" i="13"/>
  <c r="S179" i="13"/>
  <c r="T95" i="13"/>
  <c r="M96" i="13"/>
  <c r="Z12" i="13"/>
  <c r="U35" i="13"/>
  <c r="D124" i="13"/>
  <c r="P34" i="13"/>
  <c r="AA81" i="13"/>
  <c r="S17" i="13"/>
  <c r="N207" i="13"/>
  <c r="V222" i="13"/>
  <c r="Z195" i="13"/>
  <c r="U34" i="13"/>
  <c r="Y74" i="13"/>
  <c r="AC166" i="13"/>
  <c r="N44" i="13"/>
  <c r="V164" i="13"/>
  <c r="H37" i="13"/>
  <c r="D158" i="13"/>
  <c r="L237" i="13"/>
  <c r="T224" i="13"/>
  <c r="X206" i="13"/>
  <c r="Q122" i="13"/>
  <c r="Y24" i="13"/>
  <c r="AC190" i="13"/>
  <c r="D180" i="13"/>
  <c r="F95" i="13"/>
  <c r="Q207" i="13"/>
  <c r="Y32" i="13"/>
  <c r="T98" i="13"/>
  <c r="X151" i="13"/>
  <c r="I81" i="13"/>
  <c r="W22" i="13"/>
  <c r="AC218" i="13"/>
  <c r="R115" i="13"/>
  <c r="N178" i="13"/>
  <c r="AC138" i="13"/>
  <c r="I106" i="13"/>
  <c r="X21" i="13"/>
  <c r="L135" i="13"/>
  <c r="O213" i="13"/>
  <c r="H142" i="13"/>
  <c r="R237" i="13"/>
  <c r="R119" i="13"/>
  <c r="F25" i="13"/>
  <c r="N230" i="13"/>
  <c r="X186" i="13"/>
  <c r="O173" i="13"/>
  <c r="Z237" i="13"/>
  <c r="G155" i="13"/>
  <c r="V140" i="13"/>
  <c r="X173" i="13"/>
  <c r="N132" i="13"/>
  <c r="V211" i="13"/>
  <c r="L160" i="13"/>
  <c r="N240" i="13"/>
  <c r="H30" i="13"/>
  <c r="K19" i="13"/>
  <c r="AB220" i="13"/>
  <c r="X124" i="13"/>
  <c r="J40" i="13"/>
  <c r="Z83" i="13"/>
  <c r="AA213" i="13"/>
  <c r="P92" i="13"/>
  <c r="O179" i="13"/>
  <c r="Y171" i="13"/>
  <c r="AC222" i="13"/>
  <c r="E28" i="13"/>
  <c r="T228" i="13"/>
  <c r="AB85" i="13"/>
  <c r="Q223" i="13"/>
  <c r="C79" i="13"/>
  <c r="N194" i="13"/>
  <c r="M53" i="13"/>
  <c r="D242" i="13"/>
  <c r="Z231" i="13"/>
  <c r="G161" i="13"/>
  <c r="AB164" i="13"/>
  <c r="K186" i="13"/>
  <c r="M12" i="13"/>
  <c r="P244" i="13"/>
  <c r="J77" i="13"/>
  <c r="E190" i="13"/>
  <c r="Z79" i="13"/>
  <c r="O110" i="13"/>
  <c r="AA101" i="13"/>
  <c r="W172" i="13"/>
  <c r="AA14" i="13"/>
  <c r="M61" i="13"/>
  <c r="Y160" i="13"/>
  <c r="R201" i="13"/>
  <c r="H246" i="13"/>
  <c r="J38" i="13"/>
  <c r="M101" i="13"/>
  <c r="K40" i="13"/>
  <c r="T92" i="13"/>
  <c r="X15" i="13"/>
  <c r="W167" i="13"/>
  <c r="T86" i="13"/>
  <c r="H241" i="13"/>
  <c r="K95" i="13"/>
  <c r="AB86" i="13"/>
  <c r="H198" i="13"/>
  <c r="F58" i="13"/>
  <c r="AA67" i="13"/>
  <c r="AB112" i="13"/>
  <c r="G57" i="13"/>
  <c r="P26" i="13"/>
  <c r="AB160" i="13"/>
  <c r="Y101" i="13"/>
  <c r="O144" i="13"/>
  <c r="W246" i="13"/>
  <c r="L92" i="13"/>
  <c r="W113" i="13"/>
  <c r="AB64" i="13"/>
  <c r="P143" i="13"/>
  <c r="Y93" i="13"/>
  <c r="L177" i="13"/>
  <c r="C207" i="13"/>
  <c r="C13" i="13"/>
  <c r="U212" i="13"/>
  <c r="M46" i="13"/>
  <c r="AC68" i="13"/>
  <c r="M224" i="13"/>
  <c r="O244" i="13"/>
  <c r="T61" i="13"/>
  <c r="D41" i="13"/>
  <c r="G31" i="13"/>
  <c r="N218" i="13"/>
  <c r="W154" i="13"/>
  <c r="Y43" i="13"/>
  <c r="X149" i="13"/>
  <c r="L66" i="13"/>
  <c r="H132" i="13"/>
  <c r="S218" i="13"/>
  <c r="M64" i="13"/>
  <c r="F154" i="13"/>
  <c r="Y16" i="13"/>
  <c r="P91" i="13"/>
  <c r="G36" i="13"/>
  <c r="K176" i="13"/>
  <c r="K198" i="13"/>
  <c r="U116" i="13"/>
  <c r="AC17" i="13"/>
  <c r="E173" i="13"/>
  <c r="AA231" i="13"/>
  <c r="P234" i="13"/>
  <c r="I240" i="13"/>
  <c r="W47" i="13"/>
  <c r="F85" i="13"/>
  <c r="L40" i="13"/>
  <c r="S225" i="13"/>
  <c r="AB118" i="13"/>
  <c r="M213" i="13"/>
  <c r="L200" i="13"/>
  <c r="AA70" i="13"/>
  <c r="Y117" i="13"/>
  <c r="M20" i="13"/>
  <c r="C167" i="13"/>
  <c r="E149" i="13"/>
  <c r="M62" i="13"/>
  <c r="R224" i="13"/>
  <c r="N60" i="13"/>
  <c r="D125" i="13"/>
  <c r="K16" i="13"/>
  <c r="F226" i="13"/>
  <c r="I219" i="13"/>
  <c r="W177" i="13"/>
  <c r="U180" i="13"/>
  <c r="W82" i="13"/>
  <c r="Z225" i="13"/>
  <c r="Y13" i="13"/>
  <c r="P74" i="13"/>
  <c r="V150" i="13"/>
  <c r="Q153" i="13"/>
  <c r="L30" i="13"/>
  <c r="W140" i="13"/>
  <c r="AB77" i="13"/>
  <c r="Q95" i="13"/>
  <c r="C110" i="13"/>
  <c r="M134" i="13"/>
  <c r="C111" i="13"/>
  <c r="P200" i="13"/>
  <c r="W126" i="13"/>
  <c r="I54" i="13"/>
  <c r="G33" i="13"/>
  <c r="AB171" i="13"/>
  <c r="P214" i="13"/>
  <c r="P57" i="13"/>
  <c r="F16" i="13"/>
  <c r="U237" i="13"/>
  <c r="C223" i="13"/>
  <c r="M38" i="13"/>
  <c r="E194" i="13"/>
  <c r="G140" i="13"/>
  <c r="D189" i="13"/>
  <c r="G78" i="13"/>
  <c r="O111" i="13"/>
  <c r="J231" i="13"/>
  <c r="N223" i="13"/>
  <c r="E227" i="13"/>
  <c r="C74" i="13"/>
  <c r="Q11" i="13"/>
  <c r="U143" i="13"/>
  <c r="I38" i="13"/>
  <c r="O151" i="13"/>
  <c r="V177" i="13"/>
  <c r="S24" i="13"/>
  <c r="M172" i="13"/>
  <c r="P67" i="13"/>
  <c r="X162" i="13"/>
  <c r="G73" i="13"/>
  <c r="AC242" i="13"/>
  <c r="X37" i="13"/>
  <c r="C97" i="13"/>
  <c r="K194" i="13"/>
  <c r="S95" i="13"/>
  <c r="O207" i="13"/>
  <c r="V223" i="13"/>
  <c r="O141" i="13"/>
  <c r="N146" i="13"/>
  <c r="H201" i="13"/>
  <c r="R31" i="13"/>
  <c r="C35" i="13"/>
  <c r="K26" i="13"/>
  <c r="N34" i="13"/>
  <c r="AA96" i="13"/>
  <c r="J181" i="13"/>
  <c r="P35" i="13"/>
  <c r="S192" i="13"/>
  <c r="N190" i="13"/>
  <c r="J70" i="13"/>
  <c r="S148" i="13"/>
  <c r="I117" i="13"/>
  <c r="N176" i="13"/>
  <c r="G171" i="13"/>
  <c r="AC189" i="13"/>
  <c r="W133" i="13"/>
  <c r="P83" i="13"/>
  <c r="U144" i="13"/>
  <c r="R185" i="13"/>
  <c r="E31" i="13"/>
  <c r="W217" i="13"/>
  <c r="J111" i="13"/>
  <c r="W13" i="13"/>
  <c r="J219" i="13"/>
  <c r="AB163" i="13"/>
  <c r="O183" i="13"/>
  <c r="J96" i="13"/>
  <c r="U42" i="13"/>
  <c r="AA91" i="13"/>
  <c r="M214" i="13"/>
  <c r="Q124" i="13"/>
  <c r="V219" i="13"/>
  <c r="G247" i="13"/>
  <c r="K39" i="13"/>
  <c r="P43" i="13"/>
  <c r="X180" i="13"/>
  <c r="M230" i="13"/>
  <c r="W54" i="13"/>
  <c r="K97" i="13"/>
  <c r="Y147" i="13"/>
  <c r="M235" i="13"/>
  <c r="Y176" i="13"/>
  <c r="Z67" i="13"/>
  <c r="C144" i="13"/>
  <c r="S227" i="13"/>
  <c r="E98" i="13"/>
  <c r="AC173" i="13"/>
  <c r="M162" i="13"/>
  <c r="F67" i="13"/>
  <c r="Q196" i="13"/>
  <c r="Z17" i="13"/>
  <c r="P100" i="13"/>
  <c r="K171" i="13"/>
  <c r="V60" i="13"/>
  <c r="W201" i="13"/>
  <c r="T159" i="13"/>
  <c r="J11" i="13"/>
  <c r="V224" i="13"/>
  <c r="I58" i="13"/>
  <c r="R231" i="13"/>
  <c r="R87" i="13"/>
  <c r="L158" i="13"/>
  <c r="Z133" i="13"/>
  <c r="O177" i="13"/>
  <c r="G59" i="13"/>
  <c r="T194" i="13"/>
  <c r="W111" i="13"/>
  <c r="J15" i="13"/>
  <c r="J122" i="13"/>
  <c r="K96" i="13"/>
  <c r="L74" i="13"/>
  <c r="P126" i="13"/>
  <c r="J153" i="13"/>
  <c r="J69" i="13"/>
  <c r="I85" i="13"/>
  <c r="AA191" i="13"/>
  <c r="W160" i="13"/>
  <c r="AC112" i="13"/>
  <c r="Q162" i="13"/>
  <c r="J232" i="13"/>
  <c r="R205" i="13"/>
  <c r="M228" i="13"/>
  <c r="F27" i="13"/>
  <c r="E193" i="13"/>
  <c r="AA137" i="13"/>
  <c r="J132" i="13"/>
  <c r="O37" i="13"/>
  <c r="D136" i="13"/>
  <c r="R75" i="13"/>
  <c r="P219" i="13"/>
  <c r="D27" i="13"/>
  <c r="O66" i="13"/>
  <c r="H67" i="13"/>
  <c r="Q150" i="13"/>
  <c r="S103" i="13"/>
  <c r="Q73" i="13"/>
  <c r="K107" i="13"/>
  <c r="R99" i="13"/>
  <c r="AA206" i="13"/>
  <c r="Z138" i="13"/>
  <c r="H107" i="13"/>
  <c r="E46" i="13"/>
  <c r="AC119" i="13"/>
  <c r="L192" i="13"/>
  <c r="E53" i="13"/>
  <c r="G84" i="13"/>
  <c r="S92" i="13"/>
  <c r="N41" i="13"/>
  <c r="E133" i="13"/>
  <c r="AA189" i="13"/>
  <c r="H152" i="13"/>
  <c r="V110" i="13"/>
  <c r="G165" i="13"/>
  <c r="D247" i="13"/>
  <c r="U185" i="13"/>
  <c r="G83" i="13"/>
  <c r="W27" i="13"/>
  <c r="Z36" i="13"/>
  <c r="E167" i="13"/>
  <c r="C14" i="13"/>
  <c r="U79" i="13"/>
  <c r="D215" i="13"/>
  <c r="H140" i="13"/>
  <c r="Z217" i="13"/>
  <c r="H216" i="13"/>
  <c r="D72" i="13"/>
  <c r="F214" i="13"/>
  <c r="U68" i="13"/>
  <c r="D145" i="13"/>
  <c r="G243" i="13"/>
  <c r="H150" i="13"/>
  <c r="M68" i="13"/>
  <c r="U240" i="13"/>
  <c r="K193" i="13"/>
  <c r="I193" i="13"/>
  <c r="J244" i="13"/>
  <c r="W101" i="13"/>
  <c r="U214" i="13"/>
  <c r="P192" i="13"/>
  <c r="K165" i="13"/>
  <c r="Q237" i="13"/>
  <c r="AC198" i="13"/>
  <c r="W62" i="13"/>
  <c r="S194" i="13"/>
  <c r="S136" i="13"/>
  <c r="V52" i="13"/>
  <c r="O155" i="13"/>
  <c r="I237" i="13"/>
  <c r="G92" i="13"/>
  <c r="Q53" i="13"/>
  <c r="W32" i="13"/>
  <c r="U67" i="13"/>
  <c r="AC145" i="13"/>
  <c r="O93" i="13"/>
  <c r="M51" i="13"/>
  <c r="D66" i="13"/>
  <c r="R198" i="13"/>
  <c r="D97" i="13"/>
  <c r="F120" i="13"/>
  <c r="H16" i="13"/>
  <c r="K247" i="13"/>
  <c r="R138" i="13"/>
  <c r="P61" i="13"/>
  <c r="N179" i="13"/>
  <c r="R222" i="13"/>
  <c r="F237" i="13"/>
  <c r="L82" i="13"/>
  <c r="K205" i="13"/>
  <c r="I141" i="13"/>
  <c r="W72" i="13"/>
  <c r="I197" i="13"/>
  <c r="T227" i="13"/>
  <c r="Q212" i="13"/>
  <c r="AC167" i="13"/>
  <c r="U213" i="13"/>
  <c r="AC103" i="13"/>
  <c r="T157" i="13"/>
  <c r="L26" i="13"/>
  <c r="X144" i="13"/>
  <c r="L110" i="13"/>
  <c r="H75" i="13"/>
  <c r="W194" i="13"/>
  <c r="I92" i="13"/>
  <c r="F230" i="13"/>
  <c r="U132" i="13"/>
  <c r="AA110" i="13"/>
  <c r="P124" i="13"/>
  <c r="L231" i="13"/>
  <c r="AA43" i="13"/>
  <c r="T219" i="13"/>
  <c r="S16" i="13"/>
  <c r="N198" i="13"/>
  <c r="Z77" i="13"/>
  <c r="AA82" i="13"/>
  <c r="L189" i="13"/>
  <c r="AA165" i="13"/>
  <c r="P106" i="13"/>
  <c r="Q241" i="13"/>
  <c r="K223" i="13"/>
  <c r="O67" i="13"/>
  <c r="P229" i="13"/>
  <c r="J225" i="13"/>
  <c r="E202" i="13"/>
  <c r="AC131" i="13"/>
  <c r="G125" i="13"/>
  <c r="AA127" i="13"/>
  <c r="V80" i="13"/>
  <c r="I31" i="13"/>
  <c r="T175" i="13"/>
  <c r="C175" i="13"/>
  <c r="AB36" i="13"/>
  <c r="Q139" i="13"/>
  <c r="M44" i="13"/>
  <c r="C159" i="13"/>
  <c r="I214" i="13"/>
  <c r="Z71" i="13"/>
  <c r="Q233" i="13"/>
  <c r="X127" i="13"/>
  <c r="F61" i="13"/>
  <c r="S232" i="13"/>
  <c r="N150" i="13"/>
  <c r="N42" i="13"/>
  <c r="M218" i="13"/>
  <c r="K215" i="13"/>
  <c r="V82" i="13"/>
  <c r="J95" i="13"/>
  <c r="X175" i="13"/>
  <c r="AB33" i="13"/>
  <c r="Z243" i="13"/>
  <c r="Y157" i="13"/>
  <c r="J22" i="13"/>
  <c r="AB239" i="13"/>
  <c r="K36" i="13"/>
  <c r="H66" i="13"/>
  <c r="R176" i="13"/>
  <c r="K119" i="13"/>
  <c r="M177" i="13"/>
  <c r="T137" i="13"/>
  <c r="O201" i="13"/>
  <c r="AB116" i="13"/>
  <c r="V125" i="13"/>
  <c r="AA180" i="13"/>
  <c r="W225" i="13"/>
  <c r="S84" i="13"/>
  <c r="AB173" i="13"/>
  <c r="R132" i="13"/>
  <c r="F218" i="13"/>
  <c r="R229" i="13"/>
  <c r="E131" i="13"/>
  <c r="W189" i="13"/>
  <c r="AC33" i="13"/>
  <c r="Y102" i="13"/>
  <c r="K155" i="13"/>
  <c r="I182" i="13"/>
  <c r="O243" i="13"/>
  <c r="M212" i="13"/>
  <c r="I33" i="13"/>
  <c r="C84" i="13"/>
  <c r="M70" i="13"/>
  <c r="L178" i="13"/>
  <c r="R225" i="13"/>
  <c r="T161" i="13"/>
  <c r="AA186" i="13"/>
  <c r="H108" i="13"/>
  <c r="R135" i="13"/>
  <c r="H102" i="13"/>
  <c r="U133" i="13"/>
  <c r="S167" i="13"/>
  <c r="D64" i="13"/>
  <c r="O40" i="13"/>
  <c r="V148" i="13"/>
  <c r="P105" i="13"/>
  <c r="X126" i="13"/>
  <c r="G205" i="13"/>
  <c r="Y180" i="13"/>
  <c r="J241" i="13"/>
  <c r="R141" i="13"/>
  <c r="Y167" i="13"/>
  <c r="Y148" i="13"/>
  <c r="V46" i="13"/>
  <c r="AA115" i="13"/>
  <c r="M111" i="13"/>
  <c r="Y182" i="13"/>
  <c r="G149" i="13"/>
  <c r="N19" i="13"/>
  <c r="O160" i="13"/>
  <c r="AB167" i="13"/>
  <c r="U112" i="13"/>
  <c r="J217" i="13"/>
  <c r="S56" i="13"/>
  <c r="D81" i="13"/>
  <c r="P240" i="13"/>
  <c r="AC241" i="13"/>
  <c r="N117" i="13"/>
  <c r="H212" i="13"/>
  <c r="M63" i="13"/>
  <c r="AB31" i="13"/>
  <c r="S79" i="13"/>
  <c r="X53" i="13"/>
  <c r="T139" i="13"/>
  <c r="O77" i="13"/>
  <c r="E111" i="13"/>
  <c r="G32" i="13"/>
  <c r="AA11" i="13"/>
  <c r="D132" i="13"/>
  <c r="Q180" i="13"/>
  <c r="V85" i="13"/>
  <c r="U196" i="13"/>
  <c r="X147" i="13"/>
  <c r="H160" i="13"/>
  <c r="S214" i="13"/>
  <c r="M58" i="13"/>
  <c r="N245" i="13"/>
  <c r="W85" i="13"/>
  <c r="X14" i="13"/>
  <c r="AA160" i="13"/>
  <c r="F46" i="13"/>
  <c r="E234" i="13"/>
  <c r="T68" i="13"/>
  <c r="R140" i="13"/>
  <c r="J139" i="13"/>
  <c r="J54" i="13"/>
  <c r="O51" i="13"/>
  <c r="H193" i="13"/>
  <c r="M149" i="13"/>
  <c r="L121" i="13"/>
  <c r="Y25" i="13"/>
  <c r="R97" i="13"/>
  <c r="P186" i="13"/>
  <c r="M67" i="13"/>
  <c r="M56" i="13"/>
  <c r="D92" i="13"/>
  <c r="W30" i="13"/>
  <c r="H106" i="13"/>
  <c r="W146" i="13"/>
  <c r="AB66" i="13"/>
  <c r="E242" i="13"/>
  <c r="C199" i="13"/>
  <c r="D163" i="13"/>
  <c r="I56" i="13"/>
  <c r="Z118" i="13"/>
  <c r="T62" i="13"/>
  <c r="M244" i="13"/>
  <c r="G151" i="13"/>
  <c r="AC126" i="13"/>
  <c r="L188" i="13"/>
  <c r="AC244" i="13"/>
  <c r="U27" i="13"/>
  <c r="L190" i="13"/>
  <c r="E230" i="13"/>
  <c r="T151" i="13"/>
  <c r="U98" i="13"/>
  <c r="U189" i="13"/>
  <c r="S80" i="13"/>
  <c r="Y108" i="13"/>
  <c r="N234" i="13"/>
  <c r="S180" i="13"/>
  <c r="X139" i="13"/>
  <c r="Z192" i="13"/>
  <c r="C172" i="13"/>
  <c r="Z51" i="13"/>
  <c r="H247" i="13"/>
  <c r="AB81" i="13"/>
  <c r="T189" i="13"/>
  <c r="I108" i="13"/>
  <c r="O231" i="13"/>
  <c r="J150" i="13"/>
  <c r="C236" i="13"/>
  <c r="G43" i="13"/>
  <c r="N45" i="13"/>
  <c r="E67" i="13"/>
  <c r="J59" i="13"/>
  <c r="W206" i="13"/>
  <c r="Z19" i="13"/>
  <c r="O52" i="13"/>
  <c r="V138" i="13"/>
  <c r="Q215" i="13"/>
  <c r="S121" i="13"/>
  <c r="R186" i="13"/>
  <c r="AC153" i="13"/>
  <c r="T236" i="13"/>
  <c r="J154" i="13"/>
  <c r="D159" i="13"/>
  <c r="L241" i="13"/>
  <c r="AB211" i="13"/>
  <c r="R108" i="13"/>
  <c r="G107" i="13"/>
  <c r="AA99" i="13"/>
  <c r="M160" i="13"/>
  <c r="N162" i="13"/>
  <c r="O85" i="13"/>
  <c r="N122" i="13"/>
  <c r="X71" i="13"/>
  <c r="Q76" i="13"/>
  <c r="W39" i="13"/>
  <c r="K200" i="13"/>
  <c r="AA207" i="13"/>
  <c r="AB241" i="13"/>
  <c r="H109" i="13"/>
  <c r="J179" i="13"/>
  <c r="U193" i="13"/>
  <c r="W188" i="13"/>
  <c r="AC113" i="13"/>
  <c r="L38" i="13"/>
  <c r="C229" i="13"/>
  <c r="C190" i="13"/>
  <c r="Y243" i="13"/>
  <c r="U108" i="13"/>
  <c r="D192" i="13"/>
  <c r="Q245" i="13"/>
  <c r="H185" i="13"/>
  <c r="U109" i="13"/>
  <c r="S67" i="13"/>
  <c r="AC245" i="13"/>
  <c r="AC95" i="13"/>
  <c r="O14" i="13"/>
  <c r="N182" i="13"/>
  <c r="AB162" i="13"/>
  <c r="Y200" i="13"/>
  <c r="W214" i="13"/>
  <c r="D18" i="13"/>
  <c r="P182" i="13"/>
  <c r="W196" i="13"/>
  <c r="W235" i="13"/>
  <c r="Q102" i="13"/>
  <c r="AC115" i="13"/>
  <c r="D58" i="13"/>
  <c r="Q227" i="13"/>
  <c r="P232" i="13"/>
  <c r="E105" i="13"/>
  <c r="E189" i="13"/>
  <c r="N140" i="13"/>
  <c r="L214" i="13"/>
  <c r="W91" i="13"/>
  <c r="Q155" i="13"/>
  <c r="X158" i="13"/>
  <c r="D15" i="13"/>
  <c r="Y127" i="13"/>
  <c r="P77" i="13"/>
  <c r="AC82" i="13"/>
  <c r="I166" i="13"/>
  <c r="I179" i="13"/>
  <c r="I101" i="13"/>
  <c r="O226" i="13"/>
  <c r="Q97" i="13"/>
  <c r="H98" i="13"/>
  <c r="L47" i="13"/>
  <c r="C54" i="13"/>
  <c r="Q29" i="13"/>
  <c r="T22" i="13"/>
  <c r="P134" i="13"/>
  <c r="G199" i="13"/>
  <c r="O60" i="13"/>
  <c r="H71" i="13"/>
  <c r="W59" i="13"/>
  <c r="T31" i="13"/>
  <c r="T172" i="13"/>
  <c r="AC118" i="13"/>
  <c r="O133" i="13"/>
  <c r="X45" i="13"/>
  <c r="AA51" i="13"/>
  <c r="R160" i="13"/>
  <c r="G154" i="13"/>
  <c r="Y107" i="13"/>
  <c r="F201" i="13"/>
  <c r="T56" i="13"/>
  <c r="P166" i="13"/>
  <c r="AB203" i="13"/>
  <c r="P23" i="13"/>
  <c r="D62" i="13"/>
  <c r="X220" i="13"/>
  <c r="L154" i="13"/>
  <c r="N221" i="13"/>
  <c r="D194" i="13"/>
  <c r="F155" i="13"/>
  <c r="N154" i="13"/>
  <c r="C133" i="13"/>
  <c r="Q161" i="13"/>
  <c r="I196" i="13"/>
  <c r="AC83" i="13"/>
  <c r="F151" i="13"/>
  <c r="Q147" i="13"/>
  <c r="I60" i="13"/>
  <c r="S117" i="13"/>
  <c r="AC124" i="13"/>
  <c r="T60" i="13"/>
  <c r="N212" i="13"/>
  <c r="H237" i="13"/>
  <c r="M94" i="13"/>
  <c r="V53" i="13"/>
  <c r="V30" i="13"/>
  <c r="AC184" i="13"/>
  <c r="U191" i="13"/>
  <c r="J162" i="13"/>
  <c r="X185" i="13"/>
  <c r="Y26" i="13"/>
  <c r="Q26" i="13"/>
  <c r="M15" i="13"/>
  <c r="T115" i="13"/>
  <c r="P164" i="13"/>
  <c r="M125" i="13"/>
  <c r="P99" i="13"/>
  <c r="K241" i="13"/>
  <c r="O164" i="13"/>
  <c r="F56" i="13"/>
  <c r="AB68" i="13"/>
  <c r="G127" i="13"/>
  <c r="Z57" i="13"/>
  <c r="F17" i="13"/>
  <c r="F147" i="13"/>
  <c r="AA152" i="13"/>
  <c r="E62" i="13"/>
  <c r="U160" i="13"/>
  <c r="Z108" i="13"/>
  <c r="O104" i="13"/>
  <c r="I225" i="13"/>
  <c r="Q174" i="13"/>
  <c r="H200" i="13"/>
  <c r="S22" i="13"/>
  <c r="G18" i="13"/>
  <c r="S52" i="13"/>
  <c r="Y145" i="13"/>
  <c r="G192" i="13"/>
  <c r="T239" i="13"/>
  <c r="AC157" i="13"/>
  <c r="P85" i="13"/>
  <c r="M205" i="13"/>
  <c r="Z207" i="13"/>
  <c r="F30" i="13"/>
  <c r="K20" i="13"/>
  <c r="J56" i="13"/>
  <c r="F99" i="13"/>
  <c r="T93" i="13"/>
  <c r="V176" i="13"/>
  <c r="J238" i="13"/>
  <c r="S237" i="13"/>
  <c r="N46" i="13"/>
  <c r="Q36" i="13"/>
  <c r="Q234" i="13"/>
  <c r="M13" i="13"/>
  <c r="I176" i="13"/>
  <c r="C141" i="13"/>
  <c r="T179" i="13"/>
  <c r="AC150" i="13"/>
  <c r="O97" i="13"/>
  <c r="AB125" i="13"/>
  <c r="Q103" i="13"/>
  <c r="M141" i="13"/>
  <c r="P41" i="13"/>
  <c r="U126" i="13"/>
  <c r="G193" i="13"/>
  <c r="O41" i="13"/>
  <c r="C46" i="13"/>
  <c r="W40" i="13"/>
  <c r="N186" i="13"/>
  <c r="H186" i="13"/>
  <c r="N116" i="13"/>
  <c r="H86" i="13"/>
  <c r="K183" i="13"/>
  <c r="H204" i="13"/>
  <c r="AC55" i="13"/>
  <c r="U139" i="13"/>
  <c r="L29" i="13"/>
  <c r="T11" i="13"/>
  <c r="R83" i="13"/>
  <c r="J167" i="13"/>
  <c r="D142" i="13"/>
  <c r="Z127" i="13"/>
  <c r="E20" i="13"/>
  <c r="H47" i="13"/>
  <c r="X193" i="13"/>
  <c r="C216" i="13"/>
  <c r="J138" i="13"/>
  <c r="Z44" i="13"/>
  <c r="F222" i="13"/>
  <c r="K139" i="13"/>
  <c r="N72" i="13"/>
  <c r="M197" i="13"/>
  <c r="N108" i="13"/>
  <c r="F184" i="13"/>
  <c r="X58" i="13"/>
  <c r="U224" i="13"/>
  <c r="T142" i="13"/>
  <c r="Q118" i="13"/>
  <c r="U230" i="13"/>
  <c r="S239" i="13"/>
  <c r="AA242" i="13"/>
  <c r="F102" i="13"/>
  <c r="L219" i="13"/>
  <c r="I97" i="13"/>
  <c r="F133" i="13"/>
  <c r="AA92" i="13"/>
  <c r="Z140" i="13"/>
  <c r="M148" i="13"/>
  <c r="C80" i="13"/>
  <c r="M11" i="13"/>
  <c r="D123" i="13"/>
  <c r="J202" i="13"/>
  <c r="W135" i="13"/>
  <c r="N167" i="13"/>
  <c r="H182" i="13"/>
  <c r="O76" i="13"/>
  <c r="T244" i="13"/>
  <c r="O29" i="13"/>
  <c r="S113" i="13"/>
  <c r="N238" i="13"/>
  <c r="Y204" i="13"/>
  <c r="X82" i="13"/>
  <c r="O174" i="13"/>
  <c r="K161" i="13"/>
  <c r="K44" i="13"/>
  <c r="F77" i="13"/>
  <c r="S31" i="13"/>
  <c r="J35" i="13"/>
  <c r="W203" i="13"/>
  <c r="Z162" i="13"/>
  <c r="S21" i="13"/>
  <c r="V119" i="13"/>
  <c r="AC134" i="13"/>
  <c r="O96" i="13"/>
  <c r="R174" i="13"/>
  <c r="D138" i="13"/>
  <c r="D106" i="13"/>
  <c r="I30" i="13"/>
  <c r="Z164" i="13"/>
  <c r="C247" i="13"/>
  <c r="W156" i="13"/>
  <c r="AC96" i="13"/>
  <c r="U220" i="13"/>
  <c r="H174" i="13"/>
  <c r="D31" i="13"/>
  <c r="U229" i="13"/>
  <c r="I100" i="13"/>
  <c r="AB114" i="13"/>
  <c r="V217" i="13"/>
  <c r="Q140" i="13"/>
  <c r="N94" i="13"/>
  <c r="H104" i="13"/>
  <c r="AC69" i="13"/>
  <c r="E58" i="13"/>
  <c r="E37" i="13"/>
  <c r="S34" i="13"/>
  <c r="Z155" i="13"/>
  <c r="AB146" i="13"/>
  <c r="C64" i="13"/>
  <c r="V199" i="13"/>
  <c r="T243" i="13"/>
  <c r="L234" i="13"/>
  <c r="S58" i="13"/>
  <c r="Q79" i="13"/>
  <c r="R190" i="13"/>
  <c r="U192" i="13"/>
  <c r="X112" i="13"/>
  <c r="G216" i="13"/>
  <c r="J142" i="13"/>
  <c r="W119" i="13"/>
  <c r="E34" i="13"/>
  <c r="R241" i="13"/>
  <c r="Z152" i="13"/>
  <c r="M190" i="13"/>
  <c r="AA141" i="13"/>
  <c r="Q23" i="13"/>
  <c r="N11" i="13"/>
  <c r="F66" i="13"/>
  <c r="I217" i="13"/>
  <c r="AB95" i="13"/>
  <c r="F59" i="13"/>
  <c r="F105" i="13"/>
  <c r="Z134" i="13"/>
  <c r="C34" i="13"/>
  <c r="M196" i="13"/>
  <c r="W102" i="13"/>
  <c r="AC41" i="13"/>
  <c r="T103" i="13"/>
  <c r="O13" i="13"/>
  <c r="G26" i="13"/>
  <c r="I148" i="13"/>
  <c r="O216" i="13"/>
  <c r="F197" i="13"/>
  <c r="O143" i="13"/>
  <c r="N18" i="13"/>
  <c r="D28" i="13"/>
  <c r="R77" i="13"/>
  <c r="L194" i="13"/>
  <c r="I52" i="13"/>
  <c r="K177" i="13"/>
  <c r="Z244" i="13"/>
  <c r="S66" i="13"/>
  <c r="AC191" i="13"/>
  <c r="Q126" i="13"/>
  <c r="S162" i="13"/>
  <c r="O11" i="13"/>
  <c r="S83" i="13"/>
  <c r="U83" i="13"/>
  <c r="AA194" i="13"/>
  <c r="C184" i="13"/>
  <c r="Q75" i="13"/>
  <c r="AA163" i="13"/>
  <c r="Y17" i="13"/>
  <c r="E52" i="13"/>
  <c r="D45" i="13"/>
  <c r="T204" i="13"/>
  <c r="AC186" i="13"/>
  <c r="U62" i="13"/>
  <c r="AB147" i="13"/>
  <c r="V122" i="13"/>
  <c r="W162" i="13"/>
  <c r="U201" i="13"/>
  <c r="K87" i="13"/>
  <c r="Z100" i="13"/>
  <c r="W125" i="13"/>
  <c r="M95" i="13"/>
  <c r="E92" i="13"/>
  <c r="G95" i="13"/>
  <c r="K136" i="13"/>
  <c r="X103" i="13"/>
  <c r="E36" i="13"/>
  <c r="E142" i="13"/>
  <c r="S215" i="13"/>
  <c r="M60" i="13"/>
  <c r="H93" i="13"/>
  <c r="F188" i="13"/>
  <c r="AA102" i="13"/>
  <c r="H79" i="13"/>
  <c r="P21" i="13"/>
  <c r="S115" i="13"/>
  <c r="L73" i="13"/>
  <c r="U184" i="13"/>
  <c r="Q66" i="13"/>
  <c r="C70" i="13"/>
  <c r="D57" i="13"/>
  <c r="AC59" i="13"/>
  <c r="G65" i="13"/>
  <c r="U110" i="13"/>
  <c r="J171" i="13"/>
  <c r="M173" i="13"/>
  <c r="L75" i="13"/>
  <c r="H187" i="13"/>
  <c r="O71" i="13"/>
  <c r="R196" i="13"/>
  <c r="O108" i="13"/>
  <c r="AB99" i="13"/>
  <c r="H39" i="13"/>
  <c r="M183" i="13"/>
  <c r="P118" i="13"/>
  <c r="S110" i="13"/>
  <c r="U195" i="13"/>
  <c r="L186" i="13"/>
  <c r="G52" i="13"/>
  <c r="W176" i="13"/>
  <c r="E125" i="13"/>
  <c r="F212" i="13"/>
  <c r="D20" i="13"/>
  <c r="M116" i="13"/>
  <c r="AA177" i="13"/>
  <c r="V239" i="13"/>
  <c r="U53" i="13"/>
  <c r="J119" i="13"/>
  <c r="V83" i="13"/>
  <c r="J156" i="13"/>
  <c r="O39" i="13"/>
  <c r="H119" i="13"/>
  <c r="X200" i="13"/>
  <c r="W114" i="13"/>
  <c r="W105" i="13"/>
  <c r="N20" i="13"/>
  <c r="H213" i="13"/>
  <c r="S41" i="13"/>
  <c r="P178" i="13"/>
  <c r="N175" i="13"/>
  <c r="Y141" i="13"/>
  <c r="J204" i="13"/>
  <c r="D244" i="13"/>
  <c r="R228" i="13"/>
  <c r="V191" i="13"/>
  <c r="X217" i="13"/>
  <c r="T57" i="13"/>
  <c r="Y113" i="13"/>
  <c r="AB37" i="13"/>
  <c r="E18" i="13"/>
  <c r="C92" i="13"/>
  <c r="G234" i="13"/>
  <c r="E204" i="13"/>
  <c r="M222" i="13"/>
  <c r="V35" i="13"/>
  <c r="I163" i="13"/>
  <c r="Z18" i="13"/>
  <c r="E186" i="13"/>
  <c r="AA219" i="13"/>
  <c r="V185" i="13"/>
  <c r="R134" i="13"/>
  <c r="H53" i="13"/>
  <c r="U123" i="13"/>
  <c r="U78" i="13"/>
  <c r="AA241" i="13"/>
  <c r="AC147" i="13"/>
  <c r="T140" i="13"/>
  <c r="K222" i="13"/>
  <c r="P230" i="13"/>
  <c r="J196" i="13"/>
  <c r="AA143" i="13"/>
  <c r="R113" i="13"/>
  <c r="AA230" i="13"/>
  <c r="Q238" i="13"/>
  <c r="C192" i="13"/>
  <c r="AC140" i="13"/>
  <c r="Z28" i="13"/>
  <c r="T69" i="13"/>
  <c r="V115" i="13"/>
  <c r="R148" i="13"/>
  <c r="AA123" i="13"/>
  <c r="W187" i="13"/>
  <c r="W151" i="13"/>
  <c r="W41" i="13"/>
  <c r="X19" i="13"/>
  <c r="Y62" i="13"/>
  <c r="G58" i="13"/>
  <c r="S107" i="13"/>
  <c r="AA105" i="13"/>
  <c r="C23" i="13"/>
  <c r="AB20" i="13"/>
  <c r="Y131" i="13"/>
  <c r="F240" i="13"/>
  <c r="C206" i="13"/>
  <c r="I199" i="13"/>
  <c r="J98" i="13"/>
  <c r="J52" i="13"/>
  <c r="W244" i="13"/>
  <c r="P163" i="13"/>
  <c r="J24" i="13"/>
  <c r="E237" i="13"/>
  <c r="C55" i="13"/>
  <c r="N23" i="13"/>
  <c r="C139" i="13"/>
  <c r="I123" i="13"/>
  <c r="S119" i="13"/>
  <c r="S137" i="13"/>
  <c r="R244" i="13"/>
  <c r="C205" i="13"/>
  <c r="S138" i="13"/>
  <c r="V151" i="13"/>
  <c r="AA211" i="13"/>
  <c r="L13" i="13"/>
  <c r="I121" i="13"/>
  <c r="Z145" i="13"/>
  <c r="AC139" i="13"/>
  <c r="K199" i="13"/>
  <c r="G71" i="13"/>
  <c r="AB228" i="13"/>
  <c r="G45" i="13"/>
  <c r="J221" i="13"/>
  <c r="E282" i="97"/>
  <c r="T47" i="13"/>
  <c r="AA111" i="13"/>
  <c r="G231" i="13"/>
  <c r="T84" i="13"/>
  <c r="V238" i="13"/>
  <c r="M71" i="13"/>
  <c r="H138" i="13"/>
  <c r="G81" i="13"/>
  <c r="AB223" i="13"/>
  <c r="S12" i="13"/>
  <c r="W239" i="13"/>
  <c r="D70" i="13"/>
  <c r="P165" i="13"/>
  <c r="Y134" i="13"/>
  <c r="T66" i="13"/>
  <c r="L148" i="13"/>
  <c r="T113" i="13"/>
  <c r="K242" i="13"/>
  <c r="P46" i="13"/>
  <c r="I42" i="13"/>
  <c r="S142" i="13"/>
  <c r="N103" i="13"/>
  <c r="H203" i="13"/>
  <c r="AA39" i="13"/>
  <c r="S118" i="13"/>
  <c r="T120" i="13"/>
  <c r="Z122" i="13"/>
  <c r="AA153" i="13"/>
  <c r="L131" i="13"/>
  <c r="AB44" i="13"/>
  <c r="AC28" i="13"/>
  <c r="C178" i="13"/>
  <c r="S201" i="13"/>
  <c r="D179" i="13"/>
  <c r="AA164" i="13"/>
  <c r="Y29" i="13"/>
  <c r="R219" i="13"/>
  <c r="L53" i="13"/>
  <c r="Z158" i="13"/>
  <c r="AA154" i="13"/>
  <c r="I53" i="13"/>
  <c r="AA159" i="13"/>
  <c r="Q21" i="13"/>
  <c r="U247" i="13"/>
  <c r="N114" i="13"/>
  <c r="I160" i="13"/>
  <c r="H167" i="13"/>
  <c r="T83" i="13"/>
  <c r="E235" i="13"/>
  <c r="C203" i="13"/>
  <c r="R96" i="13"/>
  <c r="P22" i="13"/>
  <c r="P207" i="13"/>
  <c r="R243" i="13"/>
  <c r="L42" i="13"/>
  <c r="Y57" i="13"/>
  <c r="Z178" i="13"/>
  <c r="T242" i="13"/>
  <c r="AA27" i="13"/>
  <c r="H24" i="13"/>
  <c r="K145" i="13"/>
  <c r="S68" i="13"/>
  <c r="H34" i="13"/>
  <c r="X92" i="13"/>
  <c r="D114" i="13"/>
  <c r="AC171" i="13"/>
  <c r="X167" i="13"/>
  <c r="Q40" i="13"/>
  <c r="F82" i="13"/>
  <c r="AB141" i="13"/>
  <c r="W73" i="13"/>
  <c r="AB25" i="13"/>
  <c r="G186" i="13"/>
  <c r="N27" i="13"/>
  <c r="O228" i="13"/>
  <c r="D214" i="13"/>
  <c r="P239" i="13"/>
  <c r="F189" i="13"/>
  <c r="K213" i="13"/>
  <c r="T21" i="13"/>
  <c r="Q71" i="13"/>
  <c r="K154" i="13"/>
  <c r="Y75" i="13"/>
  <c r="X203" i="13"/>
  <c r="T189" i="39"/>
  <c r="U431" i="81"/>
  <c r="U241" i="39"/>
  <c r="T295" i="28"/>
  <c r="U232" i="39"/>
  <c r="U339" i="28"/>
  <c r="U233" i="39"/>
  <c r="P237" i="13"/>
  <c r="V17" i="13"/>
  <c r="K102" i="13"/>
  <c r="W183" i="13"/>
  <c r="K43" i="13"/>
  <c r="T213" i="13"/>
  <c r="I105" i="13"/>
  <c r="V74" i="13"/>
  <c r="F127" i="13"/>
  <c r="N135" i="13"/>
  <c r="AA238" i="13"/>
  <c r="Z111" i="13"/>
  <c r="L142" i="13"/>
  <c r="W132" i="13"/>
  <c r="U151" i="13"/>
  <c r="P119" i="13"/>
  <c r="D26" i="13"/>
  <c r="Q244" i="13"/>
  <c r="G198" i="13"/>
  <c r="U25" i="13"/>
  <c r="Z121" i="13"/>
  <c r="L120" i="13"/>
  <c r="AB205" i="13"/>
  <c r="X110" i="13"/>
  <c r="Z29" i="13"/>
  <c r="L187" i="13"/>
  <c r="N155" i="13"/>
  <c r="L34" i="13"/>
  <c r="N12" i="13"/>
  <c r="AC14" i="13"/>
  <c r="J101" i="13"/>
  <c r="E222" i="13"/>
  <c r="Z153" i="13"/>
  <c r="L243" i="13"/>
  <c r="AA31" i="13"/>
  <c r="L23" i="13"/>
  <c r="V231" i="13"/>
  <c r="C76" i="13"/>
  <c r="Y233" i="13"/>
  <c r="P155" i="13"/>
  <c r="U23" i="13"/>
  <c r="M140" i="13"/>
  <c r="L71" i="13"/>
  <c r="W166" i="13"/>
  <c r="J115" i="13"/>
  <c r="C96" i="13"/>
  <c r="J100" i="13"/>
  <c r="AC163" i="13"/>
  <c r="X159" i="13"/>
  <c r="E21" i="13"/>
  <c r="V206" i="13"/>
  <c r="C221" i="13"/>
  <c r="S143" i="13"/>
  <c r="K120" i="13"/>
  <c r="P15" i="13"/>
  <c r="AA225" i="13"/>
  <c r="R192" i="13"/>
  <c r="V162" i="13"/>
  <c r="M142" i="9"/>
  <c r="U18" i="13"/>
  <c r="Q37" i="13"/>
  <c r="Q77" i="13"/>
  <c r="I111" i="13"/>
  <c r="P28" i="13"/>
  <c r="Z101" i="13"/>
  <c r="Y81" i="13"/>
  <c r="K78" i="13"/>
  <c r="E104" i="13"/>
  <c r="M77" i="13"/>
  <c r="Q158" i="13"/>
  <c r="F35" i="13"/>
  <c r="U158" i="13"/>
  <c r="Z165" i="13"/>
  <c r="U238" i="13"/>
  <c r="W173" i="13"/>
  <c r="U121" i="13"/>
  <c r="Y161" i="13"/>
  <c r="E96" i="13"/>
  <c r="T15" i="13"/>
  <c r="R85" i="13"/>
  <c r="AC219" i="13"/>
  <c r="F181" i="13"/>
  <c r="L109" i="13"/>
  <c r="D21" i="13"/>
  <c r="Y139" i="13"/>
  <c r="G159" i="13"/>
  <c r="R11" i="13"/>
  <c r="N97" i="13"/>
  <c r="X188" i="13"/>
  <c r="X242" i="13"/>
  <c r="Z197" i="13"/>
  <c r="E221" i="13"/>
  <c r="N148" i="13"/>
  <c r="X222" i="13"/>
  <c r="I94" i="13"/>
  <c r="Y91" i="13"/>
  <c r="X59" i="13"/>
  <c r="Q218" i="13"/>
  <c r="AC237" i="13"/>
  <c r="T148" i="13"/>
  <c r="S127" i="13"/>
  <c r="Z171" i="13"/>
  <c r="U150" i="13"/>
  <c r="AC181" i="13"/>
  <c r="T125" i="13"/>
  <c r="G114" i="13"/>
  <c r="X113" i="13"/>
  <c r="N188" i="13"/>
  <c r="F225" i="13"/>
  <c r="I73" i="13"/>
  <c r="AA183" i="13"/>
  <c r="L240" i="13"/>
  <c r="X120" i="13"/>
  <c r="Y241" i="13"/>
  <c r="X196" i="13"/>
  <c r="H134" i="13"/>
  <c r="P242" i="13"/>
  <c r="V121" i="13"/>
  <c r="Z110" i="13"/>
  <c r="X238" i="13"/>
  <c r="C57" i="13"/>
  <c r="D63" i="13"/>
  <c r="M242" i="13"/>
  <c r="H113" i="13"/>
  <c r="N80" i="13"/>
  <c r="W240" i="13"/>
  <c r="D127" i="13"/>
  <c r="Y38" i="13"/>
  <c r="F183" i="13"/>
  <c r="N83" i="13"/>
  <c r="O32" i="13"/>
  <c r="Z26" i="13"/>
  <c r="T18" i="13"/>
  <c r="M102" i="13"/>
  <c r="AB127" i="13"/>
  <c r="AC52" i="13"/>
  <c r="C18" i="13"/>
  <c r="H136" i="13"/>
  <c r="V247" i="13"/>
  <c r="V104" i="13"/>
  <c r="X29" i="13"/>
  <c r="N31" i="13"/>
  <c r="F164" i="13"/>
  <c r="C232" i="13"/>
  <c r="T135" i="13"/>
  <c r="C11" i="31"/>
  <c r="G42" i="90"/>
  <c r="G20" i="90" s="1"/>
  <c r="E65" i="90"/>
  <c r="K53" i="90"/>
  <c r="F118" i="90"/>
  <c r="I85" i="90"/>
  <c r="J32" i="90"/>
  <c r="J10" i="90" s="1"/>
  <c r="N271" i="28"/>
  <c r="M120" i="90"/>
  <c r="F109" i="90"/>
  <c r="F47" i="90"/>
  <c r="F25" i="90" s="1"/>
  <c r="I108" i="90"/>
  <c r="I125" i="90"/>
  <c r="D15" i="3"/>
  <c r="E39" i="3"/>
  <c r="L34" i="99"/>
  <c r="G84" i="9"/>
  <c r="C72" i="9"/>
  <c r="L56" i="99"/>
  <c r="H88" i="99"/>
  <c r="I77" i="99"/>
  <c r="E42" i="9"/>
  <c r="G57" i="9"/>
  <c r="O178" i="96"/>
  <c r="E63" i="92"/>
  <c r="Q161" i="27"/>
  <c r="Q152" i="14"/>
  <c r="U209" i="39"/>
  <c r="O191" i="5"/>
  <c r="O147" i="96"/>
  <c r="T186" i="39"/>
  <c r="N182" i="5"/>
  <c r="U227" i="39"/>
  <c r="U432" i="81"/>
  <c r="T300" i="97"/>
  <c r="U325" i="28"/>
  <c r="T387" i="81"/>
  <c r="U438" i="81"/>
  <c r="Q155" i="27"/>
  <c r="T280" i="28"/>
  <c r="E90" i="92"/>
  <c r="T282" i="28"/>
  <c r="T389" i="81"/>
  <c r="U361" i="97"/>
  <c r="U318" i="28"/>
  <c r="T195" i="39"/>
  <c r="M135" i="9"/>
  <c r="U213" i="39"/>
  <c r="U345" i="97"/>
  <c r="E103" i="1"/>
  <c r="E57" i="92"/>
  <c r="Q160" i="27"/>
  <c r="E82" i="92"/>
  <c r="E76" i="92"/>
  <c r="T298" i="97"/>
  <c r="M138" i="9"/>
  <c r="T296" i="28"/>
  <c r="U416" i="81"/>
  <c r="U235" i="39"/>
  <c r="R157" i="67"/>
  <c r="U335" i="28"/>
  <c r="U436" i="81"/>
  <c r="E84" i="92"/>
  <c r="D61" i="94"/>
  <c r="F37" i="94"/>
  <c r="C13" i="94"/>
  <c r="I78" i="94"/>
  <c r="L53" i="94"/>
  <c r="G22" i="94"/>
  <c r="C78" i="94"/>
  <c r="G52" i="94"/>
  <c r="H13" i="94"/>
  <c r="K66" i="94"/>
  <c r="N29" i="94"/>
  <c r="L66" i="94"/>
  <c r="G37" i="94"/>
  <c r="J52" i="94"/>
  <c r="C7" i="94"/>
  <c r="N42" i="94"/>
  <c r="E77" i="94"/>
  <c r="F22" i="94"/>
  <c r="D77" i="94"/>
  <c r="D16" i="94"/>
  <c r="F38" i="94"/>
  <c r="K54" i="94"/>
  <c r="L67" i="90"/>
  <c r="G89" i="90"/>
  <c r="E78" i="90"/>
  <c r="I131" i="90"/>
  <c r="J97" i="90"/>
  <c r="H136" i="90"/>
  <c r="H104" i="90"/>
  <c r="D98" i="90"/>
  <c r="I120" i="90"/>
  <c r="N111" i="90"/>
  <c r="F34" i="90"/>
  <c r="F12" i="90" s="1"/>
  <c r="C101" i="90"/>
  <c r="G82" i="90"/>
  <c r="M127" i="90"/>
  <c r="N128" i="90"/>
  <c r="D119" i="90"/>
  <c r="D38" i="90"/>
  <c r="D16" i="90" s="1"/>
  <c r="G126" i="90"/>
  <c r="E46" i="90"/>
  <c r="E24" i="90" s="1"/>
  <c r="I81" i="90"/>
  <c r="C88" i="90"/>
  <c r="E33" i="90"/>
  <c r="E11" i="90" s="1"/>
  <c r="J39" i="90"/>
  <c r="J17" i="90" s="1"/>
  <c r="N60" i="90"/>
  <c r="D56" i="90"/>
  <c r="H84" i="90"/>
  <c r="G63" i="90"/>
  <c r="J102" i="90"/>
  <c r="E92" i="90"/>
  <c r="G109" i="90"/>
  <c r="N102" i="90"/>
  <c r="O89" i="90"/>
  <c r="E35" i="90"/>
  <c r="E13" i="90" s="1"/>
  <c r="K87" i="90"/>
  <c r="E90" i="90"/>
  <c r="J33" i="90"/>
  <c r="J11" i="90" s="1"/>
  <c r="N127" i="90"/>
  <c r="O37" i="90"/>
  <c r="O15" i="90" s="1"/>
  <c r="K75" i="90"/>
  <c r="F89" i="90"/>
  <c r="I70" i="90"/>
  <c r="J67" i="90"/>
  <c r="M45" i="90"/>
  <c r="M23" i="90" s="1"/>
  <c r="E101" i="90"/>
  <c r="J126" i="90"/>
  <c r="N32" i="90"/>
  <c r="N10" i="90" s="1"/>
  <c r="L97" i="90"/>
  <c r="G119" i="90"/>
  <c r="N119" i="90"/>
  <c r="G48" i="90"/>
  <c r="G26" i="90" s="1"/>
  <c r="G122" i="90"/>
  <c r="O134" i="90"/>
  <c r="K46" i="90"/>
  <c r="K24" i="90" s="1"/>
  <c r="I45" i="90"/>
  <c r="I23" i="90" s="1"/>
  <c r="C126" i="90"/>
  <c r="H127" i="90"/>
  <c r="J127" i="90"/>
  <c r="K42" i="90"/>
  <c r="K20" i="90" s="1"/>
  <c r="I54" i="90"/>
  <c r="N48" i="90"/>
  <c r="N26" i="90" s="1"/>
  <c r="G58" i="90"/>
  <c r="L110" i="90"/>
  <c r="F56" i="90"/>
  <c r="H39" i="90"/>
  <c r="H17" i="90" s="1"/>
  <c r="E41" i="92"/>
  <c r="Q170" i="28"/>
  <c r="U340" i="28"/>
  <c r="R151" i="67"/>
  <c r="U335" i="97"/>
  <c r="U319" i="28"/>
  <c r="U340" i="97"/>
  <c r="U430" i="81"/>
  <c r="U351" i="97"/>
  <c r="T191" i="39"/>
  <c r="T305" i="97"/>
  <c r="U323" i="28"/>
  <c r="T302" i="97"/>
  <c r="T383" i="81"/>
  <c r="U414" i="81"/>
  <c r="U315" i="28"/>
  <c r="E93" i="1"/>
  <c r="U400" i="81"/>
  <c r="O176" i="96"/>
  <c r="O143" i="96"/>
  <c r="U234" i="39"/>
  <c r="T376" i="81"/>
  <c r="E74" i="92"/>
  <c r="U347" i="97"/>
  <c r="E112" i="1"/>
  <c r="U311" i="28"/>
  <c r="E107" i="1"/>
  <c r="U412" i="81"/>
  <c r="M139" i="99"/>
  <c r="U333" i="28"/>
  <c r="O184" i="96"/>
  <c r="E116" i="1"/>
  <c r="T298" i="28"/>
  <c r="U309" i="28"/>
  <c r="U353" i="97"/>
  <c r="U360" i="97"/>
  <c r="E58" i="1"/>
  <c r="E108" i="92"/>
  <c r="U240" i="39"/>
  <c r="Q153" i="14"/>
  <c r="T289" i="97"/>
  <c r="O187" i="96"/>
  <c r="E103" i="92"/>
  <c r="Q162" i="27"/>
  <c r="U317" i="28"/>
  <c r="O129" i="96"/>
  <c r="U359" i="97"/>
  <c r="Q163" i="27"/>
  <c r="U333" i="97"/>
  <c r="U225" i="39"/>
  <c r="T286" i="28"/>
  <c r="E122" i="1"/>
  <c r="U404" i="81"/>
  <c r="U341" i="28"/>
  <c r="E69" i="1"/>
  <c r="O154" i="96"/>
  <c r="U211" i="39"/>
  <c r="Q148" i="14"/>
  <c r="U332" i="28"/>
  <c r="E121" i="1"/>
  <c r="T197" i="39"/>
  <c r="E119" i="1"/>
  <c r="Q149" i="14"/>
  <c r="T196" i="39"/>
  <c r="U417" i="81"/>
  <c r="O131" i="96"/>
  <c r="E60" i="1"/>
  <c r="T291" i="97"/>
  <c r="U334" i="28"/>
  <c r="T182" i="39"/>
  <c r="E53" i="92"/>
  <c r="U336" i="28"/>
  <c r="M143" i="9"/>
  <c r="U363" i="97"/>
  <c r="E114" i="1"/>
  <c r="O156" i="96"/>
  <c r="M141" i="99"/>
  <c r="U223" i="39"/>
  <c r="E96" i="92"/>
  <c r="E64" i="1"/>
  <c r="U422" i="81"/>
  <c r="O152" i="96"/>
  <c r="E101" i="1"/>
  <c r="U216" i="39"/>
  <c r="O168" i="96"/>
  <c r="U321" i="28"/>
  <c r="U327" i="97"/>
  <c r="O139" i="96"/>
  <c r="O186" i="96"/>
  <c r="R159" i="67"/>
  <c r="Q159" i="27"/>
  <c r="U338" i="28"/>
  <c r="O160" i="96"/>
  <c r="O180" i="96"/>
  <c r="R158" i="67"/>
  <c r="U230" i="39"/>
  <c r="T382" i="81"/>
  <c r="E107" i="92"/>
  <c r="O166" i="96"/>
  <c r="U341" i="97"/>
  <c r="U420" i="81"/>
  <c r="E87" i="1"/>
  <c r="M141" i="9"/>
  <c r="U221" i="39"/>
  <c r="M140" i="9"/>
  <c r="E78" i="92"/>
  <c r="E109" i="92"/>
  <c r="O187" i="5"/>
  <c r="U329" i="28"/>
  <c r="R156" i="67"/>
  <c r="E97" i="92"/>
  <c r="U313" i="28"/>
  <c r="U316" i="28"/>
  <c r="T297" i="28"/>
  <c r="U203" i="39"/>
  <c r="U418" i="81"/>
  <c r="T291" i="28"/>
  <c r="U343" i="97"/>
  <c r="O158" i="96"/>
  <c r="T287" i="97"/>
  <c r="T392" i="81"/>
  <c r="U437" i="81"/>
  <c r="T180" i="39"/>
  <c r="O172" i="96"/>
  <c r="U426" i="81"/>
  <c r="O165" i="96"/>
  <c r="E106" i="92"/>
  <c r="O182" i="96"/>
  <c r="M136" i="99"/>
  <c r="T293" i="97"/>
  <c r="U337" i="97"/>
  <c r="T395" i="81"/>
  <c r="O189" i="5"/>
  <c r="O193" i="5"/>
  <c r="T378" i="81"/>
  <c r="U434" i="81"/>
  <c r="U238" i="39"/>
  <c r="E51" i="92"/>
  <c r="E72" i="92"/>
  <c r="E117" i="1"/>
  <c r="Q151" i="14"/>
  <c r="T293" i="28"/>
  <c r="E100" i="92"/>
  <c r="E115" i="1"/>
  <c r="T306" i="97"/>
  <c r="E99" i="92"/>
  <c r="T385" i="81"/>
  <c r="R37" i="13"/>
  <c r="C235" i="13"/>
  <c r="C35" i="90"/>
  <c r="C13" i="90" s="1"/>
  <c r="M112" i="90"/>
  <c r="N38" i="90"/>
  <c r="N16" i="90" s="1"/>
  <c r="C104" i="90"/>
  <c r="O121" i="90"/>
  <c r="K108" i="90"/>
  <c r="C100" i="13"/>
  <c r="K13" i="13"/>
  <c r="AB106" i="13"/>
  <c r="F153" i="13"/>
  <c r="O102" i="13"/>
  <c r="S221" i="13"/>
  <c r="D40" i="13"/>
  <c r="AA28" i="13"/>
  <c r="J134" i="13"/>
  <c r="R82" i="13"/>
  <c r="L236" i="13"/>
  <c r="H99" i="90"/>
  <c r="J64" i="90"/>
  <c r="F68" i="90"/>
  <c r="F128" i="90"/>
  <c r="L108" i="90"/>
  <c r="G47" i="90"/>
  <c r="G25" i="90" s="1"/>
  <c r="Y36" i="13"/>
  <c r="Q45" i="13"/>
  <c r="N65" i="94"/>
  <c r="J26" i="13"/>
  <c r="F33" i="90"/>
  <c r="F11" i="90" s="1"/>
  <c r="D36" i="90"/>
  <c r="D14" i="90" s="1"/>
  <c r="D120" i="90"/>
  <c r="N53" i="90"/>
  <c r="N108" i="90"/>
  <c r="K70" i="90"/>
  <c r="S82" i="13"/>
  <c r="O107" i="13"/>
  <c r="S336" i="81"/>
  <c r="S297" i="81"/>
  <c r="G285" i="81"/>
  <c r="AF134" i="81"/>
  <c r="AA86" i="81"/>
  <c r="AA27" i="81" s="1"/>
  <c r="S132" i="81"/>
  <c r="K85" i="81"/>
  <c r="K26" i="81" s="1"/>
  <c r="AD111" i="81"/>
  <c r="AD52" i="81" s="1"/>
  <c r="O147" i="81"/>
  <c r="U254" i="81"/>
  <c r="AD219" i="81"/>
  <c r="D356" i="81"/>
  <c r="C226" i="81"/>
  <c r="I294" i="81"/>
  <c r="AB192" i="81"/>
  <c r="C137" i="81"/>
  <c r="Z204" i="81"/>
  <c r="S159" i="81"/>
  <c r="G206" i="81"/>
  <c r="Y192" i="81"/>
  <c r="AC244" i="81"/>
  <c r="AA239" i="81"/>
  <c r="Y73" i="81"/>
  <c r="Y14" i="81" s="1"/>
  <c r="P258" i="81"/>
  <c r="N176" i="81"/>
  <c r="W337" i="81"/>
  <c r="X318" i="81"/>
  <c r="J71" i="81"/>
  <c r="J12" i="81" s="1"/>
  <c r="Q346" i="81"/>
  <c r="P242" i="81"/>
  <c r="F348" i="81"/>
  <c r="AB225" i="81"/>
  <c r="E112" i="81"/>
  <c r="E53" i="81" s="1"/>
  <c r="M102" i="81"/>
  <c r="M43" i="81" s="1"/>
  <c r="AH120" i="81"/>
  <c r="AH61" i="81" s="1"/>
  <c r="AG137" i="81"/>
  <c r="M214" i="81"/>
  <c r="AE286" i="81"/>
  <c r="AE296" i="81"/>
  <c r="H214" i="81"/>
  <c r="AA302" i="81"/>
  <c r="X162" i="81"/>
  <c r="M224" i="81"/>
  <c r="Q252" i="81"/>
  <c r="U340" i="81"/>
  <c r="Z327" i="81"/>
  <c r="Y339" i="81"/>
  <c r="N333" i="81"/>
  <c r="V203" i="81"/>
  <c r="R78" i="81"/>
  <c r="R19" i="81" s="1"/>
  <c r="X83" i="81"/>
  <c r="X24" i="81" s="1"/>
  <c r="D136" i="81"/>
  <c r="R168" i="81"/>
  <c r="E157" i="81"/>
  <c r="AE122" i="81"/>
  <c r="AE63" i="81" s="1"/>
  <c r="X165" i="81"/>
  <c r="AD346" i="81"/>
  <c r="G135" i="81"/>
  <c r="P310" i="81"/>
  <c r="W120" i="81"/>
  <c r="W61" i="81" s="1"/>
  <c r="F173" i="81"/>
  <c r="AE97" i="81"/>
  <c r="AE38" i="81" s="1"/>
  <c r="E211" i="81"/>
  <c r="V313" i="81"/>
  <c r="O296" i="81"/>
  <c r="K262" i="81"/>
  <c r="AA204" i="81"/>
  <c r="D270" i="81"/>
  <c r="AG284" i="81"/>
  <c r="V303" i="81"/>
  <c r="C239" i="81"/>
  <c r="R321" i="81"/>
  <c r="I281" i="81"/>
  <c r="Y193" i="81"/>
  <c r="U363" i="81"/>
  <c r="AB281" i="81"/>
  <c r="J255" i="81"/>
  <c r="Y234" i="81"/>
  <c r="R145" i="81"/>
  <c r="O300" i="81"/>
  <c r="K311" i="81"/>
  <c r="E338" i="81"/>
  <c r="K344" i="81"/>
  <c r="L83" i="81"/>
  <c r="L24" i="81" s="1"/>
  <c r="AD160" i="81"/>
  <c r="L244" i="81"/>
  <c r="V120" i="81"/>
  <c r="V61" i="81" s="1"/>
  <c r="G291" i="81"/>
  <c r="AE278" i="81"/>
  <c r="AA156" i="81"/>
  <c r="P295" i="81"/>
  <c r="K330" i="81"/>
  <c r="Z153" i="81"/>
  <c r="O143" i="81"/>
  <c r="AH341" i="81"/>
  <c r="S207" i="81"/>
  <c r="H87" i="81"/>
  <c r="H28" i="81" s="1"/>
  <c r="AH263" i="81"/>
  <c r="V254" i="81"/>
  <c r="H145" i="81"/>
  <c r="AB303" i="81"/>
  <c r="W178" i="81"/>
  <c r="T301" i="81"/>
  <c r="D133" i="81"/>
  <c r="T192" i="81"/>
  <c r="L261" i="81"/>
  <c r="AD154" i="81"/>
  <c r="F159" i="81"/>
  <c r="J139" i="81"/>
  <c r="D350" i="81"/>
  <c r="T101" i="81"/>
  <c r="T42" i="81" s="1"/>
  <c r="AF337" i="81"/>
  <c r="AA106" i="81"/>
  <c r="AA47" i="81" s="1"/>
  <c r="W91" i="81"/>
  <c r="W32" i="81" s="1"/>
  <c r="AC99" i="81"/>
  <c r="AC40" i="81" s="1"/>
  <c r="AH190" i="81"/>
  <c r="Q266" i="81"/>
  <c r="F297" i="81"/>
  <c r="G354" i="81"/>
  <c r="S312" i="81"/>
  <c r="K107" i="81"/>
  <c r="K48" i="81" s="1"/>
  <c r="AC146" i="81"/>
  <c r="Y332" i="81"/>
  <c r="M257" i="81"/>
  <c r="L206" i="81"/>
  <c r="N154" i="81"/>
  <c r="Z334" i="81"/>
  <c r="G287" i="81"/>
  <c r="AH315" i="81"/>
  <c r="W112" i="81"/>
  <c r="W53" i="81" s="1"/>
  <c r="AE348" i="81"/>
  <c r="AG157" i="81"/>
  <c r="W313" i="81"/>
  <c r="T161" i="81"/>
  <c r="E121" i="81"/>
  <c r="E62" i="81" s="1"/>
  <c r="T156" i="81"/>
  <c r="M252" i="81"/>
  <c r="P149" i="81"/>
  <c r="D225" i="81"/>
  <c r="I113" i="81"/>
  <c r="I54" i="81" s="1"/>
  <c r="K111" i="81"/>
  <c r="K52" i="81" s="1"/>
  <c r="G219" i="81"/>
  <c r="AA133" i="81"/>
  <c r="U302" i="81"/>
  <c r="P358" i="81"/>
  <c r="K287" i="81"/>
  <c r="O87" i="81"/>
  <c r="O28" i="81" s="1"/>
  <c r="H293" i="81"/>
  <c r="W314" i="81"/>
  <c r="H237" i="81"/>
  <c r="N290" i="81"/>
  <c r="AA80" i="81"/>
  <c r="AA21" i="81" s="1"/>
  <c r="X275" i="81"/>
  <c r="G276" i="81"/>
  <c r="E237" i="81"/>
  <c r="AG313" i="81"/>
  <c r="N232" i="81"/>
  <c r="AA313" i="81"/>
  <c r="Y216" i="81"/>
  <c r="N360" i="81"/>
  <c r="AG195" i="81"/>
  <c r="AE78" i="81"/>
  <c r="AE19" i="81" s="1"/>
  <c r="AE198" i="81"/>
  <c r="H197" i="81"/>
  <c r="O315" i="81"/>
  <c r="O116" i="81"/>
  <c r="O57" i="81" s="1"/>
  <c r="G111" i="81"/>
  <c r="G52" i="81" s="1"/>
  <c r="U304" i="81"/>
  <c r="Q144" i="81"/>
  <c r="AC100" i="81"/>
  <c r="AC41" i="81" s="1"/>
  <c r="U71" i="81"/>
  <c r="U12" i="81" s="1"/>
  <c r="AD323" i="81"/>
  <c r="E80" i="81"/>
  <c r="E21" i="81" s="1"/>
  <c r="F250" i="81"/>
  <c r="S335" i="81"/>
  <c r="P312" i="81"/>
  <c r="L95" i="81"/>
  <c r="L36" i="81" s="1"/>
  <c r="O79" i="81"/>
  <c r="O20" i="81" s="1"/>
  <c r="O237" i="81"/>
  <c r="F91" i="81"/>
  <c r="F32" i="81" s="1"/>
  <c r="L355" i="81"/>
  <c r="R180" i="81"/>
  <c r="R173" i="81"/>
  <c r="T184" i="81"/>
  <c r="L232" i="81"/>
  <c r="W81" i="81"/>
  <c r="W22" i="81" s="1"/>
  <c r="H311" i="81"/>
  <c r="D113" i="81"/>
  <c r="D54" i="81" s="1"/>
  <c r="F353" i="81"/>
  <c r="Y245" i="81"/>
  <c r="O172" i="81"/>
  <c r="AH345" i="81"/>
  <c r="O84" i="81"/>
  <c r="O25" i="81" s="1"/>
  <c r="E221" i="81"/>
  <c r="AG232" i="81"/>
  <c r="M80" i="81"/>
  <c r="M21" i="81" s="1"/>
  <c r="S216" i="81"/>
  <c r="AE171" i="81"/>
  <c r="V74" i="81"/>
  <c r="V15" i="81" s="1"/>
  <c r="AB101" i="81"/>
  <c r="AB42" i="81" s="1"/>
  <c r="P158" i="81"/>
  <c r="J104" i="81"/>
  <c r="J45" i="81" s="1"/>
  <c r="AB260" i="81"/>
  <c r="AF346" i="81"/>
  <c r="AA172" i="81"/>
  <c r="AD328" i="81"/>
  <c r="U218" i="81"/>
  <c r="D214" i="81"/>
  <c r="W144" i="81"/>
  <c r="AH258" i="81"/>
  <c r="X117" i="81"/>
  <c r="X58" i="81" s="1"/>
  <c r="AH171" i="81"/>
  <c r="E344" i="81"/>
  <c r="S298" i="81"/>
  <c r="E325" i="81"/>
  <c r="R296" i="81"/>
  <c r="U264" i="81"/>
  <c r="E100" i="81"/>
  <c r="E41" i="81" s="1"/>
  <c r="X300" i="81"/>
  <c r="AA365" i="81"/>
  <c r="AB173" i="81"/>
  <c r="U362" i="81"/>
  <c r="S215" i="81"/>
  <c r="AG166" i="81"/>
  <c r="M280" i="81"/>
  <c r="E315" i="81"/>
  <c r="I345" i="81"/>
  <c r="X181" i="81"/>
  <c r="U89" i="81"/>
  <c r="U30" i="81" s="1"/>
  <c r="D177" i="81"/>
  <c r="AF80" i="81"/>
  <c r="AF21" i="81" s="1"/>
  <c r="V343" i="81"/>
  <c r="C329" i="81"/>
  <c r="AH242" i="81"/>
  <c r="E179" i="81"/>
  <c r="N208" i="81"/>
  <c r="AG110" i="81"/>
  <c r="AG51" i="81" s="1"/>
  <c r="O314" i="81"/>
  <c r="AG216" i="81"/>
  <c r="G234" i="81"/>
  <c r="AE206" i="81"/>
  <c r="O174" i="81"/>
  <c r="M88" i="81"/>
  <c r="M29" i="81" s="1"/>
  <c r="J251" i="81"/>
  <c r="AE317" i="81"/>
  <c r="AE259" i="81"/>
  <c r="AF252" i="81"/>
  <c r="P113" i="81"/>
  <c r="P54" i="81" s="1"/>
  <c r="M323" i="81"/>
  <c r="E359" i="81"/>
  <c r="Q336" i="81"/>
  <c r="AF162" i="81"/>
  <c r="J304" i="81"/>
  <c r="AB226" i="81"/>
  <c r="T219" i="81"/>
  <c r="J171" i="81"/>
  <c r="D153" i="81"/>
  <c r="AH191" i="81"/>
  <c r="F119" i="81"/>
  <c r="F60" i="81" s="1"/>
  <c r="L169" i="81"/>
  <c r="H244" i="81"/>
  <c r="Z333" i="81"/>
  <c r="S346" i="81"/>
  <c r="Z145" i="81"/>
  <c r="C219" i="81"/>
  <c r="AA85" i="81"/>
  <c r="AA26" i="81" s="1"/>
  <c r="U311" i="81"/>
  <c r="P352" i="81"/>
  <c r="AG287" i="81"/>
  <c r="M358" i="81"/>
  <c r="X296" i="81"/>
  <c r="AH221" i="81"/>
  <c r="AD204" i="81"/>
  <c r="T243" i="81"/>
  <c r="R262" i="81"/>
  <c r="P95" i="81"/>
  <c r="P36" i="81" s="1"/>
  <c r="Z123" i="81"/>
  <c r="Z64" i="81" s="1"/>
  <c r="S95" i="81"/>
  <c r="S36" i="81" s="1"/>
  <c r="AF170" i="81"/>
  <c r="AF292" i="81"/>
  <c r="I156" i="81"/>
  <c r="R298" i="81"/>
  <c r="AG273" i="81"/>
  <c r="AC289" i="81"/>
  <c r="Z132" i="81"/>
  <c r="AD303" i="81"/>
  <c r="L262" i="81"/>
  <c r="H280" i="81"/>
  <c r="K201" i="81"/>
  <c r="X327" i="81"/>
  <c r="AA218" i="81"/>
  <c r="P195" i="81"/>
  <c r="G253" i="81"/>
  <c r="AG341" i="81"/>
  <c r="K132" i="81"/>
  <c r="X356" i="81"/>
  <c r="O219" i="81"/>
  <c r="C281" i="81"/>
  <c r="R70" i="81"/>
  <c r="R11" i="81" s="1"/>
  <c r="E255" i="81"/>
  <c r="V239" i="81"/>
  <c r="Y75" i="81"/>
  <c r="Y16" i="81" s="1"/>
  <c r="I190" i="81"/>
  <c r="P323" i="81"/>
  <c r="D134" i="81"/>
  <c r="T196" i="81"/>
  <c r="F97" i="81"/>
  <c r="F38" i="81" s="1"/>
  <c r="H169" i="81"/>
  <c r="F298" i="81"/>
  <c r="W80" i="81"/>
  <c r="W21" i="81" s="1"/>
  <c r="F305" i="81"/>
  <c r="AE225" i="81"/>
  <c r="C116" i="81"/>
  <c r="C57" i="81" s="1"/>
  <c r="V285" i="81"/>
  <c r="Y277" i="81"/>
  <c r="AC85" i="81"/>
  <c r="AC26" i="81" s="1"/>
  <c r="M71" i="81"/>
  <c r="M12" i="81" s="1"/>
  <c r="C122" i="81"/>
  <c r="C63" i="81" s="1"/>
  <c r="J123" i="81"/>
  <c r="J64" i="81" s="1"/>
  <c r="G76" i="81"/>
  <c r="G17" i="81" s="1"/>
  <c r="AE112" i="81"/>
  <c r="AE53" i="81" s="1"/>
  <c r="J294" i="81"/>
  <c r="AE74" i="81"/>
  <c r="AE15" i="81" s="1"/>
  <c r="R323" i="81"/>
  <c r="AA346" i="81"/>
  <c r="L202" i="81"/>
  <c r="AE326" i="81"/>
  <c r="AF236" i="81"/>
  <c r="N71" i="81"/>
  <c r="N12" i="81" s="1"/>
  <c r="C204" i="81"/>
  <c r="AF204" i="81"/>
  <c r="L175" i="81"/>
  <c r="J118" i="81"/>
  <c r="J59" i="81" s="1"/>
  <c r="AD166" i="81"/>
  <c r="N114" i="81"/>
  <c r="N55" i="81" s="1"/>
  <c r="J236" i="81"/>
  <c r="H222" i="81"/>
  <c r="X119" i="81"/>
  <c r="X60" i="81" s="1"/>
  <c r="F281" i="81"/>
  <c r="J191" i="81"/>
  <c r="K200" i="81"/>
  <c r="AC97" i="81"/>
  <c r="AC38" i="81" s="1"/>
  <c r="AF81" i="81"/>
  <c r="AF22" i="81" s="1"/>
  <c r="S235" i="81"/>
  <c r="F270" i="81"/>
  <c r="AE274" i="81"/>
  <c r="AD107" i="81"/>
  <c r="AD48" i="81" s="1"/>
  <c r="C324" i="81"/>
  <c r="AC332" i="81"/>
  <c r="J341" i="81"/>
  <c r="M195" i="81"/>
  <c r="N159" i="81"/>
  <c r="D276" i="81"/>
  <c r="I136" i="81"/>
  <c r="X190" i="81"/>
  <c r="M222" i="81"/>
  <c r="C174" i="81"/>
  <c r="G364" i="81"/>
  <c r="R125" i="81"/>
  <c r="R66" i="81" s="1"/>
  <c r="Y150" i="81"/>
  <c r="Y165" i="81"/>
  <c r="T287" i="81"/>
  <c r="AH131" i="81"/>
  <c r="P286" i="81"/>
  <c r="Y221" i="81"/>
  <c r="T363" i="81"/>
  <c r="M321" i="81"/>
  <c r="G74" i="81"/>
  <c r="G15" i="81" s="1"/>
  <c r="G167" i="81"/>
  <c r="N177" i="81"/>
  <c r="H282" i="81"/>
  <c r="O97" i="81"/>
  <c r="O38" i="81" s="1"/>
  <c r="S152" i="81"/>
  <c r="S119" i="81"/>
  <c r="S60" i="81" s="1"/>
  <c r="D116" i="81"/>
  <c r="D57" i="81" s="1"/>
  <c r="N155" i="81"/>
  <c r="L354" i="81"/>
  <c r="AD177" i="81"/>
  <c r="K348" i="81"/>
  <c r="P138" i="81"/>
  <c r="F151" i="81"/>
  <c r="D80" i="81"/>
  <c r="D21" i="81" s="1"/>
  <c r="AF119" i="81"/>
  <c r="AF60" i="81" s="1"/>
  <c r="F252" i="81"/>
  <c r="N349" i="81"/>
  <c r="F313" i="81"/>
  <c r="X319" i="81"/>
  <c r="U191" i="81"/>
  <c r="Q291" i="81"/>
  <c r="M112" i="81"/>
  <c r="M53" i="81" s="1"/>
  <c r="E95" i="81"/>
  <c r="E36" i="81" s="1"/>
  <c r="AD265" i="81"/>
  <c r="S164" i="81"/>
  <c r="V97" i="81"/>
  <c r="V38" i="81" s="1"/>
  <c r="X211" i="81"/>
  <c r="AF104" i="81"/>
  <c r="AF45" i="81" s="1"/>
  <c r="AE260" i="81"/>
  <c r="O284" i="81"/>
  <c r="F332" i="81"/>
  <c r="AB261" i="81"/>
  <c r="AG205" i="81"/>
  <c r="AG255" i="81"/>
  <c r="M183" i="81"/>
  <c r="AE100" i="81"/>
  <c r="AE41" i="81" s="1"/>
  <c r="J323" i="81"/>
  <c r="K239" i="81"/>
  <c r="AF224" i="81"/>
  <c r="N341" i="81"/>
  <c r="W160" i="81"/>
  <c r="J279" i="81"/>
  <c r="Z361" i="81"/>
  <c r="AE241" i="81"/>
  <c r="V334" i="81"/>
  <c r="S138" i="81"/>
  <c r="R116" i="81"/>
  <c r="R57" i="81" s="1"/>
  <c r="P89" i="81"/>
  <c r="P30" i="81" s="1"/>
  <c r="T350" i="81"/>
  <c r="M141" i="81"/>
  <c r="D204" i="81"/>
  <c r="H350" i="81"/>
  <c r="D216" i="81"/>
  <c r="AH339" i="81"/>
  <c r="D318" i="81"/>
  <c r="F220" i="81"/>
  <c r="O76" i="81"/>
  <c r="O17" i="81" s="1"/>
  <c r="Q348" i="81"/>
  <c r="P146" i="81"/>
  <c r="AC175" i="81"/>
  <c r="E270" i="81"/>
  <c r="J92" i="81"/>
  <c r="J33" i="81" s="1"/>
  <c r="U212" i="81"/>
  <c r="Q150" i="81"/>
  <c r="Z240" i="81"/>
  <c r="N124" i="81"/>
  <c r="N65" i="81" s="1"/>
  <c r="X290" i="81"/>
  <c r="W315" i="81"/>
  <c r="E356" i="81"/>
  <c r="AH108" i="81"/>
  <c r="AH49" i="81" s="1"/>
  <c r="AB290" i="81"/>
  <c r="L101" i="81"/>
  <c r="L42" i="81" s="1"/>
  <c r="Q137" i="81"/>
  <c r="AF352" i="81"/>
  <c r="Y286" i="81"/>
  <c r="I108" i="81"/>
  <c r="I49" i="81" s="1"/>
  <c r="C163" i="81"/>
  <c r="N337" i="81"/>
  <c r="Q278" i="81"/>
  <c r="U178" i="81"/>
  <c r="AC142" i="81"/>
  <c r="N328" i="81"/>
  <c r="O199" i="81"/>
  <c r="C277" i="81"/>
  <c r="T179" i="81"/>
  <c r="J347" i="81"/>
  <c r="G119" i="81"/>
  <c r="G60" i="81" s="1"/>
  <c r="AA284" i="81"/>
  <c r="AH119" i="81"/>
  <c r="AH60" i="81" s="1"/>
  <c r="AG342" i="81"/>
  <c r="AA318" i="81"/>
  <c r="S355" i="81"/>
  <c r="E256" i="81"/>
  <c r="T122" i="81"/>
  <c r="T63" i="81" s="1"/>
  <c r="D140" i="81"/>
  <c r="Q275" i="81"/>
  <c r="AD142" i="81"/>
  <c r="AD79" i="81"/>
  <c r="AD20" i="81" s="1"/>
  <c r="S141" i="81"/>
  <c r="AG261" i="81"/>
  <c r="AA357" i="81"/>
  <c r="M235" i="81"/>
  <c r="E206" i="81"/>
  <c r="P214" i="81"/>
  <c r="H162" i="81"/>
  <c r="C299" i="81"/>
  <c r="P298" i="81"/>
  <c r="D324" i="81"/>
  <c r="Q79" i="81"/>
  <c r="Q20" i="81" s="1"/>
  <c r="G201" i="81"/>
  <c r="AA89" i="81"/>
  <c r="AA30" i="81" s="1"/>
  <c r="R260" i="81"/>
  <c r="AF144" i="81"/>
  <c r="AG156" i="81"/>
  <c r="T251" i="81"/>
  <c r="Y175" i="81"/>
  <c r="AB319" i="81"/>
  <c r="AG215" i="81"/>
  <c r="D304" i="81"/>
  <c r="G342" i="81"/>
  <c r="U175" i="81"/>
  <c r="N210" i="81"/>
  <c r="V88" i="81"/>
  <c r="V29" i="81" s="1"/>
  <c r="W77" i="81"/>
  <c r="W18" i="81" s="1"/>
  <c r="AA112" i="81"/>
  <c r="AA53" i="81" s="1"/>
  <c r="Y283" i="81"/>
  <c r="J252" i="81"/>
  <c r="V87" i="81"/>
  <c r="V28" i="81" s="1"/>
  <c r="G349" i="81"/>
  <c r="F182" i="81"/>
  <c r="W266" i="81"/>
  <c r="AA283" i="81"/>
  <c r="S288" i="81"/>
  <c r="I316" i="81"/>
  <c r="N304" i="81"/>
  <c r="G334" i="81"/>
  <c r="R202" i="81"/>
  <c r="X347" i="81"/>
  <c r="L293" i="81"/>
  <c r="H103" i="81"/>
  <c r="H44" i="81" s="1"/>
  <c r="N173" i="81"/>
  <c r="AG154" i="81"/>
  <c r="Z352" i="81"/>
  <c r="M334" i="81"/>
  <c r="S287" i="81"/>
  <c r="S316" i="81"/>
  <c r="S110" i="81"/>
  <c r="S51" i="81" s="1"/>
  <c r="U137" i="81"/>
  <c r="AE99" i="81"/>
  <c r="AE40" i="81" s="1"/>
  <c r="I331" i="81"/>
  <c r="AC107" i="81"/>
  <c r="AC48" i="81" s="1"/>
  <c r="F340" i="81"/>
  <c r="K103" i="81"/>
  <c r="K44" i="81" s="1"/>
  <c r="L172" i="81"/>
  <c r="T281" i="81"/>
  <c r="S93" i="81"/>
  <c r="S34" i="81" s="1"/>
  <c r="AF130" i="81"/>
  <c r="P87" i="81"/>
  <c r="P28" i="81" s="1"/>
  <c r="L207" i="81"/>
  <c r="O286" i="81"/>
  <c r="Y138" i="81"/>
  <c r="AC121" i="81"/>
  <c r="AC62" i="81" s="1"/>
  <c r="J170" i="81"/>
  <c r="Y166" i="81"/>
  <c r="H267" i="81"/>
  <c r="T320" i="81"/>
  <c r="S184" i="81"/>
  <c r="E106" i="81"/>
  <c r="E47" i="81" s="1"/>
  <c r="L117" i="81"/>
  <c r="L58" i="81" s="1"/>
  <c r="AC80" i="81"/>
  <c r="AC21" i="81" s="1"/>
  <c r="U300" i="81"/>
  <c r="T89" i="81"/>
  <c r="T30" i="81" s="1"/>
  <c r="AB153" i="81"/>
  <c r="K305" i="81"/>
  <c r="D265" i="81"/>
  <c r="X114" i="81"/>
  <c r="X55" i="81" s="1"/>
  <c r="U259" i="81"/>
  <c r="AH89" i="81"/>
  <c r="AH30" i="81" s="1"/>
  <c r="W354" i="81"/>
  <c r="J226" i="81"/>
  <c r="P85" i="81"/>
  <c r="P26" i="81" s="1"/>
  <c r="AE168" i="81"/>
  <c r="F156" i="81"/>
  <c r="I214" i="81"/>
  <c r="K363" i="81"/>
  <c r="AA209" i="81"/>
  <c r="T241" i="81"/>
  <c r="AB91" i="81"/>
  <c r="AB32" i="81" s="1"/>
  <c r="N282" i="81"/>
  <c r="AD319" i="81"/>
  <c r="M245" i="81"/>
  <c r="P177" i="81"/>
  <c r="G149" i="81"/>
  <c r="Q317" i="81"/>
  <c r="D319" i="81"/>
  <c r="AE107" i="81"/>
  <c r="AE48" i="81" s="1"/>
  <c r="AA131" i="81"/>
  <c r="V295" i="81"/>
  <c r="U135" i="81"/>
  <c r="E297" i="81"/>
  <c r="AA262" i="81"/>
  <c r="N235" i="81"/>
  <c r="AC169" i="81"/>
  <c r="AE302" i="81"/>
  <c r="AB154" i="81"/>
  <c r="K80" i="81"/>
  <c r="K21" i="81" s="1"/>
  <c r="U347" i="81"/>
  <c r="F256" i="81"/>
  <c r="AF101" i="81"/>
  <c r="AF42" i="81" s="1"/>
  <c r="AD352" i="81"/>
  <c r="K364" i="81"/>
  <c r="AH222" i="81"/>
  <c r="C95" i="81"/>
  <c r="C36" i="81" s="1"/>
  <c r="AE337" i="81"/>
  <c r="AF311" i="81"/>
  <c r="S345" i="81"/>
  <c r="V83" i="81"/>
  <c r="V24" i="81" s="1"/>
  <c r="J297" i="81"/>
  <c r="Q199" i="81"/>
  <c r="N130" i="81"/>
  <c r="AD344" i="81"/>
  <c r="Z155" i="81"/>
  <c r="R159" i="81"/>
  <c r="W220" i="81"/>
  <c r="S267" i="81"/>
  <c r="T222" i="81"/>
  <c r="J166" i="81"/>
  <c r="F190" i="81"/>
  <c r="AH158" i="81"/>
  <c r="AB169" i="81"/>
  <c r="AE165" i="81"/>
  <c r="R146" i="81"/>
  <c r="M125" i="81"/>
  <c r="M66" i="81" s="1"/>
  <c r="U282" i="81"/>
  <c r="L356" i="81"/>
  <c r="AA315" i="81"/>
  <c r="K211" i="81"/>
  <c r="J283" i="81"/>
  <c r="G157" i="81"/>
  <c r="AE293" i="81"/>
  <c r="AD233" i="81"/>
  <c r="V329" i="81"/>
  <c r="G185" i="81"/>
  <c r="I176" i="81"/>
  <c r="Y171" i="81"/>
  <c r="C336" i="81"/>
  <c r="AD140" i="81"/>
  <c r="O135" i="81"/>
  <c r="W154" i="81"/>
  <c r="AA272" i="81"/>
  <c r="Z156" i="81"/>
  <c r="AG236" i="81"/>
  <c r="J133" i="81"/>
  <c r="E84" i="81"/>
  <c r="E25" i="81" s="1"/>
  <c r="AB237" i="81"/>
  <c r="H153" i="81"/>
  <c r="K276" i="81"/>
  <c r="AD360" i="81"/>
  <c r="N331" i="81"/>
  <c r="N262" i="81"/>
  <c r="V351" i="81"/>
  <c r="T310" i="81"/>
  <c r="E191" i="81"/>
  <c r="Y117" i="81"/>
  <c r="Y58" i="81" s="1"/>
  <c r="AC318" i="81"/>
  <c r="Q223" i="81"/>
  <c r="AE343" i="81"/>
  <c r="N302" i="81"/>
  <c r="O332" i="81"/>
  <c r="T331" i="81"/>
  <c r="P278" i="81"/>
  <c r="V169" i="81"/>
  <c r="W136" i="81"/>
  <c r="Q310" i="81"/>
  <c r="AG347" i="81"/>
  <c r="L80" i="81"/>
  <c r="L21" i="81" s="1"/>
  <c r="W361" i="81"/>
  <c r="R276" i="81"/>
  <c r="AB105" i="81"/>
  <c r="AB46" i="81" s="1"/>
  <c r="AF217" i="81"/>
  <c r="L104" i="81"/>
  <c r="L45" i="81" s="1"/>
  <c r="C105" i="81"/>
  <c r="C46" i="81" s="1"/>
  <c r="T105" i="81"/>
  <c r="T46" i="81" s="1"/>
  <c r="K269" i="81"/>
  <c r="Z125" i="81"/>
  <c r="Z66" i="81" s="1"/>
  <c r="AH102" i="81"/>
  <c r="AH43" i="81" s="1"/>
  <c r="AD214" i="81"/>
  <c r="I313" i="81"/>
  <c r="Q176" i="81"/>
  <c r="L152" i="81"/>
  <c r="U196" i="81"/>
  <c r="Q99" i="81"/>
  <c r="Q40" i="81" s="1"/>
  <c r="E343" i="81"/>
  <c r="S196" i="81"/>
  <c r="R209" i="81"/>
  <c r="AE164" i="81"/>
  <c r="C240" i="81"/>
  <c r="E71" i="81"/>
  <c r="E12" i="81" s="1"/>
  <c r="AD159" i="81"/>
  <c r="D197" i="81"/>
  <c r="H98" i="81"/>
  <c r="H39" i="81" s="1"/>
  <c r="J96" i="81"/>
  <c r="J37" i="81" s="1"/>
  <c r="AF210" i="81"/>
  <c r="AC176" i="81"/>
  <c r="AH172" i="81"/>
  <c r="AA310" i="81"/>
  <c r="Q203" i="81"/>
  <c r="Q329" i="81"/>
  <c r="N364" i="81"/>
  <c r="K319" i="81"/>
  <c r="AB170" i="81"/>
  <c r="Z349" i="81"/>
  <c r="R215" i="81"/>
  <c r="G297" i="81"/>
  <c r="U334" i="81"/>
  <c r="AA268" i="81"/>
  <c r="AB244" i="81"/>
  <c r="F73" i="81"/>
  <c r="F14" i="81" s="1"/>
  <c r="AG240" i="81"/>
  <c r="R316" i="81"/>
  <c r="P71" i="81"/>
  <c r="P12" i="81" s="1"/>
  <c r="W159" i="81"/>
  <c r="D305" i="81"/>
  <c r="E282" i="81"/>
  <c r="C184" i="81"/>
  <c r="AF331" i="81"/>
  <c r="AB100" i="81"/>
  <c r="AB41" i="81" s="1"/>
  <c r="AG332" i="81"/>
  <c r="S332" i="81"/>
  <c r="AE332" i="81"/>
  <c r="J244" i="81"/>
  <c r="J149" i="81"/>
  <c r="Z194" i="81"/>
  <c r="Z84" i="81"/>
  <c r="Z25" i="81" s="1"/>
  <c r="N236" i="81"/>
  <c r="J320" i="81"/>
  <c r="AE211" i="81"/>
  <c r="H100" i="81"/>
  <c r="H41" i="81" s="1"/>
  <c r="AE90" i="81"/>
  <c r="AE31" i="81" s="1"/>
  <c r="O183" i="81"/>
  <c r="F283" i="81"/>
  <c r="D161" i="81"/>
  <c r="AB317" i="81"/>
  <c r="AB362" i="81"/>
  <c r="Z358" i="81"/>
  <c r="G289" i="81"/>
  <c r="I159" i="81"/>
  <c r="K208" i="81"/>
  <c r="G155" i="81"/>
  <c r="G274" i="81"/>
  <c r="S177" i="81"/>
  <c r="O251" i="81"/>
  <c r="P93" i="81"/>
  <c r="P34" i="81" s="1"/>
  <c r="Q303" i="81"/>
  <c r="AE304" i="81"/>
  <c r="O196" i="81"/>
  <c r="AF86" i="81"/>
  <c r="AF27" i="81" s="1"/>
  <c r="M287" i="81"/>
  <c r="W116" i="81"/>
  <c r="W57" i="81" s="1"/>
  <c r="G123" i="81"/>
  <c r="G64" i="81" s="1"/>
  <c r="M161" i="81"/>
  <c r="F289" i="81"/>
  <c r="AD299" i="81"/>
  <c r="Y334" i="81"/>
  <c r="I138" i="81"/>
  <c r="AF360" i="81"/>
  <c r="AH214" i="81"/>
  <c r="X332" i="81"/>
  <c r="X284" i="81"/>
  <c r="AB326" i="81"/>
  <c r="H240" i="81"/>
  <c r="I332" i="81"/>
  <c r="C311" i="81"/>
  <c r="W341" i="81"/>
  <c r="AG153" i="81"/>
  <c r="S303" i="81"/>
  <c r="AD240" i="81"/>
  <c r="O91" i="81"/>
  <c r="O32" i="81" s="1"/>
  <c r="O330" i="81"/>
  <c r="I340" i="81"/>
  <c r="H136" i="81"/>
  <c r="S81" i="81"/>
  <c r="S22" i="81" s="1"/>
  <c r="AD98" i="81"/>
  <c r="AD39" i="81" s="1"/>
  <c r="K273" i="81"/>
  <c r="I251" i="81"/>
  <c r="AA235" i="81"/>
  <c r="AG98" i="81"/>
  <c r="AG39" i="81" s="1"/>
  <c r="L135" i="81"/>
  <c r="G217" i="81"/>
  <c r="AB191" i="81"/>
  <c r="AC196" i="81"/>
  <c r="E348" i="81"/>
  <c r="T104" i="81"/>
  <c r="T45" i="81" s="1"/>
  <c r="W238" i="81"/>
  <c r="AF254" i="81"/>
  <c r="N361" i="81"/>
  <c r="Z227" i="81"/>
  <c r="W229" i="81"/>
  <c r="U289" i="81"/>
  <c r="AE283" i="81"/>
  <c r="L362" i="81"/>
  <c r="Q262" i="81"/>
  <c r="L210" i="81"/>
  <c r="F75" i="81"/>
  <c r="F16" i="81" s="1"/>
  <c r="AA334" i="81"/>
  <c r="C327" i="81"/>
  <c r="R294" i="81"/>
  <c r="P86" i="81"/>
  <c r="P27" i="81" s="1"/>
  <c r="U114" i="81"/>
  <c r="U55" i="81" s="1"/>
  <c r="N169" i="81"/>
  <c r="E209" i="81"/>
  <c r="F278" i="81"/>
  <c r="Y260" i="81"/>
  <c r="D241" i="81"/>
  <c r="M258" i="81"/>
  <c r="AA280" i="81"/>
  <c r="AG104" i="81"/>
  <c r="AG45" i="81" s="1"/>
  <c r="L317" i="81"/>
  <c r="M361" i="81"/>
  <c r="C81" i="81"/>
  <c r="C22" i="81" s="1"/>
  <c r="X219" i="81"/>
  <c r="N336" i="81"/>
  <c r="AG263" i="81"/>
  <c r="N100" i="81"/>
  <c r="N41" i="81" s="1"/>
  <c r="M340" i="81"/>
  <c r="I245" i="81"/>
  <c r="K320" i="81"/>
  <c r="AF364" i="81"/>
  <c r="V115" i="81"/>
  <c r="V56" i="81" s="1"/>
  <c r="X222" i="81"/>
  <c r="S352" i="81"/>
  <c r="Y95" i="81"/>
  <c r="Y36" i="81" s="1"/>
  <c r="N161" i="81"/>
  <c r="J79" i="81"/>
  <c r="J20" i="81" s="1"/>
  <c r="P173" i="81"/>
  <c r="O294" i="81"/>
  <c r="X360" i="81"/>
  <c r="L344" i="81"/>
  <c r="R242" i="81"/>
  <c r="H183" i="81"/>
  <c r="M232" i="81"/>
  <c r="F81" i="81"/>
  <c r="F22" i="81" s="1"/>
  <c r="N329" i="81"/>
  <c r="T245" i="81"/>
  <c r="S191" i="81"/>
  <c r="L359" i="81"/>
  <c r="AA316" i="81"/>
  <c r="N327" i="81"/>
  <c r="O232" i="81"/>
  <c r="AG165" i="81"/>
  <c r="V149" i="81"/>
  <c r="AA95" i="81"/>
  <c r="AA36" i="81" s="1"/>
  <c r="D360" i="81"/>
  <c r="Q169" i="81"/>
  <c r="AB236" i="81"/>
  <c r="X302" i="81"/>
  <c r="E302" i="81"/>
  <c r="AG135" i="81"/>
  <c r="AE150" i="81"/>
  <c r="E167" i="81"/>
  <c r="Y124" i="81"/>
  <c r="Y65" i="81" s="1"/>
  <c r="M324" i="81"/>
  <c r="M87" i="81"/>
  <c r="M28" i="81" s="1"/>
  <c r="P271" i="81"/>
  <c r="N273" i="81"/>
  <c r="V79" i="81"/>
  <c r="V20" i="81" s="1"/>
  <c r="T317" i="81"/>
  <c r="M305" i="81"/>
  <c r="F302" i="81"/>
  <c r="W152" i="81"/>
  <c r="I221" i="81"/>
  <c r="D179" i="81"/>
  <c r="H216" i="81"/>
  <c r="Y146" i="81"/>
  <c r="P266" i="81"/>
  <c r="AB348" i="81"/>
  <c r="AB218" i="81"/>
  <c r="M315" i="81"/>
  <c r="X88" i="81"/>
  <c r="X29" i="81" s="1"/>
  <c r="AD185" i="81"/>
  <c r="AD301" i="81"/>
  <c r="T207" i="81"/>
  <c r="AH110" i="81"/>
  <c r="AH51" i="81" s="1"/>
  <c r="Z102" i="81"/>
  <c r="Z43" i="81" s="1"/>
  <c r="F169" i="81"/>
  <c r="O304" i="81"/>
  <c r="AG268" i="81"/>
  <c r="AB148" i="81"/>
  <c r="AG338" i="81"/>
  <c r="AH273" i="81"/>
  <c r="F180" i="81"/>
  <c r="C314" i="81"/>
  <c r="AE179" i="81"/>
  <c r="AA173" i="81"/>
  <c r="Z254" i="81"/>
  <c r="V253" i="81"/>
  <c r="D212" i="81"/>
  <c r="D226" i="81"/>
  <c r="J300" i="81"/>
  <c r="AE89" i="81"/>
  <c r="AE30" i="81" s="1"/>
  <c r="I234" i="81"/>
  <c r="Z282" i="81"/>
  <c r="R218" i="81"/>
  <c r="P117" i="81"/>
  <c r="P58" i="81" s="1"/>
  <c r="AA198" i="81"/>
  <c r="I104" i="81"/>
  <c r="I45" i="81" s="1"/>
  <c r="Y203" i="81"/>
  <c r="S286" i="81"/>
  <c r="K160" i="81"/>
  <c r="C295" i="81"/>
  <c r="H167" i="81"/>
  <c r="U151" i="81"/>
  <c r="AH112" i="81"/>
  <c r="AH53" i="81" s="1"/>
  <c r="AG115" i="81"/>
  <c r="AG56" i="81" s="1"/>
  <c r="O176" i="81"/>
  <c r="K335" i="81"/>
  <c r="X147" i="81"/>
  <c r="L182" i="81"/>
  <c r="D218" i="81"/>
  <c r="H326" i="81"/>
  <c r="L290" i="81"/>
  <c r="AH163" i="81"/>
  <c r="G271" i="81"/>
  <c r="I353" i="81"/>
  <c r="G79" i="81"/>
  <c r="G20" i="81" s="1"/>
  <c r="J81" i="81"/>
  <c r="J22" i="81" s="1"/>
  <c r="J91" i="81"/>
  <c r="J32" i="81" s="1"/>
  <c r="I318" i="81"/>
  <c r="S243" i="81"/>
  <c r="Y131" i="81"/>
  <c r="T84" i="81"/>
  <c r="T25" i="81" s="1"/>
  <c r="Q123" i="81"/>
  <c r="Q64" i="81" s="1"/>
  <c r="E83" i="81"/>
  <c r="E24" i="81" s="1"/>
  <c r="W226" i="81"/>
  <c r="R287" i="81"/>
  <c r="J154" i="81"/>
  <c r="AH115" i="81"/>
  <c r="AH56" i="81" s="1"/>
  <c r="AE144" i="81"/>
  <c r="AB84" i="81"/>
  <c r="AB25" i="81" s="1"/>
  <c r="P233" i="81"/>
  <c r="P213" i="81"/>
  <c r="P220" i="81"/>
  <c r="AE166" i="81"/>
  <c r="M135" i="81"/>
  <c r="L347" i="81"/>
  <c r="C362" i="81"/>
  <c r="AD230" i="81"/>
  <c r="AF84" i="81"/>
  <c r="AF25" i="81" s="1"/>
  <c r="AD325" i="81"/>
  <c r="AC252" i="81"/>
  <c r="AD226" i="81"/>
  <c r="Y319" i="81"/>
  <c r="G239" i="81"/>
  <c r="Z163" i="81"/>
  <c r="W92" i="81"/>
  <c r="W33" i="81" s="1"/>
  <c r="G133" i="81"/>
  <c r="AG277" i="81"/>
  <c r="AD290" i="81"/>
  <c r="E241" i="81"/>
  <c r="J232" i="81"/>
  <c r="G322" i="81"/>
  <c r="J204" i="81"/>
  <c r="S214" i="81"/>
  <c r="I150" i="81"/>
  <c r="V316" i="81"/>
  <c r="T365" i="81"/>
  <c r="AD335" i="81"/>
  <c r="U262" i="81"/>
  <c r="Y263" i="81"/>
  <c r="D190" i="81"/>
  <c r="C274" i="81"/>
  <c r="X74" i="81"/>
  <c r="X15" i="81" s="1"/>
  <c r="AF341" i="81"/>
  <c r="AF213" i="81"/>
  <c r="S113" i="81"/>
  <c r="S54" i="81" s="1"/>
  <c r="C236" i="81"/>
  <c r="H332" i="81"/>
  <c r="AD354" i="81"/>
  <c r="AE334" i="81"/>
  <c r="AD353" i="81"/>
  <c r="V99" i="81"/>
  <c r="V40" i="81" s="1"/>
  <c r="AF250" i="81"/>
  <c r="L155" i="81"/>
  <c r="W198" i="81"/>
  <c r="AD155" i="81"/>
  <c r="V341" i="81"/>
  <c r="F213" i="81"/>
  <c r="U110" i="81"/>
  <c r="U51" i="81" s="1"/>
  <c r="I364" i="81"/>
  <c r="G134" i="81"/>
  <c r="AB115" i="81"/>
  <c r="AB56" i="81" s="1"/>
  <c r="W119" i="81"/>
  <c r="W60" i="81" s="1"/>
  <c r="Z143" i="81"/>
  <c r="N278" i="81"/>
  <c r="AF195" i="81"/>
  <c r="AH364" i="81"/>
  <c r="AH148" i="81"/>
  <c r="AF298" i="81"/>
  <c r="T255" i="81"/>
  <c r="K223" i="81"/>
  <c r="D147" i="81"/>
  <c r="C212" i="81"/>
  <c r="N359" i="81"/>
  <c r="G300" i="81"/>
  <c r="D351" i="81"/>
  <c r="AH234" i="81"/>
  <c r="C343" i="81"/>
  <c r="AE328" i="81"/>
  <c r="S270" i="81"/>
  <c r="C102" i="81"/>
  <c r="C43" i="81" s="1"/>
  <c r="G118" i="81"/>
  <c r="G59" i="81" s="1"/>
  <c r="O90" i="81"/>
  <c r="O31" i="81" s="1"/>
  <c r="K255" i="81"/>
  <c r="AH121" i="81"/>
  <c r="AH62" i="81" s="1"/>
  <c r="K230" i="81"/>
  <c r="S100" i="81"/>
  <c r="S41" i="81" s="1"/>
  <c r="H360" i="81"/>
  <c r="T296" i="81"/>
  <c r="AD70" i="81"/>
  <c r="AD11" i="81" s="1"/>
  <c r="O198" i="81"/>
  <c r="G197" i="81"/>
  <c r="R332" i="81"/>
  <c r="V223" i="81"/>
  <c r="L150" i="81"/>
  <c r="R147" i="81"/>
  <c r="W301" i="81"/>
  <c r="S137" i="81"/>
  <c r="O245" i="81"/>
  <c r="AG225" i="81"/>
  <c r="R109" i="81"/>
  <c r="R50" i="81" s="1"/>
  <c r="S271" i="81"/>
  <c r="P332" i="81"/>
  <c r="N340" i="81"/>
  <c r="V145" i="81"/>
  <c r="V268" i="81"/>
  <c r="AA82" i="81"/>
  <c r="AA23" i="81" s="1"/>
  <c r="D352" i="81"/>
  <c r="AH284" i="81"/>
  <c r="L217" i="81"/>
  <c r="AF102" i="81"/>
  <c r="AF43" i="81" s="1"/>
  <c r="I354" i="81"/>
  <c r="AF158" i="81"/>
  <c r="O236" i="81"/>
  <c r="R87" i="81"/>
  <c r="R28" i="81" s="1"/>
  <c r="R273" i="81"/>
  <c r="AD359" i="81"/>
  <c r="R137" i="81"/>
  <c r="AE310" i="81"/>
  <c r="U140" i="81"/>
  <c r="AF299" i="81"/>
  <c r="Z210" i="81"/>
  <c r="AG295" i="81"/>
  <c r="I211" i="81"/>
  <c r="Z310" i="81"/>
  <c r="K191" i="81"/>
  <c r="V190" i="81"/>
  <c r="T195" i="81"/>
  <c r="T342" i="81"/>
  <c r="K267" i="81"/>
  <c r="AF99" i="81"/>
  <c r="AF40" i="81" s="1"/>
  <c r="V284" i="81"/>
  <c r="Q296" i="81"/>
  <c r="H195" i="81"/>
  <c r="O158" i="81"/>
  <c r="AF342" i="81"/>
  <c r="AF340" i="81"/>
  <c r="V72" i="81"/>
  <c r="V13" i="81" s="1"/>
  <c r="I164" i="81"/>
  <c r="E156" i="81"/>
  <c r="V181" i="81"/>
  <c r="C145" i="81"/>
  <c r="V217" i="81"/>
  <c r="F263" i="81"/>
  <c r="O310" i="81"/>
  <c r="E310" i="81"/>
  <c r="AB104" i="81"/>
  <c r="AB45" i="81" s="1"/>
  <c r="AF230" i="81"/>
  <c r="D233" i="81"/>
  <c r="V229" i="81"/>
  <c r="O335" i="81"/>
  <c r="K86" i="81"/>
  <c r="K27" i="81" s="1"/>
  <c r="T213" i="81"/>
  <c r="R271" i="81"/>
  <c r="R358" i="81"/>
  <c r="Q290" i="81"/>
  <c r="U354" i="81"/>
  <c r="O365" i="81"/>
  <c r="F221" i="81"/>
  <c r="I289" i="81"/>
  <c r="X228" i="81"/>
  <c r="O124" i="81"/>
  <c r="O65" i="81" s="1"/>
  <c r="U267" i="81"/>
  <c r="G160" i="81"/>
  <c r="H276" i="81"/>
  <c r="K296" i="81"/>
  <c r="AD258" i="81"/>
  <c r="W218" i="81"/>
  <c r="T235" i="81"/>
  <c r="M182" i="81"/>
  <c r="I283" i="81"/>
  <c r="S139" i="81"/>
  <c r="C323" i="81"/>
  <c r="X124" i="81"/>
  <c r="X65" i="81" s="1"/>
  <c r="M301" i="81"/>
  <c r="W281" i="81"/>
  <c r="AC329" i="81"/>
  <c r="AD132" i="81"/>
  <c r="W140" i="81"/>
  <c r="F334" i="81"/>
  <c r="AB208" i="81"/>
  <c r="P136" i="81"/>
  <c r="T110" i="81"/>
  <c r="T51" i="81" s="1"/>
  <c r="W321" i="81"/>
  <c r="AC118" i="81"/>
  <c r="AC59" i="81" s="1"/>
  <c r="N152" i="81"/>
  <c r="S305" i="81"/>
  <c r="X183" i="81"/>
  <c r="V134" i="81"/>
  <c r="R259" i="81"/>
  <c r="I312" i="81"/>
  <c r="F318" i="81"/>
  <c r="AF235" i="81"/>
  <c r="J351" i="81"/>
  <c r="T130" i="81"/>
  <c r="AA110" i="81"/>
  <c r="AA51" i="81" s="1"/>
  <c r="I193" i="81"/>
  <c r="J290" i="81"/>
  <c r="Q215" i="81"/>
  <c r="AA290" i="81"/>
  <c r="G170" i="81"/>
  <c r="T334" i="81"/>
  <c r="V70" i="81"/>
  <c r="V11" i="81" s="1"/>
  <c r="AC328" i="81"/>
  <c r="Q168" i="81"/>
  <c r="Q113" i="81"/>
  <c r="Q54" i="81" s="1"/>
  <c r="AD257" i="81"/>
  <c r="N183" i="81"/>
  <c r="M160" i="81"/>
  <c r="N269" i="81"/>
  <c r="G213" i="81"/>
  <c r="AC271" i="81"/>
  <c r="V323" i="81"/>
  <c r="Z164" i="81"/>
  <c r="AH320" i="81"/>
  <c r="Y312" i="81"/>
  <c r="L226" i="81"/>
  <c r="AB144" i="81"/>
  <c r="C218" i="81"/>
  <c r="F359" i="81"/>
  <c r="V241" i="81"/>
  <c r="V95" i="81"/>
  <c r="V36" i="81" s="1"/>
  <c r="F275" i="81"/>
  <c r="AA220" i="81"/>
  <c r="AA142" i="81"/>
  <c r="U96" i="81"/>
  <c r="U37" i="81" s="1"/>
  <c r="Y241" i="81"/>
  <c r="P150" i="81"/>
  <c r="X223" i="81"/>
  <c r="D81" i="81"/>
  <c r="D22" i="81" s="1"/>
  <c r="C173" i="81"/>
  <c r="C338" i="81"/>
  <c r="W79" i="81"/>
  <c r="W20" i="81" s="1"/>
  <c r="D176" i="81"/>
  <c r="L278" i="81"/>
  <c r="I107" i="81"/>
  <c r="I48" i="81" s="1"/>
  <c r="H344" i="81"/>
  <c r="AC292" i="81"/>
  <c r="M197" i="81"/>
  <c r="G216" i="81"/>
  <c r="U263" i="81"/>
  <c r="M181" i="81"/>
  <c r="D292" i="81"/>
  <c r="R148" i="81"/>
  <c r="I256" i="81"/>
  <c r="AG241" i="81"/>
  <c r="M283" i="81"/>
  <c r="G250" i="81"/>
  <c r="Q261" i="81"/>
  <c r="P114" i="81"/>
  <c r="P55" i="81" s="1"/>
  <c r="T338" i="81"/>
  <c r="Q300" i="81"/>
  <c r="W282" i="81"/>
  <c r="S362" i="81"/>
  <c r="I115" i="81"/>
  <c r="I56" i="81" s="1"/>
  <c r="AB268" i="81"/>
  <c r="Q302" i="81"/>
  <c r="N123" i="81"/>
  <c r="N64" i="81" s="1"/>
  <c r="AF207" i="81"/>
  <c r="U86" i="81"/>
  <c r="U27" i="81" s="1"/>
  <c r="Y255" i="81"/>
  <c r="C205" i="81"/>
  <c r="R150" i="81"/>
  <c r="W291" i="81"/>
  <c r="H192" i="81"/>
  <c r="E231" i="81"/>
  <c r="L145" i="81"/>
  <c r="AB235" i="81"/>
  <c r="T345" i="81"/>
  <c r="AH88" i="81"/>
  <c r="AH29" i="81" s="1"/>
  <c r="AC135" i="81"/>
  <c r="AB133" i="81"/>
  <c r="S304" i="81"/>
  <c r="Q110" i="81"/>
  <c r="Q51" i="81" s="1"/>
  <c r="AD170" i="81"/>
  <c r="R210" i="81"/>
  <c r="D219" i="81"/>
  <c r="C120" i="81"/>
  <c r="C61" i="81" s="1"/>
  <c r="M84" i="81"/>
  <c r="M25" i="81" s="1"/>
  <c r="T133" i="81"/>
  <c r="T114" i="81"/>
  <c r="T55" i="81" s="1"/>
  <c r="J77" i="81"/>
  <c r="J18" i="81" s="1"/>
  <c r="AD208" i="81"/>
  <c r="W115" i="81"/>
  <c r="W56" i="81" s="1"/>
  <c r="V165" i="81"/>
  <c r="S361" i="81"/>
  <c r="T92" i="81"/>
  <c r="T33" i="81" s="1"/>
  <c r="K241" i="81"/>
  <c r="D102" i="81"/>
  <c r="D43" i="81" s="1"/>
  <c r="L73" i="81"/>
  <c r="L14" i="81" s="1"/>
  <c r="V131" i="81"/>
  <c r="E286" i="81"/>
  <c r="AF161" i="81"/>
  <c r="Y224" i="81"/>
  <c r="W132" i="81"/>
  <c r="X240" i="81"/>
  <c r="AC124" i="81"/>
  <c r="AC65" i="81" s="1"/>
  <c r="X252" i="81"/>
  <c r="J162" i="81"/>
  <c r="AE338" i="81"/>
  <c r="Q212" i="81"/>
  <c r="J233" i="81"/>
  <c r="F160" i="81"/>
  <c r="N182" i="81"/>
  <c r="G228" i="81"/>
  <c r="AC286" i="81"/>
  <c r="O323" i="81"/>
  <c r="G362" i="81"/>
  <c r="L204" i="81"/>
  <c r="R95" i="81"/>
  <c r="R36" i="81" s="1"/>
  <c r="U286" i="81"/>
  <c r="E196" i="81"/>
  <c r="E265" i="81"/>
  <c r="O254" i="81"/>
  <c r="M165" i="81"/>
  <c r="D261" i="81"/>
  <c r="R224" i="81"/>
  <c r="Q159" i="81"/>
  <c r="N101" i="81"/>
  <c r="N42" i="81" s="1"/>
  <c r="AH344" i="81"/>
  <c r="D193" i="81"/>
  <c r="AH192" i="81"/>
  <c r="AE352" i="81"/>
  <c r="R81" i="81"/>
  <c r="R22" i="81" s="1"/>
  <c r="R241" i="81"/>
  <c r="O202" i="81"/>
  <c r="J76" i="81"/>
  <c r="J17" i="81" s="1"/>
  <c r="AC104" i="81"/>
  <c r="AC45" i="81" s="1"/>
  <c r="S144" i="81"/>
  <c r="E159" i="81"/>
  <c r="AB312" i="81"/>
  <c r="X136" i="81"/>
  <c r="F261" i="81"/>
  <c r="H213" i="81"/>
  <c r="W336" i="81"/>
  <c r="AH150" i="81"/>
  <c r="Z122" i="81"/>
  <c r="Z63" i="81" s="1"/>
  <c r="Z341" i="81"/>
  <c r="U97" i="81"/>
  <c r="U38" i="81" s="1"/>
  <c r="W276" i="81"/>
  <c r="X364" i="81"/>
  <c r="L70" i="81"/>
  <c r="L11" i="81" s="1"/>
  <c r="H242" i="81"/>
  <c r="D196" i="81"/>
  <c r="W157" i="81"/>
  <c r="AF171" i="81"/>
  <c r="P245" i="81"/>
  <c r="AG237" i="81"/>
  <c r="O275" i="81"/>
  <c r="AA296" i="81"/>
  <c r="P282" i="81"/>
  <c r="Z166" i="81"/>
  <c r="AC296" i="81"/>
  <c r="M236" i="81"/>
  <c r="T201" i="81"/>
  <c r="X142" i="81"/>
  <c r="C225" i="81"/>
  <c r="AD146" i="81"/>
  <c r="H229" i="81"/>
  <c r="J333" i="81"/>
  <c r="I242" i="81"/>
  <c r="N75" i="81"/>
  <c r="N16" i="81" s="1"/>
  <c r="V292" i="81"/>
  <c r="P73" i="81"/>
  <c r="P14" i="81" s="1"/>
  <c r="H144" i="81"/>
  <c r="M216" i="81"/>
  <c r="AG343" i="81"/>
  <c r="AD347" i="81"/>
  <c r="I72" i="81"/>
  <c r="I13" i="81" s="1"/>
  <c r="V336" i="81"/>
  <c r="AG322" i="81"/>
  <c r="AH289" i="81"/>
  <c r="G290" i="81"/>
  <c r="S273" i="81"/>
  <c r="X303" i="81"/>
  <c r="W146" i="81"/>
  <c r="AB79" i="81"/>
  <c r="AB20" i="81" s="1"/>
  <c r="AF94" i="81"/>
  <c r="AF35" i="81" s="1"/>
  <c r="AG162" i="81"/>
  <c r="I232" i="81"/>
  <c r="C79" i="81"/>
  <c r="C20" i="81" s="1"/>
  <c r="P334" i="81"/>
  <c r="H142" i="81"/>
  <c r="AB149" i="81"/>
  <c r="E252" i="81"/>
  <c r="U360" i="81"/>
  <c r="AG194" i="81"/>
  <c r="AC316" i="81"/>
  <c r="O225" i="81"/>
  <c r="Z277" i="81"/>
  <c r="AE325" i="81"/>
  <c r="AF321" i="81"/>
  <c r="M171" i="81"/>
  <c r="G144" i="81"/>
  <c r="K277" i="81"/>
  <c r="L239" i="81"/>
  <c r="U100" i="81"/>
  <c r="U41" i="81" s="1"/>
  <c r="G235" i="81"/>
  <c r="AB72" i="81"/>
  <c r="AB13" i="81" s="1"/>
  <c r="V119" i="81"/>
  <c r="V60" i="81" s="1"/>
  <c r="AA169" i="81"/>
  <c r="C136" i="81"/>
  <c r="AG208" i="81"/>
  <c r="L255" i="81"/>
  <c r="AD136" i="81"/>
  <c r="E200" i="81"/>
  <c r="K177" i="81"/>
  <c r="AC321" i="81"/>
  <c r="Y264" i="81"/>
  <c r="AF167" i="81"/>
  <c r="R106" i="81"/>
  <c r="R47" i="81" s="1"/>
  <c r="U176" i="81"/>
  <c r="F217" i="81"/>
  <c r="Z230" i="81"/>
  <c r="G152" i="81"/>
  <c r="Y271" i="81"/>
  <c r="H174" i="81"/>
  <c r="AF354" i="81"/>
  <c r="O98" i="81"/>
  <c r="O39" i="81" s="1"/>
  <c r="U299" i="81"/>
  <c r="O328" i="81"/>
  <c r="Q151" i="81"/>
  <c r="D245" i="81"/>
  <c r="U237" i="81"/>
  <c r="M148" i="81"/>
  <c r="AC360" i="81"/>
  <c r="AA293" i="81"/>
  <c r="F235" i="81"/>
  <c r="J183" i="81"/>
  <c r="L363" i="81"/>
  <c r="H323" i="81"/>
  <c r="T250" i="81"/>
  <c r="S155" i="81"/>
  <c r="AB324" i="81"/>
  <c r="Z335" i="81"/>
  <c r="AA263" i="81"/>
  <c r="O152" i="81"/>
  <c r="P231" i="81"/>
  <c r="G363" i="81"/>
  <c r="D70" i="81"/>
  <c r="D11" i="81" s="1"/>
  <c r="AD279" i="81"/>
  <c r="O133" i="81"/>
  <c r="S292" i="81"/>
  <c r="U74" i="81"/>
  <c r="U15" i="81" s="1"/>
  <c r="U167" i="81"/>
  <c r="L178" i="81"/>
  <c r="AA74" i="81"/>
  <c r="AA15" i="81" s="1"/>
  <c r="S104" i="81"/>
  <c r="S45" i="81" s="1"/>
  <c r="V299" i="81"/>
  <c r="J167" i="81"/>
  <c r="Z238" i="81"/>
  <c r="AA161" i="81"/>
  <c r="U323" i="81"/>
  <c r="Z73" i="81"/>
  <c r="Z14" i="81" s="1"/>
  <c r="O77" i="81"/>
  <c r="O18" i="81" s="1"/>
  <c r="V324" i="81"/>
  <c r="X323" i="81"/>
  <c r="Q207" i="81"/>
  <c r="W194" i="81"/>
  <c r="Y240" i="81"/>
  <c r="U216" i="81"/>
  <c r="AE321" i="81"/>
  <c r="Y364" i="81"/>
  <c r="AD221" i="81"/>
  <c r="N319" i="81"/>
  <c r="G341" i="81"/>
  <c r="E154" i="81"/>
  <c r="X118" i="81"/>
  <c r="X59" i="81" s="1"/>
  <c r="L271" i="81"/>
  <c r="W257" i="81"/>
  <c r="S301" i="81"/>
  <c r="AC215" i="81"/>
  <c r="O154" i="81"/>
  <c r="P337" i="81"/>
  <c r="S170" i="81"/>
  <c r="C194" i="81"/>
  <c r="R88" i="81"/>
  <c r="R29" i="81" s="1"/>
  <c r="H270" i="81"/>
  <c r="G168" i="81"/>
  <c r="AH101" i="81"/>
  <c r="AH42" i="81" s="1"/>
  <c r="S240" i="81"/>
  <c r="Z236" i="81"/>
  <c r="AB161" i="81"/>
  <c r="L92" i="81"/>
  <c r="L33" i="81" s="1"/>
  <c r="Y173" i="81"/>
  <c r="AA146" i="81"/>
  <c r="L236" i="81"/>
  <c r="AG264" i="81"/>
  <c r="Z266" i="81"/>
  <c r="Q70" i="81"/>
  <c r="Q11" i="81" s="1"/>
  <c r="E44" i="90"/>
  <c r="E22" i="90" s="1"/>
  <c r="C82" i="94"/>
  <c r="N132" i="90"/>
  <c r="D13" i="94"/>
  <c r="D82" i="94"/>
  <c r="F13" i="94"/>
  <c r="E54" i="94"/>
  <c r="J29" i="94"/>
  <c r="M29" i="94"/>
  <c r="M130" i="90"/>
  <c r="P165" i="81"/>
  <c r="E44" i="1"/>
  <c r="E28" i="31"/>
  <c r="E24" i="31"/>
  <c r="E20" i="1"/>
  <c r="E39" i="1"/>
  <c r="N269" i="28"/>
  <c r="E41" i="1"/>
  <c r="E37" i="1"/>
  <c r="E30" i="1"/>
  <c r="D13" i="1"/>
  <c r="E39" i="92"/>
  <c r="D16" i="1"/>
  <c r="E32" i="31"/>
  <c r="E35" i="92"/>
  <c r="E37" i="92"/>
  <c r="E24" i="1"/>
  <c r="E22" i="1"/>
  <c r="E42" i="1"/>
  <c r="D15" i="1"/>
  <c r="N265" i="28"/>
  <c r="N267" i="28"/>
  <c r="E22" i="31"/>
  <c r="D10" i="1"/>
  <c r="AC78" i="81"/>
  <c r="AC19" i="81" s="1"/>
  <c r="V259" i="81"/>
  <c r="Q365" i="81"/>
  <c r="Q255" i="81"/>
  <c r="I123" i="81"/>
  <c r="I64" i="81" s="1"/>
  <c r="Q234" i="81"/>
  <c r="F335" i="81"/>
  <c r="W190" i="81"/>
  <c r="AD364" i="81"/>
  <c r="V212" i="81"/>
  <c r="Y104" i="81"/>
  <c r="Y45" i="81" s="1"/>
  <c r="D85" i="81"/>
  <c r="D26" i="81" s="1"/>
  <c r="C172" i="81"/>
  <c r="K227" i="81"/>
  <c r="C331" i="81"/>
  <c r="V221" i="81"/>
  <c r="X324" i="81"/>
  <c r="AG210" i="81"/>
  <c r="Q295" i="81"/>
  <c r="AH334" i="81"/>
  <c r="W149" i="81"/>
  <c r="I183" i="81"/>
  <c r="I255" i="81"/>
  <c r="E160" i="81"/>
  <c r="Q240" i="81"/>
  <c r="F111" i="81"/>
  <c r="F52" i="81" s="1"/>
  <c r="M351" i="81"/>
  <c r="W330" i="81"/>
  <c r="J137" i="81"/>
  <c r="X325" i="81"/>
  <c r="L352" i="81"/>
  <c r="I277" i="81"/>
  <c r="AC253" i="81"/>
  <c r="W244" i="81"/>
  <c r="AB155" i="81"/>
  <c r="I302" i="81"/>
  <c r="F105" i="81"/>
  <c r="F46" i="81" s="1"/>
  <c r="J316" i="81"/>
  <c r="G336" i="81"/>
  <c r="K238" i="81"/>
  <c r="Q177" i="81"/>
  <c r="Q184" i="81"/>
  <c r="AA73" i="81"/>
  <c r="AA14" i="81" s="1"/>
  <c r="H310" i="81"/>
  <c r="V311" i="81"/>
  <c r="V160" i="81"/>
  <c r="AB232" i="81"/>
  <c r="Q200" i="81"/>
  <c r="S176" i="81"/>
  <c r="AG92" i="81"/>
  <c r="AG33" i="81" s="1"/>
  <c r="W215" i="81"/>
  <c r="C351" i="81"/>
  <c r="J119" i="81"/>
  <c r="J60" i="81" s="1"/>
  <c r="M337" i="81"/>
  <c r="G338" i="81"/>
  <c r="AH262" i="81"/>
  <c r="X71" i="81"/>
  <c r="X12" i="81" s="1"/>
  <c r="P311" i="81"/>
  <c r="R120" i="81"/>
  <c r="R61" i="81" s="1"/>
  <c r="AG221" i="81"/>
  <c r="V130" i="81"/>
  <c r="P124" i="81"/>
  <c r="P65" i="81" s="1"/>
  <c r="J135" i="81"/>
  <c r="AF286" i="81"/>
  <c r="D355" i="81"/>
  <c r="AE345" i="81"/>
  <c r="AC87" i="81"/>
  <c r="AC28" i="81" s="1"/>
  <c r="E291" i="81"/>
  <c r="Q74" i="81"/>
  <c r="Q15" i="81" s="1"/>
  <c r="Q84" i="81"/>
  <c r="Q25" i="81" s="1"/>
  <c r="L192" i="81"/>
  <c r="C195" i="81"/>
  <c r="M115" i="81"/>
  <c r="M56" i="81" s="1"/>
  <c r="AF107" i="81"/>
  <c r="AF48" i="81" s="1"/>
  <c r="T87" i="81"/>
  <c r="T28" i="81" s="1"/>
  <c r="Z140" i="81"/>
  <c r="L107" i="81"/>
  <c r="L48" i="81" s="1"/>
  <c r="K170" i="81"/>
  <c r="P206" i="81"/>
  <c r="N172" i="81"/>
  <c r="Y232" i="81"/>
  <c r="W227" i="81"/>
  <c r="U253" i="81"/>
  <c r="Y149" i="81"/>
  <c r="V255" i="81"/>
  <c r="I122" i="81"/>
  <c r="I63" i="81" s="1"/>
  <c r="T107" i="81"/>
  <c r="T48" i="81" s="1"/>
  <c r="P251" i="81"/>
  <c r="M251" i="81"/>
  <c r="L285" i="81"/>
  <c r="C211" i="81"/>
  <c r="K162" i="81"/>
  <c r="S116" i="81"/>
  <c r="S57" i="81" s="1"/>
  <c r="AD178" i="81"/>
  <c r="R264" i="81"/>
  <c r="S285" i="81"/>
  <c r="T316" i="81"/>
  <c r="AG203" i="81"/>
  <c r="J339" i="81"/>
  <c r="Z265" i="81"/>
  <c r="F354" i="81"/>
  <c r="U365" i="81"/>
  <c r="W222" i="81"/>
  <c r="W134" i="81"/>
  <c r="X70" i="81"/>
  <c r="X11" i="81" s="1"/>
  <c r="Q120" i="81"/>
  <c r="Q61" i="81" s="1"/>
  <c r="T278" i="81"/>
  <c r="AC89" i="81"/>
  <c r="AC30" i="81" s="1"/>
  <c r="O356" i="81"/>
  <c r="G224" i="81"/>
  <c r="N158" i="81"/>
  <c r="W163" i="81"/>
  <c r="G358" i="81"/>
  <c r="P215" i="81"/>
  <c r="I145" i="81"/>
  <c r="AD168" i="81"/>
  <c r="C130" i="81"/>
  <c r="D279" i="81"/>
  <c r="W176" i="81"/>
  <c r="AH336" i="81"/>
  <c r="M231" i="81"/>
  <c r="W184" i="81"/>
  <c r="O316" i="81"/>
  <c r="AB228" i="81"/>
  <c r="P226" i="81"/>
  <c r="Z259" i="81"/>
  <c r="L323" i="81"/>
  <c r="AC154" i="81"/>
  <c r="C153" i="81"/>
  <c r="Y182" i="81"/>
  <c r="F147" i="81"/>
  <c r="M184" i="81"/>
  <c r="AH217" i="81"/>
  <c r="J210" i="81"/>
  <c r="U150" i="81"/>
  <c r="V289" i="81"/>
  <c r="AA226" i="81"/>
  <c r="I177" i="81"/>
  <c r="K279" i="81"/>
  <c r="E269" i="81"/>
  <c r="P216" i="81"/>
  <c r="K313" i="81"/>
  <c r="Y335" i="81"/>
  <c r="W201" i="81"/>
  <c r="AF282" i="81"/>
  <c r="AC278" i="81"/>
  <c r="H223" i="81"/>
  <c r="D327" i="81"/>
  <c r="S253" i="81"/>
  <c r="AA275" i="81"/>
  <c r="K299" i="81"/>
  <c r="W331" i="81"/>
  <c r="G181" i="81"/>
  <c r="S322" i="81"/>
  <c r="G205" i="81"/>
  <c r="AC334" i="81"/>
  <c r="L351" i="81"/>
  <c r="W193" i="81"/>
  <c r="AC106" i="81"/>
  <c r="AC47" i="81" s="1"/>
  <c r="AC136" i="81"/>
  <c r="AE73" i="81"/>
  <c r="AE14" i="81" s="1"/>
  <c r="AF78" i="81"/>
  <c r="AF19" i="81" s="1"/>
  <c r="AG286" i="81"/>
  <c r="N227" i="81"/>
  <c r="R165" i="81"/>
  <c r="L263" i="81"/>
  <c r="W98" i="81"/>
  <c r="W39" i="81" s="1"/>
  <c r="Q105" i="81"/>
  <c r="Q46" i="81" s="1"/>
  <c r="AH74" i="81"/>
  <c r="AH15" i="81" s="1"/>
  <c r="U241" i="81"/>
  <c r="AG346" i="81"/>
  <c r="AD184" i="81"/>
  <c r="AH342" i="81"/>
  <c r="J192" i="81"/>
  <c r="H209" i="81"/>
  <c r="D299" i="81"/>
  <c r="T263" i="81"/>
  <c r="V143" i="81"/>
  <c r="S250" i="81"/>
  <c r="AE119" i="81"/>
  <c r="AE60" i="81" s="1"/>
  <c r="M164" i="81"/>
  <c r="L221" i="81"/>
  <c r="N350" i="81"/>
  <c r="I148" i="81"/>
  <c r="AF280" i="81"/>
  <c r="E73" i="81"/>
  <c r="E14" i="81" s="1"/>
  <c r="M319" i="81"/>
  <c r="AA355" i="81"/>
  <c r="H336" i="81"/>
  <c r="AE229" i="81"/>
  <c r="I210" i="81"/>
  <c r="P107" i="81"/>
  <c r="P48" i="81" s="1"/>
  <c r="T147" i="81"/>
  <c r="F222" i="81"/>
  <c r="Z239" i="81"/>
  <c r="I84" i="81"/>
  <c r="I25" i="81" s="1"/>
  <c r="K181" i="81"/>
  <c r="Z319" i="81"/>
  <c r="E93" i="81"/>
  <c r="E34" i="81" s="1"/>
  <c r="C104" i="81"/>
  <c r="C45" i="81" s="1"/>
  <c r="X333" i="81"/>
  <c r="X91" i="81"/>
  <c r="X32" i="81" s="1"/>
  <c r="U130" i="81"/>
  <c r="V71" i="81"/>
  <c r="V12" i="81" s="1"/>
  <c r="AH133" i="81"/>
  <c r="Q226" i="81"/>
  <c r="X109" i="81"/>
  <c r="X50" i="81" s="1"/>
  <c r="Y360" i="81"/>
  <c r="Y155" i="81"/>
  <c r="AB193" i="81"/>
  <c r="X263" i="81"/>
  <c r="K345" i="81"/>
  <c r="P314" i="81"/>
  <c r="N98" i="81"/>
  <c r="N39" i="81" s="1"/>
  <c r="O180" i="81"/>
  <c r="E89" i="81"/>
  <c r="E30" i="81" s="1"/>
  <c r="H178" i="81"/>
  <c r="AF232" i="81"/>
  <c r="AC173" i="81"/>
  <c r="I111" i="81"/>
  <c r="I52" i="81" s="1"/>
  <c r="X194" i="81"/>
  <c r="J354" i="81"/>
  <c r="W292" i="81"/>
  <c r="AE276" i="81"/>
  <c r="F325" i="81"/>
  <c r="N93" i="81"/>
  <c r="N34" i="81" s="1"/>
  <c r="Q304" i="81"/>
  <c r="P273" i="81"/>
  <c r="AG270" i="81"/>
  <c r="E219" i="81"/>
  <c r="AB356" i="81"/>
  <c r="E38" i="1"/>
  <c r="E202" i="81"/>
  <c r="L93" i="81"/>
  <c r="L34" i="81" s="1"/>
  <c r="L141" i="81"/>
  <c r="K119" i="81"/>
  <c r="K60" i="81" s="1"/>
  <c r="K89" i="81"/>
  <c r="K30" i="81" s="1"/>
  <c r="U206" i="81"/>
  <c r="M169" i="81"/>
  <c r="G332" i="81"/>
  <c r="N88" i="81"/>
  <c r="N29" i="81" s="1"/>
  <c r="AE353" i="81"/>
  <c r="AH87" i="81"/>
  <c r="AH28" i="81" s="1"/>
  <c r="X251" i="81"/>
  <c r="S206" i="81"/>
  <c r="F314" i="81"/>
  <c r="J359" i="81"/>
  <c r="Q83" i="81"/>
  <c r="Q24" i="81" s="1"/>
  <c r="I263" i="81"/>
  <c r="N237" i="81"/>
  <c r="Q210" i="81"/>
  <c r="AC297" i="81"/>
  <c r="K140" i="81"/>
  <c r="Z193" i="81"/>
  <c r="J281" i="81"/>
  <c r="AC357" i="81"/>
  <c r="AG353" i="81"/>
  <c r="AB350" i="81"/>
  <c r="W348" i="81"/>
  <c r="Z170" i="81"/>
  <c r="S92" i="81"/>
  <c r="S33" i="81" s="1"/>
  <c r="AC90" i="81"/>
  <c r="AC31" i="81" s="1"/>
  <c r="K112" i="81"/>
  <c r="K53" i="81" s="1"/>
  <c r="P39" i="5"/>
  <c r="P40" i="91" s="1"/>
  <c r="P15" i="91" s="1"/>
  <c r="L167" i="81"/>
  <c r="E169" i="81"/>
  <c r="AE243" i="81"/>
  <c r="K310" i="81"/>
  <c r="AA141" i="81"/>
  <c r="X283" i="81"/>
  <c r="AG326" i="81"/>
  <c r="R142" i="81"/>
  <c r="S319" i="81"/>
  <c r="U136" i="81"/>
  <c r="F358" i="81"/>
  <c r="AD243" i="81"/>
  <c r="P313" i="81"/>
  <c r="AF238" i="81"/>
  <c r="Y350" i="81"/>
  <c r="C269" i="81"/>
  <c r="T139" i="81"/>
  <c r="G104" i="81"/>
  <c r="G45" i="81" s="1"/>
  <c r="AE174" i="81"/>
  <c r="AE152" i="81"/>
  <c r="L196" i="81"/>
  <c r="AA119" i="81"/>
  <c r="AA60" i="81" s="1"/>
  <c r="AF260" i="81"/>
  <c r="Y115" i="81"/>
  <c r="Y56" i="81" s="1"/>
  <c r="W131" i="81"/>
  <c r="AH332" i="81"/>
  <c r="Y311" i="81"/>
  <c r="AA317" i="81"/>
  <c r="Q90" i="81"/>
  <c r="Q31" i="81" s="1"/>
  <c r="S323" i="81"/>
  <c r="AF169" i="81"/>
  <c r="AF271" i="81"/>
  <c r="I83" i="81"/>
  <c r="I24" i="81" s="1"/>
  <c r="AF255" i="81"/>
  <c r="X344" i="81"/>
  <c r="AA325" i="81"/>
  <c r="E203" i="81"/>
  <c r="X84" i="81"/>
  <c r="X25" i="81" s="1"/>
  <c r="O203" i="81"/>
  <c r="S111" i="81"/>
  <c r="S52" i="81" s="1"/>
  <c r="R236" i="81"/>
  <c r="H359" i="81"/>
  <c r="F211" i="81"/>
  <c r="I325" i="81"/>
  <c r="E147" i="81"/>
  <c r="D262" i="81"/>
  <c r="AD327" i="81"/>
  <c r="Z199" i="81"/>
  <c r="AD263" i="81"/>
  <c r="Q192" i="81"/>
  <c r="AD322" i="81"/>
  <c r="C320" i="81"/>
  <c r="K295" i="81"/>
  <c r="I280" i="81"/>
  <c r="G262" i="81"/>
  <c r="AF350" i="81"/>
  <c r="AC315" i="81"/>
  <c r="V91" i="81"/>
  <c r="V32" i="81" s="1"/>
  <c r="Q80" i="81"/>
  <c r="Q21" i="81" s="1"/>
  <c r="C168" i="81"/>
  <c r="R290" i="81"/>
  <c r="C201" i="81"/>
  <c r="V356" i="81"/>
  <c r="P290" i="81"/>
  <c r="F229" i="81"/>
  <c r="AB175" i="81"/>
  <c r="AH277" i="81"/>
  <c r="AF72" i="81"/>
  <c r="AF13" i="81" s="1"/>
  <c r="AF153" i="81"/>
  <c r="C271" i="81"/>
  <c r="J317" i="81"/>
  <c r="U222" i="81"/>
  <c r="E253" i="81"/>
  <c r="P267" i="81"/>
  <c r="AB223" i="81"/>
  <c r="W185" i="81"/>
  <c r="G156" i="81"/>
  <c r="H356" i="81"/>
  <c r="U195" i="81"/>
  <c r="R89" i="81"/>
  <c r="R30" i="81" s="1"/>
  <c r="K321" i="81"/>
  <c r="I229" i="81"/>
  <c r="K125" i="81"/>
  <c r="K66" i="81" s="1"/>
  <c r="R181" i="81"/>
  <c r="P169" i="81"/>
  <c r="AE161" i="81"/>
  <c r="AG345" i="81"/>
  <c r="L108" i="81"/>
  <c r="L49" i="81" s="1"/>
  <c r="I162" i="81"/>
  <c r="T202" i="81"/>
  <c r="X346" i="81"/>
  <c r="C339" i="81"/>
  <c r="AB167" i="81"/>
  <c r="G203" i="81"/>
  <c r="Z314" i="81"/>
  <c r="Z322" i="81"/>
  <c r="Z256" i="81"/>
  <c r="D109" i="81"/>
  <c r="D50" i="81" s="1"/>
  <c r="AE315" i="81"/>
  <c r="AC74" i="81"/>
  <c r="AC15" i="81" s="1"/>
  <c r="AB119" i="81"/>
  <c r="AB60" i="81" s="1"/>
  <c r="Z196" i="81"/>
  <c r="G159" i="81"/>
  <c r="AG100" i="81"/>
  <c r="AG41" i="81" s="1"/>
  <c r="F131" i="81"/>
  <c r="J87" i="81"/>
  <c r="J28" i="81" s="1"/>
  <c r="N357" i="81"/>
  <c r="AH274" i="81"/>
  <c r="L212" i="81"/>
  <c r="O313" i="81"/>
  <c r="I142" i="81"/>
  <c r="W196" i="81"/>
  <c r="Q172" i="81"/>
  <c r="J211" i="81"/>
  <c r="AH238" i="81"/>
  <c r="AF120" i="81"/>
  <c r="AF61" i="81" s="1"/>
  <c r="T190" i="81"/>
  <c r="S232" i="81"/>
  <c r="E260" i="81"/>
  <c r="AD131" i="81"/>
  <c r="P217" i="81"/>
  <c r="K280" i="81"/>
  <c r="J344" i="81"/>
  <c r="U168" i="81"/>
  <c r="T165" i="81"/>
  <c r="E151" i="81"/>
  <c r="L242" i="81"/>
  <c r="Z168" i="81"/>
  <c r="W169" i="81"/>
  <c r="E236" i="81"/>
  <c r="AE294" i="81"/>
  <c r="J112" i="81"/>
  <c r="J53" i="81" s="1"/>
  <c r="L327" i="81"/>
  <c r="E254" i="81"/>
  <c r="V202" i="81"/>
  <c r="V272" i="81"/>
  <c r="I223" i="81"/>
  <c r="N322" i="81"/>
  <c r="AA205" i="81"/>
  <c r="C179" i="81"/>
  <c r="W89" i="81"/>
  <c r="W30" i="81" s="1"/>
  <c r="O281" i="81"/>
  <c r="AG330" i="81"/>
  <c r="U331" i="81"/>
  <c r="AA105" i="81"/>
  <c r="AA46" i="81" s="1"/>
  <c r="D205" i="81"/>
  <c r="E120" i="81"/>
  <c r="E61" i="81" s="1"/>
  <c r="Q338" i="81"/>
  <c r="M167" i="81"/>
  <c r="E170" i="81"/>
  <c r="H146" i="81"/>
  <c r="I139" i="81"/>
  <c r="O177" i="81"/>
  <c r="E340" i="81"/>
  <c r="J164" i="81"/>
  <c r="D91" i="81"/>
  <c r="D32" i="81" s="1"/>
  <c r="W335" i="81"/>
  <c r="T359" i="81"/>
  <c r="O364" i="81"/>
  <c r="D92" i="81"/>
  <c r="D33" i="81" s="1"/>
  <c r="K99" i="81"/>
  <c r="K40" i="81" s="1"/>
  <c r="D220" i="81"/>
  <c r="AH321" i="81"/>
  <c r="Q85" i="81"/>
  <c r="Q26" i="81" s="1"/>
  <c r="S175" i="81"/>
  <c r="J105" i="81"/>
  <c r="J46" i="81" s="1"/>
  <c r="Y298" i="81"/>
  <c r="U292" i="81"/>
  <c r="G232" i="81"/>
  <c r="S275" i="81"/>
  <c r="AG108" i="81"/>
  <c r="AG49" i="81" s="1"/>
  <c r="U250" i="81"/>
  <c r="I168" i="81"/>
  <c r="I96" i="81"/>
  <c r="I37" i="81" s="1"/>
  <c r="AA266" i="81"/>
  <c r="X139" i="81"/>
  <c r="Y92" i="81"/>
  <c r="Y33" i="81" s="1"/>
  <c r="J338" i="81"/>
  <c r="U332" i="81"/>
  <c r="C287" i="81"/>
  <c r="M89" i="81"/>
  <c r="M30" i="81" s="1"/>
  <c r="Y230" i="81"/>
  <c r="U210" i="81"/>
  <c r="AE96" i="81"/>
  <c r="AE37" i="81" s="1"/>
  <c r="Q139" i="81"/>
  <c r="I134" i="81"/>
  <c r="H206" i="81"/>
  <c r="I158" i="81"/>
  <c r="AC344" i="81"/>
  <c r="AA264" i="81"/>
  <c r="U251" i="81"/>
  <c r="D120" i="81"/>
  <c r="D61" i="81" s="1"/>
  <c r="D259" i="81"/>
  <c r="P118" i="81"/>
  <c r="P59" i="81" s="1"/>
  <c r="Q142" i="81"/>
  <c r="P80" i="81"/>
  <c r="P21" i="81" s="1"/>
  <c r="L318" i="81"/>
  <c r="F203" i="81"/>
  <c r="AG231" i="81"/>
  <c r="AD143" i="81"/>
  <c r="AE81" i="81"/>
  <c r="AE22" i="81" s="1"/>
  <c r="D301" i="81"/>
  <c r="O266" i="81"/>
  <c r="E86" i="81"/>
  <c r="E27" i="81" s="1"/>
  <c r="E220" i="81"/>
  <c r="Y270" i="81"/>
  <c r="Q259" i="81"/>
  <c r="L176" i="81"/>
  <c r="M147" i="81"/>
  <c r="AH205" i="81"/>
  <c r="AC273" i="81"/>
  <c r="U342" i="81"/>
  <c r="O92" i="81"/>
  <c r="O33" i="81" s="1"/>
  <c r="T145" i="81"/>
  <c r="M170" i="81"/>
  <c r="AF152" i="81"/>
  <c r="Y238" i="81"/>
  <c r="S172" i="81"/>
  <c r="H80" i="81"/>
  <c r="H21" i="81" s="1"/>
  <c r="G325" i="81"/>
  <c r="I271" i="81"/>
  <c r="D312" i="81"/>
  <c r="G259" i="81"/>
  <c r="AB168" i="81"/>
  <c r="U162" i="81"/>
  <c r="N225" i="81"/>
  <c r="X259" i="81"/>
  <c r="Q89" i="81"/>
  <c r="Q30" i="81" s="1"/>
  <c r="X163" i="81"/>
  <c r="E204" i="81"/>
  <c r="K198" i="81"/>
  <c r="U243" i="81"/>
  <c r="G182" i="81"/>
  <c r="R356" i="81"/>
  <c r="T229" i="81"/>
  <c r="L84" i="81"/>
  <c r="L25" i="81" s="1"/>
  <c r="K210" i="81"/>
  <c r="AG82" i="81"/>
  <c r="AG23" i="81" s="1"/>
  <c r="Z353" i="81"/>
  <c r="T259" i="81"/>
  <c r="AC94" i="81"/>
  <c r="AC35" i="81" s="1"/>
  <c r="Q182" i="81"/>
  <c r="M209" i="81"/>
  <c r="O259" i="81"/>
  <c r="N299" i="81"/>
  <c r="Q87" i="81"/>
  <c r="Q28" i="81" s="1"/>
  <c r="AD112" i="81"/>
  <c r="AD53" i="81" s="1"/>
  <c r="I169" i="81"/>
  <c r="R161" i="81"/>
  <c r="J156" i="81"/>
  <c r="K76" i="81"/>
  <c r="K17" i="81" s="1"/>
  <c r="T197" i="81"/>
  <c r="H300" i="81"/>
  <c r="Q211" i="81"/>
  <c r="Q301" i="81"/>
  <c r="Z331" i="81"/>
  <c r="Z329" i="81"/>
  <c r="F120" i="81"/>
  <c r="F61" i="81" s="1"/>
  <c r="Y278" i="81"/>
  <c r="AE72" i="81"/>
  <c r="AE13" i="81" s="1"/>
  <c r="O190" i="81"/>
  <c r="N49" i="5"/>
  <c r="N24" i="5" s="1"/>
  <c r="L142" i="5"/>
  <c r="L143" i="91" s="1"/>
  <c r="L47" i="5"/>
  <c r="L22" i="5" s="1"/>
  <c r="P116" i="5"/>
  <c r="P117" i="91" s="1"/>
  <c r="E89" i="5"/>
  <c r="E90" i="91" s="1"/>
  <c r="I62" i="5"/>
  <c r="I63" i="91" s="1"/>
  <c r="H136" i="5"/>
  <c r="H137" i="91" s="1"/>
  <c r="O93" i="5"/>
  <c r="O94" i="91" s="1"/>
  <c r="G113" i="5"/>
  <c r="G114" i="91" s="1"/>
  <c r="F73" i="5"/>
  <c r="F74" i="91" s="1"/>
  <c r="N121" i="5"/>
  <c r="N122" i="91" s="1"/>
  <c r="H35" i="5"/>
  <c r="H36" i="91" s="1"/>
  <c r="H11" i="91" s="1"/>
  <c r="I147" i="5"/>
  <c r="I148" i="91" s="1"/>
  <c r="P48" i="5"/>
  <c r="P23" i="5" s="1"/>
  <c r="D93" i="5"/>
  <c r="D94" i="91" s="1"/>
  <c r="H49" i="5"/>
  <c r="H50" i="91" s="1"/>
  <c r="H25" i="91" s="1"/>
  <c r="L94" i="5"/>
  <c r="L95" i="91" s="1"/>
  <c r="C130" i="5"/>
  <c r="C131" i="91" s="1"/>
  <c r="K111" i="5"/>
  <c r="K112" i="91" s="1"/>
  <c r="G130" i="5"/>
  <c r="G131" i="91" s="1"/>
  <c r="E115" i="5"/>
  <c r="E116" i="91" s="1"/>
  <c r="E75" i="5"/>
  <c r="E76" i="91" s="1"/>
  <c r="J74" i="5"/>
  <c r="J75" i="91" s="1"/>
  <c r="K100" i="5"/>
  <c r="K101" i="91" s="1"/>
  <c r="J165" i="5"/>
  <c r="F47" i="5"/>
  <c r="F22" i="5" s="1"/>
  <c r="P93" i="5"/>
  <c r="P94" i="91" s="1"/>
  <c r="D88" i="5"/>
  <c r="D89" i="91" s="1"/>
  <c r="I59" i="5"/>
  <c r="I60" i="91" s="1"/>
  <c r="L115" i="5"/>
  <c r="L116" i="91" s="1"/>
  <c r="M136" i="5"/>
  <c r="M137" i="91" s="1"/>
  <c r="N141" i="5"/>
  <c r="N142" i="91" s="1"/>
  <c r="C100" i="5"/>
  <c r="C101" i="91" s="1"/>
  <c r="P103" i="5"/>
  <c r="P104" i="91" s="1"/>
  <c r="P40" i="5"/>
  <c r="P41" i="91" s="1"/>
  <c r="P16" i="91" s="1"/>
  <c r="O153" i="5"/>
  <c r="O154" i="91" s="1"/>
  <c r="L152" i="5"/>
  <c r="L153" i="91" s="1"/>
  <c r="F67" i="5"/>
  <c r="F68" i="91" s="1"/>
  <c r="K93" i="5"/>
  <c r="K94" i="91" s="1"/>
  <c r="G92" i="5"/>
  <c r="G93" i="91" s="1"/>
  <c r="P37" i="5"/>
  <c r="P12" i="5" s="1"/>
  <c r="K64" i="5"/>
  <c r="K65" i="91" s="1"/>
  <c r="I140" i="5"/>
  <c r="I141" i="91" s="1"/>
  <c r="D92" i="5"/>
  <c r="D93" i="91" s="1"/>
  <c r="I45" i="5"/>
  <c r="I20" i="5" s="1"/>
  <c r="L137" i="5"/>
  <c r="L138" i="91" s="1"/>
  <c r="C46" i="5"/>
  <c r="C47" i="91" s="1"/>
  <c r="C22" i="91" s="1"/>
  <c r="M96" i="5"/>
  <c r="M97" i="91" s="1"/>
  <c r="M88" i="5"/>
  <c r="M89" i="91" s="1"/>
  <c r="C96" i="5"/>
  <c r="C97" i="91" s="1"/>
  <c r="I85" i="5"/>
  <c r="I86" i="91" s="1"/>
  <c r="F35" i="5"/>
  <c r="F36" i="91" s="1"/>
  <c r="F11" i="91" s="1"/>
  <c r="F90" i="5"/>
  <c r="F91" i="91" s="1"/>
  <c r="N62" i="5"/>
  <c r="N63" i="91" s="1"/>
  <c r="O101" i="5"/>
  <c r="O102" i="91" s="1"/>
  <c r="G39" i="5"/>
  <c r="G14" i="5" s="1"/>
  <c r="E76" i="5"/>
  <c r="E77" i="91" s="1"/>
  <c r="I152" i="5"/>
  <c r="I153" i="91" s="1"/>
  <c r="O128" i="5"/>
  <c r="O129" i="91" s="1"/>
  <c r="L71" i="5"/>
  <c r="L72" i="91" s="1"/>
  <c r="H75" i="5"/>
  <c r="H76" i="91" s="1"/>
  <c r="I129" i="5"/>
  <c r="I130" i="91" s="1"/>
  <c r="M119" i="5"/>
  <c r="M120" i="91" s="1"/>
  <c r="K88" i="5"/>
  <c r="K89" i="91" s="1"/>
  <c r="H154" i="5"/>
  <c r="H155" i="91" s="1"/>
  <c r="P64" i="5"/>
  <c r="P65" i="91" s="1"/>
  <c r="M59" i="5"/>
  <c r="M60" i="91" s="1"/>
  <c r="I55" i="5"/>
  <c r="I56" i="91" s="1"/>
  <c r="I31" i="91" s="1"/>
  <c r="M44" i="5"/>
  <c r="M45" i="91" s="1"/>
  <c r="M20" i="91" s="1"/>
  <c r="M154" i="5"/>
  <c r="M155" i="91" s="1"/>
  <c r="L76" i="5"/>
  <c r="L77" i="91" s="1"/>
  <c r="D34" i="5"/>
  <c r="D9" i="5" s="1"/>
  <c r="D54" i="5"/>
  <c r="D29" i="5" s="1"/>
  <c r="F120" i="5"/>
  <c r="F121" i="91" s="1"/>
  <c r="M35" i="5"/>
  <c r="M36" i="91" s="1"/>
  <c r="M11" i="91" s="1"/>
  <c r="N127" i="5"/>
  <c r="N128" i="91" s="1"/>
  <c r="K47" i="5"/>
  <c r="K22" i="5" s="1"/>
  <c r="K76" i="5"/>
  <c r="K77" i="91" s="1"/>
  <c r="E119" i="5"/>
  <c r="E120" i="91" s="1"/>
  <c r="M98" i="5"/>
  <c r="M99" i="91" s="1"/>
  <c r="O154" i="5"/>
  <c r="O155" i="91" s="1"/>
  <c r="G49" i="5"/>
  <c r="G50" i="91" s="1"/>
  <c r="G25" i="91" s="1"/>
  <c r="L74" i="5"/>
  <c r="L75" i="91" s="1"/>
  <c r="E109" i="5"/>
  <c r="E110" i="91" s="1"/>
  <c r="P49" i="5"/>
  <c r="P50" i="91" s="1"/>
  <c r="P25" i="91" s="1"/>
  <c r="J70" i="5"/>
  <c r="J71" i="91" s="1"/>
  <c r="C140" i="5"/>
  <c r="C141" i="91" s="1"/>
  <c r="P59" i="5"/>
  <c r="P60" i="91" s="1"/>
  <c r="L72" i="5"/>
  <c r="L73" i="91" s="1"/>
  <c r="O51" i="5"/>
  <c r="O26" i="5" s="1"/>
  <c r="D94" i="5"/>
  <c r="D95" i="91" s="1"/>
  <c r="G62" i="5"/>
  <c r="G63" i="91" s="1"/>
  <c r="F102" i="5"/>
  <c r="F103" i="91" s="1"/>
  <c r="F63" i="5"/>
  <c r="F64" i="91" s="1"/>
  <c r="I154" i="5"/>
  <c r="I155" i="91" s="1"/>
  <c r="G98" i="5"/>
  <c r="G99" i="91" s="1"/>
  <c r="C104" i="5"/>
  <c r="C105" i="91" s="1"/>
  <c r="P123" i="5"/>
  <c r="P124" i="91" s="1"/>
  <c r="J119" i="5"/>
  <c r="J120" i="91" s="1"/>
  <c r="E143" i="5"/>
  <c r="E144" i="91" s="1"/>
  <c r="O80" i="5"/>
  <c r="O81" i="91" s="1"/>
  <c r="C52" i="5"/>
  <c r="C27" i="5" s="1"/>
  <c r="H105" i="5"/>
  <c r="H106" i="91" s="1"/>
  <c r="G37" i="5"/>
  <c r="G38" i="91" s="1"/>
  <c r="G13" i="91" s="1"/>
  <c r="J138" i="5"/>
  <c r="J139" i="91" s="1"/>
  <c r="J104" i="5"/>
  <c r="J105" i="91" s="1"/>
  <c r="G119" i="5"/>
  <c r="G120" i="91" s="1"/>
  <c r="G51" i="5"/>
  <c r="G26" i="5" s="1"/>
  <c r="I148" i="5"/>
  <c r="I149" i="91" s="1"/>
  <c r="I61" i="5"/>
  <c r="I62" i="91" s="1"/>
  <c r="P55" i="5"/>
  <c r="P56" i="91" s="1"/>
  <c r="P31" i="91" s="1"/>
  <c r="G164" i="5"/>
  <c r="H39" i="5"/>
  <c r="H14" i="5" s="1"/>
  <c r="P150" i="5"/>
  <c r="P151" i="91" s="1"/>
  <c r="H124" i="5"/>
  <c r="H125" i="91" s="1"/>
  <c r="C115" i="5"/>
  <c r="C116" i="91" s="1"/>
  <c r="E155" i="5"/>
  <c r="E156" i="91" s="1"/>
  <c r="F109" i="5"/>
  <c r="F110" i="91" s="1"/>
  <c r="E149" i="5"/>
  <c r="E150" i="91" s="1"/>
  <c r="L145" i="5"/>
  <c r="L146" i="91" s="1"/>
  <c r="H64" i="5"/>
  <c r="H65" i="91" s="1"/>
  <c r="M94" i="5"/>
  <c r="M95" i="91" s="1"/>
  <c r="M111" i="5"/>
  <c r="M112" i="91" s="1"/>
  <c r="G118" i="5"/>
  <c r="G119" i="91" s="1"/>
  <c r="D140" i="5"/>
  <c r="D141" i="91" s="1"/>
  <c r="P36" i="5"/>
  <c r="P37" i="91" s="1"/>
  <c r="P12" i="91" s="1"/>
  <c r="D155" i="5"/>
  <c r="D156" i="91" s="1"/>
  <c r="H123" i="5"/>
  <c r="H124" i="91" s="1"/>
  <c r="D116" i="5"/>
  <c r="D117" i="91" s="1"/>
  <c r="H89" i="5"/>
  <c r="H90" i="91" s="1"/>
  <c r="M41" i="5"/>
  <c r="M42" i="91" s="1"/>
  <c r="M17" i="91" s="1"/>
  <c r="P136" i="5"/>
  <c r="P137" i="91" s="1"/>
  <c r="M135" i="5"/>
  <c r="M136" i="91" s="1"/>
  <c r="I60" i="5"/>
  <c r="I61" i="91" s="1"/>
  <c r="O94" i="5"/>
  <c r="O95" i="91" s="1"/>
  <c r="H152" i="5"/>
  <c r="H153" i="91" s="1"/>
  <c r="G146" i="5"/>
  <c r="G147" i="91" s="1"/>
  <c r="N60" i="5"/>
  <c r="N61" i="91" s="1"/>
  <c r="G121" i="5"/>
  <c r="G122" i="91" s="1"/>
  <c r="K54" i="5"/>
  <c r="K29" i="5" s="1"/>
  <c r="K105" i="5"/>
  <c r="K106" i="91" s="1"/>
  <c r="O122" i="5"/>
  <c r="O123" i="91" s="1"/>
  <c r="K102" i="5"/>
  <c r="K103" i="91" s="1"/>
  <c r="J69" i="5"/>
  <c r="J70" i="91" s="1"/>
  <c r="O145" i="5"/>
  <c r="O146" i="91" s="1"/>
  <c r="N128" i="5"/>
  <c r="N129" i="91" s="1"/>
  <c r="C139" i="5"/>
  <c r="C140" i="91" s="1"/>
  <c r="L66" i="5"/>
  <c r="L67" i="91" s="1"/>
  <c r="K121" i="5"/>
  <c r="K122" i="91" s="1"/>
  <c r="O49" i="5"/>
  <c r="O50" i="91" s="1"/>
  <c r="O25" i="91" s="1"/>
  <c r="N93" i="5"/>
  <c r="N94" i="91" s="1"/>
  <c r="J41" i="5"/>
  <c r="J42" i="91" s="1"/>
  <c r="J17" i="91" s="1"/>
  <c r="M95" i="5"/>
  <c r="M96" i="91" s="1"/>
  <c r="L103" i="5"/>
  <c r="L104" i="91" s="1"/>
  <c r="M70" i="5"/>
  <c r="M71" i="91" s="1"/>
  <c r="G60" i="5"/>
  <c r="G61" i="91" s="1"/>
  <c r="E146" i="5"/>
  <c r="E147" i="91" s="1"/>
  <c r="I63" i="5"/>
  <c r="I64" i="91" s="1"/>
  <c r="I72" i="5"/>
  <c r="I73" i="91" s="1"/>
  <c r="F68" i="5"/>
  <c r="F69" i="91" s="1"/>
  <c r="F148" i="5"/>
  <c r="F149" i="91" s="1"/>
  <c r="O103" i="5"/>
  <c r="O104" i="91" s="1"/>
  <c r="L44" i="5"/>
  <c r="L19" i="5" s="1"/>
  <c r="E164" i="5"/>
  <c r="M97" i="5"/>
  <c r="M98" i="91" s="1"/>
  <c r="K38" i="5"/>
  <c r="K39" i="91" s="1"/>
  <c r="K14" i="91" s="1"/>
  <c r="G109" i="5"/>
  <c r="G110" i="91" s="1"/>
  <c r="D67" i="5"/>
  <c r="D68" i="91" s="1"/>
  <c r="J139" i="5"/>
  <c r="J140" i="91" s="1"/>
  <c r="K97" i="5"/>
  <c r="K98" i="91" s="1"/>
  <c r="F115" i="5"/>
  <c r="F116" i="91" s="1"/>
  <c r="M80" i="5"/>
  <c r="M81" i="91" s="1"/>
  <c r="F150" i="5"/>
  <c r="F151" i="91" s="1"/>
  <c r="L150" i="5"/>
  <c r="L151" i="91" s="1"/>
  <c r="I118" i="5"/>
  <c r="I119" i="91" s="1"/>
  <c r="J88" i="5"/>
  <c r="J89" i="91" s="1"/>
  <c r="P73" i="5"/>
  <c r="P74" i="91" s="1"/>
  <c r="M68" i="5"/>
  <c r="M69" i="91" s="1"/>
  <c r="P124" i="5"/>
  <c r="P125" i="91" s="1"/>
  <c r="M66" i="5"/>
  <c r="M67" i="91" s="1"/>
  <c r="D145" i="5"/>
  <c r="D146" i="91" s="1"/>
  <c r="D148" i="5"/>
  <c r="D149" i="91" s="1"/>
  <c r="P155" i="5"/>
  <c r="P156" i="91" s="1"/>
  <c r="I102" i="5"/>
  <c r="I103" i="91" s="1"/>
  <c r="O104" i="5"/>
  <c r="O105" i="91" s="1"/>
  <c r="P62" i="5"/>
  <c r="P63" i="91" s="1"/>
  <c r="I66" i="5"/>
  <c r="I67" i="91" s="1"/>
  <c r="G86" i="5"/>
  <c r="G87" i="91" s="1"/>
  <c r="F149" i="5"/>
  <c r="F150" i="91" s="1"/>
  <c r="H63" i="5"/>
  <c r="H64" i="91" s="1"/>
  <c r="I93" i="5"/>
  <c r="I94" i="91" s="1"/>
  <c r="L43" i="5"/>
  <c r="L18" i="5" s="1"/>
  <c r="AG146" i="81"/>
  <c r="V177" i="81"/>
  <c r="L339" i="81"/>
  <c r="H236" i="81"/>
  <c r="W267" i="81"/>
  <c r="AD180" i="81"/>
  <c r="X301" i="81"/>
  <c r="H168" i="81"/>
  <c r="P175" i="81"/>
  <c r="O221" i="81"/>
  <c r="R320" i="81"/>
  <c r="I175" i="81"/>
  <c r="AH104" i="81"/>
  <c r="AH45" i="81" s="1"/>
  <c r="AH362" i="81"/>
  <c r="W237" i="81"/>
  <c r="H226" i="81"/>
  <c r="S293" i="81"/>
  <c r="S167" i="81"/>
  <c r="E77" i="81"/>
  <c r="E18" i="81" s="1"/>
  <c r="D291" i="81"/>
  <c r="L329" i="81"/>
  <c r="AF75" i="81"/>
  <c r="AF16" i="81" s="1"/>
  <c r="S74" i="81"/>
  <c r="S15" i="81" s="1"/>
  <c r="W83" i="81"/>
  <c r="W24" i="81" s="1"/>
  <c r="F183" i="81"/>
  <c r="O175" i="81"/>
  <c r="N252" i="81"/>
  <c r="AB160" i="81"/>
  <c r="AA83" i="81"/>
  <c r="AA24" i="81" s="1"/>
  <c r="N76" i="81"/>
  <c r="N17" i="81" s="1"/>
  <c r="AD212" i="81"/>
  <c r="AH331" i="81"/>
  <c r="AE134" i="81"/>
  <c r="M353" i="81"/>
  <c r="P153" i="81"/>
  <c r="S314" i="81"/>
  <c r="T293" i="81"/>
  <c r="V245" i="81"/>
  <c r="G165" i="81"/>
  <c r="W323" i="81"/>
  <c r="AF90" i="81"/>
  <c r="AF31" i="81" s="1"/>
  <c r="AB174" i="81"/>
  <c r="AE350" i="81"/>
  <c r="Q121" i="81"/>
  <c r="Q62" i="81" s="1"/>
  <c r="AG292" i="81"/>
  <c r="E355" i="81"/>
  <c r="AH107" i="81"/>
  <c r="AH48" i="81" s="1"/>
  <c r="AE351" i="81"/>
  <c r="G260" i="81"/>
  <c r="P120" i="81"/>
  <c r="P61" i="81" s="1"/>
  <c r="Z338" i="81"/>
  <c r="E362" i="81"/>
  <c r="N192" i="81"/>
  <c r="AE245" i="81"/>
  <c r="AC84" i="81"/>
  <c r="AC25" i="81" s="1"/>
  <c r="L341" i="81"/>
  <c r="U337" i="81"/>
  <c r="AF76" i="81"/>
  <c r="AF17" i="81" s="1"/>
  <c r="V123" i="81"/>
  <c r="V64" i="81" s="1"/>
  <c r="AD333" i="81"/>
  <c r="AE365" i="81"/>
  <c r="J140" i="81"/>
  <c r="P362" i="81"/>
  <c r="K155" i="81"/>
  <c r="AA196" i="81"/>
  <c r="AG331" i="81"/>
  <c r="T292" i="81"/>
  <c r="AC354" i="81"/>
  <c r="S280" i="81"/>
  <c r="T269" i="81"/>
  <c r="Q109" i="81"/>
  <c r="Q50" i="81" s="1"/>
  <c r="Y225" i="81"/>
  <c r="S106" i="81"/>
  <c r="S47" i="81" s="1"/>
  <c r="E285" i="81"/>
  <c r="V86" i="81"/>
  <c r="V27" i="81" s="1"/>
  <c r="E267" i="81"/>
  <c r="I322" i="81"/>
  <c r="N167" i="81"/>
  <c r="U330" i="81"/>
  <c r="Z183" i="81"/>
  <c r="I254" i="81"/>
  <c r="C238" i="81"/>
  <c r="X329" i="81"/>
  <c r="AD357" i="81"/>
  <c r="N143" i="81"/>
  <c r="Y147" i="81"/>
  <c r="U83" i="81"/>
  <c r="U24" i="81" s="1"/>
  <c r="V349" i="81"/>
  <c r="J335" i="81"/>
  <c r="AH287" i="81"/>
  <c r="U132" i="81"/>
  <c r="I192" i="81"/>
  <c r="T276" i="81"/>
  <c r="X363" i="81"/>
  <c r="D267" i="81"/>
  <c r="AC255" i="81"/>
  <c r="E345" i="81"/>
  <c r="O104" i="81"/>
  <c r="O45" i="81" s="1"/>
  <c r="S145" i="81"/>
  <c r="E353" i="81"/>
  <c r="Z293" i="81"/>
  <c r="AH256" i="81"/>
  <c r="V335" i="81"/>
  <c r="AA260" i="81"/>
  <c r="Q326" i="81"/>
  <c r="J99" i="81"/>
  <c r="J40" i="81" s="1"/>
  <c r="AF266" i="81"/>
  <c r="J209" i="81"/>
  <c r="AC365" i="81"/>
  <c r="AE319" i="81"/>
  <c r="T149" i="81"/>
  <c r="T111" i="81"/>
  <c r="T52" i="81" s="1"/>
  <c r="Y196" i="81"/>
  <c r="AD343" i="81"/>
  <c r="H319" i="81"/>
  <c r="E214" i="81"/>
  <c r="Q318" i="81"/>
  <c r="H151" i="81"/>
  <c r="AG93" i="81"/>
  <c r="AG34" i="81" s="1"/>
  <c r="C198" i="81"/>
  <c r="O96" i="81"/>
  <c r="O37" i="81" s="1"/>
  <c r="D251" i="81"/>
  <c r="F232" i="81"/>
  <c r="Z339" i="81"/>
  <c r="I278" i="81"/>
  <c r="AB210" i="81"/>
  <c r="AG310" i="81"/>
  <c r="T125" i="81"/>
  <c r="T66" i="81" s="1"/>
  <c r="AG316" i="81"/>
  <c r="X355" i="81"/>
  <c r="I117" i="81"/>
  <c r="I58" i="81" s="1"/>
  <c r="AC264" i="81"/>
  <c r="AF233" i="81"/>
  <c r="C96" i="81"/>
  <c r="C37" i="81" s="1"/>
  <c r="S354" i="81"/>
  <c r="AB158" i="81"/>
  <c r="K328" i="81"/>
  <c r="D256" i="81"/>
  <c r="AC91" i="81"/>
  <c r="AC32" i="81" s="1"/>
  <c r="AC229" i="81"/>
  <c r="U198" i="81"/>
  <c r="AC327" i="81"/>
  <c r="AB265" i="81"/>
  <c r="J134" i="81"/>
  <c r="T137" i="81"/>
  <c r="V274" i="81"/>
  <c r="AA279" i="81"/>
  <c r="D163" i="81"/>
  <c r="U319" i="81"/>
  <c r="AF256" i="81"/>
  <c r="U99" i="81"/>
  <c r="U40" i="81" s="1"/>
  <c r="AD209" i="81"/>
  <c r="AF140" i="81"/>
  <c r="M266" i="81"/>
  <c r="Y99" i="81"/>
  <c r="Y40" i="81" s="1"/>
  <c r="R319" i="81"/>
  <c r="AH93" i="81"/>
  <c r="AH34" i="81" s="1"/>
  <c r="AH178" i="81"/>
  <c r="N99" i="81"/>
  <c r="N40" i="81" s="1"/>
  <c r="H275" i="81"/>
  <c r="M330" i="81"/>
  <c r="AH125" i="81"/>
  <c r="AH66" i="81" s="1"/>
  <c r="O117" i="81"/>
  <c r="O58" i="81" s="1"/>
  <c r="AD198" i="81"/>
  <c r="Q131" i="81"/>
  <c r="S315" i="81"/>
  <c r="R263" i="81"/>
  <c r="AG71" i="81"/>
  <c r="AG12" i="81" s="1"/>
  <c r="AD312" i="81"/>
  <c r="M299" i="81"/>
  <c r="F216" i="81"/>
  <c r="H105" i="81"/>
  <c r="H46" i="81" s="1"/>
  <c r="Z116" i="81"/>
  <c r="Z57" i="81" s="1"/>
  <c r="L345" i="81"/>
  <c r="M146" i="81"/>
  <c r="I184" i="81"/>
  <c r="M270" i="81"/>
  <c r="AH323" i="81"/>
  <c r="O353" i="81"/>
  <c r="AG213" i="81"/>
  <c r="D346" i="81"/>
  <c r="AF315" i="81"/>
  <c r="M332" i="81"/>
  <c r="AF345" i="81"/>
  <c r="R178" i="81"/>
  <c r="N121" i="81"/>
  <c r="N62" i="81" s="1"/>
  <c r="AE180" i="81"/>
  <c r="Y303" i="81"/>
  <c r="Z124" i="81"/>
  <c r="Z65" i="81" s="1"/>
  <c r="L357" i="81"/>
  <c r="V242" i="81"/>
  <c r="O274" i="81"/>
  <c r="AB102" i="81"/>
  <c r="AB43" i="81" s="1"/>
  <c r="D78" i="81"/>
  <c r="D19" i="81" s="1"/>
  <c r="G305" i="81"/>
  <c r="L303" i="81"/>
  <c r="R90" i="81"/>
  <c r="R31" i="81" s="1"/>
  <c r="V275" i="81"/>
  <c r="P211" i="81"/>
  <c r="J342" i="81"/>
  <c r="H281" i="81"/>
  <c r="H234" i="81"/>
  <c r="N297" i="81"/>
  <c r="W180" i="81"/>
  <c r="AC144" i="81"/>
  <c r="U145" i="81"/>
  <c r="R265" i="81"/>
  <c r="M291" i="81"/>
  <c r="AH245" i="81"/>
  <c r="J97" i="81"/>
  <c r="J38" i="81" s="1"/>
  <c r="Q103" i="81"/>
  <c r="Q44" i="81" s="1"/>
  <c r="X146" i="81"/>
  <c r="R85" i="81"/>
  <c r="R26" i="81" s="1"/>
  <c r="C107" i="81"/>
  <c r="C48" i="81" s="1"/>
  <c r="C175" i="81"/>
  <c r="AH77" i="81"/>
  <c r="AH18" i="81" s="1"/>
  <c r="H233" i="81"/>
  <c r="J198" i="81"/>
  <c r="J293" i="81"/>
  <c r="AD78" i="81"/>
  <c r="AD19" i="81" s="1"/>
  <c r="I227" i="81"/>
  <c r="G71" i="81"/>
  <c r="G12" i="81" s="1"/>
  <c r="I228" i="81"/>
  <c r="C131" i="81"/>
  <c r="AE149" i="81"/>
  <c r="C260" i="81"/>
  <c r="I357" i="81"/>
  <c r="W270" i="81"/>
  <c r="U174" i="81"/>
  <c r="C356" i="81"/>
  <c r="J242" i="81"/>
  <c r="H291" i="81"/>
  <c r="E144" i="81"/>
  <c r="AE224" i="81"/>
  <c r="AC343" i="81"/>
  <c r="G122" i="81"/>
  <c r="G63" i="81" s="1"/>
  <c r="C117" i="81"/>
  <c r="C58" i="81" s="1"/>
  <c r="Q243" i="81"/>
  <c r="Q270" i="81"/>
  <c r="P110" i="81"/>
  <c r="P51" i="81" s="1"/>
  <c r="AH111" i="81"/>
  <c r="AH52" i="81" s="1"/>
  <c r="V201" i="81"/>
  <c r="AB203" i="81"/>
  <c r="C222" i="81"/>
  <c r="S266" i="81"/>
  <c r="I238" i="81"/>
  <c r="AH207" i="81"/>
  <c r="AF323" i="81"/>
  <c r="AH96" i="81"/>
  <c r="AH37" i="81" s="1"/>
  <c r="L337" i="81"/>
  <c r="R197" i="81"/>
  <c r="AG142" i="81"/>
  <c r="Q147" i="81"/>
  <c r="S226" i="81"/>
  <c r="D75" i="81"/>
  <c r="D16" i="81" s="1"/>
  <c r="AG245" i="81"/>
  <c r="O142" i="81"/>
  <c r="AG300" i="81"/>
  <c r="T347" i="81"/>
  <c r="C144" i="81"/>
  <c r="D62" i="5"/>
  <c r="D63" i="91" s="1"/>
  <c r="K98" i="65"/>
  <c r="K98" i="93" s="1"/>
  <c r="C79" i="65"/>
  <c r="C79" i="93" s="1"/>
  <c r="L34" i="65"/>
  <c r="L34" i="93" s="1"/>
  <c r="L88" i="65"/>
  <c r="L88" i="93" s="1"/>
  <c r="I54" i="65"/>
  <c r="I54" i="93" s="1"/>
  <c r="C113" i="65"/>
  <c r="C113" i="93" s="1"/>
  <c r="O14" i="65"/>
  <c r="O14" i="93" s="1"/>
  <c r="J85" i="65"/>
  <c r="J85" i="93" s="1"/>
  <c r="K58" i="65"/>
  <c r="K58" i="93" s="1"/>
  <c r="H97" i="65"/>
  <c r="H97" i="93" s="1"/>
  <c r="I75" i="65"/>
  <c r="I75" i="93" s="1"/>
  <c r="J53" i="65"/>
  <c r="J53" i="93" s="1"/>
  <c r="H89" i="65"/>
  <c r="H89" i="93" s="1"/>
  <c r="F94" i="65"/>
  <c r="F94" i="93" s="1"/>
  <c r="P53" i="65"/>
  <c r="P53" i="93" s="1"/>
  <c r="N126" i="65"/>
  <c r="N126" i="93" s="1"/>
  <c r="N104" i="65"/>
  <c r="N104" i="93" s="1"/>
  <c r="E107" i="65"/>
  <c r="E107" i="93" s="1"/>
  <c r="M22" i="65"/>
  <c r="M22" i="93" s="1"/>
  <c r="N10" i="65"/>
  <c r="N10" i="93" s="1"/>
  <c r="E24" i="65"/>
  <c r="E24" i="93" s="1"/>
  <c r="I35" i="65"/>
  <c r="I35" i="93" s="1"/>
  <c r="L46" i="65"/>
  <c r="L46" i="93" s="1"/>
  <c r="K95" i="65"/>
  <c r="K95" i="93" s="1"/>
  <c r="G41" i="65"/>
  <c r="G41" i="93" s="1"/>
  <c r="N11" i="65"/>
  <c r="N11" i="93" s="1"/>
  <c r="D35" i="65"/>
  <c r="D35" i="93" s="1"/>
  <c r="I116" i="65"/>
  <c r="I116" i="93" s="1"/>
  <c r="E121" i="65"/>
  <c r="E121" i="93" s="1"/>
  <c r="E58" i="65"/>
  <c r="E58" i="93" s="1"/>
  <c r="H61" i="65"/>
  <c r="H61" i="93" s="1"/>
  <c r="L44" i="65"/>
  <c r="L44" i="93" s="1"/>
  <c r="N52" i="65"/>
  <c r="N52" i="93" s="1"/>
  <c r="M21" i="65"/>
  <c r="M21" i="93" s="1"/>
  <c r="E72" i="65"/>
  <c r="E72" i="93" s="1"/>
  <c r="N63" i="65"/>
  <c r="N63" i="93" s="1"/>
  <c r="D105" i="65"/>
  <c r="D105" i="93" s="1"/>
  <c r="I119" i="65"/>
  <c r="I119" i="93" s="1"/>
  <c r="H58" i="65"/>
  <c r="H58" i="93" s="1"/>
  <c r="M123" i="65"/>
  <c r="M123" i="93" s="1"/>
  <c r="K93" i="65"/>
  <c r="K93" i="93" s="1"/>
  <c r="O110" i="65"/>
  <c r="O110" i="93" s="1"/>
  <c r="D59" i="65"/>
  <c r="D59" i="93" s="1"/>
  <c r="E79" i="65"/>
  <c r="E79" i="93" s="1"/>
  <c r="P51" i="65"/>
  <c r="P51" i="93" s="1"/>
  <c r="L66" i="65"/>
  <c r="L66" i="93" s="1"/>
  <c r="N128" i="65"/>
  <c r="N128" i="93" s="1"/>
  <c r="L28" i="65"/>
  <c r="L28" i="93" s="1"/>
  <c r="P23" i="65"/>
  <c r="P23" i="93" s="1"/>
  <c r="J35" i="65"/>
  <c r="J35" i="93" s="1"/>
  <c r="K53" i="65"/>
  <c r="K53" i="93" s="1"/>
  <c r="K42" i="65"/>
  <c r="K42" i="93" s="1"/>
  <c r="D14" i="65"/>
  <c r="D14" i="93" s="1"/>
  <c r="E115" i="65"/>
  <c r="E115" i="93" s="1"/>
  <c r="D85" i="65"/>
  <c r="D85" i="93" s="1"/>
  <c r="J56" i="65"/>
  <c r="J56" i="93" s="1"/>
  <c r="H60" i="65"/>
  <c r="H60" i="93" s="1"/>
  <c r="K24" i="65"/>
  <c r="K24" i="93" s="1"/>
  <c r="E50" i="65"/>
  <c r="E50" i="93" s="1"/>
  <c r="J9" i="65"/>
  <c r="J9" i="93" s="1"/>
  <c r="G120" i="65"/>
  <c r="G120" i="93" s="1"/>
  <c r="O33" i="65"/>
  <c r="O33" i="93" s="1"/>
  <c r="C97" i="65"/>
  <c r="C97" i="93" s="1"/>
  <c r="K77" i="65"/>
  <c r="K77" i="93" s="1"/>
  <c r="D15" i="65"/>
  <c r="D15" i="93" s="1"/>
  <c r="P16" i="65"/>
  <c r="P16" i="93" s="1"/>
  <c r="F59" i="65"/>
  <c r="F59" i="93" s="1"/>
  <c r="P120" i="65"/>
  <c r="P120" i="93" s="1"/>
  <c r="J33" i="65"/>
  <c r="J33" i="93" s="1"/>
  <c r="K10" i="65"/>
  <c r="K10" i="93" s="1"/>
  <c r="K73" i="65"/>
  <c r="K73" i="93" s="1"/>
  <c r="O127" i="65"/>
  <c r="O127" i="93" s="1"/>
  <c r="O108" i="65"/>
  <c r="O108" i="93" s="1"/>
  <c r="C75" i="65"/>
  <c r="C75" i="93" s="1"/>
  <c r="C28" i="65"/>
  <c r="C28" i="93" s="1"/>
  <c r="E9" i="65"/>
  <c r="E9" i="93" s="1"/>
  <c r="E45" i="65"/>
  <c r="E45" i="93" s="1"/>
  <c r="D97" i="65"/>
  <c r="D97" i="93" s="1"/>
  <c r="P18" i="65"/>
  <c r="P18" i="93" s="1"/>
  <c r="K102" i="65"/>
  <c r="K102" i="93" s="1"/>
  <c r="O119" i="65"/>
  <c r="O119" i="93" s="1"/>
  <c r="E117" i="65"/>
  <c r="E117" i="93" s="1"/>
  <c r="F20" i="65"/>
  <c r="F20" i="93" s="1"/>
  <c r="L26" i="65"/>
  <c r="L26" i="93" s="1"/>
  <c r="F9" i="65"/>
  <c r="F9" i="93" s="1"/>
  <c r="M112" i="65"/>
  <c r="M112" i="93" s="1"/>
  <c r="O91" i="65"/>
  <c r="O91" i="93" s="1"/>
  <c r="E89" i="65"/>
  <c r="E89" i="93" s="1"/>
  <c r="G13" i="65"/>
  <c r="G13" i="93" s="1"/>
  <c r="D124" i="65"/>
  <c r="D124" i="93" s="1"/>
  <c r="C9" i="65"/>
  <c r="C9" i="93" s="1"/>
  <c r="C83" i="65"/>
  <c r="C83" i="93" s="1"/>
  <c r="O29" i="65"/>
  <c r="O29" i="93" s="1"/>
  <c r="D63" i="65"/>
  <c r="D63" i="93" s="1"/>
  <c r="E16" i="65"/>
  <c r="E16" i="93" s="1"/>
  <c r="P80" i="65"/>
  <c r="P80" i="93" s="1"/>
  <c r="I46" i="65"/>
  <c r="I46" i="93" s="1"/>
  <c r="J127" i="65"/>
  <c r="J127" i="93" s="1"/>
  <c r="F73" i="65"/>
  <c r="F73" i="93" s="1"/>
  <c r="E86" i="65"/>
  <c r="E86" i="93" s="1"/>
  <c r="J46" i="65"/>
  <c r="J46" i="93" s="1"/>
  <c r="L30" i="65"/>
  <c r="L30" i="93" s="1"/>
  <c r="L90" i="65"/>
  <c r="L90" i="93" s="1"/>
  <c r="F111" i="65"/>
  <c r="F111" i="93" s="1"/>
  <c r="P74" i="65"/>
  <c r="P74" i="93" s="1"/>
  <c r="L112" i="65"/>
  <c r="L112" i="93" s="1"/>
  <c r="P67" i="65"/>
  <c r="P67" i="93" s="1"/>
  <c r="I97" i="65"/>
  <c r="I97" i="93" s="1"/>
  <c r="J15" i="65"/>
  <c r="J15" i="93" s="1"/>
  <c r="J116" i="65"/>
  <c r="J116" i="93" s="1"/>
  <c r="J25" i="65"/>
  <c r="J25" i="93" s="1"/>
  <c r="P65" i="65"/>
  <c r="P65" i="93" s="1"/>
  <c r="H85" i="65"/>
  <c r="H85" i="93" s="1"/>
  <c r="E116" i="65"/>
  <c r="E116" i="93" s="1"/>
  <c r="M43" i="65"/>
  <c r="M43" i="93" s="1"/>
  <c r="G10" i="65"/>
  <c r="G10" i="93" s="1"/>
  <c r="K83" i="65"/>
  <c r="K83" i="93" s="1"/>
  <c r="J118" i="65"/>
  <c r="J118" i="93" s="1"/>
  <c r="G211" i="81"/>
  <c r="I337" i="81"/>
  <c r="L332" i="81"/>
  <c r="AD122" i="81"/>
  <c r="AD63" i="81" s="1"/>
  <c r="H218" i="81"/>
  <c r="E175" i="81"/>
  <c r="M179" i="81"/>
  <c r="AC304" i="81"/>
  <c r="F79" i="81"/>
  <c r="F20" i="81" s="1"/>
  <c r="AC311" i="81"/>
  <c r="X145" i="81"/>
  <c r="S231" i="81"/>
  <c r="X212" i="81"/>
  <c r="T304" i="81"/>
  <c r="AG222" i="81"/>
  <c r="G231" i="81"/>
  <c r="AB200" i="81"/>
  <c r="AA219" i="81"/>
  <c r="W148" i="81"/>
  <c r="K329" i="81"/>
  <c r="W96" i="81"/>
  <c r="W37" i="81" s="1"/>
  <c r="W142" i="81"/>
  <c r="X199" i="81"/>
  <c r="U359" i="81"/>
  <c r="F290" i="81"/>
  <c r="Q101" i="81"/>
  <c r="Q42" i="81" s="1"/>
  <c r="D331" i="81"/>
  <c r="AH338" i="81"/>
  <c r="C192" i="81"/>
  <c r="G163" i="81"/>
  <c r="Y140" i="81"/>
  <c r="AD274" i="81"/>
  <c r="K218" i="81"/>
  <c r="E103" i="81"/>
  <c r="E44" i="81" s="1"/>
  <c r="I73" i="81"/>
  <c r="I14" i="81" s="1"/>
  <c r="L86" i="81"/>
  <c r="L27" i="81" s="1"/>
  <c r="P261" i="81"/>
  <c r="AE101" i="81"/>
  <c r="AE42" i="81" s="1"/>
  <c r="C109" i="81"/>
  <c r="C50" i="81" s="1"/>
  <c r="J238" i="81"/>
  <c r="V273" i="81"/>
  <c r="U236" i="81"/>
  <c r="Z216" i="81"/>
  <c r="O86" i="81"/>
  <c r="O27" i="81" s="1"/>
  <c r="S76" i="81"/>
  <c r="S17" i="81" s="1"/>
  <c r="S289" i="81"/>
  <c r="AC152" i="81"/>
  <c r="F106" i="81"/>
  <c r="F47" i="81" s="1"/>
  <c r="H302" i="81"/>
  <c r="G194" i="81"/>
  <c r="G301" i="81"/>
  <c r="Z74" i="81"/>
  <c r="Z15" i="81" s="1"/>
  <c r="R254" i="81"/>
  <c r="AB238" i="81"/>
  <c r="I149" i="81"/>
  <c r="Z321" i="81"/>
  <c r="AG253" i="81"/>
  <c r="X351" i="81"/>
  <c r="M110" i="81"/>
  <c r="M51" i="81" s="1"/>
  <c r="T216" i="81"/>
  <c r="M119" i="81"/>
  <c r="M60" i="81" s="1"/>
  <c r="AG285" i="81"/>
  <c r="L316" i="81"/>
  <c r="D365" i="81"/>
  <c r="V142" i="81"/>
  <c r="J319" i="81"/>
  <c r="C284" i="81"/>
  <c r="D115" i="81"/>
  <c r="D56" i="81" s="1"/>
  <c r="X150" i="81"/>
  <c r="Q333" i="81"/>
  <c r="Z354" i="81"/>
  <c r="W344" i="81"/>
  <c r="H101" i="81"/>
  <c r="H42" i="81" s="1"/>
  <c r="J122" i="81"/>
  <c r="J63" i="81" s="1"/>
  <c r="X221" i="81"/>
  <c r="V170" i="81"/>
  <c r="AG198" i="81"/>
  <c r="L321" i="81"/>
  <c r="G162" i="81"/>
  <c r="H224" i="81"/>
  <c r="X101" i="81"/>
  <c r="X42" i="81" s="1"/>
  <c r="S108" i="81"/>
  <c r="S49" i="81" s="1"/>
  <c r="E108" i="81"/>
  <c r="E49" i="81" s="1"/>
  <c r="W297" i="81"/>
  <c r="AA213" i="81"/>
  <c r="O273" i="81"/>
  <c r="L305" i="81"/>
  <c r="Z192" i="81"/>
  <c r="AB360" i="81"/>
  <c r="I273" i="81"/>
  <c r="G88" i="81"/>
  <c r="G29" i="81" s="1"/>
  <c r="AC282" i="81"/>
  <c r="C113" i="81"/>
  <c r="C54" i="81" s="1"/>
  <c r="U184" i="81"/>
  <c r="AD330" i="81"/>
  <c r="D151" i="81"/>
  <c r="C254" i="81"/>
  <c r="Q218" i="81"/>
  <c r="M279" i="81"/>
  <c r="D294" i="81"/>
  <c r="W234" i="81"/>
  <c r="P218" i="81"/>
  <c r="AD141" i="81"/>
  <c r="R334" i="81"/>
  <c r="G85" i="81"/>
  <c r="G26" i="81" s="1"/>
  <c r="Q281" i="81"/>
  <c r="AA301" i="81"/>
  <c r="S88" i="81"/>
  <c r="S29" i="81" s="1"/>
  <c r="K286" i="81"/>
  <c r="AA342" i="81"/>
  <c r="Q225" i="81"/>
  <c r="V304" i="81"/>
  <c r="AC359" i="81"/>
  <c r="AB209" i="81"/>
  <c r="AD91" i="81"/>
  <c r="AD32" i="81" s="1"/>
  <c r="AG311" i="81"/>
  <c r="O222" i="81"/>
  <c r="J106" i="81"/>
  <c r="J47" i="81" s="1"/>
  <c r="AB332" i="81"/>
  <c r="Z101" i="81"/>
  <c r="Z42" i="81" s="1"/>
  <c r="Z337" i="81"/>
  <c r="P227" i="81"/>
  <c r="L76" i="81"/>
  <c r="L17" i="81" s="1"/>
  <c r="J358" i="81"/>
  <c r="K109" i="81"/>
  <c r="K50" i="81" s="1"/>
  <c r="AB181" i="81"/>
  <c r="G125" i="81"/>
  <c r="G66" i="81" s="1"/>
  <c r="I140" i="81"/>
  <c r="N362" i="81"/>
  <c r="AE234" i="81"/>
  <c r="N230" i="81"/>
  <c r="AB300" i="81"/>
  <c r="AD197" i="81"/>
  <c r="T174" i="81"/>
  <c r="AG181" i="81"/>
  <c r="G81" i="81"/>
  <c r="G22" i="81" s="1"/>
  <c r="AG144" i="81"/>
  <c r="N257" i="81"/>
  <c r="AB166" i="81"/>
  <c r="AE355" i="81"/>
  <c r="AE282" i="81"/>
  <c r="J206" i="81"/>
  <c r="E215" i="81"/>
  <c r="T214" i="81"/>
  <c r="N178" i="81"/>
  <c r="Y72" i="81"/>
  <c r="Y13" i="81" s="1"/>
  <c r="I330" i="81"/>
  <c r="AD176" i="81"/>
  <c r="W316" i="81"/>
  <c r="H172" i="81"/>
  <c r="Y207" i="81"/>
  <c r="V152" i="81"/>
  <c r="D159" i="81"/>
  <c r="M213" i="81"/>
  <c r="T355" i="81"/>
  <c r="D146" i="81"/>
  <c r="J144" i="81"/>
  <c r="I206" i="81"/>
  <c r="R231" i="81"/>
  <c r="K240" i="81"/>
  <c r="AB124" i="81"/>
  <c r="AB65" i="81" s="1"/>
  <c r="AB354" i="81"/>
  <c r="R163" i="81"/>
  <c r="X340" i="81"/>
  <c r="G140" i="81"/>
  <c r="Z340" i="81"/>
  <c r="AH219" i="81"/>
  <c r="X202" i="81"/>
  <c r="J100" i="81"/>
  <c r="J41" i="81" s="1"/>
  <c r="S190" i="81"/>
  <c r="Z212" i="81"/>
  <c r="L274" i="81"/>
  <c r="C349" i="81"/>
  <c r="X191" i="81"/>
  <c r="J285" i="81"/>
  <c r="AD276" i="81"/>
  <c r="X217" i="81"/>
  <c r="P228" i="81"/>
  <c r="AB305" i="81"/>
  <c r="F329" i="81"/>
  <c r="F193" i="81"/>
  <c r="G314" i="81"/>
  <c r="P99" i="81"/>
  <c r="P40" i="81" s="1"/>
  <c r="P347" i="81"/>
  <c r="Q282" i="81"/>
  <c r="Q320" i="81"/>
  <c r="X341" i="81"/>
  <c r="T164" i="81"/>
  <c r="AG184" i="81"/>
  <c r="AA75" i="81"/>
  <c r="AA16" i="81" s="1"/>
  <c r="L265" i="81"/>
  <c r="H156" i="81"/>
  <c r="R92" i="81"/>
  <c r="R33" i="81" s="1"/>
  <c r="Z89" i="81"/>
  <c r="Z30" i="81" s="1"/>
  <c r="L201" i="81"/>
  <c r="E262" i="81"/>
  <c r="AD82" i="81"/>
  <c r="AD23" i="81" s="1"/>
  <c r="AC139" i="81"/>
  <c r="C185" i="81"/>
  <c r="L237" i="81"/>
  <c r="AF269" i="81"/>
  <c r="R217" i="81"/>
  <c r="F152" i="81"/>
  <c r="L364" i="81"/>
  <c r="F110" i="81"/>
  <c r="F51" i="81" s="1"/>
  <c r="I338" i="81"/>
  <c r="V199" i="81"/>
  <c r="P174" i="81"/>
  <c r="Z167" i="81"/>
  <c r="N206" i="81"/>
  <c r="F139" i="81"/>
  <c r="M136" i="81"/>
  <c r="X225" i="81"/>
  <c r="H115" i="81"/>
  <c r="H56" i="81" s="1"/>
  <c r="J141" i="81"/>
  <c r="K301" i="81"/>
  <c r="AG244" i="81"/>
  <c r="S140" i="81"/>
  <c r="Q274" i="81"/>
  <c r="AB157" i="81"/>
  <c r="I296" i="81"/>
  <c r="AE269" i="81"/>
  <c r="C244" i="81"/>
  <c r="D82" i="81"/>
  <c r="D23" i="81" s="1"/>
  <c r="AE115" i="81"/>
  <c r="AE56" i="81" s="1"/>
  <c r="D335" i="81"/>
  <c r="AC267" i="81"/>
  <c r="K266" i="81"/>
  <c r="J291" i="81"/>
  <c r="AB140" i="81"/>
  <c r="AF219" i="81"/>
  <c r="F268" i="81"/>
  <c r="J143" i="81"/>
  <c r="D232" i="81"/>
  <c r="E143" i="81"/>
  <c r="E87" i="81"/>
  <c r="E28" i="81" s="1"/>
  <c r="H364" i="81"/>
  <c r="O231" i="81"/>
  <c r="C322" i="81"/>
  <c r="AH351" i="81"/>
  <c r="R230" i="81"/>
  <c r="L331" i="81"/>
  <c r="G245" i="81"/>
  <c r="AD315" i="81"/>
  <c r="G87" i="81"/>
  <c r="G28" i="81" s="1"/>
  <c r="AE214" i="81"/>
  <c r="F218" i="81"/>
  <c r="R191" i="81"/>
  <c r="L215" i="81"/>
  <c r="AC205" i="81"/>
  <c r="AB163" i="81"/>
  <c r="AB195" i="81"/>
  <c r="I250" i="81"/>
  <c r="T271" i="81"/>
  <c r="AB216" i="81"/>
  <c r="E312" i="81"/>
  <c r="C71" i="81"/>
  <c r="C12" i="81" s="1"/>
  <c r="AG179" i="81"/>
  <c r="H274" i="81"/>
  <c r="J262" i="81"/>
  <c r="AB85" i="81"/>
  <c r="AB26" i="81" s="1"/>
  <c r="AD174" i="81"/>
  <c r="J93" i="81"/>
  <c r="J34" i="81" s="1"/>
  <c r="X336" i="81"/>
  <c r="AG294" i="81"/>
  <c r="T328" i="81"/>
  <c r="M333" i="81"/>
  <c r="L144" i="81"/>
  <c r="O132" i="81"/>
  <c r="V174" i="81"/>
  <c r="D215" i="81"/>
  <c r="R193" i="81"/>
  <c r="O178" i="81"/>
  <c r="E185" i="81"/>
  <c r="AB185" i="81"/>
  <c r="Z148" i="81"/>
  <c r="W123" i="81"/>
  <c r="W64" i="81" s="1"/>
  <c r="L98" i="81"/>
  <c r="L39" i="81" s="1"/>
  <c r="AG350" i="81"/>
  <c r="O102" i="81"/>
  <c r="O43" i="81" s="1"/>
  <c r="M211" i="81"/>
  <c r="N171" i="81"/>
  <c r="AA176" i="81"/>
  <c r="R266" i="81"/>
  <c r="AB76" i="81"/>
  <c r="AB17" i="81" s="1"/>
  <c r="T312" i="81"/>
  <c r="O164" i="81"/>
  <c r="T239" i="81"/>
  <c r="AG193" i="81"/>
  <c r="AB311" i="81"/>
  <c r="J259" i="81"/>
  <c r="O112" i="81"/>
  <c r="O53" i="81" s="1"/>
  <c r="Q257" i="81"/>
  <c r="E296" i="81"/>
  <c r="Y343" i="81"/>
  <c r="H83" i="81"/>
  <c r="H24" i="81" s="1"/>
  <c r="Y220" i="81"/>
  <c r="L268" i="81"/>
  <c r="AD194" i="81"/>
  <c r="P104" i="81"/>
  <c r="P45" i="81" s="1"/>
  <c r="D96" i="81"/>
  <c r="D37" i="81" s="1"/>
  <c r="AH149" i="81"/>
  <c r="V151" i="81"/>
  <c r="T318" i="81"/>
  <c r="S291" i="81"/>
  <c r="AE85" i="81"/>
  <c r="AE26" i="81" s="1"/>
  <c r="Y262" i="81"/>
  <c r="R196" i="81"/>
  <c r="AA122" i="81"/>
  <c r="AA63" i="81" s="1"/>
  <c r="S351" i="81"/>
  <c r="K351" i="81"/>
  <c r="R304" i="81"/>
  <c r="L193" i="81"/>
  <c r="T211" i="81"/>
  <c r="O201" i="81"/>
  <c r="AF353" i="81"/>
  <c r="AD94" i="81"/>
  <c r="AD35" i="81" s="1"/>
  <c r="N221" i="81"/>
  <c r="R155" i="81"/>
  <c r="I346" i="81"/>
  <c r="AA130" i="81"/>
  <c r="AG344" i="81"/>
  <c r="S84" i="81"/>
  <c r="S25" i="81" s="1"/>
  <c r="C216" i="81"/>
  <c r="AE238" i="81"/>
  <c r="AC320" i="81"/>
  <c r="I147" i="81"/>
  <c r="W272" i="81"/>
  <c r="D274" i="81"/>
  <c r="W277" i="81"/>
  <c r="G238" i="81"/>
  <c r="AF93" i="81"/>
  <c r="AF34" i="81" s="1"/>
  <c r="W350" i="81"/>
  <c r="C272" i="81"/>
  <c r="AF176" i="81"/>
  <c r="AH194" i="81"/>
  <c r="AF244" i="81"/>
  <c r="E91" i="81"/>
  <c r="E32" i="81" s="1"/>
  <c r="C252" i="81"/>
  <c r="E109" i="81"/>
  <c r="E50" i="81" s="1"/>
  <c r="U159" i="81"/>
  <c r="I77" i="81"/>
  <c r="I18" i="81" s="1"/>
  <c r="N95" i="81"/>
  <c r="N36" i="81" s="1"/>
  <c r="Z224" i="81"/>
  <c r="AD252" i="81"/>
  <c r="AB206" i="81"/>
  <c r="M304" i="81"/>
  <c r="Q283" i="81"/>
  <c r="X218" i="81"/>
  <c r="Q88" i="81"/>
  <c r="Q29" i="81" s="1"/>
  <c r="AH325" i="81"/>
  <c r="V208" i="81"/>
  <c r="U133" i="81"/>
  <c r="AC353" i="81"/>
  <c r="AA137" i="81"/>
  <c r="AG325" i="81"/>
  <c r="AH206" i="81"/>
  <c r="F352" i="81"/>
  <c r="G174" i="81"/>
  <c r="N139" i="81"/>
  <c r="T169" i="81"/>
  <c r="D254" i="81"/>
  <c r="AD316" i="81"/>
  <c r="AD351" i="81"/>
  <c r="AE175" i="81"/>
  <c r="K291" i="81"/>
  <c r="L260" i="81"/>
  <c r="I266" i="81"/>
  <c r="P145" i="81"/>
  <c r="AA336" i="81"/>
  <c r="J324" i="81"/>
  <c r="K82" i="81"/>
  <c r="K23" i="81" s="1"/>
  <c r="E208" i="81"/>
  <c r="Y164" i="81"/>
  <c r="AE320" i="81"/>
  <c r="Q133" i="81"/>
  <c r="C289" i="81"/>
  <c r="J161" i="81"/>
  <c r="H314" i="81"/>
  <c r="F272" i="81"/>
  <c r="M109" i="81"/>
  <c r="M50" i="81" s="1"/>
  <c r="U190" i="81"/>
  <c r="E75" i="81"/>
  <c r="E16" i="81" s="1"/>
  <c r="K149" i="81"/>
  <c r="F342" i="81"/>
  <c r="M149" i="81"/>
  <c r="AG72" i="81"/>
  <c r="AG13" i="81" s="1"/>
  <c r="O229" i="81"/>
  <c r="U105" i="81"/>
  <c r="U46" i="81" s="1"/>
  <c r="R326" i="81"/>
  <c r="R211" i="81"/>
  <c r="AH353" i="81"/>
  <c r="M121" i="81"/>
  <c r="M62" i="81" s="1"/>
  <c r="J208" i="81"/>
  <c r="H253" i="81"/>
  <c r="V154" i="81"/>
  <c r="P359" i="81"/>
  <c r="L77" i="81"/>
  <c r="L18" i="81" s="1"/>
  <c r="S182" i="81"/>
  <c r="C159" i="81"/>
  <c r="I349" i="81"/>
  <c r="Z235" i="81"/>
  <c r="D283" i="81"/>
  <c r="S353" i="81"/>
  <c r="I299" i="81"/>
  <c r="AE300" i="81"/>
  <c r="I200" i="81"/>
  <c r="H345" i="81"/>
  <c r="S279" i="81"/>
  <c r="J365" i="81"/>
  <c r="Q271" i="81"/>
  <c r="U163" i="81"/>
  <c r="G350" i="81"/>
  <c r="AH145" i="81"/>
  <c r="S200" i="81"/>
  <c r="Y114" i="81"/>
  <c r="Y55" i="81" s="1"/>
  <c r="M104" i="81"/>
  <c r="M45" i="81" s="1"/>
  <c r="Q238" i="81"/>
  <c r="AA320" i="81"/>
  <c r="F163" i="81"/>
  <c r="R77" i="81"/>
  <c r="R18" i="81" s="1"/>
  <c r="N332" i="81"/>
  <c r="O255" i="81"/>
  <c r="AB287" i="81"/>
  <c r="X304" i="81"/>
  <c r="I365" i="81"/>
  <c r="P156" i="81"/>
  <c r="W101" i="81"/>
  <c r="W42" i="81" s="1"/>
  <c r="G243" i="81"/>
  <c r="F199" i="81"/>
  <c r="E251" i="81"/>
  <c r="AE79" i="81"/>
  <c r="AE20" i="81" s="1"/>
  <c r="K347" i="81"/>
  <c r="AE254" i="81"/>
  <c r="T198" i="81"/>
  <c r="X220" i="81"/>
  <c r="K325" i="81"/>
  <c r="AG298" i="81"/>
  <c r="C354" i="81"/>
  <c r="J88" i="81"/>
  <c r="J29" i="81" s="1"/>
  <c r="W322" i="81"/>
  <c r="R223" i="81"/>
  <c r="AB121" i="81"/>
  <c r="AB62" i="81" s="1"/>
  <c r="K334" i="81"/>
  <c r="L156" i="81"/>
  <c r="Y102" i="81"/>
  <c r="Y43" i="81" s="1"/>
  <c r="AB199" i="81"/>
  <c r="S180" i="81"/>
  <c r="AE349" i="81"/>
  <c r="K79" i="81"/>
  <c r="K20" i="81" s="1"/>
  <c r="V210" i="81"/>
  <c r="U357" i="81"/>
  <c r="G331" i="81"/>
  <c r="Q160" i="81"/>
  <c r="C111" i="81"/>
  <c r="C52" i="81" s="1"/>
  <c r="R245" i="81"/>
  <c r="D295" i="81"/>
  <c r="D321" i="81"/>
  <c r="J131" i="81"/>
  <c r="I92" i="81"/>
  <c r="I33" i="81" s="1"/>
  <c r="AB112" i="81"/>
  <c r="AB53" i="81" s="1"/>
  <c r="M314" i="81"/>
  <c r="AA287" i="81"/>
  <c r="AD281" i="81"/>
  <c r="F291" i="81"/>
  <c r="AD169" i="81"/>
  <c r="K178" i="81"/>
  <c r="AF318" i="81"/>
  <c r="Y85" i="81"/>
  <c r="Y26" i="81" s="1"/>
  <c r="C91" i="81"/>
  <c r="C32" i="81" s="1"/>
  <c r="Z114" i="81"/>
  <c r="Z55" i="81" s="1"/>
  <c r="Y163" i="81"/>
  <c r="Z81" i="81"/>
  <c r="Z22" i="81" s="1"/>
  <c r="AH143" i="81"/>
  <c r="K117" i="81"/>
  <c r="K58" i="81" s="1"/>
  <c r="AF111" i="81"/>
  <c r="AF52" i="81" s="1"/>
  <c r="P292" i="81"/>
  <c r="AG329" i="81"/>
  <c r="Z287" i="81"/>
  <c r="AE329" i="81"/>
  <c r="U240" i="81"/>
  <c r="G137" i="81"/>
  <c r="W219" i="81"/>
  <c r="Y300" i="81"/>
  <c r="C348" i="81"/>
  <c r="L132" i="81"/>
  <c r="T118" i="81"/>
  <c r="T59" i="81" s="1"/>
  <c r="J70" i="81"/>
  <c r="J11" i="81" s="1"/>
  <c r="Y209" i="81"/>
  <c r="G77" i="81"/>
  <c r="G18" i="81" s="1"/>
  <c r="R351" i="81"/>
  <c r="AH180" i="81"/>
  <c r="Q124" i="81"/>
  <c r="Q65" i="81" s="1"/>
  <c r="N81" i="81"/>
  <c r="N22" i="81" s="1"/>
  <c r="Z201" i="81"/>
  <c r="Q152" i="81"/>
  <c r="AB321" i="81"/>
  <c r="K185" i="81"/>
  <c r="K245" i="81"/>
  <c r="D170" i="81"/>
  <c r="O337" i="81"/>
  <c r="AH84" i="81"/>
  <c r="AH25" i="81" s="1"/>
  <c r="AD84" i="81"/>
  <c r="AD25" i="81" s="1"/>
  <c r="AF328" i="81"/>
  <c r="Y265" i="81"/>
  <c r="M145" i="81"/>
  <c r="AF278" i="81"/>
  <c r="AH151" i="81"/>
  <c r="J313" i="81"/>
  <c r="L328" i="81"/>
  <c r="AC299" i="81"/>
  <c r="D344" i="81"/>
  <c r="T254" i="81"/>
  <c r="W203" i="81"/>
  <c r="AB134" i="81"/>
  <c r="AD124" i="81"/>
  <c r="AD65" i="81" s="1"/>
  <c r="AB301" i="81"/>
  <c r="F271" i="81"/>
  <c r="C150" i="81"/>
  <c r="K271" i="81"/>
  <c r="N193" i="81"/>
  <c r="AC310" i="81"/>
  <c r="K84" i="81"/>
  <c r="K25" i="81" s="1"/>
  <c r="AF239" i="81"/>
  <c r="G120" i="81"/>
  <c r="G61" i="81" s="1"/>
  <c r="AH225" i="81"/>
  <c r="T70" i="81"/>
  <c r="T11" i="81" s="1"/>
  <c r="C365" i="81"/>
  <c r="AE362" i="81"/>
  <c r="P121" i="81"/>
  <c r="P62" i="81" s="1"/>
  <c r="AG177" i="81"/>
  <c r="O103" i="81"/>
  <c r="O44" i="81" s="1"/>
  <c r="V109" i="81"/>
  <c r="V50" i="81" s="1"/>
  <c r="U291" i="81"/>
  <c r="F132" i="81"/>
  <c r="T74" i="81"/>
  <c r="T15" i="81" s="1"/>
  <c r="AE200" i="81"/>
  <c r="AH290" i="81"/>
  <c r="L94" i="81"/>
  <c r="L35" i="81" s="1"/>
  <c r="Y103" i="81"/>
  <c r="Y44" i="81" s="1"/>
  <c r="Z325" i="81"/>
  <c r="AH135" i="81"/>
  <c r="Q122" i="81"/>
  <c r="Q63" i="81" s="1"/>
  <c r="K74" i="81"/>
  <c r="K15" i="81" s="1"/>
  <c r="K258" i="81"/>
  <c r="AC164" i="81"/>
  <c r="F337" i="81"/>
  <c r="C256" i="81"/>
  <c r="J145" i="81"/>
  <c r="AC163" i="81"/>
  <c r="AH139" i="81"/>
  <c r="V333" i="81"/>
  <c r="AH182" i="81"/>
  <c r="U180" i="81"/>
  <c r="O263" i="81"/>
  <c r="L338" i="81"/>
  <c r="AC178" i="81"/>
  <c r="Z315" i="81"/>
  <c r="Q196" i="81"/>
  <c r="L173" i="81"/>
  <c r="AA323" i="81"/>
  <c r="S269" i="81"/>
  <c r="H102" i="81"/>
  <c r="H43" i="81" s="1"/>
  <c r="V352" i="81"/>
  <c r="L284" i="81"/>
  <c r="L322" i="81"/>
  <c r="C182" i="81"/>
  <c r="AB329" i="81"/>
  <c r="AH204" i="81"/>
  <c r="Q106" i="81"/>
  <c r="Q47" i="81" s="1"/>
  <c r="AD207" i="81"/>
  <c r="AA282" i="81"/>
  <c r="F344" i="81"/>
  <c r="H272" i="81"/>
  <c r="J274" i="81"/>
  <c r="J298" i="81"/>
  <c r="P181" i="81"/>
  <c r="AH164" i="81"/>
  <c r="G73" i="81"/>
  <c r="G14" i="81" s="1"/>
  <c r="AG200" i="81"/>
  <c r="L314" i="81"/>
  <c r="O331" i="81"/>
  <c r="H123" i="81"/>
  <c r="H64" i="81" s="1"/>
  <c r="G195" i="81"/>
  <c r="AA117" i="81"/>
  <c r="AA58" i="81" s="1"/>
  <c r="O153" i="81"/>
  <c r="AD196" i="81"/>
  <c r="G263" i="81"/>
  <c r="X253" i="81"/>
  <c r="N229" i="81"/>
  <c r="AB338" i="81"/>
  <c r="H154" i="81"/>
  <c r="AA243" i="81"/>
  <c r="J222" i="81"/>
  <c r="L277" i="81"/>
  <c r="P198" i="81"/>
  <c r="Q273" i="81"/>
  <c r="J205" i="81"/>
  <c r="R103" i="81"/>
  <c r="R44" i="81" s="1"/>
  <c r="M134" i="81"/>
  <c r="AH223" i="81"/>
  <c r="K312" i="81"/>
  <c r="AG87" i="81"/>
  <c r="AG28" i="81" s="1"/>
  <c r="T319" i="81"/>
  <c r="D105" i="81"/>
  <c r="D46" i="81" s="1"/>
  <c r="U295" i="81"/>
  <c r="E244" i="81"/>
  <c r="AH215" i="81"/>
  <c r="P98" i="81"/>
  <c r="P39" i="81" s="1"/>
  <c r="AD150" i="81"/>
  <c r="Q77" i="81"/>
  <c r="Q18" i="81" s="1"/>
  <c r="R105" i="81"/>
  <c r="R46" i="81" s="1"/>
  <c r="AF359" i="81"/>
  <c r="T102" i="81"/>
  <c r="T43" i="81" s="1"/>
  <c r="W260" i="81"/>
  <c r="AB273" i="81"/>
  <c r="AH199" i="81"/>
  <c r="E192" i="81"/>
  <c r="Z88" i="81"/>
  <c r="Z29" i="81" s="1"/>
  <c r="AE314" i="81"/>
  <c r="E138" i="81"/>
  <c r="J165" i="81"/>
  <c r="AF88" i="81"/>
  <c r="AF29" i="81" s="1"/>
  <c r="R207" i="81"/>
  <c r="D298" i="81"/>
  <c r="AB111" i="81"/>
  <c r="AB52" i="81" s="1"/>
  <c r="Q276" i="81"/>
  <c r="Z332" i="81"/>
  <c r="AF319" i="81"/>
  <c r="L87" i="81"/>
  <c r="L28" i="81" s="1"/>
  <c r="H191" i="81"/>
  <c r="M285" i="81"/>
  <c r="Y254" i="81"/>
  <c r="AE204" i="81"/>
  <c r="V168" i="81"/>
  <c r="M250" i="81"/>
  <c r="AD250" i="81"/>
  <c r="Y76" i="81"/>
  <c r="Y17" i="81" s="1"/>
  <c r="AC312" i="81"/>
  <c r="F320" i="81"/>
  <c r="AF206" i="81"/>
  <c r="S204" i="81"/>
  <c r="J276" i="81"/>
  <c r="F363" i="81"/>
  <c r="Q267" i="81"/>
  <c r="C361" i="81"/>
  <c r="G277" i="81"/>
  <c r="AA200" i="81"/>
  <c r="R136" i="81"/>
  <c r="W206" i="81"/>
  <c r="E316" i="81"/>
  <c r="AC113" i="81"/>
  <c r="AC54" i="81" s="1"/>
  <c r="V90" i="81"/>
  <c r="V31" i="81" s="1"/>
  <c r="P221" i="81"/>
  <c r="P141" i="81"/>
  <c r="O145" i="81"/>
  <c r="I361" i="81"/>
  <c r="X85" i="81"/>
  <c r="X26" i="81" s="1"/>
  <c r="F153" i="81"/>
  <c r="J78" i="81"/>
  <c r="J19" i="81" s="1"/>
  <c r="F282" i="81"/>
  <c r="Z177" i="81"/>
  <c r="J102" i="81"/>
  <c r="J43" i="81" s="1"/>
  <c r="C286" i="81"/>
  <c r="T77" i="81"/>
  <c r="T18" i="81" s="1"/>
  <c r="F86" i="81"/>
  <c r="F27" i="81" s="1"/>
  <c r="F77" i="81"/>
  <c r="F18" i="81" s="1"/>
  <c r="W365" i="81"/>
  <c r="U79" i="81"/>
  <c r="U20" i="81" s="1"/>
  <c r="F149" i="81"/>
  <c r="X133" i="81"/>
  <c r="R113" i="81"/>
  <c r="R54" i="81" s="1"/>
  <c r="G191" i="81"/>
  <c r="V287" i="81"/>
  <c r="Y320" i="81"/>
  <c r="R183" i="81"/>
  <c r="U82" i="81"/>
  <c r="U23" i="81" s="1"/>
  <c r="AH311" i="81"/>
  <c r="H225" i="81"/>
  <c r="O327" i="81"/>
  <c r="AD109" i="81"/>
  <c r="AD50" i="81" s="1"/>
  <c r="AD304" i="81"/>
  <c r="AF310" i="81"/>
  <c r="AA233" i="81"/>
  <c r="F292" i="81"/>
  <c r="C262" i="81"/>
  <c r="Y159" i="81"/>
  <c r="AH85" i="81"/>
  <c r="AH26" i="81" s="1"/>
  <c r="AF203" i="81"/>
  <c r="S178" i="81"/>
  <c r="W94" i="81"/>
  <c r="W35" i="81" s="1"/>
  <c r="V276" i="81"/>
  <c r="AA223" i="81"/>
  <c r="P77" i="81"/>
  <c r="P18" i="81" s="1"/>
  <c r="Z320" i="81"/>
  <c r="T175" i="81"/>
  <c r="D160" i="81"/>
  <c r="D123" i="81"/>
  <c r="D64" i="81" s="1"/>
  <c r="AH302" i="81"/>
  <c r="X166" i="81"/>
  <c r="Y347" i="81"/>
  <c r="K70" i="81"/>
  <c r="K11" i="81" s="1"/>
  <c r="AC96" i="81"/>
  <c r="AC37" i="81" s="1"/>
  <c r="AA255" i="81"/>
  <c r="X330" i="81"/>
  <c r="O166" i="81"/>
  <c r="Q363" i="81"/>
  <c r="AF279" i="81"/>
  <c r="AA225" i="81"/>
  <c r="AD222" i="81"/>
  <c r="K102" i="81"/>
  <c r="K43" i="81" s="1"/>
  <c r="W200" i="81"/>
  <c r="Y363" i="81"/>
  <c r="V300" i="81"/>
  <c r="Y151" i="81"/>
  <c r="AC131" i="81"/>
  <c r="P275" i="81"/>
  <c r="O83" i="81"/>
  <c r="O24" i="81" s="1"/>
  <c r="AG130" i="81"/>
  <c r="P336" i="81"/>
  <c r="V267" i="81"/>
  <c r="M193" i="81"/>
  <c r="AB291" i="81"/>
  <c r="X274" i="81"/>
  <c r="J207" i="81"/>
  <c r="N166" i="81"/>
  <c r="AD134" i="81"/>
  <c r="AC191" i="81"/>
  <c r="AE155" i="81"/>
  <c r="X215" i="81"/>
  <c r="AC72" i="81"/>
  <c r="AC13" i="81" s="1"/>
  <c r="C106" i="81"/>
  <c r="C47" i="81" s="1"/>
  <c r="E364" i="81"/>
  <c r="X279" i="81"/>
  <c r="Q355" i="81"/>
  <c r="F233" i="81"/>
  <c r="AB264" i="81"/>
  <c r="Z301" i="81"/>
  <c r="K290" i="81"/>
  <c r="S294" i="81"/>
  <c r="J288" i="81"/>
  <c r="AB316" i="81"/>
  <c r="D229" i="81"/>
  <c r="Z75" i="81"/>
  <c r="Z16" i="81" s="1"/>
  <c r="R158" i="81"/>
  <c r="AB165" i="81"/>
  <c r="AE76" i="81"/>
  <c r="AE17" i="81" s="1"/>
  <c r="U297" i="81"/>
  <c r="E332" i="81"/>
  <c r="O157" i="81"/>
  <c r="AA363" i="81"/>
  <c r="Q250" i="81"/>
  <c r="Z99" i="81"/>
  <c r="Z40" i="81" s="1"/>
  <c r="G298" i="81"/>
  <c r="E70" i="81"/>
  <c r="E11" i="81" s="1"/>
  <c r="V81" i="81"/>
  <c r="V22" i="81" s="1"/>
  <c r="AC351" i="81"/>
  <c r="G269" i="81"/>
  <c r="U349" i="81"/>
  <c r="N266" i="81"/>
  <c r="AD75" i="81"/>
  <c r="AD16" i="81" s="1"/>
  <c r="K274" i="81"/>
  <c r="D154" i="81"/>
  <c r="M276" i="81"/>
  <c r="C82" i="81"/>
  <c r="C23" i="81" s="1"/>
  <c r="D171" i="81"/>
  <c r="H228" i="81"/>
  <c r="H351" i="81"/>
  <c r="Q166" i="81"/>
  <c r="Z305" i="81"/>
  <c r="Q102" i="81"/>
  <c r="Q43" i="81" s="1"/>
  <c r="AG145" i="81"/>
  <c r="AE261" i="81"/>
  <c r="C72" i="81"/>
  <c r="C13" i="81" s="1"/>
  <c r="AH326" i="81"/>
  <c r="D357" i="81"/>
  <c r="T106" i="81"/>
  <c r="T47" i="81" s="1"/>
  <c r="K217" i="81"/>
  <c r="AH253" i="81"/>
  <c r="R84" i="81"/>
  <c r="R25" i="81" s="1"/>
  <c r="O220" i="81"/>
  <c r="H230" i="81"/>
  <c r="R354" i="81"/>
  <c r="V257" i="81"/>
  <c r="AD254" i="81"/>
  <c r="U324" i="81"/>
  <c r="AE131" i="81"/>
  <c r="V339" i="81"/>
  <c r="S245" i="81"/>
  <c r="W105" i="81"/>
  <c r="W46" i="81" s="1"/>
  <c r="P111" i="81"/>
  <c r="P52" i="81" s="1"/>
  <c r="T116" i="81"/>
  <c r="T57" i="81" s="1"/>
  <c r="AE199" i="81"/>
  <c r="P294" i="81"/>
  <c r="G117" i="81"/>
  <c r="G58" i="81" s="1"/>
  <c r="AG299" i="81"/>
  <c r="AD287" i="81"/>
  <c r="S208" i="81"/>
  <c r="AE290" i="81"/>
  <c r="S212" i="81"/>
  <c r="O110" i="81"/>
  <c r="O51" i="81" s="1"/>
  <c r="AA322" i="81"/>
  <c r="AB132" i="81"/>
  <c r="D364" i="81"/>
  <c r="L342" i="81"/>
  <c r="I240" i="81"/>
  <c r="AB263" i="81"/>
  <c r="AH359" i="81"/>
  <c r="W204" i="81"/>
  <c r="K167" i="81"/>
  <c r="P132" i="81"/>
  <c r="J83" i="81"/>
  <c r="J24" i="81" s="1"/>
  <c r="O159" i="81"/>
  <c r="D152" i="81"/>
  <c r="Y287" i="81"/>
  <c r="R327" i="81"/>
  <c r="E311" i="81"/>
  <c r="Y329" i="81"/>
  <c r="AE140" i="81"/>
  <c r="AF317" i="81"/>
  <c r="Y328" i="81"/>
  <c r="X339" i="81"/>
  <c r="AH160" i="81"/>
  <c r="AG80" i="81"/>
  <c r="AG21" i="81" s="1"/>
  <c r="H164" i="81"/>
  <c r="W172" i="81"/>
  <c r="C165" i="81"/>
  <c r="P139" i="81"/>
  <c r="AB358" i="81"/>
  <c r="R94" i="81"/>
  <c r="R35" i="81" s="1"/>
  <c r="AD271" i="81"/>
  <c r="AB83" i="81"/>
  <c r="AB24" i="81" s="1"/>
  <c r="AB347" i="81"/>
  <c r="W311" i="81"/>
  <c r="R214" i="81"/>
  <c r="Y141" i="81"/>
  <c r="F214" i="81"/>
  <c r="I239" i="81"/>
  <c r="C227" i="81"/>
  <c r="V357" i="81"/>
  <c r="P327" i="81"/>
  <c r="J360" i="81"/>
  <c r="AC251" i="81"/>
  <c r="K275" i="81"/>
  <c r="K173" i="81"/>
  <c r="U229" i="81"/>
  <c r="H340" i="81"/>
  <c r="E74" i="81"/>
  <c r="E15" i="81" s="1"/>
  <c r="H194" i="81"/>
  <c r="AH156" i="81"/>
  <c r="AE235" i="81"/>
  <c r="W224" i="81"/>
  <c r="N265" i="81"/>
  <c r="F277" i="81"/>
  <c r="AC340" i="81"/>
  <c r="M114" i="81"/>
  <c r="M55" i="81" s="1"/>
  <c r="M99" i="81"/>
  <c r="M40" i="81" s="1"/>
  <c r="D325" i="81"/>
  <c r="R177" i="81"/>
  <c r="AF115" i="81"/>
  <c r="AF56" i="81" s="1"/>
  <c r="Z218" i="81"/>
  <c r="L325" i="81"/>
  <c r="AG101" i="81"/>
  <c r="AG42" i="81" s="1"/>
  <c r="E193" i="81"/>
  <c r="E146" i="81"/>
  <c r="AC305" i="81"/>
  <c r="AG333" i="81"/>
  <c r="U171" i="81"/>
  <c r="AA109" i="81"/>
  <c r="AA50" i="81" s="1"/>
  <c r="M76" i="81"/>
  <c r="M17" i="81" s="1"/>
  <c r="G110" i="81"/>
  <c r="G51" i="81" s="1"/>
  <c r="AD305" i="81"/>
  <c r="L185" i="81"/>
  <c r="AC223" i="81"/>
  <c r="F243" i="81"/>
  <c r="P197" i="81"/>
  <c r="V240" i="81"/>
  <c r="L89" i="81"/>
  <c r="L30" i="81" s="1"/>
  <c r="Z190" i="81"/>
  <c r="U220" i="81"/>
  <c r="N259" i="81"/>
  <c r="F141" i="81"/>
  <c r="AF302" i="81"/>
  <c r="AA203" i="81"/>
  <c r="W86" i="81"/>
  <c r="W27" i="81" s="1"/>
  <c r="U346" i="81"/>
  <c r="AE83" i="81"/>
  <c r="AE24" i="81" s="1"/>
  <c r="AH254" i="81"/>
  <c r="AG321" i="81"/>
  <c r="Y302" i="81"/>
  <c r="J234" i="81"/>
  <c r="H70" i="81"/>
  <c r="H11" i="81" s="1"/>
  <c r="N218" i="81"/>
  <c r="T180" i="81"/>
  <c r="W195" i="81"/>
  <c r="AH166" i="81"/>
  <c r="AC260" i="81"/>
  <c r="C267" i="81"/>
  <c r="F326" i="81"/>
  <c r="T99" i="81"/>
  <c r="T40" i="81" s="1"/>
  <c r="W109" i="81"/>
  <c r="W50" i="81" s="1"/>
  <c r="W310" i="81"/>
  <c r="H161" i="81"/>
  <c r="AA192" i="81"/>
  <c r="R135" i="81"/>
  <c r="AG279" i="81"/>
  <c r="X250" i="81"/>
  <c r="N86" i="81"/>
  <c r="N27" i="81" s="1"/>
  <c r="T86" i="81"/>
  <c r="T27" i="81" s="1"/>
  <c r="Y365" i="81"/>
  <c r="V164" i="81"/>
  <c r="O260" i="81"/>
  <c r="P90" i="81"/>
  <c r="P31" i="81" s="1"/>
  <c r="K202" i="81"/>
  <c r="L292" i="81"/>
  <c r="I358" i="81"/>
  <c r="F114" i="81"/>
  <c r="F55" i="81" s="1"/>
  <c r="AA101" i="81"/>
  <c r="AA42" i="81" s="1"/>
  <c r="V108" i="81"/>
  <c r="V49" i="81" s="1"/>
  <c r="E329" i="81"/>
  <c r="N96" i="81"/>
  <c r="N37" i="81" s="1"/>
  <c r="U185" i="81"/>
  <c r="AG111" i="81"/>
  <c r="AG52" i="81" s="1"/>
  <c r="W346" i="81"/>
  <c r="R324" i="81"/>
  <c r="P256" i="81"/>
  <c r="D333" i="81"/>
  <c r="AH278" i="81"/>
  <c r="J284" i="81"/>
  <c r="S161" i="81"/>
  <c r="I194" i="81"/>
  <c r="K120" i="81"/>
  <c r="K61" i="81" s="1"/>
  <c r="AH355" i="81"/>
  <c r="AD237" i="81"/>
  <c r="P279" i="81"/>
  <c r="M91" i="81"/>
  <c r="M32" i="81" s="1"/>
  <c r="R291" i="81"/>
  <c r="L194" i="81"/>
  <c r="Z144" i="81"/>
  <c r="O118" i="81"/>
  <c r="O59" i="81" s="1"/>
  <c r="Z347" i="81"/>
  <c r="T258" i="81"/>
  <c r="Z173" i="81"/>
  <c r="AB207" i="81"/>
  <c r="L146" i="81"/>
  <c r="F121" i="81"/>
  <c r="F62" i="81" s="1"/>
  <c r="M81" i="81"/>
  <c r="M22" i="81" s="1"/>
  <c r="AE364" i="81"/>
  <c r="C250" i="81"/>
  <c r="AH162" i="81"/>
  <c r="AA147" i="81"/>
  <c r="AD220" i="81"/>
  <c r="AH324" i="81"/>
  <c r="Q344" i="81"/>
  <c r="AB70" i="81"/>
  <c r="AB11" i="81" s="1"/>
  <c r="R234" i="81"/>
  <c r="U108" i="81"/>
  <c r="U49" i="81" s="1"/>
  <c r="H94" i="81"/>
  <c r="H35" i="81" s="1"/>
  <c r="N92" i="81"/>
  <c r="N33" i="81" s="1"/>
  <c r="J362" i="81"/>
  <c r="H86" i="81"/>
  <c r="H27" i="81" s="1"/>
  <c r="M289" i="81"/>
  <c r="K216" i="81"/>
  <c r="R98" i="81"/>
  <c r="R39" i="81" s="1"/>
  <c r="N318" i="81"/>
  <c r="AG180" i="81"/>
  <c r="S112" i="81"/>
  <c r="S53" i="81" s="1"/>
  <c r="U142" i="81"/>
  <c r="H158" i="81"/>
  <c r="AB344" i="81"/>
  <c r="G86" i="81"/>
  <c r="G27" i="81" s="1"/>
  <c r="Y233" i="81"/>
  <c r="K244" i="81"/>
  <c r="D101" i="81"/>
  <c r="D42" i="81" s="1"/>
  <c r="S150" i="81"/>
  <c r="P219" i="81"/>
  <c r="J200" i="81"/>
  <c r="Q335" i="81"/>
  <c r="X256" i="81"/>
  <c r="AE237" i="81"/>
  <c r="AH146" i="81"/>
  <c r="U131" i="81"/>
  <c r="Q241" i="81"/>
  <c r="V350" i="81"/>
  <c r="V139" i="81"/>
  <c r="AC153" i="81"/>
  <c r="J310" i="81"/>
  <c r="E114" i="81"/>
  <c r="E55" i="81" s="1"/>
  <c r="AA332" i="81"/>
  <c r="W158" i="81"/>
  <c r="D317" i="81"/>
  <c r="AG114" i="81"/>
  <c r="AG55" i="81" s="1"/>
  <c r="Z211" i="81"/>
  <c r="E225" i="81"/>
  <c r="N91" i="81"/>
  <c r="N32" i="81" s="1"/>
  <c r="T257" i="81"/>
  <c r="T284" i="81"/>
  <c r="L270" i="81"/>
  <c r="T90" i="81"/>
  <c r="T31" i="81" s="1"/>
  <c r="O100" i="81"/>
  <c r="O41" i="81" s="1"/>
  <c r="AA132" i="81"/>
  <c r="AH170" i="81"/>
  <c r="M208" i="81"/>
  <c r="K183" i="81"/>
  <c r="W147" i="81"/>
  <c r="T262" i="81"/>
  <c r="AE197" i="81"/>
  <c r="M322" i="81"/>
  <c r="J168" i="81"/>
  <c r="K294" i="81"/>
  <c r="U269" i="81"/>
  <c r="T155" i="81"/>
  <c r="Y223" i="81"/>
  <c r="T357" i="81"/>
  <c r="P345" i="81"/>
  <c r="P355" i="81"/>
  <c r="O338" i="81"/>
  <c r="AF181" i="81"/>
  <c r="F349" i="81"/>
  <c r="H273" i="81"/>
  <c r="X288" i="81"/>
  <c r="AA274" i="81"/>
  <c r="E295" i="81"/>
  <c r="O312" i="81"/>
  <c r="M312" i="81"/>
  <c r="AD229" i="81"/>
  <c r="X227" i="81"/>
  <c r="Q148" i="81"/>
  <c r="G337" i="81"/>
  <c r="K193" i="81"/>
  <c r="K176" i="81"/>
  <c r="E94" i="81"/>
  <c r="E35" i="81" s="1"/>
  <c r="D121" i="81"/>
  <c r="D62" i="81" s="1"/>
  <c r="Y167" i="81"/>
  <c r="E238" i="81"/>
  <c r="AB267" i="81"/>
  <c r="T341" i="81"/>
  <c r="AD283" i="81"/>
  <c r="O279" i="81"/>
  <c r="P161" i="81"/>
  <c r="T153" i="81"/>
  <c r="N170" i="81"/>
  <c r="G251" i="81"/>
  <c r="D275" i="81"/>
  <c r="C263" i="81"/>
  <c r="N281" i="81"/>
  <c r="X113" i="81"/>
  <c r="X54" i="81" s="1"/>
  <c r="F254" i="81"/>
  <c r="E305" i="81"/>
  <c r="J157" i="81"/>
  <c r="AH117" i="81"/>
  <c r="AH58" i="81" s="1"/>
  <c r="G252" i="81"/>
  <c r="AB197" i="81"/>
  <c r="AB355" i="81"/>
  <c r="I259" i="81"/>
  <c r="I342" i="81"/>
  <c r="U207" i="81"/>
  <c r="H349" i="81"/>
  <c r="L163" i="81"/>
  <c r="AC349" i="81"/>
  <c r="X179" i="81"/>
  <c r="Z134" i="81"/>
  <c r="J217" i="81"/>
  <c r="AE80" i="81"/>
  <c r="AE21" i="81" s="1"/>
  <c r="T266" i="81"/>
  <c r="AE203" i="81"/>
  <c r="AF147" i="81"/>
  <c r="D297" i="81"/>
  <c r="C166" i="81"/>
  <c r="AA258" i="81"/>
  <c r="AG148" i="81"/>
  <c r="G344" i="81"/>
  <c r="V98" i="81"/>
  <c r="V39" i="81" s="1"/>
  <c r="AF312" i="81"/>
  <c r="U364" i="81"/>
  <c r="AE298" i="81"/>
  <c r="AC270" i="81"/>
  <c r="N326" i="81"/>
  <c r="F212" i="81"/>
  <c r="H200" i="81"/>
  <c r="P123" i="81"/>
  <c r="P64" i="81" s="1"/>
  <c r="T203" i="81"/>
  <c r="U273" i="81"/>
  <c r="S135" i="81"/>
  <c r="K317" i="81"/>
  <c r="R340" i="81"/>
  <c r="J107" i="81"/>
  <c r="J48" i="81" s="1"/>
  <c r="F239" i="81"/>
  <c r="AF330" i="81"/>
  <c r="T279" i="81"/>
  <c r="AH260" i="81"/>
  <c r="AB204" i="81"/>
  <c r="Y158" i="81"/>
  <c r="P178" i="81"/>
  <c r="C253" i="81"/>
  <c r="J160" i="81"/>
  <c r="Y137" i="81"/>
  <c r="Z72" i="81"/>
  <c r="Z13" i="81" s="1"/>
  <c r="X285" i="81"/>
  <c r="M144" i="81"/>
  <c r="R317" i="81"/>
  <c r="AD225" i="81"/>
  <c r="M101" i="81"/>
  <c r="M42" i="81" s="1"/>
  <c r="AD108" i="81"/>
  <c r="AD49" i="81" s="1"/>
  <c r="AG252" i="81"/>
  <c r="F167" i="81"/>
  <c r="U298" i="81"/>
  <c r="N105" i="81"/>
  <c r="N46" i="81" s="1"/>
  <c r="P171" i="81"/>
  <c r="AA92" i="81"/>
  <c r="AA33" i="81" s="1"/>
  <c r="X152" i="81"/>
  <c r="AF192" i="81"/>
  <c r="D339" i="81"/>
  <c r="O293" i="81"/>
  <c r="AA124" i="81"/>
  <c r="AA65" i="81" s="1"/>
  <c r="N268" i="81"/>
  <c r="L238" i="81"/>
  <c r="U98" i="81"/>
  <c r="U39" i="81" s="1"/>
  <c r="S230" i="81"/>
  <c r="AE226" i="81"/>
  <c r="Q143" i="81"/>
  <c r="J311" i="81"/>
  <c r="E124" i="81"/>
  <c r="E65" i="81" s="1"/>
  <c r="AB346" i="81"/>
  <c r="V362" i="81"/>
  <c r="U352" i="81"/>
  <c r="G352" i="81"/>
  <c r="D266" i="81"/>
  <c r="I100" i="81"/>
  <c r="I41" i="81" s="1"/>
  <c r="L203" i="81"/>
  <c r="V364" i="81"/>
  <c r="AA344" i="81"/>
  <c r="Q76" i="81"/>
  <c r="Q17" i="81" s="1"/>
  <c r="O285" i="81"/>
  <c r="E293" i="81"/>
  <c r="O95" i="81"/>
  <c r="O36" i="81" s="1"/>
  <c r="M365" i="81"/>
  <c r="Z142" i="81"/>
  <c r="AC261" i="81"/>
  <c r="J265" i="81"/>
  <c r="C355" i="81"/>
  <c r="M176" i="81"/>
  <c r="C282" i="81"/>
  <c r="F223" i="81"/>
  <c r="J322" i="81"/>
  <c r="G221" i="81"/>
  <c r="F224" i="81"/>
  <c r="K114" i="81"/>
  <c r="K55" i="81" s="1"/>
  <c r="P230" i="81"/>
  <c r="AH211" i="81"/>
  <c r="C297" i="81"/>
  <c r="M317" i="81"/>
  <c r="AE190" i="81"/>
  <c r="R244" i="81"/>
  <c r="O213" i="81"/>
  <c r="Y333" i="81"/>
  <c r="AB289" i="81"/>
  <c r="M138" i="81"/>
  <c r="E104" i="81"/>
  <c r="E45" i="81" s="1"/>
  <c r="S268" i="81"/>
  <c r="W357" i="81"/>
  <c r="O204" i="81"/>
  <c r="W285" i="81"/>
  <c r="AH181" i="81"/>
  <c r="AE109" i="81"/>
  <c r="AE50" i="81" s="1"/>
  <c r="S94" i="81"/>
  <c r="S35" i="81" s="1"/>
  <c r="Z232" i="81"/>
  <c r="S272" i="81"/>
  <c r="L181" i="81"/>
  <c r="P193" i="81"/>
  <c r="S227" i="81"/>
  <c r="D90" i="81"/>
  <c r="D31" i="81" s="1"/>
  <c r="Z113" i="81"/>
  <c r="Z54" i="81" s="1"/>
  <c r="H97" i="81"/>
  <c r="H38" i="81" s="1"/>
  <c r="J295" i="81"/>
  <c r="O114" i="81"/>
  <c r="O55" i="81" s="1"/>
  <c r="AH291" i="81"/>
  <c r="D95" i="81"/>
  <c r="D36" i="81" s="1"/>
  <c r="O240" i="81"/>
  <c r="P166" i="81"/>
  <c r="R341" i="81"/>
  <c r="Y322" i="81"/>
  <c r="U244" i="81"/>
  <c r="AB364" i="81"/>
  <c r="X175" i="81"/>
  <c r="M202" i="81"/>
  <c r="AG233" i="81"/>
  <c r="T135" i="81"/>
  <c r="K190" i="81"/>
  <c r="C330" i="81"/>
  <c r="Q360" i="81"/>
  <c r="S290" i="81"/>
  <c r="L340" i="81"/>
  <c r="AC161" i="81"/>
  <c r="H295" i="81"/>
  <c r="AA286" i="81"/>
  <c r="AE88" i="81"/>
  <c r="AE29" i="81" s="1"/>
  <c r="K75" i="81"/>
  <c r="K16" i="81" s="1"/>
  <c r="Q157" i="81"/>
  <c r="AC325" i="81"/>
  <c r="O191" i="81"/>
  <c r="AE202" i="81"/>
  <c r="J179" i="81"/>
  <c r="AC132" i="81"/>
  <c r="AA91" i="81"/>
  <c r="AA32" i="81" s="1"/>
  <c r="M221" i="81"/>
  <c r="F208" i="81"/>
  <c r="Z357" i="81"/>
  <c r="P316" i="81"/>
  <c r="G209" i="81"/>
  <c r="I99" i="81"/>
  <c r="I40" i="81" s="1"/>
  <c r="AC232" i="81"/>
  <c r="W155" i="81"/>
  <c r="P100" i="81"/>
  <c r="P41" i="81" s="1"/>
  <c r="O305" i="81"/>
  <c r="X314" i="81"/>
  <c r="AH270" i="81"/>
  <c r="M185" i="81"/>
  <c r="Q231" i="81"/>
  <c r="AE71" i="81"/>
  <c r="AE12" i="81" s="1"/>
  <c r="F95" i="81"/>
  <c r="F36" i="81" s="1"/>
  <c r="I163" i="81"/>
  <c r="T349" i="81"/>
  <c r="AF143" i="81"/>
  <c r="P329" i="81"/>
  <c r="AH272" i="81"/>
  <c r="O297" i="81"/>
  <c r="N365" i="81"/>
  <c r="U361" i="81"/>
  <c r="AA267" i="81"/>
  <c r="W259" i="81"/>
  <c r="W339" i="81"/>
  <c r="G257" i="81"/>
  <c r="AD253" i="81"/>
  <c r="U160" i="81"/>
  <c r="U278" i="81"/>
  <c r="AE361" i="81"/>
  <c r="Y268" i="81"/>
  <c r="W99" i="81"/>
  <c r="W40" i="81" s="1"/>
  <c r="AH122" i="81"/>
  <c r="AH63" i="81" s="1"/>
  <c r="M190" i="81"/>
  <c r="AF209" i="81"/>
  <c r="N338" i="81"/>
  <c r="U281" i="81"/>
  <c r="L147" i="81"/>
  <c r="Z241" i="81"/>
  <c r="J203" i="81"/>
  <c r="P229" i="81"/>
  <c r="U356" i="81"/>
  <c r="M105" i="81"/>
  <c r="M46" i="81" s="1"/>
  <c r="T303" i="81"/>
  <c r="J172" i="81"/>
  <c r="S274" i="81"/>
  <c r="O333" i="81"/>
  <c r="AF190" i="81"/>
  <c r="O277" i="81"/>
  <c r="Q72" i="81"/>
  <c r="Q13" i="81" s="1"/>
  <c r="V353" i="81"/>
  <c r="L312" i="81"/>
  <c r="Y356" i="81"/>
  <c r="AA154" i="81"/>
  <c r="AE250" i="81"/>
  <c r="O168" i="81"/>
  <c r="V198" i="81"/>
  <c r="Z278" i="81"/>
  <c r="N224" i="81"/>
  <c r="X310" i="81"/>
  <c r="AC218" i="81"/>
  <c r="F327" i="81"/>
  <c r="X266" i="81"/>
  <c r="H196" i="81"/>
  <c r="T157" i="81"/>
  <c r="C341" i="81"/>
  <c r="AG201" i="81"/>
  <c r="J299" i="81"/>
  <c r="I344" i="81"/>
  <c r="P291" i="81"/>
  <c r="AE147" i="81"/>
  <c r="D87" i="81"/>
  <c r="D28" i="81" s="1"/>
  <c r="AD181" i="81"/>
  <c r="K260" i="81"/>
  <c r="W262" i="81"/>
  <c r="K205" i="81"/>
  <c r="AE142" i="81"/>
  <c r="O137" i="81"/>
  <c r="N287" i="81"/>
  <c r="E346" i="81"/>
  <c r="AB277" i="81"/>
  <c r="D166" i="81"/>
  <c r="U203" i="81"/>
  <c r="AA155" i="81"/>
  <c r="M137" i="81"/>
  <c r="Y313" i="81"/>
  <c r="AC279" i="81"/>
  <c r="P143" i="81"/>
  <c r="U139" i="81"/>
  <c r="R237" i="81"/>
  <c r="E172" i="81"/>
  <c r="W295" i="81"/>
  <c r="E292" i="81"/>
  <c r="P303" i="81"/>
  <c r="I279" i="81"/>
  <c r="P360" i="81"/>
  <c r="AD244" i="81"/>
  <c r="J136" i="81"/>
  <c r="AC115" i="81"/>
  <c r="AC56" i="81" s="1"/>
  <c r="X100" i="81"/>
  <c r="X41" i="81" s="1"/>
  <c r="Z300" i="81"/>
  <c r="AB106" i="81"/>
  <c r="AB47" i="81" s="1"/>
  <c r="AF261" i="81"/>
  <c r="Y317" i="81"/>
  <c r="Q91" i="81"/>
  <c r="Q32" i="81" s="1"/>
  <c r="Z356" i="81"/>
  <c r="X92" i="81"/>
  <c r="X33" i="81" s="1"/>
  <c r="I317" i="81"/>
  <c r="J147" i="81"/>
  <c r="P140" i="81"/>
  <c r="H110" i="81"/>
  <c r="H51" i="81" s="1"/>
  <c r="F137" i="81"/>
  <c r="Q311" i="81"/>
  <c r="P209" i="81"/>
  <c r="AB180" i="81"/>
  <c r="W253" i="81"/>
  <c r="H116" i="81"/>
  <c r="H57" i="81" s="1"/>
  <c r="V157" i="81"/>
  <c r="W279" i="81"/>
  <c r="G75" i="81"/>
  <c r="G16" i="81" s="1"/>
  <c r="AE135" i="81"/>
  <c r="AF133" i="81"/>
  <c r="X78" i="81"/>
  <c r="X19" i="81" s="1"/>
  <c r="O150" i="81"/>
  <c r="O223" i="81"/>
  <c r="O139" i="81"/>
  <c r="Z264" i="81"/>
  <c r="AF343" i="81"/>
  <c r="L333" i="81"/>
  <c r="L267" i="81"/>
  <c r="G180" i="81"/>
  <c r="P283" i="81"/>
  <c r="Z299" i="81"/>
  <c r="AC230" i="81"/>
  <c r="S136" i="81"/>
  <c r="F195" i="81"/>
  <c r="Q334" i="81"/>
  <c r="N162" i="81"/>
  <c r="I121" i="81"/>
  <c r="I62" i="81" s="1"/>
  <c r="AE156" i="81"/>
  <c r="M272" i="81"/>
  <c r="R221" i="81"/>
  <c r="AE291" i="81"/>
  <c r="R280" i="81"/>
  <c r="W165" i="81"/>
  <c r="R267" i="81"/>
  <c r="V178" i="81"/>
  <c r="T209" i="81"/>
  <c r="Q312" i="81"/>
  <c r="AF264" i="81"/>
  <c r="T75" i="81"/>
  <c r="T16" i="81" s="1"/>
  <c r="O322" i="81"/>
  <c r="P238" i="81"/>
  <c r="AB351" i="81"/>
  <c r="X102" i="81"/>
  <c r="X43" i="81" s="1"/>
  <c r="F266" i="81"/>
  <c r="M113" i="81"/>
  <c r="M54" i="81" s="1"/>
  <c r="K146" i="81"/>
  <c r="C312" i="81"/>
  <c r="AE223" i="81"/>
  <c r="L287" i="81"/>
  <c r="J235" i="81"/>
  <c r="I110" i="81"/>
  <c r="I51" i="81" s="1"/>
  <c r="C134" i="81"/>
  <c r="P88" i="81"/>
  <c r="P29" i="81" s="1"/>
  <c r="H335" i="81"/>
  <c r="D258" i="81"/>
  <c r="T217" i="81"/>
  <c r="G266" i="81"/>
  <c r="X276" i="81"/>
  <c r="W177" i="81"/>
  <c r="M158" i="81"/>
  <c r="H286" i="81"/>
  <c r="R143" i="81"/>
  <c r="I202" i="81"/>
  <c r="AB279" i="81"/>
  <c r="C353" i="81"/>
  <c r="V205" i="81"/>
  <c r="Q202" i="81"/>
  <c r="U143" i="81"/>
  <c r="AC177" i="81"/>
  <c r="S80" i="81"/>
  <c r="S21" i="81" s="1"/>
  <c r="C268" i="81"/>
  <c r="C291" i="81"/>
  <c r="K91" i="81"/>
  <c r="K32" i="81" s="1"/>
  <c r="AB87" i="81"/>
  <c r="AB28" i="81" s="1"/>
  <c r="AA77" i="81"/>
  <c r="AA18" i="81" s="1"/>
  <c r="J287" i="81"/>
  <c r="U339" i="81"/>
  <c r="V288" i="81"/>
  <c r="Y121" i="81"/>
  <c r="Y62" i="81" s="1"/>
  <c r="S229" i="81"/>
  <c r="D173" i="81"/>
  <c r="D131" i="81"/>
  <c r="F174" i="81"/>
  <c r="W170" i="81"/>
  <c r="V235" i="81"/>
  <c r="Q316" i="81"/>
  <c r="X144" i="81"/>
  <c r="AC287" i="81"/>
  <c r="AC174" i="81"/>
  <c r="S70" i="81"/>
  <c r="S11" i="81" s="1"/>
  <c r="R82" i="81"/>
  <c r="R23" i="81" s="1"/>
  <c r="AH348" i="81"/>
  <c r="AH231" i="81"/>
  <c r="AC120" i="81"/>
  <c r="AC61" i="81" s="1"/>
  <c r="Z95" i="81"/>
  <c r="Z36" i="81" s="1"/>
  <c r="AE333" i="81"/>
  <c r="AG175" i="81"/>
  <c r="AD171" i="81"/>
  <c r="AD71" i="81"/>
  <c r="AD12" i="81" s="1"/>
  <c r="O268" i="81"/>
  <c r="L75" i="81"/>
  <c r="L16" i="81" s="1"/>
  <c r="E342" i="81"/>
  <c r="R117" i="81"/>
  <c r="R58" i="81" s="1"/>
  <c r="K304" i="81"/>
  <c r="L143" i="81"/>
  <c r="N292" i="81"/>
  <c r="AF79" i="81"/>
  <c r="AF20" i="81" s="1"/>
  <c r="W256" i="81"/>
  <c r="AE262" i="81"/>
  <c r="R86" i="81"/>
  <c r="R27" i="81" s="1"/>
  <c r="K231" i="81"/>
  <c r="AC225" i="81"/>
  <c r="Y304" i="81"/>
  <c r="AE98" i="81"/>
  <c r="AE39" i="81" s="1"/>
  <c r="AA354" i="81"/>
  <c r="R132" i="81"/>
  <c r="S73" i="81"/>
  <c r="S14" i="81" s="1"/>
  <c r="Q155" i="81"/>
  <c r="AC346" i="81"/>
  <c r="D311" i="81"/>
  <c r="M143" i="81"/>
  <c r="I235" i="81"/>
  <c r="Q140" i="81"/>
  <c r="V297" i="81"/>
  <c r="H322" i="81"/>
  <c r="AF114" i="81"/>
  <c r="AF55" i="81" s="1"/>
  <c r="F227" i="81"/>
  <c r="H124" i="81"/>
  <c r="H65" i="81" s="1"/>
  <c r="S199" i="81"/>
  <c r="Q319" i="81"/>
  <c r="W153" i="81"/>
  <c r="M242" i="81"/>
  <c r="AF194" i="81"/>
  <c r="V271" i="81"/>
  <c r="AF179" i="81"/>
  <c r="Z130" i="81"/>
  <c r="R194" i="81"/>
  <c r="AG260" i="81"/>
  <c r="Q97" i="81"/>
  <c r="Q38" i="81" s="1"/>
  <c r="AC158" i="81"/>
  <c r="K104" i="81"/>
  <c r="K45" i="81" s="1"/>
  <c r="W70" i="81"/>
  <c r="W11" i="81" s="1"/>
  <c r="AD259" i="81"/>
  <c r="AC291" i="81"/>
  <c r="AB315" i="81"/>
  <c r="AH329" i="81"/>
  <c r="Z133" i="81"/>
  <c r="AE236" i="81"/>
  <c r="K340" i="81"/>
  <c r="T96" i="81"/>
  <c r="T37" i="81" s="1"/>
  <c r="Z263" i="81"/>
  <c r="AH154" i="81"/>
  <c r="I112" i="81"/>
  <c r="I53" i="81" s="1"/>
  <c r="AE151" i="81"/>
  <c r="G200" i="81"/>
  <c r="Q162" i="81"/>
  <c r="S234" i="81"/>
  <c r="R102" i="81"/>
  <c r="R43" i="81" s="1"/>
  <c r="AD201" i="81"/>
  <c r="G166" i="81"/>
  <c r="AG262" i="81"/>
  <c r="E116" i="81"/>
  <c r="E57" i="81" s="1"/>
  <c r="U119" i="81"/>
  <c r="U60" i="81" s="1"/>
  <c r="V184" i="81"/>
  <c r="H262" i="81"/>
  <c r="S168" i="81"/>
  <c r="N113" i="81"/>
  <c r="N54" i="81" s="1"/>
  <c r="I241" i="81"/>
  <c r="O82" i="81"/>
  <c r="O23" i="81" s="1"/>
  <c r="X295" i="81"/>
  <c r="AH357" i="81"/>
  <c r="D79" i="81"/>
  <c r="D20" i="81" s="1"/>
  <c r="N258" i="81"/>
  <c r="V77" i="81"/>
  <c r="V18" i="81" s="1"/>
  <c r="P354" i="81"/>
  <c r="K242" i="81"/>
  <c r="C318" i="81"/>
  <c r="AC300" i="81"/>
  <c r="V193" i="81"/>
  <c r="I230" i="81"/>
  <c r="AC268" i="81"/>
  <c r="L291" i="81"/>
  <c r="AE181" i="81"/>
  <c r="X95" i="81"/>
  <c r="X36" i="81" s="1"/>
  <c r="AE153" i="81"/>
  <c r="AE264" i="81"/>
  <c r="Y86" i="81"/>
  <c r="Y27" i="81" s="1"/>
  <c r="R329" i="81"/>
  <c r="M275" i="81"/>
  <c r="AC342" i="81"/>
  <c r="P320" i="81"/>
  <c r="Z105" i="81"/>
  <c r="Z46" i="81" s="1"/>
  <c r="AG106" i="81"/>
  <c r="AG47" i="81" s="1"/>
  <c r="X110" i="81"/>
  <c r="X51" i="81" s="1"/>
  <c r="Q165" i="81"/>
  <c r="N136" i="81"/>
  <c r="N240" i="81"/>
  <c r="U217" i="81"/>
  <c r="X203" i="81"/>
  <c r="F162" i="81"/>
  <c r="AH130" i="81"/>
  <c r="T265" i="81"/>
  <c r="U333" i="81"/>
  <c r="Z283" i="81"/>
  <c r="N134" i="81"/>
  <c r="W156" i="81"/>
  <c r="P137" i="81"/>
  <c r="L243" i="81"/>
  <c r="AE104" i="81"/>
  <c r="AE45" i="81" s="1"/>
  <c r="R190" i="81"/>
  <c r="G158" i="81"/>
  <c r="M347" i="81"/>
  <c r="P260" i="81"/>
  <c r="Y113" i="81"/>
  <c r="Y54" i="81" s="1"/>
  <c r="Z272" i="81"/>
  <c r="D183" i="81"/>
  <c r="K220" i="81"/>
  <c r="AB274" i="81"/>
  <c r="V232" i="81"/>
  <c r="Q94" i="81"/>
  <c r="Q35" i="81" s="1"/>
  <c r="R176" i="81"/>
  <c r="T333" i="81"/>
  <c r="AD242" i="81"/>
  <c r="L289" i="81"/>
  <c r="N199" i="81"/>
  <c r="AF183" i="81"/>
  <c r="V338" i="81"/>
  <c r="N251" i="81"/>
  <c r="T131" i="81"/>
  <c r="C301" i="81"/>
  <c r="F365" i="81"/>
  <c r="S120" i="81"/>
  <c r="S61" i="81" s="1"/>
  <c r="U271" i="81"/>
  <c r="Z269" i="81"/>
  <c r="AB234" i="81"/>
  <c r="H283" i="81"/>
  <c r="F204" i="81"/>
  <c r="T322" i="81"/>
  <c r="E327" i="81"/>
  <c r="R361" i="81"/>
  <c r="Y169" i="81"/>
  <c r="AC288" i="81"/>
  <c r="U294" i="81"/>
  <c r="P106" i="81"/>
  <c r="P47" i="81" s="1"/>
  <c r="R115" i="81"/>
  <c r="R56" i="81" s="1"/>
  <c r="G275" i="81"/>
  <c r="C101" i="81"/>
  <c r="C42" i="81" s="1"/>
  <c r="AC172" i="81"/>
  <c r="M74" i="81"/>
  <c r="M15" i="81" s="1"/>
  <c r="H238" i="81"/>
  <c r="D174" i="81"/>
  <c r="H73" i="81"/>
  <c r="H14" i="81" s="1"/>
  <c r="E331" i="81"/>
  <c r="S264" i="81"/>
  <c r="AC337" i="81"/>
  <c r="W284" i="81"/>
  <c r="Q224" i="81"/>
  <c r="Q364" i="81"/>
  <c r="W235" i="81"/>
  <c r="H134" i="81"/>
  <c r="AC151" i="81"/>
  <c r="AC122" i="81"/>
  <c r="AC63" i="81" s="1"/>
  <c r="AB233" i="81"/>
  <c r="H313" i="81"/>
  <c r="U124" i="81"/>
  <c r="U65" i="81" s="1"/>
  <c r="T94" i="81"/>
  <c r="T35" i="81" s="1"/>
  <c r="V93" i="81"/>
  <c r="V34" i="81" s="1"/>
  <c r="C264" i="81"/>
  <c r="Y227" i="81"/>
  <c r="O238" i="81"/>
  <c r="AG149" i="81"/>
  <c r="P236" i="81"/>
  <c r="AF160" i="81"/>
  <c r="K250" i="81"/>
  <c r="V182" i="81"/>
  <c r="R286" i="81"/>
  <c r="AC147" i="81"/>
  <c r="G107" i="81"/>
  <c r="G48" i="81" s="1"/>
  <c r="T220" i="81"/>
  <c r="AH86" i="81"/>
  <c r="AH27" i="81" s="1"/>
  <c r="AF338" i="81"/>
  <c r="AB365" i="81"/>
  <c r="AD135" i="81"/>
  <c r="AD362" i="81"/>
  <c r="AE285" i="81"/>
  <c r="L283" i="81"/>
  <c r="S219" i="81"/>
  <c r="Q260" i="81"/>
  <c r="AC290" i="81"/>
  <c r="H227" i="81"/>
  <c r="AG75" i="81"/>
  <c r="AG16" i="81" s="1"/>
  <c r="AD102" i="81"/>
  <c r="AD43" i="81" s="1"/>
  <c r="AB334" i="81"/>
  <c r="T351" i="81"/>
  <c r="G70" i="81"/>
  <c r="G11" i="81" s="1"/>
  <c r="Z160" i="81"/>
  <c r="Q130" i="81"/>
  <c r="X77" i="81"/>
  <c r="X18" i="81" s="1"/>
  <c r="K353" i="81"/>
  <c r="J72" i="81"/>
  <c r="J13" i="81" s="1"/>
  <c r="AA291" i="81"/>
  <c r="AF214" i="81"/>
  <c r="AH259" i="81"/>
  <c r="U84" i="81"/>
  <c r="U25" i="81" s="1"/>
  <c r="O149" i="81"/>
  <c r="I174" i="81"/>
  <c r="AE354" i="81"/>
  <c r="D347" i="81"/>
  <c r="Q173" i="81"/>
  <c r="O108" i="81"/>
  <c r="O49" i="81" s="1"/>
  <c r="AE360" i="81"/>
  <c r="M352" i="81"/>
  <c r="N314" i="81"/>
  <c r="V197" i="81"/>
  <c r="V155" i="81"/>
  <c r="O280" i="81"/>
  <c r="T244" i="81"/>
  <c r="C257" i="81"/>
  <c r="S154" i="81"/>
  <c r="H232" i="81"/>
  <c r="L336" i="81"/>
  <c r="U226" i="81"/>
  <c r="N228" i="81"/>
  <c r="AA120" i="81"/>
  <c r="AA61" i="81" s="1"/>
  <c r="V280" i="81"/>
  <c r="AD97" i="81"/>
  <c r="AD38" i="81" s="1"/>
  <c r="I335" i="81"/>
  <c r="AD152" i="81"/>
  <c r="AC339" i="81"/>
  <c r="F70" i="81"/>
  <c r="F11" i="81" s="1"/>
  <c r="H304" i="81"/>
  <c r="C265" i="81"/>
  <c r="Y285" i="81"/>
  <c r="Q253" i="81"/>
  <c r="C302" i="81"/>
  <c r="AD280" i="81"/>
  <c r="L121" i="81"/>
  <c r="L62" i="81" s="1"/>
  <c r="V340" i="81"/>
  <c r="K137" i="81"/>
  <c r="Y74" i="81"/>
  <c r="Y15" i="81" s="1"/>
  <c r="Y213" i="81"/>
  <c r="M205" i="81"/>
  <c r="I304" i="81"/>
  <c r="AD340" i="81"/>
  <c r="C89" i="81"/>
  <c r="C30" i="81" s="1"/>
  <c r="Z311" i="81"/>
  <c r="AD264" i="81"/>
  <c r="E298" i="81"/>
  <c r="U231" i="81"/>
  <c r="D255" i="81"/>
  <c r="W166" i="81"/>
  <c r="Z294" i="81"/>
  <c r="Q251" i="81"/>
  <c r="V213" i="81"/>
  <c r="D363" i="81"/>
  <c r="G196" i="81"/>
  <c r="AF305" i="81"/>
  <c r="I284" i="81"/>
  <c r="Q213" i="81"/>
  <c r="AF211" i="81"/>
  <c r="K343" i="81"/>
  <c r="AB219" i="81"/>
  <c r="K355" i="81"/>
  <c r="P285" i="81"/>
  <c r="G240" i="81"/>
  <c r="AG197" i="81"/>
  <c r="T167" i="81"/>
  <c r="J301" i="81"/>
  <c r="N201" i="81"/>
  <c r="K131" i="81"/>
  <c r="AG324" i="81"/>
  <c r="H279" i="81"/>
  <c r="AH72" i="81"/>
  <c r="AH13" i="81" s="1"/>
  <c r="K135" i="81"/>
  <c r="F104" i="81"/>
  <c r="F45" i="81" s="1"/>
  <c r="AH124" i="81"/>
  <c r="AH65" i="81" s="1"/>
  <c r="U106" i="81"/>
  <c r="U47" i="81" s="1"/>
  <c r="S228" i="81"/>
  <c r="C350" i="81"/>
  <c r="H148" i="81"/>
  <c r="V354" i="81"/>
  <c r="P330" i="81"/>
  <c r="P194" i="81"/>
  <c r="AA149" i="81"/>
  <c r="AF105" i="81"/>
  <c r="AF46" i="81" s="1"/>
  <c r="X185" i="81"/>
  <c r="H212" i="81"/>
  <c r="J321" i="81"/>
  <c r="AH152" i="81"/>
  <c r="D206" i="81"/>
  <c r="I303" i="81"/>
  <c r="AD96" i="81"/>
  <c r="AD37" i="81" s="1"/>
  <c r="AF148" i="81"/>
  <c r="E92" i="81"/>
  <c r="E33" i="81" s="1"/>
  <c r="H120" i="81"/>
  <c r="H61" i="81" s="1"/>
  <c r="AD90" i="81"/>
  <c r="AD31" i="81" s="1"/>
  <c r="AC111" i="81"/>
  <c r="AC52" i="81" s="1"/>
  <c r="S283" i="81"/>
  <c r="Z77" i="81"/>
  <c r="Z18" i="81" s="1"/>
  <c r="O218" i="81"/>
  <c r="O257" i="81"/>
  <c r="V326" i="81"/>
  <c r="C276" i="81"/>
  <c r="J86" i="81"/>
  <c r="J27" i="81" s="1"/>
  <c r="AA253" i="81"/>
  <c r="AG278" i="81"/>
  <c r="W71" i="81"/>
  <c r="W12" i="81" s="1"/>
  <c r="T112" i="81"/>
  <c r="T53" i="81" s="1"/>
  <c r="E330" i="81"/>
  <c r="Q221" i="81"/>
  <c r="S83" i="81"/>
  <c r="S24" i="81" s="1"/>
  <c r="F118" i="81"/>
  <c r="F59" i="81" s="1"/>
  <c r="M90" i="81"/>
  <c r="M31" i="81" s="1"/>
  <c r="C245" i="81"/>
  <c r="C132" i="81"/>
  <c r="AH297" i="81"/>
  <c r="AC141" i="81"/>
  <c r="Q263" i="81"/>
  <c r="D156" i="81"/>
  <c r="AE287" i="81"/>
  <c r="W124" i="81"/>
  <c r="W65" i="81" s="1"/>
  <c r="AB258" i="81"/>
  <c r="E176" i="81"/>
  <c r="S341" i="81"/>
  <c r="L191" i="81"/>
  <c r="AA339" i="81"/>
  <c r="I292" i="81"/>
  <c r="AF288" i="81"/>
  <c r="T150" i="81"/>
  <c r="Y172" i="81"/>
  <c r="W288" i="81"/>
  <c r="AD211" i="81"/>
  <c r="H285" i="81"/>
  <c r="E115" i="81"/>
  <c r="E56" i="81" s="1"/>
  <c r="F148" i="81"/>
  <c r="Z141" i="81"/>
  <c r="AF223" i="81"/>
  <c r="AF351" i="81"/>
  <c r="AD120" i="81"/>
  <c r="AD61" i="81" s="1"/>
  <c r="AB151" i="81"/>
  <c r="I87" i="81"/>
  <c r="I28" i="81" s="1"/>
  <c r="P318" i="81"/>
  <c r="K130" i="81"/>
  <c r="N150" i="81"/>
  <c r="F164" i="81"/>
  <c r="D107" i="81"/>
  <c r="D48" i="81" s="1"/>
  <c r="F181" i="81"/>
  <c r="I267" i="81"/>
  <c r="O214" i="81"/>
  <c r="AE272" i="81"/>
  <c r="H203" i="81"/>
  <c r="Q220" i="81"/>
  <c r="D71" i="81"/>
  <c r="D12" i="81" s="1"/>
  <c r="X155" i="81"/>
  <c r="I155" i="81"/>
  <c r="V315" i="81"/>
  <c r="L74" i="81"/>
  <c r="L15" i="81" s="1"/>
  <c r="D336" i="81"/>
  <c r="O73" i="81"/>
  <c r="O14" i="81" s="1"/>
  <c r="O121" i="81"/>
  <c r="O62" i="81" s="1"/>
  <c r="E232" i="81"/>
  <c r="I213" i="81"/>
  <c r="AD270" i="81"/>
  <c r="X239" i="81"/>
  <c r="C360" i="81"/>
  <c r="T160" i="81"/>
  <c r="AC284" i="81"/>
  <c r="U158" i="81"/>
  <c r="O344" i="81"/>
  <c r="AF106" i="81"/>
  <c r="AF47" i="81" s="1"/>
  <c r="J124" i="81"/>
  <c r="J65" i="81" s="1"/>
  <c r="L365" i="81"/>
  <c r="G89" i="81"/>
  <c r="G30" i="81" s="1"/>
  <c r="W258" i="81"/>
  <c r="Q314" i="81"/>
  <c r="AA216" i="81"/>
  <c r="E217" i="81"/>
  <c r="G106" i="81"/>
  <c r="G47" i="81" s="1"/>
  <c r="Z220" i="81"/>
  <c r="AC355" i="81"/>
  <c r="I218" i="81"/>
  <c r="Y289" i="81"/>
  <c r="AH159" i="81"/>
  <c r="T356" i="81"/>
  <c r="Y258" i="81"/>
  <c r="AG357" i="81"/>
  <c r="D277" i="81"/>
  <c r="AH210" i="81"/>
  <c r="P74" i="81"/>
  <c r="P15" i="81" s="1"/>
  <c r="H235" i="81"/>
  <c r="P237" i="81"/>
  <c r="M244" i="81"/>
  <c r="AB120" i="81"/>
  <c r="AB61" i="81" s="1"/>
  <c r="X291" i="81"/>
  <c r="AA190" i="81"/>
  <c r="V216" i="81"/>
  <c r="AB142" i="81"/>
  <c r="X198" i="81"/>
  <c r="D230" i="81"/>
  <c r="AA167" i="81"/>
  <c r="F339" i="81"/>
  <c r="M293" i="81"/>
  <c r="R111" i="81"/>
  <c r="R52" i="81" s="1"/>
  <c r="U75" i="81"/>
  <c r="U16" i="81" s="1"/>
  <c r="U87" i="81"/>
  <c r="U28" i="81" s="1"/>
  <c r="AD235" i="81"/>
  <c r="AA164" i="81"/>
  <c r="R331" i="81"/>
  <c r="M100" i="81"/>
  <c r="M41" i="81" s="1"/>
  <c r="AA123" i="81"/>
  <c r="AA64" i="81" s="1"/>
  <c r="D240" i="81"/>
  <c r="AC331" i="81"/>
  <c r="E363" i="81"/>
  <c r="AE114" i="81"/>
  <c r="AE55" i="81" s="1"/>
  <c r="Q285" i="81"/>
  <c r="R347" i="81"/>
  <c r="H93" i="81"/>
  <c r="H34" i="81" s="1"/>
  <c r="E150" i="81"/>
  <c r="AF290" i="81"/>
  <c r="C210" i="81"/>
  <c r="W332" i="81"/>
  <c r="M265" i="81"/>
  <c r="Z195" i="81"/>
  <c r="G121" i="81"/>
  <c r="G62" i="81" s="1"/>
  <c r="AF157" i="81"/>
  <c r="F185" i="81"/>
  <c r="T353" i="81"/>
  <c r="K233" i="81"/>
  <c r="R292" i="81"/>
  <c r="Y301" i="81"/>
  <c r="S259" i="81"/>
  <c r="F322" i="81"/>
  <c r="G230" i="81"/>
  <c r="R124" i="81"/>
  <c r="R65" i="81" s="1"/>
  <c r="AG228" i="81"/>
  <c r="D343" i="81"/>
  <c r="AC262" i="81"/>
  <c r="AC274" i="81"/>
  <c r="Z178" i="81"/>
  <c r="X213" i="81"/>
  <c r="AA324" i="81"/>
  <c r="Z279" i="81"/>
  <c r="AA326" i="81"/>
  <c r="W268" i="81"/>
  <c r="Y111" i="81"/>
  <c r="Y52" i="81" s="1"/>
  <c r="G236" i="81"/>
  <c r="AE86" i="81"/>
  <c r="AE27" i="81" s="1"/>
  <c r="U316" i="81"/>
  <c r="L174" i="81"/>
  <c r="AC330" i="81"/>
  <c r="N283" i="81"/>
  <c r="R359" i="81"/>
  <c r="M255" i="81"/>
  <c r="G93" i="81"/>
  <c r="G34" i="81" s="1"/>
  <c r="E76" i="81"/>
  <c r="E17" i="81" s="1"/>
  <c r="M159" i="81"/>
  <c r="X258" i="81"/>
  <c r="H117" i="81"/>
  <c r="H58" i="81" s="1"/>
  <c r="H130" i="81"/>
  <c r="R337" i="81"/>
  <c r="L142" i="81"/>
  <c r="J174" i="81"/>
  <c r="X261" i="81"/>
  <c r="F144" i="81"/>
  <c r="E82" i="81"/>
  <c r="E23" i="81" s="1"/>
  <c r="Y132" i="81"/>
  <c r="N102" i="81"/>
  <c r="N43" i="81" s="1"/>
  <c r="V103" i="81"/>
  <c r="V44" i="81" s="1"/>
  <c r="AA222" i="81"/>
  <c r="V228" i="81"/>
  <c r="K154" i="81"/>
  <c r="T178" i="81"/>
  <c r="AC171" i="81"/>
  <c r="Z275" i="81"/>
  <c r="F206" i="81"/>
  <c r="P344" i="81"/>
  <c r="E184" i="81"/>
  <c r="L112" i="81"/>
  <c r="L53" i="81" s="1"/>
  <c r="AF215" i="81"/>
  <c r="I328" i="81"/>
  <c r="G84" i="81"/>
  <c r="G25" i="81" s="1"/>
  <c r="O207" i="81"/>
  <c r="AH350" i="81"/>
  <c r="U154" i="81"/>
  <c r="S78" i="81"/>
  <c r="S19" i="81" s="1"/>
  <c r="AE331" i="81"/>
  <c r="P222" i="81"/>
  <c r="E273" i="81"/>
  <c r="L225" i="81"/>
  <c r="AC180" i="81"/>
  <c r="T176" i="81"/>
  <c r="D310" i="81"/>
  <c r="F76" i="81"/>
  <c r="F17" i="81" s="1"/>
  <c r="AD114" i="81"/>
  <c r="AD55" i="81" s="1"/>
  <c r="AE116" i="81"/>
  <c r="AE57" i="81" s="1"/>
  <c r="Z112" i="81"/>
  <c r="Z53" i="81" s="1"/>
  <c r="J224" i="81"/>
  <c r="V113" i="81"/>
  <c r="V54" i="81" s="1"/>
  <c r="G212" i="81"/>
  <c r="W210" i="81"/>
  <c r="S173" i="81"/>
  <c r="AF83" i="81"/>
  <c r="AF24" i="81" s="1"/>
  <c r="K141" i="81"/>
  <c r="X224" i="81"/>
  <c r="S98" i="81"/>
  <c r="S39" i="81" s="1"/>
  <c r="J269" i="81"/>
  <c r="AE169" i="81"/>
  <c r="G223" i="81"/>
  <c r="U134" i="81"/>
  <c r="Z162" i="81"/>
  <c r="F294" i="81"/>
  <c r="N175" i="81"/>
  <c r="AE201" i="81"/>
  <c r="J318" i="81"/>
  <c r="Z250" i="81"/>
  <c r="K101" i="81"/>
  <c r="K42" i="81" s="1"/>
  <c r="V225" i="81"/>
  <c r="I260" i="81"/>
  <c r="H131" i="81"/>
  <c r="AA312" i="81"/>
  <c r="AH356" i="81"/>
  <c r="AC197" i="81"/>
  <c r="AH113" i="81"/>
  <c r="AH54" i="81" s="1"/>
  <c r="D359" i="81"/>
  <c r="AD175" i="81"/>
  <c r="I329" i="81"/>
  <c r="C83" i="81"/>
  <c r="C24" i="81" s="1"/>
  <c r="X293" i="81"/>
  <c r="C337" i="81"/>
  <c r="N354" i="81"/>
  <c r="I178" i="81"/>
  <c r="R345" i="81"/>
  <c r="H365" i="81"/>
  <c r="I141" i="81"/>
  <c r="Y106" i="81"/>
  <c r="Y47" i="81" s="1"/>
  <c r="AB152" i="81"/>
  <c r="V107" i="81"/>
  <c r="V48" i="81" s="1"/>
  <c r="R353" i="81"/>
  <c r="AG223" i="81"/>
  <c r="H210" i="81"/>
  <c r="R303" i="81"/>
  <c r="E110" i="81"/>
  <c r="E51" i="81" s="1"/>
  <c r="K87" i="81"/>
  <c r="K28" i="81" s="1"/>
  <c r="D303" i="81"/>
  <c r="W205" i="81"/>
  <c r="X322" i="81"/>
  <c r="AC109" i="81"/>
  <c r="AC50" i="81" s="1"/>
  <c r="H91" i="81"/>
  <c r="H32" i="81" s="1"/>
  <c r="AE244" i="81"/>
  <c r="AD217" i="81"/>
  <c r="E96" i="81"/>
  <c r="E37" i="81" s="1"/>
  <c r="AG95" i="81"/>
  <c r="AG36" i="81" s="1"/>
  <c r="K96" i="81"/>
  <c r="K37" i="81" s="1"/>
  <c r="AA88" i="81"/>
  <c r="AA29" i="81" s="1"/>
  <c r="G288" i="81"/>
  <c r="M122" i="81"/>
  <c r="M63" i="81" s="1"/>
  <c r="AH328" i="81"/>
  <c r="K314" i="81"/>
  <c r="V290" i="81"/>
  <c r="AG136" i="81"/>
  <c r="W114" i="81"/>
  <c r="W55" i="81" s="1"/>
  <c r="R192" i="81"/>
  <c r="J337" i="81"/>
  <c r="F364" i="81"/>
  <c r="Q195" i="81"/>
  <c r="P232" i="81"/>
  <c r="Q239" i="81"/>
  <c r="R203" i="81"/>
  <c r="W283" i="81"/>
  <c r="I291" i="81"/>
  <c r="G95" i="81"/>
  <c r="G36" i="81" s="1"/>
  <c r="AA157" i="81"/>
  <c r="M131" i="81"/>
  <c r="W164" i="81"/>
  <c r="Z205" i="81"/>
  <c r="Z93" i="81"/>
  <c r="Z34" i="81" s="1"/>
  <c r="U327" i="81"/>
  <c r="AC149" i="81"/>
  <c r="P259" i="81"/>
  <c r="AC190" i="81"/>
  <c r="AD81" i="81"/>
  <c r="AD22" i="81" s="1"/>
  <c r="V312" i="81"/>
  <c r="C141" i="81"/>
  <c r="AF198" i="81"/>
  <c r="P241" i="81"/>
  <c r="M120" i="81"/>
  <c r="M61" i="81" s="1"/>
  <c r="O361" i="81"/>
  <c r="S218" i="81"/>
  <c r="Y330" i="81"/>
  <c r="AF173" i="81"/>
  <c r="Q269" i="81"/>
  <c r="G101" i="81"/>
  <c r="G42" i="81" s="1"/>
  <c r="R71" i="81"/>
  <c r="R12" i="81" s="1"/>
  <c r="X168" i="81"/>
  <c r="AA330" i="81"/>
  <c r="AF300" i="81"/>
  <c r="Z147" i="81"/>
  <c r="I290" i="81"/>
  <c r="Y219" i="81"/>
  <c r="R140" i="81"/>
  <c r="K282" i="81"/>
  <c r="M207" i="81"/>
  <c r="K197" i="81"/>
  <c r="AD310" i="81"/>
  <c r="AF197" i="81"/>
  <c r="E142" i="81"/>
  <c r="H185" i="81"/>
  <c r="N97" i="81"/>
  <c r="N38" i="81" s="1"/>
  <c r="AA98" i="81"/>
  <c r="AA39" i="81" s="1"/>
  <c r="AA93" i="81"/>
  <c r="AA34" i="81" s="1"/>
  <c r="Q279" i="81"/>
  <c r="AC347" i="81"/>
  <c r="M175" i="81"/>
  <c r="Y338" i="81"/>
  <c r="Y281" i="81"/>
  <c r="J120" i="81"/>
  <c r="J61" i="81" s="1"/>
  <c r="R301" i="81"/>
  <c r="AB96" i="81"/>
  <c r="AB37" i="81" s="1"/>
  <c r="F130" i="81"/>
  <c r="E234" i="81"/>
  <c r="Z151" i="81"/>
  <c r="AB131" i="81"/>
  <c r="F170" i="81"/>
  <c r="T78" i="81"/>
  <c r="T19" i="81" s="1"/>
  <c r="O352" i="81"/>
  <c r="H294" i="81"/>
  <c r="U345" i="81"/>
  <c r="X233" i="81"/>
  <c r="AB352" i="81"/>
  <c r="I252" i="81"/>
  <c r="W232" i="81"/>
  <c r="R225" i="81"/>
  <c r="X180" i="81"/>
  <c r="AC336" i="81"/>
  <c r="AF95" i="81"/>
  <c r="AF36" i="81" s="1"/>
  <c r="P184" i="81"/>
  <c r="W192" i="81"/>
  <c r="P109" i="81"/>
  <c r="P50" i="81" s="1"/>
  <c r="AE356" i="81"/>
  <c r="T337" i="81"/>
  <c r="T289" i="81"/>
  <c r="W364" i="81"/>
  <c r="AC162" i="81"/>
  <c r="AE301" i="81"/>
  <c r="L219" i="81"/>
  <c r="AA182" i="81"/>
  <c r="AD293" i="81"/>
  <c r="E299" i="81"/>
  <c r="I101" i="81"/>
  <c r="I42" i="81" s="1"/>
  <c r="R352" i="81"/>
  <c r="J363" i="81"/>
  <c r="M93" i="81"/>
  <c r="M34" i="81" s="1"/>
  <c r="V365" i="81"/>
  <c r="AF263" i="81"/>
  <c r="O182" i="81"/>
  <c r="AD278" i="81"/>
  <c r="G280" i="81"/>
  <c r="N231" i="81"/>
  <c r="M253" i="81"/>
  <c r="AC210" i="81"/>
  <c r="W90" i="81"/>
  <c r="W31" i="81" s="1"/>
  <c r="H114" i="81"/>
  <c r="H55" i="81" s="1"/>
  <c r="W343" i="81"/>
  <c r="AF221" i="81"/>
  <c r="AD118" i="81"/>
  <c r="AD59" i="81" s="1"/>
  <c r="X229" i="81"/>
  <c r="X230" i="81"/>
  <c r="P288" i="81"/>
  <c r="U321" i="81"/>
  <c r="O148" i="81"/>
  <c r="E72" i="81"/>
  <c r="E13" i="81" s="1"/>
  <c r="V260" i="81"/>
  <c r="M192" i="81"/>
  <c r="F142" i="81"/>
  <c r="Y231" i="81"/>
  <c r="Z184" i="81"/>
  <c r="AH294" i="81"/>
  <c r="N280" i="81"/>
  <c r="O230" i="81"/>
  <c r="Q299" i="81"/>
  <c r="W352" i="81"/>
  <c r="G72" i="81"/>
  <c r="G13" i="81" s="1"/>
  <c r="AF268" i="81"/>
  <c r="X317" i="81"/>
  <c r="Z253" i="81"/>
  <c r="N78" i="81"/>
  <c r="N19" i="81" s="1"/>
  <c r="K224" i="81"/>
  <c r="M98" i="81"/>
  <c r="M39" i="81" s="1"/>
  <c r="AF355" i="81"/>
  <c r="G92" i="81"/>
  <c r="G33" i="81" s="1"/>
  <c r="AB285" i="81"/>
  <c r="AB318" i="81"/>
  <c r="O252" i="81"/>
  <c r="AB282" i="81"/>
  <c r="Z288" i="81"/>
  <c r="V112" i="81"/>
  <c r="V53" i="81" s="1"/>
  <c r="AG78" i="81"/>
  <c r="AG19" i="81" s="1"/>
  <c r="C167" i="81"/>
  <c r="J303" i="81"/>
  <c r="R212" i="81"/>
  <c r="P210" i="81"/>
  <c r="M201" i="81"/>
  <c r="T194" i="81"/>
  <c r="H181" i="81"/>
  <c r="AG358" i="81"/>
  <c r="N300" i="81"/>
  <c r="M239" i="81"/>
  <c r="R311" i="81"/>
  <c r="AH303" i="81"/>
  <c r="AG191" i="81"/>
  <c r="M302" i="81"/>
  <c r="F134" i="81"/>
  <c r="G278" i="81"/>
  <c r="I300" i="81"/>
  <c r="S310" i="81"/>
  <c r="AE242" i="81"/>
  <c r="AE177" i="81"/>
  <c r="V282" i="81"/>
  <c r="N312" i="81"/>
  <c r="J196" i="81"/>
  <c r="K316" i="81"/>
  <c r="AA362" i="81"/>
  <c r="X156" i="81"/>
  <c r="I270" i="81"/>
  <c r="T121" i="81"/>
  <c r="T62" i="81" s="1"/>
  <c r="AA210" i="81"/>
  <c r="U336" i="81"/>
  <c r="K215" i="81"/>
  <c r="AH134" i="81"/>
  <c r="AC98" i="81"/>
  <c r="AC39" i="81" s="1"/>
  <c r="H264" i="81"/>
  <c r="AD161" i="81"/>
  <c r="H328" i="81"/>
  <c r="Y176" i="81"/>
  <c r="H74" i="81"/>
  <c r="H15" i="81" s="1"/>
  <c r="J82" i="81"/>
  <c r="J23" i="81" s="1"/>
  <c r="Z157" i="81"/>
  <c r="E133" i="81"/>
  <c r="S157" i="81"/>
  <c r="M344" i="81"/>
  <c r="O258" i="81"/>
  <c r="Y160" i="81"/>
  <c r="Y226" i="81"/>
  <c r="V281" i="81"/>
  <c r="D135" i="81"/>
  <c r="AA353" i="81"/>
  <c r="G353" i="81"/>
  <c r="E322" i="81"/>
  <c r="M237" i="81"/>
  <c r="AC219" i="81"/>
  <c r="T83" i="81"/>
  <c r="T24" i="81" s="1"/>
  <c r="N118" i="81"/>
  <c r="N59" i="81" s="1"/>
  <c r="M297" i="81"/>
  <c r="T227" i="81"/>
  <c r="J315" i="81"/>
  <c r="S87" i="81"/>
  <c r="S28" i="81" s="1"/>
  <c r="C346" i="81"/>
  <c r="Q232" i="81"/>
  <c r="P254" i="81"/>
  <c r="AA345" i="81"/>
  <c r="AB123" i="81"/>
  <c r="AB64" i="81" s="1"/>
  <c r="Q71" i="81"/>
  <c r="Q12" i="81" s="1"/>
  <c r="N310" i="81"/>
  <c r="Q86" i="81"/>
  <c r="Q27" i="81" s="1"/>
  <c r="R80" i="81"/>
  <c r="R21" i="81" s="1"/>
  <c r="R313" i="81"/>
  <c r="S359" i="81"/>
  <c r="M278" i="81"/>
  <c r="AG219" i="81"/>
  <c r="AE217" i="81"/>
  <c r="AA229" i="81"/>
  <c r="H290" i="81"/>
  <c r="Y143" i="81"/>
  <c r="X278" i="81"/>
  <c r="J218" i="81"/>
  <c r="AF200" i="81"/>
  <c r="O354" i="81"/>
  <c r="AE167" i="81"/>
  <c r="D86" i="81"/>
  <c r="D27" i="81" s="1"/>
  <c r="O283" i="81"/>
  <c r="G225" i="81"/>
  <c r="AF185" i="81"/>
  <c r="AB337" i="81"/>
  <c r="X287" i="81"/>
  <c r="V346" i="81"/>
  <c r="I85" i="81"/>
  <c r="I26" i="81" s="1"/>
  <c r="AB220" i="81"/>
  <c r="D125" i="81"/>
  <c r="D66" i="81" s="1"/>
  <c r="AF135" i="81"/>
  <c r="U221" i="81"/>
  <c r="Q341" i="81"/>
  <c r="AE173" i="81"/>
  <c r="AH173" i="81"/>
  <c r="Y198" i="81"/>
  <c r="AB150" i="81"/>
  <c r="U156" i="81"/>
  <c r="AE357" i="81"/>
  <c r="W351" i="81"/>
  <c r="V310" i="81"/>
  <c r="Q272" i="81"/>
  <c r="G124" i="81"/>
  <c r="G65" i="81" s="1"/>
  <c r="D288" i="81"/>
  <c r="X235" i="81"/>
  <c r="S330" i="81"/>
  <c r="M349" i="81"/>
  <c r="L71" i="81"/>
  <c r="L12" i="81" s="1"/>
  <c r="O134" i="81"/>
  <c r="R339" i="81"/>
  <c r="O211" i="81"/>
  <c r="Y101" i="81"/>
  <c r="Y42" i="81" s="1"/>
  <c r="R213" i="81"/>
  <c r="D138" i="81"/>
  <c r="AH236" i="81"/>
  <c r="AA72" i="81"/>
  <c r="AA13" i="81" s="1"/>
  <c r="I167" i="81"/>
  <c r="AE92" i="81"/>
  <c r="AE33" i="81" s="1"/>
  <c r="AD363" i="81"/>
  <c r="P350" i="81"/>
  <c r="AF145" i="81"/>
  <c r="AG89" i="81"/>
  <c r="AG30" i="81" s="1"/>
  <c r="R107" i="81"/>
  <c r="R48" i="81" s="1"/>
  <c r="Q191" i="81"/>
  <c r="Q230" i="81"/>
  <c r="X137" i="81"/>
  <c r="R73" i="81"/>
  <c r="R14" i="81" s="1"/>
  <c r="D203" i="81"/>
  <c r="I350" i="81"/>
  <c r="Z242" i="81"/>
  <c r="G229" i="81"/>
  <c r="K209" i="81"/>
  <c r="AE143" i="81"/>
  <c r="AF113" i="81"/>
  <c r="AF54" i="81" s="1"/>
  <c r="S321" i="81"/>
  <c r="AA343" i="81"/>
  <c r="I324" i="81"/>
  <c r="L139" i="81"/>
  <c r="G172" i="81"/>
  <c r="Y294" i="81"/>
  <c r="T144" i="81"/>
  <c r="Y325" i="81"/>
  <c r="H265" i="81"/>
  <c r="AG234" i="81"/>
  <c r="P134" i="81"/>
  <c r="H163" i="81"/>
  <c r="C292" i="81"/>
  <c r="K156" i="81"/>
  <c r="D198" i="81"/>
  <c r="AD348" i="81"/>
  <c r="Y82" i="81"/>
  <c r="Y23" i="81" s="1"/>
  <c r="AA361" i="81"/>
  <c r="L281" i="81"/>
  <c r="I359" i="81"/>
  <c r="AD314" i="81"/>
  <c r="K360" i="81"/>
  <c r="AG79" i="81"/>
  <c r="AG20" i="81" s="1"/>
  <c r="AH241" i="81"/>
  <c r="X262" i="81"/>
  <c r="Z295" i="81"/>
  <c r="N181" i="81"/>
  <c r="X206" i="81"/>
  <c r="E163" i="81"/>
  <c r="C280" i="81"/>
  <c r="O192" i="81"/>
  <c r="D74" i="81"/>
  <c r="D15" i="81" s="1"/>
  <c r="O290" i="81"/>
  <c r="V237" i="81"/>
  <c r="Y206" i="81"/>
  <c r="AG258" i="81"/>
  <c r="D106" i="81"/>
  <c r="D47" i="81" s="1"/>
  <c r="D180" i="81"/>
  <c r="H297" i="81"/>
  <c r="AF296" i="81"/>
  <c r="F225" i="81"/>
  <c r="N219" i="81"/>
  <c r="AH147" i="81"/>
  <c r="AC185" i="81"/>
  <c r="W209" i="81"/>
  <c r="E101" i="81"/>
  <c r="E42" i="81" s="1"/>
  <c r="W289" i="81"/>
  <c r="AD358" i="81"/>
  <c r="Q204" i="81"/>
  <c r="C70" i="81"/>
  <c r="C11" i="81" s="1"/>
  <c r="AD165" i="81"/>
  <c r="AD83" i="81"/>
  <c r="AD24" i="81" s="1"/>
  <c r="AD77" i="81"/>
  <c r="AD18" i="81" s="1"/>
  <c r="AC221" i="81"/>
  <c r="AC93" i="81"/>
  <c r="AC34" i="81" s="1"/>
  <c r="Y215" i="81"/>
  <c r="H321" i="81"/>
  <c r="AG352" i="81"/>
  <c r="AE184" i="81"/>
  <c r="AE257" i="81"/>
  <c r="E199" i="81"/>
  <c r="AH333" i="81"/>
  <c r="D141" i="81"/>
  <c r="Z161" i="81"/>
  <c r="O342" i="81"/>
  <c r="M359" i="81"/>
  <c r="AH268" i="81"/>
  <c r="F351" i="81"/>
  <c r="X268" i="81"/>
  <c r="F319" i="81"/>
  <c r="E333" i="81"/>
  <c r="AE205" i="81"/>
  <c r="H104" i="81"/>
  <c r="H45" i="81" s="1"/>
  <c r="K324" i="81"/>
  <c r="J148" i="81"/>
  <c r="I124" i="81"/>
  <c r="I65" i="81" s="1"/>
  <c r="G190" i="81"/>
  <c r="W363" i="81"/>
  <c r="U166" i="81"/>
  <c r="S364" i="81"/>
  <c r="F219" i="81"/>
  <c r="N209" i="81"/>
  <c r="H327" i="81"/>
  <c r="U358" i="81"/>
  <c r="C326" i="81"/>
  <c r="AH305" i="81"/>
  <c r="AB253" i="81"/>
  <c r="M274" i="81"/>
  <c r="Z260" i="81"/>
  <c r="AF168" i="81"/>
  <c r="L159" i="81"/>
  <c r="AB271" i="81"/>
  <c r="C342" i="81"/>
  <c r="M303" i="81"/>
  <c r="X342" i="81"/>
  <c r="X201" i="81"/>
  <c r="AH232" i="81"/>
  <c r="K327" i="81"/>
  <c r="H201" i="81"/>
  <c r="L113" i="81"/>
  <c r="L54" i="81" s="1"/>
  <c r="X265" i="81"/>
  <c r="AB108" i="81"/>
  <c r="AB49" i="81" s="1"/>
  <c r="Z82" i="81"/>
  <c r="Z23" i="81" s="1"/>
  <c r="F194" i="81"/>
  <c r="W271" i="81"/>
  <c r="Y316" i="81"/>
  <c r="L180" i="81"/>
  <c r="U88" i="81"/>
  <c r="U29" i="81" s="1"/>
  <c r="N156" i="81"/>
  <c r="E350" i="81"/>
  <c r="E118" i="81"/>
  <c r="E59" i="81" s="1"/>
  <c r="V266" i="81"/>
  <c r="U215" i="81"/>
  <c r="K265" i="81"/>
  <c r="M220" i="81"/>
  <c r="J275" i="81"/>
  <c r="J151" i="81"/>
  <c r="O111" i="81"/>
  <c r="O52" i="81" s="1"/>
  <c r="N226" i="81"/>
  <c r="M271" i="81"/>
  <c r="T348" i="81"/>
  <c r="U305" i="81"/>
  <c r="S262" i="81"/>
  <c r="AG112" i="81"/>
  <c r="AG53" i="81" s="1"/>
  <c r="AD261" i="81"/>
  <c r="Q178" i="81"/>
  <c r="Q179" i="81"/>
  <c r="V231" i="81"/>
  <c r="AB302" i="81"/>
  <c r="U125" i="81"/>
  <c r="U66" i="81" s="1"/>
  <c r="E102" i="81"/>
  <c r="E43" i="81" s="1"/>
  <c r="AG290" i="81"/>
  <c r="J152" i="81"/>
  <c r="AA337" i="81"/>
  <c r="T113" i="81"/>
  <c r="T54" i="81" s="1"/>
  <c r="Y178" i="81"/>
  <c r="AF159" i="81"/>
  <c r="AG335" i="81"/>
  <c r="M342" i="81"/>
  <c r="C170" i="81"/>
  <c r="L200" i="81"/>
  <c r="F210" i="81"/>
  <c r="F226" i="81"/>
  <c r="N324" i="81"/>
  <c r="AB270" i="81"/>
  <c r="M116" i="81"/>
  <c r="M57" i="81" s="1"/>
  <c r="AD145" i="81"/>
  <c r="F245" i="81"/>
  <c r="P182" i="81"/>
  <c r="C208" i="81"/>
  <c r="AC79" i="81"/>
  <c r="AC20" i="81" s="1"/>
  <c r="C100" i="81"/>
  <c r="C41" i="81" s="1"/>
  <c r="AH90" i="81"/>
  <c r="AH31" i="81" s="1"/>
  <c r="G303" i="81"/>
  <c r="AC269" i="81"/>
  <c r="AE210" i="81"/>
  <c r="AG122" i="81"/>
  <c r="AG63" i="81" s="1"/>
  <c r="AF123" i="81"/>
  <c r="AF64" i="81" s="1"/>
  <c r="K108" i="81"/>
  <c r="K49" i="81" s="1"/>
  <c r="AH335" i="81"/>
  <c r="L138" i="81"/>
  <c r="O78" i="81"/>
  <c r="O19" i="81" s="1"/>
  <c r="H76" i="81"/>
  <c r="H17" i="81" s="1"/>
  <c r="J282" i="81"/>
  <c r="AG356" i="81"/>
  <c r="AE289" i="81"/>
  <c r="M331" i="81"/>
  <c r="AG271" i="81"/>
  <c r="R302" i="81"/>
  <c r="U320" i="81"/>
  <c r="K163" i="81"/>
  <c r="W319" i="81"/>
  <c r="AE363" i="81"/>
  <c r="K352" i="81"/>
  <c r="V153" i="81"/>
  <c r="AD285" i="81"/>
  <c r="G348" i="81"/>
  <c r="O136" i="81"/>
  <c r="K356" i="81"/>
  <c r="X140" i="81"/>
  <c r="O271" i="81"/>
  <c r="P293" i="81"/>
  <c r="R258" i="81"/>
  <c r="Y336" i="81"/>
  <c r="AD110" i="81"/>
  <c r="AD51" i="81" s="1"/>
  <c r="N157" i="81"/>
  <c r="F310" i="81"/>
  <c r="E155" i="81"/>
  <c r="U95" i="81"/>
  <c r="U36" i="81" s="1"/>
  <c r="G241" i="81"/>
  <c r="X104" i="81"/>
  <c r="X45" i="81" s="1"/>
  <c r="Y315" i="81"/>
  <c r="AA271" i="81"/>
  <c r="H329" i="81"/>
  <c r="AA240" i="81"/>
  <c r="AG239" i="81"/>
  <c r="E277" i="81"/>
  <c r="W264" i="81"/>
  <c r="X197" i="81"/>
  <c r="T311" i="81"/>
  <c r="O351" i="81"/>
  <c r="O171" i="81"/>
  <c r="G256" i="81"/>
  <c r="AB138" i="81"/>
  <c r="K243" i="81"/>
  <c r="Y276" i="81"/>
  <c r="S282" i="81"/>
  <c r="X108" i="81"/>
  <c r="X49" i="81" s="1"/>
  <c r="M117" i="81"/>
  <c r="M58" i="81" s="1"/>
  <c r="AA333" i="81"/>
  <c r="L124" i="81"/>
  <c r="L65" i="81" s="1"/>
  <c r="H243" i="81"/>
  <c r="K204" i="81"/>
  <c r="H239" i="81"/>
  <c r="G360" i="81"/>
  <c r="AG348" i="81"/>
  <c r="E245" i="81"/>
  <c r="E140" i="81"/>
  <c r="G116" i="81"/>
  <c r="G57" i="81" s="1"/>
  <c r="AD266" i="81"/>
  <c r="T221" i="81"/>
  <c r="AF332" i="81"/>
  <c r="F253" i="81"/>
  <c r="C123" i="81"/>
  <c r="C64" i="81" s="1"/>
  <c r="AG243" i="81"/>
  <c r="V172" i="81"/>
  <c r="T234" i="81"/>
  <c r="C180" i="81"/>
  <c r="I262" i="81"/>
  <c r="L251" i="81"/>
  <c r="V122" i="81"/>
  <c r="V63" i="81" s="1"/>
  <c r="AG218" i="81"/>
  <c r="AB341" i="81"/>
  <c r="Z342" i="81"/>
  <c r="AF205" i="81"/>
  <c r="G147" i="81"/>
  <c r="H179" i="81"/>
  <c r="R119" i="81"/>
  <c r="R60" i="81" s="1"/>
  <c r="G345" i="81"/>
  <c r="U287" i="81"/>
  <c r="J155" i="81"/>
  <c r="D244" i="81"/>
  <c r="L297" i="81"/>
  <c r="N311" i="81"/>
  <c r="F303" i="81"/>
  <c r="L162" i="81"/>
  <c r="F109" i="81"/>
  <c r="F50" i="81" s="1"/>
  <c r="AF174" i="81"/>
  <c r="F205" i="81"/>
  <c r="AE340" i="81"/>
  <c r="AE130" i="81"/>
  <c r="Q197" i="81"/>
  <c r="I114" i="81"/>
  <c r="I55" i="81" s="1"/>
  <c r="H139" i="81"/>
  <c r="AB172" i="81"/>
  <c r="AH280" i="81"/>
  <c r="AH322" i="81"/>
  <c r="AG336" i="81"/>
  <c r="X134" i="81"/>
  <c r="AH276" i="81"/>
  <c r="C193" i="81"/>
  <c r="AE267" i="81"/>
  <c r="Q170" i="81"/>
  <c r="P130" i="81"/>
  <c r="Y314" i="81"/>
  <c r="L197" i="81"/>
  <c r="AE268" i="81"/>
  <c r="R144" i="81"/>
  <c r="V363" i="81"/>
  <c r="I78" i="81"/>
  <c r="I19" i="81" s="1"/>
  <c r="V75" i="81"/>
  <c r="V16" i="81" s="1"/>
  <c r="AH240" i="81"/>
  <c r="Y80" i="81"/>
  <c r="Y21" i="81" s="1"/>
  <c r="Q347" i="81"/>
  <c r="V330" i="81"/>
  <c r="F89" i="81"/>
  <c r="F30" i="81" s="1"/>
  <c r="F236" i="81"/>
  <c r="E281" i="81"/>
  <c r="AC208" i="81"/>
  <c r="AH230" i="81"/>
  <c r="M267" i="81"/>
  <c r="S365" i="81"/>
  <c r="W173" i="81"/>
  <c r="AH98" i="81"/>
  <c r="AH39" i="81" s="1"/>
  <c r="C273" i="81"/>
  <c r="I157" i="81"/>
  <c r="AG152" i="81"/>
  <c r="R288" i="81"/>
  <c r="M118" i="81"/>
  <c r="M59" i="81" s="1"/>
  <c r="T343" i="81"/>
  <c r="AF357" i="81"/>
  <c r="AE251" i="81"/>
  <c r="AF313" i="81"/>
  <c r="E165" i="81"/>
  <c r="J250" i="81"/>
  <c r="M132" i="81"/>
  <c r="E134" i="81"/>
  <c r="AG73" i="81"/>
  <c r="AG14" i="81" s="1"/>
  <c r="U107" i="81"/>
  <c r="U48" i="81" s="1"/>
  <c r="F328" i="81"/>
  <c r="Z119" i="81"/>
  <c r="Z60" i="81" s="1"/>
  <c r="AH319" i="81"/>
  <c r="I98" i="81"/>
  <c r="I39" i="81" s="1"/>
  <c r="K339" i="81"/>
  <c r="L133" i="81"/>
  <c r="AA151" i="81"/>
  <c r="J343" i="81"/>
  <c r="V220" i="81"/>
  <c r="K354" i="81"/>
  <c r="G310" i="81"/>
  <c r="Y152" i="81"/>
  <c r="M139" i="81"/>
  <c r="N135" i="81"/>
  <c r="Z267" i="81"/>
  <c r="V161" i="81"/>
  <c r="AB256" i="81"/>
  <c r="F150" i="81"/>
  <c r="Z198" i="81"/>
  <c r="AE215" i="81"/>
  <c r="J202" i="81"/>
  <c r="F165" i="81"/>
  <c r="I116" i="81"/>
  <c r="I57" i="81" s="1"/>
  <c r="AD193" i="81"/>
  <c r="W328" i="81"/>
  <c r="AB266" i="81"/>
  <c r="AF96" i="81"/>
  <c r="AF37" i="81" s="1"/>
  <c r="R314" i="81"/>
  <c r="W221" i="81"/>
  <c r="AF303" i="81"/>
  <c r="C258" i="81"/>
  <c r="Y133" i="81"/>
  <c r="Y261" i="81"/>
  <c r="N261" i="81"/>
  <c r="Y299" i="81"/>
  <c r="AG182" i="81"/>
  <c r="M200" i="81"/>
  <c r="R160" i="81"/>
  <c r="E279" i="81"/>
  <c r="W324" i="81"/>
  <c r="L319" i="81"/>
  <c r="AC231" i="81"/>
  <c r="AH265" i="81"/>
  <c r="AE324" i="81"/>
  <c r="F168" i="81"/>
  <c r="AH137" i="81"/>
  <c r="O151" i="81"/>
  <c r="F234" i="81"/>
  <c r="P160" i="81"/>
  <c r="E229" i="81"/>
  <c r="V337" i="81"/>
  <c r="X299" i="81"/>
  <c r="AE252" i="81"/>
  <c r="E79" i="81"/>
  <c r="E20" i="81" s="1"/>
  <c r="K195" i="81"/>
  <c r="AD223" i="81"/>
  <c r="G90" i="81"/>
  <c r="G31" i="81" s="1"/>
  <c r="K264" i="81"/>
  <c r="L310" i="81"/>
  <c r="J280" i="81"/>
  <c r="AA96" i="81"/>
  <c r="AA37" i="81" s="1"/>
  <c r="AH141" i="81"/>
  <c r="M234" i="81"/>
  <c r="R275" i="81"/>
  <c r="AC179" i="81"/>
  <c r="T170" i="81"/>
  <c r="AH220" i="81"/>
  <c r="AG118" i="81"/>
  <c r="AG59" i="81" s="1"/>
  <c r="O228" i="81"/>
  <c r="Z206" i="81"/>
  <c r="S153" i="81"/>
  <c r="U94" i="81"/>
  <c r="U35" i="81" s="1"/>
  <c r="E341" i="81"/>
  <c r="AB323" i="81"/>
  <c r="AG256" i="81"/>
  <c r="G318" i="81"/>
  <c r="J125" i="81"/>
  <c r="J66" i="81" s="1"/>
  <c r="W130" i="81"/>
  <c r="C86" i="81"/>
  <c r="C27" i="81" s="1"/>
  <c r="D199" i="81"/>
  <c r="Q332" i="81"/>
  <c r="M290" i="81"/>
  <c r="I226" i="81"/>
  <c r="Z111" i="81"/>
  <c r="Z52" i="81" s="1"/>
  <c r="H221" i="81"/>
  <c r="E222" i="81"/>
  <c r="Q288" i="81"/>
  <c r="S169" i="81"/>
  <c r="Q118" i="81"/>
  <c r="Q59" i="81" s="1"/>
  <c r="AD338" i="81"/>
  <c r="L301" i="81"/>
  <c r="O278" i="81"/>
  <c r="R91" i="81"/>
  <c r="R32" i="81" s="1"/>
  <c r="AD203" i="81"/>
  <c r="K78" i="81"/>
  <c r="K19" i="81" s="1"/>
  <c r="AG257" i="81"/>
  <c r="G347" i="81"/>
  <c r="AA153" i="81"/>
  <c r="AA231" i="81"/>
  <c r="P321" i="81"/>
  <c r="Z169" i="81"/>
  <c r="U353" i="81"/>
  <c r="V314" i="81"/>
  <c r="O184" i="81"/>
  <c r="AH227" i="81"/>
  <c r="J113" i="81"/>
  <c r="J54" i="81" s="1"/>
  <c r="K153" i="81"/>
  <c r="R333" i="81"/>
  <c r="J329" i="81"/>
  <c r="U192" i="81"/>
  <c r="AB250" i="81"/>
  <c r="AE105" i="81"/>
  <c r="AE46" i="81" s="1"/>
  <c r="AG349" i="81"/>
  <c r="X177" i="81"/>
  <c r="K303" i="81"/>
  <c r="AH200" i="81"/>
  <c r="Z180" i="81"/>
  <c r="AA289" i="81"/>
  <c r="W242" i="81"/>
  <c r="U116" i="81"/>
  <c r="U57" i="81" s="1"/>
  <c r="W360" i="81"/>
  <c r="K159" i="81"/>
  <c r="AF191" i="81"/>
  <c r="N216" i="81"/>
  <c r="H358" i="81"/>
  <c r="M163" i="81"/>
  <c r="I320" i="81"/>
  <c r="F295" i="81"/>
  <c r="O239" i="81"/>
  <c r="AA358" i="81"/>
  <c r="AB190" i="81"/>
  <c r="AE347" i="81"/>
  <c r="AC116" i="81"/>
  <c r="AC57" i="81" s="1"/>
  <c r="K145" i="81"/>
  <c r="D253" i="81"/>
  <c r="X209" i="81"/>
  <c r="X86" i="81"/>
  <c r="X27" i="81" s="1"/>
  <c r="D182" i="81"/>
  <c r="E271" i="81"/>
  <c r="O326" i="81"/>
  <c r="E181" i="81"/>
  <c r="I94" i="81"/>
  <c r="I35" i="81" s="1"/>
  <c r="N272" i="81"/>
  <c r="E230" i="81"/>
  <c r="G302" i="81"/>
  <c r="AC301" i="81"/>
  <c r="N358" i="81"/>
  <c r="H337" i="81"/>
  <c r="X160" i="81"/>
  <c r="C103" i="81"/>
  <c r="C44" i="81" s="1"/>
  <c r="AB215" i="81"/>
  <c r="AB109" i="81"/>
  <c r="AB50" i="81" s="1"/>
  <c r="N87" i="81"/>
  <c r="N28" i="81" s="1"/>
  <c r="AD337" i="81"/>
  <c r="AG315" i="81"/>
  <c r="AC362" i="81"/>
  <c r="R232" i="81"/>
  <c r="E278" i="81"/>
  <c r="N335" i="81"/>
  <c r="W207" i="81"/>
  <c r="K106" i="81"/>
  <c r="K47" i="81" s="1"/>
  <c r="Y144" i="81"/>
  <c r="Q167" i="81"/>
  <c r="S302" i="81"/>
  <c r="W325" i="81"/>
  <c r="U182" i="81"/>
  <c r="P356" i="81"/>
  <c r="U164" i="81"/>
  <c r="W245" i="81"/>
  <c r="Z179" i="81"/>
  <c r="E88" i="81"/>
  <c r="E29" i="81" s="1"/>
  <c r="H317" i="81"/>
  <c r="G267" i="81"/>
  <c r="P326" i="81"/>
  <c r="N356" i="81"/>
  <c r="AH218" i="81"/>
  <c r="D234" i="81"/>
  <c r="I143" i="81"/>
  <c r="W181" i="81"/>
  <c r="V325" i="81"/>
  <c r="AD317" i="81"/>
  <c r="AD216" i="81"/>
  <c r="R149" i="81"/>
  <c r="V96" i="81"/>
  <c r="V37" i="81" s="1"/>
  <c r="X281" i="81"/>
  <c r="R293" i="81"/>
  <c r="AG116" i="81"/>
  <c r="AG57" i="81" s="1"/>
  <c r="Y134" i="81"/>
  <c r="AD272" i="81"/>
  <c r="U78" i="81"/>
  <c r="U19" i="81" s="1"/>
  <c r="U343" i="81"/>
  <c r="X257" i="81"/>
  <c r="N220" i="81"/>
  <c r="AF146" i="81"/>
  <c r="H257" i="81"/>
  <c r="P207" i="81"/>
  <c r="D77" i="81"/>
  <c r="D18" i="81" s="1"/>
  <c r="F78" i="81"/>
  <c r="F19" i="81" s="1"/>
  <c r="AH282" i="81"/>
  <c r="V361" i="81"/>
  <c r="AD125" i="81"/>
  <c r="AD66" i="81" s="1"/>
  <c r="Y83" i="81"/>
  <c r="Y24" i="81" s="1"/>
  <c r="W347" i="81"/>
  <c r="S327" i="81"/>
  <c r="J117" i="81"/>
  <c r="J58" i="81" s="1"/>
  <c r="W171" i="81"/>
  <c r="AG160" i="81"/>
  <c r="M156" i="81"/>
  <c r="AH239" i="81"/>
  <c r="E326" i="81"/>
  <c r="V224" i="81"/>
  <c r="AC114" i="81"/>
  <c r="AC55" i="81" s="1"/>
  <c r="S224" i="81"/>
  <c r="Z257" i="81"/>
  <c r="P81" i="81"/>
  <c r="P22" i="81" s="1"/>
  <c r="AD92" i="81"/>
  <c r="AD33" i="81" s="1"/>
  <c r="P269" i="81"/>
  <c r="O195" i="81"/>
  <c r="Y116" i="81"/>
  <c r="Y57" i="81" s="1"/>
  <c r="L234" i="81"/>
  <c r="AG235" i="81"/>
  <c r="D93" i="81"/>
  <c r="D34" i="81" s="1"/>
  <c r="K281" i="81"/>
  <c r="G284" i="81"/>
  <c r="AB73" i="81"/>
  <c r="AB14" i="81" s="1"/>
  <c r="U314" i="81"/>
  <c r="H75" i="81"/>
  <c r="H16" i="81" s="1"/>
  <c r="P253" i="81"/>
  <c r="G178" i="81"/>
  <c r="S265" i="81"/>
  <c r="D260" i="81"/>
  <c r="S360" i="81"/>
  <c r="M339" i="81"/>
  <c r="V206" i="81"/>
  <c r="M215" i="81"/>
  <c r="Y91" i="81"/>
  <c r="Y32" i="81" s="1"/>
  <c r="N85" i="81"/>
  <c r="N26" i="81" s="1"/>
  <c r="Z252" i="81"/>
  <c r="O146" i="81"/>
  <c r="H342" i="81"/>
  <c r="O130" i="81"/>
  <c r="G151" i="81"/>
  <c r="AA214" i="81"/>
  <c r="AE146" i="81"/>
  <c r="AC199" i="81"/>
  <c r="AG327" i="81"/>
  <c r="M223" i="81"/>
  <c r="AH198" i="81"/>
  <c r="Y279" i="81"/>
  <c r="M111" i="81"/>
  <c r="M52" i="81" s="1"/>
  <c r="R251" i="81"/>
  <c r="H177" i="81"/>
  <c r="AE232" i="81"/>
  <c r="C293" i="81"/>
  <c r="N112" i="81"/>
  <c r="N53" i="81" s="1"/>
  <c r="U73" i="81"/>
  <c r="U14" i="81" s="1"/>
  <c r="V76" i="81"/>
  <c r="V17" i="81" s="1"/>
  <c r="L170" i="81"/>
  <c r="P341" i="81"/>
  <c r="X236" i="81"/>
  <c r="U193" i="81"/>
  <c r="S205" i="81"/>
  <c r="X143" i="81"/>
  <c r="O193" i="81"/>
  <c r="AF276" i="81"/>
  <c r="AC258" i="81"/>
  <c r="D165" i="81"/>
  <c r="T361" i="81"/>
  <c r="G295" i="81"/>
  <c r="R362" i="81"/>
  <c r="M238" i="81"/>
  <c r="D228" i="81"/>
  <c r="H217" i="81"/>
  <c r="V94" i="81"/>
  <c r="V35" i="81" s="1"/>
  <c r="AG280" i="81"/>
  <c r="H251" i="81"/>
  <c r="AD255" i="81"/>
  <c r="AF112" i="81"/>
  <c r="AF53" i="81" s="1"/>
  <c r="AC211" i="81"/>
  <c r="H112" i="81"/>
  <c r="H53" i="81" s="1"/>
  <c r="Z302" i="81"/>
  <c r="AC352" i="81"/>
  <c r="P133" i="81"/>
  <c r="M335" i="81"/>
  <c r="W167" i="81"/>
  <c r="C278" i="81"/>
  <c r="T136" i="81"/>
  <c r="Z117" i="81"/>
  <c r="Z58" i="81" s="1"/>
  <c r="O215" i="81"/>
  <c r="AB259" i="81"/>
  <c r="S125" i="81"/>
  <c r="S66" i="81" s="1"/>
  <c r="P125" i="81"/>
  <c r="P66" i="81" s="1"/>
  <c r="N137" i="81"/>
  <c r="K263" i="81"/>
  <c r="C206" i="81"/>
  <c r="E197" i="81"/>
  <c r="AC293" i="81"/>
  <c r="G98" i="81"/>
  <c r="G39" i="81" s="1"/>
  <c r="AB82" i="81"/>
  <c r="AB23" i="81" s="1"/>
  <c r="Y96" i="81"/>
  <c r="Y37" i="81" s="1"/>
  <c r="K338" i="81"/>
  <c r="L346" i="81"/>
  <c r="AA273" i="81"/>
  <c r="AC156" i="81"/>
  <c r="C190" i="81"/>
  <c r="C75" i="81"/>
  <c r="C16" i="81" s="1"/>
  <c r="Q174" i="81"/>
  <c r="AD73" i="81"/>
  <c r="AD14" i="81" s="1"/>
  <c r="G355" i="81"/>
  <c r="E164" i="81"/>
  <c r="AG113" i="81"/>
  <c r="AG54" i="81" s="1"/>
  <c r="I233" i="81"/>
  <c r="H79" i="81"/>
  <c r="H20" i="81" s="1"/>
  <c r="AH78" i="81"/>
  <c r="AH19" i="81" s="1"/>
  <c r="P361" i="81"/>
  <c r="X96" i="81"/>
  <c r="X37" i="81" s="1"/>
  <c r="F84" i="81"/>
  <c r="F25" i="81" s="1"/>
  <c r="AF294" i="81"/>
  <c r="AC123" i="81"/>
  <c r="AC64" i="81" s="1"/>
  <c r="Q214" i="81"/>
  <c r="Q244" i="81"/>
  <c r="W100" i="81"/>
  <c r="W41" i="81" s="1"/>
  <c r="W355" i="81"/>
  <c r="D184" i="81"/>
  <c r="H208" i="81"/>
  <c r="Q277" i="81"/>
  <c r="G237" i="81"/>
  <c r="AB353" i="81"/>
  <c r="S171" i="81"/>
  <c r="L258" i="81"/>
  <c r="Q119" i="81"/>
  <c r="Q60" i="81" s="1"/>
  <c r="AG164" i="81"/>
  <c r="O311" i="81"/>
  <c r="AF227" i="81"/>
  <c r="AF243" i="81"/>
  <c r="Q254" i="81"/>
  <c r="AE136" i="81"/>
  <c r="N255" i="81"/>
  <c r="U242" i="81"/>
  <c r="I297" i="81"/>
  <c r="N106" i="81"/>
  <c r="N47" i="81" s="1"/>
  <c r="AH209" i="81"/>
  <c r="Y214" i="81"/>
  <c r="N339" i="81"/>
  <c r="O194" i="81"/>
  <c r="S311" i="81"/>
  <c r="H292" i="81"/>
  <c r="O163" i="81"/>
  <c r="AD103" i="81"/>
  <c r="AD44" i="81" s="1"/>
  <c r="AA304" i="81"/>
  <c r="M217" i="81"/>
  <c r="AA276" i="81"/>
  <c r="U355" i="81"/>
  <c r="H261" i="81"/>
  <c r="AE117" i="81"/>
  <c r="AE58" i="81" s="1"/>
  <c r="H108" i="81"/>
  <c r="H49" i="81" s="1"/>
  <c r="V218" i="81"/>
  <c r="M286" i="81"/>
  <c r="G330" i="81"/>
  <c r="X75" i="81"/>
  <c r="X16" i="81" s="1"/>
  <c r="N301" i="81"/>
  <c r="AH298" i="81"/>
  <c r="Z359" i="81"/>
  <c r="Z197" i="81"/>
  <c r="K196" i="81"/>
  <c r="P96" i="81"/>
  <c r="P37" i="81" s="1"/>
  <c r="X184" i="81"/>
  <c r="C261" i="81"/>
  <c r="G99" i="81"/>
  <c r="G40" i="81" s="1"/>
  <c r="D286" i="81"/>
  <c r="AA242" i="81"/>
  <c r="M354" i="81"/>
  <c r="F108" i="81"/>
  <c r="F49" i="81" s="1"/>
  <c r="Z159" i="81"/>
  <c r="H149" i="81"/>
  <c r="U91" i="81"/>
  <c r="U32" i="81" s="1"/>
  <c r="AE218" i="81"/>
  <c r="AG207" i="81"/>
  <c r="F280" i="81"/>
  <c r="M153" i="81"/>
  <c r="X204" i="81"/>
  <c r="AC345" i="81"/>
  <c r="M240" i="81"/>
  <c r="AF273" i="81"/>
  <c r="P151" i="81"/>
  <c r="E351" i="81"/>
  <c r="L245" i="81"/>
  <c r="Z176" i="81"/>
  <c r="I215" i="81"/>
  <c r="AC222" i="81"/>
  <c r="J121" i="81"/>
  <c r="J62" i="81" s="1"/>
  <c r="I327" i="81"/>
  <c r="Y345" i="81"/>
  <c r="I204" i="81"/>
  <c r="H363" i="81"/>
  <c r="P357" i="81"/>
  <c r="F257" i="81"/>
  <c r="D207" i="81"/>
  <c r="AA144" i="81"/>
  <c r="R233" i="81"/>
  <c r="E227" i="81"/>
  <c r="U329" i="81"/>
  <c r="N250" i="81"/>
  <c r="Y94" i="81"/>
  <c r="Y35" i="81" s="1"/>
  <c r="AB99" i="81"/>
  <c r="AB40" i="81" s="1"/>
  <c r="K194" i="81"/>
  <c r="AB213" i="81"/>
  <c r="Z106" i="81"/>
  <c r="Z47" i="81" s="1"/>
  <c r="I166" i="81"/>
  <c r="AB98" i="81"/>
  <c r="AB39" i="81" s="1"/>
  <c r="AF349" i="81"/>
  <c r="O165" i="81"/>
  <c r="L235" i="81"/>
  <c r="AF344" i="81"/>
  <c r="P289" i="81"/>
  <c r="AA364" i="81"/>
  <c r="F215" i="81"/>
  <c r="E178" i="81"/>
  <c r="G304" i="81"/>
  <c r="C118" i="81"/>
  <c r="C59" i="81" s="1"/>
  <c r="Y250" i="81"/>
  <c r="W261" i="81"/>
  <c r="W84" i="81"/>
  <c r="W25" i="81" s="1"/>
  <c r="Y161" i="81"/>
  <c r="P315" i="81"/>
  <c r="AF329" i="81"/>
  <c r="V180" i="81"/>
  <c r="R157" i="81"/>
  <c r="U102" i="81"/>
  <c r="U43" i="81" s="1"/>
  <c r="K168" i="81"/>
  <c r="L252" i="81"/>
  <c r="F171" i="81"/>
  <c r="R171" i="81"/>
  <c r="H152" i="81"/>
  <c r="F117" i="81"/>
  <c r="F58" i="81" s="1"/>
  <c r="V278" i="81"/>
  <c r="J213" i="81"/>
  <c r="AH118" i="81"/>
  <c r="AH59" i="81" s="1"/>
  <c r="AD199" i="81"/>
  <c r="H72" i="81"/>
  <c r="H13" i="81" s="1"/>
  <c r="F146" i="81"/>
  <c r="AF348" i="81"/>
  <c r="Z261" i="81"/>
  <c r="AE108" i="81"/>
  <c r="AE49" i="81" s="1"/>
  <c r="J228" i="81"/>
  <c r="X272" i="81"/>
  <c r="M296" i="81"/>
  <c r="AF245" i="81"/>
  <c r="G273" i="81"/>
  <c r="N343" i="81"/>
  <c r="X167" i="81"/>
  <c r="AE292" i="81"/>
  <c r="N355" i="81"/>
  <c r="V360" i="81"/>
  <c r="X135" i="81"/>
  <c r="U310" i="81"/>
  <c r="P365" i="81"/>
  <c r="P224" i="81"/>
  <c r="M268" i="81"/>
  <c r="E218" i="81"/>
  <c r="P70" i="81"/>
  <c r="P11" i="81" s="1"/>
  <c r="T199" i="81"/>
  <c r="N140" i="81"/>
  <c r="R279" i="81"/>
  <c r="Y342" i="81"/>
  <c r="G202" i="81"/>
  <c r="I76" i="81"/>
  <c r="I17" i="81" s="1"/>
  <c r="AG318" i="81"/>
  <c r="J261" i="81"/>
  <c r="H357" i="81"/>
  <c r="W302" i="81"/>
  <c r="AB114" i="81"/>
  <c r="AB55" i="81" s="1"/>
  <c r="I321" i="81"/>
  <c r="V209" i="81"/>
  <c r="AE170" i="81"/>
  <c r="L233" i="81"/>
  <c r="AE110" i="81"/>
  <c r="AE51" i="81" s="1"/>
  <c r="E216" i="81"/>
  <c r="M173" i="81"/>
  <c r="I253" i="81"/>
  <c r="AE277" i="81"/>
  <c r="Q125" i="81"/>
  <c r="Q66" i="81" s="1"/>
  <c r="I363" i="81"/>
  <c r="AC81" i="81"/>
  <c r="AC22" i="81" s="1"/>
  <c r="O119" i="81"/>
  <c r="O60" i="81" s="1"/>
  <c r="J185" i="81"/>
  <c r="J180" i="81"/>
  <c r="AG70" i="81"/>
  <c r="AG11" i="81" s="1"/>
  <c r="T71" i="81"/>
  <c r="T12" i="81" s="1"/>
  <c r="K179" i="81"/>
  <c r="Z351" i="81"/>
  <c r="L231" i="81"/>
  <c r="C183" i="81"/>
  <c r="D330" i="81"/>
  <c r="J175" i="81"/>
  <c r="F209" i="81"/>
  <c r="AF142" i="81"/>
  <c r="N115" i="81"/>
  <c r="N56" i="81" s="1"/>
  <c r="T185" i="81"/>
  <c r="AB211" i="81"/>
  <c r="V146" i="81"/>
  <c r="K148" i="81"/>
  <c r="G339" i="81"/>
  <c r="Y239" i="81"/>
  <c r="X121" i="81"/>
  <c r="X62" i="81" s="1"/>
  <c r="F296" i="81"/>
  <c r="C220" i="81"/>
  <c r="Q175" i="81"/>
  <c r="R112" i="81"/>
  <c r="R53" i="81" s="1"/>
  <c r="AH314" i="81"/>
  <c r="N120" i="81"/>
  <c r="N61" i="81" s="1"/>
  <c r="F107" i="81"/>
  <c r="F48" i="81" s="1"/>
  <c r="AG209" i="81"/>
  <c r="M73" i="81"/>
  <c r="M14" i="81" s="1"/>
  <c r="K289" i="81"/>
  <c r="AG314" i="81"/>
  <c r="S203" i="81"/>
  <c r="F361" i="81"/>
  <c r="R198" i="81"/>
  <c r="AC323" i="81"/>
  <c r="N288" i="81"/>
  <c r="S174" i="81"/>
  <c r="W111" i="81"/>
  <c r="W52" i="81" s="1"/>
  <c r="O80" i="81"/>
  <c r="O21" i="81" s="1"/>
  <c r="T142" i="81"/>
  <c r="AA350" i="81"/>
  <c r="Y237" i="81"/>
  <c r="L273" i="81"/>
  <c r="I298" i="81"/>
  <c r="E148" i="81"/>
  <c r="Y174" i="81"/>
  <c r="Y87" i="81"/>
  <c r="Y28" i="81" s="1"/>
  <c r="H175" i="81"/>
  <c r="D192" i="81"/>
  <c r="AH157" i="81"/>
  <c r="J348" i="81"/>
  <c r="L111" i="81"/>
  <c r="L52" i="81" s="1"/>
  <c r="Y154" i="81"/>
  <c r="AH233" i="81"/>
  <c r="N195" i="81"/>
  <c r="AB212" i="81"/>
  <c r="G296" i="81"/>
  <c r="AF362" i="81"/>
  <c r="AF155" i="81"/>
  <c r="AC233" i="81"/>
  <c r="M233" i="81"/>
  <c r="Y296" i="81"/>
  <c r="E328" i="81"/>
  <c r="M83" i="81"/>
  <c r="M24" i="81" s="1"/>
  <c r="AG124" i="81"/>
  <c r="AG65" i="81" s="1"/>
  <c r="Z280" i="81"/>
  <c r="AH250" i="81"/>
  <c r="Y217" i="81"/>
  <c r="AF356" i="81"/>
  <c r="I88" i="81"/>
  <c r="I29" i="81" s="1"/>
  <c r="AA135" i="81"/>
  <c r="AD93" i="81"/>
  <c r="AD34" i="81" s="1"/>
  <c r="AC295" i="81"/>
  <c r="AH279" i="81"/>
  <c r="C140" i="81"/>
  <c r="D329" i="81"/>
  <c r="Z276" i="81"/>
  <c r="G78" i="81"/>
  <c r="G19" i="81" s="1"/>
  <c r="AE172" i="81"/>
  <c r="L154" i="81"/>
  <c r="X271" i="81"/>
  <c r="M300" i="81"/>
  <c r="K300" i="81"/>
  <c r="O75" i="81"/>
  <c r="O16" i="81" s="1"/>
  <c r="V204" i="81"/>
  <c r="J89" i="81"/>
  <c r="J30" i="81" s="1"/>
  <c r="Z326" i="81"/>
  <c r="E105" i="81"/>
  <c r="E46" i="81" s="1"/>
  <c r="C344" i="81"/>
  <c r="AB310" i="81"/>
  <c r="L241" i="81"/>
  <c r="X289" i="81"/>
  <c r="U265" i="81"/>
  <c r="AH100" i="81"/>
  <c r="AH41" i="81" s="1"/>
  <c r="N256" i="81"/>
  <c r="K192" i="81"/>
  <c r="U219" i="81"/>
  <c r="AC350" i="81"/>
  <c r="N180" i="81"/>
  <c r="S202" i="81"/>
  <c r="M356" i="81"/>
  <c r="AE95" i="81"/>
  <c r="AE36" i="81" s="1"/>
  <c r="AC92" i="81"/>
  <c r="AC33" i="81" s="1"/>
  <c r="K326" i="81"/>
  <c r="J74" i="81"/>
  <c r="J15" i="81" s="1"/>
  <c r="F255" i="81"/>
  <c r="AA163" i="81"/>
  <c r="L276" i="81"/>
  <c r="Q351" i="81"/>
  <c r="T119" i="81"/>
  <c r="T60" i="81" s="1"/>
  <c r="Z70" i="81"/>
  <c r="Z11" i="81" s="1"/>
  <c r="N244" i="81"/>
  <c r="Y355" i="81"/>
  <c r="AG206" i="81"/>
  <c r="W78" i="81"/>
  <c r="W19" i="81" s="1"/>
  <c r="AB90" i="81"/>
  <c r="AB31" i="81" s="1"/>
  <c r="AB320" i="81"/>
  <c r="I195" i="81"/>
  <c r="O267" i="81"/>
  <c r="J273" i="81"/>
  <c r="AD156" i="81"/>
  <c r="Y256" i="81"/>
  <c r="AD231" i="81"/>
  <c r="E180" i="81"/>
  <c r="G97" i="81"/>
  <c r="G38" i="81" s="1"/>
  <c r="AA108" i="81"/>
  <c r="AA49" i="81" s="1"/>
  <c r="AA107" i="81"/>
  <c r="AA48" i="81" s="1"/>
  <c r="AE182" i="81"/>
  <c r="D148" i="81"/>
  <c r="X125" i="81"/>
  <c r="X66" i="81" s="1"/>
  <c r="V317" i="81"/>
  <c r="M273" i="81"/>
  <c r="N212" i="81"/>
  <c r="AF262" i="81"/>
  <c r="AF258" i="81"/>
  <c r="X328" i="81"/>
  <c r="L294" i="81"/>
  <c r="J305" i="81"/>
  <c r="AA139" i="81"/>
  <c r="AG354" i="81"/>
  <c r="G83" i="81"/>
  <c r="G24" i="81" s="1"/>
  <c r="R250" i="81"/>
  <c r="P152" i="81"/>
  <c r="U351" i="81"/>
  <c r="F362" i="81"/>
  <c r="AG281" i="81"/>
  <c r="Z182" i="81"/>
  <c r="AB286" i="81"/>
  <c r="AH94" i="81"/>
  <c r="AH35" i="81" s="1"/>
  <c r="L99" i="81"/>
  <c r="L40" i="81" s="1"/>
  <c r="X244" i="81"/>
  <c r="X106" i="81"/>
  <c r="X47" i="81" s="1"/>
  <c r="C243" i="81"/>
  <c r="R206" i="81"/>
  <c r="Z324" i="81"/>
  <c r="M157" i="81"/>
  <c r="AD72" i="81"/>
  <c r="AD13" i="81" s="1"/>
  <c r="C232" i="81"/>
  <c r="G356" i="81"/>
  <c r="AC242" i="81"/>
  <c r="P268" i="81"/>
  <c r="AB125" i="81"/>
  <c r="AB66" i="81" s="1"/>
  <c r="L349" i="81"/>
  <c r="E201" i="81"/>
  <c r="AE138" i="81"/>
  <c r="C114" i="81"/>
  <c r="C55" i="81" s="1"/>
  <c r="AB164" i="81"/>
  <c r="W110" i="81"/>
  <c r="W51" i="81" s="1"/>
  <c r="L302" i="81"/>
  <c r="AF182" i="81"/>
  <c r="R216" i="81"/>
  <c r="X335" i="81"/>
  <c r="AB304" i="81"/>
  <c r="S89" i="81"/>
  <c r="S30" i="81" s="1"/>
  <c r="R343" i="81"/>
  <c r="I343" i="81"/>
  <c r="P272" i="81"/>
  <c r="E323" i="81"/>
  <c r="AA292" i="81"/>
  <c r="AH264" i="81"/>
  <c r="U225" i="81"/>
  <c r="AG360" i="81"/>
  <c r="R350" i="81"/>
  <c r="M241" i="81"/>
  <c r="AH185" i="81"/>
  <c r="S197" i="81"/>
  <c r="AA148" i="81"/>
  <c r="V214" i="81"/>
  <c r="C85" i="81"/>
  <c r="C26" i="81" s="1"/>
  <c r="J292" i="81"/>
  <c r="E213" i="81"/>
  <c r="U234" i="81"/>
  <c r="Q217" i="81"/>
  <c r="R272" i="81"/>
  <c r="AB276" i="81"/>
  <c r="G315" i="81"/>
  <c r="Q111" i="81"/>
  <c r="Q52" i="81" s="1"/>
  <c r="I97" i="81"/>
  <c r="I38" i="81" s="1"/>
  <c r="F316" i="81"/>
  <c r="AC281" i="81"/>
  <c r="W239" i="81"/>
  <c r="F324" i="81"/>
  <c r="K165" i="81"/>
  <c r="H157" i="81"/>
  <c r="S133" i="81"/>
  <c r="AF365" i="81"/>
  <c r="C133" i="81"/>
  <c r="K349" i="81"/>
  <c r="I274" i="81"/>
  <c r="AB262" i="81"/>
  <c r="H121" i="81"/>
  <c r="H62" i="81" s="1"/>
  <c r="W231" i="81"/>
  <c r="AH288" i="81"/>
  <c r="X122" i="81"/>
  <c r="X63" i="81" s="1"/>
  <c r="AF156" i="81"/>
  <c r="S77" i="81"/>
  <c r="S18" i="81" s="1"/>
  <c r="F122" i="81"/>
  <c r="F63" i="81" s="1"/>
  <c r="Y195" i="81"/>
  <c r="AF275" i="81"/>
  <c r="C310" i="81"/>
  <c r="T240" i="81"/>
  <c r="AH252" i="81"/>
  <c r="O173" i="81"/>
  <c r="Z268" i="81"/>
  <c r="AG297" i="81"/>
  <c r="K359" i="81"/>
  <c r="V238" i="81"/>
  <c r="AA104" i="81"/>
  <c r="AA45" i="81" s="1"/>
  <c r="M97" i="81"/>
  <c r="M38" i="81" s="1"/>
  <c r="AH255" i="81"/>
  <c r="AC259" i="81"/>
  <c r="V328" i="81"/>
  <c r="N132" i="81"/>
  <c r="AA252" i="81"/>
  <c r="AF71" i="81"/>
  <c r="AF12" i="81" s="1"/>
  <c r="J101" i="81"/>
  <c r="J42" i="81" s="1"/>
  <c r="J361" i="81"/>
  <c r="C199" i="81"/>
  <c r="V148" i="81"/>
  <c r="I173" i="81"/>
  <c r="R363" i="81"/>
  <c r="T88" i="81"/>
  <c r="T29" i="81" s="1"/>
  <c r="S146" i="81"/>
  <c r="X254" i="81"/>
  <c r="Q325" i="81"/>
  <c r="AD218" i="81"/>
  <c r="Y341" i="81"/>
  <c r="T290" i="81"/>
  <c r="R318" i="81"/>
  <c r="AG147" i="81"/>
  <c r="AC183" i="81"/>
  <c r="X79" i="81"/>
  <c r="X20" i="81" s="1"/>
  <c r="Q190" i="81"/>
  <c r="N295" i="81"/>
  <c r="Q82" i="81"/>
  <c r="Q23" i="81" s="1"/>
  <c r="F341" i="81"/>
  <c r="AA202" i="81"/>
  <c r="E334" i="81"/>
  <c r="D210" i="81"/>
  <c r="F317" i="81"/>
  <c r="G109" i="81"/>
  <c r="G50" i="81" s="1"/>
  <c r="J239" i="81"/>
  <c r="W278" i="81"/>
  <c r="E304" i="81"/>
  <c r="I80" i="81"/>
  <c r="I21" i="81" s="1"/>
  <c r="U214" i="81"/>
  <c r="E166" i="81"/>
  <c r="AA319" i="81"/>
  <c r="I146" i="81"/>
  <c r="AA269" i="81"/>
  <c r="AB77" i="81"/>
  <c r="AB18" i="81" s="1"/>
  <c r="E258" i="81"/>
  <c r="T332" i="81"/>
  <c r="Y212" i="81"/>
  <c r="M295" i="81"/>
  <c r="L275" i="81"/>
  <c r="W97" i="81"/>
  <c r="W38" i="81" s="1"/>
  <c r="AB343" i="81"/>
  <c r="P144" i="81"/>
  <c r="C335" i="81"/>
  <c r="AG323" i="81"/>
  <c r="J214" i="81"/>
  <c r="F273" i="81"/>
  <c r="W300" i="81"/>
  <c r="H320" i="81"/>
  <c r="M154" i="81"/>
  <c r="F138" i="81"/>
  <c r="AB113" i="81"/>
  <c r="AB54" i="81" s="1"/>
  <c r="AC241" i="81"/>
  <c r="L130" i="81"/>
  <c r="I102" i="81"/>
  <c r="I43" i="81" s="1"/>
  <c r="N205" i="81"/>
  <c r="C234" i="81"/>
  <c r="M210" i="81"/>
  <c r="F312" i="81"/>
  <c r="M327" i="81"/>
  <c r="AB74" i="81"/>
  <c r="AB15" i="81" s="1"/>
  <c r="J278" i="81"/>
  <c r="V265" i="81"/>
  <c r="D130" i="81"/>
  <c r="T218" i="81"/>
  <c r="AF314" i="81"/>
  <c r="X97" i="81"/>
  <c r="X38" i="81" s="1"/>
  <c r="T181" i="81"/>
  <c r="F244" i="81"/>
  <c r="Q361" i="81"/>
  <c r="W217" i="81"/>
  <c r="W230" i="81"/>
  <c r="Q138" i="81"/>
  <c r="AF336" i="81"/>
  <c r="AH208" i="81"/>
  <c r="AB89" i="81"/>
  <c r="AB30" i="81" s="1"/>
  <c r="AH337" i="81"/>
  <c r="J356" i="81"/>
  <c r="M108" i="81"/>
  <c r="M49" i="81" s="1"/>
  <c r="F80" i="81"/>
  <c r="F21" i="81" s="1"/>
  <c r="P338" i="81"/>
  <c r="Q112" i="81"/>
  <c r="Q53" i="81" s="1"/>
  <c r="H150" i="81"/>
  <c r="Z231" i="81"/>
  <c r="M191" i="81"/>
  <c r="Y290" i="81"/>
  <c r="O265" i="81"/>
  <c r="K100" i="81"/>
  <c r="K41" i="81" s="1"/>
  <c r="C115" i="81"/>
  <c r="C56" i="81" s="1"/>
  <c r="Z138" i="81"/>
  <c r="W202" i="81"/>
  <c r="H135" i="81"/>
  <c r="J350" i="81"/>
  <c r="T162" i="81"/>
  <c r="C325" i="81"/>
  <c r="Z348" i="81"/>
  <c r="AF241" i="81"/>
  <c r="S220" i="81"/>
  <c r="P205" i="81"/>
  <c r="E361" i="81"/>
  <c r="AC86" i="81"/>
  <c r="AC27" i="81" s="1"/>
  <c r="N104" i="81"/>
  <c r="N45" i="81" s="1"/>
  <c r="S156" i="81"/>
  <c r="AH295" i="81"/>
  <c r="J84" i="81"/>
  <c r="J25" i="81" s="1"/>
  <c r="AG119" i="81"/>
  <c r="AG60" i="81" s="1"/>
  <c r="Q136" i="81"/>
  <c r="N277" i="81"/>
  <c r="F175" i="81"/>
  <c r="N185" i="81"/>
  <c r="H316" i="81"/>
  <c r="N241" i="81"/>
  <c r="AE273" i="81"/>
  <c r="K336" i="81"/>
  <c r="S256" i="81"/>
  <c r="M123" i="81"/>
  <c r="M64" i="81" s="1"/>
  <c r="AE111" i="81"/>
  <c r="AE52" i="81" s="1"/>
  <c r="K142" i="81"/>
  <c r="AA113" i="81"/>
  <c r="AA54" i="81" s="1"/>
  <c r="P115" i="81"/>
  <c r="P56" i="81" s="1"/>
  <c r="X280" i="81"/>
  <c r="H277" i="81"/>
  <c r="G340" i="81"/>
  <c r="C303" i="81"/>
  <c r="L256" i="81"/>
  <c r="X208" i="81"/>
  <c r="N286" i="81"/>
  <c r="D142" i="81"/>
  <c r="N145" i="81"/>
  <c r="Y352" i="81"/>
  <c r="M284" i="81"/>
  <c r="L140" i="81"/>
  <c r="M260" i="81"/>
  <c r="H271" i="81"/>
  <c r="AD277" i="81"/>
  <c r="AH75" i="81"/>
  <c r="AH16" i="81" s="1"/>
  <c r="D191" i="81"/>
  <c r="R162" i="81"/>
  <c r="AE77" i="81"/>
  <c r="AE18" i="81" s="1"/>
  <c r="Y242" i="81"/>
  <c r="F350" i="81"/>
  <c r="T151" i="81"/>
  <c r="U335" i="81"/>
  <c r="D314" i="81"/>
  <c r="I131" i="81"/>
  <c r="O167" i="81"/>
  <c r="L326" i="81"/>
  <c r="K83" i="81"/>
  <c r="K24" i="81" s="1"/>
  <c r="Q164" i="81"/>
  <c r="L177" i="81"/>
  <c r="W175" i="81"/>
  <c r="AH76" i="81"/>
  <c r="AH17" i="81" s="1"/>
  <c r="D268" i="81"/>
  <c r="T91" i="81"/>
  <c r="T32" i="81" s="1"/>
  <c r="AE281" i="81"/>
  <c r="G333" i="81"/>
  <c r="AB116" i="81"/>
  <c r="AB57" i="81" s="1"/>
  <c r="AF333" i="81"/>
  <c r="S183" i="81"/>
  <c r="H89" i="81"/>
  <c r="H30" i="81" s="1"/>
  <c r="Y362" i="81"/>
  <c r="J355" i="81"/>
  <c r="T212" i="81"/>
  <c r="Q323" i="81"/>
  <c r="D354" i="81"/>
  <c r="Q362" i="81"/>
  <c r="P301" i="81"/>
  <c r="E335" i="81"/>
  <c r="F123" i="81"/>
  <c r="F64" i="81" s="1"/>
  <c r="G326" i="81"/>
  <c r="AE305" i="81"/>
  <c r="AG90" i="81"/>
  <c r="AG31" i="81" s="1"/>
  <c r="AH176" i="81"/>
  <c r="U201" i="81"/>
  <c r="Q356" i="81"/>
  <c r="I205" i="81"/>
  <c r="K337" i="81"/>
  <c r="J199" i="81"/>
  <c r="AF272" i="81"/>
  <c r="I105" i="81"/>
  <c r="I46" i="81"/>
  <c r="R122" i="81"/>
  <c r="R63" i="81" s="1"/>
  <c r="L211" i="81"/>
  <c r="G316" i="81"/>
  <c r="Q350" i="81"/>
  <c r="T362" i="81"/>
  <c r="S181" i="81"/>
  <c r="K147" i="81"/>
  <c r="H338" i="81"/>
  <c r="AC216" i="81"/>
  <c r="S85" i="81"/>
  <c r="S26" i="81" s="1"/>
  <c r="E212" i="81"/>
  <c r="P299" i="81"/>
  <c r="AD275" i="81"/>
  <c r="S118" i="81"/>
  <c r="S59" i="81" s="1"/>
  <c r="R99" i="81"/>
  <c r="R40" i="81" s="1"/>
  <c r="AD365" i="81"/>
  <c r="D320" i="81"/>
  <c r="C156" i="81"/>
  <c r="N325" i="81"/>
  <c r="M259" i="81"/>
  <c r="C313" i="81"/>
  <c r="AG283" i="81"/>
  <c r="P154" i="81"/>
  <c r="C228" i="81"/>
  <c r="AD76" i="81"/>
  <c r="AD17" i="81" s="1"/>
  <c r="Q104" i="81"/>
  <c r="Q45" i="81" s="1"/>
  <c r="I336" i="81"/>
  <c r="Q352" i="81"/>
  <c r="AH81" i="81"/>
  <c r="AH22" i="81" s="1"/>
  <c r="R174" i="81"/>
  <c r="D84" i="81"/>
  <c r="D25" i="81" s="1"/>
  <c r="E205" i="81"/>
  <c r="L125" i="81"/>
  <c r="L66" i="81" s="1"/>
  <c r="C202" i="81"/>
  <c r="L315" i="81"/>
  <c r="AD151" i="81"/>
  <c r="I81" i="81"/>
  <c r="I22" i="81" s="1"/>
  <c r="D345" i="81"/>
  <c r="Z83" i="81"/>
  <c r="Z24" i="81" s="1"/>
  <c r="V141" i="81"/>
  <c r="AF283" i="81"/>
  <c r="R170" i="81"/>
  <c r="AE209" i="81"/>
  <c r="X255" i="81"/>
  <c r="E272" i="81"/>
  <c r="C90" i="81"/>
  <c r="C31" i="81" s="1"/>
  <c r="Z298" i="81"/>
  <c r="AH123" i="81"/>
  <c r="AH64" i="81" s="1"/>
  <c r="N279" i="81"/>
  <c r="S130" i="81"/>
  <c r="K219" i="81"/>
  <c r="AC108" i="81"/>
  <c r="AC49" i="81" s="1"/>
  <c r="D213" i="81"/>
  <c r="Z360" i="81"/>
  <c r="N207" i="81"/>
  <c r="E283" i="81"/>
  <c r="W349" i="81"/>
  <c r="C177" i="81"/>
  <c r="E320" i="81"/>
  <c r="V136" i="81"/>
  <c r="AE139" i="81"/>
  <c r="I130" i="81"/>
  <c r="Y305" i="81"/>
  <c r="U272" i="81"/>
  <c r="O262" i="81"/>
  <c r="O109" i="81"/>
  <c r="O50" i="81" s="1"/>
  <c r="R121" i="81"/>
  <c r="R62" i="81" s="1"/>
  <c r="V140" i="81"/>
  <c r="W241" i="81"/>
  <c r="Y324" i="81"/>
  <c r="AF326" i="81"/>
  <c r="U93" i="81"/>
  <c r="U34" i="81" s="1"/>
  <c r="AB97" i="81"/>
  <c r="AB38" i="81" s="1"/>
  <c r="G136" i="81"/>
  <c r="AA215" i="81"/>
  <c r="O210" i="81"/>
  <c r="Z78" i="81"/>
  <c r="Z19" i="81" s="1"/>
  <c r="M277" i="81"/>
  <c r="O107" i="81"/>
  <c r="O48" i="81" s="1"/>
  <c r="Z243" i="81"/>
  <c r="R239" i="81"/>
  <c r="O101" i="81"/>
  <c r="O42" i="81" s="1"/>
  <c r="AE255" i="81"/>
  <c r="AC275" i="81"/>
  <c r="S201" i="81"/>
  <c r="O131" i="81"/>
  <c r="M77" i="81"/>
  <c r="M18" i="81" s="1"/>
  <c r="N144" i="81"/>
  <c r="D293" i="81"/>
  <c r="Q208" i="81"/>
  <c r="R182" i="81"/>
  <c r="L229" i="81"/>
  <c r="I285" i="81"/>
  <c r="AC277" i="81"/>
  <c r="AH352" i="81"/>
  <c r="G282" i="81"/>
  <c r="N243" i="81"/>
  <c r="R72" i="81"/>
  <c r="R13" i="81" s="1"/>
  <c r="Z233" i="81"/>
  <c r="S124" i="81"/>
  <c r="S65" i="81" s="1"/>
  <c r="J229" i="81"/>
  <c r="U239" i="81"/>
  <c r="Y353" i="81"/>
  <c r="G222" i="81"/>
  <c r="AG133" i="81"/>
  <c r="O115" i="81"/>
  <c r="O56" i="81" s="1"/>
  <c r="P201" i="81"/>
  <c r="AG86" i="81"/>
  <c r="AG27" i="81" s="1"/>
  <c r="X343" i="81"/>
  <c r="AF335" i="81"/>
  <c r="AC348" i="81"/>
  <c r="AC70" i="81"/>
  <c r="AC11" i="81" s="1"/>
  <c r="AC145" i="81"/>
  <c r="C178" i="81"/>
  <c r="Z154" i="81"/>
  <c r="Y97" i="81"/>
  <c r="Y38" i="81" s="1"/>
  <c r="AE318" i="81"/>
  <c r="G105" i="81"/>
  <c r="G46" i="81" s="1"/>
  <c r="X242" i="81"/>
  <c r="AD89" i="81"/>
  <c r="AD30" i="81" s="1"/>
  <c r="Z137" i="81"/>
  <c r="K292" i="81"/>
  <c r="N233" i="81"/>
  <c r="S349" i="81"/>
  <c r="O217" i="81"/>
  <c r="H202" i="81"/>
  <c r="D236" i="81"/>
  <c r="M133" i="81"/>
  <c r="U227" i="81"/>
  <c r="M218" i="81"/>
  <c r="W118" i="81"/>
  <c r="W59" i="81" s="1"/>
  <c r="E347" i="81"/>
  <c r="O216" i="81"/>
  <c r="AD224" i="81"/>
  <c r="K302" i="81"/>
  <c r="L230" i="81"/>
  <c r="T252" i="81"/>
  <c r="AF82" i="81"/>
  <c r="AF23" i="81" s="1"/>
  <c r="L190" i="81"/>
  <c r="D99" i="81"/>
  <c r="D40" i="81" s="1"/>
  <c r="W233" i="81"/>
  <c r="AF284" i="81"/>
  <c r="G258" i="81"/>
  <c r="E152" i="81"/>
  <c r="F251" i="81"/>
  <c r="AA207" i="81"/>
  <c r="I160" i="81"/>
  <c r="P82" i="81"/>
  <c r="P23" i="81" s="1"/>
  <c r="U146" i="81"/>
  <c r="AB330" i="81"/>
  <c r="E182" i="81"/>
  <c r="P257" i="81"/>
  <c r="O140" i="81"/>
  <c r="P183" i="81"/>
  <c r="I257" i="81"/>
  <c r="T335" i="81"/>
  <c r="I106" i="81"/>
  <c r="I47" i="81" s="1"/>
  <c r="C78" i="81"/>
  <c r="C19" i="81" s="1"/>
  <c r="C157" i="81"/>
  <c r="P262" i="81"/>
  <c r="X273" i="81"/>
  <c r="L105" i="81"/>
  <c r="L46" i="81" s="1"/>
  <c r="Y292" i="81"/>
  <c r="E125" i="81"/>
  <c r="E66" i="81" s="1"/>
  <c r="AH177" i="81"/>
  <c r="F101" i="81"/>
  <c r="F42" i="81" s="1"/>
  <c r="G261" i="81"/>
  <c r="AC167" i="81"/>
  <c r="T237" i="81"/>
  <c r="Z350" i="81"/>
  <c r="AG355" i="81"/>
  <c r="H318" i="81"/>
  <c r="D313" i="81"/>
  <c r="AH80" i="81"/>
  <c r="AH21" i="81" s="1"/>
  <c r="F287" i="81"/>
  <c r="O241" i="81"/>
  <c r="AB95" i="81"/>
  <c r="AB36" i="81" s="1"/>
  <c r="D337" i="81"/>
  <c r="Z213" i="81"/>
  <c r="W143" i="81"/>
  <c r="H266" i="81"/>
  <c r="C148" i="81"/>
  <c r="L224" i="81"/>
  <c r="N109" i="81"/>
  <c r="N50" i="81" s="1"/>
  <c r="M360" i="81"/>
  <c r="N148" i="81"/>
  <c r="R312" i="81"/>
  <c r="Z226" i="81"/>
  <c r="P324" i="81"/>
  <c r="K268" i="81"/>
  <c r="E314" i="81"/>
  <c r="K270" i="81"/>
  <c r="O303" i="81"/>
  <c r="L288" i="81"/>
  <c r="Z270" i="81"/>
  <c r="U197" i="81"/>
  <c r="AB135" i="81"/>
  <c r="F259" i="81"/>
  <c r="I323" i="81"/>
  <c r="I351" i="81"/>
  <c r="AG334" i="81"/>
  <c r="L165" i="81"/>
  <c r="H199" i="81"/>
  <c r="V114" i="81"/>
  <c r="V55" i="81" s="1"/>
  <c r="M166" i="81"/>
  <c r="T206" i="81"/>
  <c r="AE297" i="81"/>
  <c r="S278" i="81"/>
  <c r="AE120" i="81"/>
  <c r="AE61" i="81" s="1"/>
  <c r="L350" i="81"/>
  <c r="J289" i="81"/>
  <c r="F274" i="81"/>
  <c r="AE123" i="81"/>
  <c r="AE64" i="81" s="1"/>
  <c r="C242" i="81"/>
  <c r="S320" i="81"/>
  <c r="D111" i="81"/>
  <c r="D52" i="81" s="1"/>
  <c r="N260" i="81"/>
  <c r="Z234" i="81"/>
  <c r="C215" i="81"/>
  <c r="AH361" i="81"/>
  <c r="N222" i="81"/>
  <c r="J346" i="81"/>
  <c r="AG138" i="81"/>
  <c r="W338" i="81"/>
  <c r="S241" i="81"/>
  <c r="V256" i="81"/>
  <c r="V344" i="81"/>
  <c r="T267" i="81"/>
  <c r="S338" i="81"/>
  <c r="I95" i="81"/>
  <c r="I36" i="81" s="1"/>
  <c r="R256" i="81"/>
  <c r="T79" i="81"/>
  <c r="T20" i="81" s="1"/>
  <c r="L313" i="81"/>
  <c r="O74" i="81"/>
  <c r="O15" i="81" s="1"/>
  <c r="U348" i="81"/>
  <c r="P105" i="81"/>
  <c r="P46" i="81" s="1"/>
  <c r="K333" i="81"/>
  <c r="AC358" i="81"/>
  <c r="P147" i="81"/>
  <c r="K161" i="81"/>
  <c r="L183" i="81"/>
  <c r="O320" i="81"/>
  <c r="J353" i="81"/>
  <c r="AG176" i="81"/>
  <c r="AF196" i="81"/>
  <c r="AF237" i="81"/>
  <c r="AD286" i="81"/>
  <c r="O264" i="81"/>
  <c r="F331" i="81"/>
  <c r="N271" i="81"/>
  <c r="G175" i="81"/>
  <c r="K121" i="81"/>
  <c r="K62" i="81" s="1"/>
  <c r="AA265" i="81"/>
  <c r="H111" i="81"/>
  <c r="H52" i="81" s="1"/>
  <c r="AB359" i="81"/>
  <c r="Y208" i="81"/>
  <c r="Q216" i="81"/>
  <c r="E358" i="81"/>
  <c r="H125" i="81"/>
  <c r="H66" i="81" s="1"/>
  <c r="F99" i="81"/>
  <c r="F40" i="81" s="1"/>
  <c r="AG183" i="81"/>
  <c r="P92" i="81"/>
  <c r="P33" i="81" s="1"/>
  <c r="AH179" i="81"/>
  <c r="M142" i="81"/>
  <c r="M363" i="81"/>
  <c r="P277" i="81"/>
  <c r="X169" i="81"/>
  <c r="AC76" i="81"/>
  <c r="AC17" i="81" s="1"/>
  <c r="O197" i="81"/>
  <c r="S281" i="81"/>
  <c r="D83" i="81"/>
  <c r="D24" i="81" s="1"/>
  <c r="AG276" i="81"/>
  <c r="AA237" i="81"/>
  <c r="C73" i="81"/>
  <c r="C14" i="81" s="1"/>
  <c r="N296" i="81"/>
  <c r="U322" i="81"/>
  <c r="W228" i="81"/>
  <c r="AC133" i="81"/>
  <c r="AA193" i="81"/>
  <c r="V147" i="81"/>
  <c r="AA162" i="81"/>
  <c r="Q298" i="81"/>
  <c r="T329" i="81"/>
  <c r="AG134" i="81"/>
  <c r="AG302" i="81"/>
  <c r="I179" i="81"/>
  <c r="T226" i="81"/>
  <c r="H341" i="81"/>
  <c r="X103" i="81"/>
  <c r="X44" i="81" s="1"/>
  <c r="AD157" i="81"/>
  <c r="M124" i="81"/>
  <c r="M65" i="81" s="1"/>
  <c r="AG107" i="81"/>
  <c r="AG48" i="81" s="1"/>
  <c r="Y236" i="81"/>
  <c r="N80" i="81"/>
  <c r="N21" i="81" s="1"/>
  <c r="X270" i="81"/>
  <c r="C74" i="81"/>
  <c r="C15" i="81" s="1"/>
  <c r="X234" i="81"/>
  <c r="Z274" i="81"/>
  <c r="F93" i="81"/>
  <c r="F34" i="81" s="1"/>
  <c r="G179" i="81"/>
  <c r="P196" i="81"/>
  <c r="Q185" i="81"/>
  <c r="AG303" i="81"/>
  <c r="X172" i="81"/>
  <c r="D178" i="81"/>
  <c r="T173" i="81"/>
  <c r="AB171" i="81"/>
  <c r="K72" i="81"/>
  <c r="K13" i="81" s="1"/>
  <c r="D340" i="81"/>
  <c r="T283" i="81"/>
  <c r="T261" i="81"/>
  <c r="G227" i="81"/>
  <c r="D110" i="81"/>
  <c r="D51" i="81" s="1"/>
  <c r="F346" i="81"/>
  <c r="X72" i="81"/>
  <c r="X13" i="81" s="1"/>
  <c r="AD234" i="81"/>
  <c r="O123" i="81"/>
  <c r="O64" i="81" s="1"/>
  <c r="G220" i="81"/>
  <c r="AC170" i="81"/>
  <c r="AH79" i="81"/>
  <c r="AH20" i="81" s="1"/>
  <c r="E324" i="81"/>
  <c r="G171" i="81"/>
  <c r="AB349" i="81"/>
  <c r="T275" i="81"/>
  <c r="T297" i="81"/>
  <c r="Q78" i="81"/>
  <c r="Q19" i="81" s="1"/>
  <c r="Q107" i="81"/>
  <c r="Q48" i="81" s="1"/>
  <c r="T172" i="81"/>
  <c r="Y202" i="81"/>
  <c r="N253" i="81"/>
  <c r="J223" i="81"/>
  <c r="K123" i="81"/>
  <c r="K64" i="81" s="1"/>
  <c r="AH202" i="81"/>
  <c r="AE330" i="81"/>
  <c r="AH138" i="81"/>
  <c r="S233" i="81"/>
  <c r="E268" i="81"/>
  <c r="F82" i="81"/>
  <c r="F23" i="81" s="1"/>
  <c r="E223" i="81"/>
  <c r="F92" i="81"/>
  <c r="F33" i="81" s="1"/>
  <c r="AH299" i="81"/>
  <c r="AG293" i="81"/>
  <c r="H143" i="81"/>
  <c r="AH285" i="81"/>
  <c r="F74" i="81"/>
  <c r="F15" i="81" s="1"/>
  <c r="Q258" i="81"/>
  <c r="K206" i="81"/>
  <c r="L280" i="81"/>
  <c r="I199" i="81"/>
  <c r="AH91" i="81"/>
  <c r="AH32" i="81" s="1"/>
  <c r="AG214" i="81"/>
  <c r="Z109" i="81"/>
  <c r="Z50" i="81" s="1"/>
  <c r="AD139" i="81"/>
  <c r="AH103" i="81"/>
  <c r="AH44" i="81" s="1"/>
  <c r="P351" i="81"/>
  <c r="D185" i="81"/>
  <c r="AC335" i="81"/>
  <c r="G102" i="81"/>
  <c r="G43" i="81" s="1"/>
  <c r="R156" i="81"/>
  <c r="R133" i="81"/>
  <c r="AH310" i="81"/>
  <c r="AA341" i="81"/>
  <c r="W333" i="81"/>
  <c r="AE359" i="81"/>
  <c r="U296" i="81"/>
  <c r="P112" i="81"/>
  <c r="P53" i="81" s="1"/>
  <c r="U317" i="81"/>
  <c r="C171" i="81"/>
  <c r="W298" i="81"/>
  <c r="Z98" i="81"/>
  <c r="Z39" i="81" s="1"/>
  <c r="I261" i="81"/>
  <c r="F178" i="81"/>
  <c r="AG365" i="81"/>
  <c r="J256" i="81"/>
  <c r="Q359" i="81"/>
  <c r="AD331" i="81"/>
  <c r="AH155" i="81"/>
  <c r="T166" i="81"/>
  <c r="AC326" i="81"/>
  <c r="F157" i="81"/>
  <c r="O155" i="81"/>
  <c r="X337" i="81"/>
  <c r="Q293" i="81"/>
  <c r="P348" i="81"/>
  <c r="H252" i="81"/>
  <c r="R93" i="81"/>
  <c r="R34" i="81" s="1"/>
  <c r="M228" i="81"/>
  <c r="AC237" i="81"/>
  <c r="J85" i="81"/>
  <c r="J26" i="81" s="1"/>
  <c r="AF149" i="81"/>
  <c r="L222" i="81"/>
  <c r="Y112" i="81"/>
  <c r="Y53" i="81" s="1"/>
  <c r="Z86" i="81"/>
  <c r="Z27" i="81" s="1"/>
  <c r="AD86" i="81"/>
  <c r="AD27" i="81" s="1"/>
  <c r="AD167" i="81"/>
  <c r="H78" i="81"/>
  <c r="H19" i="81" s="1"/>
  <c r="AD191" i="81"/>
  <c r="J296" i="81"/>
  <c r="M172" i="81"/>
  <c r="W273" i="81"/>
  <c r="G254" i="81"/>
  <c r="AH73" i="81"/>
  <c r="AH14" i="81" s="1"/>
  <c r="F343" i="81"/>
  <c r="AC280" i="81"/>
  <c r="AH261" i="81"/>
  <c r="Z290" i="81"/>
  <c r="Q145" i="81"/>
  <c r="AA170" i="81"/>
  <c r="AD213" i="81"/>
  <c r="G292" i="81"/>
  <c r="I222" i="81"/>
  <c r="AH213" i="81"/>
  <c r="V80" i="81"/>
  <c r="V21" i="81" s="1"/>
  <c r="L102" i="81"/>
  <c r="L43" i="81" s="1"/>
  <c r="Z297" i="81"/>
  <c r="C77" i="81"/>
  <c r="C18" i="81" s="1"/>
  <c r="M325" i="81"/>
  <c r="G193" i="81"/>
  <c r="G270" i="81"/>
  <c r="C251" i="81"/>
  <c r="N89" i="81"/>
  <c r="N30" i="81" s="1"/>
  <c r="D119" i="81"/>
  <c r="D60" i="81" s="1"/>
  <c r="AF301" i="81"/>
  <c r="P265" i="81"/>
  <c r="I237" i="81"/>
  <c r="K251" i="81"/>
  <c r="J326" i="81"/>
  <c r="Y199" i="81"/>
  <c r="R222" i="81"/>
  <c r="AD210" i="81"/>
  <c r="S329" i="81"/>
  <c r="U177" i="81"/>
  <c r="AD148" i="81"/>
  <c r="AE239" i="81"/>
  <c r="AE299" i="81"/>
  <c r="M282" i="81"/>
  <c r="G143" i="81"/>
  <c r="AE125" i="81"/>
  <c r="AE66" i="81" s="1"/>
  <c r="C84" i="81"/>
  <c r="C25" i="81" s="1"/>
  <c r="S222" i="81"/>
  <c r="X361" i="81"/>
  <c r="AA303" i="81"/>
  <c r="AD190" i="81"/>
  <c r="Q331" i="81"/>
  <c r="G183" i="81"/>
  <c r="X348" i="81"/>
  <c r="E85" i="81"/>
  <c r="E26" i="81" s="1"/>
  <c r="L97" i="81"/>
  <c r="L38" i="81" s="1"/>
  <c r="T159" i="81"/>
  <c r="AF281" i="81"/>
  <c r="G320" i="81"/>
  <c r="AH169" i="81"/>
  <c r="S151" i="81"/>
  <c r="K212" i="81"/>
  <c r="AB269" i="81"/>
  <c r="P263" i="81"/>
  <c r="T324" i="81"/>
  <c r="X123" i="81"/>
  <c r="X64" i="81" s="1"/>
  <c r="AB255" i="81"/>
  <c r="AA329" i="81"/>
  <c r="AG140" i="81"/>
  <c r="U233" i="81"/>
  <c r="G321" i="81"/>
  <c r="X94" i="81"/>
  <c r="X35" i="81" s="1"/>
  <c r="N293" i="81"/>
  <c r="D362" i="81"/>
  <c r="N285" i="81"/>
  <c r="O340" i="81"/>
  <c r="C300" i="81"/>
  <c r="V321" i="81"/>
  <c r="F113" i="81"/>
  <c r="F54" i="81" s="1"/>
  <c r="Z120" i="81"/>
  <c r="Z61" i="81" s="1"/>
  <c r="Y179" i="81"/>
  <c r="AF163" i="81"/>
  <c r="T321" i="81"/>
  <c r="E318" i="81"/>
  <c r="C315" i="81"/>
  <c r="U224" i="81"/>
  <c r="H133" i="81"/>
  <c r="N276" i="81"/>
  <c r="AF92" i="81"/>
  <c r="AF33" i="81" s="1"/>
  <c r="U209" i="81"/>
  <c r="AC134" i="81"/>
  <c r="R348" i="81"/>
  <c r="L218" i="81"/>
  <c r="P108" i="81"/>
  <c r="P49" i="81" s="1"/>
  <c r="AE106" i="81"/>
  <c r="AE47" i="81" s="1"/>
  <c r="AH228" i="81"/>
  <c r="X362" i="81"/>
  <c r="O319" i="81"/>
  <c r="R255" i="81"/>
  <c r="D209" i="81"/>
  <c r="Z94" i="81"/>
  <c r="Z35" i="81" s="1"/>
  <c r="Z100" i="81"/>
  <c r="Z41" i="81" s="1"/>
  <c r="C259" i="81"/>
  <c r="H339" i="81"/>
  <c r="H278" i="81"/>
  <c r="F285" i="81"/>
  <c r="S149" i="81"/>
  <c r="C217" i="81"/>
  <c r="AA197" i="81"/>
  <c r="AB322" i="81"/>
  <c r="AH257" i="81"/>
  <c r="AF116" i="81"/>
  <c r="AF57" i="81" s="1"/>
  <c r="D296" i="81"/>
  <c r="N348" i="81"/>
  <c r="F135" i="81"/>
  <c r="Q289" i="81"/>
  <c r="I125" i="81"/>
  <c r="I66" i="81" s="1"/>
  <c r="X80" i="81"/>
  <c r="X21" i="81" s="1"/>
  <c r="Z225" i="81"/>
  <c r="O212" i="81"/>
  <c r="N204" i="81"/>
  <c r="W293" i="81"/>
  <c r="T323" i="81"/>
  <c r="AE70" i="81"/>
  <c r="AE11" i="81" s="1"/>
  <c r="P167" i="81"/>
  <c r="N254" i="81"/>
  <c r="AA174" i="81"/>
  <c r="P349" i="81"/>
  <c r="V194" i="81"/>
  <c r="R220" i="81"/>
  <c r="K346" i="81"/>
  <c r="U285" i="81"/>
  <c r="Z217" i="81"/>
  <c r="AB139" i="81"/>
  <c r="I203" i="81"/>
  <c r="N284" i="81"/>
  <c r="R315" i="81"/>
  <c r="U275" i="81"/>
  <c r="K261" i="81"/>
  <c r="E235" i="81"/>
  <c r="X357" i="81"/>
  <c r="Z228" i="81"/>
  <c r="G100" i="81"/>
  <c r="G41" i="81" s="1"/>
  <c r="O125" i="81"/>
  <c r="O66" i="81" s="1"/>
  <c r="J94" i="81"/>
  <c r="J35" i="81" s="1"/>
  <c r="E132" i="81"/>
  <c r="AA227" i="81"/>
  <c r="P102" i="81"/>
  <c r="P43" i="81" s="1"/>
  <c r="O233" i="81"/>
  <c r="G132" i="81"/>
  <c r="D323" i="81"/>
  <c r="AF180" i="81"/>
  <c r="M346" i="81"/>
  <c r="I219" i="81"/>
  <c r="AE322" i="81"/>
  <c r="N239" i="81"/>
  <c r="AB298" i="81"/>
  <c r="K110" i="81"/>
  <c r="K51" i="81" s="1"/>
  <c r="Q305" i="81"/>
  <c r="P252" i="81"/>
  <c r="R257" i="81"/>
  <c r="L85" i="81"/>
  <c r="L26" i="81" s="1"/>
  <c r="T233" i="81"/>
  <c r="AG131" i="81"/>
  <c r="W82" i="81"/>
  <c r="W23" i="81" s="1"/>
  <c r="AF339" i="81"/>
  <c r="J193" i="81"/>
  <c r="AF177" i="81"/>
  <c r="W103" i="81"/>
  <c r="W44" i="81" s="1"/>
  <c r="AE288" i="81"/>
  <c r="K234" i="81"/>
  <c r="M78" i="81"/>
  <c r="M19" i="81" s="1"/>
  <c r="V176" i="81"/>
  <c r="I119" i="81"/>
  <c r="I60" i="81" s="1"/>
  <c r="L348" i="81"/>
  <c r="H315" i="81"/>
  <c r="AC193" i="81"/>
  <c r="Z185" i="81"/>
  <c r="AB179" i="81"/>
  <c r="F356" i="81"/>
  <c r="M264" i="81"/>
  <c r="AA241" i="81"/>
  <c r="S90" i="81"/>
  <c r="S31" i="81" s="1"/>
  <c r="D342" i="81"/>
  <c r="R238" i="81"/>
  <c r="S337" i="81"/>
  <c r="AF202" i="81"/>
  <c r="M162" i="81"/>
  <c r="J327" i="81"/>
  <c r="S71" i="81"/>
  <c r="S12" i="81" s="1"/>
  <c r="L78" i="81"/>
  <c r="L19" i="81" s="1"/>
  <c r="AD144" i="81"/>
  <c r="P276" i="81"/>
  <c r="AB88" i="81"/>
  <c r="AB29" i="81" s="1"/>
  <c r="AG238" i="81"/>
  <c r="Q233" i="81"/>
  <c r="J266" i="81"/>
  <c r="AA359" i="81"/>
  <c r="V200" i="81"/>
  <c r="S72" i="81"/>
  <c r="S13" i="81" s="1"/>
  <c r="H348" i="81"/>
  <c r="W121" i="81"/>
  <c r="W62" i="81" s="1"/>
  <c r="Y71" i="81"/>
  <c r="Y12" i="81" s="1"/>
  <c r="AA217" i="81"/>
  <c r="I133" i="81"/>
  <c r="J163" i="81"/>
  <c r="AA177" i="81"/>
  <c r="AF225" i="81"/>
  <c r="Q245" i="81"/>
  <c r="AD173" i="81"/>
  <c r="Q171" i="81"/>
  <c r="K226" i="81"/>
  <c r="AA165" i="81"/>
  <c r="R152" i="81"/>
  <c r="AC294" i="81"/>
  <c r="AE124" i="81"/>
  <c r="AE65" i="81" s="1"/>
  <c r="AG351" i="81"/>
  <c r="AE270" i="81"/>
  <c r="P319" i="81"/>
  <c r="I360" i="81"/>
  <c r="AD300" i="81"/>
  <c r="M230" i="81"/>
  <c r="AB284" i="81"/>
  <c r="D300" i="81"/>
  <c r="H296" i="81"/>
  <c r="N289" i="81"/>
  <c r="E365" i="81"/>
  <c r="J114" i="81"/>
  <c r="J55" i="81" s="1"/>
  <c r="V283" i="81"/>
  <c r="AG254" i="81"/>
  <c r="H170" i="81"/>
  <c r="O325" i="81"/>
  <c r="T354" i="81"/>
  <c r="V320" i="81"/>
  <c r="F197" i="81"/>
  <c r="AF97" i="81"/>
  <c r="AF38" i="81" s="1"/>
  <c r="AE159" i="81"/>
  <c r="AB162" i="81"/>
  <c r="N242" i="81"/>
  <c r="W299" i="81"/>
  <c r="G82" i="81"/>
  <c r="G23" i="81" s="1"/>
  <c r="AA194" i="81"/>
  <c r="C270" i="81"/>
  <c r="V102" i="81"/>
  <c r="V43" i="81" s="1"/>
  <c r="H205" i="81"/>
  <c r="E242" i="81"/>
  <c r="T270" i="81"/>
  <c r="R166" i="81"/>
  <c r="D289" i="81"/>
  <c r="L254" i="81"/>
  <c r="U266" i="81"/>
  <c r="Q75" i="81"/>
  <c r="Q16" i="81" s="1"/>
  <c r="W358" i="81"/>
  <c r="S211" i="81"/>
  <c r="D273" i="81"/>
  <c r="U117" i="81"/>
  <c r="U58" i="81" s="1"/>
  <c r="P79" i="81"/>
  <c r="P20" i="81" s="1"/>
  <c r="Y145" i="81"/>
  <c r="Y266" i="81"/>
  <c r="R139" i="81"/>
  <c r="K288" i="81"/>
  <c r="AG178" i="81"/>
  <c r="AA281" i="81"/>
  <c r="V183" i="81"/>
  <c r="AE303" i="81"/>
  <c r="P243" i="81"/>
  <c r="P83" i="81"/>
  <c r="P24" i="81" s="1"/>
  <c r="V327" i="81"/>
  <c r="E81" i="81"/>
  <c r="E22" i="81" s="1"/>
  <c r="AD205" i="81"/>
  <c r="N215" i="81"/>
  <c r="W107" i="81"/>
  <c r="W48" i="81" s="1"/>
  <c r="N160" i="81"/>
  <c r="U301" i="81"/>
  <c r="N79" i="81"/>
  <c r="N20" i="81" s="1"/>
  <c r="U277" i="81"/>
  <c r="J268" i="81"/>
  <c r="Z344" i="81"/>
  <c r="S237" i="81"/>
  <c r="Z85" i="81"/>
  <c r="Z26" i="81" s="1"/>
  <c r="AH296" i="81"/>
  <c r="T72" i="81"/>
  <c r="T13" i="81" s="1"/>
  <c r="AD324" i="81"/>
  <c r="AB231" i="81"/>
  <c r="T103" i="81"/>
  <c r="T44" i="81" s="1"/>
  <c r="U169" i="81"/>
  <c r="AE193" i="81"/>
  <c r="M298" i="81"/>
  <c r="Q98" i="81"/>
  <c r="Q39" i="81" s="1"/>
  <c r="AA360" i="81"/>
  <c r="F98" i="81"/>
  <c r="F39" i="81" s="1"/>
  <c r="F198" i="81"/>
  <c r="H346" i="81"/>
  <c r="AE342" i="81"/>
  <c r="U293" i="81"/>
  <c r="H147" i="81"/>
  <c r="K136" i="81"/>
  <c r="AH317" i="81"/>
  <c r="AH109" i="81"/>
  <c r="AH50" i="81" s="1"/>
  <c r="D242" i="81"/>
  <c r="V121" i="81"/>
  <c r="V62" i="81" s="1"/>
  <c r="Z171" i="81"/>
  <c r="T280" i="81"/>
  <c r="F172" i="81"/>
  <c r="AB71" i="81"/>
  <c r="AB12" i="81" s="1"/>
  <c r="J73" i="81"/>
  <c r="J14" i="81" s="1"/>
  <c r="F179" i="81"/>
  <c r="Q345" i="81"/>
  <c r="Y148" i="81"/>
  <c r="AG85" i="81"/>
  <c r="AG26" i="81" s="1"/>
  <c r="X207" i="81"/>
  <c r="AH97" i="81"/>
  <c r="AH38" i="81" s="1"/>
  <c r="AE222" i="81"/>
  <c r="AB325" i="81"/>
  <c r="Y123" i="81"/>
  <c r="Y64" i="81" s="1"/>
  <c r="M336" i="81"/>
  <c r="M326" i="81"/>
  <c r="J146" i="81"/>
  <c r="T274" i="81"/>
  <c r="Y201" i="81"/>
  <c r="D227" i="81"/>
  <c r="C340" i="81"/>
  <c r="AD99" i="81"/>
  <c r="AD40" i="81" s="1"/>
  <c r="I161" i="81"/>
  <c r="AF222" i="81"/>
  <c r="S114" i="81"/>
  <c r="S55" i="81" s="1"/>
  <c r="M341" i="81"/>
  <c r="W294" i="81"/>
  <c r="Q330" i="81"/>
  <c r="K342" i="81"/>
  <c r="K118" i="81"/>
  <c r="K59" i="81" s="1"/>
  <c r="AB328" i="81"/>
  <c r="AB313" i="81"/>
  <c r="Z149" i="81"/>
  <c r="W199" i="81"/>
  <c r="N103" i="81"/>
  <c r="N44" i="81" s="1"/>
  <c r="C359" i="81"/>
  <c r="AA254" i="81"/>
  <c r="AB103" i="81"/>
  <c r="AB44" i="81" s="1"/>
  <c r="R342" i="81"/>
  <c r="W113" i="81"/>
  <c r="W54" i="81" s="1"/>
  <c r="T302" i="81"/>
  <c r="P185" i="81"/>
  <c r="R252" i="81"/>
  <c r="M311" i="81"/>
  <c r="J237" i="81"/>
  <c r="AG328" i="81"/>
  <c r="I82" i="81"/>
  <c r="I23" i="81" s="1"/>
  <c r="AG272" i="81"/>
  <c r="Q108" i="81"/>
  <c r="Q49" i="81" s="1"/>
  <c r="AF267" i="81"/>
  <c r="AD350" i="81"/>
  <c r="I265" i="81"/>
  <c r="Z181" i="81"/>
  <c r="L153" i="81"/>
  <c r="H113" i="81"/>
  <c r="H54" i="81" s="1"/>
  <c r="Y211" i="81"/>
  <c r="AE207" i="81"/>
  <c r="AH267" i="81"/>
  <c r="Z304" i="81"/>
  <c r="X338" i="81"/>
  <c r="D322" i="81"/>
  <c r="K152" i="81"/>
  <c r="F136" i="81"/>
  <c r="K98" i="81"/>
  <c r="K39" i="81" s="1"/>
  <c r="C121" i="81"/>
  <c r="C62" i="81" s="1"/>
  <c r="L171" i="81"/>
  <c r="C94" i="81"/>
  <c r="C35" i="81" s="1"/>
  <c r="AH243" i="81"/>
  <c r="V159" i="81"/>
  <c r="Z346" i="81"/>
  <c r="H231" i="81"/>
  <c r="L311" i="81"/>
  <c r="R179" i="81"/>
  <c r="AC203" i="81"/>
  <c r="L136" i="81"/>
  <c r="P172" i="81"/>
  <c r="W162" i="81"/>
  <c r="G207" i="81"/>
  <c r="AB147" i="81"/>
  <c r="V185" i="81"/>
  <c r="AG120" i="81"/>
  <c r="AG61" i="81" s="1"/>
  <c r="AF334" i="81"/>
  <c r="AG81" i="81"/>
  <c r="AG22" i="81" s="1"/>
  <c r="AC192" i="81"/>
  <c r="D137" i="81"/>
  <c r="H173" i="81"/>
  <c r="AH116" i="81"/>
  <c r="AH57" i="81" s="1"/>
  <c r="S192" i="81"/>
  <c r="AB136" i="81"/>
  <c r="S97" i="81"/>
  <c r="S38" i="81" s="1"/>
  <c r="M288" i="81"/>
  <c r="AB122" i="81"/>
  <c r="AB63" i="81" s="1"/>
  <c r="L361" i="81"/>
  <c r="D145" i="81"/>
  <c r="AC214" i="81"/>
  <c r="X365" i="81"/>
  <c r="T228" i="81"/>
  <c r="AF358" i="81"/>
  <c r="AE258" i="81"/>
  <c r="X153" i="81"/>
  <c r="O362" i="81"/>
  <c r="Q73" i="81"/>
  <c r="Q14" i="81" s="1"/>
  <c r="F201" i="81"/>
  <c r="V175" i="81"/>
  <c r="X313" i="81"/>
  <c r="O200" i="81"/>
  <c r="X130" i="81"/>
  <c r="AF363" i="81"/>
  <c r="M72" i="81"/>
  <c r="M13" i="81" s="1"/>
  <c r="Z118" i="81"/>
  <c r="Z59" i="81" s="1"/>
  <c r="R283" i="81"/>
  <c r="E161" i="81"/>
  <c r="W286" i="81"/>
  <c r="AG88" i="81"/>
  <c r="AG29" i="81" s="1"/>
  <c r="J201" i="81"/>
  <c r="U200" i="81"/>
  <c r="C152" i="81"/>
  <c r="Y78" i="81"/>
  <c r="Y19" i="81" s="1"/>
  <c r="AA299" i="81"/>
  <c r="AH316" i="81"/>
  <c r="V179" i="81"/>
  <c r="AC195" i="81"/>
  <c r="V233" i="81"/>
  <c r="S255" i="81"/>
  <c r="K93" i="81"/>
  <c r="K34" i="81" s="1"/>
  <c r="H95" i="81"/>
  <c r="H36" i="81" s="1"/>
  <c r="Z103" i="81"/>
  <c r="Z44" i="81" s="1"/>
  <c r="O242" i="81"/>
  <c r="Y81" i="81"/>
  <c r="Y22" i="81" s="1"/>
  <c r="N294" i="81"/>
  <c r="D238" i="81"/>
  <c r="N352" i="81"/>
  <c r="D143" i="81"/>
  <c r="G115" i="81"/>
  <c r="G56" i="81" s="1"/>
  <c r="AF117" i="81"/>
  <c r="AF58" i="81" s="1"/>
  <c r="AB145" i="81"/>
  <c r="N213" i="81"/>
  <c r="W168" i="81"/>
  <c r="L168" i="81"/>
  <c r="L195" i="81"/>
  <c r="P296" i="81"/>
  <c r="V270" i="81"/>
  <c r="AE91" i="81"/>
  <c r="AE32" i="81" s="1"/>
  <c r="Q324" i="81"/>
  <c r="T294" i="81"/>
  <c r="U252" i="81"/>
  <c r="O205" i="81"/>
  <c r="S254" i="81"/>
  <c r="W265" i="81"/>
  <c r="AH136" i="81"/>
  <c r="S109" i="81"/>
  <c r="S50" i="81" s="1"/>
  <c r="H256" i="81"/>
  <c r="F265" i="81"/>
  <c r="AH237" i="81"/>
  <c r="U121" i="81"/>
  <c r="U62" i="81" s="1"/>
  <c r="Z221" i="81"/>
  <c r="I348" i="81"/>
  <c r="U123" i="81"/>
  <c r="U64" i="81" s="1"/>
  <c r="AD192" i="81"/>
  <c r="F347" i="81"/>
  <c r="V296" i="81"/>
  <c r="AD215" i="81"/>
  <c r="K236" i="81"/>
  <c r="C88" i="81"/>
  <c r="C29" i="81" s="1"/>
  <c r="R344" i="81"/>
  <c r="Z355" i="81"/>
  <c r="Y109" i="81"/>
  <c r="Y50" i="81" s="1"/>
  <c r="R227" i="81"/>
  <c r="E300" i="81"/>
  <c r="D108" i="81"/>
  <c r="D49" i="81" s="1"/>
  <c r="AE271" i="81"/>
  <c r="S185" i="81"/>
  <c r="W353" i="81"/>
  <c r="J110" i="81"/>
  <c r="J51" i="81" s="1"/>
  <c r="AA81" i="81"/>
  <c r="AA22" i="81" s="1"/>
  <c r="Z284" i="81"/>
  <c r="X241" i="81"/>
  <c r="G242" i="81"/>
  <c r="O94" i="81"/>
  <c r="O35" i="81" s="1"/>
  <c r="R285" i="81"/>
  <c r="L353" i="81"/>
  <c r="AA181" i="81"/>
  <c r="N122" i="81"/>
  <c r="N63" i="81" s="1"/>
  <c r="M281" i="81"/>
  <c r="AF234" i="81"/>
  <c r="I315" i="81"/>
  <c r="X214" i="81"/>
  <c r="E263" i="81"/>
  <c r="Z285" i="81"/>
  <c r="AA347" i="81"/>
  <c r="T315" i="81"/>
  <c r="AB230" i="81"/>
  <c r="C294" i="81"/>
  <c r="Z328" i="81"/>
  <c r="Y229" i="81"/>
  <c r="AE280" i="81"/>
  <c r="L72" i="81"/>
  <c r="L13" i="81" s="1"/>
  <c r="J330" i="81"/>
  <c r="Z172" i="81"/>
  <c r="Q357" i="81"/>
  <c r="L334" i="81"/>
  <c r="Y70" i="81"/>
  <c r="Y11" i="81" s="1"/>
  <c r="N84" i="81"/>
  <c r="N25" i="81" s="1"/>
  <c r="AF175" i="81"/>
  <c r="AH363" i="81"/>
  <c r="V293" i="81"/>
  <c r="AG77" i="81"/>
  <c r="AG18" i="81" s="1"/>
  <c r="AD153" i="81"/>
  <c r="Q92" i="81"/>
  <c r="Q33" i="81" s="1"/>
  <c r="I74" i="81"/>
  <c r="I15" i="81" s="1"/>
  <c r="AD342" i="81"/>
  <c r="U325" i="81"/>
  <c r="D353" i="81"/>
  <c r="V137" i="81"/>
  <c r="L158" i="81"/>
  <c r="AH167" i="81"/>
  <c r="AH140" i="81"/>
  <c r="S143" i="81"/>
  <c r="D89" i="81"/>
  <c r="D30" i="81" s="1"/>
  <c r="X120" i="81"/>
  <c r="X61" i="81" s="1"/>
  <c r="S75" i="81"/>
  <c r="S16" i="81" s="1"/>
  <c r="V234" i="81"/>
  <c r="I153" i="81"/>
  <c r="AC240" i="81"/>
  <c r="AC228" i="81"/>
  <c r="W213" i="81"/>
  <c r="V279" i="81"/>
  <c r="AA70" i="81"/>
  <c r="AA11" i="81" s="1"/>
  <c r="AE121" i="81"/>
  <c r="AE62" i="81" s="1"/>
  <c r="AC181" i="81"/>
  <c r="W104" i="81"/>
  <c r="W45" i="81" s="1"/>
  <c r="P168" i="81"/>
  <c r="AG159" i="81"/>
  <c r="C142" i="81"/>
  <c r="AG172" i="81"/>
  <c r="K139" i="81"/>
  <c r="X173" i="81"/>
  <c r="P75" i="81"/>
  <c r="P16" i="81" s="1"/>
  <c r="S163" i="81"/>
  <c r="O289" i="81"/>
  <c r="X226" i="81"/>
  <c r="AE336" i="81"/>
  <c r="U70" i="81"/>
  <c r="U11" i="81" s="1"/>
  <c r="H220" i="81"/>
  <c r="AA185" i="81"/>
  <c r="Y194" i="81"/>
  <c r="N353" i="81"/>
  <c r="E339" i="81"/>
  <c r="C364" i="81"/>
  <c r="S122" i="81"/>
  <c r="S63" i="81" s="1"/>
  <c r="Q328" i="81"/>
  <c r="I90" i="81"/>
  <c r="I31" i="81" s="1"/>
  <c r="O250" i="81"/>
  <c r="E158" i="81"/>
  <c r="H190" i="81"/>
  <c r="J215" i="81"/>
  <c r="L220" i="81"/>
  <c r="O122" i="81"/>
  <c r="O63" i="81" s="1"/>
  <c r="AF193" i="81"/>
  <c r="K169" i="81"/>
  <c r="S358" i="81"/>
  <c r="AE163" i="81"/>
  <c r="J142" i="81"/>
  <c r="C203" i="81"/>
  <c r="K174" i="81"/>
  <c r="W88" i="81"/>
  <c r="W29" i="81" s="1"/>
  <c r="D334" i="81"/>
  <c r="AG275" i="81"/>
  <c r="G204" i="81"/>
  <c r="Z214" i="81"/>
  <c r="W214" i="81"/>
  <c r="H122" i="81"/>
  <c r="H63" i="81" s="1"/>
  <c r="AG317" i="81"/>
  <c r="E130" i="81"/>
  <c r="Q163" i="81"/>
  <c r="AB280" i="81"/>
  <c r="AA152" i="81"/>
  <c r="E224" i="81"/>
  <c r="X171" i="81"/>
  <c r="O272" i="81"/>
  <c r="AB243" i="81"/>
  <c r="E136" i="81"/>
  <c r="O345" i="81"/>
  <c r="W345" i="81"/>
  <c r="X260" i="81"/>
  <c r="D104" i="81"/>
  <c r="D45" i="81" s="1"/>
  <c r="R310" i="81"/>
  <c r="X154" i="81"/>
  <c r="AC217" i="81"/>
  <c r="AE227" i="81"/>
  <c r="T326" i="81"/>
  <c r="AA136" i="81"/>
  <c r="AB363" i="81"/>
  <c r="W139" i="81"/>
  <c r="L367" i="81"/>
  <c r="I276" i="81"/>
  <c r="J169" i="81"/>
  <c r="Z362" i="81"/>
  <c r="F155" i="81"/>
  <c r="Z303" i="81"/>
  <c r="U326" i="81"/>
  <c r="AG83" i="81"/>
  <c r="AG24" i="81" s="1"/>
  <c r="AE176" i="81"/>
  <c r="W125" i="81"/>
  <c r="W66" i="81" s="1"/>
  <c r="O71" i="81"/>
  <c r="O12" i="81" s="1"/>
  <c r="I171" i="81"/>
  <c r="R278" i="81"/>
  <c r="Z97" i="81"/>
  <c r="Z38" i="81" s="1"/>
  <c r="Y288" i="81"/>
  <c r="O318" i="81"/>
  <c r="S221" i="81"/>
  <c r="P190" i="81"/>
  <c r="V150" i="81"/>
  <c r="AB143" i="81"/>
  <c r="T124" i="81"/>
  <c r="T65" i="81" s="1"/>
  <c r="Y284" i="81"/>
  <c r="N342" i="81"/>
  <c r="K254" i="81"/>
  <c r="V207" i="81"/>
  <c r="W151" i="81"/>
  <c r="X282" i="81"/>
  <c r="AA71" i="81"/>
  <c r="AA12" i="81" s="1"/>
  <c r="S158" i="81"/>
  <c r="Z208" i="81"/>
  <c r="AC207" i="81"/>
  <c r="L90" i="81"/>
  <c r="L31" i="81" s="1"/>
  <c r="G113" i="81"/>
  <c r="G54" i="81" s="1"/>
  <c r="R297" i="81"/>
  <c r="S356" i="81"/>
  <c r="N211" i="81"/>
  <c r="G265" i="81"/>
  <c r="T109" i="81"/>
  <c r="T50" i="81" s="1"/>
  <c r="J98" i="81"/>
  <c r="J39" i="81" s="1"/>
  <c r="X345" i="81"/>
  <c r="I341" i="81"/>
  <c r="AD80" i="81"/>
  <c r="AD21" i="81" s="1"/>
  <c r="AH312" i="81"/>
  <c r="AC256" i="81"/>
  <c r="K256" i="81"/>
  <c r="AH193" i="81"/>
  <c r="AF216" i="81"/>
  <c r="K133" i="81"/>
  <c r="X267" i="81"/>
  <c r="AD200" i="81"/>
  <c r="F192" i="81"/>
  <c r="I220" i="81"/>
  <c r="I91" i="81"/>
  <c r="I32" i="81" s="1"/>
  <c r="J176" i="81"/>
  <c r="AG155" i="81"/>
  <c r="AC150" i="81"/>
  <c r="F231" i="81"/>
  <c r="AC194" i="81"/>
  <c r="T191" i="81"/>
  <c r="AB81" i="81"/>
  <c r="AB22" i="81" s="1"/>
  <c r="AD288" i="81"/>
  <c r="K253" i="81"/>
  <c r="I326" i="81"/>
  <c r="C162" i="81"/>
  <c r="Y197" i="81"/>
  <c r="R200" i="81"/>
  <c r="U257" i="81"/>
  <c r="F338" i="81"/>
  <c r="H182" i="81"/>
  <c r="T300" i="81"/>
  <c r="T215" i="81"/>
  <c r="AG212" i="81"/>
  <c r="Z229" i="81"/>
  <c r="O170" i="81"/>
  <c r="L228" i="81"/>
  <c r="W340" i="81"/>
  <c r="AD336" i="81"/>
  <c r="V250" i="81"/>
  <c r="E259" i="81"/>
  <c r="AC283" i="81"/>
  <c r="Y168" i="81"/>
  <c r="AF125" i="81"/>
  <c r="AF66" i="81" s="1"/>
  <c r="U350" i="81"/>
  <c r="AF74" i="81"/>
  <c r="AF15" i="81" s="1"/>
  <c r="S331" i="81"/>
  <c r="E317" i="81"/>
  <c r="E266" i="81"/>
  <c r="P164" i="81"/>
  <c r="C235" i="81"/>
  <c r="V163" i="81"/>
  <c r="X193" i="81"/>
  <c r="N107" i="81"/>
  <c r="N48" i="81" s="1"/>
  <c r="F90" i="81"/>
  <c r="F31" i="81" s="1"/>
  <c r="AA270" i="81"/>
  <c r="AE284" i="81"/>
  <c r="U170" i="81"/>
  <c r="U232" i="81"/>
  <c r="S296" i="81"/>
  <c r="M130" i="81"/>
  <c r="S299" i="81"/>
  <c r="V84" i="81"/>
  <c r="V25" i="81" s="1"/>
  <c r="R100" i="81"/>
  <c r="R41" i="81" s="1"/>
  <c r="C214" i="81"/>
  <c r="H166" i="81"/>
  <c r="D315" i="81"/>
  <c r="T339" i="81"/>
  <c r="AG199" i="81"/>
  <c r="O141" i="81"/>
  <c r="Y253" i="81"/>
  <c r="Y190" i="81"/>
  <c r="Z90" i="81"/>
  <c r="Z31" i="81" s="1"/>
  <c r="AB201" i="81"/>
  <c r="S300" i="81"/>
  <c r="Y177" i="81"/>
  <c r="C209" i="81"/>
  <c r="AC363" i="81"/>
  <c r="J357" i="81"/>
  <c r="F161" i="81"/>
  <c r="N274" i="81"/>
  <c r="I310" i="81"/>
  <c r="AA212" i="81"/>
  <c r="AD361" i="81"/>
  <c r="K115" i="81"/>
  <c r="K56" i="81" s="1"/>
  <c r="AF103" i="81"/>
  <c r="AF44" i="81" s="1"/>
  <c r="L103" i="81"/>
  <c r="L44" i="81" s="1"/>
  <c r="U199" i="81"/>
  <c r="R108" i="81"/>
  <c r="R49" i="81" s="1"/>
  <c r="P284" i="81"/>
  <c r="M94" i="81"/>
  <c r="M35" i="81" s="1"/>
  <c r="C213" i="81"/>
  <c r="AG74" i="81"/>
  <c r="AG15" i="81" s="1"/>
  <c r="G272" i="81"/>
  <c r="H180" i="81"/>
  <c r="N153" i="81"/>
  <c r="Y120" i="81"/>
  <c r="Y61" i="81" s="1"/>
  <c r="F286" i="81"/>
  <c r="Z135" i="81"/>
  <c r="Z323" i="81"/>
  <c r="Z71" i="81"/>
  <c r="Z12" i="81" s="1"/>
  <c r="AG167" i="81"/>
  <c r="K172" i="81"/>
  <c r="Y142" i="81"/>
  <c r="Q264" i="81"/>
  <c r="M362" i="81"/>
  <c r="AB240" i="81"/>
  <c r="U228" i="81"/>
  <c r="X292" i="81"/>
  <c r="O329" i="81"/>
  <c r="S276" i="81"/>
  <c r="Z131" i="81"/>
  <c r="D103" i="81"/>
  <c r="D44" i="81" s="1"/>
  <c r="W287" i="81"/>
  <c r="W296" i="81"/>
  <c r="AD119" i="81"/>
  <c r="AD60" i="81" s="1"/>
  <c r="Y251" i="81"/>
  <c r="P142" i="81"/>
  <c r="AA351" i="81"/>
  <c r="T210" i="81"/>
  <c r="AC77" i="81"/>
  <c r="AC18" i="81" s="1"/>
  <c r="M328" i="81"/>
  <c r="AG150" i="81"/>
  <c r="S333" i="81"/>
  <c r="AC317" i="81"/>
  <c r="AA115" i="81"/>
  <c r="AA56" i="81" s="1"/>
  <c r="K164" i="81"/>
  <c r="C207" i="81"/>
  <c r="J325" i="81"/>
  <c r="AB137" i="81"/>
  <c r="E349" i="81"/>
  <c r="R240" i="81"/>
  <c r="AH105" i="81"/>
  <c r="AH46" i="81" s="1"/>
  <c r="F288" i="81"/>
  <c r="U276" i="81"/>
  <c r="E337" i="81"/>
  <c r="AC148" i="81"/>
  <c r="C139" i="81"/>
  <c r="E240" i="81"/>
  <c r="H141" i="81"/>
  <c r="AE358" i="81"/>
  <c r="I287" i="81"/>
  <c r="AA195" i="81"/>
  <c r="O105" i="81"/>
  <c r="O46" i="81" s="1"/>
  <c r="S79" i="81"/>
  <c r="S20" i="81" s="1"/>
  <c r="S295" i="81"/>
  <c r="T313" i="81"/>
  <c r="D239" i="81"/>
  <c r="AC168" i="81"/>
  <c r="Y274" i="81"/>
  <c r="W95" i="81"/>
  <c r="W36" i="81" s="1"/>
  <c r="T205" i="81"/>
  <c r="AH203" i="81"/>
  <c r="Y183" i="81"/>
  <c r="K94" i="81"/>
  <c r="K35" i="81" s="1"/>
  <c r="Y98" i="81"/>
  <c r="Y39" i="81" s="1"/>
  <c r="Z219" i="81"/>
  <c r="S324" i="81"/>
  <c r="G91" i="81"/>
  <c r="G32" i="81" s="1"/>
  <c r="AB130" i="81"/>
  <c r="W150" i="81"/>
  <c r="C158" i="81"/>
  <c r="AD206" i="81"/>
  <c r="AB245" i="81"/>
  <c r="AD262" i="81"/>
  <c r="S363" i="81"/>
  <c r="AG171" i="81"/>
  <c r="J195" i="81"/>
  <c r="T327" i="81"/>
  <c r="T364" i="81"/>
  <c r="U141" i="81"/>
  <c r="AC324" i="81"/>
  <c r="AB293" i="81"/>
  <c r="AC266" i="81"/>
  <c r="P157" i="81"/>
  <c r="Y344" i="81"/>
  <c r="D217" i="81"/>
  <c r="AH216" i="81"/>
  <c r="Q222" i="81"/>
  <c r="T143" i="81"/>
  <c r="AB75" i="81"/>
  <c r="AB16" i="81" s="1"/>
  <c r="I288" i="81"/>
  <c r="AC125" i="81"/>
  <c r="AC66" i="81" s="1"/>
  <c r="P244" i="81"/>
  <c r="V138" i="81"/>
  <c r="D257" i="81"/>
  <c r="D195" i="81"/>
  <c r="P250" i="81"/>
  <c r="AD123" i="81"/>
  <c r="AD64" i="81" s="1"/>
  <c r="N197" i="81"/>
  <c r="E173" i="81"/>
  <c r="O336" i="81"/>
  <c r="Z318" i="81"/>
  <c r="L160" i="81"/>
  <c r="J132" i="81"/>
  <c r="D302" i="81"/>
  <c r="Y326" i="81"/>
  <c r="Z107" i="81"/>
  <c r="Z48" i="81" s="1"/>
  <c r="G324" i="81"/>
  <c r="T177" i="81"/>
  <c r="P302" i="81"/>
  <c r="V173" i="81"/>
  <c r="F177" i="81"/>
  <c r="K203" i="81"/>
  <c r="H254" i="81"/>
  <c r="D158" i="81"/>
  <c r="Q114" i="81"/>
  <c r="Q55" i="81" s="1"/>
  <c r="N202" i="81"/>
  <c r="AG361" i="81"/>
  <c r="M343" i="81"/>
  <c r="AC103" i="81"/>
  <c r="AC44" i="81" s="1"/>
  <c r="S166" i="81"/>
  <c r="M206" i="81"/>
  <c r="E301" i="81"/>
  <c r="L209" i="81"/>
  <c r="T120" i="81"/>
  <c r="T61" i="81" s="1"/>
  <c r="F154" i="81"/>
  <c r="X93" i="81"/>
  <c r="X34" i="81" s="1"/>
  <c r="J116" i="81"/>
  <c r="J57" i="81" s="1"/>
  <c r="J340" i="81"/>
  <c r="Y205" i="81"/>
  <c r="AD162" i="81"/>
  <c r="AB335" i="81"/>
  <c r="I269" i="81"/>
  <c r="AG319" i="81"/>
  <c r="Q287" i="81"/>
  <c r="R270" i="81"/>
  <c r="Q268" i="81"/>
  <c r="P343" i="81"/>
  <c r="AE133" i="81"/>
  <c r="AD311" i="81"/>
  <c r="H259" i="81"/>
  <c r="R335" i="81"/>
  <c r="G96" i="81"/>
  <c r="G37" i="81" s="1"/>
  <c r="W275" i="81"/>
  <c r="J240" i="81"/>
  <c r="H77" i="81"/>
  <c r="H18" i="81" s="1"/>
  <c r="AD113" i="81"/>
  <c r="AD54" i="81" s="1"/>
  <c r="H352" i="81"/>
  <c r="Q149" i="81"/>
  <c r="G145" i="81"/>
  <c r="V291" i="81"/>
  <c r="AD195" i="81"/>
  <c r="S326" i="81"/>
  <c r="AD294" i="81"/>
  <c r="J286" i="81"/>
  <c r="AA121" i="81"/>
  <c r="AA62" i="81" s="1"/>
  <c r="I71" i="81"/>
  <c r="I12" i="81" s="1"/>
  <c r="T76" i="81"/>
  <c r="T17" i="81" s="1"/>
  <c r="F345" i="81"/>
  <c r="V104" i="81"/>
  <c r="V45" i="81" s="1"/>
  <c r="G94" i="81"/>
  <c r="G35" i="81" s="1"/>
  <c r="K361" i="81"/>
  <c r="O347" i="81"/>
  <c r="C363" i="81"/>
  <c r="M320" i="81"/>
  <c r="N131" i="81"/>
  <c r="P304" i="81"/>
  <c r="D223" i="81"/>
  <c r="AG170" i="81"/>
  <c r="AD318" i="81"/>
  <c r="I118" i="81"/>
  <c r="I59" i="81" s="1"/>
  <c r="R76" i="81"/>
  <c r="R17" i="81" s="1"/>
  <c r="N245" i="81"/>
  <c r="K92" i="81"/>
  <c r="K33" i="81" s="1"/>
  <c r="AF226" i="81"/>
  <c r="AF347" i="81"/>
  <c r="R328" i="81"/>
  <c r="L79" i="81"/>
  <c r="L20" i="81" s="1"/>
  <c r="AG259" i="81"/>
  <c r="AA236" i="81"/>
  <c r="AA102" i="81"/>
  <c r="AA43" i="81" s="1"/>
  <c r="Q205" i="81"/>
  <c r="H165" i="81"/>
  <c r="U258" i="81"/>
  <c r="I93" i="81"/>
  <c r="I34" i="81" s="1"/>
  <c r="AA314" i="81"/>
  <c r="AB336" i="81"/>
  <c r="R138" i="81"/>
  <c r="AB333" i="81"/>
  <c r="H140" i="81"/>
  <c r="L300" i="81"/>
  <c r="C92" i="81"/>
  <c r="C33" i="81" s="1"/>
  <c r="D222" i="81"/>
  <c r="K122" i="81"/>
  <c r="K63" i="81" s="1"/>
  <c r="AF98" i="81"/>
  <c r="AF39" i="81" s="1"/>
  <c r="G255" i="81"/>
  <c r="N267" i="81"/>
  <c r="AB93" i="81"/>
  <c r="AB34" i="81" s="1"/>
  <c r="M92" i="81"/>
  <c r="M33" i="81" s="1"/>
  <c r="AD182" i="81"/>
  <c r="C241" i="81"/>
  <c r="AF172" i="81"/>
  <c r="M70" i="81"/>
  <c r="M11" i="81" s="1"/>
  <c r="C147" i="81"/>
  <c r="Y297" i="81"/>
  <c r="AD74" i="81"/>
  <c r="AD15" i="81" s="1"/>
  <c r="Z91" i="81"/>
  <c r="Z32" i="81" s="1"/>
  <c r="N119" i="81"/>
  <c r="N60" i="81" s="1"/>
  <c r="AD106" i="81"/>
  <c r="AD47" i="81" s="1"/>
  <c r="C319" i="81"/>
  <c r="AG123" i="81"/>
  <c r="AG64" i="81" s="1"/>
  <c r="T182" i="81"/>
  <c r="C135" i="81"/>
  <c r="U230" i="81"/>
  <c r="AG94" i="81"/>
  <c r="AG35" i="81" s="1"/>
  <c r="M261" i="81"/>
  <c r="Z222" i="81"/>
  <c r="Q219" i="81"/>
  <c r="Y156" i="81"/>
  <c r="G215" i="81"/>
  <c r="AB80" i="81"/>
  <c r="AB21" i="81" s="1"/>
  <c r="M355" i="81"/>
  <c r="C164" i="81"/>
  <c r="W250" i="81"/>
  <c r="D349" i="81"/>
  <c r="K138" i="81"/>
  <c r="V118" i="81"/>
  <c r="V59" i="81" s="1"/>
  <c r="H184" i="81"/>
  <c r="M198" i="81"/>
  <c r="J181" i="81"/>
  <c r="AE212" i="81"/>
  <c r="O363" i="81"/>
  <c r="Z215" i="81"/>
  <c r="U155" i="81"/>
  <c r="N70" i="81"/>
  <c r="N11" i="81" s="1"/>
  <c r="T298" i="81"/>
  <c r="Z286" i="81"/>
  <c r="L82" i="81"/>
  <c r="L23" i="81" s="1"/>
  <c r="AC302" i="81"/>
  <c r="X196" i="81"/>
  <c r="AA305" i="81"/>
  <c r="AH301" i="81"/>
  <c r="Z209" i="81"/>
  <c r="V262" i="81"/>
  <c r="S244" i="81"/>
  <c r="J177" i="81"/>
  <c r="Q342" i="81"/>
  <c r="Z175" i="81"/>
  <c r="W274" i="81"/>
  <c r="V318" i="81"/>
  <c r="I272" i="81"/>
  <c r="I236" i="81"/>
  <c r="F94" i="81"/>
  <c r="F35" i="81" s="1"/>
  <c r="AD298" i="81"/>
  <c r="T336" i="81"/>
  <c r="W318" i="81"/>
  <c r="AC341" i="81"/>
  <c r="T93" i="81"/>
  <c r="T34" i="81" s="1"/>
  <c r="P333" i="81"/>
  <c r="G264" i="81"/>
  <c r="U328" i="81"/>
  <c r="AF287" i="81"/>
  <c r="H107" i="81"/>
  <c r="H48" i="81" s="1"/>
  <c r="K362" i="81"/>
  <c r="F191" i="81"/>
  <c r="Q284" i="81"/>
  <c r="L295" i="81"/>
  <c r="AC138" i="81"/>
  <c r="G343" i="81"/>
  <c r="F115" i="81"/>
  <c r="F56" i="81" s="1"/>
  <c r="AD268" i="81"/>
  <c r="I319" i="81"/>
  <c r="Y282" i="81"/>
  <c r="S328" i="81"/>
  <c r="G108" i="81"/>
  <c r="G49" i="81" s="1"/>
  <c r="O350" i="81"/>
  <c r="Y135" i="81"/>
  <c r="AB182" i="81"/>
  <c r="S347" i="81"/>
  <c r="AF297" i="81"/>
  <c r="W93" i="81"/>
  <c r="W34" i="81" s="1"/>
  <c r="O292" i="81"/>
  <c r="AF257" i="81"/>
  <c r="X178" i="81"/>
  <c r="R219" i="81"/>
  <c r="AF121" i="81"/>
  <c r="AF62" i="81" s="1"/>
  <c r="W320" i="81"/>
  <c r="AE228" i="81"/>
  <c r="R153" i="81"/>
  <c r="N347" i="81"/>
  <c r="Q313" i="81"/>
  <c r="U157" i="81"/>
  <c r="W197" i="81"/>
  <c r="H207" i="81"/>
  <c r="Z330" i="81"/>
  <c r="L184" i="81"/>
  <c r="H241" i="81"/>
  <c r="W75" i="81"/>
  <c r="W16" i="81" s="1"/>
  <c r="P84" i="81"/>
  <c r="P25" i="81" s="1"/>
  <c r="AA134" i="81"/>
  <c r="X76" i="81"/>
  <c r="X17" i="81" s="1"/>
  <c r="D162" i="81"/>
  <c r="I362" i="81"/>
  <c r="AC112" i="81"/>
  <c r="AC53" i="81" s="1"/>
  <c r="AB224" i="81"/>
  <c r="G173" i="81"/>
  <c r="AB156" i="81"/>
  <c r="F315" i="81"/>
  <c r="K315" i="81"/>
  <c r="U113" i="81"/>
  <c r="U54" i="81" s="1"/>
  <c r="Z289" i="81"/>
  <c r="O224" i="81"/>
  <c r="R226" i="81"/>
  <c r="D144" i="81"/>
  <c r="AA297" i="81"/>
  <c r="AC356" i="81"/>
  <c r="AE145" i="81"/>
  <c r="Z313" i="81"/>
  <c r="T117" i="81"/>
  <c r="T58" i="81" s="1"/>
  <c r="X82" i="81"/>
  <c r="X23" i="81" s="1"/>
  <c r="Z202" i="81"/>
  <c r="W191" i="81"/>
  <c r="U122" i="81"/>
  <c r="U63" i="81" s="1"/>
  <c r="H324" i="81"/>
  <c r="T146" i="81"/>
  <c r="G164" i="81"/>
  <c r="AG97" i="81"/>
  <c r="AG38" i="81" s="1"/>
  <c r="AB222" i="81"/>
  <c r="P94" i="81"/>
  <c r="P35" i="81" s="1"/>
  <c r="Y351" i="81"/>
  <c r="X352" i="81"/>
  <c r="Y267" i="81"/>
  <c r="C108" i="81"/>
  <c r="C49" i="81" s="1"/>
  <c r="AA118" i="81"/>
  <c r="AA59" i="81" s="1"/>
  <c r="Y180" i="81"/>
  <c r="L269" i="81"/>
  <c r="X112" i="81"/>
  <c r="X53" i="81" s="1"/>
  <c r="K225" i="81"/>
  <c r="H159" i="81"/>
  <c r="AH269" i="81"/>
  <c r="M263" i="81"/>
  <c r="Q201" i="81"/>
  <c r="AA201" i="81"/>
  <c r="AA208" i="81"/>
  <c r="AG109" i="81"/>
  <c r="AG50" i="81" s="1"/>
  <c r="W223" i="81"/>
  <c r="L151" i="81"/>
  <c r="E97" i="81"/>
  <c r="E38" i="81" s="1"/>
  <c r="G141" i="81"/>
  <c r="V82" i="81"/>
  <c r="V23" i="81" s="1"/>
  <c r="T236" i="81"/>
  <c r="S99" i="81"/>
  <c r="S40" i="81" s="1"/>
  <c r="P159" i="81"/>
  <c r="U208" i="81"/>
  <c r="M75" i="81"/>
  <c r="M16" i="81" s="1"/>
  <c r="N217" i="81"/>
  <c r="U80" i="81"/>
  <c r="U21" i="81" s="1"/>
  <c r="M262" i="81"/>
  <c r="AD241" i="81"/>
  <c r="U194" i="81"/>
  <c r="AG91" i="81"/>
  <c r="AG32" i="81" s="1"/>
  <c r="G103" i="81"/>
  <c r="G44" i="81" s="1"/>
  <c r="S142" i="81"/>
  <c r="V116" i="81"/>
  <c r="V57" i="81" s="1"/>
  <c r="AE316" i="81"/>
  <c r="AC83" i="81"/>
  <c r="AC24" i="81" s="1"/>
  <c r="I333" i="81"/>
  <c r="E90" i="81"/>
  <c r="E31" i="81" s="1"/>
  <c r="AF132" i="81"/>
  <c r="K184" i="81"/>
  <c r="X312" i="81"/>
  <c r="R284" i="81"/>
  <c r="AB339" i="81"/>
  <c r="S343" i="81"/>
  <c r="AE221" i="81"/>
  <c r="T152" i="81"/>
  <c r="E195" i="81"/>
  <c r="Q115" i="81"/>
  <c r="Q56" i="81" s="1"/>
  <c r="AG291" i="81"/>
  <c r="D76" i="81"/>
  <c r="D17" i="81" s="1"/>
  <c r="T148" i="81"/>
  <c r="Z165" i="81"/>
  <c r="J216" i="81"/>
  <c r="AF253" i="81"/>
  <c r="W211" i="81"/>
  <c r="K318" i="81"/>
  <c r="O334" i="81"/>
  <c r="F166" i="81"/>
  <c r="U213" i="81"/>
  <c r="L205" i="81"/>
  <c r="L88" i="81"/>
  <c r="L29" i="81" s="1"/>
  <c r="C334" i="81"/>
  <c r="AC130" i="81"/>
  <c r="L320" i="81"/>
  <c r="AB184" i="81"/>
  <c r="V89" i="81"/>
  <c r="V30" i="81" s="1"/>
  <c r="AB214" i="81"/>
  <c r="F264" i="81"/>
  <c r="K237" i="81"/>
  <c r="Y337" i="81"/>
  <c r="X148" i="81"/>
  <c r="U90" i="81"/>
  <c r="U31" i="81" s="1"/>
  <c r="I135" i="81"/>
  <c r="O209" i="81"/>
  <c r="S339" i="81"/>
  <c r="H211" i="81"/>
  <c r="F260" i="81"/>
  <c r="R79" i="81"/>
  <c r="R20" i="81" s="1"/>
  <c r="R349" i="81"/>
  <c r="I244" i="81"/>
  <c r="V191" i="81"/>
  <c r="AC166" i="81"/>
  <c r="AB241" i="81"/>
  <c r="C197" i="81"/>
  <c r="AD232" i="81"/>
  <c r="C333" i="81"/>
  <c r="R134" i="81"/>
  <c r="Z262" i="81"/>
  <c r="I282" i="81"/>
  <c r="AD239" i="81"/>
  <c r="Z292" i="81"/>
  <c r="C357" i="81"/>
  <c r="T225" i="81"/>
  <c r="AG76" i="81"/>
  <c r="AG17" i="81" s="1"/>
  <c r="AC143" i="81"/>
  <c r="AG141" i="81"/>
  <c r="T154" i="81"/>
  <c r="Q294" i="81"/>
  <c r="G198" i="81"/>
  <c r="AA78" i="81"/>
  <c r="AA19" i="81" s="1"/>
  <c r="R164" i="81"/>
  <c r="N316" i="81"/>
  <c r="M225" i="81"/>
  <c r="K180" i="81"/>
  <c r="AC250" i="81"/>
  <c r="E194" i="81"/>
  <c r="Q141" i="81"/>
  <c r="K222" i="81"/>
  <c r="U109" i="81"/>
  <c r="U50" i="81" s="1"/>
  <c r="AH286" i="81"/>
  <c r="F158" i="81"/>
  <c r="M140" i="81"/>
  <c r="T344" i="81"/>
  <c r="L109" i="81"/>
  <c r="L50" i="81" s="1"/>
  <c r="N141" i="81"/>
  <c r="AC227" i="81"/>
  <c r="AF138" i="81"/>
  <c r="AB94" i="81"/>
  <c r="AB35" i="81" s="1"/>
  <c r="G114" i="81"/>
  <c r="G55" i="81" s="1"/>
  <c r="K284" i="81"/>
  <c r="R130" i="81"/>
  <c r="H287" i="81"/>
  <c r="D284" i="81"/>
  <c r="AD138" i="81"/>
  <c r="V342" i="81"/>
  <c r="AH144" i="81"/>
  <c r="AA327" i="81"/>
  <c r="F237" i="81"/>
  <c r="AC140" i="81"/>
  <c r="AF89" i="81"/>
  <c r="AF30" i="81" s="1"/>
  <c r="S134" i="81"/>
  <c r="C160" i="81"/>
  <c r="S325" i="81"/>
  <c r="G365" i="81"/>
  <c r="L360" i="81"/>
  <c r="AB340" i="81"/>
  <c r="O99" i="81"/>
  <c r="O40" i="81" s="1"/>
  <c r="AF118" i="81"/>
  <c r="AF59" i="81" s="1"/>
  <c r="N323" i="81"/>
  <c r="AB198" i="81"/>
  <c r="AH327" i="81"/>
  <c r="G214" i="81"/>
  <c r="N190" i="81"/>
  <c r="AG251" i="81"/>
  <c r="K116" i="81"/>
  <c r="K57" i="81" s="1"/>
  <c r="J260" i="81"/>
  <c r="AA90" i="81"/>
  <c r="AA31" i="81" s="1"/>
  <c r="V144" i="81"/>
  <c r="P342" i="81"/>
  <c r="P203" i="81"/>
  <c r="T285" i="81"/>
  <c r="S121" i="81"/>
  <c r="S62" i="81" s="1"/>
  <c r="C230" i="81"/>
  <c r="C255" i="81"/>
  <c r="AC75" i="81"/>
  <c r="AC16" i="81" s="1"/>
  <c r="AB117" i="81"/>
  <c r="AB58" i="81" s="1"/>
  <c r="S236" i="81"/>
  <c r="M243" i="81"/>
  <c r="E145" i="81"/>
  <c r="I191" i="81"/>
  <c r="R96" i="81"/>
  <c r="R37" i="81" s="1"/>
  <c r="AE335" i="81"/>
  <c r="E243" i="81"/>
  <c r="E107" i="81"/>
  <c r="E48" i="81" s="1"/>
  <c r="E210" i="81"/>
  <c r="AC245" i="81"/>
  <c r="AA328" i="81"/>
  <c r="K283" i="81"/>
  <c r="AH165" i="81"/>
  <c r="AE265" i="81"/>
  <c r="T286" i="81"/>
  <c r="W72" i="81"/>
  <c r="W13" i="81" s="1"/>
  <c r="AE118" i="81"/>
  <c r="AE59" i="81" s="1"/>
  <c r="E171" i="81"/>
  <c r="J115" i="81"/>
  <c r="J56" i="81" s="1"/>
  <c r="W263" i="81"/>
  <c r="O324" i="81"/>
  <c r="AB217" i="81"/>
  <c r="V124" i="81"/>
  <c r="V65" i="81" s="1"/>
  <c r="AG163" i="81"/>
  <c r="AC165" i="81"/>
  <c r="J277" i="81"/>
  <c r="AH354" i="81"/>
  <c r="AF70" i="81"/>
  <c r="AF11" i="81" s="1"/>
  <c r="AG227" i="81"/>
  <c r="N74" i="81"/>
  <c r="N15" i="81" s="1"/>
  <c r="X210" i="81"/>
  <c r="V158" i="81"/>
  <c r="AD179" i="81"/>
  <c r="C138" i="81"/>
  <c r="AG362" i="81"/>
  <c r="P300" i="81"/>
  <c r="I79" i="81"/>
  <c r="I20" i="81" s="1"/>
  <c r="AA206" i="81"/>
  <c r="S334" i="81"/>
  <c r="R274" i="81"/>
  <c r="L149" i="81"/>
  <c r="AC212" i="81"/>
  <c r="P200" i="81"/>
  <c r="V117" i="81"/>
  <c r="V58" i="81" s="1"/>
  <c r="O349" i="81"/>
  <c r="O89" i="81"/>
  <c r="O30" i="81" s="1"/>
  <c r="V298" i="81"/>
  <c r="X286" i="81"/>
  <c r="G317" i="81"/>
  <c r="AC234" i="81"/>
  <c r="K232" i="81"/>
  <c r="AC95" i="81"/>
  <c r="AC36" i="81" s="1"/>
  <c r="D88" i="81"/>
  <c r="D29" i="81" s="1"/>
  <c r="Q180" i="81"/>
  <c r="G80" i="81"/>
  <c r="G21" i="81" s="1"/>
  <c r="AG169" i="81"/>
  <c r="V167" i="81"/>
  <c r="E123" i="81"/>
  <c r="E64" i="81" s="1"/>
  <c r="P270" i="81"/>
  <c r="AF136" i="81"/>
  <c r="Y105" i="81"/>
  <c r="Y46" i="81" s="1"/>
  <c r="X182" i="81"/>
  <c r="G192" i="81"/>
  <c r="V322" i="81"/>
  <c r="G148" i="81"/>
  <c r="V347" i="81"/>
  <c r="D316" i="81"/>
  <c r="T295" i="81"/>
  <c r="AA230" i="81"/>
  <c r="R185" i="81"/>
  <c r="X132" i="81"/>
  <c r="V230" i="81"/>
  <c r="P274" i="81"/>
  <c r="M203" i="81"/>
  <c r="W179" i="81"/>
  <c r="L116" i="81"/>
  <c r="L57" i="81" s="1"/>
  <c r="AH99" i="81"/>
  <c r="AH40" i="81" s="1"/>
  <c r="L157" i="81"/>
  <c r="K285" i="81"/>
  <c r="D269" i="81"/>
  <c r="X192" i="81"/>
  <c r="N163" i="81"/>
  <c r="Y269" i="81"/>
  <c r="AH153" i="81"/>
  <c r="AH175" i="81"/>
  <c r="T242" i="81"/>
  <c r="O185" i="81"/>
  <c r="H355" i="81"/>
  <c r="S357" i="81"/>
  <c r="H99" i="81"/>
  <c r="H40" i="81" s="1"/>
  <c r="AC243" i="81"/>
  <c r="AD115" i="81"/>
  <c r="AD56" i="81" s="1"/>
  <c r="E98" i="81"/>
  <c r="E39" i="81" s="1"/>
  <c r="AD282" i="81"/>
  <c r="AC73" i="81"/>
  <c r="AC14" i="81" s="1"/>
  <c r="O348" i="81"/>
  <c r="AH251" i="81"/>
  <c r="X232" i="81"/>
  <c r="AF87" i="81"/>
  <c r="AF28" i="81" s="1"/>
  <c r="M227" i="81"/>
  <c r="R131" i="81"/>
  <c r="Y90" i="81"/>
  <c r="Y31" i="81" s="1"/>
  <c r="Z104" i="81"/>
  <c r="Z45" i="81" s="1"/>
  <c r="H263" i="81"/>
  <c r="X81" i="81"/>
  <c r="X22" i="81" s="1"/>
  <c r="F200" i="81"/>
  <c r="J190" i="81"/>
  <c r="R235" i="81"/>
  <c r="AG363" i="81"/>
  <c r="AD295" i="81"/>
  <c r="Y110" i="81"/>
  <c r="Y51" i="81" s="1"/>
  <c r="U172" i="81"/>
  <c r="T98" i="81"/>
  <c r="T39" i="81" s="1"/>
  <c r="O253" i="81"/>
  <c r="V166" i="81"/>
  <c r="X99" i="81"/>
  <c r="X40" i="81" s="1"/>
  <c r="S217" i="81"/>
  <c r="T82" i="81"/>
  <c r="T23" i="81" s="1"/>
  <c r="AD339" i="81"/>
  <c r="P122" i="81"/>
  <c r="P63" i="81" s="1"/>
  <c r="U256" i="81"/>
  <c r="W145" i="81"/>
  <c r="F262" i="81"/>
  <c r="V162" i="81"/>
  <c r="C358" i="81"/>
  <c r="N179" i="81"/>
  <c r="U120" i="81"/>
  <c r="U61" i="81" s="1"/>
  <c r="L213" i="81"/>
  <c r="W240" i="81"/>
  <c r="F112" i="81"/>
  <c r="F53" i="81" s="1"/>
  <c r="AH340" i="81"/>
  <c r="I151" i="81"/>
  <c r="S195" i="81"/>
  <c r="H268" i="81"/>
  <c r="AE256" i="81"/>
  <c r="AB194" i="81"/>
  <c r="V171" i="81"/>
  <c r="S115" i="81"/>
  <c r="S56" i="81" s="1"/>
  <c r="AF320" i="81"/>
  <c r="T193" i="81"/>
  <c r="AA338" i="81"/>
  <c r="Q349" i="81"/>
  <c r="T230" i="81"/>
  <c r="AB205" i="81"/>
  <c r="V269" i="81"/>
  <c r="AD345" i="81"/>
  <c r="C191" i="81"/>
  <c r="AC160" i="81"/>
  <c r="S350" i="81"/>
  <c r="I103" i="81"/>
  <c r="I44" i="81" s="1"/>
  <c r="AB239" i="81"/>
  <c r="P335" i="81"/>
  <c r="Y162" i="81"/>
  <c r="O343" i="81"/>
  <c r="Z76" i="81"/>
  <c r="Z17" i="81" s="1"/>
  <c r="L119" i="81"/>
  <c r="L60" i="81" s="1"/>
  <c r="Z251" i="81"/>
  <c r="Y358" i="81"/>
  <c r="N194" i="81"/>
  <c r="X161" i="81"/>
  <c r="T325" i="81"/>
  <c r="C221" i="81"/>
  <c r="AD101" i="81"/>
  <c r="AD42" i="81" s="1"/>
  <c r="Y181" i="81"/>
  <c r="F88" i="81"/>
  <c r="F29" i="81" s="1"/>
  <c r="Y293" i="81"/>
  <c r="AB278" i="81"/>
  <c r="Z200" i="81"/>
  <c r="K73" i="81"/>
  <c r="K14" i="81" s="1"/>
  <c r="V236" i="81"/>
  <c r="AB176" i="81"/>
  <c r="P72" i="81"/>
  <c r="P13" i="81" s="1"/>
  <c r="N108" i="81"/>
  <c r="N49" i="81" s="1"/>
  <c r="R184" i="81"/>
  <c r="G286" i="81"/>
  <c r="AE327" i="81"/>
  <c r="N164" i="81"/>
  <c r="Z317" i="81"/>
  <c r="K207" i="81"/>
  <c r="AF151" i="81"/>
  <c r="P280" i="81"/>
  <c r="AH283" i="81"/>
  <c r="Q229" i="81"/>
  <c r="X98" i="81"/>
  <c r="X39" i="81" s="1"/>
  <c r="R360" i="81"/>
  <c r="I314" i="81"/>
  <c r="X149" i="81"/>
  <c r="V243" i="81"/>
  <c r="AA125" i="81"/>
  <c r="AA66" i="81" s="1"/>
  <c r="S101" i="81"/>
  <c r="S42" i="81" s="1"/>
  <c r="L164" i="81"/>
  <c r="J197" i="81"/>
  <c r="N334" i="81"/>
  <c r="T224" i="81"/>
  <c r="AC364" i="81"/>
  <c r="C345" i="81"/>
  <c r="K144" i="81"/>
  <c r="F202" i="81"/>
  <c r="AA97" i="81"/>
  <c r="AA38" i="81" s="1"/>
  <c r="X131" i="81"/>
  <c r="D328" i="81"/>
  <c r="F207" i="81"/>
  <c r="C76" i="81"/>
  <c r="C17" i="81" s="1"/>
  <c r="E174" i="81"/>
  <c r="K95" i="81"/>
  <c r="K36" i="81" s="1"/>
  <c r="N111" i="81"/>
  <c r="N52" i="81" s="1"/>
  <c r="I216" i="81"/>
  <c r="S261" i="81"/>
  <c r="I286" i="81"/>
  <c r="C125" i="81"/>
  <c r="C66" i="81" s="1"/>
  <c r="R243" i="81"/>
  <c r="L134" i="81"/>
  <c r="AG312" i="81"/>
  <c r="V348" i="81"/>
  <c r="AB229" i="81"/>
  <c r="T115" i="81"/>
  <c r="T56" i="81" s="1"/>
  <c r="AF137" i="81"/>
  <c r="U144" i="81"/>
  <c r="P148" i="81"/>
  <c r="J364" i="81"/>
  <c r="W76" i="81"/>
  <c r="W17" i="81" s="1"/>
  <c r="AA175" i="81"/>
  <c r="AF154" i="81"/>
  <c r="K157" i="81"/>
  <c r="E111" i="81"/>
  <c r="E52" i="81" s="1"/>
  <c r="J257" i="81"/>
  <c r="Y228" i="81"/>
  <c r="I75" i="81"/>
  <c r="I16" i="81" s="1"/>
  <c r="W174" i="81"/>
  <c r="V252" i="81"/>
  <c r="K235" i="81"/>
  <c r="Y354" i="81"/>
  <c r="X264" i="81"/>
  <c r="E250" i="81"/>
  <c r="W117" i="81"/>
  <c r="W58" i="81" s="1"/>
  <c r="M254" i="81"/>
  <c r="AG339" i="81"/>
  <c r="AE220" i="81"/>
  <c r="S103" i="81"/>
  <c r="S44" i="81" s="1"/>
  <c r="L304" i="81"/>
  <c r="AA87" i="81"/>
  <c r="AA28" i="81" s="1"/>
  <c r="N320" i="81"/>
  <c r="C347" i="81"/>
  <c r="E149" i="81"/>
  <c r="L120" i="81"/>
  <c r="L61" i="81" s="1"/>
  <c r="S82" i="81"/>
  <c r="S23" i="81" s="1"/>
  <c r="Q358" i="81"/>
  <c r="P255" i="81"/>
  <c r="W312" i="81"/>
  <c r="I352" i="81"/>
  <c r="D271" i="81"/>
  <c r="AA145" i="81"/>
  <c r="Q236" i="81"/>
  <c r="C124" i="81"/>
  <c r="C65" i="81" s="1"/>
  <c r="Z281" i="81"/>
  <c r="U261" i="81"/>
  <c r="AE266" i="81"/>
  <c r="Q340" i="81"/>
  <c r="L282" i="81"/>
  <c r="AA84" i="81"/>
  <c r="AA25" i="81" s="1"/>
  <c r="T277" i="81"/>
  <c r="U179" i="81"/>
  <c r="C298" i="81"/>
  <c r="M178" i="81"/>
  <c r="V305" i="81"/>
  <c r="P119" i="81"/>
  <c r="P60" i="81" s="1"/>
  <c r="O144" i="81"/>
  <c r="AG265" i="81"/>
  <c r="AF242" i="81"/>
  <c r="I311" i="81"/>
  <c r="V211" i="81"/>
  <c r="D167" i="81"/>
  <c r="O169" i="81"/>
  <c r="G138" i="81"/>
  <c r="O161" i="81"/>
  <c r="G176" i="81"/>
  <c r="U181" i="81"/>
  <c r="Z80" i="81"/>
  <c r="Z21" i="81" s="1"/>
  <c r="AG266" i="81"/>
  <c r="AE344" i="81"/>
  <c r="AC137" i="81"/>
  <c r="D243" i="81"/>
  <c r="U77" i="81"/>
  <c r="U18" i="81" s="1"/>
  <c r="G323" i="81"/>
  <c r="AH266" i="81"/>
  <c r="S238" i="81"/>
  <c r="AE191" i="81"/>
  <c r="J314" i="81"/>
  <c r="H155" i="81"/>
  <c r="C288" i="81"/>
  <c r="H269" i="81"/>
  <c r="AB251" i="81"/>
  <c r="AB177" i="81"/>
  <c r="AE295" i="81"/>
  <c r="U81" i="81"/>
  <c r="U22" i="81" s="1"/>
  <c r="L110" i="81"/>
  <c r="L51" i="81" s="1"/>
  <c r="AB118" i="81"/>
  <c r="AB59" i="81" s="1"/>
  <c r="I356" i="81"/>
  <c r="G233" i="81"/>
  <c r="AA349" i="81"/>
  <c r="H215" i="81"/>
  <c r="S252" i="81"/>
  <c r="X359" i="81"/>
  <c r="Y157" i="81"/>
  <c r="O287" i="81"/>
  <c r="Q321" i="81"/>
  <c r="K134" i="81"/>
  <c r="G327" i="81"/>
  <c r="D94" i="81"/>
  <c r="D35" i="81" s="1"/>
  <c r="E122" i="81"/>
  <c r="E63" i="81" s="1"/>
  <c r="D73" i="81"/>
  <c r="D14" i="81" s="1"/>
  <c r="Z191" i="81"/>
  <c r="T171" i="81"/>
  <c r="AD149" i="81"/>
  <c r="Z139" i="81"/>
  <c r="I208" i="81"/>
  <c r="P239" i="81"/>
  <c r="AF251" i="81"/>
  <c r="E207" i="81"/>
  <c r="K90" i="81"/>
  <c r="K31" i="81" s="1"/>
  <c r="U204" i="81"/>
  <c r="M348" i="81"/>
  <c r="F71" i="81"/>
  <c r="F12" i="81" s="1"/>
  <c r="AC88" i="81"/>
  <c r="AC29" i="81" s="1"/>
  <c r="Q256" i="81"/>
  <c r="AC338" i="81"/>
  <c r="AG196" i="81"/>
  <c r="O256" i="81"/>
  <c r="AG204" i="81"/>
  <c r="AD245" i="81"/>
  <c r="O181" i="81"/>
  <c r="AA221" i="81"/>
  <c r="AA180" i="81"/>
  <c r="Y218" i="81"/>
  <c r="C98" i="81"/>
  <c r="C39" i="81" s="1"/>
  <c r="AA94" i="81"/>
  <c r="AA35" i="81" s="1"/>
  <c r="Y357" i="81"/>
  <c r="K341" i="81"/>
  <c r="AD291" i="81"/>
  <c r="P179" i="81"/>
  <c r="AF231" i="81"/>
  <c r="AH229" i="81"/>
  <c r="Q95" i="81"/>
  <c r="Q36" i="81" s="1"/>
  <c r="F333" i="81"/>
  <c r="K365" i="81"/>
  <c r="O162" i="81"/>
  <c r="M168" i="81"/>
  <c r="AA103" i="81"/>
  <c r="AA44" i="81" s="1"/>
  <c r="S239" i="81"/>
  <c r="D175" i="81"/>
  <c r="F145" i="81"/>
  <c r="AC201" i="81"/>
  <c r="D201" i="81"/>
  <c r="E313" i="81"/>
  <c r="V100" i="81"/>
  <c r="V41" i="81" s="1"/>
  <c r="C155" i="81"/>
  <c r="O359" i="81"/>
  <c r="Q237" i="81"/>
  <c r="I217" i="81"/>
  <c r="AE346" i="81"/>
  <c r="L272" i="81"/>
  <c r="AE93" i="81"/>
  <c r="AE34" i="81" s="1"/>
  <c r="AA245" i="81"/>
  <c r="O355" i="81"/>
  <c r="S318" i="81"/>
  <c r="S160" i="81"/>
  <c r="W305" i="81"/>
  <c r="M338" i="81"/>
  <c r="F103" i="81"/>
  <c r="F44" i="81" s="1"/>
  <c r="H138" i="81"/>
  <c r="X141" i="81"/>
  <c r="Q153" i="81"/>
  <c r="AD356" i="81"/>
  <c r="I243" i="81"/>
  <c r="T358" i="81"/>
  <c r="K322" i="81"/>
  <c r="X334" i="81"/>
  <c r="AH114" i="81"/>
  <c r="AH55" i="81" s="1"/>
  <c r="V215" i="81"/>
  <c r="S179" i="81"/>
  <c r="AC220" i="81"/>
  <c r="M196" i="81"/>
  <c r="Y243" i="81"/>
  <c r="S147" i="81"/>
  <c r="U245" i="81"/>
  <c r="C161" i="81"/>
  <c r="F323" i="81"/>
  <c r="AF178" i="81"/>
  <c r="V219" i="81"/>
  <c r="P76" i="81"/>
  <c r="P17" i="81" s="1"/>
  <c r="AD302" i="81"/>
  <c r="J332" i="81"/>
  <c r="E162" i="81"/>
  <c r="Q146" i="81"/>
  <c r="M318" i="81"/>
  <c r="AA335" i="81"/>
  <c r="AE158" i="81"/>
  <c r="L137" i="81"/>
  <c r="AB107" i="81"/>
  <c r="AB48" i="81" s="1"/>
  <c r="AF293" i="81"/>
  <c r="AC254" i="81"/>
  <c r="AE113" i="81"/>
  <c r="AE54" i="81" s="1"/>
  <c r="O234" i="81"/>
  <c r="R201" i="81"/>
  <c r="AA138" i="81"/>
  <c r="L343" i="81"/>
  <c r="O226" i="81"/>
  <c r="Z364" i="81"/>
  <c r="J231" i="81"/>
  <c r="T223" i="81"/>
  <c r="P191" i="81"/>
  <c r="AF150" i="81"/>
  <c r="C80" i="81"/>
  <c r="C21" i="81" s="1"/>
  <c r="AA224" i="81"/>
  <c r="M316" i="81"/>
  <c r="AF199" i="81"/>
  <c r="F83" i="81"/>
  <c r="F24" i="81" s="1"/>
  <c r="AE82" i="81"/>
  <c r="AE23" i="81" s="1"/>
  <c r="P208" i="81"/>
  <c r="AG359" i="81"/>
  <c r="X238" i="81"/>
  <c r="AA232" i="81"/>
  <c r="N165" i="81"/>
  <c r="J80" i="81"/>
  <c r="J21" i="81" s="1"/>
  <c r="K214" i="81"/>
  <c r="W243" i="81"/>
  <c r="S258" i="81"/>
  <c r="AB141" i="81"/>
  <c r="P103" i="81"/>
  <c r="P44" i="81" s="1"/>
  <c r="J230" i="81"/>
  <c r="AF108" i="81"/>
  <c r="AF49" i="81" s="1"/>
  <c r="D231" i="81"/>
  <c r="D98" i="81"/>
  <c r="D39" i="81" s="1"/>
  <c r="AH304" i="81"/>
  <c r="J75" i="81"/>
  <c r="J16" i="81" s="1"/>
  <c r="L96" i="81"/>
  <c r="L37" i="81" s="1"/>
  <c r="X269" i="81"/>
  <c r="M106" i="81"/>
  <c r="M47" i="81" s="1"/>
  <c r="AE195" i="81"/>
  <c r="AE132" i="81"/>
  <c r="T291" i="81"/>
  <c r="F240" i="81"/>
  <c r="W290" i="81"/>
  <c r="G184" i="81"/>
  <c r="T231" i="81"/>
  <c r="O301" i="81"/>
  <c r="Q297" i="81"/>
  <c r="AC361" i="81"/>
  <c r="L161" i="81"/>
  <c r="H198" i="81"/>
  <c r="AC235" i="81"/>
  <c r="AD183" i="81"/>
  <c r="AH184" i="81"/>
  <c r="V355" i="81"/>
  <c r="AF109" i="81"/>
  <c r="AF50" i="81" s="1"/>
  <c r="AC238" i="81"/>
  <c r="T232" i="81"/>
  <c r="Z316" i="81"/>
  <c r="U280" i="81"/>
  <c r="AC206" i="81"/>
  <c r="I180" i="81"/>
  <c r="M329" i="81"/>
  <c r="AF259" i="81"/>
  <c r="H176" i="81"/>
  <c r="Q265" i="81"/>
  <c r="AB221" i="81"/>
  <c r="T73" i="81"/>
  <c r="T14" i="81" s="1"/>
  <c r="AH275" i="81"/>
  <c r="AB357" i="81"/>
  <c r="AH95" i="81"/>
  <c r="AH36" i="81" s="1"/>
  <c r="Y153" i="81"/>
  <c r="AB299" i="81"/>
  <c r="I172" i="81"/>
  <c r="AF100" i="81"/>
  <c r="AF41" i="81" s="1"/>
  <c r="M79" i="81"/>
  <c r="M20" i="81" s="1"/>
  <c r="K259" i="81"/>
  <c r="K175" i="81"/>
  <c r="AE137" i="81"/>
  <c r="AE341" i="81"/>
  <c r="T168" i="81"/>
  <c r="X231" i="81"/>
  <c r="J158" i="81"/>
  <c r="AA166" i="81"/>
  <c r="V92" i="81"/>
  <c r="V33" i="81" s="1"/>
  <c r="AD117" i="81"/>
  <c r="AD58" i="81" s="1"/>
  <c r="H118" i="81"/>
  <c r="H59" i="81" s="1"/>
  <c r="G218" i="81"/>
  <c r="M269" i="81"/>
  <c r="AC182" i="81"/>
  <c r="I268" i="81"/>
  <c r="AH83" i="81"/>
  <c r="AH24" i="81" s="1"/>
  <c r="M357" i="81"/>
  <c r="M229" i="81"/>
  <c r="T183" i="81"/>
  <c r="AG230" i="81"/>
  <c r="AH318" i="81"/>
  <c r="AE87" i="81"/>
  <c r="AE28" i="81" s="1"/>
  <c r="Y359" i="81"/>
  <c r="T97" i="81"/>
  <c r="T38" i="81" s="1"/>
  <c r="S198" i="81"/>
  <c r="H333" i="81"/>
  <c r="O295" i="81"/>
  <c r="F96" i="81"/>
  <c r="F37" i="81" s="1"/>
  <c r="O93" i="81"/>
  <c r="O34" i="81" s="1"/>
  <c r="W161" i="81"/>
  <c r="V332" i="81"/>
  <c r="AF289" i="81"/>
  <c r="L131" i="81"/>
  <c r="Y273" i="81"/>
  <c r="AH212" i="81"/>
  <c r="J263" i="81"/>
  <c r="C87" i="81"/>
  <c r="C28" i="81" s="1"/>
  <c r="L253" i="81"/>
  <c r="Z121" i="81"/>
  <c r="Z62" i="81" s="1"/>
  <c r="Q209" i="81"/>
  <c r="J103" i="81"/>
  <c r="J44" i="81" s="1"/>
  <c r="N147" i="81"/>
  <c r="U238" i="81"/>
  <c r="J331" i="81"/>
  <c r="L91" i="81"/>
  <c r="L32" i="81" s="1"/>
  <c r="G351" i="81"/>
  <c r="K297" i="81"/>
  <c r="R355" i="81"/>
  <c r="AF124" i="81"/>
  <c r="AF65" i="81" s="1"/>
  <c r="Z136" i="81"/>
  <c r="AF324" i="81"/>
  <c r="AA251" i="81"/>
  <c r="Z336" i="81"/>
  <c r="H160" i="81"/>
  <c r="M350" i="81"/>
  <c r="G279" i="81"/>
  <c r="Z115" i="81"/>
  <c r="Z56" i="81" s="1"/>
  <c r="X297" i="81"/>
  <c r="AF73" i="81"/>
  <c r="AF14" i="81" s="1"/>
  <c r="N110" i="81"/>
  <c r="N51" i="81" s="1"/>
  <c r="N149" i="81"/>
  <c r="T330" i="81"/>
  <c r="P339" i="81"/>
  <c r="G130" i="81"/>
  <c r="N264" i="81"/>
  <c r="L114" i="81"/>
  <c r="L55" i="81" s="1"/>
  <c r="U165" i="81"/>
  <c r="X87" i="81"/>
  <c r="X28" i="81" s="1"/>
  <c r="AE194" i="81"/>
  <c r="AD349" i="81"/>
  <c r="N275" i="81"/>
  <c r="O346" i="81"/>
  <c r="AF361" i="81"/>
  <c r="Z150" i="81"/>
  <c r="H325" i="81"/>
  <c r="D332" i="81"/>
  <c r="J225" i="81"/>
  <c r="N133" i="81"/>
  <c r="G226" i="81"/>
  <c r="AE263" i="81"/>
  <c r="Z255" i="81"/>
  <c r="AE311" i="81"/>
  <c r="K151" i="81"/>
  <c r="C317" i="81"/>
  <c r="AA259" i="81"/>
  <c r="I181" i="81"/>
  <c r="F116" i="81"/>
  <c r="F57" i="81" s="1"/>
  <c r="W255" i="81"/>
  <c r="Z245" i="81"/>
  <c r="G244" i="81"/>
  <c r="AH82" i="81"/>
  <c r="AH23" i="81" s="1"/>
  <c r="AD228" i="81"/>
  <c r="N117" i="81"/>
  <c r="N58" i="81" s="1"/>
  <c r="G313" i="81"/>
  <c r="H204" i="81"/>
  <c r="D224" i="81"/>
  <c r="AD326" i="81"/>
  <c r="AF322" i="81"/>
  <c r="Y210" i="81"/>
  <c r="R151" i="81"/>
  <c r="Y318" i="81"/>
  <c r="E357" i="81"/>
  <c r="AB297" i="81"/>
  <c r="C229" i="81"/>
  <c r="N90" i="81"/>
  <c r="N31" i="81" s="1"/>
  <c r="AF208" i="81"/>
  <c r="AC298" i="81"/>
  <c r="T260" i="81"/>
  <c r="K171" i="81"/>
  <c r="L106" i="81"/>
  <c r="L47" i="81" s="1"/>
  <c r="G112" i="81"/>
  <c r="G53" i="81" s="1"/>
  <c r="Q337" i="81"/>
  <c r="AD260" i="81"/>
  <c r="X157" i="81"/>
  <c r="D348" i="81"/>
  <c r="W236" i="81"/>
  <c r="U290" i="81"/>
  <c r="K150" i="81"/>
  <c r="R269" i="81"/>
  <c r="U341" i="81"/>
  <c r="AB257" i="81"/>
  <c r="H298" i="81"/>
  <c r="Y331" i="81"/>
  <c r="G199" i="81"/>
  <c r="E239" i="81"/>
  <c r="E288" i="81"/>
  <c r="S213" i="81"/>
  <c r="N351" i="81"/>
  <c r="Y244" i="81"/>
  <c r="Z207" i="81"/>
  <c r="T132" i="81"/>
  <c r="T123" i="81"/>
  <c r="T64" i="81" s="1"/>
  <c r="E226" i="81"/>
  <c r="F125" i="81"/>
  <c r="F66" i="81" s="1"/>
  <c r="R261" i="81"/>
  <c r="I225" i="81"/>
  <c r="I109" i="81"/>
  <c r="I50" i="81" s="1"/>
  <c r="O291" i="81"/>
  <c r="AF295" i="81"/>
  <c r="AH106" i="81"/>
  <c r="AH47" i="81" s="1"/>
  <c r="F355" i="81"/>
  <c r="AE233" i="81"/>
  <c r="Q161" i="81"/>
  <c r="AG161" i="81"/>
  <c r="C181" i="81"/>
  <c r="AG99" i="81"/>
  <c r="AG40" i="81" s="1"/>
  <c r="X73" i="81"/>
  <c r="X14" i="81" s="1"/>
  <c r="I144" i="81"/>
  <c r="E190" i="81"/>
  <c r="D211" i="81"/>
  <c r="V101" i="81"/>
  <c r="V42" i="81" s="1"/>
  <c r="D118" i="81"/>
  <c r="D59" i="81" s="1"/>
  <c r="AA277" i="81"/>
  <c r="AG340" i="81"/>
  <c r="U255" i="81"/>
  <c r="E183" i="81"/>
  <c r="N238" i="81"/>
  <c r="N303" i="81"/>
  <c r="I86" i="81"/>
  <c r="I27" i="81" s="1"/>
  <c r="K257" i="81"/>
  <c r="AH142" i="81"/>
  <c r="Y191" i="81"/>
  <c r="AG288" i="81"/>
  <c r="D100" i="81"/>
  <c r="D41" i="81" s="1"/>
  <c r="F196" i="81"/>
  <c r="X174" i="81"/>
  <c r="I132" i="81"/>
  <c r="AA159" i="81"/>
  <c r="O227" i="81"/>
  <c r="AF325" i="81"/>
  <c r="AG185" i="81"/>
  <c r="AH183" i="81"/>
  <c r="W73" i="81"/>
  <c r="W14" i="81" s="1"/>
  <c r="AE141" i="81"/>
  <c r="W85" i="81"/>
  <c r="W26" i="81" s="1"/>
  <c r="AD227" i="81"/>
  <c r="I301" i="81"/>
  <c r="AB254" i="81"/>
  <c r="T100" i="81"/>
  <c r="T41" i="81" s="1"/>
  <c r="U153" i="81"/>
  <c r="E257" i="81"/>
  <c r="G268" i="81"/>
  <c r="S117" i="81"/>
  <c r="S58" i="81" s="1"/>
  <c r="P78" i="81"/>
  <c r="P19" i="81" s="1"/>
  <c r="X195" i="81"/>
  <c r="AA150" i="81"/>
  <c r="D149" i="81"/>
  <c r="V263" i="81"/>
  <c r="AH226" i="81"/>
  <c r="AG220" i="81"/>
  <c r="E284" i="81"/>
  <c r="F100" i="81"/>
  <c r="F41" i="81" s="1"/>
  <c r="C143" i="81"/>
  <c r="O138" i="81"/>
  <c r="AC303" i="81"/>
  <c r="J241" i="81"/>
  <c r="Y327" i="81"/>
  <c r="AD284" i="81"/>
  <c r="E261" i="81"/>
  <c r="Y139" i="81"/>
  <c r="F184" i="81"/>
  <c r="N305" i="81"/>
  <c r="D117" i="81"/>
  <c r="D58" i="81" s="1"/>
  <c r="AH196" i="81"/>
  <c r="S342" i="81"/>
  <c r="S340" i="81"/>
  <c r="P192" i="81"/>
  <c r="L259" i="81"/>
  <c r="AB86" i="81"/>
  <c r="AB27" i="81" s="1"/>
  <c r="O270" i="81"/>
  <c r="Q181" i="81"/>
  <c r="H85" i="81"/>
  <c r="H26" i="81" s="1"/>
  <c r="R281" i="81"/>
  <c r="M194" i="81"/>
  <c r="AA285" i="81"/>
  <c r="T200" i="81"/>
  <c r="Z273" i="81"/>
  <c r="H193" i="81"/>
  <c r="AB294" i="81"/>
  <c r="Y118" i="81"/>
  <c r="Y59" i="81" s="1"/>
  <c r="Y100" i="81"/>
  <c r="Y41" i="81" s="1"/>
  <c r="L250" i="81"/>
  <c r="AF110" i="81"/>
  <c r="AF51" i="81" s="1"/>
  <c r="L266" i="81"/>
  <c r="V110" i="81"/>
  <c r="V51" i="81" s="1"/>
  <c r="L199" i="81"/>
  <c r="Y184" i="81"/>
  <c r="X158" i="81"/>
  <c r="I305" i="81"/>
  <c r="AA348" i="81"/>
  <c r="J254" i="81"/>
  <c r="AA238" i="81"/>
  <c r="W327" i="81"/>
  <c r="W359" i="81"/>
  <c r="H245" i="81"/>
  <c r="AF270" i="81"/>
  <c r="AG267" i="81"/>
  <c r="AD238" i="81"/>
  <c r="K113" i="81"/>
  <c r="K54" i="81" s="1"/>
  <c r="K293" i="81"/>
  <c r="P91" i="81"/>
  <c r="P32" i="81" s="1"/>
  <c r="R357" i="81"/>
  <c r="D202" i="81"/>
  <c r="P204" i="81"/>
  <c r="X107" i="81"/>
  <c r="X48" i="81" s="1"/>
  <c r="AE75" i="81"/>
  <c r="AE16" i="81" s="1"/>
  <c r="AH92" i="81"/>
  <c r="AH33" i="81" s="1"/>
  <c r="L286" i="81"/>
  <c r="C233" i="81"/>
  <c r="AD116" i="81"/>
  <c r="AD57" i="81" s="1"/>
  <c r="AD292" i="81"/>
  <c r="J345" i="81"/>
  <c r="G281" i="81"/>
  <c r="Q135" i="81"/>
  <c r="P180" i="81"/>
  <c r="X326" i="81"/>
  <c r="R123" i="81"/>
  <c r="R64" i="81" s="1"/>
  <c r="K199" i="81"/>
  <c r="Y259" i="81"/>
  <c r="S131" i="81"/>
  <c r="AD236" i="81"/>
  <c r="AH346" i="81"/>
  <c r="R141" i="81"/>
  <c r="U152" i="81"/>
  <c r="D164" i="81"/>
  <c r="Z87" i="81"/>
  <c r="Z28" i="81" s="1"/>
  <c r="D290" i="81"/>
  <c r="E321" i="81"/>
  <c r="J352" i="81"/>
  <c r="D221" i="81"/>
  <c r="H255" i="81"/>
  <c r="U72" i="81"/>
  <c r="U13" i="81" s="1"/>
  <c r="AE192" i="81"/>
  <c r="U161" i="81"/>
  <c r="F230" i="81"/>
  <c r="S317" i="81"/>
  <c r="X331" i="81"/>
  <c r="M292" i="81"/>
  <c r="D285" i="81"/>
  <c r="M174" i="81"/>
  <c r="AH360" i="81"/>
  <c r="AE162" i="81"/>
  <c r="S91" i="81"/>
  <c r="S32" i="81" s="1"/>
  <c r="K105" i="81"/>
  <c r="K46" i="81" s="1"/>
  <c r="AH330" i="81"/>
  <c r="R336" i="81"/>
  <c r="E119" i="81"/>
  <c r="E60" i="81" s="1"/>
  <c r="S348" i="81"/>
  <c r="X320" i="81"/>
  <c r="Y185" i="81"/>
  <c r="N116" i="81"/>
  <c r="N57" i="81" s="1"/>
  <c r="X354" i="81"/>
  <c r="W254" i="81"/>
  <c r="AG158" i="81"/>
  <c r="Y349" i="81"/>
  <c r="N73" i="81"/>
  <c r="N14" i="81" s="1"/>
  <c r="P212" i="81"/>
  <c r="H84" i="81"/>
  <c r="H25" i="81" s="1"/>
  <c r="F85" i="81"/>
  <c r="F26" i="81" s="1"/>
  <c r="AF184" i="81"/>
  <c r="AA114" i="81"/>
  <c r="AA55" i="81" s="1"/>
  <c r="L227" i="81"/>
  <c r="AF201" i="81"/>
  <c r="L216" i="81"/>
  <c r="W106" i="81"/>
  <c r="W47" i="81" s="1"/>
  <c r="E198" i="81"/>
  <c r="L148" i="81"/>
  <c r="O360" i="81"/>
  <c r="C196" i="81"/>
  <c r="N270" i="81"/>
  <c r="Y79" i="81"/>
  <c r="Y20" i="81" s="1"/>
  <c r="E319" i="81"/>
  <c r="L335" i="81"/>
  <c r="L198" i="81"/>
  <c r="AD289" i="81"/>
  <c r="AE103" i="81"/>
  <c r="AE44" i="81" s="1"/>
  <c r="AE240" i="81"/>
  <c r="O88" i="81"/>
  <c r="O29" i="81" s="1"/>
  <c r="N363" i="81"/>
  <c r="AC333" i="81"/>
  <c r="Y323" i="81"/>
  <c r="S210" i="81"/>
  <c r="AA160" i="81"/>
  <c r="AF77" i="81"/>
  <c r="AF18" i="81" s="1"/>
  <c r="R169" i="81"/>
  <c r="O288" i="81"/>
  <c r="AC226" i="81"/>
  <c r="AH168" i="81"/>
  <c r="T282" i="81"/>
  <c r="AG121" i="81"/>
  <c r="AG62" i="81" s="1"/>
  <c r="O81" i="81"/>
  <c r="O22" i="81" s="1"/>
  <c r="T158" i="81"/>
  <c r="X90" i="81"/>
  <c r="X31" i="81" s="1"/>
  <c r="X315" i="81"/>
  <c r="W326" i="81"/>
  <c r="Y107" i="81"/>
  <c r="Y48" i="81" s="1"/>
  <c r="S225" i="81"/>
  <c r="AA331" i="81"/>
  <c r="J220" i="81"/>
  <c r="T346" i="81"/>
  <c r="V258" i="81"/>
  <c r="F279" i="81"/>
  <c r="F330" i="81"/>
  <c r="AD121" i="81"/>
  <c r="AD62" i="81" s="1"/>
  <c r="Q117" i="81"/>
  <c r="Q58" i="81" s="1"/>
  <c r="AA298" i="81"/>
  <c r="H361" i="81"/>
  <c r="AA352" i="81"/>
  <c r="Y310" i="81"/>
  <c r="AH224" i="81"/>
  <c r="P131" i="81"/>
  <c r="AD341" i="81"/>
  <c r="W87" i="81"/>
  <c r="W28" i="81" s="1"/>
  <c r="F299" i="81"/>
  <c r="AG125" i="81"/>
  <c r="AG66" i="81" s="1"/>
  <c r="E228" i="81"/>
  <c r="I347" i="81"/>
  <c r="AE178" i="81"/>
  <c r="Y222" i="81"/>
  <c r="H330" i="81"/>
  <c r="T204" i="81"/>
  <c r="AH292" i="81"/>
  <c r="C119" i="81"/>
  <c r="C60" i="81" s="1"/>
  <c r="AE157" i="81"/>
  <c r="O321" i="81"/>
  <c r="C99" i="81"/>
  <c r="C40" i="81" s="1"/>
  <c r="AC159" i="81"/>
  <c r="K166" i="81"/>
  <c r="AA183" i="81"/>
  <c r="AD172" i="81"/>
  <c r="W133" i="81"/>
  <c r="P331" i="81"/>
  <c r="W269" i="81"/>
  <c r="AA99" i="81"/>
  <c r="AA40" i="81" s="1"/>
  <c r="W102" i="81"/>
  <c r="W43" i="81" s="1"/>
  <c r="AE219" i="81"/>
  <c r="AH132" i="81"/>
  <c r="AA311" i="81"/>
  <c r="AC105" i="81"/>
  <c r="AC46" i="81" s="1"/>
  <c r="V244" i="81"/>
  <c r="H289" i="81"/>
  <c r="U101" i="81"/>
  <c r="U42" i="81" s="1"/>
  <c r="L257" i="81"/>
  <c r="L264" i="81"/>
  <c r="N214" i="81"/>
  <c r="AC209" i="81"/>
  <c r="I258" i="81"/>
  <c r="U205" i="81"/>
  <c r="AG250" i="81"/>
  <c r="O302" i="81"/>
  <c r="W135" i="81"/>
  <c r="AA184" i="81"/>
  <c r="U103" i="81"/>
  <c r="U44" i="81" s="1"/>
  <c r="H301" i="81"/>
  <c r="N73" i="5"/>
  <c r="N74" i="91" s="1"/>
  <c r="C119" i="65"/>
  <c r="C119" i="93" s="1"/>
  <c r="P63" i="65"/>
  <c r="P63" i="93" s="1"/>
  <c r="D27" i="65"/>
  <c r="D27" i="93" s="1"/>
  <c r="M32" i="65"/>
  <c r="M32" i="93" s="1"/>
  <c r="Y66" i="13"/>
  <c r="X215" i="13"/>
  <c r="V240" i="13"/>
  <c r="M108" i="13"/>
  <c r="D134" i="13"/>
  <c r="V105" i="13"/>
  <c r="W241" i="13"/>
  <c r="W84" i="13"/>
  <c r="Z41" i="13"/>
  <c r="Y124" i="13"/>
  <c r="X55" i="13"/>
  <c r="D16" i="13"/>
  <c r="G139" i="13"/>
  <c r="S85" i="13"/>
  <c r="Q60" i="13"/>
  <c r="R45" i="13"/>
  <c r="N112" i="13"/>
  <c r="E197" i="13"/>
  <c r="D171" i="13"/>
  <c r="W123" i="13"/>
  <c r="L14" i="13"/>
  <c r="I145" i="13"/>
  <c r="F76" i="13"/>
  <c r="AC102" i="13"/>
  <c r="X154" i="13"/>
  <c r="W139" i="13"/>
  <c r="C53" i="13"/>
  <c r="I109" i="13"/>
  <c r="S245" i="13"/>
  <c r="AC187" i="13"/>
  <c r="Y126" i="13"/>
  <c r="R102" i="13"/>
  <c r="U75" i="13"/>
  <c r="C62" i="13"/>
  <c r="N134" i="13"/>
  <c r="G203" i="13"/>
  <c r="Y92" i="13"/>
  <c r="R158" i="13"/>
  <c r="J172" i="13"/>
  <c r="Q211" i="13"/>
  <c r="E151" i="13"/>
  <c r="N216" i="13"/>
  <c r="Z81" i="13"/>
  <c r="L55" i="13"/>
  <c r="E86" i="61"/>
  <c r="E90" i="61"/>
  <c r="E84" i="61"/>
  <c r="E72" i="61"/>
  <c r="F97" i="61"/>
  <c r="F75" i="61"/>
  <c r="C64" i="61"/>
  <c r="D88" i="61"/>
  <c r="E26" i="61"/>
  <c r="E11" i="61" s="1"/>
  <c r="H26" i="61"/>
  <c r="H11" i="61" s="1"/>
  <c r="D59" i="61"/>
  <c r="C71" i="61"/>
  <c r="D55" i="61"/>
  <c r="G93" i="61"/>
  <c r="G42" i="61"/>
  <c r="F54" i="61"/>
  <c r="D76" i="61"/>
  <c r="F29" i="61"/>
  <c r="F14" i="61" s="1"/>
  <c r="D54" i="61"/>
  <c r="G31" i="61"/>
  <c r="G16" i="61" s="1"/>
  <c r="D80" i="61"/>
  <c r="F27" i="61"/>
  <c r="F12" i="61" s="1"/>
  <c r="C39" i="61"/>
  <c r="C73" i="61"/>
  <c r="D48" i="61"/>
  <c r="D84" i="61"/>
  <c r="C93" i="61"/>
  <c r="F62" i="61"/>
  <c r="C58" i="61"/>
  <c r="D50" i="61"/>
  <c r="U57" i="13"/>
  <c r="AB18" i="13"/>
  <c r="Z35" i="13"/>
  <c r="S171" i="13"/>
  <c r="I125" i="13"/>
  <c r="W60" i="13"/>
  <c r="W95" i="13"/>
  <c r="R63" i="13"/>
  <c r="R26" i="13"/>
  <c r="W144" i="13"/>
  <c r="X33" i="13"/>
  <c r="Y237" i="13"/>
  <c r="U122" i="13"/>
  <c r="O184" i="13"/>
  <c r="E205" i="13"/>
  <c r="X122" i="13"/>
  <c r="Y197" i="13"/>
  <c r="Q32" i="13"/>
  <c r="F54" i="13"/>
  <c r="E123" i="13"/>
  <c r="G185" i="13"/>
  <c r="Z182" i="13"/>
  <c r="Q109" i="13"/>
  <c r="K30" i="13"/>
  <c r="Y202" i="13"/>
  <c r="W157" i="13"/>
  <c r="AC156" i="13"/>
  <c r="I82" i="13"/>
  <c r="M74" i="13"/>
  <c r="N73" i="13"/>
  <c r="T158" i="13"/>
  <c r="E179" i="13"/>
  <c r="R137" i="13"/>
  <c r="C40" i="13"/>
  <c r="S185" i="13"/>
  <c r="H161" i="13"/>
  <c r="P39" i="13"/>
  <c r="G70" i="13"/>
  <c r="O189" i="13"/>
  <c r="D154" i="13"/>
  <c r="U153" i="13"/>
  <c r="AB32" i="13"/>
  <c r="K75" i="13"/>
  <c r="AC203" i="13"/>
  <c r="X212" i="13"/>
  <c r="V178" i="13"/>
  <c r="AA74" i="13"/>
  <c r="Y20" i="13"/>
  <c r="T111" i="13"/>
  <c r="D91" i="13"/>
  <c r="Q110" i="13"/>
  <c r="AC177" i="13"/>
  <c r="Y239" i="13"/>
  <c r="O178" i="13"/>
  <c r="U199" i="13"/>
  <c r="AB35" i="13"/>
  <c r="C246" i="13"/>
  <c r="H55" i="13"/>
  <c r="T195" i="13"/>
  <c r="I43" i="13"/>
  <c r="F98" i="13"/>
  <c r="C146" i="13"/>
  <c r="C218" i="13"/>
  <c r="E185" i="13"/>
  <c r="V14" i="13"/>
  <c r="J243" i="13"/>
  <c r="G41" i="13"/>
  <c r="AC12" i="13"/>
  <c r="M39" i="13"/>
  <c r="C81" i="13"/>
  <c r="W44" i="13"/>
  <c r="P198" i="13"/>
  <c r="AA21" i="13"/>
  <c r="L80" i="13"/>
  <c r="S36" i="13"/>
  <c r="I212" i="13"/>
  <c r="U58" i="13"/>
  <c r="U72" i="13"/>
  <c r="S212" i="13"/>
  <c r="AC16" i="13"/>
  <c r="P116" i="13"/>
  <c r="Z132" i="13"/>
  <c r="W121" i="13"/>
  <c r="J212" i="13"/>
  <c r="P160" i="13"/>
  <c r="K184" i="13"/>
  <c r="L137" i="13"/>
  <c r="D12" i="13"/>
  <c r="I180" i="13"/>
  <c r="X181" i="13"/>
  <c r="AB185" i="13"/>
  <c r="N16" i="13"/>
  <c r="AC106" i="13"/>
  <c r="Y111" i="13"/>
  <c r="O232" i="13"/>
  <c r="M65" i="13"/>
  <c r="C157" i="13"/>
  <c r="D111" i="13"/>
  <c r="Q203" i="13"/>
  <c r="G211" i="13"/>
  <c r="C134" i="13"/>
  <c r="W78" i="13"/>
  <c r="W122" i="13"/>
  <c r="R114" i="13"/>
  <c r="U142" i="13"/>
  <c r="P175" i="13"/>
  <c r="P107" i="13"/>
  <c r="X76" i="13"/>
  <c r="X75" i="13"/>
  <c r="Q160" i="13"/>
  <c r="AA23" i="13"/>
  <c r="F83" i="13"/>
  <c r="D73" i="13"/>
  <c r="R92" i="13"/>
  <c r="E101" i="13"/>
  <c r="H166" i="13"/>
  <c r="L141" i="13"/>
  <c r="AC110" i="13"/>
  <c r="C30" i="13"/>
  <c r="W141" i="13"/>
  <c r="K243" i="13"/>
  <c r="F15" i="13"/>
  <c r="R38" i="13"/>
  <c r="S141" i="13"/>
  <c r="D164" i="13"/>
  <c r="R167" i="13"/>
  <c r="C155" i="13"/>
  <c r="T46" i="13"/>
  <c r="J80" i="13"/>
  <c r="X61" i="13"/>
  <c r="Y198" i="13"/>
  <c r="P20" i="13"/>
  <c r="U216" i="13"/>
  <c r="U100" i="13"/>
  <c r="U234" i="13"/>
  <c r="V11" i="13"/>
  <c r="E233" i="13"/>
  <c r="K219" i="13"/>
  <c r="I19" i="13"/>
  <c r="F111" i="13"/>
  <c r="E115" i="13"/>
  <c r="AA139" i="13"/>
  <c r="X223" i="13"/>
  <c r="D110" i="13"/>
  <c r="M132" i="13"/>
  <c r="L58" i="13"/>
  <c r="E160" i="13"/>
  <c r="S238" i="13"/>
  <c r="O134" i="13"/>
  <c r="T231" i="13"/>
  <c r="P108" i="13"/>
  <c r="S226" i="13"/>
  <c r="G222" i="13"/>
  <c r="U54" i="13"/>
  <c r="L143" i="13"/>
  <c r="G239" i="13"/>
  <c r="D193" i="13"/>
  <c r="H230" i="13"/>
  <c r="L12" i="13"/>
  <c r="C239" i="13"/>
  <c r="L172" i="13"/>
  <c r="R207" i="13"/>
  <c r="T133" i="13"/>
  <c r="L67" i="13"/>
  <c r="E47" i="13"/>
  <c r="R36" i="13"/>
  <c r="S30" i="13"/>
  <c r="M114" i="13"/>
  <c r="F158" i="13"/>
  <c r="G135" i="13"/>
  <c r="M136" i="13"/>
  <c r="J216" i="13"/>
  <c r="R156" i="13"/>
  <c r="AB94" i="13"/>
  <c r="Z76" i="13"/>
  <c r="W150" i="13"/>
  <c r="N104" i="13"/>
  <c r="Y78" i="13"/>
  <c r="M155" i="13"/>
  <c r="X106" i="13"/>
  <c r="D222" i="13"/>
  <c r="G230" i="13"/>
  <c r="AA214" i="13"/>
  <c r="J182" i="13"/>
  <c r="J147" i="13"/>
  <c r="Q42" i="13"/>
  <c r="I116" i="13"/>
  <c r="N196" i="13"/>
  <c r="AC36" i="13"/>
  <c r="AC56" i="13"/>
  <c r="S217" i="13"/>
  <c r="J31" i="13"/>
  <c r="E146" i="13"/>
  <c r="Q146" i="13"/>
  <c r="I64" i="13"/>
  <c r="Y220" i="13"/>
  <c r="S96" i="13"/>
  <c r="AB246" i="13"/>
  <c r="F21" i="13"/>
  <c r="E102" i="13"/>
  <c r="H54" i="13"/>
  <c r="P42" i="13"/>
  <c r="X198" i="13"/>
  <c r="V18" i="13"/>
  <c r="N125" i="13"/>
  <c r="I144" i="13"/>
  <c r="Q195" i="13"/>
  <c r="I241" i="13"/>
  <c r="W15" i="13"/>
  <c r="Q181" i="13"/>
  <c r="W124" i="13"/>
  <c r="X118" i="13"/>
  <c r="W158" i="13"/>
  <c r="W115" i="13"/>
  <c r="I24" i="13"/>
  <c r="H116" i="13"/>
  <c r="N222" i="13"/>
  <c r="S184" i="13"/>
  <c r="R41" i="13"/>
  <c r="AC182" i="13"/>
  <c r="Q143" i="13"/>
  <c r="P65" i="13"/>
  <c r="P245" i="13"/>
  <c r="T136" i="13"/>
  <c r="U162" i="13"/>
  <c r="Q92" i="13"/>
  <c r="P97" i="13"/>
  <c r="W34" i="13"/>
  <c r="H100" i="13"/>
  <c r="N220" i="13"/>
  <c r="P55" i="13"/>
  <c r="T37" i="13"/>
  <c r="L108" i="13"/>
  <c r="T164" i="13"/>
  <c r="S134" i="13"/>
  <c r="V163" i="13"/>
  <c r="P146" i="13"/>
  <c r="T174" i="13"/>
  <c r="E188" i="13"/>
  <c r="Z14" i="13"/>
  <c r="N217" i="13"/>
  <c r="Q17" i="13"/>
  <c r="R145" i="13"/>
  <c r="F80" i="13"/>
  <c r="AA243" i="13"/>
  <c r="J152" i="13"/>
  <c r="F12" i="13"/>
  <c r="Z141" i="13"/>
  <c r="AC81" i="13"/>
  <c r="J94" i="13"/>
  <c r="AC144" i="13"/>
  <c r="Q83" i="13"/>
  <c r="E182" i="13"/>
  <c r="AB182" i="13"/>
  <c r="M79" i="13"/>
  <c r="G212" i="13"/>
  <c r="D140" i="13"/>
  <c r="Q220" i="13"/>
  <c r="M72" i="13"/>
  <c r="AB101" i="13"/>
  <c r="M143" i="13"/>
  <c r="C171" i="13"/>
  <c r="Z38" i="13"/>
  <c r="O126" i="13"/>
  <c r="W222" i="13"/>
  <c r="AB199" i="13"/>
  <c r="K84" i="13"/>
  <c r="M233" i="13"/>
  <c r="S204" i="13"/>
  <c r="U221" i="13"/>
  <c r="U31" i="13"/>
  <c r="Q18" i="13"/>
  <c r="J92" i="13"/>
  <c r="O22" i="13"/>
  <c r="G123" i="13"/>
  <c r="D85" i="13"/>
  <c r="O224" i="13"/>
  <c r="J118" i="13"/>
  <c r="AB80" i="13"/>
  <c r="M154" i="13"/>
  <c r="D30" i="13"/>
  <c r="F134" i="13"/>
  <c r="D197" i="13"/>
  <c r="S161" i="13"/>
  <c r="E113" i="13"/>
  <c r="G226" i="13"/>
  <c r="T109" i="13"/>
  <c r="V180" i="13"/>
  <c r="V102" i="13"/>
  <c r="N229" i="13"/>
  <c r="C113" i="13"/>
  <c r="AC43" i="13"/>
  <c r="F109" i="13"/>
  <c r="AC15" i="13"/>
  <c r="R80" i="13"/>
  <c r="O84" i="13"/>
  <c r="S241" i="13"/>
  <c r="I228" i="13"/>
  <c r="P151" i="13"/>
  <c r="AB105" i="13"/>
  <c r="Z84" i="13"/>
  <c r="G101" i="13"/>
  <c r="E196" i="13"/>
  <c r="AA118" i="13"/>
  <c r="O197" i="13"/>
  <c r="J79" i="13"/>
  <c r="G104" i="13"/>
  <c r="AA227" i="13"/>
  <c r="P66" i="13"/>
  <c r="Z191" i="13"/>
  <c r="AC66" i="13"/>
  <c r="AC76" i="13"/>
  <c r="Q231" i="13"/>
  <c r="Q240" i="13"/>
  <c r="M17" i="13"/>
  <c r="Q119" i="13"/>
  <c r="C105" i="13"/>
  <c r="J191" i="13"/>
  <c r="P231" i="13"/>
  <c r="AA44" i="13"/>
  <c r="G35" i="13"/>
  <c r="Z31" i="13"/>
  <c r="D19" i="13"/>
  <c r="Q78" i="13"/>
  <c r="X227" i="13"/>
  <c r="K31" i="13"/>
  <c r="L70" i="13"/>
  <c r="AC200" i="13"/>
  <c r="G116" i="13"/>
  <c r="K191" i="13"/>
  <c r="P94" i="13"/>
  <c r="S154" i="13"/>
  <c r="R111" i="13"/>
  <c r="W81" i="13"/>
  <c r="P236" i="13"/>
  <c r="O193" i="13"/>
  <c r="AA73" i="13"/>
  <c r="J105" i="13"/>
  <c r="H148" i="13"/>
  <c r="I74" i="13"/>
  <c r="R65" i="13"/>
  <c r="AA86" i="13"/>
  <c r="Y11" i="13"/>
  <c r="H73" i="13"/>
  <c r="N40" i="13"/>
  <c r="AA26" i="13"/>
  <c r="AC114" i="13"/>
  <c r="C119" i="13"/>
  <c r="Z103" i="13"/>
  <c r="Z107" i="13"/>
  <c r="E42" i="13"/>
  <c r="S144" i="13"/>
  <c r="N177" i="13"/>
  <c r="S211" i="13"/>
  <c r="H196" i="13"/>
  <c r="E54" i="13"/>
  <c r="Z157" i="13"/>
  <c r="V167" i="13"/>
  <c r="J74" i="13"/>
  <c r="I136" i="13"/>
  <c r="M229" i="13"/>
  <c r="N163" i="13"/>
  <c r="AB174" i="13"/>
  <c r="Y207" i="13"/>
  <c r="H18" i="13"/>
  <c r="AA126" i="13"/>
  <c r="Y85" i="13"/>
  <c r="L125" i="13"/>
  <c r="H92" i="13"/>
  <c r="D234" i="13"/>
  <c r="AA103" i="13"/>
  <c r="C131" i="13"/>
  <c r="AC117" i="13"/>
  <c r="Z40" i="13"/>
  <c r="E192" i="13"/>
  <c r="X105" i="13"/>
  <c r="Z106" i="13"/>
  <c r="L116" i="13"/>
  <c r="H153" i="13"/>
  <c r="P110" i="13"/>
  <c r="D226" i="13"/>
  <c r="I229" i="13"/>
  <c r="F216" i="13"/>
  <c r="Y225" i="13"/>
  <c r="G39" i="13"/>
  <c r="X80" i="13"/>
  <c r="AB62" i="13"/>
  <c r="L226" i="13"/>
  <c r="M34" i="13"/>
  <c r="S175" i="13"/>
  <c r="W18" i="13"/>
  <c r="AC207" i="13"/>
  <c r="S70" i="13"/>
  <c r="F91" i="13"/>
  <c r="T38" i="13"/>
  <c r="H147" i="13"/>
  <c r="R195" i="13"/>
  <c r="I63" i="13"/>
  <c r="Z135" i="13"/>
  <c r="D122" i="13"/>
  <c r="F112" i="13"/>
  <c r="X39" i="13"/>
  <c r="H105" i="13"/>
  <c r="X195" i="13"/>
  <c r="N102" i="13"/>
  <c r="D162" i="13"/>
  <c r="P201" i="13"/>
  <c r="L106" i="13"/>
  <c r="J103" i="13"/>
  <c r="P161" i="13"/>
  <c r="W238" i="13"/>
  <c r="N127" i="13"/>
  <c r="G242" i="13"/>
  <c r="I115" i="13"/>
  <c r="Z221" i="13"/>
  <c r="D160" i="13"/>
  <c r="AA187" i="13"/>
  <c r="Q142" i="13"/>
  <c r="C106" i="13"/>
  <c r="O123" i="13"/>
  <c r="Q167" i="13"/>
  <c r="S174" i="13"/>
  <c r="S202" i="13"/>
  <c r="M118" i="13"/>
  <c r="N183" i="13"/>
  <c r="S71" i="13"/>
  <c r="G207" i="13"/>
  <c r="AA46" i="13"/>
  <c r="P215" i="13"/>
  <c r="O242" i="13"/>
  <c r="T122" i="13"/>
  <c r="AC179" i="13"/>
  <c r="AC176" i="13"/>
  <c r="F244" i="13"/>
  <c r="I62" i="13"/>
  <c r="AB126" i="13"/>
  <c r="Q80" i="13"/>
  <c r="Y84" i="13"/>
  <c r="AA95" i="13"/>
  <c r="AB202" i="13"/>
  <c r="Q67" i="13"/>
  <c r="G201" i="13"/>
  <c r="C244" i="13"/>
  <c r="X78" i="13"/>
  <c r="M55" i="13"/>
  <c r="W24" i="13"/>
  <c r="L60" i="13"/>
  <c r="T238" i="13"/>
  <c r="R218" i="13"/>
  <c r="AA202" i="13"/>
  <c r="H133" i="13"/>
  <c r="W226" i="13"/>
  <c r="P93" i="13"/>
  <c r="G167" i="13"/>
  <c r="G72" i="13"/>
  <c r="G227" i="13"/>
  <c r="R193" i="13"/>
  <c r="M226" i="13"/>
  <c r="P152" i="13"/>
  <c r="T134" i="13"/>
  <c r="T187" i="13"/>
  <c r="K115" i="13"/>
  <c r="C85" i="13"/>
  <c r="Z241" i="13"/>
  <c r="N152" i="13"/>
  <c r="U86" i="13"/>
  <c r="F227" i="13"/>
  <c r="R27" i="13"/>
  <c r="M220" i="13"/>
  <c r="AA121" i="13"/>
  <c r="E158" i="13"/>
  <c r="K221" i="13"/>
  <c r="N233" i="13"/>
  <c r="S149" i="13"/>
  <c r="Q176" i="13"/>
  <c r="N133" i="13"/>
  <c r="E206" i="13"/>
  <c r="V154" i="13"/>
  <c r="J65" i="13"/>
  <c r="D96" i="13"/>
  <c r="AB153" i="13"/>
  <c r="N76" i="13"/>
  <c r="O235" i="13"/>
  <c r="L132" i="13"/>
  <c r="O148" i="13"/>
  <c r="E40" i="13"/>
  <c r="O99" i="13"/>
  <c r="Z105" i="13"/>
  <c r="AA150" i="13"/>
  <c r="C109" i="13"/>
  <c r="F55" i="13"/>
  <c r="Z233" i="13"/>
  <c r="Q247" i="13"/>
  <c r="F146" i="13"/>
  <c r="N33" i="13"/>
  <c r="P30" i="13"/>
  <c r="J27" i="13"/>
  <c r="R117" i="13"/>
  <c r="I201" i="13"/>
  <c r="T149" i="13"/>
  <c r="M24" i="13"/>
  <c r="N69" i="13"/>
  <c r="AA64" i="13"/>
  <c r="K207" i="13"/>
  <c r="D51" i="13"/>
  <c r="Z211" i="13"/>
  <c r="D202" i="13"/>
  <c r="S216" i="13"/>
  <c r="H144" i="13"/>
  <c r="M137" i="13"/>
  <c r="R242" i="13"/>
  <c r="W198" i="13"/>
  <c r="M112" i="13"/>
  <c r="D87" i="13"/>
  <c r="J28" i="13"/>
  <c r="Y183" i="13"/>
  <c r="Y185" i="13"/>
  <c r="S207" i="13"/>
  <c r="K132" i="13"/>
  <c r="S105" i="13"/>
  <c r="F220" i="13"/>
  <c r="Q59" i="13"/>
  <c r="O103" i="13"/>
  <c r="Z37" i="13"/>
  <c r="M25" i="13"/>
  <c r="P53" i="13"/>
  <c r="U156" i="13"/>
  <c r="P58" i="13"/>
  <c r="W68" i="13"/>
  <c r="K52" i="13"/>
  <c r="L15" i="13"/>
  <c r="AC67" i="13"/>
  <c r="C191" i="13"/>
  <c r="AA142" i="13"/>
  <c r="X177" i="13"/>
  <c r="H52" i="13"/>
  <c r="Y174" i="13"/>
  <c r="U225" i="13"/>
  <c r="U242" i="13"/>
  <c r="D223" i="13"/>
  <c r="I21" i="13"/>
  <c r="E35" i="13"/>
  <c r="Z173" i="13"/>
  <c r="L113" i="13"/>
  <c r="J188" i="13"/>
  <c r="AC21" i="13"/>
  <c r="S234" i="13"/>
  <c r="O131" i="13"/>
  <c r="P190" i="13"/>
  <c r="V32" i="13"/>
  <c r="O21" i="13"/>
  <c r="G69" i="13"/>
  <c r="G64" i="13"/>
  <c r="K178" i="13"/>
  <c r="AA54" i="13"/>
  <c r="E154" i="13"/>
  <c r="T138" i="13"/>
  <c r="P16" i="13"/>
  <c r="D207" i="13"/>
  <c r="O180" i="13"/>
  <c r="AC158" i="13"/>
  <c r="I12" i="13"/>
  <c r="AB29" i="13"/>
  <c r="AA42" i="13"/>
  <c r="Y79" i="13"/>
  <c r="M232" i="13"/>
  <c r="L18" i="13"/>
  <c r="AB161" i="13"/>
  <c r="Q141" i="13"/>
  <c r="O24" i="13"/>
  <c r="N124" i="13"/>
  <c r="K230" i="13"/>
  <c r="J189" i="13"/>
  <c r="AA36" i="13"/>
  <c r="J84" i="13"/>
  <c r="P114" i="13"/>
  <c r="H31" i="13"/>
  <c r="AA63" i="13"/>
  <c r="X132" i="13"/>
  <c r="F223" i="13"/>
  <c r="J161" i="13"/>
  <c r="K122" i="13"/>
  <c r="AC98" i="13"/>
  <c r="AA37" i="13"/>
  <c r="E124" i="13"/>
  <c r="G115" i="13"/>
  <c r="X63" i="13"/>
  <c r="E63" i="13"/>
  <c r="AA173" i="13"/>
  <c r="N81" i="13"/>
  <c r="K72" i="13"/>
  <c r="L11" i="13"/>
  <c r="S18" i="13"/>
  <c r="L245" i="13"/>
  <c r="U203" i="13"/>
  <c r="K91" i="13"/>
  <c r="AA215" i="13"/>
  <c r="Q28" i="13"/>
  <c r="W207" i="13"/>
  <c r="W137" i="13"/>
  <c r="K237" i="13"/>
  <c r="D211" i="13"/>
  <c r="T184" i="13"/>
  <c r="G67" i="13"/>
  <c r="V13" i="13"/>
  <c r="F96" i="13"/>
  <c r="G174" i="13"/>
  <c r="AA203" i="13"/>
  <c r="R34" i="13"/>
  <c r="AA246" i="13"/>
  <c r="J51" i="13"/>
  <c r="J206" i="13"/>
  <c r="AA229" i="13"/>
  <c r="C47" i="13"/>
  <c r="C212" i="13"/>
  <c r="H94" i="13"/>
  <c r="V187" i="13"/>
  <c r="N180" i="13"/>
  <c r="Q44" i="13"/>
  <c r="T85" i="13"/>
  <c r="H32" i="13"/>
  <c r="S153" i="13"/>
  <c r="E68" i="13"/>
  <c r="G25" i="13"/>
  <c r="J14" i="13"/>
  <c r="T110" i="13"/>
  <c r="N219" i="13"/>
  <c r="G109" i="13"/>
  <c r="H183" i="13"/>
  <c r="R127" i="13"/>
  <c r="Z80" i="13"/>
  <c r="X134" i="13"/>
  <c r="I59" i="13"/>
  <c r="L218" i="13"/>
  <c r="P197" i="13"/>
  <c r="AC109" i="13"/>
  <c r="W26" i="13"/>
  <c r="Q136" i="13"/>
  <c r="V79" i="13"/>
  <c r="H69" i="13"/>
  <c r="Y133" i="13"/>
  <c r="I120" i="13"/>
  <c r="E114" i="13"/>
  <c r="X164" i="13"/>
  <c r="I124" i="13"/>
  <c r="C224" i="13"/>
  <c r="V207" i="13"/>
  <c r="Y64" i="13"/>
  <c r="Q149" i="13"/>
  <c r="R33" i="13"/>
  <c r="Y195" i="13"/>
  <c r="AA179" i="13"/>
  <c r="Z131" i="13"/>
  <c r="G15" i="13"/>
  <c r="L27" i="13"/>
  <c r="U141" i="13"/>
  <c r="I87" i="13"/>
  <c r="I96" i="13"/>
  <c r="K181" i="13"/>
  <c r="I204" i="13"/>
  <c r="R217" i="13"/>
  <c r="G42" i="13"/>
  <c r="F156" i="13"/>
  <c r="K167" i="13"/>
  <c r="V69" i="13"/>
  <c r="AB188" i="13"/>
  <c r="K23" i="13"/>
  <c r="AC233" i="13"/>
  <c r="AA175" i="13"/>
  <c r="AC46" i="13"/>
  <c r="H81" i="13"/>
  <c r="D47" i="13"/>
  <c r="G187" i="13"/>
  <c r="L37" i="13"/>
  <c r="C185" i="13"/>
  <c r="H171" i="13"/>
  <c r="I205" i="13"/>
  <c r="H65" i="13"/>
  <c r="AA136" i="13"/>
  <c r="S69" i="13"/>
  <c r="X241" i="13"/>
  <c r="C38" i="13"/>
  <c r="H215" i="13"/>
  <c r="K15" i="13"/>
  <c r="N74" i="13"/>
  <c r="S19" i="13"/>
  <c r="C195" i="13"/>
  <c r="G138" i="13"/>
  <c r="Z213" i="13"/>
  <c r="X125" i="13"/>
  <c r="I186" i="13"/>
  <c r="E187" i="13"/>
  <c r="V160" i="13"/>
  <c r="C214" i="13"/>
  <c r="I234" i="13"/>
  <c r="E176" i="13"/>
  <c r="K146" i="13"/>
  <c r="X218" i="13"/>
  <c r="Y164" i="13"/>
  <c r="AC246" i="13"/>
  <c r="AA47" i="13"/>
  <c r="L156" i="13"/>
  <c r="Z199" i="13"/>
  <c r="V142" i="13"/>
  <c r="H222" i="13"/>
  <c r="V235" i="13"/>
  <c r="D224" i="13"/>
  <c r="Q127" i="13"/>
  <c r="AB73" i="13"/>
  <c r="D219" i="13"/>
  <c r="H224" i="13"/>
  <c r="E217" i="13"/>
  <c r="C154" i="13"/>
  <c r="W213" i="13"/>
  <c r="S25" i="13"/>
  <c r="M86" i="13"/>
  <c r="C121" i="13"/>
  <c r="T127" i="13"/>
  <c r="F13" i="13"/>
  <c r="O121" i="13"/>
  <c r="I243" i="13"/>
  <c r="S108" i="13"/>
  <c r="O82" i="13"/>
  <c r="H11" i="13"/>
  <c r="O147" i="13"/>
  <c r="AA200" i="13"/>
  <c r="J60" i="13"/>
  <c r="V112" i="13"/>
  <c r="C31" i="13"/>
  <c r="M171" i="13"/>
  <c r="AA19" i="13"/>
  <c r="N159" i="13"/>
  <c r="G77" i="13"/>
  <c r="I44" i="13"/>
  <c r="I195" i="13"/>
  <c r="K25" i="13"/>
  <c r="D225" i="13"/>
  <c r="G173" i="13"/>
  <c r="R235" i="13"/>
  <c r="M120" i="13"/>
  <c r="D213" i="13"/>
  <c r="AC23" i="13"/>
  <c r="M186" i="13"/>
  <c r="G179" i="13"/>
  <c r="G241" i="13"/>
  <c r="AA240" i="13"/>
  <c r="O25" i="13"/>
  <c r="W184" i="13"/>
  <c r="U246" i="13"/>
  <c r="E69" i="13"/>
  <c r="S37" i="13"/>
  <c r="Z93" i="13"/>
  <c r="Q216" i="13"/>
  <c r="H228" i="13"/>
  <c r="Z72" i="13"/>
  <c r="H232" i="13"/>
  <c r="L244" i="13"/>
  <c r="E17" i="13"/>
  <c r="P103" i="13"/>
  <c r="Y146" i="13"/>
  <c r="D231" i="13"/>
  <c r="C241" i="13"/>
  <c r="O20" i="13"/>
  <c r="M239" i="13"/>
  <c r="O221" i="13"/>
  <c r="R232" i="13"/>
  <c r="D198" i="13"/>
  <c r="C12" i="13"/>
  <c r="I218" i="13"/>
  <c r="P235" i="13"/>
  <c r="P188" i="13"/>
  <c r="S139" i="13"/>
  <c r="H146" i="13"/>
  <c r="AA76" i="13"/>
  <c r="AA61" i="13"/>
  <c r="M157" i="13"/>
  <c r="AA112" i="13"/>
  <c r="O137" i="13"/>
  <c r="J20" i="13"/>
  <c r="G236" i="13"/>
  <c r="V196" i="13"/>
  <c r="T145" i="13"/>
  <c r="J108" i="13"/>
  <c r="H126" i="13"/>
  <c r="I153" i="13"/>
  <c r="C103" i="13"/>
  <c r="O30" i="13"/>
  <c r="V111" i="13"/>
  <c r="E60" i="13"/>
  <c r="X239" i="13"/>
  <c r="H240" i="13"/>
  <c r="X46" i="13"/>
  <c r="AA158" i="13"/>
  <c r="Y206" i="13"/>
  <c r="AB13" i="13"/>
  <c r="X38" i="13"/>
  <c r="R125" i="13"/>
  <c r="X176" i="13"/>
  <c r="J106" i="13"/>
  <c r="W211" i="13"/>
  <c r="K92" i="13"/>
  <c r="T124" i="13"/>
  <c r="T126" i="13"/>
  <c r="U80" i="13"/>
  <c r="Y54" i="13"/>
  <c r="F190" i="13"/>
  <c r="D38" i="13"/>
  <c r="O75" i="13"/>
  <c r="C138" i="13"/>
  <c r="AB104" i="13"/>
  <c r="F115" i="13"/>
  <c r="I188" i="13"/>
  <c r="T123" i="13"/>
  <c r="M33" i="13"/>
  <c r="L180" i="13"/>
  <c r="S43" i="13"/>
  <c r="W175" i="13"/>
  <c r="Q74" i="13"/>
  <c r="I68" i="13"/>
  <c r="AA166" i="13"/>
  <c r="K37" i="13"/>
  <c r="O57" i="13"/>
  <c r="E174" i="13"/>
  <c r="G62" i="13"/>
  <c r="L232" i="13"/>
  <c r="E95" i="13"/>
  <c r="V155" i="13"/>
  <c r="U197" i="13"/>
  <c r="Q34" i="13"/>
  <c r="P176" i="13"/>
  <c r="S45" i="13"/>
  <c r="AC62" i="13"/>
  <c r="C33" i="13"/>
  <c r="M247" i="13"/>
  <c r="G61" i="13"/>
  <c r="Z215" i="13"/>
  <c r="G204" i="13"/>
  <c r="P37" i="13"/>
  <c r="D183" i="13"/>
  <c r="C98" i="13"/>
  <c r="AC146" i="13"/>
  <c r="L157" i="13"/>
  <c r="AA174" i="13"/>
  <c r="K103" i="13"/>
  <c r="M135" i="13"/>
  <c r="AC45" i="13"/>
  <c r="N120" i="13"/>
  <c r="V230" i="13"/>
  <c r="AA138" i="13"/>
  <c r="C15" i="13"/>
  <c r="K214" i="13"/>
  <c r="I143" i="13"/>
  <c r="Y77" i="13"/>
  <c r="J125" i="13"/>
  <c r="P75" i="13"/>
  <c r="R122" i="13"/>
  <c r="M223" i="13"/>
  <c r="V194" i="13"/>
  <c r="T131" i="13"/>
  <c r="X86" i="13"/>
  <c r="C226" i="13"/>
  <c r="AB212" i="13"/>
  <c r="R40" i="13"/>
  <c r="G99" i="13"/>
  <c r="C230" i="13"/>
  <c r="S160" i="13"/>
  <c r="P153" i="13"/>
  <c r="V114" i="13"/>
  <c r="AB240" i="13"/>
  <c r="S74" i="13"/>
  <c r="V51" i="13"/>
  <c r="U107" i="13"/>
  <c r="V171" i="13"/>
  <c r="AB51" i="13"/>
  <c r="N100" i="13"/>
  <c r="K27" i="13"/>
  <c r="G244" i="13"/>
  <c r="V124" i="13"/>
  <c r="L228" i="13"/>
  <c r="L77" i="13"/>
  <c r="O218" i="13"/>
  <c r="V182" i="13"/>
  <c r="K68" i="13"/>
  <c r="M221" i="13"/>
  <c r="O59" i="13"/>
  <c r="F118" i="13"/>
  <c r="G213" i="13"/>
  <c r="D22" i="13"/>
  <c r="D218" i="13"/>
  <c r="J67" i="13"/>
  <c r="S44" i="13"/>
  <c r="E181" i="13"/>
  <c r="W202" i="13"/>
  <c r="I40" i="13"/>
  <c r="S163" i="13"/>
  <c r="E14" i="13"/>
  <c r="G112" i="13"/>
  <c r="W112" i="13"/>
  <c r="Y151" i="13"/>
  <c r="L69" i="13"/>
  <c r="L235" i="13"/>
  <c r="Z190" i="13"/>
  <c r="AA222" i="13"/>
  <c r="G44" i="13"/>
  <c r="V77" i="13"/>
  <c r="H84" i="13"/>
  <c r="Q243" i="13"/>
  <c r="Z242" i="13"/>
  <c r="R20" i="13"/>
  <c r="F167" i="13"/>
  <c r="Z214" i="13"/>
  <c r="V84" i="13"/>
  <c r="N242" i="13"/>
  <c r="W38" i="13"/>
  <c r="W110" i="13"/>
  <c r="Y132" i="13"/>
  <c r="N106" i="13"/>
  <c r="AA192" i="13"/>
  <c r="P185" i="13"/>
  <c r="R24" i="13"/>
  <c r="Y187" i="13"/>
  <c r="W69" i="13"/>
  <c r="AA228" i="13"/>
  <c r="Y196" i="13"/>
  <c r="U146" i="13"/>
  <c r="J87" i="13"/>
  <c r="M16" i="13"/>
  <c r="G27" i="13"/>
  <c r="G63" i="13"/>
  <c r="O120" i="13"/>
  <c r="C122" i="13"/>
  <c r="T28" i="13"/>
  <c r="S111" i="13"/>
  <c r="O18" i="13"/>
  <c r="E29" i="13"/>
  <c r="U105" i="13"/>
  <c r="H214" i="13"/>
  <c r="L162" i="13"/>
  <c r="P36" i="13"/>
  <c r="F241" i="13"/>
  <c r="K149" i="13"/>
  <c r="D175" i="13"/>
  <c r="K138" i="13"/>
  <c r="AA196" i="13"/>
  <c r="C25" i="13"/>
  <c r="W56" i="13"/>
  <c r="AA155" i="13"/>
  <c r="Q236" i="13"/>
  <c r="W120" i="13"/>
  <c r="L204" i="13"/>
  <c r="D69" i="13"/>
  <c r="P112" i="13"/>
  <c r="AB186" i="13"/>
  <c r="J215" i="13"/>
  <c r="C117" i="13"/>
  <c r="T233" i="13"/>
  <c r="X72" i="13"/>
  <c r="AB184" i="13"/>
  <c r="W86" i="13"/>
  <c r="G206" i="13"/>
  <c r="K160" i="13"/>
  <c r="Q87" i="13"/>
  <c r="H229" i="13"/>
  <c r="F113" i="13"/>
  <c r="M84" i="13"/>
  <c r="C135" i="13"/>
  <c r="R54" i="13"/>
  <c r="L239" i="13"/>
  <c r="D55" i="13"/>
  <c r="O199" i="13"/>
  <c r="R215" i="13"/>
  <c r="J159" i="13"/>
  <c r="V212" i="13"/>
  <c r="AA16" i="13"/>
  <c r="G19" i="13"/>
  <c r="O38" i="13"/>
  <c r="L81" i="13"/>
  <c r="Z163" i="13"/>
  <c r="G134" i="13"/>
  <c r="C44" i="13"/>
  <c r="V99" i="13"/>
  <c r="R121" i="13"/>
  <c r="X17" i="13"/>
  <c r="N37" i="13"/>
  <c r="Y191" i="13"/>
  <c r="J131" i="13"/>
  <c r="E119" i="13"/>
  <c r="AB108" i="13"/>
  <c r="J240" i="13"/>
  <c r="K216" i="13"/>
  <c r="G98" i="13"/>
  <c r="U181" i="13"/>
  <c r="E74" i="13"/>
  <c r="X197" i="13"/>
  <c r="L195" i="13"/>
  <c r="AB157" i="13"/>
  <c r="G113" i="13"/>
  <c r="X142" i="13"/>
  <c r="AA25" i="13"/>
  <c r="F247" i="13"/>
  <c r="U161" i="13"/>
  <c r="S120" i="13"/>
  <c r="N58" i="13"/>
  <c r="Z198" i="13"/>
  <c r="O86" i="13"/>
  <c r="K47" i="13"/>
  <c r="AC65" i="13"/>
  <c r="P18" i="13"/>
  <c r="P193" i="13"/>
  <c r="N244" i="13"/>
  <c r="L20" i="13"/>
  <c r="J123" i="13"/>
  <c r="Z174" i="13"/>
  <c r="H233" i="13"/>
  <c r="F64" i="13"/>
  <c r="H243" i="13"/>
  <c r="I213" i="13"/>
  <c r="C164" i="13"/>
  <c r="X178" i="13"/>
  <c r="Z34" i="13"/>
  <c r="Y112" i="13"/>
  <c r="W64" i="13"/>
  <c r="N36" i="13"/>
  <c r="C204" i="13"/>
  <c r="O217" i="13"/>
  <c r="L33" i="13"/>
  <c r="U136" i="13"/>
  <c r="J224" i="13"/>
  <c r="G246" i="13"/>
  <c r="R246" i="13"/>
  <c r="Y33" i="13"/>
  <c r="C75" i="13"/>
  <c r="T146" i="13"/>
  <c r="R131" i="13"/>
  <c r="R203" i="13"/>
  <c r="X18" i="13"/>
  <c r="AB11" i="13"/>
  <c r="Z160" i="13"/>
  <c r="N228" i="13"/>
  <c r="AB117" i="13"/>
  <c r="X27" i="13"/>
  <c r="X121" i="13"/>
  <c r="N246" i="13"/>
  <c r="Z232" i="13"/>
  <c r="C156" i="13"/>
  <c r="I70" i="13"/>
  <c r="C60" i="13"/>
  <c r="W247" i="13"/>
  <c r="AB45" i="13"/>
  <c r="K189" i="13"/>
  <c r="W234" i="13"/>
  <c r="F243" i="13"/>
  <c r="S72" i="13"/>
  <c r="Y177" i="13"/>
  <c r="AA12" i="13"/>
  <c r="N62" i="13"/>
  <c r="N64" i="13"/>
  <c r="Q178" i="13"/>
  <c r="P135" i="13"/>
  <c r="P223" i="13"/>
  <c r="C187" i="13"/>
  <c r="R236" i="13"/>
  <c r="H145" i="13"/>
  <c r="I244" i="13"/>
  <c r="O205" i="13"/>
  <c r="Q204" i="13"/>
  <c r="F103" i="13"/>
  <c r="AC87" i="13"/>
  <c r="Y14" i="13"/>
  <c r="C151" i="13"/>
  <c r="Q108" i="13"/>
  <c r="G56" i="13"/>
  <c r="P189" i="13"/>
  <c r="AC159" i="13"/>
  <c r="P145" i="13"/>
  <c r="N14" i="13"/>
  <c r="U166" i="13"/>
  <c r="Y21" i="13"/>
  <c r="AB41" i="13"/>
  <c r="J30" i="13"/>
  <c r="C59" i="13"/>
  <c r="W179" i="13"/>
  <c r="D172" i="13"/>
  <c r="C45" i="13"/>
  <c r="F236" i="13"/>
  <c r="H117" i="13"/>
  <c r="G76" i="13"/>
  <c r="W142" i="13"/>
  <c r="V43" i="13"/>
  <c r="D65" i="13"/>
  <c r="M106" i="13"/>
  <c r="N66" i="13"/>
  <c r="R30" i="13"/>
  <c r="G28" i="13"/>
  <c r="J177" i="13"/>
  <c r="N164" i="13"/>
  <c r="I207" i="13"/>
  <c r="Q68" i="13"/>
  <c r="F196" i="13"/>
  <c r="W186" i="13"/>
  <c r="U92" i="13"/>
  <c r="AA197" i="13"/>
  <c r="R162" i="13"/>
  <c r="P195" i="13"/>
  <c r="O154" i="13"/>
  <c r="D155" i="13"/>
  <c r="N141" i="13"/>
  <c r="C201" i="13"/>
  <c r="R94" i="13"/>
  <c r="AC199" i="13"/>
  <c r="C93" i="13"/>
  <c r="K239" i="13"/>
  <c r="AB107" i="13"/>
  <c r="I226" i="13"/>
  <c r="V133" i="13"/>
  <c r="Q198" i="13"/>
  <c r="D237" i="13"/>
  <c r="X79" i="13"/>
  <c r="AB176" i="13"/>
  <c r="E159" i="13"/>
  <c r="V36" i="13"/>
  <c r="H44" i="13"/>
  <c r="X138" i="13"/>
  <c r="S47" i="13"/>
  <c r="L155" i="13"/>
  <c r="L97" i="13"/>
  <c r="L144" i="13"/>
  <c r="G20" i="13"/>
  <c r="Z151" i="13"/>
  <c r="N79" i="13"/>
  <c r="T81" i="13"/>
  <c r="F74" i="13"/>
  <c r="H96" i="13"/>
  <c r="X74" i="13"/>
  <c r="I142" i="13"/>
  <c r="D93" i="13"/>
  <c r="AA13" i="13"/>
  <c r="G54" i="13"/>
  <c r="J200" i="13"/>
  <c r="T107" i="13"/>
  <c r="P51" i="13"/>
  <c r="Z126" i="13"/>
  <c r="K38" i="13"/>
  <c r="W200" i="13"/>
  <c r="K163" i="13"/>
  <c r="U154" i="13"/>
  <c r="Z219" i="13"/>
  <c r="F200" i="13"/>
  <c r="T230" i="13"/>
  <c r="Z65" i="13"/>
  <c r="E153" i="13"/>
  <c r="H207" i="13"/>
  <c r="N101" i="13"/>
  <c r="E225" i="13"/>
  <c r="L107" i="13"/>
  <c r="AB154" i="13"/>
  <c r="P202" i="13"/>
  <c r="E143" i="13"/>
  <c r="E38" i="13"/>
  <c r="R161" i="13"/>
  <c r="P216" i="13"/>
  <c r="G163" i="13"/>
  <c r="P11" i="13"/>
  <c r="G217" i="13"/>
  <c r="V120" i="13"/>
  <c r="Z139" i="13"/>
  <c r="D212" i="13"/>
  <c r="S176" i="13"/>
  <c r="R70" i="13"/>
  <c r="W66" i="13"/>
  <c r="G148" i="13"/>
  <c r="H41" i="13"/>
  <c r="Q105" i="13"/>
  <c r="C140" i="13"/>
  <c r="J178" i="13"/>
  <c r="M28" i="13"/>
  <c r="O163" i="13"/>
  <c r="F246" i="13"/>
  <c r="L52" i="13"/>
  <c r="X171" i="13"/>
  <c r="F79" i="13"/>
  <c r="Z149" i="13"/>
  <c r="M194" i="13"/>
  <c r="X224" i="13"/>
  <c r="AC64" i="13"/>
  <c r="T79" i="13"/>
  <c r="D98" i="13"/>
  <c r="F123" i="13"/>
  <c r="E80" i="13"/>
  <c r="L191" i="13"/>
  <c r="AB24" i="13"/>
  <c r="L99" i="13"/>
  <c r="K224" i="13"/>
  <c r="Y240" i="13"/>
  <c r="K142" i="13"/>
  <c r="P174" i="13"/>
  <c r="R149" i="13"/>
  <c r="M42" i="13"/>
  <c r="N29" i="13"/>
  <c r="T171" i="13"/>
  <c r="AB187" i="13"/>
  <c r="I114" i="13"/>
  <c r="S135" i="13"/>
  <c r="S75" i="13"/>
  <c r="M27" i="13"/>
  <c r="U84" i="13"/>
  <c r="T51" i="13"/>
  <c r="Y80" i="13"/>
  <c r="AC32" i="13"/>
  <c r="V221" i="13"/>
  <c r="E122" i="13"/>
  <c r="R216" i="13"/>
  <c r="AA181" i="13"/>
  <c r="W42" i="13"/>
  <c r="M219" i="13"/>
  <c r="C234" i="13"/>
  <c r="M14" i="13"/>
  <c r="D157" i="13"/>
  <c r="S191" i="13"/>
  <c r="R155" i="13"/>
  <c r="J183" i="13"/>
  <c r="G82" i="13"/>
  <c r="T232" i="13"/>
  <c r="AA66" i="13"/>
  <c r="V131" i="13"/>
  <c r="E220" i="13"/>
  <c r="X234" i="13"/>
  <c r="T33" i="13"/>
  <c r="E64" i="13"/>
  <c r="C72" i="13"/>
  <c r="L21" i="13"/>
  <c r="Y135" i="13"/>
  <c r="K63" i="13"/>
  <c r="R67" i="13"/>
  <c r="H180" i="13"/>
  <c r="K220" i="13"/>
  <c r="Y123" i="13"/>
  <c r="U204" i="13"/>
  <c r="O172" i="13"/>
  <c r="I158" i="13"/>
  <c r="U104" i="13"/>
  <c r="Q116" i="13"/>
  <c r="U82" i="13"/>
  <c r="AB213" i="13"/>
  <c r="R220" i="13"/>
  <c r="H149" i="13"/>
  <c r="Q99" i="13"/>
  <c r="C177" i="13"/>
  <c r="L85" i="13"/>
  <c r="G110" i="13"/>
  <c r="F97" i="13"/>
  <c r="X116" i="13"/>
  <c r="C52" i="13"/>
  <c r="X85" i="13"/>
  <c r="D83" i="13"/>
  <c r="V65" i="13"/>
  <c r="AA134" i="13"/>
  <c r="Q134" i="13"/>
  <c r="F125" i="13"/>
  <c r="E25" i="13"/>
  <c r="D190" i="13"/>
  <c r="X232" i="13"/>
  <c r="Y186" i="13"/>
  <c r="E144" i="13"/>
  <c r="H76" i="13"/>
  <c r="K66" i="13"/>
  <c r="L122" i="13"/>
  <c r="N138" i="13"/>
  <c r="X66" i="13"/>
  <c r="P54" i="13"/>
  <c r="AB189" i="13"/>
  <c r="H192" i="13"/>
  <c r="L213" i="13"/>
  <c r="M166" i="13"/>
  <c r="AB34" i="13"/>
  <c r="L229" i="13"/>
  <c r="E73" i="13"/>
  <c r="H91" i="13"/>
  <c r="D107" i="13"/>
  <c r="I203" i="13"/>
  <c r="AB40" i="13"/>
  <c r="O91" i="13"/>
  <c r="E112" i="13"/>
  <c r="G229" i="13"/>
  <c r="F203" i="13"/>
  <c r="G162" i="13"/>
  <c r="AC214" i="13"/>
  <c r="M35" i="13"/>
  <c r="O245" i="13"/>
  <c r="E97" i="13"/>
  <c r="AC155" i="13"/>
  <c r="AC58" i="13"/>
  <c r="N202" i="13"/>
  <c r="T196" i="13"/>
  <c r="I26" i="13"/>
  <c r="Y114" i="13"/>
  <c r="T58" i="13"/>
  <c r="W131" i="13"/>
  <c r="Y121" i="13"/>
  <c r="T185" i="13"/>
  <c r="U226" i="13"/>
  <c r="H121" i="13"/>
  <c r="T160" i="13"/>
  <c r="H19" i="13"/>
  <c r="AB67" i="13"/>
  <c r="U73" i="13"/>
  <c r="AC71" i="13"/>
  <c r="W25" i="13"/>
  <c r="N235" i="13"/>
  <c r="Q64" i="13"/>
  <c r="AA87" i="13"/>
  <c r="AC225" i="13"/>
  <c r="Q224" i="13"/>
  <c r="I239" i="13"/>
  <c r="AC73" i="13"/>
  <c r="H57" i="13"/>
  <c r="Y73" i="13"/>
  <c r="E13" i="13"/>
  <c r="U66" i="13"/>
  <c r="AA59" i="13"/>
  <c r="J17" i="13"/>
  <c r="N215" i="13"/>
  <c r="K180" i="13"/>
  <c r="G117" i="13"/>
  <c r="L212" i="13"/>
  <c r="Q144" i="13"/>
  <c r="H175" i="13"/>
  <c r="R22" i="13"/>
  <c r="AC195" i="13"/>
  <c r="W99" i="13"/>
  <c r="N160" i="13"/>
  <c r="D144" i="13"/>
  <c r="V116" i="13"/>
  <c r="I159" i="13"/>
  <c r="V145" i="13"/>
  <c r="W36" i="13"/>
  <c r="W19" i="13"/>
  <c r="W97" i="13"/>
  <c r="T217" i="13"/>
  <c r="C217" i="13"/>
  <c r="Z11" i="13"/>
  <c r="Z180" i="13"/>
  <c r="D205" i="13"/>
  <c r="V197" i="13"/>
  <c r="S14" i="13"/>
  <c r="F135" i="13"/>
  <c r="H43" i="13"/>
  <c r="C162" i="13"/>
  <c r="AC86" i="13"/>
  <c r="W233" i="13"/>
  <c r="F69" i="13"/>
  <c r="F144" i="13"/>
  <c r="O227" i="13"/>
  <c r="I175" i="13"/>
  <c r="W149" i="13"/>
  <c r="M163" i="13"/>
  <c r="J110" i="13"/>
  <c r="J107" i="13"/>
  <c r="U147" i="13"/>
  <c r="G153" i="13"/>
  <c r="Q189" i="13"/>
  <c r="P159" i="13"/>
  <c r="P38" i="13"/>
  <c r="Y106" i="13"/>
  <c r="T212" i="13"/>
  <c r="G215" i="13"/>
  <c r="N65" i="13"/>
  <c r="N205" i="13"/>
  <c r="O215" i="13"/>
  <c r="O186" i="13"/>
  <c r="N43" i="13"/>
  <c r="V98" i="13"/>
  <c r="F198" i="13"/>
  <c r="F204" i="13"/>
  <c r="E30" i="13"/>
  <c r="K123" i="13"/>
  <c r="O246" i="13"/>
  <c r="AA224" i="13"/>
  <c r="D108" i="13"/>
  <c r="AC25" i="13"/>
  <c r="W237" i="13"/>
  <c r="Y230" i="13"/>
  <c r="N227" i="13"/>
  <c r="D229" i="13"/>
  <c r="V156" i="13"/>
  <c r="K125" i="13"/>
  <c r="I122" i="13"/>
  <c r="AC94" i="13"/>
  <c r="M83" i="13"/>
  <c r="R183" i="13"/>
  <c r="AA53" i="13"/>
  <c r="H60" i="13"/>
  <c r="AC80" i="13"/>
  <c r="Y223" i="13"/>
  <c r="R211" i="13"/>
  <c r="F224" i="13"/>
  <c r="P59" i="13"/>
  <c r="Y232" i="13"/>
  <c r="AB201" i="13"/>
  <c r="X145" i="13"/>
  <c r="N87" i="13"/>
  <c r="M37" i="13"/>
  <c r="F19" i="13"/>
  <c r="U167" i="13"/>
  <c r="F199" i="13"/>
  <c r="H179" i="13"/>
  <c r="Q219" i="13"/>
  <c r="G224" i="13"/>
  <c r="C56" i="13"/>
  <c r="Q177" i="13"/>
  <c r="F114" i="13"/>
  <c r="M191" i="13"/>
  <c r="T155" i="13"/>
  <c r="S150" i="13"/>
  <c r="E61" i="13"/>
  <c r="AC121" i="13"/>
  <c r="S76" i="13"/>
  <c r="K60" i="13"/>
  <c r="U152" i="13"/>
  <c r="P62" i="13"/>
  <c r="S124" i="13"/>
  <c r="R153" i="13"/>
  <c r="J199" i="13"/>
  <c r="Z59" i="13"/>
  <c r="AA33" i="13"/>
  <c r="F150" i="13"/>
  <c r="AA71" i="13"/>
  <c r="W197" i="13"/>
  <c r="R214" i="13"/>
  <c r="C16" i="13"/>
  <c r="AB15" i="13"/>
  <c r="W116" i="13"/>
  <c r="E75" i="13"/>
  <c r="Z216" i="13"/>
  <c r="X65" i="13"/>
  <c r="D36" i="13"/>
  <c r="U96" i="13"/>
  <c r="Z13" i="13"/>
  <c r="C102" i="13"/>
  <c r="Z53" i="13"/>
  <c r="C238" i="13"/>
  <c r="P45" i="13"/>
  <c r="Y94" i="13"/>
  <c r="K201" i="13"/>
  <c r="L175" i="13"/>
  <c r="Y104" i="13"/>
  <c r="V184" i="13"/>
  <c r="E127" i="13"/>
  <c r="M81" i="13"/>
  <c r="N82" i="13"/>
  <c r="Q137" i="13"/>
  <c r="K46" i="13"/>
  <c r="V159" i="13"/>
  <c r="L117" i="13"/>
  <c r="AC60" i="13"/>
  <c r="J68" i="13"/>
  <c r="W191" i="13"/>
  <c r="Z86" i="13"/>
  <c r="AA116" i="13"/>
  <c r="K118" i="13"/>
  <c r="E134" i="13"/>
  <c r="W243" i="13"/>
  <c r="AC57" i="13"/>
  <c r="K196" i="13"/>
  <c r="S114" i="13"/>
  <c r="AC172" i="13"/>
  <c r="J114" i="13"/>
  <c r="V242" i="13"/>
  <c r="S100" i="13"/>
  <c r="N35" i="13"/>
  <c r="G214" i="13"/>
  <c r="AB113" i="13"/>
  <c r="P81" i="13"/>
  <c r="W147" i="13"/>
  <c r="G29" i="13"/>
  <c r="Z39" i="13"/>
  <c r="C43" i="13"/>
  <c r="U173" i="13"/>
  <c r="S231" i="13"/>
  <c r="N225" i="13"/>
  <c r="T12" i="13"/>
  <c r="O196" i="13"/>
  <c r="W80" i="13"/>
  <c r="Y181" i="13"/>
  <c r="Q242" i="13"/>
  <c r="H51" i="13"/>
  <c r="AB59" i="13"/>
  <c r="W215" i="13"/>
  <c r="K231" i="13"/>
  <c r="K86" i="13"/>
  <c r="T44" i="13"/>
  <c r="E236" i="13"/>
  <c r="R100" i="13"/>
  <c r="E240" i="13"/>
  <c r="U77" i="13"/>
  <c r="K159" i="13"/>
  <c r="I183" i="13"/>
  <c r="X174" i="13"/>
  <c r="T218" i="13"/>
  <c r="N224" i="13"/>
  <c r="L134" i="13"/>
  <c r="AA148" i="13"/>
  <c r="Q86" i="13"/>
  <c r="J112" i="13"/>
  <c r="U202" i="13"/>
  <c r="P71" i="13"/>
  <c r="M146" i="13"/>
  <c r="C71" i="13"/>
  <c r="AA72" i="13"/>
  <c r="M107" i="13"/>
  <c r="D156" i="13"/>
  <c r="V226" i="13"/>
  <c r="S224" i="13"/>
  <c r="J193" i="13"/>
  <c r="C127" i="13"/>
  <c r="F160" i="13"/>
  <c r="AB111" i="13"/>
  <c r="X23" i="13"/>
  <c r="N145" i="13"/>
  <c r="X247" i="13"/>
  <c r="Y165" i="13"/>
  <c r="Q185" i="13"/>
  <c r="W12" i="13"/>
  <c r="Z82" i="13"/>
  <c r="X192" i="13"/>
  <c r="T39" i="13"/>
  <c r="V174" i="13"/>
  <c r="S236" i="13"/>
  <c r="S146" i="13"/>
  <c r="R35" i="13"/>
  <c r="L233" i="13"/>
  <c r="M91" i="13"/>
  <c r="P179" i="13"/>
  <c r="J175" i="13"/>
  <c r="AB132" i="13"/>
  <c r="AB225" i="13"/>
  <c r="AA247" i="13"/>
  <c r="T176" i="13"/>
  <c r="S228" i="13"/>
  <c r="V31" i="13"/>
  <c r="D113" i="13"/>
  <c r="O61" i="13"/>
  <c r="X119" i="13"/>
  <c r="E224" i="13"/>
  <c r="I236" i="13"/>
  <c r="U244" i="13"/>
  <c r="AB123" i="13"/>
  <c r="R184" i="13"/>
  <c r="AC239" i="13"/>
  <c r="AC227" i="13"/>
  <c r="R194" i="13"/>
  <c r="P144" i="13"/>
  <c r="E243" i="13"/>
  <c r="F72" i="13"/>
  <c r="Y18" i="13"/>
  <c r="O100" i="13"/>
  <c r="P212" i="13"/>
  <c r="M201" i="13"/>
  <c r="W107" i="13"/>
  <c r="C149" i="13"/>
  <c r="E212" i="13"/>
  <c r="J214" i="13"/>
  <c r="S40" i="13"/>
  <c r="N189" i="13"/>
  <c r="J57" i="13"/>
  <c r="L95" i="13"/>
  <c r="V165" i="13"/>
  <c r="E84" i="13"/>
  <c r="W181" i="13"/>
  <c r="C51" i="13"/>
  <c r="T102" i="13"/>
  <c r="E12" i="13"/>
  <c r="P76" i="13"/>
  <c r="Y82" i="13"/>
  <c r="C58" i="13"/>
  <c r="S242" i="13"/>
  <c r="U59" i="13"/>
  <c r="Y115" i="13"/>
  <c r="U36" i="13"/>
  <c r="M66" i="13"/>
  <c r="M231" i="13"/>
  <c r="C118" i="13"/>
  <c r="E120" i="13"/>
  <c r="L93" i="13"/>
  <c r="P25" i="13"/>
  <c r="F207" i="13"/>
  <c r="J186" i="13"/>
  <c r="N232" i="13"/>
  <c r="S116" i="13"/>
  <c r="N113" i="13"/>
  <c r="X123" i="13"/>
  <c r="F242" i="13"/>
  <c r="X235" i="13"/>
  <c r="O185" i="13"/>
  <c r="Y109" i="13"/>
  <c r="D17" i="13"/>
  <c r="L146" i="13"/>
  <c r="P225" i="13"/>
  <c r="AC221" i="13"/>
  <c r="V220" i="13"/>
  <c r="AB175" i="13"/>
  <c r="K33" i="13"/>
  <c r="F174" i="13"/>
  <c r="D204" i="13"/>
  <c r="S203" i="13"/>
  <c r="G103" i="13"/>
  <c r="U97" i="13"/>
  <c r="N213" i="13"/>
  <c r="S125" i="13"/>
  <c r="AA93" i="13"/>
  <c r="N236" i="13"/>
  <c r="V215" i="13"/>
  <c r="H223" i="13"/>
  <c r="Z64" i="13"/>
  <c r="AA144" i="13"/>
  <c r="Y231" i="13"/>
  <c r="R124" i="13"/>
  <c r="K76" i="13"/>
  <c r="Y216" i="13"/>
  <c r="C61" i="13"/>
  <c r="U127" i="13"/>
  <c r="E246" i="13"/>
  <c r="D120" i="13"/>
  <c r="X204" i="13"/>
  <c r="F231" i="13"/>
  <c r="Z74" i="13"/>
  <c r="X64" i="13"/>
  <c r="D84" i="13"/>
  <c r="Y28" i="13"/>
  <c r="S98" i="13"/>
  <c r="Y12" i="13"/>
  <c r="O124" i="13"/>
  <c r="AC148" i="13"/>
  <c r="G100" i="13"/>
  <c r="J16" i="13"/>
  <c r="Z42" i="13"/>
  <c r="W83" i="13"/>
  <c r="Z45" i="13"/>
  <c r="L19" i="13"/>
  <c r="N195" i="13"/>
  <c r="H17" i="13"/>
  <c r="AB65" i="13"/>
  <c r="J176" i="13"/>
  <c r="AB76" i="13"/>
  <c r="E213" i="13"/>
  <c r="F219" i="13"/>
  <c r="C182" i="13"/>
  <c r="Q39" i="13"/>
  <c r="P117" i="13"/>
  <c r="Y224" i="13"/>
  <c r="M142" i="13"/>
  <c r="D195" i="13"/>
  <c r="C42" i="13"/>
  <c r="T234" i="13"/>
  <c r="P82" i="13"/>
  <c r="R187" i="13"/>
  <c r="T63" i="13"/>
  <c r="O54" i="13"/>
  <c r="I233" i="13"/>
  <c r="V58" i="13"/>
  <c r="F121" i="13"/>
  <c r="Y163" i="13"/>
  <c r="V54" i="13"/>
  <c r="S42" i="13"/>
  <c r="M198" i="13"/>
  <c r="H110" i="13"/>
  <c r="N166" i="13"/>
  <c r="E116" i="13"/>
  <c r="AC104" i="13"/>
  <c r="AA218" i="13"/>
  <c r="T215" i="13"/>
  <c r="J143" i="13"/>
  <c r="M234" i="13"/>
  <c r="V205" i="13"/>
  <c r="X236" i="13"/>
  <c r="L96" i="13"/>
  <c r="U134" i="13"/>
  <c r="R19" i="13"/>
  <c r="G146" i="13"/>
  <c r="F152" i="13"/>
  <c r="F23" i="13"/>
  <c r="K81" i="13"/>
  <c r="AC212" i="13"/>
  <c r="AC247" i="13"/>
  <c r="AC100" i="13"/>
  <c r="AB121" i="13"/>
  <c r="G238" i="13"/>
  <c r="P136" i="13"/>
  <c r="S26" i="13"/>
  <c r="V228" i="13"/>
  <c r="J242" i="13"/>
  <c r="Q165" i="13"/>
  <c r="E15" i="13"/>
  <c r="D79" i="13"/>
  <c r="AC13" i="13"/>
  <c r="X69" i="13"/>
  <c r="Q202" i="13"/>
  <c r="M236" i="13"/>
  <c r="G142" i="13"/>
  <c r="AC37" i="13"/>
  <c r="F140" i="13"/>
  <c r="Q100" i="13"/>
  <c r="O64" i="13"/>
  <c r="F52" i="13"/>
  <c r="AA18" i="13"/>
  <c r="U231" i="13"/>
  <c r="F26" i="13"/>
  <c r="AC30" i="13"/>
  <c r="D239" i="13"/>
  <c r="P158" i="13"/>
  <c r="AA217" i="13"/>
  <c r="W65" i="13"/>
  <c r="AB103" i="13"/>
  <c r="U13" i="13"/>
  <c r="J81" i="13"/>
  <c r="K137" i="13"/>
  <c r="N204" i="13"/>
  <c r="AB52" i="13"/>
  <c r="Y242" i="13"/>
  <c r="AC53" i="13"/>
  <c r="N149" i="13"/>
  <c r="I172" i="13"/>
  <c r="W63" i="13"/>
  <c r="G55" i="13"/>
  <c r="AB58" i="13"/>
  <c r="C137" i="13"/>
  <c r="U101" i="13"/>
  <c r="C104" i="13"/>
  <c r="AC39" i="13"/>
  <c r="H36" i="13"/>
  <c r="N161" i="13"/>
  <c r="S195" i="13"/>
  <c r="R109" i="13"/>
  <c r="W159" i="13"/>
  <c r="AB238" i="13"/>
  <c r="P243" i="13"/>
  <c r="Q192" i="13"/>
  <c r="X155" i="13"/>
  <c r="X131" i="13"/>
  <c r="Z238" i="13"/>
  <c r="V22" i="13"/>
  <c r="X24" i="13"/>
  <c r="AB78" i="13"/>
  <c r="W227" i="13"/>
  <c r="S99" i="13"/>
  <c r="D227" i="13"/>
  <c r="O138" i="13"/>
  <c r="X26" i="13"/>
  <c r="J213" i="13"/>
  <c r="O117" i="13"/>
  <c r="Y99" i="13"/>
  <c r="C166" i="13"/>
  <c r="U206" i="13"/>
  <c r="Y247" i="13"/>
  <c r="Y215" i="13"/>
  <c r="D187" i="13"/>
  <c r="Z87" i="13"/>
  <c r="M123" i="13"/>
  <c r="C160" i="13"/>
  <c r="AB207" i="13"/>
  <c r="F63" i="13"/>
  <c r="R147" i="13"/>
  <c r="X243" i="13"/>
  <c r="R165" i="13"/>
  <c r="AA106" i="13"/>
  <c r="AC85" i="13"/>
  <c r="P102" i="13"/>
  <c r="Z63" i="13"/>
  <c r="AA30" i="13"/>
  <c r="AA75" i="13"/>
  <c r="Y162" i="13"/>
  <c r="P206" i="13"/>
  <c r="S54" i="13"/>
  <c r="Z239" i="13"/>
  <c r="X228" i="13"/>
  <c r="F126" i="13"/>
  <c r="AA199" i="13"/>
  <c r="M54" i="13"/>
  <c r="M52" i="13"/>
  <c r="X191" i="13"/>
  <c r="Z201" i="13"/>
  <c r="K14" i="13"/>
  <c r="G126" i="13"/>
  <c r="H227" i="13"/>
  <c r="W98" i="13"/>
  <c r="Z245" i="13"/>
  <c r="H156" i="13"/>
  <c r="K79" i="13"/>
  <c r="I133" i="13"/>
  <c r="I113" i="13"/>
  <c r="Z30" i="13"/>
  <c r="I127" i="13"/>
  <c r="L220" i="13"/>
  <c r="S223" i="13"/>
  <c r="F60" i="13"/>
  <c r="E178" i="13"/>
  <c r="D74" i="13"/>
  <c r="W165" i="13"/>
  <c r="AB137" i="13"/>
  <c r="Z94" i="13"/>
  <c r="AA34" i="13"/>
  <c r="P147" i="13"/>
  <c r="J99" i="13"/>
  <c r="L136" i="13"/>
  <c r="Y156" i="13"/>
  <c r="O36" i="13"/>
  <c r="Z73" i="13"/>
  <c r="H154" i="13"/>
  <c r="I91" i="13"/>
  <c r="V81" i="13"/>
  <c r="L16" i="13"/>
  <c r="I177" i="13"/>
  <c r="C101" i="13"/>
  <c r="AA205" i="13"/>
  <c r="E59" i="13"/>
  <c r="AA117" i="13"/>
  <c r="AA45" i="13"/>
  <c r="O125" i="13"/>
  <c r="T193" i="13"/>
  <c r="S61" i="13"/>
  <c r="L166" i="13"/>
  <c r="S65" i="13"/>
  <c r="P157" i="13"/>
  <c r="J12" i="13"/>
  <c r="P141" i="13"/>
  <c r="M159" i="13"/>
  <c r="O58" i="13"/>
  <c r="G111" i="13"/>
  <c r="AB155" i="13"/>
  <c r="F149" i="13"/>
  <c r="U175" i="13"/>
  <c r="U19" i="13"/>
  <c r="D100" i="13"/>
  <c r="V42" i="13"/>
  <c r="L65" i="13"/>
  <c r="L31" i="13"/>
  <c r="O80" i="13"/>
  <c r="D173" i="13"/>
  <c r="D43" i="13"/>
  <c r="AB42" i="13"/>
  <c r="G122" i="13"/>
  <c r="J201" i="13"/>
  <c r="P204" i="13"/>
  <c r="R18" i="13"/>
  <c r="X32" i="13"/>
  <c r="K99" i="13"/>
  <c r="M179" i="13"/>
  <c r="I242" i="13"/>
  <c r="J135" i="13"/>
  <c r="T17" i="13"/>
  <c r="N39" i="13"/>
  <c r="V202" i="13"/>
  <c r="Q107" i="13"/>
  <c r="X190" i="13"/>
  <c r="H46" i="13"/>
  <c r="N239" i="13"/>
  <c r="X12" i="13"/>
  <c r="G182" i="13"/>
  <c r="M127" i="13"/>
  <c r="E44" i="13"/>
  <c r="K124" i="13"/>
  <c r="D126" i="13"/>
  <c r="T178" i="13"/>
  <c r="U135" i="13"/>
  <c r="U178" i="13"/>
  <c r="U102" i="13"/>
  <c r="W161" i="13"/>
  <c r="X211" i="13"/>
  <c r="S165" i="13"/>
  <c r="I147" i="13"/>
  <c r="T19" i="13"/>
  <c r="V233" i="13"/>
  <c r="S199" i="13"/>
  <c r="P173" i="13"/>
  <c r="O239" i="13"/>
  <c r="Q43" i="13"/>
  <c r="AB216" i="13"/>
  <c r="V195" i="13"/>
  <c r="AB195" i="13"/>
  <c r="P228" i="13"/>
  <c r="U125" i="13"/>
  <c r="R51" i="13"/>
  <c r="X161" i="13"/>
  <c r="E33" i="13"/>
  <c r="J151" i="13"/>
  <c r="F68" i="13"/>
  <c r="AA109" i="13"/>
  <c r="H181" i="13"/>
  <c r="G197" i="13"/>
  <c r="I194" i="13"/>
  <c r="F163" i="13"/>
  <c r="W21" i="13"/>
  <c r="U182" i="13"/>
  <c r="U45" i="13"/>
  <c r="F28" i="13"/>
  <c r="S187" i="13"/>
  <c r="I102" i="13"/>
  <c r="V15" i="13"/>
  <c r="I18" i="13"/>
  <c r="J230" i="13"/>
  <c r="M150" i="13"/>
  <c r="G202" i="13"/>
  <c r="E66" i="13"/>
  <c r="F75" i="13"/>
  <c r="O236" i="13"/>
  <c r="G194" i="13"/>
  <c r="K127" i="13"/>
  <c r="U228" i="13"/>
  <c r="G68" i="13"/>
  <c r="F101" i="13"/>
  <c r="E156" i="13"/>
  <c r="O46" i="13"/>
  <c r="X172" i="13"/>
  <c r="J19" i="13"/>
  <c r="W46" i="13"/>
  <c r="V234" i="13"/>
  <c r="G108" i="13"/>
  <c r="O223" i="13"/>
  <c r="C94" i="13"/>
  <c r="D196" i="13"/>
  <c r="T53" i="13"/>
  <c r="V139" i="13"/>
  <c r="I77" i="13"/>
  <c r="I200" i="13"/>
  <c r="P111" i="13"/>
  <c r="I76" i="13"/>
  <c r="V107" i="13"/>
  <c r="J158" i="13"/>
  <c r="L104" i="13"/>
  <c r="Z69" i="13"/>
  <c r="E219" i="13"/>
  <c r="X213" i="13"/>
  <c r="P115" i="13"/>
  <c r="U174" i="13"/>
  <c r="K157" i="13"/>
  <c r="O162" i="13"/>
  <c r="AA195" i="13"/>
  <c r="K202" i="13"/>
  <c r="K42" i="13"/>
  <c r="D86" i="13"/>
  <c r="W148" i="13"/>
  <c r="K83" i="13"/>
  <c r="N192" i="13"/>
  <c r="C123" i="13"/>
  <c r="S94" i="13"/>
  <c r="Y27" i="13"/>
  <c r="E218" i="13"/>
  <c r="E155" i="13"/>
  <c r="X207" i="13"/>
  <c r="AB75" i="13"/>
  <c r="Y122" i="13"/>
  <c r="J126" i="13"/>
  <c r="W231" i="13"/>
  <c r="J194" i="13"/>
  <c r="R120" i="13"/>
  <c r="AB72" i="13"/>
  <c r="R180" i="13"/>
  <c r="I104" i="13"/>
  <c r="C179" i="13"/>
  <c r="N22" i="13"/>
  <c r="O19" i="13"/>
  <c r="J76" i="13"/>
  <c r="Z204" i="13"/>
  <c r="G200" i="13"/>
  <c r="I245" i="13"/>
  <c r="Z113" i="13"/>
  <c r="N136" i="13"/>
  <c r="J25" i="13"/>
  <c r="I223" i="13"/>
  <c r="M175" i="13"/>
  <c r="P24" i="13"/>
  <c r="AB26" i="13"/>
  <c r="J46" i="13"/>
  <c r="X237" i="13"/>
  <c r="U239" i="13"/>
  <c r="S197" i="13"/>
  <c r="I206" i="13"/>
  <c r="T216" i="13"/>
  <c r="D80" i="13"/>
  <c r="O74" i="13"/>
  <c r="W152" i="13"/>
  <c r="H82" i="13"/>
  <c r="T121" i="13"/>
  <c r="Y86" i="13"/>
  <c r="T188" i="13"/>
  <c r="G176" i="13"/>
  <c r="N13" i="13"/>
  <c r="Z179" i="13"/>
  <c r="P133" i="13"/>
  <c r="L225" i="13"/>
  <c r="K116" i="13"/>
  <c r="F93" i="13"/>
  <c r="P127" i="13"/>
  <c r="E57" i="13"/>
  <c r="X28" i="13"/>
  <c r="S173" i="13"/>
  <c r="AA108" i="13"/>
  <c r="J246" i="13"/>
  <c r="X226" i="13"/>
  <c r="R52" i="13"/>
  <c r="J207" i="13"/>
  <c r="AA161" i="13"/>
  <c r="U241" i="13"/>
  <c r="K153" i="13"/>
  <c r="R64" i="13"/>
  <c r="AA172" i="13"/>
  <c r="U120" i="13"/>
  <c r="V246" i="13"/>
  <c r="H12" i="13"/>
  <c r="R171" i="13"/>
  <c r="J220" i="13"/>
  <c r="M200" i="13"/>
  <c r="T186" i="13"/>
  <c r="H21" i="13"/>
  <c r="H206" i="13"/>
  <c r="X67" i="13"/>
  <c r="J72" i="13"/>
  <c r="Z193" i="13"/>
  <c r="M133" i="13"/>
  <c r="AC51" i="13"/>
  <c r="Q246" i="13"/>
  <c r="V68" i="13"/>
  <c r="S20" i="13"/>
  <c r="O229" i="13"/>
  <c r="AA147" i="13"/>
  <c r="AB138" i="13"/>
  <c r="R159" i="13"/>
  <c r="W229" i="13"/>
  <c r="G141" i="13"/>
  <c r="AA52" i="13"/>
  <c r="X182" i="13"/>
  <c r="X133" i="13"/>
  <c r="K111" i="13"/>
  <c r="T132" i="13"/>
  <c r="C20" i="13"/>
  <c r="H13" i="13"/>
  <c r="F148" i="13"/>
  <c r="P187" i="13"/>
  <c r="Z148" i="13"/>
  <c r="N201" i="13"/>
  <c r="G233" i="13"/>
  <c r="O119" i="13"/>
  <c r="Q186" i="13"/>
  <c r="N144" i="13"/>
  <c r="D56" i="13"/>
  <c r="R182" i="13"/>
  <c r="M215" i="13"/>
  <c r="F161" i="13"/>
  <c r="S53" i="13"/>
  <c r="AC97" i="13"/>
  <c r="U56" i="13"/>
  <c r="I67" i="13"/>
  <c r="E136" i="13"/>
  <c r="N24" i="13"/>
  <c r="AB229" i="13"/>
  <c r="AB115" i="13"/>
  <c r="I221" i="13"/>
  <c r="Q205" i="13"/>
  <c r="D34" i="13"/>
  <c r="E70" i="13"/>
  <c r="T182" i="13"/>
  <c r="J218" i="13"/>
  <c r="N121" i="13"/>
  <c r="C39" i="13"/>
  <c r="L145" i="13"/>
  <c r="H61" i="13"/>
  <c r="N99" i="13"/>
  <c r="W230" i="13"/>
  <c r="S97" i="13"/>
  <c r="Q58" i="13"/>
  <c r="S59" i="13"/>
  <c r="AA97" i="13"/>
  <c r="F213" i="13"/>
  <c r="D52" i="13"/>
  <c r="R23" i="13"/>
  <c r="Z196" i="13"/>
  <c r="G93" i="13"/>
  <c r="J18" i="13"/>
  <c r="T67" i="13"/>
  <c r="D165" i="13"/>
  <c r="D71" i="13"/>
  <c r="K65" i="13"/>
  <c r="S35" i="13"/>
  <c r="M99" i="13"/>
  <c r="T27" i="13"/>
  <c r="D177" i="13"/>
  <c r="C136" i="13"/>
  <c r="AC231" i="13"/>
  <c r="AB179" i="13"/>
  <c r="M124" i="13"/>
  <c r="I224" i="13"/>
  <c r="P221" i="13"/>
  <c r="X214" i="13"/>
  <c r="Z66" i="13"/>
  <c r="Y120" i="13"/>
  <c r="O198" i="13"/>
  <c r="W245" i="13"/>
  <c r="F104" i="13"/>
  <c r="AA176" i="13"/>
  <c r="U217" i="13"/>
  <c r="O34" i="13"/>
  <c r="U163" i="13"/>
  <c r="V87" i="13"/>
  <c r="I45" i="13"/>
  <c r="F217" i="13"/>
  <c r="O203" i="13"/>
  <c r="O83" i="13"/>
  <c r="H226" i="13"/>
  <c r="R46" i="13"/>
  <c r="AB190" i="13"/>
  <c r="Y159" i="13"/>
  <c r="W106" i="13"/>
  <c r="E215" i="13"/>
  <c r="Y179" i="13"/>
  <c r="W224" i="13"/>
  <c r="Z246" i="13"/>
  <c r="K35" i="13"/>
  <c r="Z172" i="13"/>
  <c r="H219" i="13"/>
  <c r="T30" i="13"/>
  <c r="F71" i="13"/>
  <c r="AA182" i="13"/>
  <c r="K70" i="13"/>
  <c r="W134" i="13"/>
  <c r="P72" i="13"/>
  <c r="T220" i="13"/>
  <c r="F175" i="13"/>
  <c r="P122" i="13"/>
  <c r="N61" i="13"/>
  <c r="D199" i="13"/>
  <c r="J23" i="13"/>
  <c r="X189" i="13"/>
  <c r="AA226" i="13"/>
  <c r="L161" i="13"/>
  <c r="AC22" i="13"/>
  <c r="K28" i="13"/>
  <c r="AA212" i="13"/>
  <c r="U200" i="13"/>
  <c r="X117" i="13"/>
  <c r="I39" i="13"/>
  <c r="L211" i="13"/>
  <c r="Q157" i="13"/>
  <c r="J155" i="13"/>
  <c r="G106" i="13"/>
  <c r="O176" i="13"/>
  <c r="O23" i="13"/>
  <c r="U51" i="13"/>
  <c r="S220" i="13"/>
  <c r="O62" i="13"/>
  <c r="U47" i="13"/>
  <c r="H139" i="13"/>
  <c r="AB63" i="13"/>
  <c r="U11" i="13"/>
  <c r="V144" i="13"/>
  <c r="E172" i="13"/>
  <c r="E180" i="13"/>
  <c r="P217" i="13"/>
  <c r="C198" i="13"/>
  <c r="Y184" i="13"/>
  <c r="C65" i="13"/>
  <c r="AA233" i="13"/>
  <c r="D141" i="13"/>
  <c r="N174" i="13"/>
  <c r="R79" i="13"/>
  <c r="J149" i="13"/>
  <c r="R143" i="13"/>
  <c r="R13" i="13"/>
  <c r="P73" i="13"/>
  <c r="R66" i="13"/>
  <c r="AC79" i="13"/>
  <c r="Z56" i="13"/>
  <c r="G235" i="13"/>
  <c r="O115" i="13"/>
  <c r="E244" i="13"/>
  <c r="Z137" i="13"/>
  <c r="J140" i="13"/>
  <c r="C152" i="13"/>
  <c r="O219" i="13"/>
  <c r="N110" i="13"/>
  <c r="V12" i="13"/>
  <c r="J163" i="13"/>
  <c r="U235" i="13"/>
  <c r="X83" i="13"/>
  <c r="S87" i="13"/>
  <c r="J222" i="13"/>
  <c r="K212" i="13"/>
  <c r="Y214" i="13"/>
  <c r="J195" i="13"/>
  <c r="L56" i="13"/>
  <c r="V103" i="13"/>
  <c r="X240" i="13"/>
  <c r="H231" i="13"/>
  <c r="D236" i="13"/>
  <c r="R191" i="13"/>
  <c r="AB197" i="13"/>
  <c r="U177" i="13"/>
  <c r="U232" i="13"/>
  <c r="E82" i="13"/>
  <c r="D135" i="13"/>
  <c r="F70" i="13"/>
  <c r="I134" i="13"/>
  <c r="Q114" i="13"/>
  <c r="AA167" i="13"/>
  <c r="X54" i="13"/>
  <c r="R213" i="13"/>
  <c r="I46" i="13"/>
  <c r="AC91" i="13"/>
  <c r="S29" i="13"/>
  <c r="V64" i="13"/>
  <c r="X97" i="13"/>
  <c r="D149" i="13"/>
  <c r="F245" i="13"/>
  <c r="M119" i="13"/>
  <c r="AB219" i="13"/>
  <c r="AC70" i="13"/>
  <c r="T40" i="13"/>
  <c r="I164" i="13"/>
  <c r="Y96" i="13"/>
  <c r="R98" i="13"/>
  <c r="V92" i="13"/>
  <c r="K188" i="13"/>
  <c r="AC228" i="13"/>
  <c r="V203" i="13"/>
  <c r="D185" i="13"/>
  <c r="V229" i="13"/>
  <c r="N53" i="13"/>
  <c r="D44" i="13"/>
  <c r="AC230" i="13"/>
  <c r="Q191" i="13"/>
  <c r="P246" i="13"/>
  <c r="U33" i="13"/>
  <c r="F108" i="13"/>
  <c r="N51" i="13"/>
  <c r="T191" i="13"/>
  <c r="AC235" i="13"/>
  <c r="P17" i="13"/>
  <c r="AB158" i="13"/>
  <c r="X148" i="13"/>
  <c r="J62" i="13"/>
  <c r="C193" i="13"/>
  <c r="S64" i="13"/>
  <c r="I17" i="13"/>
  <c r="W74" i="13"/>
  <c r="AA32" i="13"/>
  <c r="O149" i="13"/>
  <c r="H27" i="13"/>
  <c r="L246" i="13"/>
  <c r="I13" i="13"/>
  <c r="R21" i="13"/>
  <c r="O132" i="13"/>
  <c r="J29" i="13"/>
  <c r="G191" i="13"/>
  <c r="C73" i="13"/>
  <c r="V25" i="13"/>
  <c r="K58" i="13"/>
  <c r="C243" i="13"/>
  <c r="C26" i="13"/>
  <c r="Z150" i="13"/>
  <c r="Q156" i="13"/>
  <c r="AB172" i="13"/>
  <c r="Q115" i="13"/>
  <c r="E76" i="13"/>
  <c r="AB139" i="13"/>
  <c r="X34" i="13"/>
  <c r="K71" i="13"/>
  <c r="U32" i="13"/>
  <c r="N26" i="13"/>
  <c r="X13" i="13"/>
  <c r="O87" i="13"/>
  <c r="D103" i="13"/>
  <c r="AA124" i="13"/>
  <c r="L182" i="13"/>
  <c r="D76" i="13"/>
  <c r="F87" i="13"/>
  <c r="E39" i="13"/>
  <c r="Z189" i="13"/>
  <c r="X68" i="13"/>
  <c r="V198" i="13"/>
  <c r="Q61" i="13"/>
  <c r="M76" i="13"/>
  <c r="D228" i="13"/>
  <c r="K108" i="13"/>
  <c r="Y60" i="13"/>
  <c r="R32" i="13"/>
  <c r="H194" i="13"/>
  <c r="M138" i="13"/>
  <c r="R166" i="13"/>
  <c r="Q81" i="13"/>
  <c r="D151" i="13"/>
  <c r="R14" i="13"/>
  <c r="G13" i="13"/>
  <c r="H220" i="13"/>
  <c r="G105" i="13"/>
  <c r="E23" i="13"/>
  <c r="G177" i="13"/>
  <c r="O73" i="13"/>
  <c r="AC154" i="13"/>
  <c r="O175" i="13"/>
  <c r="E161" i="13"/>
  <c r="R62" i="13"/>
  <c r="Q214" i="13"/>
  <c r="E77" i="13"/>
  <c r="U111" i="13"/>
  <c r="J145" i="13"/>
  <c r="F131" i="13"/>
  <c r="Y30" i="13"/>
  <c r="P184" i="13"/>
  <c r="O63" i="13"/>
  <c r="S46" i="13"/>
  <c r="AB156" i="13"/>
  <c r="V73" i="13"/>
  <c r="O114" i="13"/>
  <c r="I202" i="13"/>
  <c r="I25" i="13"/>
  <c r="T222" i="13"/>
  <c r="H151" i="13"/>
  <c r="Q200" i="13"/>
  <c r="F187" i="13"/>
  <c r="V108" i="13"/>
  <c r="E81" i="13"/>
  <c r="E22" i="13"/>
  <c r="C153" i="13"/>
  <c r="T55" i="13"/>
  <c r="K151" i="13"/>
  <c r="X143" i="13"/>
  <c r="O35" i="13"/>
  <c r="W155" i="13"/>
  <c r="S132" i="13"/>
  <c r="X100" i="13"/>
  <c r="E55" i="13"/>
  <c r="F233" i="13"/>
  <c r="Q106" i="13"/>
  <c r="W192" i="13"/>
  <c r="J66" i="13"/>
  <c r="R239" i="13"/>
  <c r="P227" i="13"/>
  <c r="F145" i="13"/>
  <c r="V38" i="13"/>
  <c r="P156" i="13"/>
  <c r="J233" i="13"/>
  <c r="Z104" i="13"/>
  <c r="D238" i="13"/>
  <c r="P52" i="13"/>
  <c r="Y149" i="13"/>
  <c r="F73" i="13"/>
  <c r="Y116" i="13"/>
  <c r="Q72" i="13"/>
  <c r="L102" i="13"/>
  <c r="E86" i="13"/>
  <c r="M195" i="13"/>
  <c r="O145" i="13"/>
  <c r="C82" i="13"/>
  <c r="C245" i="13"/>
  <c r="S86" i="13"/>
  <c r="J109" i="13"/>
  <c r="N165" i="13"/>
  <c r="N191" i="13"/>
  <c r="J146" i="13"/>
  <c r="C200" i="13"/>
  <c r="J47" i="13"/>
  <c r="AB142" i="13"/>
  <c r="AC133" i="13"/>
  <c r="T229" i="13"/>
  <c r="I131" i="13"/>
  <c r="Q63" i="13"/>
  <c r="L230" i="13"/>
  <c r="L247" i="13"/>
  <c r="AA94" i="13"/>
  <c r="X153" i="13"/>
  <c r="K94" i="13"/>
  <c r="N187" i="13"/>
  <c r="L199" i="13"/>
  <c r="I216" i="13"/>
  <c r="V45" i="13"/>
  <c r="J121" i="13"/>
  <c r="P191" i="13"/>
  <c r="I11" i="13"/>
  <c r="H120" i="13"/>
  <c r="N185" i="13"/>
  <c r="W153" i="13"/>
  <c r="R56" i="13"/>
  <c r="AC143" i="13"/>
  <c r="M238" i="13"/>
  <c r="M204" i="13"/>
  <c r="W31" i="13"/>
  <c r="AC164" i="13"/>
  <c r="O188" i="13"/>
  <c r="AB28" i="13"/>
  <c r="S73" i="13"/>
  <c r="K17" i="13"/>
  <c r="V218" i="13"/>
  <c r="AA38" i="13"/>
  <c r="L41" i="13"/>
  <c r="O44" i="13"/>
  <c r="D75" i="13"/>
  <c r="K93" i="13"/>
  <c r="J102" i="13"/>
  <c r="O165" i="13"/>
  <c r="I246" i="13"/>
  <c r="AC44" i="13"/>
  <c r="X166" i="13"/>
  <c r="V66" i="13"/>
  <c r="T45" i="13"/>
  <c r="Y172" i="13"/>
  <c r="Q194" i="13"/>
  <c r="W77" i="13"/>
  <c r="J228" i="13"/>
  <c r="Y137" i="13"/>
  <c r="D82" i="13"/>
  <c r="W14" i="13"/>
  <c r="J235" i="13"/>
  <c r="Y212" i="13"/>
  <c r="Y125" i="13"/>
  <c r="I149" i="13"/>
  <c r="Y95" i="13"/>
  <c r="G219" i="13"/>
  <c r="O187" i="13"/>
  <c r="Z117" i="13"/>
  <c r="K134" i="13"/>
  <c r="C228" i="13"/>
  <c r="N237" i="13"/>
  <c r="Q182" i="13"/>
  <c r="G121" i="13"/>
  <c r="T96" i="13"/>
  <c r="H29" i="13"/>
  <c r="V41" i="13"/>
  <c r="AA245" i="13"/>
  <c r="X108" i="13"/>
  <c r="W94" i="13"/>
  <c r="Z70" i="13"/>
  <c r="L54" i="13"/>
  <c r="G221" i="13"/>
  <c r="N71" i="13"/>
  <c r="C197" i="13"/>
  <c r="X229" i="13"/>
  <c r="N193" i="13"/>
  <c r="R61" i="13"/>
  <c r="H177" i="13"/>
  <c r="U179" i="13"/>
  <c r="Q235" i="13"/>
  <c r="AC152" i="13"/>
  <c r="H125" i="13"/>
  <c r="H172" i="13"/>
  <c r="D133" i="13"/>
  <c r="Z176" i="13"/>
  <c r="R150" i="13"/>
  <c r="AB131" i="13"/>
  <c r="L91" i="13"/>
  <c r="E175" i="13"/>
  <c r="O94" i="13"/>
  <c r="G172" i="13"/>
  <c r="C220" i="13"/>
  <c r="AC123" i="13"/>
  <c r="E11" i="13"/>
  <c r="Z54" i="13"/>
  <c r="X225" i="13"/>
  <c r="U85" i="13"/>
  <c r="P222" i="13"/>
  <c r="W228" i="13"/>
  <c r="Q171" i="13"/>
  <c r="Q94" i="13"/>
  <c r="V63" i="13"/>
  <c r="K162" i="13"/>
  <c r="C126" i="13"/>
  <c r="AB232" i="13"/>
  <c r="O171" i="13"/>
  <c r="N147" i="13"/>
  <c r="AA98" i="13"/>
  <c r="AB227" i="13"/>
  <c r="AC216" i="13"/>
  <c r="P31" i="13"/>
  <c r="Q163" i="13"/>
  <c r="H157" i="13"/>
  <c r="Q125" i="13"/>
  <c r="R44" i="13"/>
  <c r="AB245" i="13"/>
  <c r="H127" i="13"/>
  <c r="C231" i="13"/>
  <c r="L205" i="13"/>
  <c r="AC183" i="13"/>
  <c r="V188" i="13"/>
  <c r="P13" i="13"/>
  <c r="V106" i="13"/>
  <c r="X95" i="13"/>
  <c r="D35" i="13"/>
  <c r="AC116" i="13"/>
  <c r="W16" i="13"/>
  <c r="O194" i="13"/>
  <c r="K158" i="13"/>
  <c r="O247" i="13"/>
  <c r="S93" i="13"/>
  <c r="D101" i="13"/>
  <c r="D118" i="13"/>
  <c r="AC111" i="13"/>
  <c r="X233" i="13"/>
  <c r="W35" i="13"/>
  <c r="V225" i="13"/>
  <c r="H42" i="13"/>
  <c r="E27" i="13"/>
  <c r="Z92" i="13"/>
  <c r="F234" i="13"/>
  <c r="H14" i="13"/>
  <c r="V93" i="13"/>
  <c r="Y119" i="13"/>
  <c r="N197" i="13"/>
  <c r="U164" i="13"/>
  <c r="L153" i="13"/>
  <c r="D221" i="13"/>
  <c r="Y76" i="13"/>
  <c r="C19" i="13"/>
  <c r="D68" i="13"/>
  <c r="AA188" i="13"/>
  <c r="Q112" i="13"/>
  <c r="E207" i="13"/>
  <c r="M97" i="13"/>
  <c r="P139" i="13"/>
  <c r="V75" i="13"/>
  <c r="Q225" i="13"/>
  <c r="AA119" i="13"/>
  <c r="L207" i="13"/>
  <c r="D67" i="13"/>
  <c r="AC223" i="13"/>
  <c r="M32" i="13"/>
  <c r="M78" i="13"/>
  <c r="O167" i="13"/>
  <c r="M85" i="13"/>
  <c r="X109" i="13"/>
  <c r="C173" i="13"/>
  <c r="P180" i="13"/>
  <c r="V16" i="13"/>
  <c r="J97" i="13"/>
  <c r="V76" i="13"/>
  <c r="V227" i="13"/>
  <c r="V126" i="13"/>
  <c r="G232" i="13"/>
  <c r="M110" i="13"/>
  <c r="N28" i="13"/>
  <c r="H143" i="13"/>
  <c r="I157" i="13"/>
  <c r="R112" i="13"/>
  <c r="G237" i="13"/>
  <c r="U207" i="13"/>
  <c r="X94" i="13"/>
  <c r="E150" i="13"/>
  <c r="X246" i="13"/>
  <c r="C99" i="13"/>
  <c r="U70" i="13"/>
  <c r="Q30" i="13"/>
  <c r="N84" i="13"/>
  <c r="N57" i="13"/>
  <c r="K126" i="13"/>
  <c r="P140" i="13"/>
  <c r="K190" i="13"/>
  <c r="C120" i="13"/>
  <c r="C28" i="13"/>
  <c r="K147" i="13"/>
  <c r="I155" i="13"/>
  <c r="H244" i="13"/>
  <c r="AC11" i="13"/>
  <c r="J211" i="13"/>
  <c r="Y72" i="13"/>
  <c r="K45" i="13"/>
  <c r="R39" i="13"/>
  <c r="L185" i="13"/>
  <c r="R230" i="13"/>
  <c r="AA125" i="13"/>
  <c r="AC72" i="13"/>
  <c r="L57" i="13"/>
  <c r="Y190" i="13"/>
  <c r="D201" i="13"/>
  <c r="AB47" i="13"/>
  <c r="V237" i="13"/>
  <c r="S177" i="13"/>
  <c r="Z62" i="13"/>
  <c r="AA178" i="13"/>
  <c r="N59" i="13"/>
  <c r="R247" i="13"/>
  <c r="N211" i="13"/>
  <c r="K245" i="13"/>
  <c r="L171" i="13"/>
  <c r="J205" i="13"/>
  <c r="F37" i="13"/>
  <c r="P14" i="13"/>
  <c r="AB152" i="13"/>
  <c r="Z16" i="13"/>
  <c r="I235" i="13"/>
  <c r="P171" i="13"/>
  <c r="T141" i="13"/>
  <c r="F110" i="13"/>
  <c r="T166" i="13"/>
  <c r="Q199" i="13"/>
  <c r="H72" i="13"/>
  <c r="K211" i="13"/>
  <c r="M45" i="13"/>
  <c r="Z136" i="13"/>
  <c r="J136" i="13"/>
  <c r="S57" i="13"/>
  <c r="T36" i="13"/>
  <c r="I83" i="13"/>
  <c r="W75" i="13"/>
  <c r="H118" i="13"/>
  <c r="Q15" i="13"/>
  <c r="Y69" i="13"/>
  <c r="Q33" i="13"/>
  <c r="Q54" i="13"/>
  <c r="S55" i="13"/>
  <c r="E241" i="13"/>
  <c r="P238" i="13"/>
  <c r="J234" i="13"/>
  <c r="O139" i="13"/>
  <c r="U243" i="13"/>
  <c r="AB46" i="13"/>
  <c r="M245" i="13"/>
  <c r="E87" i="13"/>
  <c r="K100" i="13"/>
  <c r="F92" i="61"/>
  <c r="P27" i="13"/>
  <c r="U86" i="46"/>
  <c r="Y106" i="46"/>
  <c r="AA27" i="46"/>
  <c r="L49" i="46"/>
  <c r="V136" i="46"/>
  <c r="K54" i="46"/>
  <c r="R49" i="46"/>
  <c r="E127" i="46"/>
  <c r="F135" i="46"/>
  <c r="J156" i="46"/>
  <c r="Q16" i="46"/>
  <c r="R77" i="46"/>
  <c r="R60" i="46"/>
  <c r="P109" i="46"/>
  <c r="J117" i="46"/>
  <c r="O90" i="46"/>
  <c r="U29" i="46"/>
  <c r="E101" i="46"/>
  <c r="T52" i="46"/>
  <c r="Q134" i="46"/>
  <c r="E92" i="46"/>
  <c r="T96" i="46"/>
  <c r="S6" i="46"/>
  <c r="H8" i="46"/>
  <c r="U62" i="46"/>
  <c r="K131" i="46"/>
  <c r="S131" i="46"/>
  <c r="W148" i="46"/>
  <c r="V7" i="46"/>
  <c r="M28" i="46"/>
  <c r="Q20" i="46"/>
  <c r="P24" i="46"/>
  <c r="V127" i="46"/>
  <c r="X21" i="46"/>
  <c r="Z128" i="46"/>
  <c r="C133" i="46"/>
  <c r="U59" i="46"/>
  <c r="U125" i="46"/>
  <c r="I130" i="46"/>
  <c r="C22" i="46"/>
  <c r="Y147" i="46"/>
  <c r="T77" i="46"/>
  <c r="U83" i="46"/>
  <c r="U46" i="46"/>
  <c r="R63" i="46"/>
  <c r="X105" i="46"/>
  <c r="J146" i="46"/>
  <c r="H128" i="46"/>
  <c r="C99" i="46"/>
  <c r="U99" i="46"/>
  <c r="P141" i="46"/>
  <c r="O37" i="46"/>
  <c r="I7" i="46"/>
  <c r="X47" i="46"/>
  <c r="X94" i="46"/>
  <c r="Y75" i="46"/>
  <c r="O7" i="46"/>
  <c r="I50" i="46"/>
  <c r="G19" i="46"/>
  <c r="H24" i="46"/>
  <c r="P11" i="46"/>
  <c r="D69" i="46"/>
  <c r="N148" i="46"/>
  <c r="D55" i="46"/>
  <c r="H152" i="46"/>
  <c r="Y118" i="46"/>
  <c r="AA66" i="46"/>
  <c r="F72" i="46"/>
  <c r="F75" i="46"/>
  <c r="D109" i="46"/>
  <c r="K132" i="46"/>
  <c r="R52" i="46"/>
  <c r="J89" i="46"/>
  <c r="T118" i="46"/>
  <c r="X71" i="46"/>
  <c r="K62" i="46"/>
  <c r="Q108" i="46"/>
  <c r="Y152" i="46"/>
  <c r="X123" i="46"/>
  <c r="P146" i="46"/>
  <c r="T148" i="46"/>
  <c r="N54" i="46"/>
  <c r="E16" i="46"/>
  <c r="W153" i="46"/>
  <c r="U145" i="46"/>
  <c r="AA62" i="46"/>
  <c r="J62" i="46"/>
  <c r="Q35" i="46"/>
  <c r="I21" i="46"/>
  <c r="V51" i="46"/>
  <c r="P26" i="46"/>
  <c r="W55" i="46"/>
  <c r="R139" i="46"/>
  <c r="T92" i="46"/>
  <c r="X65" i="46"/>
  <c r="C151" i="46"/>
  <c r="Q150" i="46"/>
  <c r="O10" i="46"/>
  <c r="I75" i="46"/>
  <c r="W30" i="46"/>
  <c r="X48" i="46"/>
  <c r="U107" i="46"/>
  <c r="L113" i="46"/>
  <c r="R126" i="46"/>
  <c r="K46" i="46"/>
  <c r="G75" i="46"/>
  <c r="O6" i="46"/>
  <c r="V56" i="46"/>
  <c r="Q69" i="46"/>
  <c r="I146" i="46"/>
  <c r="F131" i="46"/>
  <c r="Y51" i="46"/>
  <c r="Z75" i="46"/>
  <c r="H37" i="46"/>
  <c r="I133" i="46"/>
  <c r="AA102" i="46"/>
  <c r="O20" i="46"/>
  <c r="O31" i="46"/>
  <c r="R89" i="46"/>
  <c r="N142" i="46"/>
  <c r="T78" i="46"/>
  <c r="H149" i="46"/>
  <c r="C62" i="46"/>
  <c r="H111" i="46"/>
  <c r="E135" i="46"/>
  <c r="K111" i="46"/>
  <c r="C53" i="46"/>
  <c r="J110" i="46"/>
  <c r="R134" i="46"/>
  <c r="H136" i="46"/>
  <c r="M19" i="46"/>
  <c r="E102" i="46"/>
  <c r="H56" i="46"/>
  <c r="Z71" i="46"/>
  <c r="C140" i="46"/>
  <c r="D134" i="46"/>
  <c r="Q77" i="46"/>
  <c r="E108" i="46"/>
  <c r="G85" i="46"/>
  <c r="Y154" i="46"/>
  <c r="S142" i="46"/>
  <c r="Z145" i="46"/>
  <c r="M114" i="46"/>
  <c r="N141" i="46"/>
  <c r="I90" i="46"/>
  <c r="AA54" i="46"/>
  <c r="Z99" i="46"/>
  <c r="D37" i="46"/>
  <c r="V106" i="46"/>
  <c r="M64" i="46"/>
  <c r="C6" i="46"/>
  <c r="L85" i="46"/>
  <c r="K59" i="46"/>
  <c r="Y123" i="46"/>
  <c r="X70" i="46"/>
  <c r="T131" i="46"/>
  <c r="G60" i="46"/>
  <c r="D130" i="46"/>
  <c r="V5" i="46"/>
  <c r="J10" i="46"/>
  <c r="AA46" i="46"/>
  <c r="AA18" i="46"/>
  <c r="N62" i="46"/>
  <c r="L156" i="46"/>
  <c r="G70" i="46"/>
  <c r="W109" i="46"/>
  <c r="O47" i="46"/>
  <c r="F32" i="46"/>
  <c r="AA139" i="46"/>
  <c r="Y17" i="46"/>
  <c r="S22" i="46"/>
  <c r="Z100" i="46"/>
  <c r="C65" i="46"/>
  <c r="AA71" i="46"/>
  <c r="R130" i="46"/>
  <c r="V111" i="46"/>
  <c r="K94" i="46"/>
  <c r="O143" i="46"/>
  <c r="T64" i="46"/>
  <c r="W92" i="46"/>
  <c r="Y22" i="46"/>
  <c r="G29" i="46"/>
  <c r="O25" i="46"/>
  <c r="H129" i="46"/>
  <c r="O85" i="46"/>
  <c r="Q91" i="46"/>
  <c r="G144" i="46"/>
  <c r="C84" i="46"/>
  <c r="M6" i="46"/>
  <c r="C32" i="46"/>
  <c r="I12" i="46"/>
  <c r="M152" i="46"/>
  <c r="O98" i="46"/>
  <c r="D11" i="46"/>
  <c r="J95" i="46"/>
  <c r="F128" i="46"/>
  <c r="S97" i="46"/>
  <c r="I141" i="46"/>
  <c r="H14" i="46"/>
  <c r="X20" i="46"/>
  <c r="P117" i="46"/>
  <c r="AA134" i="46"/>
  <c r="V22" i="46"/>
  <c r="G34" i="46"/>
  <c r="S155" i="46"/>
  <c r="Y45" i="46"/>
  <c r="Q94" i="46"/>
  <c r="T136" i="46"/>
  <c r="G47" i="46"/>
  <c r="P139" i="46"/>
  <c r="W103" i="46"/>
  <c r="N70" i="46"/>
  <c r="K57" i="46"/>
  <c r="H133" i="46"/>
  <c r="S150" i="46"/>
  <c r="J12" i="46"/>
  <c r="Y27" i="46"/>
  <c r="Q66" i="46"/>
  <c r="H87" i="46"/>
  <c r="K124" i="46"/>
  <c r="V95" i="46"/>
  <c r="Q127" i="46"/>
  <c r="E151" i="46"/>
  <c r="V16" i="46"/>
  <c r="O103" i="46"/>
  <c r="Q98" i="46"/>
  <c r="K130" i="46"/>
  <c r="M31" i="46"/>
  <c r="V12" i="46"/>
  <c r="I30" i="46"/>
  <c r="F46" i="46"/>
  <c r="H27" i="46"/>
  <c r="S53" i="46"/>
  <c r="N156" i="46"/>
  <c r="E8" i="46"/>
  <c r="M52" i="46"/>
  <c r="V18" i="46"/>
  <c r="U141" i="46"/>
  <c r="S29" i="46"/>
  <c r="Q17" i="46"/>
  <c r="K142" i="46"/>
  <c r="F45" i="46"/>
  <c r="O64" i="46"/>
  <c r="M68" i="46"/>
  <c r="P62" i="46"/>
  <c r="M74" i="46"/>
  <c r="D85" i="46"/>
  <c r="I35" i="46"/>
  <c r="R148" i="46"/>
  <c r="C26" i="46"/>
  <c r="M17" i="46"/>
  <c r="P48" i="46"/>
  <c r="AA24" i="46"/>
  <c r="Y101" i="46"/>
  <c r="I10" i="46"/>
  <c r="G22" i="46"/>
  <c r="K18" i="46"/>
  <c r="L29" i="46"/>
  <c r="C61" i="46"/>
  <c r="U15" i="46"/>
  <c r="AA106" i="46"/>
  <c r="D31" i="46"/>
  <c r="V29" i="46"/>
  <c r="L44" i="46"/>
  <c r="J61" i="46"/>
  <c r="N19" i="46"/>
  <c r="J145" i="46"/>
  <c r="I142" i="46"/>
  <c r="S79" i="46"/>
  <c r="W100" i="46"/>
  <c r="H47" i="46"/>
  <c r="W68" i="46"/>
  <c r="E61" i="46"/>
  <c r="W24" i="46"/>
  <c r="O140" i="46"/>
  <c r="C8" i="46"/>
  <c r="R47" i="46"/>
  <c r="I122" i="46"/>
  <c r="V92" i="46"/>
  <c r="N132" i="46"/>
  <c r="L100" i="46"/>
  <c r="D7" i="46"/>
  <c r="J19" i="46"/>
  <c r="U136" i="46"/>
  <c r="E118" i="46"/>
  <c r="R84" i="46"/>
  <c r="S15" i="46"/>
  <c r="AA49" i="46"/>
  <c r="W5" i="46"/>
  <c r="Z65" i="46"/>
  <c r="X124" i="46"/>
  <c r="T138" i="46"/>
  <c r="M75" i="46"/>
  <c r="S156" i="46"/>
  <c r="Z46" i="46"/>
  <c r="S134" i="46"/>
  <c r="O61" i="46"/>
  <c r="G58" i="46"/>
  <c r="E48" i="46"/>
  <c r="Q156" i="46"/>
  <c r="F140" i="46"/>
  <c r="P95" i="46"/>
  <c r="V108" i="46"/>
  <c r="C124" i="46"/>
  <c r="S101" i="46"/>
  <c r="G109" i="46"/>
  <c r="L89" i="46"/>
  <c r="K100" i="46"/>
  <c r="S105" i="46"/>
  <c r="W6" i="46"/>
  <c r="X96" i="46"/>
  <c r="H99" i="46"/>
  <c r="M123" i="46"/>
  <c r="U49" i="46"/>
  <c r="H113" i="46"/>
  <c r="I114" i="46"/>
  <c r="J92" i="46"/>
  <c r="Z29" i="46"/>
  <c r="Q72" i="46"/>
  <c r="W139" i="46"/>
  <c r="S67" i="46"/>
  <c r="D142" i="46"/>
  <c r="F136" i="46"/>
  <c r="Z146" i="46"/>
  <c r="V14" i="46"/>
  <c r="AA78" i="46"/>
  <c r="X83" i="46"/>
  <c r="P104" i="46"/>
  <c r="M21" i="46"/>
  <c r="I143" i="46"/>
  <c r="F39" i="46"/>
  <c r="C55" i="46"/>
  <c r="F47" i="46"/>
  <c r="Q139" i="46"/>
  <c r="J18" i="46"/>
  <c r="U100" i="46"/>
  <c r="N40" i="46"/>
  <c r="U114" i="46"/>
  <c r="C23" i="46"/>
  <c r="L157" i="46"/>
  <c r="Z144" i="46"/>
  <c r="X69" i="46"/>
  <c r="W128" i="46"/>
  <c r="Z5" i="46"/>
  <c r="E104" i="46"/>
  <c r="U14" i="46"/>
  <c r="C69" i="46"/>
  <c r="Z126" i="46"/>
  <c r="R156" i="46"/>
  <c r="L101" i="46"/>
  <c r="G54" i="46"/>
  <c r="C36" i="46"/>
  <c r="AA36" i="46"/>
  <c r="T98" i="46"/>
  <c r="C100" i="46"/>
  <c r="D133" i="46"/>
  <c r="I94" i="46"/>
  <c r="M51" i="46"/>
  <c r="H92" i="46"/>
  <c r="O9" i="46"/>
  <c r="U75" i="46"/>
  <c r="S113" i="46"/>
  <c r="D135" i="46"/>
  <c r="O34" i="46"/>
  <c r="N146" i="46"/>
  <c r="H63" i="46"/>
  <c r="V129" i="46"/>
  <c r="R92" i="46"/>
  <c r="O75" i="46"/>
  <c r="P90" i="46"/>
  <c r="Q125" i="46"/>
  <c r="W79" i="46"/>
  <c r="L110" i="46"/>
  <c r="D9" i="46"/>
  <c r="U7" i="46"/>
  <c r="U10" i="46"/>
  <c r="M99" i="46"/>
  <c r="Z21" i="46"/>
  <c r="AA17" i="46"/>
  <c r="G107" i="46"/>
  <c r="H73" i="46"/>
  <c r="H145" i="46"/>
  <c r="J155" i="46"/>
  <c r="V89" i="46"/>
  <c r="G130" i="46"/>
  <c r="K72" i="46"/>
  <c r="I100" i="46"/>
  <c r="O52" i="46"/>
  <c r="S50" i="46"/>
  <c r="T85" i="46"/>
  <c r="P113" i="46"/>
  <c r="W28" i="46"/>
  <c r="W142" i="46"/>
  <c r="G102" i="46"/>
  <c r="S8" i="46"/>
  <c r="Q155" i="46"/>
  <c r="K45" i="46"/>
  <c r="N27" i="46"/>
  <c r="O117" i="46"/>
  <c r="C117" i="46"/>
  <c r="D83" i="46"/>
  <c r="Y124" i="46"/>
  <c r="W108" i="46"/>
  <c r="X73" i="46"/>
  <c r="O65" i="46"/>
  <c r="K88" i="46"/>
  <c r="G21" i="46"/>
  <c r="U150" i="46"/>
  <c r="C17" i="46"/>
  <c r="R7" i="46"/>
  <c r="Q153" i="46"/>
  <c r="O102" i="46"/>
  <c r="R10" i="46"/>
  <c r="H50" i="46"/>
  <c r="I137" i="46"/>
  <c r="AA55" i="46"/>
  <c r="I55" i="46"/>
  <c r="F102" i="46"/>
  <c r="C28" i="46"/>
  <c r="K146" i="46"/>
  <c r="J74" i="46"/>
  <c r="W48" i="46"/>
  <c r="E5" i="46"/>
  <c r="S123" i="46"/>
  <c r="Y135" i="46"/>
  <c r="Q30" i="46"/>
  <c r="V15" i="46"/>
  <c r="Z106" i="46"/>
  <c r="E113" i="46"/>
  <c r="Z64" i="46"/>
  <c r="F54" i="46"/>
  <c r="V55" i="46"/>
  <c r="AA116" i="46"/>
  <c r="O46" i="46"/>
  <c r="I15" i="46"/>
  <c r="X46" i="46"/>
  <c r="P101" i="46"/>
  <c r="F23" i="46"/>
  <c r="M135" i="46"/>
  <c r="C104" i="46"/>
  <c r="G104" i="46"/>
  <c r="N23" i="46"/>
  <c r="G141" i="46"/>
  <c r="D50" i="46"/>
  <c r="X156" i="46"/>
  <c r="S141" i="46"/>
  <c r="S128" i="46"/>
  <c r="R9" i="46"/>
  <c r="I6" i="46"/>
  <c r="K61" i="46"/>
  <c r="N109" i="46"/>
  <c r="O5" i="46"/>
  <c r="N68" i="46"/>
  <c r="C128" i="46"/>
  <c r="K27" i="46"/>
  <c r="R32" i="46"/>
  <c r="Z148" i="46"/>
  <c r="J30" i="46"/>
  <c r="G72" i="46"/>
  <c r="X95" i="46"/>
  <c r="R108" i="46"/>
  <c r="X109" i="46"/>
  <c r="X108" i="46"/>
  <c r="E98" i="46"/>
  <c r="T88" i="46"/>
  <c r="J38" i="46"/>
  <c r="Z143" i="46"/>
  <c r="S7" i="46"/>
  <c r="X112" i="46"/>
  <c r="Q38" i="46"/>
  <c r="Q55" i="46"/>
  <c r="V140" i="46"/>
  <c r="G77" i="46"/>
  <c r="O66" i="46"/>
  <c r="F134" i="46"/>
  <c r="F87" i="46"/>
  <c r="F129" i="46"/>
  <c r="E147" i="46"/>
  <c r="C95" i="46"/>
  <c r="Z154" i="46"/>
  <c r="E18" i="46"/>
  <c r="W132" i="46"/>
  <c r="E109" i="46"/>
  <c r="K33" i="46"/>
  <c r="X110" i="46"/>
  <c r="O87" i="46"/>
  <c r="X152" i="46"/>
  <c r="R79" i="46"/>
  <c r="M96" i="46"/>
  <c r="Q92" i="46"/>
  <c r="Y104" i="46"/>
  <c r="H107" i="46"/>
  <c r="N55" i="46"/>
  <c r="W51" i="46"/>
  <c r="V114" i="46"/>
  <c r="G114" i="46"/>
  <c r="C38" i="46"/>
  <c r="C58" i="46"/>
  <c r="F117" i="46"/>
  <c r="E22" i="46"/>
  <c r="P10" i="46"/>
  <c r="N8" i="46"/>
  <c r="X72" i="46"/>
  <c r="V76" i="46"/>
  <c r="T154" i="46"/>
  <c r="O130" i="46"/>
  <c r="S64" i="46"/>
  <c r="N122" i="46"/>
  <c r="K64" i="46"/>
  <c r="I109" i="46"/>
  <c r="T58" i="46"/>
  <c r="T97" i="46"/>
  <c r="O67" i="46"/>
  <c r="F67" i="46"/>
  <c r="J143" i="46"/>
  <c r="K6" i="46"/>
  <c r="K125" i="46"/>
  <c r="AA85" i="46"/>
  <c r="F100" i="46"/>
  <c r="T105" i="46"/>
  <c r="AA108" i="46"/>
  <c r="D48" i="46"/>
  <c r="U47" i="46"/>
  <c r="C90" i="46"/>
  <c r="I95" i="46"/>
  <c r="P126" i="46"/>
  <c r="E87" i="46"/>
  <c r="Y56" i="46"/>
  <c r="N44" i="46"/>
  <c r="G94" i="46"/>
  <c r="N95" i="46"/>
  <c r="Q68" i="46"/>
  <c r="P103" i="46"/>
  <c r="X19" i="46"/>
  <c r="R150" i="46"/>
  <c r="H102" i="46"/>
  <c r="G108" i="46"/>
  <c r="N48" i="46"/>
  <c r="Z54" i="46"/>
  <c r="Y76" i="46"/>
  <c r="M93" i="46"/>
  <c r="E95" i="46"/>
  <c r="Q27" i="46"/>
  <c r="X23" i="46"/>
  <c r="T101" i="46"/>
  <c r="I157" i="46"/>
  <c r="U153" i="46"/>
  <c r="S74" i="46"/>
  <c r="Q103" i="46"/>
  <c r="F112" i="46"/>
  <c r="S129" i="46"/>
  <c r="U12" i="46"/>
  <c r="L99" i="46"/>
  <c r="K93" i="46"/>
  <c r="J122" i="46"/>
  <c r="M66" i="46"/>
  <c r="U64" i="46"/>
  <c r="Q63" i="46"/>
  <c r="Z156" i="46"/>
  <c r="M154" i="46"/>
  <c r="D147" i="46"/>
  <c r="X142" i="46"/>
  <c r="F110" i="46"/>
  <c r="V19" i="46"/>
  <c r="O93" i="46"/>
  <c r="D33" i="46"/>
  <c r="G69" i="46"/>
  <c r="T19" i="46"/>
  <c r="O26" i="46"/>
  <c r="I49" i="46"/>
  <c r="P97" i="46"/>
  <c r="G50" i="46"/>
  <c r="O63" i="46"/>
  <c r="L106" i="46"/>
  <c r="I23" i="46"/>
  <c r="O142" i="46"/>
  <c r="U117" i="46"/>
  <c r="W37" i="46"/>
  <c r="D105" i="46"/>
  <c r="M15" i="46"/>
  <c r="R22" i="46"/>
  <c r="U66" i="46"/>
  <c r="V142" i="46"/>
  <c r="I58" i="46"/>
  <c r="N45" i="46"/>
  <c r="M34" i="46"/>
  <c r="P99" i="46"/>
  <c r="T75" i="46"/>
  <c r="Z6" i="46"/>
  <c r="W17" i="46"/>
  <c r="T93" i="46"/>
  <c r="V132" i="46"/>
  <c r="G111" i="46"/>
  <c r="E94" i="46"/>
  <c r="E46" i="46"/>
  <c r="R118" i="46"/>
  <c r="R74" i="46"/>
  <c r="V49" i="46"/>
  <c r="M69" i="46"/>
  <c r="Y21" i="46"/>
  <c r="V124" i="46"/>
  <c r="K118" i="46"/>
  <c r="S75" i="46"/>
  <c r="Y77" i="46"/>
  <c r="Q84" i="46"/>
  <c r="Z141" i="46"/>
  <c r="AA140" i="46"/>
  <c r="Y18" i="46"/>
  <c r="AA148" i="46"/>
  <c r="U32" i="46"/>
  <c r="C39" i="46"/>
  <c r="T53" i="46"/>
  <c r="N24" i="46"/>
  <c r="G13" i="46"/>
  <c r="V156" i="46"/>
  <c r="V34" i="46"/>
  <c r="U84" i="46"/>
  <c r="Q116" i="46"/>
  <c r="G51" i="46"/>
  <c r="AA26" i="46"/>
  <c r="Y139" i="46"/>
  <c r="X29" i="46"/>
  <c r="H88" i="46"/>
  <c r="M148" i="46"/>
  <c r="Q6" i="46"/>
  <c r="U155" i="46"/>
  <c r="D40" i="46"/>
  <c r="X64" i="46"/>
  <c r="D30" i="46"/>
  <c r="F55" i="46"/>
  <c r="L40" i="46"/>
  <c r="D90" i="46"/>
  <c r="N89" i="46"/>
  <c r="U56" i="46"/>
  <c r="W59" i="46"/>
  <c r="V8" i="46"/>
  <c r="Y149" i="46"/>
  <c r="T89" i="46"/>
  <c r="I54" i="46"/>
  <c r="M33" i="46"/>
  <c r="C112" i="46"/>
  <c r="E39" i="46"/>
  <c r="F15" i="46"/>
  <c r="K145" i="46"/>
  <c r="Y38" i="46"/>
  <c r="O44" i="46"/>
  <c r="V6" i="46"/>
  <c r="T13" i="46"/>
  <c r="L48" i="46"/>
  <c r="V96" i="46"/>
  <c r="U116" i="46"/>
  <c r="E111" i="46"/>
  <c r="K144" i="46"/>
  <c r="V60" i="46"/>
  <c r="O95" i="46"/>
  <c r="D100" i="46"/>
  <c r="W131" i="46"/>
  <c r="D35" i="46"/>
  <c r="E31" i="46"/>
  <c r="D86" i="46"/>
  <c r="Q105" i="46"/>
  <c r="F95" i="46"/>
  <c r="F79" i="46"/>
  <c r="O14" i="46"/>
  <c r="J131" i="46"/>
  <c r="M61" i="46"/>
  <c r="W16" i="46"/>
  <c r="M29" i="46"/>
  <c r="C98" i="46"/>
  <c r="J66" i="46"/>
  <c r="W11" i="46"/>
  <c r="Q88" i="46"/>
  <c r="U144" i="46"/>
  <c r="U109" i="46"/>
  <c r="I89" i="46"/>
  <c r="M55" i="46"/>
  <c r="I67" i="46"/>
  <c r="K9" i="46"/>
  <c r="R15" i="46"/>
  <c r="X148" i="46"/>
  <c r="S104" i="46"/>
  <c r="D156" i="46"/>
  <c r="Z58" i="46"/>
  <c r="C131" i="46"/>
  <c r="R29" i="46"/>
  <c r="P102" i="46"/>
  <c r="Q21" i="46"/>
  <c r="Z26" i="46"/>
  <c r="Y49" i="46"/>
  <c r="L59" i="46"/>
  <c r="M56" i="46"/>
  <c r="W102" i="46"/>
  <c r="H49" i="46"/>
  <c r="N131" i="46"/>
  <c r="H116" i="46"/>
  <c r="R149" i="46"/>
  <c r="T79" i="46"/>
  <c r="AA112" i="46"/>
  <c r="X140" i="46"/>
  <c r="N16" i="46"/>
  <c r="Q149" i="46"/>
  <c r="K69" i="46"/>
  <c r="V74" i="46"/>
  <c r="C101" i="46"/>
  <c r="U133" i="46"/>
  <c r="W146" i="46"/>
  <c r="D155" i="46"/>
  <c r="R46" i="46"/>
  <c r="Y9" i="46"/>
  <c r="E145" i="46"/>
  <c r="Z91" i="46"/>
  <c r="P83" i="46"/>
  <c r="V39" i="46"/>
  <c r="O89" i="46"/>
  <c r="H68" i="46"/>
  <c r="F21" i="46"/>
  <c r="L56" i="46"/>
  <c r="W143" i="46"/>
  <c r="P84" i="46"/>
  <c r="N152" i="46"/>
  <c r="K149" i="46"/>
  <c r="P57" i="46"/>
  <c r="Y54" i="46"/>
  <c r="X146" i="46"/>
  <c r="W147" i="46"/>
  <c r="I96" i="46"/>
  <c r="Y74" i="46"/>
  <c r="J47" i="46"/>
  <c r="U108" i="46"/>
  <c r="D84" i="46"/>
  <c r="J5" i="46"/>
  <c r="Y62" i="46"/>
  <c r="R44" i="46"/>
  <c r="Q53" i="46"/>
  <c r="E97" i="46"/>
  <c r="P54" i="46"/>
  <c r="D152" i="46"/>
  <c r="W144" i="46"/>
  <c r="W138" i="46"/>
  <c r="S32" i="46"/>
  <c r="U65" i="46"/>
  <c r="T76" i="46"/>
  <c r="E149" i="46"/>
  <c r="K143" i="46"/>
  <c r="U106" i="46"/>
  <c r="L97" i="46"/>
  <c r="L65" i="46"/>
  <c r="E78" i="46"/>
  <c r="X50" i="46"/>
  <c r="G124" i="46"/>
  <c r="Z134" i="46"/>
  <c r="U142" i="46"/>
  <c r="R38" i="46"/>
  <c r="P21" i="46"/>
  <c r="H156" i="46"/>
  <c r="AA83" i="46"/>
  <c r="V71" i="46"/>
  <c r="C64" i="46"/>
  <c r="N153" i="46"/>
  <c r="Z40" i="46"/>
  <c r="S10" i="46"/>
  <c r="X54" i="46"/>
  <c r="L79" i="46"/>
  <c r="I11" i="46"/>
  <c r="T39" i="46"/>
  <c r="H7" i="46"/>
  <c r="J53" i="46"/>
  <c r="N117" i="46"/>
  <c r="P61" i="46"/>
  <c r="U74" i="46"/>
  <c r="W126" i="46"/>
  <c r="G126" i="46"/>
  <c r="F144" i="46"/>
  <c r="F29" i="46"/>
  <c r="AA114" i="46"/>
  <c r="J31" i="46"/>
  <c r="F93" i="46"/>
  <c r="R146" i="46"/>
  <c r="W9" i="46"/>
  <c r="U111" i="46"/>
  <c r="F96" i="46"/>
  <c r="P17" i="46"/>
  <c r="N58" i="46"/>
  <c r="C88" i="46"/>
  <c r="Q133" i="46"/>
  <c r="H34" i="46"/>
  <c r="T46" i="46"/>
  <c r="U16" i="46"/>
  <c r="Y144" i="46"/>
  <c r="X144" i="46"/>
  <c r="U58" i="46"/>
  <c r="E53" i="46"/>
  <c r="F12" i="46"/>
  <c r="T84" i="46"/>
  <c r="W116" i="46"/>
  <c r="N113" i="46"/>
  <c r="F155" i="46"/>
  <c r="M88" i="46"/>
  <c r="O152" i="46"/>
  <c r="M22" i="46"/>
  <c r="M83" i="46"/>
  <c r="M125" i="46"/>
  <c r="S59" i="46"/>
  <c r="X117" i="46"/>
  <c r="S76" i="46"/>
  <c r="L90" i="46"/>
  <c r="T57" i="46"/>
  <c r="R100" i="46"/>
  <c r="Q28" i="46"/>
  <c r="L129" i="46"/>
  <c r="R64" i="46"/>
  <c r="R102" i="46"/>
  <c r="X63" i="46"/>
  <c r="X35" i="46"/>
  <c r="E96" i="46"/>
  <c r="L72" i="46"/>
  <c r="O91" i="46"/>
  <c r="C107" i="46"/>
  <c r="X53" i="46"/>
  <c r="Q97" i="46"/>
  <c r="M128" i="46"/>
  <c r="E19" i="46"/>
  <c r="D91" i="46"/>
  <c r="S110" i="46"/>
  <c r="T11" i="46"/>
  <c r="H141" i="46"/>
  <c r="P116" i="46"/>
  <c r="O127" i="46"/>
  <c r="K32" i="46"/>
  <c r="M107" i="46"/>
  <c r="C135" i="46"/>
  <c r="J34" i="46"/>
  <c r="I13" i="46"/>
  <c r="G53" i="46"/>
  <c r="K126" i="46"/>
  <c r="Q151" i="46"/>
  <c r="H96" i="46"/>
  <c r="J125" i="46"/>
  <c r="Q7" i="46"/>
  <c r="W27" i="46"/>
  <c r="R61" i="46"/>
  <c r="AA56" i="46"/>
  <c r="Z101" i="46"/>
  <c r="R33" i="46"/>
  <c r="J130" i="46"/>
  <c r="E32" i="46"/>
  <c r="M26" i="46"/>
  <c r="S109" i="46"/>
  <c r="I93" i="46"/>
  <c r="H118" i="46"/>
  <c r="N72" i="46"/>
  <c r="G84" i="46"/>
  <c r="L14" i="46"/>
  <c r="H74" i="46"/>
  <c r="V17" i="46"/>
  <c r="U127" i="46"/>
  <c r="N134" i="46"/>
  <c r="F88" i="46"/>
  <c r="I156" i="46"/>
  <c r="H147" i="46"/>
  <c r="AA5" i="46"/>
  <c r="G39" i="46"/>
  <c r="F107" i="46"/>
  <c r="O23" i="46"/>
  <c r="L98" i="46"/>
  <c r="I26" i="46"/>
  <c r="D17" i="46"/>
  <c r="M54" i="46"/>
  <c r="Z13" i="46"/>
  <c r="R8" i="46"/>
  <c r="I48" i="46"/>
  <c r="U103" i="46"/>
  <c r="K28" i="46"/>
  <c r="L75" i="46"/>
  <c r="L47" i="46"/>
  <c r="S114" i="46"/>
  <c r="C105" i="46"/>
  <c r="S124" i="46"/>
  <c r="O15" i="46"/>
  <c r="W150" i="46"/>
  <c r="L136" i="46"/>
  <c r="K113" i="46"/>
  <c r="E75" i="46"/>
  <c r="C108" i="46"/>
  <c r="E65" i="46"/>
  <c r="T150" i="46"/>
  <c r="Y28" i="46"/>
  <c r="AA113" i="46"/>
  <c r="T91" i="46"/>
  <c r="P5" i="46"/>
  <c r="T149" i="46"/>
  <c r="G145" i="46"/>
  <c r="L138" i="46"/>
  <c r="J144" i="46"/>
  <c r="Z53" i="46"/>
  <c r="I63" i="46"/>
  <c r="Y31" i="46"/>
  <c r="Z114" i="46"/>
  <c r="D88" i="46"/>
  <c r="N97" i="46"/>
  <c r="Y85" i="46"/>
  <c r="K16" i="46"/>
  <c r="T129" i="46"/>
  <c r="E138" i="46"/>
  <c r="N126" i="46"/>
  <c r="G146" i="46"/>
  <c r="V113" i="46"/>
  <c r="X87" i="46"/>
  <c r="E130" i="46"/>
  <c r="J105" i="46"/>
  <c r="V128" i="46"/>
  <c r="J83" i="46"/>
  <c r="J138" i="46"/>
  <c r="O157" i="46"/>
  <c r="Z34" i="46"/>
  <c r="O48" i="46"/>
  <c r="N151" i="46"/>
  <c r="N13" i="46"/>
  <c r="U130" i="46"/>
  <c r="K30" i="46"/>
  <c r="L30" i="46"/>
  <c r="O150" i="46"/>
  <c r="Q89" i="46"/>
  <c r="J58" i="46"/>
  <c r="F130" i="46"/>
  <c r="F14" i="46"/>
  <c r="E74" i="46"/>
  <c r="F52" i="46"/>
  <c r="G87" i="46"/>
  <c r="Y137" i="46"/>
  <c r="K154" i="46"/>
  <c r="X136" i="46"/>
  <c r="E54" i="46"/>
  <c r="G59" i="46"/>
  <c r="P28" i="46"/>
  <c r="Z69" i="46"/>
  <c r="E67" i="46"/>
  <c r="S94" i="46"/>
  <c r="H78" i="46"/>
  <c r="G139" i="46"/>
  <c r="J101" i="46"/>
  <c r="C146" i="46"/>
  <c r="AA100" i="46"/>
  <c r="C56" i="46"/>
  <c r="I136" i="46"/>
  <c r="S33" i="46"/>
  <c r="N7" i="46"/>
  <c r="Z102" i="46"/>
  <c r="C139" i="46"/>
  <c r="W137" i="46"/>
  <c r="R90" i="46"/>
  <c r="Y92" i="46"/>
  <c r="J103" i="46"/>
  <c r="Y72" i="46"/>
  <c r="P144" i="46"/>
  <c r="L70" i="46"/>
  <c r="I29" i="46"/>
  <c r="I61" i="46"/>
  <c r="AA111" i="46"/>
  <c r="X125" i="46"/>
  <c r="H71" i="46"/>
  <c r="F49" i="46"/>
  <c r="M71" i="46"/>
  <c r="W70" i="46"/>
  <c r="D70" i="46"/>
  <c r="W95" i="46"/>
  <c r="O88" i="46"/>
  <c r="T40" i="46"/>
  <c r="O11" i="46"/>
  <c r="S152" i="46"/>
  <c r="Q65" i="46"/>
  <c r="P69" i="46"/>
  <c r="Y5" i="46"/>
  <c r="Q112" i="46"/>
  <c r="M116" i="46"/>
  <c r="Z118" i="46"/>
  <c r="Z97" i="46"/>
  <c r="K52" i="46"/>
  <c r="E24" i="46"/>
  <c r="G33" i="46"/>
  <c r="Z25" i="46"/>
  <c r="O71" i="46"/>
  <c r="J48" i="46"/>
  <c r="D29" i="46"/>
  <c r="W135" i="46"/>
  <c r="R31" i="46"/>
  <c r="J9" i="46"/>
  <c r="U88" i="46"/>
  <c r="V11" i="46"/>
  <c r="W125" i="46"/>
  <c r="R142" i="46"/>
  <c r="S145" i="46"/>
  <c r="D92" i="46"/>
  <c r="I32" i="46"/>
  <c r="L83" i="46"/>
  <c r="M32" i="46"/>
  <c r="N30" i="46"/>
  <c r="Y19" i="46"/>
  <c r="N38" i="46"/>
  <c r="Q76" i="46"/>
  <c r="S148" i="46"/>
  <c r="X141" i="46"/>
  <c r="S62" i="46"/>
  <c r="R58" i="46"/>
  <c r="AA96" i="46"/>
  <c r="K98" i="46"/>
  <c r="AA29" i="46"/>
  <c r="E51" i="46"/>
  <c r="E64" i="46"/>
  <c r="C111" i="46"/>
  <c r="C33" i="46"/>
  <c r="Q85" i="46"/>
  <c r="Y59" i="46"/>
  <c r="E72" i="46"/>
  <c r="W22" i="46"/>
  <c r="G101" i="46"/>
  <c r="I104" i="46"/>
  <c r="E66" i="46"/>
  <c r="H90" i="46"/>
  <c r="F151" i="46"/>
  <c r="R129" i="46"/>
  <c r="F77" i="46"/>
  <c r="W115" i="46"/>
  <c r="G135" i="46"/>
  <c r="X10" i="46"/>
  <c r="S95" i="46"/>
  <c r="L69" i="46"/>
  <c r="V103" i="46"/>
  <c r="E7" i="46"/>
  <c r="V157" i="46"/>
  <c r="E134" i="46"/>
  <c r="K152" i="46"/>
  <c r="T74" i="46"/>
  <c r="Q32" i="46"/>
  <c r="Y122" i="46"/>
  <c r="P154" i="46"/>
  <c r="P74" i="46"/>
  <c r="Y83" i="46"/>
  <c r="I123" i="46"/>
  <c r="H33" i="46"/>
  <c r="T100" i="46"/>
  <c r="Q14" i="46"/>
  <c r="W20" i="46"/>
  <c r="J29" i="46"/>
  <c r="W155" i="46"/>
  <c r="F28" i="46"/>
  <c r="M100" i="46"/>
  <c r="U25" i="46"/>
  <c r="E146" i="46"/>
  <c r="G27" i="46"/>
  <c r="U63" i="46"/>
  <c r="P105" i="46"/>
  <c r="I138" i="46"/>
  <c r="W8" i="46"/>
  <c r="X85" i="46"/>
  <c r="X106" i="46"/>
  <c r="H127" i="46"/>
  <c r="P23" i="46"/>
  <c r="Q54" i="46"/>
  <c r="P147" i="46"/>
  <c r="T25" i="46"/>
  <c r="V88" i="46"/>
  <c r="S125" i="46"/>
  <c r="N75" i="46"/>
  <c r="G96" i="46"/>
  <c r="Q48" i="46"/>
  <c r="E36" i="46"/>
  <c r="V75" i="46"/>
  <c r="J104" i="46"/>
  <c r="R128" i="46"/>
  <c r="Y132" i="46"/>
  <c r="R143" i="46"/>
  <c r="U147" i="46"/>
  <c r="S108" i="46"/>
  <c r="H142" i="46"/>
  <c r="R127" i="46"/>
  <c r="R154" i="46"/>
  <c r="T133" i="46"/>
  <c r="Y129" i="46"/>
  <c r="K90" i="46"/>
  <c r="S126" i="46"/>
  <c r="V86" i="46"/>
  <c r="AA90" i="46"/>
  <c r="L108" i="46"/>
  <c r="J128" i="46"/>
  <c r="AA117" i="46"/>
  <c r="I27" i="46"/>
  <c r="C20" i="46"/>
  <c r="J97" i="46"/>
  <c r="H18" i="46"/>
  <c r="F58" i="46"/>
  <c r="X62" i="46"/>
  <c r="AA143" i="46"/>
  <c r="Z130" i="46"/>
  <c r="F27" i="46"/>
  <c r="H5" i="46"/>
  <c r="S63" i="46"/>
  <c r="Y32" i="46"/>
  <c r="L67" i="46"/>
  <c r="Q123" i="46"/>
  <c r="T9" i="46"/>
  <c r="T90" i="46"/>
  <c r="O115" i="46"/>
  <c r="Z72" i="46"/>
  <c r="Z52" i="46"/>
  <c r="R131" i="46"/>
  <c r="AA157" i="46"/>
  <c r="V94" i="46"/>
  <c r="K155" i="46"/>
  <c r="Q73" i="46"/>
  <c r="X67" i="46"/>
  <c r="Z61" i="46"/>
  <c r="K122" i="46"/>
  <c r="E35" i="46"/>
  <c r="V99" i="46"/>
  <c r="W149" i="46"/>
  <c r="AA33" i="46"/>
  <c r="S14" i="46"/>
  <c r="P72" i="46"/>
  <c r="AA39" i="46"/>
  <c r="P100" i="46"/>
  <c r="T124" i="46"/>
  <c r="S60" i="46"/>
  <c r="T139" i="46"/>
  <c r="H12" i="46"/>
  <c r="U28" i="46"/>
  <c r="N56" i="46"/>
  <c r="R83" i="46"/>
  <c r="H59" i="46"/>
  <c r="I20" i="46"/>
  <c r="I99" i="46"/>
  <c r="G12" i="46"/>
  <c r="F83" i="46"/>
  <c r="M98" i="46"/>
  <c r="O38" i="46"/>
  <c r="T49" i="46"/>
  <c r="O126" i="46"/>
  <c r="O59" i="46"/>
  <c r="P143" i="46"/>
  <c r="D73" i="46"/>
  <c r="F138" i="46"/>
  <c r="O129" i="46"/>
  <c r="K66" i="46"/>
  <c r="N32" i="46"/>
  <c r="AA86" i="46"/>
  <c r="E88" i="46"/>
  <c r="C91" i="46"/>
  <c r="L105" i="46"/>
  <c r="U95" i="46"/>
  <c r="H143" i="46"/>
  <c r="T22" i="46"/>
  <c r="H83" i="46"/>
  <c r="M45" i="46"/>
  <c r="C156" i="46"/>
  <c r="Y110" i="46"/>
  <c r="AA50" i="46"/>
  <c r="P7" i="46"/>
  <c r="N96" i="46"/>
  <c r="H36" i="46"/>
  <c r="G156" i="46"/>
  <c r="L118" i="46"/>
  <c r="K99" i="46"/>
  <c r="Z122" i="46"/>
  <c r="Z27" i="46"/>
  <c r="U123" i="46"/>
  <c r="C126" i="46"/>
  <c r="J46" i="46"/>
  <c r="C103" i="46"/>
  <c r="P92" i="46"/>
  <c r="J72" i="46"/>
  <c r="S102" i="46"/>
  <c r="C141" i="46"/>
  <c r="S26" i="46"/>
  <c r="N36" i="46"/>
  <c r="P122" i="46"/>
  <c r="J153" i="46"/>
  <c r="V116" i="46"/>
  <c r="X36" i="46"/>
  <c r="M91" i="46"/>
  <c r="G118" i="46"/>
  <c r="O21" i="46"/>
  <c r="O19" i="46"/>
  <c r="C89" i="46"/>
  <c r="O53" i="46"/>
  <c r="O28" i="46"/>
  <c r="AA110" i="46"/>
  <c r="E83" i="46"/>
  <c r="U87" i="46"/>
  <c r="AA84" i="46"/>
  <c r="P37" i="46"/>
  <c r="Q9" i="46"/>
  <c r="R109" i="46"/>
  <c r="H140" i="46"/>
  <c r="W63" i="46"/>
  <c r="H69" i="46"/>
  <c r="E144" i="46"/>
  <c r="V45" i="46"/>
  <c r="L94" i="46"/>
  <c r="V147" i="46"/>
  <c r="D108" i="46"/>
  <c r="R104" i="46"/>
  <c r="C76" i="46"/>
  <c r="Q34" i="46"/>
  <c r="F51" i="46"/>
  <c r="Z96" i="46"/>
  <c r="X31" i="46"/>
  <c r="P152" i="46"/>
  <c r="Z36" i="46"/>
  <c r="E79" i="46"/>
  <c r="AA151" i="46"/>
  <c r="G86" i="46"/>
  <c r="I106" i="46"/>
  <c r="AA89" i="46"/>
  <c r="V46" i="46"/>
  <c r="W88" i="46"/>
  <c r="X38" i="46"/>
  <c r="M78" i="46"/>
  <c r="C16" i="46"/>
  <c r="S93" i="46"/>
  <c r="S132" i="46"/>
  <c r="C10" i="46"/>
  <c r="F6" i="46"/>
  <c r="AA124" i="46"/>
  <c r="N15" i="46"/>
  <c r="J108" i="46"/>
  <c r="G123" i="46"/>
  <c r="J106" i="46"/>
  <c r="L6" i="46"/>
  <c r="I144" i="46"/>
  <c r="F98" i="46"/>
  <c r="N50" i="46"/>
  <c r="R112" i="46"/>
  <c r="I124" i="46"/>
  <c r="K148" i="46"/>
  <c r="D32" i="46"/>
  <c r="U118" i="46"/>
  <c r="W56" i="46"/>
  <c r="AA70" i="46"/>
  <c r="Z14" i="46"/>
  <c r="T109" i="46"/>
  <c r="O68" i="46"/>
  <c r="R152" i="46"/>
  <c r="L123" i="46"/>
  <c r="F44" i="46"/>
  <c r="D22" i="46"/>
  <c r="Q96" i="46"/>
  <c r="J133" i="46"/>
  <c r="V98" i="46"/>
  <c r="Y96" i="46"/>
  <c r="P112" i="46"/>
  <c r="R140" i="46"/>
  <c r="C52" i="46"/>
  <c r="J20" i="46"/>
  <c r="S51" i="46"/>
  <c r="E105" i="46"/>
  <c r="H15" i="46"/>
  <c r="I69" i="46"/>
  <c r="H61" i="46"/>
  <c r="Z24" i="46"/>
  <c r="G36" i="46"/>
  <c r="M77" i="46"/>
  <c r="W90" i="46"/>
  <c r="R5" i="46"/>
  <c r="S106" i="46"/>
  <c r="U18" i="46"/>
  <c r="W21" i="46"/>
  <c r="Y146" i="46"/>
  <c r="W123" i="46"/>
  <c r="I103" i="46"/>
  <c r="J71" i="46"/>
  <c r="N88" i="46"/>
  <c r="T34" i="46"/>
  <c r="D26" i="46"/>
  <c r="D128" i="46"/>
  <c r="Y44" i="46"/>
  <c r="K117" i="46"/>
  <c r="I118" i="46"/>
  <c r="V65" i="46"/>
  <c r="F152" i="46"/>
  <c r="K84" i="46"/>
  <c r="O139" i="46"/>
  <c r="S52" i="46"/>
  <c r="U93" i="46"/>
  <c r="Z63" i="46"/>
  <c r="P88" i="46"/>
  <c r="Y98" i="46"/>
  <c r="D118" i="46"/>
  <c r="M37" i="46"/>
  <c r="I128" i="46"/>
  <c r="V151" i="46"/>
  <c r="R6" i="46"/>
  <c r="Y151" i="46"/>
  <c r="J17" i="46"/>
  <c r="Q106" i="46"/>
  <c r="R66" i="46"/>
  <c r="N87" i="46"/>
  <c r="V24" i="46"/>
  <c r="S66" i="46"/>
  <c r="T45" i="46"/>
  <c r="AA47" i="46"/>
  <c r="D112" i="46"/>
  <c r="Y29" i="46"/>
  <c r="C74" i="46"/>
  <c r="F62" i="46"/>
  <c r="M104" i="46"/>
  <c r="W61" i="46"/>
  <c r="L127" i="46"/>
  <c r="Q13" i="46"/>
  <c r="X61" i="46"/>
  <c r="Q135" i="46"/>
  <c r="W114" i="46"/>
  <c r="Y88" i="46"/>
  <c r="T128" i="46"/>
  <c r="D146" i="46"/>
  <c r="AA23" i="46"/>
  <c r="Q46" i="46"/>
  <c r="U35" i="46"/>
  <c r="Y142" i="46"/>
  <c r="H114" i="46"/>
  <c r="K8" i="46"/>
  <c r="T28" i="46"/>
  <c r="P44" i="46"/>
  <c r="Z73" i="46"/>
  <c r="F133" i="46"/>
  <c r="L19" i="46"/>
  <c r="D60" i="46"/>
  <c r="G16" i="46"/>
  <c r="S127" i="46"/>
  <c r="H103" i="46"/>
  <c r="J109" i="46"/>
  <c r="L124" i="46"/>
  <c r="I152" i="46"/>
  <c r="T123" i="46"/>
  <c r="T143" i="46"/>
  <c r="L117" i="46"/>
  <c r="K112" i="46"/>
  <c r="X99" i="46"/>
  <c r="O40" i="46"/>
  <c r="Q124" i="46"/>
  <c r="N157" i="46"/>
  <c r="H144" i="46"/>
  <c r="D10" i="46"/>
  <c r="Y115" i="46"/>
  <c r="S92" i="46"/>
  <c r="D5" i="46"/>
  <c r="Q22" i="46"/>
  <c r="D94" i="46"/>
  <c r="M139" i="46"/>
  <c r="H66" i="46"/>
  <c r="D74" i="46"/>
  <c r="J114" i="46"/>
  <c r="W14" i="46"/>
  <c r="D124" i="46"/>
  <c r="N108" i="46"/>
  <c r="X33" i="46"/>
  <c r="D75" i="46"/>
  <c r="Q74" i="46"/>
  <c r="I87" i="46"/>
  <c r="T135" i="46"/>
  <c r="I16" i="46"/>
  <c r="M35" i="46"/>
  <c r="Z39" i="46"/>
  <c r="X128" i="46"/>
  <c r="D53" i="46"/>
  <c r="X77" i="46"/>
  <c r="C147" i="46"/>
  <c r="W140" i="46"/>
  <c r="G62" i="46"/>
  <c r="L150" i="46"/>
  <c r="C77" i="46"/>
  <c r="T141" i="46"/>
  <c r="Y58" i="46"/>
  <c r="C67" i="46"/>
  <c r="V146" i="46"/>
  <c r="C125" i="46"/>
  <c r="N10" i="46"/>
  <c r="R13" i="46"/>
  <c r="M134" i="46"/>
  <c r="Z78" i="46"/>
  <c r="K36" i="46"/>
  <c r="R94" i="46"/>
  <c r="M131" i="46"/>
  <c r="Z151" i="46"/>
  <c r="O141" i="46"/>
  <c r="K135" i="46"/>
  <c r="F38" i="46"/>
  <c r="L103" i="46"/>
  <c r="R19" i="46"/>
  <c r="I76" i="46"/>
  <c r="X101" i="46"/>
  <c r="D97" i="46"/>
  <c r="S136" i="46"/>
  <c r="N137" i="46"/>
  <c r="L104" i="46"/>
  <c r="M48" i="46"/>
  <c r="P114" i="46"/>
  <c r="AA129" i="46"/>
  <c r="W152" i="46"/>
  <c r="M155" i="46"/>
  <c r="S87" i="46"/>
  <c r="E90" i="46"/>
  <c r="Q33" i="46"/>
  <c r="K156" i="46"/>
  <c r="S28" i="46"/>
  <c r="D96" i="46"/>
  <c r="E112" i="46"/>
  <c r="AA16" i="46"/>
  <c r="T55" i="46"/>
  <c r="Q118" i="46"/>
  <c r="D27" i="46"/>
  <c r="X60" i="46"/>
  <c r="D39" i="46"/>
  <c r="E137" i="46"/>
  <c r="W87" i="46"/>
  <c r="P36" i="46"/>
  <c r="AA135" i="46"/>
  <c r="P20" i="46"/>
  <c r="M65" i="46"/>
  <c r="F94" i="46"/>
  <c r="K89" i="46"/>
  <c r="V26" i="46"/>
  <c r="U30" i="46"/>
  <c r="V139" i="46"/>
  <c r="AA122" i="46"/>
  <c r="U68" i="46"/>
  <c r="E117" i="46"/>
  <c r="I132" i="46"/>
  <c r="O72" i="46"/>
  <c r="P135" i="46"/>
  <c r="O113" i="46"/>
  <c r="W99" i="46"/>
  <c r="L46" i="46"/>
  <c r="Y15" i="46"/>
  <c r="O35" i="46"/>
  <c r="H137" i="46"/>
  <c r="X52" i="46"/>
  <c r="H55" i="46"/>
  <c r="K86" i="46"/>
  <c r="P50" i="46"/>
  <c r="N104" i="46"/>
  <c r="Z139" i="46"/>
  <c r="G92" i="46"/>
  <c r="K5" i="46"/>
  <c r="C97" i="46"/>
  <c r="F10" i="46"/>
  <c r="S118" i="46"/>
  <c r="W38" i="46"/>
  <c r="J75" i="46"/>
  <c r="J52" i="46"/>
  <c r="T8" i="46"/>
  <c r="R123" i="46"/>
  <c r="T146" i="46"/>
  <c r="W69" i="46"/>
  <c r="N29" i="46"/>
  <c r="D157" i="46"/>
  <c r="P76" i="46"/>
  <c r="H67" i="46"/>
  <c r="K96" i="46"/>
  <c r="AA103" i="46"/>
  <c r="J79" i="46"/>
  <c r="X154" i="46"/>
  <c r="G133" i="46"/>
  <c r="T69" i="46"/>
  <c r="Q140" i="46"/>
  <c r="P115" i="46"/>
  <c r="G15" i="46"/>
  <c r="C142" i="46"/>
  <c r="E25" i="46"/>
  <c r="E63" i="46"/>
  <c r="P132" i="46"/>
  <c r="J77" i="46"/>
  <c r="U9" i="46"/>
  <c r="F60" i="46"/>
  <c r="W96" i="46"/>
  <c r="F126" i="46"/>
  <c r="O69" i="46"/>
  <c r="I154" i="46"/>
  <c r="H139" i="46"/>
  <c r="T130" i="46"/>
  <c r="P59" i="46"/>
  <c r="H6" i="46"/>
  <c r="I134" i="46"/>
  <c r="Z67" i="46"/>
  <c r="Y136" i="46"/>
  <c r="O118" i="46"/>
  <c r="X24" i="46"/>
  <c r="J134" i="46"/>
  <c r="G61" i="46"/>
  <c r="F59" i="46"/>
  <c r="P111" i="46"/>
  <c r="F50" i="46"/>
  <c r="O74" i="46"/>
  <c r="L91" i="46"/>
  <c r="O100" i="46"/>
  <c r="H122" i="46"/>
  <c r="F69" i="46"/>
  <c r="X157" i="46"/>
  <c r="G83" i="46"/>
  <c r="P156" i="46"/>
  <c r="J23" i="46"/>
  <c r="Q114" i="46"/>
  <c r="C132" i="46"/>
  <c r="H53" i="46"/>
  <c r="Q26" i="46"/>
  <c r="F127" i="46"/>
  <c r="Y36" i="46"/>
  <c r="H45" i="46"/>
  <c r="R45" i="46"/>
  <c r="U53" i="46"/>
  <c r="Z12" i="46"/>
  <c r="J93" i="46"/>
  <c r="F91" i="46"/>
  <c r="P79" i="46"/>
  <c r="C106" i="46"/>
  <c r="M25" i="46"/>
  <c r="J32" i="46"/>
  <c r="H101" i="46"/>
  <c r="AA136" i="46"/>
  <c r="V152" i="46"/>
  <c r="X129" i="46"/>
  <c r="W58" i="46"/>
  <c r="G128" i="46"/>
  <c r="F33" i="46"/>
  <c r="H123" i="46"/>
  <c r="AA91" i="46"/>
  <c r="U122" i="46"/>
  <c r="H29" i="46"/>
  <c r="O99" i="46"/>
  <c r="V70" i="46"/>
  <c r="N9" i="46"/>
  <c r="X37" i="46"/>
  <c r="V87" i="46"/>
  <c r="U139" i="46"/>
  <c r="W44" i="46"/>
  <c r="D44" i="46"/>
  <c r="C138" i="46"/>
  <c r="T99" i="46"/>
  <c r="U20" i="46"/>
  <c r="AA109" i="46"/>
  <c r="D23" i="46"/>
  <c r="X97" i="46"/>
  <c r="S48" i="46"/>
  <c r="X133" i="46"/>
  <c r="T21" i="46"/>
  <c r="F22" i="46"/>
  <c r="G37" i="46"/>
  <c r="F139" i="46"/>
  <c r="H91" i="46"/>
  <c r="I127" i="46"/>
  <c r="T108" i="46"/>
  <c r="C59" i="46"/>
  <c r="Y67" i="46"/>
  <c r="K147" i="46"/>
  <c r="X45" i="46"/>
  <c r="N14" i="46"/>
  <c r="M18" i="46"/>
  <c r="AA48" i="46"/>
  <c r="J152" i="46"/>
  <c r="L7" i="46"/>
  <c r="L73" i="46"/>
  <c r="D141" i="46"/>
  <c r="R54" i="46"/>
  <c r="L140" i="46"/>
  <c r="E126" i="46"/>
  <c r="P136" i="46"/>
  <c r="I88" i="46"/>
  <c r="S25" i="46"/>
  <c r="C35" i="46"/>
  <c r="H31" i="46"/>
  <c r="N99" i="46"/>
  <c r="X143" i="46"/>
  <c r="F146" i="46"/>
  <c r="D63" i="46"/>
  <c r="I117" i="46"/>
  <c r="N20" i="46"/>
  <c r="W156" i="46"/>
  <c r="X12" i="46"/>
  <c r="S23" i="46"/>
  <c r="T117" i="46"/>
  <c r="M73" i="46"/>
  <c r="R68" i="46"/>
  <c r="O16" i="46"/>
  <c r="N102" i="46"/>
  <c r="U131" i="46"/>
  <c r="E124" i="46"/>
  <c r="M127" i="46"/>
  <c r="Y52" i="46"/>
  <c r="Y20" i="46"/>
  <c r="R157" i="46"/>
  <c r="X75" i="46"/>
  <c r="Y155" i="46"/>
  <c r="U140" i="46"/>
  <c r="K128" i="46"/>
  <c r="X76" i="46"/>
  <c r="D15" i="46"/>
  <c r="V69" i="46"/>
  <c r="L12" i="46"/>
  <c r="I85" i="46"/>
  <c r="L25" i="46"/>
  <c r="F64" i="46"/>
  <c r="E148" i="46"/>
  <c r="J15" i="46"/>
  <c r="P148" i="46"/>
  <c r="P129" i="46"/>
  <c r="C96" i="46"/>
  <c r="F70" i="46"/>
  <c r="M39" i="46"/>
  <c r="T83" i="46"/>
  <c r="T147" i="46"/>
  <c r="M46" i="46"/>
  <c r="H154" i="46"/>
  <c r="W110" i="46"/>
  <c r="L18" i="46"/>
  <c r="G30" i="46"/>
  <c r="D150" i="46"/>
  <c r="K70" i="46"/>
  <c r="S157" i="46"/>
  <c r="H79" i="46"/>
  <c r="E70" i="46"/>
  <c r="L35" i="46"/>
  <c r="G78" i="46"/>
  <c r="Q45" i="46"/>
  <c r="Y93" i="46"/>
  <c r="Z83" i="46"/>
  <c r="D107" i="46"/>
  <c r="N17" i="46"/>
  <c r="M145" i="46"/>
  <c r="L130" i="46"/>
  <c r="R26" i="46"/>
  <c r="C157" i="46"/>
  <c r="I28" i="46"/>
  <c r="Z92" i="46"/>
  <c r="H85" i="46"/>
  <c r="J76" i="46"/>
  <c r="O134" i="46"/>
  <c r="T142" i="46"/>
  <c r="V77" i="46"/>
  <c r="G157" i="46"/>
  <c r="H20" i="46"/>
  <c r="K92" i="46"/>
  <c r="J98" i="46"/>
  <c r="I83" i="46"/>
  <c r="G46" i="46"/>
  <c r="X79" i="46"/>
  <c r="Z22" i="46"/>
  <c r="T127" i="46"/>
  <c r="O114" i="46"/>
  <c r="I97" i="46"/>
  <c r="W94" i="46"/>
  <c r="J37" i="46"/>
  <c r="D38" i="46"/>
  <c r="J33" i="46"/>
  <c r="D99" i="46"/>
  <c r="E140" i="46"/>
  <c r="J112" i="46"/>
  <c r="Q47" i="46"/>
  <c r="V9" i="46"/>
  <c r="T70" i="46"/>
  <c r="C13" i="46"/>
  <c r="N143" i="46"/>
  <c r="J124" i="46"/>
  <c r="I44" i="46"/>
  <c r="K133" i="46"/>
  <c r="G25" i="46"/>
  <c r="M13" i="46"/>
  <c r="F109" i="46"/>
  <c r="J67" i="46"/>
  <c r="P98" i="46"/>
  <c r="N127" i="46"/>
  <c r="R99" i="46"/>
  <c r="F106" i="46"/>
  <c r="P145" i="46"/>
  <c r="Z116" i="46"/>
  <c r="Q128" i="46"/>
  <c r="Z76" i="46"/>
  <c r="R97" i="46"/>
  <c r="U11" i="46"/>
  <c r="T65" i="46"/>
  <c r="P45" i="46"/>
  <c r="O105" i="46"/>
  <c r="J96" i="46"/>
  <c r="N154" i="46"/>
  <c r="H131" i="46"/>
  <c r="M12" i="46"/>
  <c r="D66" i="46"/>
  <c r="S139" i="46"/>
  <c r="H93" i="46"/>
  <c r="Z68" i="46"/>
  <c r="J118" i="46"/>
  <c r="Q104" i="46"/>
  <c r="M59" i="46"/>
  <c r="E139" i="46"/>
  <c r="G71" i="46"/>
  <c r="Q136" i="46"/>
  <c r="G57" i="46"/>
  <c r="AA144" i="46"/>
  <c r="X7" i="46"/>
  <c r="F137" i="46"/>
  <c r="N92" i="46"/>
  <c r="S45" i="46"/>
  <c r="D28" i="46"/>
  <c r="P15" i="46"/>
  <c r="O92" i="46"/>
  <c r="L51" i="46"/>
  <c r="J16" i="46"/>
  <c r="S149" i="46"/>
  <c r="Q60" i="46"/>
  <c r="J142" i="46"/>
  <c r="H23" i="46"/>
  <c r="H134" i="46"/>
  <c r="D110" i="46"/>
  <c r="C18" i="46"/>
  <c r="G63" i="46"/>
  <c r="X84" i="46"/>
  <c r="R144" i="46"/>
  <c r="X93" i="46"/>
  <c r="U110" i="46"/>
  <c r="O39" i="46"/>
  <c r="Z74" i="46"/>
  <c r="K15" i="46"/>
  <c r="Z115" i="46"/>
  <c r="L57" i="46"/>
  <c r="D125" i="46"/>
  <c r="V138" i="46"/>
  <c r="I66" i="46"/>
  <c r="AA53" i="46"/>
  <c r="W32" i="46"/>
  <c r="X66" i="46"/>
  <c r="W91" i="46"/>
  <c r="J59" i="46"/>
  <c r="L133" i="46"/>
  <c r="Y37" i="46"/>
  <c r="Z129" i="46"/>
  <c r="H150" i="46"/>
  <c r="G68" i="46"/>
  <c r="G97" i="46"/>
  <c r="P130" i="46"/>
  <c r="L22" i="46"/>
  <c r="R138" i="46"/>
  <c r="O50" i="46"/>
  <c r="Y91" i="46"/>
  <c r="I91" i="46"/>
  <c r="O101" i="46"/>
  <c r="J13" i="46"/>
  <c r="F76" i="46"/>
  <c r="Z149" i="46"/>
  <c r="L9" i="46"/>
  <c r="U113" i="46"/>
  <c r="U57" i="46"/>
  <c r="J78" i="46"/>
  <c r="F30" i="46"/>
  <c r="L153" i="46"/>
  <c r="N128" i="46"/>
  <c r="H153" i="46"/>
  <c r="X44" i="46"/>
  <c r="C123" i="46"/>
  <c r="V20" i="46"/>
  <c r="D115" i="46"/>
  <c r="T134" i="46"/>
  <c r="S83" i="46"/>
  <c r="X149" i="46"/>
  <c r="L60" i="46"/>
  <c r="O133" i="46"/>
  <c r="Q111" i="46"/>
  <c r="K108" i="46"/>
  <c r="AA51" i="46"/>
  <c r="F31" i="46"/>
  <c r="X122" i="46"/>
  <c r="X55" i="46"/>
  <c r="P155" i="46"/>
  <c r="O110" i="46"/>
  <c r="S71" i="46"/>
  <c r="P125" i="46"/>
  <c r="H64" i="46"/>
  <c r="T24" i="46"/>
  <c r="O138" i="46"/>
  <c r="M153" i="46"/>
  <c r="C45" i="46"/>
  <c r="T115" i="46"/>
  <c r="X25" i="46"/>
  <c r="I51" i="46"/>
  <c r="U26" i="46"/>
  <c r="L107" i="46"/>
  <c r="J60" i="46"/>
  <c r="F99" i="46"/>
  <c r="Z85" i="46"/>
  <c r="Y109" i="46"/>
  <c r="E56" i="46"/>
  <c r="X74" i="46"/>
  <c r="C30" i="46"/>
  <c r="S99" i="46"/>
  <c r="T102" i="46"/>
  <c r="K12" i="46"/>
  <c r="V37" i="46"/>
  <c r="S58" i="46"/>
  <c r="C129" i="46"/>
  <c r="N112" i="46"/>
  <c r="Z107" i="46"/>
  <c r="L145" i="46"/>
  <c r="P91" i="46"/>
  <c r="K91" i="46"/>
  <c r="Y68" i="46"/>
  <c r="K139" i="46"/>
  <c r="N25" i="46"/>
  <c r="V85" i="46"/>
  <c r="S31" i="46"/>
  <c r="X59" i="46"/>
  <c r="F57" i="46"/>
  <c r="C31" i="46"/>
  <c r="O55" i="46"/>
  <c r="D47" i="46"/>
  <c r="AA88" i="46"/>
  <c r="W39" i="46"/>
  <c r="E15" i="46"/>
  <c r="I56" i="46"/>
  <c r="V47" i="46"/>
  <c r="X32" i="46"/>
  <c r="N144" i="46"/>
  <c r="Z132" i="46"/>
  <c r="O94" i="46"/>
  <c r="N155" i="46"/>
  <c r="G155" i="46"/>
  <c r="G153" i="46"/>
  <c r="G9" i="46"/>
  <c r="N149" i="46"/>
  <c r="X134" i="46"/>
  <c r="L112" i="46"/>
  <c r="Y25" i="46"/>
  <c r="M44" i="46"/>
  <c r="R133" i="46"/>
  <c r="P49" i="46"/>
  <c r="Z136" i="46"/>
  <c r="N22" i="46"/>
  <c r="U91" i="46"/>
  <c r="P75" i="46"/>
  <c r="U149" i="46"/>
  <c r="R136" i="46"/>
  <c r="Z93" i="46"/>
  <c r="Z70" i="46"/>
  <c r="G127" i="46"/>
  <c r="G56" i="46"/>
  <c r="D61" i="46"/>
  <c r="W157" i="46"/>
  <c r="X150" i="46"/>
  <c r="K58" i="46"/>
  <c r="AA137" i="46"/>
  <c r="K150" i="46"/>
  <c r="E10" i="46"/>
  <c r="O96" i="46"/>
  <c r="S130" i="46"/>
  <c r="Q93" i="46"/>
  <c r="I145" i="46"/>
  <c r="Q142" i="46"/>
  <c r="M157" i="46"/>
  <c r="J141" i="46"/>
  <c r="M86" i="46"/>
  <c r="Y90" i="46"/>
  <c r="Q110" i="46"/>
  <c r="R98" i="46"/>
  <c r="N64" i="46"/>
  <c r="V62" i="46"/>
  <c r="Y64" i="46"/>
  <c r="Y63" i="46"/>
  <c r="N107" i="46"/>
  <c r="O108" i="46"/>
  <c r="Z95" i="46"/>
  <c r="O49" i="46"/>
  <c r="T33" i="46"/>
  <c r="M108" i="46"/>
  <c r="X103" i="46"/>
  <c r="N71" i="46"/>
  <c r="N85" i="46"/>
  <c r="S72" i="46"/>
  <c r="M20" i="46"/>
  <c r="F132" i="46"/>
  <c r="T111" i="46"/>
  <c r="I31" i="46"/>
  <c r="F122" i="46"/>
  <c r="Y95" i="46"/>
  <c r="S91" i="46"/>
  <c r="X56" i="46"/>
  <c r="T110" i="46"/>
  <c r="S116" i="46"/>
  <c r="Z153" i="46"/>
  <c r="I79" i="46"/>
  <c r="Y133" i="46"/>
  <c r="I116" i="46"/>
  <c r="E107" i="46"/>
  <c r="O54" i="46"/>
  <c r="Q11" i="46"/>
  <c r="R18" i="46"/>
  <c r="AA11" i="46"/>
  <c r="L45" i="46"/>
  <c r="I24" i="46"/>
  <c r="P58" i="46"/>
  <c r="M53" i="46"/>
  <c r="U48" i="46"/>
  <c r="J115" i="46"/>
  <c r="L26" i="46"/>
  <c r="E38" i="46"/>
  <c r="V68" i="46"/>
  <c r="D52" i="46"/>
  <c r="Z66" i="46"/>
  <c r="U39" i="46"/>
  <c r="K136" i="46"/>
  <c r="L144" i="46"/>
  <c r="L16" i="46"/>
  <c r="Y12" i="46"/>
  <c r="S153" i="46"/>
  <c r="V50" i="46"/>
  <c r="S154" i="46"/>
  <c r="C14" i="46"/>
  <c r="N111" i="46"/>
  <c r="Z11" i="46"/>
  <c r="Z152" i="46"/>
  <c r="V100" i="46"/>
  <c r="AA93" i="46"/>
  <c r="E86" i="46"/>
  <c r="E55" i="46"/>
  <c r="F19" i="46"/>
  <c r="F124" i="46"/>
  <c r="C60" i="46"/>
  <c r="V48" i="46"/>
  <c r="J86" i="46"/>
  <c r="Z51" i="46"/>
  <c r="G106" i="46"/>
  <c r="U54" i="46"/>
  <c r="W45" i="46"/>
  <c r="P65" i="46"/>
  <c r="O123" i="46"/>
  <c r="J50" i="46"/>
  <c r="Y112" i="46"/>
  <c r="M133" i="46"/>
  <c r="Q79" i="46"/>
  <c r="K115" i="46"/>
  <c r="D104" i="46"/>
  <c r="Q10" i="46"/>
  <c r="F115" i="46"/>
  <c r="V38" i="46"/>
  <c r="C110" i="46"/>
  <c r="M140" i="46"/>
  <c r="D18" i="46"/>
  <c r="W113" i="46"/>
  <c r="V72" i="46"/>
  <c r="H17" i="46"/>
  <c r="W112" i="46"/>
  <c r="I108" i="46"/>
  <c r="M5" i="46"/>
  <c r="AA99" i="46"/>
  <c r="Y130" i="46"/>
  <c r="G125" i="46"/>
  <c r="K23" i="46"/>
  <c r="O62" i="46"/>
  <c r="D143" i="46"/>
  <c r="Q56" i="46"/>
  <c r="J70" i="46"/>
  <c r="H39" i="46"/>
  <c r="V112" i="46"/>
  <c r="AA68" i="46"/>
  <c r="R113" i="46"/>
  <c r="Z157" i="46"/>
  <c r="L114" i="46"/>
  <c r="Z79" i="46"/>
  <c r="O107" i="46"/>
  <c r="Y13" i="46"/>
  <c r="T107" i="46"/>
  <c r="X89" i="46"/>
  <c r="V67" i="46"/>
  <c r="M102" i="46"/>
  <c r="AA28" i="46"/>
  <c r="R132" i="46"/>
  <c r="T112" i="46"/>
  <c r="G35" i="46"/>
  <c r="U55" i="46"/>
  <c r="Y7" i="46"/>
  <c r="M92" i="46"/>
  <c r="R85" i="46"/>
  <c r="D89" i="46"/>
  <c r="E154" i="46"/>
  <c r="N114" i="46"/>
  <c r="L38" i="46"/>
  <c r="K7" i="46"/>
  <c r="P142" i="46"/>
  <c r="U152" i="46"/>
  <c r="W54" i="46"/>
  <c r="T72" i="46"/>
  <c r="V83" i="46"/>
  <c r="M27" i="46"/>
  <c r="K107" i="46"/>
  <c r="C12" i="46"/>
  <c r="U128" i="46"/>
  <c r="R114" i="46"/>
  <c r="I78" i="46"/>
  <c r="F74" i="46"/>
  <c r="E73" i="46"/>
  <c r="E23" i="46"/>
  <c r="P127" i="46"/>
  <c r="V27" i="46"/>
  <c r="L58" i="46"/>
  <c r="J154" i="46"/>
  <c r="L88" i="46"/>
  <c r="H46" i="46"/>
  <c r="X22" i="46"/>
  <c r="F89" i="46"/>
  <c r="H94" i="46"/>
  <c r="Z86" i="46"/>
  <c r="Y65" i="46"/>
  <c r="I8" i="46"/>
  <c r="O33" i="46"/>
  <c r="C78" i="46"/>
  <c r="E141" i="46"/>
  <c r="Q129" i="46"/>
  <c r="I111" i="46"/>
  <c r="L8" i="46"/>
  <c r="L37" i="46"/>
  <c r="I18" i="46"/>
  <c r="V40" i="46"/>
  <c r="H105" i="46"/>
  <c r="P89" i="46"/>
  <c r="Y153" i="46"/>
  <c r="R36" i="46"/>
  <c r="D137" i="46"/>
  <c r="T26" i="46"/>
  <c r="N63" i="46"/>
  <c r="C118" i="46"/>
  <c r="M72" i="46"/>
  <c r="X131" i="46"/>
  <c r="K68" i="46"/>
  <c r="X151" i="46"/>
  <c r="E85" i="46"/>
  <c r="R151" i="46"/>
  <c r="C83" i="46"/>
  <c r="AA97" i="46"/>
  <c r="J40" i="46"/>
  <c r="R87" i="46"/>
  <c r="F66" i="46"/>
  <c r="Z109" i="46"/>
  <c r="M38" i="46"/>
  <c r="P157" i="46"/>
  <c r="N116" i="46"/>
  <c r="G48" i="46"/>
  <c r="C150" i="46"/>
  <c r="S47" i="46"/>
  <c r="E106" i="46"/>
  <c r="L61" i="46"/>
  <c r="Z142" i="46"/>
  <c r="Y16" i="46"/>
  <c r="T50" i="46"/>
  <c r="D51" i="46"/>
  <c r="L23" i="46"/>
  <c r="M118" i="46"/>
  <c r="Q64" i="46"/>
  <c r="I19" i="46"/>
  <c r="D64" i="46"/>
  <c r="I147" i="46"/>
  <c r="E44" i="46"/>
  <c r="K73" i="46"/>
  <c r="V21" i="46"/>
  <c r="R111" i="46"/>
  <c r="K50" i="46"/>
  <c r="W106" i="46"/>
  <c r="K85" i="46"/>
  <c r="V109" i="46"/>
  <c r="Y134" i="46"/>
  <c r="P110" i="46"/>
  <c r="H70" i="46"/>
  <c r="H112" i="46"/>
  <c r="C92" i="46"/>
  <c r="W105" i="46"/>
  <c r="T5" i="46"/>
  <c r="L87" i="46"/>
  <c r="G154" i="46"/>
  <c r="E156" i="46"/>
  <c r="AA67" i="46"/>
  <c r="X147" i="46"/>
  <c r="T14" i="46"/>
  <c r="D117" i="46"/>
  <c r="E20" i="46"/>
  <c r="C115" i="46"/>
  <c r="G49" i="46"/>
  <c r="N60" i="46"/>
  <c r="X51" i="46"/>
  <c r="H22" i="46"/>
  <c r="O84" i="46"/>
  <c r="D25" i="46"/>
  <c r="G117" i="46"/>
  <c r="F108" i="46"/>
  <c r="J116" i="46"/>
  <c r="O128" i="46"/>
  <c r="T73" i="46"/>
  <c r="H52" i="46"/>
  <c r="Z111" i="46"/>
  <c r="P60" i="46"/>
  <c r="J73" i="46"/>
  <c r="Y138" i="46"/>
  <c r="N18" i="46"/>
  <c r="J85" i="46"/>
  <c r="H11" i="46"/>
  <c r="M137" i="46"/>
  <c r="V44" i="46"/>
  <c r="W50" i="46"/>
  <c r="Z125" i="46"/>
  <c r="S77" i="46"/>
  <c r="O45" i="46"/>
  <c r="E45" i="46"/>
  <c r="Z110" i="46"/>
  <c r="AA156" i="46"/>
  <c r="U45" i="46"/>
  <c r="J148" i="46"/>
  <c r="R88" i="46"/>
  <c r="L33" i="46"/>
  <c r="O137" i="46"/>
  <c r="C71" i="46"/>
  <c r="L20" i="46"/>
  <c r="M132" i="46"/>
  <c r="Y105" i="46"/>
  <c r="F63" i="46"/>
  <c r="S24" i="46"/>
  <c r="W122" i="46"/>
  <c r="D56" i="46"/>
  <c r="J57" i="46"/>
  <c r="Q44" i="46"/>
  <c r="S111" i="46"/>
  <c r="R155" i="46"/>
  <c r="S36" i="46"/>
  <c r="Z18" i="46"/>
  <c r="Q95" i="46"/>
  <c r="Z138" i="46"/>
  <c r="I74" i="46"/>
  <c r="K38" i="90"/>
  <c r="K16" i="90" s="1"/>
  <c r="N61" i="90"/>
  <c r="L87" i="90"/>
  <c r="M84" i="90"/>
  <c r="I75" i="90"/>
  <c r="H96" i="90"/>
  <c r="O107" i="90"/>
  <c r="J120" i="90"/>
  <c r="K126" i="90"/>
  <c r="L114" i="90"/>
  <c r="I134" i="90"/>
  <c r="H110" i="90"/>
  <c r="G101" i="90"/>
  <c r="K131" i="90"/>
  <c r="J109" i="90"/>
  <c r="N103" i="90"/>
  <c r="M97" i="90"/>
  <c r="K34" i="90"/>
  <c r="K12" i="90" s="1"/>
  <c r="G81" i="90"/>
  <c r="G131" i="90"/>
  <c r="K133" i="90"/>
  <c r="F119" i="90"/>
  <c r="H58" i="90"/>
  <c r="G74" i="90"/>
  <c r="J53" i="90"/>
  <c r="H35" i="90"/>
  <c r="H13" i="90" s="1"/>
  <c r="D48" i="90"/>
  <c r="D26" i="90" s="1"/>
  <c r="O108" i="90"/>
  <c r="K104" i="90"/>
  <c r="I101" i="90"/>
  <c r="N106" i="90"/>
  <c r="F62" i="90"/>
  <c r="N136" i="90"/>
  <c r="G68" i="90"/>
  <c r="C134" i="90"/>
  <c r="K66" i="90"/>
  <c r="D57" i="90"/>
  <c r="J59" i="90"/>
  <c r="J111" i="90"/>
  <c r="E45" i="90"/>
  <c r="E23" i="90" s="1"/>
  <c r="J134" i="90"/>
  <c r="N101" i="90"/>
  <c r="J96" i="90"/>
  <c r="O61" i="90"/>
  <c r="L61" i="90"/>
  <c r="F43" i="90"/>
  <c r="F21" i="90" s="1"/>
  <c r="M40" i="90"/>
  <c r="M18" i="90" s="1"/>
  <c r="C67" i="90"/>
  <c r="H70" i="90"/>
  <c r="E121" i="90"/>
  <c r="M88" i="90"/>
  <c r="M75" i="90"/>
  <c r="G124" i="90"/>
  <c r="D47" i="90"/>
  <c r="D25" i="90" s="1"/>
  <c r="J69" i="90"/>
  <c r="H79" i="90"/>
  <c r="I37" i="90"/>
  <c r="I15" i="90" s="1"/>
  <c r="K112" i="90"/>
  <c r="N37" i="90"/>
  <c r="N15" i="90" s="1"/>
  <c r="F122" i="90"/>
  <c r="O133" i="90"/>
  <c r="K90" i="90"/>
  <c r="C63" i="90"/>
  <c r="K134" i="90"/>
  <c r="J86" i="90"/>
  <c r="N54" i="90"/>
  <c r="K56" i="90"/>
  <c r="I41" i="90"/>
  <c r="I19" i="90" s="1"/>
  <c r="O81" i="90"/>
  <c r="N104" i="90"/>
  <c r="K67" i="90"/>
  <c r="O36" i="90"/>
  <c r="O14" i="90" s="1"/>
  <c r="L79" i="90"/>
  <c r="H112" i="90"/>
  <c r="O32" i="90"/>
  <c r="O10" i="90" s="1"/>
  <c r="E36" i="90"/>
  <c r="E14" i="90" s="1"/>
  <c r="G88" i="90"/>
  <c r="D106" i="90"/>
  <c r="E81" i="90"/>
  <c r="O33" i="90"/>
  <c r="O11" i="90" s="1"/>
  <c r="M43" i="90"/>
  <c r="M21" i="90" s="1"/>
  <c r="G79" i="90"/>
  <c r="I88" i="90"/>
  <c r="K98" i="90"/>
  <c r="D34" i="90"/>
  <c r="D12" i="90" s="1"/>
  <c r="M123" i="90"/>
  <c r="O97" i="90"/>
  <c r="G87" i="90"/>
  <c r="F120" i="90"/>
  <c r="F97" i="90"/>
  <c r="K88" i="90"/>
  <c r="D112" i="90"/>
  <c r="H97" i="90"/>
  <c r="H44" i="90"/>
  <c r="H22" i="90" s="1"/>
  <c r="D85" i="90"/>
  <c r="G84" i="90"/>
  <c r="I126" i="90"/>
  <c r="C128" i="90"/>
  <c r="O84" i="90"/>
  <c r="E74" i="90"/>
  <c r="G65" i="90"/>
  <c r="K32" i="90"/>
  <c r="K10" i="90" s="1"/>
  <c r="G52" i="90"/>
  <c r="J74" i="90"/>
  <c r="J135" i="90"/>
  <c r="G55" i="90"/>
  <c r="E112" i="90"/>
  <c r="C81" i="90"/>
  <c r="E68" i="90"/>
  <c r="G133" i="90"/>
  <c r="G134" i="90"/>
  <c r="E82" i="90"/>
  <c r="H101" i="90"/>
  <c r="C122" i="90"/>
  <c r="I124" i="90"/>
  <c r="I74" i="90"/>
  <c r="L102" i="90"/>
  <c r="F101" i="90"/>
  <c r="L109" i="90"/>
  <c r="K35" i="90"/>
  <c r="K13" i="90" s="1"/>
  <c r="O135" i="90"/>
  <c r="J41" i="90"/>
  <c r="J19" i="90" s="1"/>
  <c r="O65" i="90"/>
  <c r="L68" i="90"/>
  <c r="J37" i="90"/>
  <c r="J15" i="90" s="1"/>
  <c r="F102" i="90"/>
  <c r="O76" i="90"/>
  <c r="K97" i="90"/>
  <c r="I77" i="90"/>
  <c r="M34" i="90"/>
  <c r="M12" i="90" s="1"/>
  <c r="N82" i="90"/>
  <c r="D118" i="90"/>
  <c r="L125" i="90"/>
  <c r="E43" i="90"/>
  <c r="E21" i="90" s="1"/>
  <c r="C56" i="90"/>
  <c r="C111" i="90"/>
  <c r="M37" i="90"/>
  <c r="M15" i="90" s="1"/>
  <c r="C36" i="90"/>
  <c r="C14" i="90" s="1"/>
  <c r="C54" i="90"/>
  <c r="L84" i="90"/>
  <c r="H30" i="90"/>
  <c r="H8" i="90" s="1"/>
  <c r="K43" i="90"/>
  <c r="K21" i="90" s="1"/>
  <c r="F61" i="90"/>
  <c r="C30" i="90"/>
  <c r="C8" i="90" s="1"/>
  <c r="C100" i="90"/>
  <c r="E55" i="90"/>
  <c r="L127" i="90"/>
  <c r="D97" i="90"/>
  <c r="K103" i="90"/>
  <c r="F30" i="90"/>
  <c r="F8" i="90" s="1"/>
  <c r="F87" i="90"/>
  <c r="D55" i="90"/>
  <c r="H34" i="90"/>
  <c r="H12" i="90" s="1"/>
  <c r="K57" i="90"/>
  <c r="E48" i="90"/>
  <c r="E26" i="90" s="1"/>
  <c r="L88" i="90"/>
  <c r="H82" i="90"/>
  <c r="E32" i="90"/>
  <c r="E10" i="90" s="1"/>
  <c r="M53" i="90"/>
  <c r="F112" i="90"/>
  <c r="F104" i="90"/>
  <c r="M103" i="90"/>
  <c r="H123" i="90"/>
  <c r="E39" i="90"/>
  <c r="E17" i="90" s="1"/>
  <c r="F111" i="90"/>
  <c r="N109" i="90"/>
  <c r="N88" i="90"/>
  <c r="E133" i="90"/>
  <c r="J68" i="90"/>
  <c r="L126" i="90"/>
  <c r="K52" i="90"/>
  <c r="F98" i="90"/>
  <c r="I57" i="90"/>
  <c r="M80" i="90"/>
  <c r="N76" i="90"/>
  <c r="K132" i="90"/>
  <c r="M87" i="90"/>
  <c r="K69" i="90"/>
  <c r="H42" i="90"/>
  <c r="H20" i="90" s="1"/>
  <c r="N33" i="90"/>
  <c r="N11" i="90" s="1"/>
  <c r="H129" i="90"/>
  <c r="M129" i="90"/>
  <c r="N58" i="90"/>
  <c r="L86" i="90"/>
  <c r="M131" i="90"/>
  <c r="N59" i="90"/>
  <c r="H68" i="90"/>
  <c r="J44" i="90"/>
  <c r="J22" i="90" s="1"/>
  <c r="O104" i="90"/>
  <c r="K45" i="90"/>
  <c r="K23" i="90" s="1"/>
  <c r="F88" i="90"/>
  <c r="L32" i="90"/>
  <c r="L10" i="90" s="1"/>
  <c r="J60" i="90"/>
  <c r="I62" i="90"/>
  <c r="G39" i="90"/>
  <c r="G17" i="90" s="1"/>
  <c r="N68" i="90"/>
  <c r="I104" i="90"/>
  <c r="J124" i="90"/>
  <c r="F134" i="90"/>
  <c r="O35" i="90"/>
  <c r="O13" i="90" s="1"/>
  <c r="C129" i="90"/>
  <c r="G41" i="90"/>
  <c r="G19" i="90" s="1"/>
  <c r="E105" i="90"/>
  <c r="F48" i="90"/>
  <c r="F26" i="90" s="1"/>
  <c r="E132" i="90"/>
  <c r="J114" i="90"/>
  <c r="C82" i="90"/>
  <c r="D125" i="90"/>
  <c r="I92" i="90"/>
  <c r="L44" i="90"/>
  <c r="L22" i="90" s="1"/>
  <c r="G62" i="90"/>
  <c r="G85" i="90"/>
  <c r="D37" i="90"/>
  <c r="D15" i="90" s="1"/>
  <c r="M77" i="90"/>
  <c r="N47" i="90"/>
  <c r="N25" i="90" s="1"/>
  <c r="C92" i="90"/>
  <c r="K123" i="90"/>
  <c r="J113" i="90"/>
  <c r="H83" i="90"/>
  <c r="O47" i="90"/>
  <c r="O25" i="90" s="1"/>
  <c r="G129" i="90"/>
  <c r="F121" i="90"/>
  <c r="F80" i="90"/>
  <c r="M96" i="90"/>
  <c r="N124" i="90"/>
  <c r="L80" i="90"/>
  <c r="F108" i="90"/>
  <c r="M110" i="90"/>
  <c r="L112" i="90"/>
  <c r="L48" i="90"/>
  <c r="L26" i="90" s="1"/>
  <c r="L132" i="90"/>
  <c r="I83" i="90"/>
  <c r="D45" i="90"/>
  <c r="D23" i="90" s="1"/>
  <c r="G80" i="90"/>
  <c r="M69" i="90"/>
  <c r="G113" i="90"/>
  <c r="L85" i="90"/>
  <c r="H64" i="90"/>
  <c r="M44" i="90"/>
  <c r="M22" i="90" s="1"/>
  <c r="O132" i="90"/>
  <c r="J82" i="90"/>
  <c r="C45" i="90"/>
  <c r="C23" i="90" s="1"/>
  <c r="H53" i="90"/>
  <c r="O79" i="90"/>
  <c r="F60" i="90"/>
  <c r="D65" i="90"/>
  <c r="I35" i="90"/>
  <c r="I13" i="90" s="1"/>
  <c r="G69" i="90"/>
  <c r="M101" i="90"/>
  <c r="M86" i="90"/>
  <c r="L45" i="90"/>
  <c r="L23" i="90" s="1"/>
  <c r="L54" i="90"/>
  <c r="L35" i="90"/>
  <c r="L13" i="90" s="1"/>
  <c r="J42" i="90"/>
  <c r="J20" i="90" s="1"/>
  <c r="C97" i="90"/>
  <c r="N83" i="90"/>
  <c r="M61" i="90"/>
  <c r="G33" i="90"/>
  <c r="G11" i="90" s="1"/>
  <c r="L111" i="90"/>
  <c r="D123" i="90"/>
  <c r="H78" i="90"/>
  <c r="O100" i="90"/>
  <c r="C136" i="90"/>
  <c r="E76" i="90"/>
  <c r="H62" i="90"/>
  <c r="H77" i="90"/>
  <c r="O124" i="90"/>
  <c r="C77" i="90"/>
  <c r="C87" i="90"/>
  <c r="G105" i="90"/>
  <c r="J36" i="90"/>
  <c r="J14" i="90" s="1"/>
  <c r="O56" i="90"/>
  <c r="N133" i="90"/>
  <c r="D30" i="90"/>
  <c r="D8" i="90" s="1"/>
  <c r="K83" i="90"/>
  <c r="H124" i="90"/>
  <c r="H132" i="90"/>
  <c r="I100" i="90"/>
  <c r="L129" i="90"/>
  <c r="F132" i="90"/>
  <c r="N31" i="90"/>
  <c r="N9" i="90" s="1"/>
  <c r="G78" i="90"/>
  <c r="E131" i="90"/>
  <c r="I113" i="90"/>
  <c r="G96" i="90"/>
  <c r="N123" i="90"/>
  <c r="L41" i="90"/>
  <c r="L19" i="90" s="1"/>
  <c r="M85" i="90"/>
  <c r="C112" i="90"/>
  <c r="J76" i="90"/>
  <c r="N43" i="90"/>
  <c r="N21" i="90" s="1"/>
  <c r="D70" i="90"/>
  <c r="N129" i="90"/>
  <c r="E119" i="90"/>
  <c r="L53" i="90"/>
  <c r="F86" i="90"/>
  <c r="I60" i="90"/>
  <c r="K122" i="90"/>
  <c r="H56" i="90"/>
  <c r="N36" i="90"/>
  <c r="N14" i="90" s="1"/>
  <c r="C110" i="90"/>
  <c r="H69" i="90"/>
  <c r="J31" i="90"/>
  <c r="J9" i="90" s="1"/>
  <c r="M125" i="90"/>
  <c r="K80" i="90"/>
  <c r="F64" i="90"/>
  <c r="M68" i="90"/>
  <c r="L69" i="90"/>
  <c r="F31" i="90"/>
  <c r="F9" i="90" s="1"/>
  <c r="E127" i="90"/>
  <c r="I67" i="90"/>
  <c r="E64" i="90"/>
  <c r="J103" i="90"/>
  <c r="N91" i="90"/>
  <c r="G60" i="90"/>
  <c r="F136" i="90"/>
  <c r="J45" i="90"/>
  <c r="J23" i="90" s="1"/>
  <c r="D32" i="90"/>
  <c r="D10" i="90" s="1"/>
  <c r="G77" i="90"/>
  <c r="D121" i="90"/>
  <c r="I133" i="90"/>
  <c r="D66" i="90"/>
  <c r="C32" i="90"/>
  <c r="C10" i="90" s="1"/>
  <c r="L118" i="90"/>
  <c r="I121" i="90"/>
  <c r="E104" i="90"/>
  <c r="M48" i="90"/>
  <c r="M26" i="90" s="1"/>
  <c r="C106" i="90"/>
  <c r="C130" i="90"/>
  <c r="L101" i="90"/>
  <c r="C57" i="90"/>
  <c r="J75" i="90"/>
  <c r="G43" i="90"/>
  <c r="G21" i="90" s="1"/>
  <c r="M32" i="90"/>
  <c r="M10" i="90" s="1"/>
  <c r="J81" i="90"/>
  <c r="J99" i="90"/>
  <c r="F32" i="90"/>
  <c r="F10" i="90" s="1"/>
  <c r="G57" i="90"/>
  <c r="C113" i="90"/>
  <c r="O86" i="90"/>
  <c r="G86" i="90"/>
  <c r="K76" i="90"/>
  <c r="M118" i="90"/>
  <c r="C124" i="90"/>
  <c r="E40" i="90"/>
  <c r="E18" i="90" s="1"/>
  <c r="O90" i="90"/>
  <c r="N97" i="90"/>
  <c r="N52" i="90"/>
  <c r="N112" i="90"/>
  <c r="E103" i="90"/>
  <c r="C55" i="90"/>
  <c r="O39" i="90"/>
  <c r="O17" i="90" s="1"/>
  <c r="D108" i="90"/>
  <c r="I103" i="90"/>
  <c r="E86" i="90"/>
  <c r="O38" i="90"/>
  <c r="O16" i="90" s="1"/>
  <c r="J108" i="90"/>
  <c r="G102" i="90"/>
  <c r="D134" i="90"/>
  <c r="K40" i="90"/>
  <c r="K18" i="90" s="1"/>
  <c r="J91" i="90"/>
  <c r="I78" i="90"/>
  <c r="O102" i="90"/>
  <c r="D54" i="90"/>
  <c r="N125" i="90"/>
  <c r="J78" i="90"/>
  <c r="N90" i="90"/>
  <c r="G99" i="90"/>
  <c r="F38" i="90"/>
  <c r="F16" i="90" s="1"/>
  <c r="N85" i="90"/>
  <c r="H31" i="90"/>
  <c r="H9" i="90" s="1"/>
  <c r="H75" i="90"/>
  <c r="M33" i="90"/>
  <c r="M11" i="90" s="1"/>
  <c r="H85" i="90"/>
  <c r="K62" i="90"/>
  <c r="M64" i="90"/>
  <c r="C34" i="90"/>
  <c r="C12" i="90" s="1"/>
  <c r="G128" i="90"/>
  <c r="D35" i="90"/>
  <c r="D13" i="90" s="1"/>
  <c r="M124" i="90"/>
  <c r="L103" i="90"/>
  <c r="N78" i="90"/>
  <c r="D84" i="90"/>
  <c r="I130" i="90"/>
  <c r="L104" i="90"/>
  <c r="J119" i="90"/>
  <c r="H120" i="90"/>
  <c r="O129" i="90"/>
  <c r="N74" i="90"/>
  <c r="H107" i="90"/>
  <c r="K89" i="90"/>
  <c r="H47" i="90"/>
  <c r="H25" i="90" s="1"/>
  <c r="I112" i="90"/>
  <c r="C90" i="90"/>
  <c r="M79" i="90"/>
  <c r="E129" i="90"/>
  <c r="I79" i="90"/>
  <c r="N62" i="90"/>
  <c r="O30" i="90"/>
  <c r="O8" i="90" s="1"/>
  <c r="C62" i="90"/>
  <c r="C58" i="90"/>
  <c r="C69" i="90"/>
  <c r="E31" i="90"/>
  <c r="E9" i="90" s="1"/>
  <c r="I87" i="90"/>
  <c r="F59" i="90"/>
  <c r="I68" i="90"/>
  <c r="C89" i="90"/>
  <c r="I90" i="90"/>
  <c r="G46" i="90"/>
  <c r="G24" i="90" s="1"/>
  <c r="O54" i="90"/>
  <c r="C118" i="90"/>
  <c r="D126" i="90"/>
  <c r="N96" i="90"/>
  <c r="M35" i="90"/>
  <c r="M13" i="90" s="1"/>
  <c r="E114" i="90"/>
  <c r="I111" i="90"/>
  <c r="C109" i="90"/>
  <c r="C66" i="90"/>
  <c r="O103" i="90"/>
  <c r="O131" i="90"/>
  <c r="E91" i="90"/>
  <c r="O99" i="90"/>
  <c r="D104" i="90"/>
  <c r="E63" i="90"/>
  <c r="M134" i="90"/>
  <c r="D92" i="90"/>
  <c r="O83" i="90"/>
  <c r="E79" i="90"/>
  <c r="O92" i="90"/>
  <c r="N113" i="90"/>
  <c r="I122" i="90"/>
  <c r="I96" i="90"/>
  <c r="D99" i="90"/>
  <c r="H125" i="90"/>
  <c r="E102" i="90"/>
  <c r="C44" i="90"/>
  <c r="C22" i="90" s="1"/>
  <c r="D96" i="90"/>
  <c r="E84" i="90"/>
  <c r="G108" i="90"/>
  <c r="D87" i="90"/>
  <c r="O119" i="90"/>
  <c r="M58" i="90"/>
  <c r="G98" i="90"/>
  <c r="J125" i="90"/>
  <c r="M114" i="90"/>
  <c r="H126" i="90"/>
  <c r="M132" i="90"/>
  <c r="I48" i="90"/>
  <c r="I26" i="90" s="1"/>
  <c r="F92" i="90"/>
  <c r="O48" i="90"/>
  <c r="O26" i="90" s="1"/>
  <c r="J55" i="90"/>
  <c r="F126" i="90"/>
  <c r="G120" i="90"/>
  <c r="L78" i="90"/>
  <c r="H100" i="90"/>
  <c r="F103" i="90"/>
  <c r="C59" i="90"/>
  <c r="F85" i="90"/>
  <c r="D102" i="90"/>
  <c r="K109" i="90"/>
  <c r="L56" i="90"/>
  <c r="E66" i="90"/>
  <c r="I64" i="90"/>
  <c r="E111" i="90"/>
  <c r="F67" i="90"/>
  <c r="O126" i="90"/>
  <c r="O34" i="90"/>
  <c r="O12" i="90" s="1"/>
  <c r="G59" i="90"/>
  <c r="I80" i="90"/>
  <c r="O96" i="90"/>
  <c r="N57" i="90"/>
  <c r="F90" i="90"/>
  <c r="F42" i="90"/>
  <c r="F20" i="90" s="1"/>
  <c r="M113" i="90"/>
  <c r="G104" i="90"/>
  <c r="D111" i="90"/>
  <c r="F57" i="90"/>
  <c r="N55" i="90"/>
  <c r="O60" i="90"/>
  <c r="E130" i="90"/>
  <c r="E62" i="90"/>
  <c r="D122" i="90"/>
  <c r="E108" i="90"/>
  <c r="O42" i="90"/>
  <c r="O20" i="90" s="1"/>
  <c r="O68" i="90"/>
  <c r="I63" i="90"/>
  <c r="C60" i="90"/>
  <c r="F75" i="90"/>
  <c r="C53" i="90"/>
  <c r="I76" i="90"/>
  <c r="D76" i="90"/>
  <c r="D75" i="90"/>
  <c r="E123" i="90"/>
  <c r="G35" i="90"/>
  <c r="G13" i="90" s="1"/>
  <c r="H140" i="90"/>
  <c r="O74" i="90"/>
  <c r="N105" i="90"/>
  <c r="M122" i="90"/>
  <c r="C119" i="90"/>
  <c r="M109" i="90"/>
  <c r="K119" i="90"/>
  <c r="J83" i="90"/>
  <c r="E75" i="90"/>
  <c r="N131" i="90"/>
  <c r="I82" i="90"/>
  <c r="G36" i="90"/>
  <c r="G14" i="90" s="1"/>
  <c r="M52" i="90"/>
  <c r="D88" i="90"/>
  <c r="D90" i="90"/>
  <c r="C85" i="90"/>
  <c r="I38" i="90"/>
  <c r="I16" i="90" s="1"/>
  <c r="J62" i="90"/>
  <c r="K61" i="90"/>
  <c r="G100" i="90"/>
  <c r="I97" i="90"/>
  <c r="F76" i="90"/>
  <c r="K107" i="90"/>
  <c r="I34" i="90"/>
  <c r="I12" i="90" s="1"/>
  <c r="C52" i="90"/>
  <c r="J46" i="90"/>
  <c r="J24" i="90" s="1"/>
  <c r="H37" i="90"/>
  <c r="H15" i="90" s="1"/>
  <c r="O85" i="90"/>
  <c r="F110" i="90"/>
  <c r="D105" i="90"/>
  <c r="J131" i="90"/>
  <c r="M38" i="90"/>
  <c r="M16" i="90" s="1"/>
  <c r="N69" i="90"/>
  <c r="O136" i="90"/>
  <c r="D52" i="90"/>
  <c r="D64" i="90"/>
  <c r="N130" i="90"/>
  <c r="I110" i="90"/>
  <c r="O91" i="90"/>
  <c r="E106" i="90"/>
  <c r="C40" i="90"/>
  <c r="C18" i="90" s="1"/>
  <c r="F53" i="90"/>
  <c r="E83" i="90"/>
  <c r="L42" i="90"/>
  <c r="L20" i="90" s="1"/>
  <c r="N40" i="90"/>
  <c r="N18" i="90" s="1"/>
  <c r="E69" i="90"/>
  <c r="I52" i="90"/>
  <c r="L133" i="90"/>
  <c r="H109" i="90"/>
  <c r="K55" i="90"/>
  <c r="L39" i="90"/>
  <c r="L17" i="90" s="1"/>
  <c r="I107" i="90"/>
  <c r="D124" i="90"/>
  <c r="F79" i="90"/>
  <c r="C121" i="90"/>
  <c r="K124" i="90"/>
  <c r="J90" i="90"/>
  <c r="H135" i="90"/>
  <c r="O69" i="90"/>
  <c r="N35" i="90"/>
  <c r="N13" i="90" s="1"/>
  <c r="L64" i="90"/>
  <c r="D43" i="90"/>
  <c r="D21" i="90" s="1"/>
  <c r="M119" i="90"/>
  <c r="J63" i="90"/>
  <c r="L123" i="90"/>
  <c r="N66" i="90"/>
  <c r="E118" i="90"/>
  <c r="G64" i="90"/>
  <c r="I105" i="90"/>
  <c r="F123" i="90"/>
  <c r="N134" i="90"/>
  <c r="D42" i="90"/>
  <c r="D20" i="90" s="1"/>
  <c r="G103" i="90"/>
  <c r="F54" i="90"/>
  <c r="K44" i="90"/>
  <c r="K22" i="90" s="1"/>
  <c r="I109" i="90"/>
  <c r="O105" i="90"/>
  <c r="D114" i="90"/>
  <c r="M107" i="90"/>
  <c r="E126" i="90"/>
  <c r="L98" i="90"/>
  <c r="N135" i="90"/>
  <c r="G30" i="90"/>
  <c r="G8" i="90" s="1"/>
  <c r="H55" i="90"/>
  <c r="M89" i="90"/>
  <c r="H114" i="90"/>
  <c r="F40" i="90"/>
  <c r="F18" i="90" s="1"/>
  <c r="K100" i="90"/>
  <c r="G91" i="90"/>
  <c r="E88" i="90"/>
  <c r="F46" i="90"/>
  <c r="F24" i="90" s="1"/>
  <c r="K77" i="90"/>
  <c r="K33" i="90"/>
  <c r="K11" i="90" s="1"/>
  <c r="I42" i="90"/>
  <c r="I20" i="90" s="1"/>
  <c r="M99" i="90"/>
  <c r="I91" i="90"/>
  <c r="I65" i="90"/>
  <c r="C37" i="90"/>
  <c r="C15" i="90" s="1"/>
  <c r="G40" i="90"/>
  <c r="G18" i="90" s="1"/>
  <c r="K106" i="90"/>
  <c r="D69" i="90"/>
  <c r="H80" i="90"/>
  <c r="N45" i="90"/>
  <c r="N23" i="90" s="1"/>
  <c r="K58" i="90"/>
  <c r="L33" i="90"/>
  <c r="L11" i="90" s="1"/>
  <c r="N63" i="90"/>
  <c r="L121" i="90"/>
  <c r="N81" i="90"/>
  <c r="E98" i="90"/>
  <c r="K31" i="90"/>
  <c r="K9" i="90" s="1"/>
  <c r="J123" i="90"/>
  <c r="F133" i="90"/>
  <c r="C135" i="90"/>
  <c r="F124" i="90"/>
  <c r="J58" i="90"/>
  <c r="I106" i="90"/>
  <c r="M100" i="90"/>
  <c r="F39" i="90"/>
  <c r="F17" i="90" s="1"/>
  <c r="I33" i="90"/>
  <c r="I11" i="90" s="1"/>
  <c r="E77" i="90"/>
  <c r="F106" i="90"/>
  <c r="L100" i="90"/>
  <c r="I44" i="90"/>
  <c r="I22" i="90" s="1"/>
  <c r="E120" i="90"/>
  <c r="E59" i="90"/>
  <c r="D136" i="90"/>
  <c r="O57" i="90"/>
  <c r="L31" i="90"/>
  <c r="L9" i="90" s="1"/>
  <c r="C46" i="90"/>
  <c r="C24" i="90" s="1"/>
  <c r="M111" i="90"/>
  <c r="M55" i="90"/>
  <c r="G130" i="90"/>
  <c r="G56" i="90"/>
  <c r="M42" i="90"/>
  <c r="M20" i="90" s="1"/>
  <c r="H121" i="90"/>
  <c r="N107" i="90"/>
  <c r="C33" i="90"/>
  <c r="C11" i="90" s="1"/>
  <c r="F41" i="90"/>
  <c r="F19" i="90" s="1"/>
  <c r="N46" i="90"/>
  <c r="N24" i="90" s="1"/>
  <c r="F83" i="90"/>
  <c r="O77" i="90"/>
  <c r="E128" i="90"/>
  <c r="O55" i="90"/>
  <c r="M106" i="90"/>
  <c r="K82" i="90"/>
  <c r="N41" i="90"/>
  <c r="N19" i="90" s="1"/>
  <c r="D63" i="90"/>
  <c r="O112" i="90"/>
  <c r="H52" i="90"/>
  <c r="E113" i="90"/>
  <c r="L91" i="90"/>
  <c r="I55" i="90"/>
  <c r="I114" i="90"/>
  <c r="I30" i="90"/>
  <c r="I8" i="90" s="1"/>
  <c r="H87" i="90"/>
  <c r="I127" i="90"/>
  <c r="C114" i="90"/>
  <c r="I129" i="90"/>
  <c r="C84" i="90"/>
  <c r="H46" i="90"/>
  <c r="H24" i="90" s="1"/>
  <c r="G34" i="90"/>
  <c r="G12" i="90" s="1"/>
  <c r="I84" i="90"/>
  <c r="C131" i="90"/>
  <c r="N44" i="90"/>
  <c r="N22" i="90" s="1"/>
  <c r="K111" i="90"/>
  <c r="D41" i="90"/>
  <c r="D19" i="90" s="1"/>
  <c r="J88" i="90"/>
  <c r="L55" i="90"/>
  <c r="L81" i="90"/>
  <c r="M136" i="90"/>
  <c r="D68" i="90"/>
  <c r="L66" i="90"/>
  <c r="M83" i="90"/>
  <c r="H102" i="90"/>
  <c r="K120" i="90"/>
  <c r="D135" i="90"/>
  <c r="J101" i="90"/>
  <c r="K84" i="90"/>
  <c r="G107" i="90"/>
  <c r="J48" i="90"/>
  <c r="J26" i="90" s="1"/>
  <c r="E53" i="90"/>
  <c r="N67" i="90"/>
  <c r="K118" i="90"/>
  <c r="O111" i="90"/>
  <c r="H43" i="90"/>
  <c r="H21" i="90" s="1"/>
  <c r="L43" i="90"/>
  <c r="L21" i="90" s="1"/>
  <c r="G76" i="90"/>
  <c r="H108" i="90"/>
  <c r="J65" i="90"/>
  <c r="M56" i="90"/>
  <c r="D130" i="90"/>
  <c r="K63" i="90"/>
  <c r="G66" i="90"/>
  <c r="K48" i="90"/>
  <c r="K26" i="90" s="1"/>
  <c r="F58" i="90"/>
  <c r="C103" i="90"/>
  <c r="J85" i="90"/>
  <c r="O53" i="90"/>
  <c r="F37" i="90"/>
  <c r="F15" i="90" s="1"/>
  <c r="F81" i="90"/>
  <c r="L96" i="90"/>
  <c r="D110" i="90"/>
  <c r="E52" i="90"/>
  <c r="K102" i="90"/>
  <c r="K91" i="90"/>
  <c r="F105" i="90"/>
  <c r="D131" i="90"/>
  <c r="I47" i="90"/>
  <c r="I25" i="90" s="1"/>
  <c r="F78" i="90"/>
  <c r="D77" i="90"/>
  <c r="N77" i="90"/>
  <c r="I99" i="90"/>
  <c r="C64" i="90"/>
  <c r="K110" i="90"/>
  <c r="L62" i="90"/>
  <c r="N122" i="90"/>
  <c r="D74" i="90"/>
  <c r="H98" i="90"/>
  <c r="K130" i="90"/>
  <c r="I61" i="90"/>
  <c r="O58" i="90"/>
  <c r="E136" i="90"/>
  <c r="F70" i="90"/>
  <c r="C61" i="90"/>
  <c r="H38" i="90"/>
  <c r="H16" i="90" s="1"/>
  <c r="J132" i="90"/>
  <c r="D60" i="90"/>
  <c r="O127" i="90"/>
  <c r="D44" i="90"/>
  <c r="D22" i="90" s="1"/>
  <c r="H133" i="90"/>
  <c r="O114" i="90"/>
  <c r="G106" i="90"/>
  <c r="J66" i="90"/>
  <c r="F131" i="90"/>
  <c r="L124" i="90"/>
  <c r="J118" i="90"/>
  <c r="F77" i="90"/>
  <c r="I123" i="90"/>
  <c r="C38" i="90"/>
  <c r="C16" i="90" s="1"/>
  <c r="I40" i="90"/>
  <c r="I18" i="90" s="1"/>
  <c r="L134" i="90"/>
  <c r="G37" i="90"/>
  <c r="G15" i="90" s="1"/>
  <c r="H66" i="90"/>
  <c r="F52" i="90"/>
  <c r="E34" i="90"/>
  <c r="E12" i="90" s="1"/>
  <c r="N87" i="90"/>
  <c r="H122" i="90"/>
  <c r="G83" i="90"/>
  <c r="C47" i="90"/>
  <c r="C25" i="90" s="1"/>
  <c r="O44" i="90"/>
  <c r="O22" i="90" s="1"/>
  <c r="L59" i="90"/>
  <c r="C42" i="90"/>
  <c r="C20" i="90" s="1"/>
  <c r="N30" i="90"/>
  <c r="N8" i="90" s="1"/>
  <c r="C78" i="90"/>
  <c r="G136" i="90"/>
  <c r="D113" i="90"/>
  <c r="D40" i="90"/>
  <c r="D18" i="90" s="1"/>
  <c r="O59" i="90"/>
  <c r="F44" i="90"/>
  <c r="F22" i="90" s="1"/>
  <c r="J128" i="90"/>
  <c r="N84" i="90"/>
  <c r="F84" i="90"/>
  <c r="J80" i="90"/>
  <c r="D58" i="90"/>
  <c r="L65" i="90"/>
  <c r="C75" i="90"/>
  <c r="H111" i="90"/>
  <c r="G92" i="90"/>
  <c r="M67" i="90"/>
  <c r="D33" i="90"/>
  <c r="D11" i="90" s="1"/>
  <c r="J34" i="90"/>
  <c r="J12" i="90" s="1"/>
  <c r="H113" i="90"/>
  <c r="C96" i="90"/>
  <c r="C102" i="90"/>
  <c r="E89" i="90"/>
  <c r="J98" i="90"/>
  <c r="F127" i="90"/>
  <c r="D83" i="90"/>
  <c r="I46" i="90"/>
  <c r="I24" i="90" s="1"/>
  <c r="D62" i="90"/>
  <c r="E110" i="90"/>
  <c r="G44" i="90"/>
  <c r="G22" i="90" s="1"/>
  <c r="L119" i="90"/>
  <c r="M108" i="90"/>
  <c r="G123" i="90"/>
  <c r="H61" i="90"/>
  <c r="O70" i="90"/>
  <c r="H81" i="90"/>
  <c r="K127" i="90"/>
  <c r="C120" i="90"/>
  <c r="D46" i="90"/>
  <c r="D24" i="90" s="1"/>
  <c r="C74" i="90"/>
  <c r="K60" i="90"/>
  <c r="O46" i="90"/>
  <c r="O24" i="90" s="1"/>
  <c r="H91" i="90"/>
  <c r="M76" i="90"/>
  <c r="C107" i="90"/>
  <c r="F100" i="90"/>
  <c r="D79" i="90"/>
  <c r="F82" i="90"/>
  <c r="L128" i="90"/>
  <c r="K99" i="90"/>
  <c r="L75" i="90"/>
  <c r="K79" i="90"/>
  <c r="L52" i="90"/>
  <c r="N99" i="90"/>
  <c r="H134" i="90"/>
  <c r="K54" i="90"/>
  <c r="J87" i="90"/>
  <c r="F66" i="90"/>
  <c r="G53" i="90"/>
  <c r="J107" i="90"/>
  <c r="G70" i="90"/>
  <c r="O130" i="90"/>
  <c r="J54" i="90"/>
  <c r="C133" i="90"/>
  <c r="I119" i="90"/>
  <c r="F69" i="90"/>
  <c r="N126" i="90"/>
  <c r="O113" i="90"/>
  <c r="E85" i="90"/>
  <c r="M102" i="90"/>
  <c r="E70" i="90"/>
  <c r="J30" i="90"/>
  <c r="J8" i="90" s="1"/>
  <c r="H106" i="90"/>
  <c r="N64" i="90"/>
  <c r="M135" i="90"/>
  <c r="L34" i="90"/>
  <c r="L12" i="90" s="1"/>
  <c r="N98" i="90"/>
  <c r="J47" i="90"/>
  <c r="J25" i="90" s="1"/>
  <c r="K128" i="90"/>
  <c r="I43" i="90"/>
  <c r="I21" i="90" s="1"/>
  <c r="M91" i="90"/>
  <c r="C65" i="90"/>
  <c r="L36" i="90"/>
  <c r="L14" i="90" s="1"/>
  <c r="N114" i="90"/>
  <c r="N42" i="90"/>
  <c r="N20" i="90" s="1"/>
  <c r="F74" i="90"/>
  <c r="L82" i="90"/>
  <c r="H131" i="90"/>
  <c r="D39" i="90"/>
  <c r="D17" i="90" s="1"/>
  <c r="M92" i="90"/>
  <c r="E107" i="90"/>
  <c r="H33" i="90"/>
  <c r="H11" i="90" s="1"/>
  <c r="O125" i="90"/>
  <c r="M41" i="90"/>
  <c r="M19" i="90" s="1"/>
  <c r="L90" i="90"/>
  <c r="I69" i="90"/>
  <c r="I31" i="90"/>
  <c r="I9" i="90" s="1"/>
  <c r="O43" i="90"/>
  <c r="O21" i="90" s="1"/>
  <c r="I135" i="90"/>
  <c r="G127" i="90"/>
  <c r="F55" i="90"/>
  <c r="D129" i="90"/>
  <c r="L60" i="90"/>
  <c r="M70" i="90"/>
  <c r="D61" i="90"/>
  <c r="E38" i="90"/>
  <c r="E16" i="90" s="1"/>
  <c r="I39" i="90"/>
  <c r="I17" i="90" s="1"/>
  <c r="O66" i="90"/>
  <c r="L30" i="90"/>
  <c r="L8" i="90" s="1"/>
  <c r="M126" i="90"/>
  <c r="F65" i="90"/>
  <c r="E67" i="90"/>
  <c r="I32" i="90"/>
  <c r="I10" i="90" s="1"/>
  <c r="O52" i="90"/>
  <c r="G54" i="90"/>
  <c r="C80" i="90"/>
  <c r="N34" i="90"/>
  <c r="N12" i="90" s="1"/>
  <c r="K85" i="90"/>
  <c r="F99" i="90"/>
  <c r="M90" i="90"/>
  <c r="O41" i="90"/>
  <c r="O19" i="90" s="1"/>
  <c r="G75" i="90"/>
  <c r="M47" i="90"/>
  <c r="M25" i="90" s="1"/>
  <c r="G132" i="90"/>
  <c r="O67" i="90"/>
  <c r="J130" i="90"/>
  <c r="C83" i="90"/>
  <c r="E47" i="90"/>
  <c r="E25" i="90" s="1"/>
  <c r="K114" i="90"/>
  <c r="N39" i="90"/>
  <c r="N17" i="90" s="1"/>
  <c r="K96" i="90"/>
  <c r="F135" i="90"/>
  <c r="C91" i="90"/>
  <c r="S73" i="39"/>
  <c r="F57" i="39"/>
  <c r="I128" i="39"/>
  <c r="J156" i="39"/>
  <c r="Z80" i="39"/>
  <c r="T93" i="39"/>
  <c r="Z18" i="39"/>
  <c r="V50" i="39"/>
  <c r="Z108" i="39"/>
  <c r="I117" i="39"/>
  <c r="W55" i="39"/>
  <c r="K10" i="39"/>
  <c r="O141" i="39"/>
  <c r="T119" i="39"/>
  <c r="P156" i="39"/>
  <c r="Q159" i="39"/>
  <c r="X53" i="39"/>
  <c r="I19" i="39"/>
  <c r="S94" i="39"/>
  <c r="G56" i="39"/>
  <c r="G83" i="39"/>
  <c r="Q141" i="39"/>
  <c r="C155" i="39"/>
  <c r="P147" i="39"/>
  <c r="S69" i="39"/>
  <c r="Y83" i="39"/>
  <c r="T56" i="39"/>
  <c r="D140" i="39"/>
  <c r="H142" i="39"/>
  <c r="W13" i="39"/>
  <c r="I24" i="39"/>
  <c r="P60" i="39"/>
  <c r="R117" i="39"/>
  <c r="P155" i="39"/>
  <c r="K136" i="39"/>
  <c r="P73" i="39"/>
  <c r="U141" i="39"/>
  <c r="N48" i="39"/>
  <c r="F113" i="39"/>
  <c r="V28" i="39"/>
  <c r="R110" i="39"/>
  <c r="P38" i="39"/>
  <c r="M26" i="39"/>
  <c r="W157" i="39"/>
  <c r="V136" i="39"/>
  <c r="R75" i="39"/>
  <c r="X112" i="39"/>
  <c r="D158" i="39"/>
  <c r="D129" i="39"/>
  <c r="R94" i="39"/>
  <c r="E49" i="39"/>
  <c r="G36" i="39"/>
  <c r="U90" i="39"/>
  <c r="X150" i="39"/>
  <c r="C83" i="39"/>
  <c r="X58" i="39"/>
  <c r="D67" i="39"/>
  <c r="O98" i="39"/>
  <c r="E104" i="39"/>
  <c r="W131" i="39"/>
  <c r="K151" i="39"/>
  <c r="D137" i="39"/>
  <c r="U49" i="39"/>
  <c r="Q136" i="39"/>
  <c r="C10" i="39"/>
  <c r="I158" i="39"/>
  <c r="L154" i="39"/>
  <c r="Z152" i="39"/>
  <c r="M159" i="39"/>
  <c r="E107" i="39"/>
  <c r="D94" i="39"/>
  <c r="L109" i="39"/>
  <c r="R28" i="39"/>
  <c r="L158" i="39"/>
  <c r="S49" i="39"/>
  <c r="J155" i="39"/>
  <c r="G98" i="39"/>
  <c r="O101" i="39"/>
  <c r="F93" i="39"/>
  <c r="I14" i="39"/>
  <c r="T128" i="39"/>
  <c r="S58" i="39"/>
  <c r="U64" i="39"/>
  <c r="U59" i="39"/>
  <c r="M20" i="39"/>
  <c r="T145" i="39"/>
  <c r="K95" i="39"/>
  <c r="Q108" i="39"/>
  <c r="U68" i="39"/>
  <c r="D69" i="39"/>
  <c r="Q80" i="39"/>
  <c r="G122" i="39"/>
  <c r="Q35" i="39"/>
  <c r="W21" i="39"/>
  <c r="I103" i="39"/>
  <c r="L155" i="39"/>
  <c r="H88" i="39"/>
  <c r="C144" i="39"/>
  <c r="J148" i="39"/>
  <c r="Z154" i="39"/>
  <c r="D16" i="39"/>
  <c r="D89" i="39"/>
  <c r="V153" i="39"/>
  <c r="Q102" i="39"/>
  <c r="D131" i="39"/>
  <c r="C134" i="39"/>
  <c r="X60" i="39"/>
  <c r="Q148" i="39"/>
  <c r="F51" i="39"/>
  <c r="M96" i="39"/>
  <c r="U24" i="39"/>
  <c r="E80" i="39"/>
  <c r="D61" i="39"/>
  <c r="S144" i="39"/>
  <c r="K89" i="39"/>
  <c r="L57" i="39"/>
  <c r="Z128" i="39"/>
  <c r="Q52" i="39"/>
  <c r="R80" i="39"/>
  <c r="G106" i="39"/>
  <c r="X108" i="39"/>
  <c r="P126" i="39"/>
  <c r="K150" i="39"/>
  <c r="F100" i="39"/>
  <c r="H96" i="39"/>
  <c r="W23" i="39"/>
  <c r="Z136" i="39"/>
  <c r="C80" i="39"/>
  <c r="C28" i="39"/>
  <c r="T103" i="39"/>
  <c r="P75" i="39"/>
  <c r="K71" i="39"/>
  <c r="O37" i="39"/>
  <c r="X96" i="39"/>
  <c r="I88" i="39"/>
  <c r="M94" i="39"/>
  <c r="C114" i="39"/>
  <c r="Q59" i="39"/>
  <c r="N54" i="39"/>
  <c r="N107" i="39"/>
  <c r="K50" i="39"/>
  <c r="U81" i="39"/>
  <c r="S17" i="39"/>
  <c r="C58" i="39"/>
  <c r="U115" i="39"/>
  <c r="T136" i="39"/>
  <c r="C34" i="39"/>
  <c r="Y142" i="39"/>
  <c r="Z99" i="39"/>
  <c r="U23" i="39"/>
  <c r="Y87" i="39"/>
  <c r="H116" i="39"/>
  <c r="D59" i="39"/>
  <c r="W75" i="39"/>
  <c r="N43" i="39"/>
  <c r="L34" i="39"/>
  <c r="E18" i="39"/>
  <c r="J25" i="39"/>
  <c r="I67" i="39"/>
  <c r="H9" i="39"/>
  <c r="M29" i="39"/>
  <c r="K109" i="39"/>
  <c r="S117" i="39"/>
  <c r="Y104" i="39"/>
  <c r="R126" i="39"/>
  <c r="S129" i="39"/>
  <c r="D24" i="39"/>
  <c r="U9" i="39"/>
  <c r="O127" i="39"/>
  <c r="G153" i="39"/>
  <c r="Q43" i="39"/>
  <c r="L18" i="39"/>
  <c r="P146" i="39"/>
  <c r="I43" i="39"/>
  <c r="F87" i="39"/>
  <c r="G101" i="39"/>
  <c r="X105" i="39"/>
  <c r="M58" i="39"/>
  <c r="J114" i="39"/>
  <c r="V31" i="39"/>
  <c r="E15" i="39"/>
  <c r="D120" i="39"/>
  <c r="Q53" i="39"/>
  <c r="T32" i="39"/>
  <c r="O25" i="39"/>
  <c r="N61" i="39"/>
  <c r="F31" i="39"/>
  <c r="P129" i="39"/>
  <c r="I33" i="39"/>
  <c r="J90" i="39"/>
  <c r="R48" i="39"/>
  <c r="X52" i="39"/>
  <c r="T49" i="39"/>
  <c r="P36" i="39"/>
  <c r="V70" i="39"/>
  <c r="D73" i="39"/>
  <c r="E117" i="39"/>
  <c r="Z90" i="39"/>
  <c r="U87" i="39"/>
  <c r="Z138" i="39"/>
  <c r="M61" i="39"/>
  <c r="H81" i="39"/>
  <c r="J66" i="39"/>
  <c r="G128" i="39"/>
  <c r="Z19" i="39"/>
  <c r="G20" i="39"/>
  <c r="V48" i="39"/>
  <c r="F13" i="39"/>
  <c r="T109" i="39"/>
  <c r="T131" i="39"/>
  <c r="L16" i="39"/>
  <c r="O129" i="39"/>
  <c r="Q88" i="39"/>
  <c r="X33" i="39"/>
  <c r="N136" i="39"/>
  <c r="Z17" i="39"/>
  <c r="V104" i="39"/>
  <c r="T159" i="39"/>
  <c r="W95" i="39"/>
  <c r="T154" i="39"/>
  <c r="T91" i="39"/>
  <c r="V161" i="39"/>
  <c r="Q121" i="39"/>
  <c r="D22" i="39"/>
  <c r="R113" i="39"/>
  <c r="F67" i="39"/>
  <c r="Z88" i="39"/>
  <c r="T51" i="39"/>
  <c r="K68" i="39"/>
  <c r="M63" i="39"/>
  <c r="Z156" i="39"/>
  <c r="V133" i="39"/>
  <c r="X19" i="39"/>
  <c r="M18" i="39"/>
  <c r="L83" i="39"/>
  <c r="Z13" i="39"/>
  <c r="I111" i="39"/>
  <c r="R98" i="39"/>
  <c r="C92" i="39"/>
  <c r="S59" i="39"/>
  <c r="F42" i="39"/>
  <c r="F65" i="39"/>
  <c r="W138" i="39"/>
  <c r="O67" i="39"/>
  <c r="H51" i="39"/>
  <c r="M105" i="39"/>
  <c r="I156" i="39"/>
  <c r="V38" i="39"/>
  <c r="X114" i="39"/>
  <c r="Y34" i="39"/>
  <c r="D49" i="39"/>
  <c r="I142" i="39"/>
  <c r="J70" i="39"/>
  <c r="R151" i="39"/>
  <c r="Z112" i="39"/>
  <c r="C146" i="39"/>
  <c r="X72" i="39"/>
  <c r="D66" i="39"/>
  <c r="N147" i="39"/>
  <c r="M36" i="39"/>
  <c r="O105" i="39"/>
  <c r="Y141" i="39"/>
  <c r="Q34" i="39"/>
  <c r="Q130" i="39"/>
  <c r="Q79" i="39"/>
  <c r="Y155" i="39"/>
  <c r="R30" i="39"/>
  <c r="H54" i="39"/>
  <c r="N142" i="39"/>
  <c r="P14" i="39"/>
  <c r="L30" i="39"/>
  <c r="H79" i="39"/>
  <c r="V21" i="39"/>
  <c r="N148" i="39"/>
  <c r="J52" i="39"/>
  <c r="E65" i="39"/>
  <c r="I78" i="39"/>
  <c r="Q56" i="39"/>
  <c r="K51" i="39"/>
  <c r="D107" i="39"/>
  <c r="J91" i="39"/>
  <c r="M82" i="39"/>
  <c r="E31" i="39"/>
  <c r="X98" i="39"/>
  <c r="T14" i="39"/>
  <c r="C67" i="39"/>
  <c r="N42" i="39"/>
  <c r="X57" i="39"/>
  <c r="C82" i="39"/>
  <c r="C35" i="39"/>
  <c r="J136" i="39"/>
  <c r="N28" i="39"/>
  <c r="K21" i="39"/>
  <c r="N60" i="39"/>
  <c r="H145" i="39"/>
  <c r="L39" i="39"/>
  <c r="T156" i="39"/>
  <c r="C105" i="39"/>
  <c r="N31" i="39"/>
  <c r="S65" i="39"/>
  <c r="Y150" i="39"/>
  <c r="V99" i="39"/>
  <c r="Z149" i="39"/>
  <c r="I94" i="39"/>
  <c r="R143" i="39"/>
  <c r="D103" i="39"/>
  <c r="G9" i="39"/>
  <c r="O134" i="39"/>
  <c r="Q32" i="39"/>
  <c r="F118" i="39"/>
  <c r="L99" i="39"/>
  <c r="T59" i="39"/>
  <c r="G118" i="39"/>
  <c r="G138" i="39"/>
  <c r="L48" i="39"/>
  <c r="Q98" i="39"/>
  <c r="W109" i="39"/>
  <c r="V109" i="39"/>
  <c r="N15" i="39"/>
  <c r="U14" i="39"/>
  <c r="M131" i="39"/>
  <c r="W57" i="39"/>
  <c r="J149" i="39"/>
  <c r="P42" i="39"/>
  <c r="F77" i="39"/>
  <c r="T133" i="39"/>
  <c r="Q151" i="39"/>
  <c r="Y23" i="39"/>
  <c r="M79" i="39"/>
  <c r="F59" i="39"/>
  <c r="P31" i="39"/>
  <c r="P22" i="39"/>
  <c r="W89" i="39"/>
  <c r="M90" i="39"/>
  <c r="G42" i="39"/>
  <c r="Z158" i="39"/>
  <c r="O102" i="39"/>
  <c r="U161" i="39"/>
  <c r="M55" i="39"/>
  <c r="O11" i="39"/>
  <c r="T54" i="39"/>
  <c r="G133" i="39"/>
  <c r="O52" i="39"/>
  <c r="H12" i="39"/>
  <c r="S161" i="39"/>
  <c r="H13" i="39"/>
  <c r="H152" i="39"/>
  <c r="J64" i="39"/>
  <c r="I70" i="39"/>
  <c r="Q126" i="39"/>
  <c r="P105" i="39"/>
  <c r="Q160" i="39"/>
  <c r="C140" i="39"/>
  <c r="W14" i="39"/>
  <c r="S135" i="39"/>
  <c r="I65" i="39"/>
  <c r="J63" i="39"/>
  <c r="M92" i="39"/>
  <c r="K60" i="39"/>
  <c r="Z129" i="39"/>
  <c r="G35" i="39"/>
  <c r="U109" i="39"/>
  <c r="R63" i="39"/>
  <c r="G67" i="39"/>
  <c r="T63" i="39"/>
  <c r="T88" i="39"/>
  <c r="J18" i="39"/>
  <c r="Z25" i="39"/>
  <c r="F89" i="39"/>
  <c r="V36" i="39"/>
  <c r="S25" i="39"/>
  <c r="L23" i="39"/>
  <c r="G79" i="39"/>
  <c r="Q87" i="39"/>
  <c r="T74" i="39"/>
  <c r="X133" i="39"/>
  <c r="M80" i="39"/>
  <c r="V9" i="39"/>
  <c r="T149" i="39"/>
  <c r="V96" i="39"/>
  <c r="W54" i="39"/>
  <c r="Y109" i="39"/>
  <c r="K131" i="39"/>
  <c r="E17" i="39"/>
  <c r="L115" i="39"/>
  <c r="D43" i="39"/>
  <c r="H97" i="39"/>
  <c r="Y137" i="39"/>
  <c r="K100" i="39"/>
  <c r="K134" i="39"/>
  <c r="Z117" i="39"/>
  <c r="S40" i="39"/>
  <c r="K11" i="39"/>
  <c r="E141" i="39"/>
  <c r="N137" i="39"/>
  <c r="P103" i="39"/>
  <c r="D116" i="39"/>
  <c r="H42" i="39"/>
  <c r="G157" i="39"/>
  <c r="R70" i="39"/>
  <c r="K13" i="39"/>
  <c r="W139" i="39"/>
  <c r="Z118" i="39"/>
  <c r="F122" i="39"/>
  <c r="X152" i="39"/>
  <c r="E22" i="39"/>
  <c r="T141" i="39"/>
  <c r="E158" i="39"/>
  <c r="R25" i="39"/>
  <c r="W38" i="39"/>
  <c r="M158" i="39"/>
  <c r="T143" i="39"/>
  <c r="D119" i="39"/>
  <c r="T31" i="39"/>
  <c r="M28" i="39"/>
  <c r="N141" i="39"/>
  <c r="J12" i="39"/>
  <c r="E25" i="39"/>
  <c r="V120" i="39"/>
  <c r="I114" i="39"/>
  <c r="K65" i="39"/>
  <c r="Z142" i="39"/>
  <c r="J43" i="39"/>
  <c r="F49" i="39"/>
  <c r="P150" i="39"/>
  <c r="N19" i="39"/>
  <c r="X107" i="39"/>
  <c r="C62" i="39"/>
  <c r="E109" i="39"/>
  <c r="M156" i="39"/>
  <c r="P34" i="39"/>
  <c r="T157" i="39"/>
  <c r="U120" i="39"/>
  <c r="X69" i="39"/>
  <c r="J81" i="39"/>
  <c r="P118" i="39"/>
  <c r="T113" i="39"/>
  <c r="G148" i="39"/>
  <c r="P39" i="39"/>
  <c r="E93" i="39"/>
  <c r="M97" i="39"/>
  <c r="F132" i="39"/>
  <c r="J159" i="39"/>
  <c r="L156" i="39"/>
  <c r="O64" i="39"/>
  <c r="I54" i="39"/>
  <c r="Y114" i="39"/>
  <c r="X76" i="39"/>
  <c r="U108" i="39"/>
  <c r="C121" i="39"/>
  <c r="D126" i="39"/>
  <c r="I91" i="39"/>
  <c r="W71" i="39"/>
  <c r="X140" i="39"/>
  <c r="X9" i="39"/>
  <c r="J11" i="39"/>
  <c r="C115" i="39"/>
  <c r="R105" i="39"/>
  <c r="E121" i="39"/>
  <c r="Q48" i="39"/>
  <c r="L11" i="39"/>
  <c r="X94" i="39"/>
  <c r="N62" i="39"/>
  <c r="E68" i="39"/>
  <c r="M151" i="39"/>
  <c r="K57" i="39"/>
  <c r="D34" i="39"/>
  <c r="R152" i="39"/>
  <c r="J128" i="39"/>
  <c r="G143" i="39"/>
  <c r="L65" i="39"/>
  <c r="F15" i="39"/>
  <c r="P161" i="39"/>
  <c r="T62" i="39"/>
  <c r="T37" i="39"/>
  <c r="F9" i="39"/>
  <c r="T70" i="39"/>
  <c r="P67" i="39"/>
  <c r="S77" i="39"/>
  <c r="Q23" i="39"/>
  <c r="X115" i="39"/>
  <c r="V41" i="39"/>
  <c r="P107" i="39"/>
  <c r="N153" i="39"/>
  <c r="T61" i="39"/>
  <c r="S157" i="39"/>
  <c r="E105" i="39"/>
  <c r="X110" i="39"/>
  <c r="C41" i="39"/>
  <c r="J118" i="39"/>
  <c r="R115" i="39"/>
  <c r="N51" i="39"/>
  <c r="P16" i="39"/>
  <c r="H15" i="39"/>
  <c r="N156" i="39"/>
  <c r="Z150" i="39"/>
  <c r="O31" i="39"/>
  <c r="K103" i="39"/>
  <c r="O39" i="39"/>
  <c r="K153" i="39"/>
  <c r="R14" i="39"/>
  <c r="Y146" i="39"/>
  <c r="N80" i="39"/>
  <c r="M152" i="39"/>
  <c r="L20" i="39"/>
  <c r="R141" i="39"/>
  <c r="I146" i="39"/>
  <c r="P81" i="39"/>
  <c r="S154" i="39"/>
  <c r="Z116" i="39"/>
  <c r="R69" i="39"/>
  <c r="F32" i="39"/>
  <c r="J79" i="39"/>
  <c r="U151" i="39"/>
  <c r="K148" i="39"/>
  <c r="O61" i="39"/>
  <c r="F138" i="39"/>
  <c r="G90" i="39"/>
  <c r="V23" i="39"/>
  <c r="J93" i="39"/>
  <c r="J132" i="39"/>
  <c r="U104" i="39"/>
  <c r="G57" i="39"/>
  <c r="K44" i="39"/>
  <c r="M104" i="39"/>
  <c r="V101" i="39"/>
  <c r="M43" i="39"/>
  <c r="G30" i="39"/>
  <c r="S142" i="39"/>
  <c r="Z73" i="39"/>
  <c r="Y54" i="39"/>
  <c r="R142" i="39"/>
  <c r="S147" i="39"/>
  <c r="R87" i="39"/>
  <c r="U54" i="39"/>
  <c r="D68" i="39"/>
  <c r="O9" i="39"/>
  <c r="K132" i="39"/>
  <c r="M65" i="39"/>
  <c r="P77" i="39"/>
  <c r="X23" i="39"/>
  <c r="Y36" i="39"/>
  <c r="H55" i="39"/>
  <c r="L138" i="39"/>
  <c r="K119" i="39"/>
  <c r="D135" i="39"/>
  <c r="U94" i="39"/>
  <c r="X14" i="39"/>
  <c r="K16" i="39"/>
  <c r="M119" i="39"/>
  <c r="L63" i="39"/>
  <c r="D82" i="39"/>
  <c r="M102" i="39"/>
  <c r="Z56" i="39"/>
  <c r="L59" i="39"/>
  <c r="T155" i="39"/>
  <c r="V155" i="39"/>
  <c r="S158" i="39"/>
  <c r="G144" i="39"/>
  <c r="C156" i="39"/>
  <c r="U106" i="39"/>
  <c r="M44" i="39"/>
  <c r="Q115" i="39"/>
  <c r="C135" i="39"/>
  <c r="D133" i="39"/>
  <c r="J145" i="39"/>
  <c r="R26" i="39"/>
  <c r="M39" i="39"/>
  <c r="V103" i="39"/>
  <c r="T55" i="39"/>
  <c r="U93" i="39"/>
  <c r="M88" i="39"/>
  <c r="S133" i="39"/>
  <c r="Y72" i="39"/>
  <c r="V159" i="39"/>
  <c r="V60" i="39"/>
  <c r="M101" i="39"/>
  <c r="M35" i="39"/>
  <c r="C152" i="39"/>
  <c r="T12" i="39"/>
  <c r="F48" i="39"/>
  <c r="V10" i="39"/>
  <c r="X30" i="39"/>
  <c r="T83" i="39"/>
  <c r="O83" i="39"/>
  <c r="W61" i="39"/>
  <c r="O34" i="39"/>
  <c r="L31" i="39"/>
  <c r="I122" i="39"/>
  <c r="L134" i="39"/>
  <c r="H104" i="39"/>
  <c r="Y131" i="39"/>
  <c r="O78" i="39"/>
  <c r="G119" i="39"/>
  <c r="O138" i="39"/>
  <c r="K42" i="39"/>
  <c r="M76" i="39"/>
  <c r="M140" i="39"/>
  <c r="N68" i="39"/>
  <c r="R119" i="39"/>
  <c r="Z60" i="39"/>
  <c r="I149" i="39"/>
  <c r="R160" i="39"/>
  <c r="O33" i="39"/>
  <c r="V95" i="39"/>
  <c r="X103" i="39"/>
  <c r="G126" i="39"/>
  <c r="Q94" i="39"/>
  <c r="G54" i="39"/>
  <c r="Q120" i="39"/>
  <c r="R35" i="39"/>
  <c r="X70" i="39"/>
  <c r="Z74" i="39"/>
  <c r="Y98" i="39"/>
  <c r="Y158" i="39"/>
  <c r="W140" i="39"/>
  <c r="K88" i="39"/>
  <c r="K113" i="39"/>
  <c r="S122" i="39"/>
  <c r="Y26" i="39"/>
  <c r="K37" i="39"/>
  <c r="O120" i="39"/>
  <c r="V144" i="39"/>
  <c r="Q156" i="39"/>
  <c r="T87" i="39"/>
  <c r="O66" i="39"/>
  <c r="D145" i="39"/>
  <c r="O153" i="39"/>
  <c r="J158" i="39"/>
  <c r="V130" i="39"/>
  <c r="S130" i="39"/>
  <c r="N75" i="39"/>
  <c r="I39" i="39"/>
  <c r="M37" i="39"/>
  <c r="U160" i="39"/>
  <c r="K133" i="39"/>
  <c r="R131" i="39"/>
  <c r="J72" i="39"/>
  <c r="I48" i="39"/>
  <c r="H122" i="39"/>
  <c r="Y154" i="39"/>
  <c r="O103" i="39"/>
  <c r="Z72" i="39"/>
  <c r="E144" i="39"/>
  <c r="J53" i="39"/>
  <c r="U43" i="39"/>
  <c r="K144" i="39"/>
  <c r="M99" i="39"/>
  <c r="O87" i="39"/>
  <c r="L111" i="39"/>
  <c r="V72" i="39"/>
  <c r="J16" i="39"/>
  <c r="V139" i="39"/>
  <c r="O92" i="39"/>
  <c r="F79" i="39"/>
  <c r="M38" i="39"/>
  <c r="S80" i="39"/>
  <c r="K14" i="39"/>
  <c r="Y50" i="39"/>
  <c r="R13" i="39"/>
  <c r="F90" i="39"/>
  <c r="W88" i="39"/>
  <c r="P106" i="39"/>
  <c r="H127" i="39"/>
  <c r="U95" i="39"/>
  <c r="J119" i="39"/>
  <c r="M81" i="39"/>
  <c r="P113" i="39"/>
  <c r="U79" i="39"/>
  <c r="U131" i="39"/>
  <c r="U26" i="39"/>
  <c r="X159" i="39"/>
  <c r="V158" i="39"/>
  <c r="G27" i="39"/>
  <c r="V132" i="39"/>
  <c r="R32" i="39"/>
  <c r="W30" i="39"/>
  <c r="C78" i="39"/>
  <c r="Y143" i="39"/>
  <c r="I138" i="39"/>
  <c r="S63" i="39"/>
  <c r="T33" i="39"/>
  <c r="Y12" i="39"/>
  <c r="S98" i="39"/>
  <c r="K127" i="39"/>
  <c r="E149" i="39"/>
  <c r="S54" i="39"/>
  <c r="D57" i="39"/>
  <c r="P17" i="39"/>
  <c r="C27" i="39"/>
  <c r="M22" i="39"/>
  <c r="X146" i="39"/>
  <c r="M60" i="39"/>
  <c r="J134" i="39"/>
  <c r="I110" i="39"/>
  <c r="C54" i="39"/>
  <c r="F101" i="39"/>
  <c r="F109" i="39"/>
  <c r="E139" i="39"/>
  <c r="T41" i="39"/>
  <c r="L68" i="39"/>
  <c r="O136" i="39"/>
  <c r="Z96" i="39"/>
  <c r="W103" i="39"/>
  <c r="T57" i="39"/>
  <c r="R19" i="39"/>
  <c r="F83" i="39"/>
  <c r="R42" i="39"/>
  <c r="Y67" i="39"/>
  <c r="C55" i="39"/>
  <c r="M98" i="39"/>
  <c r="E150" i="39"/>
  <c r="N143" i="39"/>
  <c r="E33" i="39"/>
  <c r="S71" i="39"/>
  <c r="R100" i="39"/>
  <c r="C151" i="39"/>
  <c r="L126" i="39"/>
  <c r="U13" i="39"/>
  <c r="Z26" i="39"/>
  <c r="D147" i="39"/>
  <c r="C21" i="39"/>
  <c r="N106" i="39"/>
  <c r="O131" i="39"/>
  <c r="L24" i="39"/>
  <c r="P97" i="39"/>
  <c r="G160" i="39"/>
  <c r="Y16" i="39"/>
  <c r="P11" i="39"/>
  <c r="Y52" i="39"/>
  <c r="T118" i="39"/>
  <c r="D150" i="39"/>
  <c r="S115" i="39"/>
  <c r="C102" i="39"/>
  <c r="T160" i="39"/>
  <c r="X106" i="39"/>
  <c r="C90" i="39"/>
  <c r="J89" i="39"/>
  <c r="V62" i="39"/>
  <c r="Y89" i="39"/>
  <c r="J15" i="39"/>
  <c r="J83" i="39"/>
  <c r="F61" i="39"/>
  <c r="N13" i="39"/>
  <c r="P20" i="39"/>
  <c r="X88" i="39"/>
  <c r="E19" i="39"/>
  <c r="O17" i="39"/>
  <c r="Q70" i="39"/>
  <c r="E57" i="39"/>
  <c r="F25" i="39"/>
  <c r="V92" i="39"/>
  <c r="C74" i="39"/>
  <c r="E114" i="39"/>
  <c r="V11" i="39"/>
  <c r="U152" i="39"/>
  <c r="T135" i="39"/>
  <c r="S101" i="39"/>
  <c r="F60" i="39"/>
  <c r="F88" i="39"/>
  <c r="D21" i="39"/>
  <c r="F62" i="39"/>
  <c r="I66" i="39"/>
  <c r="S112" i="39"/>
  <c r="O157" i="39"/>
  <c r="T21" i="39"/>
  <c r="W79" i="39"/>
  <c r="V63" i="39"/>
  <c r="R64" i="39"/>
  <c r="G58" i="39"/>
  <c r="Q65" i="39"/>
  <c r="N127" i="39"/>
  <c r="L135" i="39"/>
  <c r="N10" i="39"/>
  <c r="H31" i="39"/>
  <c r="J78" i="39"/>
  <c r="L94" i="39"/>
  <c r="J59" i="39"/>
  <c r="Q134" i="39"/>
  <c r="Z37" i="39"/>
  <c r="H132" i="39"/>
  <c r="O145" i="39"/>
  <c r="Z50" i="39"/>
  <c r="M48" i="39"/>
  <c r="I21" i="39"/>
  <c r="C161" i="39"/>
  <c r="M19" i="39"/>
  <c r="N52" i="39"/>
  <c r="Z58" i="39"/>
  <c r="V69" i="39"/>
  <c r="S96" i="39"/>
  <c r="Y61" i="39"/>
  <c r="L148" i="39"/>
  <c r="H131" i="39"/>
  <c r="C23" i="39"/>
  <c r="K111" i="39"/>
  <c r="Z34" i="39"/>
  <c r="U29" i="39"/>
  <c r="I120" i="39"/>
  <c r="T100" i="39"/>
  <c r="L121" i="39"/>
  <c r="S32" i="39"/>
  <c r="M106" i="39"/>
  <c r="O122" i="39"/>
  <c r="J10" i="39"/>
  <c r="S91" i="39"/>
  <c r="G66" i="39"/>
  <c r="Y43" i="39"/>
  <c r="K101" i="39"/>
  <c r="Z121" i="39"/>
  <c r="C59" i="39"/>
  <c r="S93" i="39"/>
  <c r="Z70" i="39"/>
  <c r="Y99" i="39"/>
  <c r="H34" i="39"/>
  <c r="F18" i="39"/>
  <c r="Z140" i="39"/>
  <c r="G68" i="39"/>
  <c r="D109" i="39"/>
  <c r="J54" i="39"/>
  <c r="J60" i="39"/>
  <c r="M11" i="39"/>
  <c r="X131" i="39"/>
  <c r="J102" i="39"/>
  <c r="D149" i="39"/>
  <c r="Z89" i="39"/>
  <c r="J14" i="39"/>
  <c r="G131" i="39"/>
  <c r="H27" i="39"/>
  <c r="O65" i="39"/>
  <c r="E40" i="39"/>
  <c r="T89" i="39"/>
  <c r="C107" i="39"/>
  <c r="X29" i="39"/>
  <c r="Z59" i="39"/>
  <c r="C16" i="39"/>
  <c r="U142" i="39"/>
  <c r="D70" i="39"/>
  <c r="O139" i="39"/>
  <c r="M146" i="39"/>
  <c r="G29" i="39"/>
  <c r="Y100" i="39"/>
  <c r="P13" i="39"/>
  <c r="L130" i="39"/>
  <c r="E37" i="39"/>
  <c r="T23" i="39"/>
  <c r="X49" i="39"/>
  <c r="V64" i="39"/>
  <c r="K15" i="39"/>
  <c r="O158" i="39"/>
  <c r="Y116" i="39"/>
  <c r="F26" i="39"/>
  <c r="R27" i="39"/>
  <c r="M73" i="39"/>
  <c r="D63" i="39"/>
  <c r="S137" i="39"/>
  <c r="D128" i="39"/>
  <c r="M138" i="39"/>
  <c r="G32" i="39"/>
  <c r="H63" i="39"/>
  <c r="E145" i="39"/>
  <c r="Y127" i="39"/>
  <c r="S31" i="39"/>
  <c r="S152" i="39"/>
  <c r="Y78" i="39"/>
  <c r="C106" i="39"/>
  <c r="M83" i="39"/>
  <c r="F82" i="39"/>
  <c r="F99" i="39"/>
  <c r="Z54" i="39"/>
  <c r="X78" i="39"/>
  <c r="O128" i="39"/>
  <c r="T106" i="39"/>
  <c r="K73" i="39"/>
  <c r="V137" i="39"/>
  <c r="U15" i="39"/>
  <c r="I116" i="39"/>
  <c r="Y144" i="39"/>
  <c r="Q18" i="39"/>
  <c r="P43" i="39"/>
  <c r="L145" i="39"/>
  <c r="Q149" i="39"/>
  <c r="G15" i="39"/>
  <c r="H77" i="39"/>
  <c r="Z33" i="39"/>
  <c r="O48" i="39"/>
  <c r="E122" i="39"/>
  <c r="L104" i="39"/>
  <c r="R31" i="39"/>
  <c r="V111" i="39"/>
  <c r="K83" i="39"/>
  <c r="S89" i="39"/>
  <c r="U52" i="39"/>
  <c r="U20" i="39"/>
  <c r="Y32" i="39"/>
  <c r="T39" i="39"/>
  <c r="N74" i="39"/>
  <c r="N92" i="39"/>
  <c r="L112" i="39"/>
  <c r="D74" i="39"/>
  <c r="I74" i="39"/>
  <c r="Q144" i="39"/>
  <c r="Y73" i="39"/>
  <c r="W49" i="39"/>
  <c r="T121" i="39"/>
  <c r="J140" i="39"/>
  <c r="I32" i="39"/>
  <c r="V88" i="39"/>
  <c r="C14" i="39"/>
  <c r="H115" i="39"/>
  <c r="C108" i="39"/>
  <c r="P151" i="39"/>
  <c r="L90" i="39"/>
  <c r="M118" i="39"/>
  <c r="Z81" i="39"/>
  <c r="L33" i="39"/>
  <c r="Q97" i="39"/>
  <c r="Q12" i="39"/>
  <c r="C57" i="39"/>
  <c r="S37" i="39"/>
  <c r="P63" i="39"/>
  <c r="W51" i="39"/>
  <c r="N90" i="39"/>
  <c r="I22" i="39"/>
  <c r="X20" i="39"/>
  <c r="C139" i="39"/>
  <c r="V18" i="39"/>
  <c r="G73" i="39"/>
  <c r="T126" i="39"/>
  <c r="C113" i="39"/>
  <c r="N58" i="39"/>
  <c r="I28" i="39"/>
  <c r="S120" i="39"/>
  <c r="F27" i="39"/>
  <c r="C39" i="39"/>
  <c r="F147" i="39"/>
  <c r="C112" i="39"/>
  <c r="Z40" i="39"/>
  <c r="I139" i="39"/>
  <c r="Z133" i="39"/>
  <c r="O57" i="39"/>
  <c r="Q119" i="39"/>
  <c r="F129" i="39"/>
  <c r="E97" i="39"/>
  <c r="U74" i="39"/>
  <c r="N71" i="39"/>
  <c r="C110" i="39"/>
  <c r="F143" i="39"/>
  <c r="Z29" i="39"/>
  <c r="X26" i="39"/>
  <c r="M34" i="39"/>
  <c r="L119" i="39"/>
  <c r="E116" i="39"/>
  <c r="X28" i="39"/>
  <c r="C53" i="39"/>
  <c r="L146" i="39"/>
  <c r="Y126" i="39"/>
  <c r="K97" i="39"/>
  <c r="D28" i="39"/>
  <c r="N70" i="39"/>
  <c r="W31" i="39"/>
  <c r="P57" i="39"/>
  <c r="G76" i="39"/>
  <c r="G135" i="39"/>
  <c r="X80" i="39"/>
  <c r="C72" i="39"/>
  <c r="F28" i="39"/>
  <c r="L43" i="39"/>
  <c r="W134" i="39"/>
  <c r="M100" i="39"/>
  <c r="Q89" i="39"/>
  <c r="C160" i="39"/>
  <c r="Q153" i="39"/>
  <c r="Z69" i="39"/>
  <c r="S116" i="39"/>
  <c r="P159" i="39"/>
  <c r="K29" i="39"/>
  <c r="Z79" i="39"/>
  <c r="L129" i="39"/>
  <c r="U58" i="39"/>
  <c r="H38" i="39"/>
  <c r="S36" i="39"/>
  <c r="M103" i="39"/>
  <c r="G23" i="39"/>
  <c r="K59" i="39"/>
  <c r="R58" i="39"/>
  <c r="H36" i="39"/>
  <c r="L150" i="39"/>
  <c r="R21" i="39"/>
  <c r="J129" i="39"/>
  <c r="W59" i="39"/>
  <c r="D88" i="39"/>
  <c r="Q99" i="39"/>
  <c r="X75" i="39"/>
  <c r="L88" i="39"/>
  <c r="H99" i="39"/>
  <c r="I72" i="39"/>
  <c r="S19" i="39"/>
  <c r="I109" i="39"/>
  <c r="I100" i="39"/>
  <c r="Q106" i="39"/>
  <c r="P19" i="39"/>
  <c r="P29" i="39"/>
  <c r="J104" i="39"/>
  <c r="N59" i="39"/>
  <c r="Q116" i="39"/>
  <c r="I104" i="39"/>
  <c r="E73" i="39"/>
  <c r="V100" i="39"/>
  <c r="C120" i="39"/>
  <c r="W19" i="39"/>
  <c r="X126" i="39"/>
  <c r="L122" i="39"/>
  <c r="H25" i="39"/>
  <c r="C149" i="39"/>
  <c r="E118" i="39"/>
  <c r="T53" i="39"/>
  <c r="J29" i="39"/>
  <c r="N138" i="39"/>
  <c r="W159" i="39"/>
  <c r="S88" i="39"/>
  <c r="R83" i="39"/>
  <c r="E11" i="39"/>
  <c r="Y40" i="39"/>
  <c r="U146" i="39"/>
  <c r="P91" i="39"/>
  <c r="X144" i="39"/>
  <c r="F92" i="39"/>
  <c r="T137" i="39"/>
  <c r="Y119" i="39"/>
  <c r="R156" i="39"/>
  <c r="S10" i="39"/>
  <c r="K106" i="39"/>
  <c r="O154" i="39"/>
  <c r="V127" i="39"/>
  <c r="T68" i="39"/>
  <c r="Q132" i="39"/>
  <c r="S28" i="39"/>
  <c r="W48" i="39"/>
  <c r="L72" i="39"/>
  <c r="J106" i="39"/>
  <c r="N26" i="39"/>
  <c r="I133" i="39"/>
  <c r="D122" i="39"/>
  <c r="P152" i="39"/>
  <c r="J110" i="39"/>
  <c r="I92" i="39"/>
  <c r="W73" i="39"/>
  <c r="T129" i="39"/>
  <c r="R36" i="39"/>
  <c r="W70" i="39"/>
  <c r="R104" i="39"/>
  <c r="H134" i="39"/>
  <c r="H59" i="39"/>
  <c r="H24" i="39"/>
  <c r="U78" i="39"/>
  <c r="W17" i="39"/>
  <c r="N101" i="39"/>
  <c r="D32" i="39"/>
  <c r="I108" i="39"/>
  <c r="L91" i="39"/>
  <c r="N131" i="39"/>
  <c r="R127" i="39"/>
  <c r="Q118" i="39"/>
  <c r="I61" i="39"/>
  <c r="X157" i="39"/>
  <c r="U119" i="39"/>
  <c r="Q95" i="39"/>
  <c r="R96" i="39"/>
  <c r="O96" i="39"/>
  <c r="W50" i="39"/>
  <c r="Z30" i="39"/>
  <c r="G107" i="39"/>
  <c r="R103" i="39"/>
  <c r="Z92" i="39"/>
  <c r="G26" i="39"/>
  <c r="L157" i="39"/>
  <c r="J49" i="39"/>
  <c r="N105" i="39"/>
  <c r="H53" i="39"/>
  <c r="U50" i="39"/>
  <c r="C141" i="39"/>
  <c r="P48" i="39"/>
  <c r="E134" i="39"/>
  <c r="U82" i="39"/>
  <c r="K53" i="39"/>
  <c r="Y157" i="39"/>
  <c r="E32" i="39"/>
  <c r="U154" i="39"/>
  <c r="W161" i="39"/>
  <c r="L96" i="39"/>
  <c r="W40" i="39"/>
  <c r="N118" i="39"/>
  <c r="G159" i="39"/>
  <c r="X65" i="39"/>
  <c r="T101" i="39"/>
  <c r="T102" i="39"/>
  <c r="I112" i="39"/>
  <c r="S81" i="39"/>
  <c r="N25" i="39"/>
  <c r="P117" i="39"/>
  <c r="U51" i="39"/>
  <c r="F151" i="39"/>
  <c r="T17" i="39"/>
  <c r="K112" i="39"/>
  <c r="J13" i="39"/>
  <c r="K36" i="39"/>
  <c r="J26" i="39"/>
  <c r="I126" i="39"/>
  <c r="Q93" i="39"/>
  <c r="G87" i="39"/>
  <c r="F22" i="39"/>
  <c r="H30" i="39"/>
  <c r="L64" i="39"/>
  <c r="T80" i="39"/>
  <c r="L149" i="39"/>
  <c r="O68" i="39"/>
  <c r="S109" i="39"/>
  <c r="N144" i="39"/>
  <c r="J113" i="39"/>
  <c r="W32" i="39"/>
  <c r="C70" i="39"/>
  <c r="N111" i="39"/>
  <c r="E41" i="39"/>
  <c r="L66" i="39"/>
  <c r="H16" i="39"/>
  <c r="U62" i="39"/>
  <c r="N76" i="39"/>
  <c r="S138" i="39"/>
  <c r="T107" i="39"/>
  <c r="X51" i="39"/>
  <c r="H121" i="39"/>
  <c r="I90" i="39"/>
  <c r="Q29" i="39"/>
  <c r="M75" i="39"/>
  <c r="N100" i="39"/>
  <c r="S97" i="39"/>
  <c r="P142" i="39"/>
  <c r="K145" i="39"/>
  <c r="Q75" i="39"/>
  <c r="R16" i="39"/>
  <c r="T25" i="39"/>
  <c r="R111" i="39"/>
  <c r="Q39" i="39"/>
  <c r="E142" i="39"/>
  <c r="V116" i="39"/>
  <c r="P128" i="39"/>
  <c r="D11" i="39"/>
  <c r="I56" i="39"/>
  <c r="Y10" i="39"/>
  <c r="W10" i="39"/>
  <c r="F160" i="39"/>
  <c r="V61" i="39"/>
  <c r="D155" i="39"/>
  <c r="F54" i="39"/>
  <c r="N49" i="39"/>
  <c r="Y92" i="39"/>
  <c r="L19" i="39"/>
  <c r="E129" i="39"/>
  <c r="X158" i="39"/>
  <c r="Z122" i="39"/>
  <c r="L110" i="39"/>
  <c r="M21" i="39"/>
  <c r="E136" i="39"/>
  <c r="C130" i="39"/>
  <c r="U73" i="39"/>
  <c r="K76" i="39"/>
  <c r="U70" i="39"/>
  <c r="G24" i="39"/>
  <c r="N16" i="39"/>
  <c r="O63" i="39"/>
  <c r="K17" i="39"/>
  <c r="P83" i="39"/>
  <c r="I35" i="39"/>
  <c r="D52" i="39"/>
  <c r="O150" i="39"/>
  <c r="R49" i="39"/>
  <c r="U19" i="39"/>
  <c r="E126" i="39"/>
  <c r="I159" i="39"/>
  <c r="K32" i="39"/>
  <c r="M153" i="39"/>
  <c r="T96" i="39"/>
  <c r="K104" i="39"/>
  <c r="C30" i="39"/>
  <c r="G146" i="39"/>
  <c r="K108" i="39"/>
  <c r="F34" i="39"/>
  <c r="E111" i="39"/>
  <c r="Y70" i="39"/>
  <c r="X101" i="39"/>
  <c r="H44" i="39"/>
  <c r="R56" i="39"/>
  <c r="K128" i="39"/>
  <c r="E120" i="39"/>
  <c r="E78" i="39"/>
  <c r="W53" i="39"/>
  <c r="D121" i="39"/>
  <c r="T120" i="39"/>
  <c r="C19" i="39"/>
  <c r="M161" i="39"/>
  <c r="H52" i="39"/>
  <c r="C56" i="39"/>
  <c r="W37" i="39"/>
  <c r="E77" i="39"/>
  <c r="V54" i="39"/>
  <c r="I23" i="39"/>
  <c r="P102" i="39"/>
  <c r="U102" i="39"/>
  <c r="Q92" i="39"/>
  <c r="Q30" i="39"/>
  <c r="H129" i="39"/>
  <c r="R106" i="39"/>
  <c r="O107" i="39"/>
  <c r="G129" i="39"/>
  <c r="P41" i="39"/>
  <c r="F146" i="39"/>
  <c r="W117" i="39"/>
  <c r="M139" i="39"/>
  <c r="E64" i="39"/>
  <c r="C60" i="39"/>
  <c r="H101" i="39"/>
  <c r="S118" i="39"/>
  <c r="M91" i="39"/>
  <c r="R74" i="39"/>
  <c r="T38" i="39"/>
  <c r="W135" i="39"/>
  <c r="K39" i="39"/>
  <c r="G61" i="39"/>
  <c r="I58" i="39"/>
  <c r="G91" i="39"/>
  <c r="W56" i="39"/>
  <c r="L50" i="39"/>
  <c r="G114" i="39"/>
  <c r="S9" i="39"/>
  <c r="S159" i="39"/>
  <c r="T42" i="39"/>
  <c r="P135" i="39"/>
  <c r="J42" i="39"/>
  <c r="N11" i="39"/>
  <c r="J57" i="39"/>
  <c r="R128" i="39"/>
  <c r="S136" i="39"/>
  <c r="V25" i="39"/>
  <c r="U25" i="39"/>
  <c r="R12" i="39"/>
  <c r="Q16" i="39"/>
  <c r="T99" i="39"/>
  <c r="S95" i="39"/>
  <c r="F141" i="39"/>
  <c r="O159" i="39"/>
  <c r="D79" i="39"/>
  <c r="I118" i="39"/>
  <c r="J153" i="39"/>
  <c r="Y9" i="39"/>
  <c r="K58" i="39"/>
  <c r="U35" i="39"/>
  <c r="S79" i="39"/>
  <c r="G74" i="39"/>
  <c r="O149" i="39"/>
  <c r="C71" i="39"/>
  <c r="F115" i="39"/>
  <c r="M69" i="39"/>
  <c r="H57" i="39"/>
  <c r="P138" i="39"/>
  <c r="V40" i="39"/>
  <c r="E35" i="39"/>
  <c r="R136" i="39"/>
  <c r="F126" i="39"/>
  <c r="D38" i="39"/>
  <c r="L38" i="39"/>
  <c r="D134" i="39"/>
  <c r="M30" i="39"/>
  <c r="C63" i="39"/>
  <c r="Z20" i="39"/>
  <c r="V22" i="39"/>
  <c r="R41" i="39"/>
  <c r="Z82" i="39"/>
  <c r="P157" i="39"/>
  <c r="W26" i="39"/>
  <c r="M56" i="39"/>
  <c r="N36" i="39"/>
  <c r="R161" i="39"/>
  <c r="X36" i="39"/>
  <c r="O38" i="39"/>
  <c r="L87" i="39"/>
  <c r="M145" i="39"/>
  <c r="L62" i="39"/>
  <c r="S102" i="39"/>
  <c r="Y11" i="39"/>
  <c r="U97" i="39"/>
  <c r="O58" i="39"/>
  <c r="K138" i="39"/>
  <c r="E147" i="39"/>
  <c r="W35" i="39"/>
  <c r="U101" i="39"/>
  <c r="W112" i="39"/>
  <c r="Q71" i="39"/>
  <c r="M62" i="39"/>
  <c r="U128" i="39"/>
  <c r="W58" i="39"/>
  <c r="I143" i="39"/>
  <c r="H73" i="39"/>
  <c r="T117" i="39"/>
  <c r="X145" i="39"/>
  <c r="P119" i="39"/>
  <c r="J131" i="39"/>
  <c r="X118" i="39"/>
  <c r="G96" i="39"/>
  <c r="Y75" i="39"/>
  <c r="H80" i="39"/>
  <c r="K74" i="39"/>
  <c r="O116" i="39"/>
  <c r="X16" i="39"/>
  <c r="K61" i="39"/>
  <c r="R130" i="39"/>
  <c r="W129" i="39"/>
  <c r="S11" i="39"/>
  <c r="T122" i="39"/>
  <c r="O55" i="39"/>
  <c r="N113" i="39"/>
  <c r="I12" i="39"/>
  <c r="H39" i="39"/>
  <c r="F152" i="39"/>
  <c r="W143" i="39"/>
  <c r="E79" i="39"/>
  <c r="G103" i="39"/>
  <c r="J150" i="39"/>
  <c r="T81" i="39"/>
  <c r="K9" i="39"/>
  <c r="G41" i="39"/>
  <c r="G149" i="39"/>
  <c r="I13" i="39"/>
  <c r="U83" i="39"/>
  <c r="X90" i="39"/>
  <c r="E95" i="39"/>
  <c r="L133" i="39"/>
  <c r="Z24" i="39"/>
  <c r="E91" i="39"/>
  <c r="L10" i="39"/>
  <c r="O106" i="39"/>
  <c r="V138" i="39"/>
  <c r="L82" i="39"/>
  <c r="T40" i="39"/>
  <c r="F149" i="39"/>
  <c r="N95" i="39"/>
  <c r="G34" i="39"/>
  <c r="S13" i="39"/>
  <c r="X17" i="39"/>
  <c r="W98" i="39"/>
  <c r="P90" i="39"/>
  <c r="Z139" i="39"/>
  <c r="T26" i="39"/>
  <c r="E90" i="39"/>
  <c r="K56" i="39"/>
  <c r="Z44" i="39"/>
  <c r="W92" i="39"/>
  <c r="L75" i="39"/>
  <c r="Z21" i="39"/>
  <c r="O113" i="39"/>
  <c r="L105" i="39"/>
  <c r="Z51" i="39"/>
  <c r="S33" i="39"/>
  <c r="W114" i="39"/>
  <c r="Q76" i="39"/>
  <c r="J48" i="39"/>
  <c r="X39" i="39"/>
  <c r="N120" i="39"/>
  <c r="K48" i="39"/>
  <c r="H139" i="39"/>
  <c r="C150" i="39"/>
  <c r="W68" i="39"/>
  <c r="S26" i="39"/>
  <c r="D44" i="39"/>
  <c r="C12" i="39"/>
  <c r="K156" i="39"/>
  <c r="E161" i="39"/>
  <c r="E50" i="39"/>
  <c r="D36" i="39"/>
  <c r="J226" i="28"/>
  <c r="O105" i="28"/>
  <c r="H85" i="28"/>
  <c r="H45" i="28" s="1"/>
  <c r="Q102" i="28"/>
  <c r="Y246" i="28"/>
  <c r="Q54" i="28"/>
  <c r="Q14" i="28" s="1"/>
  <c r="S77" i="28"/>
  <c r="S37" i="28" s="1"/>
  <c r="S189" i="28"/>
  <c r="S130" i="28"/>
  <c r="U148" i="28"/>
  <c r="G155" i="28"/>
  <c r="Q202" i="28"/>
  <c r="L180" i="28"/>
  <c r="K217" i="28"/>
  <c r="R222" i="28"/>
  <c r="C162" i="28"/>
  <c r="L94" i="28"/>
  <c r="T74" i="28"/>
  <c r="T34" i="28" s="1"/>
  <c r="P170" i="28"/>
  <c r="X68" i="28"/>
  <c r="X28" i="28" s="1"/>
  <c r="J110" i="28"/>
  <c r="Y182" i="28"/>
  <c r="P179" i="28"/>
  <c r="X120" i="28"/>
  <c r="C192" i="28"/>
  <c r="O125" i="28"/>
  <c r="D138" i="93"/>
  <c r="P144" i="28"/>
  <c r="F239" i="28"/>
  <c r="N53" i="28"/>
  <c r="N13" i="28" s="1"/>
  <c r="I179" i="28"/>
  <c r="P181" i="28"/>
  <c r="N201" i="28"/>
  <c r="I243" i="28"/>
  <c r="R124" i="28"/>
  <c r="K116" i="28"/>
  <c r="Q111" i="28"/>
  <c r="C109" i="28"/>
  <c r="J138" i="28"/>
  <c r="N137" i="28"/>
  <c r="S115" i="28"/>
  <c r="X216" i="28"/>
  <c r="P102" i="28"/>
  <c r="F197" i="28"/>
  <c r="X163" i="28"/>
  <c r="L194" i="28"/>
  <c r="C72" i="28"/>
  <c r="C32" i="28" s="1"/>
  <c r="O188" i="28"/>
  <c r="T115" i="28"/>
  <c r="M243" i="28"/>
  <c r="E181" i="28"/>
  <c r="T125" i="28"/>
  <c r="F119" i="28"/>
  <c r="K111" i="28"/>
  <c r="S200" i="28"/>
  <c r="Y187" i="28"/>
  <c r="D161" i="28"/>
  <c r="V210" i="28"/>
  <c r="R102" i="28"/>
  <c r="G100" i="28"/>
  <c r="R98" i="28"/>
  <c r="G121" i="28"/>
  <c r="H182" i="28"/>
  <c r="H166" i="28"/>
  <c r="U240" i="28"/>
  <c r="V222" i="28"/>
  <c r="J161" i="28"/>
  <c r="M176" i="28"/>
  <c r="S143" i="39"/>
  <c r="Z66" i="39"/>
  <c r="S139" i="39"/>
  <c r="F121" i="39"/>
  <c r="G31" i="39"/>
  <c r="J157" i="39"/>
  <c r="U11" i="39"/>
  <c r="U31" i="39"/>
  <c r="U38" i="39"/>
  <c r="X130" i="39"/>
  <c r="C91" i="39"/>
  <c r="J76" i="39"/>
  <c r="S127" i="39"/>
  <c r="T27" i="39"/>
  <c r="C20" i="39"/>
  <c r="I80" i="39"/>
  <c r="U75" i="39"/>
  <c r="K96" i="39"/>
  <c r="L76" i="39"/>
  <c r="Y122" i="39"/>
  <c r="C17" i="39"/>
  <c r="H140" i="39"/>
  <c r="T114" i="39"/>
  <c r="I17" i="39"/>
  <c r="X97" i="39"/>
  <c r="F144" i="39"/>
  <c r="E71" i="39"/>
  <c r="W66" i="39"/>
  <c r="T78" i="39"/>
  <c r="K126" i="39"/>
  <c r="O73" i="39"/>
  <c r="H62" i="39"/>
  <c r="V75" i="39"/>
  <c r="R54" i="39"/>
  <c r="M51" i="39"/>
  <c r="L117" i="39"/>
  <c r="X122" i="39"/>
  <c r="O161" i="39"/>
  <c r="C119" i="39"/>
  <c r="M120" i="39"/>
  <c r="Y120" i="39"/>
  <c r="P132" i="39"/>
  <c r="I29" i="39"/>
  <c r="E38" i="39"/>
  <c r="F119" i="39"/>
  <c r="Z65" i="39"/>
  <c r="W158" i="39"/>
  <c r="L29" i="39"/>
  <c r="F78" i="39"/>
  <c r="O133" i="39"/>
  <c r="D151" i="39"/>
  <c r="C48" i="39"/>
  <c r="R61" i="39"/>
  <c r="R57" i="39"/>
  <c r="F140" i="39"/>
  <c r="R107" i="39"/>
  <c r="W97" i="39"/>
  <c r="F50" i="39"/>
  <c r="D136" i="39"/>
  <c r="P89" i="39"/>
  <c r="U77" i="39"/>
  <c r="R76" i="39"/>
  <c r="V157" i="39"/>
  <c r="G19" i="39"/>
  <c r="E88" i="39"/>
  <c r="Y148" i="39"/>
  <c r="N35" i="39"/>
  <c r="T20" i="39"/>
  <c r="W155" i="39"/>
  <c r="W69" i="39"/>
  <c r="H61" i="39"/>
  <c r="S14" i="39"/>
  <c r="M154" i="39"/>
  <c r="N97" i="39"/>
  <c r="D115" i="39"/>
  <c r="U53" i="39"/>
  <c r="G132" i="39"/>
  <c r="R147" i="39"/>
  <c r="Q44" i="39"/>
  <c r="Y21" i="39"/>
  <c r="H21" i="39"/>
  <c r="Y64" i="39"/>
  <c r="H158" i="39"/>
  <c r="X136" i="39"/>
  <c r="R62" i="39"/>
  <c r="Y71" i="39"/>
  <c r="N23" i="39"/>
  <c r="D53" i="39"/>
  <c r="J105" i="39"/>
  <c r="W156" i="39"/>
  <c r="W80" i="39"/>
  <c r="P32" i="39"/>
  <c r="P21" i="39"/>
  <c r="S104" i="39"/>
  <c r="G65" i="39"/>
  <c r="I130" i="39"/>
  <c r="U17" i="39"/>
  <c r="E27" i="39"/>
  <c r="R11" i="39"/>
  <c r="H17" i="39"/>
  <c r="C66" i="39"/>
  <c r="F161" i="39"/>
  <c r="J38" i="39"/>
  <c r="N91" i="39"/>
  <c r="H40" i="39"/>
  <c r="V15" i="39"/>
  <c r="O90" i="39"/>
  <c r="S99" i="39"/>
  <c r="Q109" i="39"/>
  <c r="M144" i="39"/>
  <c r="J39" i="39"/>
  <c r="T127" i="39"/>
  <c r="U129" i="39"/>
  <c r="W121" i="39"/>
  <c r="C65" i="39"/>
  <c r="J74" i="39"/>
  <c r="T48" i="39"/>
  <c r="U40" i="39"/>
  <c r="R73" i="39"/>
  <c r="N17" i="39"/>
  <c r="Y134" i="39"/>
  <c r="I16" i="39"/>
  <c r="F56" i="39"/>
  <c r="Z120" i="39"/>
  <c r="K18" i="39"/>
  <c r="T82" i="39"/>
  <c r="J122" i="39"/>
  <c r="Z76" i="39"/>
  <c r="T94" i="39"/>
  <c r="W52" i="39"/>
  <c r="I44" i="39"/>
  <c r="R95" i="39"/>
  <c r="I71" i="39"/>
  <c r="E87" i="39"/>
  <c r="D35" i="39"/>
  <c r="N157" i="39"/>
  <c r="L159" i="39"/>
  <c r="D96" i="39"/>
  <c r="M42" i="39"/>
  <c r="R79" i="39"/>
  <c r="T11" i="39"/>
  <c r="N30" i="39"/>
  <c r="J71" i="39"/>
  <c r="T64" i="39"/>
  <c r="E55" i="39"/>
  <c r="N27" i="39"/>
  <c r="C143" i="39"/>
  <c r="U140" i="39"/>
  <c r="Q26" i="39"/>
  <c r="X21" i="39"/>
  <c r="O104" i="39"/>
  <c r="P136" i="39"/>
  <c r="J67" i="39"/>
  <c r="M109" i="39"/>
  <c r="N77" i="39"/>
  <c r="P108" i="39"/>
  <c r="G105" i="39"/>
  <c r="W28" i="39"/>
  <c r="P61" i="39"/>
  <c r="F154" i="39"/>
  <c r="F55" i="39"/>
  <c r="P88" i="39"/>
  <c r="G48" i="39"/>
  <c r="I145" i="39"/>
  <c r="D20" i="39"/>
  <c r="V148" i="39"/>
  <c r="O14" i="39"/>
  <c r="H160" i="39"/>
  <c r="Q69" i="39"/>
  <c r="T43" i="39"/>
  <c r="N69" i="39"/>
  <c r="Y30" i="39"/>
  <c r="G140" i="39"/>
  <c r="O126" i="39"/>
  <c r="O147" i="39"/>
  <c r="L41" i="39"/>
  <c r="C42" i="39"/>
  <c r="R109" i="39"/>
  <c r="Q100" i="39"/>
  <c r="X127" i="39"/>
  <c r="Q58" i="39"/>
  <c r="J23" i="39"/>
  <c r="E70" i="39"/>
  <c r="V14" i="39"/>
  <c r="V107" i="39"/>
  <c r="J31" i="39"/>
  <c r="H112" i="39"/>
  <c r="M71" i="39"/>
  <c r="C104" i="39"/>
  <c r="O95" i="39"/>
  <c r="S156" i="39"/>
  <c r="S78" i="39"/>
  <c r="K90" i="39"/>
  <c r="M9" i="39"/>
  <c r="Q112" i="39"/>
  <c r="Z67" i="39"/>
  <c r="N38" i="39"/>
  <c r="U159" i="39"/>
  <c r="E67" i="39"/>
  <c r="F80" i="39"/>
  <c r="M150" i="39"/>
  <c r="W74" i="39"/>
  <c r="E26" i="39"/>
  <c r="X77" i="39"/>
  <c r="O10" i="39"/>
  <c r="P95" i="39"/>
  <c r="E108" i="39"/>
  <c r="M196" i="28"/>
  <c r="J192" i="28"/>
  <c r="N116" i="39"/>
  <c r="P44" i="39"/>
  <c r="N94" i="39"/>
  <c r="V51" i="39"/>
  <c r="E10" i="39"/>
  <c r="T36" i="39"/>
  <c r="Q38" i="39"/>
  <c r="G22" i="39"/>
  <c r="U156" i="39"/>
  <c r="O110" i="39"/>
  <c r="I62" i="39"/>
  <c r="Q147" i="39"/>
  <c r="U148" i="39"/>
  <c r="L15" i="39"/>
  <c r="U96" i="39"/>
  <c r="E42" i="39"/>
  <c r="U143" i="39"/>
  <c r="H141" i="39"/>
  <c r="P80" i="39"/>
  <c r="Q135" i="39"/>
  <c r="X120" i="39"/>
  <c r="Z127" i="39"/>
  <c r="V110" i="39"/>
  <c r="D48" i="39"/>
  <c r="J73" i="39"/>
  <c r="X42" i="39"/>
  <c r="W151" i="39"/>
  <c r="X141" i="39"/>
  <c r="N22" i="39"/>
  <c r="S62" i="39"/>
  <c r="J133" i="39"/>
  <c r="S70" i="39"/>
  <c r="L151" i="39"/>
  <c r="N88" i="39"/>
  <c r="G89" i="39"/>
  <c r="G92" i="39"/>
  <c r="Y38" i="39"/>
  <c r="D146" i="39"/>
  <c r="M49" i="39"/>
  <c r="C109" i="39"/>
  <c r="G21" i="39"/>
  <c r="V56" i="39"/>
  <c r="E30" i="39"/>
  <c r="S160" i="39"/>
  <c r="D117" i="39"/>
  <c r="V35" i="39"/>
  <c r="I152" i="39"/>
  <c r="N115" i="39"/>
  <c r="Z23" i="39"/>
  <c r="E92" i="39"/>
  <c r="F16" i="39"/>
  <c r="R140" i="39"/>
  <c r="X100" i="39"/>
  <c r="X160" i="39"/>
  <c r="W90" i="39"/>
  <c r="T18" i="39"/>
  <c r="E156" i="39"/>
  <c r="G100" i="39"/>
  <c r="Z14" i="39"/>
  <c r="P56" i="39"/>
  <c r="D97" i="39"/>
  <c r="W72" i="39"/>
  <c r="I141" i="39"/>
  <c r="L69" i="39"/>
  <c r="L54" i="39"/>
  <c r="X148" i="39"/>
  <c r="L35" i="39"/>
  <c r="M15" i="39"/>
  <c r="Z160" i="39"/>
  <c r="C153" i="39"/>
  <c r="R71" i="39"/>
  <c r="X91" i="39"/>
  <c r="T52" i="39"/>
  <c r="L79" i="39"/>
  <c r="W25" i="39"/>
  <c r="K116" i="39"/>
  <c r="W41" i="39"/>
  <c r="V112" i="39"/>
  <c r="H117" i="39"/>
  <c r="X93" i="39"/>
  <c r="E58" i="39"/>
  <c r="T148" i="39"/>
  <c r="S87" i="39"/>
  <c r="W20" i="39"/>
  <c r="H89" i="39"/>
  <c r="O51" i="39"/>
  <c r="F112" i="39"/>
  <c r="L136" i="39"/>
  <c r="Q55" i="39"/>
  <c r="U133" i="39"/>
  <c r="J147" i="39"/>
  <c r="J117" i="39"/>
  <c r="C93" i="39"/>
  <c r="P72" i="39"/>
  <c r="L106" i="39"/>
  <c r="V29" i="39"/>
  <c r="Q36" i="39"/>
  <c r="F21" i="39"/>
  <c r="Z98" i="39"/>
  <c r="E21" i="39"/>
  <c r="D12" i="39"/>
  <c r="W149" i="39"/>
  <c r="X116" i="39"/>
  <c r="G156" i="39"/>
  <c r="I55" i="39"/>
  <c r="N158" i="39"/>
  <c r="R157" i="39"/>
  <c r="D19" i="39"/>
  <c r="Z28" i="39"/>
  <c r="L118" i="39"/>
  <c r="E119" i="39"/>
  <c r="N149" i="39"/>
  <c r="Y49" i="39"/>
  <c r="O137" i="39"/>
  <c r="E36" i="39"/>
  <c r="X95" i="39"/>
  <c r="F106" i="39"/>
  <c r="W62" i="39"/>
  <c r="M114" i="39"/>
  <c r="H19" i="39"/>
  <c r="K33" i="39"/>
  <c r="D75" i="39"/>
  <c r="E153" i="39"/>
  <c r="O69" i="39"/>
  <c r="U137" i="39"/>
  <c r="E103" i="39"/>
  <c r="M121" i="39"/>
  <c r="I137" i="39"/>
  <c r="E14" i="39"/>
  <c r="Q129" i="39"/>
  <c r="H90" i="39"/>
  <c r="D51" i="39"/>
  <c r="H135" i="39"/>
  <c r="T77" i="39"/>
  <c r="W113" i="39"/>
  <c r="T50" i="39"/>
  <c r="E24" i="39"/>
  <c r="T116" i="39"/>
  <c r="P94" i="39"/>
  <c r="M133" i="39"/>
  <c r="Z91" i="39"/>
  <c r="V154" i="39"/>
  <c r="F39" i="39"/>
  <c r="J100" i="39"/>
  <c r="X82" i="39"/>
  <c r="N121" i="39"/>
  <c r="H60" i="39"/>
  <c r="E13" i="39"/>
  <c r="D142" i="39"/>
  <c r="H83" i="39"/>
  <c r="Y90" i="39"/>
  <c r="I51" i="39"/>
  <c r="V19" i="39"/>
  <c r="W78" i="39"/>
  <c r="K87" i="39"/>
  <c r="O54" i="39"/>
  <c r="Q103" i="39"/>
  <c r="U147" i="39"/>
  <c r="V78" i="39"/>
  <c r="Y106" i="39"/>
  <c r="S113" i="39"/>
  <c r="F134" i="39"/>
  <c r="I31" i="39"/>
  <c r="H159" i="39"/>
  <c r="J62" i="39"/>
  <c r="N81" i="39"/>
  <c r="S121" i="39"/>
  <c r="S39" i="39"/>
  <c r="N20" i="39"/>
  <c r="U126" i="39"/>
  <c r="D99" i="39"/>
  <c r="U116" i="39"/>
  <c r="T97" i="39"/>
  <c r="W43" i="39"/>
  <c r="M57" i="39"/>
  <c r="Y48" i="39"/>
  <c r="M135" i="39"/>
  <c r="U110" i="39"/>
  <c r="I76" i="39"/>
  <c r="T67" i="39"/>
  <c r="O60" i="39"/>
  <c r="H150" i="39"/>
  <c r="K75" i="39"/>
  <c r="R154" i="39"/>
  <c r="D41" i="39"/>
  <c r="H10" i="39"/>
  <c r="I113" i="39"/>
  <c r="I11" i="39"/>
  <c r="S29" i="39"/>
  <c r="W128" i="39"/>
  <c r="X156" i="39"/>
  <c r="H108" i="39"/>
  <c r="K27" i="39"/>
  <c r="Y77" i="39"/>
  <c r="Q33" i="39"/>
  <c r="C198" i="28"/>
  <c r="V49" i="39"/>
  <c r="C137" i="39"/>
  <c r="L14" i="39"/>
  <c r="Q67" i="39"/>
  <c r="P74" i="39"/>
  <c r="C88" i="39"/>
  <c r="L137" i="39"/>
  <c r="I42" i="39"/>
  <c r="I129" i="39"/>
  <c r="S131" i="39"/>
  <c r="K124" i="28"/>
  <c r="C27" i="21"/>
  <c r="J21" i="21"/>
  <c r="D22" i="21"/>
  <c r="I18" i="21"/>
  <c r="G16" i="21"/>
  <c r="E16" i="21"/>
  <c r="E27" i="21"/>
  <c r="D17" i="21"/>
  <c r="R141" i="98"/>
  <c r="G26" i="98"/>
  <c r="K98" i="98"/>
  <c r="U99" i="97"/>
  <c r="L91" i="94"/>
  <c r="N66" i="94"/>
  <c r="J64" i="94"/>
  <c r="N36" i="94"/>
  <c r="J9" i="94"/>
  <c r="D65" i="94"/>
  <c r="D34" i="94"/>
  <c r="L90" i="94"/>
  <c r="D59" i="94"/>
  <c r="G25" i="94"/>
  <c r="F83" i="94"/>
  <c r="N41" i="94"/>
  <c r="G90" i="94"/>
  <c r="L51" i="94"/>
  <c r="E11" i="94"/>
  <c r="K51" i="94"/>
  <c r="J89" i="94"/>
  <c r="C40" i="94"/>
  <c r="J77" i="94"/>
  <c r="H14" i="94"/>
  <c r="L38" i="94"/>
  <c r="M57" i="94"/>
  <c r="L62" i="94"/>
  <c r="E74" i="94"/>
  <c r="D74" i="94"/>
  <c r="F8" i="94"/>
  <c r="J85" i="94"/>
  <c r="E86" i="94"/>
  <c r="K88" i="94"/>
  <c r="J59" i="94"/>
  <c r="K31" i="94"/>
  <c r="M90" i="94"/>
  <c r="H59" i="94"/>
  <c r="I25" i="94"/>
  <c r="F84" i="94"/>
  <c r="H53" i="94"/>
  <c r="L19" i="94"/>
  <c r="J75" i="94"/>
  <c r="J35" i="94"/>
  <c r="H82" i="94"/>
  <c r="I41" i="94"/>
  <c r="D90" i="94"/>
  <c r="F40" i="94"/>
  <c r="G80" i="94"/>
  <c r="M30" i="94"/>
  <c r="L63" i="94"/>
  <c r="N88" i="94"/>
  <c r="L25" i="94"/>
  <c r="H41" i="94"/>
  <c r="F46" i="94"/>
  <c r="J57" i="94"/>
  <c r="L56" i="94"/>
  <c r="I32" i="94"/>
  <c r="F19" i="94"/>
  <c r="D43" i="94"/>
  <c r="E62" i="94"/>
  <c r="M23" i="94"/>
  <c r="L78" i="94"/>
  <c r="N39" i="94"/>
  <c r="H87" i="94"/>
  <c r="N44" i="94"/>
  <c r="I9" i="94"/>
  <c r="D52" i="94"/>
  <c r="K86" i="94"/>
  <c r="F35" i="94"/>
  <c r="H68" i="94"/>
  <c r="C11" i="94"/>
  <c r="K35" i="94"/>
  <c r="G53" i="94"/>
  <c r="K63" i="94"/>
  <c r="G74" i="94"/>
  <c r="J56" i="94"/>
  <c r="F41" i="94"/>
  <c r="I23" i="94"/>
  <c r="I74" i="94"/>
  <c r="J88" i="94"/>
  <c r="F80" i="94"/>
  <c r="N68" i="94"/>
  <c r="J60" i="94"/>
  <c r="F52" i="94"/>
  <c r="N40" i="94"/>
  <c r="J32" i="94"/>
  <c r="F21" i="94"/>
  <c r="N12" i="94"/>
  <c r="G84" i="94"/>
  <c r="G87" i="94"/>
  <c r="C79" i="94"/>
  <c r="K67" i="94"/>
  <c r="G59" i="94"/>
  <c r="C51" i="94"/>
  <c r="K39" i="94"/>
  <c r="G31" i="94"/>
  <c r="C20" i="94"/>
  <c r="J90" i="94"/>
  <c r="N78" i="94"/>
  <c r="I65" i="94"/>
  <c r="D55" i="94"/>
  <c r="K41" i="94"/>
  <c r="F31" i="94"/>
  <c r="M17" i="94"/>
  <c r="H8" i="94"/>
  <c r="E82" i="94"/>
  <c r="J68" i="94"/>
  <c r="E58" i="94"/>
  <c r="L44" i="94"/>
  <c r="G34" i="94"/>
  <c r="N20" i="94"/>
  <c r="M10" i="94"/>
  <c r="D84" i="94"/>
  <c r="F73" i="94"/>
  <c r="M59" i="94"/>
  <c r="H46" i="94"/>
  <c r="C36" i="94"/>
  <c r="J22" i="94"/>
  <c r="E12" i="94"/>
  <c r="D11" i="94"/>
  <c r="J25" i="94"/>
  <c r="I43" i="94"/>
  <c r="I61" i="94"/>
  <c r="F79" i="94"/>
  <c r="C14" i="94"/>
  <c r="N31" i="94"/>
  <c r="K46" i="94"/>
  <c r="K64" i="94"/>
  <c r="M82" i="94"/>
  <c r="L12" i="94"/>
  <c r="J30" i="94"/>
  <c r="H45" i="94"/>
  <c r="F63" i="94"/>
  <c r="G81" i="94"/>
  <c r="I11" i="94"/>
  <c r="G29" i="94"/>
  <c r="D44" i="94"/>
  <c r="C62" i="94"/>
  <c r="L79" i="94"/>
  <c r="E91" i="94"/>
  <c r="M54" i="94"/>
  <c r="D19" i="94"/>
  <c r="D73" i="94"/>
  <c r="H31" i="94"/>
  <c r="K78" i="94"/>
  <c r="M39" i="94"/>
  <c r="H90" i="94"/>
  <c r="K38" i="94"/>
  <c r="I75" i="94"/>
  <c r="N24" i="94"/>
  <c r="K60" i="94"/>
  <c r="D85" i="94"/>
  <c r="G19" i="94"/>
  <c r="N38" i="94"/>
  <c r="F53" i="94"/>
  <c r="I47" i="94"/>
  <c r="L32" i="94"/>
  <c r="G24" i="94"/>
  <c r="K10" i="94"/>
  <c r="N86" i="94"/>
  <c r="J78" i="94"/>
  <c r="F67" i="94"/>
  <c r="N58" i="94"/>
  <c r="J47" i="94"/>
  <c r="F39" i="94"/>
  <c r="N30" i="94"/>
  <c r="J19" i="94"/>
  <c r="C91" i="94"/>
  <c r="K82" i="94"/>
  <c r="K85" i="94"/>
  <c r="G77" i="94"/>
  <c r="C66" i="94"/>
  <c r="K57" i="94"/>
  <c r="G46" i="94"/>
  <c r="C38" i="94"/>
  <c r="K29" i="94"/>
  <c r="G18" i="94"/>
  <c r="F88" i="94"/>
  <c r="M76" i="94"/>
  <c r="H63" i="94"/>
  <c r="C53" i="94"/>
  <c r="J39" i="94"/>
  <c r="E29" i="94"/>
  <c r="L15" i="94"/>
  <c r="K91" i="94"/>
  <c r="N79" i="94"/>
  <c r="I66" i="94"/>
  <c r="D56" i="94"/>
  <c r="K42" i="94"/>
  <c r="F32" i="94"/>
  <c r="M18" i="94"/>
  <c r="E9" i="94"/>
  <c r="K81" i="94"/>
  <c r="E68" i="94"/>
  <c r="L57" i="94"/>
  <c r="G44" i="94"/>
  <c r="N33" i="94"/>
  <c r="I20" i="94"/>
  <c r="I10" i="94"/>
  <c r="M13" i="94"/>
  <c r="J31" i="94"/>
  <c r="I46" i="94"/>
  <c r="F64" i="94"/>
  <c r="I82" i="94"/>
  <c r="C17" i="94"/>
  <c r="M34" i="94"/>
  <c r="L52" i="94"/>
  <c r="L67" i="94"/>
  <c r="F86" i="94"/>
  <c r="J15" i="94"/>
  <c r="J33" i="94"/>
  <c r="G51" i="94"/>
  <c r="F66" i="94"/>
  <c r="L84" i="94"/>
  <c r="G14" i="94"/>
  <c r="D32" i="94"/>
  <c r="D47" i="94"/>
  <c r="N64" i="94"/>
  <c r="D83" i="94"/>
  <c r="J82" i="94"/>
  <c r="J46" i="94"/>
  <c r="N13" i="94"/>
  <c r="D62" i="94"/>
  <c r="G20" i="94"/>
  <c r="C73" i="94"/>
  <c r="C34" i="94"/>
  <c r="E79" i="94"/>
  <c r="F25" i="94"/>
  <c r="K65" i="94"/>
  <c r="D18" i="94"/>
  <c r="E44" i="94"/>
  <c r="G68" i="94"/>
  <c r="L10" i="94"/>
  <c r="H29" i="94"/>
  <c r="E33" i="94"/>
  <c r="M24" i="94"/>
  <c r="I16" i="94"/>
  <c r="D12" i="94"/>
  <c r="C19" i="94"/>
  <c r="K32" i="94"/>
  <c r="H9" i="94"/>
  <c r="F85" i="94"/>
  <c r="N76" i="94"/>
  <c r="J65" i="94"/>
  <c r="F57" i="94"/>
  <c r="N45" i="94"/>
  <c r="J37" i="94"/>
  <c r="F29" i="94"/>
  <c r="N17" i="94"/>
  <c r="G89" i="94"/>
  <c r="C81" i="94"/>
  <c r="C84" i="94"/>
  <c r="K75" i="94"/>
  <c r="G64" i="94"/>
  <c r="C56" i="94"/>
  <c r="K44" i="94"/>
  <c r="G36" i="94"/>
  <c r="C25" i="94"/>
  <c r="K16" i="94"/>
  <c r="M85" i="94"/>
  <c r="L74" i="94"/>
  <c r="G61" i="94"/>
  <c r="N47" i="94"/>
  <c r="I37" i="94"/>
  <c r="D24" i="94"/>
  <c r="K13" i="94"/>
  <c r="F89" i="94"/>
  <c r="M77" i="94"/>
  <c r="H64" i="94"/>
  <c r="C54" i="94"/>
  <c r="J40" i="94"/>
  <c r="E30" i="94"/>
  <c r="L16" i="94"/>
  <c r="F91" i="94"/>
  <c r="I79" i="94"/>
  <c r="D66" i="94"/>
  <c r="K55" i="94"/>
  <c r="F42" i="94"/>
  <c r="M31" i="94"/>
  <c r="H18" i="94"/>
  <c r="M8" i="94"/>
  <c r="J16" i="94"/>
  <c r="J34" i="94"/>
  <c r="H52" i="94"/>
  <c r="G67" i="94"/>
  <c r="N85" i="94"/>
  <c r="E80" i="94"/>
  <c r="H44" i="94"/>
  <c r="M11" i="94"/>
  <c r="I56" i="94"/>
  <c r="J17" i="94"/>
  <c r="E67" i="94"/>
  <c r="D31" i="94"/>
  <c r="C69" i="94"/>
  <c r="E22" i="94"/>
  <c r="I62" i="94"/>
  <c r="N14" i="94"/>
  <c r="L35" i="94"/>
  <c r="M63" i="94"/>
  <c r="D8" i="94"/>
  <c r="K20" i="94"/>
  <c r="J20" i="94"/>
  <c r="C18" i="94"/>
  <c r="J10" i="94"/>
  <c r="F87" i="94"/>
  <c r="E43" i="94"/>
  <c r="G43" i="94"/>
  <c r="G9" i="94"/>
  <c r="D21" i="94"/>
  <c r="H84" i="94"/>
  <c r="D76" i="94"/>
  <c r="L64" i="94"/>
  <c r="H56" i="94"/>
  <c r="D45" i="94"/>
  <c r="L36" i="94"/>
  <c r="H25" i="94"/>
  <c r="D17" i="94"/>
  <c r="I88" i="94"/>
  <c r="I91" i="94"/>
  <c r="E83" i="94"/>
  <c r="M74" i="94"/>
  <c r="I63" i="94"/>
  <c r="E55" i="94"/>
  <c r="M43" i="94"/>
  <c r="I35" i="94"/>
  <c r="E24" i="94"/>
  <c r="M15" i="94"/>
  <c r="K84" i="94"/>
  <c r="L73" i="94"/>
  <c r="G60" i="94"/>
  <c r="N46" i="94"/>
  <c r="I36" i="94"/>
  <c r="D23" i="94"/>
  <c r="K12" i="94"/>
  <c r="D88" i="94"/>
  <c r="L76" i="94"/>
  <c r="G63" i="94"/>
  <c r="N52" i="94"/>
  <c r="I39" i="94"/>
  <c r="D29" i="94"/>
  <c r="K15" i="94"/>
  <c r="C90" i="94"/>
  <c r="H78" i="94"/>
  <c r="C65" i="94"/>
  <c r="J54" i="94"/>
  <c r="E41" i="94"/>
  <c r="L30" i="94"/>
  <c r="G17" i="94"/>
  <c r="C8" i="94"/>
  <c r="E18" i="94"/>
  <c r="D36" i="94"/>
  <c r="M53" i="94"/>
  <c r="M68" i="94"/>
  <c r="H23" i="21"/>
  <c r="D27" i="21"/>
  <c r="B20" i="21"/>
  <c r="B15" i="21"/>
  <c r="I21" i="21"/>
  <c r="I24" i="21"/>
  <c r="J20" i="21"/>
  <c r="I22" i="21"/>
  <c r="K19" i="21"/>
  <c r="B26" i="21"/>
  <c r="H22" i="21"/>
  <c r="C22" i="21"/>
  <c r="G24" i="21"/>
  <c r="I19" i="21"/>
  <c r="C24" i="21"/>
  <c r="B37" i="21"/>
  <c r="C26" i="21"/>
  <c r="J25" i="21"/>
  <c r="C21" i="21"/>
  <c r="K26" i="21"/>
  <c r="E21" i="21"/>
  <c r="F20" i="21"/>
  <c r="F27" i="21"/>
  <c r="D20" i="21"/>
  <c r="F21" i="21"/>
  <c r="B18" i="21"/>
  <c r="B19" i="21"/>
  <c r="H17" i="21"/>
  <c r="E18" i="21"/>
  <c r="D25" i="21"/>
  <c r="D23" i="21"/>
  <c r="F22" i="21"/>
  <c r="G21" i="21"/>
  <c r="K22" i="21"/>
  <c r="B22" i="21"/>
  <c r="J19" i="21"/>
  <c r="F18" i="21"/>
  <c r="H28" i="21"/>
  <c r="I28" i="21"/>
  <c r="J18" i="21"/>
  <c r="H20" i="21"/>
  <c r="F16" i="21"/>
  <c r="C23" i="21"/>
  <c r="I15" i="21"/>
  <c r="G25" i="21"/>
  <c r="F15" i="21"/>
  <c r="K27" i="21"/>
  <c r="G27" i="21"/>
  <c r="I25" i="21"/>
  <c r="E24" i="21"/>
  <c r="H26" i="21"/>
  <c r="C16" i="21"/>
  <c r="D16" i="21"/>
  <c r="B27" i="21"/>
  <c r="D15" i="21"/>
  <c r="J28" i="21"/>
  <c r="F17" i="21"/>
  <c r="J27" i="21"/>
  <c r="I23" i="21"/>
  <c r="G26" i="21"/>
  <c r="E17" i="21"/>
  <c r="K25" i="21"/>
  <c r="E26" i="21"/>
  <c r="E25" i="21"/>
  <c r="C25" i="21"/>
  <c r="F19" i="21"/>
  <c r="E23" i="21"/>
  <c r="G23" i="21"/>
  <c r="H24" i="21"/>
  <c r="F26" i="21"/>
  <c r="C17" i="21"/>
  <c r="J15" i="21"/>
  <c r="J23" i="21"/>
  <c r="J17" i="21"/>
  <c r="B25" i="21"/>
  <c r="H19" i="21"/>
  <c r="B17" i="21"/>
  <c r="I27" i="21"/>
  <c r="J16" i="21"/>
  <c r="F24" i="21"/>
  <c r="B21" i="21"/>
  <c r="J24" i="21"/>
  <c r="B16" i="21"/>
  <c r="C15" i="21"/>
  <c r="D18" i="21"/>
  <c r="H25" i="21"/>
  <c r="D24" i="21"/>
  <c r="C20" i="21"/>
  <c r="J22" i="21"/>
  <c r="K15" i="21"/>
  <c r="G22" i="21"/>
  <c r="H15" i="21"/>
  <c r="G28" i="21"/>
  <c r="D19" i="21"/>
  <c r="B28" i="21"/>
  <c r="E19" i="21"/>
  <c r="F23" i="21"/>
  <c r="I16" i="21"/>
  <c r="H27" i="21"/>
  <c r="G20" i="21"/>
  <c r="H18" i="21"/>
  <c r="C19" i="21"/>
  <c r="E22" i="21"/>
  <c r="G17" i="21"/>
  <c r="AA111" i="81"/>
  <c r="AA52" i="81" s="1"/>
  <c r="V78" i="81"/>
  <c r="V19" i="81" s="1"/>
  <c r="Y321" i="81"/>
  <c r="AG226" i="81"/>
  <c r="AG296" i="81"/>
  <c r="O85" i="81"/>
  <c r="O26" i="81" s="1"/>
  <c r="O261" i="81"/>
  <c r="F242" i="81"/>
  <c r="D282" i="81"/>
  <c r="AB275" i="81"/>
  <c r="H258" i="81"/>
  <c r="M313" i="81"/>
  <c r="F87" i="81"/>
  <c r="F28" i="81" s="1"/>
  <c r="Q194" i="81"/>
  <c r="T264" i="81"/>
  <c r="X358" i="81"/>
  <c r="R110" i="81"/>
  <c r="R51" i="81" s="1"/>
  <c r="M219" i="81"/>
  <c r="F124" i="81"/>
  <c r="F65" i="81" s="1"/>
  <c r="D264" i="81"/>
  <c r="E303" i="81"/>
  <c r="R97" i="81"/>
  <c r="R38" i="81" s="1"/>
  <c r="J312" i="81"/>
  <c r="U318" i="81"/>
  <c r="J221" i="81"/>
  <c r="AH349" i="81"/>
  <c r="H284" i="81"/>
  <c r="K350" i="81"/>
  <c r="P240" i="81"/>
  <c r="K77" i="81"/>
  <c r="K18" i="81" s="1"/>
  <c r="S194" i="81"/>
  <c r="O357" i="81"/>
  <c r="U183" i="81"/>
  <c r="AE313" i="81"/>
  <c r="N263" i="81"/>
  <c r="J153" i="81"/>
  <c r="AD355" i="81"/>
  <c r="P116" i="81"/>
  <c r="P57" i="81" s="1"/>
  <c r="I334" i="81"/>
  <c r="T253" i="81"/>
  <c r="O70" i="81"/>
  <c r="O11" i="81" s="1"/>
  <c r="L324" i="81"/>
  <c r="J328" i="81"/>
  <c r="P317" i="81"/>
  <c r="AC119" i="81"/>
  <c r="AC60" i="81" s="1"/>
  <c r="I295" i="81"/>
  <c r="AF141" i="81"/>
  <c r="G346" i="81"/>
  <c r="C285" i="81"/>
  <c r="AF139" i="81"/>
  <c r="Q132" i="81"/>
  <c r="T134" i="81"/>
  <c r="AC157" i="81"/>
  <c r="T314" i="81"/>
  <c r="V132" i="81"/>
  <c r="P322" i="81"/>
  <c r="G208" i="81"/>
  <c r="Q156" i="81"/>
  <c r="E276" i="81"/>
  <c r="M204" i="81"/>
  <c r="E99" i="81"/>
  <c r="E40" i="81" s="1"/>
  <c r="AD133" i="81"/>
  <c r="P170" i="81"/>
  <c r="AB296" i="81"/>
  <c r="E274" i="81"/>
  <c r="R277" i="81"/>
  <c r="AA179" i="81"/>
  <c r="H362" i="81"/>
  <c r="P202" i="81"/>
  <c r="Q292" i="81"/>
  <c r="AG242" i="81"/>
  <c r="Q286" i="81"/>
  <c r="R282" i="81"/>
  <c r="I209" i="81"/>
  <c r="Z79" i="81"/>
  <c r="Z20" i="81" s="1"/>
  <c r="W303" i="81"/>
  <c r="K158" i="81"/>
  <c r="AD147" i="81"/>
  <c r="S96" i="81"/>
  <c r="S37" i="81" s="1"/>
  <c r="S344" i="81"/>
  <c r="F311" i="81"/>
  <c r="O106" i="81"/>
  <c r="O47" i="81" s="1"/>
  <c r="W182" i="81"/>
  <c r="H353" i="81"/>
  <c r="L122" i="81"/>
  <c r="L63" i="81" s="1"/>
  <c r="Y204" i="81"/>
  <c r="Q228" i="81"/>
  <c r="AF229" i="81"/>
  <c r="AB78" i="81"/>
  <c r="AB19" i="81" s="1"/>
  <c r="N82" i="81"/>
  <c r="N23" i="81" s="1"/>
  <c r="C176" i="81"/>
  <c r="AC71" i="81"/>
  <c r="AC12" i="81" s="1"/>
  <c r="X316" i="81"/>
  <c r="D155" i="81"/>
  <c r="D139" i="81"/>
  <c r="AE230" i="81"/>
  <c r="AB196" i="81"/>
  <c r="Z237" i="81"/>
  <c r="F360" i="81"/>
  <c r="Y89" i="81"/>
  <c r="Y30" i="81" s="1"/>
  <c r="J272" i="81"/>
  <c r="AA295" i="81"/>
  <c r="AD85" i="81"/>
  <c r="AD26" i="81" s="1"/>
  <c r="I224" i="81"/>
  <c r="P287" i="81"/>
  <c r="AC263" i="81"/>
  <c r="AA244" i="81"/>
  <c r="I264" i="81"/>
  <c r="R75" i="81"/>
  <c r="R16" i="81" s="1"/>
  <c r="D150" i="81"/>
  <c r="G283" i="81"/>
  <c r="J194" i="81"/>
  <c r="X176" i="81"/>
  <c r="K81" i="81"/>
  <c r="K22" i="81" s="1"/>
  <c r="V277" i="81"/>
  <c r="R229" i="81"/>
  <c r="AG301" i="81"/>
  <c r="Y275" i="81"/>
  <c r="G161" i="81"/>
  <c r="U270" i="81"/>
  <c r="AF277" i="81"/>
  <c r="AG274" i="81"/>
  <c r="Z203" i="81"/>
  <c r="E275" i="81"/>
  <c r="H299" i="81"/>
  <c r="AE216" i="81"/>
  <c r="L179" i="81"/>
  <c r="AC202" i="81"/>
  <c r="H171" i="81"/>
  <c r="P163" i="81"/>
  <c r="W74" i="81"/>
  <c r="W15" i="81" s="1"/>
  <c r="J108" i="81"/>
  <c r="J49" i="81" s="1"/>
  <c r="O208" i="81"/>
  <c r="U274" i="81"/>
  <c r="X216" i="81"/>
  <c r="W251" i="81"/>
  <c r="V106" i="81"/>
  <c r="V47" i="81" s="1"/>
  <c r="AA288" i="81"/>
  <c r="AB183" i="81"/>
  <c r="Y295" i="81"/>
  <c r="M151" i="81"/>
  <c r="E153" i="81"/>
  <c r="AC198" i="81"/>
  <c r="E354" i="81"/>
  <c r="Q327" i="81"/>
  <c r="AD87" i="81"/>
  <c r="AD28" i="81" s="1"/>
  <c r="X138" i="81"/>
  <c r="AH358" i="81"/>
  <c r="V226" i="81"/>
  <c r="X245" i="81"/>
  <c r="P346" i="81"/>
  <c r="AG217" i="81"/>
  <c r="AC200" i="81"/>
  <c r="AH174" i="81"/>
  <c r="G299" i="81"/>
  <c r="AA178" i="81"/>
  <c r="N315" i="81"/>
  <c r="AG190" i="81"/>
  <c r="N174" i="81"/>
  <c r="K88" i="81"/>
  <c r="K29" i="81" s="1"/>
  <c r="F267" i="81"/>
  <c r="R83" i="81"/>
  <c r="R24" i="81" s="1"/>
  <c r="AC276" i="81"/>
  <c r="W183" i="81"/>
  <c r="U260" i="81"/>
  <c r="V331" i="81"/>
  <c r="R167" i="81"/>
  <c r="G359" i="81"/>
  <c r="V133" i="81"/>
  <c r="T208" i="81"/>
  <c r="Y93" i="81"/>
  <c r="Y34" i="81" s="1"/>
  <c r="M177" i="81"/>
  <c r="AC236" i="81"/>
  <c r="AE185" i="81"/>
  <c r="F276" i="81"/>
  <c r="F321" i="81"/>
  <c r="E117" i="81"/>
  <c r="E58" i="81" s="1"/>
  <c r="Y77" i="81"/>
  <c r="Y18" i="81" s="1"/>
  <c r="J182" i="81"/>
  <c r="N291" i="81"/>
  <c r="Q198" i="81"/>
  <c r="AG282" i="81"/>
  <c r="AE275" i="81"/>
  <c r="N313" i="81"/>
  <c r="E135" i="81"/>
  <c r="AB202" i="81"/>
  <c r="D168" i="81"/>
  <c r="S162" i="81"/>
  <c r="M150" i="81"/>
  <c r="L166" i="81"/>
  <c r="AF164" i="81"/>
  <c r="U288" i="81"/>
  <c r="O339" i="81"/>
  <c r="I165" i="81"/>
  <c r="Q206" i="81"/>
  <c r="O298" i="81"/>
  <c r="AE183" i="81"/>
  <c r="O113" i="81"/>
  <c r="O54" i="81" s="1"/>
  <c r="L298" i="81"/>
  <c r="W356" i="81"/>
  <c r="J159" i="81"/>
  <c r="AA356" i="81"/>
  <c r="AA143" i="81"/>
  <c r="V359" i="81"/>
  <c r="C169" i="81"/>
  <c r="T273" i="81"/>
  <c r="K229" i="81"/>
  <c r="H82" i="81"/>
  <c r="H23" i="81" s="1"/>
  <c r="D194" i="81"/>
  <c r="H132" i="81"/>
  <c r="V192" i="81"/>
  <c r="Y252" i="81"/>
  <c r="U76" i="81"/>
  <c r="U17" i="81" s="1"/>
  <c r="W208" i="81"/>
  <c r="T288" i="81"/>
  <c r="X350" i="81"/>
  <c r="Y130" i="81"/>
  <c r="C305" i="81"/>
  <c r="U268" i="81"/>
  <c r="P223" i="81"/>
  <c r="AE213" i="81"/>
  <c r="D281" i="81"/>
  <c r="Z365" i="81"/>
  <c r="AF131" i="81"/>
  <c r="F140" i="81"/>
  <c r="AC319" i="81"/>
  <c r="K208" i="97"/>
  <c r="X144" i="97"/>
  <c r="H46" i="97"/>
  <c r="D14" i="97"/>
  <c r="H130" i="97"/>
  <c r="Q39" i="97"/>
  <c r="S12" i="97"/>
  <c r="D92" i="97"/>
  <c r="V28" i="97"/>
  <c r="G72" i="97"/>
  <c r="H21" i="97"/>
  <c r="L90" i="97"/>
  <c r="L18" i="97"/>
  <c r="K65" i="97"/>
  <c r="C53" i="97"/>
  <c r="G69" i="97"/>
  <c r="J282" i="97"/>
  <c r="E39" i="97"/>
  <c r="F27" i="97"/>
  <c r="J53" i="97"/>
  <c r="T30" i="97"/>
  <c r="P11" i="97"/>
  <c r="C21" i="97"/>
  <c r="P37" i="97"/>
  <c r="K239" i="28"/>
  <c r="W119" i="28"/>
  <c r="Q81" i="28"/>
  <c r="Q41" i="28" s="1"/>
  <c r="V201" i="28"/>
  <c r="N149" i="28"/>
  <c r="C135" i="28"/>
  <c r="N193" i="28"/>
  <c r="C181" i="28"/>
  <c r="N114" i="28"/>
  <c r="Q131" i="28"/>
  <c r="I67" i="28"/>
  <c r="I27" i="28" s="1"/>
  <c r="V232" i="28"/>
  <c r="N159" i="28"/>
  <c r="R213" i="28"/>
  <c r="K186" i="28"/>
  <c r="F102" i="28"/>
  <c r="Y115" i="28"/>
  <c r="M213" i="28"/>
  <c r="S173" i="28"/>
  <c r="F131" i="28"/>
  <c r="R254" i="28"/>
  <c r="S152" i="28"/>
  <c r="G137" i="28"/>
  <c r="T213" i="28"/>
  <c r="I235" i="28"/>
  <c r="L153" i="28"/>
  <c r="I211" i="28"/>
  <c r="L224" i="28"/>
  <c r="I161" i="28"/>
  <c r="K90" i="28"/>
  <c r="R229" i="28"/>
  <c r="E141" i="28"/>
  <c r="C196" i="28"/>
  <c r="Y98" i="28"/>
  <c r="C136" i="28"/>
  <c r="V90" i="28"/>
  <c r="P142" i="28"/>
  <c r="W92" i="28"/>
  <c r="K148" i="28"/>
  <c r="P80" i="28"/>
  <c r="P40" i="28" s="1"/>
  <c r="S55" i="28"/>
  <c r="S15" i="28" s="1"/>
  <c r="D237" i="28"/>
  <c r="K185" i="28"/>
  <c r="H51" i="28"/>
  <c r="H11" i="28" s="1"/>
  <c r="O234" i="28"/>
  <c r="M181" i="28"/>
  <c r="D56" i="28"/>
  <c r="D16" i="28" s="1"/>
  <c r="K213" i="28"/>
  <c r="D53" i="28"/>
  <c r="D13" i="28" s="1"/>
  <c r="W237" i="28"/>
  <c r="W102" i="28"/>
  <c r="O145" i="28"/>
  <c r="X177" i="28"/>
  <c r="R189" i="28"/>
  <c r="U200" i="28"/>
  <c r="H202" i="28"/>
  <c r="I200" i="28"/>
  <c r="L91" i="28"/>
  <c r="Q113" i="28"/>
  <c r="O110" i="28"/>
  <c r="C55" i="28"/>
  <c r="C15" i="28" s="1"/>
  <c r="F126" i="28"/>
  <c r="D177" i="28"/>
  <c r="E105" i="28"/>
  <c r="N133" i="28"/>
  <c r="J95" i="28"/>
  <c r="T120" i="28"/>
  <c r="Y117" i="28"/>
  <c r="D92" i="28"/>
  <c r="M94" i="28"/>
  <c r="P218" i="28"/>
  <c r="N79" i="28"/>
  <c r="N39" i="28" s="1"/>
  <c r="G110" i="28"/>
  <c r="K78" i="28"/>
  <c r="K38" i="28" s="1"/>
  <c r="V227" i="28"/>
  <c r="R175" i="28"/>
  <c r="R185" i="28"/>
  <c r="G239" i="28"/>
  <c r="H59" i="28"/>
  <c r="H19" i="28" s="1"/>
  <c r="R225" i="28"/>
  <c r="F105" i="28"/>
  <c r="C74" i="28"/>
  <c r="C34" i="28" s="1"/>
  <c r="N62" i="28"/>
  <c r="N22" i="28" s="1"/>
  <c r="H240" i="28"/>
  <c r="R130" i="28"/>
  <c r="O240" i="28"/>
  <c r="H227" i="28"/>
  <c r="X85" i="28"/>
  <c r="X45" i="28" s="1"/>
  <c r="G163" i="28"/>
  <c r="D136" i="28"/>
  <c r="D230" i="28"/>
  <c r="Q145" i="28"/>
  <c r="S201" i="28"/>
  <c r="N177" i="28"/>
  <c r="L66" i="28"/>
  <c r="L26" i="28" s="1"/>
  <c r="L137" i="28"/>
  <c r="V79" i="28"/>
  <c r="V39" i="28" s="1"/>
  <c r="T214" i="28"/>
  <c r="F115" i="28"/>
  <c r="F141" i="28"/>
  <c r="W103" i="28"/>
  <c r="Y190" i="28"/>
  <c r="J230" i="28"/>
  <c r="S81" i="28"/>
  <c r="S41" i="28" s="1"/>
  <c r="D133" i="28"/>
  <c r="V155" i="28"/>
  <c r="J215" i="28"/>
  <c r="J164" i="28"/>
  <c r="L62" i="28"/>
  <c r="L22" i="28" s="1"/>
  <c r="J60" i="28"/>
  <c r="J20" i="28" s="1"/>
  <c r="W227" i="28"/>
  <c r="L132" i="28"/>
  <c r="Q56" i="28"/>
  <c r="Q16" i="28" s="1"/>
  <c r="M237" i="28"/>
  <c r="U126" i="28"/>
  <c r="Q82" i="28"/>
  <c r="Q42" i="28" s="1"/>
  <c r="F192" i="28"/>
  <c r="H104" i="28"/>
  <c r="I175" i="28"/>
  <c r="I231" i="28"/>
  <c r="J132" i="28"/>
  <c r="X214" i="28"/>
  <c r="S237" i="28"/>
  <c r="X116" i="28"/>
  <c r="S204" i="28"/>
  <c r="N76" i="28"/>
  <c r="N36" i="28" s="1"/>
  <c r="I53" i="28"/>
  <c r="I13" i="28" s="1"/>
  <c r="R135" i="28"/>
  <c r="K70" i="28"/>
  <c r="K30" i="28" s="1"/>
  <c r="S228" i="28"/>
  <c r="D113" i="28"/>
  <c r="O160" i="28"/>
  <c r="F106" i="28"/>
  <c r="V193" i="28"/>
  <c r="U142" i="28"/>
  <c r="V170" i="28"/>
  <c r="H130" i="28"/>
  <c r="W179" i="28"/>
  <c r="E94" i="28"/>
  <c r="V195" i="28"/>
  <c r="F69" i="28"/>
  <c r="F29" i="28" s="1"/>
  <c r="H93" i="28"/>
  <c r="N84" i="28"/>
  <c r="N44" i="28" s="1"/>
  <c r="C235" i="28"/>
  <c r="D242" i="28"/>
  <c r="E131" i="28"/>
  <c r="H80" i="28"/>
  <c r="H40" i="28" s="1"/>
  <c r="Q195" i="28"/>
  <c r="O111" i="28"/>
  <c r="E228" i="28"/>
  <c r="L201" i="28"/>
  <c r="O113" i="28"/>
  <c r="U116" i="28"/>
  <c r="C97" i="28"/>
  <c r="R146" i="28"/>
  <c r="O80" i="28"/>
  <c r="O40" i="28" s="1"/>
  <c r="N113" i="28"/>
  <c r="W54" i="28"/>
  <c r="W14" i="28" s="1"/>
  <c r="P159" i="28"/>
  <c r="U224" i="28"/>
  <c r="N151" i="28"/>
  <c r="C82" i="28"/>
  <c r="C42" i="28" s="1"/>
  <c r="N131" i="28"/>
  <c r="S243" i="28"/>
  <c r="I228" i="28"/>
  <c r="G162" i="28"/>
  <c r="D170" i="28"/>
  <c r="I50" i="28"/>
  <c r="I10" i="28" s="1"/>
  <c r="V154" i="28"/>
  <c r="N66" i="28"/>
  <c r="N26" i="28" s="1"/>
  <c r="K137" i="28"/>
  <c r="G117" i="28"/>
  <c r="V152" i="28"/>
  <c r="E97" i="28"/>
  <c r="N58" i="28"/>
  <c r="N18" i="28" s="1"/>
  <c r="Y174" i="28"/>
  <c r="O73" i="28"/>
  <c r="O33" i="28" s="1"/>
  <c r="P148" i="28"/>
  <c r="F85" i="28"/>
  <c r="F45" i="28" s="1"/>
  <c r="M67" i="28"/>
  <c r="M27" i="28" s="1"/>
  <c r="H94" i="28"/>
  <c r="D135" i="28"/>
  <c r="J111" i="28"/>
  <c r="H83" i="28"/>
  <c r="H43" i="28" s="1"/>
  <c r="U236" i="28"/>
  <c r="O58" i="28"/>
  <c r="O18" i="28" s="1"/>
  <c r="L230" i="28"/>
  <c r="D219" i="28"/>
  <c r="D200" i="28"/>
  <c r="R132" i="28"/>
  <c r="G113" i="28"/>
  <c r="P117" i="28"/>
  <c r="W163" i="28"/>
  <c r="Y67" i="28"/>
  <c r="Y27" i="28" s="1"/>
  <c r="T158" i="28"/>
  <c r="S230" i="28"/>
  <c r="E201" i="28"/>
  <c r="L192" i="28"/>
  <c r="T106" i="28"/>
  <c r="M178" i="28"/>
  <c r="N70" i="28"/>
  <c r="N30" i="28" s="1"/>
  <c r="W204" i="28"/>
  <c r="W246" i="28"/>
  <c r="Y133" i="28"/>
  <c r="J243" i="28"/>
  <c r="W215" i="28"/>
  <c r="T173" i="28"/>
  <c r="V95" i="28"/>
  <c r="C163" i="28"/>
  <c r="I173" i="28"/>
  <c r="G178" i="28"/>
  <c r="N236" i="28"/>
  <c r="R61" i="28"/>
  <c r="R21" i="28" s="1"/>
  <c r="P190" i="28"/>
  <c r="J233" i="28"/>
  <c r="K139" i="28"/>
  <c r="R84" i="28"/>
  <c r="R44" i="28" s="1"/>
  <c r="C233" i="28"/>
  <c r="L157" i="28"/>
  <c r="U186" i="28"/>
  <c r="N125" i="28"/>
  <c r="X119" i="28"/>
  <c r="J214" i="28"/>
  <c r="J146" i="28"/>
  <c r="Q216" i="28"/>
  <c r="R182" i="28"/>
  <c r="C94" i="28"/>
  <c r="O154" i="28"/>
  <c r="H54" i="28"/>
  <c r="H14" i="28" s="1"/>
  <c r="P184" i="28"/>
  <c r="U174" i="28"/>
  <c r="O68" i="28"/>
  <c r="O28" i="28" s="1"/>
  <c r="P254" i="28"/>
  <c r="E99" i="28"/>
  <c r="P199" i="28"/>
  <c r="U225" i="28"/>
  <c r="F72" i="28"/>
  <c r="F32" i="28" s="1"/>
  <c r="O112" i="28"/>
  <c r="K192" i="28"/>
  <c r="O239" i="28"/>
  <c r="V67" i="28"/>
  <c r="V27" i="28" s="1"/>
  <c r="E117" i="28"/>
  <c r="W188" i="28"/>
  <c r="U90" i="28"/>
  <c r="N135" i="28"/>
  <c r="T216" i="28"/>
  <c r="V189" i="28"/>
  <c r="R101" i="28"/>
  <c r="F152" i="28"/>
  <c r="I155" i="28"/>
  <c r="R125" i="28"/>
  <c r="T193" i="28"/>
  <c r="T210" i="28"/>
  <c r="F173" i="28"/>
  <c r="M226" i="28"/>
  <c r="D78" i="28"/>
  <c r="D38" i="28" s="1"/>
  <c r="P177" i="39"/>
  <c r="F157" i="28"/>
  <c r="E66" i="28"/>
  <c r="E26" i="28" s="1"/>
  <c r="Y231" i="28"/>
  <c r="F57" i="28"/>
  <c r="F17" i="28" s="1"/>
  <c r="V53" i="28"/>
  <c r="V13" i="28" s="1"/>
  <c r="C69" i="28"/>
  <c r="C29" i="28" s="1"/>
  <c r="U185" i="28"/>
  <c r="U151" i="28"/>
  <c r="E178" i="28"/>
  <c r="X231" i="28"/>
  <c r="F195" i="28"/>
  <c r="S220" i="28"/>
  <c r="N91" i="28"/>
  <c r="W183" i="28"/>
  <c r="Y59" i="28"/>
  <c r="Y19" i="28" s="1"/>
  <c r="K54" i="28"/>
  <c r="K14" i="28" s="1"/>
  <c r="W178" i="28"/>
  <c r="P240" i="28"/>
  <c r="I223" i="28"/>
  <c r="U244" i="28"/>
  <c r="G69" i="28"/>
  <c r="G29" i="28" s="1"/>
  <c r="M215" i="28"/>
  <c r="E113" i="28"/>
  <c r="N231" i="28"/>
  <c r="G204" i="28"/>
  <c r="G150" i="28"/>
  <c r="O175" i="28"/>
  <c r="W224" i="28"/>
  <c r="W193" i="28"/>
  <c r="D66" i="28"/>
  <c r="D26" i="28" s="1"/>
  <c r="S195" i="28"/>
  <c r="X229" i="28"/>
  <c r="J235" i="28"/>
  <c r="U156" i="28"/>
  <c r="C229" i="28"/>
  <c r="J228" i="28"/>
  <c r="P165" i="28"/>
  <c r="K174" i="28"/>
  <c r="J225" i="28"/>
  <c r="U220" i="28"/>
  <c r="W190" i="28"/>
  <c r="T233" i="28"/>
  <c r="D160" i="28"/>
  <c r="P68" i="28"/>
  <c r="P28" i="28" s="1"/>
  <c r="D122" i="28"/>
  <c r="X95" i="28"/>
  <c r="H222" i="28"/>
  <c r="R137" i="28"/>
  <c r="C151" i="28"/>
  <c r="N197" i="28"/>
  <c r="E232" i="28"/>
  <c r="O130" i="28"/>
  <c r="I157" i="28"/>
  <c r="W189" i="28"/>
  <c r="C230" i="28"/>
  <c r="U111" i="28"/>
  <c r="O229" i="28"/>
  <c r="D73" i="28"/>
  <c r="D33" i="28" s="1"/>
  <c r="K246" i="28"/>
  <c r="L78" i="28"/>
  <c r="L38" i="28" s="1"/>
  <c r="N100" i="28"/>
  <c r="H184" i="28"/>
  <c r="K189" i="28"/>
  <c r="T51" i="28"/>
  <c r="T11" i="28" s="1"/>
  <c r="Y52" i="28"/>
  <c r="Y12" i="28" s="1"/>
  <c r="J163" i="28"/>
  <c r="C81" i="28"/>
  <c r="C41" i="28" s="1"/>
  <c r="T92" i="28"/>
  <c r="K154" i="28"/>
  <c r="H52" i="28"/>
  <c r="H12" i="28" s="1"/>
  <c r="J59" i="28"/>
  <c r="J19" i="28" s="1"/>
  <c r="E154" i="28"/>
  <c r="S109" i="28"/>
  <c r="M68" i="28"/>
  <c r="M28" i="28" s="1"/>
  <c r="I150" i="28"/>
  <c r="Q120" i="28"/>
  <c r="F160" i="28"/>
  <c r="Q118" i="28"/>
  <c r="P131" i="28"/>
  <c r="G191" i="28"/>
  <c r="X183" i="28"/>
  <c r="M123" i="28"/>
  <c r="T151" i="28"/>
  <c r="N136" i="28"/>
  <c r="T241" i="28"/>
  <c r="U135" i="28"/>
  <c r="D63" i="28"/>
  <c r="D23" i="28" s="1"/>
  <c r="V92" i="28"/>
  <c r="O143" i="28"/>
  <c r="C157" i="28"/>
  <c r="L59" i="28"/>
  <c r="L19" i="28" s="1"/>
  <c r="D199" i="28"/>
  <c r="T104" i="28"/>
  <c r="J172" i="28"/>
  <c r="S108" i="28"/>
  <c r="W203" i="28"/>
  <c r="T206" i="28"/>
  <c r="O211" i="28"/>
  <c r="D97" i="28"/>
  <c r="L134" i="28"/>
  <c r="P210" i="28"/>
  <c r="G198" i="28"/>
  <c r="T102" i="28"/>
  <c r="U153" i="28"/>
  <c r="C228" i="28"/>
  <c r="X126" i="28"/>
  <c r="H95" i="28"/>
  <c r="E80" i="28"/>
  <c r="E40" i="28" s="1"/>
  <c r="R97" i="28"/>
  <c r="L63" i="28"/>
  <c r="L23" i="28" s="1"/>
  <c r="L229" i="28"/>
  <c r="L118" i="28"/>
  <c r="H217" i="28"/>
  <c r="O84" i="28"/>
  <c r="O44" i="28" s="1"/>
  <c r="N226" i="28"/>
  <c r="U75" i="28"/>
  <c r="U35" i="28" s="1"/>
  <c r="H242" i="28"/>
  <c r="I123" i="28"/>
  <c r="D64" i="28"/>
  <c r="D24" i="28" s="1"/>
  <c r="U83" i="28"/>
  <c r="U43" i="28" s="1"/>
  <c r="E125" i="28"/>
  <c r="Q58" i="28"/>
  <c r="Q18" i="28" s="1"/>
  <c r="W58" i="28"/>
  <c r="W18" i="28" s="1"/>
  <c r="C137" i="28"/>
  <c r="X194" i="28"/>
  <c r="O193" i="28"/>
  <c r="R67" i="28"/>
  <c r="R27" i="28" s="1"/>
  <c r="H171" i="28"/>
  <c r="S135" i="28"/>
  <c r="W162" i="28"/>
  <c r="K65" i="28"/>
  <c r="K25" i="28" s="1"/>
  <c r="S132" i="28"/>
  <c r="O176" i="28"/>
  <c r="H214" i="28"/>
  <c r="K68" i="28"/>
  <c r="K28" i="28" s="1"/>
  <c r="N104" i="28"/>
  <c r="R160" i="28"/>
  <c r="O102" i="28"/>
  <c r="M245" i="28"/>
  <c r="P61" i="28"/>
  <c r="P21" i="28" s="1"/>
  <c r="I66" i="28"/>
  <c r="I26" i="28" s="1"/>
  <c r="N145" i="28"/>
  <c r="T116" i="28"/>
  <c r="Y140" i="28"/>
  <c r="S231" i="28"/>
  <c r="K134" i="28"/>
  <c r="O118" i="28"/>
  <c r="J98" i="28"/>
  <c r="X125" i="28"/>
  <c r="J62" i="28"/>
  <c r="J22" i="28" s="1"/>
  <c r="O131" i="28"/>
  <c r="P177" i="28"/>
  <c r="Q211" i="28"/>
  <c r="C141" i="28"/>
  <c r="T161" i="28"/>
  <c r="H112" i="28"/>
  <c r="I135" i="28"/>
  <c r="K196" i="28"/>
  <c r="H55" i="28"/>
  <c r="H15" i="28" s="1"/>
  <c r="G87" i="61"/>
  <c r="E78" i="61"/>
  <c r="C50" i="61"/>
  <c r="E24" i="61"/>
  <c r="E9" i="61" s="1"/>
  <c r="F80" i="61"/>
  <c r="G69" i="61"/>
  <c r="D45" i="61"/>
  <c r="C49" i="61"/>
  <c r="H80" i="61"/>
  <c r="E85" i="61"/>
  <c r="G34" i="61"/>
  <c r="G19" i="61" s="1"/>
  <c r="F28" i="61"/>
  <c r="F13" i="61" s="1"/>
  <c r="H88" i="61"/>
  <c r="F93" i="61"/>
  <c r="H29" i="61"/>
  <c r="H14" i="61" s="1"/>
  <c r="H85" i="61"/>
  <c r="E27" i="61"/>
  <c r="E12" i="61" s="1"/>
  <c r="G26" i="61"/>
  <c r="G11" i="61" s="1"/>
  <c r="E77" i="61"/>
  <c r="C94" i="61"/>
  <c r="G45" i="61"/>
  <c r="D25" i="61"/>
  <c r="D10" i="61" s="1"/>
  <c r="W185" i="13"/>
  <c r="AA60" i="13"/>
  <c r="C165" i="13"/>
  <c r="AB87" i="13"/>
  <c r="J164" i="13"/>
  <c r="F179" i="13"/>
  <c r="H197" i="13"/>
  <c r="W220" i="13"/>
  <c r="AB222" i="13"/>
  <c r="L159" i="13"/>
  <c r="P40" i="13"/>
  <c r="R173" i="13"/>
  <c r="N54" i="13"/>
  <c r="Z175" i="13"/>
  <c r="H38" i="13"/>
  <c r="W11" i="13"/>
  <c r="AA157" i="13"/>
  <c r="C114" i="13"/>
  <c r="V39" i="13"/>
  <c r="K175" i="13"/>
  <c r="J185" i="13"/>
  <c r="N131" i="13"/>
  <c r="R226" i="13"/>
  <c r="C27" i="13"/>
  <c r="M144" i="13"/>
  <c r="Q179" i="13"/>
  <c r="AC54" i="13"/>
  <c r="Z15" i="13"/>
  <c r="C11" i="13"/>
  <c r="H87" i="13"/>
  <c r="S106" i="13"/>
  <c r="T106" i="13"/>
  <c r="X77" i="13"/>
  <c r="D153" i="13"/>
  <c r="G14" i="13"/>
  <c r="T82" i="13"/>
  <c r="X40" i="13"/>
  <c r="Q12" i="13"/>
  <c r="S183" i="13"/>
  <c r="Q16" i="13"/>
  <c r="M206" i="13"/>
  <c r="C219" i="13"/>
  <c r="T156" i="13"/>
  <c r="M36" i="13"/>
  <c r="F32" i="13"/>
  <c r="I80" i="13"/>
  <c r="N243" i="13"/>
  <c r="Z85" i="13"/>
  <c r="Y152" i="13"/>
  <c r="L224" i="13"/>
  <c r="E211" i="13"/>
  <c r="R93" i="13"/>
  <c r="G220" i="13"/>
  <c r="C145" i="13"/>
  <c r="Q20" i="13"/>
  <c r="V189" i="13"/>
  <c r="D143" i="13"/>
  <c r="Z24" i="13"/>
  <c r="F33" i="13"/>
  <c r="K12" i="13"/>
  <c r="P137" i="13"/>
  <c r="D25" i="13"/>
  <c r="C36" i="13"/>
  <c r="F84" i="13"/>
  <c r="D46" i="13"/>
  <c r="V166" i="13"/>
  <c r="P70" i="13"/>
  <c r="T94" i="13"/>
  <c r="R223" i="13"/>
  <c r="M109" i="13"/>
  <c r="L51" i="13"/>
  <c r="X114" i="13"/>
  <c r="J13" i="13"/>
  <c r="Q104" i="13"/>
  <c r="Z21" i="13"/>
  <c r="K114" i="13"/>
  <c r="S156" i="13"/>
  <c r="V57" i="13"/>
  <c r="O16" i="13"/>
  <c r="AA17" i="13"/>
  <c r="P167" i="13"/>
  <c r="D233" i="13"/>
  <c r="D99" i="13"/>
  <c r="L124" i="13"/>
  <c r="P181" i="13"/>
  <c r="J236" i="13"/>
  <c r="L201" i="13"/>
  <c r="AB82" i="13"/>
  <c r="Y189" i="13"/>
  <c r="R200" i="13"/>
  <c r="T78" i="13"/>
  <c r="AB191" i="13"/>
  <c r="E99" i="13"/>
  <c r="M164" i="13"/>
  <c r="C181" i="13"/>
  <c r="X160" i="13"/>
  <c r="T74" i="13"/>
  <c r="U233" i="13"/>
  <c r="U38" i="13"/>
  <c r="M217" i="13"/>
  <c r="O113" i="13"/>
  <c r="Q197" i="13"/>
  <c r="S219" i="13"/>
  <c r="Q82" i="13"/>
  <c r="C24" i="13"/>
  <c r="H199" i="13"/>
  <c r="T24" i="13"/>
  <c r="Z146" i="13"/>
  <c r="L150" i="13"/>
  <c r="Y65" i="13"/>
  <c r="J83" i="13"/>
  <c r="J116" i="13"/>
  <c r="Q121" i="13"/>
  <c r="K218" i="13"/>
  <c r="F235" i="13"/>
  <c r="X104" i="13"/>
  <c r="E203" i="13"/>
  <c r="D178" i="13"/>
  <c r="AB43" i="13"/>
  <c r="Z222" i="13"/>
  <c r="T221" i="13"/>
  <c r="P56" i="13"/>
  <c r="O190" i="13"/>
  <c r="X201" i="13"/>
  <c r="F45" i="13"/>
  <c r="C237" i="13"/>
  <c r="H23" i="13"/>
  <c r="K104" i="13"/>
  <c r="O47" i="13"/>
  <c r="P247" i="13"/>
  <c r="J71" i="13"/>
  <c r="F202" i="13"/>
  <c r="J227" i="13"/>
  <c r="Z119" i="13"/>
  <c r="U223" i="13"/>
  <c r="L119" i="13"/>
  <c r="G102" i="13"/>
  <c r="AB231" i="13"/>
  <c r="P154" i="13"/>
  <c r="I118" i="13"/>
  <c r="E107" i="13"/>
  <c r="C37" i="13"/>
  <c r="I191" i="13"/>
  <c r="O81" i="13"/>
  <c r="C215" i="13"/>
  <c r="G160" i="13"/>
  <c r="R227" i="13"/>
  <c r="F157" i="13"/>
  <c r="M29" i="13"/>
  <c r="Z186" i="13"/>
  <c r="AC141" i="13"/>
  <c r="X199" i="13"/>
  <c r="M31" i="13"/>
  <c r="J73" i="13"/>
  <c r="N181" i="13"/>
  <c r="D220" i="13"/>
  <c r="S178" i="13"/>
  <c r="T150" i="13"/>
  <c r="W219" i="13"/>
  <c r="AC243" i="13"/>
  <c r="I162" i="13"/>
  <c r="W70" i="13"/>
  <c r="V67" i="13"/>
  <c r="T153" i="13"/>
  <c r="P132" i="13"/>
  <c r="X184" i="13"/>
  <c r="Y97" i="13"/>
  <c r="G30" i="13"/>
  <c r="I71" i="13"/>
  <c r="F14" i="13"/>
  <c r="N173" i="13"/>
  <c r="X183" i="13"/>
  <c r="E94" i="13"/>
  <c r="Y217" i="13"/>
  <c r="L61" i="13"/>
  <c r="AB14" i="13"/>
  <c r="K32" i="13"/>
  <c r="L103" i="13"/>
  <c r="E139" i="13"/>
  <c r="AC63" i="13"/>
  <c r="T108" i="13"/>
  <c r="Q239" i="13"/>
  <c r="T203" i="13"/>
  <c r="G24" i="13"/>
  <c r="T100" i="13"/>
  <c r="K173" i="13"/>
  <c r="Q41" i="13"/>
  <c r="AA80" i="13"/>
  <c r="R28" i="13"/>
  <c r="J237" i="13"/>
  <c r="I231" i="13"/>
  <c r="Y228" i="13"/>
  <c r="I178" i="13"/>
  <c r="O112" i="13"/>
  <c r="R154" i="13"/>
  <c r="Z144" i="13"/>
  <c r="I138" i="13"/>
  <c r="AB17" i="13"/>
  <c r="Q98" i="13"/>
  <c r="S77" i="13"/>
  <c r="G16" i="13"/>
  <c r="AB243" i="13"/>
  <c r="T202" i="13"/>
  <c r="D116" i="13"/>
  <c r="J113" i="13"/>
  <c r="F42" i="13"/>
  <c r="T59" i="13"/>
  <c r="S91" i="13"/>
  <c r="H40" i="13"/>
  <c r="S140" i="13"/>
  <c r="Y61" i="13"/>
  <c r="T72" i="13"/>
  <c r="I189" i="13"/>
  <c r="C29" i="13"/>
  <c r="C41" i="13"/>
  <c r="R181" i="13"/>
  <c r="AC137" i="13"/>
  <c r="Q55" i="13"/>
  <c r="V123" i="13"/>
  <c r="AB221" i="13"/>
  <c r="R175" i="13"/>
  <c r="M18" i="13"/>
  <c r="G66" i="13"/>
  <c r="Y42" i="13"/>
  <c r="D61" i="13"/>
  <c r="Y87" i="13"/>
  <c r="L44" i="13"/>
  <c r="F38" i="13"/>
  <c r="F178" i="13"/>
  <c r="I15" i="13"/>
  <c r="L114" i="13"/>
  <c r="AC78" i="13"/>
  <c r="AA131" i="13"/>
  <c r="F94" i="13"/>
  <c r="K240" i="13"/>
  <c r="I35" i="13"/>
  <c r="N143" i="13"/>
  <c r="P32" i="13"/>
  <c r="Q226" i="13"/>
  <c r="O192" i="13"/>
  <c r="Y166" i="13"/>
  <c r="Y98" i="13"/>
  <c r="Y19" i="13"/>
  <c r="Q91" i="13"/>
  <c r="M199" i="13"/>
  <c r="Y22" i="13"/>
  <c r="T116" i="13"/>
  <c r="X52" i="13"/>
  <c r="O140" i="13"/>
  <c r="M211" i="13"/>
  <c r="AC211" i="13"/>
  <c r="AC178" i="13"/>
  <c r="H158" i="13"/>
  <c r="F24" i="13"/>
  <c r="Q232" i="13"/>
  <c r="I14" i="13"/>
  <c r="V95" i="13"/>
  <c r="Z194" i="13"/>
  <c r="K206" i="13"/>
  <c r="W145" i="13"/>
  <c r="H245" i="13"/>
  <c r="F39" i="13"/>
  <c r="G245" i="13"/>
  <c r="F65" i="13"/>
  <c r="E229" i="13"/>
  <c r="L72" i="13"/>
  <c r="M57" i="13"/>
  <c r="W178" i="13"/>
  <c r="R60" i="13"/>
  <c r="AB159" i="13"/>
  <c r="W109" i="13"/>
  <c r="L78" i="13"/>
  <c r="I151" i="13"/>
  <c r="F206" i="13"/>
  <c r="J148" i="13"/>
  <c r="J127" i="13"/>
  <c r="J63" i="13"/>
  <c r="C196" i="13"/>
  <c r="J75" i="13"/>
  <c r="AC194" i="13"/>
  <c r="U30" i="13"/>
  <c r="L43" i="13"/>
  <c r="X73" i="13"/>
  <c r="E245" i="13"/>
  <c r="S205" i="13"/>
  <c r="AC185" i="13"/>
  <c r="H202" i="13"/>
  <c r="AA35" i="13"/>
  <c r="T112" i="13"/>
  <c r="H77" i="13"/>
  <c r="H141" i="13"/>
  <c r="Q57" i="13"/>
  <c r="T119" i="13"/>
  <c r="J117" i="13"/>
  <c r="H239" i="13"/>
  <c r="S27" i="13"/>
  <c r="X179" i="13"/>
  <c r="Y58" i="13"/>
  <c r="V181" i="13"/>
  <c r="R78" i="13"/>
  <c r="Q51" i="13"/>
  <c r="Y188" i="13"/>
  <c r="C112" i="13"/>
  <c r="X187" i="13"/>
  <c r="W117" i="13"/>
  <c r="Z124" i="13"/>
  <c r="O98" i="13"/>
  <c r="G188" i="13"/>
  <c r="T226" i="13"/>
  <c r="C148" i="13"/>
  <c r="G34" i="13"/>
  <c r="Q113" i="13"/>
  <c r="N157" i="13"/>
  <c r="D117" i="13"/>
  <c r="V173" i="13"/>
  <c r="I37" i="13"/>
  <c r="U215" i="13"/>
  <c r="U211" i="13"/>
  <c r="Y44" i="13"/>
  <c r="R163" i="13"/>
  <c r="H123" i="13"/>
  <c r="U171" i="13"/>
  <c r="J37" i="13"/>
  <c r="I119" i="13"/>
  <c r="U55" i="13"/>
  <c r="I22" i="13"/>
  <c r="U227" i="13"/>
  <c r="T237" i="13"/>
  <c r="M43" i="13"/>
  <c r="Y118" i="13"/>
  <c r="C227" i="13"/>
  <c r="E32" i="13"/>
  <c r="H188" i="13"/>
  <c r="U24" i="13"/>
  <c r="X245" i="13"/>
  <c r="G189" i="13"/>
  <c r="G181" i="13"/>
  <c r="P19" i="13"/>
  <c r="F86" i="13"/>
  <c r="H62" i="13"/>
  <c r="V71" i="13"/>
  <c r="Q229" i="13"/>
  <c r="D161" i="13"/>
  <c r="Q164" i="13"/>
  <c r="G157" i="13"/>
  <c r="V243" i="13"/>
  <c r="F195" i="13"/>
  <c r="U176" i="13"/>
  <c r="T32" i="13"/>
  <c r="Q151" i="13"/>
  <c r="E166" i="13"/>
  <c r="AA120" i="13"/>
  <c r="L184" i="13"/>
  <c r="U95" i="13"/>
  <c r="P29" i="13"/>
  <c r="V134" i="13"/>
  <c r="G150" i="13"/>
  <c r="W118" i="13"/>
  <c r="X230" i="13"/>
  <c r="E72" i="13"/>
  <c r="AB79" i="13"/>
  <c r="R76" i="13"/>
  <c r="AB110" i="13"/>
  <c r="J192" i="13"/>
  <c r="P226" i="13"/>
  <c r="Z52" i="13"/>
  <c r="T199" i="13"/>
  <c r="M104" i="13"/>
  <c r="AC149" i="13"/>
  <c r="AC160" i="13"/>
  <c r="G158" i="13"/>
  <c r="U37" i="13"/>
  <c r="Y238" i="13"/>
  <c r="U157" i="13"/>
  <c r="U194" i="13"/>
  <c r="AB149" i="13"/>
  <c r="Z58" i="13"/>
  <c r="I93" i="13"/>
  <c r="AC224" i="13"/>
  <c r="V152" i="13"/>
  <c r="AA235" i="13"/>
  <c r="Y158" i="13"/>
  <c r="AC142" i="13"/>
  <c r="Q166" i="13"/>
  <c r="O233" i="13"/>
  <c r="R42" i="13"/>
  <c r="T29" i="13"/>
  <c r="Y63" i="13"/>
  <c r="U64" i="13"/>
  <c r="C116" i="13"/>
  <c r="T223" i="13"/>
  <c r="R179" i="13"/>
  <c r="G225" i="13"/>
  <c r="G145" i="13"/>
  <c r="M246" i="13"/>
  <c r="S190" i="13"/>
  <c r="V157" i="13"/>
  <c r="I34" i="13"/>
  <c r="H59" i="13"/>
  <c r="Z68" i="13"/>
  <c r="L217" i="13"/>
  <c r="Q145" i="13"/>
  <c r="N56" i="13"/>
  <c r="H234" i="13"/>
  <c r="E106" i="13"/>
  <c r="H163" i="13"/>
  <c r="S112" i="13"/>
  <c r="Y45" i="13"/>
  <c r="E228" i="13"/>
  <c r="F205" i="13"/>
  <c r="G51" i="13"/>
  <c r="P104" i="13"/>
  <c r="V55" i="13"/>
  <c r="I222" i="13"/>
  <c r="P142" i="13"/>
  <c r="F239" i="13"/>
  <c r="G144" i="13"/>
  <c r="R116" i="13"/>
  <c r="Y245" i="13"/>
  <c r="E56" i="13"/>
  <c r="O135" i="13"/>
  <c r="C213" i="13"/>
  <c r="T207" i="13"/>
  <c r="M145" i="13"/>
  <c r="AB180" i="13"/>
  <c r="C222" i="13"/>
  <c r="H242" i="13"/>
  <c r="O106" i="13"/>
  <c r="G120" i="13"/>
  <c r="F51" i="13"/>
  <c r="T75" i="13"/>
  <c r="T197" i="13"/>
  <c r="K51" i="13"/>
  <c r="O241" i="13"/>
  <c r="P183" i="13"/>
  <c r="K233" i="13"/>
  <c r="O15" i="13"/>
  <c r="D166" i="13"/>
  <c r="V24" i="13"/>
  <c r="J173" i="13"/>
  <c r="AB166" i="13"/>
  <c r="Q27" i="13"/>
  <c r="Q120" i="13"/>
  <c r="D146" i="13"/>
  <c r="M151" i="13"/>
  <c r="K11" i="13"/>
  <c r="N96" i="13"/>
  <c r="X165" i="13"/>
  <c r="T147" i="13"/>
  <c r="W180" i="13"/>
  <c r="D147" i="13"/>
  <c r="Y37" i="13"/>
  <c r="F100" i="13"/>
  <c r="AC238" i="13"/>
  <c r="R86" i="13"/>
  <c r="Z156" i="13"/>
  <c r="W45" i="13"/>
  <c r="X60" i="13"/>
  <c r="AB177" i="13"/>
  <c r="T152" i="13"/>
  <c r="V232" i="13"/>
  <c r="K21" i="13"/>
  <c r="D77" i="13"/>
  <c r="T246" i="13"/>
  <c r="Z115" i="13"/>
  <c r="Y201" i="13"/>
  <c r="AA104" i="13"/>
  <c r="U29" i="13"/>
  <c r="M75" i="13"/>
  <c r="C180" i="13"/>
  <c r="Z223" i="13"/>
  <c r="AA69" i="13"/>
  <c r="N231" i="13"/>
  <c r="V147" i="13"/>
  <c r="M40" i="13"/>
  <c r="J55" i="13"/>
  <c r="W103" i="13"/>
  <c r="M178" i="13"/>
  <c r="Q154" i="13"/>
  <c r="H225" i="13"/>
  <c r="G136" i="13"/>
  <c r="X202" i="13"/>
  <c r="R91" i="13"/>
  <c r="D131" i="13"/>
  <c r="O72" i="13"/>
  <c r="AA220" i="13"/>
  <c r="Y150" i="13"/>
  <c r="L179" i="13"/>
  <c r="T71" i="13"/>
  <c r="Y110" i="13"/>
  <c r="E201" i="13"/>
  <c r="I78" i="13"/>
  <c r="Y138" i="13"/>
  <c r="S159" i="13"/>
  <c r="U115" i="13"/>
  <c r="K29" i="13"/>
  <c r="F43" i="13"/>
  <c r="R212" i="13"/>
  <c r="AA221" i="13"/>
  <c r="F142" i="13"/>
  <c r="AB206" i="13"/>
  <c r="O116" i="13"/>
  <c r="C183" i="13"/>
  <c r="D112" i="13"/>
  <c r="L62" i="13"/>
  <c r="I57" i="13"/>
  <c r="AC18" i="13"/>
  <c r="I112" i="13"/>
  <c r="E93" i="13"/>
  <c r="Q62" i="13"/>
  <c r="E165" i="13"/>
  <c r="O146" i="13"/>
  <c r="U22" i="13"/>
  <c r="Q38" i="13"/>
  <c r="E191" i="13"/>
  <c r="AC31" i="13"/>
  <c r="K238" i="13"/>
  <c r="V153" i="13"/>
  <c r="I171" i="13"/>
  <c r="AA216" i="13"/>
  <c r="AC122" i="13"/>
  <c r="H236" i="13"/>
  <c r="N142" i="13"/>
  <c r="Q152" i="13"/>
  <c r="K152" i="13"/>
  <c r="I174" i="13"/>
  <c r="K185" i="13"/>
  <c r="D105" i="13"/>
  <c r="T105" i="13"/>
  <c r="T52" i="13"/>
  <c r="I190" i="13"/>
  <c r="AB215" i="13"/>
  <c r="L133" i="13"/>
  <c r="K117" i="13"/>
  <c r="S213" i="13"/>
  <c r="P218" i="13"/>
  <c r="K32" i="98"/>
  <c r="L140" i="98"/>
  <c r="L69" i="98"/>
  <c r="F40" i="98"/>
  <c r="Q20" i="98"/>
  <c r="S37" i="98"/>
  <c r="M12" i="98"/>
  <c r="M21" i="98"/>
  <c r="J43" i="98"/>
  <c r="L107" i="98"/>
  <c r="O178" i="98"/>
  <c r="H169" i="98"/>
  <c r="K177" i="98"/>
  <c r="I168" i="98"/>
  <c r="F158" i="98"/>
  <c r="S146" i="98"/>
  <c r="S136" i="98"/>
  <c r="E128" i="98"/>
  <c r="E176" i="98"/>
  <c r="C167" i="98"/>
  <c r="I156" i="98"/>
  <c r="E145" i="98"/>
  <c r="O135" i="98"/>
  <c r="K127" i="98"/>
  <c r="D176" i="98"/>
  <c r="S164" i="98"/>
  <c r="O155" i="98"/>
  <c r="H143" i="98"/>
  <c r="D135" i="98"/>
  <c r="D125" i="98"/>
  <c r="O174" i="98"/>
  <c r="G164" i="98"/>
  <c r="N155" i="98"/>
  <c r="N142" i="98"/>
  <c r="J134" i="98"/>
  <c r="J172" i="98"/>
  <c r="S161" i="98"/>
  <c r="C153" i="98"/>
  <c r="M140" i="98"/>
  <c r="I132" i="98"/>
  <c r="S119" i="98"/>
  <c r="O111" i="98"/>
  <c r="O101" i="98"/>
  <c r="S165" i="98"/>
  <c r="J142" i="98"/>
  <c r="M126" i="98"/>
  <c r="M110" i="98"/>
  <c r="E100" i="98"/>
  <c r="P88" i="98"/>
  <c r="E81" i="98"/>
  <c r="H72" i="98"/>
  <c r="N61" i="98"/>
  <c r="J53" i="98"/>
  <c r="M177" i="98"/>
  <c r="J159" i="98"/>
  <c r="S139" i="98"/>
  <c r="K125" i="98"/>
  <c r="K112" i="98"/>
  <c r="H103" i="98"/>
  <c r="N91" i="98"/>
  <c r="J83" i="98"/>
  <c r="P75" i="98"/>
  <c r="L67" i="98"/>
  <c r="O55" i="98"/>
  <c r="D48" i="98"/>
  <c r="D168" i="98"/>
  <c r="R147" i="98"/>
  <c r="J131" i="98"/>
  <c r="N115" i="98"/>
  <c r="F107" i="98"/>
  <c r="O98" i="98"/>
  <c r="H86" i="98"/>
  <c r="N78" i="98"/>
  <c r="C71" i="98"/>
  <c r="P59" i="98"/>
  <c r="E52" i="98"/>
  <c r="L174" i="98"/>
  <c r="R157" i="98"/>
  <c r="M139" i="98"/>
  <c r="H124" i="98"/>
  <c r="I110" i="98"/>
  <c r="R101" i="98"/>
  <c r="I90" i="98"/>
  <c r="O82" i="98"/>
  <c r="R73" i="98"/>
  <c r="G66" i="98"/>
  <c r="M55" i="98"/>
  <c r="J161" i="98"/>
  <c r="R167" i="98"/>
  <c r="H171" i="98"/>
  <c r="P153" i="98"/>
  <c r="K135" i="98"/>
  <c r="R118" i="98"/>
  <c r="O108" i="98"/>
  <c r="G100" i="98"/>
  <c r="R88" i="98"/>
  <c r="G81" i="98"/>
  <c r="C73" i="98"/>
  <c r="F61" i="98"/>
  <c r="L53" i="98"/>
  <c r="R45" i="98"/>
  <c r="K139" i="98"/>
  <c r="F112" i="98"/>
  <c r="J91" i="98"/>
  <c r="E76" i="98"/>
  <c r="Q57" i="98"/>
  <c r="N43" i="98"/>
  <c r="J32" i="98"/>
  <c r="P24" i="98"/>
  <c r="L16" i="98"/>
  <c r="H8" i="98"/>
  <c r="N134" i="98"/>
  <c r="L109" i="98"/>
  <c r="F90" i="98"/>
  <c r="L72" i="98"/>
  <c r="I54" i="98"/>
  <c r="J42" i="98"/>
  <c r="F31" i="98"/>
  <c r="S22" i="98"/>
  <c r="O14" i="98"/>
  <c r="C173" i="98"/>
  <c r="C132" i="98"/>
  <c r="Q106" i="98"/>
  <c r="M86" i="98"/>
  <c r="H71" i="98"/>
  <c r="I51" i="98"/>
  <c r="F41" i="98"/>
  <c r="I29" i="98"/>
  <c r="O21" i="98"/>
  <c r="D14" i="98"/>
  <c r="Q163" i="98"/>
  <c r="M125" i="98"/>
  <c r="E104" i="98"/>
  <c r="E84" i="98"/>
  <c r="N67" i="98"/>
  <c r="I48" i="98"/>
  <c r="I39" i="98"/>
  <c r="O28" i="98"/>
  <c r="K20" i="98"/>
  <c r="Q12" i="98"/>
  <c r="K155" i="98"/>
  <c r="F57" i="98"/>
  <c r="C22" i="98"/>
  <c r="K133" i="98"/>
  <c r="O51" i="98"/>
  <c r="J27" i="98"/>
  <c r="M28" i="98"/>
  <c r="E25" i="98"/>
  <c r="Q53" i="98"/>
  <c r="S124" i="98"/>
  <c r="M174" i="98"/>
  <c r="M164" i="98"/>
  <c r="S172" i="98"/>
  <c r="F161" i="98"/>
  <c r="E148" i="98"/>
  <c r="H139" i="98"/>
  <c r="L127" i="98"/>
  <c r="Q174" i="98"/>
  <c r="D163" i="98"/>
  <c r="C154" i="98"/>
  <c r="J140" i="98"/>
  <c r="Q129" i="98"/>
  <c r="C178" i="98"/>
  <c r="G168" i="98"/>
  <c r="R156" i="98"/>
  <c r="O142" i="98"/>
  <c r="E132" i="98"/>
  <c r="H120" i="98"/>
  <c r="P170" i="98"/>
  <c r="M158" i="98"/>
  <c r="P146" i="98"/>
  <c r="P136" i="98"/>
  <c r="I174" i="98"/>
  <c r="R163" i="98"/>
  <c r="J149" i="98"/>
  <c r="J139" i="98"/>
  <c r="J129" i="98"/>
  <c r="J116" i="98"/>
  <c r="J106" i="98"/>
  <c r="K172" i="98"/>
  <c r="K149" i="98"/>
  <c r="L129" i="98"/>
  <c r="G111" i="98"/>
  <c r="K99" i="98"/>
  <c r="M87" i="98"/>
  <c r="F78" i="98"/>
  <c r="I69" i="98"/>
  <c r="L57" i="98"/>
  <c r="O48" i="98"/>
  <c r="Q165" i="98"/>
  <c r="H142" i="98"/>
  <c r="L126" i="98"/>
  <c r="F111" i="98"/>
  <c r="I101" i="98"/>
  <c r="O88" i="98"/>
  <c r="K80" i="98"/>
  <c r="D71" i="98"/>
  <c r="Q59" i="98"/>
  <c r="C51" i="98"/>
  <c r="O170" i="98"/>
  <c r="D149" i="98"/>
  <c r="G130" i="98"/>
  <c r="I114" i="98"/>
  <c r="L104" i="98"/>
  <c r="M91" i="98"/>
  <c r="I83" i="98"/>
  <c r="L74" i="98"/>
  <c r="E62" i="98"/>
  <c r="H53" i="98"/>
  <c r="F177" i="98"/>
  <c r="O156" i="98"/>
  <c r="R134" i="98"/>
  <c r="R116" i="98"/>
  <c r="E107" i="98"/>
  <c r="D98" i="98"/>
  <c r="N85" i="98"/>
  <c r="Q76" i="98"/>
  <c r="J67" i="98"/>
  <c r="F56" i="98"/>
  <c r="F160" i="98"/>
  <c r="N162" i="98"/>
  <c r="D166" i="98"/>
  <c r="D146" i="98"/>
  <c r="P127" i="98"/>
  <c r="N112" i="98"/>
  <c r="F102" i="98"/>
  <c r="N90" i="98"/>
  <c r="Q81" i="98"/>
  <c r="G71" i="98"/>
  <c r="C60" i="98"/>
  <c r="P51" i="98"/>
  <c r="S169" i="98"/>
  <c r="S127" i="98"/>
  <c r="J100" i="98"/>
  <c r="N79" i="98"/>
  <c r="F60" i="98"/>
  <c r="H44" i="98"/>
  <c r="Q31" i="98"/>
  <c r="C23" i="98"/>
  <c r="F14" i="98"/>
  <c r="P160" i="98"/>
  <c r="I117" i="98"/>
  <c r="R97" i="98"/>
  <c r="J78" i="98"/>
  <c r="M56" i="98"/>
  <c r="M43" i="98"/>
  <c r="M30" i="98"/>
  <c r="P21" i="98"/>
  <c r="S12" i="98"/>
  <c r="F156" i="98"/>
  <c r="O114" i="98"/>
  <c r="N96" i="98"/>
  <c r="Q74" i="98"/>
  <c r="I55" i="98"/>
  <c r="P41" i="98"/>
  <c r="P28" i="98"/>
  <c r="L20" i="98"/>
  <c r="O11" i="98"/>
  <c r="N143" i="98"/>
  <c r="S111" i="98"/>
  <c r="C90" i="98"/>
  <c r="I72" i="98"/>
  <c r="F53" i="98"/>
  <c r="S39" i="98"/>
  <c r="E28" i="98"/>
  <c r="H19" i="98"/>
  <c r="K10" i="98"/>
  <c r="I138" i="98"/>
  <c r="M111" i="98"/>
  <c r="O89" i="98"/>
  <c r="J74" i="98"/>
  <c r="E56" i="98"/>
  <c r="O171" i="98"/>
  <c r="G131" i="98"/>
  <c r="S108" i="98"/>
  <c r="N89" i="98"/>
  <c r="L75" i="98"/>
  <c r="G57" i="98"/>
  <c r="E175" i="98"/>
  <c r="J135" i="98"/>
  <c r="H111" i="98"/>
  <c r="S95" i="98"/>
  <c r="N77" i="98"/>
  <c r="L60" i="98"/>
  <c r="P46" i="98"/>
  <c r="D39" i="98"/>
  <c r="J28" i="98"/>
  <c r="I21" i="98"/>
  <c r="H14" i="98"/>
  <c r="H10" i="98"/>
  <c r="M25" i="98"/>
  <c r="O42" i="98"/>
  <c r="V261" i="81"/>
  <c r="V302" i="81"/>
  <c r="C290" i="81"/>
  <c r="AE253" i="81"/>
  <c r="C352" i="81"/>
  <c r="AB295" i="81"/>
  <c r="I197" i="81"/>
  <c r="J178" i="81"/>
  <c r="AB110" i="81"/>
  <c r="AB51" i="81" s="1"/>
  <c r="N330" i="81"/>
  <c r="J219" i="81"/>
  <c r="K213" i="81"/>
  <c r="D97" i="81"/>
  <c r="D38" i="81" s="1"/>
  <c r="U312" i="81"/>
  <c r="AF285" i="81"/>
  <c r="AF274" i="81"/>
  <c r="G154" i="81"/>
  <c r="G139" i="81"/>
  <c r="Z108" i="81"/>
  <c r="Z49" i="81" s="1"/>
  <c r="I275" i="81"/>
  <c r="J90" i="81"/>
  <c r="J31" i="81" s="1"/>
  <c r="X170" i="81"/>
  <c r="W122" i="81"/>
  <c r="W63" i="81" s="1"/>
  <c r="G319" i="81"/>
  <c r="V358" i="81"/>
  <c r="AH244" i="81"/>
  <c r="AE323" i="81"/>
  <c r="AC117" i="81"/>
  <c r="AC58" i="81" s="1"/>
  <c r="AG132" i="81"/>
  <c r="C97" i="81"/>
  <c r="C38" i="81" s="1"/>
  <c r="S260" i="81"/>
  <c r="N200" i="81"/>
  <c r="L208" i="81"/>
  <c r="AE312" i="81"/>
  <c r="AD332" i="81"/>
  <c r="W280" i="81"/>
  <c r="Y280" i="81"/>
  <c r="H219" i="81"/>
  <c r="AD251" i="81"/>
  <c r="T272" i="81"/>
  <c r="R101" i="81"/>
  <c r="R42" i="81" s="1"/>
  <c r="Q280" i="81"/>
  <c r="M310" i="81"/>
  <c r="Z146" i="81"/>
  <c r="F143" i="81"/>
  <c r="AD130" i="81"/>
  <c r="F293" i="81"/>
  <c r="R268" i="81"/>
  <c r="J258" i="81"/>
  <c r="P353" i="81"/>
  <c r="AG84" i="81"/>
  <c r="AG25" i="81" s="1"/>
  <c r="P234" i="81"/>
  <c r="AF166" i="81"/>
  <c r="AC102" i="81"/>
  <c r="AC43" i="81" s="1"/>
  <c r="M155" i="81"/>
  <c r="C304" i="81"/>
  <c r="AE208" i="81"/>
  <c r="AD95" i="81"/>
  <c r="AD36" i="81" s="1"/>
  <c r="Z312" i="81"/>
  <c r="Y291" i="81"/>
  <c r="I207" i="81"/>
  <c r="P325" i="81"/>
  <c r="AE339" i="81"/>
  <c r="Y119" i="81"/>
  <c r="Y60" i="81" s="1"/>
  <c r="AA168" i="81"/>
  <c r="F72" i="81"/>
  <c r="F13" i="81" s="1"/>
  <c r="AA116" i="81"/>
  <c r="AA57" i="81" s="1"/>
  <c r="H96" i="81"/>
  <c r="H37" i="81" s="1"/>
  <c r="M199" i="81"/>
  <c r="AB361" i="81"/>
  <c r="D235" i="81"/>
  <c r="V286" i="81"/>
  <c r="P176" i="81"/>
  <c r="I152" i="81"/>
  <c r="AA140" i="81"/>
  <c r="F176" i="81"/>
  <c r="J227" i="81"/>
  <c r="K182" i="81"/>
  <c r="P235" i="81"/>
  <c r="AA300" i="81"/>
  <c r="E168" i="81"/>
  <c r="O160" i="81"/>
  <c r="I137" i="81"/>
  <c r="H288" i="81"/>
  <c r="N142" i="81"/>
  <c r="U235" i="81"/>
  <c r="AA294" i="81"/>
  <c r="H334" i="81"/>
  <c r="Z296" i="81"/>
  <c r="Y122" i="81"/>
  <c r="Y63" i="81" s="1"/>
  <c r="O179" i="81"/>
  <c r="J267" i="81"/>
  <c r="C283" i="81"/>
  <c r="R330" i="81"/>
  <c r="C200" i="81"/>
  <c r="AH365" i="81"/>
  <c r="N196" i="81"/>
  <c r="S86" i="81"/>
  <c r="S27" i="81" s="1"/>
  <c r="J95" i="81"/>
  <c r="J36" i="81" s="1"/>
  <c r="AC322" i="81"/>
  <c r="P101" i="81"/>
  <c r="P42" i="81" s="1"/>
  <c r="U147" i="81"/>
  <c r="AG139" i="81"/>
  <c r="AG102" i="81"/>
  <c r="AG43" i="81" s="1"/>
  <c r="L100" i="81"/>
  <c r="L41" i="81" s="1"/>
  <c r="AC239" i="81"/>
  <c r="N298" i="81"/>
  <c r="W141" i="81"/>
  <c r="AH71" i="81"/>
  <c r="AH12" i="81" s="1"/>
  <c r="Y136" i="81"/>
  <c r="M82" i="81"/>
  <c r="M23" i="81" s="1"/>
  <c r="W317" i="81"/>
  <c r="V196" i="81"/>
  <c r="E294" i="81"/>
  <c r="U344" i="81"/>
  <c r="AD158" i="81"/>
  <c r="R322" i="81"/>
  <c r="I355" i="81"/>
  <c r="W108" i="81"/>
  <c r="W49" i="81" s="1"/>
  <c r="K332" i="81"/>
  <c r="D278" i="81"/>
  <c r="C231" i="81"/>
  <c r="AC155" i="81"/>
  <c r="X205" i="81"/>
  <c r="L81" i="81"/>
  <c r="L22" i="81" s="1"/>
  <c r="AC101" i="81"/>
  <c r="AC42" i="81" s="1"/>
  <c r="M152" i="81"/>
  <c r="D272" i="81"/>
  <c r="V156" i="81"/>
  <c r="V227" i="81"/>
  <c r="AA278" i="81"/>
  <c r="O358" i="81"/>
  <c r="AG103" i="81"/>
  <c r="AG44" i="81" s="1"/>
  <c r="AB227" i="81"/>
  <c r="X105" i="81"/>
  <c r="X46" i="81" s="1"/>
  <c r="T305" i="81"/>
  <c r="X116" i="81"/>
  <c r="X57" i="81" s="1"/>
  <c r="C332" i="81"/>
  <c r="H354" i="81"/>
  <c r="P281" i="81"/>
  <c r="C266" i="81"/>
  <c r="Z158" i="81"/>
  <c r="W334" i="81"/>
  <c r="U138" i="81"/>
  <c r="H260" i="81"/>
  <c r="I201" i="81"/>
  <c r="AD100" i="81"/>
  <c r="AD41" i="81" s="1"/>
  <c r="AA199" i="81"/>
  <c r="AC313" i="81"/>
  <c r="X298" i="81"/>
  <c r="AB288" i="81"/>
  <c r="Q96" i="81"/>
  <c r="Q37" i="81" s="1"/>
  <c r="G153" i="81"/>
  <c r="K124" i="81"/>
  <c r="K65" i="81" s="1"/>
  <c r="AH300" i="81"/>
  <c r="C279" i="81"/>
  <c r="M345" i="81"/>
  <c r="R104" i="81"/>
  <c r="R45" i="81" s="1"/>
  <c r="AE102" i="81"/>
  <c r="AE43" i="81" s="1"/>
  <c r="F238" i="81"/>
  <c r="AB272" i="81"/>
  <c r="AD313" i="81"/>
  <c r="AA79" i="81"/>
  <c r="AA20" i="81" s="1"/>
  <c r="Q154" i="81"/>
  <c r="M107" i="81"/>
  <c r="M48" i="81" s="1"/>
  <c r="AB283" i="81"/>
  <c r="AC265" i="81"/>
  <c r="AC314" i="81"/>
  <c r="W304" i="81"/>
  <c r="T352" i="81"/>
  <c r="AH293" i="81"/>
  <c r="W216" i="81"/>
  <c r="P328" i="81"/>
  <c r="I182" i="81"/>
  <c r="W252" i="81"/>
  <c r="C296" i="81"/>
  <c r="AG96" i="81"/>
  <c r="AG37" i="81" s="1"/>
  <c r="Y340" i="81"/>
  <c r="AH343" i="81"/>
  <c r="K357" i="81"/>
  <c r="D72" i="81"/>
  <c r="D13" i="81" s="1"/>
  <c r="U118" i="81"/>
  <c r="U59" i="81" s="1"/>
  <c r="D124" i="81"/>
  <c r="D65" i="81" s="1"/>
  <c r="R205" i="81"/>
  <c r="S102" i="81"/>
  <c r="S43" i="81" s="1"/>
  <c r="Q116" i="81"/>
  <c r="Q57" i="81" s="1"/>
  <c r="V345" i="81"/>
  <c r="N72" i="81"/>
  <c r="N13" i="81" s="1"/>
  <c r="Q353" i="81"/>
  <c r="N83" i="81"/>
  <c r="N24" i="81" s="1"/>
  <c r="AB292" i="81"/>
  <c r="S284" i="81"/>
  <c r="AG105" i="81"/>
  <c r="AG46" i="81" s="1"/>
  <c r="E352" i="81"/>
  <c r="AA256" i="81"/>
  <c r="R365" i="81"/>
  <c r="R364" i="81"/>
  <c r="AE148" i="81"/>
  <c r="K331" i="81"/>
  <c r="G357" i="81"/>
  <c r="X115" i="81"/>
  <c r="X56" i="81" s="1"/>
  <c r="J302" i="81"/>
  <c r="L214" i="81"/>
  <c r="N94" i="81"/>
  <c r="N35" i="81" s="1"/>
  <c r="G294" i="81"/>
  <c r="E289" i="81"/>
  <c r="AA261" i="81"/>
  <c r="G293" i="81"/>
  <c r="J349" i="81"/>
  <c r="AD104" i="81"/>
  <c r="AD45" i="81" s="1"/>
  <c r="R208" i="81"/>
  <c r="H250" i="81"/>
  <c r="D338" i="81"/>
  <c r="Z110" i="81"/>
  <c r="Z51" i="81" s="1"/>
  <c r="T140" i="81"/>
  <c r="D237" i="81"/>
  <c r="O317" i="81"/>
  <c r="AB178" i="81"/>
  <c r="AA250" i="81"/>
  <c r="AA171" i="81"/>
  <c r="S257" i="81"/>
  <c r="N151" i="81"/>
  <c r="T163" i="81"/>
  <c r="Z152" i="81"/>
  <c r="S107" i="81"/>
  <c r="S48" i="81" s="1"/>
  <c r="D358" i="81"/>
  <c r="S209" i="81"/>
  <c r="V125" i="81"/>
  <c r="V66" i="81" s="1"/>
  <c r="F133" i="81"/>
  <c r="AG168" i="81"/>
  <c r="D200" i="81"/>
  <c r="M226" i="81"/>
  <c r="W329" i="81"/>
  <c r="H305" i="81"/>
  <c r="V319" i="81"/>
  <c r="Q322" i="81"/>
  <c r="U313" i="81"/>
  <c r="K221" i="81"/>
  <c r="AF91" i="81"/>
  <c r="AF32" i="81" s="1"/>
  <c r="R300" i="81"/>
  <c r="Z291" i="81"/>
  <c r="W137" i="81"/>
  <c r="Z258" i="81"/>
  <c r="AD267" i="81"/>
  <c r="G328" i="81"/>
  <c r="X200" i="81"/>
  <c r="C149" i="81"/>
  <c r="R204" i="81"/>
  <c r="V301" i="81"/>
  <c r="AG151" i="81"/>
  <c r="J173" i="81"/>
  <c r="E287" i="81"/>
  <c r="K252" i="81"/>
  <c r="J253" i="81"/>
  <c r="G329" i="81"/>
  <c r="S277" i="81"/>
  <c r="X151" i="81"/>
  <c r="Q235" i="81"/>
  <c r="AG202" i="81"/>
  <c r="G169" i="81"/>
  <c r="U92" i="81"/>
  <c r="U33" i="81" s="1"/>
  <c r="C237" i="81"/>
  <c r="V105" i="81"/>
  <c r="V46" i="81" s="1"/>
  <c r="G312" i="81"/>
  <c r="N321" i="81"/>
  <c r="G150" i="81"/>
  <c r="AE94" i="81"/>
  <c r="AE35" i="81" s="1"/>
  <c r="Q183" i="81"/>
  <c r="H109" i="81"/>
  <c r="H50" i="81" s="1"/>
  <c r="J184" i="81"/>
  <c r="AC257" i="81"/>
  <c r="X305" i="81"/>
  <c r="I198" i="81"/>
  <c r="V111" i="81"/>
  <c r="V52" i="81" s="1"/>
  <c r="R199" i="81"/>
  <c r="R195" i="81"/>
  <c r="U148" i="81"/>
  <c r="AF327" i="81"/>
  <c r="K278" i="81"/>
  <c r="U111" i="81"/>
  <c r="U52" i="81" s="1"/>
  <c r="V73" i="81"/>
  <c r="V14" i="81" s="1"/>
  <c r="Y235" i="81"/>
  <c r="AC184" i="81"/>
  <c r="S242" i="81"/>
  <c r="F300" i="81"/>
  <c r="AC110" i="81"/>
  <c r="AC51" i="81" s="1"/>
  <c r="C151" i="81"/>
  <c r="AA211" i="81"/>
  <c r="U279" i="81"/>
  <c r="S223" i="81"/>
  <c r="L223" i="81"/>
  <c r="D172" i="81"/>
  <c r="H71" i="81"/>
  <c r="H12" i="81" s="1"/>
  <c r="Y84" i="81"/>
  <c r="Y25" i="81" s="1"/>
  <c r="Z343" i="81"/>
  <c r="I231" i="81"/>
  <c r="E360" i="81"/>
  <c r="K71" i="81"/>
  <c r="K12" i="81" s="1"/>
  <c r="D112" i="81"/>
  <c r="D53" i="81" s="1"/>
  <c r="AH70" i="81"/>
  <c r="AH11" i="81" s="1"/>
  <c r="AC82" i="81"/>
  <c r="AC23" i="81" s="1"/>
  <c r="V85" i="81"/>
  <c r="V26" i="81" s="1"/>
  <c r="AD256" i="81"/>
  <c r="AA234" i="81"/>
  <c r="T340" i="81"/>
  <c r="J334" i="81"/>
  <c r="K298" i="81"/>
  <c r="G210" i="81"/>
  <c r="C321" i="81"/>
  <c r="AD164" i="81"/>
  <c r="AB146" i="81"/>
  <c r="AA228" i="81"/>
  <c r="L240" i="81"/>
  <c r="V135" i="81"/>
  <c r="AG305" i="81"/>
  <c r="AH195" i="81"/>
  <c r="AD269" i="81"/>
  <c r="S251" i="81"/>
  <c r="L123" i="81"/>
  <c r="L64" i="81" s="1"/>
  <c r="D280" i="81"/>
  <c r="O341" i="81"/>
  <c r="R175" i="81"/>
  <c r="J243" i="81"/>
  <c r="AH313" i="81"/>
  <c r="U223" i="81"/>
  <c r="H90" i="81"/>
  <c r="H31" i="81" s="1"/>
  <c r="O72" i="81"/>
  <c r="O13" i="81" s="1"/>
  <c r="U283" i="81"/>
  <c r="P264" i="81"/>
  <c r="L299" i="81"/>
  <c r="C316" i="81"/>
  <c r="L115" i="81"/>
  <c r="L56" i="81" s="1"/>
  <c r="AG289" i="81"/>
  <c r="M294" i="81"/>
  <c r="P135" i="81"/>
  <c r="AG117" i="81"/>
  <c r="AG58" i="81" s="1"/>
  <c r="AA257" i="81"/>
  <c r="N234" i="81"/>
  <c r="AD137" i="81"/>
  <c r="J138" i="81"/>
  <c r="Q242" i="81"/>
  <c r="O120" i="81"/>
  <c r="O61" i="81" s="1"/>
  <c r="AG173" i="81"/>
  <c r="AG320" i="81"/>
  <c r="T141" i="81"/>
  <c r="K143" i="81"/>
  <c r="X353" i="81"/>
  <c r="AE196" i="81"/>
  <c r="D169" i="81"/>
  <c r="F241" i="81"/>
  <c r="AF316" i="81"/>
  <c r="Q100" i="81"/>
  <c r="Q41" i="81" s="1"/>
  <c r="S193" i="81"/>
  <c r="T138" i="81"/>
  <c r="C275" i="81"/>
  <c r="C110" i="81"/>
  <c r="C51" i="81" s="1"/>
  <c r="F284" i="81"/>
  <c r="AD105" i="81"/>
  <c r="AD46" i="81" s="1"/>
  <c r="E139" i="81"/>
  <c r="D287" i="81"/>
  <c r="K228" i="81"/>
  <c r="D157" i="81"/>
  <c r="L330" i="81"/>
  <c r="J130" i="81"/>
  <c r="V264" i="81"/>
  <c r="AB342" i="81"/>
  <c r="Q193" i="81"/>
  <c r="AD321" i="81"/>
  <c r="AG269" i="81"/>
  <c r="N146" i="81"/>
  <c r="D114" i="81"/>
  <c r="D55" i="81" s="1"/>
  <c r="D361" i="81"/>
  <c r="F228" i="81"/>
  <c r="N223" i="81"/>
  <c r="U173" i="81"/>
  <c r="U315" i="81"/>
  <c r="X89" i="81"/>
  <c r="X30" i="81" s="1"/>
  <c r="Q343" i="81"/>
  <c r="Y346" i="81"/>
  <c r="AD163" i="81"/>
  <c r="J271" i="81"/>
  <c r="G361" i="81"/>
  <c r="J245" i="81"/>
  <c r="S148" i="81"/>
  <c r="D132" i="81"/>
  <c r="E113" i="81"/>
  <c r="E54" i="81" s="1"/>
  <c r="H106" i="81"/>
  <c r="H47" i="81" s="1"/>
  <c r="N346" i="81"/>
  <c r="AH161" i="81"/>
  <c r="AD329" i="81"/>
  <c r="AE154" i="81"/>
  <c r="X311" i="81"/>
  <c r="AC285" i="81"/>
  <c r="N317" i="81"/>
  <c r="R114" i="81"/>
  <c r="R55" i="81" s="1"/>
  <c r="O235" i="81"/>
  <c r="P305" i="81"/>
  <c r="AH201" i="81"/>
  <c r="O269" i="81"/>
  <c r="I293" i="81"/>
  <c r="U149" i="81"/>
  <c r="V251" i="81"/>
  <c r="R74" i="81"/>
  <c r="R15" i="81" s="1"/>
  <c r="H347" i="81"/>
  <c r="AB314" i="81"/>
  <c r="E290" i="81"/>
  <c r="E78" i="81"/>
  <c r="E19" i="81" s="1"/>
  <c r="F102" i="81"/>
  <c r="F43" i="81" s="1"/>
  <c r="J264" i="81"/>
  <c r="AH271" i="81"/>
  <c r="L358" i="81"/>
  <c r="G311" i="81"/>
  <c r="P297" i="81"/>
  <c r="AG192" i="81"/>
  <c r="P199" i="81"/>
  <c r="Q134" i="81"/>
  <c r="U85" i="81"/>
  <c r="U26" i="81" s="1"/>
  <c r="R305" i="81"/>
  <c r="G177" i="81"/>
  <c r="D208" i="81"/>
  <c r="Q158" i="81"/>
  <c r="C154" i="81"/>
  <c r="AD88" i="81"/>
  <c r="AD29" i="81" s="1"/>
  <c r="AG229" i="81"/>
  <c r="H303" i="81"/>
  <c r="E280" i="81"/>
  <c r="R325" i="81"/>
  <c r="D250" i="81"/>
  <c r="Z223" i="81"/>
  <c r="AH197" i="81"/>
  <c r="R299" i="81"/>
  <c r="D181" i="81"/>
  <c r="AF304" i="81"/>
  <c r="Q93" i="81"/>
  <c r="Q34" i="81" s="1"/>
  <c r="F258" i="81"/>
  <c r="AD334" i="81"/>
  <c r="H312" i="81"/>
  <c r="F269" i="81"/>
  <c r="U211" i="81"/>
  <c r="R228" i="81"/>
  <c r="AD273" i="81"/>
  <c r="O276" i="81"/>
  <c r="I339" i="81"/>
  <c r="E177" i="81"/>
  <c r="D122" i="81"/>
  <c r="D63" i="81" s="1"/>
  <c r="AC272" i="81"/>
  <c r="AB327" i="81"/>
  <c r="I170" i="81"/>
  <c r="AF291" i="81"/>
  <c r="Y125" i="81"/>
  <c r="Y66" i="81" s="1"/>
  <c r="J150" i="81"/>
  <c r="AF228" i="81"/>
  <c r="Y272" i="81"/>
  <c r="X277" i="81"/>
  <c r="X9" i="97"/>
  <c r="D17" i="97"/>
  <c r="U25" i="97"/>
  <c r="G34" i="97"/>
  <c r="P44" i="97"/>
  <c r="J62" i="97"/>
  <c r="Q79" i="97"/>
  <c r="T119" i="97"/>
  <c r="H11" i="97"/>
  <c r="I18" i="97"/>
  <c r="E27" i="97"/>
  <c r="G36" i="97"/>
  <c r="C46" i="97"/>
  <c r="O62" i="97"/>
  <c r="J85" i="97"/>
  <c r="D123" i="97"/>
  <c r="P12" i="97"/>
  <c r="X19" i="97"/>
  <c r="S28" i="97"/>
  <c r="S37" i="97"/>
  <c r="Z47" i="97"/>
  <c r="K66" i="97"/>
  <c r="Z90" i="97"/>
  <c r="H139" i="97"/>
  <c r="E14" i="97"/>
  <c r="L22" i="97"/>
  <c r="E32" i="97"/>
  <c r="C41" i="97"/>
  <c r="W53" i="97"/>
  <c r="K73" i="97"/>
  <c r="H100" i="97"/>
  <c r="L153" i="97"/>
  <c r="M15" i="97"/>
  <c r="P22" i="97"/>
  <c r="L32" i="97"/>
  <c r="O42" i="97"/>
  <c r="N56" i="97"/>
  <c r="G76" i="97"/>
  <c r="T106" i="97"/>
  <c r="N163" i="97"/>
  <c r="L8" i="97"/>
  <c r="T16" i="97"/>
  <c r="T23" i="97"/>
  <c r="S32" i="97"/>
  <c r="E43" i="97"/>
  <c r="Q56" i="97"/>
  <c r="H76" i="97"/>
  <c r="M111" i="97"/>
  <c r="Y164" i="97"/>
  <c r="T8" i="97"/>
  <c r="W16" i="97"/>
  <c r="G25" i="97"/>
  <c r="F34" i="97"/>
  <c r="O44" i="97"/>
  <c r="S59" i="97"/>
  <c r="G79" i="97"/>
  <c r="X111" i="97"/>
  <c r="V191" i="97"/>
  <c r="O141" i="96"/>
  <c r="T294" i="97"/>
  <c r="U402" i="81"/>
  <c r="U330" i="28"/>
  <c r="U217" i="39"/>
  <c r="U357" i="97"/>
  <c r="U424" i="81"/>
  <c r="O137" i="96"/>
  <c r="U207" i="39"/>
  <c r="T198" i="39"/>
  <c r="U329" i="97"/>
  <c r="T187" i="39"/>
  <c r="U237" i="39"/>
  <c r="E70" i="92"/>
  <c r="T307" i="97"/>
  <c r="U356" i="97"/>
  <c r="O135" i="96"/>
  <c r="U236" i="39"/>
  <c r="E105" i="92"/>
  <c r="U408" i="81"/>
  <c r="O162" i="96"/>
  <c r="U362" i="97"/>
  <c r="O174" i="96"/>
  <c r="E97" i="1"/>
  <c r="T287" i="28"/>
  <c r="U205" i="39"/>
  <c r="O186" i="5"/>
  <c r="E49" i="92"/>
  <c r="E65" i="92"/>
  <c r="O145" i="96"/>
  <c r="U349" i="97"/>
  <c r="E101" i="92"/>
  <c r="E99" i="1"/>
  <c r="Q145" i="14"/>
  <c r="E55" i="1"/>
  <c r="M139" i="9"/>
  <c r="O181" i="96"/>
  <c r="O190" i="96"/>
  <c r="T284" i="28"/>
  <c r="T296" i="97"/>
  <c r="U307" i="28"/>
  <c r="R155" i="67"/>
  <c r="U229" i="39"/>
  <c r="E68" i="1"/>
  <c r="E88" i="92"/>
  <c r="R154" i="67"/>
  <c r="U327" i="28"/>
  <c r="U337" i="28"/>
  <c r="U433" i="81"/>
  <c r="E102" i="92"/>
  <c r="O189" i="96"/>
  <c r="U344" i="97"/>
  <c r="E86" i="92"/>
  <c r="U320" i="28"/>
  <c r="U358" i="97"/>
  <c r="E85" i="1"/>
  <c r="T193" i="39"/>
  <c r="U331" i="97"/>
  <c r="U215" i="39"/>
  <c r="M142" i="99"/>
  <c r="T391" i="81"/>
  <c r="U220" i="39"/>
  <c r="O164" i="96"/>
  <c r="E98" i="1"/>
  <c r="U427" i="81"/>
  <c r="M144" i="99"/>
  <c r="U339" i="97"/>
  <c r="U303" i="28"/>
  <c r="U354" i="97"/>
  <c r="T304" i="97"/>
  <c r="U239" i="39"/>
  <c r="U406" i="81"/>
  <c r="M140" i="99"/>
  <c r="T394" i="81"/>
  <c r="E111" i="1"/>
  <c r="T380" i="81"/>
  <c r="E61" i="92"/>
  <c r="E55" i="92"/>
  <c r="E105" i="1"/>
  <c r="T184" i="39"/>
  <c r="E118" i="1"/>
  <c r="N180" i="5"/>
  <c r="E80" i="92"/>
  <c r="E71" i="1"/>
  <c r="I98" i="5"/>
  <c r="I99" i="91" s="1"/>
  <c r="O67" i="5"/>
  <c r="O68" i="91" s="1"/>
  <c r="M134" i="5"/>
  <c r="M135" i="91" s="1"/>
  <c r="E142" i="5"/>
  <c r="E143" i="91" s="1"/>
  <c r="N143" i="5"/>
  <c r="N144" i="91" s="1"/>
  <c r="O138" i="5"/>
  <c r="O139" i="91" s="1"/>
  <c r="L127" i="5"/>
  <c r="L128" i="91" s="1"/>
  <c r="I67" i="5"/>
  <c r="I68" i="91" s="1"/>
  <c r="L129" i="5"/>
  <c r="L130" i="91" s="1"/>
  <c r="K135" i="5"/>
  <c r="K136" i="91" s="1"/>
  <c r="N42" i="5"/>
  <c r="N17" i="5" s="1"/>
  <c r="F48" i="5"/>
  <c r="O148" i="5"/>
  <c r="O149" i="91" s="1"/>
  <c r="H114" i="5"/>
  <c r="H115" i="91" s="1"/>
  <c r="K61" i="5"/>
  <c r="K62" i="91" s="1"/>
  <c r="M43" i="5"/>
  <c r="M44" i="91" s="1"/>
  <c r="M19" i="91" s="1"/>
  <c r="I117" i="5"/>
  <c r="I118" i="91" s="1"/>
  <c r="D66" i="5"/>
  <c r="D67" i="91" s="1"/>
  <c r="F155" i="5"/>
  <c r="F156" i="91" s="1"/>
  <c r="O111" i="5"/>
  <c r="O112" i="91" s="1"/>
  <c r="C51" i="5"/>
  <c r="C52" i="91" s="1"/>
  <c r="C27" i="91" s="1"/>
  <c r="E77" i="5"/>
  <c r="E78" i="91" s="1"/>
  <c r="I105" i="5"/>
  <c r="I106" i="91" s="1"/>
  <c r="E105" i="5"/>
  <c r="E106" i="91" s="1"/>
  <c r="O120" i="5"/>
  <c r="O121" i="91" s="1"/>
  <c r="G75" i="5"/>
  <c r="G76" i="91" s="1"/>
  <c r="M67" i="5"/>
  <c r="M68" i="91" s="1"/>
  <c r="G170" i="5"/>
  <c r="K95" i="5"/>
  <c r="K96" i="91" s="1"/>
  <c r="K48" i="5"/>
  <c r="K23" i="5" s="1"/>
  <c r="O53" i="5"/>
  <c r="O28" i="5" s="1"/>
  <c r="J34" i="5"/>
  <c r="I112" i="5"/>
  <c r="I113" i="91" s="1"/>
  <c r="L143" i="5"/>
  <c r="L144" i="91" s="1"/>
  <c r="C153" i="5"/>
  <c r="C154" i="91" s="1"/>
  <c r="O142" i="5"/>
  <c r="O143" i="91" s="1"/>
  <c r="F88" i="5"/>
  <c r="F89" i="91" s="1"/>
  <c r="C149" i="5"/>
  <c r="C150" i="91" s="1"/>
  <c r="F116" i="5"/>
  <c r="F117" i="91" s="1"/>
  <c r="N69" i="5"/>
  <c r="N70" i="91" s="1"/>
  <c r="N148" i="5"/>
  <c r="N149" i="91" s="1"/>
  <c r="F43" i="5"/>
  <c r="F18" i="5" s="1"/>
  <c r="E62" i="5"/>
  <c r="E63" i="91" s="1"/>
  <c r="O99" i="5"/>
  <c r="O100" i="91" s="1"/>
  <c r="G115" i="5"/>
  <c r="G116" i="91" s="1"/>
  <c r="H45" i="5"/>
  <c r="H20" i="5" s="1"/>
  <c r="D42" i="5"/>
  <c r="D17" i="5" s="1"/>
  <c r="G110" i="5"/>
  <c r="G111" i="91" s="1"/>
  <c r="C154" i="5"/>
  <c r="C155" i="91" s="1"/>
  <c r="J76" i="5"/>
  <c r="J77" i="91" s="1"/>
  <c r="I37" i="5"/>
  <c r="I12" i="5" s="1"/>
  <c r="C95" i="5"/>
  <c r="C96" i="91" s="1"/>
  <c r="J86" i="5"/>
  <c r="J87" i="91" s="1"/>
  <c r="K77" i="5"/>
  <c r="K78" i="91" s="1"/>
  <c r="F139" i="5"/>
  <c r="F140" i="91" s="1"/>
  <c r="M71" i="5"/>
  <c r="M72" i="91" s="1"/>
  <c r="G43" i="5"/>
  <c r="G18" i="5" s="1"/>
  <c r="D49" i="5"/>
  <c r="D50" i="91" s="1"/>
  <c r="D25" i="91" s="1"/>
  <c r="O146" i="5"/>
  <c r="O147" i="91" s="1"/>
  <c r="F146" i="5"/>
  <c r="F147" i="91" s="1"/>
  <c r="K152" i="5"/>
  <c r="K153" i="91" s="1"/>
  <c r="H120" i="5"/>
  <c r="H121" i="91" s="1"/>
  <c r="D75" i="5"/>
  <c r="D76" i="91" s="1"/>
  <c r="C68" i="5"/>
  <c r="C69" i="91" s="1"/>
  <c r="H145" i="5"/>
  <c r="H146" i="91" s="1"/>
  <c r="N41" i="5"/>
  <c r="N42" i="91" s="1"/>
  <c r="N17" i="91" s="1"/>
  <c r="C47" i="5"/>
  <c r="C48" i="91" s="1"/>
  <c r="C23" i="91" s="1"/>
  <c r="E95" i="5"/>
  <c r="E96" i="91" s="1"/>
  <c r="F74" i="5"/>
  <c r="F75" i="91" s="1"/>
  <c r="C117" i="5"/>
  <c r="C118" i="91" s="1"/>
  <c r="L38" i="5"/>
  <c r="F89" i="5"/>
  <c r="F90" i="91" s="1"/>
  <c r="I116" i="5"/>
  <c r="I117" i="91" s="1"/>
  <c r="P65" i="5"/>
  <c r="P66" i="91" s="1"/>
  <c r="C94" i="5"/>
  <c r="C95" i="91" s="1"/>
  <c r="J137" i="5"/>
  <c r="J138" i="91" s="1"/>
  <c r="O92" i="5"/>
  <c r="O93" i="91" s="1"/>
  <c r="C72" i="5"/>
  <c r="C73" i="91" s="1"/>
  <c r="N139" i="5"/>
  <c r="N140" i="91" s="1"/>
  <c r="C103" i="5"/>
  <c r="C104" i="91" s="1"/>
  <c r="O114" i="5"/>
  <c r="O115" i="91" s="1"/>
  <c r="K86" i="5"/>
  <c r="K87" i="91" s="1"/>
  <c r="P142" i="5"/>
  <c r="P143" i="91" s="1"/>
  <c r="I103" i="5"/>
  <c r="I104" i="91" s="1"/>
  <c r="J142" i="5"/>
  <c r="J143" i="91" s="1"/>
  <c r="F53" i="5"/>
  <c r="F54" i="91" s="1"/>
  <c r="F29" i="91" s="1"/>
  <c r="H36" i="5"/>
  <c r="H37" i="91" s="1"/>
  <c r="H12" i="91" s="1"/>
  <c r="D50" i="5"/>
  <c r="D51" i="91" s="1"/>
  <c r="D26" i="91" s="1"/>
  <c r="H48" i="5"/>
  <c r="H49" i="91" s="1"/>
  <c r="H24" i="91" s="1"/>
  <c r="K36" i="5"/>
  <c r="K11" i="5" s="1"/>
  <c r="O55" i="5"/>
  <c r="O30" i="5" s="1"/>
  <c r="M150" i="5"/>
  <c r="M151" i="91" s="1"/>
  <c r="O75" i="5"/>
  <c r="O76" i="91" s="1"/>
  <c r="I138" i="5"/>
  <c r="I139" i="91" s="1"/>
  <c r="N126" i="5"/>
  <c r="N127" i="91" s="1"/>
  <c r="D119" i="5"/>
  <c r="D120" i="91" s="1"/>
  <c r="H119" i="5"/>
  <c r="H120" i="91" s="1"/>
  <c r="J36" i="5"/>
  <c r="P38" i="5"/>
  <c r="P39" i="91" s="1"/>
  <c r="P14" i="91" s="1"/>
  <c r="K140" i="5"/>
  <c r="K141" i="91" s="1"/>
  <c r="H134" i="5"/>
  <c r="H135" i="91" s="1"/>
  <c r="N90" i="5"/>
  <c r="N91" i="91" s="1"/>
  <c r="J79" i="5"/>
  <c r="J80" i="91" s="1"/>
  <c r="O87" i="5"/>
  <c r="O88" i="91" s="1"/>
  <c r="F70" i="5"/>
  <c r="F71" i="91" s="1"/>
  <c r="H165" i="5"/>
  <c r="E110" i="5"/>
  <c r="E111" i="91" s="1"/>
  <c r="N75" i="5"/>
  <c r="N76" i="91" s="1"/>
  <c r="E123" i="5"/>
  <c r="E124" i="91" s="1"/>
  <c r="H118" i="5"/>
  <c r="H119" i="91" s="1"/>
  <c r="H140" i="5"/>
  <c r="H141" i="91" s="1"/>
  <c r="K124" i="5"/>
  <c r="K125" i="91" s="1"/>
  <c r="F124" i="5"/>
  <c r="F125" i="91" s="1"/>
  <c r="J105" i="5"/>
  <c r="J106" i="91" s="1"/>
  <c r="I94" i="5"/>
  <c r="I95" i="91" s="1"/>
  <c r="F41" i="5"/>
  <c r="N146" i="5"/>
  <c r="N147" i="91" s="1"/>
  <c r="K63" i="5"/>
  <c r="K64" i="91" s="1"/>
  <c r="I109" i="5"/>
  <c r="I110" i="91" s="1"/>
  <c r="D59" i="5"/>
  <c r="D60" i="91" s="1"/>
  <c r="L51" i="5"/>
  <c r="I84" i="5"/>
  <c r="I85" i="91" s="1"/>
  <c r="F128" i="5"/>
  <c r="F129" i="91" s="1"/>
  <c r="O151" i="5"/>
  <c r="O152" i="91" s="1"/>
  <c r="L88" i="5"/>
  <c r="L89" i="91" s="1"/>
  <c r="N155" i="5"/>
  <c r="N156" i="91" s="1"/>
  <c r="H44" i="5"/>
  <c r="H45" i="91" s="1"/>
  <c r="H20" i="91" s="1"/>
  <c r="P141" i="5"/>
  <c r="P142" i="91" s="1"/>
  <c r="O118" i="5"/>
  <c r="O119" i="91" s="1"/>
  <c r="J50" i="5"/>
  <c r="J51" i="91" s="1"/>
  <c r="J26" i="91" s="1"/>
  <c r="D130" i="5"/>
  <c r="D131" i="91" s="1"/>
  <c r="P139" i="5"/>
  <c r="P140" i="91" s="1"/>
  <c r="I69" i="5"/>
  <c r="I70" i="91" s="1"/>
  <c r="C147" i="5"/>
  <c r="C148" i="91" s="1"/>
  <c r="P71" i="5"/>
  <c r="P72" i="91" s="1"/>
  <c r="G47" i="5"/>
  <c r="G22" i="5" s="1"/>
  <c r="D78" i="5"/>
  <c r="D79" i="91" s="1"/>
  <c r="G59" i="5"/>
  <c r="G60" i="91" s="1"/>
  <c r="E124" i="5"/>
  <c r="E125" i="91" s="1"/>
  <c r="I44" i="5"/>
  <c r="I45" i="91" s="1"/>
  <c r="I20" i="91" s="1"/>
  <c r="N119" i="5"/>
  <c r="N120" i="91" s="1"/>
  <c r="C42" i="5"/>
  <c r="C17" i="5" s="1"/>
  <c r="L60" i="5"/>
  <c r="L61" i="91" s="1"/>
  <c r="N43" i="5"/>
  <c r="N18" i="5" s="1"/>
  <c r="O43" i="5"/>
  <c r="O44" i="91" s="1"/>
  <c r="O19" i="91" s="1"/>
  <c r="I40" i="5"/>
  <c r="I15" i="5" s="1"/>
  <c r="L111" i="5"/>
  <c r="L112" i="91" s="1"/>
  <c r="L87" i="5"/>
  <c r="L88" i="91" s="1"/>
  <c r="H42" i="5"/>
  <c r="H17" i="5" s="1"/>
  <c r="I49" i="5"/>
  <c r="C78" i="5"/>
  <c r="C79" i="91" s="1"/>
  <c r="K49" i="5"/>
  <c r="I139" i="5"/>
  <c r="I140" i="91" s="1"/>
  <c r="L52" i="5"/>
  <c r="L53" i="91" s="1"/>
  <c r="L28" i="91" s="1"/>
  <c r="K55" i="5"/>
  <c r="K30" i="5" s="1"/>
  <c r="C98" i="5"/>
  <c r="C99" i="91" s="1"/>
  <c r="N115" i="5"/>
  <c r="N116" i="91" s="1"/>
  <c r="C138" i="5"/>
  <c r="C139" i="91" s="1"/>
  <c r="K79" i="5"/>
  <c r="K80" i="91" s="1"/>
  <c r="I48" i="5"/>
  <c r="I23" i="5" s="1"/>
  <c r="M48" i="5"/>
  <c r="M23" i="5" s="1"/>
  <c r="C36" i="5"/>
  <c r="C11" i="5" s="1"/>
  <c r="K129" i="5"/>
  <c r="K130" i="91" s="1"/>
  <c r="O105" i="5"/>
  <c r="O106" i="91" s="1"/>
  <c r="F98" i="5"/>
  <c r="F99" i="91" s="1"/>
  <c r="G124" i="5"/>
  <c r="G125" i="91" s="1"/>
  <c r="M92" i="5"/>
  <c r="M93" i="91" s="1"/>
  <c r="J75" i="5"/>
  <c r="J76" i="91" s="1"/>
  <c r="J60" i="5"/>
  <c r="J61" i="91" s="1"/>
  <c r="J87" i="5"/>
  <c r="J88" i="91" s="1"/>
  <c r="O46" i="5"/>
  <c r="O21" i="5" s="1"/>
  <c r="E40" i="5"/>
  <c r="E41" i="91" s="1"/>
  <c r="E16" i="91" s="1"/>
  <c r="L89" i="5"/>
  <c r="L90" i="91" s="1"/>
  <c r="L134" i="5"/>
  <c r="L135" i="91" s="1"/>
  <c r="L101" i="5"/>
  <c r="L102" i="91" s="1"/>
  <c r="D76" i="5"/>
  <c r="D77" i="91" s="1"/>
  <c r="J155" i="5"/>
  <c r="J156" i="91" s="1"/>
  <c r="E104" i="5"/>
  <c r="E105" i="91" s="1"/>
  <c r="I142" i="5"/>
  <c r="I143" i="91" s="1"/>
  <c r="J64" i="5"/>
  <c r="J65" i="91" s="1"/>
  <c r="H97" i="5"/>
  <c r="H98" i="91" s="1"/>
  <c r="J42" i="5"/>
  <c r="K60" i="5"/>
  <c r="K61" i="91" s="1"/>
  <c r="C127" i="5"/>
  <c r="C128" i="91" s="1"/>
  <c r="I135" i="5"/>
  <c r="I136" i="91" s="1"/>
  <c r="C128" i="5"/>
  <c r="C129" i="91" s="1"/>
  <c r="H150" i="5"/>
  <c r="H151" i="91" s="1"/>
  <c r="N142" i="5"/>
  <c r="N143" i="91" s="1"/>
  <c r="N59" i="5"/>
  <c r="N60" i="91" s="1"/>
  <c r="P99" i="5"/>
  <c r="P100" i="91" s="1"/>
  <c r="D102" i="5"/>
  <c r="D103" i="91" s="1"/>
  <c r="G96" i="5"/>
  <c r="G97" i="91" s="1"/>
  <c r="N51" i="5"/>
  <c r="N26" i="5" s="1"/>
  <c r="F136" i="5"/>
  <c r="F137" i="91" s="1"/>
  <c r="H69" i="5"/>
  <c r="H70" i="91" s="1"/>
  <c r="P34" i="5"/>
  <c r="P9" i="5" s="1"/>
  <c r="D137" i="5"/>
  <c r="D138" i="91" s="1"/>
  <c r="D98" i="5"/>
  <c r="D99" i="91" s="1"/>
  <c r="L139" i="5"/>
  <c r="L140" i="91" s="1"/>
  <c r="D129" i="5"/>
  <c r="D130" i="91" s="1"/>
  <c r="O73" i="5"/>
  <c r="O74" i="91" s="1"/>
  <c r="N44" i="5"/>
  <c r="N19" i="5" s="1"/>
  <c r="H87" i="5"/>
  <c r="H88" i="91" s="1"/>
  <c r="H79" i="5"/>
  <c r="H80" i="91" s="1"/>
  <c r="N54" i="5"/>
  <c r="F113" i="5"/>
  <c r="F114" i="91" s="1"/>
  <c r="D111" i="5"/>
  <c r="D112" i="91" s="1"/>
  <c r="M47" i="5"/>
  <c r="M22" i="5" s="1"/>
  <c r="H110" i="5"/>
  <c r="H111" i="91" s="1"/>
  <c r="J129" i="5"/>
  <c r="J130" i="91" s="1"/>
  <c r="J45" i="5"/>
  <c r="J46" i="91" s="1"/>
  <c r="J21" i="91" s="1"/>
  <c r="E154" i="5"/>
  <c r="E155" i="91" s="1"/>
  <c r="G101" i="5"/>
  <c r="G102" i="91" s="1"/>
  <c r="E101" i="5"/>
  <c r="E102" i="91" s="1"/>
  <c r="N134" i="5"/>
  <c r="N135" i="91" s="1"/>
  <c r="F134" i="5"/>
  <c r="F135" i="91" s="1"/>
  <c r="N113" i="5"/>
  <c r="N114" i="91" s="1"/>
  <c r="M89" i="5"/>
  <c r="M90" i="91" s="1"/>
  <c r="P149" i="5"/>
  <c r="P150" i="91" s="1"/>
  <c r="D121" i="5"/>
  <c r="D122" i="91" s="1"/>
  <c r="P97" i="5"/>
  <c r="P98" i="91" s="1"/>
  <c r="E78" i="5"/>
  <c r="E79" i="91" s="1"/>
  <c r="M87" i="5"/>
  <c r="M88" i="91" s="1"/>
  <c r="F144" i="5"/>
  <c r="F145" i="91" s="1"/>
  <c r="E100" i="5"/>
  <c r="E101" i="91" s="1"/>
  <c r="J113" i="5"/>
  <c r="J114" i="91" s="1"/>
  <c r="D109" i="5"/>
  <c r="D110" i="91" s="1"/>
  <c r="F145" i="5"/>
  <c r="F146" i="91" s="1"/>
  <c r="L53" i="5"/>
  <c r="L54" i="91" s="1"/>
  <c r="L29" i="91" s="1"/>
  <c r="H77" i="5"/>
  <c r="H78" i="91" s="1"/>
  <c r="P74" i="5"/>
  <c r="P75" i="91" s="1"/>
  <c r="I100" i="5"/>
  <c r="I101" i="91" s="1"/>
  <c r="K70" i="5"/>
  <c r="K71" i="91" s="1"/>
  <c r="N55" i="5"/>
  <c r="C87" i="5"/>
  <c r="C88" i="91" s="1"/>
  <c r="N64" i="5"/>
  <c r="N65" i="91" s="1"/>
  <c r="H73" i="5"/>
  <c r="H74" i="91" s="1"/>
  <c r="M55" i="5"/>
  <c r="M30" i="5" s="1"/>
  <c r="C123" i="5"/>
  <c r="C124" i="91" s="1"/>
  <c r="D70" i="5"/>
  <c r="D71" i="91" s="1"/>
  <c r="I149" i="5"/>
  <c r="I150" i="91" s="1"/>
  <c r="I166" i="5"/>
  <c r="K123" i="5"/>
  <c r="K124" i="91" s="1"/>
  <c r="D86" i="5"/>
  <c r="D87" i="91" s="1"/>
  <c r="H37" i="5"/>
  <c r="O135" i="5"/>
  <c r="O136" i="91" s="1"/>
  <c r="F126" i="5"/>
  <c r="F127" i="91" s="1"/>
  <c r="N124" i="5"/>
  <c r="N125" i="91" s="1"/>
  <c r="L80" i="5"/>
  <c r="L81" i="91" s="1"/>
  <c r="K71" i="5"/>
  <c r="K72" i="91" s="1"/>
  <c r="J149" i="5"/>
  <c r="J150" i="91" s="1"/>
  <c r="M77" i="5"/>
  <c r="M78" i="91" s="1"/>
  <c r="N135" i="5"/>
  <c r="N136" i="91" s="1"/>
  <c r="F122" i="5"/>
  <c r="F123" i="91" s="1"/>
  <c r="G89" i="5"/>
  <c r="G90" i="91" s="1"/>
  <c r="O97" i="5"/>
  <c r="O98" i="91" s="1"/>
  <c r="O42" i="5"/>
  <c r="O43" i="91" s="1"/>
  <c r="O18" i="91" s="1"/>
  <c r="M84" i="5"/>
  <c r="M85" i="91" s="1"/>
  <c r="C37" i="5"/>
  <c r="C38" i="91" s="1"/>
  <c r="C13" i="91" s="1"/>
  <c r="F46" i="5"/>
  <c r="F47" i="91" s="1"/>
  <c r="F22" i="91" s="1"/>
  <c r="F36" i="5"/>
  <c r="F11" i="5" s="1"/>
  <c r="G84" i="5"/>
  <c r="G85" i="91" s="1"/>
  <c r="F86" i="5"/>
  <c r="F87" i="91" s="1"/>
  <c r="F92" i="5"/>
  <c r="F93" i="91" s="1"/>
  <c r="I130" i="5"/>
  <c r="I131" i="91" s="1"/>
  <c r="H54" i="5"/>
  <c r="H55" i="91" s="1"/>
  <c r="H30" i="91" s="1"/>
  <c r="L97" i="5"/>
  <c r="L98" i="91" s="1"/>
  <c r="F99" i="5"/>
  <c r="F100" i="91" s="1"/>
  <c r="L110" i="5"/>
  <c r="L111" i="91" s="1"/>
  <c r="K66" i="5"/>
  <c r="K67" i="91" s="1"/>
  <c r="N101" i="5"/>
  <c r="N102" i="91" s="1"/>
  <c r="K96" i="5"/>
  <c r="K97" i="91" s="1"/>
  <c r="L39" i="5"/>
  <c r="L14" i="5" s="1"/>
  <c r="E52" i="5"/>
  <c r="E27" i="5" s="1"/>
  <c r="F39" i="5"/>
  <c r="J46" i="5"/>
  <c r="J21" i="5" s="1"/>
  <c r="D79" i="5"/>
  <c r="D80" i="91" s="1"/>
  <c r="H61" i="5"/>
  <c r="H62" i="91" s="1"/>
  <c r="G136" i="5"/>
  <c r="G137" i="91" s="1"/>
  <c r="J85" i="5"/>
  <c r="J86" i="91" s="1"/>
  <c r="F64" i="5"/>
  <c r="F65" i="91" s="1"/>
  <c r="G112" i="5"/>
  <c r="G113" i="91" s="1"/>
  <c r="H85" i="5"/>
  <c r="H86" i="91" s="1"/>
  <c r="G70" i="5"/>
  <c r="G71" i="91" s="1"/>
  <c r="G68" i="5"/>
  <c r="G69" i="91" s="1"/>
  <c r="I74" i="5"/>
  <c r="I75" i="91" s="1"/>
  <c r="M113" i="5"/>
  <c r="M114" i="91" s="1"/>
  <c r="E96" i="5"/>
  <c r="E97" i="91" s="1"/>
  <c r="M93" i="5"/>
  <c r="M94" i="91" s="1"/>
  <c r="E65" i="5"/>
  <c r="E66" i="91" s="1"/>
  <c r="D97" i="5"/>
  <c r="D98" i="91" s="1"/>
  <c r="C77" i="5"/>
  <c r="C78" i="91" s="1"/>
  <c r="M75" i="5"/>
  <c r="M76" i="91" s="1"/>
  <c r="P144" i="5"/>
  <c r="P145" i="91" s="1"/>
  <c r="N67" i="5"/>
  <c r="N68" i="91" s="1"/>
  <c r="J130" i="5"/>
  <c r="J131" i="91" s="1"/>
  <c r="I41" i="5"/>
  <c r="I16" i="5" s="1"/>
  <c r="N105" i="5"/>
  <c r="N106" i="91" s="1"/>
  <c r="F123" i="5"/>
  <c r="F124" i="91" s="1"/>
  <c r="H155" i="5"/>
  <c r="H156" i="91" s="1"/>
  <c r="N38" i="5"/>
  <c r="N13" i="5" s="1"/>
  <c r="D128" i="5"/>
  <c r="D129" i="91" s="1"/>
  <c r="E60" i="5"/>
  <c r="E61" i="91" s="1"/>
  <c r="M101" i="5"/>
  <c r="M102" i="91" s="1"/>
  <c r="L135" i="5"/>
  <c r="L136" i="91" s="1"/>
  <c r="L148" i="5"/>
  <c r="L149" i="91" s="1"/>
  <c r="P75" i="5"/>
  <c r="P76" i="91" s="1"/>
  <c r="I92" i="5"/>
  <c r="I93" i="91" s="1"/>
  <c r="I87" i="5"/>
  <c r="I88" i="91" s="1"/>
  <c r="C69" i="5"/>
  <c r="C70" i="91" s="1"/>
  <c r="M114" i="5"/>
  <c r="M115" i="91" s="1"/>
  <c r="D124" i="5"/>
  <c r="D125" i="91" s="1"/>
  <c r="H80" i="5"/>
  <c r="H81" i="91" s="1"/>
  <c r="H146" i="5"/>
  <c r="H147" i="91" s="1"/>
  <c r="J126" i="5"/>
  <c r="J127" i="91" s="1"/>
  <c r="D114" i="5"/>
  <c r="D115" i="91" s="1"/>
  <c r="H43" i="5"/>
  <c r="H18" i="5" s="1"/>
  <c r="O50" i="5"/>
  <c r="O51" i="91" s="1"/>
  <c r="O26" i="91" s="1"/>
  <c r="C86" i="5"/>
  <c r="C87" i="91" s="1"/>
  <c r="L119" i="5"/>
  <c r="L120" i="91" s="1"/>
  <c r="N112" i="5"/>
  <c r="N113" i="91" s="1"/>
  <c r="E90" i="5"/>
  <c r="E91" i="91" s="1"/>
  <c r="G123" i="5"/>
  <c r="G124" i="91" s="1"/>
  <c r="E73" i="5"/>
  <c r="E74" i="91" s="1"/>
  <c r="P52" i="5"/>
  <c r="M126" i="5"/>
  <c r="M127" i="91" s="1"/>
  <c r="K154" i="5"/>
  <c r="K155" i="91" s="1"/>
  <c r="L35" i="5"/>
  <c r="L10" i="5" s="1"/>
  <c r="D77" i="5"/>
  <c r="D78" i="91" s="1"/>
  <c r="C60" i="5"/>
  <c r="C61" i="91" s="1"/>
  <c r="L34" i="5"/>
  <c r="L35" i="91" s="1"/>
  <c r="L10" i="91" s="1"/>
  <c r="F138" i="5"/>
  <c r="F139" i="91" s="1"/>
  <c r="C144" i="5"/>
  <c r="C145" i="91" s="1"/>
  <c r="C85" i="5"/>
  <c r="C86" i="91" s="1"/>
  <c r="N61" i="5"/>
  <c r="N62" i="91" s="1"/>
  <c r="H94" i="5"/>
  <c r="H95" i="91" s="1"/>
  <c r="N118" i="5"/>
  <c r="N119" i="91" s="1"/>
  <c r="F78" i="5"/>
  <c r="F79" i="91" s="1"/>
  <c r="I145" i="5"/>
  <c r="I146" i="91" s="1"/>
  <c r="J101" i="5"/>
  <c r="J102" i="91" s="1"/>
  <c r="O34" i="5"/>
  <c r="E138" i="5"/>
  <c r="E139" i="91" s="1"/>
  <c r="F104" i="5"/>
  <c r="F105" i="91" s="1"/>
  <c r="L112" i="5"/>
  <c r="L113" i="91" s="1"/>
  <c r="C146" i="5"/>
  <c r="C147" i="91" s="1"/>
  <c r="O144" i="5"/>
  <c r="O145" i="91" s="1"/>
  <c r="P111" i="5"/>
  <c r="P112" i="91" s="1"/>
  <c r="E103" i="5"/>
  <c r="E104" i="91" s="1"/>
  <c r="G69" i="5"/>
  <c r="G70" i="91" s="1"/>
  <c r="D100" i="5"/>
  <c r="D101" i="91" s="1"/>
  <c r="L59" i="5"/>
  <c r="L60" i="91" s="1"/>
  <c r="G64" i="5"/>
  <c r="G65" i="91" s="1"/>
  <c r="D39" i="5"/>
  <c r="D14" i="5" s="1"/>
  <c r="J118" i="5"/>
  <c r="J119" i="91" s="1"/>
  <c r="F66" i="5"/>
  <c r="F67" i="91" s="1"/>
  <c r="L153" i="5"/>
  <c r="L154" i="91" s="1"/>
  <c r="C43" i="5"/>
  <c r="L91" i="5"/>
  <c r="L92" i="91" s="1"/>
  <c r="N94" i="5"/>
  <c r="N95" i="91" s="1"/>
  <c r="K65" i="5"/>
  <c r="K66" i="91" s="1"/>
  <c r="M91" i="5"/>
  <c r="M92" i="91" s="1"/>
  <c r="N98" i="5"/>
  <c r="N99" i="91" s="1"/>
  <c r="L49" i="5"/>
  <c r="L50" i="91" s="1"/>
  <c r="L25" i="91" s="1"/>
  <c r="O68" i="5"/>
  <c r="O69" i="91" s="1"/>
  <c r="J72" i="5"/>
  <c r="J73" i="91" s="1"/>
  <c r="D99" i="5"/>
  <c r="D100" i="91" s="1"/>
  <c r="N65" i="5"/>
  <c r="N66" i="91" s="1"/>
  <c r="J96" i="5"/>
  <c r="J97" i="91" s="1"/>
  <c r="O38" i="5"/>
  <c r="P68" i="5"/>
  <c r="P69" i="91" s="1"/>
  <c r="F45" i="5"/>
  <c r="F46" i="91" s="1"/>
  <c r="F21" i="91" s="1"/>
  <c r="C41" i="5"/>
  <c r="C42" i="91" s="1"/>
  <c r="C17" i="91" s="1"/>
  <c r="D45" i="5"/>
  <c r="D46" i="91" s="1"/>
  <c r="D21" i="91" s="1"/>
  <c r="I90" i="5"/>
  <c r="I91" i="91" s="1"/>
  <c r="L113" i="5"/>
  <c r="L114" i="91" s="1"/>
  <c r="O150" i="5"/>
  <c r="O151" i="91" s="1"/>
  <c r="M152" i="5"/>
  <c r="M153" i="91" s="1"/>
  <c r="D47" i="5"/>
  <c r="D48" i="91" s="1"/>
  <c r="D23" i="91" s="1"/>
  <c r="I155" i="5"/>
  <c r="I156" i="91" s="1"/>
  <c r="O119" i="5"/>
  <c r="O120" i="91" s="1"/>
  <c r="M155" i="5"/>
  <c r="M156" i="91" s="1"/>
  <c r="G38" i="5"/>
  <c r="G13" i="5" s="1"/>
  <c r="H40" i="5"/>
  <c r="H15" i="5" s="1"/>
  <c r="P100" i="5"/>
  <c r="P101" i="91" s="1"/>
  <c r="I104" i="5"/>
  <c r="I105" i="91" s="1"/>
  <c r="L102" i="5"/>
  <c r="L103" i="91" s="1"/>
  <c r="I114" i="5"/>
  <c r="I115" i="91" s="1"/>
  <c r="P96" i="5"/>
  <c r="P97" i="91" s="1"/>
  <c r="K92" i="5"/>
  <c r="K93" i="91" s="1"/>
  <c r="P35" i="5"/>
  <c r="P10" i="5" s="1"/>
  <c r="M78" i="5"/>
  <c r="M79" i="91" s="1"/>
  <c r="C135" i="5"/>
  <c r="C136" i="91" s="1"/>
  <c r="H72" i="5"/>
  <c r="H73" i="91" s="1"/>
  <c r="N150" i="5"/>
  <c r="N151" i="91" s="1"/>
  <c r="C136" i="5"/>
  <c r="C137" i="91" s="1"/>
  <c r="N91" i="5"/>
  <c r="N92" i="91" s="1"/>
  <c r="M137" i="5"/>
  <c r="M138" i="91" s="1"/>
  <c r="H141" i="5"/>
  <c r="H142" i="91" s="1"/>
  <c r="D122" i="5"/>
  <c r="D123" i="91" s="1"/>
  <c r="E91" i="5"/>
  <c r="E92" i="91" s="1"/>
  <c r="G90" i="5"/>
  <c r="G91" i="91" s="1"/>
  <c r="O54" i="5"/>
  <c r="O55" i="91" s="1"/>
  <c r="O30" i="91" s="1"/>
  <c r="C80" i="5"/>
  <c r="C81" i="91" s="1"/>
  <c r="M85" i="5"/>
  <c r="M86" i="91" s="1"/>
  <c r="G148" i="5"/>
  <c r="G149" i="91" s="1"/>
  <c r="E66" i="5"/>
  <c r="E67" i="91" s="1"/>
  <c r="O85" i="5"/>
  <c r="O86" i="91" s="1"/>
  <c r="E80" i="5"/>
  <c r="E81" i="91" s="1"/>
  <c r="H117" i="5"/>
  <c r="H118" i="91" s="1"/>
  <c r="N86" i="5"/>
  <c r="N87" i="91" s="1"/>
  <c r="G140" i="5"/>
  <c r="G141" i="91" s="1"/>
  <c r="K42" i="5"/>
  <c r="K17" i="5" s="1"/>
  <c r="F130" i="5"/>
  <c r="F131" i="91" s="1"/>
  <c r="H102" i="5"/>
  <c r="H103" i="91" s="1"/>
  <c r="K53" i="5"/>
  <c r="K28" i="5" s="1"/>
  <c r="I125" i="5"/>
  <c r="I126" i="91" s="1"/>
  <c r="C121" i="5"/>
  <c r="C122" i="91" s="1"/>
  <c r="O147" i="5"/>
  <c r="O148" i="91" s="1"/>
  <c r="M51" i="5"/>
  <c r="M52" i="91" s="1"/>
  <c r="M27" i="91" s="1"/>
  <c r="P102" i="5"/>
  <c r="P103" i="91" s="1"/>
  <c r="L78" i="5"/>
  <c r="L79" i="91" s="1"/>
  <c r="L124" i="5"/>
  <c r="L125" i="91" s="1"/>
  <c r="C118" i="5"/>
  <c r="C119" i="91" s="1"/>
  <c r="G77" i="5"/>
  <c r="G78" i="91" s="1"/>
  <c r="P115" i="5"/>
  <c r="P116" i="91" s="1"/>
  <c r="C61" i="5"/>
  <c r="C62" i="91" s="1"/>
  <c r="G67" i="5"/>
  <c r="G68" i="91" s="1"/>
  <c r="M147" i="5"/>
  <c r="M148" i="91" s="1"/>
  <c r="K120" i="5"/>
  <c r="K121" i="91" s="1"/>
  <c r="N89" i="5"/>
  <c r="N90" i="91" s="1"/>
  <c r="N97" i="5"/>
  <c r="N98" i="91" s="1"/>
  <c r="O63" i="5"/>
  <c r="O64" i="91" s="1"/>
  <c r="P76" i="5"/>
  <c r="P77" i="91" s="1"/>
  <c r="G155" i="5"/>
  <c r="G156" i="91" s="1"/>
  <c r="F65" i="5"/>
  <c r="F66" i="91" s="1"/>
  <c r="O70" i="5"/>
  <c r="O71" i="91" s="1"/>
  <c r="L109" i="5"/>
  <c r="L110" i="91" s="1"/>
  <c r="E111" i="5"/>
  <c r="E112" i="91" s="1"/>
  <c r="O74" i="5"/>
  <c r="O75" i="91" s="1"/>
  <c r="K46" i="5"/>
  <c r="K21" i="5" s="1"/>
  <c r="P154" i="5"/>
  <c r="P155" i="91" s="1"/>
  <c r="K142" i="5"/>
  <c r="K143" i="91" s="1"/>
  <c r="G52" i="5"/>
  <c r="G27" i="5" s="1"/>
  <c r="O98" i="5"/>
  <c r="O99" i="91" s="1"/>
  <c r="F77" i="5"/>
  <c r="F78" i="91" s="1"/>
  <c r="C141" i="5"/>
  <c r="C142" i="91" s="1"/>
  <c r="O65" i="5"/>
  <c r="O66" i="91" s="1"/>
  <c r="M153" i="5"/>
  <c r="M154" i="91" s="1"/>
  <c r="D68" i="5"/>
  <c r="D69" i="91" s="1"/>
  <c r="O127" i="5"/>
  <c r="O128" i="91" s="1"/>
  <c r="C150" i="5"/>
  <c r="C151" i="91" s="1"/>
  <c r="K125" i="5"/>
  <c r="K126" i="91" s="1"/>
  <c r="K62" i="5"/>
  <c r="K63" i="91" s="1"/>
  <c r="L122" i="5"/>
  <c r="L123" i="91" s="1"/>
  <c r="F37" i="5"/>
  <c r="F38" i="91" s="1"/>
  <c r="F13" i="91" s="1"/>
  <c r="G99" i="5"/>
  <c r="G100" i="91" s="1"/>
  <c r="C49" i="5"/>
  <c r="C50" i="91" s="1"/>
  <c r="C25" i="91" s="1"/>
  <c r="G66" i="5"/>
  <c r="G67" i="91" s="1"/>
  <c r="I126" i="5"/>
  <c r="I127" i="91" s="1"/>
  <c r="P88" i="5"/>
  <c r="P89" i="91" s="1"/>
  <c r="K40" i="5"/>
  <c r="K15" i="5" s="1"/>
  <c r="J110" i="5"/>
  <c r="J111" i="91" s="1"/>
  <c r="I97" i="5"/>
  <c r="I98" i="91" s="1"/>
  <c r="C137" i="5"/>
  <c r="C138" i="91" s="1"/>
  <c r="J53" i="5"/>
  <c r="J54" i="91" s="1"/>
  <c r="J29" i="91" s="1"/>
  <c r="K37" i="5"/>
  <c r="K12" i="5" s="1"/>
  <c r="M148" i="5"/>
  <c r="M149" i="91" s="1"/>
  <c r="L75" i="5"/>
  <c r="L76" i="91" s="1"/>
  <c r="D150" i="5"/>
  <c r="D151" i="91" s="1"/>
  <c r="J78" i="5"/>
  <c r="J79" i="91" s="1"/>
  <c r="I124" i="5"/>
  <c r="I125" i="91" s="1"/>
  <c r="H149" i="5"/>
  <c r="H150" i="91" s="1"/>
  <c r="I99" i="5"/>
  <c r="I100" i="91" s="1"/>
  <c r="M143" i="5"/>
  <c r="M144" i="91" s="1"/>
  <c r="D95" i="5"/>
  <c r="D96" i="91" s="1"/>
  <c r="H99" i="5"/>
  <c r="H100" i="91" s="1"/>
  <c r="I88" i="5"/>
  <c r="I89" i="91" s="1"/>
  <c r="E98" i="5"/>
  <c r="E99" i="91" s="1"/>
  <c r="F135" i="5"/>
  <c r="F136" i="91" s="1"/>
  <c r="I53" i="5"/>
  <c r="I28" i="5" s="1"/>
  <c r="K137" i="5"/>
  <c r="K138" i="91" s="1"/>
  <c r="J116" i="5"/>
  <c r="J117" i="91" s="1"/>
  <c r="H67" i="5"/>
  <c r="H68" i="91" s="1"/>
  <c r="M86" i="5"/>
  <c r="M87" i="91" s="1"/>
  <c r="C48" i="5"/>
  <c r="C23" i="5" s="1"/>
  <c r="L90" i="5"/>
  <c r="L91" i="91" s="1"/>
  <c r="F34" i="5"/>
  <c r="F35" i="91" s="1"/>
  <c r="F10" i="91" s="1"/>
  <c r="I96" i="5"/>
  <c r="I97" i="91" s="1"/>
  <c r="O134" i="5"/>
  <c r="O135" i="91" s="1"/>
  <c r="E54" i="5"/>
  <c r="E55" i="91" s="1"/>
  <c r="E30" i="91" s="1"/>
  <c r="L100" i="5"/>
  <c r="L101" i="91" s="1"/>
  <c r="H93" i="5"/>
  <c r="H94" i="91" s="1"/>
  <c r="N130" i="5"/>
  <c r="N131" i="91" s="1"/>
  <c r="E127" i="5"/>
  <c r="E128" i="91" s="1"/>
  <c r="F105" i="5"/>
  <c r="F106" i="91" s="1"/>
  <c r="N109" i="5"/>
  <c r="N110" i="91" s="1"/>
  <c r="J62" i="5"/>
  <c r="J63" i="91" s="1"/>
  <c r="N71" i="5"/>
  <c r="N72" i="91" s="1"/>
  <c r="N48" i="5"/>
  <c r="N49" i="91" s="1"/>
  <c r="N24" i="91" s="1"/>
  <c r="H153" i="5"/>
  <c r="H154" i="91" s="1"/>
  <c r="H142" i="5"/>
  <c r="H143" i="91" s="1"/>
  <c r="O96" i="5"/>
  <c r="O97" i="91" s="1"/>
  <c r="H143" i="5"/>
  <c r="H144" i="91" s="1"/>
  <c r="P134" i="5"/>
  <c r="P135" i="91" s="1"/>
  <c r="K91" i="5"/>
  <c r="K92" i="91" s="1"/>
  <c r="N63" i="5"/>
  <c r="N64" i="91" s="1"/>
  <c r="I75" i="5"/>
  <c r="I76" i="91" s="1"/>
  <c r="D123" i="5"/>
  <c r="D124" i="91" s="1"/>
  <c r="D143" i="5"/>
  <c r="D144" i="91" s="1"/>
  <c r="L37" i="5"/>
  <c r="L12" i="5" s="1"/>
  <c r="F121" i="5"/>
  <c r="F122" i="91" s="1"/>
  <c r="O109" i="5"/>
  <c r="O110" i="91" s="1"/>
  <c r="J73" i="5"/>
  <c r="J74" i="91" s="1"/>
  <c r="C116" i="5"/>
  <c r="C117" i="91" s="1"/>
  <c r="H60" i="5"/>
  <c r="H61" i="91" s="1"/>
  <c r="H126" i="5"/>
  <c r="H127" i="91" s="1"/>
  <c r="J103" i="5"/>
  <c r="J104" i="91" s="1"/>
  <c r="L117" i="5"/>
  <c r="L118" i="91" s="1"/>
  <c r="M45" i="5"/>
  <c r="M20" i="5" s="1"/>
  <c r="G102" i="5"/>
  <c r="G103" i="91" s="1"/>
  <c r="M99" i="5"/>
  <c r="M100" i="91" s="1"/>
  <c r="N96" i="5"/>
  <c r="N97" i="91" s="1"/>
  <c r="P67" i="5"/>
  <c r="P68" i="91" s="1"/>
  <c r="M146" i="5"/>
  <c r="M147" i="91" s="1"/>
  <c r="M40" i="5"/>
  <c r="P63" i="5"/>
  <c r="P64" i="91" s="1"/>
  <c r="P66" i="5"/>
  <c r="P67" i="91" s="1"/>
  <c r="N153" i="5"/>
  <c r="N154" i="91" s="1"/>
  <c r="J84" i="5"/>
  <c r="J85" i="91" s="1"/>
  <c r="I123" i="5"/>
  <c r="I124" i="91" s="1"/>
  <c r="L85" i="5"/>
  <c r="L86" i="91" s="1"/>
  <c r="P91" i="5"/>
  <c r="P92" i="91" s="1"/>
  <c r="G54" i="5"/>
  <c r="F117" i="5"/>
  <c r="F118" i="91" s="1"/>
  <c r="I68" i="5"/>
  <c r="I69" i="91" s="1"/>
  <c r="H111" i="5"/>
  <c r="H112" i="91" s="1"/>
  <c r="P61" i="5"/>
  <c r="P62" i="91" s="1"/>
  <c r="C111" i="5"/>
  <c r="C112" i="91" s="1"/>
  <c r="H50" i="5"/>
  <c r="O140" i="5"/>
  <c r="O141" i="91" s="1"/>
  <c r="E121" i="5"/>
  <c r="E122" i="91" s="1"/>
  <c r="C75" i="5"/>
  <c r="C76" i="91" s="1"/>
  <c r="O155" i="5"/>
  <c r="O156" i="91" s="1"/>
  <c r="C101" i="5"/>
  <c r="C102" i="91" s="1"/>
  <c r="C76" i="5"/>
  <c r="C77" i="91" s="1"/>
  <c r="M60" i="5"/>
  <c r="M61" i="91" s="1"/>
  <c r="P70" i="5"/>
  <c r="P71" i="91" s="1"/>
  <c r="K114" i="5"/>
  <c r="K115" i="91" s="1"/>
  <c r="K35" i="5"/>
  <c r="K36" i="91" s="1"/>
  <c r="K11" i="91" s="1"/>
  <c r="H148" i="5"/>
  <c r="H149" i="91" s="1"/>
  <c r="E63" i="5"/>
  <c r="E64" i="91" s="1"/>
  <c r="M118" i="5"/>
  <c r="M119" i="91" s="1"/>
  <c r="N66" i="5"/>
  <c r="N67" i="91" s="1"/>
  <c r="C143" i="5"/>
  <c r="C144" i="91" s="1"/>
  <c r="C142" i="5"/>
  <c r="C143" i="91" s="1"/>
  <c r="L128" i="5"/>
  <c r="L129" i="91" s="1"/>
  <c r="G111" i="5"/>
  <c r="G112" i="91" s="1"/>
  <c r="E68" i="5"/>
  <c r="E69" i="91" s="1"/>
  <c r="M145" i="5"/>
  <c r="M146" i="91" s="1"/>
  <c r="H38" i="5"/>
  <c r="D151" i="5"/>
  <c r="D152" i="91" s="1"/>
  <c r="G36" i="5"/>
  <c r="G11" i="5" s="1"/>
  <c r="C129" i="5"/>
  <c r="C130" i="91" s="1"/>
  <c r="H84" i="5"/>
  <c r="H85" i="91" s="1"/>
  <c r="E130" i="5"/>
  <c r="E131" i="91" s="1"/>
  <c r="K45" i="5"/>
  <c r="D89" i="5"/>
  <c r="D90" i="91" s="1"/>
  <c r="E93" i="5"/>
  <c r="E94" i="91" s="1"/>
  <c r="D125" i="5"/>
  <c r="D126" i="91" s="1"/>
  <c r="M120" i="5"/>
  <c r="M121" i="91" s="1"/>
  <c r="F85" i="5"/>
  <c r="F86" i="91" s="1"/>
  <c r="C155" i="5"/>
  <c r="C156" i="91" s="1"/>
  <c r="M139" i="5"/>
  <c r="M140" i="91" s="1"/>
  <c r="E61" i="5"/>
  <c r="E62" i="91" s="1"/>
  <c r="K101" i="5"/>
  <c r="K102" i="91" s="1"/>
  <c r="J153" i="5"/>
  <c r="J154" i="91" s="1"/>
  <c r="J135" i="5"/>
  <c r="J136" i="91" s="1"/>
  <c r="I136" i="5"/>
  <c r="I137" i="91" s="1"/>
  <c r="N76" i="5"/>
  <c r="N77" i="91" s="1"/>
  <c r="G143" i="5"/>
  <c r="G144" i="91" s="1"/>
  <c r="H95" i="5"/>
  <c r="H96" i="91" s="1"/>
  <c r="E48" i="5"/>
  <c r="M54" i="5"/>
  <c r="M29" i="5" s="1"/>
  <c r="C66" i="5"/>
  <c r="C67" i="91" s="1"/>
  <c r="E43" i="5"/>
  <c r="E44" i="91" s="1"/>
  <c r="E19" i="91" s="1"/>
  <c r="I50" i="5"/>
  <c r="I51" i="91" s="1"/>
  <c r="I26" i="91" s="1"/>
  <c r="N37" i="5"/>
  <c r="N12" i="5" s="1"/>
  <c r="D142" i="5"/>
  <c r="D143" i="91" s="1"/>
  <c r="M52" i="5"/>
  <c r="M53" i="91" s="1"/>
  <c r="M28" i="91" s="1"/>
  <c r="D144" i="5"/>
  <c r="D145" i="91" s="1"/>
  <c r="K126" i="5"/>
  <c r="K127" i="91" s="1"/>
  <c r="I64" i="5"/>
  <c r="I65" i="91" s="1"/>
  <c r="I86" i="5"/>
  <c r="I87" i="91" s="1"/>
  <c r="K59" i="5"/>
  <c r="K60" i="91" s="1"/>
  <c r="K94" i="5"/>
  <c r="K95" i="91" s="1"/>
  <c r="P105" i="5"/>
  <c r="P106" i="91" s="1"/>
  <c r="I110" i="5"/>
  <c r="I111" i="91" s="1"/>
  <c r="H55" i="5"/>
  <c r="H56" i="91" s="1"/>
  <c r="H31" i="91" s="1"/>
  <c r="K41" i="5"/>
  <c r="K16" i="5" s="1"/>
  <c r="D71" i="5"/>
  <c r="D72" i="91" s="1"/>
  <c r="E64" i="5"/>
  <c r="E65" i="91" s="1"/>
  <c r="C165" i="91"/>
  <c r="O66" i="5"/>
  <c r="O67" i="91" s="1"/>
  <c r="D61" i="5"/>
  <c r="D62" i="91" s="1"/>
  <c r="E41" i="5"/>
  <c r="E42" i="91" s="1"/>
  <c r="E17" i="91" s="1"/>
  <c r="N36" i="5"/>
  <c r="N37" i="91" s="1"/>
  <c r="N12" i="91" s="1"/>
  <c r="P127" i="5"/>
  <c r="P128" i="91" s="1"/>
  <c r="H53" i="5"/>
  <c r="H28" i="5" s="1"/>
  <c r="A165" i="91"/>
  <c r="K112" i="5"/>
  <c r="K113" i="91" s="1"/>
  <c r="J161" i="91"/>
  <c r="J143" i="5"/>
  <c r="J144" i="91" s="1"/>
  <c r="G46" i="5"/>
  <c r="G21" i="5" s="1"/>
  <c r="O117" i="5"/>
  <c r="O118" i="91" s="1"/>
  <c r="F97" i="5"/>
  <c r="F98" i="91" s="1"/>
  <c r="D120" i="5"/>
  <c r="D121" i="91" s="1"/>
  <c r="C122" i="5"/>
  <c r="C123" i="91" s="1"/>
  <c r="C110" i="5"/>
  <c r="C111" i="91" s="1"/>
  <c r="E135" i="5"/>
  <c r="E136" i="91" s="1"/>
  <c r="H51" i="5"/>
  <c r="H26" i="5" s="1"/>
  <c r="P146" i="5"/>
  <c r="P147" i="91" s="1"/>
  <c r="G85" i="5"/>
  <c r="G86" i="91" s="1"/>
  <c r="O95" i="5"/>
  <c r="O96" i="91" s="1"/>
  <c r="C105" i="5"/>
  <c r="C106" i="91" s="1"/>
  <c r="O76" i="5"/>
  <c r="O77" i="91" s="1"/>
  <c r="O39" i="5"/>
  <c r="O40" i="91" s="1"/>
  <c r="O15" i="91" s="1"/>
  <c r="E53" i="5"/>
  <c r="E54" i="91" s="1"/>
  <c r="E29" i="91" s="1"/>
  <c r="D80" i="5"/>
  <c r="D81" i="91" s="1"/>
  <c r="F140" i="5"/>
  <c r="F141" i="91" s="1"/>
  <c r="J115" i="5"/>
  <c r="J116" i="91" s="1"/>
  <c r="P148" i="5"/>
  <c r="P149" i="91" s="1"/>
  <c r="K143" i="5"/>
  <c r="K144" i="91" s="1"/>
  <c r="G151" i="5"/>
  <c r="G152" i="91" s="1"/>
  <c r="N77" i="5"/>
  <c r="N78" i="91" s="1"/>
  <c r="O79" i="5"/>
  <c r="O80" i="91" s="1"/>
  <c r="H125" i="5"/>
  <c r="H126" i="91" s="1"/>
  <c r="E128" i="5"/>
  <c r="E129" i="91" s="1"/>
  <c r="D154" i="5"/>
  <c r="D155" i="91" s="1"/>
  <c r="I137" i="5"/>
  <c r="I138" i="91" s="1"/>
  <c r="D147" i="5"/>
  <c r="D148" i="91" s="1"/>
  <c r="N140" i="5"/>
  <c r="N141" i="91" s="1"/>
  <c r="C114" i="5"/>
  <c r="C115" i="91" s="1"/>
  <c r="O149" i="5"/>
  <c r="O150" i="91" s="1"/>
  <c r="K141" i="5"/>
  <c r="K142" i="91" s="1"/>
  <c r="O91" i="5"/>
  <c r="O92" i="91" s="1"/>
  <c r="J49" i="5"/>
  <c r="J50" i="91" s="1"/>
  <c r="J25" i="91" s="1"/>
  <c r="L45" i="5"/>
  <c r="L20" i="5" s="1"/>
  <c r="G61" i="5"/>
  <c r="G62" i="91" s="1"/>
  <c r="L86" i="5"/>
  <c r="L87" i="91" s="1"/>
  <c r="C40" i="5"/>
  <c r="E51" i="5"/>
  <c r="E26" i="5" s="1"/>
  <c r="P138" i="5"/>
  <c r="P139" i="91" s="1"/>
  <c r="P50" i="5"/>
  <c r="P25" i="5" s="1"/>
  <c r="J141" i="5"/>
  <c r="J142" i="91" s="1"/>
  <c r="E141" i="5"/>
  <c r="E142" i="91" s="1"/>
  <c r="J114" i="5"/>
  <c r="J115" i="91" s="1"/>
  <c r="M109" i="5"/>
  <c r="M110" i="91" s="1"/>
  <c r="J112" i="5"/>
  <c r="J113" i="91" s="1"/>
  <c r="E69" i="5"/>
  <c r="E70" i="91" s="1"/>
  <c r="E46" i="5"/>
  <c r="E47" i="91" s="1"/>
  <c r="E22" i="91" s="1"/>
  <c r="E153" i="5"/>
  <c r="E154" i="91" s="1"/>
  <c r="F119" i="5"/>
  <c r="F120" i="91" s="1"/>
  <c r="K138" i="5"/>
  <c r="K139" i="91" s="1"/>
  <c r="I134" i="5"/>
  <c r="I135" i="91" s="1"/>
  <c r="K80" i="5"/>
  <c r="K81" i="91" s="1"/>
  <c r="O44" i="5"/>
  <c r="O19" i="5" s="1"/>
  <c r="O129" i="5"/>
  <c r="O130" i="91" s="1"/>
  <c r="C90" i="5"/>
  <c r="C91" i="91" s="1"/>
  <c r="G74" i="5"/>
  <c r="G75" i="91" s="1"/>
  <c r="H68" i="5"/>
  <c r="H69" i="91" s="1"/>
  <c r="G105" i="5"/>
  <c r="G106" i="91" s="1"/>
  <c r="K115" i="5"/>
  <c r="K116" i="91" s="1"/>
  <c r="J44" i="5"/>
  <c r="J19" i="5" s="1"/>
  <c r="E39" i="5"/>
  <c r="E40" i="91" s="1"/>
  <c r="E15" i="91" s="1"/>
  <c r="J109" i="5"/>
  <c r="J110" i="91" s="1"/>
  <c r="C50" i="5"/>
  <c r="C25" i="5" s="1"/>
  <c r="K145" i="5"/>
  <c r="K146" i="91" s="1"/>
  <c r="C63" i="5"/>
  <c r="C64" i="91" s="1"/>
  <c r="P135" i="5"/>
  <c r="P136" i="91" s="1"/>
  <c r="K113" i="5"/>
  <c r="K114" i="91" s="1"/>
  <c r="P89" i="5"/>
  <c r="P90" i="91" s="1"/>
  <c r="D40" i="5"/>
  <c r="D41" i="91" s="1"/>
  <c r="D16" i="91" s="1"/>
  <c r="L64" i="5"/>
  <c r="L65" i="91" s="1"/>
  <c r="C145" i="5"/>
  <c r="C146" i="91" s="1"/>
  <c r="O121" i="5"/>
  <c r="O122" i="91" s="1"/>
  <c r="L146" i="5"/>
  <c r="L147" i="91" s="1"/>
  <c r="D44" i="5"/>
  <c r="D19" i="5" s="1"/>
  <c r="N123" i="5"/>
  <c r="N124" i="91" s="1"/>
  <c r="L155" i="5"/>
  <c r="L156" i="91" s="1"/>
  <c r="K130" i="5"/>
  <c r="K131" i="91" s="1"/>
  <c r="H164" i="5"/>
  <c r="G116" i="5"/>
  <c r="G117" i="91" s="1"/>
  <c r="E71" i="5"/>
  <c r="E72" i="91" s="1"/>
  <c r="N72" i="5"/>
  <c r="N73" i="91" s="1"/>
  <c r="E122" i="5"/>
  <c r="E123" i="91" s="1"/>
  <c r="G135" i="5"/>
  <c r="G136" i="91" s="1"/>
  <c r="N68" i="5"/>
  <c r="N69" i="91" s="1"/>
  <c r="E70" i="5"/>
  <c r="E71" i="91" s="1"/>
  <c r="L98" i="5"/>
  <c r="L99" i="91" s="1"/>
  <c r="F49" i="5"/>
  <c r="F24" i="5" s="1"/>
  <c r="O60" i="5"/>
  <c r="O61" i="91" s="1"/>
  <c r="H144" i="5"/>
  <c r="H145" i="91" s="1"/>
  <c r="J136" i="5"/>
  <c r="J137" i="91" s="1"/>
  <c r="N116" i="5"/>
  <c r="N117" i="91" s="1"/>
  <c r="N99" i="5"/>
  <c r="N100" i="91" s="1"/>
  <c r="J125" i="5"/>
  <c r="J126" i="91" s="1"/>
  <c r="G44" i="5"/>
  <c r="K127" i="5"/>
  <c r="K128" i="91" s="1"/>
  <c r="O62" i="5"/>
  <c r="O63" i="91" s="1"/>
  <c r="F164" i="5"/>
  <c r="M39" i="5"/>
  <c r="M14" i="5" s="1"/>
  <c r="L36" i="5"/>
  <c r="L11" i="5" s="1"/>
  <c r="K147" i="5"/>
  <c r="K148" i="91" s="1"/>
  <c r="D87" i="5"/>
  <c r="D88" i="91" s="1"/>
  <c r="F59" i="5"/>
  <c r="F60" i="91" s="1"/>
  <c r="J95" i="5"/>
  <c r="J96" i="91" s="1"/>
  <c r="M72" i="5"/>
  <c r="M73" i="91" s="1"/>
  <c r="H101" i="5"/>
  <c r="H102" i="91" s="1"/>
  <c r="L55" i="5"/>
  <c r="L30" i="5" s="1"/>
  <c r="M76" i="5"/>
  <c r="M77" i="91" s="1"/>
  <c r="E47" i="5"/>
  <c r="E22" i="5" s="1"/>
  <c r="H46" i="5"/>
  <c r="N117" i="5"/>
  <c r="N118" i="91" s="1"/>
  <c r="K67" i="5"/>
  <c r="K68" i="91" s="1"/>
  <c r="G147" i="5"/>
  <c r="G148" i="91" s="1"/>
  <c r="D146" i="5"/>
  <c r="D147" i="91" s="1"/>
  <c r="I120" i="5"/>
  <c r="I121" i="91" s="1"/>
  <c r="F129" i="5"/>
  <c r="F130" i="91" s="1"/>
  <c r="G128" i="5"/>
  <c r="G129" i="91" s="1"/>
  <c r="D73" i="5"/>
  <c r="D74" i="91" s="1"/>
  <c r="I35" i="5"/>
  <c r="I10" i="5" s="1"/>
  <c r="M129" i="5"/>
  <c r="M130" i="91" s="1"/>
  <c r="P42" i="5"/>
  <c r="P43" i="91" s="1"/>
  <c r="P18" i="91" s="1"/>
  <c r="H135" i="5"/>
  <c r="H136" i="91" s="1"/>
  <c r="G103" i="5"/>
  <c r="G104" i="91" s="1"/>
  <c r="F103" i="5"/>
  <c r="F104" i="91" s="1"/>
  <c r="E145" i="5"/>
  <c r="E146" i="91" s="1"/>
  <c r="L48" i="5"/>
  <c r="L23" i="5" s="1"/>
  <c r="G93" i="5"/>
  <c r="G94" i="91" s="1"/>
  <c r="P104" i="5"/>
  <c r="P105" i="91" s="1"/>
  <c r="M130" i="5"/>
  <c r="M131" i="91" s="1"/>
  <c r="C53" i="5"/>
  <c r="C28" i="5" s="1"/>
  <c r="J127" i="5"/>
  <c r="J128" i="91" s="1"/>
  <c r="E50" i="5"/>
  <c r="P112" i="5"/>
  <c r="P113" i="91" s="1"/>
  <c r="J90" i="5"/>
  <c r="J91" i="91" s="1"/>
  <c r="E126" i="5"/>
  <c r="E127" i="91" s="1"/>
  <c r="M37" i="5"/>
  <c r="M12" i="5" s="1"/>
  <c r="K50" i="5"/>
  <c r="K51" i="91" s="1"/>
  <c r="K26" i="91" s="1"/>
  <c r="G95" i="5"/>
  <c r="G96" i="91" s="1"/>
  <c r="F71" i="5"/>
  <c r="F72" i="91" s="1"/>
  <c r="I76" i="5"/>
  <c r="I77" i="91" s="1"/>
  <c r="H92" i="5"/>
  <c r="H93" i="91" s="1"/>
  <c r="C64" i="5"/>
  <c r="C65" i="91" s="1"/>
  <c r="H139" i="5"/>
  <c r="H140" i="91" s="1"/>
  <c r="N104" i="5"/>
  <c r="N105" i="91" s="1"/>
  <c r="I39" i="5"/>
  <c r="I14" i="5" s="1"/>
  <c r="J71" i="5"/>
  <c r="J72" i="91" s="1"/>
  <c r="E45" i="5"/>
  <c r="E46" i="91" s="1"/>
  <c r="E21" i="91" s="1"/>
  <c r="L99" i="5"/>
  <c r="L100" i="91" s="1"/>
  <c r="C102" i="5"/>
  <c r="C103" i="91" s="1"/>
  <c r="H70" i="5"/>
  <c r="H71" i="91" s="1"/>
  <c r="C62" i="5"/>
  <c r="C63" i="91" s="1"/>
  <c r="I65" i="5"/>
  <c r="I66" i="91" s="1"/>
  <c r="E102" i="5"/>
  <c r="E103" i="91" s="1"/>
  <c r="M123" i="5"/>
  <c r="M124" i="91" s="1"/>
  <c r="H151" i="5"/>
  <c r="H152" i="91" s="1"/>
  <c r="I73" i="5"/>
  <c r="I74" i="91" s="1"/>
  <c r="O69" i="5"/>
  <c r="O70" i="91" s="1"/>
  <c r="K72" i="5"/>
  <c r="K73" i="91" s="1"/>
  <c r="C93" i="5"/>
  <c r="C94" i="91" s="1"/>
  <c r="D51" i="5"/>
  <c r="D52" i="91" s="1"/>
  <c r="D27" i="91" s="1"/>
  <c r="I71" i="5"/>
  <c r="I72" i="91" s="1"/>
  <c r="G117" i="5"/>
  <c r="G118" i="91" s="1"/>
  <c r="P118" i="5"/>
  <c r="P119" i="91" s="1"/>
  <c r="K146" i="5"/>
  <c r="K147" i="91" s="1"/>
  <c r="L118" i="5"/>
  <c r="L119" i="91" s="1"/>
  <c r="O130" i="5"/>
  <c r="O131" i="91" s="1"/>
  <c r="E85" i="5"/>
  <c r="E86" i="91" s="1"/>
  <c r="G142" i="5"/>
  <c r="G143" i="91" s="1"/>
  <c r="O125" i="5"/>
  <c r="O126" i="91" s="1"/>
  <c r="E112" i="5"/>
  <c r="E113" i="91" s="1"/>
  <c r="F95" i="5"/>
  <c r="F96" i="91" s="1"/>
  <c r="P87" i="5"/>
  <c r="P88" i="91" s="1"/>
  <c r="O126" i="5"/>
  <c r="O127" i="91" s="1"/>
  <c r="K144" i="5"/>
  <c r="K145" i="91" s="1"/>
  <c r="L40" i="5"/>
  <c r="L15" i="5" s="1"/>
  <c r="J40" i="5"/>
  <c r="J41" i="91" s="1"/>
  <c r="J16" i="91" s="1"/>
  <c r="N145" i="5"/>
  <c r="N146" i="91" s="1"/>
  <c r="J97" i="5"/>
  <c r="J98" i="91" s="1"/>
  <c r="O40" i="5"/>
  <c r="O88" i="5"/>
  <c r="O89" i="91" s="1"/>
  <c r="L116" i="5"/>
  <c r="L117" i="91" s="1"/>
  <c r="M64" i="5"/>
  <c r="M65" i="91" s="1"/>
  <c r="C124" i="5"/>
  <c r="C125" i="91" s="1"/>
  <c r="D46" i="5"/>
  <c r="D47" i="91" s="1"/>
  <c r="D22" i="91" s="1"/>
  <c r="D35" i="5"/>
  <c r="M142" i="5"/>
  <c r="M143" i="91" s="1"/>
  <c r="H122" i="5"/>
  <c r="H123" i="91" s="1"/>
  <c r="M53" i="5"/>
  <c r="O59" i="5"/>
  <c r="O60" i="91" s="1"/>
  <c r="M115" i="5"/>
  <c r="M116" i="91" s="1"/>
  <c r="K85" i="5"/>
  <c r="K86" i="91" s="1"/>
  <c r="J134" i="5"/>
  <c r="J135" i="91" s="1"/>
  <c r="P86" i="5"/>
  <c r="P87" i="91" s="1"/>
  <c r="E120" i="5"/>
  <c r="E121" i="91" s="1"/>
  <c r="J54" i="5"/>
  <c r="J55" i="91" s="1"/>
  <c r="J30" i="91" s="1"/>
  <c r="E117" i="5"/>
  <c r="E118" i="91" s="1"/>
  <c r="P101" i="5"/>
  <c r="P102" i="91" s="1"/>
  <c r="I38" i="5"/>
  <c r="L136" i="5"/>
  <c r="L137" i="91" s="1"/>
  <c r="J147" i="5"/>
  <c r="J148" i="91" s="1"/>
  <c r="G100" i="5"/>
  <c r="G101" i="91" s="1"/>
  <c r="L50" i="5"/>
  <c r="L25" i="5" s="1"/>
  <c r="L68" i="5"/>
  <c r="L69" i="91" s="1"/>
  <c r="H34" i="5"/>
  <c r="H35" i="91" s="1"/>
  <c r="H10" i="91" s="1"/>
  <c r="I153" i="5"/>
  <c r="I154" i="91" s="1"/>
  <c r="G41" i="5"/>
  <c r="G42" i="91" s="1"/>
  <c r="G17" i="91" s="1"/>
  <c r="L151" i="5"/>
  <c r="L152" i="91" s="1"/>
  <c r="G79" i="5"/>
  <c r="G80" i="91" s="1"/>
  <c r="G165" i="91"/>
  <c r="F152" i="5"/>
  <c r="F153" i="91" s="1"/>
  <c r="E34" i="5"/>
  <c r="E35" i="91" s="1"/>
  <c r="E10" i="91" s="1"/>
  <c r="E148" i="5"/>
  <c r="E149" i="91" s="1"/>
  <c r="K34" i="5"/>
  <c r="K35" i="91" s="1"/>
  <c r="K10" i="91" s="1"/>
  <c r="P41" i="5"/>
  <c r="P16" i="5" s="1"/>
  <c r="P125" i="5"/>
  <c r="P126" i="91" s="1"/>
  <c r="C92" i="5"/>
  <c r="C93" i="91" s="1"/>
  <c r="O52" i="5"/>
  <c r="O53" i="91" s="1"/>
  <c r="O28" i="91" s="1"/>
  <c r="H88" i="5"/>
  <c r="H89" i="91" s="1"/>
  <c r="O47" i="5"/>
  <c r="O22" i="5" s="1"/>
  <c r="D101" i="5"/>
  <c r="D102" i="91" s="1"/>
  <c r="E87" i="5"/>
  <c r="E88" i="91" s="1"/>
  <c r="J39" i="5"/>
  <c r="J40" i="91" s="1"/>
  <c r="J15" i="91" s="1"/>
  <c r="D85" i="5"/>
  <c r="D86" i="91" s="1"/>
  <c r="N102" i="5"/>
  <c r="N103" i="91" s="1"/>
  <c r="M110" i="5"/>
  <c r="M111" i="91" s="1"/>
  <c r="G53" i="5"/>
  <c r="G54" i="91" s="1"/>
  <c r="G29" i="91" s="1"/>
  <c r="N70" i="5"/>
  <c r="N71" i="91" s="1"/>
  <c r="O152" i="5"/>
  <c r="O153" i="91" s="1"/>
  <c r="J121" i="5"/>
  <c r="J122" i="91" s="1"/>
  <c r="P122" i="5"/>
  <c r="P123" i="91" s="1"/>
  <c r="G141" i="5"/>
  <c r="G142" i="91" s="1"/>
  <c r="L77" i="5"/>
  <c r="L78" i="91" s="1"/>
  <c r="P51" i="5"/>
  <c r="G104" i="5"/>
  <c r="G105" i="91" s="1"/>
  <c r="J128" i="5"/>
  <c r="J129" i="91" s="1"/>
  <c r="M36" i="5"/>
  <c r="M11" i="5" s="1"/>
  <c r="N114" i="5"/>
  <c r="N115" i="91" s="1"/>
  <c r="M49" i="5"/>
  <c r="M24" i="5" s="1"/>
  <c r="E114" i="5"/>
  <c r="E115" i="91" s="1"/>
  <c r="I113" i="5"/>
  <c r="I114" i="91" s="1"/>
  <c r="D64" i="5"/>
  <c r="D65" i="91" s="1"/>
  <c r="I141" i="5"/>
  <c r="I142" i="91" s="1"/>
  <c r="G120" i="5"/>
  <c r="G121" i="91" s="1"/>
  <c r="K149" i="5"/>
  <c r="K150" i="91" s="1"/>
  <c r="N74" i="5"/>
  <c r="N75" i="91" s="1"/>
  <c r="O41" i="5"/>
  <c r="O42" i="91" s="1"/>
  <c r="O17" i="91" s="1"/>
  <c r="F118" i="5"/>
  <c r="F119" i="91" s="1"/>
  <c r="F61" i="5"/>
  <c r="F62" i="91" s="1"/>
  <c r="L70" i="5"/>
  <c r="L71" i="91" s="1"/>
  <c r="M117" i="5"/>
  <c r="M118" i="91" s="1"/>
  <c r="G145" i="5"/>
  <c r="G146" i="91" s="1"/>
  <c r="G139" i="5"/>
  <c r="G140" i="91" s="1"/>
  <c r="G126" i="5"/>
  <c r="G127" i="91" s="1"/>
  <c r="K84" i="5"/>
  <c r="K85" i="91" s="1"/>
  <c r="G114" i="5"/>
  <c r="G115" i="91" s="1"/>
  <c r="I128" i="5"/>
  <c r="I129" i="91" s="1"/>
  <c r="L92" i="5"/>
  <c r="L93" i="91" s="1"/>
  <c r="K51" i="5"/>
  <c r="K52" i="91" s="1"/>
  <c r="K27" i="91" s="1"/>
  <c r="K44" i="5"/>
  <c r="K19" i="5" s="1"/>
  <c r="I51" i="5"/>
  <c r="N47" i="5"/>
  <c r="N22" i="5" s="1"/>
  <c r="M63" i="5"/>
  <c r="M64" i="91" s="1"/>
  <c r="G152" i="5"/>
  <c r="G153" i="91" s="1"/>
  <c r="D149" i="5"/>
  <c r="D150" i="91" s="1"/>
  <c r="L125" i="5"/>
  <c r="L126" i="91" s="1"/>
  <c r="O89" i="5"/>
  <c r="O90" i="91" s="1"/>
  <c r="H41" i="5"/>
  <c r="H42" i="91" s="1"/>
  <c r="H17" i="91" s="1"/>
  <c r="I46" i="5"/>
  <c r="I47" i="91" s="1"/>
  <c r="I22" i="91" s="1"/>
  <c r="L54" i="5"/>
  <c r="O137" i="5"/>
  <c r="O138" i="91" s="1"/>
  <c r="H166" i="5"/>
  <c r="F76" i="5"/>
  <c r="F77" i="91" s="1"/>
  <c r="L96" i="5"/>
  <c r="L97" i="91" s="1"/>
  <c r="G94" i="5"/>
  <c r="G95" i="91" s="1"/>
  <c r="C109" i="5"/>
  <c r="C110" i="91" s="1"/>
  <c r="O61" i="5"/>
  <c r="O62" i="91" s="1"/>
  <c r="C99" i="5"/>
  <c r="C100" i="91" s="1"/>
  <c r="D43" i="5"/>
  <c r="D44" i="91" s="1"/>
  <c r="D19" i="91" s="1"/>
  <c r="H71" i="5"/>
  <c r="H72" i="91" s="1"/>
  <c r="L67" i="5"/>
  <c r="L68" i="91" s="1"/>
  <c r="F87" i="5"/>
  <c r="F88" i="91" s="1"/>
  <c r="K104" i="5"/>
  <c r="K105" i="91" s="1"/>
  <c r="M112" i="5"/>
  <c r="M113" i="91" s="1"/>
  <c r="P110" i="5"/>
  <c r="P111" i="91" s="1"/>
  <c r="H78" i="5"/>
  <c r="H79" i="91" s="1"/>
  <c r="E116" i="5"/>
  <c r="E117" i="91" s="1"/>
  <c r="K87" i="5"/>
  <c r="K88" i="91" s="1"/>
  <c r="O84" i="5"/>
  <c r="O85" i="91" s="1"/>
  <c r="K43" i="5"/>
  <c r="K44" i="91" s="1"/>
  <c r="K19" i="91" s="1"/>
  <c r="O78" i="5"/>
  <c r="O79" i="91" s="1"/>
  <c r="O115" i="5"/>
  <c r="O116" i="91" s="1"/>
  <c r="P143" i="5"/>
  <c r="P144" i="91" s="1"/>
  <c r="E125" i="5"/>
  <c r="E126" i="91" s="1"/>
  <c r="O116" i="5"/>
  <c r="O117" i="91" s="1"/>
  <c r="E67" i="5"/>
  <c r="E68" i="91" s="1"/>
  <c r="D72" i="5"/>
  <c r="D73" i="91" s="1"/>
  <c r="C151" i="5"/>
  <c r="C152" i="91" s="1"/>
  <c r="I119" i="5"/>
  <c r="I120" i="91" s="1"/>
  <c r="C71" i="5"/>
  <c r="C72" i="91" s="1"/>
  <c r="N125" i="5"/>
  <c r="N126" i="91" s="1"/>
  <c r="M151" i="5"/>
  <c r="M152" i="91" s="1"/>
  <c r="P117" i="5"/>
  <c r="P118" i="91" s="1"/>
  <c r="J94" i="5"/>
  <c r="J95" i="91" s="1"/>
  <c r="E144" i="5"/>
  <c r="E145" i="91" s="1"/>
  <c r="M116" i="5"/>
  <c r="M117" i="91" s="1"/>
  <c r="M121" i="5"/>
  <c r="M122" i="91" s="1"/>
  <c r="C148" i="5"/>
  <c r="C149" i="91" s="1"/>
  <c r="J148" i="5"/>
  <c r="J149" i="91" s="1"/>
  <c r="D126" i="5"/>
  <c r="D127" i="91" s="1"/>
  <c r="K74" i="5"/>
  <c r="K75" i="91" s="1"/>
  <c r="L41" i="5"/>
  <c r="L42" i="91" s="1"/>
  <c r="L17" i="91" s="1"/>
  <c r="O72" i="5"/>
  <c r="O73" i="91" s="1"/>
  <c r="E118" i="5"/>
  <c r="E119" i="91" s="1"/>
  <c r="J92" i="5"/>
  <c r="J93" i="91" s="1"/>
  <c r="C126" i="5"/>
  <c r="C127" i="91" s="1"/>
  <c r="L147" i="5"/>
  <c r="L148" i="91" s="1"/>
  <c r="O64" i="5"/>
  <c r="O65" i="91" s="1"/>
  <c r="E37" i="5"/>
  <c r="N84" i="5"/>
  <c r="N85" i="91" s="1"/>
  <c r="F110" i="5"/>
  <c r="F111" i="91" s="1"/>
  <c r="H138" i="5"/>
  <c r="H139" i="91" s="1"/>
  <c r="D36" i="5"/>
  <c r="D37" i="91" s="1"/>
  <c r="D12" i="91" s="1"/>
  <c r="K52" i="5"/>
  <c r="K27" i="5" s="1"/>
  <c r="C119" i="5"/>
  <c r="C120" i="91" s="1"/>
  <c r="H104" i="5"/>
  <c r="H105" i="91" s="1"/>
  <c r="E147" i="5"/>
  <c r="E148" i="91" s="1"/>
  <c r="H147" i="5"/>
  <c r="H148" i="91" s="1"/>
  <c r="F154" i="5"/>
  <c r="F155" i="91" s="1"/>
  <c r="K155" i="5"/>
  <c r="K156" i="91" s="1"/>
  <c r="P60" i="5"/>
  <c r="P61" i="91" s="1"/>
  <c r="J55" i="5"/>
  <c r="J30" i="5" s="1"/>
  <c r="P94" i="5"/>
  <c r="P95" i="91" s="1"/>
  <c r="I121" i="5"/>
  <c r="I122" i="91" s="1"/>
  <c r="L123" i="5"/>
  <c r="L124" i="91" s="1"/>
  <c r="N85" i="5"/>
  <c r="N86" i="91" s="1"/>
  <c r="L138" i="5"/>
  <c r="L139" i="91" s="1"/>
  <c r="E36" i="5"/>
  <c r="E11" i="5" s="1"/>
  <c r="P129" i="5"/>
  <c r="P130" i="91" s="1"/>
  <c r="K68" i="5"/>
  <c r="K69" i="91" s="1"/>
  <c r="J120" i="5"/>
  <c r="J121" i="91" s="1"/>
  <c r="N111" i="5"/>
  <c r="N112" i="91" s="1"/>
  <c r="D110" i="5"/>
  <c r="D111" i="91" s="1"/>
  <c r="N149" i="5"/>
  <c r="N150" i="91" s="1"/>
  <c r="F142" i="5"/>
  <c r="F143" i="91" s="1"/>
  <c r="F21" i="3"/>
  <c r="H11" i="3"/>
  <c r="D35" i="3"/>
  <c r="F10" i="3"/>
  <c r="D9" i="3"/>
  <c r="H14" i="3"/>
  <c r="G64" i="3"/>
  <c r="G35" i="3"/>
  <c r="G52" i="3"/>
  <c r="E35" i="3"/>
  <c r="B47" i="3"/>
  <c r="G60" i="3"/>
  <c r="F17" i="3"/>
  <c r="F11" i="3"/>
  <c r="B21" i="3"/>
  <c r="G56" i="3"/>
  <c r="G62" i="3"/>
  <c r="F39" i="3"/>
  <c r="B43" i="3"/>
  <c r="D28" i="3"/>
  <c r="H15" i="3"/>
  <c r="H9" i="3"/>
  <c r="D39" i="3"/>
  <c r="G43" i="3"/>
  <c r="G57" i="3"/>
  <c r="H13" i="3"/>
  <c r="F22" i="3"/>
  <c r="B22" i="3"/>
  <c r="D21" i="3"/>
  <c r="H22" i="3"/>
  <c r="F16" i="3"/>
  <c r="D10" i="3"/>
  <c r="H35" i="3"/>
  <c r="G61" i="3"/>
  <c r="C35" i="3"/>
  <c r="B15" i="3"/>
  <c r="D11" i="3"/>
  <c r="C43" i="3"/>
  <c r="D13" i="3"/>
  <c r="H10" i="3"/>
  <c r="G51" i="3"/>
  <c r="B10" i="3"/>
  <c r="B35" i="3"/>
  <c r="H43" i="3"/>
  <c r="B17" i="3"/>
  <c r="D23" i="3"/>
  <c r="D14" i="3"/>
  <c r="B39" i="3"/>
  <c r="G55" i="3"/>
  <c r="G58" i="3"/>
  <c r="F28" i="3"/>
  <c r="H21" i="3"/>
  <c r="B23" i="3"/>
  <c r="D17" i="3"/>
  <c r="F9" i="3"/>
  <c r="H39" i="3"/>
  <c r="D30" i="3"/>
  <c r="F15" i="3"/>
  <c r="F12" i="3"/>
  <c r="G59" i="3"/>
  <c r="B12" i="3"/>
  <c r="D43" i="3"/>
  <c r="D22" i="3"/>
  <c r="F14" i="3"/>
  <c r="G63" i="3"/>
  <c r="D29" i="3"/>
  <c r="H12" i="3"/>
  <c r="F35" i="3"/>
  <c r="D12" i="3"/>
  <c r="B16" i="3"/>
  <c r="G54" i="3"/>
  <c r="F13" i="3"/>
  <c r="B9" i="3"/>
  <c r="C39" i="3"/>
  <c r="F23" i="3"/>
  <c r="D16" i="3"/>
  <c r="E43" i="3"/>
  <c r="C47" i="3"/>
  <c r="F43" i="3"/>
  <c r="B14" i="3"/>
  <c r="D47" i="3"/>
  <c r="G53" i="3"/>
  <c r="B13" i="3"/>
  <c r="F29" i="3"/>
  <c r="G39" i="3"/>
  <c r="B11" i="3"/>
  <c r="U80" i="96"/>
  <c r="L52" i="96"/>
  <c r="AK52" i="96"/>
  <c r="G84" i="96"/>
  <c r="AJ58" i="96"/>
  <c r="AL88" i="96"/>
  <c r="H14" i="96"/>
  <c r="N17" i="96"/>
  <c r="AI92" i="96"/>
  <c r="AQ96" i="96"/>
  <c r="Y61" i="96"/>
  <c r="Q12" i="96"/>
  <c r="J62" i="96"/>
  <c r="AC20" i="96"/>
  <c r="P44" i="96"/>
  <c r="AS28" i="96"/>
  <c r="AA75" i="96"/>
  <c r="AC74" i="96"/>
  <c r="M96" i="96"/>
  <c r="U58" i="96"/>
  <c r="O72" i="96"/>
  <c r="T75" i="96"/>
  <c r="W49" i="96"/>
  <c r="Y59" i="96"/>
  <c r="V34" i="96"/>
  <c r="N82" i="96"/>
  <c r="AT40" i="96"/>
  <c r="D81" i="96"/>
  <c r="E66" i="96"/>
  <c r="Z52" i="96"/>
  <c r="AR48" i="96"/>
  <c r="AW40" i="96"/>
  <c r="AF98" i="96"/>
  <c r="AI23" i="96"/>
  <c r="AS46" i="96"/>
  <c r="T24" i="96"/>
  <c r="AS36" i="96"/>
  <c r="E59" i="96"/>
  <c r="AH102" i="96"/>
  <c r="AW96" i="96"/>
  <c r="AW24" i="96"/>
  <c r="AT82" i="96"/>
  <c r="AD70" i="96"/>
  <c r="K25" i="96"/>
  <c r="X41" i="96"/>
  <c r="AA28" i="96"/>
  <c r="AJ44" i="96"/>
  <c r="AO44" i="96"/>
  <c r="AD75" i="96"/>
  <c r="I69" i="96"/>
  <c r="AG83" i="96"/>
  <c r="AR91" i="96"/>
  <c r="AO98" i="96"/>
  <c r="AL44" i="96"/>
  <c r="AS17" i="96"/>
  <c r="Z98" i="96"/>
  <c r="D102" i="96"/>
  <c r="AI28" i="96"/>
  <c r="AF70" i="96"/>
  <c r="AT39" i="96"/>
  <c r="G60" i="96"/>
  <c r="AW69" i="96"/>
  <c r="AO92" i="96"/>
  <c r="AP50" i="96"/>
  <c r="AH76" i="96"/>
  <c r="R102" i="96"/>
  <c r="AW32" i="96"/>
  <c r="X87" i="96"/>
  <c r="AV43" i="96"/>
  <c r="AB42" i="96"/>
  <c r="AH15" i="96"/>
  <c r="N28" i="96"/>
  <c r="AJ90" i="96"/>
  <c r="AQ60" i="96"/>
  <c r="AJ31" i="96"/>
  <c r="AW53" i="96"/>
  <c r="AC98" i="96"/>
  <c r="AK101" i="96"/>
  <c r="AQ45" i="96"/>
  <c r="AC23" i="96"/>
  <c r="AJ86" i="96"/>
  <c r="AW74" i="96"/>
  <c r="K96" i="96"/>
  <c r="AO50" i="96"/>
  <c r="AN29" i="96"/>
  <c r="AB87" i="96"/>
  <c r="AS32" i="96"/>
  <c r="AA97" i="96"/>
  <c r="O88" i="96"/>
  <c r="AK75" i="96"/>
  <c r="AO20" i="96"/>
  <c r="AU27" i="96"/>
  <c r="AQ19" i="96"/>
  <c r="AC19" i="96"/>
  <c r="O106" i="96"/>
  <c r="AW41" i="96"/>
  <c r="AV23" i="96"/>
  <c r="AQ38" i="96"/>
  <c r="AP27" i="96"/>
  <c r="AR95" i="96"/>
  <c r="Y42" i="96"/>
  <c r="AL97" i="96"/>
  <c r="AU93" i="96"/>
  <c r="AN24" i="96"/>
  <c r="AM97" i="96"/>
  <c r="AL21" i="96"/>
  <c r="AR11" i="96"/>
  <c r="L38" i="96"/>
  <c r="AJ52" i="96"/>
  <c r="AF47" i="96"/>
  <c r="R74" i="96"/>
  <c r="G12" i="96"/>
  <c r="AV42" i="96"/>
  <c r="C87" i="96"/>
  <c r="G20" i="96"/>
  <c r="F70" i="96"/>
  <c r="AG49" i="96"/>
  <c r="AC51" i="96"/>
  <c r="AQ64" i="96"/>
  <c r="Q53" i="96"/>
  <c r="AP29" i="96"/>
  <c r="M19" i="96"/>
  <c r="H89" i="96"/>
  <c r="AM98" i="96"/>
  <c r="AO97" i="96"/>
  <c r="AC49" i="96"/>
  <c r="Y81" i="96"/>
  <c r="AK82" i="96"/>
  <c r="AM91" i="96"/>
  <c r="I87" i="96"/>
  <c r="AS78" i="96"/>
  <c r="AI102" i="96"/>
  <c r="AN45" i="96"/>
  <c r="AW35" i="96"/>
  <c r="AS15" i="96"/>
  <c r="AT59" i="96"/>
  <c r="AW66" i="96"/>
  <c r="AW86" i="96"/>
  <c r="AT72" i="96"/>
  <c r="AK49" i="96"/>
  <c r="AW81" i="96"/>
  <c r="AG74" i="96"/>
  <c r="AL40" i="96"/>
  <c r="V94" i="96"/>
  <c r="L34" i="96"/>
  <c r="F13" i="96"/>
  <c r="AV29" i="96"/>
  <c r="AM30" i="96"/>
  <c r="AR20" i="96"/>
  <c r="C95" i="96"/>
  <c r="AR30" i="96"/>
  <c r="AT90" i="96"/>
  <c r="I13" i="96"/>
  <c r="AN48" i="96"/>
  <c r="AP43" i="96"/>
  <c r="Y93" i="96"/>
  <c r="AQ48" i="96"/>
  <c r="D39" i="96"/>
  <c r="AN33" i="96"/>
  <c r="C83" i="96"/>
  <c r="AI25" i="96"/>
  <c r="AG84" i="96"/>
  <c r="D101" i="96"/>
  <c r="AS94" i="96"/>
  <c r="Y84" i="96"/>
  <c r="D75" i="96"/>
  <c r="V95" i="96"/>
  <c r="AW90" i="96"/>
  <c r="AR69" i="96"/>
  <c r="E72" i="96"/>
  <c r="AQ51" i="96"/>
  <c r="F45" i="96"/>
  <c r="AE9" i="96"/>
  <c r="Q80" i="96"/>
  <c r="AA81" i="96"/>
  <c r="AI15" i="96"/>
  <c r="W62" i="96"/>
  <c r="AU11" i="96"/>
  <c r="V21" i="96"/>
  <c r="Y71" i="96"/>
  <c r="AB8" i="96"/>
  <c r="AL18" i="96"/>
  <c r="W82" i="96"/>
  <c r="AH73" i="96"/>
  <c r="AQ66" i="96"/>
  <c r="G97" i="96"/>
  <c r="AV61" i="96"/>
  <c r="L87" i="96"/>
  <c r="J69" i="96"/>
  <c r="AH53" i="96"/>
  <c r="AD57" i="96"/>
  <c r="AD82" i="96"/>
  <c r="AV63" i="96"/>
  <c r="E12" i="96"/>
  <c r="AG81" i="96"/>
  <c r="AW47" i="96"/>
  <c r="X62" i="96"/>
  <c r="AQ50" i="96"/>
  <c r="AM76" i="96"/>
  <c r="AQ81" i="96"/>
  <c r="AF18" i="96"/>
  <c r="AI19" i="96"/>
  <c r="F90" i="96"/>
  <c r="AO15" i="96"/>
  <c r="Y90" i="96"/>
  <c r="T11" i="96"/>
  <c r="AQ92" i="96"/>
  <c r="O24" i="96"/>
  <c r="V26" i="96"/>
  <c r="X79" i="96"/>
  <c r="T41" i="96"/>
  <c r="M81" i="96"/>
  <c r="AL13" i="96"/>
  <c r="E43" i="96"/>
  <c r="C18" i="96"/>
  <c r="AL12" i="96"/>
  <c r="AG12" i="96"/>
  <c r="P73" i="96"/>
  <c r="X86" i="96"/>
  <c r="AI94" i="96"/>
  <c r="AV72" i="96"/>
  <c r="AF95" i="96"/>
  <c r="AG85" i="96"/>
  <c r="O77" i="96"/>
  <c r="AP49" i="96"/>
  <c r="N101" i="96"/>
  <c r="AD39" i="96"/>
  <c r="P77" i="96"/>
  <c r="AQ63" i="96"/>
  <c r="AI44" i="96"/>
  <c r="S80" i="96"/>
  <c r="AR21" i="96"/>
  <c r="AL89" i="96"/>
  <c r="AB90" i="96"/>
  <c r="AB79" i="96"/>
  <c r="AS99" i="96"/>
  <c r="E69" i="96"/>
  <c r="AN53" i="96"/>
  <c r="N30" i="96"/>
  <c r="AG66" i="96"/>
  <c r="AT24" i="96"/>
  <c r="AI91" i="96"/>
  <c r="K57" i="96"/>
  <c r="AT68" i="96"/>
  <c r="N9" i="96"/>
  <c r="AT91" i="96"/>
  <c r="AK47" i="96"/>
  <c r="AS92" i="96"/>
  <c r="W48" i="96"/>
  <c r="AS47" i="96"/>
  <c r="D80" i="96"/>
  <c r="AN39" i="96"/>
  <c r="F59" i="96"/>
  <c r="AS76" i="96"/>
  <c r="AM72" i="96"/>
  <c r="W98" i="96"/>
  <c r="AB81" i="96"/>
  <c r="AT100" i="96"/>
  <c r="AM74" i="96"/>
  <c r="AB85" i="96"/>
  <c r="AS72" i="96"/>
  <c r="Y85" i="96"/>
  <c r="AR42" i="96"/>
  <c r="AA32" i="96"/>
  <c r="AJ45" i="96"/>
  <c r="AA92" i="96"/>
  <c r="F14" i="96"/>
  <c r="W14" i="96"/>
  <c r="C85" i="96"/>
  <c r="R8" i="96"/>
  <c r="AK93" i="96"/>
  <c r="AF74" i="96"/>
  <c r="J42" i="96"/>
  <c r="I20" i="96"/>
  <c r="M73" i="96"/>
  <c r="U18" i="96"/>
  <c r="AH69" i="96"/>
  <c r="AN11" i="96"/>
  <c r="P9" i="96"/>
  <c r="O20" i="96"/>
  <c r="H102" i="96"/>
  <c r="S94" i="96"/>
  <c r="U32" i="96"/>
  <c r="AR19" i="96"/>
  <c r="P10" i="96"/>
  <c r="AB68" i="96"/>
  <c r="AL17" i="96"/>
  <c r="U45" i="96"/>
  <c r="AC10" i="96"/>
  <c r="R68" i="96"/>
  <c r="AO24" i="96"/>
  <c r="AJ87" i="96"/>
  <c r="AA9" i="96"/>
  <c r="AJ74" i="96"/>
  <c r="AL86" i="96"/>
  <c r="AQ18" i="96"/>
  <c r="AG36" i="96"/>
  <c r="O108" i="96"/>
  <c r="AD44" i="96"/>
  <c r="AL84" i="96"/>
  <c r="AE35" i="96"/>
  <c r="AH30" i="96"/>
  <c r="D91" i="96"/>
  <c r="AO71" i="96"/>
  <c r="AF51" i="96"/>
  <c r="AH97" i="96"/>
  <c r="AV51" i="96"/>
  <c r="AI87" i="96"/>
  <c r="T102" i="96"/>
  <c r="V87" i="96"/>
  <c r="AJ77" i="96"/>
  <c r="C68" i="96"/>
  <c r="AO51" i="96"/>
  <c r="AQ68" i="96"/>
  <c r="P42" i="96"/>
  <c r="T29" i="96"/>
  <c r="AQ91" i="96"/>
  <c r="AW43" i="96"/>
  <c r="AG53" i="96"/>
  <c r="AB47" i="96"/>
  <c r="AL45" i="96"/>
  <c r="AF40" i="96"/>
  <c r="S102" i="96"/>
  <c r="AQ100" i="96"/>
  <c r="AP33" i="96"/>
  <c r="AP88" i="96"/>
  <c r="AV60" i="96"/>
  <c r="AL38" i="96"/>
  <c r="Y63" i="96"/>
  <c r="AI101" i="96"/>
  <c r="AV92" i="96"/>
  <c r="X102" i="96"/>
  <c r="C81" i="96"/>
  <c r="AU78" i="96"/>
  <c r="D67" i="96"/>
  <c r="AG92" i="96"/>
  <c r="AG102" i="96"/>
  <c r="AC44" i="96"/>
  <c r="AS43" i="96"/>
  <c r="F20" i="96"/>
  <c r="AH8" i="96"/>
  <c r="W72" i="96"/>
  <c r="D34" i="96"/>
  <c r="X68" i="96"/>
  <c r="G68" i="96"/>
  <c r="D95" i="96"/>
  <c r="AM14" i="96"/>
  <c r="AK96" i="96"/>
  <c r="AA61" i="96"/>
  <c r="AF97" i="96"/>
  <c r="AC12" i="96"/>
  <c r="AR23" i="96"/>
  <c r="Q60" i="96"/>
  <c r="AR82" i="96"/>
  <c r="AF93" i="96"/>
  <c r="AL92" i="96"/>
  <c r="AS82" i="96"/>
  <c r="AL50" i="96"/>
  <c r="AV34" i="96"/>
  <c r="AT61" i="96"/>
  <c r="AE57" i="96"/>
  <c r="AH78" i="96"/>
  <c r="I58" i="96"/>
  <c r="AR96" i="96"/>
  <c r="AO35" i="96"/>
  <c r="AN49" i="96"/>
  <c r="AN22" i="96"/>
  <c r="AP10" i="96"/>
  <c r="Y99" i="96"/>
  <c r="AL72" i="96"/>
  <c r="AW82" i="96"/>
  <c r="AQ41" i="96"/>
  <c r="AI89" i="96"/>
  <c r="AC79" i="96"/>
  <c r="AK38" i="96"/>
  <c r="AV37" i="96"/>
  <c r="AC41" i="96"/>
  <c r="AR41" i="96"/>
  <c r="AV21" i="96"/>
  <c r="M51" i="96"/>
  <c r="AA91" i="96"/>
  <c r="AA30" i="96"/>
  <c r="AO86" i="96"/>
  <c r="AC34" i="96"/>
  <c r="G67" i="96"/>
  <c r="R61" i="96"/>
  <c r="P78" i="96"/>
  <c r="AP85" i="96"/>
  <c r="AR9" i="96"/>
  <c r="E76" i="96"/>
  <c r="AR8" i="96"/>
  <c r="AK24" i="96"/>
  <c r="X51" i="96"/>
  <c r="AD92" i="96"/>
  <c r="C89" i="96"/>
  <c r="AD36" i="96"/>
  <c r="AT42" i="96"/>
  <c r="AU90" i="96"/>
  <c r="AR26" i="96"/>
  <c r="AP98" i="96"/>
  <c r="U93" i="96"/>
  <c r="AU34" i="96"/>
  <c r="AS74" i="96"/>
  <c r="D71" i="96"/>
  <c r="AV59" i="96"/>
  <c r="AC81" i="96"/>
  <c r="H58" i="96"/>
  <c r="AS42" i="96"/>
  <c r="AC32" i="96"/>
  <c r="F61" i="96"/>
  <c r="E81" i="96"/>
  <c r="AQ59" i="96"/>
  <c r="AP48" i="96"/>
  <c r="AR24" i="96"/>
  <c r="H65" i="96"/>
  <c r="AO89" i="96"/>
  <c r="AI30" i="96"/>
  <c r="AT84" i="96"/>
  <c r="AE95" i="96"/>
  <c r="AL98" i="96"/>
  <c r="AD42" i="96"/>
  <c r="AQ89" i="96"/>
  <c r="G62" i="96"/>
  <c r="AU35" i="96"/>
  <c r="AJ95" i="96"/>
  <c r="AE41" i="96"/>
  <c r="R44" i="96"/>
  <c r="AE50" i="96"/>
  <c r="AB67" i="96"/>
  <c r="L8" i="96"/>
  <c r="AI29" i="96"/>
  <c r="AR64" i="96"/>
  <c r="AC82" i="96"/>
  <c r="AI80" i="96"/>
  <c r="AJ78" i="96"/>
  <c r="E41" i="96"/>
  <c r="AV38" i="96"/>
  <c r="AN74" i="96"/>
  <c r="AK79" i="96"/>
  <c r="AR89" i="96"/>
  <c r="O65" i="96"/>
  <c r="D72" i="96"/>
  <c r="AQ85" i="96"/>
  <c r="AH42" i="96"/>
  <c r="AG59" i="96"/>
  <c r="U36" i="96"/>
  <c r="AP73" i="96"/>
  <c r="AG95" i="96"/>
  <c r="AU23" i="96"/>
  <c r="AL35" i="96"/>
  <c r="AH83" i="96"/>
  <c r="AE81" i="96"/>
  <c r="AS84" i="96"/>
  <c r="AG87" i="96"/>
  <c r="AG52" i="96"/>
  <c r="X84" i="96"/>
  <c r="AQ86" i="96"/>
  <c r="AV62" i="96"/>
  <c r="AU62" i="96"/>
  <c r="W19" i="96"/>
  <c r="T52" i="96"/>
  <c r="AL29" i="96"/>
  <c r="AH91" i="96"/>
  <c r="AU65" i="96"/>
  <c r="AM100" i="96"/>
  <c r="J8" i="96"/>
  <c r="AS88" i="96"/>
  <c r="P83" i="96"/>
  <c r="AF31" i="96"/>
  <c r="AS81" i="96"/>
  <c r="AK89" i="96"/>
  <c r="C62" i="96"/>
  <c r="AE93" i="96"/>
  <c r="P45" i="96"/>
  <c r="K44" i="96"/>
  <c r="H52" i="96"/>
  <c r="M34" i="96"/>
  <c r="J82" i="96"/>
  <c r="F38" i="96"/>
  <c r="R41" i="96"/>
  <c r="K100" i="96"/>
  <c r="AR38" i="96"/>
  <c r="V36" i="96"/>
  <c r="J72" i="96"/>
  <c r="X67" i="96"/>
  <c r="AK65" i="96"/>
  <c r="O78" i="96"/>
  <c r="Q96" i="96"/>
  <c r="AF24" i="96"/>
  <c r="AE99" i="96"/>
  <c r="AI86" i="96"/>
  <c r="H20" i="96"/>
  <c r="AI38" i="96"/>
  <c r="AD97" i="96"/>
  <c r="AE48" i="96"/>
  <c r="AI35" i="96"/>
  <c r="AQ32" i="96"/>
  <c r="AH36" i="96"/>
  <c r="AH68" i="96"/>
  <c r="L74" i="96"/>
  <c r="R82" i="96"/>
  <c r="J85" i="96"/>
  <c r="C47" i="96"/>
  <c r="Y50" i="96"/>
  <c r="L78" i="96"/>
  <c r="O64" i="96"/>
  <c r="G33" i="96"/>
  <c r="I37" i="96"/>
  <c r="T81" i="96"/>
  <c r="I42" i="96"/>
  <c r="AT26" i="96"/>
  <c r="D37" i="96"/>
  <c r="X48" i="96"/>
  <c r="H21" i="96"/>
  <c r="AN80" i="96"/>
  <c r="AU63" i="96"/>
  <c r="O37" i="96"/>
  <c r="AU69" i="96"/>
  <c r="AI70" i="96"/>
  <c r="AD87" i="96"/>
  <c r="AV97" i="96"/>
  <c r="AE28" i="96"/>
  <c r="H57" i="96"/>
  <c r="AU91" i="96"/>
  <c r="K105" i="90"/>
  <c r="J104" i="90"/>
  <c r="E100" i="90"/>
  <c r="K68" i="90"/>
  <c r="F36" i="90"/>
  <c r="F14" i="90" s="1"/>
  <c r="J52" i="90"/>
  <c r="P96" i="13"/>
  <c r="C150" i="13"/>
  <c r="U17" i="13"/>
  <c r="Y140" i="13"/>
  <c r="E16" i="13"/>
  <c r="AA149" i="13"/>
  <c r="AB204" i="13"/>
  <c r="U155" i="13"/>
  <c r="M117" i="13"/>
  <c r="L68" i="13"/>
  <c r="AB247" i="13"/>
  <c r="D186" i="13"/>
  <c r="AC206" i="13"/>
  <c r="U93" i="13"/>
  <c r="Y175" i="13"/>
  <c r="X56" i="13"/>
  <c r="S78" i="13"/>
  <c r="E43" i="13"/>
  <c r="V201" i="13"/>
  <c r="G17" i="13"/>
  <c r="Z61" i="13"/>
  <c r="S123" i="13"/>
  <c r="E231" i="13"/>
  <c r="AA29" i="13"/>
  <c r="S126" i="13"/>
  <c r="R84" i="13"/>
  <c r="V47" i="13"/>
  <c r="Y221" i="13"/>
  <c r="T13" i="13"/>
  <c r="G228" i="13"/>
  <c r="Z95" i="13"/>
  <c r="S243" i="13"/>
  <c r="H135" i="13"/>
  <c r="K164" i="13"/>
  <c r="AA122" i="13"/>
  <c r="G152" i="13"/>
  <c r="G96" i="13"/>
  <c r="U186" i="13"/>
  <c r="H58" i="13"/>
  <c r="V78" i="13"/>
  <c r="U74" i="13"/>
  <c r="F22" i="13"/>
  <c r="Z220" i="13"/>
  <c r="N200" i="13"/>
  <c r="T114" i="13"/>
  <c r="N111" i="13"/>
  <c r="I156" i="13"/>
  <c r="T235" i="13"/>
  <c r="E79" i="13"/>
  <c r="R177" i="13"/>
  <c r="I20" i="13"/>
  <c r="R133" i="13"/>
  <c r="P131" i="13"/>
  <c r="S157" i="13"/>
  <c r="D94" i="13"/>
  <c r="M80" i="13"/>
  <c r="U94" i="13"/>
  <c r="V27" i="13"/>
  <c r="S188" i="13"/>
  <c r="AB61" i="13"/>
  <c r="I110" i="13"/>
  <c r="M147" i="13"/>
  <c r="Z96" i="13"/>
  <c r="J21" i="13"/>
  <c r="T97" i="13"/>
  <c r="X141" i="13"/>
  <c r="I103" i="13"/>
  <c r="K203" i="13"/>
  <c r="M23" i="13"/>
  <c r="H33" i="13"/>
  <c r="C189" i="13"/>
  <c r="K98" i="13"/>
  <c r="T34" i="13"/>
  <c r="AA100" i="13"/>
  <c r="AA20" i="13"/>
  <c r="X107" i="13"/>
  <c r="C125" i="13"/>
  <c r="X216" i="13"/>
  <c r="U26" i="13"/>
  <c r="G21" i="13"/>
  <c r="AB236" i="13"/>
  <c r="N153" i="13"/>
  <c r="AB226" i="13"/>
  <c r="AB145" i="13"/>
  <c r="AC229" i="13"/>
  <c r="W52" i="13"/>
  <c r="P33" i="13"/>
  <c r="T101" i="13"/>
  <c r="R16" i="13"/>
  <c r="R69" i="13"/>
  <c r="Y226" i="13"/>
  <c r="AC74" i="13"/>
  <c r="I36" i="13"/>
  <c r="L76" i="13"/>
  <c r="D53" i="13"/>
  <c r="Z154" i="13"/>
  <c r="N158" i="13"/>
  <c r="S101" i="13"/>
  <c r="AC162" i="13"/>
  <c r="W136" i="13"/>
  <c r="N137" i="13"/>
  <c r="R118" i="13"/>
  <c r="R139" i="13"/>
  <c r="AC105" i="13"/>
  <c r="E195" i="13"/>
  <c r="H190" i="13"/>
  <c r="D246" i="13"/>
  <c r="H22" i="13"/>
  <c r="Y213" i="13"/>
  <c r="X51" i="13"/>
  <c r="AB224" i="13"/>
  <c r="N247" i="13"/>
  <c r="O158" i="13"/>
  <c r="V34" i="13"/>
  <c r="V183" i="13"/>
  <c r="M207" i="13"/>
  <c r="J247" i="13"/>
  <c r="C202" i="13"/>
  <c r="AB74" i="13"/>
  <c r="N214" i="13"/>
  <c r="O191" i="13"/>
  <c r="J85" i="13"/>
  <c r="S206" i="13"/>
  <c r="AC127" i="13"/>
  <c r="U218" i="13"/>
  <c r="L87" i="13"/>
  <c r="D174" i="13"/>
  <c r="D60" i="13"/>
  <c r="Q123" i="13"/>
  <c r="R157" i="13"/>
  <c r="O68" i="13"/>
  <c r="AB16" i="13"/>
  <c r="W221" i="13"/>
  <c r="J91" i="13"/>
  <c r="Y136" i="13"/>
  <c r="O105" i="13"/>
  <c r="E24" i="13"/>
  <c r="Y154" i="13"/>
  <c r="AA58" i="13"/>
  <c r="V86" i="13"/>
  <c r="L138" i="13"/>
  <c r="K18" i="13"/>
  <c r="D203" i="13"/>
  <c r="Q132" i="13"/>
  <c r="W232" i="13"/>
  <c r="T41" i="13"/>
  <c r="U28" i="13"/>
  <c r="AC61" i="13"/>
  <c r="K232" i="13"/>
  <c r="L223" i="13"/>
  <c r="M193" i="13"/>
  <c r="I107" i="13"/>
  <c r="Q148" i="13"/>
  <c r="W236" i="13"/>
  <c r="F193" i="13"/>
  <c r="AA232" i="13"/>
  <c r="G164" i="13"/>
  <c r="Y56" i="13"/>
  <c r="P68" i="13"/>
  <c r="T200" i="13"/>
  <c r="X47" i="13"/>
  <c r="Y199" i="13"/>
  <c r="S63" i="13"/>
  <c r="G80" i="13"/>
  <c r="G38" i="13"/>
  <c r="H70" i="13"/>
  <c r="V214" i="13"/>
  <c r="L152" i="13"/>
  <c r="I165" i="13"/>
  <c r="AB218" i="13"/>
  <c r="X111" i="13"/>
  <c r="N119" i="13"/>
  <c r="O95" i="13"/>
  <c r="U15" i="13"/>
  <c r="U187" i="13"/>
  <c r="T192" i="13"/>
  <c r="V136" i="13"/>
  <c r="AA84" i="13"/>
  <c r="I173" i="13"/>
  <c r="AA132" i="13"/>
  <c r="AB200" i="13"/>
  <c r="T14" i="13"/>
  <c r="I79" i="13"/>
  <c r="AB151" i="13"/>
  <c r="F53" i="13"/>
  <c r="V143" i="13"/>
  <c r="L183" i="13"/>
  <c r="V19" i="13"/>
  <c r="D54" i="13"/>
  <c r="V186" i="13"/>
  <c r="W37" i="13"/>
  <c r="Z47" i="13"/>
  <c r="M126" i="13"/>
  <c r="AC197" i="13"/>
  <c r="AB96" i="13"/>
  <c r="AB21" i="13"/>
  <c r="O206" i="13"/>
  <c r="K121" i="13"/>
  <c r="I66" i="13"/>
  <c r="X42" i="13"/>
  <c r="V94" i="13"/>
  <c r="AB233" i="13"/>
  <c r="V37" i="13"/>
  <c r="R59" i="13"/>
  <c r="F119" i="13"/>
  <c r="V161" i="13"/>
  <c r="M237" i="13"/>
  <c r="U20" i="13"/>
  <c r="M152" i="13"/>
  <c r="M216" i="13"/>
  <c r="AB183" i="13"/>
  <c r="O240" i="13"/>
  <c r="I192" i="13"/>
  <c r="E216" i="13"/>
  <c r="Z109" i="13"/>
  <c r="AB148" i="13"/>
  <c r="Y234" i="13"/>
  <c r="M26" i="13"/>
  <c r="E83" i="13"/>
  <c r="E200" i="13"/>
  <c r="Z234" i="13"/>
  <c r="D148" i="13"/>
  <c r="N78" i="13"/>
  <c r="M243" i="13"/>
  <c r="R240" i="13"/>
  <c r="W53" i="13"/>
  <c r="S104" i="13"/>
  <c r="V33" i="13"/>
  <c r="L46" i="13"/>
  <c r="T43" i="13"/>
  <c r="Q131" i="13"/>
  <c r="T206" i="13"/>
  <c r="R57" i="13"/>
  <c r="Y153" i="13"/>
  <c r="M176" i="13"/>
  <c r="G178" i="13"/>
  <c r="G91" i="13"/>
  <c r="M82" i="13"/>
  <c r="W23" i="13"/>
  <c r="R245" i="13"/>
  <c r="E117" i="13"/>
  <c r="J43" i="13"/>
  <c r="P63" i="13"/>
  <c r="J82" i="13"/>
  <c r="L32" i="13"/>
  <c r="F141" i="13"/>
  <c r="Q84" i="13"/>
  <c r="AA24" i="13"/>
  <c r="I198" i="13"/>
  <c r="K225" i="13"/>
  <c r="T181" i="13"/>
  <c r="AC19" i="13"/>
  <c r="Y235" i="13"/>
  <c r="Z147" i="13"/>
  <c r="S51" i="13"/>
  <c r="F106" i="13"/>
  <c r="H165" i="13"/>
  <c r="H221" i="13"/>
  <c r="W171" i="13"/>
  <c r="W92" i="13"/>
  <c r="O202" i="13"/>
  <c r="S182" i="13"/>
  <c r="W205" i="13"/>
  <c r="C66" i="13"/>
  <c r="M22" i="13"/>
  <c r="Z181" i="13"/>
  <c r="X22" i="13"/>
  <c r="D216" i="13"/>
  <c r="X244" i="13"/>
  <c r="U71" i="13"/>
  <c r="N15" i="13"/>
  <c r="Z205" i="13"/>
  <c r="AA151" i="13"/>
  <c r="C163" i="13"/>
  <c r="O122" i="13"/>
  <c r="M113" i="13"/>
  <c r="E126" i="13"/>
  <c r="X205" i="13"/>
  <c r="O31" i="13"/>
  <c r="K182" i="13"/>
  <c r="V59" i="13"/>
  <c r="R25" i="13"/>
  <c r="O238" i="13"/>
  <c r="P69" i="13"/>
  <c r="AB135" i="13"/>
  <c r="U76" i="13"/>
  <c r="S181" i="13"/>
  <c r="AA62" i="13"/>
  <c r="X36" i="13"/>
  <c r="Z226" i="13"/>
  <c r="M190" i="28"/>
  <c r="F148" i="28"/>
  <c r="N54" i="28"/>
  <c r="N14" i="28" s="1"/>
  <c r="W180" i="28"/>
  <c r="M58" i="28"/>
  <c r="M18" i="28" s="1"/>
  <c r="N122" i="28"/>
  <c r="D159" i="28"/>
  <c r="U64" i="28"/>
  <c r="U24" i="28" s="1"/>
  <c r="L193" i="28"/>
  <c r="C114" i="28"/>
  <c r="J152" i="28"/>
  <c r="C54" i="28"/>
  <c r="C14" i="28" s="1"/>
  <c r="N241" i="28"/>
  <c r="Y224" i="28"/>
  <c r="F238" i="28"/>
  <c r="N165" i="28"/>
  <c r="G172" i="28"/>
  <c r="L217" i="28"/>
  <c r="G161" i="28"/>
  <c r="X196" i="28"/>
  <c r="L210" i="28"/>
  <c r="T234" i="28"/>
  <c r="V205" i="28"/>
  <c r="W211" i="28"/>
  <c r="S67" i="28"/>
  <c r="S27" i="28" s="1"/>
  <c r="P172" i="28"/>
  <c r="U125" i="28"/>
  <c r="X219" i="28"/>
  <c r="P217" i="28"/>
  <c r="I162" i="28"/>
  <c r="P162" i="28"/>
  <c r="M146" i="28"/>
  <c r="C132" i="28"/>
  <c r="W99" i="28"/>
  <c r="U73" i="28"/>
  <c r="U33" i="28" s="1"/>
  <c r="E219" i="28"/>
  <c r="C63" i="28"/>
  <c r="C23" i="28" s="1"/>
  <c r="N86" i="28"/>
  <c r="N46" i="28" s="1"/>
  <c r="F135" i="28"/>
  <c r="I216" i="28"/>
  <c r="S162" i="28"/>
  <c r="V62" i="28"/>
  <c r="V22" i="28" s="1"/>
  <c r="O69" i="28"/>
  <c r="O29" i="28" s="1"/>
  <c r="X166" i="28"/>
  <c r="R56" i="28"/>
  <c r="R16" i="28" s="1"/>
  <c r="G66" i="28"/>
  <c r="G26" i="28" s="1"/>
  <c r="F190" i="28"/>
  <c r="U241" i="28"/>
  <c r="C238" i="28"/>
  <c r="G120" i="28"/>
  <c r="E193" i="28"/>
  <c r="P222" i="28"/>
  <c r="C202" i="28"/>
  <c r="W176" i="28"/>
  <c r="O173" i="28"/>
  <c r="J116" i="28"/>
  <c r="O159" i="28"/>
  <c r="L102" i="28"/>
  <c r="J72" i="28"/>
  <c r="J32" i="28" s="1"/>
  <c r="F166" i="28"/>
  <c r="L72" i="28"/>
  <c r="L32" i="28" s="1"/>
  <c r="D154" i="28"/>
  <c r="S238" i="28"/>
  <c r="L50" i="28"/>
  <c r="L10" i="28" s="1"/>
  <c r="S104" i="28"/>
  <c r="Y239" i="28"/>
  <c r="Q104" i="28"/>
  <c r="S102" i="28"/>
  <c r="T109" i="28"/>
  <c r="S181" i="28"/>
  <c r="D76" i="28"/>
  <c r="D36" i="28" s="1"/>
  <c r="Y222" i="28"/>
  <c r="M50" i="28"/>
  <c r="M10" i="28" s="1"/>
  <c r="G124" i="28"/>
  <c r="H243" i="28"/>
  <c r="H206" i="28"/>
  <c r="S71" i="28"/>
  <c r="S31" i="28" s="1"/>
  <c r="U94" i="28"/>
  <c r="U93" i="28"/>
  <c r="H123" i="28"/>
  <c r="X114" i="28"/>
  <c r="Y57" i="28"/>
  <c r="Y17" i="28" s="1"/>
  <c r="Y204" i="28"/>
  <c r="E159" i="28"/>
  <c r="L181" i="28"/>
  <c r="X159" i="28"/>
  <c r="D232" i="28"/>
  <c r="U196" i="28"/>
  <c r="Q66" i="28"/>
  <c r="Q26" i="28" s="1"/>
  <c r="U228" i="28"/>
  <c r="I241" i="28"/>
  <c r="K55" i="28"/>
  <c r="K15" i="28" s="1"/>
  <c r="G130" i="28"/>
  <c r="T112" i="28"/>
  <c r="R216" i="28"/>
  <c r="D184" i="28"/>
  <c r="O107" i="28"/>
  <c r="M55" i="28"/>
  <c r="M15" i="28" s="1"/>
  <c r="H109" i="28"/>
  <c r="S51" i="28"/>
  <c r="S11" i="28" s="1"/>
  <c r="T163" i="28"/>
  <c r="P151" i="28"/>
  <c r="T237" i="28"/>
  <c r="E196" i="28"/>
  <c r="S226" i="28"/>
  <c r="Q206" i="28"/>
  <c r="Y121" i="28"/>
  <c r="K180" i="28"/>
  <c r="C115" i="28"/>
  <c r="O74" i="28"/>
  <c r="O34" i="28" s="1"/>
  <c r="G231" i="28"/>
  <c r="F77" i="28"/>
  <c r="F37" i="28" s="1"/>
  <c r="K108" i="28"/>
  <c r="K85" i="28"/>
  <c r="K45" i="28" s="1"/>
  <c r="R190" i="28"/>
  <c r="D58" i="28"/>
  <c r="D18" i="28" s="1"/>
  <c r="G237" i="28"/>
  <c r="C205" i="28"/>
  <c r="Q229" i="28"/>
  <c r="N111" i="28"/>
  <c r="W132" i="28"/>
  <c r="C91" i="28"/>
  <c r="K220" i="28"/>
  <c r="D99" i="28"/>
  <c r="S52" i="28"/>
  <c r="S12" i="28" s="1"/>
  <c r="L202" i="28"/>
  <c r="W124" i="28"/>
  <c r="H98" i="28"/>
  <c r="G214" i="28"/>
  <c r="Q191" i="28"/>
  <c r="V71" i="28"/>
  <c r="V31" i="28" s="1"/>
  <c r="T229" i="28"/>
  <c r="T53" i="28"/>
  <c r="T13" i="28" s="1"/>
  <c r="T119" i="28"/>
  <c r="U115" i="28"/>
  <c r="F70" i="28"/>
  <c r="F30" i="28" s="1"/>
  <c r="Q63" i="28"/>
  <c r="Q23" i="28" s="1"/>
  <c r="U98" i="28"/>
  <c r="U205" i="28"/>
  <c r="T230" i="28"/>
  <c r="N55" i="28"/>
  <c r="N15" i="28" s="1"/>
  <c r="P213" i="28"/>
  <c r="Q196" i="28"/>
  <c r="R223" i="28"/>
  <c r="X203" i="28"/>
  <c r="W115" i="28"/>
  <c r="J185" i="28"/>
  <c r="H68" i="28"/>
  <c r="H28" i="28" s="1"/>
  <c r="X61" i="28"/>
  <c r="X21" i="28" s="1"/>
  <c r="J83" i="28"/>
  <c r="J43" i="28" s="1"/>
  <c r="H114" i="28"/>
  <c r="I233" i="28"/>
  <c r="I119" i="28"/>
  <c r="J197" i="28"/>
  <c r="C142" i="28"/>
  <c r="H60" i="28"/>
  <c r="H20" i="28" s="1"/>
  <c r="D189" i="28"/>
  <c r="M192" i="28"/>
  <c r="T175" i="28"/>
  <c r="S241" i="28"/>
  <c r="F116" i="28"/>
  <c r="H111" i="28"/>
  <c r="N163" i="28"/>
  <c r="E50" i="28"/>
  <c r="E10" i="28" s="1"/>
  <c r="H191" i="28"/>
  <c r="O180" i="28"/>
  <c r="W69" i="28"/>
  <c r="W29" i="28" s="1"/>
  <c r="H96" i="28"/>
  <c r="L120" i="28"/>
  <c r="H69" i="28"/>
  <c r="H29" i="28" s="1"/>
  <c r="R111" i="28"/>
  <c r="U67" i="28"/>
  <c r="U27" i="28" s="1"/>
  <c r="S214" i="28"/>
  <c r="E214" i="28"/>
  <c r="O237" i="28"/>
  <c r="O236" i="28"/>
  <c r="T192" i="28"/>
  <c r="Q238" i="28"/>
  <c r="P105" i="28"/>
  <c r="C226" i="28"/>
  <c r="P120" i="28"/>
  <c r="X185" i="28"/>
  <c r="D107" i="28"/>
  <c r="R177" i="28"/>
  <c r="H100" i="28"/>
  <c r="Y123" i="28"/>
  <c r="Y230" i="28"/>
  <c r="U134" i="28"/>
  <c r="J121" i="28"/>
  <c r="L135" i="28"/>
  <c r="C79" i="28"/>
  <c r="C39" i="28" s="1"/>
  <c r="Q224" i="28"/>
  <c r="J134" i="28"/>
  <c r="O92" i="28"/>
  <c r="X259" i="28"/>
  <c r="O139" i="28"/>
  <c r="W197" i="28"/>
  <c r="Y131" i="28"/>
  <c r="V80" i="28"/>
  <c r="V40" i="28" s="1"/>
  <c r="D175" i="28"/>
  <c r="F104" i="28"/>
  <c r="X210" i="28"/>
  <c r="M107" i="28"/>
  <c r="R221" i="28"/>
  <c r="J64" i="28"/>
  <c r="J24" i="28" s="1"/>
  <c r="F145" i="28"/>
  <c r="C113" i="28"/>
  <c r="K236" i="28"/>
  <c r="Q86" i="28"/>
  <c r="Q46" i="28" s="1"/>
  <c r="U233" i="28"/>
  <c r="F193" i="28"/>
  <c r="G131" i="28"/>
  <c r="R234" i="28"/>
  <c r="S223" i="28"/>
  <c r="F174" i="28"/>
  <c r="M99" i="28"/>
  <c r="V83" i="28"/>
  <c r="V43" i="28" s="1"/>
  <c r="G176" i="28"/>
  <c r="L52" i="28"/>
  <c r="L12" i="28" s="1"/>
  <c r="F93" i="28"/>
  <c r="U95" i="28"/>
  <c r="S210" i="28"/>
  <c r="I64" i="28"/>
  <c r="I24" i="28" s="1"/>
  <c r="T100" i="28"/>
  <c r="F213" i="28"/>
  <c r="E226" i="28"/>
  <c r="H152" i="28"/>
  <c r="R201" i="28"/>
  <c r="X135" i="28"/>
  <c r="V231" i="28"/>
  <c r="W78" i="28"/>
  <c r="W38" i="28" s="1"/>
  <c r="R176" i="28"/>
  <c r="J193" i="28"/>
  <c r="X109" i="28"/>
  <c r="O71" i="28"/>
  <c r="O31" i="28" s="1"/>
  <c r="V224" i="28"/>
  <c r="V146" i="28"/>
  <c r="G189" i="28"/>
  <c r="Q94" i="28"/>
  <c r="M188" i="28"/>
  <c r="Q68" i="28"/>
  <c r="Q28" i="28" s="1"/>
  <c r="O218" i="28"/>
  <c r="I160" i="28"/>
  <c r="K245" i="28"/>
  <c r="V196" i="28"/>
  <c r="J94" i="28"/>
  <c r="F243" i="28"/>
  <c r="I118" i="28"/>
  <c r="K82" i="28"/>
  <c r="K42" i="28" s="1"/>
  <c r="J123" i="28"/>
  <c r="V126" i="28"/>
  <c r="F246" i="28"/>
  <c r="Y153" i="28"/>
  <c r="N143" i="28"/>
  <c r="X67" i="28"/>
  <c r="X27" i="28" s="1"/>
  <c r="W231" i="28"/>
  <c r="O66" i="28"/>
  <c r="O26" i="28" s="1"/>
  <c r="Q93" i="28"/>
  <c r="Y84" i="28"/>
  <c r="Y44" i="28" s="1"/>
  <c r="S113" i="28"/>
  <c r="W60" i="28"/>
  <c r="W20" i="28" s="1"/>
  <c r="U231" i="28"/>
  <c r="E26" i="1"/>
  <c r="E26" i="31"/>
  <c r="E30" i="31"/>
  <c r="E28" i="1"/>
  <c r="F150" i="28"/>
  <c r="M183" i="28"/>
  <c r="O170" i="91"/>
  <c r="O8" i="97"/>
  <c r="X12" i="97"/>
  <c r="H18" i="97"/>
  <c r="M22" i="97"/>
  <c r="I27" i="97"/>
  <c r="E34" i="97"/>
  <c r="H39" i="97"/>
  <c r="Q44" i="97"/>
  <c r="I56" i="97"/>
  <c r="U65" i="97"/>
  <c r="K76" i="97"/>
  <c r="T99" i="97"/>
  <c r="Z120" i="97"/>
  <c r="C154" i="97"/>
  <c r="Y9" i="97"/>
  <c r="H14" i="97"/>
  <c r="P19" i="97"/>
  <c r="U23" i="97"/>
  <c r="G29" i="97"/>
  <c r="Q35" i="97"/>
  <c r="F41" i="97"/>
  <c r="Q46" i="97"/>
  <c r="U58" i="97"/>
  <c r="H69" i="97"/>
  <c r="P80" i="97"/>
  <c r="T104" i="97"/>
  <c r="V130" i="97"/>
  <c r="E169" i="97"/>
  <c r="D10" i="97"/>
  <c r="L15" i="97"/>
  <c r="Q19" i="97"/>
  <c r="D24" i="97"/>
  <c r="Q30" i="97"/>
  <c r="V35" i="97"/>
  <c r="G41" i="97"/>
  <c r="Y47" i="97"/>
  <c r="H59" i="97"/>
  <c r="O69" i="97"/>
  <c r="D85" i="97"/>
  <c r="N105" i="97"/>
  <c r="L131" i="97"/>
  <c r="U190" i="97"/>
  <c r="I11" i="97"/>
  <c r="T15" i="97"/>
  <c r="X20" i="97"/>
  <c r="L25" i="97"/>
  <c r="U30" i="97"/>
  <c r="O37" i="97"/>
  <c r="V42" i="97"/>
  <c r="E48" i="97"/>
  <c r="G62" i="97"/>
  <c r="Q72" i="97"/>
  <c r="P85" i="97"/>
  <c r="L111" i="97"/>
  <c r="N143" i="97"/>
  <c r="X193" i="97"/>
  <c r="P38" i="91"/>
  <c r="P13" i="91" s="1"/>
  <c r="F48" i="91"/>
  <c r="F23" i="91" s="1"/>
  <c r="H89" i="90"/>
  <c r="D82" i="90"/>
  <c r="M30" i="90"/>
  <c r="M8" i="90" s="1"/>
  <c r="J105" i="90"/>
  <c r="I128" i="90"/>
  <c r="H128" i="90"/>
  <c r="J79" i="90"/>
  <c r="I59" i="90"/>
  <c r="M60" i="90"/>
  <c r="I118" i="90"/>
  <c r="I98" i="90"/>
  <c r="M59" i="90"/>
  <c r="D89" i="90"/>
  <c r="M65" i="90"/>
  <c r="O88" i="90"/>
  <c r="M74" i="90"/>
  <c r="C125" i="90"/>
  <c r="H36" i="90"/>
  <c r="H14" i="90" s="1"/>
  <c r="J129" i="90"/>
  <c r="G118" i="90"/>
  <c r="C31" i="90"/>
  <c r="C9" i="90" s="1"/>
  <c r="E37" i="90"/>
  <c r="E15" i="90" s="1"/>
  <c r="D31" i="90"/>
  <c r="D9" i="90" s="1"/>
  <c r="N100" i="90"/>
  <c r="M36" i="90"/>
  <c r="M14" i="90" s="1"/>
  <c r="L37" i="90"/>
  <c r="L15" i="90" s="1"/>
  <c r="H60" i="90"/>
  <c r="J92" i="90"/>
  <c r="K101" i="90"/>
  <c r="F35" i="90"/>
  <c r="F13" i="90" s="1"/>
  <c r="E42" i="90"/>
  <c r="E20" i="90" s="1"/>
  <c r="K78" i="90"/>
  <c r="J8" i="97"/>
  <c r="R9" i="97"/>
  <c r="F11" i="97"/>
  <c r="N12" i="97"/>
  <c r="V13" i="97"/>
  <c r="J15" i="97"/>
  <c r="R16" i="97"/>
  <c r="Z17" i="97"/>
  <c r="N19" i="97"/>
  <c r="V20" i="97"/>
  <c r="F22" i="97"/>
  <c r="R23" i="97"/>
  <c r="C25" i="97"/>
  <c r="Q26" i="97"/>
  <c r="O28" i="97"/>
  <c r="C30" i="97"/>
  <c r="C32" i="97"/>
  <c r="O33" i="97"/>
  <c r="M35" i="97"/>
  <c r="C37" i="97"/>
  <c r="Y38" i="97"/>
  <c r="M40" i="97"/>
  <c r="M42" i="97"/>
  <c r="Y43" i="97"/>
  <c r="W45" i="97"/>
  <c r="M47" i="97"/>
  <c r="W49" i="97"/>
  <c r="K55" i="97"/>
  <c r="S58" i="97"/>
  <c r="G61" i="97"/>
  <c r="C65" i="97"/>
  <c r="C68" i="97"/>
  <c r="C72" i="97"/>
  <c r="C75" i="97"/>
  <c r="W78" i="97"/>
  <c r="L83" i="97"/>
  <c r="T89" i="97"/>
  <c r="T94" i="97"/>
  <c r="L104" i="97"/>
  <c r="L109" i="97"/>
  <c r="X118" i="97"/>
  <c r="P127" i="97"/>
  <c r="L138" i="97"/>
  <c r="T149" i="97"/>
  <c r="J162" i="97"/>
  <c r="Y178" i="97"/>
  <c r="E61" i="94"/>
  <c r="L37" i="94"/>
  <c r="K8" i="97"/>
  <c r="U9" i="97"/>
  <c r="G11" i="97"/>
  <c r="O12" i="97"/>
  <c r="Y13" i="97"/>
  <c r="K15" i="97"/>
  <c r="S16" i="97"/>
  <c r="E18" i="97"/>
  <c r="O19" i="97"/>
  <c r="W20" i="97"/>
  <c r="I22" i="97"/>
  <c r="S23" i="97"/>
  <c r="D25" i="97"/>
  <c r="T26" i="97"/>
  <c r="R28" i="97"/>
  <c r="J30" i="97"/>
  <c r="D32" i="97"/>
  <c r="T33" i="97"/>
  <c r="N35" i="97"/>
  <c r="F37" i="97"/>
  <c r="D39" i="97"/>
  <c r="T40" i="97"/>
  <c r="N42" i="97"/>
  <c r="F44" i="97"/>
  <c r="X45" i="97"/>
  <c r="P47" i="97"/>
  <c r="Z49" i="97"/>
  <c r="V55" i="97"/>
  <c r="T58" i="97"/>
  <c r="Q61" i="97"/>
  <c r="D65" i="97"/>
  <c r="M68" i="97"/>
  <c r="D72" i="97"/>
  <c r="M75" i="97"/>
  <c r="Z78" i="97"/>
  <c r="F84" i="97"/>
  <c r="X89" i="97"/>
  <c r="N98" i="97"/>
  <c r="P104" i="97"/>
  <c r="F110" i="97"/>
  <c r="F119" i="97"/>
  <c r="V128" i="97"/>
  <c r="M138" i="97"/>
  <c r="R150" i="97"/>
  <c r="T162" i="97"/>
  <c r="X181" i="97"/>
  <c r="C34" i="46"/>
  <c r="P22" i="46"/>
  <c r="K63" i="46"/>
  <c r="Y55" i="46"/>
  <c r="L135" i="46"/>
  <c r="AA37" i="46"/>
  <c r="M150" i="46"/>
  <c r="I72" i="46"/>
  <c r="K14" i="46"/>
  <c r="I92" i="46"/>
  <c r="L55" i="46"/>
  <c r="E100" i="46"/>
  <c r="R69" i="46"/>
  <c r="G151" i="46"/>
  <c r="E11" i="46"/>
  <c r="G98" i="46"/>
  <c r="T56" i="46"/>
  <c r="T36" i="46"/>
  <c r="G6" i="46"/>
  <c r="T15" i="46"/>
  <c r="AA14" i="46"/>
  <c r="C72" i="46"/>
  <c r="D138" i="46"/>
  <c r="D131" i="46"/>
  <c r="O97" i="46"/>
  <c r="T60" i="46"/>
  <c r="S85" i="46"/>
  <c r="T104" i="46"/>
  <c r="P67" i="46"/>
  <c r="Q31" i="46"/>
  <c r="L77" i="46"/>
  <c r="AA8" i="46"/>
  <c r="J147" i="46"/>
  <c r="F103" i="46"/>
  <c r="I40" i="46"/>
  <c r="X115" i="46"/>
  <c r="H38" i="46"/>
  <c r="AA44" i="46"/>
  <c r="M278" i="97"/>
  <c r="K102" i="46"/>
  <c r="C98" i="90"/>
  <c r="D9" i="97"/>
  <c r="L10" i="97"/>
  <c r="T11" i="97"/>
  <c r="H13" i="97"/>
  <c r="P14" i="97"/>
  <c r="X15" i="97"/>
  <c r="L17" i="97"/>
  <c r="T18" i="97"/>
  <c r="D20" i="97"/>
  <c r="P21" i="97"/>
  <c r="X22" i="97"/>
  <c r="H24" i="97"/>
  <c r="V25" i="97"/>
  <c r="N27" i="97"/>
  <c r="H29" i="97"/>
  <c r="X30" i="97"/>
  <c r="V32" i="97"/>
  <c r="N34" i="97"/>
  <c r="H36" i="97"/>
  <c r="X37" i="97"/>
  <c r="R39" i="97"/>
  <c r="J41" i="97"/>
  <c r="H43" i="97"/>
  <c r="X44" i="97"/>
  <c r="R46" i="97"/>
  <c r="J48" i="97"/>
  <c r="Z53" i="97"/>
  <c r="T56" i="97"/>
  <c r="Z59" i="97"/>
  <c r="Y62" i="97"/>
  <c r="N66" i="97"/>
  <c r="Y69" i="97"/>
  <c r="L73" i="97"/>
  <c r="U76" i="97"/>
  <c r="T80" i="97"/>
  <c r="J86" i="97"/>
  <c r="G92" i="97"/>
  <c r="Z100" i="97"/>
  <c r="U106" i="97"/>
  <c r="Z112" i="97"/>
  <c r="E123" i="97"/>
  <c r="J132" i="97"/>
  <c r="J145" i="97"/>
  <c r="J155" i="97"/>
  <c r="P169" i="97"/>
  <c r="I197" i="97"/>
  <c r="Q132" i="46"/>
  <c r="F7" i="46"/>
  <c r="M110" i="46"/>
  <c r="O51" i="46"/>
  <c r="Y141" i="46"/>
  <c r="P87" i="46"/>
  <c r="E68" i="46"/>
  <c r="K87" i="46"/>
  <c r="Z10" i="46"/>
  <c r="T140" i="46"/>
  <c r="AA155" i="46"/>
  <c r="V110" i="46"/>
  <c r="O125" i="46"/>
  <c r="D126" i="46"/>
  <c r="R106" i="46"/>
  <c r="V105" i="46"/>
  <c r="C70" i="46"/>
  <c r="I113" i="46"/>
  <c r="F101" i="46"/>
  <c r="J6" i="46"/>
  <c r="D13" i="46"/>
  <c r="M9" i="46"/>
  <c r="Q5" i="46"/>
  <c r="F73" i="46"/>
  <c r="G148" i="46"/>
  <c r="Q100" i="46"/>
  <c r="Z59" i="46"/>
  <c r="I126" i="46"/>
  <c r="W31" i="46"/>
  <c r="V10" i="46"/>
  <c r="S143" i="46"/>
  <c r="U22" i="46"/>
  <c r="C5" i="46"/>
  <c r="Z133" i="46"/>
  <c r="Y145" i="46"/>
  <c r="P123" i="46"/>
  <c r="V148" i="46"/>
  <c r="R107" i="46"/>
  <c r="S84" i="46"/>
  <c r="E9" i="97"/>
  <c r="M10" i="97"/>
  <c r="W11" i="97"/>
  <c r="I13" i="97"/>
  <c r="Q14" i="97"/>
  <c r="C16" i="97"/>
  <c r="M17" i="97"/>
  <c r="U18" i="97"/>
  <c r="G20" i="97"/>
  <c r="Q21" i="97"/>
  <c r="Y22" i="97"/>
  <c r="K24" i="97"/>
  <c r="W25" i="97"/>
  <c r="W27" i="97"/>
  <c r="K29" i="97"/>
  <c r="I31" i="97"/>
  <c r="W32" i="97"/>
  <c r="U34" i="97"/>
  <c r="I36" i="97"/>
  <c r="I38" i="97"/>
  <c r="U39" i="97"/>
  <c r="S41" i="97"/>
  <c r="I43" i="97"/>
  <c r="G45" i="97"/>
  <c r="S46" i="97"/>
  <c r="T48" i="97"/>
  <c r="G54" i="97"/>
  <c r="M57" i="97"/>
  <c r="C60" i="97"/>
  <c r="S63" i="97"/>
  <c r="S66" i="97"/>
  <c r="O70" i="97"/>
  <c r="S73" i="97"/>
  <c r="O77" i="97"/>
  <c r="X80" i="97"/>
  <c r="P87" i="97"/>
  <c r="P92" i="97"/>
  <c r="X101" i="97"/>
  <c r="H107" i="97"/>
  <c r="D115" i="97"/>
  <c r="L123" i="97"/>
  <c r="L134" i="97"/>
  <c r="T145" i="97"/>
  <c r="R157" i="97"/>
  <c r="U170" i="97"/>
  <c r="Z274" i="97"/>
  <c r="P274" i="97"/>
  <c r="F274" i="97"/>
  <c r="T273" i="97"/>
  <c r="J273" i="97"/>
  <c r="X272" i="97"/>
  <c r="N272" i="97"/>
  <c r="D272" i="97"/>
  <c r="R271" i="97"/>
  <c r="H271" i="97"/>
  <c r="V270" i="97"/>
  <c r="L270" i="97"/>
  <c r="Z269" i="97"/>
  <c r="P269" i="97"/>
  <c r="F269" i="97"/>
  <c r="T268" i="97"/>
  <c r="J268" i="97"/>
  <c r="X267" i="97"/>
  <c r="N267" i="97"/>
  <c r="D267" i="97"/>
  <c r="R266" i="97"/>
  <c r="H266" i="97"/>
  <c r="V265" i="97"/>
  <c r="L265" i="97"/>
  <c r="Z264" i="97"/>
  <c r="P264" i="97"/>
  <c r="F264" i="97"/>
  <c r="T263" i="97"/>
  <c r="J263" i="97"/>
  <c r="X262" i="97"/>
  <c r="N262" i="97"/>
  <c r="D262" i="97"/>
  <c r="R261" i="97"/>
  <c r="H261" i="97"/>
  <c r="V260" i="97"/>
  <c r="L260" i="97"/>
  <c r="Z259" i="97"/>
  <c r="P259" i="97"/>
  <c r="F259" i="97"/>
  <c r="T258" i="97"/>
  <c r="J258" i="97"/>
  <c r="X257" i="97"/>
  <c r="N257" i="97"/>
  <c r="D257" i="97"/>
  <c r="R256" i="97"/>
  <c r="H256" i="97"/>
  <c r="V255" i="97"/>
  <c r="L255" i="97"/>
  <c r="Z254" i="97"/>
  <c r="P254" i="97"/>
  <c r="F254" i="97"/>
  <c r="T253" i="97"/>
  <c r="J253" i="97"/>
  <c r="X252" i="97"/>
  <c r="N252" i="97"/>
  <c r="D252" i="97"/>
  <c r="R251" i="97"/>
  <c r="H251" i="97"/>
  <c r="V250" i="97"/>
  <c r="L250" i="97"/>
  <c r="Z249" i="97"/>
  <c r="P249" i="97"/>
  <c r="F249" i="97"/>
  <c r="T248" i="97"/>
  <c r="J248" i="97"/>
  <c r="X247" i="97"/>
  <c r="N247" i="97"/>
  <c r="D247" i="97"/>
  <c r="R246" i="97"/>
  <c r="H246" i="97"/>
  <c r="V245" i="97"/>
  <c r="L245" i="97"/>
  <c r="Z244" i="97"/>
  <c r="P244" i="97"/>
  <c r="F244" i="97"/>
  <c r="T243" i="97"/>
  <c r="J243" i="97"/>
  <c r="X242" i="97"/>
  <c r="N242" i="97"/>
  <c r="D242" i="97"/>
  <c r="R241" i="97"/>
  <c r="H241" i="97"/>
  <c r="V240" i="97"/>
  <c r="L240" i="97"/>
  <c r="Z239" i="97"/>
  <c r="Y274" i="97"/>
  <c r="O274" i="97"/>
  <c r="E274" i="97"/>
  <c r="S273" i="97"/>
  <c r="I273" i="97"/>
  <c r="W272" i="97"/>
  <c r="M272" i="97"/>
  <c r="C272" i="97"/>
  <c r="Q271" i="97"/>
  <c r="G271" i="97"/>
  <c r="U270" i="97"/>
  <c r="K270" i="97"/>
  <c r="Y269" i="97"/>
  <c r="O269" i="97"/>
  <c r="E269" i="97"/>
  <c r="S268" i="97"/>
  <c r="I268" i="97"/>
  <c r="W267" i="97"/>
  <c r="M267" i="97"/>
  <c r="C267" i="97"/>
  <c r="Q266" i="97"/>
  <c r="G266" i="97"/>
  <c r="U265" i="97"/>
  <c r="K265" i="97"/>
  <c r="Y264" i="97"/>
  <c r="O264" i="97"/>
  <c r="E264" i="97"/>
  <c r="S263" i="97"/>
  <c r="I263" i="97"/>
  <c r="W262" i="97"/>
  <c r="M262" i="97"/>
  <c r="C262" i="97"/>
  <c r="Q261" i="97"/>
  <c r="G261" i="97"/>
  <c r="U260" i="97"/>
  <c r="K260" i="97"/>
  <c r="Y259" i="97"/>
  <c r="O259" i="97"/>
  <c r="E259" i="97"/>
  <c r="S258" i="97"/>
  <c r="X274" i="97"/>
  <c r="N274" i="97"/>
  <c r="D274" i="97"/>
  <c r="R273" i="97"/>
  <c r="H273" i="97"/>
  <c r="V272" i="97"/>
  <c r="L272" i="97"/>
  <c r="Z271" i="97"/>
  <c r="P271" i="97"/>
  <c r="F271" i="97"/>
  <c r="T270" i="97"/>
  <c r="J270" i="97"/>
  <c r="X269" i="97"/>
  <c r="N269" i="97"/>
  <c r="D269" i="97"/>
  <c r="R268" i="97"/>
  <c r="H268" i="97"/>
  <c r="V267" i="97"/>
  <c r="L267" i="97"/>
  <c r="Z266" i="97"/>
  <c r="P266" i="97"/>
  <c r="F266" i="97"/>
  <c r="T265" i="97"/>
  <c r="J265" i="97"/>
  <c r="X264" i="97"/>
  <c r="N264" i="97"/>
  <c r="D264" i="97"/>
  <c r="R263" i="97"/>
  <c r="H263" i="97"/>
  <c r="V262" i="97"/>
  <c r="L262" i="97"/>
  <c r="Z261" i="97"/>
  <c r="P261" i="97"/>
  <c r="F261" i="97"/>
  <c r="T260" i="97"/>
  <c r="J260" i="97"/>
  <c r="X259" i="97"/>
  <c r="N259" i="97"/>
  <c r="D259" i="97"/>
  <c r="R258" i="97"/>
  <c r="H258" i="97"/>
  <c r="V257" i="97"/>
  <c r="L257" i="97"/>
  <c r="Z256" i="97"/>
  <c r="P256" i="97"/>
  <c r="F256" i="97"/>
  <c r="T255" i="97"/>
  <c r="J255" i="97"/>
  <c r="X254" i="97"/>
  <c r="N254" i="97"/>
  <c r="D254" i="97"/>
  <c r="R253" i="97"/>
  <c r="H253" i="97"/>
  <c r="V252" i="97"/>
  <c r="L252" i="97"/>
  <c r="Z251" i="97"/>
  <c r="P251" i="97"/>
  <c r="F251" i="97"/>
  <c r="T250" i="97"/>
  <c r="J250" i="97"/>
  <c r="X249" i="97"/>
  <c r="N249" i="97"/>
  <c r="D249" i="97"/>
  <c r="R248" i="97"/>
  <c r="H248" i="97"/>
  <c r="V247" i="97"/>
  <c r="L247" i="97"/>
  <c r="Z246" i="97"/>
  <c r="P246" i="97"/>
  <c r="F246" i="97"/>
  <c r="T245" i="97"/>
  <c r="J245" i="97"/>
  <c r="X244" i="97"/>
  <c r="N244" i="97"/>
  <c r="D244" i="97"/>
  <c r="R243" i="97"/>
  <c r="H243" i="97"/>
  <c r="V242" i="97"/>
  <c r="L242" i="97"/>
  <c r="Z241" i="97"/>
  <c r="P241" i="97"/>
  <c r="F241" i="97"/>
  <c r="T240" i="97"/>
  <c r="J240" i="97"/>
  <c r="X239" i="97"/>
  <c r="V274" i="97"/>
  <c r="L274" i="97"/>
  <c r="Z273" i="97"/>
  <c r="P273" i="97"/>
  <c r="F273" i="97"/>
  <c r="T272" i="97"/>
  <c r="J272" i="97"/>
  <c r="X271" i="97"/>
  <c r="N271" i="97"/>
  <c r="D271" i="97"/>
  <c r="R270" i="97"/>
  <c r="H270" i="97"/>
  <c r="V269" i="97"/>
  <c r="L269" i="97"/>
  <c r="Z268" i="97"/>
  <c r="P268" i="97"/>
  <c r="F268" i="97"/>
  <c r="T267" i="97"/>
  <c r="J267" i="97"/>
  <c r="X266" i="97"/>
  <c r="N266" i="97"/>
  <c r="D266" i="97"/>
  <c r="R265" i="97"/>
  <c r="H265" i="97"/>
  <c r="V264" i="97"/>
  <c r="L264" i="97"/>
  <c r="Z263" i="97"/>
  <c r="P263" i="97"/>
  <c r="F263" i="97"/>
  <c r="T262" i="97"/>
  <c r="J262" i="97"/>
  <c r="X261" i="97"/>
  <c r="N261" i="97"/>
  <c r="D261" i="97"/>
  <c r="R260" i="97"/>
  <c r="H260" i="97"/>
  <c r="V259" i="97"/>
  <c r="L259" i="97"/>
  <c r="Z258" i="97"/>
  <c r="P258" i="97"/>
  <c r="F258" i="97"/>
  <c r="T257" i="97"/>
  <c r="J257" i="97"/>
  <c r="X256" i="97"/>
  <c r="N256" i="97"/>
  <c r="D256" i="97"/>
  <c r="R255" i="97"/>
  <c r="H255" i="97"/>
  <c r="V254" i="97"/>
  <c r="L254" i="97"/>
  <c r="Z253" i="97"/>
  <c r="P253" i="97"/>
  <c r="F253" i="97"/>
  <c r="T252" i="97"/>
  <c r="W274" i="97"/>
  <c r="H274" i="97"/>
  <c r="N273" i="97"/>
  <c r="U272" i="97"/>
  <c r="F272" i="97"/>
  <c r="L271" i="97"/>
  <c r="S270" i="97"/>
  <c r="D270" i="97"/>
  <c r="J269" i="97"/>
  <c r="Q268" i="97"/>
  <c r="Z267" i="97"/>
  <c r="H267" i="97"/>
  <c r="O266" i="97"/>
  <c r="X265" i="97"/>
  <c r="F265" i="97"/>
  <c r="M264" i="97"/>
  <c r="V263" i="97"/>
  <c r="D263" i="97"/>
  <c r="K262" i="97"/>
  <c r="T261" i="97"/>
  <c r="Z260" i="97"/>
  <c r="I260" i="97"/>
  <c r="R259" i="97"/>
  <c r="X258" i="97"/>
  <c r="I258" i="97"/>
  <c r="R257" i="97"/>
  <c r="E257" i="97"/>
  <c r="M256" i="97"/>
  <c r="X255" i="97"/>
  <c r="I255" i="97"/>
  <c r="S254" i="97"/>
  <c r="U274" i="97"/>
  <c r="G274" i="97"/>
  <c r="M273" i="97"/>
  <c r="S272" i="97"/>
  <c r="E272" i="97"/>
  <c r="K271" i="97"/>
  <c r="Q270" i="97"/>
  <c r="C270" i="97"/>
  <c r="I269" i="97"/>
  <c r="O268" i="97"/>
  <c r="Y267" i="97"/>
  <c r="G267" i="97"/>
  <c r="M266" i="97"/>
  <c r="W265" i="97"/>
  <c r="E265" i="97"/>
  <c r="K264" i="97"/>
  <c r="U263" i="97"/>
  <c r="C263" i="97"/>
  <c r="I262" i="97"/>
  <c r="S261" i="97"/>
  <c r="Y260" i="97"/>
  <c r="G260" i="97"/>
  <c r="Q259" i="97"/>
  <c r="W258" i="97"/>
  <c r="G258" i="97"/>
  <c r="Q257" i="97"/>
  <c r="C257" i="97"/>
  <c r="L256" i="97"/>
  <c r="W255" i="97"/>
  <c r="G255" i="97"/>
  <c r="R254" i="97"/>
  <c r="C254" i="97"/>
  <c r="M253" i="97"/>
  <c r="W252" i="97"/>
  <c r="I252" i="97"/>
  <c r="U251" i="97"/>
  <c r="I251" i="97"/>
  <c r="S250" i="97"/>
  <c r="G250" i="97"/>
  <c r="S249" i="97"/>
  <c r="G249" i="97"/>
  <c r="Q248" i="97"/>
  <c r="E248" i="97"/>
  <c r="Q247" i="97"/>
  <c r="E247" i="97"/>
  <c r="O246" i="97"/>
  <c r="C246" i="97"/>
  <c r="O245" i="97"/>
  <c r="C245" i="97"/>
  <c r="M244" i="97"/>
  <c r="Y243" i="97"/>
  <c r="M243" i="97"/>
  <c r="Y242" i="97"/>
  <c r="K242" i="97"/>
  <c r="W241" i="97"/>
  <c r="K241" i="97"/>
  <c r="W240" i="97"/>
  <c r="I240" i="97"/>
  <c r="U239" i="97"/>
  <c r="K239" i="97"/>
  <c r="Y238" i="97"/>
  <c r="O238" i="97"/>
  <c r="E238" i="97"/>
  <c r="S237" i="97"/>
  <c r="I237" i="97"/>
  <c r="W236" i="97"/>
  <c r="M236" i="97"/>
  <c r="C236" i="97"/>
  <c r="Q235" i="97"/>
  <c r="G235" i="97"/>
  <c r="U234" i="97"/>
  <c r="K234" i="97"/>
  <c r="Y233" i="97"/>
  <c r="O233" i="97"/>
  <c r="E233" i="97"/>
  <c r="S229" i="97"/>
  <c r="I229" i="97"/>
  <c r="W228" i="97"/>
  <c r="M228" i="97"/>
  <c r="C228" i="97"/>
  <c r="Q227" i="97"/>
  <c r="G227" i="97"/>
  <c r="U226" i="97"/>
  <c r="K226" i="97"/>
  <c r="Y225" i="97"/>
  <c r="T274" i="97"/>
  <c r="C274" i="97"/>
  <c r="L273" i="97"/>
  <c r="R272" i="97"/>
  <c r="Y271" i="97"/>
  <c r="J271" i="97"/>
  <c r="P270" i="97"/>
  <c r="W269" i="97"/>
  <c r="H269" i="97"/>
  <c r="N268" i="97"/>
  <c r="U267" i="97"/>
  <c r="F267" i="97"/>
  <c r="L266" i="97"/>
  <c r="S265" i="97"/>
  <c r="D265" i="97"/>
  <c r="J264" i="97"/>
  <c r="Q263" i="97"/>
  <c r="Z262" i="97"/>
  <c r="H262" i="97"/>
  <c r="O261" i="97"/>
  <c r="X260" i="97"/>
  <c r="F260" i="97"/>
  <c r="M259" i="97"/>
  <c r="V258" i="97"/>
  <c r="E258" i="97"/>
  <c r="P257" i="97"/>
  <c r="Y256" i="97"/>
  <c r="K256" i="97"/>
  <c r="U255" i="97"/>
  <c r="F255" i="97"/>
  <c r="Q254" i="97"/>
  <c r="Y253" i="97"/>
  <c r="L253" i="97"/>
  <c r="U252" i="97"/>
  <c r="H252" i="97"/>
  <c r="T251" i="97"/>
  <c r="G251" i="97"/>
  <c r="R250" i="97"/>
  <c r="F250" i="97"/>
  <c r="R249" i="97"/>
  <c r="E249" i="97"/>
  <c r="P248" i="97"/>
  <c r="D248" i="97"/>
  <c r="P247" i="97"/>
  <c r="C247" i="97"/>
  <c r="N246" i="97"/>
  <c r="S274" i="97"/>
  <c r="Y273" i="97"/>
  <c r="K273" i="97"/>
  <c r="Q272" i="97"/>
  <c r="W271" i="97"/>
  <c r="I271" i="97"/>
  <c r="O270" i="97"/>
  <c r="U269" i="97"/>
  <c r="G269" i="97"/>
  <c r="M268" i="97"/>
  <c r="S267" i="97"/>
  <c r="E267" i="97"/>
  <c r="K266" i="97"/>
  <c r="Q265" i="97"/>
  <c r="C265" i="97"/>
  <c r="I264" i="97"/>
  <c r="O263" i="97"/>
  <c r="Y262" i="97"/>
  <c r="G262" i="97"/>
  <c r="M261" i="97"/>
  <c r="W260" i="97"/>
  <c r="E260" i="97"/>
  <c r="K259" i="97"/>
  <c r="U258" i="97"/>
  <c r="D258" i="97"/>
  <c r="O257" i="97"/>
  <c r="W256" i="97"/>
  <c r="J256" i="97"/>
  <c r="S255" i="97"/>
  <c r="E255" i="97"/>
  <c r="O254" i="97"/>
  <c r="X253" i="97"/>
  <c r="K253" i="97"/>
  <c r="S252" i="97"/>
  <c r="G252" i="97"/>
  <c r="S251" i="97"/>
  <c r="E251" i="97"/>
  <c r="Q250" i="97"/>
  <c r="E250" i="97"/>
  <c r="Q249" i="97"/>
  <c r="C249" i="97"/>
  <c r="O248" i="97"/>
  <c r="C248" i="97"/>
  <c r="O247" i="97"/>
  <c r="Y246" i="97"/>
  <c r="M246" i="97"/>
  <c r="Y245" i="97"/>
  <c r="M245" i="97"/>
  <c r="W244" i="97"/>
  <c r="K244" i="97"/>
  <c r="W243" i="97"/>
  <c r="K243" i="97"/>
  <c r="U242" i="97"/>
  <c r="I242" i="97"/>
  <c r="U241" i="97"/>
  <c r="I241" i="97"/>
  <c r="S240" i="97"/>
  <c r="G240" i="97"/>
  <c r="S239" i="97"/>
  <c r="I239" i="97"/>
  <c r="W238" i="97"/>
  <c r="M238" i="97"/>
  <c r="C238" i="97"/>
  <c r="Q237" i="97"/>
  <c r="G237" i="97"/>
  <c r="U236" i="97"/>
  <c r="K236" i="97"/>
  <c r="Y235" i="97"/>
  <c r="O235" i="97"/>
  <c r="E235" i="97"/>
  <c r="S234" i="97"/>
  <c r="I234" i="97"/>
  <c r="W233" i="97"/>
  <c r="M233" i="97"/>
  <c r="C233" i="97"/>
  <c r="Q229" i="97"/>
  <c r="G229" i="97"/>
  <c r="U228" i="97"/>
  <c r="K228" i="97"/>
  <c r="Y227" i="97"/>
  <c r="O227" i="97"/>
  <c r="E227" i="97"/>
  <c r="S226" i="97"/>
  <c r="I226" i="97"/>
  <c r="W225" i="97"/>
  <c r="R274" i="97"/>
  <c r="X273" i="97"/>
  <c r="G273" i="97"/>
  <c r="P272" i="97"/>
  <c r="V271" i="97"/>
  <c r="E271" i="97"/>
  <c r="N270" i="97"/>
  <c r="T269" i="97"/>
  <c r="C269" i="97"/>
  <c r="L268" i="97"/>
  <c r="R267" i="97"/>
  <c r="Y266" i="97"/>
  <c r="J266" i="97"/>
  <c r="P265" i="97"/>
  <c r="W264" i="97"/>
  <c r="H264" i="97"/>
  <c r="N263" i="97"/>
  <c r="U262" i="97"/>
  <c r="F262" i="97"/>
  <c r="L261" i="97"/>
  <c r="S260" i="97"/>
  <c r="D260" i="97"/>
  <c r="J259" i="97"/>
  <c r="Q258" i="97"/>
  <c r="C258" i="97"/>
  <c r="M257" i="97"/>
  <c r="V256" i="97"/>
  <c r="I256" i="97"/>
  <c r="Q255" i="97"/>
  <c r="D255" i="97"/>
  <c r="M254" i="97"/>
  <c r="W253" i="97"/>
  <c r="I253" i="97"/>
  <c r="R252" i="97"/>
  <c r="F252" i="97"/>
  <c r="Q251" i="97"/>
  <c r="D251" i="97"/>
  <c r="P250" i="97"/>
  <c r="D250" i="97"/>
  <c r="O249" i="97"/>
  <c r="Z248" i="97"/>
  <c r="N248" i="97"/>
  <c r="Z247" i="97"/>
  <c r="M247" i="97"/>
  <c r="X246" i="97"/>
  <c r="L246" i="97"/>
  <c r="X245" i="97"/>
  <c r="K245" i="97"/>
  <c r="V244" i="97"/>
  <c r="J244" i="97"/>
  <c r="V243" i="97"/>
  <c r="I243" i="97"/>
  <c r="T242" i="97"/>
  <c r="H242" i="97"/>
  <c r="T241" i="97"/>
  <c r="G241" i="97"/>
  <c r="R240" i="97"/>
  <c r="F240" i="97"/>
  <c r="R239" i="97"/>
  <c r="H239" i="97"/>
  <c r="V238" i="97"/>
  <c r="L238" i="97"/>
  <c r="Z237" i="97"/>
  <c r="P237" i="97"/>
  <c r="F237" i="97"/>
  <c r="T236" i="97"/>
  <c r="J236" i="97"/>
  <c r="X235" i="97"/>
  <c r="N235" i="97"/>
  <c r="D235" i="97"/>
  <c r="R234" i="97"/>
  <c r="H234" i="97"/>
  <c r="V233" i="97"/>
  <c r="L233" i="97"/>
  <c r="Z229" i="97"/>
  <c r="P229" i="97"/>
  <c r="F229" i="97"/>
  <c r="T228" i="97"/>
  <c r="J228" i="97"/>
  <c r="X227" i="97"/>
  <c r="N227" i="97"/>
  <c r="D227" i="97"/>
  <c r="R226" i="97"/>
  <c r="H226" i="97"/>
  <c r="V225" i="97"/>
  <c r="Q274" i="97"/>
  <c r="E273" i="97"/>
  <c r="U271" i="97"/>
  <c r="M270" i="97"/>
  <c r="Y268" i="97"/>
  <c r="Q267" i="97"/>
  <c r="I266" i="97"/>
  <c r="U264" i="97"/>
  <c r="M263" i="97"/>
  <c r="E262" i="97"/>
  <c r="Q260" i="97"/>
  <c r="I259" i="97"/>
  <c r="Z257" i="97"/>
  <c r="U256" i="97"/>
  <c r="P255" i="97"/>
  <c r="K254" i="97"/>
  <c r="O253" i="97"/>
  <c r="O252" i="97"/>
  <c r="O251" i="97"/>
  <c r="W250" i="97"/>
  <c r="W249" i="97"/>
  <c r="Y248" i="97"/>
  <c r="G248" i="97"/>
  <c r="I247" i="97"/>
  <c r="K246" i="97"/>
  <c r="R245" i="97"/>
  <c r="Y244" i="97"/>
  <c r="G244" i="97"/>
  <c r="N243" i="97"/>
  <c r="R242" i="97"/>
  <c r="Y241" i="97"/>
  <c r="E241" i="97"/>
  <c r="N240" i="97"/>
  <c r="T239" i="97"/>
  <c r="E239" i="97"/>
  <c r="P238" i="97"/>
  <c r="X237" i="97"/>
  <c r="K237" i="97"/>
  <c r="S236" i="97"/>
  <c r="F236" i="97"/>
  <c r="P235" i="97"/>
  <c r="Y234" i="97"/>
  <c r="L234" i="97"/>
  <c r="T233" i="97"/>
  <c r="G233" i="97"/>
  <c r="O229" i="97"/>
  <c r="Z228" i="97"/>
  <c r="L228" i="97"/>
  <c r="U227" i="97"/>
  <c r="H227" i="97"/>
  <c r="P226" i="97"/>
  <c r="C226" i="97"/>
  <c r="N225" i="97"/>
  <c r="D225" i="97"/>
  <c r="R224" i="97"/>
  <c r="H224" i="97"/>
  <c r="V223" i="97"/>
  <c r="L223" i="97"/>
  <c r="Z222" i="97"/>
  <c r="P222" i="97"/>
  <c r="F222" i="97"/>
  <c r="T221" i="97"/>
  <c r="J221" i="97"/>
  <c r="X220" i="97"/>
  <c r="N220" i="97"/>
  <c r="D220" i="97"/>
  <c r="R219" i="97"/>
  <c r="H219" i="97"/>
  <c r="V218" i="97"/>
  <c r="L218" i="97"/>
  <c r="Z217" i="97"/>
  <c r="P217" i="97"/>
  <c r="F217" i="97"/>
  <c r="T216" i="97"/>
  <c r="J216" i="97"/>
  <c r="X215" i="97"/>
  <c r="N215" i="97"/>
  <c r="D215" i="97"/>
  <c r="R214" i="97"/>
  <c r="H214" i="97"/>
  <c r="V213" i="97"/>
  <c r="L213" i="97"/>
  <c r="Z212" i="97"/>
  <c r="P212" i="97"/>
  <c r="F212" i="97"/>
  <c r="K274" i="97"/>
  <c r="C273" i="97"/>
  <c r="S271" i="97"/>
  <c r="G270" i="97"/>
  <c r="W268" i="97"/>
  <c r="O267" i="97"/>
  <c r="C266" i="97"/>
  <c r="S264" i="97"/>
  <c r="K263" i="97"/>
  <c r="W261" i="97"/>
  <c r="O260" i="97"/>
  <c r="G259" i="97"/>
  <c r="W257" i="97"/>
  <c r="S256" i="97"/>
  <c r="N255" i="97"/>
  <c r="I254" i="97"/>
  <c r="G253" i="97"/>
  <c r="K252" i="97"/>
  <c r="M251" i="97"/>
  <c r="O250" i="97"/>
  <c r="U249" i="97"/>
  <c r="W248" i="97"/>
  <c r="Y247" i="97"/>
  <c r="G247" i="97"/>
  <c r="I246" i="97"/>
  <c r="P245" i="97"/>
  <c r="T244" i="97"/>
  <c r="C244" i="97"/>
  <c r="G243" i="97"/>
  <c r="P242" i="97"/>
  <c r="V241" i="97"/>
  <c r="C241" i="97"/>
  <c r="K240" i="97"/>
  <c r="P239" i="97"/>
  <c r="C239" i="97"/>
  <c r="K238" i="97"/>
  <c r="V237" i="97"/>
  <c r="H237" i="97"/>
  <c r="Q236" i="97"/>
  <c r="D236" i="97"/>
  <c r="L235" i="97"/>
  <c r="W234" i="97"/>
  <c r="G234" i="97"/>
  <c r="R233" i="97"/>
  <c r="D233" i="97"/>
  <c r="M229" i="97"/>
  <c r="X228" i="97"/>
  <c r="H228" i="97"/>
  <c r="S227" i="97"/>
  <c r="C227" i="97"/>
  <c r="N226" i="97"/>
  <c r="X225" i="97"/>
  <c r="L225" i="97"/>
  <c r="Z224" i="97"/>
  <c r="P224" i="97"/>
  <c r="F224" i="97"/>
  <c r="T223" i="97"/>
  <c r="J223" i="97"/>
  <c r="X222" i="97"/>
  <c r="N222" i="97"/>
  <c r="D222" i="97"/>
  <c r="R221" i="97"/>
  <c r="H221" i="97"/>
  <c r="V220" i="97"/>
  <c r="L220" i="97"/>
  <c r="Z219" i="97"/>
  <c r="P219" i="97"/>
  <c r="F219" i="97"/>
  <c r="T218" i="97"/>
  <c r="J218" i="97"/>
  <c r="X217" i="97"/>
  <c r="N217" i="97"/>
  <c r="D217" i="97"/>
  <c r="R216" i="97"/>
  <c r="H216" i="97"/>
  <c r="V215" i="97"/>
  <c r="L215" i="97"/>
  <c r="Z214" i="97"/>
  <c r="P214" i="97"/>
  <c r="F214" i="97"/>
  <c r="T213" i="97"/>
  <c r="J213" i="97"/>
  <c r="X212" i="97"/>
  <c r="N212" i="97"/>
  <c r="D212" i="97"/>
  <c r="J274" i="97"/>
  <c r="Z272" i="97"/>
  <c r="O271" i="97"/>
  <c r="F270" i="97"/>
  <c r="V268" i="97"/>
  <c r="K267" i="97"/>
  <c r="Z265" i="97"/>
  <c r="R264" i="97"/>
  <c r="G263" i="97"/>
  <c r="V261" i="97"/>
  <c r="N260" i="97"/>
  <c r="C259" i="97"/>
  <c r="U257" i="97"/>
  <c r="Q256" i="97"/>
  <c r="M255" i="97"/>
  <c r="H254" i="97"/>
  <c r="E253" i="97"/>
  <c r="J252" i="97"/>
  <c r="L251" i="97"/>
  <c r="N250" i="97"/>
  <c r="T249" i="97"/>
  <c r="V248" i="97"/>
  <c r="W247" i="97"/>
  <c r="F247" i="97"/>
  <c r="G246" i="97"/>
  <c r="N245" i="97"/>
  <c r="S244" i="97"/>
  <c r="Z243" i="97"/>
  <c r="F243" i="97"/>
  <c r="O242" i="97"/>
  <c r="S241" i="97"/>
  <c r="Z240" i="97"/>
  <c r="H240" i="97"/>
  <c r="O239" i="97"/>
  <c r="Z238" i="97"/>
  <c r="J238" i="97"/>
  <c r="U237" i="97"/>
  <c r="E237" i="97"/>
  <c r="P236" i="97"/>
  <c r="Z235" i="97"/>
  <c r="K235" i="97"/>
  <c r="V234" i="97"/>
  <c r="F234" i="97"/>
  <c r="Q233" i="97"/>
  <c r="Y229" i="97"/>
  <c r="L229" i="97"/>
  <c r="V228" i="97"/>
  <c r="G228" i="97"/>
  <c r="R227" i="97"/>
  <c r="Z226" i="97"/>
  <c r="M226" i="97"/>
  <c r="U225" i="97"/>
  <c r="K225" i="97"/>
  <c r="Y224" i="97"/>
  <c r="O224" i="97"/>
  <c r="E224" i="97"/>
  <c r="S223" i="97"/>
  <c r="I223" i="97"/>
  <c r="W222" i="97"/>
  <c r="M222" i="97"/>
  <c r="C222" i="97"/>
  <c r="Q221" i="97"/>
  <c r="G221" i="97"/>
  <c r="U220" i="97"/>
  <c r="K220" i="97"/>
  <c r="Y219" i="97"/>
  <c r="O219" i="97"/>
  <c r="E219" i="97"/>
  <c r="S218" i="97"/>
  <c r="I218" i="97"/>
  <c r="W217" i="97"/>
  <c r="M217" i="97"/>
  <c r="C217" i="97"/>
  <c r="Q216" i="97"/>
  <c r="G216" i="97"/>
  <c r="U215" i="97"/>
  <c r="K215" i="97"/>
  <c r="Y214" i="97"/>
  <c r="O214" i="97"/>
  <c r="E214" i="97"/>
  <c r="S213" i="97"/>
  <c r="I213" i="97"/>
  <c r="W212" i="97"/>
  <c r="M212" i="97"/>
  <c r="I274" i="97"/>
  <c r="Y272" i="97"/>
  <c r="M271" i="97"/>
  <c r="E270" i="97"/>
  <c r="U268" i="97"/>
  <c r="I267" i="97"/>
  <c r="Y265" i="97"/>
  <c r="Q264" i="97"/>
  <c r="E263" i="97"/>
  <c r="U261" i="97"/>
  <c r="M260" i="97"/>
  <c r="Y258" i="97"/>
  <c r="S257" i="97"/>
  <c r="O256" i="97"/>
  <c r="K255" i="97"/>
  <c r="G254" i="97"/>
  <c r="D253" i="97"/>
  <c r="E252" i="97"/>
  <c r="K251" i="97"/>
  <c r="M250" i="97"/>
  <c r="M249" i="97"/>
  <c r="U248" i="97"/>
  <c r="U247" i="97"/>
  <c r="W246" i="97"/>
  <c r="E246" i="97"/>
  <c r="I245" i="97"/>
  <c r="R244" i="97"/>
  <c r="X243" i="97"/>
  <c r="E243" i="97"/>
  <c r="M242" i="97"/>
  <c r="Q241" i="97"/>
  <c r="Y240" i="97"/>
  <c r="E240" i="97"/>
  <c r="N239" i="97"/>
  <c r="X238" i="97"/>
  <c r="I238" i="97"/>
  <c r="T237" i="97"/>
  <c r="D237" i="97"/>
  <c r="O236" i="97"/>
  <c r="W235" i="97"/>
  <c r="J235" i="97"/>
  <c r="T234" i="97"/>
  <c r="E234" i="97"/>
  <c r="P233" i="97"/>
  <c r="X229" i="97"/>
  <c r="K229" i="97"/>
  <c r="S228" i="97"/>
  <c r="F228" i="97"/>
  <c r="P227" i="97"/>
  <c r="Y226" i="97"/>
  <c r="L226" i="97"/>
  <c r="T225" i="97"/>
  <c r="J225" i="97"/>
  <c r="X224" i="97"/>
  <c r="N224" i="97"/>
  <c r="D224" i="97"/>
  <c r="R223" i="97"/>
  <c r="H223" i="97"/>
  <c r="V222" i="97"/>
  <c r="L222" i="97"/>
  <c r="Z221" i="97"/>
  <c r="P221" i="97"/>
  <c r="F221" i="97"/>
  <c r="T220" i="97"/>
  <c r="J220" i="97"/>
  <c r="X219" i="97"/>
  <c r="N219" i="97"/>
  <c r="D219" i="97"/>
  <c r="R218" i="97"/>
  <c r="H218" i="97"/>
  <c r="V217" i="97"/>
  <c r="L217" i="97"/>
  <c r="Z216" i="97"/>
  <c r="P216" i="97"/>
  <c r="F216" i="97"/>
  <c r="T215" i="97"/>
  <c r="J215" i="97"/>
  <c r="X214" i="97"/>
  <c r="N214" i="97"/>
  <c r="D214" i="97"/>
  <c r="R213" i="97"/>
  <c r="H213" i="97"/>
  <c r="V212" i="97"/>
  <c r="L212" i="97"/>
  <c r="Z211" i="97"/>
  <c r="O273" i="97"/>
  <c r="G272" i="97"/>
  <c r="W270" i="97"/>
  <c r="K269" i="97"/>
  <c r="C268" i="97"/>
  <c r="S266" i="97"/>
  <c r="G265" i="97"/>
  <c r="W263" i="97"/>
  <c r="O262" i="97"/>
  <c r="C261" i="97"/>
  <c r="S259" i="97"/>
  <c r="K258" i="97"/>
  <c r="F257" i="97"/>
  <c r="M274" i="97"/>
  <c r="T271" i="97"/>
  <c r="X268" i="97"/>
  <c r="E266" i="97"/>
  <c r="L263" i="97"/>
  <c r="P260" i="97"/>
  <c r="Y257" i="97"/>
  <c r="Y255" i="97"/>
  <c r="U253" i="97"/>
  <c r="C252" i="97"/>
  <c r="X250" i="97"/>
  <c r="J249" i="97"/>
  <c r="T247" i="97"/>
  <c r="Q246" i="97"/>
  <c r="F245" i="97"/>
  <c r="U243" i="97"/>
  <c r="S242" i="97"/>
  <c r="M241" i="97"/>
  <c r="D240" i="97"/>
  <c r="F239" i="97"/>
  <c r="F238" i="97"/>
  <c r="C237" i="97"/>
  <c r="G236" i="97"/>
  <c r="F235" i="97"/>
  <c r="D234" i="97"/>
  <c r="H233" i="97"/>
  <c r="E229" i="97"/>
  <c r="E228" i="97"/>
  <c r="I227" i="97"/>
  <c r="F226" i="97"/>
  <c r="I225" i="97"/>
  <c r="S224" i="97"/>
  <c r="Y223" i="97"/>
  <c r="G223" i="97"/>
  <c r="Q222" i="97"/>
  <c r="W221" i="97"/>
  <c r="E221" i="97"/>
  <c r="O220" i="97"/>
  <c r="U219" i="97"/>
  <c r="C219" i="97"/>
  <c r="M218" i="97"/>
  <c r="S217" i="97"/>
  <c r="Y216" i="97"/>
  <c r="K216" i="97"/>
  <c r="Q215" i="97"/>
  <c r="W214" i="97"/>
  <c r="I214" i="97"/>
  <c r="O213" i="97"/>
  <c r="U212" i="97"/>
  <c r="G212" i="97"/>
  <c r="R211" i="97"/>
  <c r="H211" i="97"/>
  <c r="V210" i="97"/>
  <c r="L210" i="97"/>
  <c r="Z209" i="97"/>
  <c r="P209" i="97"/>
  <c r="F209" i="97"/>
  <c r="T208" i="97"/>
  <c r="J208" i="97"/>
  <c r="X207" i="97"/>
  <c r="N207" i="97"/>
  <c r="D207" i="97"/>
  <c r="R206" i="97"/>
  <c r="H206" i="97"/>
  <c r="V205" i="97"/>
  <c r="L205" i="97"/>
  <c r="Z204" i="97"/>
  <c r="P204" i="97"/>
  <c r="F204" i="97"/>
  <c r="T203" i="97"/>
  <c r="J203" i="97"/>
  <c r="X202" i="97"/>
  <c r="N202" i="97"/>
  <c r="D202" i="97"/>
  <c r="R201" i="97"/>
  <c r="H201" i="97"/>
  <c r="V200" i="97"/>
  <c r="L200" i="97"/>
  <c r="Z199" i="97"/>
  <c r="P199" i="97"/>
  <c r="F199" i="97"/>
  <c r="T198" i="97"/>
  <c r="J198" i="97"/>
  <c r="X197" i="97"/>
  <c r="N197" i="97"/>
  <c r="D197" i="97"/>
  <c r="W273" i="97"/>
  <c r="C271" i="97"/>
  <c r="K268" i="97"/>
  <c r="O265" i="97"/>
  <c r="S262" i="97"/>
  <c r="C260" i="97"/>
  <c r="K257" i="97"/>
  <c r="O255" i="97"/>
  <c r="S253" i="97"/>
  <c r="Y251" i="97"/>
  <c r="U250" i="97"/>
  <c r="I249" i="97"/>
  <c r="S247" i="97"/>
  <c r="J246" i="97"/>
  <c r="E245" i="97"/>
  <c r="S243" i="97"/>
  <c r="Q242" i="97"/>
  <c r="L241" i="97"/>
  <c r="C240" i="97"/>
  <c r="D239" i="97"/>
  <c r="D238" i="97"/>
  <c r="V273" i="97"/>
  <c r="Z270" i="97"/>
  <c r="G268" i="97"/>
  <c r="N265" i="97"/>
  <c r="R262" i="97"/>
  <c r="W259" i="97"/>
  <c r="I257" i="97"/>
  <c r="C255" i="97"/>
  <c r="Q253" i="97"/>
  <c r="X251" i="97"/>
  <c r="K250" i="97"/>
  <c r="H249" i="97"/>
  <c r="R247" i="97"/>
  <c r="D246" i="97"/>
  <c r="D245" i="97"/>
  <c r="Q243" i="97"/>
  <c r="J242" i="97"/>
  <c r="J241" i="97"/>
  <c r="Y239" i="97"/>
  <c r="U238" i="97"/>
  <c r="Y237" i="97"/>
  <c r="Y236" i="97"/>
  <c r="V235" i="97"/>
  <c r="Z234" i="97"/>
  <c r="Z233" i="97"/>
  <c r="W229" i="97"/>
  <c r="C229" i="97"/>
  <c r="Z227" i="97"/>
  <c r="X226" i="97"/>
  <c r="D226" i="97"/>
  <c r="G225" i="97"/>
  <c r="M224" i="97"/>
  <c r="W223" i="97"/>
  <c r="E223" i="97"/>
  <c r="K222" i="97"/>
  <c r="U221" i="97"/>
  <c r="C221" i="97"/>
  <c r="I220" i="97"/>
  <c r="S219" i="97"/>
  <c r="Y218" i="97"/>
  <c r="G218" i="97"/>
  <c r="Q217" i="97"/>
  <c r="W216" i="97"/>
  <c r="E216" i="97"/>
  <c r="O215" i="97"/>
  <c r="U214" i="97"/>
  <c r="C214" i="97"/>
  <c r="M213" i="97"/>
  <c r="S212" i="97"/>
  <c r="C212" i="97"/>
  <c r="P211" i="97"/>
  <c r="F211" i="97"/>
  <c r="T210" i="97"/>
  <c r="J210" i="97"/>
  <c r="X209" i="97"/>
  <c r="N209" i="97"/>
  <c r="D209" i="97"/>
  <c r="R208" i="97"/>
  <c r="H208" i="97"/>
  <c r="V207" i="97"/>
  <c r="L207" i="97"/>
  <c r="Z206" i="97"/>
  <c r="P206" i="97"/>
  <c r="F206" i="97"/>
  <c r="T205" i="97"/>
  <c r="J205" i="97"/>
  <c r="X204" i="97"/>
  <c r="N204" i="97"/>
  <c r="D204" i="97"/>
  <c r="R203" i="97"/>
  <c r="H203" i="97"/>
  <c r="V202" i="97"/>
  <c r="L202" i="97"/>
  <c r="Z201" i="97"/>
  <c r="P201" i="97"/>
  <c r="F201" i="97"/>
  <c r="T200" i="97"/>
  <c r="J200" i="97"/>
  <c r="X199" i="97"/>
  <c r="N199" i="97"/>
  <c r="D199" i="97"/>
  <c r="R198" i="97"/>
  <c r="H198" i="97"/>
  <c r="V197" i="97"/>
  <c r="L197" i="97"/>
  <c r="U273" i="97"/>
  <c r="Y270" i="97"/>
  <c r="E268" i="97"/>
  <c r="M265" i="97"/>
  <c r="Q262" i="97"/>
  <c r="U259" i="97"/>
  <c r="H257" i="97"/>
  <c r="Y254" i="97"/>
  <c r="N253" i="97"/>
  <c r="W251" i="97"/>
  <c r="I250" i="97"/>
  <c r="X248" i="97"/>
  <c r="K247" i="97"/>
  <c r="Z245" i="97"/>
  <c r="U244" i="97"/>
  <c r="P243" i="97"/>
  <c r="G242" i="97"/>
  <c r="D241" i="97"/>
  <c r="W239" i="97"/>
  <c r="T238" i="97"/>
  <c r="W237" i="97"/>
  <c r="X236" i="97"/>
  <c r="U235" i="97"/>
  <c r="X234" i="97"/>
  <c r="X233" i="97"/>
  <c r="V229" i="97"/>
  <c r="Y228" i="97"/>
  <c r="W227" i="97"/>
  <c r="W226" i="97"/>
  <c r="Z225" i="97"/>
  <c r="F225" i="97"/>
  <c r="L224" i="97"/>
  <c r="U223" i="97"/>
  <c r="D223" i="97"/>
  <c r="J222" i="97"/>
  <c r="S221" i="97"/>
  <c r="Z220" i="97"/>
  <c r="H220" i="97"/>
  <c r="Q219" i="97"/>
  <c r="X218" i="97"/>
  <c r="F218" i="97"/>
  <c r="O217" i="97"/>
  <c r="V216" i="97"/>
  <c r="D216" i="97"/>
  <c r="M215" i="97"/>
  <c r="T214" i="97"/>
  <c r="Z213" i="97"/>
  <c r="K213" i="97"/>
  <c r="R212" i="97"/>
  <c r="Y211" i="97"/>
  <c r="O211" i="97"/>
  <c r="E211" i="97"/>
  <c r="S210" i="97"/>
  <c r="I210" i="97"/>
  <c r="W209" i="97"/>
  <c r="M209" i="97"/>
  <c r="C209" i="97"/>
  <c r="Q208" i="97"/>
  <c r="G208" i="97"/>
  <c r="U207" i="97"/>
  <c r="K207" i="97"/>
  <c r="Y206" i="97"/>
  <c r="O206" i="97"/>
  <c r="E206" i="97"/>
  <c r="S205" i="97"/>
  <c r="I205" i="97"/>
  <c r="W204" i="97"/>
  <c r="M204" i="97"/>
  <c r="C204" i="97"/>
  <c r="Q203" i="97"/>
  <c r="G203" i="97"/>
  <c r="U202" i="97"/>
  <c r="K202" i="97"/>
  <c r="Y201" i="97"/>
  <c r="O201" i="97"/>
  <c r="E201" i="97"/>
  <c r="S200" i="97"/>
  <c r="I200" i="97"/>
  <c r="W199" i="97"/>
  <c r="M199" i="97"/>
  <c r="C199" i="97"/>
  <c r="Q273" i="97"/>
  <c r="X270" i="97"/>
  <c r="D268" i="97"/>
  <c r="I265" i="97"/>
  <c r="P262" i="97"/>
  <c r="T259" i="97"/>
  <c r="G257" i="97"/>
  <c r="W254" i="97"/>
  <c r="C253" i="97"/>
  <c r="V251" i="97"/>
  <c r="H250" i="97"/>
  <c r="S248" i="97"/>
  <c r="J247" i="97"/>
  <c r="W245" i="97"/>
  <c r="Q244" i="97"/>
  <c r="O243" i="97"/>
  <c r="F242" i="97"/>
  <c r="X240" i="97"/>
  <c r="V239" i="97"/>
  <c r="S238" i="97"/>
  <c r="R237" i="97"/>
  <c r="V236" i="97"/>
  <c r="T235" i="97"/>
  <c r="Q234" i="97"/>
  <c r="U233" i="97"/>
  <c r="U229" i="97"/>
  <c r="R228" i="97"/>
  <c r="V227" i="97"/>
  <c r="V226" i="97"/>
  <c r="S225" i="97"/>
  <c r="E225" i="97"/>
  <c r="K224" i="97"/>
  <c r="Q223" i="97"/>
  <c r="C223" i="97"/>
  <c r="I222" i="97"/>
  <c r="O221" i="97"/>
  <c r="Y220" i="97"/>
  <c r="G220" i="97"/>
  <c r="M219" i="97"/>
  <c r="W218" i="97"/>
  <c r="E218" i="97"/>
  <c r="K217" i="97"/>
  <c r="U216" i="97"/>
  <c r="C216" i="97"/>
  <c r="I215" i="97"/>
  <c r="S214" i="97"/>
  <c r="Y213" i="97"/>
  <c r="G213" i="97"/>
  <c r="Q212" i="97"/>
  <c r="X211" i="97"/>
  <c r="N211" i="97"/>
  <c r="D211" i="97"/>
  <c r="R210" i="97"/>
  <c r="H210" i="97"/>
  <c r="V209" i="97"/>
  <c r="L209" i="97"/>
  <c r="Z208" i="97"/>
  <c r="P208" i="97"/>
  <c r="F208" i="97"/>
  <c r="T207" i="97"/>
  <c r="J207" i="97"/>
  <c r="X206" i="97"/>
  <c r="N206" i="97"/>
  <c r="D206" i="97"/>
  <c r="R205" i="97"/>
  <c r="H205" i="97"/>
  <c r="V204" i="97"/>
  <c r="L204" i="97"/>
  <c r="Z203" i="97"/>
  <c r="P203" i="97"/>
  <c r="F203" i="97"/>
  <c r="T202" i="97"/>
  <c r="J202" i="97"/>
  <c r="X201" i="97"/>
  <c r="N201" i="97"/>
  <c r="D201" i="97"/>
  <c r="R200" i="97"/>
  <c r="H200" i="97"/>
  <c r="V199" i="97"/>
  <c r="L199" i="97"/>
  <c r="Z198" i="97"/>
  <c r="P198" i="97"/>
  <c r="D273" i="97"/>
  <c r="P267" i="97"/>
  <c r="Y261" i="97"/>
  <c r="T256" i="97"/>
  <c r="Z252" i="97"/>
  <c r="C250" i="97"/>
  <c r="H247" i="97"/>
  <c r="O244" i="97"/>
  <c r="E242" i="97"/>
  <c r="Q239" i="97"/>
  <c r="O237" i="97"/>
  <c r="H236" i="97"/>
  <c r="N234" i="97"/>
  <c r="T229" i="97"/>
  <c r="I228" i="97"/>
  <c r="O226" i="97"/>
  <c r="C225" i="97"/>
  <c r="Z223" i="97"/>
  <c r="T222" i="97"/>
  <c r="N221" i="97"/>
  <c r="P220" i="97"/>
  <c r="J219" i="97"/>
  <c r="D218" i="97"/>
  <c r="E217" i="97"/>
  <c r="W215" i="97"/>
  <c r="Q214" i="97"/>
  <c r="P213" i="97"/>
  <c r="J212" i="97"/>
  <c r="M211" i="97"/>
  <c r="W210" i="97"/>
  <c r="E210" i="97"/>
  <c r="K209" i="97"/>
  <c r="U208" i="97"/>
  <c r="C208" i="97"/>
  <c r="I207" i="97"/>
  <c r="S206" i="97"/>
  <c r="Y205" i="97"/>
  <c r="G205" i="97"/>
  <c r="Q204" i="97"/>
  <c r="W203" i="97"/>
  <c r="E203" i="97"/>
  <c r="O202" i="97"/>
  <c r="U201" i="97"/>
  <c r="C201" i="97"/>
  <c r="M200" i="97"/>
  <c r="S199" i="97"/>
  <c r="Y198" i="97"/>
  <c r="L198" i="97"/>
  <c r="W197" i="97"/>
  <c r="J197" i="97"/>
  <c r="W196" i="97"/>
  <c r="M196" i="97"/>
  <c r="C196" i="97"/>
  <c r="Q195" i="97"/>
  <c r="G195" i="97"/>
  <c r="U194" i="97"/>
  <c r="K194" i="97"/>
  <c r="Y193" i="97"/>
  <c r="O193" i="97"/>
  <c r="E193" i="97"/>
  <c r="S192" i="97"/>
  <c r="I192" i="97"/>
  <c r="W191" i="97"/>
  <c r="M191" i="97"/>
  <c r="C191" i="97"/>
  <c r="Q190" i="97"/>
  <c r="G190" i="97"/>
  <c r="U189" i="97"/>
  <c r="K189" i="97"/>
  <c r="Y188" i="97"/>
  <c r="O188" i="97"/>
  <c r="E188" i="97"/>
  <c r="S184" i="97"/>
  <c r="I184" i="97"/>
  <c r="W183" i="97"/>
  <c r="M183" i="97"/>
  <c r="C183" i="97"/>
  <c r="Q182" i="97"/>
  <c r="G182" i="97"/>
  <c r="U181" i="97"/>
  <c r="K181" i="97"/>
  <c r="Y180" i="97"/>
  <c r="O180" i="97"/>
  <c r="E180" i="97"/>
  <c r="S179" i="97"/>
  <c r="I179" i="97"/>
  <c r="W178" i="97"/>
  <c r="M178" i="97"/>
  <c r="C178" i="97"/>
  <c r="Q177" i="97"/>
  <c r="O272" i="97"/>
  <c r="W266" i="97"/>
  <c r="K261" i="97"/>
  <c r="G256" i="97"/>
  <c r="Y252" i="97"/>
  <c r="Y249" i="97"/>
  <c r="V246" i="97"/>
  <c r="L244" i="97"/>
  <c r="C242" i="97"/>
  <c r="M239" i="97"/>
  <c r="N237" i="97"/>
  <c r="E236" i="97"/>
  <c r="M234" i="97"/>
  <c r="R229" i="97"/>
  <c r="D228" i="97"/>
  <c r="J226" i="97"/>
  <c r="W224" i="97"/>
  <c r="X223" i="97"/>
  <c r="S222" i="97"/>
  <c r="M221" i="97"/>
  <c r="M220" i="97"/>
  <c r="I219" i="97"/>
  <c r="C218" i="97"/>
  <c r="X216" i="97"/>
  <c r="S215" i="97"/>
  <c r="M214" i="97"/>
  <c r="N213" i="97"/>
  <c r="K272" i="97"/>
  <c r="V266" i="97"/>
  <c r="J261" i="97"/>
  <c r="E256" i="97"/>
  <c r="Q252" i="97"/>
  <c r="V249" i="97"/>
  <c r="U246" i="97"/>
  <c r="I244" i="97"/>
  <c r="X241" i="97"/>
  <c r="L239" i="97"/>
  <c r="M237" i="97"/>
  <c r="S235" i="97"/>
  <c r="J234" i="97"/>
  <c r="N229" i="97"/>
  <c r="T227" i="97"/>
  <c r="G226" i="97"/>
  <c r="V224" i="97"/>
  <c r="P223" i="97"/>
  <c r="R222" i="97"/>
  <c r="L221" i="97"/>
  <c r="F220" i="97"/>
  <c r="G219" i="97"/>
  <c r="Y217" i="97"/>
  <c r="S216" i="97"/>
  <c r="R215" i="97"/>
  <c r="L214" i="97"/>
  <c r="F213" i="97"/>
  <c r="H212" i="97"/>
  <c r="K211" i="97"/>
  <c r="Q210" i="97"/>
  <c r="C210" i="97"/>
  <c r="I209" i="97"/>
  <c r="O208" i="97"/>
  <c r="Y207" i="97"/>
  <c r="G207" i="97"/>
  <c r="M206" i="97"/>
  <c r="W205" i="97"/>
  <c r="E205" i="97"/>
  <c r="K204" i="97"/>
  <c r="U203" i="97"/>
  <c r="C203" i="97"/>
  <c r="I202" i="97"/>
  <c r="S201" i="97"/>
  <c r="Y200" i="97"/>
  <c r="G200" i="97"/>
  <c r="Q199" i="97"/>
  <c r="W198" i="97"/>
  <c r="I198" i="97"/>
  <c r="T197" i="97"/>
  <c r="H197" i="97"/>
  <c r="U196" i="97"/>
  <c r="K196" i="97"/>
  <c r="Y195" i="97"/>
  <c r="O195" i="97"/>
  <c r="E195" i="97"/>
  <c r="S194" i="97"/>
  <c r="I194" i="97"/>
  <c r="W193" i="97"/>
  <c r="M193" i="97"/>
  <c r="C193" i="97"/>
  <c r="Q192" i="97"/>
  <c r="G192" i="97"/>
  <c r="U191" i="97"/>
  <c r="K191" i="97"/>
  <c r="Y190" i="97"/>
  <c r="O190" i="97"/>
  <c r="E190" i="97"/>
  <c r="S189" i="97"/>
  <c r="I189" i="97"/>
  <c r="W188" i="97"/>
  <c r="M188" i="97"/>
  <c r="C188" i="97"/>
  <c r="Q184" i="97"/>
  <c r="G184" i="97"/>
  <c r="U183" i="97"/>
  <c r="K183" i="97"/>
  <c r="H272" i="97"/>
  <c r="T266" i="97"/>
  <c r="E261" i="97"/>
  <c r="Z255" i="97"/>
  <c r="M252" i="97"/>
  <c r="K249" i="97"/>
  <c r="S246" i="97"/>
  <c r="E244" i="97"/>
  <c r="N241" i="97"/>
  <c r="G239" i="97"/>
  <c r="J237" i="97"/>
  <c r="M235" i="97"/>
  <c r="S233" i="97"/>
  <c r="H229" i="97"/>
  <c r="L227" i="97"/>
  <c r="R225" i="97"/>
  <c r="T224" i="97"/>
  <c r="N223" i="97"/>
  <c r="H222" i="97"/>
  <c r="I221" i="97"/>
  <c r="C220" i="97"/>
  <c r="U218" i="97"/>
  <c r="T217" i="97"/>
  <c r="N216" i="97"/>
  <c r="H215" i="97"/>
  <c r="J214" i="97"/>
  <c r="D213" i="97"/>
  <c r="W211" i="97"/>
  <c r="I211" i="97"/>
  <c r="O210" i="97"/>
  <c r="U209" i="97"/>
  <c r="G209" i="97"/>
  <c r="M208" i="97"/>
  <c r="S207" i="97"/>
  <c r="E207" i="97"/>
  <c r="K206" i="97"/>
  <c r="Q205" i="97"/>
  <c r="C205" i="97"/>
  <c r="I204" i="97"/>
  <c r="O203" i="97"/>
  <c r="Y202" i="97"/>
  <c r="G202" i="97"/>
  <c r="M201" i="97"/>
  <c r="W200" i="97"/>
  <c r="E200" i="97"/>
  <c r="K199" i="97"/>
  <c r="U198" i="97"/>
  <c r="F198" i="97"/>
  <c r="R197" i="97"/>
  <c r="F197" i="97"/>
  <c r="S196" i="97"/>
  <c r="I196" i="97"/>
  <c r="W195" i="97"/>
  <c r="M195" i="97"/>
  <c r="C195" i="97"/>
  <c r="Q194" i="97"/>
  <c r="G194" i="97"/>
  <c r="U193" i="97"/>
  <c r="K193" i="97"/>
  <c r="Y192" i="97"/>
  <c r="O192" i="97"/>
  <c r="E192" i="97"/>
  <c r="S191" i="97"/>
  <c r="I191" i="97"/>
  <c r="W190" i="97"/>
  <c r="M190" i="97"/>
  <c r="C190" i="97"/>
  <c r="Q189" i="97"/>
  <c r="G189" i="97"/>
  <c r="U188" i="97"/>
  <c r="K188" i="97"/>
  <c r="Y184" i="97"/>
  <c r="O184" i="97"/>
  <c r="E184" i="97"/>
  <c r="S183" i="97"/>
  <c r="I183" i="97"/>
  <c r="W182" i="97"/>
  <c r="M182" i="97"/>
  <c r="C182" i="97"/>
  <c r="Q181" i="97"/>
  <c r="G181" i="97"/>
  <c r="U180" i="97"/>
  <c r="K180" i="97"/>
  <c r="Y179" i="97"/>
  <c r="O179" i="97"/>
  <c r="E179" i="97"/>
  <c r="S178" i="97"/>
  <c r="I178" i="97"/>
  <c r="W177" i="97"/>
  <c r="I270" i="97"/>
  <c r="T264" i="97"/>
  <c r="H259" i="97"/>
  <c r="U254" i="97"/>
  <c r="N251" i="97"/>
  <c r="M248" i="97"/>
  <c r="U245" i="97"/>
  <c r="L243" i="97"/>
  <c r="U240" i="97"/>
  <c r="R238" i="97"/>
  <c r="Z236" i="97"/>
  <c r="I235" i="97"/>
  <c r="N233" i="97"/>
  <c r="D229" i="97"/>
  <c r="K227" i="97"/>
  <c r="Q225" i="97"/>
  <c r="Q224" i="97"/>
  <c r="M223" i="97"/>
  <c r="G222" i="97"/>
  <c r="D221" i="97"/>
  <c r="W219" i="97"/>
  <c r="Q218" i="97"/>
  <c r="R217" i="97"/>
  <c r="M216" i="97"/>
  <c r="G215" i="97"/>
  <c r="G214" i="97"/>
  <c r="C213" i="97"/>
  <c r="V211" i="97"/>
  <c r="G211" i="97"/>
  <c r="N210" i="97"/>
  <c r="T209" i="97"/>
  <c r="E209" i="97"/>
  <c r="L208" i="97"/>
  <c r="R207" i="97"/>
  <c r="C207" i="97"/>
  <c r="J206" i="97"/>
  <c r="P205" i="97"/>
  <c r="Y204" i="97"/>
  <c r="H204" i="97"/>
  <c r="N203" i="97"/>
  <c r="W202" i="97"/>
  <c r="F202" i="97"/>
  <c r="L201" i="97"/>
  <c r="U200" i="97"/>
  <c r="D200" i="97"/>
  <c r="J199" i="97"/>
  <c r="S198" i="97"/>
  <c r="E198" i="97"/>
  <c r="Q197" i="97"/>
  <c r="E197" i="97"/>
  <c r="R196" i="97"/>
  <c r="H196" i="97"/>
  <c r="V195" i="97"/>
  <c r="L195" i="97"/>
  <c r="Z194" i="97"/>
  <c r="P194" i="97"/>
  <c r="F194" i="97"/>
  <c r="T193" i="97"/>
  <c r="J193" i="97"/>
  <c r="X192" i="97"/>
  <c r="N192" i="97"/>
  <c r="D192" i="97"/>
  <c r="R191" i="97"/>
  <c r="H191" i="97"/>
  <c r="V190" i="97"/>
  <c r="L190" i="97"/>
  <c r="Z189" i="97"/>
  <c r="P189" i="97"/>
  <c r="F189" i="97"/>
  <c r="T188" i="97"/>
  <c r="J188" i="97"/>
  <c r="X184" i="97"/>
  <c r="N184" i="97"/>
  <c r="D184" i="97"/>
  <c r="R183" i="97"/>
  <c r="H183" i="97"/>
  <c r="V182" i="97"/>
  <c r="L182" i="97"/>
  <c r="Z181" i="97"/>
  <c r="P181" i="97"/>
  <c r="F181" i="97"/>
  <c r="T180" i="97"/>
  <c r="J180" i="97"/>
  <c r="X179" i="97"/>
  <c r="N179" i="97"/>
  <c r="I272" i="97"/>
  <c r="I261" i="97"/>
  <c r="P252" i="97"/>
  <c r="T246" i="97"/>
  <c r="O241" i="97"/>
  <c r="L237" i="97"/>
  <c r="C234" i="97"/>
  <c r="M227" i="97"/>
  <c r="U224" i="97"/>
  <c r="O222" i="97"/>
  <c r="E220" i="97"/>
  <c r="U217" i="97"/>
  <c r="P215" i="97"/>
  <c r="E213" i="97"/>
  <c r="Q211" i="97"/>
  <c r="K210" i="97"/>
  <c r="H209" i="97"/>
  <c r="D208" i="97"/>
  <c r="V206" i="97"/>
  <c r="U205" i="97"/>
  <c r="R204" i="97"/>
  <c r="L203" i="97"/>
  <c r="H202" i="97"/>
  <c r="G201" i="97"/>
  <c r="Y199" i="97"/>
  <c r="V198" i="97"/>
  <c r="Y197" i="97"/>
  <c r="Z196" i="97"/>
  <c r="J196" i="97"/>
  <c r="R195" i="97"/>
  <c r="X194" i="97"/>
  <c r="H194" i="97"/>
  <c r="P193" i="97"/>
  <c r="V192" i="97"/>
  <c r="F192" i="97"/>
  <c r="N191" i="97"/>
  <c r="T190" i="97"/>
  <c r="D190" i="97"/>
  <c r="L189" i="97"/>
  <c r="R188" i="97"/>
  <c r="Z184" i="97"/>
  <c r="J184" i="97"/>
  <c r="P183" i="97"/>
  <c r="Y182" i="97"/>
  <c r="J182" i="97"/>
  <c r="T181" i="97"/>
  <c r="E181" i="97"/>
  <c r="P180" i="97"/>
  <c r="Z179" i="97"/>
  <c r="K179" i="97"/>
  <c r="V178" i="97"/>
  <c r="J178" i="97"/>
  <c r="U177" i="97"/>
  <c r="J177" i="97"/>
  <c r="X176" i="97"/>
  <c r="N176" i="97"/>
  <c r="D176" i="97"/>
  <c r="R175" i="97"/>
  <c r="H175" i="97"/>
  <c r="V174" i="97"/>
  <c r="L174" i="97"/>
  <c r="Z173" i="97"/>
  <c r="P173" i="97"/>
  <c r="F173" i="97"/>
  <c r="T172" i="97"/>
  <c r="J172" i="97"/>
  <c r="X171" i="97"/>
  <c r="N171" i="97"/>
  <c r="D171" i="97"/>
  <c r="R170" i="97"/>
  <c r="H170" i="97"/>
  <c r="V169" i="97"/>
  <c r="L169" i="97"/>
  <c r="Z168" i="97"/>
  <c r="P168" i="97"/>
  <c r="F168" i="97"/>
  <c r="T167" i="97"/>
  <c r="J167" i="97"/>
  <c r="X166" i="97"/>
  <c r="N166" i="97"/>
  <c r="D166" i="97"/>
  <c r="R165" i="97"/>
  <c r="H165" i="97"/>
  <c r="V164" i="97"/>
  <c r="L164" i="97"/>
  <c r="Z163" i="97"/>
  <c r="R269" i="97"/>
  <c r="N258" i="97"/>
  <c r="C251" i="97"/>
  <c r="Q245" i="97"/>
  <c r="P240" i="97"/>
  <c r="N236" i="97"/>
  <c r="J233" i="97"/>
  <c r="F227" i="97"/>
  <c r="I224" i="97"/>
  <c r="Y221" i="97"/>
  <c r="T219" i="97"/>
  <c r="I217" i="97"/>
  <c r="E215" i="97"/>
  <c r="T212" i="97"/>
  <c r="J211" i="97"/>
  <c r="F210" i="97"/>
  <c r="X208" i="97"/>
  <c r="W207" i="97"/>
  <c r="T206" i="97"/>
  <c r="N205" i="97"/>
  <c r="J204" i="97"/>
  <c r="I203" i="97"/>
  <c r="C202" i="97"/>
  <c r="X200" i="97"/>
  <c r="T199" i="97"/>
  <c r="O198" i="97"/>
  <c r="S197" i="97"/>
  <c r="X196" i="97"/>
  <c r="F196" i="97"/>
  <c r="N195" i="97"/>
  <c r="V194" i="97"/>
  <c r="D194" i="97"/>
  <c r="L193" i="97"/>
  <c r="T192" i="97"/>
  <c r="Z191" i="97"/>
  <c r="J191" i="97"/>
  <c r="R190" i="97"/>
  <c r="X189" i="97"/>
  <c r="H189" i="97"/>
  <c r="P188" i="97"/>
  <c r="V184" i="97"/>
  <c r="F184" i="97"/>
  <c r="N183" i="97"/>
  <c r="U182" i="97"/>
  <c r="H182" i="97"/>
  <c r="R181" i="97"/>
  <c r="C181" i="97"/>
  <c r="M180" i="97"/>
  <c r="V179" i="97"/>
  <c r="H179" i="97"/>
  <c r="T178" i="97"/>
  <c r="G178" i="97"/>
  <c r="S177" i="97"/>
  <c r="H177" i="97"/>
  <c r="V176" i="97"/>
  <c r="L176" i="97"/>
  <c r="Z175" i="97"/>
  <c r="P175" i="97"/>
  <c r="F175" i="97"/>
  <c r="T174" i="97"/>
  <c r="J174" i="97"/>
  <c r="X173" i="97"/>
  <c r="N173" i="97"/>
  <c r="D173" i="97"/>
  <c r="R172" i="97"/>
  <c r="H172" i="97"/>
  <c r="V171" i="97"/>
  <c r="L171" i="97"/>
  <c r="Z170" i="97"/>
  <c r="P170" i="97"/>
  <c r="F170" i="97"/>
  <c r="T169" i="97"/>
  <c r="J169" i="97"/>
  <c r="X168" i="97"/>
  <c r="N168" i="97"/>
  <c r="D168" i="97"/>
  <c r="R167" i="97"/>
  <c r="H167" i="97"/>
  <c r="V166" i="97"/>
  <c r="L166" i="97"/>
  <c r="Z165" i="97"/>
  <c r="P165" i="97"/>
  <c r="F165" i="97"/>
  <c r="T164" i="97"/>
  <c r="J164" i="97"/>
  <c r="X163" i="97"/>
  <c r="Q269" i="97"/>
  <c r="M258" i="97"/>
  <c r="Z250" i="97"/>
  <c r="H245" i="97"/>
  <c r="O240" i="97"/>
  <c r="L236" i="97"/>
  <c r="I233" i="97"/>
  <c r="T226" i="97"/>
  <c r="G224" i="97"/>
  <c r="X221" i="97"/>
  <c r="L219" i="97"/>
  <c r="H217" i="97"/>
  <c r="C215" i="97"/>
  <c r="O212" i="97"/>
  <c r="C211" i="97"/>
  <c r="D210" i="97"/>
  <c r="W208" i="97"/>
  <c r="Q207" i="97"/>
  <c r="Q206" i="97"/>
  <c r="M205" i="97"/>
  <c r="G204" i="97"/>
  <c r="D203" i="97"/>
  <c r="W201" i="97"/>
  <c r="Q200" i="97"/>
  <c r="R199" i="97"/>
  <c r="N198" i="97"/>
  <c r="P197" i="97"/>
  <c r="V196" i="97"/>
  <c r="E196" i="97"/>
  <c r="K195" i="97"/>
  <c r="T194" i="97"/>
  <c r="C194" i="97"/>
  <c r="I193" i="97"/>
  <c r="R192" i="97"/>
  <c r="Y191" i="97"/>
  <c r="G191" i="97"/>
  <c r="P190" i="97"/>
  <c r="W189" i="97"/>
  <c r="E189" i="97"/>
  <c r="N188" i="97"/>
  <c r="U184" i="97"/>
  <c r="C184" i="97"/>
  <c r="L183" i="97"/>
  <c r="T182" i="97"/>
  <c r="F182" i="97"/>
  <c r="O181" i="97"/>
  <c r="Z180" i="97"/>
  <c r="L180" i="97"/>
  <c r="U179" i="97"/>
  <c r="G179" i="97"/>
  <c r="R178" i="97"/>
  <c r="F178" i="97"/>
  <c r="R177" i="97"/>
  <c r="G177" i="97"/>
  <c r="U176" i="97"/>
  <c r="K176" i="97"/>
  <c r="Y175" i="97"/>
  <c r="O175" i="97"/>
  <c r="E175" i="97"/>
  <c r="S174" i="97"/>
  <c r="I174" i="97"/>
  <c r="W173" i="97"/>
  <c r="M173" i="97"/>
  <c r="C173" i="97"/>
  <c r="Q172" i="97"/>
  <c r="G172" i="97"/>
  <c r="U171" i="97"/>
  <c r="K171" i="97"/>
  <c r="Y170" i="97"/>
  <c r="O170" i="97"/>
  <c r="E170" i="97"/>
  <c r="S169" i="97"/>
  <c r="I169" i="97"/>
  <c r="W168" i="97"/>
  <c r="M168" i="97"/>
  <c r="C168" i="97"/>
  <c r="Q167" i="97"/>
  <c r="G167" i="97"/>
  <c r="U166" i="97"/>
  <c r="K166" i="97"/>
  <c r="Y165" i="97"/>
  <c r="O165" i="97"/>
  <c r="E165" i="97"/>
  <c r="S164" i="97"/>
  <c r="I164" i="97"/>
  <c r="M269" i="97"/>
  <c r="L258" i="97"/>
  <c r="Y250" i="97"/>
  <c r="G245" i="97"/>
  <c r="M240" i="97"/>
  <c r="I236" i="97"/>
  <c r="F233" i="97"/>
  <c r="Q226" i="97"/>
  <c r="C224" i="97"/>
  <c r="V221" i="97"/>
  <c r="K219" i="97"/>
  <c r="G217" i="97"/>
  <c r="V214" i="97"/>
  <c r="K212" i="97"/>
  <c r="Z210" i="97"/>
  <c r="Y209" i="97"/>
  <c r="V208" i="97"/>
  <c r="P207" i="97"/>
  <c r="L206" i="97"/>
  <c r="K205" i="97"/>
  <c r="E204" i="97"/>
  <c r="Z202" i="97"/>
  <c r="V201" i="97"/>
  <c r="P200" i="97"/>
  <c r="O199" i="97"/>
  <c r="M198" i="97"/>
  <c r="O197" i="97"/>
  <c r="T196" i="97"/>
  <c r="D196" i="97"/>
  <c r="J195" i="97"/>
  <c r="R194" i="97"/>
  <c r="Z193" i="97"/>
  <c r="H193" i="97"/>
  <c r="P192" i="97"/>
  <c r="X191" i="97"/>
  <c r="F191" i="97"/>
  <c r="N190" i="97"/>
  <c r="V189" i="97"/>
  <c r="D189" i="97"/>
  <c r="L188" i="97"/>
  <c r="T184" i="97"/>
  <c r="Z183" i="97"/>
  <c r="J183" i="97"/>
  <c r="S182" i="97"/>
  <c r="E182" i="97"/>
  <c r="N181" i="97"/>
  <c r="X180" i="97"/>
  <c r="I180" i="97"/>
  <c r="T179" i="97"/>
  <c r="F179" i="97"/>
  <c r="Q178" i="97"/>
  <c r="E178" i="97"/>
  <c r="P177" i="97"/>
  <c r="F177" i="97"/>
  <c r="T176" i="97"/>
  <c r="J176" i="97"/>
  <c r="X175" i="97"/>
  <c r="N175" i="97"/>
  <c r="D175" i="97"/>
  <c r="R174" i="97"/>
  <c r="H174" i="97"/>
  <c r="V173" i="97"/>
  <c r="L173" i="97"/>
  <c r="Z172" i="97"/>
  <c r="P172" i="97"/>
  <c r="F172" i="97"/>
  <c r="T171" i="97"/>
  <c r="J171" i="97"/>
  <c r="X170" i="97"/>
  <c r="N170" i="97"/>
  <c r="D170" i="97"/>
  <c r="R169" i="97"/>
  <c r="H169" i="97"/>
  <c r="V168" i="97"/>
  <c r="L168" i="97"/>
  <c r="Z167" i="97"/>
  <c r="P167" i="97"/>
  <c r="F167" i="97"/>
  <c r="T166" i="97"/>
  <c r="J166" i="97"/>
  <c r="X165" i="97"/>
  <c r="N165" i="97"/>
  <c r="D165" i="97"/>
  <c r="R164" i="97"/>
  <c r="H164" i="97"/>
  <c r="V163" i="97"/>
  <c r="S269" i="97"/>
  <c r="E254" i="97"/>
  <c r="D243" i="97"/>
  <c r="R236" i="97"/>
  <c r="O228" i="97"/>
  <c r="K223" i="97"/>
  <c r="V219" i="97"/>
  <c r="Z215" i="97"/>
  <c r="E212" i="97"/>
  <c r="G210" i="97"/>
  <c r="I208" i="97"/>
  <c r="G206" i="97"/>
  <c r="O204" i="97"/>
  <c r="P202" i="97"/>
  <c r="N200" i="97"/>
  <c r="Q198" i="97"/>
  <c r="G197" i="97"/>
  <c r="X195" i="97"/>
  <c r="W194" i="97"/>
  <c r="R193" i="97"/>
  <c r="L192" i="97"/>
  <c r="L191" i="97"/>
  <c r="H190" i="97"/>
  <c r="Z188" i="97"/>
  <c r="W184" i="97"/>
  <c r="T183" i="97"/>
  <c r="P182" i="97"/>
  <c r="S181" i="97"/>
  <c r="R180" i="97"/>
  <c r="Q179" i="97"/>
  <c r="U178" i="97"/>
  <c r="X177" i="97"/>
  <c r="D177" i="97"/>
  <c r="M176" i="97"/>
  <c r="T175" i="97"/>
  <c r="Z174" i="97"/>
  <c r="K174" i="97"/>
  <c r="R173" i="97"/>
  <c r="X172" i="97"/>
  <c r="I172" i="97"/>
  <c r="P171" i="97"/>
  <c r="V170" i="97"/>
  <c r="G170" i="97"/>
  <c r="N169" i="97"/>
  <c r="T168" i="97"/>
  <c r="E168" i="97"/>
  <c r="L167" i="97"/>
  <c r="R166" i="97"/>
  <c r="C166" i="97"/>
  <c r="J165" i="97"/>
  <c r="P164" i="97"/>
  <c r="Y163" i="97"/>
  <c r="M163" i="97"/>
  <c r="C163" i="97"/>
  <c r="Q162" i="97"/>
  <c r="G162" i="97"/>
  <c r="U161" i="97"/>
  <c r="K161" i="97"/>
  <c r="Y160" i="97"/>
  <c r="O160" i="97"/>
  <c r="E160" i="97"/>
  <c r="S159" i="97"/>
  <c r="I159" i="97"/>
  <c r="W158" i="97"/>
  <c r="M158" i="97"/>
  <c r="C158" i="97"/>
  <c r="Q157" i="97"/>
  <c r="G157" i="97"/>
  <c r="U156" i="97"/>
  <c r="K156" i="97"/>
  <c r="Y155" i="97"/>
  <c r="O155" i="97"/>
  <c r="E155" i="97"/>
  <c r="S154" i="97"/>
  <c r="I154" i="97"/>
  <c r="W153" i="97"/>
  <c r="M153" i="97"/>
  <c r="C153" i="97"/>
  <c r="Q152" i="97"/>
  <c r="G152" i="97"/>
  <c r="U151" i="97"/>
  <c r="K151" i="97"/>
  <c r="Y150" i="97"/>
  <c r="O150" i="97"/>
  <c r="E150" i="97"/>
  <c r="S149" i="97"/>
  <c r="I149" i="97"/>
  <c r="W148" i="97"/>
  <c r="M148" i="97"/>
  <c r="C148" i="97"/>
  <c r="Q147" i="97"/>
  <c r="G147" i="97"/>
  <c r="U146" i="97"/>
  <c r="K146" i="97"/>
  <c r="Y145" i="97"/>
  <c r="O145" i="97"/>
  <c r="E145" i="97"/>
  <c r="S144" i="97"/>
  <c r="I144" i="97"/>
  <c r="W143" i="97"/>
  <c r="M143" i="97"/>
  <c r="C143" i="97"/>
  <c r="Q139" i="97"/>
  <c r="G139" i="97"/>
  <c r="U138" i="97"/>
  <c r="K138" i="97"/>
  <c r="Y137" i="97"/>
  <c r="O137" i="97"/>
  <c r="E137" i="97"/>
  <c r="S136" i="97"/>
  <c r="I136" i="97"/>
  <c r="W135" i="97"/>
  <c r="M135" i="97"/>
  <c r="C135" i="97"/>
  <c r="Q134" i="97"/>
  <c r="G134" i="97"/>
  <c r="U133" i="97"/>
  <c r="K133" i="97"/>
  <c r="Y132" i="97"/>
  <c r="O132" i="97"/>
  <c r="E132" i="97"/>
  <c r="S131" i="97"/>
  <c r="I131" i="97"/>
  <c r="W130" i="97"/>
  <c r="M130" i="97"/>
  <c r="C130" i="97"/>
  <c r="Q129" i="97"/>
  <c r="G129" i="97"/>
  <c r="U128" i="97"/>
  <c r="K128" i="97"/>
  <c r="Y127" i="97"/>
  <c r="O127" i="97"/>
  <c r="E127" i="97"/>
  <c r="S126" i="97"/>
  <c r="I126" i="97"/>
  <c r="W125" i="97"/>
  <c r="M125" i="97"/>
  <c r="C125" i="97"/>
  <c r="Q124" i="97"/>
  <c r="G124" i="97"/>
  <c r="U123" i="97"/>
  <c r="K123" i="97"/>
  <c r="Y122" i="97"/>
  <c r="O122" i="97"/>
  <c r="E122" i="97"/>
  <c r="S121" i="97"/>
  <c r="I121" i="97"/>
  <c r="W120" i="97"/>
  <c r="M120" i="97"/>
  <c r="C120" i="97"/>
  <c r="Q119" i="97"/>
  <c r="G119" i="97"/>
  <c r="U118" i="97"/>
  <c r="K118" i="97"/>
  <c r="Y117" i="97"/>
  <c r="O117" i="97"/>
  <c r="E117" i="97"/>
  <c r="S116" i="97"/>
  <c r="I116" i="97"/>
  <c r="W115" i="97"/>
  <c r="M115" i="97"/>
  <c r="C115" i="97"/>
  <c r="Q114" i="97"/>
  <c r="G114" i="97"/>
  <c r="U113" i="97"/>
  <c r="K113" i="97"/>
  <c r="Y112" i="97"/>
  <c r="O112" i="97"/>
  <c r="E112" i="97"/>
  <c r="S111" i="97"/>
  <c r="G264" i="97"/>
  <c r="J251" i="97"/>
  <c r="Z242" i="97"/>
  <c r="H235" i="97"/>
  <c r="J227" i="97"/>
  <c r="Y222" i="97"/>
  <c r="P218" i="97"/>
  <c r="F215" i="97"/>
  <c r="T211" i="97"/>
  <c r="R209" i="97"/>
  <c r="Z207" i="97"/>
  <c r="Z205" i="97"/>
  <c r="X203" i="97"/>
  <c r="E202" i="97"/>
  <c r="F200" i="97"/>
  <c r="G198" i="97"/>
  <c r="Y196" i="97"/>
  <c r="T195" i="97"/>
  <c r="N194" i="97"/>
  <c r="N193" i="97"/>
  <c r="J192" i="97"/>
  <c r="D191" i="97"/>
  <c r="Y189" i="97"/>
  <c r="V188" i="97"/>
  <c r="P184" i="97"/>
  <c r="O183" i="97"/>
  <c r="N182" i="97"/>
  <c r="L181" i="97"/>
  <c r="N180" i="97"/>
  <c r="M179" i="97"/>
  <c r="O178" i="97"/>
  <c r="T177" i="97"/>
  <c r="Z176" i="97"/>
  <c r="H176" i="97"/>
  <c r="Q175" i="97"/>
  <c r="X174" i="97"/>
  <c r="F174" i="97"/>
  <c r="O173" i="97"/>
  <c r="V172" i="97"/>
  <c r="D172" i="97"/>
  <c r="M171" i="97"/>
  <c r="T170" i="97"/>
  <c r="Z169" i="97"/>
  <c r="K169" i="97"/>
  <c r="R168" i="97"/>
  <c r="X167" i="97"/>
  <c r="I167" i="97"/>
  <c r="P166" i="97"/>
  <c r="V165" i="97"/>
  <c r="G165" i="97"/>
  <c r="N164" i="97"/>
  <c r="U163" i="97"/>
  <c r="K163" i="97"/>
  <c r="Y162" i="97"/>
  <c r="O162" i="97"/>
  <c r="E162" i="97"/>
  <c r="S161" i="97"/>
  <c r="I161" i="97"/>
  <c r="W160" i="97"/>
  <c r="M160" i="97"/>
  <c r="C160" i="97"/>
  <c r="Q159" i="97"/>
  <c r="G159" i="97"/>
  <c r="U158" i="97"/>
  <c r="K158" i="97"/>
  <c r="Y157" i="97"/>
  <c r="O157" i="97"/>
  <c r="E157" i="97"/>
  <c r="S156" i="97"/>
  <c r="I156" i="97"/>
  <c r="W155" i="97"/>
  <c r="M155" i="97"/>
  <c r="C155" i="97"/>
  <c r="Q154" i="97"/>
  <c r="G154" i="97"/>
  <c r="U153" i="97"/>
  <c r="K153" i="97"/>
  <c r="Y152" i="97"/>
  <c r="O152" i="97"/>
  <c r="E152" i="97"/>
  <c r="S151" i="97"/>
  <c r="I151" i="97"/>
  <c r="W150" i="97"/>
  <c r="M150" i="97"/>
  <c r="C150" i="97"/>
  <c r="Q149" i="97"/>
  <c r="G149" i="97"/>
  <c r="U148" i="97"/>
  <c r="K148" i="97"/>
  <c r="Y147" i="97"/>
  <c r="O147" i="97"/>
  <c r="E147" i="97"/>
  <c r="S146" i="97"/>
  <c r="I146" i="97"/>
  <c r="W145" i="97"/>
  <c r="M145" i="97"/>
  <c r="C145" i="97"/>
  <c r="Q144" i="97"/>
  <c r="G144" i="97"/>
  <c r="U143" i="97"/>
  <c r="K143" i="97"/>
  <c r="Y139" i="97"/>
  <c r="O139" i="97"/>
  <c r="E139" i="97"/>
  <c r="S138" i="97"/>
  <c r="I138" i="97"/>
  <c r="W137" i="97"/>
  <c r="M137" i="97"/>
  <c r="C137" i="97"/>
  <c r="Q136" i="97"/>
  <c r="G136" i="97"/>
  <c r="U135" i="97"/>
  <c r="K135" i="97"/>
  <c r="Y134" i="97"/>
  <c r="O134" i="97"/>
  <c r="E134" i="97"/>
  <c r="S133" i="97"/>
  <c r="I133" i="97"/>
  <c r="W132" i="97"/>
  <c r="M132" i="97"/>
  <c r="C132" i="97"/>
  <c r="Q131" i="97"/>
  <c r="G131" i="97"/>
  <c r="U130" i="97"/>
  <c r="K130" i="97"/>
  <c r="Y129" i="97"/>
  <c r="O129" i="97"/>
  <c r="E129" i="97"/>
  <c r="S128" i="97"/>
  <c r="I128" i="97"/>
  <c r="W127" i="97"/>
  <c r="M127" i="97"/>
  <c r="C127" i="97"/>
  <c r="Q126" i="97"/>
  <c r="G126" i="97"/>
  <c r="U125" i="97"/>
  <c r="K125" i="97"/>
  <c r="Y124" i="97"/>
  <c r="O124" i="97"/>
  <c r="E124" i="97"/>
  <c r="S123" i="97"/>
  <c r="I123" i="97"/>
  <c r="W122" i="97"/>
  <c r="M122" i="97"/>
  <c r="C122" i="97"/>
  <c r="Q121" i="97"/>
  <c r="G121" i="97"/>
  <c r="U120" i="97"/>
  <c r="K120" i="97"/>
  <c r="Y119" i="97"/>
  <c r="O119" i="97"/>
  <c r="E119" i="97"/>
  <c r="S118" i="97"/>
  <c r="I118" i="97"/>
  <c r="W117" i="97"/>
  <c r="M117" i="97"/>
  <c r="C117" i="97"/>
  <c r="Q116" i="97"/>
  <c r="G116" i="97"/>
  <c r="U115" i="97"/>
  <c r="K115" i="97"/>
  <c r="Y114" i="97"/>
  <c r="O114" i="97"/>
  <c r="E114" i="97"/>
  <c r="S113" i="97"/>
  <c r="I113" i="97"/>
  <c r="W112" i="97"/>
  <c r="M112" i="97"/>
  <c r="C112" i="97"/>
  <c r="Q111" i="97"/>
  <c r="C264" i="97"/>
  <c r="L249" i="97"/>
  <c r="W242" i="97"/>
  <c r="C235" i="97"/>
  <c r="E226" i="97"/>
  <c r="U222" i="97"/>
  <c r="O218" i="97"/>
  <c r="K214" i="97"/>
  <c r="S211" i="97"/>
  <c r="Q209" i="97"/>
  <c r="O207" i="97"/>
  <c r="X205" i="97"/>
  <c r="V203" i="97"/>
  <c r="T201" i="97"/>
  <c r="C200" i="97"/>
  <c r="D198" i="97"/>
  <c r="Q196" i="97"/>
  <c r="S195" i="97"/>
  <c r="M194" i="97"/>
  <c r="G193" i="97"/>
  <c r="H192" i="97"/>
  <c r="Z190" i="97"/>
  <c r="T189" i="97"/>
  <c r="S188" i="97"/>
  <c r="M184" i="97"/>
  <c r="G183" i="97"/>
  <c r="K182" i="97"/>
  <c r="J181" i="97"/>
  <c r="H180" i="97"/>
  <c r="L179" i="97"/>
  <c r="N178" i="97"/>
  <c r="O177" i="97"/>
  <c r="Y176" i="97"/>
  <c r="G176" i="97"/>
  <c r="M175" i="97"/>
  <c r="W174" i="97"/>
  <c r="E174" i="97"/>
  <c r="K173" i="97"/>
  <c r="U172" i="97"/>
  <c r="C172" i="97"/>
  <c r="I171" i="97"/>
  <c r="S170" i="97"/>
  <c r="Y169" i="97"/>
  <c r="G169" i="97"/>
  <c r="Q168" i="97"/>
  <c r="W167" i="97"/>
  <c r="E167" i="97"/>
  <c r="O166" i="97"/>
  <c r="U165" i="97"/>
  <c r="C165" i="97"/>
  <c r="M164" i="97"/>
  <c r="T163" i="97"/>
  <c r="J163" i="97"/>
  <c r="X162" i="97"/>
  <c r="N162" i="97"/>
  <c r="D162" i="97"/>
  <c r="R161" i="97"/>
  <c r="H161" i="97"/>
  <c r="V160" i="97"/>
  <c r="L160" i="97"/>
  <c r="Z159" i="97"/>
  <c r="P159" i="97"/>
  <c r="F159" i="97"/>
  <c r="T158" i="97"/>
  <c r="J158" i="97"/>
  <c r="X157" i="97"/>
  <c r="N157" i="97"/>
  <c r="D157" i="97"/>
  <c r="R156" i="97"/>
  <c r="H156" i="97"/>
  <c r="V155" i="97"/>
  <c r="L155" i="97"/>
  <c r="Z154" i="97"/>
  <c r="P154" i="97"/>
  <c r="F154" i="97"/>
  <c r="T153" i="97"/>
  <c r="J153" i="97"/>
  <c r="X152" i="97"/>
  <c r="N152" i="97"/>
  <c r="D152" i="97"/>
  <c r="R151" i="97"/>
  <c r="H151" i="97"/>
  <c r="V150" i="97"/>
  <c r="L150" i="97"/>
  <c r="Z149" i="97"/>
  <c r="P149" i="97"/>
  <c r="F149" i="97"/>
  <c r="T148" i="97"/>
  <c r="J148" i="97"/>
  <c r="X147" i="97"/>
  <c r="N147" i="97"/>
  <c r="D147" i="97"/>
  <c r="R146" i="97"/>
  <c r="H146" i="97"/>
  <c r="V145" i="97"/>
  <c r="L145" i="97"/>
  <c r="Z144" i="97"/>
  <c r="P144" i="97"/>
  <c r="F144" i="97"/>
  <c r="T143" i="97"/>
  <c r="J143" i="97"/>
  <c r="X139" i="97"/>
  <c r="N139" i="97"/>
  <c r="D139" i="97"/>
  <c r="R138" i="97"/>
  <c r="H138" i="97"/>
  <c r="V137" i="97"/>
  <c r="L137" i="97"/>
  <c r="Z136" i="97"/>
  <c r="P136" i="97"/>
  <c r="F136" i="97"/>
  <c r="T135" i="97"/>
  <c r="J135" i="97"/>
  <c r="X134" i="97"/>
  <c r="N134" i="97"/>
  <c r="D134" i="97"/>
  <c r="R133" i="97"/>
  <c r="H133" i="97"/>
  <c r="V132" i="97"/>
  <c r="L132" i="97"/>
  <c r="Z131" i="97"/>
  <c r="P131" i="97"/>
  <c r="F131" i="97"/>
  <c r="T130" i="97"/>
  <c r="J130" i="97"/>
  <c r="X129" i="97"/>
  <c r="N129" i="97"/>
  <c r="D129" i="97"/>
  <c r="R128" i="97"/>
  <c r="H128" i="97"/>
  <c r="V127" i="97"/>
  <c r="L127" i="97"/>
  <c r="Z126" i="97"/>
  <c r="P126" i="97"/>
  <c r="F126" i="97"/>
  <c r="T125" i="97"/>
  <c r="J125" i="97"/>
  <c r="X124" i="97"/>
  <c r="N124" i="97"/>
  <c r="D124" i="97"/>
  <c r="R123" i="97"/>
  <c r="H123" i="97"/>
  <c r="V122" i="97"/>
  <c r="L122" i="97"/>
  <c r="Z121" i="97"/>
  <c r="P121" i="97"/>
  <c r="F121" i="97"/>
  <c r="T120" i="97"/>
  <c r="J120" i="97"/>
  <c r="X119" i="97"/>
  <c r="N119" i="97"/>
  <c r="D119" i="97"/>
  <c r="R118" i="97"/>
  <c r="H118" i="97"/>
  <c r="V117" i="97"/>
  <c r="L117" i="97"/>
  <c r="Z116" i="97"/>
  <c r="P116" i="97"/>
  <c r="F116" i="97"/>
  <c r="T115" i="97"/>
  <c r="J115" i="97"/>
  <c r="X114" i="97"/>
  <c r="N114" i="97"/>
  <c r="D114" i="97"/>
  <c r="R113" i="97"/>
  <c r="H113" i="97"/>
  <c r="V112" i="97"/>
  <c r="L112" i="97"/>
  <c r="Z111" i="97"/>
  <c r="P111" i="97"/>
  <c r="Y263" i="97"/>
  <c r="L248" i="97"/>
  <c r="Q240" i="97"/>
  <c r="P234" i="97"/>
  <c r="P225" i="97"/>
  <c r="E222" i="97"/>
  <c r="N218" i="97"/>
  <c r="X213" i="97"/>
  <c r="L211" i="97"/>
  <c r="O209" i="97"/>
  <c r="M207" i="97"/>
  <c r="O205" i="97"/>
  <c r="S203" i="97"/>
  <c r="Q201" i="97"/>
  <c r="U199" i="97"/>
  <c r="C198" i="97"/>
  <c r="P196" i="97"/>
  <c r="P195" i="97"/>
  <c r="L194" i="97"/>
  <c r="F193" i="97"/>
  <c r="C192" i="97"/>
  <c r="X190" i="97"/>
  <c r="R189" i="97"/>
  <c r="Q188" i="97"/>
  <c r="L184" i="97"/>
  <c r="F183" i="97"/>
  <c r="I182" i="97"/>
  <c r="I181" i="97"/>
  <c r="G180" i="97"/>
  <c r="J179" i="97"/>
  <c r="L178" i="97"/>
  <c r="N177" i="97"/>
  <c r="W176" i="97"/>
  <c r="F176" i="97"/>
  <c r="L175" i="97"/>
  <c r="U174" i="97"/>
  <c r="D174" i="97"/>
  <c r="J173" i="97"/>
  <c r="S172" i="97"/>
  <c r="Z171" i="97"/>
  <c r="H171" i="97"/>
  <c r="Q170" i="97"/>
  <c r="X169" i="97"/>
  <c r="F169" i="97"/>
  <c r="O168" i="97"/>
  <c r="V167" i="97"/>
  <c r="D167" i="97"/>
  <c r="M166" i="97"/>
  <c r="T165" i="97"/>
  <c r="Z164" i="97"/>
  <c r="K164" i="97"/>
  <c r="S163" i="97"/>
  <c r="I163" i="97"/>
  <c r="W162" i="97"/>
  <c r="M162" i="97"/>
  <c r="C162" i="97"/>
  <c r="Q161" i="97"/>
  <c r="G161" i="97"/>
  <c r="U160" i="97"/>
  <c r="K160" i="97"/>
  <c r="Y159" i="97"/>
  <c r="O159" i="97"/>
  <c r="E159" i="97"/>
  <c r="S158" i="97"/>
  <c r="I158" i="97"/>
  <c r="W157" i="97"/>
  <c r="M157" i="97"/>
  <c r="C157" i="97"/>
  <c r="Q156" i="97"/>
  <c r="G156" i="97"/>
  <c r="U155" i="97"/>
  <c r="K155" i="97"/>
  <c r="Y154" i="97"/>
  <c r="O154" i="97"/>
  <c r="E154" i="97"/>
  <c r="S153" i="97"/>
  <c r="I153" i="97"/>
  <c r="W152" i="97"/>
  <c r="M152" i="97"/>
  <c r="C152" i="97"/>
  <c r="Q151" i="97"/>
  <c r="G151" i="97"/>
  <c r="U150" i="97"/>
  <c r="K150" i="97"/>
  <c r="Y149" i="97"/>
  <c r="O149" i="97"/>
  <c r="E149" i="97"/>
  <c r="S148" i="97"/>
  <c r="I148" i="97"/>
  <c r="W147" i="97"/>
  <c r="M147" i="97"/>
  <c r="C147" i="97"/>
  <c r="Q146" i="97"/>
  <c r="G146" i="97"/>
  <c r="U145" i="97"/>
  <c r="K145" i="97"/>
  <c r="Y144" i="97"/>
  <c r="O144" i="97"/>
  <c r="E144" i="97"/>
  <c r="S143" i="97"/>
  <c r="I143" i="97"/>
  <c r="W139" i="97"/>
  <c r="M139" i="97"/>
  <c r="C139" i="97"/>
  <c r="Q138" i="97"/>
  <c r="G138" i="97"/>
  <c r="U137" i="97"/>
  <c r="K137" i="97"/>
  <c r="Y136" i="97"/>
  <c r="O136" i="97"/>
  <c r="E136" i="97"/>
  <c r="S135" i="97"/>
  <c r="I135" i="97"/>
  <c r="W134" i="97"/>
  <c r="M134" i="97"/>
  <c r="C134" i="97"/>
  <c r="Q133" i="97"/>
  <c r="G133" i="97"/>
  <c r="U132" i="97"/>
  <c r="K132" i="97"/>
  <c r="Y131" i="97"/>
  <c r="O131" i="97"/>
  <c r="E131" i="97"/>
  <c r="S130" i="97"/>
  <c r="I130" i="97"/>
  <c r="W129" i="97"/>
  <c r="M129" i="97"/>
  <c r="C129" i="97"/>
  <c r="Q128" i="97"/>
  <c r="G128" i="97"/>
  <c r="U127" i="97"/>
  <c r="K127" i="97"/>
  <c r="Y126" i="97"/>
  <c r="O126" i="97"/>
  <c r="E126" i="97"/>
  <c r="S125" i="97"/>
  <c r="I125" i="97"/>
  <c r="W124" i="97"/>
  <c r="M124" i="97"/>
  <c r="C124" i="97"/>
  <c r="Q123" i="97"/>
  <c r="G123" i="97"/>
  <c r="U122" i="97"/>
  <c r="K122" i="97"/>
  <c r="Y121" i="97"/>
  <c r="O121" i="97"/>
  <c r="E121" i="97"/>
  <c r="S120" i="97"/>
  <c r="I120" i="97"/>
  <c r="W119" i="97"/>
  <c r="M119" i="97"/>
  <c r="C119" i="97"/>
  <c r="Q118" i="97"/>
  <c r="G118" i="97"/>
  <c r="U117" i="97"/>
  <c r="K117" i="97"/>
  <c r="Y116" i="97"/>
  <c r="O116" i="97"/>
  <c r="E116" i="97"/>
  <c r="S115" i="97"/>
  <c r="I115" i="97"/>
  <c r="W114" i="97"/>
  <c r="M114" i="97"/>
  <c r="C114" i="97"/>
  <c r="Q113" i="97"/>
  <c r="G113" i="97"/>
  <c r="U112" i="97"/>
  <c r="K112" i="97"/>
  <c r="Y111" i="97"/>
  <c r="O111" i="97"/>
  <c r="U266" i="97"/>
  <c r="S245" i="97"/>
  <c r="K233" i="97"/>
  <c r="F223" i="97"/>
  <c r="L216" i="97"/>
  <c r="X210" i="97"/>
  <c r="E208" i="97"/>
  <c r="T204" i="97"/>
  <c r="J201" i="97"/>
  <c r="K198" i="97"/>
  <c r="G196" i="97"/>
  <c r="E194" i="97"/>
  <c r="K192" i="97"/>
  <c r="J190" i="97"/>
  <c r="H188" i="97"/>
  <c r="Q183" i="97"/>
  <c r="W181" i="97"/>
  <c r="D180" i="97"/>
  <c r="P178" i="97"/>
  <c r="I177" i="97"/>
  <c r="C176" i="97"/>
  <c r="Y174" i="97"/>
  <c r="T173" i="97"/>
  <c r="N172" i="97"/>
  <c r="O171" i="97"/>
  <c r="J170" i="97"/>
  <c r="D169" i="97"/>
  <c r="Y167" i="97"/>
  <c r="W166" i="97"/>
  <c r="Q165" i="97"/>
  <c r="O164" i="97"/>
  <c r="O163" i="97"/>
  <c r="U162" i="97"/>
  <c r="F162" i="97"/>
  <c r="M161" i="97"/>
  <c r="S160" i="97"/>
  <c r="D160" i="97"/>
  <c r="K159" i="97"/>
  <c r="Q158" i="97"/>
  <c r="Z157" i="97"/>
  <c r="I157" i="97"/>
  <c r="O156" i="97"/>
  <c r="X155" i="97"/>
  <c r="G155" i="97"/>
  <c r="M154" i="97"/>
  <c r="V153" i="97"/>
  <c r="E153" i="97"/>
  <c r="K152" i="97"/>
  <c r="T151" i="97"/>
  <c r="C151" i="97"/>
  <c r="I150" i="97"/>
  <c r="R149" i="97"/>
  <c r="Y148" i="97"/>
  <c r="G148" i="97"/>
  <c r="P147" i="97"/>
  <c r="W146" i="97"/>
  <c r="E146" i="97"/>
  <c r="N145" i="97"/>
  <c r="U144" i="97"/>
  <c r="C144" i="97"/>
  <c r="L143" i="97"/>
  <c r="S139" i="97"/>
  <c r="Y138" i="97"/>
  <c r="J138" i="97"/>
  <c r="Q137" i="97"/>
  <c r="W136" i="97"/>
  <c r="H136" i="97"/>
  <c r="O135" i="97"/>
  <c r="U134" i="97"/>
  <c r="F134" i="97"/>
  <c r="M133" i="97"/>
  <c r="S132" i="97"/>
  <c r="D132" i="97"/>
  <c r="K131" i="97"/>
  <c r="Q130" i="97"/>
  <c r="Z129" i="97"/>
  <c r="I129" i="97"/>
  <c r="O128" i="97"/>
  <c r="X127" i="97"/>
  <c r="G127" i="97"/>
  <c r="M126" i="97"/>
  <c r="V125" i="97"/>
  <c r="E125" i="97"/>
  <c r="K124" i="97"/>
  <c r="T123" i="97"/>
  <c r="C123" i="97"/>
  <c r="I122" i="97"/>
  <c r="R121" i="97"/>
  <c r="Y120" i="97"/>
  <c r="G120" i="97"/>
  <c r="P119" i="97"/>
  <c r="W118" i="97"/>
  <c r="E118" i="97"/>
  <c r="N117" i="97"/>
  <c r="U116" i="97"/>
  <c r="C116" i="97"/>
  <c r="L115" i="97"/>
  <c r="S114" i="97"/>
  <c r="Y113" i="97"/>
  <c r="J113" i="97"/>
  <c r="Q112" i="97"/>
  <c r="W111" i="97"/>
  <c r="I111" i="97"/>
  <c r="W110" i="97"/>
  <c r="M110" i="97"/>
  <c r="C110" i="97"/>
  <c r="Q109" i="97"/>
  <c r="G109" i="97"/>
  <c r="U108" i="97"/>
  <c r="K108" i="97"/>
  <c r="Y107" i="97"/>
  <c r="O107" i="97"/>
  <c r="E107" i="97"/>
  <c r="S106" i="97"/>
  <c r="I106" i="97"/>
  <c r="W105" i="97"/>
  <c r="M105" i="97"/>
  <c r="C105" i="97"/>
  <c r="Q104" i="97"/>
  <c r="G104" i="97"/>
  <c r="U103" i="97"/>
  <c r="K103" i="97"/>
  <c r="Y102" i="97"/>
  <c r="O102" i="97"/>
  <c r="E102" i="97"/>
  <c r="S101" i="97"/>
  <c r="I101" i="97"/>
  <c r="W100" i="97"/>
  <c r="M100" i="97"/>
  <c r="C100" i="97"/>
  <c r="Q99" i="97"/>
  <c r="G99" i="97"/>
  <c r="U98" i="97"/>
  <c r="K98" i="97"/>
  <c r="Y94" i="97"/>
  <c r="O94" i="97"/>
  <c r="E94" i="97"/>
  <c r="S93" i="97"/>
  <c r="I93" i="97"/>
  <c r="W92" i="97"/>
  <c r="M92" i="97"/>
  <c r="C92" i="97"/>
  <c r="Q91" i="97"/>
  <c r="G91" i="97"/>
  <c r="U90" i="97"/>
  <c r="K90" i="97"/>
  <c r="Y89" i="97"/>
  <c r="O89" i="97"/>
  <c r="E89" i="97"/>
  <c r="S88" i="97"/>
  <c r="I88" i="97"/>
  <c r="W87" i="97"/>
  <c r="M87" i="97"/>
  <c r="C87" i="97"/>
  <c r="Q86" i="97"/>
  <c r="G86" i="97"/>
  <c r="U85" i="97"/>
  <c r="K85" i="97"/>
  <c r="Y84" i="97"/>
  <c r="O84" i="97"/>
  <c r="E84" i="97"/>
  <c r="S83" i="97"/>
  <c r="I83" i="97"/>
  <c r="W82" i="97"/>
  <c r="M82" i="97"/>
  <c r="C82" i="97"/>
  <c r="Q81" i="97"/>
  <c r="G81" i="97"/>
  <c r="U80" i="97"/>
  <c r="K80" i="97"/>
  <c r="Y79" i="97"/>
  <c r="O258" i="97"/>
  <c r="C243" i="97"/>
  <c r="Q228" i="97"/>
  <c r="W220" i="97"/>
  <c r="Y215" i="97"/>
  <c r="P210" i="97"/>
  <c r="F207" i="97"/>
  <c r="Y203" i="97"/>
  <c r="Z200" i="97"/>
  <c r="U197" i="97"/>
  <c r="U195" i="97"/>
  <c r="V193" i="97"/>
  <c r="T191" i="97"/>
  <c r="F190" i="97"/>
  <c r="F188" i="97"/>
  <c r="D183" i="97"/>
  <c r="M181" i="97"/>
  <c r="W179" i="97"/>
  <c r="H178" i="97"/>
  <c r="C177" i="97"/>
  <c r="V175" i="97"/>
  <c r="P174" i="97"/>
  <c r="Q173" i="97"/>
  <c r="L172" i="97"/>
  <c r="F171" i="97"/>
  <c r="C170" i="97"/>
  <c r="Y168" i="97"/>
  <c r="S167" i="97"/>
  <c r="Q166" i="97"/>
  <c r="L165" i="97"/>
  <c r="F164" i="97"/>
  <c r="L163" i="97"/>
  <c r="S162" i="97"/>
  <c r="Y161" i="97"/>
  <c r="J161" i="97"/>
  <c r="Q160" i="97"/>
  <c r="W159" i="97"/>
  <c r="H159" i="97"/>
  <c r="O158" i="97"/>
  <c r="U157" i="97"/>
  <c r="F157" i="97"/>
  <c r="M156" i="97"/>
  <c r="S155" i="97"/>
  <c r="D155" i="97"/>
  <c r="K154" i="97"/>
  <c r="Q153" i="97"/>
  <c r="Z152" i="97"/>
  <c r="I152" i="97"/>
  <c r="O151" i="97"/>
  <c r="X150" i="97"/>
  <c r="G150" i="97"/>
  <c r="M149" i="97"/>
  <c r="V148" i="97"/>
  <c r="E148" i="97"/>
  <c r="K147" i="97"/>
  <c r="T146" i="97"/>
  <c r="C146" i="97"/>
  <c r="I145" i="97"/>
  <c r="R144" i="97"/>
  <c r="Y143" i="97"/>
  <c r="G143" i="97"/>
  <c r="P139" i="97"/>
  <c r="W138" i="97"/>
  <c r="E138" i="97"/>
  <c r="N137" i="97"/>
  <c r="U136" i="97"/>
  <c r="C136" i="97"/>
  <c r="L135" i="97"/>
  <c r="S134" i="97"/>
  <c r="Y133" i="97"/>
  <c r="J133" i="97"/>
  <c r="Q132" i="97"/>
  <c r="W131" i="97"/>
  <c r="H131" i="97"/>
  <c r="O130" i="97"/>
  <c r="U129" i="97"/>
  <c r="F129" i="97"/>
  <c r="M128" i="97"/>
  <c r="S127" i="97"/>
  <c r="D127" i="97"/>
  <c r="K126" i="97"/>
  <c r="Q125" i="97"/>
  <c r="Z124" i="97"/>
  <c r="I124" i="97"/>
  <c r="O123" i="97"/>
  <c r="X122" i="97"/>
  <c r="G122" i="97"/>
  <c r="M121" i="97"/>
  <c r="V120" i="97"/>
  <c r="E120" i="97"/>
  <c r="K119" i="97"/>
  <c r="T118" i="97"/>
  <c r="C118" i="97"/>
  <c r="I117" i="97"/>
  <c r="R116" i="97"/>
  <c r="Y115" i="97"/>
  <c r="G115" i="97"/>
  <c r="P114" i="97"/>
  <c r="W113" i="97"/>
  <c r="E113" i="97"/>
  <c r="N112" i="97"/>
  <c r="U111" i="97"/>
  <c r="G111" i="97"/>
  <c r="U110" i="97"/>
  <c r="K110" i="97"/>
  <c r="Y109" i="97"/>
  <c r="O109" i="97"/>
  <c r="E109" i="97"/>
  <c r="S108" i="97"/>
  <c r="I108" i="97"/>
  <c r="W107" i="97"/>
  <c r="M107" i="97"/>
  <c r="C107" i="97"/>
  <c r="Q106" i="97"/>
  <c r="G106" i="97"/>
  <c r="U105" i="97"/>
  <c r="K105" i="97"/>
  <c r="Y104" i="97"/>
  <c r="O104" i="97"/>
  <c r="E104" i="97"/>
  <c r="S103" i="97"/>
  <c r="I103" i="97"/>
  <c r="W102" i="97"/>
  <c r="M102" i="97"/>
  <c r="C102" i="97"/>
  <c r="Q101" i="97"/>
  <c r="G101" i="97"/>
  <c r="U100" i="97"/>
  <c r="K100" i="97"/>
  <c r="Y99" i="97"/>
  <c r="O99" i="97"/>
  <c r="E99" i="97"/>
  <c r="S98" i="97"/>
  <c r="I98" i="97"/>
  <c r="W94" i="97"/>
  <c r="M94" i="97"/>
  <c r="C94" i="97"/>
  <c r="Q93" i="97"/>
  <c r="G93" i="97"/>
  <c r="U92" i="97"/>
  <c r="K92" i="97"/>
  <c r="Y91" i="97"/>
  <c r="O91" i="97"/>
  <c r="E91" i="97"/>
  <c r="S90" i="97"/>
  <c r="I90" i="97"/>
  <c r="W89" i="97"/>
  <c r="M89" i="97"/>
  <c r="C89" i="97"/>
  <c r="Q88" i="97"/>
  <c r="G88" i="97"/>
  <c r="U87" i="97"/>
  <c r="K87" i="97"/>
  <c r="Y86" i="97"/>
  <c r="O86" i="97"/>
  <c r="E86" i="97"/>
  <c r="S85" i="97"/>
  <c r="I85" i="97"/>
  <c r="W84" i="97"/>
  <c r="M84" i="97"/>
  <c r="C84" i="97"/>
  <c r="Q83" i="97"/>
  <c r="G83" i="97"/>
  <c r="U82" i="97"/>
  <c r="K82" i="97"/>
  <c r="Y81" i="97"/>
  <c r="O81" i="97"/>
  <c r="E81" i="97"/>
  <c r="S80" i="97"/>
  <c r="I80" i="97"/>
  <c r="C256" i="97"/>
  <c r="J239" i="97"/>
  <c r="P228" i="97"/>
  <c r="S220" i="97"/>
  <c r="W213" i="97"/>
  <c r="M210" i="97"/>
  <c r="W206" i="97"/>
  <c r="M203" i="97"/>
  <c r="O200" i="97"/>
  <c r="M197" i="97"/>
  <c r="I195" i="97"/>
  <c r="S193" i="97"/>
  <c r="Q191" i="97"/>
  <c r="O189" i="97"/>
  <c r="D188" i="97"/>
  <c r="Z182" i="97"/>
  <c r="H181" i="97"/>
  <c r="R179" i="97"/>
  <c r="D178" i="97"/>
  <c r="S176" i="97"/>
  <c r="U175" i="97"/>
  <c r="O174" i="97"/>
  <c r="I173" i="97"/>
  <c r="K172" i="97"/>
  <c r="E171" i="97"/>
  <c r="W169" i="97"/>
  <c r="U168" i="97"/>
  <c r="O167" i="97"/>
  <c r="I166" i="97"/>
  <c r="K165" i="97"/>
  <c r="E164" i="97"/>
  <c r="H163" i="97"/>
  <c r="R162" i="97"/>
  <c r="X161" i="97"/>
  <c r="F161" i="97"/>
  <c r="P160" i="97"/>
  <c r="V159" i="97"/>
  <c r="D159" i="97"/>
  <c r="N158" i="97"/>
  <c r="T157" i="97"/>
  <c r="Z156" i="97"/>
  <c r="L156" i="97"/>
  <c r="R155" i="97"/>
  <c r="X154" i="97"/>
  <c r="J154" i="97"/>
  <c r="P153" i="97"/>
  <c r="V152" i="97"/>
  <c r="H152" i="97"/>
  <c r="N151" i="97"/>
  <c r="T150" i="97"/>
  <c r="F150" i="97"/>
  <c r="L149" i="97"/>
  <c r="R148" i="97"/>
  <c r="D148" i="97"/>
  <c r="J147" i="97"/>
  <c r="P146" i="97"/>
  <c r="Z145" i="97"/>
  <c r="H145" i="97"/>
  <c r="N144" i="97"/>
  <c r="X143" i="97"/>
  <c r="F143" i="97"/>
  <c r="L139" i="97"/>
  <c r="V138" i="97"/>
  <c r="D138" i="97"/>
  <c r="J137" i="97"/>
  <c r="T136" i="97"/>
  <c r="Z135" i="97"/>
  <c r="H135" i="97"/>
  <c r="R134" i="97"/>
  <c r="X133" i="97"/>
  <c r="F133" i="97"/>
  <c r="P132" i="97"/>
  <c r="V131" i="97"/>
  <c r="D131" i="97"/>
  <c r="N130" i="97"/>
  <c r="T129" i="97"/>
  <c r="Z128" i="97"/>
  <c r="L128" i="97"/>
  <c r="R127" i="97"/>
  <c r="X126" i="97"/>
  <c r="J126" i="97"/>
  <c r="P125" i="97"/>
  <c r="V124" i="97"/>
  <c r="H124" i="97"/>
  <c r="N123" i="97"/>
  <c r="T122" i="97"/>
  <c r="F122" i="97"/>
  <c r="L121" i="97"/>
  <c r="R120" i="97"/>
  <c r="D120" i="97"/>
  <c r="J119" i="97"/>
  <c r="P118" i="97"/>
  <c r="Z117" i="97"/>
  <c r="H117" i="97"/>
  <c r="N116" i="97"/>
  <c r="X115" i="97"/>
  <c r="F115" i="97"/>
  <c r="L114" i="97"/>
  <c r="V113" i="97"/>
  <c r="D113" i="97"/>
  <c r="J112" i="97"/>
  <c r="T111" i="97"/>
  <c r="F111" i="97"/>
  <c r="T110" i="97"/>
  <c r="J110" i="97"/>
  <c r="X109" i="97"/>
  <c r="N109" i="97"/>
  <c r="D109" i="97"/>
  <c r="R108" i="97"/>
  <c r="H108" i="97"/>
  <c r="V107" i="97"/>
  <c r="L107" i="97"/>
  <c r="Z106" i="97"/>
  <c r="P106" i="97"/>
  <c r="F106" i="97"/>
  <c r="T105" i="97"/>
  <c r="J105" i="97"/>
  <c r="X104" i="97"/>
  <c r="N104" i="97"/>
  <c r="D104" i="97"/>
  <c r="R103" i="97"/>
  <c r="H103" i="97"/>
  <c r="V102" i="97"/>
  <c r="L102" i="97"/>
  <c r="Z101" i="97"/>
  <c r="P101" i="97"/>
  <c r="F101" i="97"/>
  <c r="T100" i="97"/>
  <c r="J100" i="97"/>
  <c r="X99" i="97"/>
  <c r="N99" i="97"/>
  <c r="D99" i="97"/>
  <c r="R98" i="97"/>
  <c r="H98" i="97"/>
  <c r="V94" i="97"/>
  <c r="L94" i="97"/>
  <c r="Z93" i="97"/>
  <c r="P93" i="97"/>
  <c r="F93" i="97"/>
  <c r="T92" i="97"/>
  <c r="J92" i="97"/>
  <c r="X91" i="97"/>
  <c r="N91" i="97"/>
  <c r="D91" i="97"/>
  <c r="R90" i="97"/>
  <c r="H90" i="97"/>
  <c r="V89" i="97"/>
  <c r="L89" i="97"/>
  <c r="Z88" i="97"/>
  <c r="P88" i="97"/>
  <c r="F88" i="97"/>
  <c r="T87" i="97"/>
  <c r="J87" i="97"/>
  <c r="X86" i="97"/>
  <c r="N86" i="97"/>
  <c r="D86" i="97"/>
  <c r="R85" i="97"/>
  <c r="H85" i="97"/>
  <c r="V84" i="97"/>
  <c r="L84" i="97"/>
  <c r="Z83" i="97"/>
  <c r="P83" i="97"/>
  <c r="F83" i="97"/>
  <c r="T82" i="97"/>
  <c r="J82" i="97"/>
  <c r="X81" i="97"/>
  <c r="N81" i="97"/>
  <c r="D81" i="97"/>
  <c r="R80" i="97"/>
  <c r="H80" i="97"/>
  <c r="T254" i="97"/>
  <c r="Q238" i="97"/>
  <c r="N228" i="97"/>
  <c r="R220" i="97"/>
  <c r="U213" i="97"/>
  <c r="S209" i="97"/>
  <c r="U206" i="97"/>
  <c r="K203" i="97"/>
  <c r="K200" i="97"/>
  <c r="K197" i="97"/>
  <c r="H195" i="97"/>
  <c r="Q193" i="97"/>
  <c r="P191" i="97"/>
  <c r="N189" i="97"/>
  <c r="R184" i="97"/>
  <c r="X182" i="97"/>
  <c r="D181" i="97"/>
  <c r="P179" i="97"/>
  <c r="Z177" i="97"/>
  <c r="R176" i="97"/>
  <c r="S175" i="97"/>
  <c r="N174" i="97"/>
  <c r="H173" i="97"/>
  <c r="E172" i="97"/>
  <c r="C171" i="97"/>
  <c r="U169" i="97"/>
  <c r="S168" i="97"/>
  <c r="N167" i="97"/>
  <c r="H166" i="97"/>
  <c r="I165" i="97"/>
  <c r="D164" i="97"/>
  <c r="G163" i="97"/>
  <c r="P162" i="97"/>
  <c r="W161" i="97"/>
  <c r="E161" i="97"/>
  <c r="N160" i="97"/>
  <c r="U159" i="97"/>
  <c r="C159" i="97"/>
  <c r="L158" i="97"/>
  <c r="S157" i="97"/>
  <c r="Y156" i="97"/>
  <c r="J156" i="97"/>
  <c r="Q155" i="97"/>
  <c r="W154" i="97"/>
  <c r="H154" i="97"/>
  <c r="O153" i="97"/>
  <c r="U152" i="97"/>
  <c r="F152" i="97"/>
  <c r="M151" i="97"/>
  <c r="S150" i="97"/>
  <c r="D150" i="97"/>
  <c r="K149" i="97"/>
  <c r="Q148" i="97"/>
  <c r="Z147" i="97"/>
  <c r="I147" i="97"/>
  <c r="O146" i="97"/>
  <c r="X145" i="97"/>
  <c r="G145" i="97"/>
  <c r="M144" i="97"/>
  <c r="V143" i="97"/>
  <c r="E143" i="97"/>
  <c r="K139" i="97"/>
  <c r="T138" i="97"/>
  <c r="C138" i="97"/>
  <c r="I137" i="97"/>
  <c r="R136" i="97"/>
  <c r="Y135" i="97"/>
  <c r="G135" i="97"/>
  <c r="P134" i="97"/>
  <c r="W133" i="97"/>
  <c r="E133" i="97"/>
  <c r="N132" i="97"/>
  <c r="U131" i="97"/>
  <c r="C131" i="97"/>
  <c r="L130" i="97"/>
  <c r="S129" i="97"/>
  <c r="Y128" i="97"/>
  <c r="J128" i="97"/>
  <c r="Q127" i="97"/>
  <c r="W126" i="97"/>
  <c r="H126" i="97"/>
  <c r="O125" i="97"/>
  <c r="U124" i="97"/>
  <c r="F124" i="97"/>
  <c r="M123" i="97"/>
  <c r="S122" i="97"/>
  <c r="D122" i="97"/>
  <c r="K121" i="97"/>
  <c r="Q120" i="97"/>
  <c r="Z119" i="97"/>
  <c r="I119" i="97"/>
  <c r="O118" i="97"/>
  <c r="X117" i="97"/>
  <c r="G117" i="97"/>
  <c r="M116" i="97"/>
  <c r="V115" i="97"/>
  <c r="E115" i="97"/>
  <c r="K114" i="97"/>
  <c r="T113" i="97"/>
  <c r="C113" i="97"/>
  <c r="I112" i="97"/>
  <c r="R111" i="97"/>
  <c r="E111" i="97"/>
  <c r="S110" i="97"/>
  <c r="I110" i="97"/>
  <c r="W109" i="97"/>
  <c r="M109" i="97"/>
  <c r="C109" i="97"/>
  <c r="Q108" i="97"/>
  <c r="G108" i="97"/>
  <c r="U107" i="97"/>
  <c r="K107" i="97"/>
  <c r="Y106" i="97"/>
  <c r="O106" i="97"/>
  <c r="E106" i="97"/>
  <c r="S105" i="97"/>
  <c r="I105" i="97"/>
  <c r="W104" i="97"/>
  <c r="M104" i="97"/>
  <c r="C104" i="97"/>
  <c r="Q103" i="97"/>
  <c r="G103" i="97"/>
  <c r="U102" i="97"/>
  <c r="K102" i="97"/>
  <c r="Y101" i="97"/>
  <c r="O101" i="97"/>
  <c r="E101" i="97"/>
  <c r="S100" i="97"/>
  <c r="I100" i="97"/>
  <c r="W99" i="97"/>
  <c r="M99" i="97"/>
  <c r="C99" i="97"/>
  <c r="Q98" i="97"/>
  <c r="G98" i="97"/>
  <c r="U94" i="97"/>
  <c r="K94" i="97"/>
  <c r="Y93" i="97"/>
  <c r="O93" i="97"/>
  <c r="E93" i="97"/>
  <c r="S92" i="97"/>
  <c r="I92" i="97"/>
  <c r="W91" i="97"/>
  <c r="M91" i="97"/>
  <c r="C91" i="97"/>
  <c r="Q90" i="97"/>
  <c r="G90" i="97"/>
  <c r="U89" i="97"/>
  <c r="K89" i="97"/>
  <c r="Y88" i="97"/>
  <c r="O88" i="97"/>
  <c r="E88" i="97"/>
  <c r="S87" i="97"/>
  <c r="I87" i="97"/>
  <c r="W86" i="97"/>
  <c r="M86" i="97"/>
  <c r="C86" i="97"/>
  <c r="Q85" i="97"/>
  <c r="G85" i="97"/>
  <c r="U84" i="97"/>
  <c r="K84" i="97"/>
  <c r="Y83" i="97"/>
  <c r="O83" i="97"/>
  <c r="E83" i="97"/>
  <c r="S82" i="97"/>
  <c r="I82" i="97"/>
  <c r="W81" i="97"/>
  <c r="M81" i="97"/>
  <c r="C81" i="97"/>
  <c r="Q80" i="97"/>
  <c r="G80" i="97"/>
  <c r="X263" i="97"/>
  <c r="R235" i="97"/>
  <c r="Z218" i="97"/>
  <c r="U210" i="97"/>
  <c r="D205" i="97"/>
  <c r="H199" i="97"/>
  <c r="Z195" i="97"/>
  <c r="U192" i="97"/>
  <c r="J189" i="97"/>
  <c r="E183" i="97"/>
  <c r="Q180" i="97"/>
  <c r="V177" i="97"/>
  <c r="W175" i="97"/>
  <c r="Y173" i="97"/>
  <c r="W171" i="97"/>
  <c r="I170" i="97"/>
  <c r="H168" i="97"/>
  <c r="F166" i="97"/>
  <c r="G164" i="97"/>
  <c r="Z162" i="97"/>
  <c r="T161" i="97"/>
  <c r="R160" i="97"/>
  <c r="M159" i="97"/>
  <c r="G158" i="97"/>
  <c r="H157" i="97"/>
  <c r="C156" i="97"/>
  <c r="U154" i="97"/>
  <c r="R153" i="97"/>
  <c r="P152" i="97"/>
  <c r="J151" i="97"/>
  <c r="H150" i="97"/>
  <c r="C149" i="97"/>
  <c r="U147" i="97"/>
  <c r="V146" i="97"/>
  <c r="Q145" i="97"/>
  <c r="K144" i="97"/>
  <c r="H143" i="97"/>
  <c r="F139" i="97"/>
  <c r="X137" i="97"/>
  <c r="V136" i="97"/>
  <c r="Q135" i="97"/>
  <c r="K134" i="97"/>
  <c r="L133" i="97"/>
  <c r="G132" i="97"/>
  <c r="Y130" i="97"/>
  <c r="V129" i="97"/>
  <c r="T128" i="97"/>
  <c r="N127" i="97"/>
  <c r="L126" i="97"/>
  <c r="G125" i="97"/>
  <c r="Y123" i="97"/>
  <c r="Z122" i="97"/>
  <c r="U121" i="97"/>
  <c r="O120" i="97"/>
  <c r="L119" i="97"/>
  <c r="J118" i="97"/>
  <c r="D117" i="97"/>
  <c r="Z115" i="97"/>
  <c r="U114" i="97"/>
  <c r="O113" i="97"/>
  <c r="P112" i="97"/>
  <c r="K111" i="97"/>
  <c r="Q110" i="97"/>
  <c r="Z109" i="97"/>
  <c r="I109" i="97"/>
  <c r="O108" i="97"/>
  <c r="X107" i="97"/>
  <c r="G107" i="97"/>
  <c r="M106" i="97"/>
  <c r="V105" i="97"/>
  <c r="E105" i="97"/>
  <c r="K104" i="97"/>
  <c r="T103" i="97"/>
  <c r="C103" i="97"/>
  <c r="I102" i="97"/>
  <c r="R101" i="97"/>
  <c r="Y100" i="97"/>
  <c r="G100" i="97"/>
  <c r="P99" i="97"/>
  <c r="W98" i="97"/>
  <c r="E98" i="97"/>
  <c r="N94" i="97"/>
  <c r="U93" i="97"/>
  <c r="C93" i="97"/>
  <c r="L92" i="97"/>
  <c r="S91" i="97"/>
  <c r="Y90" i="97"/>
  <c r="J90" i="97"/>
  <c r="Q89" i="97"/>
  <c r="W88" i="97"/>
  <c r="H88" i="97"/>
  <c r="O87" i="97"/>
  <c r="U86" i="97"/>
  <c r="F86" i="97"/>
  <c r="M85" i="97"/>
  <c r="S84" i="97"/>
  <c r="D84" i="97"/>
  <c r="K83" i="97"/>
  <c r="Q82" i="97"/>
  <c r="Z81" i="97"/>
  <c r="I81" i="97"/>
  <c r="O80" i="97"/>
  <c r="X79" i="97"/>
  <c r="N79" i="97"/>
  <c r="D79" i="97"/>
  <c r="R78" i="97"/>
  <c r="H78" i="97"/>
  <c r="V77" i="97"/>
  <c r="L77" i="97"/>
  <c r="Z76" i="97"/>
  <c r="P76" i="97"/>
  <c r="F76" i="97"/>
  <c r="T75" i="97"/>
  <c r="J75" i="97"/>
  <c r="X74" i="97"/>
  <c r="N74" i="97"/>
  <c r="D74" i="97"/>
  <c r="R73" i="97"/>
  <c r="H73" i="97"/>
  <c r="V72" i="97"/>
  <c r="L72" i="97"/>
  <c r="Z71" i="97"/>
  <c r="P71" i="97"/>
  <c r="F71" i="97"/>
  <c r="T70" i="97"/>
  <c r="J70" i="97"/>
  <c r="X69" i="97"/>
  <c r="N69" i="97"/>
  <c r="D69" i="97"/>
  <c r="R68" i="97"/>
  <c r="H68" i="97"/>
  <c r="V67" i="97"/>
  <c r="L67" i="97"/>
  <c r="Z66" i="97"/>
  <c r="P66" i="97"/>
  <c r="F66" i="97"/>
  <c r="T65" i="97"/>
  <c r="J65" i="97"/>
  <c r="X64" i="97"/>
  <c r="N64" i="97"/>
  <c r="D64" i="97"/>
  <c r="R63" i="97"/>
  <c r="H63" i="97"/>
  <c r="V62" i="97"/>
  <c r="L62" i="97"/>
  <c r="Z61" i="97"/>
  <c r="P61" i="97"/>
  <c r="F61" i="97"/>
  <c r="T60" i="97"/>
  <c r="J60" i="97"/>
  <c r="X59" i="97"/>
  <c r="N59" i="97"/>
  <c r="D59" i="97"/>
  <c r="R58" i="97"/>
  <c r="H58" i="97"/>
  <c r="V57" i="97"/>
  <c r="L57" i="97"/>
  <c r="Z56" i="97"/>
  <c r="P56" i="97"/>
  <c r="F56" i="97"/>
  <c r="T55" i="97"/>
  <c r="J55" i="97"/>
  <c r="X54" i="97"/>
  <c r="N54" i="97"/>
  <c r="D54" i="97"/>
  <c r="R53" i="97"/>
  <c r="H53" i="97"/>
  <c r="V49" i="97"/>
  <c r="L49" i="97"/>
  <c r="Z48" i="97"/>
  <c r="P48" i="97"/>
  <c r="J254" i="97"/>
  <c r="O234" i="97"/>
  <c r="K218" i="97"/>
  <c r="J209" i="97"/>
  <c r="U204" i="97"/>
  <c r="G199" i="97"/>
  <c r="F195" i="97"/>
  <c r="M192" i="97"/>
  <c r="C189" i="97"/>
  <c r="R182" i="97"/>
  <c r="F180" i="97"/>
  <c r="M177" i="97"/>
  <c r="K175" i="97"/>
  <c r="U173" i="97"/>
  <c r="S171" i="97"/>
  <c r="Q169" i="97"/>
  <c r="G168" i="97"/>
  <c r="E166" i="97"/>
  <c r="C164" i="97"/>
  <c r="V162" i="97"/>
  <c r="P161" i="97"/>
  <c r="J160" i="97"/>
  <c r="L159" i="97"/>
  <c r="F158" i="97"/>
  <c r="X156" i="97"/>
  <c r="Z155" i="97"/>
  <c r="T154" i="97"/>
  <c r="N153" i="97"/>
  <c r="L152" i="97"/>
  <c r="F151" i="97"/>
  <c r="X149" i="97"/>
  <c r="Z148" i="97"/>
  <c r="T147" i="97"/>
  <c r="N146" i="97"/>
  <c r="P145" i="97"/>
  <c r="J144" i="97"/>
  <c r="D143" i="97"/>
  <c r="Z138" i="97"/>
  <c r="T137" i="97"/>
  <c r="N136" i="97"/>
  <c r="P135" i="97"/>
  <c r="J134" i="97"/>
  <c r="D133" i="97"/>
  <c r="F132" i="97"/>
  <c r="X130" i="97"/>
  <c r="R129" i="97"/>
  <c r="P128" i="97"/>
  <c r="J127" i="97"/>
  <c r="D126" i="97"/>
  <c r="F125" i="97"/>
  <c r="X123" i="97"/>
  <c r="R122" i="97"/>
  <c r="T121" i="97"/>
  <c r="N120" i="97"/>
  <c r="H119" i="97"/>
  <c r="F118" i="97"/>
  <c r="X116" i="97"/>
  <c r="R115" i="97"/>
  <c r="T114" i="97"/>
  <c r="N113" i="97"/>
  <c r="H112" i="97"/>
  <c r="J111" i="97"/>
  <c r="P110" i="97"/>
  <c r="V109" i="97"/>
  <c r="H109" i="97"/>
  <c r="N108" i="97"/>
  <c r="T107" i="97"/>
  <c r="F107" i="97"/>
  <c r="L106" i="97"/>
  <c r="R105" i="97"/>
  <c r="D105" i="97"/>
  <c r="J104" i="97"/>
  <c r="P103" i="97"/>
  <c r="Z102" i="97"/>
  <c r="H102" i="97"/>
  <c r="N101" i="97"/>
  <c r="X100" i="97"/>
  <c r="F100" i="97"/>
  <c r="L99" i="97"/>
  <c r="V98" i="97"/>
  <c r="D98" i="97"/>
  <c r="J94" i="97"/>
  <c r="T93" i="97"/>
  <c r="Z92" i="97"/>
  <c r="H92" i="97"/>
  <c r="R91" i="97"/>
  <c r="X90" i="97"/>
  <c r="F90" i="97"/>
  <c r="P89" i="97"/>
  <c r="V88" i="97"/>
  <c r="D88" i="97"/>
  <c r="N87" i="97"/>
  <c r="T86" i="97"/>
  <c r="Z85" i="97"/>
  <c r="L85" i="97"/>
  <c r="R84" i="97"/>
  <c r="X83" i="97"/>
  <c r="J83" i="97"/>
  <c r="P82" i="97"/>
  <c r="V81" i="97"/>
  <c r="H81" i="97"/>
  <c r="N80" i="97"/>
  <c r="W79" i="97"/>
  <c r="M79" i="97"/>
  <c r="C79" i="97"/>
  <c r="Q78" i="97"/>
  <c r="G78" i="97"/>
  <c r="U77" i="97"/>
  <c r="K77" i="97"/>
  <c r="Y76" i="97"/>
  <c r="O76" i="97"/>
  <c r="E76" i="97"/>
  <c r="S75" i="97"/>
  <c r="I75" i="97"/>
  <c r="W74" i="97"/>
  <c r="M74" i="97"/>
  <c r="C74" i="97"/>
  <c r="Q73" i="97"/>
  <c r="G73" i="97"/>
  <c r="U72" i="97"/>
  <c r="K72" i="97"/>
  <c r="Y71" i="97"/>
  <c r="O71" i="97"/>
  <c r="E71" i="97"/>
  <c r="S70" i="97"/>
  <c r="I70" i="97"/>
  <c r="W69" i="97"/>
  <c r="M69" i="97"/>
  <c r="C69" i="97"/>
  <c r="Q68" i="97"/>
  <c r="G68" i="97"/>
  <c r="U67" i="97"/>
  <c r="K67" i="97"/>
  <c r="Y66" i="97"/>
  <c r="O66" i="97"/>
  <c r="E66" i="97"/>
  <c r="S65" i="97"/>
  <c r="I65" i="97"/>
  <c r="W64" i="97"/>
  <c r="M64" i="97"/>
  <c r="C64" i="97"/>
  <c r="Q63" i="97"/>
  <c r="G63" i="97"/>
  <c r="U62" i="97"/>
  <c r="K62" i="97"/>
  <c r="Y61" i="97"/>
  <c r="O61" i="97"/>
  <c r="E61" i="97"/>
  <c r="S60" i="97"/>
  <c r="I60" i="97"/>
  <c r="W59" i="97"/>
  <c r="M59" i="97"/>
  <c r="C59" i="97"/>
  <c r="Q58" i="97"/>
  <c r="G58" i="97"/>
  <c r="U57" i="97"/>
  <c r="K57" i="97"/>
  <c r="Y56" i="97"/>
  <c r="O56" i="97"/>
  <c r="E56" i="97"/>
  <c r="S55" i="97"/>
  <c r="I55" i="97"/>
  <c r="W54" i="97"/>
  <c r="M54" i="97"/>
  <c r="C54" i="97"/>
  <c r="Q53" i="97"/>
  <c r="G53" i="97"/>
  <c r="U49" i="97"/>
  <c r="K49" i="97"/>
  <c r="Y48" i="97"/>
  <c r="K248" i="97"/>
  <c r="O225" i="97"/>
  <c r="O216" i="97"/>
  <c r="S208" i="97"/>
  <c r="S202" i="97"/>
  <c r="X198" i="97"/>
  <c r="Y194" i="97"/>
  <c r="O191" i="97"/>
  <c r="I188" i="97"/>
  <c r="D182" i="97"/>
  <c r="D179" i="97"/>
  <c r="K177" i="97"/>
  <c r="I175" i="97"/>
  <c r="G173" i="97"/>
  <c r="Q171" i="97"/>
  <c r="O169" i="97"/>
  <c r="M167" i="97"/>
  <c r="S165" i="97"/>
  <c r="R163" i="97"/>
  <c r="L162" i="97"/>
  <c r="N161" i="97"/>
  <c r="H160" i="97"/>
  <c r="Z158" i="97"/>
  <c r="D158" i="97"/>
  <c r="V156" i="97"/>
  <c r="P155" i="97"/>
  <c r="N154" i="97"/>
  <c r="H153" i="97"/>
  <c r="Z151" i="97"/>
  <c r="D151" i="97"/>
  <c r="V149" i="97"/>
  <c r="P148" i="97"/>
  <c r="R147" i="97"/>
  <c r="L146" i="97"/>
  <c r="F145" i="97"/>
  <c r="D144" i="97"/>
  <c r="V139" i="97"/>
  <c r="P138" i="97"/>
  <c r="R137" i="97"/>
  <c r="L136" i="97"/>
  <c r="F135" i="97"/>
  <c r="H134" i="97"/>
  <c r="Z132" i="97"/>
  <c r="T131" i="97"/>
  <c r="R130" i="97"/>
  <c r="L129" i="97"/>
  <c r="F128" i="97"/>
  <c r="H127" i="97"/>
  <c r="Z125" i="97"/>
  <c r="T124" i="97"/>
  <c r="V123" i="97"/>
  <c r="P122" i="97"/>
  <c r="J121" i="97"/>
  <c r="H120" i="97"/>
  <c r="Z118" i="97"/>
  <c r="T117" i="97"/>
  <c r="V116" i="97"/>
  <c r="P115" i="97"/>
  <c r="J114" i="97"/>
  <c r="L113" i="97"/>
  <c r="F112" i="97"/>
  <c r="D111" i="97"/>
  <c r="N110" i="97"/>
  <c r="T109" i="97"/>
  <c r="Z108" i="97"/>
  <c r="L108" i="97"/>
  <c r="R107" i="97"/>
  <c r="X106" i="97"/>
  <c r="J106" i="97"/>
  <c r="P105" i="97"/>
  <c r="V104" i="97"/>
  <c r="H104" i="97"/>
  <c r="N103" i="97"/>
  <c r="T102" i="97"/>
  <c r="F102" i="97"/>
  <c r="L101" i="97"/>
  <c r="R100" i="97"/>
  <c r="D100" i="97"/>
  <c r="J99" i="97"/>
  <c r="P98" i="97"/>
  <c r="Z94" i="97"/>
  <c r="H94" i="97"/>
  <c r="N93" i="97"/>
  <c r="X92" i="97"/>
  <c r="F92" i="97"/>
  <c r="L91" i="97"/>
  <c r="V90" i="97"/>
  <c r="D90" i="97"/>
  <c r="J89" i="97"/>
  <c r="T88" i="97"/>
  <c r="Z87" i="97"/>
  <c r="H87" i="97"/>
  <c r="R86" i="97"/>
  <c r="X85" i="97"/>
  <c r="F85" i="97"/>
  <c r="P84" i="97"/>
  <c r="V83" i="97"/>
  <c r="D83" i="97"/>
  <c r="N82" i="97"/>
  <c r="T81" i="97"/>
  <c r="Z80" i="97"/>
  <c r="L80" i="97"/>
  <c r="U79" i="97"/>
  <c r="K79" i="97"/>
  <c r="Y78" i="97"/>
  <c r="O78" i="97"/>
  <c r="E78" i="97"/>
  <c r="S77" i="97"/>
  <c r="I77" i="97"/>
  <c r="W76" i="97"/>
  <c r="M76" i="97"/>
  <c r="C76" i="97"/>
  <c r="Q75" i="97"/>
  <c r="G75" i="97"/>
  <c r="U74" i="97"/>
  <c r="K74" i="97"/>
  <c r="Y73" i="97"/>
  <c r="O73" i="97"/>
  <c r="E73" i="97"/>
  <c r="S72" i="97"/>
  <c r="I72" i="97"/>
  <c r="W71" i="97"/>
  <c r="M71" i="97"/>
  <c r="C71" i="97"/>
  <c r="Q70" i="97"/>
  <c r="G70" i="97"/>
  <c r="U69" i="97"/>
  <c r="K69" i="97"/>
  <c r="Y68" i="97"/>
  <c r="O68" i="97"/>
  <c r="E68" i="97"/>
  <c r="S67" i="97"/>
  <c r="I67" i="97"/>
  <c r="W66" i="97"/>
  <c r="M66" i="97"/>
  <c r="C66" i="97"/>
  <c r="Q65" i="97"/>
  <c r="G65" i="97"/>
  <c r="U64" i="97"/>
  <c r="K64" i="97"/>
  <c r="Y63" i="97"/>
  <c r="O63" i="97"/>
  <c r="E63" i="97"/>
  <c r="S62" i="97"/>
  <c r="I62" i="97"/>
  <c r="W61" i="97"/>
  <c r="M61" i="97"/>
  <c r="C61" i="97"/>
  <c r="Q60" i="97"/>
  <c r="G60" i="97"/>
  <c r="U59" i="97"/>
  <c r="K59" i="97"/>
  <c r="Y58" i="97"/>
  <c r="O58" i="97"/>
  <c r="E58" i="97"/>
  <c r="S57" i="97"/>
  <c r="I57" i="97"/>
  <c r="W56" i="97"/>
  <c r="M56" i="97"/>
  <c r="C56" i="97"/>
  <c r="Q55" i="97"/>
  <c r="G55" i="97"/>
  <c r="U54" i="97"/>
  <c r="K54" i="97"/>
  <c r="Y53" i="97"/>
  <c r="O53" i="97"/>
  <c r="E53" i="97"/>
  <c r="S49" i="97"/>
  <c r="I49" i="97"/>
  <c r="W48" i="97"/>
  <c r="I248" i="97"/>
  <c r="M225" i="97"/>
  <c r="I216" i="97"/>
  <c r="N208" i="97"/>
  <c r="R202" i="97"/>
  <c r="Z197" i="97"/>
  <c r="O194" i="97"/>
  <c r="E191" i="97"/>
  <c r="G188" i="97"/>
  <c r="Y181" i="97"/>
  <c r="C179" i="97"/>
  <c r="E177" i="97"/>
  <c r="G175" i="97"/>
  <c r="E173" i="97"/>
  <c r="G171" i="97"/>
  <c r="M169" i="97"/>
  <c r="K167" i="97"/>
  <c r="M165" i="97"/>
  <c r="Q163" i="97"/>
  <c r="K162" i="97"/>
  <c r="L161" i="97"/>
  <c r="G160" i="97"/>
  <c r="Y158" i="97"/>
  <c r="V157" i="97"/>
  <c r="T156" i="97"/>
  <c r="N155" i="97"/>
  <c r="L154" i="97"/>
  <c r="G153" i="97"/>
  <c r="Y151" i="97"/>
  <c r="Z150" i="97"/>
  <c r="U149" i="97"/>
  <c r="O148" i="97"/>
  <c r="L147" i="97"/>
  <c r="J146" i="97"/>
  <c r="D145" i="97"/>
  <c r="Z143" i="97"/>
  <c r="U139" i="97"/>
  <c r="O138" i="97"/>
  <c r="P137" i="97"/>
  <c r="K136" i="97"/>
  <c r="E135" i="97"/>
  <c r="Z133" i="97"/>
  <c r="X132" i="97"/>
  <c r="R131" i="97"/>
  <c r="P130" i="97"/>
  <c r="K129" i="97"/>
  <c r="E128" i="97"/>
  <c r="F127" i="97"/>
  <c r="Y125" i="97"/>
  <c r="S124" i="97"/>
  <c r="P123" i="97"/>
  <c r="N122" i="97"/>
  <c r="H121" i="97"/>
  <c r="F120" i="97"/>
  <c r="Y118" i="97"/>
  <c r="S117" i="97"/>
  <c r="T116" i="97"/>
  <c r="O115" i="97"/>
  <c r="I114" i="97"/>
  <c r="F113" i="97"/>
  <c r="D112" i="97"/>
  <c r="C111" i="97"/>
  <c r="L110" i="97"/>
  <c r="S109" i="97"/>
  <c r="Y108" i="97"/>
  <c r="J108" i="97"/>
  <c r="Q107" i="97"/>
  <c r="W106" i="97"/>
  <c r="H106" i="97"/>
  <c r="O105" i="97"/>
  <c r="U104" i="97"/>
  <c r="F104" i="97"/>
  <c r="M103" i="97"/>
  <c r="S102" i="97"/>
  <c r="D102" i="97"/>
  <c r="K101" i="97"/>
  <c r="Q100" i="97"/>
  <c r="Z99" i="97"/>
  <c r="I99" i="97"/>
  <c r="O98" i="97"/>
  <c r="X94" i="97"/>
  <c r="G94" i="97"/>
  <c r="M93" i="97"/>
  <c r="V92" i="97"/>
  <c r="E92" i="97"/>
  <c r="K91" i="97"/>
  <c r="T90" i="97"/>
  <c r="C90" i="97"/>
  <c r="I89" i="97"/>
  <c r="R88" i="97"/>
  <c r="Y87" i="97"/>
  <c r="G87" i="97"/>
  <c r="P86" i="97"/>
  <c r="W85" i="97"/>
  <c r="E85" i="97"/>
  <c r="N84" i="97"/>
  <c r="U83" i="97"/>
  <c r="C83" i="97"/>
  <c r="L82" i="97"/>
  <c r="S81" i="97"/>
  <c r="Y80" i="97"/>
  <c r="J80" i="97"/>
  <c r="T79" i="97"/>
  <c r="J79" i="97"/>
  <c r="X78" i="97"/>
  <c r="N78" i="97"/>
  <c r="D78" i="97"/>
  <c r="R77" i="97"/>
  <c r="H77" i="97"/>
  <c r="V76" i="97"/>
  <c r="L76" i="97"/>
  <c r="Z75" i="97"/>
  <c r="P75" i="97"/>
  <c r="F75" i="97"/>
  <c r="T74" i="97"/>
  <c r="J74" i="97"/>
  <c r="X73" i="97"/>
  <c r="N73" i="97"/>
  <c r="D73" i="97"/>
  <c r="R72" i="97"/>
  <c r="H72" i="97"/>
  <c r="V71" i="97"/>
  <c r="L71" i="97"/>
  <c r="Z70" i="97"/>
  <c r="P70" i="97"/>
  <c r="F70" i="97"/>
  <c r="T69" i="97"/>
  <c r="J69" i="97"/>
  <c r="X68" i="97"/>
  <c r="N68" i="97"/>
  <c r="D68" i="97"/>
  <c r="R67" i="97"/>
  <c r="H67" i="97"/>
  <c r="V66" i="97"/>
  <c r="L66" i="97"/>
  <c r="Z65" i="97"/>
  <c r="P65" i="97"/>
  <c r="F65" i="97"/>
  <c r="T64" i="97"/>
  <c r="J64" i="97"/>
  <c r="X63" i="97"/>
  <c r="N63" i="97"/>
  <c r="D63" i="97"/>
  <c r="R62" i="97"/>
  <c r="H62" i="97"/>
  <c r="V61" i="97"/>
  <c r="L61" i="97"/>
  <c r="Z60" i="97"/>
  <c r="P60" i="97"/>
  <c r="F60" i="97"/>
  <c r="T59" i="97"/>
  <c r="J59" i="97"/>
  <c r="X58" i="97"/>
  <c r="N58" i="97"/>
  <c r="D58" i="97"/>
  <c r="R57" i="97"/>
  <c r="H57" i="97"/>
  <c r="V56" i="97"/>
  <c r="L56" i="97"/>
  <c r="Z55" i="97"/>
  <c r="P55" i="97"/>
  <c r="F55" i="97"/>
  <c r="T54" i="97"/>
  <c r="J54" i="97"/>
  <c r="X53" i="97"/>
  <c r="N53" i="97"/>
  <c r="D53" i="97"/>
  <c r="R49" i="97"/>
  <c r="H49" i="97"/>
  <c r="G238" i="97"/>
  <c r="Q220" i="97"/>
  <c r="Y210" i="97"/>
  <c r="F205" i="97"/>
  <c r="I199" i="97"/>
  <c r="L196" i="97"/>
  <c r="W192" i="97"/>
  <c r="M189" i="97"/>
  <c r="V183" i="97"/>
  <c r="S180" i="97"/>
  <c r="Y177" i="97"/>
  <c r="E176" i="97"/>
  <c r="C174" i="97"/>
  <c r="Y171" i="97"/>
  <c r="K170" i="97"/>
  <c r="I168" i="97"/>
  <c r="G166" i="97"/>
  <c r="Q164" i="97"/>
  <c r="D163" i="97"/>
  <c r="V161" i="97"/>
  <c r="T160" i="97"/>
  <c r="N159" i="97"/>
  <c r="H158" i="97"/>
  <c r="J157" i="97"/>
  <c r="D156" i="97"/>
  <c r="V154" i="97"/>
  <c r="X153" i="97"/>
  <c r="R152" i="97"/>
  <c r="L151" i="97"/>
  <c r="V253" i="97"/>
  <c r="J217" i="97"/>
  <c r="S204" i="97"/>
  <c r="D195" i="97"/>
  <c r="X188" i="97"/>
  <c r="C180" i="97"/>
  <c r="J175" i="97"/>
  <c r="R171" i="97"/>
  <c r="U167" i="97"/>
  <c r="W163" i="97"/>
  <c r="O161" i="97"/>
  <c r="J159" i="97"/>
  <c r="W156" i="97"/>
  <c r="R154" i="97"/>
  <c r="J152" i="97"/>
  <c r="J150" i="97"/>
  <c r="H148" i="97"/>
  <c r="F146" i="97"/>
  <c r="L144" i="97"/>
  <c r="J139" i="97"/>
  <c r="H137" i="97"/>
  <c r="R135" i="97"/>
  <c r="P133" i="97"/>
  <c r="N131" i="97"/>
  <c r="D130" i="97"/>
  <c r="Z127" i="97"/>
  <c r="X125" i="97"/>
  <c r="Z123" i="97"/>
  <c r="X121" i="97"/>
  <c r="V119" i="97"/>
  <c r="L118" i="97"/>
  <c r="J116" i="97"/>
  <c r="H114" i="97"/>
  <c r="R112" i="97"/>
  <c r="X110" i="97"/>
  <c r="R109" i="97"/>
  <c r="P108" i="97"/>
  <c r="J107" i="97"/>
  <c r="D106" i="97"/>
  <c r="F105" i="97"/>
  <c r="X103" i="97"/>
  <c r="R102" i="97"/>
  <c r="T101" i="97"/>
  <c r="N100" i="97"/>
  <c r="H99" i="97"/>
  <c r="F98" i="97"/>
  <c r="X93" i="97"/>
  <c r="R92" i="97"/>
  <c r="T91" i="97"/>
  <c r="N90" i="97"/>
  <c r="H89" i="97"/>
  <c r="J88" i="97"/>
  <c r="D87" i="97"/>
  <c r="V85" i="97"/>
  <c r="T84" i="97"/>
  <c r="N83" i="97"/>
  <c r="H82" i="97"/>
  <c r="J81" i="97"/>
  <c r="D80" i="97"/>
  <c r="I79" i="97"/>
  <c r="S78" i="97"/>
  <c r="Y77" i="97"/>
  <c r="G77" i="97"/>
  <c r="Q76" i="97"/>
  <c r="W75" i="97"/>
  <c r="E75" i="97"/>
  <c r="O74" i="97"/>
  <c r="U73" i="97"/>
  <c r="C73" i="97"/>
  <c r="M72" i="97"/>
  <c r="S71" i="97"/>
  <c r="Y70" i="97"/>
  <c r="K70" i="97"/>
  <c r="Q69" i="97"/>
  <c r="W68" i="97"/>
  <c r="I68" i="97"/>
  <c r="O67" i="97"/>
  <c r="U66" i="97"/>
  <c r="G66" i="97"/>
  <c r="M65" i="97"/>
  <c r="S64" i="97"/>
  <c r="E64" i="97"/>
  <c r="K63" i="97"/>
  <c r="Q62" i="97"/>
  <c r="C62" i="97"/>
  <c r="I61" i="97"/>
  <c r="O60" i="97"/>
  <c r="Y59" i="97"/>
  <c r="G59" i="97"/>
  <c r="M58" i="97"/>
  <c r="W57" i="97"/>
  <c r="E57" i="97"/>
  <c r="K56" i="97"/>
  <c r="U55" i="97"/>
  <c r="C55" i="97"/>
  <c r="I54" i="97"/>
  <c r="S53" i="97"/>
  <c r="Y49" i="97"/>
  <c r="G49" i="97"/>
  <c r="R48" i="97"/>
  <c r="G48" i="97"/>
  <c r="U47" i="97"/>
  <c r="K47" i="97"/>
  <c r="Y46" i="97"/>
  <c r="O46" i="97"/>
  <c r="E46" i="97"/>
  <c r="S45" i="97"/>
  <c r="I45" i="97"/>
  <c r="W44" i="97"/>
  <c r="M44" i="97"/>
  <c r="C44" i="97"/>
  <c r="Q43" i="97"/>
  <c r="G43" i="97"/>
  <c r="U42" i="97"/>
  <c r="K42" i="97"/>
  <c r="Y41" i="97"/>
  <c r="O41" i="97"/>
  <c r="E41" i="97"/>
  <c r="S40" i="97"/>
  <c r="I40" i="97"/>
  <c r="W39" i="97"/>
  <c r="M39" i="97"/>
  <c r="C39" i="97"/>
  <c r="Q38" i="97"/>
  <c r="G38" i="97"/>
  <c r="U37" i="97"/>
  <c r="K37" i="97"/>
  <c r="Y36" i="97"/>
  <c r="O36" i="97"/>
  <c r="E36" i="97"/>
  <c r="S35" i="97"/>
  <c r="I35" i="97"/>
  <c r="W34" i="97"/>
  <c r="M34" i="97"/>
  <c r="C34" i="97"/>
  <c r="Q33" i="97"/>
  <c r="G33" i="97"/>
  <c r="U32" i="97"/>
  <c r="K32" i="97"/>
  <c r="Y31" i="97"/>
  <c r="O31" i="97"/>
  <c r="E31" i="97"/>
  <c r="S30" i="97"/>
  <c r="I30" i="97"/>
  <c r="W29" i="97"/>
  <c r="M29" i="97"/>
  <c r="C29" i="97"/>
  <c r="Q28" i="97"/>
  <c r="G28" i="97"/>
  <c r="U27" i="97"/>
  <c r="K27" i="97"/>
  <c r="Y26" i="97"/>
  <c r="O26" i="97"/>
  <c r="E26" i="97"/>
  <c r="S25" i="97"/>
  <c r="I25" i="97"/>
  <c r="W24" i="97"/>
  <c r="M24" i="97"/>
  <c r="C24" i="97"/>
  <c r="Q23" i="97"/>
  <c r="G23" i="97"/>
  <c r="U22" i="97"/>
  <c r="K22" i="97"/>
  <c r="Y21" i="97"/>
  <c r="O21" i="97"/>
  <c r="E21" i="97"/>
  <c r="S20" i="97"/>
  <c r="I20" i="97"/>
  <c r="W19" i="97"/>
  <c r="M19" i="97"/>
  <c r="C19" i="97"/>
  <c r="Q18" i="97"/>
  <c r="G18" i="97"/>
  <c r="U17" i="97"/>
  <c r="K17" i="97"/>
  <c r="Y16" i="97"/>
  <c r="O16" i="97"/>
  <c r="E16" i="97"/>
  <c r="S15" i="97"/>
  <c r="I15" i="97"/>
  <c r="W14" i="97"/>
  <c r="M14" i="97"/>
  <c r="C14" i="97"/>
  <c r="Q13" i="97"/>
  <c r="G13" i="97"/>
  <c r="U12" i="97"/>
  <c r="K12" i="97"/>
  <c r="Y11" i="97"/>
  <c r="O11" i="97"/>
  <c r="E11" i="97"/>
  <c r="S10" i="97"/>
  <c r="I10" i="97"/>
  <c r="W9" i="97"/>
  <c r="M9" i="97"/>
  <c r="C9" i="97"/>
  <c r="Q8" i="97"/>
  <c r="G8" i="97"/>
  <c r="F248" i="97"/>
  <c r="Q213" i="97"/>
  <c r="Q202" i="97"/>
  <c r="J194" i="97"/>
  <c r="K184" i="97"/>
  <c r="Z178" i="97"/>
  <c r="C175" i="97"/>
  <c r="W170" i="97"/>
  <c r="C167" i="97"/>
  <c r="P163" i="97"/>
  <c r="D161" i="97"/>
  <c r="X158" i="97"/>
  <c r="P156" i="97"/>
  <c r="D154" i="97"/>
  <c r="X151" i="97"/>
  <c r="W149" i="97"/>
  <c r="F148" i="97"/>
  <c r="D146" i="97"/>
  <c r="H144" i="97"/>
  <c r="I139" i="97"/>
  <c r="G137" i="97"/>
  <c r="N135" i="97"/>
  <c r="O133" i="97"/>
  <c r="M131" i="97"/>
  <c r="P129" i="97"/>
  <c r="T127" i="97"/>
  <c r="R125" i="97"/>
  <c r="W123" i="97"/>
  <c r="W121" i="97"/>
  <c r="U119" i="97"/>
  <c r="D118" i="97"/>
  <c r="H116" i="97"/>
  <c r="F114" i="97"/>
  <c r="G112" i="97"/>
  <c r="V110" i="97"/>
  <c r="P109" i="97"/>
  <c r="M108" i="97"/>
  <c r="I107" i="97"/>
  <c r="C106" i="97"/>
  <c r="Z104" i="97"/>
  <c r="W103" i="97"/>
  <c r="Q102" i="97"/>
  <c r="M101" i="97"/>
  <c r="L100" i="97"/>
  <c r="F99" i="97"/>
  <c r="C98" i="97"/>
  <c r="W93" i="97"/>
  <c r="Q92" i="97"/>
  <c r="P91" i="97"/>
  <c r="M90" i="97"/>
  <c r="G89" i="97"/>
  <c r="C88" i="97"/>
  <c r="Z86" i="97"/>
  <c r="T85" i="97"/>
  <c r="Q84" i="97"/>
  <c r="M83" i="97"/>
  <c r="G82" i="97"/>
  <c r="F81" i="97"/>
  <c r="C80" i="97"/>
  <c r="H79" i="97"/>
  <c r="P78" i="97"/>
  <c r="X77" i="97"/>
  <c r="F77" i="97"/>
  <c r="N76" i="97"/>
  <c r="V75" i="97"/>
  <c r="D75" i="97"/>
  <c r="L74" i="97"/>
  <c r="T73" i="97"/>
  <c r="Z72" i="97"/>
  <c r="J72" i="97"/>
  <c r="R71" i="97"/>
  <c r="X70" i="97"/>
  <c r="H70" i="97"/>
  <c r="P69" i="97"/>
  <c r="V68" i="97"/>
  <c r="F68" i="97"/>
  <c r="N67" i="97"/>
  <c r="T66" i="97"/>
  <c r="D66" i="97"/>
  <c r="L65" i="97"/>
  <c r="R64" i="97"/>
  <c r="Z63" i="97"/>
  <c r="J63" i="97"/>
  <c r="P62" i="97"/>
  <c r="X61" i="97"/>
  <c r="H61" i="97"/>
  <c r="N60" i="97"/>
  <c r="V59" i="97"/>
  <c r="F59" i="97"/>
  <c r="L58" i="97"/>
  <c r="T57" i="97"/>
  <c r="D57" i="97"/>
  <c r="J56" i="97"/>
  <c r="R55" i="97"/>
  <c r="Z54" i="97"/>
  <c r="H54" i="97"/>
  <c r="P53" i="97"/>
  <c r="X49" i="97"/>
  <c r="F49" i="97"/>
  <c r="Q48" i="97"/>
  <c r="F48" i="97"/>
  <c r="T47" i="97"/>
  <c r="J47" i="97"/>
  <c r="X46" i="97"/>
  <c r="N46" i="97"/>
  <c r="D46" i="97"/>
  <c r="R45" i="97"/>
  <c r="H45" i="97"/>
  <c r="V44" i="97"/>
  <c r="L44" i="97"/>
  <c r="Z43" i="97"/>
  <c r="P43" i="97"/>
  <c r="F43" i="97"/>
  <c r="T42" i="97"/>
  <c r="J42" i="97"/>
  <c r="X41" i="97"/>
  <c r="N41" i="97"/>
  <c r="D41" i="97"/>
  <c r="R40" i="97"/>
  <c r="H40" i="97"/>
  <c r="V39" i="97"/>
  <c r="L39" i="97"/>
  <c r="Z38" i="97"/>
  <c r="P38" i="97"/>
  <c r="F38" i="97"/>
  <c r="T37" i="97"/>
  <c r="J37" i="97"/>
  <c r="X36" i="97"/>
  <c r="N36" i="97"/>
  <c r="D36" i="97"/>
  <c r="R35" i="97"/>
  <c r="H35" i="97"/>
  <c r="V34" i="97"/>
  <c r="L34" i="97"/>
  <c r="Z33" i="97"/>
  <c r="P33" i="97"/>
  <c r="F33" i="97"/>
  <c r="T32" i="97"/>
  <c r="J32" i="97"/>
  <c r="X31" i="97"/>
  <c r="N31" i="97"/>
  <c r="D31" i="97"/>
  <c r="R30" i="97"/>
  <c r="H30" i="97"/>
  <c r="V29" i="97"/>
  <c r="L29" i="97"/>
  <c r="Z28" i="97"/>
  <c r="P28" i="97"/>
  <c r="F28" i="97"/>
  <c r="T27" i="97"/>
  <c r="J27" i="97"/>
  <c r="X26" i="97"/>
  <c r="N26" i="97"/>
  <c r="D26" i="97"/>
  <c r="R25" i="97"/>
  <c r="H25" i="97"/>
  <c r="V24" i="97"/>
  <c r="L24" i="97"/>
  <c r="Z23" i="97"/>
  <c r="P23" i="97"/>
  <c r="F23" i="97"/>
  <c r="T22" i="97"/>
  <c r="J22" i="97"/>
  <c r="X21" i="97"/>
  <c r="N21" i="97"/>
  <c r="D21" i="97"/>
  <c r="R20" i="97"/>
  <c r="H20" i="97"/>
  <c r="V19" i="97"/>
  <c r="L19" i="97"/>
  <c r="Z18" i="97"/>
  <c r="P18" i="97"/>
  <c r="F18" i="97"/>
  <c r="T17" i="97"/>
  <c r="J17" i="97"/>
  <c r="X16" i="97"/>
  <c r="N16" i="97"/>
  <c r="D16" i="97"/>
  <c r="R15" i="97"/>
  <c r="H15" i="97"/>
  <c r="V14" i="97"/>
  <c r="L14" i="97"/>
  <c r="Z13" i="97"/>
  <c r="P13" i="97"/>
  <c r="F13" i="97"/>
  <c r="T12" i="97"/>
  <c r="J12" i="97"/>
  <c r="X11" i="97"/>
  <c r="N11" i="97"/>
  <c r="D11" i="97"/>
  <c r="R10" i="97"/>
  <c r="H10" i="97"/>
  <c r="V9" i="97"/>
  <c r="L9" i="97"/>
  <c r="Z8" i="97"/>
  <c r="P8" i="97"/>
  <c r="F8" i="97"/>
  <c r="N238" i="97"/>
  <c r="I212" i="97"/>
  <c r="K201" i="97"/>
  <c r="D193" i="97"/>
  <c r="Y183" i="97"/>
  <c r="X178" i="97"/>
  <c r="M174" i="97"/>
  <c r="M170" i="97"/>
  <c r="Y166" i="97"/>
  <c r="F163" i="97"/>
  <c r="Z160" i="97"/>
  <c r="R158" i="97"/>
  <c r="F156" i="97"/>
  <c r="Z153" i="97"/>
  <c r="V151" i="97"/>
  <c r="N149" i="97"/>
  <c r="S147" i="97"/>
  <c r="S145" i="97"/>
  <c r="Q143" i="97"/>
  <c r="X138" i="97"/>
  <c r="D137" i="97"/>
  <c r="Z134" i="97"/>
  <c r="C133" i="97"/>
  <c r="J131" i="97"/>
  <c r="H129" i="97"/>
  <c r="I127" i="97"/>
  <c r="L125" i="97"/>
  <c r="J123" i="97"/>
  <c r="N121" i="97"/>
  <c r="S119" i="97"/>
  <c r="Q117" i="97"/>
  <c r="Q115" i="97"/>
  <c r="X113" i="97"/>
  <c r="V111" i="97"/>
  <c r="O110" i="97"/>
  <c r="K109" i="97"/>
  <c r="E108" i="97"/>
  <c r="D107" i="97"/>
  <c r="Y105" i="97"/>
  <c r="S104" i="97"/>
  <c r="O103" i="97"/>
  <c r="N102" i="97"/>
  <c r="H101" i="97"/>
  <c r="E100" i="97"/>
  <c r="Y98" i="97"/>
  <c r="S94" i="97"/>
  <c r="R93" i="97"/>
  <c r="O92" i="97"/>
  <c r="I91" i="97"/>
  <c r="E90" i="97"/>
  <c r="D89" i="97"/>
  <c r="V87" i="97"/>
  <c r="S86" i="97"/>
  <c r="O85" i="97"/>
  <c r="I84" i="97"/>
  <c r="H83" i="97"/>
  <c r="E82" i="97"/>
  <c r="W80" i="97"/>
  <c r="V79" i="97"/>
  <c r="F79" i="97"/>
  <c r="L78" i="97"/>
  <c r="T77" i="97"/>
  <c r="D77" i="97"/>
  <c r="J76" i="97"/>
  <c r="R75" i="97"/>
  <c r="Z74" i="97"/>
  <c r="H74" i="97"/>
  <c r="P73" i="97"/>
  <c r="X72" i="97"/>
  <c r="F72" i="97"/>
  <c r="N71" i="97"/>
  <c r="V70" i="97"/>
  <c r="D70" i="97"/>
  <c r="L69" i="97"/>
  <c r="T68" i="97"/>
  <c r="Z67" i="97"/>
  <c r="J67" i="97"/>
  <c r="R66" i="97"/>
  <c r="X65" i="97"/>
  <c r="H65" i="97"/>
  <c r="P64" i="97"/>
  <c r="V63" i="97"/>
  <c r="F63" i="97"/>
  <c r="N62" i="97"/>
  <c r="T61" i="97"/>
  <c r="D61" i="97"/>
  <c r="L60" i="97"/>
  <c r="R59" i="97"/>
  <c r="Z58" i="97"/>
  <c r="J58" i="97"/>
  <c r="P57" i="97"/>
  <c r="X56" i="97"/>
  <c r="H56" i="97"/>
  <c r="N55" i="97"/>
  <c r="V54" i="97"/>
  <c r="F54" i="97"/>
  <c r="L53" i="97"/>
  <c r="T49" i="97"/>
  <c r="D49" i="97"/>
  <c r="N48" i="97"/>
  <c r="D48" i="97"/>
  <c r="R47" i="97"/>
  <c r="H47" i="97"/>
  <c r="V46" i="97"/>
  <c r="L46" i="97"/>
  <c r="Z45" i="97"/>
  <c r="P45" i="97"/>
  <c r="F45" i="97"/>
  <c r="T44" i="97"/>
  <c r="J44" i="97"/>
  <c r="X43" i="97"/>
  <c r="N43" i="97"/>
  <c r="D43" i="97"/>
  <c r="R42" i="97"/>
  <c r="H42" i="97"/>
  <c r="V41" i="97"/>
  <c r="L41" i="97"/>
  <c r="Z40" i="97"/>
  <c r="P40" i="97"/>
  <c r="F40" i="97"/>
  <c r="T39" i="97"/>
  <c r="J39" i="97"/>
  <c r="X38" i="97"/>
  <c r="N38" i="97"/>
  <c r="D38" i="97"/>
  <c r="R37" i="97"/>
  <c r="H37" i="97"/>
  <c r="V36" i="97"/>
  <c r="L36" i="97"/>
  <c r="Z35" i="97"/>
  <c r="P35" i="97"/>
  <c r="F35" i="97"/>
  <c r="T34" i="97"/>
  <c r="J34" i="97"/>
  <c r="X33" i="97"/>
  <c r="N33" i="97"/>
  <c r="D33" i="97"/>
  <c r="R32" i="97"/>
  <c r="H32" i="97"/>
  <c r="V31" i="97"/>
  <c r="L31" i="97"/>
  <c r="Z30" i="97"/>
  <c r="P30" i="97"/>
  <c r="F30" i="97"/>
  <c r="T29" i="97"/>
  <c r="J29" i="97"/>
  <c r="X28" i="97"/>
  <c r="N28" i="97"/>
  <c r="D28" i="97"/>
  <c r="R27" i="97"/>
  <c r="H27" i="97"/>
  <c r="V26" i="97"/>
  <c r="L26" i="97"/>
  <c r="Z25" i="97"/>
  <c r="P25" i="97"/>
  <c r="F25" i="97"/>
  <c r="T24" i="97"/>
  <c r="J24" i="97"/>
  <c r="X23" i="97"/>
  <c r="N23" i="97"/>
  <c r="D23" i="97"/>
  <c r="R22" i="97"/>
  <c r="H22" i="97"/>
  <c r="V21" i="97"/>
  <c r="L21" i="97"/>
  <c r="Z20" i="97"/>
  <c r="P20" i="97"/>
  <c r="F20" i="97"/>
  <c r="T19" i="97"/>
  <c r="J19" i="97"/>
  <c r="X18" i="97"/>
  <c r="N18" i="97"/>
  <c r="D18" i="97"/>
  <c r="R17" i="97"/>
  <c r="H17" i="97"/>
  <c r="V16" i="97"/>
  <c r="L16" i="97"/>
  <c r="Z15" i="97"/>
  <c r="P15" i="97"/>
  <c r="F15" i="97"/>
  <c r="T14" i="97"/>
  <c r="J14" i="97"/>
  <c r="X13" i="97"/>
  <c r="N13" i="97"/>
  <c r="D13" i="97"/>
  <c r="R12" i="97"/>
  <c r="H12" i="97"/>
  <c r="V11" i="97"/>
  <c r="L11" i="97"/>
  <c r="Z10" i="97"/>
  <c r="P10" i="97"/>
  <c r="F10" i="97"/>
  <c r="T9" i="97"/>
  <c r="J9" i="97"/>
  <c r="X8" i="97"/>
  <c r="N8" i="97"/>
  <c r="D8" i="97"/>
  <c r="H238" i="97"/>
  <c r="U211" i="97"/>
  <c r="I201" i="97"/>
  <c r="Z192" i="97"/>
  <c r="X183" i="97"/>
  <c r="K178" i="97"/>
  <c r="G174" i="97"/>
  <c r="L170" i="97"/>
  <c r="S166" i="97"/>
  <c r="E163" i="97"/>
  <c r="X160" i="97"/>
  <c r="P158" i="97"/>
  <c r="E156" i="97"/>
  <c r="Y153" i="97"/>
  <c r="P151" i="97"/>
  <c r="J149" i="97"/>
  <c r="H147" i="97"/>
  <c r="R145" i="97"/>
  <c r="P143" i="97"/>
  <c r="N138" i="97"/>
  <c r="X136" i="97"/>
  <c r="V134" i="97"/>
  <c r="T132" i="97"/>
  <c r="Z130" i="97"/>
  <c r="X128" i="97"/>
  <c r="V126" i="97"/>
  <c r="H125" i="97"/>
  <c r="F123" i="97"/>
  <c r="D121" i="97"/>
  <c r="R119" i="97"/>
  <c r="P117" i="97"/>
  <c r="N115" i="97"/>
  <c r="P113" i="97"/>
  <c r="N111" i="97"/>
  <c r="H110" i="97"/>
  <c r="J109" i="97"/>
  <c r="D108" i="97"/>
  <c r="V106" i="97"/>
  <c r="X105" i="97"/>
  <c r="R104" i="97"/>
  <c r="L103" i="97"/>
  <c r="J102" i="97"/>
  <c r="D101" i="97"/>
  <c r="V99" i="97"/>
  <c r="X98" i="97"/>
  <c r="R94" i="97"/>
  <c r="L93" i="97"/>
  <c r="N92" i="97"/>
  <c r="H91" i="97"/>
  <c r="Z89" i="97"/>
  <c r="X88" i="97"/>
  <c r="R87" i="97"/>
  <c r="L86" i="97"/>
  <c r="N85" i="97"/>
  <c r="H84" i="97"/>
  <c r="Z82" i="97"/>
  <c r="D82" i="97"/>
  <c r="V80" i="97"/>
  <c r="S79" i="97"/>
  <c r="E79" i="97"/>
  <c r="K78" i="97"/>
  <c r="Q77" i="97"/>
  <c r="C77" i="97"/>
  <c r="I76" i="97"/>
  <c r="O75" i="97"/>
  <c r="Y74" i="97"/>
  <c r="G74" i="97"/>
  <c r="M73" i="97"/>
  <c r="W72" i="97"/>
  <c r="E72" i="97"/>
  <c r="K71" i="97"/>
  <c r="U70" i="97"/>
  <c r="C70" i="97"/>
  <c r="I69" i="97"/>
  <c r="S68" i="97"/>
  <c r="Y67" i="97"/>
  <c r="G67" i="97"/>
  <c r="Q66" i="97"/>
  <c r="W65" i="97"/>
  <c r="E65" i="97"/>
  <c r="O64" i="97"/>
  <c r="U63" i="97"/>
  <c r="C63" i="97"/>
  <c r="M62" i="97"/>
  <c r="S61" i="97"/>
  <c r="Y60" i="97"/>
  <c r="K60" i="97"/>
  <c r="Q59" i="97"/>
  <c r="W58" i="97"/>
  <c r="I58" i="97"/>
  <c r="O57" i="97"/>
  <c r="U56" i="97"/>
  <c r="G56" i="97"/>
  <c r="M55" i="97"/>
  <c r="S54" i="97"/>
  <c r="E54" i="97"/>
  <c r="K53" i="97"/>
  <c r="Q49" i="97"/>
  <c r="C49" i="97"/>
  <c r="M48" i="97"/>
  <c r="C48" i="97"/>
  <c r="Q47" i="97"/>
  <c r="G47" i="97"/>
  <c r="U46" i="97"/>
  <c r="K46" i="97"/>
  <c r="Y45" i="97"/>
  <c r="O45" i="97"/>
  <c r="E45" i="97"/>
  <c r="S44" i="97"/>
  <c r="I44" i="97"/>
  <c r="W43" i="97"/>
  <c r="M43" i="97"/>
  <c r="C43" i="97"/>
  <c r="Q42" i="97"/>
  <c r="G42" i="97"/>
  <c r="U41" i="97"/>
  <c r="K41" i="97"/>
  <c r="Y40" i="97"/>
  <c r="O40" i="97"/>
  <c r="E40" i="97"/>
  <c r="S39" i="97"/>
  <c r="I39" i="97"/>
  <c r="W38" i="97"/>
  <c r="M38" i="97"/>
  <c r="C38" i="97"/>
  <c r="Q37" i="97"/>
  <c r="G37" i="97"/>
  <c r="U36" i="97"/>
  <c r="K36" i="97"/>
  <c r="Y35" i="97"/>
  <c r="O35" i="97"/>
  <c r="E35" i="97"/>
  <c r="S34" i="97"/>
  <c r="I34" i="97"/>
  <c r="W33" i="97"/>
  <c r="M33" i="97"/>
  <c r="C33" i="97"/>
  <c r="Q32" i="97"/>
  <c r="G32" i="97"/>
  <c r="U31" i="97"/>
  <c r="K31" i="97"/>
  <c r="Y30" i="97"/>
  <c r="O30" i="97"/>
  <c r="E30" i="97"/>
  <c r="S29" i="97"/>
  <c r="I29" i="97"/>
  <c r="W28" i="97"/>
  <c r="M28" i="97"/>
  <c r="C28" i="97"/>
  <c r="Q27" i="97"/>
  <c r="G27" i="97"/>
  <c r="U26" i="97"/>
  <c r="K26" i="97"/>
  <c r="Y25" i="97"/>
  <c r="O25" i="97"/>
  <c r="E25" i="97"/>
  <c r="S24" i="97"/>
  <c r="I24" i="97"/>
  <c r="W23" i="97"/>
  <c r="M23" i="97"/>
  <c r="C23" i="97"/>
  <c r="Q22" i="97"/>
  <c r="G22" i="97"/>
  <c r="U21" i="97"/>
  <c r="K21" i="97"/>
  <c r="Y20" i="97"/>
  <c r="O20" i="97"/>
  <c r="E20" i="97"/>
  <c r="S19" i="97"/>
  <c r="I19" i="97"/>
  <c r="W18" i="97"/>
  <c r="M18" i="97"/>
  <c r="C18" i="97"/>
  <c r="Q17" i="97"/>
  <c r="G17" i="97"/>
  <c r="U16" i="97"/>
  <c r="K16" i="97"/>
  <c r="Y15" i="97"/>
  <c r="O15" i="97"/>
  <c r="E15" i="97"/>
  <c r="S14" i="97"/>
  <c r="I14" i="97"/>
  <c r="W13" i="97"/>
  <c r="M13" i="97"/>
  <c r="C13" i="97"/>
  <c r="Q12" i="97"/>
  <c r="G12" i="97"/>
  <c r="U11" i="97"/>
  <c r="K11" i="97"/>
  <c r="Y10" i="97"/>
  <c r="O10" i="97"/>
  <c r="E10" i="97"/>
  <c r="S9" i="97"/>
  <c r="I9" i="97"/>
  <c r="W8" i="97"/>
  <c r="M8" i="97"/>
  <c r="C8" i="97"/>
  <c r="K221" i="97"/>
  <c r="C206" i="97"/>
  <c r="N196" i="97"/>
  <c r="I190" i="97"/>
  <c r="V180" i="97"/>
  <c r="I176" i="97"/>
  <c r="M172" i="97"/>
  <c r="J168" i="97"/>
  <c r="U164" i="97"/>
  <c r="Z161" i="97"/>
  <c r="R159" i="97"/>
  <c r="K157" i="97"/>
  <c r="F155" i="97"/>
  <c r="S152" i="97"/>
  <c r="N150" i="97"/>
  <c r="L148" i="97"/>
  <c r="M146" i="97"/>
  <c r="T144" i="97"/>
  <c r="R139" i="97"/>
  <c r="S137" i="97"/>
  <c r="V135" i="97"/>
  <c r="T133" i="97"/>
  <c r="X131" i="97"/>
  <c r="E130" i="97"/>
  <c r="C128" i="97"/>
  <c r="C126" i="97"/>
  <c r="J124" i="97"/>
  <c r="H122" i="97"/>
  <c r="L120" i="97"/>
  <c r="M118" i="97"/>
  <c r="K116" i="97"/>
  <c r="R114" i="97"/>
  <c r="S112" i="97"/>
  <c r="Y110" i="97"/>
  <c r="U109" i="97"/>
  <c r="T108" i="97"/>
  <c r="N107" i="97"/>
  <c r="K106" i="97"/>
  <c r="G105" i="97"/>
  <c r="Y103" i="97"/>
  <c r="X102" i="97"/>
  <c r="U101" i="97"/>
  <c r="O100" i="97"/>
  <c r="K99" i="97"/>
  <c r="J98" i="97"/>
  <c r="D94" i="97"/>
  <c r="Y92" i="97"/>
  <c r="U91" i="97"/>
  <c r="O90" i="97"/>
  <c r="N89" i="97"/>
  <c r="K88" i="97"/>
  <c r="E87" i="97"/>
  <c r="Y85" i="97"/>
  <c r="X84" i="97"/>
  <c r="R83" i="97"/>
  <c r="O82" i="97"/>
  <c r="K81" i="97"/>
  <c r="E80" i="97"/>
  <c r="L79" i="97"/>
  <c r="T78" i="97"/>
  <c r="Z77" i="97"/>
  <c r="J77" i="97"/>
  <c r="R76" i="97"/>
  <c r="X75" i="97"/>
  <c r="H75" i="97"/>
  <c r="P74" i="97"/>
  <c r="V73" i="97"/>
  <c r="F73" i="97"/>
  <c r="N72" i="97"/>
  <c r="T71" i="97"/>
  <c r="D71" i="97"/>
  <c r="L70" i="97"/>
  <c r="R69" i="97"/>
  <c r="Z68" i="97"/>
  <c r="J68" i="97"/>
  <c r="P67" i="97"/>
  <c r="X66" i="97"/>
  <c r="H66" i="97"/>
  <c r="N65" i="97"/>
  <c r="V64" i="97"/>
  <c r="F64" i="97"/>
  <c r="L63" i="97"/>
  <c r="T62" i="97"/>
  <c r="D62" i="97"/>
  <c r="J61" i="97"/>
  <c r="H244" i="97"/>
  <c r="M202" i="97"/>
  <c r="H184" i="97"/>
  <c r="Q174" i="97"/>
  <c r="Z166" i="97"/>
  <c r="C161" i="97"/>
  <c r="N156" i="97"/>
  <c r="W151" i="97"/>
  <c r="V147" i="97"/>
  <c r="R143" i="97"/>
  <c r="F137" i="97"/>
  <c r="N133" i="97"/>
  <c r="J129" i="97"/>
  <c r="N125" i="97"/>
  <c r="V121" i="97"/>
  <c r="R117" i="97"/>
  <c r="Z113" i="97"/>
  <c r="R110" i="97"/>
  <c r="F108" i="97"/>
  <c r="Z105" i="97"/>
  <c r="V103" i="97"/>
  <c r="J101" i="97"/>
  <c r="Z98" i="97"/>
  <c r="V93" i="97"/>
  <c r="J91" i="97"/>
  <c r="F89" i="97"/>
  <c r="V86" i="97"/>
  <c r="J84" i="97"/>
  <c r="F82" i="97"/>
  <c r="Z79" i="97"/>
  <c r="M78" i="97"/>
  <c r="E77" i="97"/>
  <c r="U75" i="97"/>
  <c r="I74" i="97"/>
  <c r="Y72" i="97"/>
  <c r="Q71" i="97"/>
  <c r="E70" i="97"/>
  <c r="U68" i="97"/>
  <c r="M67" i="97"/>
  <c r="Y65" i="97"/>
  <c r="Q64" i="97"/>
  <c r="I63" i="97"/>
  <c r="U61" i="97"/>
  <c r="R60" i="97"/>
  <c r="L59" i="97"/>
  <c r="F58" i="97"/>
  <c r="F57" i="97"/>
  <c r="X55" i="97"/>
  <c r="R54" i="97"/>
  <c r="T53" i="97"/>
  <c r="N49" i="97"/>
  <c r="L48" i="97"/>
  <c r="V47" i="97"/>
  <c r="D47" i="97"/>
  <c r="J46" i="97"/>
  <c r="T45" i="97"/>
  <c r="Z44" i="97"/>
  <c r="H44" i="97"/>
  <c r="R43" i="97"/>
  <c r="X42" i="97"/>
  <c r="F42" i="97"/>
  <c r="P41" i="97"/>
  <c r="V40" i="97"/>
  <c r="D40" i="97"/>
  <c r="N39" i="97"/>
  <c r="T38" i="97"/>
  <c r="Z37" i="97"/>
  <c r="L37" i="97"/>
  <c r="R36" i="97"/>
  <c r="X35" i="97"/>
  <c r="J35" i="97"/>
  <c r="P34" i="97"/>
  <c r="V33" i="97"/>
  <c r="H33" i="97"/>
  <c r="N32" i="97"/>
  <c r="T31" i="97"/>
  <c r="F31" i="97"/>
  <c r="L30" i="97"/>
  <c r="R29" i="97"/>
  <c r="D29" i="97"/>
  <c r="J28" i="97"/>
  <c r="P27" i="97"/>
  <c r="Z26" i="97"/>
  <c r="H26" i="97"/>
  <c r="N25" i="97"/>
  <c r="X24" i="97"/>
  <c r="F24" i="97"/>
  <c r="L23" i="97"/>
  <c r="V22" i="97"/>
  <c r="D22" i="97"/>
  <c r="J21" i="97"/>
  <c r="T20" i="97"/>
  <c r="Z19" i="97"/>
  <c r="H19" i="97"/>
  <c r="R18" i="97"/>
  <c r="X17" i="97"/>
  <c r="F17" i="97"/>
  <c r="P16" i="97"/>
  <c r="V15" i="97"/>
  <c r="D15" i="97"/>
  <c r="N14" i="97"/>
  <c r="T13" i="97"/>
  <c r="Z12" i="97"/>
  <c r="L12" i="97"/>
  <c r="R11" i="97"/>
  <c r="X10" i="97"/>
  <c r="J10" i="97"/>
  <c r="P9" i="97"/>
  <c r="V8" i="97"/>
  <c r="H8" i="97"/>
  <c r="J229" i="97"/>
  <c r="E199" i="97"/>
  <c r="O182" i="97"/>
  <c r="S173" i="97"/>
  <c r="W165" i="97"/>
  <c r="I160" i="97"/>
  <c r="T155" i="97"/>
  <c r="E151" i="97"/>
  <c r="F147" i="97"/>
  <c r="O143" i="97"/>
  <c r="M136" i="97"/>
  <c r="R132" i="97"/>
  <c r="W128" i="97"/>
  <c r="D125" i="97"/>
  <c r="C121" i="97"/>
  <c r="J117" i="97"/>
  <c r="M113" i="97"/>
  <c r="G110" i="97"/>
  <c r="C108" i="97"/>
  <c r="Q105" i="97"/>
  <c r="J103" i="97"/>
  <c r="C101" i="97"/>
  <c r="T98" i="97"/>
  <c r="K93" i="97"/>
  <c r="F91" i="97"/>
  <c r="U88" i="97"/>
  <c r="K86" i="97"/>
  <c r="G84" i="97"/>
  <c r="U81" i="97"/>
  <c r="R79" i="97"/>
  <c r="J78" i="97"/>
  <c r="X76" i="97"/>
  <c r="N75" i="97"/>
  <c r="F74" i="97"/>
  <c r="T72" i="97"/>
  <c r="J71" i="97"/>
  <c r="Z69" i="97"/>
  <c r="P68" i="97"/>
  <c r="F67" i="97"/>
  <c r="V65" i="97"/>
  <c r="L64" i="97"/>
  <c r="Z62" i="97"/>
  <c r="R61" i="97"/>
  <c r="M60" i="97"/>
  <c r="I59" i="97"/>
  <c r="C58" i="97"/>
  <c r="C57" i="97"/>
  <c r="W55" i="97"/>
  <c r="Q54" i="97"/>
  <c r="M53" i="97"/>
  <c r="M49" i="97"/>
  <c r="K48" i="97"/>
  <c r="S47" i="97"/>
  <c r="C47" i="97"/>
  <c r="I46" i="97"/>
  <c r="Q45" i="97"/>
  <c r="Y44" i="97"/>
  <c r="G44" i="97"/>
  <c r="O43" i="97"/>
  <c r="W42" i="97"/>
  <c r="E42" i="97"/>
  <c r="M41" i="97"/>
  <c r="U40" i="97"/>
  <c r="C40" i="97"/>
  <c r="K39" i="97"/>
  <c r="S38" i="97"/>
  <c r="Y37" i="97"/>
  <c r="I37" i="97"/>
  <c r="Q36" i="97"/>
  <c r="W35" i="97"/>
  <c r="G35" i="97"/>
  <c r="O34" i="97"/>
  <c r="U33" i="97"/>
  <c r="E33" i="97"/>
  <c r="M32" i="97"/>
  <c r="S31" i="97"/>
  <c r="C31" i="97"/>
  <c r="K30" i="97"/>
  <c r="Q29" i="97"/>
  <c r="Y28" i="97"/>
  <c r="I28" i="97"/>
  <c r="O27" i="97"/>
  <c r="W26" i="97"/>
  <c r="G26" i="97"/>
  <c r="M25" i="97"/>
  <c r="U24" i="97"/>
  <c r="E24" i="97"/>
  <c r="K23" i="97"/>
  <c r="S22" i="97"/>
  <c r="C22" i="97"/>
  <c r="I21" i="97"/>
  <c r="Q20" i="97"/>
  <c r="Y19" i="97"/>
  <c r="G19" i="97"/>
  <c r="O18" i="97"/>
  <c r="W17" i="97"/>
  <c r="E17" i="97"/>
  <c r="M16" i="97"/>
  <c r="U15" i="97"/>
  <c r="C15" i="97"/>
  <c r="K14" i="97"/>
  <c r="S13" i="97"/>
  <c r="Y12" i="97"/>
  <c r="I12" i="97"/>
  <c r="Q11" i="97"/>
  <c r="W10" i="97"/>
  <c r="G10" i="97"/>
  <c r="O9" i="97"/>
  <c r="U8" i="97"/>
  <c r="E8" i="97"/>
  <c r="J224" i="97"/>
  <c r="C197" i="97"/>
  <c r="V181" i="97"/>
  <c r="W172" i="97"/>
  <c r="X164" i="97"/>
  <c r="X159" i="97"/>
  <c r="I155" i="97"/>
  <c r="Q150" i="97"/>
  <c r="Y146" i="97"/>
  <c r="Z139" i="97"/>
  <c r="D136" i="97"/>
  <c r="I132" i="97"/>
  <c r="N128" i="97"/>
  <c r="P124" i="97"/>
  <c r="X120" i="97"/>
  <c r="W116" i="97"/>
  <c r="X112" i="97"/>
  <c r="E110" i="97"/>
  <c r="S107" i="97"/>
  <c r="L105" i="97"/>
  <c r="E103" i="97"/>
  <c r="V100" i="97"/>
  <c r="M98" i="97"/>
  <c r="H93" i="97"/>
  <c r="W90" i="97"/>
  <c r="M88" i="97"/>
  <c r="I86" i="97"/>
  <c r="W83" i="97"/>
  <c r="P81" i="97"/>
  <c r="P79" i="97"/>
  <c r="F78" i="97"/>
  <c r="T76" i="97"/>
  <c r="L75" i="97"/>
  <c r="Z73" i="97"/>
  <c r="P72" i="97"/>
  <c r="H71" i="97"/>
  <c r="V69" i="97"/>
  <c r="L68" i="97"/>
  <c r="D67" i="97"/>
  <c r="R65" i="97"/>
  <c r="H64" i="97"/>
  <c r="X62" i="97"/>
  <c r="N61" i="97"/>
  <c r="E60" i="97"/>
  <c r="E59" i="97"/>
  <c r="Y57" i="97"/>
  <c r="S56" i="97"/>
  <c r="O55" i="97"/>
  <c r="O54" i="97"/>
  <c r="I53" i="97"/>
  <c r="E49" i="97"/>
  <c r="I48" i="97"/>
  <c r="O47" i="97"/>
  <c r="W46" i="97"/>
  <c r="G46" i="97"/>
  <c r="M45" i="97"/>
  <c r="U44" i="97"/>
  <c r="E44" i="97"/>
  <c r="K43" i="97"/>
  <c r="S42" i="97"/>
  <c r="C42" i="97"/>
  <c r="I41" i="97"/>
  <c r="Q40" i="97"/>
  <c r="Y39" i="97"/>
  <c r="G39" i="97"/>
  <c r="O38" i="97"/>
  <c r="W37" i="97"/>
  <c r="E37" i="97"/>
  <c r="M36" i="97"/>
  <c r="U35" i="97"/>
  <c r="C35" i="97"/>
  <c r="K34" i="97"/>
  <c r="S33" i="97"/>
  <c r="Y32" i="97"/>
  <c r="I32" i="97"/>
  <c r="Q31" i="97"/>
  <c r="W30" i="97"/>
  <c r="G30" i="97"/>
  <c r="O29" i="97"/>
  <c r="U28" i="97"/>
  <c r="E28" i="97"/>
  <c r="M27" i="97"/>
  <c r="S26" i="97"/>
  <c r="C26" i="97"/>
  <c r="K25" i="97"/>
  <c r="Q24" i="97"/>
  <c r="Y23" i="97"/>
  <c r="I23" i="97"/>
  <c r="O22" i="97"/>
  <c r="W21" i="97"/>
  <c r="G21" i="97"/>
  <c r="M20" i="97"/>
  <c r="U19" i="97"/>
  <c r="E19" i="97"/>
  <c r="K18" i="97"/>
  <c r="S17" i="97"/>
  <c r="C17" i="97"/>
  <c r="I16" i="97"/>
  <c r="Q15" i="97"/>
  <c r="Y14" i="97"/>
  <c r="G14" i="97"/>
  <c r="O13" i="97"/>
  <c r="W12" i="97"/>
  <c r="E12" i="97"/>
  <c r="M11" i="97"/>
  <c r="U10" i="97"/>
  <c r="C10" i="97"/>
  <c r="K9" i="97"/>
  <c r="S8" i="97"/>
  <c r="O223" i="97"/>
  <c r="O196" i="97"/>
  <c r="W180" i="97"/>
  <c r="O172" i="97"/>
  <c r="W164" i="97"/>
  <c r="T159" i="97"/>
  <c r="H155" i="97"/>
  <c r="P150" i="97"/>
  <c r="X146" i="97"/>
  <c r="T139" i="97"/>
  <c r="X135" i="97"/>
  <c r="H132" i="97"/>
  <c r="D128" i="97"/>
  <c r="L124" i="97"/>
  <c r="P120" i="97"/>
  <c r="L116" i="97"/>
  <c r="T112" i="97"/>
  <c r="D110" i="97"/>
  <c r="P107" i="97"/>
  <c r="H105" i="97"/>
  <c r="D103" i="97"/>
  <c r="P100" i="97"/>
  <c r="L98" i="97"/>
  <c r="D93" i="97"/>
  <c r="P90" i="97"/>
  <c r="L88" i="97"/>
  <c r="H86" i="97"/>
  <c r="T83" i="97"/>
  <c r="L81" i="97"/>
  <c r="O79" i="97"/>
  <c r="C78" i="97"/>
  <c r="S76" i="97"/>
  <c r="K75" i="97"/>
  <c r="W73" i="97"/>
  <c r="O72" i="97"/>
  <c r="G71" i="97"/>
  <c r="S69" i="97"/>
  <c r="K68" i="97"/>
  <c r="C67" i="97"/>
  <c r="O65" i="97"/>
  <c r="G64" i="97"/>
  <c r="W62" i="97"/>
  <c r="K61" i="97"/>
  <c r="D60" i="97"/>
  <c r="V58" i="97"/>
  <c r="X57" i="97"/>
  <c r="R56" i="97"/>
  <c r="L55" i="97"/>
  <c r="L54" i="97"/>
  <c r="F53" i="97"/>
  <c r="X48" i="97"/>
  <c r="H48" i="97"/>
  <c r="N47" i="97"/>
  <c r="T46" i="97"/>
  <c r="F46" i="97"/>
  <c r="L45" i="97"/>
  <c r="R44" i="97"/>
  <c r="D44" i="97"/>
  <c r="J43" i="97"/>
  <c r="P42" i="97"/>
  <c r="Z41" i="97"/>
  <c r="H41" i="97"/>
  <c r="N40" i="97"/>
  <c r="X39" i="97"/>
  <c r="F39" i="97"/>
  <c r="L38" i="97"/>
  <c r="V37" i="97"/>
  <c r="D37" i="97"/>
  <c r="J36" i="97"/>
  <c r="T35" i="97"/>
  <c r="Z34" i="97"/>
  <c r="H34" i="97"/>
  <c r="R33" i="97"/>
  <c r="X32" i="97"/>
  <c r="F32" i="97"/>
  <c r="P31" i="97"/>
  <c r="V30" i="97"/>
  <c r="D30" i="97"/>
  <c r="N29" i="97"/>
  <c r="T28" i="97"/>
  <c r="Z27" i="97"/>
  <c r="L27" i="97"/>
  <c r="R26" i="97"/>
  <c r="X25" i="97"/>
  <c r="J25" i="97"/>
  <c r="P24" i="97"/>
  <c r="V23" i="97"/>
  <c r="H23" i="97"/>
  <c r="N22" i="97"/>
  <c r="T21" i="97"/>
  <c r="F21" i="97"/>
  <c r="L20" i="97"/>
  <c r="R19" i="97"/>
  <c r="D19" i="97"/>
  <c r="J18" i="97"/>
  <c r="P17" i="97"/>
  <c r="Z16" i="97"/>
  <c r="H16" i="97"/>
  <c r="N15" i="97"/>
  <c r="X14" i="97"/>
  <c r="F14" i="97"/>
  <c r="L13" i="97"/>
  <c r="V12" i="97"/>
  <c r="D12" i="97"/>
  <c r="J11" i="97"/>
  <c r="T10" i="97"/>
  <c r="Z9" i="97"/>
  <c r="H9" i="97"/>
  <c r="R8" i="97"/>
  <c r="H207" i="97"/>
  <c r="S190" i="97"/>
  <c r="P176" i="97"/>
  <c r="C169" i="97"/>
  <c r="I162" i="97"/>
  <c r="P157" i="97"/>
  <c r="D153" i="97"/>
  <c r="X148" i="97"/>
  <c r="W144" i="97"/>
  <c r="F138" i="97"/>
  <c r="I134" i="97"/>
  <c r="G130" i="97"/>
  <c r="R126" i="97"/>
  <c r="Q122" i="97"/>
  <c r="V118" i="97"/>
  <c r="Z114" i="97"/>
  <c r="H111" i="97"/>
  <c r="W108" i="97"/>
  <c r="R106" i="97"/>
  <c r="I104" i="97"/>
  <c r="W101" i="97"/>
  <c r="S99" i="97"/>
  <c r="I94" i="97"/>
  <c r="Z91" i="97"/>
  <c r="S89" i="97"/>
  <c r="L87" i="97"/>
  <c r="C85" i="97"/>
  <c r="V82" i="97"/>
  <c r="M80" i="97"/>
  <c r="V78" i="97"/>
  <c r="N77" i="97"/>
  <c r="D76" i="97"/>
  <c r="R74" i="97"/>
  <c r="J73" i="97"/>
  <c r="X71" i="97"/>
  <c r="N70" i="97"/>
  <c r="F69" i="97"/>
  <c r="T67" i="97"/>
  <c r="J66" i="97"/>
  <c r="Z64" i="97"/>
  <c r="P63" i="97"/>
  <c r="F62" i="97"/>
  <c r="V60" i="97"/>
  <c r="P59" i="97"/>
  <c r="P58" i="97"/>
  <c r="J57" i="97"/>
  <c r="D56" i="97"/>
  <c r="D55" i="97"/>
  <c r="V53" i="97"/>
  <c r="P49" i="97"/>
  <c r="S48" i="97"/>
  <c r="X47" i="97"/>
  <c r="F47" i="97"/>
  <c r="P46" i="97"/>
  <c r="V45" i="97"/>
  <c r="D45" i="97"/>
  <c r="N44" i="97"/>
  <c r="T43" i="97"/>
  <c r="Z42" i="97"/>
  <c r="L42" i="97"/>
  <c r="R41" i="97"/>
  <c r="X40" i="97"/>
  <c r="J40" i="97"/>
  <c r="P39" i="97"/>
  <c r="V38" i="97"/>
  <c r="H38" i="97"/>
  <c r="N37" i="97"/>
  <c r="T36" i="97"/>
  <c r="F36" i="97"/>
  <c r="L35" i="97"/>
  <c r="R34" i="97"/>
  <c r="D34" i="97"/>
  <c r="J33" i="97"/>
  <c r="P32" i="97"/>
  <c r="Z31" i="97"/>
  <c r="H31" i="97"/>
  <c r="N30" i="97"/>
  <c r="X29" i="97"/>
  <c r="F29" i="97"/>
  <c r="L28" i="97"/>
  <c r="V27" i="97"/>
  <c r="D27" i="97"/>
  <c r="J26" i="97"/>
  <c r="T25" i="97"/>
  <c r="Z24" i="97"/>
  <c r="I206" i="97"/>
  <c r="K190" i="97"/>
  <c r="O176" i="97"/>
  <c r="K168" i="97"/>
  <c r="H162" i="97"/>
  <c r="L157" i="97"/>
  <c r="T152" i="97"/>
  <c r="N148" i="97"/>
  <c r="V144" i="97"/>
  <c r="Z137" i="97"/>
  <c r="V133" i="97"/>
  <c r="F130" i="97"/>
  <c r="N126" i="97"/>
  <c r="J122" i="97"/>
  <c r="N118" i="97"/>
  <c r="V114" i="97"/>
  <c r="Z110" i="97"/>
  <c r="V108" i="97"/>
  <c r="N106" i="97"/>
  <c r="Z103" i="97"/>
  <c r="V101" i="97"/>
  <c r="R99" i="97"/>
  <c r="F94" i="97"/>
  <c r="V91" i="97"/>
  <c r="R89" i="97"/>
  <c r="F87" i="97"/>
  <c r="Z84" i="97"/>
  <c r="R82" i="97"/>
  <c r="F80" i="97"/>
  <c r="U78" i="97"/>
  <c r="M77" i="97"/>
  <c r="Y75" i="97"/>
  <c r="Q74" i="97"/>
  <c r="I73" i="97"/>
  <c r="U71" i="97"/>
  <c r="M70" i="97"/>
  <c r="E69" i="97"/>
  <c r="Q67" i="97"/>
  <c r="I66" i="97"/>
  <c r="Y64" i="97"/>
  <c r="M63" i="97"/>
  <c r="E62" i="97"/>
  <c r="U60" i="97"/>
  <c r="O59" i="97"/>
  <c r="K58" i="97"/>
  <c r="G57" i="97"/>
  <c r="Y55" i="97"/>
  <c r="Y54" i="97"/>
  <c r="U53" i="97"/>
  <c r="O49" i="97"/>
  <c r="O48" i="97"/>
  <c r="W47" i="97"/>
  <c r="E47" i="97"/>
  <c r="M46" i="97"/>
  <c r="U45" i="97"/>
  <c r="C45" i="97"/>
  <c r="K44" i="97"/>
  <c r="S43" i="97"/>
  <c r="Y42" i="97"/>
  <c r="I42" i="97"/>
  <c r="Q41" i="97"/>
  <c r="W40" i="97"/>
  <c r="G40" i="97"/>
  <c r="O39" i="97"/>
  <c r="U38" i="97"/>
  <c r="E38" i="97"/>
  <c r="M37" i="97"/>
  <c r="S36" i="97"/>
  <c r="C36" i="97"/>
  <c r="K35" i="97"/>
  <c r="Q34" i="97"/>
  <c r="Y33" i="97"/>
  <c r="I33" i="97"/>
  <c r="O32" i="97"/>
  <c r="W31" i="97"/>
  <c r="G31" i="97"/>
  <c r="M30" i="97"/>
  <c r="U29" i="97"/>
  <c r="E29" i="97"/>
  <c r="K28" i="97"/>
  <c r="S27" i="97"/>
  <c r="C27" i="97"/>
  <c r="I26" i="97"/>
  <c r="Q25" i="97"/>
  <c r="Y24" i="97"/>
  <c r="G24" i="97"/>
  <c r="O23" i="97"/>
  <c r="W22" i="97"/>
  <c r="E22" i="97"/>
  <c r="M21" i="97"/>
  <c r="U20" i="97"/>
  <c r="C20" i="97"/>
  <c r="K19" i="97"/>
  <c r="S18" i="97"/>
  <c r="Y17" i="97"/>
  <c r="I17" i="97"/>
  <c r="Q16" i="97"/>
  <c r="W15" i="97"/>
  <c r="G15" i="97"/>
  <c r="O14" i="97"/>
  <c r="U13" i="97"/>
  <c r="E13" i="97"/>
  <c r="M12" i="97"/>
  <c r="S11" i="97"/>
  <c r="C11" i="97"/>
  <c r="K10" i="97"/>
  <c r="Q9" i="97"/>
  <c r="Y8" i="97"/>
  <c r="I8" i="97"/>
  <c r="F9" i="97"/>
  <c r="N10" i="97"/>
  <c r="Z11" i="97"/>
  <c r="J13" i="97"/>
  <c r="R14" i="97"/>
  <c r="F16" i="97"/>
  <c r="N17" i="97"/>
  <c r="V18" i="97"/>
  <c r="J20" i="97"/>
  <c r="R21" i="97"/>
  <c r="Z22" i="97"/>
  <c r="N24" i="97"/>
  <c r="F26" i="97"/>
  <c r="X27" i="97"/>
  <c r="P29" i="97"/>
  <c r="J31" i="97"/>
  <c r="Z32" i="97"/>
  <c r="X34" i="97"/>
  <c r="P36" i="97"/>
  <c r="J38" i="97"/>
  <c r="Z39" i="97"/>
  <c r="T41" i="97"/>
  <c r="L43" i="97"/>
  <c r="J45" i="97"/>
  <c r="Z46" i="97"/>
  <c r="U48" i="97"/>
  <c r="P54" i="97"/>
  <c r="N57" i="97"/>
  <c r="H60" i="97"/>
  <c r="T63" i="97"/>
  <c r="E67" i="97"/>
  <c r="R70" i="97"/>
  <c r="E74" i="97"/>
  <c r="P77" i="97"/>
  <c r="R81" i="97"/>
  <c r="Q87" i="97"/>
  <c r="J93" i="97"/>
  <c r="G102" i="97"/>
  <c r="Z107" i="97"/>
  <c r="H115" i="97"/>
  <c r="R124" i="97"/>
  <c r="T134" i="97"/>
  <c r="Z146" i="97"/>
  <c r="E158" i="97"/>
  <c r="Y172" i="97"/>
  <c r="Y208" i="97"/>
  <c r="C19" i="46"/>
  <c r="U60" i="46"/>
  <c r="I129" i="46"/>
  <c r="AA21" i="46"/>
  <c r="R116" i="46"/>
  <c r="M89" i="46"/>
  <c r="N123" i="46"/>
  <c r="N103" i="46"/>
  <c r="Y116" i="46"/>
  <c r="W26" i="46"/>
  <c r="E150" i="46"/>
  <c r="W129" i="46"/>
  <c r="K35" i="46"/>
  <c r="U24" i="46"/>
  <c r="P73" i="46"/>
  <c r="L132" i="46"/>
  <c r="R16" i="46"/>
  <c r="F18" i="46"/>
  <c r="N57" i="46"/>
  <c r="Y150" i="46"/>
  <c r="Q25" i="46"/>
  <c r="S16" i="46"/>
  <c r="K48" i="46"/>
  <c r="F143" i="46"/>
  <c r="N34" i="46"/>
  <c r="G7" i="46"/>
  <c r="W34" i="46"/>
  <c r="T44" i="46"/>
  <c r="I45" i="46"/>
  <c r="F154" i="46"/>
  <c r="Y128" i="46"/>
  <c r="G20" i="46"/>
  <c r="E71" i="46"/>
  <c r="G5" i="46"/>
  <c r="S30" i="46"/>
  <c r="W78" i="46"/>
  <c r="S135" i="46"/>
  <c r="I39" i="46"/>
  <c r="AA131" i="46"/>
  <c r="AA19" i="46"/>
  <c r="G9" i="97"/>
  <c r="Q10" i="97"/>
  <c r="C12" i="97"/>
  <c r="K13" i="97"/>
  <c r="U14" i="97"/>
  <c r="G16" i="97"/>
  <c r="O17" i="97"/>
  <c r="Y18" i="97"/>
  <c r="K20" i="97"/>
  <c r="S21" i="97"/>
  <c r="E23" i="97"/>
  <c r="O24" i="97"/>
  <c r="M26" i="97"/>
  <c r="Y27" i="97"/>
  <c r="Y29" i="97"/>
  <c r="M31" i="97"/>
  <c r="K33" i="97"/>
  <c r="Y34" i="97"/>
  <c r="W36" i="97"/>
  <c r="K38" i="97"/>
  <c r="K40" i="97"/>
  <c r="W41" i="97"/>
  <c r="U43" i="97"/>
  <c r="K45" i="97"/>
  <c r="I47" i="97"/>
  <c r="V48" i="97"/>
  <c r="E55" i="97"/>
  <c r="Q57" i="97"/>
  <c r="W60" i="97"/>
  <c r="W63" i="97"/>
  <c r="W67" i="97"/>
  <c r="W70" i="97"/>
  <c r="S74" i="97"/>
  <c r="W77" i="97"/>
  <c r="X82" i="97"/>
  <c r="X87" i="97"/>
  <c r="P94" i="97"/>
  <c r="P102" i="97"/>
  <c r="X108" i="97"/>
  <c r="D116" i="97"/>
  <c r="T126" i="97"/>
  <c r="D135" i="97"/>
  <c r="D149" i="97"/>
  <c r="V158" i="97"/>
  <c r="Q176" i="97"/>
  <c r="Y212" i="97"/>
  <c r="I14" i="46"/>
  <c r="U44" i="46"/>
  <c r="R37" i="46"/>
  <c r="K21" i="46"/>
  <c r="F111" i="46"/>
  <c r="AA61" i="46"/>
  <c r="W151" i="46"/>
  <c r="P134" i="46"/>
  <c r="W104" i="46"/>
  <c r="K153" i="46"/>
  <c r="S137" i="46"/>
  <c r="F34" i="46"/>
  <c r="H19" i="46"/>
  <c r="W98" i="46"/>
  <c r="R95" i="46"/>
  <c r="P93" i="46"/>
  <c r="Z105" i="46"/>
  <c r="AA7" i="46"/>
  <c r="G131" i="46"/>
  <c r="U101" i="46"/>
  <c r="G112" i="46"/>
  <c r="N21" i="46"/>
  <c r="F35" i="46"/>
  <c r="J149" i="46"/>
  <c r="AA130" i="46"/>
  <c r="V143" i="46"/>
  <c r="O155" i="46"/>
  <c r="F145" i="46"/>
  <c r="D102" i="46"/>
  <c r="E129" i="46"/>
  <c r="U33" i="46"/>
  <c r="Q126" i="46"/>
  <c r="C37" i="46"/>
  <c r="P51" i="46"/>
  <c r="P30" i="46"/>
  <c r="AA76" i="46"/>
  <c r="H135" i="46"/>
  <c r="U115" i="46"/>
  <c r="N46" i="46"/>
  <c r="L136" i="90"/>
  <c r="N9" i="97"/>
  <c r="V10" i="97"/>
  <c r="F12" i="97"/>
  <c r="R13" i="97"/>
  <c r="Z14" i="97"/>
  <c r="J16" i="97"/>
  <c r="V17" i="97"/>
  <c r="F19" i="97"/>
  <c r="N20" i="97"/>
  <c r="Z21" i="97"/>
  <c r="J23" i="97"/>
  <c r="R24" i="97"/>
  <c r="P26" i="97"/>
  <c r="H28" i="97"/>
  <c r="Z29" i="97"/>
  <c r="R31" i="97"/>
  <c r="L33" i="97"/>
  <c r="D35" i="97"/>
  <c r="Z36" i="97"/>
  <c r="R38" i="97"/>
  <c r="L40" i="97"/>
  <c r="D42" i="97"/>
  <c r="V43" i="97"/>
  <c r="N45" i="97"/>
  <c r="L47" i="97"/>
  <c r="J49" i="97"/>
  <c r="H55" i="97"/>
  <c r="Z57" i="97"/>
  <c r="X60" i="97"/>
  <c r="I64" i="97"/>
  <c r="X67" i="97"/>
  <c r="I71" i="97"/>
  <c r="V74" i="97"/>
  <c r="I78" i="97"/>
  <c r="Y82" i="97"/>
  <c r="N88" i="97"/>
  <c r="Q94" i="97"/>
  <c r="F103" i="97"/>
  <c r="F109" i="97"/>
  <c r="F117" i="97"/>
  <c r="U126" i="97"/>
  <c r="J136" i="97"/>
  <c r="H149" i="97"/>
  <c r="F160" i="97"/>
  <c r="L177" i="97"/>
  <c r="H225" i="97"/>
  <c r="L83" i="28"/>
  <c r="L43" i="28" s="1"/>
  <c r="D155" i="28"/>
  <c r="W174" i="28"/>
  <c r="R159" i="28"/>
  <c r="R215" i="28"/>
  <c r="D93" i="28"/>
  <c r="E62" i="28"/>
  <c r="E22" i="28" s="1"/>
  <c r="C182" i="28"/>
  <c r="P216" i="28"/>
  <c r="T154" i="28"/>
  <c r="X148" i="28"/>
  <c r="U178" i="28"/>
  <c r="C92" i="28"/>
  <c r="T187" i="28"/>
  <c r="P82" i="28"/>
  <c r="P42" i="28" s="1"/>
  <c r="L125" i="28"/>
  <c r="D178" i="28"/>
  <c r="P111" i="28"/>
  <c r="M70" i="28"/>
  <c r="M30" i="28" s="1"/>
  <c r="C51" i="28"/>
  <c r="C11" i="28" s="1"/>
  <c r="Q75" i="28"/>
  <c r="Q35" i="28" s="1"/>
  <c r="G106" i="28"/>
  <c r="H170" i="28"/>
  <c r="O232" i="28"/>
  <c r="L108" i="28"/>
  <c r="V138" i="28"/>
  <c r="M234" i="28"/>
  <c r="L131" i="28"/>
  <c r="I120" i="28"/>
  <c r="S151" i="28"/>
  <c r="L234" i="28"/>
  <c r="Q112" i="28"/>
  <c r="L204" i="28"/>
  <c r="H155" i="28"/>
  <c r="W68" i="28"/>
  <c r="W28" i="28" s="1"/>
  <c r="Q181" i="28"/>
  <c r="M118" i="28"/>
  <c r="V172" i="28"/>
  <c r="I100" i="28"/>
  <c r="E243" i="28"/>
  <c r="J113" i="28"/>
  <c r="G53" i="28"/>
  <c r="G13" i="28" s="1"/>
  <c r="T60" i="28"/>
  <c r="T20" i="28" s="1"/>
  <c r="O147" i="28"/>
  <c r="Q71" i="28"/>
  <c r="Q31" i="28" s="1"/>
  <c r="D71" i="28"/>
  <c r="D31" i="28" s="1"/>
  <c r="K135" i="28"/>
  <c r="K107" i="28"/>
  <c r="C117" i="28"/>
  <c r="N205" i="28"/>
  <c r="I62" i="28"/>
  <c r="I22" i="28" s="1"/>
  <c r="W53" i="28"/>
  <c r="W13" i="28" s="1"/>
  <c r="D98" i="28"/>
  <c r="X192" i="28"/>
  <c r="S50" i="28"/>
  <c r="S10" i="28" s="1"/>
  <c r="C220" i="28"/>
  <c r="R86" i="28"/>
  <c r="R46" i="28" s="1"/>
  <c r="V202" i="28"/>
  <c r="Q222" i="28"/>
  <c r="T135" i="28"/>
  <c r="J174" i="28"/>
  <c r="E215" i="28"/>
  <c r="I73" i="28"/>
  <c r="I33" i="28" s="1"/>
  <c r="P226" i="28"/>
  <c r="W222" i="28"/>
  <c r="Q79" i="28"/>
  <c r="Q39" i="28" s="1"/>
  <c r="L183" i="28"/>
  <c r="P62" i="28"/>
  <c r="P22" i="28" s="1"/>
  <c r="G143" i="28"/>
  <c r="R123" i="28"/>
  <c r="W109" i="28"/>
  <c r="S235" i="28"/>
  <c r="N57" i="28"/>
  <c r="N17" i="28" s="1"/>
  <c r="T71" i="28"/>
  <c r="T31" i="28" s="1"/>
  <c r="I60" i="28"/>
  <c r="I20" i="28" s="1"/>
  <c r="K101" i="28"/>
  <c r="L196" i="28"/>
  <c r="F84" i="28"/>
  <c r="F44" i="28" s="1"/>
  <c r="R76" i="28"/>
  <c r="R36" i="28" s="1"/>
  <c r="O52" i="28"/>
  <c r="O12" i="28" s="1"/>
  <c r="L147" i="28"/>
  <c r="S95" i="28"/>
  <c r="N56" i="28"/>
  <c r="N16" i="28" s="1"/>
  <c r="H195" i="28"/>
  <c r="G102" i="28"/>
  <c r="X75" i="28"/>
  <c r="X35" i="28" s="1"/>
  <c r="H91" i="28"/>
  <c r="J154" i="28"/>
  <c r="E216" i="28"/>
  <c r="M103" i="28"/>
  <c r="E241" i="28"/>
  <c r="F180" i="28"/>
  <c r="W164" i="28"/>
  <c r="P66" i="28"/>
  <c r="P26" i="28" s="1"/>
  <c r="M200" i="28"/>
  <c r="S166" i="28"/>
  <c r="O179" i="28"/>
  <c r="O77" i="28"/>
  <c r="O37" i="28" s="1"/>
  <c r="G142" i="28"/>
  <c r="I226" i="28"/>
  <c r="V102" i="28"/>
  <c r="S80" i="28"/>
  <c r="S40" i="28" s="1"/>
  <c r="U246" i="28"/>
  <c r="Q139" i="28"/>
  <c r="V132" i="28"/>
  <c r="R233" i="28"/>
  <c r="F83" i="28"/>
  <c r="F43" i="28" s="1"/>
  <c r="S79" i="28"/>
  <c r="S39" i="28" s="1"/>
  <c r="G98" i="28"/>
  <c r="G241" i="28"/>
  <c r="Y185" i="28"/>
  <c r="G139" i="28"/>
  <c r="G224" i="28"/>
  <c r="R106" i="28"/>
  <c r="K172" i="28"/>
  <c r="X138" i="28"/>
  <c r="C218" i="28"/>
  <c r="I199" i="28"/>
  <c r="Q246" i="28"/>
  <c r="L179" i="28"/>
  <c r="C58" i="28"/>
  <c r="C18" i="28" s="1"/>
  <c r="U52" i="28"/>
  <c r="U12" i="28" s="1"/>
  <c r="N96" i="28"/>
  <c r="V61" i="28"/>
  <c r="V21" i="28" s="1"/>
  <c r="C186" i="28"/>
  <c r="W242" i="28"/>
  <c r="C239" i="28"/>
  <c r="E136" i="28"/>
  <c r="Y113" i="28"/>
  <c r="U108" i="28"/>
  <c r="U227" i="28"/>
  <c r="F216" i="28"/>
  <c r="V121" i="28"/>
  <c r="D82" i="28"/>
  <c r="D42" i="28" s="1"/>
  <c r="U102" i="28"/>
  <c r="F199" i="28"/>
  <c r="Y112" i="28"/>
  <c r="D195" i="28"/>
  <c r="Q100" i="28"/>
  <c r="L151" i="28"/>
  <c r="O246" i="28"/>
  <c r="F222" i="28"/>
  <c r="E142" i="28"/>
  <c r="R55" i="28"/>
  <c r="R15" i="28" s="1"/>
  <c r="M111" i="28"/>
  <c r="M71" i="28"/>
  <c r="M31" i="28" s="1"/>
  <c r="D60" i="28"/>
  <c r="D20" i="28" s="1"/>
  <c r="Q155" i="28"/>
  <c r="F58" i="28"/>
  <c r="F18" i="28" s="1"/>
  <c r="W218" i="28"/>
  <c r="T91" i="28"/>
  <c r="Q64" i="28"/>
  <c r="Q24" i="28" s="1"/>
  <c r="H86" i="28"/>
  <c r="H46" i="28" s="1"/>
  <c r="V57" i="28"/>
  <c r="V17" i="28" s="1"/>
  <c r="D240" i="28"/>
  <c r="I177" i="28"/>
  <c r="M59" i="28"/>
  <c r="M19" i="28" s="1"/>
  <c r="M233" i="28"/>
  <c r="U160" i="28"/>
  <c r="X51" i="28"/>
  <c r="X11" i="28" s="1"/>
  <c r="O217" i="28"/>
  <c r="S123" i="28"/>
  <c r="R162" i="28"/>
  <c r="T96" i="28"/>
  <c r="S131" i="28"/>
  <c r="N68" i="28"/>
  <c r="N28" i="28" s="1"/>
  <c r="Y50" i="28"/>
  <c r="Y10" i="28" s="1"/>
  <c r="G96" i="28"/>
  <c r="U154" i="28"/>
  <c r="W156" i="28"/>
  <c r="H193" i="28"/>
  <c r="T223" i="28"/>
  <c r="J170" i="39"/>
  <c r="Q217" i="28"/>
  <c r="T196" i="28"/>
  <c r="M77" i="28"/>
  <c r="M37" i="28" s="1"/>
  <c r="V164" i="28"/>
  <c r="N105" i="28"/>
  <c r="R192" i="28"/>
  <c r="W76" i="28"/>
  <c r="W36" i="28" s="1"/>
  <c r="C156" i="28"/>
  <c r="N190" i="28"/>
  <c r="C64" i="28"/>
  <c r="C24" i="28" s="1"/>
  <c r="L124" i="28"/>
  <c r="I137" i="28"/>
  <c r="U62" i="28"/>
  <c r="U22" i="28" s="1"/>
  <c r="K210" i="28"/>
  <c r="P191" i="28"/>
  <c r="M244" i="28"/>
  <c r="K120" i="28"/>
  <c r="I79" i="28"/>
  <c r="I39" i="28" s="1"/>
  <c r="P78" i="28"/>
  <c r="P38" i="28" s="1"/>
  <c r="D67" i="28"/>
  <c r="D27" i="28" s="1"/>
  <c r="K141" i="28"/>
  <c r="Y192" i="28"/>
  <c r="O172" i="28"/>
  <c r="Y197" i="28"/>
  <c r="E106" i="28"/>
  <c r="V240" i="28"/>
  <c r="R158" i="28"/>
  <c r="Q228" i="28"/>
  <c r="C232" i="28"/>
  <c r="R203" i="28"/>
  <c r="K91" i="28"/>
  <c r="H149" i="28"/>
  <c r="G95" i="28"/>
  <c r="V78" i="28"/>
  <c r="V38" i="28" s="1"/>
  <c r="D103" i="28"/>
  <c r="M75" i="28"/>
  <c r="M35" i="28" s="1"/>
  <c r="E238" i="28"/>
  <c r="J142" i="28"/>
  <c r="X52" i="28"/>
  <c r="X12" i="28" s="1"/>
  <c r="M90" i="28"/>
  <c r="L142" i="28"/>
  <c r="Q180" i="28"/>
  <c r="C159" i="28"/>
  <c r="L170" i="28"/>
  <c r="G141" i="28"/>
  <c r="L182" i="28"/>
  <c r="U199" i="28"/>
  <c r="Y86" i="28"/>
  <c r="Y46" i="28" s="1"/>
  <c r="V192" i="28"/>
  <c r="X110" i="28"/>
  <c r="N119" i="28"/>
  <c r="T178" i="28"/>
  <c r="C240" i="28"/>
  <c r="W75" i="28"/>
  <c r="W35" i="28" s="1"/>
  <c r="X157" i="28"/>
  <c r="C134" i="28"/>
  <c r="M130" i="28"/>
  <c r="W230" i="28"/>
  <c r="X156" i="28"/>
  <c r="H205" i="28"/>
  <c r="U173" i="28"/>
  <c r="J54" i="28"/>
  <c r="J14" i="28" s="1"/>
  <c r="I95" i="28"/>
  <c r="D165" i="28"/>
  <c r="R217" i="28"/>
  <c r="I176" i="28"/>
  <c r="T78" i="28"/>
  <c r="T38" i="28" s="1"/>
  <c r="I178" i="28"/>
  <c r="E65" i="28"/>
  <c r="E25" i="28" s="1"/>
  <c r="L173" i="28"/>
  <c r="D233" i="28"/>
  <c r="F217" i="28"/>
  <c r="U189" i="28"/>
  <c r="Q134" i="28"/>
  <c r="S188" i="28"/>
  <c r="N210" i="28"/>
  <c r="X121" i="28"/>
  <c r="R172" i="28"/>
  <c r="Y240" i="28"/>
  <c r="L144" i="28"/>
  <c r="R115" i="28"/>
  <c r="L57" i="28"/>
  <c r="L17" i="28" s="1"/>
  <c r="O133" i="28"/>
  <c r="F63" i="28"/>
  <c r="F23" i="28" s="1"/>
  <c r="S149" i="28"/>
  <c r="Y132" i="28"/>
  <c r="O64" i="28"/>
  <c r="O24" i="28" s="1"/>
  <c r="H76" i="28"/>
  <c r="H36" i="28" s="1"/>
  <c r="O81" i="28"/>
  <c r="O41" i="28" s="1"/>
  <c r="Y96" i="28"/>
  <c r="T114" i="28"/>
  <c r="D243" i="28"/>
  <c r="V72" i="28"/>
  <c r="V32" i="28" s="1"/>
  <c r="S120" i="28"/>
  <c r="C176" i="28"/>
  <c r="U71" i="28"/>
  <c r="U31" i="28" s="1"/>
  <c r="I52" i="28"/>
  <c r="I12" i="28" s="1"/>
  <c r="N160" i="28"/>
  <c r="I57" i="28"/>
  <c r="I17" i="28" s="1"/>
  <c r="E189" i="28"/>
  <c r="J240" i="28"/>
  <c r="V211" i="28"/>
  <c r="V234" i="28"/>
  <c r="I114" i="28"/>
  <c r="G133" i="28"/>
  <c r="S116" i="28"/>
  <c r="R144" i="28"/>
  <c r="P145" i="28"/>
  <c r="U136" i="28"/>
  <c r="Y68" i="28"/>
  <c r="Y28" i="28" s="1"/>
  <c r="T162" i="28"/>
  <c r="K53" i="28"/>
  <c r="K13" i="28" s="1"/>
  <c r="W147" i="28"/>
  <c r="K166" i="28"/>
  <c r="R174" i="28"/>
  <c r="T152" i="28"/>
  <c r="H174" i="28"/>
  <c r="Y125" i="28"/>
  <c r="E237" i="28"/>
  <c r="M143" i="28"/>
  <c r="K118" i="28"/>
  <c r="E40" i="1"/>
  <c r="D14" i="1"/>
  <c r="D12" i="1"/>
  <c r="D11" i="1"/>
  <c r="E43" i="1"/>
  <c r="N50" i="91"/>
  <c r="N25" i="91" s="1"/>
  <c r="P11" i="5"/>
  <c r="P14" i="5"/>
  <c r="I42" i="91"/>
  <c r="I17" i="91" s="1"/>
  <c r="M19" i="5"/>
  <c r="H24" i="5"/>
  <c r="I46" i="91"/>
  <c r="I21" i="91" s="1"/>
  <c r="J16" i="5"/>
  <c r="P24" i="5"/>
  <c r="M10" i="5"/>
  <c r="C21" i="5"/>
  <c r="L45" i="91"/>
  <c r="L20" i="91" s="1"/>
  <c r="D55" i="91"/>
  <c r="D30" i="91" s="1"/>
  <c r="F21" i="5"/>
  <c r="K47" i="91"/>
  <c r="K22" i="91" s="1"/>
  <c r="I19" i="5"/>
  <c r="D22" i="5"/>
  <c r="K10" i="5"/>
  <c r="O39" i="91"/>
  <c r="O14" i="91" s="1"/>
  <c r="O13" i="5"/>
  <c r="H23" i="5"/>
  <c r="J15" i="5"/>
  <c r="F9" i="5"/>
  <c r="G44" i="91"/>
  <c r="G19" i="91" s="1"/>
  <c r="O14" i="5"/>
  <c r="N11" i="5"/>
  <c r="F16" i="5"/>
  <c r="F42" i="91"/>
  <c r="F17" i="91" s="1"/>
  <c r="F28" i="5"/>
  <c r="G28" i="5"/>
  <c r="M15" i="5"/>
  <c r="M41" i="91"/>
  <c r="M16" i="91" s="1"/>
  <c r="C49" i="91"/>
  <c r="C24" i="91" s="1"/>
  <c r="K54" i="91"/>
  <c r="K29" i="91" s="1"/>
  <c r="H38" i="91"/>
  <c r="H13" i="91" s="1"/>
  <c r="H12" i="5"/>
  <c r="O29" i="5"/>
  <c r="P51" i="91"/>
  <c r="P26" i="91" s="1"/>
  <c r="D40" i="91"/>
  <c r="D15" i="91" s="1"/>
  <c r="L49" i="91"/>
  <c r="L24" i="91" s="1"/>
  <c r="O18" i="5"/>
  <c r="E52" i="91"/>
  <c r="E27" i="91" s="1"/>
  <c r="F37" i="91"/>
  <c r="F12" i="91" s="1"/>
  <c r="M37" i="91"/>
  <c r="M12" i="91" s="1"/>
  <c r="I26" i="5"/>
  <c r="I52" i="91"/>
  <c r="I27" i="91" s="1"/>
  <c r="K24" i="5"/>
  <c r="K50" i="91"/>
  <c r="K25" i="91" s="1"/>
  <c r="J9" i="5"/>
  <c r="J35" i="91"/>
  <c r="J10" i="91" s="1"/>
  <c r="C15" i="5"/>
  <c r="C41" i="91"/>
  <c r="C16" i="91" s="1"/>
  <c r="H52" i="91"/>
  <c r="H27" i="91" s="1"/>
  <c r="L38" i="91"/>
  <c r="L13" i="91" s="1"/>
  <c r="I24" i="5"/>
  <c r="I50" i="91"/>
  <c r="I25" i="91" s="1"/>
  <c r="K37" i="91"/>
  <c r="K12" i="91" s="1"/>
  <c r="K49" i="91"/>
  <c r="K24" i="91" s="1"/>
  <c r="AM13" i="14"/>
  <c r="R13" i="14" s="1"/>
  <c r="AM11" i="14"/>
  <c r="AN11" i="14" s="1"/>
  <c r="Q11" i="14"/>
  <c r="AM25" i="14"/>
  <c r="AN25" i="14" s="1"/>
  <c r="Q25" i="14"/>
  <c r="AM8" i="14"/>
  <c r="R8" i="14" s="1"/>
  <c r="Q8" i="14"/>
  <c r="AM19" i="14"/>
  <c r="AN19" i="14" s="1"/>
  <c r="AO19" i="14" s="1"/>
  <c r="T19" i="14" s="1"/>
  <c r="Q19" i="14"/>
  <c r="AM17" i="14"/>
  <c r="Q17" i="14"/>
  <c r="Q12" i="14"/>
  <c r="AN8" i="14"/>
  <c r="S8" i="14" s="1"/>
  <c r="AO8" i="14"/>
  <c r="AN12" i="14"/>
  <c r="R12" i="14"/>
  <c r="AN9" i="14"/>
  <c r="R9" i="14"/>
  <c r="Q15" i="14"/>
  <c r="AM21" i="14"/>
  <c r="Q21" i="14"/>
  <c r="AM22" i="14"/>
  <c r="Q22" i="14"/>
  <c r="Q9" i="14"/>
  <c r="R25" i="14"/>
  <c r="J14" i="5"/>
  <c r="L29" i="5"/>
  <c r="L55" i="91"/>
  <c r="L30" i="91" s="1"/>
  <c r="I41" i="91"/>
  <c r="I16" i="91" s="1"/>
  <c r="J47" i="91"/>
  <c r="J22" i="91" s="1"/>
  <c r="J28" i="5"/>
  <c r="N48" i="91"/>
  <c r="N23" i="91" s="1"/>
  <c r="L52" i="91"/>
  <c r="L27" i="91" s="1"/>
  <c r="L26" i="5"/>
  <c r="K46" i="91"/>
  <c r="K21" i="91" s="1"/>
  <c r="K20" i="5"/>
  <c r="N55" i="91"/>
  <c r="N30" i="91" s="1"/>
  <c r="N29" i="5"/>
  <c r="L72" i="48"/>
  <c r="F72" i="48"/>
  <c r="L71" i="48"/>
  <c r="F71" i="48"/>
  <c r="L70" i="48"/>
  <c r="F70" i="48"/>
  <c r="L69" i="48"/>
  <c r="F69" i="48"/>
  <c r="L68" i="48"/>
  <c r="F68" i="48"/>
  <c r="L67" i="48"/>
  <c r="F67" i="48"/>
  <c r="L66" i="48"/>
  <c r="F66" i="48"/>
  <c r="L65" i="48"/>
  <c r="F65" i="48"/>
  <c r="L64" i="48"/>
  <c r="F64" i="48"/>
  <c r="L63" i="48"/>
  <c r="F63" i="48"/>
  <c r="L62" i="48"/>
  <c r="F62" i="48"/>
  <c r="L61" i="48"/>
  <c r="F61" i="48"/>
  <c r="L60" i="48"/>
  <c r="F60" i="48"/>
  <c r="L59" i="48"/>
  <c r="F59" i="48"/>
  <c r="L55" i="48"/>
  <c r="F55" i="48"/>
  <c r="L54" i="48"/>
  <c r="F54" i="48"/>
  <c r="L53" i="48"/>
  <c r="F53" i="48"/>
  <c r="L52" i="48"/>
  <c r="F52" i="48"/>
  <c r="L51" i="48"/>
  <c r="F51" i="48"/>
  <c r="L50" i="48"/>
  <c r="F50" i="48"/>
  <c r="L49" i="48"/>
  <c r="F49" i="48"/>
  <c r="L48" i="48"/>
  <c r="F48" i="48"/>
  <c r="L47" i="48"/>
  <c r="F47" i="48"/>
  <c r="L46" i="48"/>
  <c r="F46" i="48"/>
  <c r="L45" i="48"/>
  <c r="F45" i="48"/>
  <c r="L44" i="48"/>
  <c r="F44" i="48"/>
  <c r="L43" i="48"/>
  <c r="F43" i="48"/>
  <c r="L42" i="48"/>
  <c r="F42" i="48"/>
  <c r="L38" i="48"/>
  <c r="F38" i="48"/>
  <c r="L37" i="48"/>
  <c r="F37" i="48"/>
  <c r="L36" i="48"/>
  <c r="F36" i="48"/>
  <c r="L35" i="48"/>
  <c r="F35" i="48"/>
  <c r="L34" i="48"/>
  <c r="F34" i="48"/>
  <c r="L33" i="48"/>
  <c r="F33" i="48"/>
  <c r="L32" i="48"/>
  <c r="F32" i="48"/>
  <c r="L31" i="48"/>
  <c r="F31" i="48"/>
  <c r="L30" i="48"/>
  <c r="F30" i="48"/>
  <c r="L29" i="48"/>
  <c r="F29" i="48"/>
  <c r="L28" i="48"/>
  <c r="F28" i="48"/>
  <c r="L27" i="48"/>
  <c r="F27" i="48"/>
  <c r="L26" i="48"/>
  <c r="F26" i="48"/>
  <c r="O72" i="48"/>
  <c r="I72" i="48"/>
  <c r="O71" i="48"/>
  <c r="I71" i="48"/>
  <c r="O70" i="48"/>
  <c r="I70" i="48"/>
  <c r="O69" i="48"/>
  <c r="I69" i="48"/>
  <c r="O68" i="48"/>
  <c r="I68" i="48"/>
  <c r="O67" i="48"/>
  <c r="I67" i="48"/>
  <c r="O66" i="48"/>
  <c r="I66" i="48"/>
  <c r="O65" i="48"/>
  <c r="I65" i="48"/>
  <c r="O64" i="48"/>
  <c r="I64" i="48"/>
  <c r="O63" i="48"/>
  <c r="I63" i="48"/>
  <c r="O62" i="48"/>
  <c r="I62" i="48"/>
  <c r="O61" i="48"/>
  <c r="I61" i="48"/>
  <c r="O60" i="48"/>
  <c r="I60" i="48"/>
  <c r="O59" i="48"/>
  <c r="I59" i="48"/>
  <c r="O55" i="48"/>
  <c r="I55" i="48"/>
  <c r="O54" i="48"/>
  <c r="I54" i="48"/>
  <c r="O53" i="48"/>
  <c r="I53" i="48"/>
  <c r="O52" i="48"/>
  <c r="I52" i="48"/>
  <c r="O51" i="48"/>
  <c r="I51" i="48"/>
  <c r="O50" i="48"/>
  <c r="I50" i="48"/>
  <c r="O49" i="48"/>
  <c r="I49" i="48"/>
  <c r="O48" i="48"/>
  <c r="I48" i="48"/>
  <c r="O47" i="48"/>
  <c r="I47" i="48"/>
  <c r="O46" i="48"/>
  <c r="I46" i="48"/>
  <c r="O45" i="48"/>
  <c r="I45" i="48"/>
  <c r="O44" i="48"/>
  <c r="I44" i="48"/>
  <c r="O43" i="48"/>
  <c r="I43" i="48"/>
  <c r="O42" i="48"/>
  <c r="I42" i="48"/>
  <c r="O38" i="48"/>
  <c r="I38" i="48"/>
  <c r="O37" i="48"/>
  <c r="I37" i="48"/>
  <c r="O36" i="48"/>
  <c r="I36" i="48"/>
  <c r="O35" i="48"/>
  <c r="I35" i="48"/>
  <c r="O34" i="48"/>
  <c r="I34" i="48"/>
  <c r="O33" i="48"/>
  <c r="I33" i="48"/>
  <c r="O32" i="48"/>
  <c r="I32" i="48"/>
  <c r="O31" i="48"/>
  <c r="I31" i="48"/>
  <c r="O30" i="48"/>
  <c r="I30" i="48"/>
  <c r="O29" i="48"/>
  <c r="I29" i="48"/>
  <c r="O28" i="48"/>
  <c r="I28" i="48"/>
  <c r="O27" i="48"/>
  <c r="I27" i="48"/>
  <c r="O26" i="48"/>
  <c r="J72" i="48"/>
  <c r="M71" i="48"/>
  <c r="P70" i="48"/>
  <c r="G70" i="48"/>
  <c r="J69" i="48"/>
  <c r="M68" i="48"/>
  <c r="P67" i="48"/>
  <c r="G67" i="48"/>
  <c r="J66" i="48"/>
  <c r="M65" i="48"/>
  <c r="P64" i="48"/>
  <c r="G64" i="48"/>
  <c r="J63" i="48"/>
  <c r="M62" i="48"/>
  <c r="P61" i="48"/>
  <c r="G61" i="48"/>
  <c r="J60" i="48"/>
  <c r="M59" i="48"/>
  <c r="P55" i="48"/>
  <c r="G55" i="48"/>
  <c r="J54" i="48"/>
  <c r="M53" i="48"/>
  <c r="P52" i="48"/>
  <c r="G52" i="48"/>
  <c r="J51" i="48"/>
  <c r="M50" i="48"/>
  <c r="P49" i="48"/>
  <c r="G49" i="48"/>
  <c r="J48" i="48"/>
  <c r="M47" i="48"/>
  <c r="P46" i="48"/>
  <c r="G46" i="48"/>
  <c r="J45" i="48"/>
  <c r="M44" i="48"/>
  <c r="P43" i="48"/>
  <c r="G43" i="48"/>
  <c r="J42" i="48"/>
  <c r="M38" i="48"/>
  <c r="P37" i="48"/>
  <c r="G37" i="48"/>
  <c r="J36" i="48"/>
  <c r="M35" i="48"/>
  <c r="P34" i="48"/>
  <c r="G34" i="48"/>
  <c r="J33" i="48"/>
  <c r="M32" i="48"/>
  <c r="P31" i="48"/>
  <c r="G31" i="48"/>
  <c r="J30" i="48"/>
  <c r="M29" i="48"/>
  <c r="P28" i="48"/>
  <c r="G28" i="48"/>
  <c r="H72" i="48"/>
  <c r="K71" i="48"/>
  <c r="N70" i="48"/>
  <c r="E70" i="48"/>
  <c r="H69" i="48"/>
  <c r="K68" i="48"/>
  <c r="N67" i="48"/>
  <c r="E67" i="48"/>
  <c r="H66" i="48"/>
  <c r="K65" i="48"/>
  <c r="N64" i="48"/>
  <c r="E64" i="48"/>
  <c r="H63" i="48"/>
  <c r="K62" i="48"/>
  <c r="N61" i="48"/>
  <c r="E61" i="48"/>
  <c r="H60" i="48"/>
  <c r="K59" i="48"/>
  <c r="N55" i="48"/>
  <c r="E55" i="48"/>
  <c r="H54" i="48"/>
  <c r="K53" i="48"/>
  <c r="N52" i="48"/>
  <c r="E52" i="48"/>
  <c r="H51" i="48"/>
  <c r="K50" i="48"/>
  <c r="N49" i="48"/>
  <c r="E49" i="48"/>
  <c r="H48" i="48"/>
  <c r="K47" i="48"/>
  <c r="N46" i="48"/>
  <c r="E46" i="48"/>
  <c r="H45" i="48"/>
  <c r="K44" i="48"/>
  <c r="N43" i="48"/>
  <c r="E43" i="48"/>
  <c r="H42" i="48"/>
  <c r="K38" i="48"/>
  <c r="N37" i="48"/>
  <c r="E37" i="48"/>
  <c r="H36" i="48"/>
  <c r="K35" i="48"/>
  <c r="N34" i="48"/>
  <c r="E34" i="48"/>
  <c r="H33" i="48"/>
  <c r="K32" i="48"/>
  <c r="N31" i="48"/>
  <c r="E31" i="48"/>
  <c r="H30" i="48"/>
  <c r="K29" i="48"/>
  <c r="N28" i="48"/>
  <c r="E28" i="48"/>
  <c r="H27" i="48"/>
  <c r="K26" i="48"/>
  <c r="P25" i="48"/>
  <c r="J25" i="48"/>
  <c r="P21" i="48"/>
  <c r="J21" i="48"/>
  <c r="P20" i="48"/>
  <c r="J20" i="48"/>
  <c r="P19" i="48"/>
  <c r="J19" i="48"/>
  <c r="P18" i="48"/>
  <c r="J18" i="48"/>
  <c r="P17" i="48"/>
  <c r="J17" i="48"/>
  <c r="P16" i="48"/>
  <c r="J16" i="48"/>
  <c r="P15" i="48"/>
  <c r="J15" i="48"/>
  <c r="P14" i="48"/>
  <c r="J14" i="48"/>
  <c r="P13" i="48"/>
  <c r="J13" i="48"/>
  <c r="P12" i="48"/>
  <c r="J12" i="48"/>
  <c r="P11" i="48"/>
  <c r="J11" i="48"/>
  <c r="P10" i="48"/>
  <c r="J10" i="48"/>
  <c r="P9" i="48"/>
  <c r="J9" i="48"/>
  <c r="P8" i="48"/>
  <c r="J8" i="48"/>
  <c r="P72" i="48"/>
  <c r="P71" i="48"/>
  <c r="M70" i="48"/>
  <c r="M69" i="48"/>
  <c r="J68" i="48"/>
  <c r="J67" i="48"/>
  <c r="G66" i="48"/>
  <c r="G65" i="48"/>
  <c r="P63" i="48"/>
  <c r="P62" i="48"/>
  <c r="M61" i="48"/>
  <c r="M60" i="48"/>
  <c r="J59" i="48"/>
  <c r="J55" i="48"/>
  <c r="G54" i="48"/>
  <c r="G53" i="48"/>
  <c r="P51" i="48"/>
  <c r="P50" i="48"/>
  <c r="M49" i="48"/>
  <c r="M48" i="48"/>
  <c r="M72" i="48"/>
  <c r="J71" i="48"/>
  <c r="J70" i="48"/>
  <c r="G69" i="48"/>
  <c r="G68" i="48"/>
  <c r="P66" i="48"/>
  <c r="P65" i="48"/>
  <c r="M64" i="48"/>
  <c r="M63" i="48"/>
  <c r="J62" i="48"/>
  <c r="J61" i="48"/>
  <c r="G60" i="48"/>
  <c r="G59" i="48"/>
  <c r="P54" i="48"/>
  <c r="P53" i="48"/>
  <c r="M52" i="48"/>
  <c r="M51" i="48"/>
  <c r="J50" i="48"/>
  <c r="J49" i="48"/>
  <c r="G48" i="48"/>
  <c r="G47" i="48"/>
  <c r="P45" i="48"/>
  <c r="P44" i="48"/>
  <c r="M43" i="48"/>
  <c r="M42" i="48"/>
  <c r="J38" i="48"/>
  <c r="J37" i="48"/>
  <c r="G36" i="48"/>
  <c r="G35" i="48"/>
  <c r="P33" i="48"/>
  <c r="P32" i="48"/>
  <c r="M31" i="48"/>
  <c r="M30" i="48"/>
  <c r="J29" i="48"/>
  <c r="J28" i="48"/>
  <c r="J27" i="48"/>
  <c r="J26" i="48"/>
  <c r="N25" i="48"/>
  <c r="G25" i="48"/>
  <c r="L21" i="48"/>
  <c r="E21" i="48"/>
  <c r="I20" i="48"/>
  <c r="N19" i="48"/>
  <c r="G19" i="48"/>
  <c r="L18" i="48"/>
  <c r="E18" i="48"/>
  <c r="I17" i="48"/>
  <c r="N16" i="48"/>
  <c r="G16" i="48"/>
  <c r="L15" i="48"/>
  <c r="E15" i="48"/>
  <c r="I14" i="48"/>
  <c r="N13" i="48"/>
  <c r="G13" i="48"/>
  <c r="L12" i="48"/>
  <c r="E12" i="48"/>
  <c r="I11" i="48"/>
  <c r="N10" i="48"/>
  <c r="G10" i="48"/>
  <c r="L9" i="48"/>
  <c r="E9" i="48"/>
  <c r="I8" i="48"/>
  <c r="Q71" i="48"/>
  <c r="K72" i="48"/>
  <c r="H71" i="48"/>
  <c r="H70" i="48"/>
  <c r="E69" i="48"/>
  <c r="E68" i="48"/>
  <c r="N66" i="48"/>
  <c r="N65" i="48"/>
  <c r="K64" i="48"/>
  <c r="K63" i="48"/>
  <c r="H62" i="48"/>
  <c r="H61" i="48"/>
  <c r="E60" i="48"/>
  <c r="E59" i="48"/>
  <c r="N54" i="48"/>
  <c r="N53" i="48"/>
  <c r="K52" i="48"/>
  <c r="K51" i="48"/>
  <c r="H50" i="48"/>
  <c r="H49" i="48"/>
  <c r="E48" i="48"/>
  <c r="E47" i="48"/>
  <c r="N45" i="48"/>
  <c r="N44" i="48"/>
  <c r="K43" i="48"/>
  <c r="K42" i="48"/>
  <c r="H38" i="48"/>
  <c r="H37" i="48"/>
  <c r="E36" i="48"/>
  <c r="E35" i="48"/>
  <c r="N33" i="48"/>
  <c r="N32" i="48"/>
  <c r="K31" i="48"/>
  <c r="K30" i="48"/>
  <c r="H29" i="48"/>
  <c r="H28" i="48"/>
  <c r="G27" i="48"/>
  <c r="I26" i="48"/>
  <c r="M25" i="48"/>
  <c r="F25" i="48"/>
  <c r="K21" i="48"/>
  <c r="O20" i="48"/>
  <c r="H20" i="48"/>
  <c r="M19" i="48"/>
  <c r="F19" i="48"/>
  <c r="K18" i="48"/>
  <c r="O17" i="48"/>
  <c r="H17" i="48"/>
  <c r="M16" i="48"/>
  <c r="F16" i="48"/>
  <c r="K15" i="48"/>
  <c r="O14" i="48"/>
  <c r="H14" i="48"/>
  <c r="M13" i="48"/>
  <c r="F13" i="48"/>
  <c r="K12" i="48"/>
  <c r="O11" i="48"/>
  <c r="H11" i="48"/>
  <c r="M10" i="48"/>
  <c r="F10" i="48"/>
  <c r="K9" i="48"/>
  <c r="O8" i="48"/>
  <c r="H8" i="48"/>
  <c r="Q35" i="48"/>
  <c r="Q16" i="48"/>
  <c r="Q8" i="48"/>
  <c r="E72" i="48"/>
  <c r="N69" i="48"/>
  <c r="K67" i="48"/>
  <c r="H65" i="48"/>
  <c r="E63" i="48"/>
  <c r="N60" i="48"/>
  <c r="K55" i="48"/>
  <c r="H53" i="48"/>
  <c r="E51" i="48"/>
  <c r="N48" i="48"/>
  <c r="M46" i="48"/>
  <c r="G45" i="48"/>
  <c r="J43" i="48"/>
  <c r="P38" i="48"/>
  <c r="P36" i="48"/>
  <c r="J35" i="48"/>
  <c r="M33" i="48"/>
  <c r="G32" i="48"/>
  <c r="G30" i="48"/>
  <c r="M28" i="48"/>
  <c r="E27" i="48"/>
  <c r="E26" i="48"/>
  <c r="E25" i="48"/>
  <c r="G21" i="48"/>
  <c r="G20" i="48"/>
  <c r="I19" i="48"/>
  <c r="I18" i="48"/>
  <c r="L17" i="48"/>
  <c r="L16" i="48"/>
  <c r="N15" i="48"/>
  <c r="N14" i="48"/>
  <c r="E14" i="48"/>
  <c r="E13" i="48"/>
  <c r="G12" i="48"/>
  <c r="G11" i="48"/>
  <c r="I10" i="48"/>
  <c r="I9" i="48"/>
  <c r="L8" i="48"/>
  <c r="Q68" i="48"/>
  <c r="R70" i="48"/>
  <c r="Q48" i="48"/>
  <c r="Q29" i="48"/>
  <c r="E71" i="48"/>
  <c r="H68" i="48"/>
  <c r="J65" i="48"/>
  <c r="N62" i="48"/>
  <c r="P59" i="48"/>
  <c r="K54" i="48"/>
  <c r="N51" i="48"/>
  <c r="P48" i="48"/>
  <c r="K46" i="48"/>
  <c r="J44" i="48"/>
  <c r="N42" i="48"/>
  <c r="M37" i="48"/>
  <c r="N35" i="48"/>
  <c r="K33" i="48"/>
  <c r="J31" i="48"/>
  <c r="N29" i="48"/>
  <c r="M27" i="48"/>
  <c r="G26" i="48"/>
  <c r="O21" i="48"/>
  <c r="N20" i="48"/>
  <c r="O19" i="48"/>
  <c r="N18" i="48"/>
  <c r="M17" i="48"/>
  <c r="K16" i="48"/>
  <c r="I15" i="48"/>
  <c r="K14" i="48"/>
  <c r="I13" i="48"/>
  <c r="H12" i="48"/>
  <c r="F11" i="48"/>
  <c r="E10" i="48"/>
  <c r="F9" i="48"/>
  <c r="E8" i="48"/>
  <c r="Q72" i="48"/>
  <c r="Q49" i="48"/>
  <c r="Q44" i="48"/>
  <c r="Q34" i="48"/>
  <c r="Q14" i="48"/>
  <c r="Q11" i="48"/>
  <c r="S48" i="48"/>
  <c r="K70" i="48"/>
  <c r="M67" i="48"/>
  <c r="E65" i="48"/>
  <c r="G62" i="48"/>
  <c r="N59" i="48"/>
  <c r="E54" i="48"/>
  <c r="G51" i="48"/>
  <c r="K48" i="48"/>
  <c r="J46" i="48"/>
  <c r="H44" i="48"/>
  <c r="G42" i="48"/>
  <c r="K37" i="48"/>
  <c r="H35" i="48"/>
  <c r="G33" i="48"/>
  <c r="H31" i="48"/>
  <c r="G29" i="48"/>
  <c r="K27" i="48"/>
  <c r="O25" i="48"/>
  <c r="N21" i="48"/>
  <c r="M20" i="48"/>
  <c r="L19" i="48"/>
  <c r="M18" i="48"/>
  <c r="K17" i="48"/>
  <c r="I16" i="48"/>
  <c r="H15" i="48"/>
  <c r="G14" i="48"/>
  <c r="H13" i="48"/>
  <c r="F12" i="48"/>
  <c r="E11" i="48"/>
  <c r="O9" i="48"/>
  <c r="N8" i="48"/>
  <c r="P69" i="48"/>
  <c r="K66" i="48"/>
  <c r="E62" i="48"/>
  <c r="H55" i="48"/>
  <c r="N50" i="48"/>
  <c r="J47" i="48"/>
  <c r="G44" i="48"/>
  <c r="G38" i="48"/>
  <c r="M34" i="48"/>
  <c r="H32" i="48"/>
  <c r="E29" i="48"/>
  <c r="M26" i="48"/>
  <c r="M21" i="48"/>
  <c r="F20" i="48"/>
  <c r="H18" i="48"/>
  <c r="E17" i="48"/>
  <c r="G15" i="48"/>
  <c r="L13" i="48"/>
  <c r="N11" i="48"/>
  <c r="K10" i="48"/>
  <c r="M8" i="48"/>
  <c r="Q36" i="48"/>
  <c r="S16" i="48"/>
  <c r="K69" i="48"/>
  <c r="E66" i="48"/>
  <c r="K61" i="48"/>
  <c r="M54" i="48"/>
  <c r="G50" i="48"/>
  <c r="H47" i="48"/>
  <c r="E44" i="48"/>
  <c r="E38" i="48"/>
  <c r="K34" i="48"/>
  <c r="E32" i="48"/>
  <c r="K28" i="48"/>
  <c r="H26" i="48"/>
  <c r="I21" i="48"/>
  <c r="E20" i="48"/>
  <c r="G18" i="48"/>
  <c r="O16" i="48"/>
  <c r="F15" i="48"/>
  <c r="K13" i="48"/>
  <c r="M11" i="48"/>
  <c r="H10" i="48"/>
  <c r="K8" i="48"/>
  <c r="G72" i="48"/>
  <c r="N68" i="48"/>
  <c r="H64" i="48"/>
  <c r="K60" i="48"/>
  <c r="E53" i="48"/>
  <c r="K49" i="48"/>
  <c r="M45" i="48"/>
  <c r="P42" i="48"/>
  <c r="M36" i="48"/>
  <c r="H34" i="48"/>
  <c r="N30" i="48"/>
  <c r="N27" i="48"/>
  <c r="K25" i="48"/>
  <c r="F21" i="48"/>
  <c r="H19" i="48"/>
  <c r="N17" i="48"/>
  <c r="E16" i="48"/>
  <c r="L14" i="48"/>
  <c r="N12" i="48"/>
  <c r="K11" i="48"/>
  <c r="M9" i="48"/>
  <c r="F8" i="48"/>
  <c r="Q62" i="48"/>
  <c r="Q64" i="48"/>
  <c r="S29" i="48"/>
  <c r="M66" i="48"/>
  <c r="M55" i="48"/>
  <c r="N47" i="48"/>
  <c r="N38" i="48"/>
  <c r="J32" i="48"/>
  <c r="N26" i="48"/>
  <c r="K20" i="48"/>
  <c r="F17" i="48"/>
  <c r="O13" i="48"/>
  <c r="L10" i="48"/>
  <c r="Q42" i="48"/>
  <c r="N72" i="48"/>
  <c r="J64" i="48"/>
  <c r="J53" i="48"/>
  <c r="H46" i="48"/>
  <c r="N36" i="48"/>
  <c r="P30" i="48"/>
  <c r="L25" i="48"/>
  <c r="K19" i="48"/>
  <c r="H16" i="48"/>
  <c r="O12" i="48"/>
  <c r="N9" i="48"/>
  <c r="Q70" i="48"/>
  <c r="Q20" i="48"/>
  <c r="G71" i="48"/>
  <c r="G63" i="48"/>
  <c r="H52" i="48"/>
  <c r="E45" i="48"/>
  <c r="P35" i="48"/>
  <c r="P29" i="48"/>
  <c r="H25" i="48"/>
  <c r="O18" i="48"/>
  <c r="M15" i="48"/>
  <c r="I12" i="48"/>
  <c r="G9" i="48"/>
  <c r="Q50" i="48"/>
  <c r="R55" i="48"/>
  <c r="S52" i="48"/>
  <c r="R16" i="48"/>
  <c r="U48" i="48"/>
  <c r="P60" i="48"/>
  <c r="H43" i="48"/>
  <c r="P27" i="48"/>
  <c r="F18" i="48"/>
  <c r="L11" i="48"/>
  <c r="T16" i="48"/>
  <c r="H59" i="48"/>
  <c r="E42" i="48"/>
  <c r="P26" i="48"/>
  <c r="G17" i="48"/>
  <c r="O10" i="48"/>
  <c r="Q32" i="48"/>
  <c r="R19" i="48"/>
  <c r="N71" i="48"/>
  <c r="J52" i="48"/>
  <c r="K36" i="48"/>
  <c r="I25" i="48"/>
  <c r="O15" i="48"/>
  <c r="H9" i="48"/>
  <c r="Q37" i="48"/>
  <c r="Q19" i="48"/>
  <c r="U29" i="48"/>
  <c r="V29" i="48"/>
  <c r="H67" i="48"/>
  <c r="E33" i="48"/>
  <c r="F14" i="48"/>
  <c r="Q69" i="48"/>
  <c r="R29" i="48"/>
  <c r="N63" i="48"/>
  <c r="E30" i="48"/>
  <c r="M12" i="48"/>
  <c r="T29" i="48"/>
  <c r="E50" i="48"/>
  <c r="H21" i="48"/>
  <c r="G8" i="48"/>
  <c r="Q33" i="48"/>
  <c r="R32" i="48"/>
  <c r="P47" i="48"/>
  <c r="L20" i="48"/>
  <c r="P68" i="48"/>
  <c r="R9" i="48"/>
  <c r="S19" i="48"/>
  <c r="K45" i="48"/>
  <c r="Q26" i="48"/>
  <c r="J34" i="48"/>
  <c r="E19" i="48"/>
  <c r="R26" i="48"/>
  <c r="T48" i="48"/>
  <c r="U52" i="48"/>
  <c r="Q9" i="48"/>
  <c r="Q15" i="48"/>
  <c r="M14" i="48"/>
  <c r="E16" i="5"/>
  <c r="O17" i="5"/>
  <c r="L28" i="5"/>
  <c r="P64" i="14"/>
  <c r="AL64" i="14"/>
  <c r="R87" i="14"/>
  <c r="AN87" i="14"/>
  <c r="C11" i="92"/>
  <c r="C26" i="92"/>
  <c r="C20" i="92"/>
  <c r="C12" i="92"/>
  <c r="C28" i="92"/>
  <c r="N113" i="65"/>
  <c r="N113" i="93" s="1"/>
  <c r="P111" i="65"/>
  <c r="P111" i="93" s="1"/>
  <c r="L74" i="65"/>
  <c r="L74" i="93" s="1"/>
  <c r="P66" i="65"/>
  <c r="P66" i="93" s="1"/>
  <c r="G14" i="65"/>
  <c r="G14" i="93" s="1"/>
  <c r="E32" i="65"/>
  <c r="E32" i="93" s="1"/>
  <c r="N42" i="65"/>
  <c r="N42" i="93" s="1"/>
  <c r="C73" i="65"/>
  <c r="C73" i="93" s="1"/>
  <c r="G116" i="65"/>
  <c r="G116" i="93" s="1"/>
  <c r="E80" i="65"/>
  <c r="E80" i="93" s="1"/>
  <c r="D43" i="65"/>
  <c r="D43" i="93" s="1"/>
  <c r="P21" i="65"/>
  <c r="P21" i="93" s="1"/>
  <c r="C24" i="65"/>
  <c r="C24" i="93" s="1"/>
  <c r="N13" i="65"/>
  <c r="N13" i="93" s="1"/>
  <c r="G107" i="65"/>
  <c r="G107" i="93" s="1"/>
  <c r="F93" i="65"/>
  <c r="F93" i="93" s="1"/>
  <c r="M27" i="65"/>
  <c r="M27" i="93" s="1"/>
  <c r="J10" i="65"/>
  <c r="J10" i="93" s="1"/>
  <c r="O107" i="65"/>
  <c r="O107" i="93" s="1"/>
  <c r="M54" i="65"/>
  <c r="M54" i="93" s="1"/>
  <c r="H51" i="65"/>
  <c r="H51" i="93" s="1"/>
  <c r="J34" i="65"/>
  <c r="J34" i="93" s="1"/>
  <c r="J103" i="65"/>
  <c r="J103" i="93" s="1"/>
  <c r="M44" i="65"/>
  <c r="M44" i="93" s="1"/>
  <c r="M97" i="65"/>
  <c r="M97" i="93" s="1"/>
  <c r="H126" i="65"/>
  <c r="H126" i="93" s="1"/>
  <c r="G125" i="65"/>
  <c r="G125" i="93" s="1"/>
  <c r="N20" i="65"/>
  <c r="N20" i="93" s="1"/>
  <c r="D53" i="65"/>
  <c r="D53" i="93" s="1"/>
  <c r="J19" i="65"/>
  <c r="J19" i="93" s="1"/>
  <c r="K52" i="65"/>
  <c r="K52" i="93" s="1"/>
  <c r="N92" i="65"/>
  <c r="N92" i="93" s="1"/>
  <c r="G58" i="65"/>
  <c r="G58" i="93" s="1"/>
  <c r="C84" i="65"/>
  <c r="C84" i="93" s="1"/>
  <c r="P109" i="65"/>
  <c r="P109" i="93" s="1"/>
  <c r="H43" i="65"/>
  <c r="H43" i="93" s="1"/>
  <c r="C65" i="65"/>
  <c r="C65" i="93" s="1"/>
  <c r="O115" i="65"/>
  <c r="O115" i="93" s="1"/>
  <c r="I123" i="65"/>
  <c r="I123" i="93" s="1"/>
  <c r="I49" i="65"/>
  <c r="I49" i="93" s="1"/>
  <c r="C25" i="65"/>
  <c r="C25" i="93" s="1"/>
  <c r="M111" i="65"/>
  <c r="M111" i="93" s="1"/>
  <c r="E75" i="65"/>
  <c r="E75" i="93" s="1"/>
  <c r="K118" i="65"/>
  <c r="K118" i="93" s="1"/>
  <c r="O32" i="65"/>
  <c r="O32" i="93" s="1"/>
  <c r="H42" i="65"/>
  <c r="H42" i="93" s="1"/>
  <c r="G126" i="65"/>
  <c r="G126" i="93" s="1"/>
  <c r="O22" i="65"/>
  <c r="O22" i="93" s="1"/>
  <c r="D126" i="65"/>
  <c r="D126" i="93" s="1"/>
  <c r="M129" i="65"/>
  <c r="M129" i="93" s="1"/>
  <c r="F35" i="65"/>
  <c r="F35" i="93" s="1"/>
  <c r="C89" i="65"/>
  <c r="C89" i="93" s="1"/>
  <c r="M75" i="65"/>
  <c r="M75" i="93" s="1"/>
  <c r="H92" i="65"/>
  <c r="H92" i="93" s="1"/>
  <c r="E93" i="65"/>
  <c r="E93" i="93" s="1"/>
  <c r="E33" i="65"/>
  <c r="E33" i="93" s="1"/>
  <c r="H72" i="65"/>
  <c r="H72" i="93" s="1"/>
  <c r="M36" i="65"/>
  <c r="M36" i="93" s="1"/>
  <c r="L45" i="65"/>
  <c r="L45" i="93" s="1"/>
  <c r="L20" i="65"/>
  <c r="L20" i="93" s="1"/>
  <c r="O125" i="65"/>
  <c r="O125" i="93" s="1"/>
  <c r="H119" i="65"/>
  <c r="H119" i="93" s="1"/>
  <c r="M12" i="65"/>
  <c r="M12" i="93" s="1"/>
  <c r="I64" i="65"/>
  <c r="I64" i="93" s="1"/>
  <c r="C74" i="65"/>
  <c r="C74" i="93" s="1"/>
  <c r="J117" i="65"/>
  <c r="J117" i="93" s="1"/>
  <c r="L106" i="65"/>
  <c r="L106" i="93" s="1"/>
  <c r="F71" i="65"/>
  <c r="F71" i="93" s="1"/>
  <c r="J119" i="65"/>
  <c r="J119" i="93" s="1"/>
  <c r="O96" i="65"/>
  <c r="O96" i="93" s="1"/>
  <c r="F125" i="65"/>
  <c r="F125" i="93" s="1"/>
  <c r="F113" i="65"/>
  <c r="F113" i="93" s="1"/>
  <c r="F117" i="65"/>
  <c r="F117" i="93" s="1"/>
  <c r="H12" i="65"/>
  <c r="H12" i="93" s="1"/>
  <c r="O103" i="65"/>
  <c r="O103" i="93" s="1"/>
  <c r="I66" i="65"/>
  <c r="I66" i="93" s="1"/>
  <c r="K44" i="65"/>
  <c r="K44" i="93" s="1"/>
  <c r="P94" i="65"/>
  <c r="P94" i="93" s="1"/>
  <c r="L115" i="65"/>
  <c r="L115" i="93" s="1"/>
  <c r="O77" i="65"/>
  <c r="O77" i="93" s="1"/>
  <c r="K15" i="65"/>
  <c r="K15" i="93" s="1"/>
  <c r="D56" i="65"/>
  <c r="D56" i="93" s="1"/>
  <c r="F82" i="65"/>
  <c r="F82" i="93" s="1"/>
  <c r="D46" i="65"/>
  <c r="D46" i="93" s="1"/>
  <c r="N114" i="65"/>
  <c r="N114" i="93" s="1"/>
  <c r="K107" i="65"/>
  <c r="K107" i="93" s="1"/>
  <c r="M41" i="65"/>
  <c r="M41" i="93" s="1"/>
  <c r="J27" i="65"/>
  <c r="J27" i="93" s="1"/>
  <c r="C42" i="65"/>
  <c r="C42" i="93" s="1"/>
  <c r="F46" i="65"/>
  <c r="F46" i="93" s="1"/>
  <c r="L76" i="65"/>
  <c r="L76" i="93" s="1"/>
  <c r="L107" i="65"/>
  <c r="L107" i="93" s="1"/>
  <c r="I28" i="65"/>
  <c r="I28" i="93" s="1"/>
  <c r="F22" i="65"/>
  <c r="F22" i="93" s="1"/>
  <c r="N72" i="65"/>
  <c r="N72" i="93" s="1"/>
  <c r="I9" i="65"/>
  <c r="I9" i="93" s="1"/>
  <c r="K126" i="65"/>
  <c r="K126" i="93" s="1"/>
  <c r="D13" i="65"/>
  <c r="D13" i="93" s="1"/>
  <c r="G90" i="65"/>
  <c r="G90" i="93" s="1"/>
  <c r="H40" i="65"/>
  <c r="H40" i="93" s="1"/>
  <c r="N54" i="65"/>
  <c r="N54" i="93" s="1"/>
  <c r="O20" i="65"/>
  <c r="O20" i="93" s="1"/>
  <c r="O52" i="65"/>
  <c r="O52" i="93" s="1"/>
  <c r="I10" i="65"/>
  <c r="I10" i="93" s="1"/>
  <c r="L24" i="65"/>
  <c r="L24" i="93" s="1"/>
  <c r="L41" i="65"/>
  <c r="L41" i="93" s="1"/>
  <c r="L53" i="65"/>
  <c r="L53" i="93" s="1"/>
  <c r="P9" i="65"/>
  <c r="P9" i="93" s="1"/>
  <c r="J93" i="65"/>
  <c r="J93" i="93" s="1"/>
  <c r="P46" i="65"/>
  <c r="P46" i="93" s="1"/>
  <c r="N27" i="65"/>
  <c r="N27" i="93" s="1"/>
  <c r="F56" i="65"/>
  <c r="F56" i="93" s="1"/>
  <c r="N65" i="65"/>
  <c r="N65" i="93" s="1"/>
  <c r="L93" i="65"/>
  <c r="L93" i="93" s="1"/>
  <c r="P127" i="65"/>
  <c r="P127" i="93" s="1"/>
  <c r="I45" i="65"/>
  <c r="I45" i="93" s="1"/>
  <c r="H16" i="65"/>
  <c r="H16" i="93" s="1"/>
  <c r="E114" i="65"/>
  <c r="E114" i="93" s="1"/>
  <c r="G127" i="65"/>
  <c r="G127" i="93" s="1"/>
  <c r="N51" i="65"/>
  <c r="N51" i="93" s="1"/>
  <c r="J123" i="65"/>
  <c r="J123" i="93" s="1"/>
  <c r="N96" i="65"/>
  <c r="N96" i="93" s="1"/>
  <c r="D119" i="65"/>
  <c r="D119" i="93" s="1"/>
  <c r="N97" i="65"/>
  <c r="N97" i="93" s="1"/>
  <c r="M110" i="65"/>
  <c r="M110" i="93" s="1"/>
  <c r="M62" i="65"/>
  <c r="M62" i="93" s="1"/>
  <c r="J89" i="65"/>
  <c r="J89" i="93" s="1"/>
  <c r="C31" i="65"/>
  <c r="C31" i="93" s="1"/>
  <c r="P28" i="65"/>
  <c r="P28" i="93" s="1"/>
  <c r="N118" i="65"/>
  <c r="N118" i="93" s="1"/>
  <c r="D48" i="65"/>
  <c r="D48" i="93" s="1"/>
  <c r="F32" i="65"/>
  <c r="F32" i="93" s="1"/>
  <c r="J12" i="65"/>
  <c r="J12" i="93" s="1"/>
  <c r="O26" i="65"/>
  <c r="O26" i="93" s="1"/>
  <c r="P86" i="65"/>
  <c r="P86" i="93" s="1"/>
  <c r="F89" i="65"/>
  <c r="F89" i="93" s="1"/>
  <c r="C18" i="65"/>
  <c r="C18" i="93" s="1"/>
  <c r="L56" i="65"/>
  <c r="L56" i="93" s="1"/>
  <c r="F102" i="65"/>
  <c r="F102" i="93" s="1"/>
  <c r="J110" i="65"/>
  <c r="J110" i="93" s="1"/>
  <c r="H65" i="65"/>
  <c r="H65" i="93" s="1"/>
  <c r="P90" i="65"/>
  <c r="P90" i="93" s="1"/>
  <c r="F88" i="65"/>
  <c r="F88" i="93" s="1"/>
  <c r="N64" i="65"/>
  <c r="N64" i="93" s="1"/>
  <c r="N55" i="65"/>
  <c r="N55" i="93" s="1"/>
  <c r="N91" i="65"/>
  <c r="N91" i="93" s="1"/>
  <c r="O78" i="65"/>
  <c r="O78" i="93" s="1"/>
  <c r="H34" i="65"/>
  <c r="H34" i="93" s="1"/>
  <c r="L92" i="65"/>
  <c r="L92" i="93" s="1"/>
  <c r="O102" i="65"/>
  <c r="O102" i="93" s="1"/>
  <c r="G11" i="65"/>
  <c r="G11" i="93" s="1"/>
  <c r="C122" i="65"/>
  <c r="C122" i="93" s="1"/>
  <c r="P35" i="65"/>
  <c r="P35" i="93" s="1"/>
  <c r="M49" i="65"/>
  <c r="M49" i="93" s="1"/>
  <c r="N119" i="65"/>
  <c r="N119" i="93" s="1"/>
  <c r="F41" i="65"/>
  <c r="F41" i="93" s="1"/>
  <c r="H45" i="65"/>
  <c r="H45" i="93" s="1"/>
  <c r="G123" i="65"/>
  <c r="G123" i="93" s="1"/>
  <c r="M30" i="65"/>
  <c r="M30" i="93" s="1"/>
  <c r="D80" i="65"/>
  <c r="D80" i="93" s="1"/>
  <c r="J75" i="65"/>
  <c r="J75" i="93" s="1"/>
  <c r="F54" i="65"/>
  <c r="F54" i="93" s="1"/>
  <c r="F62" i="65"/>
  <c r="F62" i="93" s="1"/>
  <c r="M50" i="65"/>
  <c r="M50" i="93" s="1"/>
  <c r="D76" i="65"/>
  <c r="D76" i="93" s="1"/>
  <c r="F48" i="65"/>
  <c r="F48" i="93" s="1"/>
  <c r="G52" i="65"/>
  <c r="G52" i="93" s="1"/>
  <c r="K111" i="65"/>
  <c r="K111" i="93" s="1"/>
  <c r="M125" i="65"/>
  <c r="M125" i="93" s="1"/>
  <c r="M65" i="65"/>
  <c r="M65" i="93" s="1"/>
  <c r="J64" i="65"/>
  <c r="J64" i="93" s="1"/>
  <c r="D87" i="65"/>
  <c r="D87" i="93" s="1"/>
  <c r="E63" i="65"/>
  <c r="E63" i="93" s="1"/>
  <c r="P32" i="65"/>
  <c r="P32" i="93" s="1"/>
  <c r="K79" i="65"/>
  <c r="K79" i="93" s="1"/>
  <c r="H41" i="65"/>
  <c r="H41" i="93" s="1"/>
  <c r="I73" i="65"/>
  <c r="I73" i="93" s="1"/>
  <c r="G57" i="65"/>
  <c r="G57" i="93" s="1"/>
  <c r="G55" i="65"/>
  <c r="G55" i="93" s="1"/>
  <c r="K14" i="65"/>
  <c r="K14" i="93" s="1"/>
  <c r="H19" i="65"/>
  <c r="H19" i="93" s="1"/>
  <c r="H88" i="65"/>
  <c r="H88" i="93" s="1"/>
  <c r="E64" i="65"/>
  <c r="E64" i="93" s="1"/>
  <c r="D112" i="65"/>
  <c r="D112" i="93" s="1"/>
  <c r="D113" i="65"/>
  <c r="D113" i="93" s="1"/>
  <c r="O16" i="65"/>
  <c r="O16" i="93" s="1"/>
  <c r="E77" i="65"/>
  <c r="E77" i="93" s="1"/>
  <c r="L117" i="65"/>
  <c r="L117" i="93" s="1"/>
  <c r="O67" i="65"/>
  <c r="O67" i="93" s="1"/>
  <c r="K45" i="65"/>
  <c r="K45" i="93" s="1"/>
  <c r="J65" i="65"/>
  <c r="J65" i="93" s="1"/>
  <c r="D36" i="65"/>
  <c r="D36" i="93" s="1"/>
  <c r="E74" i="65"/>
  <c r="E74" i="93" s="1"/>
  <c r="K11" i="65"/>
  <c r="K11" i="93" s="1"/>
  <c r="K114" i="65"/>
  <c r="K114" i="93" s="1"/>
  <c r="M118" i="65"/>
  <c r="M118" i="93" s="1"/>
  <c r="F17" i="65"/>
  <c r="F17" i="93" s="1"/>
  <c r="I127" i="65"/>
  <c r="I127" i="93" s="1"/>
  <c r="C110" i="65"/>
  <c r="C110" i="93" s="1"/>
  <c r="J42" i="65"/>
  <c r="J42" i="93" s="1"/>
  <c r="L42" i="65"/>
  <c r="L42" i="93" s="1"/>
  <c r="M128" i="65"/>
  <c r="M128" i="93" s="1"/>
  <c r="I40" i="65"/>
  <c r="I40" i="93" s="1"/>
  <c r="I120" i="65"/>
  <c r="I120" i="93" s="1"/>
  <c r="G36" i="65"/>
  <c r="G36" i="93" s="1"/>
  <c r="G87" i="65"/>
  <c r="G87" i="93" s="1"/>
  <c r="I58" i="65"/>
  <c r="I58" i="93" s="1"/>
  <c r="O18" i="65"/>
  <c r="O18" i="93" s="1"/>
  <c r="O46" i="65"/>
  <c r="O46" i="93" s="1"/>
  <c r="M14" i="65"/>
  <c r="M14" i="93" s="1"/>
  <c r="H109" i="65"/>
  <c r="H109" i="93" s="1"/>
  <c r="P102" i="65"/>
  <c r="P102" i="93" s="1"/>
  <c r="N15" i="65"/>
  <c r="N15" i="93" s="1"/>
  <c r="I22" i="65"/>
  <c r="I22" i="93" s="1"/>
  <c r="K80" i="65"/>
  <c r="K80" i="93" s="1"/>
  <c r="I12" i="65"/>
  <c r="I12" i="93" s="1"/>
  <c r="D19" i="65"/>
  <c r="D19" i="93" s="1"/>
  <c r="H32" i="65"/>
  <c r="H32" i="93" s="1"/>
  <c r="M71" i="65"/>
  <c r="M71" i="93" s="1"/>
  <c r="C78" i="65"/>
  <c r="C78" i="93" s="1"/>
  <c r="M127" i="65"/>
  <c r="M127" i="93" s="1"/>
  <c r="F87" i="65"/>
  <c r="F87" i="93" s="1"/>
  <c r="F66" i="65"/>
  <c r="F66" i="93" s="1"/>
  <c r="G77" i="65"/>
  <c r="G77" i="93" s="1"/>
  <c r="H104" i="65"/>
  <c r="H104" i="93" s="1"/>
  <c r="K9" i="65"/>
  <c r="K9" i="93" s="1"/>
  <c r="C48" i="65"/>
  <c r="C48" i="93" s="1"/>
  <c r="P13" i="65"/>
  <c r="P13" i="93" s="1"/>
  <c r="O79" i="65"/>
  <c r="O79" i="93" s="1"/>
  <c r="G104" i="65"/>
  <c r="G104" i="93" s="1"/>
  <c r="P48" i="65"/>
  <c r="P48" i="93" s="1"/>
  <c r="G129" i="65"/>
  <c r="G129" i="93" s="1"/>
  <c r="E54" i="65"/>
  <c r="E54" i="93" s="1"/>
  <c r="P81" i="65"/>
  <c r="P81" i="93" s="1"/>
  <c r="C117" i="65"/>
  <c r="C117" i="93" s="1"/>
  <c r="I82" i="65"/>
  <c r="I82" i="93" s="1"/>
  <c r="I36" i="65"/>
  <c r="I36" i="93" s="1"/>
  <c r="P58" i="65"/>
  <c r="P58" i="93" s="1"/>
  <c r="D108" i="65"/>
  <c r="D108" i="93" s="1"/>
  <c r="N44" i="65"/>
  <c r="N44" i="93" s="1"/>
  <c r="M9" i="65"/>
  <c r="M9" i="93" s="1"/>
  <c r="K116" i="65"/>
  <c r="K116" i="93" s="1"/>
  <c r="I118" i="65"/>
  <c r="I118" i="93" s="1"/>
  <c r="H111" i="65"/>
  <c r="H111" i="93" s="1"/>
  <c r="F77" i="65"/>
  <c r="F77" i="93" s="1"/>
  <c r="H121" i="65"/>
  <c r="H121" i="93" s="1"/>
  <c r="G19" i="65"/>
  <c r="G19" i="93" s="1"/>
  <c r="G95" i="65"/>
  <c r="G95" i="93" s="1"/>
  <c r="K97" i="65"/>
  <c r="K97" i="93" s="1"/>
  <c r="H55" i="65"/>
  <c r="H55" i="93" s="1"/>
  <c r="O47" i="65"/>
  <c r="O47" i="93" s="1"/>
  <c r="M67" i="65"/>
  <c r="M67" i="93" s="1"/>
  <c r="C107" i="65"/>
  <c r="C107" i="93" s="1"/>
  <c r="H118" i="65"/>
  <c r="H118" i="93" s="1"/>
  <c r="J59" i="65"/>
  <c r="J59" i="93" s="1"/>
  <c r="L84" i="65"/>
  <c r="L84" i="93" s="1"/>
  <c r="O128" i="65"/>
  <c r="O128" i="93" s="1"/>
  <c r="D50" i="65"/>
  <c r="D50" i="93" s="1"/>
  <c r="P117" i="65"/>
  <c r="P117" i="93" s="1"/>
  <c r="C34" i="65"/>
  <c r="C34" i="93" s="1"/>
  <c r="K124" i="65"/>
  <c r="K124" i="93" s="1"/>
  <c r="L33" i="65"/>
  <c r="L33" i="93" s="1"/>
  <c r="C120" i="65"/>
  <c r="C120" i="93" s="1"/>
  <c r="K49" i="65"/>
  <c r="K49" i="93" s="1"/>
  <c r="L36" i="65"/>
  <c r="L36" i="93" s="1"/>
  <c r="N14" i="65"/>
  <c r="N14" i="93" s="1"/>
  <c r="H17" i="65"/>
  <c r="H17" i="93" s="1"/>
  <c r="O48" i="65"/>
  <c r="O48" i="93" s="1"/>
  <c r="O30" i="65"/>
  <c r="O30" i="93" s="1"/>
  <c r="P123" i="65"/>
  <c r="P123" i="93" s="1"/>
  <c r="C61" i="65"/>
  <c r="C61" i="93" s="1"/>
  <c r="I60" i="65"/>
  <c r="I60" i="93" s="1"/>
  <c r="K18" i="65"/>
  <c r="K18" i="93" s="1"/>
  <c r="P115" i="65"/>
  <c r="P115" i="93" s="1"/>
  <c r="K129" i="65"/>
  <c r="K129" i="93" s="1"/>
  <c r="J72" i="65"/>
  <c r="J72" i="93" s="1"/>
  <c r="M89" i="65"/>
  <c r="M89" i="93" s="1"/>
  <c r="J28" i="65"/>
  <c r="J28" i="93" s="1"/>
  <c r="E94" i="65"/>
  <c r="E94" i="93" s="1"/>
  <c r="J77" i="65"/>
  <c r="J77" i="93" s="1"/>
  <c r="E22" i="65"/>
  <c r="E22" i="93" s="1"/>
  <c r="O66" i="65"/>
  <c r="O66" i="93" s="1"/>
  <c r="N32" i="65"/>
  <c r="N32" i="93" s="1"/>
  <c r="N28" i="65"/>
  <c r="N28" i="93" s="1"/>
  <c r="H83" i="65"/>
  <c r="H83" i="93" s="1"/>
  <c r="L54" i="65"/>
  <c r="L54" i="93" s="1"/>
  <c r="C81" i="65"/>
  <c r="C81" i="93" s="1"/>
  <c r="G34" i="65"/>
  <c r="G34" i="93" s="1"/>
  <c r="D33" i="65"/>
  <c r="D33" i="93" s="1"/>
  <c r="I121" i="65"/>
  <c r="I121" i="93" s="1"/>
  <c r="N50" i="65"/>
  <c r="N50" i="93" s="1"/>
  <c r="H98" i="65"/>
  <c r="H98" i="93" s="1"/>
  <c r="O60" i="65"/>
  <c r="O60" i="93" s="1"/>
  <c r="C67" i="65"/>
  <c r="C67" i="93" s="1"/>
  <c r="C80" i="65"/>
  <c r="C80" i="93" s="1"/>
  <c r="K57" i="65"/>
  <c r="K57" i="93" s="1"/>
  <c r="O93" i="65"/>
  <c r="O93" i="93" s="1"/>
  <c r="K86" i="65"/>
  <c r="K86" i="93" s="1"/>
  <c r="N26" i="65"/>
  <c r="N26" i="93" s="1"/>
  <c r="M92" i="65"/>
  <c r="M92" i="93" s="1"/>
  <c r="F96" i="65"/>
  <c r="F96" i="93" s="1"/>
  <c r="G25" i="65"/>
  <c r="G25" i="93" s="1"/>
  <c r="O65" i="65"/>
  <c r="O65" i="93" s="1"/>
  <c r="O57" i="65"/>
  <c r="O57" i="93" s="1"/>
  <c r="L62" i="65"/>
  <c r="L62" i="93" s="1"/>
  <c r="I47" i="65"/>
  <c r="I47" i="93" s="1"/>
  <c r="C54" i="65"/>
  <c r="C54" i="93" s="1"/>
  <c r="G96" i="65"/>
  <c r="G96" i="93" s="1"/>
  <c r="M40" i="65"/>
  <c r="M40" i="93" s="1"/>
  <c r="L114" i="65"/>
  <c r="L114" i="93" s="1"/>
  <c r="O27" i="65"/>
  <c r="O27" i="93" s="1"/>
  <c r="L78" i="65"/>
  <c r="L78" i="93" s="1"/>
  <c r="H30" i="65"/>
  <c r="H30" i="93" s="1"/>
  <c r="G65" i="65"/>
  <c r="G65" i="93" s="1"/>
  <c r="G56" i="65"/>
  <c r="G56" i="93" s="1"/>
  <c r="L108" i="65"/>
  <c r="L108" i="93" s="1"/>
  <c r="H107" i="65"/>
  <c r="H107" i="93" s="1"/>
  <c r="J106" i="65"/>
  <c r="J106" i="93" s="1"/>
  <c r="N116" i="65"/>
  <c r="N116" i="93" s="1"/>
  <c r="L105" i="65"/>
  <c r="L105" i="93" s="1"/>
  <c r="I23" i="65"/>
  <c r="I23" i="93" s="1"/>
  <c r="F27" i="65"/>
  <c r="F27" i="93" s="1"/>
  <c r="P10" i="65"/>
  <c r="P10" i="93" s="1"/>
  <c r="N83" i="65"/>
  <c r="N83" i="93" s="1"/>
  <c r="N19" i="65"/>
  <c r="N19" i="93" s="1"/>
  <c r="L13" i="65"/>
  <c r="L13" i="93" s="1"/>
  <c r="J90" i="65"/>
  <c r="J90" i="93" s="1"/>
  <c r="M28" i="65"/>
  <c r="M28" i="93" s="1"/>
  <c r="D21" i="65"/>
  <c r="D21" i="93" s="1"/>
  <c r="N80" i="65"/>
  <c r="N80" i="93" s="1"/>
  <c r="L19" i="65"/>
  <c r="L19" i="93" s="1"/>
  <c r="K59" i="65"/>
  <c r="K59" i="93" s="1"/>
  <c r="O126" i="65"/>
  <c r="O126" i="93" s="1"/>
  <c r="J112" i="65"/>
  <c r="J112" i="93" s="1"/>
  <c r="L59" i="65"/>
  <c r="L59" i="93" s="1"/>
  <c r="I125" i="65"/>
  <c r="I125" i="93" s="1"/>
  <c r="M63" i="65"/>
  <c r="M63" i="93" s="1"/>
  <c r="C128" i="65"/>
  <c r="C128" i="93" s="1"/>
  <c r="P87" i="65"/>
  <c r="P87" i="93" s="1"/>
  <c r="D32" i="65"/>
  <c r="D32" i="93" s="1"/>
  <c r="K110" i="65"/>
  <c r="K110" i="93" s="1"/>
  <c r="C86" i="65"/>
  <c r="C86" i="93" s="1"/>
  <c r="H20" i="65"/>
  <c r="H20" i="93" s="1"/>
  <c r="H10" i="65"/>
  <c r="H10" i="93" s="1"/>
  <c r="P43" i="65"/>
  <c r="P43" i="93" s="1"/>
  <c r="N58" i="65"/>
  <c r="N58" i="93" s="1"/>
  <c r="P72" i="65"/>
  <c r="P72" i="93" s="1"/>
  <c r="L64" i="65"/>
  <c r="L64" i="93" s="1"/>
  <c r="C36" i="65"/>
  <c r="C36" i="93" s="1"/>
  <c r="J79" i="65"/>
  <c r="J79" i="93" s="1"/>
  <c r="J49" i="65"/>
  <c r="J49" i="93" s="1"/>
  <c r="H50" i="65"/>
  <c r="H50" i="93" s="1"/>
  <c r="J57" i="65"/>
  <c r="J57" i="93" s="1"/>
  <c r="D118" i="65"/>
  <c r="D118" i="93" s="1"/>
  <c r="I29" i="65"/>
  <c r="I29" i="93" s="1"/>
  <c r="G91" i="65"/>
  <c r="G91" i="93" s="1"/>
  <c r="N33" i="65"/>
  <c r="N33" i="93" s="1"/>
  <c r="M96" i="65"/>
  <c r="M96" i="93" s="1"/>
  <c r="G88" i="65"/>
  <c r="G88" i="93" s="1"/>
  <c r="I67" i="65"/>
  <c r="I67" i="93" s="1"/>
  <c r="I104" i="65"/>
  <c r="I104" i="93" s="1"/>
  <c r="H113" i="65"/>
  <c r="H113" i="93" s="1"/>
  <c r="F67" i="65"/>
  <c r="F67" i="93" s="1"/>
  <c r="D114" i="65"/>
  <c r="D114" i="93" s="1"/>
  <c r="M20" i="65"/>
  <c r="M20" i="93" s="1"/>
  <c r="H13" i="65"/>
  <c r="H13" i="93" s="1"/>
  <c r="G29" i="65"/>
  <c r="G29" i="93" s="1"/>
  <c r="O58" i="65"/>
  <c r="O58" i="93" s="1"/>
  <c r="L72" i="65"/>
  <c r="L72" i="93" s="1"/>
  <c r="K120" i="65"/>
  <c r="K120" i="93" s="1"/>
  <c r="J73" i="65"/>
  <c r="J73" i="93" s="1"/>
  <c r="K63" i="65"/>
  <c r="K63" i="93" s="1"/>
  <c r="I79" i="65"/>
  <c r="I79" i="93" s="1"/>
  <c r="C40" i="65"/>
  <c r="C40" i="93" s="1"/>
  <c r="E35" i="65"/>
  <c r="E35" i="93" s="1"/>
  <c r="C49" i="65"/>
  <c r="C49" i="93" s="1"/>
  <c r="H84" i="65"/>
  <c r="H84" i="93" s="1"/>
  <c r="F85" i="65"/>
  <c r="F85" i="93" s="1"/>
  <c r="G60" i="65"/>
  <c r="G60" i="93" s="1"/>
  <c r="G44" i="65"/>
  <c r="G44" i="93" s="1"/>
  <c r="F14" i="65"/>
  <c r="F14" i="93" s="1"/>
  <c r="K16" i="65"/>
  <c r="K16" i="93" s="1"/>
  <c r="M42" i="65"/>
  <c r="M42" i="93" s="1"/>
  <c r="E49" i="65"/>
  <c r="E49" i="93" s="1"/>
  <c r="I96" i="65"/>
  <c r="I96" i="93" s="1"/>
  <c r="C32" i="65"/>
  <c r="C32" i="93" s="1"/>
  <c r="G47" i="65"/>
  <c r="G47" i="93" s="1"/>
  <c r="J11" i="65"/>
  <c r="J11" i="93" s="1"/>
  <c r="I43" i="65"/>
  <c r="I43" i="93" s="1"/>
  <c r="C72" i="65"/>
  <c r="C72" i="93" s="1"/>
  <c r="N59" i="65"/>
  <c r="N59" i="93" s="1"/>
  <c r="E29" i="65"/>
  <c r="E29" i="93" s="1"/>
  <c r="N21" i="65"/>
  <c r="N21" i="93" s="1"/>
  <c r="F115" i="65"/>
  <c r="F115" i="93" s="1"/>
  <c r="K48" i="65"/>
  <c r="K48" i="93" s="1"/>
  <c r="D107" i="65"/>
  <c r="D107" i="93" s="1"/>
  <c r="F31" i="65"/>
  <c r="F31" i="93" s="1"/>
  <c r="H33" i="65"/>
  <c r="H33" i="93" s="1"/>
  <c r="L95" i="65"/>
  <c r="L95" i="93" s="1"/>
  <c r="J74" i="65"/>
  <c r="J74" i="93" s="1"/>
  <c r="I102" i="65"/>
  <c r="I102" i="93" s="1"/>
  <c r="E87" i="65"/>
  <c r="E87" i="93" s="1"/>
  <c r="F25" i="65"/>
  <c r="F25" i="93" s="1"/>
  <c r="D90" i="65"/>
  <c r="D90" i="93" s="1"/>
  <c r="M64" i="65"/>
  <c r="M64" i="93" s="1"/>
  <c r="G15" i="65"/>
  <c r="G15" i="93" s="1"/>
  <c r="J104" i="65"/>
  <c r="J104" i="93" s="1"/>
  <c r="D83" i="65"/>
  <c r="D83" i="93" s="1"/>
  <c r="F124" i="65"/>
  <c r="F124" i="93" s="1"/>
  <c r="N103" i="65"/>
  <c r="N103" i="93" s="1"/>
  <c r="H14" i="65"/>
  <c r="H14" i="93" s="1"/>
  <c r="C10" i="65"/>
  <c r="C10" i="93" s="1"/>
  <c r="K90" i="65"/>
  <c r="K90" i="93" s="1"/>
  <c r="J82" i="65"/>
  <c r="J82" i="93" s="1"/>
  <c r="C23" i="65"/>
  <c r="C23" i="93" s="1"/>
  <c r="I50" i="65"/>
  <c r="I50" i="93" s="1"/>
  <c r="N98" i="65"/>
  <c r="N98" i="93" s="1"/>
  <c r="M16" i="65"/>
  <c r="M16" i="93" s="1"/>
  <c r="N9" i="65"/>
  <c r="N9" i="93" s="1"/>
  <c r="O105" i="65"/>
  <c r="O105" i="93" s="1"/>
  <c r="K61" i="65"/>
  <c r="K61" i="93" s="1"/>
  <c r="O55" i="65"/>
  <c r="O55" i="93" s="1"/>
  <c r="G67" i="65"/>
  <c r="G67" i="93" s="1"/>
  <c r="C88" i="65"/>
  <c r="C88" i="93" s="1"/>
  <c r="F126" i="65"/>
  <c r="F126" i="93" s="1"/>
  <c r="P12" i="65"/>
  <c r="P12" i="93" s="1"/>
  <c r="K36" i="65"/>
  <c r="K36" i="93" s="1"/>
  <c r="M61" i="65"/>
  <c r="M61" i="93" s="1"/>
  <c r="F108" i="65"/>
  <c r="F108" i="93" s="1"/>
  <c r="H46" i="65"/>
  <c r="H46" i="93" s="1"/>
  <c r="N17" i="65"/>
  <c r="N17" i="93" s="1"/>
  <c r="K122" i="65"/>
  <c r="K122" i="93" s="1"/>
  <c r="O61" i="65"/>
  <c r="O61" i="93" s="1"/>
  <c r="E105" i="65"/>
  <c r="E105" i="93" s="1"/>
  <c r="D81" i="65"/>
  <c r="D81" i="93" s="1"/>
  <c r="P121" i="65"/>
  <c r="P121" i="93" s="1"/>
  <c r="F107" i="65"/>
  <c r="F107" i="93" s="1"/>
  <c r="N88" i="65"/>
  <c r="N88" i="93" s="1"/>
  <c r="J22" i="65"/>
  <c r="J22" i="93" s="1"/>
  <c r="I108" i="65"/>
  <c r="I108" i="93" s="1"/>
  <c r="E83" i="65"/>
  <c r="E83" i="93" s="1"/>
  <c r="F63" i="65"/>
  <c r="F63" i="93" s="1"/>
  <c r="N86" i="65"/>
  <c r="N86" i="93" s="1"/>
  <c r="D16" i="65"/>
  <c r="D16" i="93" s="1"/>
  <c r="N23" i="65"/>
  <c r="N23" i="93" s="1"/>
  <c r="G114" i="65"/>
  <c r="G114" i="93" s="1"/>
  <c r="H71" i="65"/>
  <c r="H71" i="93" s="1"/>
  <c r="K88" i="65"/>
  <c r="K88" i="93" s="1"/>
  <c r="P95" i="65"/>
  <c r="P95" i="93" s="1"/>
  <c r="C14" i="65"/>
  <c r="C14" i="93" s="1"/>
  <c r="L124" i="65"/>
  <c r="L124" i="93" s="1"/>
  <c r="F29" i="65"/>
  <c r="F29" i="93" s="1"/>
  <c r="D22" i="65"/>
  <c r="D22" i="93" s="1"/>
  <c r="L111" i="65"/>
  <c r="L111" i="93" s="1"/>
  <c r="N129" i="65"/>
  <c r="N129" i="93" s="1"/>
  <c r="E26" i="65"/>
  <c r="E26" i="93" s="1"/>
  <c r="H115" i="65"/>
  <c r="H115" i="93" s="1"/>
  <c r="G18" i="65"/>
  <c r="G18" i="93" s="1"/>
  <c r="O17" i="65"/>
  <c r="O17" i="93" s="1"/>
  <c r="D60" i="65"/>
  <c r="D60" i="93" s="1"/>
  <c r="I113" i="65"/>
  <c r="I113" i="93" s="1"/>
  <c r="E85" i="65"/>
  <c r="E85" i="93" s="1"/>
  <c r="I85" i="65"/>
  <c r="I85" i="93" s="1"/>
  <c r="P60" i="65"/>
  <c r="P60" i="93" s="1"/>
  <c r="I51" i="65"/>
  <c r="I51" i="93" s="1"/>
  <c r="E10" i="65"/>
  <c r="E10" i="93" s="1"/>
  <c r="E17" i="65"/>
  <c r="E17" i="93" s="1"/>
  <c r="M107" i="65"/>
  <c r="M107" i="93" s="1"/>
  <c r="H9" i="65"/>
  <c r="H9" i="93" s="1"/>
  <c r="H29" i="65"/>
  <c r="H29" i="93" s="1"/>
  <c r="L96" i="65"/>
  <c r="L96" i="93" s="1"/>
  <c r="J47" i="65"/>
  <c r="J47" i="93" s="1"/>
  <c r="F83" i="65"/>
  <c r="F83" i="93" s="1"/>
  <c r="E88" i="65"/>
  <c r="E88" i="93" s="1"/>
  <c r="L27" i="65"/>
  <c r="L27" i="93" s="1"/>
  <c r="G76" i="65"/>
  <c r="G76" i="93" s="1"/>
  <c r="P126" i="65"/>
  <c r="P126" i="93" s="1"/>
  <c r="D86" i="65"/>
  <c r="D86" i="93" s="1"/>
  <c r="C123" i="65"/>
  <c r="C123" i="93" s="1"/>
  <c r="H94" i="65"/>
  <c r="H94" i="93" s="1"/>
  <c r="L109" i="65"/>
  <c r="L109" i="93" s="1"/>
  <c r="H21" i="65"/>
  <c r="H21" i="93" s="1"/>
  <c r="P24" i="65"/>
  <c r="P24" i="93" s="1"/>
  <c r="K81" i="65"/>
  <c r="K81" i="93" s="1"/>
  <c r="H23" i="65"/>
  <c r="H23" i="93" s="1"/>
  <c r="F80" i="65"/>
  <c r="F80" i="93" s="1"/>
  <c r="G28" i="65"/>
  <c r="G28" i="93" s="1"/>
  <c r="G119" i="65"/>
  <c r="G119" i="93" s="1"/>
  <c r="E47" i="65"/>
  <c r="E47" i="93" s="1"/>
  <c r="I81" i="65"/>
  <c r="I81" i="93" s="1"/>
  <c r="P47" i="65"/>
  <c r="P47" i="93" s="1"/>
  <c r="F84" i="65"/>
  <c r="F84" i="93" s="1"/>
  <c r="D94" i="65"/>
  <c r="D94" i="93" s="1"/>
  <c r="M46" i="65"/>
  <c r="M46" i="93" s="1"/>
  <c r="P59" i="65"/>
  <c r="P59" i="93" s="1"/>
  <c r="M51" i="65"/>
  <c r="M51" i="93" s="1"/>
  <c r="O124" i="65"/>
  <c r="O124" i="93" s="1"/>
  <c r="O84" i="65"/>
  <c r="O84" i="93" s="1"/>
  <c r="M86" i="65"/>
  <c r="M86" i="93" s="1"/>
  <c r="P97" i="65"/>
  <c r="P97" i="93" s="1"/>
  <c r="I107" i="65"/>
  <c r="I107" i="93" s="1"/>
  <c r="D24" i="65"/>
  <c r="D24" i="93" s="1"/>
  <c r="K35" i="65"/>
  <c r="K35" i="93" s="1"/>
  <c r="I78" i="65"/>
  <c r="I78" i="93" s="1"/>
  <c r="I56" i="65"/>
  <c r="I56" i="93" s="1"/>
  <c r="N108" i="65"/>
  <c r="N108" i="93" s="1"/>
  <c r="D106" i="65"/>
  <c r="D106" i="93" s="1"/>
  <c r="I20" i="65"/>
  <c r="I20" i="93" s="1"/>
  <c r="O23" i="65"/>
  <c r="O23" i="93" s="1"/>
  <c r="O10" i="65"/>
  <c r="O10" i="93" s="1"/>
  <c r="P108" i="65"/>
  <c r="P108" i="93" s="1"/>
  <c r="O19" i="65"/>
  <c r="O19" i="93" s="1"/>
  <c r="E78" i="65"/>
  <c r="E78" i="93" s="1"/>
  <c r="E123" i="65"/>
  <c r="E123" i="93" s="1"/>
  <c r="I89" i="65"/>
  <c r="I89" i="93" s="1"/>
  <c r="L123" i="65"/>
  <c r="L123" i="93" s="1"/>
  <c r="K71" i="65"/>
  <c r="K71" i="93" s="1"/>
  <c r="E90" i="65"/>
  <c r="E90" i="93" s="1"/>
  <c r="I33" i="65"/>
  <c r="I33" i="93" s="1"/>
  <c r="F75" i="65"/>
  <c r="F75" i="93" s="1"/>
  <c r="C82" i="65"/>
  <c r="C82" i="93" s="1"/>
  <c r="C95" i="65"/>
  <c r="C95" i="93" s="1"/>
  <c r="D103" i="65"/>
  <c r="D103" i="93" s="1"/>
  <c r="C66" i="65"/>
  <c r="C66" i="93" s="1"/>
  <c r="K89" i="65"/>
  <c r="K89" i="93" s="1"/>
  <c r="C29" i="65"/>
  <c r="C29" i="93" s="1"/>
  <c r="E11" i="65"/>
  <c r="E11" i="93" s="1"/>
  <c r="C53" i="65"/>
  <c r="C53" i="93" s="1"/>
  <c r="K29" i="65"/>
  <c r="K29" i="93" s="1"/>
  <c r="K23" i="65"/>
  <c r="K23" i="93" s="1"/>
  <c r="P31" i="65"/>
  <c r="P31" i="93" s="1"/>
  <c r="N75" i="65"/>
  <c r="N75" i="93" s="1"/>
  <c r="J44" i="65"/>
  <c r="J44" i="93" s="1"/>
  <c r="L128" i="65"/>
  <c r="L128" i="93" s="1"/>
  <c r="E60" i="65"/>
  <c r="E60" i="93" s="1"/>
  <c r="E104" i="65"/>
  <c r="E104" i="93" s="1"/>
  <c r="E96" i="65"/>
  <c r="E96" i="93" s="1"/>
  <c r="J24" i="65"/>
  <c r="J24" i="93" s="1"/>
  <c r="L104" i="65"/>
  <c r="L104" i="93" s="1"/>
  <c r="C20" i="65"/>
  <c r="C20" i="93" s="1"/>
  <c r="I128" i="65"/>
  <c r="I128" i="93" s="1"/>
  <c r="N53" i="65"/>
  <c r="N53" i="93" s="1"/>
  <c r="N84" i="65"/>
  <c r="N84" i="93" s="1"/>
  <c r="C126" i="65"/>
  <c r="C126" i="93" s="1"/>
  <c r="H81" i="65"/>
  <c r="H81" i="93" s="1"/>
  <c r="G48" i="65"/>
  <c r="G48" i="93" s="1"/>
  <c r="M66" i="65"/>
  <c r="M66" i="93" s="1"/>
  <c r="I91" i="65"/>
  <c r="I91" i="93" s="1"/>
  <c r="H27" i="65"/>
  <c r="H27" i="93" s="1"/>
  <c r="K112" i="65"/>
  <c r="K112" i="93" s="1"/>
  <c r="E103" i="65"/>
  <c r="E103" i="93" s="1"/>
  <c r="O109" i="65"/>
  <c r="O109" i="93" s="1"/>
  <c r="I18" i="65"/>
  <c r="I18" i="93" s="1"/>
  <c r="K121" i="65"/>
  <c r="K121" i="93" s="1"/>
  <c r="H117" i="65"/>
  <c r="H117" i="93" s="1"/>
  <c r="N124" i="65"/>
  <c r="N124" i="93" s="1"/>
  <c r="H79" i="65"/>
  <c r="H79" i="93" s="1"/>
  <c r="K108" i="65"/>
  <c r="K108" i="93" s="1"/>
  <c r="J52" i="65"/>
  <c r="J52" i="93" s="1"/>
  <c r="D110" i="65"/>
  <c r="D110" i="93" s="1"/>
  <c r="K113" i="65"/>
  <c r="K113" i="93" s="1"/>
  <c r="P20" i="65"/>
  <c r="P20" i="93" s="1"/>
  <c r="J58" i="65"/>
  <c r="J58" i="93" s="1"/>
  <c r="H52" i="65"/>
  <c r="H52" i="93" s="1"/>
  <c r="L63" i="65"/>
  <c r="L63" i="93" s="1"/>
  <c r="G40" i="65"/>
  <c r="G40" i="93" s="1"/>
  <c r="H54" i="65"/>
  <c r="H54" i="93" s="1"/>
  <c r="G81" i="65"/>
  <c r="G81" i="93" s="1"/>
  <c r="D44" i="65"/>
  <c r="D44" i="93" s="1"/>
  <c r="G82" i="65"/>
  <c r="G82" i="93" s="1"/>
  <c r="E65" i="65"/>
  <c r="E65" i="93" s="1"/>
  <c r="P62" i="65"/>
  <c r="P62" i="93" s="1"/>
  <c r="O9" i="65"/>
  <c r="O9" i="93" s="1"/>
  <c r="E119" i="65"/>
  <c r="E119" i="93" s="1"/>
  <c r="I65" i="65"/>
  <c r="I65" i="93" s="1"/>
  <c r="I21" i="65"/>
  <c r="I21" i="93" s="1"/>
  <c r="E13" i="65"/>
  <c r="E13" i="93" s="1"/>
  <c r="L82" i="65"/>
  <c r="L82" i="93" s="1"/>
  <c r="J126" i="65"/>
  <c r="J126" i="93" s="1"/>
  <c r="H57" i="65"/>
  <c r="H57" i="93" s="1"/>
  <c r="I15" i="65"/>
  <c r="I15" i="93" s="1"/>
  <c r="L91" i="65"/>
  <c r="L91" i="93" s="1"/>
  <c r="L86" i="65"/>
  <c r="L86" i="93" s="1"/>
  <c r="E56" i="65"/>
  <c r="E56" i="93" s="1"/>
  <c r="C118" i="65"/>
  <c r="C118" i="93" s="1"/>
  <c r="D30" i="65"/>
  <c r="D30" i="93" s="1"/>
  <c r="G122" i="65"/>
  <c r="G122" i="93" s="1"/>
  <c r="O122" i="65"/>
  <c r="O122" i="93" s="1"/>
  <c r="J63" i="65"/>
  <c r="J63" i="93" s="1"/>
  <c r="O28" i="65"/>
  <c r="O28" i="93" s="1"/>
  <c r="N77" i="65"/>
  <c r="N77" i="93" s="1"/>
  <c r="J96" i="65"/>
  <c r="J96" i="93" s="1"/>
  <c r="K123" i="65"/>
  <c r="K123" i="93" s="1"/>
  <c r="F44" i="65"/>
  <c r="F44" i="93" s="1"/>
  <c r="P105" i="65"/>
  <c r="P105" i="93" s="1"/>
  <c r="C11" i="65"/>
  <c r="C11" i="93" s="1"/>
  <c r="P41" i="65"/>
  <c r="P41" i="93" s="1"/>
  <c r="D78" i="65"/>
  <c r="D78" i="93" s="1"/>
  <c r="O83" i="65"/>
  <c r="O83" i="93" s="1"/>
  <c r="G78" i="65"/>
  <c r="G78" i="93" s="1"/>
  <c r="N24" i="65"/>
  <c r="N24" i="93" s="1"/>
  <c r="J111" i="65"/>
  <c r="J111" i="93" s="1"/>
  <c r="K13" i="65"/>
  <c r="K13" i="93" s="1"/>
  <c r="G45" i="65"/>
  <c r="G45" i="93" s="1"/>
  <c r="E30" i="65"/>
  <c r="E30" i="93" s="1"/>
  <c r="O13" i="65"/>
  <c r="O13" i="93" s="1"/>
  <c r="C109" i="65"/>
  <c r="C109" i="93" s="1"/>
  <c r="M24" i="65"/>
  <c r="M24" i="93" s="1"/>
  <c r="P128" i="65"/>
  <c r="P128" i="93" s="1"/>
  <c r="K51" i="65"/>
  <c r="K51" i="93" s="1"/>
  <c r="E73" i="65"/>
  <c r="E73" i="93" s="1"/>
  <c r="I41" i="65"/>
  <c r="I41" i="93" s="1"/>
  <c r="F90" i="65"/>
  <c r="F90" i="93" s="1"/>
  <c r="D62" i="65"/>
  <c r="D62" i="93" s="1"/>
  <c r="K75" i="65"/>
  <c r="K75" i="93" s="1"/>
  <c r="L10" i="65"/>
  <c r="L10" i="93" s="1"/>
  <c r="D102" i="65"/>
  <c r="D102" i="93" s="1"/>
  <c r="E36" i="65"/>
  <c r="E36" i="93" s="1"/>
  <c r="G71" i="65"/>
  <c r="G71" i="93" s="1"/>
  <c r="O82" i="65"/>
  <c r="O82" i="93" s="1"/>
  <c r="E14" i="65"/>
  <c r="E14" i="93" s="1"/>
  <c r="D75" i="65"/>
  <c r="D75" i="93" s="1"/>
  <c r="N35" i="65"/>
  <c r="N35" i="93" s="1"/>
  <c r="I84" i="65"/>
  <c r="I84" i="93" s="1"/>
  <c r="G108" i="65"/>
  <c r="G108" i="93" s="1"/>
  <c r="C64" i="65"/>
  <c r="C64" i="93" s="1"/>
  <c r="I25" i="65"/>
  <c r="I25" i="93" s="1"/>
  <c r="H56" i="65"/>
  <c r="H56" i="93" s="1"/>
  <c r="M115" i="65"/>
  <c r="M115" i="93" s="1"/>
  <c r="D58" i="65"/>
  <c r="D58" i="93" s="1"/>
  <c r="H77" i="65"/>
  <c r="H77" i="93" s="1"/>
  <c r="H125" i="65"/>
  <c r="H125" i="93" s="1"/>
  <c r="K103" i="65"/>
  <c r="K103" i="93" s="1"/>
  <c r="K22" i="65"/>
  <c r="K22" i="93" s="1"/>
  <c r="D84" i="65"/>
  <c r="D84" i="93" s="1"/>
  <c r="O44" i="65"/>
  <c r="O44" i="93" s="1"/>
  <c r="J54" i="65"/>
  <c r="J54" i="93" s="1"/>
  <c r="P84" i="65"/>
  <c r="P84" i="93" s="1"/>
  <c r="M90" i="65"/>
  <c r="M90" i="93" s="1"/>
  <c r="E28" i="65"/>
  <c r="E28" i="93" s="1"/>
  <c r="O31" i="65"/>
  <c r="O31" i="93" s="1"/>
  <c r="P118" i="65"/>
  <c r="P118" i="93" s="1"/>
  <c r="E128" i="65"/>
  <c r="E128" i="93" s="1"/>
  <c r="I88" i="65"/>
  <c r="I88" i="93" s="1"/>
  <c r="O24" i="65"/>
  <c r="O24" i="93" s="1"/>
  <c r="P104" i="65"/>
  <c r="P104" i="93" s="1"/>
  <c r="G62" i="65"/>
  <c r="G62" i="93" s="1"/>
  <c r="L25" i="65"/>
  <c r="L25" i="93" s="1"/>
  <c r="P50" i="65"/>
  <c r="P50" i="93" s="1"/>
  <c r="I111" i="65"/>
  <c r="I111" i="93" s="1"/>
  <c r="F21" i="65"/>
  <c r="F21" i="93" s="1"/>
  <c r="C55" i="65"/>
  <c r="C55" i="93" s="1"/>
  <c r="N95" i="65"/>
  <c r="N95" i="93" s="1"/>
  <c r="O118" i="65"/>
  <c r="O118" i="93" s="1"/>
  <c r="G85" i="65"/>
  <c r="G85" i="93" s="1"/>
  <c r="N78" i="65"/>
  <c r="N78" i="93" s="1"/>
  <c r="G97" i="65"/>
  <c r="G97" i="93" s="1"/>
  <c r="E84" i="65"/>
  <c r="E84" i="93" s="1"/>
  <c r="I53" i="65"/>
  <c r="I53" i="93" s="1"/>
  <c r="H44" i="65"/>
  <c r="H44" i="93" s="1"/>
  <c r="M122" i="65"/>
  <c r="M122" i="93" s="1"/>
  <c r="M116" i="65"/>
  <c r="M116" i="93" s="1"/>
  <c r="G61" i="65"/>
  <c r="G61" i="93" s="1"/>
  <c r="C91" i="65"/>
  <c r="C91" i="93" s="1"/>
  <c r="K76" i="65"/>
  <c r="K76" i="93" s="1"/>
  <c r="D98" i="65"/>
  <c r="D98" i="93" s="1"/>
  <c r="P61" i="65"/>
  <c r="P61" i="93" s="1"/>
  <c r="G111" i="65"/>
  <c r="G111" i="93" s="1"/>
  <c r="L51" i="65"/>
  <c r="L51" i="93" s="1"/>
  <c r="J109" i="65"/>
  <c r="J109" i="93" s="1"/>
  <c r="D28" i="65"/>
  <c r="D28" i="93" s="1"/>
  <c r="M113" i="65"/>
  <c r="M113" i="93" s="1"/>
  <c r="M18" i="65"/>
  <c r="M18" i="93" s="1"/>
  <c r="C45" i="65"/>
  <c r="C45" i="93" s="1"/>
  <c r="H114" i="65"/>
  <c r="H114" i="93" s="1"/>
  <c r="P22" i="65"/>
  <c r="P22" i="93" s="1"/>
  <c r="J120" i="65"/>
  <c r="J120" i="93" s="1"/>
  <c r="J29" i="65"/>
  <c r="J29" i="93" s="1"/>
  <c r="J114" i="65"/>
  <c r="J114" i="93" s="1"/>
  <c r="N106" i="65"/>
  <c r="N106" i="93" s="1"/>
  <c r="P26" i="65"/>
  <c r="P26" i="93" s="1"/>
  <c r="L23" i="65"/>
  <c r="L23" i="93" s="1"/>
  <c r="G106" i="65"/>
  <c r="G106" i="93" s="1"/>
  <c r="P64" i="65"/>
  <c r="P64" i="93" s="1"/>
  <c r="H73" i="65"/>
  <c r="H73" i="93" s="1"/>
  <c r="M82" i="65"/>
  <c r="M82" i="93" s="1"/>
  <c r="H28" i="65"/>
  <c r="H28" i="93" s="1"/>
  <c r="L83" i="65"/>
  <c r="L83" i="93" s="1"/>
  <c r="G35" i="65"/>
  <c r="G35" i="93" s="1"/>
  <c r="J20" i="65"/>
  <c r="J20" i="93" s="1"/>
  <c r="N76" i="65"/>
  <c r="N76" i="93" s="1"/>
  <c r="O95" i="65"/>
  <c r="O95" i="93" s="1"/>
  <c r="P17" i="65"/>
  <c r="P17" i="93" s="1"/>
  <c r="O120" i="65"/>
  <c r="O120" i="93" s="1"/>
  <c r="P27" i="65"/>
  <c r="P27" i="93" s="1"/>
  <c r="D64" i="65"/>
  <c r="D64" i="93" s="1"/>
  <c r="N30" i="65"/>
  <c r="N30" i="93" s="1"/>
  <c r="N117" i="65"/>
  <c r="N117" i="93" s="1"/>
  <c r="F12" i="65"/>
  <c r="F12" i="93" s="1"/>
  <c r="J17" i="65"/>
  <c r="J17" i="93" s="1"/>
  <c r="P96" i="65"/>
  <c r="P96" i="93" s="1"/>
  <c r="I115" i="65"/>
  <c r="I115" i="93" s="1"/>
  <c r="P77" i="65"/>
  <c r="P77" i="93" s="1"/>
  <c r="J61" i="65"/>
  <c r="J61" i="93" s="1"/>
  <c r="G64" i="65"/>
  <c r="G64" i="93" s="1"/>
  <c r="N45" i="65"/>
  <c r="N45" i="93" s="1"/>
  <c r="N57" i="65"/>
  <c r="N57" i="93" s="1"/>
  <c r="M34" i="65"/>
  <c r="M34" i="93" s="1"/>
  <c r="K78" i="65"/>
  <c r="K78" i="93" s="1"/>
  <c r="P125" i="65"/>
  <c r="P125" i="93" s="1"/>
  <c r="I94" i="65"/>
  <c r="I94" i="93" s="1"/>
  <c r="G118" i="65"/>
  <c r="G118" i="93" s="1"/>
  <c r="D34" i="65"/>
  <c r="D34" i="93" s="1"/>
  <c r="I71" i="65"/>
  <c r="I71" i="93" s="1"/>
  <c r="H108" i="65"/>
  <c r="H108" i="93" s="1"/>
  <c r="C76" i="65"/>
  <c r="C76" i="93" s="1"/>
  <c r="P124" i="65"/>
  <c r="P124" i="93" s="1"/>
  <c r="J18" i="65"/>
  <c r="J18" i="93" s="1"/>
  <c r="E34" i="65"/>
  <c r="E34" i="93" s="1"/>
  <c r="H120" i="65"/>
  <c r="H120" i="93" s="1"/>
  <c r="H18" i="65"/>
  <c r="H18" i="93" s="1"/>
  <c r="L57" i="65"/>
  <c r="L57" i="93" s="1"/>
  <c r="O63" i="65"/>
  <c r="O63" i="93" s="1"/>
  <c r="D89" i="65"/>
  <c r="D89" i="93" s="1"/>
  <c r="F24" i="65"/>
  <c r="F24" i="93" s="1"/>
  <c r="K65" i="65"/>
  <c r="K65" i="93" s="1"/>
  <c r="P11" i="65"/>
  <c r="P11" i="93" s="1"/>
  <c r="L125" i="65"/>
  <c r="L125" i="93" s="1"/>
  <c r="D127" i="65"/>
  <c r="D127" i="93" s="1"/>
  <c r="P113" i="65"/>
  <c r="P113" i="93" s="1"/>
  <c r="N87" i="65"/>
  <c r="N87" i="93" s="1"/>
  <c r="P44" i="65"/>
  <c r="P44" i="93" s="1"/>
  <c r="C52" i="65"/>
  <c r="C52" i="93" s="1"/>
  <c r="L127" i="65"/>
  <c r="L127" i="93" s="1"/>
  <c r="H80" i="65"/>
  <c r="H80" i="93" s="1"/>
  <c r="I117" i="65"/>
  <c r="I117" i="93" s="1"/>
  <c r="I74" i="65"/>
  <c r="I74" i="93" s="1"/>
  <c r="L14" i="65"/>
  <c r="L14" i="93" s="1"/>
  <c r="P40" i="65"/>
  <c r="P40" i="93" s="1"/>
  <c r="I63" i="65"/>
  <c r="I63" i="93" s="1"/>
  <c r="J94" i="65"/>
  <c r="J94" i="93" s="1"/>
  <c r="K62" i="65"/>
  <c r="K62" i="93" s="1"/>
  <c r="F72" i="65"/>
  <c r="F72" i="93" s="1"/>
  <c r="E20" i="65"/>
  <c r="E20" i="93" s="1"/>
  <c r="M121" i="65"/>
  <c r="M121" i="93" s="1"/>
  <c r="O43" i="65"/>
  <c r="O43" i="93" s="1"/>
  <c r="P82" i="65"/>
  <c r="P82" i="93" s="1"/>
  <c r="C71" i="65"/>
  <c r="C71" i="93" s="1"/>
  <c r="J26" i="65"/>
  <c r="J26" i="93" s="1"/>
  <c r="L58" i="65"/>
  <c r="L58" i="93" s="1"/>
  <c r="G51" i="65"/>
  <c r="G51" i="93" s="1"/>
  <c r="D55" i="65"/>
  <c r="D55" i="93" s="1"/>
  <c r="L12" i="65"/>
  <c r="L12" i="93" s="1"/>
  <c r="F47" i="65"/>
  <c r="F47" i="93" s="1"/>
  <c r="O85" i="65"/>
  <c r="O85" i="93" s="1"/>
  <c r="K47" i="65"/>
  <c r="K47" i="93" s="1"/>
  <c r="C125" i="65"/>
  <c r="C125" i="93" s="1"/>
  <c r="C63" i="65"/>
  <c r="C63" i="93" s="1"/>
  <c r="J21" i="65"/>
  <c r="J21" i="93" s="1"/>
  <c r="G75" i="65"/>
  <c r="G75" i="93" s="1"/>
  <c r="M45" i="65"/>
  <c r="M45" i="93" s="1"/>
  <c r="J121" i="65"/>
  <c r="J121" i="93" s="1"/>
  <c r="K56" i="65"/>
  <c r="K56" i="93" s="1"/>
  <c r="K19" i="65"/>
  <c r="K19" i="93" s="1"/>
  <c r="J31" i="65"/>
  <c r="J31" i="93" s="1"/>
  <c r="I95" i="65"/>
  <c r="I95" i="93" s="1"/>
  <c r="F128" i="65"/>
  <c r="F128" i="93" s="1"/>
  <c r="J92" i="65"/>
  <c r="J92" i="93" s="1"/>
  <c r="O34" i="65"/>
  <c r="O34" i="93" s="1"/>
  <c r="O80" i="65"/>
  <c r="O80" i="93" s="1"/>
  <c r="K96" i="65"/>
  <c r="K96" i="93" s="1"/>
  <c r="P33" i="65"/>
  <c r="P33" i="93" s="1"/>
  <c r="L52" i="65"/>
  <c r="L52" i="93" s="1"/>
  <c r="G112" i="65"/>
  <c r="G112" i="93" s="1"/>
  <c r="D122" i="65"/>
  <c r="D122" i="93" s="1"/>
  <c r="E122" i="65"/>
  <c r="E122" i="93" s="1"/>
  <c r="C104" i="65"/>
  <c r="C104" i="93" s="1"/>
  <c r="P122" i="65"/>
  <c r="P122" i="93" s="1"/>
  <c r="J128" i="65"/>
  <c r="J128" i="93" s="1"/>
  <c r="E40" i="65"/>
  <c r="E40" i="93" s="1"/>
  <c r="F121" i="65"/>
  <c r="F121" i="93" s="1"/>
  <c r="E92" i="65"/>
  <c r="E92" i="93" s="1"/>
  <c r="I109" i="65"/>
  <c r="I109" i="93" s="1"/>
  <c r="I90" i="65"/>
  <c r="I90" i="93" s="1"/>
  <c r="P107" i="65"/>
  <c r="P107" i="93" s="1"/>
  <c r="E31" i="65"/>
  <c r="E31" i="93" s="1"/>
  <c r="D65" i="65"/>
  <c r="D65" i="93" s="1"/>
  <c r="N93" i="65"/>
  <c r="N93" i="93" s="1"/>
  <c r="F18" i="65"/>
  <c r="F18" i="93" s="1"/>
  <c r="O89" i="65"/>
  <c r="O89" i="93" s="1"/>
  <c r="M104" i="65"/>
  <c r="M104" i="93" s="1"/>
  <c r="F13" i="65"/>
  <c r="F13" i="93" s="1"/>
  <c r="G103" i="65"/>
  <c r="G103" i="93" s="1"/>
  <c r="H82" i="65"/>
  <c r="H82" i="93" s="1"/>
  <c r="H63" i="65"/>
  <c r="H63" i="93" s="1"/>
  <c r="N79" i="65"/>
  <c r="N79" i="93" s="1"/>
  <c r="K25" i="65"/>
  <c r="K25" i="93" s="1"/>
  <c r="J129" i="65"/>
  <c r="J129" i="93" s="1"/>
  <c r="K72" i="65"/>
  <c r="K72" i="93" s="1"/>
  <c r="M59" i="65"/>
  <c r="M59" i="93" s="1"/>
  <c r="E126" i="65"/>
  <c r="E126" i="93" s="1"/>
  <c r="K128" i="65"/>
  <c r="K128" i="93" s="1"/>
  <c r="O74" i="65"/>
  <c r="O74" i="93" s="1"/>
  <c r="L31" i="65"/>
  <c r="L31" i="93" s="1"/>
  <c r="D120" i="65"/>
  <c r="D120" i="93" s="1"/>
  <c r="N111" i="65"/>
  <c r="N111" i="93" s="1"/>
  <c r="H59" i="65"/>
  <c r="H59" i="93" s="1"/>
  <c r="E120" i="65"/>
  <c r="E120" i="93" s="1"/>
  <c r="E27" i="65"/>
  <c r="E27" i="93" s="1"/>
  <c r="P88" i="65"/>
  <c r="P88" i="93" s="1"/>
  <c r="F91" i="65"/>
  <c r="F91" i="93" s="1"/>
  <c r="L75" i="65"/>
  <c r="L75" i="93" s="1"/>
  <c r="J115" i="65"/>
  <c r="J115" i="93" s="1"/>
  <c r="D11" i="65"/>
  <c r="D11" i="93" s="1"/>
  <c r="F74" i="65"/>
  <c r="F74" i="93" s="1"/>
  <c r="M83" i="65"/>
  <c r="M83" i="93" s="1"/>
  <c r="K66" i="65"/>
  <c r="K66" i="93" s="1"/>
  <c r="M72" i="65"/>
  <c r="M72" i="93" s="1"/>
  <c r="N25" i="65"/>
  <c r="N25" i="93" s="1"/>
  <c r="M77" i="65"/>
  <c r="M77" i="93" s="1"/>
  <c r="H24" i="65"/>
  <c r="H24" i="93" s="1"/>
  <c r="P114" i="65"/>
  <c r="P114" i="93" s="1"/>
  <c r="C124" i="65"/>
  <c r="C124" i="93" s="1"/>
  <c r="C33" i="65"/>
  <c r="C33" i="93" s="1"/>
  <c r="F95" i="65"/>
  <c r="F95" i="93" s="1"/>
  <c r="H123" i="65"/>
  <c r="H123" i="93" s="1"/>
  <c r="I80" i="65"/>
  <c r="I80" i="93" s="1"/>
  <c r="D49" i="65"/>
  <c r="D49" i="93" s="1"/>
  <c r="F112" i="65"/>
  <c r="F112" i="93" s="1"/>
  <c r="E43" i="65"/>
  <c r="E43" i="93" s="1"/>
  <c r="G30" i="65"/>
  <c r="G30" i="93" s="1"/>
  <c r="G94" i="65"/>
  <c r="G94" i="93" s="1"/>
  <c r="E97" i="65"/>
  <c r="E97" i="93" s="1"/>
  <c r="H53" i="65"/>
  <c r="H53" i="93" s="1"/>
  <c r="C35" i="65"/>
  <c r="C35" i="93" s="1"/>
  <c r="N107" i="65"/>
  <c r="N107" i="93" s="1"/>
  <c r="H75" i="65"/>
  <c r="H75" i="93" s="1"/>
  <c r="J13" i="65"/>
  <c r="J13" i="93" s="1"/>
  <c r="D77" i="65"/>
  <c r="D77" i="93" s="1"/>
  <c r="O50" i="65"/>
  <c r="O50" i="93" s="1"/>
  <c r="H91" i="65"/>
  <c r="H91" i="93" s="1"/>
  <c r="E95" i="65"/>
  <c r="E95" i="93" s="1"/>
  <c r="L9" i="65"/>
  <c r="L9" i="93" s="1"/>
  <c r="L50" i="65"/>
  <c r="L50" i="93" s="1"/>
  <c r="L61" i="65"/>
  <c r="L61" i="93" s="1"/>
  <c r="C62" i="65"/>
  <c r="C62" i="93" s="1"/>
  <c r="G50" i="65"/>
  <c r="G50" i="93" s="1"/>
  <c r="D9" i="65"/>
  <c r="D9" i="93" s="1"/>
  <c r="G63" i="65"/>
  <c r="G63" i="93" s="1"/>
  <c r="H49" i="65"/>
  <c r="H49" i="93" s="1"/>
  <c r="J23" i="65"/>
  <c r="J23" i="93" s="1"/>
  <c r="G98" i="65"/>
  <c r="G98" i="93" s="1"/>
  <c r="G54" i="65"/>
  <c r="G54" i="93" s="1"/>
  <c r="P79" i="65"/>
  <c r="P79" i="93" s="1"/>
  <c r="P119" i="65"/>
  <c r="P119" i="93" s="1"/>
  <c r="K64" i="65"/>
  <c r="K64" i="93" s="1"/>
  <c r="E129" i="65"/>
  <c r="E129" i="93" s="1"/>
  <c r="K84" i="65"/>
  <c r="K84" i="93" s="1"/>
  <c r="I27" i="65"/>
  <c r="I27" i="93" s="1"/>
  <c r="H47" i="65"/>
  <c r="H47" i="93" s="1"/>
  <c r="M10" i="65"/>
  <c r="M10" i="93" s="1"/>
  <c r="E15" i="65"/>
  <c r="E15" i="93" s="1"/>
  <c r="I106" i="65"/>
  <c r="I106" i="93" s="1"/>
  <c r="L21" i="65"/>
  <c r="L21" i="93" s="1"/>
  <c r="N67" i="65"/>
  <c r="N67" i="93" s="1"/>
  <c r="G105" i="65"/>
  <c r="G105" i="93" s="1"/>
  <c r="O114" i="65"/>
  <c r="O114" i="93" s="1"/>
  <c r="O72" i="65"/>
  <c r="O72" i="93" s="1"/>
  <c r="N90" i="65"/>
  <c r="N90" i="93" s="1"/>
  <c r="H116" i="65"/>
  <c r="H116" i="93" s="1"/>
  <c r="C27" i="65"/>
  <c r="C27" i="93" s="1"/>
  <c r="O73" i="65"/>
  <c r="O73" i="93" s="1"/>
  <c r="N82" i="65"/>
  <c r="N82" i="93" s="1"/>
  <c r="I61" i="65"/>
  <c r="I61" i="93" s="1"/>
  <c r="L94" i="65"/>
  <c r="L94" i="93" s="1"/>
  <c r="N125" i="65"/>
  <c r="N125" i="93" s="1"/>
  <c r="N61" i="65"/>
  <c r="N61" i="93" s="1"/>
  <c r="J122" i="65"/>
  <c r="J122" i="93" s="1"/>
  <c r="I76" i="65"/>
  <c r="I76" i="93" s="1"/>
  <c r="I17" i="65"/>
  <c r="I17" i="93" s="1"/>
  <c r="N22" i="65"/>
  <c r="N22" i="93" s="1"/>
  <c r="J62" i="65"/>
  <c r="J62" i="93" s="1"/>
  <c r="L47" i="65"/>
  <c r="L47" i="93" s="1"/>
  <c r="J43" i="65"/>
  <c r="J43" i="93" s="1"/>
  <c r="F104" i="65"/>
  <c r="F104" i="93" s="1"/>
  <c r="P42" i="65"/>
  <c r="P42" i="93" s="1"/>
  <c r="M26" i="65"/>
  <c r="M26" i="93" s="1"/>
  <c r="P129" i="65"/>
  <c r="P129" i="93" s="1"/>
  <c r="D51" i="65"/>
  <c r="D51" i="93" s="1"/>
  <c r="K17" i="65"/>
  <c r="K17" i="93" s="1"/>
  <c r="J55" i="65"/>
  <c r="J55" i="93" s="1"/>
  <c r="F105" i="65"/>
  <c r="F105" i="93" s="1"/>
  <c r="E110" i="65"/>
  <c r="E110" i="93" s="1"/>
  <c r="N31" i="65"/>
  <c r="N31" i="93" s="1"/>
  <c r="C60" i="65"/>
  <c r="C60" i="93" s="1"/>
  <c r="F26" i="65"/>
  <c r="F26" i="93" s="1"/>
  <c r="L43" i="65"/>
  <c r="L43" i="93" s="1"/>
  <c r="M95" i="65"/>
  <c r="M95" i="93" s="1"/>
  <c r="J83" i="65"/>
  <c r="J83" i="93" s="1"/>
  <c r="E62" i="65"/>
  <c r="E62" i="93" s="1"/>
  <c r="F123" i="65"/>
  <c r="F123" i="93" s="1"/>
  <c r="M56" i="65"/>
  <c r="M56" i="93" s="1"/>
  <c r="M108" i="65"/>
  <c r="M108" i="93" s="1"/>
  <c r="H86" i="65"/>
  <c r="H86" i="93" s="1"/>
  <c r="E46" i="65"/>
  <c r="E46" i="93" s="1"/>
  <c r="N47" i="65"/>
  <c r="N47" i="93" s="1"/>
  <c r="H74" i="65"/>
  <c r="H74" i="93" s="1"/>
  <c r="F98" i="65"/>
  <c r="F98" i="93" s="1"/>
  <c r="O81" i="65"/>
  <c r="O81" i="93" s="1"/>
  <c r="G80" i="65"/>
  <c r="G80" i="93" s="1"/>
  <c r="G21" i="65"/>
  <c r="G21" i="93" s="1"/>
  <c r="J50" i="65"/>
  <c r="J50" i="93" s="1"/>
  <c r="P98" i="65"/>
  <c r="P98" i="93" s="1"/>
  <c r="L48" i="65"/>
  <c r="L48" i="93" s="1"/>
  <c r="L55" i="65"/>
  <c r="L55" i="93" s="1"/>
  <c r="O42" i="65"/>
  <c r="O42" i="93" s="1"/>
  <c r="H25" i="65"/>
  <c r="H25" i="93" s="1"/>
  <c r="D74" i="65"/>
  <c r="D74" i="93" s="1"/>
  <c r="F120" i="65"/>
  <c r="F120" i="93" s="1"/>
  <c r="K119" i="65"/>
  <c r="K119" i="93" s="1"/>
  <c r="J108" i="65"/>
  <c r="J108" i="93" s="1"/>
  <c r="E53" i="65"/>
  <c r="E53" i="93" s="1"/>
  <c r="M126" i="65"/>
  <c r="M126" i="93" s="1"/>
  <c r="C96" i="65"/>
  <c r="C96" i="93" s="1"/>
  <c r="L120" i="65"/>
  <c r="L120" i="93" s="1"/>
  <c r="D45" i="65"/>
  <c r="D45" i="93" s="1"/>
  <c r="G73" i="65"/>
  <c r="G73" i="93" s="1"/>
  <c r="D47" i="65"/>
  <c r="D47" i="93" s="1"/>
  <c r="C43" i="65"/>
  <c r="C43" i="93" s="1"/>
  <c r="K33" i="65"/>
  <c r="K33" i="93" s="1"/>
  <c r="F92" i="65"/>
  <c r="F92" i="93" s="1"/>
  <c r="C17" i="65"/>
  <c r="C17" i="93" s="1"/>
  <c r="F64" i="65"/>
  <c r="F64" i="93" s="1"/>
  <c r="N121" i="65"/>
  <c r="N121" i="93" s="1"/>
  <c r="K30" i="65"/>
  <c r="K30" i="93" s="1"/>
  <c r="L113" i="65"/>
  <c r="L113" i="93" s="1"/>
  <c r="M119" i="65"/>
  <c r="M119" i="93" s="1"/>
  <c r="G26" i="65"/>
  <c r="G26" i="93" s="1"/>
  <c r="E59" i="65"/>
  <c r="E59" i="93" s="1"/>
  <c r="O76" i="65"/>
  <c r="O76" i="93" s="1"/>
  <c r="L15" i="65"/>
  <c r="L15" i="93" s="1"/>
  <c r="D82" i="65"/>
  <c r="D82" i="93" s="1"/>
  <c r="J30" i="65"/>
  <c r="J30" i="93" s="1"/>
  <c r="I55" i="65"/>
  <c r="I55" i="93" s="1"/>
  <c r="M31" i="65"/>
  <c r="M31" i="93" s="1"/>
  <c r="O25" i="65"/>
  <c r="O25" i="93" s="1"/>
  <c r="F49" i="65"/>
  <c r="F49" i="93" s="1"/>
  <c r="M81" i="65"/>
  <c r="M81" i="93" s="1"/>
  <c r="O113" i="65"/>
  <c r="O113" i="93" s="1"/>
  <c r="C56" i="65"/>
  <c r="C56" i="93" s="1"/>
  <c r="E57" i="65"/>
  <c r="E57" i="93" s="1"/>
  <c r="F57" i="65"/>
  <c r="F57" i="93" s="1"/>
  <c r="C41" i="65"/>
  <c r="C41" i="93" s="1"/>
  <c r="I26" i="65"/>
  <c r="I26" i="93" s="1"/>
  <c r="M53" i="65"/>
  <c r="M53" i="93" s="1"/>
  <c r="M105" i="65"/>
  <c r="M105" i="93" s="1"/>
  <c r="M13" i="65"/>
  <c r="M13" i="93" s="1"/>
  <c r="C50" i="65"/>
  <c r="C50" i="93" s="1"/>
  <c r="I13" i="65"/>
  <c r="I13" i="93" s="1"/>
  <c r="D125" i="65"/>
  <c r="D125" i="93" s="1"/>
  <c r="I122" i="65"/>
  <c r="I122" i="93" s="1"/>
  <c r="D41" i="65"/>
  <c r="D41" i="93" s="1"/>
  <c r="O45" i="65"/>
  <c r="O45" i="93" s="1"/>
  <c r="L87" i="65"/>
  <c r="L87" i="93" s="1"/>
  <c r="D128" i="65"/>
  <c r="D128" i="93" s="1"/>
  <c r="M48" i="65"/>
  <c r="M48" i="93" s="1"/>
  <c r="J91" i="65"/>
  <c r="J91" i="93" s="1"/>
  <c r="I87" i="65"/>
  <c r="I87" i="93" s="1"/>
  <c r="M74" i="65"/>
  <c r="M74" i="93" s="1"/>
  <c r="D109" i="65"/>
  <c r="D109" i="93" s="1"/>
  <c r="E44" i="65"/>
  <c r="E44" i="93" s="1"/>
  <c r="L73" i="65"/>
  <c r="L73" i="93" s="1"/>
  <c r="I86" i="65"/>
  <c r="I86" i="93" s="1"/>
  <c r="P73" i="65"/>
  <c r="P73" i="93" s="1"/>
  <c r="N129" i="66"/>
  <c r="H129" i="66"/>
  <c r="J128" i="66"/>
  <c r="D128" i="66"/>
  <c r="L127" i="66"/>
  <c r="F127" i="66"/>
  <c r="N126" i="66"/>
  <c r="H126" i="66"/>
  <c r="J125" i="66"/>
  <c r="D125" i="66"/>
  <c r="L124" i="66"/>
  <c r="F124" i="66"/>
  <c r="N123" i="66"/>
  <c r="H123" i="66"/>
  <c r="J122" i="66"/>
  <c r="D122" i="66"/>
  <c r="L121" i="66"/>
  <c r="F121" i="66"/>
  <c r="N120" i="66"/>
  <c r="H120" i="66"/>
  <c r="J119" i="66"/>
  <c r="D119" i="66"/>
  <c r="L118" i="66"/>
  <c r="F118" i="66"/>
  <c r="N117" i="66"/>
  <c r="H117" i="66"/>
  <c r="J116" i="66"/>
  <c r="D116" i="66"/>
  <c r="L115" i="66"/>
  <c r="F115" i="66"/>
  <c r="N114" i="66"/>
  <c r="H114" i="66"/>
  <c r="J113" i="66"/>
  <c r="D113" i="66"/>
  <c r="L112" i="66"/>
  <c r="F112" i="66"/>
  <c r="N108" i="66"/>
  <c r="H108" i="66"/>
  <c r="J107" i="66"/>
  <c r="D107" i="66"/>
  <c r="L106" i="66"/>
  <c r="F106" i="66"/>
  <c r="N105" i="66"/>
  <c r="H105" i="66"/>
  <c r="J104" i="66"/>
  <c r="M129" i="66"/>
  <c r="G129" i="66"/>
  <c r="O128" i="66"/>
  <c r="I128" i="66"/>
  <c r="C128" i="66"/>
  <c r="K127" i="66"/>
  <c r="E127" i="66"/>
  <c r="M126" i="66"/>
  <c r="G126" i="66"/>
  <c r="O125" i="66"/>
  <c r="I125" i="66"/>
  <c r="C125" i="66"/>
  <c r="K124" i="66"/>
  <c r="E124" i="66"/>
  <c r="M123" i="66"/>
  <c r="G123" i="66"/>
  <c r="O122" i="66"/>
  <c r="I122" i="66"/>
  <c r="C122" i="66"/>
  <c r="K121" i="66"/>
  <c r="E121" i="66"/>
  <c r="M120" i="66"/>
  <c r="G120" i="66"/>
  <c r="O119" i="66"/>
  <c r="I119" i="66"/>
  <c r="C119" i="66"/>
  <c r="K118" i="66"/>
  <c r="E118" i="66"/>
  <c r="M117" i="66"/>
  <c r="G117" i="66"/>
  <c r="O116" i="66"/>
  <c r="I116" i="66"/>
  <c r="C116" i="66"/>
  <c r="K115" i="66"/>
  <c r="E115" i="66"/>
  <c r="M114" i="66"/>
  <c r="G114" i="66"/>
  <c r="O113" i="66"/>
  <c r="I113" i="66"/>
  <c r="C113" i="66"/>
  <c r="K112" i="66"/>
  <c r="E112" i="66"/>
  <c r="M108" i="66"/>
  <c r="G108" i="66"/>
  <c r="O107" i="66"/>
  <c r="I107" i="66"/>
  <c r="C107" i="66"/>
  <c r="K106" i="66"/>
  <c r="E106" i="66"/>
  <c r="M105" i="66"/>
  <c r="G105" i="66"/>
  <c r="O104" i="66"/>
  <c r="I104" i="66"/>
  <c r="C104" i="66"/>
  <c r="K103" i="66"/>
  <c r="E103" i="66"/>
  <c r="M102" i="66"/>
  <c r="G102" i="66"/>
  <c r="O101" i="66"/>
  <c r="I101" i="66"/>
  <c r="C101" i="66"/>
  <c r="K100" i="66"/>
  <c r="E100" i="66"/>
  <c r="M99" i="66"/>
  <c r="G99" i="66"/>
  <c r="O98" i="66"/>
  <c r="I98" i="66"/>
  <c r="C98" i="66"/>
  <c r="K97" i="66"/>
  <c r="E97" i="66"/>
  <c r="M96" i="66"/>
  <c r="G96" i="66"/>
  <c r="O95" i="66"/>
  <c r="I95" i="66"/>
  <c r="C95" i="66"/>
  <c r="K94" i="66"/>
  <c r="E94" i="66"/>
  <c r="M93" i="66"/>
  <c r="G93" i="66"/>
  <c r="O92" i="66"/>
  <c r="I92" i="66"/>
  <c r="C92" i="66"/>
  <c r="K91" i="66"/>
  <c r="E91" i="66"/>
  <c r="L129" i="66"/>
  <c r="F129" i="66"/>
  <c r="N128" i="66"/>
  <c r="H128" i="66"/>
  <c r="J127" i="66"/>
  <c r="D127" i="66"/>
  <c r="L126" i="66"/>
  <c r="F126" i="66"/>
  <c r="N125" i="66"/>
  <c r="H125" i="66"/>
  <c r="J124" i="66"/>
  <c r="D124" i="66"/>
  <c r="L123" i="66"/>
  <c r="F123" i="66"/>
  <c r="N122" i="66"/>
  <c r="H122" i="66"/>
  <c r="J121" i="66"/>
  <c r="D121" i="66"/>
  <c r="L120" i="66"/>
  <c r="F120" i="66"/>
  <c r="N119" i="66"/>
  <c r="H119" i="66"/>
  <c r="J118" i="66"/>
  <c r="D118" i="66"/>
  <c r="L117" i="66"/>
  <c r="F117" i="66"/>
  <c r="N116" i="66"/>
  <c r="H116" i="66"/>
  <c r="J115" i="66"/>
  <c r="D115" i="66"/>
  <c r="L114" i="66"/>
  <c r="F114" i="66"/>
  <c r="N113" i="66"/>
  <c r="H113" i="66"/>
  <c r="J112" i="66"/>
  <c r="D112" i="66"/>
  <c r="L108" i="66"/>
  <c r="F108" i="66"/>
  <c r="N107" i="66"/>
  <c r="H107" i="66"/>
  <c r="J106" i="66"/>
  <c r="D106" i="66"/>
  <c r="L105" i="66"/>
  <c r="F105" i="66"/>
  <c r="N104" i="66"/>
  <c r="H104" i="66"/>
  <c r="J103" i="66"/>
  <c r="D103" i="66"/>
  <c r="L102" i="66"/>
  <c r="F102" i="66"/>
  <c r="N101" i="66"/>
  <c r="H101" i="66"/>
  <c r="J100" i="66"/>
  <c r="D100" i="66"/>
  <c r="L99" i="66"/>
  <c r="F99" i="66"/>
  <c r="N98" i="66"/>
  <c r="H98" i="66"/>
  <c r="J97" i="66"/>
  <c r="D97" i="66"/>
  <c r="O129" i="66"/>
  <c r="C129" i="66"/>
  <c r="K128" i="66"/>
  <c r="G127" i="66"/>
  <c r="O126" i="66"/>
  <c r="C126" i="66"/>
  <c r="K125" i="66"/>
  <c r="G124" i="66"/>
  <c r="O123" i="66"/>
  <c r="C123" i="66"/>
  <c r="K122" i="66"/>
  <c r="G121" i="66"/>
  <c r="O120" i="66"/>
  <c r="C120" i="66"/>
  <c r="K119" i="66"/>
  <c r="G118" i="66"/>
  <c r="O117" i="66"/>
  <c r="C117" i="66"/>
  <c r="K116" i="66"/>
  <c r="G115" i="66"/>
  <c r="O114" i="66"/>
  <c r="C114" i="66"/>
  <c r="K113" i="66"/>
  <c r="G112" i="66"/>
  <c r="O108" i="66"/>
  <c r="C108" i="66"/>
  <c r="K107" i="66"/>
  <c r="G106" i="66"/>
  <c r="O105" i="66"/>
  <c r="C105" i="66"/>
  <c r="K104" i="66"/>
  <c r="L103" i="66"/>
  <c r="N102" i="66"/>
  <c r="D102" i="66"/>
  <c r="P101" i="66"/>
  <c r="F101" i="66"/>
  <c r="H100" i="66"/>
  <c r="J99" i="66"/>
  <c r="L98" i="66"/>
  <c r="D98" i="66"/>
  <c r="N97" i="66"/>
  <c r="F97" i="66"/>
  <c r="I96" i="66"/>
  <c r="N95" i="66"/>
  <c r="G95" i="66"/>
  <c r="M94" i="66"/>
  <c r="F94" i="66"/>
  <c r="K93" i="66"/>
  <c r="D93" i="66"/>
  <c r="J92" i="66"/>
  <c r="O91" i="66"/>
  <c r="H91" i="66"/>
  <c r="M87" i="66"/>
  <c r="G87" i="66"/>
  <c r="O86" i="66"/>
  <c r="I86" i="66"/>
  <c r="C86" i="66"/>
  <c r="K85" i="66"/>
  <c r="E85" i="66"/>
  <c r="M84" i="66"/>
  <c r="G84" i="66"/>
  <c r="O83" i="66"/>
  <c r="I83" i="66"/>
  <c r="C83" i="66"/>
  <c r="K82" i="66"/>
  <c r="E82" i="66"/>
  <c r="M81" i="66"/>
  <c r="G81" i="66"/>
  <c r="O80" i="66"/>
  <c r="I80" i="66"/>
  <c r="C80" i="66"/>
  <c r="K79" i="66"/>
  <c r="E79" i="66"/>
  <c r="M78" i="66"/>
  <c r="G78" i="66"/>
  <c r="O77" i="66"/>
  <c r="I77" i="66"/>
  <c r="C77" i="66"/>
  <c r="K76" i="66"/>
  <c r="E76" i="66"/>
  <c r="M75" i="66"/>
  <c r="G75" i="66"/>
  <c r="O74" i="66"/>
  <c r="I74" i="66"/>
  <c r="C74" i="66"/>
  <c r="K73" i="66"/>
  <c r="E73" i="66"/>
  <c r="M72" i="66"/>
  <c r="G72" i="66"/>
  <c r="O71" i="66"/>
  <c r="I71" i="66"/>
  <c r="C71" i="66"/>
  <c r="K70" i="66"/>
  <c r="E70" i="66"/>
  <c r="J66" i="66"/>
  <c r="D66" i="66"/>
  <c r="L65" i="66"/>
  <c r="F65" i="66"/>
  <c r="N64" i="66"/>
  <c r="H64" i="66"/>
  <c r="J63" i="66"/>
  <c r="D63" i="66"/>
  <c r="L62" i="66"/>
  <c r="F62" i="66"/>
  <c r="N61" i="66"/>
  <c r="H61" i="66"/>
  <c r="J60" i="66"/>
  <c r="D60" i="66"/>
  <c r="L59" i="66"/>
  <c r="F59" i="66"/>
  <c r="N58" i="66"/>
  <c r="H58" i="66"/>
  <c r="J57" i="66"/>
  <c r="D57" i="66"/>
  <c r="L56" i="66"/>
  <c r="F56" i="66"/>
  <c r="N55" i="66"/>
  <c r="H55" i="66"/>
  <c r="J54" i="66"/>
  <c r="D54" i="66"/>
  <c r="L53" i="66"/>
  <c r="F53" i="66"/>
  <c r="N52" i="66"/>
  <c r="H52" i="66"/>
  <c r="J51" i="66"/>
  <c r="D51" i="66"/>
  <c r="L50" i="66"/>
  <c r="F50" i="66"/>
  <c r="N49" i="66"/>
  <c r="H49" i="66"/>
  <c r="J45" i="66"/>
  <c r="D45" i="66"/>
  <c r="L44" i="66"/>
  <c r="F44" i="66"/>
  <c r="N43" i="66"/>
  <c r="H43" i="66"/>
  <c r="J42" i="66"/>
  <c r="D42" i="66"/>
  <c r="L41" i="66"/>
  <c r="F41" i="66"/>
  <c r="N40" i="66"/>
  <c r="H40" i="66"/>
  <c r="J39" i="66"/>
  <c r="D39" i="66"/>
  <c r="L38" i="66"/>
  <c r="F38" i="66"/>
  <c r="N37" i="66"/>
  <c r="H37" i="66"/>
  <c r="J36" i="66"/>
  <c r="D36" i="66"/>
  <c r="L35" i="66"/>
  <c r="F35" i="66"/>
  <c r="N34" i="66"/>
  <c r="H34" i="66"/>
  <c r="J33" i="66"/>
  <c r="D33" i="66"/>
  <c r="L32" i="66"/>
  <c r="F32" i="66"/>
  <c r="N31" i="66"/>
  <c r="H31" i="66"/>
  <c r="J30" i="66"/>
  <c r="D30" i="66"/>
  <c r="L29" i="66"/>
  <c r="F29" i="66"/>
  <c r="N28" i="66"/>
  <c r="H28" i="66"/>
  <c r="J24" i="66"/>
  <c r="D24" i="66"/>
  <c r="L23" i="66"/>
  <c r="F23" i="66"/>
  <c r="N22" i="66"/>
  <c r="H22" i="66"/>
  <c r="J21" i="66"/>
  <c r="D21" i="66"/>
  <c r="L20" i="66"/>
  <c r="F20" i="66"/>
  <c r="N19" i="66"/>
  <c r="H19" i="66"/>
  <c r="J18" i="66"/>
  <c r="D18" i="66"/>
  <c r="L17" i="66"/>
  <c r="F17" i="66"/>
  <c r="N16" i="66"/>
  <c r="H16" i="66"/>
  <c r="J15" i="66"/>
  <c r="D15" i="66"/>
  <c r="L14" i="66"/>
  <c r="F14" i="66"/>
  <c r="N13" i="66"/>
  <c r="H13" i="66"/>
  <c r="J12" i="66"/>
  <c r="D12" i="66"/>
  <c r="L11" i="66"/>
  <c r="F11" i="66"/>
  <c r="N10" i="66"/>
  <c r="H10" i="66"/>
  <c r="J9" i="66"/>
  <c r="D9" i="66"/>
  <c r="L8" i="66"/>
  <c r="F8" i="66"/>
  <c r="N7" i="66"/>
  <c r="H7" i="66"/>
  <c r="K129" i="66"/>
  <c r="G128" i="66"/>
  <c r="O127" i="66"/>
  <c r="C127" i="66"/>
  <c r="K126" i="66"/>
  <c r="G125" i="66"/>
  <c r="O124" i="66"/>
  <c r="C124" i="66"/>
  <c r="K123" i="66"/>
  <c r="G122" i="66"/>
  <c r="O121" i="66"/>
  <c r="C121" i="66"/>
  <c r="K120" i="66"/>
  <c r="G119" i="66"/>
  <c r="O118" i="66"/>
  <c r="C118" i="66"/>
  <c r="K117" i="66"/>
  <c r="G116" i="66"/>
  <c r="O115" i="66"/>
  <c r="C115" i="66"/>
  <c r="K114" i="66"/>
  <c r="G113" i="66"/>
  <c r="O112" i="66"/>
  <c r="C112" i="66"/>
  <c r="K108" i="66"/>
  <c r="G107" i="66"/>
  <c r="O106" i="66"/>
  <c r="C106" i="66"/>
  <c r="K105" i="66"/>
  <c r="G104" i="66"/>
  <c r="I103" i="66"/>
  <c r="K102" i="66"/>
  <c r="C102" i="66"/>
  <c r="M101" i="66"/>
  <c r="E101" i="66"/>
  <c r="O100" i="66"/>
  <c r="G100" i="66"/>
  <c r="I99" i="66"/>
  <c r="K98" i="66"/>
  <c r="M97" i="66"/>
  <c r="C97" i="66"/>
  <c r="O96" i="66"/>
  <c r="H96" i="66"/>
  <c r="M95" i="66"/>
  <c r="F95" i="66"/>
  <c r="L94" i="66"/>
  <c r="D94" i="66"/>
  <c r="J93" i="66"/>
  <c r="C93" i="66"/>
  <c r="P92" i="66"/>
  <c r="H92" i="66"/>
  <c r="N91" i="66"/>
  <c r="G91" i="66"/>
  <c r="L87" i="66"/>
  <c r="F87" i="66"/>
  <c r="N86" i="66"/>
  <c r="H86" i="66"/>
  <c r="J85" i="66"/>
  <c r="D85" i="66"/>
  <c r="L84" i="66"/>
  <c r="F84" i="66"/>
  <c r="N83" i="66"/>
  <c r="H83" i="66"/>
  <c r="J82" i="66"/>
  <c r="D82" i="66"/>
  <c r="L81" i="66"/>
  <c r="F81" i="66"/>
  <c r="N80" i="66"/>
  <c r="H80" i="66"/>
  <c r="J79" i="66"/>
  <c r="D79" i="66"/>
  <c r="L78" i="66"/>
  <c r="F78" i="66"/>
  <c r="N77" i="66"/>
  <c r="H77" i="66"/>
  <c r="J76" i="66"/>
  <c r="D76" i="66"/>
  <c r="L75" i="66"/>
  <c r="F75" i="66"/>
  <c r="N74" i="66"/>
  <c r="H74" i="66"/>
  <c r="J73" i="66"/>
  <c r="D73" i="66"/>
  <c r="L72" i="66"/>
  <c r="F72" i="66"/>
  <c r="N71" i="66"/>
  <c r="H71" i="66"/>
  <c r="J70" i="66"/>
  <c r="D70" i="66"/>
  <c r="O66" i="66"/>
  <c r="I66" i="66"/>
  <c r="C66" i="66"/>
  <c r="K65" i="66"/>
  <c r="E65" i="66"/>
  <c r="M64" i="66"/>
  <c r="G64" i="66"/>
  <c r="O63" i="66"/>
  <c r="I63" i="66"/>
  <c r="C63" i="66"/>
  <c r="K62" i="66"/>
  <c r="E62" i="66"/>
  <c r="M61" i="66"/>
  <c r="G61" i="66"/>
  <c r="O60" i="66"/>
  <c r="I60" i="66"/>
  <c r="C60" i="66"/>
  <c r="K59" i="66"/>
  <c r="E59" i="66"/>
  <c r="M58" i="66"/>
  <c r="G58" i="66"/>
  <c r="O57" i="66"/>
  <c r="I57" i="66"/>
  <c r="C57" i="66"/>
  <c r="K56" i="66"/>
  <c r="E56" i="66"/>
  <c r="M55" i="66"/>
  <c r="G55" i="66"/>
  <c r="O54" i="66"/>
  <c r="J129" i="66"/>
  <c r="F128" i="66"/>
  <c r="N127" i="66"/>
  <c r="J126" i="66"/>
  <c r="F125" i="66"/>
  <c r="N124" i="66"/>
  <c r="J123" i="66"/>
  <c r="F122" i="66"/>
  <c r="N121" i="66"/>
  <c r="J120" i="66"/>
  <c r="F119" i="66"/>
  <c r="N118" i="66"/>
  <c r="J117" i="66"/>
  <c r="F116" i="66"/>
  <c r="N115" i="66"/>
  <c r="J114" i="66"/>
  <c r="F113" i="66"/>
  <c r="N112" i="66"/>
  <c r="J108" i="66"/>
  <c r="F107" i="66"/>
  <c r="N106" i="66"/>
  <c r="J105" i="66"/>
  <c r="F104" i="66"/>
  <c r="H103" i="66"/>
  <c r="J102" i="66"/>
  <c r="L101" i="66"/>
  <c r="D101" i="66"/>
  <c r="N100" i="66"/>
  <c r="F100" i="66"/>
  <c r="H99" i="66"/>
  <c r="J98" i="66"/>
  <c r="L97" i="66"/>
  <c r="N96" i="66"/>
  <c r="F96" i="66"/>
  <c r="L95" i="66"/>
  <c r="E95" i="66"/>
  <c r="J94" i="66"/>
  <c r="C94" i="66"/>
  <c r="I93" i="66"/>
  <c r="N92" i="66"/>
  <c r="G92" i="66"/>
  <c r="M91" i="66"/>
  <c r="F91" i="66"/>
  <c r="K87" i="66"/>
  <c r="E87" i="66"/>
  <c r="M86" i="66"/>
  <c r="G86" i="66"/>
  <c r="O85" i="66"/>
  <c r="I85" i="66"/>
  <c r="C85" i="66"/>
  <c r="K84" i="66"/>
  <c r="E84" i="66"/>
  <c r="M83" i="66"/>
  <c r="G83" i="66"/>
  <c r="O82" i="66"/>
  <c r="I82" i="66"/>
  <c r="C82" i="66"/>
  <c r="K81" i="66"/>
  <c r="E81" i="66"/>
  <c r="M80" i="66"/>
  <c r="G80" i="66"/>
  <c r="O79" i="66"/>
  <c r="I79" i="66"/>
  <c r="C79" i="66"/>
  <c r="K78" i="66"/>
  <c r="E78" i="66"/>
  <c r="M77" i="66"/>
  <c r="G77" i="66"/>
  <c r="O76" i="66"/>
  <c r="I76" i="66"/>
  <c r="C76" i="66"/>
  <c r="K75" i="66"/>
  <c r="E75" i="66"/>
  <c r="M74" i="66"/>
  <c r="G74" i="66"/>
  <c r="O73" i="66"/>
  <c r="I73" i="66"/>
  <c r="C73" i="66"/>
  <c r="K72" i="66"/>
  <c r="E72" i="66"/>
  <c r="M71" i="66"/>
  <c r="G71" i="66"/>
  <c r="O70" i="66"/>
  <c r="I70" i="66"/>
  <c r="C70" i="66"/>
  <c r="N66" i="66"/>
  <c r="H66" i="66"/>
  <c r="J65" i="66"/>
  <c r="D65" i="66"/>
  <c r="L64" i="66"/>
  <c r="F64" i="66"/>
  <c r="N63" i="66"/>
  <c r="H63" i="66"/>
  <c r="J62" i="66"/>
  <c r="D62" i="66"/>
  <c r="L61" i="66"/>
  <c r="F61" i="66"/>
  <c r="N60" i="66"/>
  <c r="H60" i="66"/>
  <c r="J59" i="66"/>
  <c r="D59" i="66"/>
  <c r="L58" i="66"/>
  <c r="F58" i="66"/>
  <c r="N57" i="66"/>
  <c r="H57" i="66"/>
  <c r="J56" i="66"/>
  <c r="D56" i="66"/>
  <c r="L55" i="66"/>
  <c r="F55" i="66"/>
  <c r="N54" i="66"/>
  <c r="H54" i="66"/>
  <c r="J53" i="66"/>
  <c r="D53" i="66"/>
  <c r="L52" i="66"/>
  <c r="F52" i="66"/>
  <c r="N51" i="66"/>
  <c r="H51" i="66"/>
  <c r="J50" i="66"/>
  <c r="D50" i="66"/>
  <c r="L49" i="66"/>
  <c r="F49" i="66"/>
  <c r="N45" i="66"/>
  <c r="H45" i="66"/>
  <c r="J44" i="66"/>
  <c r="D44" i="66"/>
  <c r="L43" i="66"/>
  <c r="F43" i="66"/>
  <c r="N42" i="66"/>
  <c r="I129" i="66"/>
  <c r="E128" i="66"/>
  <c r="M127" i="66"/>
  <c r="I126" i="66"/>
  <c r="E125" i="66"/>
  <c r="M124" i="66"/>
  <c r="I123" i="66"/>
  <c r="E122" i="66"/>
  <c r="M121" i="66"/>
  <c r="I120" i="66"/>
  <c r="E119" i="66"/>
  <c r="M118" i="66"/>
  <c r="I117" i="66"/>
  <c r="E116" i="66"/>
  <c r="M115" i="66"/>
  <c r="I114" i="66"/>
  <c r="E113" i="66"/>
  <c r="M112" i="66"/>
  <c r="I108" i="66"/>
  <c r="Q107" i="66"/>
  <c r="E107" i="66"/>
  <c r="M106" i="66"/>
  <c r="I105" i="66"/>
  <c r="E104" i="66"/>
  <c r="O103" i="66"/>
  <c r="G103" i="66"/>
  <c r="I102" i="66"/>
  <c r="K101" i="66"/>
  <c r="M100" i="66"/>
  <c r="C100" i="66"/>
  <c r="O99" i="66"/>
  <c r="E99" i="66"/>
  <c r="G98" i="66"/>
  <c r="I97" i="66"/>
  <c r="L96" i="66"/>
  <c r="E96" i="66"/>
  <c r="K95" i="66"/>
  <c r="D95" i="66"/>
  <c r="I94" i="66"/>
  <c r="O93" i="66"/>
  <c r="H93" i="66"/>
  <c r="M92" i="66"/>
  <c r="F92" i="66"/>
  <c r="L91" i="66"/>
  <c r="D91" i="66"/>
  <c r="J87" i="66"/>
  <c r="D87" i="66"/>
  <c r="L86" i="66"/>
  <c r="F86" i="66"/>
  <c r="N85" i="66"/>
  <c r="H85" i="66"/>
  <c r="J84" i="66"/>
  <c r="D84" i="66"/>
  <c r="L83" i="66"/>
  <c r="F83" i="66"/>
  <c r="N82" i="66"/>
  <c r="H82" i="66"/>
  <c r="J81" i="66"/>
  <c r="D81" i="66"/>
  <c r="L80" i="66"/>
  <c r="F80" i="66"/>
  <c r="N79" i="66"/>
  <c r="H79" i="66"/>
  <c r="P78" i="66"/>
  <c r="J78" i="66"/>
  <c r="D78" i="66"/>
  <c r="L77" i="66"/>
  <c r="F77" i="66"/>
  <c r="N76" i="66"/>
  <c r="H76" i="66"/>
  <c r="J75" i="66"/>
  <c r="D75" i="66"/>
  <c r="L74" i="66"/>
  <c r="F74" i="66"/>
  <c r="N73" i="66"/>
  <c r="H73" i="66"/>
  <c r="P72" i="66"/>
  <c r="J72" i="66"/>
  <c r="D72" i="66"/>
  <c r="L71" i="66"/>
  <c r="F71" i="66"/>
  <c r="N70" i="66"/>
  <c r="H70" i="66"/>
  <c r="M66" i="66"/>
  <c r="G66" i="66"/>
  <c r="O65" i="66"/>
  <c r="I65" i="66"/>
  <c r="C65" i="66"/>
  <c r="K64" i="66"/>
  <c r="E64" i="66"/>
  <c r="M63" i="66"/>
  <c r="G63" i="66"/>
  <c r="O62" i="66"/>
  <c r="I62" i="66"/>
  <c r="C62" i="66"/>
  <c r="K61" i="66"/>
  <c r="E61" i="66"/>
  <c r="M60" i="66"/>
  <c r="G60" i="66"/>
  <c r="O59" i="66"/>
  <c r="I59" i="66"/>
  <c r="C59" i="66"/>
  <c r="K58" i="66"/>
  <c r="E58" i="66"/>
  <c r="M57" i="66"/>
  <c r="G57" i="66"/>
  <c r="O56" i="66"/>
  <c r="I56" i="66"/>
  <c r="C56" i="66"/>
  <c r="K55" i="66"/>
  <c r="E55" i="66"/>
  <c r="M54" i="66"/>
  <c r="G54" i="66"/>
  <c r="O53" i="66"/>
  <c r="I53" i="66"/>
  <c r="C53" i="66"/>
  <c r="K52" i="66"/>
  <c r="E52" i="66"/>
  <c r="M51" i="66"/>
  <c r="G51" i="66"/>
  <c r="O50" i="66"/>
  <c r="I50" i="66"/>
  <c r="C50" i="66"/>
  <c r="K49" i="66"/>
  <c r="E49" i="66"/>
  <c r="M45" i="66"/>
  <c r="G45" i="66"/>
  <c r="O44" i="66"/>
  <c r="I44" i="66"/>
  <c r="C44" i="66"/>
  <c r="K43" i="66"/>
  <c r="E43" i="66"/>
  <c r="M42" i="66"/>
  <c r="L128" i="66"/>
  <c r="D123" i="66"/>
  <c r="H121" i="66"/>
  <c r="L119" i="66"/>
  <c r="D114" i="66"/>
  <c r="H112" i="66"/>
  <c r="L107" i="66"/>
  <c r="O102" i="66"/>
  <c r="G101" i="66"/>
  <c r="M98" i="66"/>
  <c r="G97" i="66"/>
  <c r="C96" i="66"/>
  <c r="P91" i="66"/>
  <c r="O87" i="66"/>
  <c r="C84" i="66"/>
  <c r="E83" i="66"/>
  <c r="G82" i="66"/>
  <c r="I81" i="66"/>
  <c r="K80" i="66"/>
  <c r="M79" i="66"/>
  <c r="O78" i="66"/>
  <c r="C75" i="66"/>
  <c r="E74" i="66"/>
  <c r="G73" i="66"/>
  <c r="I72" i="66"/>
  <c r="K71" i="66"/>
  <c r="M70" i="66"/>
  <c r="K66" i="66"/>
  <c r="M65" i="66"/>
  <c r="O64" i="66"/>
  <c r="C61" i="66"/>
  <c r="E60" i="66"/>
  <c r="G59" i="66"/>
  <c r="I58" i="66"/>
  <c r="K57" i="66"/>
  <c r="M56" i="66"/>
  <c r="O55" i="66"/>
  <c r="C54" i="66"/>
  <c r="K53" i="66"/>
  <c r="G52" i="66"/>
  <c r="O51" i="66"/>
  <c r="C51" i="66"/>
  <c r="K50" i="66"/>
  <c r="G49" i="66"/>
  <c r="O45" i="66"/>
  <c r="C45" i="66"/>
  <c r="K44" i="66"/>
  <c r="G43" i="66"/>
  <c r="O42" i="66"/>
  <c r="F42" i="66"/>
  <c r="K41" i="66"/>
  <c r="D41" i="66"/>
  <c r="J40" i="66"/>
  <c r="C40" i="66"/>
  <c r="O39" i="66"/>
  <c r="H39" i="66"/>
  <c r="N38" i="66"/>
  <c r="G38" i="66"/>
  <c r="L37" i="66"/>
  <c r="E37" i="66"/>
  <c r="K36" i="66"/>
  <c r="C36" i="66"/>
  <c r="I35" i="66"/>
  <c r="O34" i="66"/>
  <c r="G34" i="66"/>
  <c r="M33" i="66"/>
  <c r="F33" i="66"/>
  <c r="K32" i="66"/>
  <c r="D32" i="66"/>
  <c r="J31" i="66"/>
  <c r="C31" i="66"/>
  <c r="O30" i="66"/>
  <c r="H30" i="66"/>
  <c r="N29" i="66"/>
  <c r="G29" i="66"/>
  <c r="L28" i="66"/>
  <c r="E28" i="66"/>
  <c r="K24" i="66"/>
  <c r="C24" i="66"/>
  <c r="I23" i="66"/>
  <c r="O22" i="66"/>
  <c r="G22" i="66"/>
  <c r="M21" i="66"/>
  <c r="F21" i="66"/>
  <c r="K20" i="66"/>
  <c r="D20" i="66"/>
  <c r="J19" i="66"/>
  <c r="C19" i="66"/>
  <c r="O18" i="66"/>
  <c r="H18" i="66"/>
  <c r="N17" i="66"/>
  <c r="G17" i="66"/>
  <c r="L16" i="66"/>
  <c r="E16" i="66"/>
  <c r="K15" i="66"/>
  <c r="C15" i="66"/>
  <c r="I14" i="66"/>
  <c r="O13" i="66"/>
  <c r="G13" i="66"/>
  <c r="M12" i="66"/>
  <c r="F12" i="66"/>
  <c r="K11" i="66"/>
  <c r="D11" i="66"/>
  <c r="J10" i="66"/>
  <c r="C10" i="66"/>
  <c r="O9" i="66"/>
  <c r="H9" i="66"/>
  <c r="N8" i="66"/>
  <c r="G8" i="66"/>
  <c r="L7" i="66"/>
  <c r="E7" i="66"/>
  <c r="E126" i="66"/>
  <c r="I124" i="66"/>
  <c r="M122" i="66"/>
  <c r="Q120" i="66"/>
  <c r="E117" i="66"/>
  <c r="I115" i="66"/>
  <c r="M113" i="66"/>
  <c r="E105" i="66"/>
  <c r="N103" i="66"/>
  <c r="H102" i="66"/>
  <c r="N99" i="66"/>
  <c r="F98" i="66"/>
  <c r="O94" i="66"/>
  <c r="N93" i="66"/>
  <c r="L92" i="66"/>
  <c r="J91" i="66"/>
  <c r="N87" i="66"/>
  <c r="D83" i="66"/>
  <c r="F82" i="66"/>
  <c r="H81" i="66"/>
  <c r="J80" i="66"/>
  <c r="L79" i="66"/>
  <c r="N78" i="66"/>
  <c r="D74" i="66"/>
  <c r="F73" i="66"/>
  <c r="H72" i="66"/>
  <c r="J71" i="66"/>
  <c r="L70" i="66"/>
  <c r="F66" i="66"/>
  <c r="H65" i="66"/>
  <c r="J64" i="66"/>
  <c r="L63" i="66"/>
  <c r="N62" i="66"/>
  <c r="D58" i="66"/>
  <c r="F57" i="66"/>
  <c r="H56" i="66"/>
  <c r="J55" i="66"/>
  <c r="L54" i="66"/>
  <c r="H53" i="66"/>
  <c r="D52" i="66"/>
  <c r="L51" i="66"/>
  <c r="H50" i="66"/>
  <c r="D49" i="66"/>
  <c r="L45" i="66"/>
  <c r="H44" i="66"/>
  <c r="D43" i="66"/>
  <c r="L42" i="66"/>
  <c r="E42" i="66"/>
  <c r="J41" i="66"/>
  <c r="C41" i="66"/>
  <c r="I40" i="66"/>
  <c r="N39" i="66"/>
  <c r="G39" i="66"/>
  <c r="M38" i="66"/>
  <c r="E38" i="66"/>
  <c r="K37" i="66"/>
  <c r="D37" i="66"/>
  <c r="I36" i="66"/>
  <c r="O35" i="66"/>
  <c r="H35" i="66"/>
  <c r="M34" i="66"/>
  <c r="F34" i="66"/>
  <c r="L33" i="66"/>
  <c r="E33" i="66"/>
  <c r="J32" i="66"/>
  <c r="C32" i="66"/>
  <c r="I31" i="66"/>
  <c r="N30" i="66"/>
  <c r="G30" i="66"/>
  <c r="M29" i="66"/>
  <c r="E29" i="66"/>
  <c r="K28" i="66"/>
  <c r="D28" i="66"/>
  <c r="I24" i="66"/>
  <c r="O23" i="66"/>
  <c r="H23" i="66"/>
  <c r="M22" i="66"/>
  <c r="F22" i="66"/>
  <c r="L21" i="66"/>
  <c r="E21" i="66"/>
  <c r="J20" i="66"/>
  <c r="C20" i="66"/>
  <c r="I19" i="66"/>
  <c r="N18" i="66"/>
  <c r="G18" i="66"/>
  <c r="M17" i="66"/>
  <c r="E17" i="66"/>
  <c r="K16" i="66"/>
  <c r="D16" i="66"/>
  <c r="I15" i="66"/>
  <c r="O14" i="66"/>
  <c r="H14" i="66"/>
  <c r="M13" i="66"/>
  <c r="F13" i="66"/>
  <c r="L12" i="66"/>
  <c r="E12" i="66"/>
  <c r="J11" i="66"/>
  <c r="C11" i="66"/>
  <c r="I10" i="66"/>
  <c r="N9" i="66"/>
  <c r="G9" i="66"/>
  <c r="M8" i="66"/>
  <c r="E8" i="66"/>
  <c r="K7" i="66"/>
  <c r="D7" i="66"/>
  <c r="D126" i="66"/>
  <c r="H124" i="66"/>
  <c r="L122" i="66"/>
  <c r="P120" i="66"/>
  <c r="D117" i="66"/>
  <c r="H115" i="66"/>
  <c r="L113" i="66"/>
  <c r="D105" i="66"/>
  <c r="M103" i="66"/>
  <c r="E102" i="66"/>
  <c r="K99" i="66"/>
  <c r="E98" i="66"/>
  <c r="N94" i="66"/>
  <c r="L93" i="66"/>
  <c r="K92" i="66"/>
  <c r="I91" i="66"/>
  <c r="I87" i="66"/>
  <c r="K86" i="66"/>
  <c r="M85" i="66"/>
  <c r="O84" i="66"/>
  <c r="C81" i="66"/>
  <c r="E80" i="66"/>
  <c r="G79" i="66"/>
  <c r="I78" i="66"/>
  <c r="K77" i="66"/>
  <c r="M76" i="66"/>
  <c r="O75" i="66"/>
  <c r="C72" i="66"/>
  <c r="E71" i="66"/>
  <c r="G70" i="66"/>
  <c r="E66" i="66"/>
  <c r="G65" i="66"/>
  <c r="I64" i="66"/>
  <c r="K63" i="66"/>
  <c r="M62" i="66"/>
  <c r="O61" i="66"/>
  <c r="C58" i="66"/>
  <c r="E57" i="66"/>
  <c r="G56" i="66"/>
  <c r="I55" i="66"/>
  <c r="K54" i="66"/>
  <c r="G53" i="66"/>
  <c r="O52" i="66"/>
  <c r="C52" i="66"/>
  <c r="K51" i="66"/>
  <c r="G50" i="66"/>
  <c r="O49" i="66"/>
  <c r="C49" i="66"/>
  <c r="K45" i="66"/>
  <c r="G44" i="66"/>
  <c r="O43" i="66"/>
  <c r="C43" i="66"/>
  <c r="K42" i="66"/>
  <c r="C42" i="66"/>
  <c r="I41" i="66"/>
  <c r="O40" i="66"/>
  <c r="G40" i="66"/>
  <c r="M39" i="66"/>
  <c r="F39" i="66"/>
  <c r="K38" i="66"/>
  <c r="D38" i="66"/>
  <c r="J37" i="66"/>
  <c r="C37" i="66"/>
  <c r="O36" i="66"/>
  <c r="H36" i="66"/>
  <c r="N35" i="66"/>
  <c r="G35" i="66"/>
  <c r="L34" i="66"/>
  <c r="E34" i="66"/>
  <c r="K33" i="66"/>
  <c r="C33" i="66"/>
  <c r="I32" i="66"/>
  <c r="O31" i="66"/>
  <c r="G31" i="66"/>
  <c r="M30" i="66"/>
  <c r="F30" i="66"/>
  <c r="K29" i="66"/>
  <c r="D29" i="66"/>
  <c r="J28" i="66"/>
  <c r="C28" i="66"/>
  <c r="O24" i="66"/>
  <c r="H24" i="66"/>
  <c r="N23" i="66"/>
  <c r="G23" i="66"/>
  <c r="L22" i="66"/>
  <c r="E22" i="66"/>
  <c r="K21" i="66"/>
  <c r="C21" i="66"/>
  <c r="I20" i="66"/>
  <c r="O19" i="66"/>
  <c r="G19" i="66"/>
  <c r="M18" i="66"/>
  <c r="F18" i="66"/>
  <c r="K17" i="66"/>
  <c r="D17" i="66"/>
  <c r="J16" i="66"/>
  <c r="C16" i="66"/>
  <c r="O15" i="66"/>
  <c r="H15" i="66"/>
  <c r="N14" i="66"/>
  <c r="G14" i="66"/>
  <c r="L13" i="66"/>
  <c r="E13" i="66"/>
  <c r="K12" i="66"/>
  <c r="C12" i="66"/>
  <c r="I11" i="66"/>
  <c r="O10" i="66"/>
  <c r="G10" i="66"/>
  <c r="M9" i="66"/>
  <c r="F9" i="66"/>
  <c r="K8" i="66"/>
  <c r="D8" i="66"/>
  <c r="J7" i="66"/>
  <c r="C7" i="66"/>
  <c r="E129" i="66"/>
  <c r="I127" i="66"/>
  <c r="M125" i="66"/>
  <c r="E120" i="66"/>
  <c r="I118" i="66"/>
  <c r="M116" i="66"/>
  <c r="Q114" i="66"/>
  <c r="E108" i="66"/>
  <c r="I106" i="66"/>
  <c r="M104" i="66"/>
  <c r="F103" i="66"/>
  <c r="R101" i="66"/>
  <c r="L100" i="66"/>
  <c r="D99" i="66"/>
  <c r="K96" i="66"/>
  <c r="J95" i="66"/>
  <c r="H94" i="66"/>
  <c r="F93" i="66"/>
  <c r="E92" i="66"/>
  <c r="C91" i="66"/>
  <c r="H87" i="66"/>
  <c r="J86" i="66"/>
  <c r="L85" i="66"/>
  <c r="N84" i="66"/>
  <c r="P83" i="66"/>
  <c r="D80" i="66"/>
  <c r="F79" i="66"/>
  <c r="H78" i="66"/>
  <c r="J77" i="66"/>
  <c r="L76" i="66"/>
  <c r="N75" i="66"/>
  <c r="D71" i="66"/>
  <c r="F70" i="66"/>
  <c r="D64" i="66"/>
  <c r="F63" i="66"/>
  <c r="H62" i="66"/>
  <c r="J61" i="66"/>
  <c r="L60" i="66"/>
  <c r="N59" i="66"/>
  <c r="D55" i="66"/>
  <c r="I54" i="66"/>
  <c r="E53" i="66"/>
  <c r="M52" i="66"/>
  <c r="I51" i="66"/>
  <c r="E50" i="66"/>
  <c r="M49" i="66"/>
  <c r="I45" i="66"/>
  <c r="E44" i="66"/>
  <c r="M43" i="66"/>
  <c r="I42" i="66"/>
  <c r="O41" i="66"/>
  <c r="H41" i="66"/>
  <c r="M40" i="66"/>
  <c r="F40" i="66"/>
  <c r="L39" i="66"/>
  <c r="E39" i="66"/>
  <c r="J38" i="66"/>
  <c r="C38" i="66"/>
  <c r="I37" i="66"/>
  <c r="N36" i="66"/>
  <c r="G36" i="66"/>
  <c r="M35" i="66"/>
  <c r="E35" i="66"/>
  <c r="K34" i="66"/>
  <c r="D34" i="66"/>
  <c r="I33" i="66"/>
  <c r="O32" i="66"/>
  <c r="H32" i="66"/>
  <c r="M31" i="66"/>
  <c r="F31" i="66"/>
  <c r="L30" i="66"/>
  <c r="E30" i="66"/>
  <c r="J29" i="66"/>
  <c r="C29" i="66"/>
  <c r="P28" i="66"/>
  <c r="I28" i="66"/>
  <c r="N24" i="66"/>
  <c r="G24" i="66"/>
  <c r="M23" i="66"/>
  <c r="E23" i="66"/>
  <c r="K22" i="66"/>
  <c r="D22" i="66"/>
  <c r="I21" i="66"/>
  <c r="O20" i="66"/>
  <c r="H20" i="66"/>
  <c r="M19" i="66"/>
  <c r="F19" i="66"/>
  <c r="L18" i="66"/>
  <c r="E18" i="66"/>
  <c r="J17" i="66"/>
  <c r="C17" i="66"/>
  <c r="I16" i="66"/>
  <c r="N15" i="66"/>
  <c r="G15" i="66"/>
  <c r="M14" i="66"/>
  <c r="E14" i="66"/>
  <c r="K13" i="66"/>
  <c r="D13" i="66"/>
  <c r="I12" i="66"/>
  <c r="O11" i="66"/>
  <c r="H11" i="66"/>
  <c r="M10" i="66"/>
  <c r="F10" i="66"/>
  <c r="L9" i="66"/>
  <c r="E9" i="66"/>
  <c r="J8" i="66"/>
  <c r="C8" i="66"/>
  <c r="P7" i="66"/>
  <c r="I7" i="66"/>
  <c r="M119" i="66"/>
  <c r="E114" i="66"/>
  <c r="Q105" i="66"/>
  <c r="J101" i="66"/>
  <c r="H97" i="66"/>
  <c r="C87" i="66"/>
  <c r="I84" i="66"/>
  <c r="O81" i="66"/>
  <c r="G76" i="66"/>
  <c r="M73" i="66"/>
  <c r="G62" i="66"/>
  <c r="M59" i="66"/>
  <c r="S56" i="66"/>
  <c r="F54" i="66"/>
  <c r="J52" i="66"/>
  <c r="N50" i="66"/>
  <c r="H42" i="66"/>
  <c r="G41" i="66"/>
  <c r="E40" i="66"/>
  <c r="C39" i="66"/>
  <c r="Q34" i="66"/>
  <c r="O33" i="66"/>
  <c r="N32" i="66"/>
  <c r="L31" i="66"/>
  <c r="K30" i="66"/>
  <c r="I29" i="66"/>
  <c r="G28" i="66"/>
  <c r="F24" i="66"/>
  <c r="D23" i="66"/>
  <c r="C22" i="66"/>
  <c r="O16" i="66"/>
  <c r="M15" i="66"/>
  <c r="K14" i="66"/>
  <c r="J13" i="66"/>
  <c r="H12" i="66"/>
  <c r="G11" i="66"/>
  <c r="E10" i="66"/>
  <c r="C9" i="66"/>
  <c r="D129" i="66"/>
  <c r="H118" i="66"/>
  <c r="L104" i="66"/>
  <c r="I100" i="66"/>
  <c r="J96" i="66"/>
  <c r="E93" i="66"/>
  <c r="H84" i="66"/>
  <c r="N81" i="66"/>
  <c r="F76" i="66"/>
  <c r="L73" i="66"/>
  <c r="P64" i="66"/>
  <c r="H59" i="66"/>
  <c r="N56" i="66"/>
  <c r="E54" i="66"/>
  <c r="I52" i="66"/>
  <c r="M50" i="66"/>
  <c r="G42" i="66"/>
  <c r="E41" i="66"/>
  <c r="D40" i="66"/>
  <c r="P34" i="66"/>
  <c r="N33" i="66"/>
  <c r="M32" i="66"/>
  <c r="K31" i="66"/>
  <c r="I30" i="66"/>
  <c r="H29" i="66"/>
  <c r="F28" i="66"/>
  <c r="E24" i="66"/>
  <c r="C23" i="66"/>
  <c r="O17" i="66"/>
  <c r="M16" i="66"/>
  <c r="L15" i="66"/>
  <c r="J14" i="66"/>
  <c r="I13" i="66"/>
  <c r="G12" i="66"/>
  <c r="E11" i="66"/>
  <c r="D10" i="66"/>
  <c r="M128" i="66"/>
  <c r="E123" i="66"/>
  <c r="I112" i="66"/>
  <c r="D104" i="66"/>
  <c r="D96" i="66"/>
  <c r="E86" i="66"/>
  <c r="K83" i="66"/>
  <c r="C78" i="66"/>
  <c r="I75" i="66"/>
  <c r="O72" i="66"/>
  <c r="C64" i="66"/>
  <c r="I61" i="66"/>
  <c r="O58" i="66"/>
  <c r="N53" i="66"/>
  <c r="F45" i="66"/>
  <c r="J43" i="66"/>
  <c r="P38" i="66"/>
  <c r="O37" i="66"/>
  <c r="M36" i="66"/>
  <c r="K35" i="66"/>
  <c r="J34" i="66"/>
  <c r="H33" i="66"/>
  <c r="G32" i="66"/>
  <c r="E31" i="66"/>
  <c r="C30" i="66"/>
  <c r="O21" i="66"/>
  <c r="N20" i="66"/>
  <c r="L19" i="66"/>
  <c r="K18" i="66"/>
  <c r="I17" i="66"/>
  <c r="G16" i="66"/>
  <c r="F15" i="66"/>
  <c r="D14" i="66"/>
  <c r="C13" i="66"/>
  <c r="P8" i="66"/>
  <c r="O7" i="66"/>
  <c r="H127" i="66"/>
  <c r="L116" i="66"/>
  <c r="D108" i="66"/>
  <c r="C103" i="66"/>
  <c r="C99" i="66"/>
  <c r="H95" i="66"/>
  <c r="D92" i="66"/>
  <c r="D86" i="66"/>
  <c r="J83" i="66"/>
  <c r="P80" i="66"/>
  <c r="H75" i="66"/>
  <c r="N72" i="66"/>
  <c r="L66" i="66"/>
  <c r="D61" i="66"/>
  <c r="J58" i="66"/>
  <c r="P55" i="66"/>
  <c r="M53" i="66"/>
  <c r="E45" i="66"/>
  <c r="I43" i="66"/>
  <c r="O38" i="66"/>
  <c r="M37" i="66"/>
  <c r="L36" i="66"/>
  <c r="J35" i="66"/>
  <c r="I34" i="66"/>
  <c r="G33" i="66"/>
  <c r="E32" i="66"/>
  <c r="D31" i="66"/>
  <c r="P22" i="66"/>
  <c r="N21" i="66"/>
  <c r="M20" i="66"/>
  <c r="K19" i="66"/>
  <c r="I18" i="66"/>
  <c r="H17" i="66"/>
  <c r="F16" i="66"/>
  <c r="E15" i="66"/>
  <c r="C14" i="66"/>
  <c r="O8" i="66"/>
  <c r="M7" i="66"/>
  <c r="I121" i="66"/>
  <c r="M107" i="66"/>
  <c r="P98" i="66"/>
  <c r="G85" i="66"/>
  <c r="M82" i="66"/>
  <c r="E77" i="66"/>
  <c r="K74" i="66"/>
  <c r="Q71" i="66"/>
  <c r="E63" i="66"/>
  <c r="K60" i="66"/>
  <c r="C55" i="66"/>
  <c r="F51" i="66"/>
  <c r="J49" i="66"/>
  <c r="N44" i="66"/>
  <c r="N41" i="66"/>
  <c r="L40" i="66"/>
  <c r="K39" i="66"/>
  <c r="I38" i="66"/>
  <c r="G37" i="66"/>
  <c r="F36" i="66"/>
  <c r="D35" i="66"/>
  <c r="C34" i="66"/>
  <c r="P29" i="66"/>
  <c r="O28" i="66"/>
  <c r="M24" i="66"/>
  <c r="K23" i="66"/>
  <c r="J22" i="66"/>
  <c r="H21" i="66"/>
  <c r="G20" i="66"/>
  <c r="E19" i="66"/>
  <c r="C18" i="66"/>
  <c r="O12" i="66"/>
  <c r="N11" i="66"/>
  <c r="L10" i="66"/>
  <c r="K9" i="66"/>
  <c r="I8" i="66"/>
  <c r="G7" i="66"/>
  <c r="L125" i="66"/>
  <c r="D120" i="66"/>
  <c r="P114" i="66"/>
  <c r="H106" i="66"/>
  <c r="Q101" i="66"/>
  <c r="O97" i="66"/>
  <c r="G94" i="66"/>
  <c r="F85" i="66"/>
  <c r="L82" i="66"/>
  <c r="D77" i="66"/>
  <c r="J74" i="66"/>
  <c r="P71" i="66"/>
  <c r="N65" i="66"/>
  <c r="F60" i="66"/>
  <c r="L57" i="66"/>
  <c r="E51" i="66"/>
  <c r="I49" i="66"/>
  <c r="M44" i="66"/>
  <c r="M41" i="66"/>
  <c r="K40" i="66"/>
  <c r="I39" i="66"/>
  <c r="H38" i="66"/>
  <c r="F37" i="66"/>
  <c r="E36" i="66"/>
  <c r="C35" i="66"/>
  <c r="O29" i="66"/>
  <c r="M28" i="66"/>
  <c r="L24" i="66"/>
  <c r="J23" i="66"/>
  <c r="I22" i="66"/>
  <c r="G21" i="66"/>
  <c r="E20" i="66"/>
  <c r="D19" i="66"/>
  <c r="P13" i="66"/>
  <c r="N12" i="66"/>
  <c r="M11" i="66"/>
  <c r="K10" i="66"/>
  <c r="I9" i="66"/>
  <c r="F7" i="66"/>
  <c r="H8" i="66"/>
  <c r="P36" i="91"/>
  <c r="P11" i="91" s="1"/>
  <c r="C37" i="91"/>
  <c r="C12" i="91" s="1"/>
  <c r="R11" i="14"/>
  <c r="L72" i="84"/>
  <c r="F72" i="84"/>
  <c r="L71" i="84"/>
  <c r="F71" i="84"/>
  <c r="L70" i="84"/>
  <c r="F70" i="84"/>
  <c r="L69" i="84"/>
  <c r="F69" i="84"/>
  <c r="L68" i="84"/>
  <c r="F68" i="84"/>
  <c r="L67" i="84"/>
  <c r="F67" i="84"/>
  <c r="L66" i="84"/>
  <c r="F66" i="84"/>
  <c r="L65" i="84"/>
  <c r="F65" i="84"/>
  <c r="L64" i="84"/>
  <c r="F64" i="84"/>
  <c r="L63" i="84"/>
  <c r="F63" i="84"/>
  <c r="L62" i="84"/>
  <c r="F62" i="84"/>
  <c r="L61" i="84"/>
  <c r="F61" i="84"/>
  <c r="L60" i="84"/>
  <c r="F60" i="84"/>
  <c r="M59" i="84"/>
  <c r="G59" i="84"/>
  <c r="M55" i="84"/>
  <c r="G55" i="84"/>
  <c r="M54" i="84"/>
  <c r="G54" i="84"/>
  <c r="M53" i="84"/>
  <c r="G53" i="84"/>
  <c r="M52" i="84"/>
  <c r="G52" i="84"/>
  <c r="M51" i="84"/>
  <c r="G51" i="84"/>
  <c r="M50" i="84"/>
  <c r="G50" i="84"/>
  <c r="M49" i="84"/>
  <c r="G49" i="84"/>
  <c r="M48" i="84"/>
  <c r="G48" i="84"/>
  <c r="M47" i="84"/>
  <c r="G47" i="84"/>
  <c r="M46" i="84"/>
  <c r="G46" i="84"/>
  <c r="M45" i="84"/>
  <c r="G45" i="84"/>
  <c r="M44" i="84"/>
  <c r="G44" i="84"/>
  <c r="M43" i="84"/>
  <c r="G43" i="84"/>
  <c r="M42" i="84"/>
  <c r="G42" i="84"/>
  <c r="M38" i="84"/>
  <c r="G38" i="84"/>
  <c r="M37" i="84"/>
  <c r="G37" i="84"/>
  <c r="M36" i="84"/>
  <c r="G36" i="84"/>
  <c r="M35" i="84"/>
  <c r="G35" i="84"/>
  <c r="M34" i="84"/>
  <c r="G34" i="84"/>
  <c r="M33" i="84"/>
  <c r="G33" i="84"/>
  <c r="M32" i="84"/>
  <c r="G32" i="84"/>
  <c r="M31" i="84"/>
  <c r="G31" i="84"/>
  <c r="N30" i="84"/>
  <c r="H30" i="84"/>
  <c r="N29" i="84"/>
  <c r="H29" i="84"/>
  <c r="N28" i="84"/>
  <c r="H28" i="84"/>
  <c r="N27" i="84"/>
  <c r="H27" i="84"/>
  <c r="N26" i="84"/>
  <c r="H26" i="84"/>
  <c r="N25" i="84"/>
  <c r="O72" i="84"/>
  <c r="I72" i="84"/>
  <c r="O71" i="84"/>
  <c r="I71" i="84"/>
  <c r="O70" i="84"/>
  <c r="I70" i="84"/>
  <c r="O69" i="84"/>
  <c r="I69" i="84"/>
  <c r="O68" i="84"/>
  <c r="I68" i="84"/>
  <c r="O67" i="84"/>
  <c r="I67" i="84"/>
  <c r="O66" i="84"/>
  <c r="I66" i="84"/>
  <c r="O65" i="84"/>
  <c r="I65" i="84"/>
  <c r="O64" i="84"/>
  <c r="I64" i="84"/>
  <c r="O63" i="84"/>
  <c r="I63" i="84"/>
  <c r="O62" i="84"/>
  <c r="I62" i="84"/>
  <c r="O61" i="84"/>
  <c r="I61" i="84"/>
  <c r="O60" i="84"/>
  <c r="I60" i="84"/>
  <c r="P59" i="84"/>
  <c r="J59" i="84"/>
  <c r="P55" i="84"/>
  <c r="J55" i="84"/>
  <c r="P54" i="84"/>
  <c r="J54" i="84"/>
  <c r="P53" i="84"/>
  <c r="J53" i="84"/>
  <c r="P52" i="84"/>
  <c r="J52" i="84"/>
  <c r="P51" i="84"/>
  <c r="J51" i="84"/>
  <c r="P50" i="84"/>
  <c r="J50" i="84"/>
  <c r="P49" i="84"/>
  <c r="J49" i="84"/>
  <c r="P48" i="84"/>
  <c r="J48" i="84"/>
  <c r="P47" i="84"/>
  <c r="J47" i="84"/>
  <c r="P46" i="84"/>
  <c r="J46" i="84"/>
  <c r="P45" i="84"/>
  <c r="J45" i="84"/>
  <c r="P44" i="84"/>
  <c r="J44" i="84"/>
  <c r="P43" i="84"/>
  <c r="J43" i="84"/>
  <c r="P42" i="84"/>
  <c r="J42" i="84"/>
  <c r="P38" i="84"/>
  <c r="J38" i="84"/>
  <c r="P37" i="84"/>
  <c r="J37" i="84"/>
  <c r="P36" i="84"/>
  <c r="J36" i="84"/>
  <c r="P35" i="84"/>
  <c r="J35" i="84"/>
  <c r="P34" i="84"/>
  <c r="J34" i="84"/>
  <c r="P33" i="84"/>
  <c r="J33" i="84"/>
  <c r="P32" i="84"/>
  <c r="J32" i="84"/>
  <c r="P31" i="84"/>
  <c r="J31" i="84"/>
  <c r="K30" i="84"/>
  <c r="E30" i="84"/>
  <c r="K29" i="84"/>
  <c r="E29" i="84"/>
  <c r="K28" i="84"/>
  <c r="E28" i="84"/>
  <c r="K27" i="84"/>
  <c r="E27" i="84"/>
  <c r="K26" i="84"/>
  <c r="E26" i="84"/>
  <c r="K25" i="84"/>
  <c r="N72" i="84"/>
  <c r="E72" i="84"/>
  <c r="H71" i="84"/>
  <c r="K70" i="84"/>
  <c r="N69" i="84"/>
  <c r="E69" i="84"/>
  <c r="H68" i="84"/>
  <c r="K67" i="84"/>
  <c r="N66" i="84"/>
  <c r="E66" i="84"/>
  <c r="H65" i="84"/>
  <c r="K64" i="84"/>
  <c r="N63" i="84"/>
  <c r="E63" i="84"/>
  <c r="H62" i="84"/>
  <c r="K61" i="84"/>
  <c r="N60" i="84"/>
  <c r="E60" i="84"/>
  <c r="I59" i="84"/>
  <c r="L55" i="84"/>
  <c r="O54" i="84"/>
  <c r="F54" i="84"/>
  <c r="I53" i="84"/>
  <c r="L52" i="84"/>
  <c r="O51" i="84"/>
  <c r="F51" i="84"/>
  <c r="I50" i="84"/>
  <c r="L49" i="84"/>
  <c r="O48" i="84"/>
  <c r="F48" i="84"/>
  <c r="I47" i="84"/>
  <c r="L46" i="84"/>
  <c r="O45" i="84"/>
  <c r="F45" i="84"/>
  <c r="I44" i="84"/>
  <c r="L43" i="84"/>
  <c r="O42" i="84"/>
  <c r="F42" i="84"/>
  <c r="I38" i="84"/>
  <c r="L37" i="84"/>
  <c r="O36" i="84"/>
  <c r="F36" i="84"/>
  <c r="I35" i="84"/>
  <c r="L34" i="84"/>
  <c r="O33" i="84"/>
  <c r="F33" i="84"/>
  <c r="I32" i="84"/>
  <c r="L31" i="84"/>
  <c r="P30" i="84"/>
  <c r="G30" i="84"/>
  <c r="J29" i="84"/>
  <c r="M28" i="84"/>
  <c r="P27" i="84"/>
  <c r="G27" i="84"/>
  <c r="J26" i="84"/>
  <c r="M25" i="84"/>
  <c r="F25" i="84"/>
  <c r="E17" i="84"/>
  <c r="E11" i="84"/>
  <c r="M21" i="84"/>
  <c r="G21" i="84"/>
  <c r="L20" i="84"/>
  <c r="F20" i="84"/>
  <c r="K19" i="84"/>
  <c r="P18" i="84"/>
  <c r="J18" i="84"/>
  <c r="O17" i="84"/>
  <c r="I17" i="84"/>
  <c r="N16" i="84"/>
  <c r="H16" i="84"/>
  <c r="N15" i="84"/>
  <c r="H15" i="84"/>
  <c r="M14" i="84"/>
  <c r="G14" i="84"/>
  <c r="L13" i="84"/>
  <c r="F13" i="84"/>
  <c r="K12" i="84"/>
  <c r="P11" i="84"/>
  <c r="J11" i="84"/>
  <c r="O10" i="84"/>
  <c r="I10" i="84"/>
  <c r="N9" i="84"/>
  <c r="H9" i="84"/>
  <c r="M8" i="84"/>
  <c r="G8" i="84"/>
  <c r="P72" i="49"/>
  <c r="J72" i="49"/>
  <c r="P71" i="49"/>
  <c r="J71" i="49"/>
  <c r="P70" i="49"/>
  <c r="J70" i="49"/>
  <c r="P69" i="49"/>
  <c r="J69" i="49"/>
  <c r="P68" i="49"/>
  <c r="J68" i="49"/>
  <c r="P67" i="49"/>
  <c r="J67" i="49"/>
  <c r="P66" i="49"/>
  <c r="J66" i="49"/>
  <c r="P65" i="49"/>
  <c r="J65" i="49"/>
  <c r="P64" i="49"/>
  <c r="J64" i="49"/>
  <c r="P63" i="49"/>
  <c r="J63" i="49"/>
  <c r="P62" i="49"/>
  <c r="J62" i="49"/>
  <c r="P61" i="49"/>
  <c r="J61" i="49"/>
  <c r="P60" i="49"/>
  <c r="J60" i="49"/>
  <c r="M72" i="84"/>
  <c r="P71" i="84"/>
  <c r="G71" i="84"/>
  <c r="J70" i="84"/>
  <c r="M69" i="84"/>
  <c r="P68" i="84"/>
  <c r="G68" i="84"/>
  <c r="J67" i="84"/>
  <c r="M66" i="84"/>
  <c r="P65" i="84"/>
  <c r="G65" i="84"/>
  <c r="J64" i="84"/>
  <c r="M63" i="84"/>
  <c r="P62" i="84"/>
  <c r="G62" i="84"/>
  <c r="J61" i="84"/>
  <c r="M60" i="84"/>
  <c r="H59" i="84"/>
  <c r="K55" i="84"/>
  <c r="N54" i="84"/>
  <c r="E54" i="84"/>
  <c r="H53" i="84"/>
  <c r="K52" i="84"/>
  <c r="N51" i="84"/>
  <c r="E51" i="84"/>
  <c r="H50" i="84"/>
  <c r="K49" i="84"/>
  <c r="N48" i="84"/>
  <c r="E48" i="84"/>
  <c r="H47" i="84"/>
  <c r="K46" i="84"/>
  <c r="N45" i="84"/>
  <c r="E45" i="84"/>
  <c r="H44" i="84"/>
  <c r="K43" i="84"/>
  <c r="N42" i="84"/>
  <c r="E42" i="84"/>
  <c r="H38" i="84"/>
  <c r="K37" i="84"/>
  <c r="N36" i="84"/>
  <c r="E36" i="84"/>
  <c r="H35" i="84"/>
  <c r="K34" i="84"/>
  <c r="N33" i="84"/>
  <c r="E33" i="84"/>
  <c r="H32" i="84"/>
  <c r="K31" i="84"/>
  <c r="O30" i="84"/>
  <c r="F30" i="84"/>
  <c r="I29" i="84"/>
  <c r="L28" i="84"/>
  <c r="O27" i="84"/>
  <c r="F27" i="84"/>
  <c r="I26" i="84"/>
  <c r="L25" i="84"/>
  <c r="E25" i="84"/>
  <c r="E16" i="84"/>
  <c r="E10" i="84"/>
  <c r="H72" i="84"/>
  <c r="E71" i="84"/>
  <c r="E70" i="84"/>
  <c r="N68" i="84"/>
  <c r="N67" i="84"/>
  <c r="K66" i="84"/>
  <c r="K65" i="84"/>
  <c r="P72" i="84"/>
  <c r="M71" i="84"/>
  <c r="M70" i="84"/>
  <c r="J69" i="84"/>
  <c r="J68" i="84"/>
  <c r="G67" i="84"/>
  <c r="G66" i="84"/>
  <c r="P64" i="84"/>
  <c r="P63" i="84"/>
  <c r="M62" i="84"/>
  <c r="M61" i="84"/>
  <c r="J60" i="84"/>
  <c r="K59" i="84"/>
  <c r="H55" i="84"/>
  <c r="H54" i="84"/>
  <c r="E53" i="84"/>
  <c r="E52" i="84"/>
  <c r="N50" i="84"/>
  <c r="N49" i="84"/>
  <c r="K48" i="84"/>
  <c r="K47" i="84"/>
  <c r="H46" i="84"/>
  <c r="H45" i="84"/>
  <c r="E44" i="84"/>
  <c r="E43" i="84"/>
  <c r="N38" i="84"/>
  <c r="N37" i="84"/>
  <c r="K36" i="84"/>
  <c r="K35" i="84"/>
  <c r="H34" i="84"/>
  <c r="H33" i="84"/>
  <c r="E32" i="84"/>
  <c r="E31" i="84"/>
  <c r="O29" i="84"/>
  <c r="O28" i="84"/>
  <c r="L27" i="84"/>
  <c r="L26" i="84"/>
  <c r="I25" i="84"/>
  <c r="E18" i="84"/>
  <c r="P21" i="84"/>
  <c r="I21" i="84"/>
  <c r="M20" i="84"/>
  <c r="P19" i="84"/>
  <c r="I19" i="84"/>
  <c r="M18" i="84"/>
  <c r="F18" i="84"/>
  <c r="J17" i="84"/>
  <c r="M16" i="84"/>
  <c r="F16" i="84"/>
  <c r="K15" i="84"/>
  <c r="O14" i="84"/>
  <c r="H14" i="84"/>
  <c r="K13" i="84"/>
  <c r="O12" i="84"/>
  <c r="H12" i="84"/>
  <c r="L11" i="84"/>
  <c r="P10" i="84"/>
  <c r="H10" i="84"/>
  <c r="L9" i="84"/>
  <c r="P8" i="84"/>
  <c r="I8" i="84"/>
  <c r="K71" i="84"/>
  <c r="P69" i="84"/>
  <c r="E68" i="84"/>
  <c r="J66" i="84"/>
  <c r="N64" i="84"/>
  <c r="J63" i="84"/>
  <c r="E62" i="84"/>
  <c r="P60" i="84"/>
  <c r="L59" i="84"/>
  <c r="F55" i="84"/>
  <c r="N53" i="84"/>
  <c r="I52" i="84"/>
  <c r="H51" i="84"/>
  <c r="O49" i="84"/>
  <c r="I48" i="84"/>
  <c r="E47" i="84"/>
  <c r="L45" i="84"/>
  <c r="K44" i="84"/>
  <c r="F43" i="84"/>
  <c r="L38" i="84"/>
  <c r="H37" i="84"/>
  <c r="O35" i="84"/>
  <c r="N34" i="84"/>
  <c r="I33" i="84"/>
  <c r="O31" i="84"/>
  <c r="L30" i="84"/>
  <c r="G29" i="84"/>
  <c r="F28" i="84"/>
  <c r="M26" i="84"/>
  <c r="H25" i="84"/>
  <c r="E14" i="84"/>
  <c r="L21" i="84"/>
  <c r="O20" i="84"/>
  <c r="G20" i="84"/>
  <c r="H19" i="84"/>
  <c r="K18" i="84"/>
  <c r="M17" i="84"/>
  <c r="P16" i="84"/>
  <c r="G16" i="84"/>
  <c r="J15" i="84"/>
  <c r="L14" i="84"/>
  <c r="O13" i="84"/>
  <c r="G13" i="84"/>
  <c r="I12" i="84"/>
  <c r="K11" i="84"/>
  <c r="M10" i="84"/>
  <c r="P9" i="84"/>
  <c r="G9" i="84"/>
  <c r="J8" i="84"/>
  <c r="L72" i="49"/>
  <c r="J71" i="84"/>
  <c r="K69" i="84"/>
  <c r="P67" i="84"/>
  <c r="H66" i="84"/>
  <c r="M64" i="84"/>
  <c r="H63" i="84"/>
  <c r="P61" i="84"/>
  <c r="K60" i="84"/>
  <c r="F59" i="84"/>
  <c r="E55" i="84"/>
  <c r="L53" i="84"/>
  <c r="H52" i="84"/>
  <c r="O50" i="84"/>
  <c r="I49" i="84"/>
  <c r="H48" i="84"/>
  <c r="O46" i="84"/>
  <c r="K45" i="84"/>
  <c r="F44" i="84"/>
  <c r="L42" i="84"/>
  <c r="K38" i="84"/>
  <c r="F37" i="84"/>
  <c r="N35" i="84"/>
  <c r="I34" i="84"/>
  <c r="O32" i="84"/>
  <c r="N31" i="84"/>
  <c r="J30" i="84"/>
  <c r="F29" i="84"/>
  <c r="M27" i="84"/>
  <c r="G26" i="84"/>
  <c r="G25" i="84"/>
  <c r="E13" i="84"/>
  <c r="K21" i="84"/>
  <c r="N20" i="84"/>
  <c r="O19" i="84"/>
  <c r="G19" i="84"/>
  <c r="I18" i="84"/>
  <c r="L17" i="84"/>
  <c r="O16" i="84"/>
  <c r="Q15" i="84"/>
  <c r="I15" i="84"/>
  <c r="K14" i="84"/>
  <c r="N13" i="84"/>
  <c r="P12" i="84"/>
  <c r="G12" i="84"/>
  <c r="I11" i="84"/>
  <c r="L10" i="84"/>
  <c r="O9" i="84"/>
  <c r="F9" i="84"/>
  <c r="H8" i="84"/>
  <c r="J72" i="84"/>
  <c r="N70" i="84"/>
  <c r="G69" i="84"/>
  <c r="H67" i="84"/>
  <c r="M65" i="84"/>
  <c r="G64" i="84"/>
  <c r="N62" i="84"/>
  <c r="H61" i="84"/>
  <c r="G60" i="84"/>
  <c r="O55" i="84"/>
  <c r="K54" i="84"/>
  <c r="F53" i="84"/>
  <c r="L51" i="84"/>
  <c r="K50" i="84"/>
  <c r="F49" i="84"/>
  <c r="N47" i="84"/>
  <c r="I46" i="84"/>
  <c r="O44" i="84"/>
  <c r="N43" i="84"/>
  <c r="I42" i="84"/>
  <c r="E38" i="84"/>
  <c r="L36" i="84"/>
  <c r="F35" i="84"/>
  <c r="E34" i="84"/>
  <c r="L32" i="84"/>
  <c r="H31" i="84"/>
  <c r="P29" i="84"/>
  <c r="J28" i="84"/>
  <c r="I27" i="84"/>
  <c r="P25" i="84"/>
  <c r="E20" i="84"/>
  <c r="E9" i="84"/>
  <c r="H21" i="84"/>
  <c r="J20" i="84"/>
  <c r="M19" i="84"/>
  <c r="O18" i="84"/>
  <c r="G18" i="84"/>
  <c r="H17" i="84"/>
  <c r="K16" i="84"/>
  <c r="O15" i="84"/>
  <c r="F15" i="84"/>
  <c r="I14" i="84"/>
  <c r="J13" i="84"/>
  <c r="M12" i="84"/>
  <c r="O11" i="84"/>
  <c r="G11" i="84"/>
  <c r="J10" i="84"/>
  <c r="K9" i="84"/>
  <c r="N8" i="84"/>
  <c r="E8" i="84"/>
  <c r="K72" i="84"/>
  <c r="H69" i="84"/>
  <c r="N65" i="84"/>
  <c r="G63" i="84"/>
  <c r="H60" i="84"/>
  <c r="L54" i="84"/>
  <c r="F52" i="84"/>
  <c r="H49" i="84"/>
  <c r="N46" i="84"/>
  <c r="O43" i="84"/>
  <c r="F38" i="84"/>
  <c r="L35" i="84"/>
  <c r="N32" i="84"/>
  <c r="I30" i="84"/>
  <c r="J27" i="84"/>
  <c r="E21" i="84"/>
  <c r="J21" i="84"/>
  <c r="N19" i="84"/>
  <c r="H18" i="84"/>
  <c r="L16" i="84"/>
  <c r="G15" i="84"/>
  <c r="M13" i="84"/>
  <c r="F12" i="84"/>
  <c r="K10" i="84"/>
  <c r="O8" i="84"/>
  <c r="O72" i="49"/>
  <c r="G72" i="49"/>
  <c r="L71" i="49"/>
  <c r="E71" i="49"/>
  <c r="I70" i="49"/>
  <c r="N69" i="49"/>
  <c r="G69" i="49"/>
  <c r="L68" i="49"/>
  <c r="E68" i="49"/>
  <c r="I67" i="49"/>
  <c r="N66" i="49"/>
  <c r="G66" i="49"/>
  <c r="L65" i="49"/>
  <c r="E65" i="49"/>
  <c r="I64" i="49"/>
  <c r="N63" i="49"/>
  <c r="G63" i="49"/>
  <c r="L62" i="49"/>
  <c r="E62" i="49"/>
  <c r="I61" i="49"/>
  <c r="N60" i="49"/>
  <c r="G60" i="49"/>
  <c r="M59" i="49"/>
  <c r="G59" i="49"/>
  <c r="M55" i="49"/>
  <c r="G55" i="49"/>
  <c r="M54" i="49"/>
  <c r="G54" i="49"/>
  <c r="M53" i="49"/>
  <c r="G53" i="49"/>
  <c r="M52" i="49"/>
  <c r="G52" i="49"/>
  <c r="M51" i="49"/>
  <c r="G51" i="49"/>
  <c r="M50" i="49"/>
  <c r="G50" i="49"/>
  <c r="M49" i="49"/>
  <c r="G49" i="49"/>
  <c r="M48" i="49"/>
  <c r="G48" i="49"/>
  <c r="M47" i="49"/>
  <c r="G47" i="49"/>
  <c r="M46" i="49"/>
  <c r="G46" i="49"/>
  <c r="M45" i="49"/>
  <c r="G45" i="49"/>
  <c r="M44" i="49"/>
  <c r="G44" i="49"/>
  <c r="M43" i="49"/>
  <c r="G43" i="49"/>
  <c r="M42" i="49"/>
  <c r="G42" i="49"/>
  <c r="M38" i="49"/>
  <c r="G38" i="49"/>
  <c r="M37" i="49"/>
  <c r="G37" i="49"/>
  <c r="M36" i="49"/>
  <c r="G36" i="49"/>
  <c r="M35" i="49"/>
  <c r="G35" i="49"/>
  <c r="M34" i="49"/>
  <c r="G34" i="49"/>
  <c r="M33" i="49"/>
  <c r="G33" i="49"/>
  <c r="M32" i="49"/>
  <c r="G32" i="49"/>
  <c r="M31" i="49"/>
  <c r="G31" i="49"/>
  <c r="M30" i="49"/>
  <c r="G30" i="49"/>
  <c r="M29" i="49"/>
  <c r="G29" i="49"/>
  <c r="M28" i="49"/>
  <c r="G28" i="49"/>
  <c r="M27" i="49"/>
  <c r="G27" i="49"/>
  <c r="M26" i="49"/>
  <c r="G26" i="49"/>
  <c r="M25" i="49"/>
  <c r="G25" i="49"/>
  <c r="E18" i="49"/>
  <c r="E12" i="49"/>
  <c r="N21" i="49"/>
  <c r="H21" i="49"/>
  <c r="M20" i="49"/>
  <c r="G20" i="49"/>
  <c r="L19" i="49"/>
  <c r="F19" i="49"/>
  <c r="K18" i="49"/>
  <c r="P17" i="49"/>
  <c r="J17" i="49"/>
  <c r="O16" i="49"/>
  <c r="I16" i="49"/>
  <c r="N15" i="49"/>
  <c r="H15" i="49"/>
  <c r="M14" i="49"/>
  <c r="G14" i="49"/>
  <c r="L13" i="49"/>
  <c r="F13" i="49"/>
  <c r="K12" i="49"/>
  <c r="P11" i="49"/>
  <c r="J11" i="49"/>
  <c r="O10" i="49"/>
  <c r="I10" i="49"/>
  <c r="N9" i="49"/>
  <c r="H9" i="49"/>
  <c r="M8" i="49"/>
  <c r="G8" i="49"/>
  <c r="P70" i="84"/>
  <c r="M67" i="84"/>
  <c r="H64" i="84"/>
  <c r="N61" i="84"/>
  <c r="E59" i="84"/>
  <c r="K53" i="84"/>
  <c r="L50" i="84"/>
  <c r="O47" i="84"/>
  <c r="I45" i="84"/>
  <c r="K42" i="84"/>
  <c r="E37" i="84"/>
  <c r="F34" i="84"/>
  <c r="I31" i="84"/>
  <c r="P28" i="84"/>
  <c r="F26" i="84"/>
  <c r="E12" i="84"/>
  <c r="K20" i="84"/>
  <c r="F19" i="84"/>
  <c r="K17" i="84"/>
  <c r="P15" i="84"/>
  <c r="J14" i="84"/>
  <c r="N12" i="84"/>
  <c r="H11" i="84"/>
  <c r="M9" i="84"/>
  <c r="F8" i="84"/>
  <c r="K72" i="49"/>
  <c r="O71" i="49"/>
  <c r="H71" i="49"/>
  <c r="M70" i="49"/>
  <c r="F70" i="49"/>
  <c r="K69" i="49"/>
  <c r="O68" i="49"/>
  <c r="H68" i="49"/>
  <c r="M67" i="49"/>
  <c r="F67" i="49"/>
  <c r="K66" i="49"/>
  <c r="O65" i="49"/>
  <c r="H65" i="49"/>
  <c r="M64" i="49"/>
  <c r="F64" i="49"/>
  <c r="K63" i="49"/>
  <c r="O62" i="49"/>
  <c r="H62" i="49"/>
  <c r="M61" i="49"/>
  <c r="F61" i="49"/>
  <c r="K60" i="49"/>
  <c r="P59" i="49"/>
  <c r="J59" i="49"/>
  <c r="P55" i="49"/>
  <c r="J55" i="49"/>
  <c r="P54" i="49"/>
  <c r="J54" i="49"/>
  <c r="P53" i="49"/>
  <c r="J53" i="49"/>
  <c r="P52" i="49"/>
  <c r="J52" i="49"/>
  <c r="P51" i="49"/>
  <c r="J51" i="49"/>
  <c r="P50" i="49"/>
  <c r="J50" i="49"/>
  <c r="P49" i="49"/>
  <c r="J49" i="49"/>
  <c r="P48" i="49"/>
  <c r="J48" i="49"/>
  <c r="P47" i="49"/>
  <c r="J47" i="49"/>
  <c r="P46" i="49"/>
  <c r="J46" i="49"/>
  <c r="P45" i="49"/>
  <c r="J45" i="49"/>
  <c r="P44" i="49"/>
  <c r="J44" i="49"/>
  <c r="P43" i="49"/>
  <c r="J43" i="49"/>
  <c r="P42" i="49"/>
  <c r="J42" i="49"/>
  <c r="P38" i="49"/>
  <c r="J38" i="49"/>
  <c r="P37" i="49"/>
  <c r="J37" i="49"/>
  <c r="P36" i="49"/>
  <c r="J36" i="49"/>
  <c r="P35" i="49"/>
  <c r="J35" i="49"/>
  <c r="P34" i="49"/>
  <c r="J34" i="49"/>
  <c r="P33" i="49"/>
  <c r="J33" i="49"/>
  <c r="P32" i="49"/>
  <c r="J32" i="49"/>
  <c r="P31" i="49"/>
  <c r="J31" i="49"/>
  <c r="P30" i="49"/>
  <c r="J30" i="49"/>
  <c r="P29" i="49"/>
  <c r="J29" i="49"/>
  <c r="P28" i="49"/>
  <c r="J28" i="49"/>
  <c r="P27" i="49"/>
  <c r="J27" i="49"/>
  <c r="P26" i="49"/>
  <c r="J26" i="49"/>
  <c r="P25" i="49"/>
  <c r="J25" i="49"/>
  <c r="E21" i="49"/>
  <c r="E15" i="49"/>
  <c r="E9" i="49"/>
  <c r="K21" i="49"/>
  <c r="P20" i="49"/>
  <c r="J20" i="49"/>
  <c r="O19" i="49"/>
  <c r="I19" i="49"/>
  <c r="N18" i="49"/>
  <c r="H18" i="49"/>
  <c r="M17" i="49"/>
  <c r="G17" i="49"/>
  <c r="L16" i="49"/>
  <c r="F16" i="49"/>
  <c r="K15" i="49"/>
  <c r="P14" i="49"/>
  <c r="J14" i="49"/>
  <c r="O13" i="49"/>
  <c r="I13" i="49"/>
  <c r="N12" i="49"/>
  <c r="H12" i="49"/>
  <c r="M11" i="49"/>
  <c r="G11" i="49"/>
  <c r="L10" i="49"/>
  <c r="F10" i="49"/>
  <c r="K9" i="49"/>
  <c r="P8" i="49"/>
  <c r="J8" i="49"/>
  <c r="G72" i="84"/>
  <c r="E67" i="84"/>
  <c r="K62" i="84"/>
  <c r="N55" i="84"/>
  <c r="K51" i="84"/>
  <c r="L47" i="84"/>
  <c r="I43" i="84"/>
  <c r="I36" i="84"/>
  <c r="K32" i="84"/>
  <c r="I28" i="84"/>
  <c r="E19" i="84"/>
  <c r="I20" i="84"/>
  <c r="P17" i="84"/>
  <c r="M15" i="84"/>
  <c r="I13" i="84"/>
  <c r="F11" i="84"/>
  <c r="L8" i="84"/>
  <c r="E72" i="49"/>
  <c r="F71" i="49"/>
  <c r="G70" i="49"/>
  <c r="H69" i="49"/>
  <c r="I68" i="49"/>
  <c r="K67" i="49"/>
  <c r="L66" i="49"/>
  <c r="M65" i="49"/>
  <c r="N64" i="49"/>
  <c r="O63" i="49"/>
  <c r="E63" i="49"/>
  <c r="F62" i="49"/>
  <c r="G61" i="49"/>
  <c r="H60" i="49"/>
  <c r="K59" i="49"/>
  <c r="N55" i="49"/>
  <c r="E55" i="49"/>
  <c r="H54" i="49"/>
  <c r="K53" i="49"/>
  <c r="N52" i="49"/>
  <c r="E52" i="49"/>
  <c r="H51" i="49"/>
  <c r="K50" i="49"/>
  <c r="N49" i="49"/>
  <c r="E49" i="49"/>
  <c r="H48" i="49"/>
  <c r="K47" i="49"/>
  <c r="N46" i="49"/>
  <c r="E46" i="49"/>
  <c r="H45" i="49"/>
  <c r="K44" i="49"/>
  <c r="N43" i="49"/>
  <c r="E43" i="49"/>
  <c r="H42" i="49"/>
  <c r="K38" i="49"/>
  <c r="N37" i="49"/>
  <c r="E37" i="49"/>
  <c r="H36" i="49"/>
  <c r="K35" i="49"/>
  <c r="N34" i="49"/>
  <c r="E34" i="49"/>
  <c r="H33" i="49"/>
  <c r="K32" i="49"/>
  <c r="N31" i="49"/>
  <c r="E31" i="49"/>
  <c r="H30" i="49"/>
  <c r="K29" i="49"/>
  <c r="N28" i="49"/>
  <c r="E28" i="49"/>
  <c r="H27" i="49"/>
  <c r="K26" i="49"/>
  <c r="N25" i="49"/>
  <c r="E25" i="49"/>
  <c r="E13" i="49"/>
  <c r="L21" i="49"/>
  <c r="N20" i="49"/>
  <c r="P19" i="49"/>
  <c r="G19" i="49"/>
  <c r="I18" i="49"/>
  <c r="K17" i="49"/>
  <c r="M16" i="49"/>
  <c r="O15" i="49"/>
  <c r="F15" i="49"/>
  <c r="H14" i="49"/>
  <c r="J13" i="49"/>
  <c r="L12" i="49"/>
  <c r="N11" i="49"/>
  <c r="P10" i="49"/>
  <c r="G10" i="49"/>
  <c r="I9" i="49"/>
  <c r="K8" i="49"/>
  <c r="Q13" i="84"/>
  <c r="Q19" i="84"/>
  <c r="Q45" i="84"/>
  <c r="Q60" i="84"/>
  <c r="Q66" i="84"/>
  <c r="Q32" i="84"/>
  <c r="R49" i="84"/>
  <c r="S66" i="84"/>
  <c r="T46" i="84"/>
  <c r="R67" i="49"/>
  <c r="Q69" i="49"/>
  <c r="N71" i="84"/>
  <c r="P66" i="84"/>
  <c r="J62" i="84"/>
  <c r="I55" i="84"/>
  <c r="I51" i="84"/>
  <c r="F47" i="84"/>
  <c r="H43" i="84"/>
  <c r="H36" i="84"/>
  <c r="F32" i="84"/>
  <c r="G28" i="84"/>
  <c r="E15" i="84"/>
  <c r="H20" i="84"/>
  <c r="N17" i="84"/>
  <c r="L15" i="84"/>
  <c r="H13" i="84"/>
  <c r="N10" i="84"/>
  <c r="K8" i="84"/>
  <c r="N72" i="49"/>
  <c r="N71" i="49"/>
  <c r="O70" i="49"/>
  <c r="E70" i="49"/>
  <c r="F69" i="49"/>
  <c r="G68" i="49"/>
  <c r="H67" i="49"/>
  <c r="I66" i="49"/>
  <c r="K65" i="49"/>
  <c r="L64" i="49"/>
  <c r="M63" i="49"/>
  <c r="N62" i="49"/>
  <c r="O61" i="49"/>
  <c r="E61" i="49"/>
  <c r="F60" i="49"/>
  <c r="I59" i="49"/>
  <c r="L55" i="49"/>
  <c r="O54" i="49"/>
  <c r="F54" i="49"/>
  <c r="I53" i="49"/>
  <c r="L52" i="49"/>
  <c r="O51" i="49"/>
  <c r="F51" i="49"/>
  <c r="I50" i="49"/>
  <c r="L49" i="49"/>
  <c r="O48" i="49"/>
  <c r="F48" i="49"/>
  <c r="I47" i="49"/>
  <c r="L46" i="49"/>
  <c r="O45" i="49"/>
  <c r="F45" i="49"/>
  <c r="I44" i="49"/>
  <c r="L43" i="49"/>
  <c r="O42" i="49"/>
  <c r="F42" i="49"/>
  <c r="I38" i="49"/>
  <c r="L37" i="49"/>
  <c r="O36" i="49"/>
  <c r="F36" i="49"/>
  <c r="I35" i="49"/>
  <c r="L34" i="49"/>
  <c r="O33" i="49"/>
  <c r="F33" i="49"/>
  <c r="I32" i="49"/>
  <c r="L31" i="49"/>
  <c r="O30" i="49"/>
  <c r="F30" i="49"/>
  <c r="I29" i="49"/>
  <c r="L28" i="49"/>
  <c r="O27" i="49"/>
  <c r="F27" i="49"/>
  <c r="I26" i="49"/>
  <c r="L25" i="49"/>
  <c r="E20" i="49"/>
  <c r="E11" i="49"/>
  <c r="J21" i="49"/>
  <c r="L20" i="49"/>
  <c r="N19" i="49"/>
  <c r="P18" i="49"/>
  <c r="G18" i="49"/>
  <c r="I17" i="49"/>
  <c r="K16" i="49"/>
  <c r="M15" i="49"/>
  <c r="O14" i="49"/>
  <c r="F14" i="49"/>
  <c r="H13" i="49"/>
  <c r="J12" i="49"/>
  <c r="L11" i="49"/>
  <c r="N10" i="49"/>
  <c r="P9" i="49"/>
  <c r="G9" i="49"/>
  <c r="I8" i="49"/>
  <c r="S9" i="84"/>
  <c r="R29" i="84"/>
  <c r="T29" i="84"/>
  <c r="Q10" i="84"/>
  <c r="Q46" i="84"/>
  <c r="Q52" i="84"/>
  <c r="Q61" i="84"/>
  <c r="Q26" i="84"/>
  <c r="Q34" i="84"/>
  <c r="R44" i="84"/>
  <c r="R50" i="84"/>
  <c r="R59" i="84"/>
  <c r="S46" i="84"/>
  <c r="T47" i="84"/>
  <c r="T53" i="84"/>
  <c r="T62" i="84"/>
  <c r="G70" i="84"/>
  <c r="E65" i="84"/>
  <c r="E61" i="84"/>
  <c r="O53" i="84"/>
  <c r="E50" i="84"/>
  <c r="E46" i="84"/>
  <c r="O38" i="84"/>
  <c r="O34" i="84"/>
  <c r="M30" i="84"/>
  <c r="O26" i="84"/>
  <c r="N21" i="84"/>
  <c r="J19" i="84"/>
  <c r="F17" i="84"/>
  <c r="N14" i="84"/>
  <c r="J12" i="84"/>
  <c r="F10" i="84"/>
  <c r="I72" i="49"/>
  <c r="K71" i="49"/>
  <c r="L70" i="49"/>
  <c r="M69" i="49"/>
  <c r="N68" i="49"/>
  <c r="O67" i="49"/>
  <c r="E67" i="49"/>
  <c r="F66" i="49"/>
  <c r="G65" i="49"/>
  <c r="H64" i="49"/>
  <c r="I63" i="49"/>
  <c r="K62" i="49"/>
  <c r="L61" i="49"/>
  <c r="M60" i="49"/>
  <c r="O59" i="49"/>
  <c r="F59" i="49"/>
  <c r="I55" i="49"/>
  <c r="L54" i="49"/>
  <c r="O53" i="49"/>
  <c r="F53" i="49"/>
  <c r="I52" i="49"/>
  <c r="L51" i="49"/>
  <c r="O50" i="49"/>
  <c r="F50" i="49"/>
  <c r="I49" i="49"/>
  <c r="L48" i="49"/>
  <c r="O47" i="49"/>
  <c r="F47" i="49"/>
  <c r="I46" i="49"/>
  <c r="L45" i="49"/>
  <c r="O44" i="49"/>
  <c r="F44" i="49"/>
  <c r="I43" i="49"/>
  <c r="L42" i="49"/>
  <c r="O38" i="49"/>
  <c r="F38" i="49"/>
  <c r="I37" i="49"/>
  <c r="L36" i="49"/>
  <c r="O35" i="49"/>
  <c r="F35" i="49"/>
  <c r="I34" i="49"/>
  <c r="L33" i="49"/>
  <c r="O32" i="49"/>
  <c r="F32" i="49"/>
  <c r="I31" i="49"/>
  <c r="L30" i="49"/>
  <c r="O29" i="49"/>
  <c r="F29" i="49"/>
  <c r="I28" i="49"/>
  <c r="L27" i="49"/>
  <c r="O26" i="49"/>
  <c r="F26" i="49"/>
  <c r="I25" i="49"/>
  <c r="E17" i="49"/>
  <c r="P21" i="49"/>
  <c r="G21" i="49"/>
  <c r="I20" i="49"/>
  <c r="K19" i="49"/>
  <c r="M18" i="49"/>
  <c r="O17" i="49"/>
  <c r="F17" i="49"/>
  <c r="H16" i="49"/>
  <c r="J15" i="49"/>
  <c r="L14" i="49"/>
  <c r="N13" i="49"/>
  <c r="P12" i="49"/>
  <c r="G12" i="49"/>
  <c r="I11" i="49"/>
  <c r="K10" i="49"/>
  <c r="M9" i="49"/>
  <c r="O8" i="49"/>
  <c r="F8" i="49"/>
  <c r="S15" i="84"/>
  <c r="Q42" i="84"/>
  <c r="Q48" i="84"/>
  <c r="Q54" i="84"/>
  <c r="Q63" i="84"/>
  <c r="Q69" i="84"/>
  <c r="R19" i="84"/>
  <c r="Q29" i="84"/>
  <c r="Q36" i="84"/>
  <c r="R46" i="84"/>
  <c r="S54" i="84"/>
  <c r="T35" i="84"/>
  <c r="Q65" i="49"/>
  <c r="Q72" i="49"/>
  <c r="R63" i="49"/>
  <c r="Q49" i="49"/>
  <c r="Q16" i="49"/>
  <c r="H70" i="84"/>
  <c r="G61" i="84"/>
  <c r="F50" i="84"/>
  <c r="H42" i="84"/>
  <c r="F31" i="84"/>
  <c r="O21" i="84"/>
  <c r="G17" i="84"/>
  <c r="L12" i="84"/>
  <c r="G71" i="49"/>
  <c r="I69" i="49"/>
  <c r="L67" i="49"/>
  <c r="N65" i="49"/>
  <c r="E64" i="49"/>
  <c r="G62" i="49"/>
  <c r="I60" i="49"/>
  <c r="O55" i="49"/>
  <c r="I54" i="49"/>
  <c r="O52" i="49"/>
  <c r="I51" i="49"/>
  <c r="O49" i="49"/>
  <c r="I48" i="49"/>
  <c r="O46" i="49"/>
  <c r="I45" i="49"/>
  <c r="O43" i="49"/>
  <c r="I42" i="49"/>
  <c r="O37" i="49"/>
  <c r="I36" i="49"/>
  <c r="O34" i="49"/>
  <c r="I33" i="49"/>
  <c r="O31" i="49"/>
  <c r="I30" i="49"/>
  <c r="O28" i="49"/>
  <c r="I27" i="49"/>
  <c r="O25" i="49"/>
  <c r="E14" i="49"/>
  <c r="O20" i="49"/>
  <c r="H19" i="49"/>
  <c r="L17" i="49"/>
  <c r="P15" i="49"/>
  <c r="I14" i="49"/>
  <c r="M12" i="49"/>
  <c r="F11" i="49"/>
  <c r="J9" i="49"/>
  <c r="S19" i="84"/>
  <c r="V29" i="84"/>
  <c r="Q21" i="84"/>
  <c r="Q9" i="84"/>
  <c r="Q44" i="84"/>
  <c r="Q59" i="84"/>
  <c r="Q71" i="84"/>
  <c r="R54" i="84"/>
  <c r="S44" i="84"/>
  <c r="S59" i="84"/>
  <c r="T19" i="84"/>
  <c r="S35" i="84"/>
  <c r="T66" i="84"/>
  <c r="U45" i="84"/>
  <c r="R15" i="84"/>
  <c r="V45" i="84"/>
  <c r="V66" i="84"/>
  <c r="Q48" i="49"/>
  <c r="Q43" i="49"/>
  <c r="Q27" i="49"/>
  <c r="Q36" i="49"/>
  <c r="T63" i="49"/>
  <c r="M68" i="84"/>
  <c r="O59" i="84"/>
  <c r="E49" i="84"/>
  <c r="O37" i="84"/>
  <c r="M29" i="84"/>
  <c r="F21" i="84"/>
  <c r="J16" i="84"/>
  <c r="N11" i="84"/>
  <c r="M72" i="49"/>
  <c r="N70" i="49"/>
  <c r="E69" i="49"/>
  <c r="G67" i="49"/>
  <c r="I65" i="49"/>
  <c r="L63" i="49"/>
  <c r="N61" i="49"/>
  <c r="E60" i="49"/>
  <c r="K55" i="49"/>
  <c r="E54" i="49"/>
  <c r="K52" i="49"/>
  <c r="E51" i="49"/>
  <c r="K49" i="49"/>
  <c r="E48" i="49"/>
  <c r="K46" i="49"/>
  <c r="E45" i="49"/>
  <c r="K43" i="49"/>
  <c r="E42" i="49"/>
  <c r="K37" i="49"/>
  <c r="E36" i="49"/>
  <c r="K34" i="49"/>
  <c r="E33" i="49"/>
  <c r="K31" i="49"/>
  <c r="E30" i="49"/>
  <c r="K28" i="49"/>
  <c r="E27" i="49"/>
  <c r="K25" i="49"/>
  <c r="E10" i="49"/>
  <c r="K20" i="49"/>
  <c r="O18" i="49"/>
  <c r="H17" i="49"/>
  <c r="L15" i="49"/>
  <c r="P13" i="49"/>
  <c r="I12" i="49"/>
  <c r="M10" i="49"/>
  <c r="F9" i="49"/>
  <c r="Q68" i="49"/>
  <c r="U19" i="84"/>
  <c r="R11" i="84"/>
  <c r="Q47" i="84"/>
  <c r="Q62" i="84"/>
  <c r="R9" i="84"/>
  <c r="Q27" i="84"/>
  <c r="R45" i="84"/>
  <c r="S47" i="84"/>
  <c r="S62" i="84"/>
  <c r="T54" i="84"/>
  <c r="Q66" i="49"/>
  <c r="Q54" i="49"/>
  <c r="Q18" i="49"/>
  <c r="Q8" i="49"/>
  <c r="K68" i="84"/>
  <c r="N59" i="84"/>
  <c r="L48" i="84"/>
  <c r="I37" i="84"/>
  <c r="L29" i="84"/>
  <c r="P20" i="84"/>
  <c r="I16" i="84"/>
  <c r="M11" i="84"/>
  <c r="H72" i="49"/>
  <c r="K70" i="49"/>
  <c r="M68" i="49"/>
  <c r="O66" i="49"/>
  <c r="F65" i="49"/>
  <c r="H63" i="49"/>
  <c r="K61" i="49"/>
  <c r="N59" i="49"/>
  <c r="H55" i="49"/>
  <c r="N53" i="49"/>
  <c r="H52" i="49"/>
  <c r="N50" i="49"/>
  <c r="H49" i="49"/>
  <c r="N47" i="49"/>
  <c r="H46" i="49"/>
  <c r="N44" i="49"/>
  <c r="H43" i="49"/>
  <c r="N38" i="49"/>
  <c r="H37" i="49"/>
  <c r="N35" i="49"/>
  <c r="H34" i="49"/>
  <c r="N32" i="49"/>
  <c r="H31" i="49"/>
  <c r="N29" i="49"/>
  <c r="H28" i="49"/>
  <c r="N26" i="49"/>
  <c r="H25" i="49"/>
  <c r="O21" i="49"/>
  <c r="H20" i="49"/>
  <c r="L18" i="49"/>
  <c r="P16" i="49"/>
  <c r="I15" i="49"/>
  <c r="M13" i="49"/>
  <c r="F12" i="49"/>
  <c r="J10" i="49"/>
  <c r="N8" i="49"/>
  <c r="R36" i="84"/>
  <c r="Q11" i="84"/>
  <c r="T13" i="84"/>
  <c r="Q49" i="84"/>
  <c r="Q64" i="84"/>
  <c r="Q30" i="84"/>
  <c r="R47" i="84"/>
  <c r="R62" i="84"/>
  <c r="S49" i="84"/>
  <c r="T44" i="84"/>
  <c r="T59" i="84"/>
  <c r="U66" i="84"/>
  <c r="U35" i="84"/>
  <c r="J65" i="84"/>
  <c r="F46" i="84"/>
  <c r="P26" i="84"/>
  <c r="P14" i="84"/>
  <c r="H70" i="49"/>
  <c r="M66" i="49"/>
  <c r="F63" i="49"/>
  <c r="L59" i="49"/>
  <c r="L53" i="49"/>
  <c r="L50" i="49"/>
  <c r="L47" i="49"/>
  <c r="L44" i="49"/>
  <c r="L38" i="49"/>
  <c r="L35" i="49"/>
  <c r="L32" i="49"/>
  <c r="L29" i="49"/>
  <c r="L26" i="49"/>
  <c r="M21" i="49"/>
  <c r="J18" i="49"/>
  <c r="G15" i="49"/>
  <c r="O11" i="49"/>
  <c r="L8" i="49"/>
  <c r="Q50" i="84"/>
  <c r="S29" i="84"/>
  <c r="T67" i="49"/>
  <c r="R33" i="49"/>
  <c r="R28" i="49"/>
  <c r="E64" i="84"/>
  <c r="N44" i="84"/>
  <c r="O25" i="84"/>
  <c r="F14" i="84"/>
  <c r="O69" i="49"/>
  <c r="H66" i="49"/>
  <c r="M62" i="49"/>
  <c r="H59" i="49"/>
  <c r="H53" i="49"/>
  <c r="H50" i="49"/>
  <c r="H47" i="49"/>
  <c r="H44" i="49"/>
  <c r="H38" i="49"/>
  <c r="H35" i="49"/>
  <c r="H32" i="49"/>
  <c r="H29" i="49"/>
  <c r="H26" i="49"/>
  <c r="I21" i="49"/>
  <c r="F18" i="49"/>
  <c r="N14" i="49"/>
  <c r="K11" i="49"/>
  <c r="H8" i="49"/>
  <c r="Q20" i="84"/>
  <c r="Q53" i="84"/>
  <c r="Q18" i="84"/>
  <c r="R35" i="84"/>
  <c r="K63" i="84"/>
  <c r="L44" i="84"/>
  <c r="J25" i="84"/>
  <c r="P13" i="84"/>
  <c r="L69" i="49"/>
  <c r="E66" i="49"/>
  <c r="I62" i="49"/>
  <c r="E59" i="49"/>
  <c r="E53" i="49"/>
  <c r="E50" i="49"/>
  <c r="E47" i="49"/>
  <c r="E44" i="49"/>
  <c r="E38" i="49"/>
  <c r="E35" i="49"/>
  <c r="E32" i="49"/>
  <c r="E29" i="49"/>
  <c r="E26" i="49"/>
  <c r="F21" i="49"/>
  <c r="N17" i="49"/>
  <c r="K14" i="49"/>
  <c r="H11" i="49"/>
  <c r="E8" i="49"/>
  <c r="Q55" i="84"/>
  <c r="R53" i="84"/>
  <c r="Q14" i="84"/>
  <c r="Q70" i="49"/>
  <c r="S63" i="49"/>
  <c r="Q14" i="49"/>
  <c r="S27" i="49"/>
  <c r="S28" i="49"/>
  <c r="I54" i="84"/>
  <c r="E35" i="84"/>
  <c r="L19" i="84"/>
  <c r="G10" i="84"/>
  <c r="F72" i="49"/>
  <c r="K68" i="49"/>
  <c r="O64" i="49"/>
  <c r="H61" i="49"/>
  <c r="F55" i="49"/>
  <c r="F52" i="49"/>
  <c r="F49" i="49"/>
  <c r="F46" i="49"/>
  <c r="F43" i="49"/>
  <c r="F37" i="49"/>
  <c r="F34" i="49"/>
  <c r="F31" i="49"/>
  <c r="F28" i="49"/>
  <c r="F25" i="49"/>
  <c r="F20" i="49"/>
  <c r="N16" i="49"/>
  <c r="K13" i="49"/>
  <c r="H10" i="49"/>
  <c r="Q65" i="84"/>
  <c r="Q31" i="84"/>
  <c r="S50" i="84"/>
  <c r="T45" i="84"/>
  <c r="R66" i="49"/>
  <c r="Q71" i="49"/>
  <c r="Q33" i="49"/>
  <c r="Q25" i="49"/>
  <c r="S54" i="49"/>
  <c r="R8" i="49"/>
  <c r="K33" i="84"/>
  <c r="M71" i="49"/>
  <c r="O60" i="49"/>
  <c r="N48" i="49"/>
  <c r="N36" i="49"/>
  <c r="N27" i="49"/>
  <c r="J16" i="49"/>
  <c r="R66" i="84"/>
  <c r="Q37" i="49"/>
  <c r="O52" i="84"/>
  <c r="I9" i="84"/>
  <c r="G64" i="49"/>
  <c r="K48" i="49"/>
  <c r="N33" i="49"/>
  <c r="E16" i="49"/>
  <c r="N18" i="84"/>
  <c r="Q28" i="84"/>
  <c r="F68" i="49"/>
  <c r="K54" i="49"/>
  <c r="N42" i="49"/>
  <c r="K30" i="49"/>
  <c r="G16" i="49"/>
  <c r="Q37" i="84"/>
  <c r="T50" i="84"/>
  <c r="Q60" i="49"/>
  <c r="S25" i="49"/>
  <c r="L18" i="84"/>
  <c r="N67" i="49"/>
  <c r="N51" i="49"/>
  <c r="K42" i="49"/>
  <c r="K27" i="49"/>
  <c r="G13" i="49"/>
  <c r="Q17" i="84"/>
  <c r="Q67" i="49"/>
  <c r="Q53" i="49"/>
  <c r="Q35" i="49"/>
  <c r="U63" i="49"/>
  <c r="N52" i="84"/>
  <c r="N45" i="49"/>
  <c r="M19" i="49"/>
  <c r="U62" i="84"/>
  <c r="R13" i="84"/>
  <c r="Q70" i="84"/>
  <c r="T65" i="49"/>
  <c r="Q20" i="49"/>
  <c r="T48" i="49"/>
  <c r="L33" i="84"/>
  <c r="I71" i="49"/>
  <c r="K45" i="49"/>
  <c r="J19" i="49"/>
  <c r="Q63" i="49"/>
  <c r="T15" i="84"/>
  <c r="Q35" i="84"/>
  <c r="Q29" i="49"/>
  <c r="Q28" i="49"/>
  <c r="R27" i="49"/>
  <c r="L60" i="49"/>
  <c r="K33" i="49"/>
  <c r="O9" i="49"/>
  <c r="R16" i="84"/>
  <c r="R14" i="49"/>
  <c r="S14" i="49"/>
  <c r="U18" i="49"/>
  <c r="J9" i="84"/>
  <c r="N54" i="49"/>
  <c r="L9" i="49"/>
  <c r="U29" i="84"/>
  <c r="Q59" i="49"/>
  <c r="R36" i="49"/>
  <c r="K51" i="49"/>
  <c r="Q43" i="84"/>
  <c r="U65" i="49"/>
  <c r="Q50" i="49"/>
  <c r="S29" i="49"/>
  <c r="V48" i="49"/>
  <c r="N30" i="49"/>
  <c r="S53" i="84"/>
  <c r="E19" i="49"/>
  <c r="U15" i="84"/>
  <c r="R48" i="49"/>
  <c r="S34" i="49"/>
  <c r="O12" i="49"/>
  <c r="R69" i="49"/>
  <c r="Q68" i="84"/>
  <c r="Q55" i="49"/>
  <c r="R18" i="49"/>
  <c r="T54" i="49"/>
  <c r="U48" i="49"/>
  <c r="R16" i="49"/>
  <c r="S18" i="49"/>
  <c r="K64" i="49"/>
  <c r="K36" i="49"/>
  <c r="K130" i="14"/>
  <c r="E130" i="14"/>
  <c r="L129" i="14"/>
  <c r="F129" i="14"/>
  <c r="M128" i="14"/>
  <c r="G128" i="14"/>
  <c r="N127" i="14"/>
  <c r="H127" i="14"/>
  <c r="O126" i="14"/>
  <c r="I126" i="14"/>
  <c r="C126" i="14"/>
  <c r="J125" i="14"/>
  <c r="D125" i="14"/>
  <c r="L124" i="14"/>
  <c r="F124" i="14"/>
  <c r="M123" i="14"/>
  <c r="G123" i="14"/>
  <c r="O122" i="14"/>
  <c r="I122" i="14"/>
  <c r="C122" i="14"/>
  <c r="J121" i="14"/>
  <c r="D121" i="14"/>
  <c r="K120" i="14"/>
  <c r="E120" i="14"/>
  <c r="L119" i="14"/>
  <c r="F119" i="14"/>
  <c r="M118" i="14"/>
  <c r="G118" i="14"/>
  <c r="N117" i="14"/>
  <c r="H117" i="14"/>
  <c r="O116" i="14"/>
  <c r="I116" i="14"/>
  <c r="C116" i="14"/>
  <c r="J115" i="14"/>
  <c r="D115" i="14"/>
  <c r="L114" i="14"/>
  <c r="F114" i="14"/>
  <c r="N113" i="14"/>
  <c r="H113" i="14"/>
  <c r="M109" i="14"/>
  <c r="G109" i="14"/>
  <c r="N108" i="14"/>
  <c r="H108" i="14"/>
  <c r="O107" i="14"/>
  <c r="I107" i="14"/>
  <c r="C107" i="14"/>
  <c r="J106" i="14"/>
  <c r="D106" i="14"/>
  <c r="K105" i="14"/>
  <c r="E105" i="14"/>
  <c r="L104" i="14"/>
  <c r="F104" i="14"/>
  <c r="M103" i="14"/>
  <c r="G103" i="14"/>
  <c r="N102" i="14"/>
  <c r="H102" i="14"/>
  <c r="O101" i="14"/>
  <c r="I101" i="14"/>
  <c r="C101" i="14"/>
  <c r="J100" i="14"/>
  <c r="D100" i="14"/>
  <c r="K99" i="14"/>
  <c r="E99" i="14"/>
  <c r="L98" i="14"/>
  <c r="F98" i="14"/>
  <c r="M97" i="14"/>
  <c r="G97" i="14"/>
  <c r="N96" i="14"/>
  <c r="H96" i="14"/>
  <c r="O95" i="14"/>
  <c r="I95" i="14"/>
  <c r="C95" i="14"/>
  <c r="L94" i="14"/>
  <c r="F94" i="14"/>
  <c r="M93" i="14"/>
  <c r="G93" i="14"/>
  <c r="N92" i="14"/>
  <c r="H92" i="14"/>
  <c r="P92" i="14"/>
  <c r="M88" i="14"/>
  <c r="G88" i="14"/>
  <c r="N87" i="14"/>
  <c r="H87" i="14"/>
  <c r="O86" i="14"/>
  <c r="I86" i="14"/>
  <c r="C86" i="14"/>
  <c r="J85" i="14"/>
  <c r="D85" i="14"/>
  <c r="K84" i="14"/>
  <c r="E84" i="14"/>
  <c r="L83" i="14"/>
  <c r="F83" i="14"/>
  <c r="M82" i="14"/>
  <c r="G82" i="14"/>
  <c r="N81" i="14"/>
  <c r="H81" i="14"/>
  <c r="O80" i="14"/>
  <c r="I80" i="14"/>
  <c r="C80" i="14"/>
  <c r="J79" i="14"/>
  <c r="D79" i="14"/>
  <c r="K78" i="14"/>
  <c r="E78" i="14"/>
  <c r="L77" i="14"/>
  <c r="F77" i="14"/>
  <c r="M76" i="14"/>
  <c r="G76" i="14"/>
  <c r="N75" i="14"/>
  <c r="H75" i="14"/>
  <c r="O74" i="14"/>
  <c r="I74" i="14"/>
  <c r="C74" i="14"/>
  <c r="J73" i="14"/>
  <c r="D73" i="14"/>
  <c r="K72" i="14"/>
  <c r="E72" i="14"/>
  <c r="N71" i="14"/>
  <c r="H71" i="14"/>
  <c r="P76" i="14"/>
  <c r="P82" i="14"/>
  <c r="P88" i="14"/>
  <c r="L67" i="14"/>
  <c r="F67" i="14"/>
  <c r="M66" i="14"/>
  <c r="G66" i="14"/>
  <c r="N65" i="14"/>
  <c r="H65" i="14"/>
  <c r="O64" i="14"/>
  <c r="I64" i="14"/>
  <c r="C64" i="14"/>
  <c r="J63" i="14"/>
  <c r="D63" i="14"/>
  <c r="K62" i="14"/>
  <c r="E62" i="14"/>
  <c r="L61" i="14"/>
  <c r="F61" i="14"/>
  <c r="M60" i="14"/>
  <c r="G60" i="14"/>
  <c r="N59" i="14"/>
  <c r="H59" i="14"/>
  <c r="O58" i="14"/>
  <c r="I58" i="14"/>
  <c r="C58" i="14"/>
  <c r="J57" i="14"/>
  <c r="D57" i="14"/>
  <c r="K56" i="14"/>
  <c r="E56" i="14"/>
  <c r="L55" i="14"/>
  <c r="F55" i="14"/>
  <c r="M54" i="14"/>
  <c r="G54" i="14"/>
  <c r="J53" i="14"/>
  <c r="J130" i="14"/>
  <c r="D130" i="14"/>
  <c r="K129" i="14"/>
  <c r="E129" i="14"/>
  <c r="L128" i="14"/>
  <c r="F128" i="14"/>
  <c r="M127" i="14"/>
  <c r="G127" i="14"/>
  <c r="N126" i="14"/>
  <c r="H126" i="14"/>
  <c r="O130" i="14"/>
  <c r="I130" i="14"/>
  <c r="C130" i="14"/>
  <c r="J129" i="14"/>
  <c r="D129" i="14"/>
  <c r="K128" i="14"/>
  <c r="E128" i="14"/>
  <c r="L127" i="14"/>
  <c r="F127" i="14"/>
  <c r="M126" i="14"/>
  <c r="G126" i="14"/>
  <c r="N125" i="14"/>
  <c r="H125" i="14"/>
  <c r="J124" i="14"/>
  <c r="D124" i="14"/>
  <c r="K123" i="14"/>
  <c r="E123" i="14"/>
  <c r="M122" i="14"/>
  <c r="G122" i="14"/>
  <c r="N121" i="14"/>
  <c r="H121" i="14"/>
  <c r="O120" i="14"/>
  <c r="I120" i="14"/>
  <c r="C120" i="14"/>
  <c r="J119" i="14"/>
  <c r="D119" i="14"/>
  <c r="K118" i="14"/>
  <c r="E118" i="14"/>
  <c r="L117" i="14"/>
  <c r="F117" i="14"/>
  <c r="M116" i="14"/>
  <c r="G116" i="14"/>
  <c r="N115" i="14"/>
  <c r="H115" i="14"/>
  <c r="J114" i="14"/>
  <c r="D114" i="14"/>
  <c r="L113" i="14"/>
  <c r="F113" i="14"/>
  <c r="P130" i="14"/>
  <c r="Q127" i="14"/>
  <c r="K109" i="14"/>
  <c r="E109" i="14"/>
  <c r="L108" i="14"/>
  <c r="F108" i="14"/>
  <c r="M107" i="14"/>
  <c r="G107" i="14"/>
  <c r="N106" i="14"/>
  <c r="H106" i="14"/>
  <c r="O105" i="14"/>
  <c r="I105" i="14"/>
  <c r="C105" i="14"/>
  <c r="J104" i="14"/>
  <c r="D104" i="14"/>
  <c r="K103" i="14"/>
  <c r="E103" i="14"/>
  <c r="L102" i="14"/>
  <c r="F102" i="14"/>
  <c r="M101" i="14"/>
  <c r="G101" i="14"/>
  <c r="N100" i="14"/>
  <c r="H100" i="14"/>
  <c r="O99" i="14"/>
  <c r="I99" i="14"/>
  <c r="C99" i="14"/>
  <c r="J98" i="14"/>
  <c r="D98" i="14"/>
  <c r="K97" i="14"/>
  <c r="E97" i="14"/>
  <c r="L96" i="14"/>
  <c r="F96" i="14"/>
  <c r="M95" i="14"/>
  <c r="G95" i="14"/>
  <c r="J94" i="14"/>
  <c r="D94" i="14"/>
  <c r="K93" i="14"/>
  <c r="E93" i="14"/>
  <c r="L92" i="14"/>
  <c r="F92" i="14"/>
  <c r="P95" i="14"/>
  <c r="P109" i="14"/>
  <c r="K88" i="14"/>
  <c r="E88" i="14"/>
  <c r="L87" i="14"/>
  <c r="F87" i="14"/>
  <c r="M86" i="14"/>
  <c r="G86" i="14"/>
  <c r="N85" i="14"/>
  <c r="H85" i="14"/>
  <c r="O84" i="14"/>
  <c r="I84" i="14"/>
  <c r="C84" i="14"/>
  <c r="J83" i="14"/>
  <c r="D83" i="14"/>
  <c r="K82" i="14"/>
  <c r="E82" i="14"/>
  <c r="L81" i="14"/>
  <c r="F81" i="14"/>
  <c r="M80" i="14"/>
  <c r="G80" i="14"/>
  <c r="N79" i="14"/>
  <c r="H79" i="14"/>
  <c r="O78" i="14"/>
  <c r="I78" i="14"/>
  <c r="C78" i="14"/>
  <c r="J77" i="14"/>
  <c r="D77" i="14"/>
  <c r="K76" i="14"/>
  <c r="E76" i="14"/>
  <c r="L75" i="14"/>
  <c r="F75" i="14"/>
  <c r="M74" i="14"/>
  <c r="G74" i="14"/>
  <c r="N73" i="14"/>
  <c r="H73" i="14"/>
  <c r="O72" i="14"/>
  <c r="I72" i="14"/>
  <c r="C72" i="14"/>
  <c r="L71" i="14"/>
  <c r="F71" i="14"/>
  <c r="P84" i="14"/>
  <c r="J67" i="14"/>
  <c r="D67" i="14"/>
  <c r="K66" i="14"/>
  <c r="E66" i="14"/>
  <c r="L65" i="14"/>
  <c r="F65" i="14"/>
  <c r="M64" i="14"/>
  <c r="G64" i="14"/>
  <c r="N63" i="14"/>
  <c r="H63" i="14"/>
  <c r="O62" i="14"/>
  <c r="I62" i="14"/>
  <c r="C62" i="14"/>
  <c r="J61" i="14"/>
  <c r="D61" i="14"/>
  <c r="K60" i="14"/>
  <c r="E60" i="14"/>
  <c r="L59" i="14"/>
  <c r="F59" i="14"/>
  <c r="M58" i="14"/>
  <c r="G58" i="14"/>
  <c r="N57" i="14"/>
  <c r="H57" i="14"/>
  <c r="O56" i="14"/>
  <c r="I56" i="14"/>
  <c r="C56" i="14"/>
  <c r="J55" i="14"/>
  <c r="D55" i="14"/>
  <c r="K54" i="14"/>
  <c r="E54" i="14"/>
  <c r="N53" i="14"/>
  <c r="H53" i="14"/>
  <c r="O52" i="14"/>
  <c r="I52" i="14"/>
  <c r="C52" i="14"/>
  <c r="J51" i="14"/>
  <c r="D51" i="14"/>
  <c r="L50" i="14"/>
  <c r="F50" i="14"/>
  <c r="P63" i="14"/>
  <c r="N46" i="14"/>
  <c r="H46" i="14"/>
  <c r="O45" i="14"/>
  <c r="I45" i="14"/>
  <c r="C45" i="14"/>
  <c r="J44" i="14"/>
  <c r="D44" i="14"/>
  <c r="K43" i="14"/>
  <c r="E43" i="14"/>
  <c r="M42" i="14"/>
  <c r="G42" i="14"/>
  <c r="N41" i="14"/>
  <c r="H41" i="14"/>
  <c r="O40" i="14"/>
  <c r="I40" i="14"/>
  <c r="C40" i="14"/>
  <c r="J39" i="14"/>
  <c r="D39" i="14"/>
  <c r="N38" i="14"/>
  <c r="H38" i="14"/>
  <c r="J37" i="14"/>
  <c r="D37" i="14"/>
  <c r="N36" i="14"/>
  <c r="H36" i="14"/>
  <c r="O35" i="14"/>
  <c r="I35" i="14"/>
  <c r="C35" i="14"/>
  <c r="J34" i="14"/>
  <c r="D34" i="14"/>
  <c r="K33" i="14"/>
  <c r="E33" i="14"/>
  <c r="N32" i="14"/>
  <c r="H32" i="14"/>
  <c r="O31" i="14"/>
  <c r="I31" i="14"/>
  <c r="C31" i="14"/>
  <c r="J30" i="14"/>
  <c r="D30" i="14"/>
  <c r="K29" i="14"/>
  <c r="E29" i="14"/>
  <c r="N130" i="14"/>
  <c r="H130" i="14"/>
  <c r="O129" i="14"/>
  <c r="I129" i="14"/>
  <c r="C129" i="14"/>
  <c r="J128" i="14"/>
  <c r="D128" i="14"/>
  <c r="K127" i="14"/>
  <c r="E127" i="14"/>
  <c r="L126" i="14"/>
  <c r="F126" i="14"/>
  <c r="M125" i="14"/>
  <c r="G125" i="14"/>
  <c r="O124" i="14"/>
  <c r="I124" i="14"/>
  <c r="C124" i="14"/>
  <c r="J123" i="14"/>
  <c r="D123" i="14"/>
  <c r="L122" i="14"/>
  <c r="F122" i="14"/>
  <c r="M121" i="14"/>
  <c r="G121" i="14"/>
  <c r="F130" i="14"/>
  <c r="N128" i="14"/>
  <c r="I127" i="14"/>
  <c r="D126" i="14"/>
  <c r="E125" i="14"/>
  <c r="G124" i="14"/>
  <c r="H123" i="14"/>
  <c r="J122" i="14"/>
  <c r="K121" i="14"/>
  <c r="M120" i="14"/>
  <c r="D120" i="14"/>
  <c r="H119" i="14"/>
  <c r="L118" i="14"/>
  <c r="C118" i="14"/>
  <c r="G117" i="14"/>
  <c r="K116" i="14"/>
  <c r="O115" i="14"/>
  <c r="F115" i="14"/>
  <c r="K114" i="14"/>
  <c r="G113" i="14"/>
  <c r="N109" i="14"/>
  <c r="D109" i="14"/>
  <c r="I108" i="14"/>
  <c r="L107" i="14"/>
  <c r="D107" i="14"/>
  <c r="G106" i="14"/>
  <c r="L105" i="14"/>
  <c r="O104" i="14"/>
  <c r="G104" i="14"/>
  <c r="J103" i="14"/>
  <c r="O102" i="14"/>
  <c r="E102" i="14"/>
  <c r="J101" i="14"/>
  <c r="M100" i="14"/>
  <c r="E100" i="14"/>
  <c r="H99" i="14"/>
  <c r="M98" i="14"/>
  <c r="C98" i="14"/>
  <c r="H97" i="14"/>
  <c r="K96" i="14"/>
  <c r="C96" i="14"/>
  <c r="F95" i="14"/>
  <c r="M94" i="14"/>
  <c r="C94" i="14"/>
  <c r="H93" i="14"/>
  <c r="K92" i="14"/>
  <c r="C92" i="14"/>
  <c r="P104" i="14"/>
  <c r="P103" i="14"/>
  <c r="J88" i="14"/>
  <c r="O87" i="14"/>
  <c r="E87" i="14"/>
  <c r="J86" i="14"/>
  <c r="M85" i="14"/>
  <c r="E85" i="14"/>
  <c r="H84" i="14"/>
  <c r="M83" i="14"/>
  <c r="C83" i="14"/>
  <c r="H82" i="14"/>
  <c r="K81" i="14"/>
  <c r="C81" i="14"/>
  <c r="F80" i="14"/>
  <c r="K79" i="14"/>
  <c r="N78" i="14"/>
  <c r="F78" i="14"/>
  <c r="I77" i="14"/>
  <c r="N76" i="14"/>
  <c r="D76" i="14"/>
  <c r="I75" i="14"/>
  <c r="L74" i="14"/>
  <c r="D74" i="14"/>
  <c r="G73" i="14"/>
  <c r="L72" i="14"/>
  <c r="I71" i="14"/>
  <c r="P75" i="14"/>
  <c r="P85" i="14"/>
  <c r="Q75" i="14"/>
  <c r="O67" i="14"/>
  <c r="G67" i="14"/>
  <c r="J66" i="14"/>
  <c r="O65" i="14"/>
  <c r="E65" i="14"/>
  <c r="J64" i="14"/>
  <c r="M63" i="14"/>
  <c r="E63" i="14"/>
  <c r="H62" i="14"/>
  <c r="M61" i="14"/>
  <c r="C61" i="14"/>
  <c r="H60" i="14"/>
  <c r="K59" i="14"/>
  <c r="C59" i="14"/>
  <c r="F58" i="14"/>
  <c r="K57" i="14"/>
  <c r="N56" i="14"/>
  <c r="F56" i="14"/>
  <c r="I55" i="14"/>
  <c r="N54" i="14"/>
  <c r="D54" i="14"/>
  <c r="K53" i="14"/>
  <c r="C53" i="14"/>
  <c r="H52" i="14"/>
  <c r="N51" i="14"/>
  <c r="G51" i="14"/>
  <c r="N50" i="14"/>
  <c r="G50" i="14"/>
  <c r="P60" i="14"/>
  <c r="Q60" i="14"/>
  <c r="M46" i="14"/>
  <c r="F46" i="14"/>
  <c r="L45" i="14"/>
  <c r="E45" i="14"/>
  <c r="K44" i="14"/>
  <c r="C44" i="14"/>
  <c r="I43" i="14"/>
  <c r="I42" i="14"/>
  <c r="O41" i="14"/>
  <c r="G41" i="14"/>
  <c r="M40" i="14"/>
  <c r="F40" i="14"/>
  <c r="L39" i="14"/>
  <c r="E39" i="14"/>
  <c r="M38" i="14"/>
  <c r="F38" i="14"/>
  <c r="M37" i="14"/>
  <c r="F37" i="14"/>
  <c r="O36" i="14"/>
  <c r="G36" i="14"/>
  <c r="M35" i="14"/>
  <c r="F35" i="14"/>
  <c r="L34" i="14"/>
  <c r="E34" i="14"/>
  <c r="J33" i="14"/>
  <c r="C33" i="14"/>
  <c r="K32" i="14"/>
  <c r="D32" i="14"/>
  <c r="J31" i="14"/>
  <c r="O30" i="14"/>
  <c r="H30" i="14"/>
  <c r="N29" i="14"/>
  <c r="G29" i="14"/>
  <c r="P32" i="14"/>
  <c r="P42" i="14"/>
  <c r="P36" i="14"/>
  <c r="N25" i="14"/>
  <c r="H25" i="14"/>
  <c r="O24" i="14"/>
  <c r="I24" i="14"/>
  <c r="C24" i="14"/>
  <c r="J23" i="14"/>
  <c r="D23" i="14"/>
  <c r="K22" i="14"/>
  <c r="E22" i="14"/>
  <c r="L21" i="14"/>
  <c r="F21" i="14"/>
  <c r="M20" i="14"/>
  <c r="G20" i="14"/>
  <c r="N19" i="14"/>
  <c r="H19" i="14"/>
  <c r="O18" i="14"/>
  <c r="I18" i="14"/>
  <c r="C18" i="14"/>
  <c r="J17" i="14"/>
  <c r="D17" i="14"/>
  <c r="K16" i="14"/>
  <c r="E16" i="14"/>
  <c r="L15" i="14"/>
  <c r="F15" i="14"/>
  <c r="M14" i="14"/>
  <c r="G14" i="14"/>
  <c r="N13" i="14"/>
  <c r="H13" i="14"/>
  <c r="O12" i="14"/>
  <c r="I12" i="14"/>
  <c r="C12" i="14"/>
  <c r="J11" i="14"/>
  <c r="D11" i="14"/>
  <c r="K10" i="14"/>
  <c r="E10" i="14"/>
  <c r="L9" i="14"/>
  <c r="F9" i="14"/>
  <c r="M8" i="14"/>
  <c r="G8" i="14"/>
  <c r="N129" i="14"/>
  <c r="I128" i="14"/>
  <c r="D127" i="14"/>
  <c r="O125" i="14"/>
  <c r="C125" i="14"/>
  <c r="E124" i="14"/>
  <c r="F123" i="14"/>
  <c r="H122" i="14"/>
  <c r="I121" i="14"/>
  <c r="L120" i="14"/>
  <c r="O119" i="14"/>
  <c r="G119" i="14"/>
  <c r="J118" i="14"/>
  <c r="O117" i="14"/>
  <c r="E117" i="14"/>
  <c r="J116" i="14"/>
  <c r="M115" i="14"/>
  <c r="E115" i="14"/>
  <c r="I114" i="14"/>
  <c r="O113" i="14"/>
  <c r="E113" i="14"/>
  <c r="P127" i="14"/>
  <c r="P117" i="14"/>
  <c r="P121" i="14"/>
  <c r="L109" i="14"/>
  <c r="C109" i="14"/>
  <c r="G108" i="14"/>
  <c r="K107" i="14"/>
  <c r="O106" i="14"/>
  <c r="F106" i="14"/>
  <c r="J105" i="14"/>
  <c r="N104" i="14"/>
  <c r="E104" i="14"/>
  <c r="I103" i="14"/>
  <c r="M102" i="14"/>
  <c r="D102" i="14"/>
  <c r="H101" i="14"/>
  <c r="L100" i="14"/>
  <c r="C100" i="14"/>
  <c r="G99" i="14"/>
  <c r="K98" i="14"/>
  <c r="O97" i="14"/>
  <c r="F97" i="14"/>
  <c r="J96" i="14"/>
  <c r="N95" i="14"/>
  <c r="E95" i="14"/>
  <c r="K94" i="14"/>
  <c r="O93" i="14"/>
  <c r="F93" i="14"/>
  <c r="J92" i="14"/>
  <c r="P105" i="14"/>
  <c r="I88" i="14"/>
  <c r="M87" i="14"/>
  <c r="D87" i="14"/>
  <c r="H86" i="14"/>
  <c r="L85" i="14"/>
  <c r="C85" i="14"/>
  <c r="G84" i="14"/>
  <c r="K83" i="14"/>
  <c r="O82" i="14"/>
  <c r="F82" i="14"/>
  <c r="J81" i="14"/>
  <c r="N80" i="14"/>
  <c r="E80" i="14"/>
  <c r="I79" i="14"/>
  <c r="M78" i="14"/>
  <c r="D78" i="14"/>
  <c r="H77" i="14"/>
  <c r="L76" i="14"/>
  <c r="C76" i="14"/>
  <c r="G75" i="14"/>
  <c r="K74" i="14"/>
  <c r="O73" i="14"/>
  <c r="F73" i="14"/>
  <c r="J72" i="14"/>
  <c r="G71" i="14"/>
  <c r="N67" i="14"/>
  <c r="E67" i="14"/>
  <c r="I66" i="14"/>
  <c r="M65" i="14"/>
  <c r="D65" i="14"/>
  <c r="H64" i="14"/>
  <c r="L63" i="14"/>
  <c r="C63" i="14"/>
  <c r="G62" i="14"/>
  <c r="K61" i="14"/>
  <c r="O60" i="14"/>
  <c r="F60" i="14"/>
  <c r="J59" i="14"/>
  <c r="N58" i="14"/>
  <c r="E58" i="14"/>
  <c r="I57" i="14"/>
  <c r="M56" i="14"/>
  <c r="D56" i="14"/>
  <c r="H55" i="14"/>
  <c r="L54" i="14"/>
  <c r="C54" i="14"/>
  <c r="I53" i="14"/>
  <c r="N52" i="14"/>
  <c r="G52" i="14"/>
  <c r="M51" i="14"/>
  <c r="F51" i="14"/>
  <c r="M50" i="14"/>
  <c r="E50" i="14"/>
  <c r="L46" i="14"/>
  <c r="E46" i="14"/>
  <c r="K45" i="14"/>
  <c r="D45" i="14"/>
  <c r="I44" i="14"/>
  <c r="O43" i="14"/>
  <c r="H43" i="14"/>
  <c r="O42" i="14"/>
  <c r="H42" i="14"/>
  <c r="M41" i="14"/>
  <c r="F41" i="14"/>
  <c r="L40" i="14"/>
  <c r="E40" i="14"/>
  <c r="K39" i="14"/>
  <c r="C39" i="14"/>
  <c r="L38" i="14"/>
  <c r="E38" i="14"/>
  <c r="L37" i="14"/>
  <c r="E37" i="14"/>
  <c r="M36" i="14"/>
  <c r="F36" i="14"/>
  <c r="L35" i="14"/>
  <c r="E35" i="14"/>
  <c r="K34" i="14"/>
  <c r="C34" i="14"/>
  <c r="I33" i="14"/>
  <c r="J32" i="14"/>
  <c r="C32" i="14"/>
  <c r="H31" i="14"/>
  <c r="N30" i="14"/>
  <c r="G30" i="14"/>
  <c r="M29" i="14"/>
  <c r="F29" i="14"/>
  <c r="M25" i="14"/>
  <c r="G25" i="14"/>
  <c r="N24" i="14"/>
  <c r="H24" i="14"/>
  <c r="O23" i="14"/>
  <c r="I23" i="14"/>
  <c r="C23" i="14"/>
  <c r="J22" i="14"/>
  <c r="D22" i="14"/>
  <c r="K21" i="14"/>
  <c r="E21" i="14"/>
  <c r="L20" i="14"/>
  <c r="F20" i="14"/>
  <c r="M19" i="14"/>
  <c r="G19" i="14"/>
  <c r="N18" i="14"/>
  <c r="H18" i="14"/>
  <c r="O17" i="14"/>
  <c r="I17" i="14"/>
  <c r="C17" i="14"/>
  <c r="J16" i="14"/>
  <c r="D16" i="14"/>
  <c r="K15" i="14"/>
  <c r="E15" i="14"/>
  <c r="L14" i="14"/>
  <c r="F14" i="14"/>
  <c r="M13" i="14"/>
  <c r="G13" i="14"/>
  <c r="N12" i="14"/>
  <c r="H12" i="14"/>
  <c r="O11" i="14"/>
  <c r="I11" i="14"/>
  <c r="C11" i="14"/>
  <c r="J10" i="14"/>
  <c r="D10" i="14"/>
  <c r="K9" i="14"/>
  <c r="E9" i="14"/>
  <c r="L8" i="14"/>
  <c r="F8" i="14"/>
  <c r="P17" i="14"/>
  <c r="M129" i="14"/>
  <c r="H128" i="14"/>
  <c r="C127" i="14"/>
  <c r="L125" i="14"/>
  <c r="N124" i="14"/>
  <c r="O123" i="14"/>
  <c r="C123" i="14"/>
  <c r="E122" i="14"/>
  <c r="F121" i="14"/>
  <c r="J120" i="14"/>
  <c r="N119" i="14"/>
  <c r="E119" i="14"/>
  <c r="I118" i="14"/>
  <c r="M117" i="14"/>
  <c r="D117" i="14"/>
  <c r="H116" i="14"/>
  <c r="L115" i="14"/>
  <c r="C115" i="14"/>
  <c r="H114" i="14"/>
  <c r="M113" i="14"/>
  <c r="D113" i="14"/>
  <c r="P123" i="14"/>
  <c r="J109" i="14"/>
  <c r="O108" i="14"/>
  <c r="E108" i="14"/>
  <c r="J107" i="14"/>
  <c r="M106" i="14"/>
  <c r="E106" i="14"/>
  <c r="H105" i="14"/>
  <c r="M104" i="14"/>
  <c r="C104" i="14"/>
  <c r="H103" i="14"/>
  <c r="K102" i="14"/>
  <c r="C102" i="14"/>
  <c r="F101" i="14"/>
  <c r="K100" i="14"/>
  <c r="N99" i="14"/>
  <c r="F99" i="14"/>
  <c r="I98" i="14"/>
  <c r="N97" i="14"/>
  <c r="D97" i="14"/>
  <c r="I96" i="14"/>
  <c r="L95" i="14"/>
  <c r="D95" i="14"/>
  <c r="I94" i="14"/>
  <c r="N93" i="14"/>
  <c r="D93" i="14"/>
  <c r="I92" i="14"/>
  <c r="M130" i="14"/>
  <c r="H129" i="14"/>
  <c r="C128" i="14"/>
  <c r="K126" i="14"/>
  <c r="K125" i="14"/>
  <c r="M124" i="14"/>
  <c r="N123" i="14"/>
  <c r="D122" i="14"/>
  <c r="E121" i="14"/>
  <c r="H120" i="14"/>
  <c r="M119" i="14"/>
  <c r="C119" i="14"/>
  <c r="H118" i="14"/>
  <c r="K117" i="14"/>
  <c r="C117" i="14"/>
  <c r="F116" i="14"/>
  <c r="K115" i="14"/>
  <c r="O114" i="14"/>
  <c r="G114" i="14"/>
  <c r="K113" i="14"/>
  <c r="C113" i="14"/>
  <c r="P114" i="14"/>
  <c r="P124" i="14"/>
  <c r="I109" i="14"/>
  <c r="M108" i="14"/>
  <c r="D108" i="14"/>
  <c r="H107" i="14"/>
  <c r="L106" i="14"/>
  <c r="C106" i="14"/>
  <c r="G105" i="14"/>
  <c r="K104" i="14"/>
  <c r="O103" i="14"/>
  <c r="F103" i="14"/>
  <c r="J102" i="14"/>
  <c r="N101" i="14"/>
  <c r="E101" i="14"/>
  <c r="I100" i="14"/>
  <c r="M99" i="14"/>
  <c r="D99" i="14"/>
  <c r="H98" i="14"/>
  <c r="L97" i="14"/>
  <c r="C97" i="14"/>
  <c r="G96" i="14"/>
  <c r="K95" i="14"/>
  <c r="H94" i="14"/>
  <c r="L93" i="14"/>
  <c r="C93" i="14"/>
  <c r="G92" i="14"/>
  <c r="P98" i="14"/>
  <c r="R95" i="14"/>
  <c r="O88" i="14"/>
  <c r="F88" i="14"/>
  <c r="J87" i="14"/>
  <c r="N86" i="14"/>
  <c r="E86" i="14"/>
  <c r="I85" i="14"/>
  <c r="M84" i="14"/>
  <c r="D84" i="14"/>
  <c r="H83" i="14"/>
  <c r="L82" i="14"/>
  <c r="C82" i="14"/>
  <c r="G81" i="14"/>
  <c r="K80" i="14"/>
  <c r="O79" i="14"/>
  <c r="F79" i="14"/>
  <c r="J78" i="14"/>
  <c r="N77" i="14"/>
  <c r="E77" i="14"/>
  <c r="I76" i="14"/>
  <c r="M75" i="14"/>
  <c r="D75" i="14"/>
  <c r="H74" i="14"/>
  <c r="L73" i="14"/>
  <c r="C73" i="14"/>
  <c r="G72" i="14"/>
  <c r="M71" i="14"/>
  <c r="D71" i="14"/>
  <c r="K67" i="14"/>
  <c r="O66" i="14"/>
  <c r="F66" i="14"/>
  <c r="J65" i="14"/>
  <c r="N64" i="14"/>
  <c r="E64" i="14"/>
  <c r="I63" i="14"/>
  <c r="M62" i="14"/>
  <c r="D62" i="14"/>
  <c r="H61" i="14"/>
  <c r="L60" i="14"/>
  <c r="C60" i="14"/>
  <c r="G59" i="14"/>
  <c r="K58" i="14"/>
  <c r="O57" i="14"/>
  <c r="F57" i="14"/>
  <c r="J56" i="14"/>
  <c r="N55" i="14"/>
  <c r="E55" i="14"/>
  <c r="I54" i="14"/>
  <c r="O53" i="14"/>
  <c r="F53" i="14"/>
  <c r="L52" i="14"/>
  <c r="E52" i="14"/>
  <c r="K51" i="14"/>
  <c r="C51" i="14"/>
  <c r="J50" i="14"/>
  <c r="C50" i="14"/>
  <c r="P57" i="14"/>
  <c r="J46" i="14"/>
  <c r="C46" i="14"/>
  <c r="H45" i="14"/>
  <c r="N44" i="14"/>
  <c r="G44" i="14"/>
  <c r="M43" i="14"/>
  <c r="F43" i="14"/>
  <c r="L42" i="14"/>
  <c r="E42" i="14"/>
  <c r="K41" i="14"/>
  <c r="D41" i="14"/>
  <c r="J40" i="14"/>
  <c r="O39" i="14"/>
  <c r="H39" i="14"/>
  <c r="J38" i="14"/>
  <c r="C38" i="14"/>
  <c r="I37" i="14"/>
  <c r="K36" i="14"/>
  <c r="D36" i="14"/>
  <c r="J35" i="14"/>
  <c r="O34" i="14"/>
  <c r="H34" i="14"/>
  <c r="N33" i="14"/>
  <c r="G33" i="14"/>
  <c r="O32" i="14"/>
  <c r="G32" i="14"/>
  <c r="M31" i="14"/>
  <c r="F31" i="14"/>
  <c r="L30" i="14"/>
  <c r="E30" i="14"/>
  <c r="J29" i="14"/>
  <c r="C29" i="14"/>
  <c r="K25" i="14"/>
  <c r="E25" i="14"/>
  <c r="L24" i="14"/>
  <c r="F24" i="14"/>
  <c r="M23" i="14"/>
  <c r="G23" i="14"/>
  <c r="N22" i="14"/>
  <c r="H22" i="14"/>
  <c r="O21" i="14"/>
  <c r="I21" i="14"/>
  <c r="C21" i="14"/>
  <c r="J20" i="14"/>
  <c r="D20" i="14"/>
  <c r="K19" i="14"/>
  <c r="E19" i="14"/>
  <c r="L18" i="14"/>
  <c r="F18" i="14"/>
  <c r="M17" i="14"/>
  <c r="G17" i="14"/>
  <c r="N16" i="14"/>
  <c r="H16" i="14"/>
  <c r="O15" i="14"/>
  <c r="I15" i="14"/>
  <c r="C15" i="14"/>
  <c r="J14" i="14"/>
  <c r="D14" i="14"/>
  <c r="K13" i="14"/>
  <c r="E13" i="14"/>
  <c r="L12" i="14"/>
  <c r="F12" i="14"/>
  <c r="M11" i="14"/>
  <c r="G11" i="14"/>
  <c r="N10" i="14"/>
  <c r="H10" i="14"/>
  <c r="O9" i="14"/>
  <c r="I9" i="14"/>
  <c r="C9" i="14"/>
  <c r="J8" i="14"/>
  <c r="D8" i="14"/>
  <c r="P25" i="14"/>
  <c r="L130" i="14"/>
  <c r="G129" i="14"/>
  <c r="O127" i="14"/>
  <c r="J126" i="14"/>
  <c r="I125" i="14"/>
  <c r="K124" i="14"/>
  <c r="L123" i="14"/>
  <c r="N122" i="14"/>
  <c r="O121" i="14"/>
  <c r="C121" i="14"/>
  <c r="G120" i="14"/>
  <c r="K119" i="14"/>
  <c r="O118" i="14"/>
  <c r="F118" i="14"/>
  <c r="J117" i="14"/>
  <c r="N116" i="14"/>
  <c r="E116" i="14"/>
  <c r="I115" i="14"/>
  <c r="N114" i="14"/>
  <c r="E114" i="14"/>
  <c r="J113" i="14"/>
  <c r="O128" i="14"/>
  <c r="K122" i="14"/>
  <c r="D118" i="14"/>
  <c r="C114" i="14"/>
  <c r="P126" i="14"/>
  <c r="K108" i="14"/>
  <c r="K106" i="14"/>
  <c r="I104" i="14"/>
  <c r="I102" i="14"/>
  <c r="G100" i="14"/>
  <c r="G98" i="14"/>
  <c r="E96" i="14"/>
  <c r="G94" i="14"/>
  <c r="E92" i="14"/>
  <c r="P97" i="14"/>
  <c r="Q117" i="14"/>
  <c r="K87" i="14"/>
  <c r="F86" i="14"/>
  <c r="N84" i="14"/>
  <c r="I83" i="14"/>
  <c r="D82" i="14"/>
  <c r="L80" i="14"/>
  <c r="G79" i="14"/>
  <c r="O77" i="14"/>
  <c r="J76" i="14"/>
  <c r="E75" i="14"/>
  <c r="M73" i="14"/>
  <c r="H72" i="14"/>
  <c r="E71" i="14"/>
  <c r="P87" i="14"/>
  <c r="M67" i="14"/>
  <c r="H66" i="14"/>
  <c r="C65" i="14"/>
  <c r="K63" i="14"/>
  <c r="F62" i="14"/>
  <c r="N60" i="14"/>
  <c r="I59" i="14"/>
  <c r="D58" i="14"/>
  <c r="L56" i="14"/>
  <c r="G55" i="14"/>
  <c r="M52" i="14"/>
  <c r="L51" i="14"/>
  <c r="K50" i="14"/>
  <c r="P59" i="14"/>
  <c r="I46" i="14"/>
  <c r="G45" i="14"/>
  <c r="F44" i="14"/>
  <c r="D43" i="14"/>
  <c r="D42" i="14"/>
  <c r="C41" i="14"/>
  <c r="N39" i="14"/>
  <c r="O37" i="14"/>
  <c r="C36" i="14"/>
  <c r="N34" i="14"/>
  <c r="M33" i="14"/>
  <c r="M32" i="14"/>
  <c r="L31" i="14"/>
  <c r="K30" i="14"/>
  <c r="I29" i="14"/>
  <c r="P43" i="14"/>
  <c r="P31" i="14"/>
  <c r="J25" i="14"/>
  <c r="K24" i="14"/>
  <c r="L23" i="14"/>
  <c r="M22" i="14"/>
  <c r="N21" i="14"/>
  <c r="O20" i="14"/>
  <c r="C20" i="14"/>
  <c r="D19" i="14"/>
  <c r="E18" i="14"/>
  <c r="F17" i="14"/>
  <c r="G16" i="14"/>
  <c r="H15" i="14"/>
  <c r="I14" i="14"/>
  <c r="J13" i="14"/>
  <c r="K12" i="14"/>
  <c r="L11" i="14"/>
  <c r="M10" i="14"/>
  <c r="N9" i="14"/>
  <c r="O8" i="14"/>
  <c r="C8" i="14"/>
  <c r="P18" i="14"/>
  <c r="J127" i="14"/>
  <c r="L121" i="14"/>
  <c r="I117" i="14"/>
  <c r="I113" i="14"/>
  <c r="P129" i="14"/>
  <c r="R127" i="14"/>
  <c r="J108" i="14"/>
  <c r="I106" i="14"/>
  <c r="H104" i="14"/>
  <c r="G102" i="14"/>
  <c r="F100" i="14"/>
  <c r="E98" i="14"/>
  <c r="D96" i="14"/>
  <c r="E94" i="14"/>
  <c r="D92" i="14"/>
  <c r="N88" i="14"/>
  <c r="I87" i="14"/>
  <c r="D86" i="14"/>
  <c r="L84" i="14"/>
  <c r="F125" i="14"/>
  <c r="F120" i="14"/>
  <c r="D116" i="14"/>
  <c r="O109" i="14"/>
  <c r="N107" i="14"/>
  <c r="M105" i="14"/>
  <c r="L103" i="14"/>
  <c r="K101" i="14"/>
  <c r="J99" i="14"/>
  <c r="I97" i="14"/>
  <c r="H95" i="14"/>
  <c r="I93" i="14"/>
  <c r="P106" i="14"/>
  <c r="H88" i="14"/>
  <c r="C87" i="14"/>
  <c r="K85" i="14"/>
  <c r="F84" i="14"/>
  <c r="N82" i="14"/>
  <c r="I81" i="14"/>
  <c r="D80" i="14"/>
  <c r="L78" i="14"/>
  <c r="G77" i="14"/>
  <c r="O75" i="14"/>
  <c r="J74" i="14"/>
  <c r="E73" i="14"/>
  <c r="O71" i="14"/>
  <c r="P79" i="14"/>
  <c r="Q79" i="14"/>
  <c r="S97" i="14"/>
  <c r="C67" i="14"/>
  <c r="K65" i="14"/>
  <c r="F64" i="14"/>
  <c r="N62" i="14"/>
  <c r="I61" i="14"/>
  <c r="D60" i="14"/>
  <c r="L58" i="14"/>
  <c r="G57" i="14"/>
  <c r="O55" i="14"/>
  <c r="J54" i="14"/>
  <c r="G53" i="14"/>
  <c r="F52" i="14"/>
  <c r="E51" i="14"/>
  <c r="D50" i="14"/>
  <c r="N45" i="14"/>
  <c r="M44" i="14"/>
  <c r="L43" i="14"/>
  <c r="K42" i="14"/>
  <c r="J41" i="14"/>
  <c r="H40" i="14"/>
  <c r="G39" i="14"/>
  <c r="I38" i="14"/>
  <c r="H37" i="14"/>
  <c r="J36" i="14"/>
  <c r="H35" i="14"/>
  <c r="G34" i="14"/>
  <c r="F33" i="14"/>
  <c r="F32" i="14"/>
  <c r="E31" i="14"/>
  <c r="C30" i="14"/>
  <c r="Q32" i="14"/>
  <c r="D25" i="14"/>
  <c r="E24" i="14"/>
  <c r="F23" i="14"/>
  <c r="G22" i="14"/>
  <c r="H21" i="14"/>
  <c r="I20" i="14"/>
  <c r="J19" i="14"/>
  <c r="K18" i="14"/>
  <c r="L17" i="14"/>
  <c r="M16" i="14"/>
  <c r="N15" i="14"/>
  <c r="O14" i="14"/>
  <c r="C14" i="14"/>
  <c r="D13" i="14"/>
  <c r="E12" i="14"/>
  <c r="F11" i="14"/>
  <c r="G10" i="14"/>
  <c r="H9" i="14"/>
  <c r="I8" i="14"/>
  <c r="P12" i="14"/>
  <c r="H124" i="14"/>
  <c r="I119" i="14"/>
  <c r="G115" i="14"/>
  <c r="P116" i="14"/>
  <c r="H109" i="14"/>
  <c r="F107" i="14"/>
  <c r="F105" i="14"/>
  <c r="D103" i="14"/>
  <c r="D101" i="14"/>
  <c r="O98" i="14"/>
  <c r="O96" i="14"/>
  <c r="O94" i="14"/>
  <c r="O92" i="14"/>
  <c r="D88" i="14"/>
  <c r="L86" i="14"/>
  <c r="G85" i="14"/>
  <c r="O83" i="14"/>
  <c r="J82" i="14"/>
  <c r="E81" i="14"/>
  <c r="M79" i="14"/>
  <c r="H78" i="14"/>
  <c r="C77" i="14"/>
  <c r="K75" i="14"/>
  <c r="F74" i="14"/>
  <c r="N72" i="14"/>
  <c r="K71" i="14"/>
  <c r="P81" i="14"/>
  <c r="N66" i="14"/>
  <c r="I65" i="14"/>
  <c r="D64" i="14"/>
  <c r="L62" i="14"/>
  <c r="G61" i="14"/>
  <c r="O59" i="14"/>
  <c r="J58" i="14"/>
  <c r="E57" i="14"/>
  <c r="M55" i="14"/>
  <c r="H54" i="14"/>
  <c r="E53" i="14"/>
  <c r="D52" i="14"/>
  <c r="P56" i="14"/>
  <c r="O46" i="14"/>
  <c r="M45" i="14"/>
  <c r="L44" i="14"/>
  <c r="J43" i="14"/>
  <c r="J42" i="14"/>
  <c r="I41" i="14"/>
  <c r="G40" i="14"/>
  <c r="F39" i="14"/>
  <c r="G38" i="14"/>
  <c r="G37" i="14"/>
  <c r="I36" i="14"/>
  <c r="G35" i="14"/>
  <c r="F34" i="14"/>
  <c r="D33" i="14"/>
  <c r="E32" i="14"/>
  <c r="D31" i="14"/>
  <c r="O29" i="14"/>
  <c r="R32" i="14"/>
  <c r="Q36" i="14"/>
  <c r="O25" i="14"/>
  <c r="C25" i="14"/>
  <c r="D24" i="14"/>
  <c r="E23" i="14"/>
  <c r="F22" i="14"/>
  <c r="G21" i="14"/>
  <c r="H20" i="14"/>
  <c r="I19" i="14"/>
  <c r="J18" i="14"/>
  <c r="K17" i="14"/>
  <c r="L16" i="14"/>
  <c r="M15" i="14"/>
  <c r="N14" i="14"/>
  <c r="O13" i="14"/>
  <c r="C13" i="14"/>
  <c r="D12" i="14"/>
  <c r="E11" i="14"/>
  <c r="F10" i="14"/>
  <c r="G9" i="14"/>
  <c r="H8" i="14"/>
  <c r="P22" i="14"/>
  <c r="P21" i="14"/>
  <c r="P14" i="14"/>
  <c r="P9" i="14"/>
  <c r="G130" i="14"/>
  <c r="I123" i="14"/>
  <c r="N118" i="14"/>
  <c r="M114" i="14"/>
  <c r="P118" i="14"/>
  <c r="F109" i="14"/>
  <c r="E107" i="14"/>
  <c r="D105" i="14"/>
  <c r="C103" i="14"/>
  <c r="O100" i="14"/>
  <c r="N98" i="14"/>
  <c r="M96" i="14"/>
  <c r="N94" i="14"/>
  <c r="M92" i="14"/>
  <c r="Q95" i="14"/>
  <c r="C88" i="14"/>
  <c r="K86" i="14"/>
  <c r="F85" i="14"/>
  <c r="N83" i="14"/>
  <c r="I82" i="14"/>
  <c r="D81" i="14"/>
  <c r="L79" i="14"/>
  <c r="G78" i="14"/>
  <c r="O76" i="14"/>
  <c r="J75" i="14"/>
  <c r="E74" i="14"/>
  <c r="M72" i="14"/>
  <c r="J71" i="14"/>
  <c r="P83" i="14"/>
  <c r="T75" i="14"/>
  <c r="L66" i="14"/>
  <c r="G65" i="14"/>
  <c r="O63" i="14"/>
  <c r="J62" i="14"/>
  <c r="E61" i="14"/>
  <c r="M59" i="14"/>
  <c r="H58" i="14"/>
  <c r="C57" i="14"/>
  <c r="K55" i="14"/>
  <c r="F54" i="14"/>
  <c r="D53" i="14"/>
  <c r="O51" i="14"/>
  <c r="O50" i="14"/>
  <c r="P62" i="14"/>
  <c r="P58" i="14"/>
  <c r="R60" i="14"/>
  <c r="K46" i="14"/>
  <c r="J45" i="14"/>
  <c r="H44" i="14"/>
  <c r="G43" i="14"/>
  <c r="F42" i="14"/>
  <c r="E41" i="14"/>
  <c r="D40" i="14"/>
  <c r="D38" i="14"/>
  <c r="C37" i="14"/>
  <c r="E36" i="14"/>
  <c r="D35" i="14"/>
  <c r="O33" i="14"/>
  <c r="N31" i="14"/>
  <c r="M30" i="14"/>
  <c r="L29" i="14"/>
  <c r="P38" i="14"/>
  <c r="P29" i="14"/>
  <c r="L25" i="14"/>
  <c r="M24" i="14"/>
  <c r="N23" i="14"/>
  <c r="O22" i="14"/>
  <c r="C22" i="14"/>
  <c r="D21" i="14"/>
  <c r="E20" i="14"/>
  <c r="F19" i="14"/>
  <c r="G18" i="14"/>
  <c r="H17" i="14"/>
  <c r="I16" i="14"/>
  <c r="J15" i="14"/>
  <c r="K14" i="14"/>
  <c r="L13" i="14"/>
  <c r="M12" i="14"/>
  <c r="N11" i="14"/>
  <c r="O10" i="14"/>
  <c r="C10" i="14"/>
  <c r="D9" i="14"/>
  <c r="E8" i="14"/>
  <c r="Q121" i="14"/>
  <c r="L101" i="14"/>
  <c r="G83" i="14"/>
  <c r="E79" i="14"/>
  <c r="C75" i="14"/>
  <c r="C71" i="14"/>
  <c r="Q82" i="14"/>
  <c r="I67" i="14"/>
  <c r="G63" i="14"/>
  <c r="E59" i="14"/>
  <c r="C55" i="14"/>
  <c r="I51" i="14"/>
  <c r="P65" i="14"/>
  <c r="E44" i="14"/>
  <c r="N40" i="14"/>
  <c r="N37" i="14"/>
  <c r="M34" i="14"/>
  <c r="K31" i="14"/>
  <c r="P46" i="14"/>
  <c r="F25" i="14"/>
  <c r="I22" i="14"/>
  <c r="L19" i="14"/>
  <c r="O16" i="14"/>
  <c r="E14" i="14"/>
  <c r="H11" i="14"/>
  <c r="K8" i="14"/>
  <c r="P11" i="14"/>
  <c r="L99" i="14"/>
  <c r="E83" i="14"/>
  <c r="C79" i="14"/>
  <c r="N74" i="14"/>
  <c r="P72" i="14"/>
  <c r="H67" i="14"/>
  <c r="F63" i="14"/>
  <c r="D59" i="14"/>
  <c r="O54" i="14"/>
  <c r="H51" i="14"/>
  <c r="P67" i="14"/>
  <c r="N43" i="14"/>
  <c r="K40" i="14"/>
  <c r="K37" i="14"/>
  <c r="I34" i="14"/>
  <c r="G31" i="14"/>
  <c r="P34" i="14"/>
  <c r="J24" i="14"/>
  <c r="M21" i="14"/>
  <c r="C19" i="14"/>
  <c r="F16" i="14"/>
  <c r="I13" i="14"/>
  <c r="L10" i="14"/>
  <c r="J97" i="14"/>
  <c r="L88" i="14"/>
  <c r="O81" i="14"/>
  <c r="M77" i="14"/>
  <c r="K73" i="14"/>
  <c r="D66" i="14"/>
  <c r="O61" i="14"/>
  <c r="M57" i="14"/>
  <c r="M53" i="14"/>
  <c r="I50" i="14"/>
  <c r="G46" i="14"/>
  <c r="C43" i="14"/>
  <c r="M39" i="14"/>
  <c r="L33" i="14"/>
  <c r="I30" i="14"/>
  <c r="G24" i="14"/>
  <c r="J21" i="14"/>
  <c r="M18" i="14"/>
  <c r="C16" i="14"/>
  <c r="F13" i="14"/>
  <c r="I10" i="14"/>
  <c r="P20" i="14"/>
  <c r="E126" i="14"/>
  <c r="C108" i="14"/>
  <c r="J95" i="14"/>
  <c r="P101" i="14"/>
  <c r="G87" i="14"/>
  <c r="M81" i="14"/>
  <c r="K77" i="14"/>
  <c r="I73" i="14"/>
  <c r="C66" i="14"/>
  <c r="N61" i="14"/>
  <c r="L57" i="14"/>
  <c r="L53" i="14"/>
  <c r="H50" i="14"/>
  <c r="D46" i="14"/>
  <c r="N42" i="14"/>
  <c r="I39" i="14"/>
  <c r="L36" i="14"/>
  <c r="H33" i="14"/>
  <c r="F30" i="14"/>
  <c r="T117" i="14"/>
  <c r="K23" i="14"/>
  <c r="N20" i="14"/>
  <c r="D18" i="14"/>
  <c r="G15" i="14"/>
  <c r="J12" i="14"/>
  <c r="M9" i="14"/>
  <c r="P8" i="14"/>
  <c r="N120" i="14"/>
  <c r="N105" i="14"/>
  <c r="J93" i="14"/>
  <c r="Q105" i="14"/>
  <c r="O85" i="14"/>
  <c r="J80" i="14"/>
  <c r="H76" i="14"/>
  <c r="F72" i="14"/>
  <c r="L64" i="14"/>
  <c r="J60" i="14"/>
  <c r="H56" i="14"/>
  <c r="K52" i="14"/>
  <c r="F45" i="14"/>
  <c r="C42" i="14"/>
  <c r="O38" i="14"/>
  <c r="N35" i="14"/>
  <c r="L32" i="14"/>
  <c r="H29" i="14"/>
  <c r="H23" i="14"/>
  <c r="K20" i="14"/>
  <c r="N17" i="14"/>
  <c r="D15" i="14"/>
  <c r="G12" i="14"/>
  <c r="J9" i="14"/>
  <c r="O19" i="14"/>
  <c r="T36" i="14"/>
  <c r="AP36" i="14"/>
  <c r="O44" i="14"/>
  <c r="Q62" i="14"/>
  <c r="AM62" i="14"/>
  <c r="J52" i="14"/>
  <c r="H80" i="14"/>
  <c r="M57" i="102"/>
  <c r="K45" i="102"/>
  <c r="D35" i="102"/>
  <c r="L22" i="14"/>
  <c r="D29" i="14"/>
  <c r="G56" i="14"/>
  <c r="J84" i="14"/>
  <c r="F58" i="61"/>
  <c r="D40" i="61"/>
  <c r="C27" i="61"/>
  <c r="C12" i="61" s="1"/>
  <c r="I17" i="21"/>
  <c r="I20" i="21"/>
  <c r="E28" i="21"/>
  <c r="P206" i="28"/>
  <c r="T99" i="84"/>
  <c r="T88" i="84"/>
  <c r="T96" i="84"/>
  <c r="T98" i="84"/>
  <c r="T97" i="84"/>
  <c r="T95" i="84"/>
  <c r="T94" i="84"/>
  <c r="R97" i="49"/>
  <c r="R100" i="49"/>
  <c r="R89" i="49"/>
  <c r="R98" i="49"/>
  <c r="S95" i="48"/>
  <c r="R96" i="49"/>
  <c r="S98" i="48"/>
  <c r="R99" i="49"/>
  <c r="S96" i="48"/>
  <c r="R95" i="49"/>
  <c r="S89" i="48"/>
  <c r="S99" i="48"/>
  <c r="S97" i="48"/>
  <c r="Q149" i="66"/>
  <c r="Q148" i="66"/>
  <c r="Q147" i="66"/>
  <c r="Q150" i="66"/>
  <c r="Q144" i="66"/>
  <c r="Q151" i="66"/>
  <c r="Q152" i="66"/>
  <c r="E66" i="1"/>
  <c r="U247" i="102"/>
  <c r="U241" i="102"/>
  <c r="U232" i="102"/>
  <c r="U224" i="102"/>
  <c r="U214" i="102"/>
  <c r="T188" i="102"/>
  <c r="T177" i="102"/>
  <c r="U245" i="102"/>
  <c r="U239" i="102"/>
  <c r="U228" i="102"/>
  <c r="U222" i="102"/>
  <c r="U210" i="102"/>
  <c r="T184" i="102"/>
  <c r="T173" i="102"/>
  <c r="U243" i="102"/>
  <c r="U230" i="102"/>
  <c r="U218" i="102"/>
  <c r="T186" i="102"/>
  <c r="U237" i="102"/>
  <c r="U225" i="102"/>
  <c r="T191" i="102"/>
  <c r="T179" i="102"/>
  <c r="U246" i="102"/>
  <c r="U236" i="102"/>
  <c r="U223" i="102"/>
  <c r="T190" i="102"/>
  <c r="T175" i="102"/>
  <c r="E57" i="1"/>
  <c r="U244" i="102"/>
  <c r="U234" i="102"/>
  <c r="U220" i="102"/>
  <c r="T189" i="102"/>
  <c r="U212" i="102"/>
  <c r="U242" i="102"/>
  <c r="T182" i="102"/>
  <c r="U240" i="102"/>
  <c r="T180" i="102"/>
  <c r="U227" i="102"/>
  <c r="U226" i="102"/>
  <c r="I31" i="102"/>
  <c r="P93" i="102"/>
  <c r="N8" i="14"/>
  <c r="I25" i="14"/>
  <c r="I32" i="14"/>
  <c r="I60" i="14"/>
  <c r="E45" i="61"/>
  <c r="D111" i="9"/>
  <c r="I26" i="21"/>
  <c r="E20" i="21"/>
  <c r="J26" i="21"/>
  <c r="O134" i="67"/>
  <c r="N134" i="67"/>
  <c r="H134" i="67"/>
  <c r="O133" i="67"/>
  <c r="I133" i="67"/>
  <c r="C133" i="67"/>
  <c r="J132" i="67"/>
  <c r="D132" i="67"/>
  <c r="K131" i="67"/>
  <c r="E131" i="67"/>
  <c r="L130" i="67"/>
  <c r="F130" i="67"/>
  <c r="M129" i="67"/>
  <c r="G129" i="67"/>
  <c r="N128" i="67"/>
  <c r="H128" i="67"/>
  <c r="O127" i="67"/>
  <c r="I127" i="67"/>
  <c r="C127" i="67"/>
  <c r="J126" i="67"/>
  <c r="D126" i="67"/>
  <c r="K125" i="67"/>
  <c r="E125" i="67"/>
  <c r="L124" i="67"/>
  <c r="F124" i="67"/>
  <c r="M123" i="67"/>
  <c r="G123" i="67"/>
  <c r="N122" i="67"/>
  <c r="H122" i="67"/>
  <c r="O121" i="67"/>
  <c r="I121" i="67"/>
  <c r="C121" i="67"/>
  <c r="J120" i="67"/>
  <c r="D120" i="67"/>
  <c r="K119" i="67"/>
  <c r="E119" i="67"/>
  <c r="L118" i="67"/>
  <c r="F118" i="67"/>
  <c r="M117" i="67"/>
  <c r="G117" i="67"/>
  <c r="N113" i="67"/>
  <c r="H113" i="67"/>
  <c r="O112" i="67"/>
  <c r="I112" i="67"/>
  <c r="C112" i="67"/>
  <c r="J111" i="67"/>
  <c r="D111" i="67"/>
  <c r="K110" i="67"/>
  <c r="E110" i="67"/>
  <c r="L109" i="67"/>
  <c r="F109" i="67"/>
  <c r="M108" i="67"/>
  <c r="G108" i="67"/>
  <c r="N107" i="67"/>
  <c r="H107" i="67"/>
  <c r="O106" i="67"/>
  <c r="I106" i="67"/>
  <c r="C106" i="67"/>
  <c r="J105" i="67"/>
  <c r="D105" i="67"/>
  <c r="K104" i="67"/>
  <c r="E104" i="67"/>
  <c r="L103" i="67"/>
  <c r="F103" i="67"/>
  <c r="M102" i="67"/>
  <c r="G102" i="67"/>
  <c r="N101" i="67"/>
  <c r="H101" i="67"/>
  <c r="O100" i="67"/>
  <c r="I100" i="67"/>
  <c r="C100" i="67"/>
  <c r="J99" i="67"/>
  <c r="D99" i="67"/>
  <c r="K98" i="67"/>
  <c r="E98" i="67"/>
  <c r="L97" i="67"/>
  <c r="F97" i="67"/>
  <c r="M96" i="67"/>
  <c r="G96" i="67"/>
  <c r="N92" i="67"/>
  <c r="H92" i="67"/>
  <c r="O91" i="67"/>
  <c r="I91" i="67"/>
  <c r="C91" i="67"/>
  <c r="J90" i="67"/>
  <c r="D90" i="67"/>
  <c r="K89" i="67"/>
  <c r="E89" i="67"/>
  <c r="L88" i="67"/>
  <c r="F88" i="67"/>
  <c r="M87" i="67"/>
  <c r="G87" i="67"/>
  <c r="N86" i="67"/>
  <c r="H86" i="67"/>
  <c r="O85" i="67"/>
  <c r="I85" i="67"/>
  <c r="C85" i="67"/>
  <c r="J84" i="67"/>
  <c r="D84" i="67"/>
  <c r="K83" i="67"/>
  <c r="E83" i="67"/>
  <c r="L82" i="67"/>
  <c r="F82" i="67"/>
  <c r="M81" i="67"/>
  <c r="G81" i="67"/>
  <c r="N80" i="67"/>
  <c r="H80" i="67"/>
  <c r="O79" i="67"/>
  <c r="I79" i="67"/>
  <c r="C79" i="67"/>
  <c r="J78" i="67"/>
  <c r="D78" i="67"/>
  <c r="K77" i="67"/>
  <c r="E77" i="67"/>
  <c r="L76" i="67"/>
  <c r="F76" i="67"/>
  <c r="M75" i="67"/>
  <c r="G75" i="67"/>
  <c r="N71" i="67"/>
  <c r="H71" i="67"/>
  <c r="O70" i="67"/>
  <c r="I70" i="67"/>
  <c r="C70" i="67"/>
  <c r="J69" i="67"/>
  <c r="D69" i="67"/>
  <c r="K68" i="67"/>
  <c r="E68" i="67"/>
  <c r="L67" i="67"/>
  <c r="F67" i="67"/>
  <c r="M66" i="67"/>
  <c r="G66" i="67"/>
  <c r="N65" i="67"/>
  <c r="H65" i="67"/>
  <c r="O64" i="67"/>
  <c r="I64" i="67"/>
  <c r="C64" i="67"/>
  <c r="J63" i="67"/>
  <c r="D63" i="67"/>
  <c r="K62" i="67"/>
  <c r="E62" i="67"/>
  <c r="L61" i="67"/>
  <c r="F61" i="67"/>
  <c r="M60" i="67"/>
  <c r="G60" i="67"/>
  <c r="N59" i="67"/>
  <c r="H59" i="67"/>
  <c r="O58" i="67"/>
  <c r="I58" i="67"/>
  <c r="C58" i="67"/>
  <c r="J57" i="67"/>
  <c r="D57" i="67"/>
  <c r="K56" i="67"/>
  <c r="E56" i="67"/>
  <c r="L55" i="67"/>
  <c r="F55" i="67"/>
  <c r="M54" i="67"/>
  <c r="G54" i="67"/>
  <c r="N29" i="67"/>
  <c r="H29" i="67"/>
  <c r="O28" i="67"/>
  <c r="I28" i="67"/>
  <c r="C28" i="67"/>
  <c r="J27" i="67"/>
  <c r="D27" i="67"/>
  <c r="K26" i="67"/>
  <c r="E26" i="67"/>
  <c r="L25" i="67"/>
  <c r="F25" i="67"/>
  <c r="M24" i="67"/>
  <c r="G24" i="67"/>
  <c r="N23" i="67"/>
  <c r="H23" i="67"/>
  <c r="O22" i="67"/>
  <c r="I22" i="67"/>
  <c r="L134" i="67"/>
  <c r="E134" i="67"/>
  <c r="K133" i="67"/>
  <c r="D133" i="67"/>
  <c r="I132" i="67"/>
  <c r="O131" i="67"/>
  <c r="H131" i="67"/>
  <c r="N130" i="67"/>
  <c r="G130" i="67"/>
  <c r="L129" i="67"/>
  <c r="E129" i="67"/>
  <c r="K128" i="67"/>
  <c r="D128" i="67"/>
  <c r="J127" i="67"/>
  <c r="O126" i="67"/>
  <c r="H126" i="67"/>
  <c r="N125" i="67"/>
  <c r="G125" i="67"/>
  <c r="M124" i="67"/>
  <c r="E124" i="67"/>
  <c r="K123" i="67"/>
  <c r="D123" i="67"/>
  <c r="J122" i="67"/>
  <c r="C122" i="67"/>
  <c r="H121" i="67"/>
  <c r="N120" i="67"/>
  <c r="G120" i="67"/>
  <c r="M119" i="67"/>
  <c r="F119" i="67"/>
  <c r="K118" i="67"/>
  <c r="D118" i="67"/>
  <c r="J117" i="67"/>
  <c r="C117" i="67"/>
  <c r="I113" i="67"/>
  <c r="N112" i="67"/>
  <c r="G112" i="67"/>
  <c r="M111" i="67"/>
  <c r="F111" i="67"/>
  <c r="L110" i="67"/>
  <c r="D110" i="67"/>
  <c r="J109" i="67"/>
  <c r="C109" i="67"/>
  <c r="I108" i="67"/>
  <c r="O107" i="67"/>
  <c r="G107" i="67"/>
  <c r="M106" i="67"/>
  <c r="F106" i="67"/>
  <c r="L105" i="67"/>
  <c r="E105" i="67"/>
  <c r="J104" i="67"/>
  <c r="C104" i="67"/>
  <c r="I103" i="67"/>
  <c r="O102" i="67"/>
  <c r="H102" i="67"/>
  <c r="M101" i="67"/>
  <c r="F101" i="67"/>
  <c r="L100" i="67"/>
  <c r="E100" i="67"/>
  <c r="K99" i="67"/>
  <c r="C99" i="67"/>
  <c r="I98" i="67"/>
  <c r="O97" i="67"/>
  <c r="H97" i="67"/>
  <c r="N96" i="67"/>
  <c r="F96" i="67"/>
  <c r="L92" i="67"/>
  <c r="E92" i="67"/>
  <c r="K91" i="67"/>
  <c r="D91" i="67"/>
  <c r="I90" i="67"/>
  <c r="O89" i="67"/>
  <c r="H89" i="67"/>
  <c r="N88" i="67"/>
  <c r="G88" i="67"/>
  <c r="L87" i="67"/>
  <c r="E87" i="67"/>
  <c r="K86" i="67"/>
  <c r="D86" i="67"/>
  <c r="J85" i="67"/>
  <c r="O84" i="67"/>
  <c r="H84" i="67"/>
  <c r="N83" i="67"/>
  <c r="G83" i="67"/>
  <c r="M82" i="67"/>
  <c r="E82" i="67"/>
  <c r="K81" i="67"/>
  <c r="D81" i="67"/>
  <c r="J80" i="67"/>
  <c r="C80" i="67"/>
  <c r="H79" i="67"/>
  <c r="N78" i="67"/>
  <c r="G78" i="67"/>
  <c r="M77" i="67"/>
  <c r="F77" i="67"/>
  <c r="K76" i="67"/>
  <c r="D76" i="67"/>
  <c r="J75" i="67"/>
  <c r="C75" i="67"/>
  <c r="I71" i="67"/>
  <c r="N70" i="67"/>
  <c r="G70" i="67"/>
  <c r="M69" i="67"/>
  <c r="F69" i="67"/>
  <c r="L68" i="67"/>
  <c r="D68" i="67"/>
  <c r="J67" i="67"/>
  <c r="C67" i="67"/>
  <c r="I66" i="67"/>
  <c r="O65" i="67"/>
  <c r="G65" i="67"/>
  <c r="M64" i="67"/>
  <c r="F64" i="67"/>
  <c r="L63" i="67"/>
  <c r="E63" i="67"/>
  <c r="J62" i="67"/>
  <c r="C62" i="67"/>
  <c r="I61" i="67"/>
  <c r="O60" i="67"/>
  <c r="H60" i="67"/>
  <c r="M59" i="67"/>
  <c r="F59" i="67"/>
  <c r="L58" i="67"/>
  <c r="E58" i="67"/>
  <c r="K57" i="67"/>
  <c r="C57" i="67"/>
  <c r="I56" i="67"/>
  <c r="O55" i="67"/>
  <c r="H55" i="67"/>
  <c r="N54" i="67"/>
  <c r="F54" i="67"/>
  <c r="L29" i="67"/>
  <c r="E29" i="67"/>
  <c r="K28" i="67"/>
  <c r="I134" i="67"/>
  <c r="M133" i="67"/>
  <c r="E133" i="67"/>
  <c r="H132" i="67"/>
  <c r="M131" i="67"/>
  <c r="D131" i="67"/>
  <c r="I130" i="67"/>
  <c r="N129" i="67"/>
  <c r="D129" i="67"/>
  <c r="I128" i="67"/>
  <c r="M127" i="67"/>
  <c r="E127" i="67"/>
  <c r="I126" i="67"/>
  <c r="M125" i="67"/>
  <c r="D125" i="67"/>
  <c r="I124" i="67"/>
  <c r="N123" i="67"/>
  <c r="E123" i="67"/>
  <c r="I122" i="67"/>
  <c r="M121" i="67"/>
  <c r="E121" i="67"/>
  <c r="I120" i="67"/>
  <c r="N119" i="67"/>
  <c r="D119" i="67"/>
  <c r="I118" i="67"/>
  <c r="N117" i="67"/>
  <c r="E117" i="67"/>
  <c r="J113" i="67"/>
  <c r="M112" i="67"/>
  <c r="E112" i="67"/>
  <c r="I111" i="67"/>
  <c r="N110" i="67"/>
  <c r="F110" i="67"/>
  <c r="I109" i="67"/>
  <c r="N108" i="67"/>
  <c r="E108" i="67"/>
  <c r="J107" i="67"/>
  <c r="N106" i="67"/>
  <c r="E106" i="67"/>
  <c r="I105" i="67"/>
  <c r="N104" i="67"/>
  <c r="F104" i="67"/>
  <c r="J103" i="67"/>
  <c r="N102" i="67"/>
  <c r="E102" i="67"/>
  <c r="J101" i="67"/>
  <c r="N100" i="67"/>
  <c r="F100" i="67"/>
  <c r="I99" i="67"/>
  <c r="N98" i="67"/>
  <c r="F98" i="67"/>
  <c r="J97" i="67"/>
  <c r="O96" i="67"/>
  <c r="E96" i="67"/>
  <c r="J92" i="67"/>
  <c r="N91" i="67"/>
  <c r="F91" i="67"/>
  <c r="K90" i="67"/>
  <c r="N89" i="67"/>
  <c r="F89" i="67"/>
  <c r="J88" i="67"/>
  <c r="O87" i="67"/>
  <c r="F87" i="67"/>
  <c r="J86" i="67"/>
  <c r="N85" i="67"/>
  <c r="F85" i="67"/>
  <c r="K84" i="67"/>
  <c r="O83" i="67"/>
  <c r="F83" i="67"/>
  <c r="J82" i="67"/>
  <c r="O81" i="67"/>
  <c r="F81" i="67"/>
  <c r="K80" i="67"/>
  <c r="N79" i="67"/>
  <c r="F79" i="67"/>
  <c r="K78" i="67"/>
  <c r="O77" i="67"/>
  <c r="G77" i="67"/>
  <c r="J76" i="67"/>
  <c r="O75" i="67"/>
  <c r="F75" i="67"/>
  <c r="K71" i="67"/>
  <c r="C71" i="67"/>
  <c r="F70" i="67"/>
  <c r="K69" i="67"/>
  <c r="O68" i="67"/>
  <c r="G68" i="67"/>
  <c r="K67" i="67"/>
  <c r="O66" i="67"/>
  <c r="F66" i="67"/>
  <c r="K65" i="67"/>
  <c r="C65" i="67"/>
  <c r="G64" i="67"/>
  <c r="K63" i="67"/>
  <c r="O62" i="67"/>
  <c r="G62" i="67"/>
  <c r="K61" i="67"/>
  <c r="C61" i="67"/>
  <c r="F60" i="67"/>
  <c r="K59" i="67"/>
  <c r="C59" i="67"/>
  <c r="G58" i="67"/>
  <c r="L57" i="67"/>
  <c r="O56" i="67"/>
  <c r="G56" i="67"/>
  <c r="K55" i="67"/>
  <c r="C55" i="67"/>
  <c r="H54" i="67"/>
  <c r="K29" i="67"/>
  <c r="C29" i="67"/>
  <c r="G28" i="67"/>
  <c r="M27" i="67"/>
  <c r="F27" i="67"/>
  <c r="L26" i="67"/>
  <c r="D26" i="67"/>
  <c r="J25" i="67"/>
  <c r="C25" i="67"/>
  <c r="I24" i="67"/>
  <c r="O23" i="67"/>
  <c r="G23" i="67"/>
  <c r="M22" i="67"/>
  <c r="F22" i="67"/>
  <c r="M21" i="67"/>
  <c r="G21" i="67"/>
  <c r="N20" i="67"/>
  <c r="H20" i="67"/>
  <c r="O19" i="67"/>
  <c r="I19" i="67"/>
  <c r="C19" i="67"/>
  <c r="J18" i="67"/>
  <c r="D18" i="67"/>
  <c r="K17" i="67"/>
  <c r="E17" i="67"/>
  <c r="L16" i="67"/>
  <c r="F16" i="67"/>
  <c r="M15" i="67"/>
  <c r="G15" i="67"/>
  <c r="N14" i="67"/>
  <c r="H14" i="67"/>
  <c r="O13" i="67"/>
  <c r="I13" i="67"/>
  <c r="C13" i="67"/>
  <c r="J12" i="67"/>
  <c r="D12" i="67"/>
  <c r="K50" i="67"/>
  <c r="E50" i="67"/>
  <c r="L49" i="67"/>
  <c r="F49" i="67"/>
  <c r="M48" i="67"/>
  <c r="G48" i="67"/>
  <c r="N47" i="67"/>
  <c r="H47" i="67"/>
  <c r="O46" i="67"/>
  <c r="I46" i="67"/>
  <c r="C46" i="67"/>
  <c r="J45" i="67"/>
  <c r="D45" i="67"/>
  <c r="K44" i="67"/>
  <c r="E44" i="67"/>
  <c r="L43" i="67"/>
  <c r="F43" i="67"/>
  <c r="M42" i="67"/>
  <c r="G42" i="67"/>
  <c r="N41" i="67"/>
  <c r="H41" i="67"/>
  <c r="O40" i="67"/>
  <c r="I40" i="67"/>
  <c r="C40" i="67"/>
  <c r="J39" i="67"/>
  <c r="D39" i="67"/>
  <c r="K38" i="67"/>
  <c r="E38" i="67"/>
  <c r="L37" i="67"/>
  <c r="F37" i="67"/>
  <c r="M36" i="67"/>
  <c r="G36" i="67"/>
  <c r="N35" i="67"/>
  <c r="H35" i="67"/>
  <c r="O34" i="67"/>
  <c r="I34" i="67"/>
  <c r="C34" i="67"/>
  <c r="J33" i="67"/>
  <c r="D33" i="67"/>
  <c r="P112" i="67"/>
  <c r="P110" i="67"/>
  <c r="M134" i="67"/>
  <c r="D134" i="67"/>
  <c r="H133" i="67"/>
  <c r="M132" i="67"/>
  <c r="E132" i="67"/>
  <c r="I131" i="67"/>
  <c r="M130" i="67"/>
  <c r="D130" i="67"/>
  <c r="I129" i="67"/>
  <c r="M128" i="67"/>
  <c r="E128" i="67"/>
  <c r="H127" i="67"/>
  <c r="M126" i="67"/>
  <c r="E126" i="67"/>
  <c r="I125" i="67"/>
  <c r="N124" i="67"/>
  <c r="D124" i="67"/>
  <c r="I123" i="67"/>
  <c r="M122" i="67"/>
  <c r="E122" i="67"/>
  <c r="J121" i="67"/>
  <c r="M120" i="67"/>
  <c r="E120" i="67"/>
  <c r="I119" i="67"/>
  <c r="N118" i="67"/>
  <c r="E118" i="67"/>
  <c r="I117" i="67"/>
  <c r="M113" i="67"/>
  <c r="E113" i="67"/>
  <c r="J112" i="67"/>
  <c r="N111" i="67"/>
  <c r="E111" i="67"/>
  <c r="I110" i="67"/>
  <c r="N109" i="67"/>
  <c r="E109" i="67"/>
  <c r="J108" i="67"/>
  <c r="M107" i="67"/>
  <c r="E107" i="67"/>
  <c r="J106" i="67"/>
  <c r="N105" i="67"/>
  <c r="F105" i="67"/>
  <c r="I104" i="67"/>
  <c r="N103" i="67"/>
  <c r="E103" i="67"/>
  <c r="J102" i="67"/>
  <c r="O101" i="67"/>
  <c r="E101" i="67"/>
  <c r="J100" i="67"/>
  <c r="N99" i="67"/>
  <c r="F99" i="67"/>
  <c r="J98" i="67"/>
  <c r="N97" i="67"/>
  <c r="E97" i="67"/>
  <c r="J96" i="67"/>
  <c r="O92" i="67"/>
  <c r="F92" i="67"/>
  <c r="J91" i="67"/>
  <c r="N90" i="67"/>
  <c r="F90" i="67"/>
  <c r="J89" i="67"/>
  <c r="O88" i="67"/>
  <c r="E88" i="67"/>
  <c r="J87" i="67"/>
  <c r="O86" i="67"/>
  <c r="F86" i="67"/>
  <c r="K85" i="67"/>
  <c r="N84" i="67"/>
  <c r="F84" i="67"/>
  <c r="J83" i="67"/>
  <c r="O82" i="67"/>
  <c r="G82" i="67"/>
  <c r="J81" i="67"/>
  <c r="O80" i="67"/>
  <c r="F80" i="67"/>
  <c r="K79" i="67"/>
  <c r="O78" i="67"/>
  <c r="F78" i="67"/>
  <c r="J77" i="67"/>
  <c r="O76" i="67"/>
  <c r="G76" i="67"/>
  <c r="K75" i="67"/>
  <c r="O71" i="67"/>
  <c r="F71" i="67"/>
  <c r="K70" i="67"/>
  <c r="O69" i="67"/>
  <c r="G69" i="67"/>
  <c r="J68" i="67"/>
  <c r="O67" i="67"/>
  <c r="G67" i="67"/>
  <c r="K66" i="67"/>
  <c r="C66" i="67"/>
  <c r="F65" i="67"/>
  <c r="K64" i="67"/>
  <c r="O63" i="67"/>
  <c r="G63" i="67"/>
  <c r="L62" i="67"/>
  <c r="O61" i="67"/>
  <c r="G61" i="67"/>
  <c r="K60" i="67"/>
  <c r="C60" i="67"/>
  <c r="G59" i="67"/>
  <c r="K58" i="67"/>
  <c r="O57" i="67"/>
  <c r="G57" i="67"/>
  <c r="L56" i="67"/>
  <c r="C56" i="67"/>
  <c r="G55" i="67"/>
  <c r="K54" i="67"/>
  <c r="C54" i="67"/>
  <c r="G29" i="67"/>
  <c r="L28" i="67"/>
  <c r="D28" i="67"/>
  <c r="I27" i="67"/>
  <c r="O26" i="67"/>
  <c r="H26" i="67"/>
  <c r="N25" i="67"/>
  <c r="G25" i="67"/>
  <c r="L24" i="67"/>
  <c r="E24" i="67"/>
  <c r="K23" i="67"/>
  <c r="D23" i="67"/>
  <c r="J22" i="67"/>
  <c r="C22" i="67"/>
  <c r="J21" i="67"/>
  <c r="D21" i="67"/>
  <c r="K20" i="67"/>
  <c r="E20" i="67"/>
  <c r="L19" i="67"/>
  <c r="F19" i="67"/>
  <c r="M18" i="67"/>
  <c r="G18" i="67"/>
  <c r="N17" i="67"/>
  <c r="H17" i="67"/>
  <c r="O16" i="67"/>
  <c r="I16" i="67"/>
  <c r="C16" i="67"/>
  <c r="J15" i="67"/>
  <c r="D15" i="67"/>
  <c r="K14" i="67"/>
  <c r="E14" i="67"/>
  <c r="L13" i="67"/>
  <c r="F13" i="67"/>
  <c r="M12" i="67"/>
  <c r="G12" i="67"/>
  <c r="N50" i="67"/>
  <c r="H50" i="67"/>
  <c r="O49" i="67"/>
  <c r="I49" i="67"/>
  <c r="C49" i="67"/>
  <c r="J48" i="67"/>
  <c r="D48" i="67"/>
  <c r="K47" i="67"/>
  <c r="E47" i="67"/>
  <c r="L46" i="67"/>
  <c r="F46" i="67"/>
  <c r="M45" i="67"/>
  <c r="G45" i="67"/>
  <c r="N44" i="67"/>
  <c r="H44" i="67"/>
  <c r="O43" i="67"/>
  <c r="I43" i="67"/>
  <c r="C43" i="67"/>
  <c r="J42" i="67"/>
  <c r="D42" i="67"/>
  <c r="K41" i="67"/>
  <c r="E41" i="67"/>
  <c r="L40" i="67"/>
  <c r="F40" i="67"/>
  <c r="M39" i="67"/>
  <c r="G39" i="67"/>
  <c r="N38" i="67"/>
  <c r="H38" i="67"/>
  <c r="O37" i="67"/>
  <c r="I37" i="67"/>
  <c r="C37" i="67"/>
  <c r="J36" i="67"/>
  <c r="D36" i="67"/>
  <c r="K35" i="67"/>
  <c r="E35" i="67"/>
  <c r="L34" i="67"/>
  <c r="F34" i="67"/>
  <c r="M33" i="67"/>
  <c r="G33" i="67"/>
  <c r="P129" i="67"/>
  <c r="P126" i="67"/>
  <c r="P121" i="67"/>
  <c r="G134" i="67"/>
  <c r="G133" i="67"/>
  <c r="G132" i="67"/>
  <c r="G131" i="67"/>
  <c r="H130" i="67"/>
  <c r="H129" i="67"/>
  <c r="G128" i="67"/>
  <c r="G127" i="67"/>
  <c r="G126" i="67"/>
  <c r="H125" i="67"/>
  <c r="H124" i="67"/>
  <c r="H123" i="67"/>
  <c r="G122" i="67"/>
  <c r="G121" i="67"/>
  <c r="H120" i="67"/>
  <c r="H119" i="67"/>
  <c r="H118" i="67"/>
  <c r="H117" i="67"/>
  <c r="G113" i="67"/>
  <c r="H112" i="67"/>
  <c r="H111" i="67"/>
  <c r="H110" i="67"/>
  <c r="H109" i="67"/>
  <c r="H108" i="67"/>
  <c r="I107" i="67"/>
  <c r="H106" i="67"/>
  <c r="H105" i="67"/>
  <c r="H104" i="67"/>
  <c r="H103" i="67"/>
  <c r="I102" i="67"/>
  <c r="I101" i="67"/>
  <c r="H100" i="67"/>
  <c r="H99" i="67"/>
  <c r="H98" i="67"/>
  <c r="I97" i="67"/>
  <c r="I96" i="67"/>
  <c r="I92" i="67"/>
  <c r="H91" i="67"/>
  <c r="H90" i="67"/>
  <c r="I89" i="67"/>
  <c r="I88" i="67"/>
  <c r="I87" i="67"/>
  <c r="I86" i="67"/>
  <c r="H85" i="67"/>
  <c r="I84" i="67"/>
  <c r="I83" i="67"/>
  <c r="I82" i="67"/>
  <c r="I81" i="67"/>
  <c r="I80" i="67"/>
  <c r="J79" i="67"/>
  <c r="I78" i="67"/>
  <c r="I77" i="67"/>
  <c r="I76" i="67"/>
  <c r="I75" i="67"/>
  <c r="J71" i="67"/>
  <c r="J70" i="67"/>
  <c r="I69" i="67"/>
  <c r="I68" i="67"/>
  <c r="I67" i="67"/>
  <c r="J66" i="67"/>
  <c r="J65" i="67"/>
  <c r="J64" i="67"/>
  <c r="I63" i="67"/>
  <c r="I62" i="67"/>
  <c r="J61" i="67"/>
  <c r="J60" i="67"/>
  <c r="J59" i="67"/>
  <c r="J58" i="67"/>
  <c r="I57" i="67"/>
  <c r="J56" i="67"/>
  <c r="J55" i="67"/>
  <c r="J54" i="67"/>
  <c r="J29" i="67"/>
  <c r="J28" i="67"/>
  <c r="L27" i="67"/>
  <c r="N26" i="67"/>
  <c r="C26" i="67"/>
  <c r="E25" i="67"/>
  <c r="H24" i="67"/>
  <c r="J23" i="67"/>
  <c r="L22" i="67"/>
  <c r="O21" i="67"/>
  <c r="F21" i="67"/>
  <c r="J20" i="67"/>
  <c r="N19" i="67"/>
  <c r="E19" i="67"/>
  <c r="I18" i="67"/>
  <c r="M17" i="67"/>
  <c r="D17" i="67"/>
  <c r="H16" i="67"/>
  <c r="L15" i="67"/>
  <c r="C15" i="67"/>
  <c r="G14" i="67"/>
  <c r="K13" i="67"/>
  <c r="O12" i="67"/>
  <c r="F12" i="67"/>
  <c r="J50" i="67"/>
  <c r="N49" i="67"/>
  <c r="E49" i="67"/>
  <c r="I48" i="67"/>
  <c r="M47" i="67"/>
  <c r="D47" i="67"/>
  <c r="H46" i="67"/>
  <c r="L45" i="67"/>
  <c r="C45" i="67"/>
  <c r="G44" i="67"/>
  <c r="K43" i="67"/>
  <c r="O42" i="67"/>
  <c r="F42" i="67"/>
  <c r="J41" i="67"/>
  <c r="N40" i="67"/>
  <c r="E40" i="67"/>
  <c r="I39" i="67"/>
  <c r="M38" i="67"/>
  <c r="D38" i="67"/>
  <c r="H37" i="67"/>
  <c r="L36" i="67"/>
  <c r="C36" i="67"/>
  <c r="G35" i="67"/>
  <c r="K34" i="67"/>
  <c r="O33" i="67"/>
  <c r="F33" i="67"/>
  <c r="P130" i="67"/>
  <c r="F134" i="67"/>
  <c r="F133" i="67"/>
  <c r="F132" i="67"/>
  <c r="F131" i="67"/>
  <c r="E130" i="67"/>
  <c r="F129" i="67"/>
  <c r="F128" i="67"/>
  <c r="F127" i="67"/>
  <c r="F126" i="67"/>
  <c r="F125" i="67"/>
  <c r="G124" i="67"/>
  <c r="F123" i="67"/>
  <c r="F122" i="67"/>
  <c r="F121" i="67"/>
  <c r="F120" i="67"/>
  <c r="G119" i="67"/>
  <c r="G118" i="67"/>
  <c r="F117" i="67"/>
  <c r="F113" i="67"/>
  <c r="F112" i="67"/>
  <c r="G111" i="67"/>
  <c r="G110" i="67"/>
  <c r="G109" i="67"/>
  <c r="F108" i="67"/>
  <c r="F107" i="67"/>
  <c r="G106" i="67"/>
  <c r="G105" i="67"/>
  <c r="G104" i="67"/>
  <c r="G103" i="67"/>
  <c r="F102" i="67"/>
  <c r="G101" i="67"/>
  <c r="G100" i="67"/>
  <c r="G99" i="67"/>
  <c r="G98" i="67"/>
  <c r="G97" i="67"/>
  <c r="H96" i="67"/>
  <c r="G92" i="67"/>
  <c r="G91" i="67"/>
  <c r="G90" i="67"/>
  <c r="G89" i="67"/>
  <c r="H88" i="67"/>
  <c r="H87" i="67"/>
  <c r="G86" i="67"/>
  <c r="G85" i="67"/>
  <c r="G84" i="67"/>
  <c r="H83" i="67"/>
  <c r="H82" i="67"/>
  <c r="H81" i="67"/>
  <c r="G80" i="67"/>
  <c r="G79" i="67"/>
  <c r="H78" i="67"/>
  <c r="H77" i="67"/>
  <c r="H76" i="67"/>
  <c r="H75" i="67"/>
  <c r="G71" i="67"/>
  <c r="H70" i="67"/>
  <c r="H69" i="67"/>
  <c r="H68" i="67"/>
  <c r="H67" i="67"/>
  <c r="H66" i="67"/>
  <c r="I65" i="67"/>
  <c r="H64" i="67"/>
  <c r="H63" i="67"/>
  <c r="H62" i="67"/>
  <c r="H61" i="67"/>
  <c r="I60" i="67"/>
  <c r="I59" i="67"/>
  <c r="H58" i="67"/>
  <c r="H57" i="67"/>
  <c r="H56" i="67"/>
  <c r="I55" i="67"/>
  <c r="I54" i="67"/>
  <c r="I29" i="67"/>
  <c r="H28" i="67"/>
  <c r="K27" i="67"/>
  <c r="M26" i="67"/>
  <c r="O25" i="67"/>
  <c r="D25" i="67"/>
  <c r="F24" i="67"/>
  <c r="I23" i="67"/>
  <c r="K22" i="67"/>
  <c r="N21" i="67"/>
  <c r="E21" i="67"/>
  <c r="I20" i="67"/>
  <c r="M19" i="67"/>
  <c r="D19" i="67"/>
  <c r="H18" i="67"/>
  <c r="L17" i="67"/>
  <c r="C17" i="67"/>
  <c r="G16" i="67"/>
  <c r="K15" i="67"/>
  <c r="O14" i="67"/>
  <c r="F14" i="67"/>
  <c r="J13" i="67"/>
  <c r="N12" i="67"/>
  <c r="E12" i="67"/>
  <c r="I50" i="67"/>
  <c r="M49" i="67"/>
  <c r="D49" i="67"/>
  <c r="H48" i="67"/>
  <c r="L47" i="67"/>
  <c r="C47" i="67"/>
  <c r="G46" i="67"/>
  <c r="K45" i="67"/>
  <c r="O44" i="67"/>
  <c r="F44" i="67"/>
  <c r="J43" i="67"/>
  <c r="N42" i="67"/>
  <c r="E42" i="67"/>
  <c r="I41" i="67"/>
  <c r="M40" i="67"/>
  <c r="D40" i="67"/>
  <c r="H39" i="67"/>
  <c r="L38" i="67"/>
  <c r="C38" i="67"/>
  <c r="G37" i="67"/>
  <c r="K36" i="67"/>
  <c r="O35" i="67"/>
  <c r="F35" i="67"/>
  <c r="J34" i="67"/>
  <c r="N33" i="67"/>
  <c r="E33" i="67"/>
  <c r="P118" i="67"/>
  <c r="P128" i="67"/>
  <c r="S121" i="67"/>
  <c r="Q105" i="67"/>
  <c r="P89" i="67"/>
  <c r="P61" i="67"/>
  <c r="N133" i="67"/>
  <c r="N132" i="67"/>
  <c r="N131" i="67"/>
  <c r="O130" i="67"/>
  <c r="O129" i="67"/>
  <c r="O128" i="67"/>
  <c r="N127" i="67"/>
  <c r="N126" i="67"/>
  <c r="O125" i="67"/>
  <c r="O124" i="67"/>
  <c r="O123" i="67"/>
  <c r="O122" i="67"/>
  <c r="N121" i="67"/>
  <c r="O120" i="67"/>
  <c r="O119" i="67"/>
  <c r="O118" i="67"/>
  <c r="O117" i="67"/>
  <c r="O113" i="67"/>
  <c r="C113" i="67"/>
  <c r="O111" i="67"/>
  <c r="O110" i="67"/>
  <c r="O109" i="67"/>
  <c r="O108" i="67"/>
  <c r="C108" i="67"/>
  <c r="C107" i="67"/>
  <c r="O105" i="67"/>
  <c r="O104" i="67"/>
  <c r="O103" i="67"/>
  <c r="C103" i="67"/>
  <c r="C102" i="67"/>
  <c r="C101" i="67"/>
  <c r="O99" i="67"/>
  <c r="O98" i="67"/>
  <c r="C98" i="67"/>
  <c r="C97" i="67"/>
  <c r="C96" i="67"/>
  <c r="C92" i="67"/>
  <c r="O90" i="67"/>
  <c r="C90" i="67"/>
  <c r="C89" i="67"/>
  <c r="C88" i="67"/>
  <c r="C87" i="67"/>
  <c r="C86" i="67"/>
  <c r="D85" i="67"/>
  <c r="C84" i="67"/>
  <c r="C83" i="67"/>
  <c r="C82" i="67"/>
  <c r="C81" i="67"/>
  <c r="D80" i="67"/>
  <c r="D79" i="67"/>
  <c r="C78" i="67"/>
  <c r="C77" i="67"/>
  <c r="C76" i="67"/>
  <c r="D75" i="67"/>
  <c r="D71" i="67"/>
  <c r="D70" i="67"/>
  <c r="C69" i="67"/>
  <c r="C68" i="67"/>
  <c r="D67" i="67"/>
  <c r="D66" i="67"/>
  <c r="D65" i="67"/>
  <c r="D64" i="67"/>
  <c r="C63" i="67"/>
  <c r="D62" i="67"/>
  <c r="D61" i="67"/>
  <c r="D60" i="67"/>
  <c r="D59" i="67"/>
  <c r="D58" i="67"/>
  <c r="E57" i="67"/>
  <c r="D56" i="67"/>
  <c r="D55" i="67"/>
  <c r="D54" i="67"/>
  <c r="D29" i="67"/>
  <c r="E28" i="67"/>
  <c r="G27" i="67"/>
  <c r="I26" i="67"/>
  <c r="K25" i="67"/>
  <c r="N24" i="67"/>
  <c r="C24" i="67"/>
  <c r="E23" i="67"/>
  <c r="G22" i="67"/>
  <c r="K21" i="67"/>
  <c r="O20" i="67"/>
  <c r="F20" i="67"/>
  <c r="J19" i="67"/>
  <c r="N18" i="67"/>
  <c r="E18" i="67"/>
  <c r="I17" i="67"/>
  <c r="M16" i="67"/>
  <c r="D16" i="67"/>
  <c r="H15" i="67"/>
  <c r="L14" i="67"/>
  <c r="C14" i="67"/>
  <c r="G13" i="67"/>
  <c r="K12" i="67"/>
  <c r="O50" i="67"/>
  <c r="F50" i="67"/>
  <c r="J49" i="67"/>
  <c r="N48" i="67"/>
  <c r="E48" i="67"/>
  <c r="I47" i="67"/>
  <c r="M46" i="67"/>
  <c r="D46" i="67"/>
  <c r="H45" i="67"/>
  <c r="L44" i="67"/>
  <c r="C44" i="67"/>
  <c r="G43" i="67"/>
  <c r="K42" i="67"/>
  <c r="O41" i="67"/>
  <c r="F41" i="67"/>
  <c r="J40" i="67"/>
  <c r="N39" i="67"/>
  <c r="E39" i="67"/>
  <c r="I38" i="67"/>
  <c r="M37" i="67"/>
  <c r="D37" i="67"/>
  <c r="H36" i="67"/>
  <c r="L35" i="67"/>
  <c r="C35" i="67"/>
  <c r="G34" i="67"/>
  <c r="K33" i="67"/>
  <c r="P125" i="67"/>
  <c r="Q128" i="67"/>
  <c r="P96" i="67"/>
  <c r="R134" i="67"/>
  <c r="P102" i="67"/>
  <c r="P76" i="67"/>
  <c r="O132" i="67"/>
  <c r="C131" i="67"/>
  <c r="C129" i="67"/>
  <c r="D127" i="67"/>
  <c r="C125" i="67"/>
  <c r="C123" i="67"/>
  <c r="D121" i="67"/>
  <c r="C119" i="67"/>
  <c r="D117" i="67"/>
  <c r="D112" i="67"/>
  <c r="C110" i="67"/>
  <c r="D108" i="67"/>
  <c r="D106" i="67"/>
  <c r="D104" i="67"/>
  <c r="D102" i="67"/>
  <c r="D100" i="67"/>
  <c r="D98" i="67"/>
  <c r="D96" i="67"/>
  <c r="E91" i="67"/>
  <c r="D89" i="67"/>
  <c r="D87" i="67"/>
  <c r="E85" i="67"/>
  <c r="D83" i="67"/>
  <c r="E81" i="67"/>
  <c r="E79" i="67"/>
  <c r="D77" i="67"/>
  <c r="E75" i="67"/>
  <c r="E70" i="67"/>
  <c r="F68" i="67"/>
  <c r="E66" i="67"/>
  <c r="E64" i="67"/>
  <c r="F62" i="67"/>
  <c r="E60" i="67"/>
  <c r="F58" i="67"/>
  <c r="F56" i="67"/>
  <c r="E54" i="67"/>
  <c r="F28" i="67"/>
  <c r="J26" i="67"/>
  <c r="O24" i="67"/>
  <c r="F23" i="67"/>
  <c r="L21" i="67"/>
  <c r="G20" i="67"/>
  <c r="O18" i="67"/>
  <c r="J17" i="67"/>
  <c r="E16" i="67"/>
  <c r="M14" i="67"/>
  <c r="H13" i="67"/>
  <c r="C12" i="67"/>
  <c r="K49" i="67"/>
  <c r="F48" i="67"/>
  <c r="N46" i="67"/>
  <c r="I45" i="67"/>
  <c r="D44" i="67"/>
  <c r="L42" i="67"/>
  <c r="G41" i="67"/>
  <c r="O39" i="67"/>
  <c r="J38" i="67"/>
  <c r="E37" i="67"/>
  <c r="M35" i="67"/>
  <c r="H34" i="67"/>
  <c r="C33" i="67"/>
  <c r="R128" i="67"/>
  <c r="P80" i="67"/>
  <c r="Q112" i="67"/>
  <c r="Q89" i="67"/>
  <c r="R102" i="67"/>
  <c r="P40" i="67"/>
  <c r="K134" i="67"/>
  <c r="L132" i="67"/>
  <c r="K130" i="67"/>
  <c r="L128" i="67"/>
  <c r="L126" i="67"/>
  <c r="K124" i="67"/>
  <c r="L122" i="67"/>
  <c r="L120" i="67"/>
  <c r="M118" i="67"/>
  <c r="L113" i="67"/>
  <c r="L111" i="67"/>
  <c r="M109" i="67"/>
  <c r="L107" i="67"/>
  <c r="M105" i="67"/>
  <c r="M103" i="67"/>
  <c r="L101" i="67"/>
  <c r="M99" i="67"/>
  <c r="M97" i="67"/>
  <c r="M92" i="67"/>
  <c r="M90" i="67"/>
  <c r="M88" i="67"/>
  <c r="M86" i="67"/>
  <c r="M84" i="67"/>
  <c r="N82" i="67"/>
  <c r="M80" i="67"/>
  <c r="M78" i="67"/>
  <c r="N76" i="67"/>
  <c r="M71" i="67"/>
  <c r="N69" i="67"/>
  <c r="N67" i="67"/>
  <c r="M65" i="67"/>
  <c r="N63" i="67"/>
  <c r="N61" i="67"/>
  <c r="O59" i="67"/>
  <c r="N57" i="67"/>
  <c r="N55" i="67"/>
  <c r="O29" i="67"/>
  <c r="O27" i="67"/>
  <c r="G26" i="67"/>
  <c r="K24" i="67"/>
  <c r="C23" i="67"/>
  <c r="I21" i="67"/>
  <c r="D20" i="67"/>
  <c r="L18" i="67"/>
  <c r="G17" i="67"/>
  <c r="O15" i="67"/>
  <c r="J14" i="67"/>
  <c r="E13" i="67"/>
  <c r="M50" i="67"/>
  <c r="H49" i="67"/>
  <c r="C48" i="67"/>
  <c r="K46" i="67"/>
  <c r="F45" i="67"/>
  <c r="N43" i="67"/>
  <c r="I42" i="67"/>
  <c r="D41" i="67"/>
  <c r="L39" i="67"/>
  <c r="G38" i="67"/>
  <c r="O36" i="67"/>
  <c r="J35" i="67"/>
  <c r="E34" i="67"/>
  <c r="P131" i="67"/>
  <c r="P98" i="67"/>
  <c r="P83" i="67"/>
  <c r="P79" i="67"/>
  <c r="R97" i="67"/>
  <c r="Q58" i="67"/>
  <c r="S78" i="67"/>
  <c r="J134" i="67"/>
  <c r="K132" i="67"/>
  <c r="J130" i="67"/>
  <c r="J128" i="67"/>
  <c r="K126" i="67"/>
  <c r="J124" i="67"/>
  <c r="K122" i="67"/>
  <c r="K120" i="67"/>
  <c r="J118" i="67"/>
  <c r="K113" i="67"/>
  <c r="K111" i="67"/>
  <c r="K109" i="67"/>
  <c r="K107" i="67"/>
  <c r="K105" i="67"/>
  <c r="K103" i="67"/>
  <c r="K101" i="67"/>
  <c r="L99" i="67"/>
  <c r="K97" i="67"/>
  <c r="K92" i="67"/>
  <c r="L90" i="67"/>
  <c r="K88" i="67"/>
  <c r="L86" i="67"/>
  <c r="L84" i="67"/>
  <c r="K82" i="67"/>
  <c r="L80" i="67"/>
  <c r="L78" i="67"/>
  <c r="M76" i="67"/>
  <c r="L71" i="67"/>
  <c r="L69" i="67"/>
  <c r="M67" i="67"/>
  <c r="L65" i="67"/>
  <c r="M63" i="67"/>
  <c r="M61" i="67"/>
  <c r="L59" i="67"/>
  <c r="M57" i="67"/>
  <c r="M55" i="67"/>
  <c r="M29" i="67"/>
  <c r="N27" i="67"/>
  <c r="F26" i="67"/>
  <c r="J24" i="67"/>
  <c r="N22" i="67"/>
  <c r="H21" i="67"/>
  <c r="C20" i="67"/>
  <c r="K18" i="67"/>
  <c r="F17" i="67"/>
  <c r="N15" i="67"/>
  <c r="I14" i="67"/>
  <c r="D13" i="67"/>
  <c r="L50" i="67"/>
  <c r="G49" i="67"/>
  <c r="O47" i="67"/>
  <c r="J46" i="67"/>
  <c r="E45" i="67"/>
  <c r="M43" i="67"/>
  <c r="H42" i="67"/>
  <c r="C41" i="67"/>
  <c r="K39" i="67"/>
  <c r="F38" i="67"/>
  <c r="N36" i="67"/>
  <c r="I35" i="67"/>
  <c r="D34" i="67"/>
  <c r="R129" i="67"/>
  <c r="P134" i="67"/>
  <c r="P84" i="67"/>
  <c r="Q110" i="67"/>
  <c r="P81" i="67"/>
  <c r="S128" i="67"/>
  <c r="Q78" i="67"/>
  <c r="Q84" i="67"/>
  <c r="Q75" i="67"/>
  <c r="P43" i="67"/>
  <c r="R78" i="67"/>
  <c r="R77" i="67"/>
  <c r="J131" i="67"/>
  <c r="K127" i="67"/>
  <c r="J123" i="67"/>
  <c r="J119" i="67"/>
  <c r="K112" i="67"/>
  <c r="K108" i="67"/>
  <c r="L104" i="67"/>
  <c r="K100" i="67"/>
  <c r="K96" i="67"/>
  <c r="L89" i="67"/>
  <c r="L85" i="67"/>
  <c r="L81" i="67"/>
  <c r="L77" i="67"/>
  <c r="L70" i="67"/>
  <c r="L66" i="67"/>
  <c r="M62" i="67"/>
  <c r="M58" i="67"/>
  <c r="L54" i="67"/>
  <c r="C27" i="67"/>
  <c r="L23" i="67"/>
  <c r="L20" i="67"/>
  <c r="O17" i="67"/>
  <c r="E15" i="67"/>
  <c r="H12" i="67"/>
  <c r="K48" i="67"/>
  <c r="N45" i="67"/>
  <c r="D43" i="67"/>
  <c r="G40" i="67"/>
  <c r="J37" i="67"/>
  <c r="M34" i="67"/>
  <c r="P132" i="67"/>
  <c r="P133" i="67"/>
  <c r="S97" i="67"/>
  <c r="Q44" i="67"/>
  <c r="P25" i="67"/>
  <c r="Q17" i="67"/>
  <c r="T84" i="67"/>
  <c r="S62" i="67"/>
  <c r="R28" i="67"/>
  <c r="R20" i="67"/>
  <c r="T19" i="67"/>
  <c r="C134" i="67"/>
  <c r="C130" i="67"/>
  <c r="C126" i="67"/>
  <c r="D122" i="67"/>
  <c r="C118" i="67"/>
  <c r="C111" i="67"/>
  <c r="D107" i="67"/>
  <c r="D103" i="67"/>
  <c r="E99" i="67"/>
  <c r="D92" i="67"/>
  <c r="D88" i="67"/>
  <c r="E84" i="67"/>
  <c r="E80" i="67"/>
  <c r="E76" i="67"/>
  <c r="E69" i="67"/>
  <c r="E65" i="67"/>
  <c r="E61" i="67"/>
  <c r="F57" i="67"/>
  <c r="F29" i="67"/>
  <c r="M25" i="67"/>
  <c r="H22" i="67"/>
  <c r="K19" i="67"/>
  <c r="N16" i="67"/>
  <c r="D14" i="67"/>
  <c r="G50" i="67"/>
  <c r="J47" i="67"/>
  <c r="M44" i="67"/>
  <c r="C42" i="67"/>
  <c r="F39" i="67"/>
  <c r="I36" i="67"/>
  <c r="L33" i="67"/>
  <c r="Q97" i="67"/>
  <c r="P56" i="67"/>
  <c r="P35" i="67"/>
  <c r="R75" i="67"/>
  <c r="Q57" i="67"/>
  <c r="P19" i="67"/>
  <c r="R58" i="67"/>
  <c r="Q19" i="67"/>
  <c r="R19" i="67"/>
  <c r="L133" i="67"/>
  <c r="K129" i="67"/>
  <c r="L125" i="67"/>
  <c r="L121" i="67"/>
  <c r="L117" i="67"/>
  <c r="M110" i="67"/>
  <c r="L106" i="67"/>
  <c r="L102" i="67"/>
  <c r="M98" i="67"/>
  <c r="M91" i="67"/>
  <c r="N87" i="67"/>
  <c r="M83" i="67"/>
  <c r="M79" i="67"/>
  <c r="N75" i="67"/>
  <c r="N68" i="67"/>
  <c r="N64" i="67"/>
  <c r="N60" i="67"/>
  <c r="N56" i="67"/>
  <c r="N28" i="67"/>
  <c r="I25" i="67"/>
  <c r="E22" i="67"/>
  <c r="H19" i="67"/>
  <c r="K16" i="67"/>
  <c r="N13" i="67"/>
  <c r="D50" i="67"/>
  <c r="G47" i="67"/>
  <c r="J44" i="67"/>
  <c r="M41" i="67"/>
  <c r="C39" i="67"/>
  <c r="F36" i="67"/>
  <c r="I33" i="67"/>
  <c r="Q134" i="67"/>
  <c r="P105" i="67"/>
  <c r="T121" i="67"/>
  <c r="Q85" i="67"/>
  <c r="Q62" i="67"/>
  <c r="P34" i="67"/>
  <c r="P20" i="67"/>
  <c r="P28" i="67"/>
  <c r="Q40" i="67"/>
  <c r="Q28" i="67"/>
  <c r="S19" i="67"/>
  <c r="J133" i="67"/>
  <c r="J129" i="67"/>
  <c r="J125" i="67"/>
  <c r="K121" i="67"/>
  <c r="K117" i="67"/>
  <c r="J110" i="67"/>
  <c r="K106" i="67"/>
  <c r="K102" i="67"/>
  <c r="L98" i="67"/>
  <c r="L91" i="67"/>
  <c r="K87" i="67"/>
  <c r="L83" i="67"/>
  <c r="L79" i="67"/>
  <c r="L75" i="67"/>
  <c r="M68" i="67"/>
  <c r="L64" i="67"/>
  <c r="L60" i="67"/>
  <c r="M56" i="67"/>
  <c r="M28" i="67"/>
  <c r="H25" i="67"/>
  <c r="D22" i="67"/>
  <c r="G19" i="67"/>
  <c r="J16" i="67"/>
  <c r="M13" i="67"/>
  <c r="C50" i="67"/>
  <c r="F47" i="67"/>
  <c r="I44" i="67"/>
  <c r="L41" i="67"/>
  <c r="O38" i="67"/>
  <c r="E36" i="67"/>
  <c r="H33" i="67"/>
  <c r="P97" i="67"/>
  <c r="L127" i="67"/>
  <c r="L112" i="67"/>
  <c r="M100" i="67"/>
  <c r="M85" i="67"/>
  <c r="M70" i="67"/>
  <c r="N58" i="67"/>
  <c r="M23" i="67"/>
  <c r="F15" i="67"/>
  <c r="O45" i="67"/>
  <c r="K37" i="67"/>
  <c r="P75" i="67"/>
  <c r="Q77" i="67"/>
  <c r="P49" i="67"/>
  <c r="Q24" i="67"/>
  <c r="S40" i="67"/>
  <c r="C124" i="67"/>
  <c r="D109" i="67"/>
  <c r="D97" i="67"/>
  <c r="D82" i="67"/>
  <c r="E67" i="67"/>
  <c r="E55" i="67"/>
  <c r="C21" i="67"/>
  <c r="L12" i="67"/>
  <c r="H43" i="67"/>
  <c r="D35" i="67"/>
  <c r="Q121" i="67"/>
  <c r="T128" i="67"/>
  <c r="P46" i="67"/>
  <c r="P37" i="67"/>
  <c r="P12" i="67"/>
  <c r="R40" i="67"/>
  <c r="S58" i="67"/>
  <c r="S17" i="67"/>
  <c r="L123" i="67"/>
  <c r="L108" i="67"/>
  <c r="L96" i="67"/>
  <c r="N81" i="67"/>
  <c r="N66" i="67"/>
  <c r="O54" i="67"/>
  <c r="M20" i="67"/>
  <c r="I12" i="67"/>
  <c r="E43" i="67"/>
  <c r="N34" i="67"/>
  <c r="P124" i="67"/>
  <c r="P78" i="67"/>
  <c r="P65" i="67"/>
  <c r="P55" i="67"/>
  <c r="P66" i="67"/>
  <c r="Q81" i="67"/>
  <c r="P17" i="67"/>
  <c r="R62" i="67"/>
  <c r="S57" i="67"/>
  <c r="S27" i="67"/>
  <c r="C132" i="67"/>
  <c r="C120" i="67"/>
  <c r="C105" i="67"/>
  <c r="E90" i="67"/>
  <c r="E78" i="67"/>
  <c r="F63" i="67"/>
  <c r="H27" i="67"/>
  <c r="F18" i="67"/>
  <c r="O48" i="67"/>
  <c r="K40" i="67"/>
  <c r="P82" i="67"/>
  <c r="Q108" i="67"/>
  <c r="P68" i="67"/>
  <c r="P57" i="67"/>
  <c r="P44" i="67"/>
  <c r="T78" i="67"/>
  <c r="R17" i="67"/>
  <c r="R27" i="67"/>
  <c r="L119" i="67"/>
  <c r="N77" i="67"/>
  <c r="C18" i="67"/>
  <c r="Q118" i="67"/>
  <c r="P22" i="67"/>
  <c r="Q27" i="67"/>
  <c r="D113" i="67"/>
  <c r="E71" i="67"/>
  <c r="I15" i="67"/>
  <c r="R121" i="67"/>
  <c r="P13" i="67"/>
  <c r="Q14" i="67"/>
  <c r="R39" i="67"/>
  <c r="M104" i="67"/>
  <c r="N62" i="67"/>
  <c r="L48" i="67"/>
  <c r="D101" i="67"/>
  <c r="E59" i="67"/>
  <c r="E46" i="67"/>
  <c r="P38" i="67"/>
  <c r="L131" i="67"/>
  <c r="M89" i="67"/>
  <c r="E27" i="67"/>
  <c r="H40" i="67"/>
  <c r="P15" i="67"/>
  <c r="C128" i="67"/>
  <c r="E86" i="67"/>
  <c r="D24" i="67"/>
  <c r="N37" i="67"/>
  <c r="T57" i="67"/>
  <c r="R18" i="67"/>
  <c r="Q20" i="67"/>
  <c r="T17" i="67"/>
  <c r="K150" i="102"/>
  <c r="D141" i="102"/>
  <c r="T132" i="102"/>
  <c r="F120" i="102"/>
  <c r="G113" i="102"/>
  <c r="X103" i="102"/>
  <c r="G99" i="102"/>
  <c r="M92" i="102"/>
  <c r="M82" i="102"/>
  <c r="L77" i="102"/>
  <c r="T74" i="102"/>
  <c r="Y70" i="102"/>
  <c r="T65" i="102"/>
  <c r="Z61" i="102"/>
  <c r="T58" i="102"/>
  <c r="E54" i="102"/>
  <c r="K50" i="102"/>
  <c r="X42" i="102"/>
  <c r="T39" i="102"/>
  <c r="Q36" i="102"/>
  <c r="Y32" i="102"/>
  <c r="H30" i="102"/>
  <c r="S27" i="102"/>
  <c r="G25" i="102"/>
  <c r="U22" i="102"/>
  <c r="H20" i="102"/>
  <c r="F18" i="102"/>
  <c r="C16" i="102"/>
  <c r="S13" i="102"/>
  <c r="P11" i="102"/>
  <c r="D150" i="102"/>
  <c r="Z136" i="102"/>
  <c r="L128" i="102"/>
  <c r="I118" i="102"/>
  <c r="H110" i="102"/>
  <c r="T103" i="102"/>
  <c r="Q96" i="102"/>
  <c r="N90" i="102"/>
  <c r="F81" i="102"/>
  <c r="G77" i="102"/>
  <c r="C72" i="102"/>
  <c r="L68" i="102"/>
  <c r="P64" i="102"/>
  <c r="S59" i="102"/>
  <c r="H56" i="102"/>
  <c r="E53" i="102"/>
  <c r="N45" i="102"/>
  <c r="C42" i="102"/>
  <c r="P38" i="102"/>
  <c r="E35" i="102"/>
  <c r="F32" i="102"/>
  <c r="M29" i="102"/>
  <c r="Z25" i="102"/>
  <c r="G24" i="102"/>
  <c r="V21" i="102"/>
  <c r="R19" i="102"/>
  <c r="O17" i="102"/>
  <c r="T15" i="102"/>
  <c r="Z12" i="102"/>
  <c r="D155" i="102"/>
  <c r="X140" i="102"/>
  <c r="O121" i="102"/>
  <c r="E112" i="102"/>
  <c r="J102" i="102"/>
  <c r="J92" i="102"/>
  <c r="Y80" i="102"/>
  <c r="R74" i="102"/>
  <c r="X65" i="102"/>
  <c r="H61" i="102"/>
  <c r="G54" i="102"/>
  <c r="P46" i="102"/>
  <c r="W39" i="102"/>
  <c r="Z35" i="102"/>
  <c r="C32" i="102"/>
  <c r="O27" i="102"/>
  <c r="N23" i="102"/>
  <c r="T19" i="102"/>
  <c r="Q16" i="102"/>
  <c r="Q13" i="102"/>
  <c r="K161" i="102"/>
  <c r="I108" i="102"/>
  <c r="J69" i="102"/>
  <c r="P41" i="102"/>
  <c r="U21" i="102"/>
  <c r="Q134" i="102"/>
  <c r="N82" i="102"/>
  <c r="I56" i="102"/>
  <c r="I20" i="102"/>
  <c r="Y42" i="102"/>
  <c r="V78" i="102"/>
  <c r="T141" i="102"/>
  <c r="F12" i="102"/>
  <c r="J30" i="102"/>
  <c r="D62" i="102"/>
  <c r="W106" i="102"/>
  <c r="M159" i="102"/>
  <c r="J20" i="102"/>
  <c r="F33" i="102"/>
  <c r="T51" i="102"/>
  <c r="W69" i="102"/>
  <c r="H95" i="102"/>
  <c r="J130" i="102"/>
  <c r="F148" i="102"/>
  <c r="J134" i="102"/>
  <c r="G118" i="102"/>
  <c r="S108" i="102"/>
  <c r="F95" i="102"/>
  <c r="D85" i="102"/>
  <c r="E76" i="102"/>
  <c r="Z70" i="102"/>
  <c r="E63" i="102"/>
  <c r="U58" i="102"/>
  <c r="C53" i="102"/>
  <c r="E44" i="102"/>
  <c r="S37" i="102"/>
  <c r="E33" i="102"/>
  <c r="L29" i="102"/>
  <c r="W25" i="102"/>
  <c r="T21" i="102"/>
  <c r="G18" i="102"/>
  <c r="H15" i="102"/>
  <c r="K12" i="102"/>
  <c r="K136" i="102"/>
  <c r="T84" i="102"/>
  <c r="K56" i="102"/>
  <c r="P30" i="102"/>
  <c r="X13" i="102"/>
  <c r="Y106" i="102"/>
  <c r="N68" i="102"/>
  <c r="W40" i="102"/>
  <c r="E12" i="102"/>
  <c r="I30" i="102"/>
  <c r="C62" i="102"/>
  <c r="L105" i="102"/>
  <c r="E21" i="102"/>
  <c r="C44" i="102"/>
  <c r="W78" i="102"/>
  <c r="K143" i="102"/>
  <c r="E15" i="102"/>
  <c r="O26" i="102"/>
  <c r="O40" i="102"/>
  <c r="T60" i="102"/>
  <c r="S79" i="102"/>
  <c r="K110" i="102"/>
  <c r="Y152" i="102"/>
  <c r="Z143" i="102"/>
  <c r="F130" i="102"/>
  <c r="S113" i="102"/>
  <c r="U103" i="102"/>
  <c r="D95" i="102"/>
  <c r="L82" i="102"/>
  <c r="Q75" i="102"/>
  <c r="O69" i="102"/>
  <c r="C63" i="102"/>
  <c r="L57" i="102"/>
  <c r="Q50" i="102"/>
  <c r="D42" i="102"/>
  <c r="T36" i="102"/>
  <c r="I32" i="102"/>
  <c r="L28" i="102"/>
  <c r="F25" i="102"/>
  <c r="J159" i="102"/>
  <c r="W143" i="102"/>
  <c r="I128" i="102"/>
  <c r="N113" i="102"/>
  <c r="K102" i="102"/>
  <c r="Q93" i="102"/>
  <c r="C81" i="102"/>
  <c r="U74" i="102"/>
  <c r="I68" i="102"/>
  <c r="F62" i="102"/>
  <c r="N55" i="102"/>
  <c r="P50" i="102"/>
  <c r="R41" i="102"/>
  <c r="S36" i="102"/>
  <c r="E32" i="102"/>
  <c r="K28" i="102"/>
  <c r="E24" i="102"/>
  <c r="F21" i="102"/>
  <c r="I17" i="102"/>
  <c r="L14" i="102"/>
  <c r="M134" i="102"/>
  <c r="F98" i="102"/>
  <c r="C71" i="102"/>
  <c r="V53" i="102"/>
  <c r="Z33" i="102"/>
  <c r="W21" i="102"/>
  <c r="Y15" i="102"/>
  <c r="E159" i="102"/>
  <c r="K78" i="102"/>
  <c r="R37" i="102"/>
  <c r="P157" i="102"/>
  <c r="J78" i="102"/>
  <c r="C37" i="102"/>
  <c r="P17" i="102"/>
  <c r="L56" i="102"/>
  <c r="N128" i="102"/>
  <c r="O14" i="102"/>
  <c r="Q51" i="102"/>
  <c r="D118" i="102"/>
  <c r="S16" i="102"/>
  <c r="T35" i="102"/>
  <c r="H63" i="102"/>
  <c r="P100" i="102"/>
  <c r="G161" i="102"/>
  <c r="V18" i="102"/>
  <c r="J31" i="102"/>
  <c r="I46" i="102"/>
  <c r="D67" i="102"/>
  <c r="C91" i="102"/>
  <c r="D122" i="102"/>
  <c r="O163" i="102"/>
  <c r="C161" i="102"/>
  <c r="O158" i="102"/>
  <c r="C156" i="102"/>
  <c r="O153" i="102"/>
  <c r="C151" i="102"/>
  <c r="O148" i="102"/>
  <c r="C146" i="102"/>
  <c r="O143" i="102"/>
  <c r="C141" i="102"/>
  <c r="O138" i="102"/>
  <c r="C136" i="102"/>
  <c r="O133" i="102"/>
  <c r="C131" i="102"/>
  <c r="X163" i="102"/>
  <c r="F161" i="102"/>
  <c r="K158" i="102"/>
  <c r="P155" i="102"/>
  <c r="V152" i="102"/>
  <c r="C150" i="102"/>
  <c r="H147" i="102"/>
  <c r="N144" i="102"/>
  <c r="S141" i="102"/>
  <c r="X138" i="102"/>
  <c r="F136" i="102"/>
  <c r="K133" i="102"/>
  <c r="P130" i="102"/>
  <c r="X124" i="102"/>
  <c r="L122" i="102"/>
  <c r="X119" i="102"/>
  <c r="L117" i="102"/>
  <c r="X114" i="102"/>
  <c r="L112" i="102"/>
  <c r="X109" i="102"/>
  <c r="L107" i="102"/>
  <c r="X104" i="102"/>
  <c r="L102" i="102"/>
  <c r="X99" i="102"/>
  <c r="L97" i="102"/>
  <c r="X94" i="102"/>
  <c r="L92" i="102"/>
  <c r="X89" i="102"/>
  <c r="L84" i="102"/>
  <c r="V161" i="102"/>
  <c r="T158" i="102"/>
  <c r="S155" i="102"/>
  <c r="P152" i="102"/>
  <c r="N149" i="102"/>
  <c r="L146" i="102"/>
  <c r="J143" i="102"/>
  <c r="H140" i="102"/>
  <c r="F137" i="102"/>
  <c r="D134" i="102"/>
  <c r="Y130" i="102"/>
  <c r="Z124" i="102"/>
  <c r="G122" i="102"/>
  <c r="L119" i="102"/>
  <c r="R116" i="102"/>
  <c r="W113" i="102"/>
  <c r="D111" i="102"/>
  <c r="J108" i="102"/>
  <c r="O105" i="102"/>
  <c r="T102" i="102"/>
  <c r="Z99" i="102"/>
  <c r="G97" i="102"/>
  <c r="L94" i="102"/>
  <c r="R91" i="102"/>
  <c r="W85" i="102"/>
  <c r="F83" i="102"/>
  <c r="R80" i="102"/>
  <c r="F78" i="102"/>
  <c r="R75" i="102"/>
  <c r="F73" i="102"/>
  <c r="R70" i="102"/>
  <c r="F68" i="102"/>
  <c r="R65" i="102"/>
  <c r="F63" i="102"/>
  <c r="R60" i="102"/>
  <c r="F58" i="102"/>
  <c r="R55" i="102"/>
  <c r="F53" i="102"/>
  <c r="R50" i="102"/>
  <c r="F45" i="102"/>
  <c r="R42" i="102"/>
  <c r="I163" i="102"/>
  <c r="F160" i="102"/>
  <c r="E157" i="102"/>
  <c r="C154" i="102"/>
  <c r="X150" i="102"/>
  <c r="W147" i="102"/>
  <c r="T144" i="102"/>
  <c r="R141" i="102"/>
  <c r="Q138" i="102"/>
  <c r="N135" i="102"/>
  <c r="L132" i="102"/>
  <c r="J129" i="102"/>
  <c r="N123" i="102"/>
  <c r="S120" i="102"/>
  <c r="V163" i="102"/>
  <c r="Z159" i="102"/>
  <c r="F156" i="102"/>
  <c r="H152" i="102"/>
  <c r="L148" i="102"/>
  <c r="P144" i="102"/>
  <c r="S140" i="102"/>
  <c r="V136" i="102"/>
  <c r="Z132" i="102"/>
  <c r="E129" i="102"/>
  <c r="Q122" i="102"/>
  <c r="F119" i="102"/>
  <c r="Y115" i="102"/>
  <c r="W112" i="102"/>
  <c r="U109" i="102"/>
  <c r="S106" i="102"/>
  <c r="P103" i="102"/>
  <c r="O100" i="102"/>
  <c r="M97" i="102"/>
  <c r="J94" i="102"/>
  <c r="I91" i="102"/>
  <c r="F85" i="102"/>
  <c r="H82" i="102"/>
  <c r="N79" i="102"/>
  <c r="S76" i="102"/>
  <c r="X73" i="102"/>
  <c r="F71" i="102"/>
  <c r="K68" i="102"/>
  <c r="P65" i="102"/>
  <c r="V62" i="102"/>
  <c r="C60" i="102"/>
  <c r="H57" i="102"/>
  <c r="N54" i="102"/>
  <c r="S51" i="102"/>
  <c r="X45" i="102"/>
  <c r="F43" i="102"/>
  <c r="L40" i="102"/>
  <c r="X37" i="102"/>
  <c r="L35" i="102"/>
  <c r="X32" i="102"/>
  <c r="L30" i="102"/>
  <c r="X27" i="102"/>
  <c r="L25" i="102"/>
  <c r="X22" i="102"/>
  <c r="L20" i="102"/>
  <c r="X17" i="102"/>
  <c r="L15" i="102"/>
  <c r="X12" i="102"/>
  <c r="D163" i="102"/>
  <c r="G159" i="102"/>
  <c r="K155" i="102"/>
  <c r="O151" i="102"/>
  <c r="Q147" i="102"/>
  <c r="U143" i="102"/>
  <c r="Y139" i="102"/>
  <c r="D136" i="102"/>
  <c r="G132" i="102"/>
  <c r="W159" i="102"/>
  <c r="Z154" i="102"/>
  <c r="F150" i="102"/>
  <c r="M145" i="102"/>
  <c r="N140" i="102"/>
  <c r="U135" i="102"/>
  <c r="Z130" i="102"/>
  <c r="X123" i="102"/>
  <c r="D120" i="102"/>
  <c r="L116" i="102"/>
  <c r="C113" i="102"/>
  <c r="P109" i="102"/>
  <c r="E106" i="102"/>
  <c r="S102" i="102"/>
  <c r="O160" i="102"/>
  <c r="U155" i="102"/>
  <c r="W150" i="102"/>
  <c r="E146" i="102"/>
  <c r="J141" i="102"/>
  <c r="L136" i="102"/>
  <c r="R131" i="102"/>
  <c r="P124" i="102"/>
  <c r="Q120" i="102"/>
  <c r="X116" i="102"/>
  <c r="O113" i="102"/>
  <c r="D110" i="102"/>
  <c r="R106" i="102"/>
  <c r="I103" i="102"/>
  <c r="U99" i="102"/>
  <c r="K96" i="102"/>
  <c r="Y92" i="102"/>
  <c r="O89" i="102"/>
  <c r="E83" i="102"/>
  <c r="D80" i="102"/>
  <c r="Z76" i="102"/>
  <c r="W73" i="102"/>
  <c r="V70" i="102"/>
  <c r="S67" i="102"/>
  <c r="Q64" i="102"/>
  <c r="R161" i="102"/>
  <c r="R155" i="102"/>
  <c r="R149" i="102"/>
  <c r="N143" i="102"/>
  <c r="Q137" i="102"/>
  <c r="P131" i="102"/>
  <c r="M123" i="102"/>
  <c r="Q118" i="102"/>
  <c r="I114" i="102"/>
  <c r="Z109" i="102"/>
  <c r="U105" i="102"/>
  <c r="M101" i="102"/>
  <c r="S97" i="102"/>
  <c r="W93" i="102"/>
  <c r="C90" i="102"/>
  <c r="J83" i="102"/>
  <c r="W79" i="102"/>
  <c r="L76" i="102"/>
  <c r="C73" i="102"/>
  <c r="P69" i="102"/>
  <c r="F66" i="102"/>
  <c r="S62" i="102"/>
  <c r="R59" i="102"/>
  <c r="P56" i="102"/>
  <c r="M53" i="102"/>
  <c r="L50" i="102"/>
  <c r="I44" i="102"/>
  <c r="G41" i="102"/>
  <c r="L38" i="102"/>
  <c r="Q35" i="102"/>
  <c r="V32" i="102"/>
  <c r="D30" i="102"/>
  <c r="N163" i="102"/>
  <c r="O157" i="102"/>
  <c r="J151" i="102"/>
  <c r="N145" i="102"/>
  <c r="J139" i="102"/>
  <c r="J133" i="102"/>
  <c r="V124" i="102"/>
  <c r="E120" i="102"/>
  <c r="P115" i="102"/>
  <c r="K111" i="102"/>
  <c r="C107" i="102"/>
  <c r="U102" i="102"/>
  <c r="V98" i="102"/>
  <c r="C95" i="102"/>
  <c r="E91" i="102"/>
  <c r="K84" i="102"/>
  <c r="X80" i="102"/>
  <c r="M77" i="102"/>
  <c r="D74" i="102"/>
  <c r="P70" i="102"/>
  <c r="F67" i="102"/>
  <c r="U63" i="102"/>
  <c r="P60" i="102"/>
  <c r="N57" i="102"/>
  <c r="K54" i="102"/>
  <c r="J51" i="102"/>
  <c r="H45" i="102"/>
  <c r="E42" i="102"/>
  <c r="H39" i="102"/>
  <c r="U158" i="102"/>
  <c r="G151" i="102"/>
  <c r="Q143" i="102"/>
  <c r="Y135" i="102"/>
  <c r="C129" i="102"/>
  <c r="V119" i="102"/>
  <c r="K114" i="102"/>
  <c r="X108" i="102"/>
  <c r="Q103" i="102"/>
  <c r="Q98" i="102"/>
  <c r="X93" i="102"/>
  <c r="E89" i="102"/>
  <c r="R81" i="102"/>
  <c r="I77" i="102"/>
  <c r="D73" i="102"/>
  <c r="S68" i="102"/>
  <c r="N64" i="102"/>
  <c r="L60" i="102"/>
  <c r="Q56" i="102"/>
  <c r="S52" i="102"/>
  <c r="W45" i="102"/>
  <c r="Z41" i="102"/>
  <c r="M38" i="102"/>
  <c r="J35" i="102"/>
  <c r="H32" i="102"/>
  <c r="G29" i="102"/>
  <c r="G26" i="102"/>
  <c r="M23" i="102"/>
  <c r="Z160" i="102"/>
  <c r="R153" i="102"/>
  <c r="Z145" i="102"/>
  <c r="L138" i="102"/>
  <c r="F131" i="102"/>
  <c r="U121" i="102"/>
  <c r="C116" i="102"/>
  <c r="P110" i="102"/>
  <c r="I105" i="102"/>
  <c r="F100" i="102"/>
  <c r="M95" i="102"/>
  <c r="P90" i="102"/>
  <c r="Y82" i="102"/>
  <c r="S78" i="102"/>
  <c r="J74" i="102"/>
  <c r="D70" i="102"/>
  <c r="V65" i="102"/>
  <c r="R61" i="102"/>
  <c r="V57" i="102"/>
  <c r="X53" i="102"/>
  <c r="D50" i="102"/>
  <c r="H43" i="102"/>
  <c r="N39" i="102"/>
  <c r="J36" i="102"/>
  <c r="G33" i="102"/>
  <c r="F30" i="102"/>
  <c r="E27" i="102"/>
  <c r="J24" i="102"/>
  <c r="O21" i="102"/>
  <c r="U18" i="102"/>
  <c r="Z15" i="102"/>
  <c r="G13" i="102"/>
  <c r="Z161" i="102"/>
  <c r="T152" i="102"/>
  <c r="C143" i="102"/>
  <c r="U133" i="102"/>
  <c r="K122" i="102"/>
  <c r="L115" i="102"/>
  <c r="Q108" i="102"/>
  <c r="X101" i="102"/>
  <c r="Z95" i="102"/>
  <c r="E90" i="102"/>
  <c r="I81" i="102"/>
  <c r="C76" i="102"/>
  <c r="O70" i="102"/>
  <c r="J65" i="102"/>
  <c r="G60" i="102"/>
  <c r="K55" i="102"/>
  <c r="O50" i="102"/>
  <c r="V42" i="102"/>
  <c r="G38" i="102"/>
  <c r="L34" i="102"/>
  <c r="N30" i="102"/>
  <c r="U26" i="102"/>
  <c r="H23" i="102"/>
  <c r="C20" i="102"/>
  <c r="Y16" i="102"/>
  <c r="W13" i="102"/>
  <c r="X19" i="102"/>
  <c r="N155" i="102"/>
  <c r="G146" i="102"/>
  <c r="U136" i="102"/>
  <c r="C128" i="102"/>
  <c r="K117" i="102"/>
  <c r="X110" i="102"/>
  <c r="Z103" i="102"/>
  <c r="X97" i="102"/>
  <c r="X91" i="102"/>
  <c r="C83" i="102"/>
  <c r="S77" i="102"/>
  <c r="L72" i="102"/>
  <c r="Y66" i="102"/>
  <c r="U61" i="102"/>
  <c r="W56" i="102"/>
  <c r="E52" i="102"/>
  <c r="H44" i="102"/>
  <c r="Q39" i="102"/>
  <c r="P35" i="102"/>
  <c r="U31" i="102"/>
  <c r="W27" i="102"/>
  <c r="L24" i="102"/>
  <c r="Z20" i="102"/>
  <c r="Y17" i="102"/>
  <c r="V14" i="102"/>
  <c r="T11" i="102"/>
  <c r="Y156" i="102"/>
  <c r="P147" i="102"/>
  <c r="X137" i="102"/>
  <c r="F129" i="102"/>
  <c r="K118" i="102"/>
  <c r="T111" i="102"/>
  <c r="E105" i="102"/>
  <c r="U98" i="102"/>
  <c r="T92" i="102"/>
  <c r="X83" i="102"/>
  <c r="L78" i="102"/>
  <c r="G73" i="102"/>
  <c r="R67" i="102"/>
  <c r="N62" i="102"/>
  <c r="Q57" i="102"/>
  <c r="V52" i="102"/>
  <c r="Y44" i="102"/>
  <c r="I40" i="102"/>
  <c r="F36" i="102"/>
  <c r="J32" i="102"/>
  <c r="M28" i="102"/>
  <c r="X24" i="102"/>
  <c r="M21" i="102"/>
  <c r="W17" i="102"/>
  <c r="U14" i="102"/>
  <c r="S11" i="102"/>
  <c r="L154" i="102"/>
  <c r="W140" i="102"/>
  <c r="H128" i="102"/>
  <c r="Q114" i="102"/>
  <c r="W104" i="102"/>
  <c r="J96" i="102"/>
  <c r="S84" i="102"/>
  <c r="D77" i="102"/>
  <c r="G69" i="102"/>
  <c r="Y61" i="102"/>
  <c r="W54" i="102"/>
  <c r="X44" i="102"/>
  <c r="N38" i="102"/>
  <c r="W32" i="102"/>
  <c r="L27" i="102"/>
  <c r="K22" i="102"/>
  <c r="C18" i="102"/>
  <c r="O13" i="102"/>
  <c r="K65" i="102"/>
  <c r="U44" i="102"/>
  <c r="R32" i="102"/>
  <c r="D23" i="102"/>
  <c r="Q12" i="102"/>
  <c r="U122" i="102"/>
  <c r="L101" i="102"/>
  <c r="E79" i="102"/>
  <c r="C58" i="102"/>
  <c r="L120" i="102"/>
  <c r="P89" i="102"/>
  <c r="U65" i="102"/>
  <c r="L45" i="102"/>
  <c r="L31" i="102"/>
  <c r="G21" i="102"/>
  <c r="M14" i="102"/>
  <c r="D148" i="102"/>
  <c r="P74" i="102"/>
  <c r="D34" i="102"/>
  <c r="O145" i="102"/>
  <c r="R73" i="102"/>
  <c r="C34" i="102"/>
  <c r="O23" i="102"/>
  <c r="L67" i="102"/>
  <c r="V156" i="102"/>
  <c r="D18" i="102"/>
  <c r="K57" i="102"/>
  <c r="D130" i="102"/>
  <c r="S18" i="102"/>
  <c r="T37" i="102"/>
  <c r="V66" i="102"/>
  <c r="M105" i="102"/>
  <c r="K20" i="102"/>
  <c r="K33" i="102"/>
  <c r="U51" i="102"/>
  <c r="X69" i="102"/>
  <c r="N96" i="102"/>
  <c r="K132" i="102"/>
  <c r="E163" i="102"/>
  <c r="Q160" i="102"/>
  <c r="E158" i="102"/>
  <c r="Q155" i="102"/>
  <c r="E153" i="102"/>
  <c r="Q150" i="102"/>
  <c r="E148" i="102"/>
  <c r="Q145" i="102"/>
  <c r="E143" i="102"/>
  <c r="Q140" i="102"/>
  <c r="E138" i="102"/>
  <c r="Q135" i="102"/>
  <c r="E133" i="102"/>
  <c r="Q130" i="102"/>
  <c r="M163" i="102"/>
  <c r="S160" i="102"/>
  <c r="X157" i="102"/>
  <c r="E155" i="102"/>
  <c r="K152" i="102"/>
  <c r="P149" i="102"/>
  <c r="U146" i="102"/>
  <c r="C144" i="102"/>
  <c r="H141" i="102"/>
  <c r="M138" i="102"/>
  <c r="S135" i="102"/>
  <c r="X132" i="102"/>
  <c r="E130" i="102"/>
  <c r="N124" i="102"/>
  <c r="Z121" i="102"/>
  <c r="N119" i="102"/>
  <c r="Z116" i="102"/>
  <c r="N114" i="102"/>
  <c r="Z111" i="102"/>
  <c r="N109" i="102"/>
  <c r="Z106" i="102"/>
  <c r="N104" i="102"/>
  <c r="Z101" i="102"/>
  <c r="N99" i="102"/>
  <c r="Z96" i="102"/>
  <c r="N94" i="102"/>
  <c r="Z91" i="102"/>
  <c r="N89" i="102"/>
  <c r="Z83" i="102"/>
  <c r="J161" i="102"/>
  <c r="H158" i="102"/>
  <c r="F155" i="102"/>
  <c r="D152" i="102"/>
  <c r="Z148" i="102"/>
  <c r="X145" i="102"/>
  <c r="V142" i="102"/>
  <c r="S139" i="102"/>
  <c r="R136" i="102"/>
  <c r="P133" i="102"/>
  <c r="M130" i="102"/>
  <c r="O124" i="102"/>
  <c r="T121" i="102"/>
  <c r="Y118" i="102"/>
  <c r="G116" i="102"/>
  <c r="L113" i="102"/>
  <c r="Q110" i="102"/>
  <c r="W107" i="102"/>
  <c r="D105" i="102"/>
  <c r="I102" i="102"/>
  <c r="O99" i="102"/>
  <c r="T96" i="102"/>
  <c r="Y93" i="102"/>
  <c r="G91" i="102"/>
  <c r="L85" i="102"/>
  <c r="T82" i="102"/>
  <c r="H80" i="102"/>
  <c r="T77" i="102"/>
  <c r="H75" i="102"/>
  <c r="T72" i="102"/>
  <c r="H70" i="102"/>
  <c r="T67" i="102"/>
  <c r="H65" i="102"/>
  <c r="T62" i="102"/>
  <c r="H60" i="102"/>
  <c r="T57" i="102"/>
  <c r="H55" i="102"/>
  <c r="T52" i="102"/>
  <c r="H50" i="102"/>
  <c r="T44" i="102"/>
  <c r="H42" i="102"/>
  <c r="U162" i="102"/>
  <c r="R159" i="102"/>
  <c r="Q156" i="102"/>
  <c r="N153" i="102"/>
  <c r="L150" i="102"/>
  <c r="K147" i="102"/>
  <c r="H144" i="102"/>
  <c r="F141" i="102"/>
  <c r="D138" i="102"/>
  <c r="Z134" i="102"/>
  <c r="X131" i="102"/>
  <c r="V128" i="102"/>
  <c r="C123" i="102"/>
  <c r="H120" i="102"/>
  <c r="G163" i="102"/>
  <c r="L159" i="102"/>
  <c r="M155" i="102"/>
  <c r="R151" i="102"/>
  <c r="U147" i="102"/>
  <c r="X143" i="102"/>
  <c r="C140" i="102"/>
  <c r="H136" i="102"/>
  <c r="J132" i="102"/>
  <c r="O128" i="102"/>
  <c r="C122" i="102"/>
  <c r="P118" i="102"/>
  <c r="M115" i="102"/>
  <c r="J112" i="102"/>
  <c r="I109" i="102"/>
  <c r="G106" i="102"/>
  <c r="D103" i="102"/>
  <c r="C100" i="102"/>
  <c r="X96" i="102"/>
  <c r="V93" i="102"/>
  <c r="U90" i="102"/>
  <c r="R84" i="102"/>
  <c r="U81" i="102"/>
  <c r="C79" i="102"/>
  <c r="H76" i="102"/>
  <c r="M73" i="102"/>
  <c r="S70" i="102"/>
  <c r="X67" i="102"/>
  <c r="E65" i="102"/>
  <c r="K62" i="102"/>
  <c r="P59" i="102"/>
  <c r="U56" i="102"/>
  <c r="C54" i="102"/>
  <c r="H51" i="102"/>
  <c r="M45" i="102"/>
  <c r="S42" i="102"/>
  <c r="Z39" i="102"/>
  <c r="N37" i="102"/>
  <c r="Z34" i="102"/>
  <c r="N32" i="102"/>
  <c r="Z29" i="102"/>
  <c r="N27" i="102"/>
  <c r="Z24" i="102"/>
  <c r="N22" i="102"/>
  <c r="Z19" i="102"/>
  <c r="N17" i="102"/>
  <c r="Z14" i="102"/>
  <c r="N12" i="102"/>
  <c r="M162" i="102"/>
  <c r="P158" i="102"/>
  <c r="T154" i="102"/>
  <c r="V150" i="102"/>
  <c r="C147" i="102"/>
  <c r="F143" i="102"/>
  <c r="I139" i="102"/>
  <c r="L135" i="102"/>
  <c r="Z163" i="102"/>
  <c r="C159" i="102"/>
  <c r="I154" i="102"/>
  <c r="J149" i="102"/>
  <c r="Q144" i="102"/>
  <c r="T139" i="102"/>
  <c r="Y134" i="102"/>
  <c r="I130" i="102"/>
  <c r="J123" i="102"/>
  <c r="M119" i="102"/>
  <c r="W115" i="102"/>
  <c r="M112" i="102"/>
  <c r="Z108" i="102"/>
  <c r="P105" i="102"/>
  <c r="F102" i="102"/>
  <c r="S159" i="102"/>
  <c r="Y154" i="102"/>
  <c r="E150" i="102"/>
  <c r="J145" i="102"/>
  <c r="M140" i="102"/>
  <c r="T135" i="102"/>
  <c r="X130" i="102"/>
  <c r="W123" i="102"/>
  <c r="C120" i="102"/>
  <c r="K116" i="102"/>
  <c r="Z112" i="102"/>
  <c r="O109" i="102"/>
  <c r="D106" i="102"/>
  <c r="R102" i="102"/>
  <c r="H99" i="102"/>
  <c r="U95" i="102"/>
  <c r="K92" i="102"/>
  <c r="Y85" i="102"/>
  <c r="Q82" i="102"/>
  <c r="P79" i="102"/>
  <c r="M76" i="102"/>
  <c r="K73" i="102"/>
  <c r="J70" i="102"/>
  <c r="G67" i="102"/>
  <c r="E64" i="102"/>
  <c r="U160" i="102"/>
  <c r="P154" i="102"/>
  <c r="S148" i="102"/>
  <c r="O142" i="102"/>
  <c r="P136" i="102"/>
  <c r="S130" i="102"/>
  <c r="T122" i="102"/>
  <c r="W117" i="102"/>
  <c r="Q113" i="102"/>
  <c r="J109" i="102"/>
  <c r="C105" i="102"/>
  <c r="V100" i="102"/>
  <c r="D97" i="102"/>
  <c r="G93" i="102"/>
  <c r="L89" i="102"/>
  <c r="U82" i="102"/>
  <c r="I79" i="102"/>
  <c r="W75" i="102"/>
  <c r="M72" i="102"/>
  <c r="C69" i="102"/>
  <c r="O65" i="102"/>
  <c r="G62" i="102"/>
  <c r="F59" i="102"/>
  <c r="C56" i="102"/>
  <c r="Y52" i="102"/>
  <c r="X46" i="102"/>
  <c r="U43" i="102"/>
  <c r="S40" i="102"/>
  <c r="Y37" i="102"/>
  <c r="F35" i="102"/>
  <c r="K32" i="102"/>
  <c r="Q29" i="102"/>
  <c r="N162" i="102"/>
  <c r="K156" i="102"/>
  <c r="M150" i="102"/>
  <c r="I144" i="102"/>
  <c r="K138" i="102"/>
  <c r="H132" i="102"/>
  <c r="F124" i="102"/>
  <c r="H119" i="102"/>
  <c r="W114" i="102"/>
  <c r="O110" i="102"/>
  <c r="J106" i="102"/>
  <c r="Y101" i="102"/>
  <c r="G98" i="102"/>
  <c r="K94" i="102"/>
  <c r="O90" i="102"/>
  <c r="U83" i="102"/>
  <c r="J80" i="102"/>
  <c r="W76" i="102"/>
  <c r="N73" i="102"/>
  <c r="C70" i="102"/>
  <c r="Q66" i="102"/>
  <c r="G63" i="102"/>
  <c r="D60" i="102"/>
  <c r="Z56" i="102"/>
  <c r="W53" i="102"/>
  <c r="V50" i="102"/>
  <c r="S44" i="102"/>
  <c r="Q41" i="102"/>
  <c r="U38" i="102"/>
  <c r="H157" i="102"/>
  <c r="W149" i="102"/>
  <c r="K142" i="102"/>
  <c r="S134" i="102"/>
  <c r="U124" i="102"/>
  <c r="X118" i="102"/>
  <c r="J113" i="102"/>
  <c r="D108" i="102"/>
  <c r="Q102" i="102"/>
  <c r="W97" i="102"/>
  <c r="D93" i="102"/>
  <c r="J85" i="102"/>
  <c r="V80" i="102"/>
  <c r="Q76" i="102"/>
  <c r="H72" i="102"/>
  <c r="C68" i="102"/>
  <c r="S63" i="102"/>
  <c r="U59" i="102"/>
  <c r="X55" i="102"/>
  <c r="D52" i="102"/>
  <c r="G45" i="102"/>
  <c r="K41" i="102"/>
  <c r="W37" i="102"/>
  <c r="V34" i="102"/>
  <c r="T31" i="102"/>
  <c r="Q28" i="102"/>
  <c r="T25" i="102"/>
  <c r="Z22" i="102"/>
  <c r="Y159" i="102"/>
  <c r="G152" i="102"/>
  <c r="V144" i="102"/>
  <c r="E137" i="102"/>
  <c r="Z129" i="102"/>
  <c r="U120" i="102"/>
  <c r="E115" i="102"/>
  <c r="T109" i="102"/>
  <c r="M104" i="102"/>
  <c r="J99" i="102"/>
  <c r="Q94" i="102"/>
  <c r="V89" i="102"/>
  <c r="I82" i="102"/>
  <c r="X77" i="102"/>
  <c r="S73" i="102"/>
  <c r="K69" i="102"/>
  <c r="D65" i="102"/>
  <c r="Z60" i="102"/>
  <c r="F57" i="102"/>
  <c r="I53" i="102"/>
  <c r="N46" i="102"/>
  <c r="O42" i="102"/>
  <c r="Y38" i="102"/>
  <c r="U35" i="102"/>
  <c r="S32" i="102"/>
  <c r="R29" i="102"/>
  <c r="Q26" i="102"/>
  <c r="W23" i="102"/>
  <c r="D21" i="102"/>
  <c r="I18" i="102"/>
  <c r="O15" i="102"/>
  <c r="T12" i="102"/>
  <c r="K160" i="102"/>
  <c r="U150" i="102"/>
  <c r="Q141" i="102"/>
  <c r="D132" i="102"/>
  <c r="H121" i="102"/>
  <c r="C114" i="102"/>
  <c r="O107" i="102"/>
  <c r="W100" i="102"/>
  <c r="Z94" i="102"/>
  <c r="Z85" i="102"/>
  <c r="N80" i="102"/>
  <c r="C75" i="102"/>
  <c r="S69" i="102"/>
  <c r="I64" i="102"/>
  <c r="K59" i="102"/>
  <c r="P54" i="102"/>
  <c r="S46" i="102"/>
  <c r="X41" i="102"/>
  <c r="Q37" i="102"/>
  <c r="R33" i="102"/>
  <c r="W29" i="102"/>
  <c r="E26" i="102"/>
  <c r="S22" i="102"/>
  <c r="N19" i="102"/>
  <c r="L16" i="102"/>
  <c r="K13" i="102"/>
  <c r="J163" i="102"/>
  <c r="X153" i="102"/>
  <c r="L144" i="102"/>
  <c r="F135" i="102"/>
  <c r="Q123" i="102"/>
  <c r="J116" i="102"/>
  <c r="Q109" i="102"/>
  <c r="Z102" i="102"/>
  <c r="U96" i="102"/>
  <c r="Y90" i="102"/>
  <c r="D82" i="102"/>
  <c r="U76" i="102"/>
  <c r="L71" i="102"/>
  <c r="E66" i="102"/>
  <c r="W60" i="102"/>
  <c r="F56" i="102"/>
  <c r="G51" i="102"/>
  <c r="M43" i="102"/>
  <c r="V38" i="102"/>
  <c r="Y34" i="102"/>
  <c r="D31" i="102"/>
  <c r="I27" i="102"/>
  <c r="U23" i="102"/>
  <c r="N20" i="102"/>
  <c r="L17" i="102"/>
  <c r="J14" i="102"/>
  <c r="G11" i="102"/>
  <c r="J155" i="102"/>
  <c r="Y145" i="102"/>
  <c r="S136" i="102"/>
  <c r="S124" i="102"/>
  <c r="J117" i="102"/>
  <c r="N110" i="102"/>
  <c r="Y103" i="102"/>
  <c r="T97" i="102"/>
  <c r="T91" i="102"/>
  <c r="X82" i="102"/>
  <c r="R77" i="102"/>
  <c r="F72" i="102"/>
  <c r="W66" i="102"/>
  <c r="P61" i="102"/>
  <c r="V56" i="102"/>
  <c r="Z51" i="102"/>
  <c r="F44" i="102"/>
  <c r="M39" i="102"/>
  <c r="O35" i="102"/>
  <c r="Q31" i="102"/>
  <c r="V27" i="102"/>
  <c r="I24" i="102"/>
  <c r="Y20" i="102"/>
  <c r="J17" i="102"/>
  <c r="I14" i="102"/>
  <c r="F11" i="102"/>
  <c r="Y151" i="102"/>
  <c r="V138" i="102"/>
  <c r="D123" i="102"/>
  <c r="F113" i="102"/>
  <c r="L103" i="102"/>
  <c r="T94" i="102"/>
  <c r="L83" i="102"/>
  <c r="P75" i="102"/>
  <c r="E68" i="102"/>
  <c r="Q60" i="102"/>
  <c r="U53" i="102"/>
  <c r="V43" i="102"/>
  <c r="L37" i="102"/>
  <c r="Z31" i="102"/>
  <c r="N26" i="102"/>
  <c r="S21" i="102"/>
  <c r="G17" i="102"/>
  <c r="W12" i="102"/>
  <c r="M61" i="102"/>
  <c r="L42" i="102"/>
  <c r="W30" i="102"/>
  <c r="T20" i="102"/>
  <c r="M160" i="102"/>
  <c r="E119" i="102"/>
  <c r="I97" i="102"/>
  <c r="O76" i="102"/>
  <c r="Q119" i="102"/>
  <c r="G85" i="102"/>
  <c r="Q65" i="102"/>
  <c r="L44" i="102"/>
  <c r="N29" i="102"/>
  <c r="Q19" i="102"/>
  <c r="Y12" i="102"/>
  <c r="Z123" i="102"/>
  <c r="T64" i="102"/>
  <c r="R27" i="102"/>
  <c r="L123" i="102"/>
  <c r="S64" i="102"/>
  <c r="X26" i="102"/>
  <c r="E72" i="102"/>
  <c r="P23" i="102"/>
  <c r="G68" i="102"/>
  <c r="X156" i="102"/>
  <c r="L22" i="102"/>
  <c r="Z42" i="102"/>
  <c r="J73" i="102"/>
  <c r="Q116" i="102"/>
  <c r="N11" i="102"/>
  <c r="P22" i="102"/>
  <c r="X35" i="102"/>
  <c r="D55" i="102"/>
  <c r="L73" i="102"/>
  <c r="Q100" i="102"/>
  <c r="D139" i="102"/>
  <c r="S162" i="102"/>
  <c r="G160" i="102"/>
  <c r="S157" i="102"/>
  <c r="G155" i="102"/>
  <c r="S152" i="102"/>
  <c r="G150" i="102"/>
  <c r="S147" i="102"/>
  <c r="G145" i="102"/>
  <c r="S142" i="102"/>
  <c r="G140" i="102"/>
  <c r="S137" i="102"/>
  <c r="G135" i="102"/>
  <c r="S132" i="102"/>
  <c r="G130" i="102"/>
  <c r="Z162" i="102"/>
  <c r="H160" i="102"/>
  <c r="M157" i="102"/>
  <c r="R154" i="102"/>
  <c r="X151" i="102"/>
  <c r="E149" i="102"/>
  <c r="J146" i="102"/>
  <c r="P143" i="102"/>
  <c r="U140" i="102"/>
  <c r="Z137" i="102"/>
  <c r="H135" i="102"/>
  <c r="M132" i="102"/>
  <c r="R129" i="102"/>
  <c r="D124" i="102"/>
  <c r="P121" i="102"/>
  <c r="D119" i="102"/>
  <c r="P116" i="102"/>
  <c r="D114" i="102"/>
  <c r="P111" i="102"/>
  <c r="D109" i="102"/>
  <c r="P106" i="102"/>
  <c r="D104" i="102"/>
  <c r="P101" i="102"/>
  <c r="D99" i="102"/>
  <c r="P96" i="102"/>
  <c r="D94" i="102"/>
  <c r="P91" i="102"/>
  <c r="D89" i="102"/>
  <c r="W163" i="102"/>
  <c r="V160" i="102"/>
  <c r="T157" i="102"/>
  <c r="Q154" i="102"/>
  <c r="P151" i="102"/>
  <c r="M148" i="102"/>
  <c r="K145" i="102"/>
  <c r="J142" i="102"/>
  <c r="G139" i="102"/>
  <c r="E136" i="102"/>
  <c r="C133" i="102"/>
  <c r="Y129" i="102"/>
  <c r="C124" i="102"/>
  <c r="I121" i="102"/>
  <c r="N118" i="102"/>
  <c r="S115" i="102"/>
  <c r="Y112" i="102"/>
  <c r="F110" i="102"/>
  <c r="K107" i="102"/>
  <c r="Q104" i="102"/>
  <c r="V101" i="102"/>
  <c r="C99" i="102"/>
  <c r="I96" i="102"/>
  <c r="N93" i="102"/>
  <c r="S90" i="102"/>
  <c r="Y84" i="102"/>
  <c r="J82" i="102"/>
  <c r="V79" i="102"/>
  <c r="J77" i="102"/>
  <c r="V74" i="102"/>
  <c r="J72" i="102"/>
  <c r="V69" i="102"/>
  <c r="J67" i="102"/>
  <c r="V64" i="102"/>
  <c r="J62" i="102"/>
  <c r="V59" i="102"/>
  <c r="J57" i="102"/>
  <c r="V54" i="102"/>
  <c r="J52" i="102"/>
  <c r="V46" i="102"/>
  <c r="J44" i="102"/>
  <c r="V41" i="102"/>
  <c r="H162" i="102"/>
  <c r="F159" i="102"/>
  <c r="E156" i="102"/>
  <c r="Z152" i="102"/>
  <c r="X149" i="102"/>
  <c r="V146" i="102"/>
  <c r="T143" i="102"/>
  <c r="R140" i="102"/>
  <c r="P137" i="102"/>
  <c r="N134" i="102"/>
  <c r="K131" i="102"/>
  <c r="K128" i="102"/>
  <c r="P122" i="102"/>
  <c r="U119" i="102"/>
  <c r="P162" i="102"/>
  <c r="S158" i="102"/>
  <c r="W154" i="102"/>
  <c r="Z150" i="102"/>
  <c r="E147" i="102"/>
  <c r="I143" i="102"/>
  <c r="M139" i="102"/>
  <c r="O135" i="102"/>
  <c r="S131" i="102"/>
  <c r="Y124" i="102"/>
  <c r="M121" i="102"/>
  <c r="Z117" i="102"/>
  <c r="Y114" i="102"/>
  <c r="V111" i="102"/>
  <c r="T108" i="102"/>
  <c r="R105" i="102"/>
  <c r="P102" i="102"/>
  <c r="M99" i="102"/>
  <c r="L96" i="102"/>
  <c r="J93" i="102"/>
  <c r="G90" i="102"/>
  <c r="F84" i="102"/>
  <c r="J81" i="102"/>
  <c r="O78" i="102"/>
  <c r="U75" i="102"/>
  <c r="Z72" i="102"/>
  <c r="G70" i="102"/>
  <c r="M67" i="102"/>
  <c r="R64" i="102"/>
  <c r="W61" i="102"/>
  <c r="E59" i="102"/>
  <c r="J56" i="102"/>
  <c r="O53" i="102"/>
  <c r="U50" i="102"/>
  <c r="Z44" i="102"/>
  <c r="G42" i="102"/>
  <c r="P39" i="102"/>
  <c r="D37" i="102"/>
  <c r="P34" i="102"/>
  <c r="D32" i="102"/>
  <c r="P29" i="102"/>
  <c r="D27" i="102"/>
  <c r="P24" i="102"/>
  <c r="D22" i="102"/>
  <c r="P19" i="102"/>
  <c r="D17" i="102"/>
  <c r="P14" i="102"/>
  <c r="D12" i="102"/>
  <c r="U161" i="102"/>
  <c r="Y157" i="102"/>
  <c r="D154" i="102"/>
  <c r="H150" i="102"/>
  <c r="K146" i="102"/>
  <c r="N142" i="102"/>
  <c r="R138" i="102"/>
  <c r="V134" i="102"/>
  <c r="C163" i="102"/>
  <c r="I158" i="102"/>
  <c r="K153" i="102"/>
  <c r="Q148" i="102"/>
  <c r="S143" i="102"/>
  <c r="Z138" i="102"/>
  <c r="E134" i="102"/>
  <c r="P129" i="102"/>
  <c r="S122" i="102"/>
  <c r="U118" i="102"/>
  <c r="I115" i="102"/>
  <c r="W111" i="102"/>
  <c r="M108" i="102"/>
  <c r="Z104" i="102"/>
  <c r="T163" i="102"/>
  <c r="Z158" i="102"/>
  <c r="F154" i="102"/>
  <c r="I149" i="102"/>
  <c r="O144" i="102"/>
  <c r="R139" i="102"/>
  <c r="W134" i="102"/>
  <c r="H130" i="102"/>
  <c r="I123" i="102"/>
  <c r="K119" i="102"/>
  <c r="V115" i="102"/>
  <c r="K112" i="102"/>
  <c r="Y108" i="102"/>
  <c r="N105" i="102"/>
  <c r="E102" i="102"/>
  <c r="S98" i="102"/>
  <c r="G95" i="102"/>
  <c r="V91" i="102"/>
  <c r="K85" i="102"/>
  <c r="E82" i="102"/>
  <c r="D79" i="102"/>
  <c r="Y75" i="102"/>
  <c r="W72" i="102"/>
  <c r="U69" i="102"/>
  <c r="S66" i="102"/>
  <c r="Q63" i="102"/>
  <c r="P159" i="102"/>
  <c r="S153" i="102"/>
  <c r="O147" i="102"/>
  <c r="P141" i="102"/>
  <c r="M135" i="102"/>
  <c r="V129" i="102"/>
  <c r="V121" i="102"/>
  <c r="G117" i="102"/>
  <c r="U112" i="102"/>
  <c r="P108" i="102"/>
  <c r="I104" i="102"/>
  <c r="G100" i="102"/>
  <c r="M96" i="102"/>
  <c r="Q92" i="102"/>
  <c r="U85" i="102"/>
  <c r="F82" i="102"/>
  <c r="T78" i="102"/>
  <c r="I75" i="102"/>
  <c r="W71" i="102"/>
  <c r="M68" i="102"/>
  <c r="Z64" i="102"/>
  <c r="S61" i="102"/>
  <c r="Q58" i="102"/>
  <c r="O55" i="102"/>
  <c r="M52" i="102"/>
  <c r="J46" i="102"/>
  <c r="I43" i="102"/>
  <c r="H40" i="102"/>
  <c r="M37" i="102"/>
  <c r="S34" i="102"/>
  <c r="X31" i="102"/>
  <c r="E29" i="102"/>
  <c r="O161" i="102"/>
  <c r="L155" i="102"/>
  <c r="M149" i="102"/>
  <c r="L143" i="102"/>
  <c r="L137" i="102"/>
  <c r="J131" i="102"/>
  <c r="K123" i="102"/>
  <c r="M118" i="102"/>
  <c r="G114" i="102"/>
  <c r="W109" i="102"/>
  <c r="Q105" i="102"/>
  <c r="J101" i="102"/>
  <c r="P97" i="102"/>
  <c r="T93" i="102"/>
  <c r="Y89" i="102"/>
  <c r="H83" i="102"/>
  <c r="T79" i="102"/>
  <c r="J76" i="102"/>
  <c r="X72" i="102"/>
  <c r="N69" i="102"/>
  <c r="Z65" i="102"/>
  <c r="Q62" i="102"/>
  <c r="O59" i="102"/>
  <c r="M56" i="102"/>
  <c r="K53" i="102"/>
  <c r="I50" i="102"/>
  <c r="G44" i="102"/>
  <c r="E41" i="102"/>
  <c r="R163" i="102"/>
  <c r="H156" i="102"/>
  <c r="T148" i="102"/>
  <c r="Z140" i="102"/>
  <c r="S133" i="102"/>
  <c r="V123" i="102"/>
  <c r="X117" i="102"/>
  <c r="P112" i="102"/>
  <c r="F107" i="102"/>
  <c r="U101" i="102"/>
  <c r="E97" i="102"/>
  <c r="H92" i="102"/>
  <c r="P84" i="102"/>
  <c r="F80" i="102"/>
  <c r="X75" i="102"/>
  <c r="P71" i="102"/>
  <c r="K67" i="102"/>
  <c r="Z62" i="102"/>
  <c r="G59" i="102"/>
  <c r="I55" i="102"/>
  <c r="M51" i="102"/>
  <c r="P44" i="102"/>
  <c r="T40" i="102"/>
  <c r="K37" i="102"/>
  <c r="J34" i="102"/>
  <c r="G31" i="102"/>
  <c r="E28" i="102"/>
  <c r="I25" i="102"/>
  <c r="O22" i="102"/>
  <c r="N158" i="102"/>
  <c r="F151" i="102"/>
  <c r="M143" i="102"/>
  <c r="X135" i="102"/>
  <c r="S128" i="102"/>
  <c r="T119" i="102"/>
  <c r="H114" i="102"/>
  <c r="W108" i="102"/>
  <c r="N103" i="102"/>
  <c r="O98" i="102"/>
  <c r="U93" i="102"/>
  <c r="C89" i="102"/>
  <c r="O81" i="102"/>
  <c r="H77" i="102"/>
  <c r="Y72" i="102"/>
  <c r="R68" i="102"/>
  <c r="K64" i="102"/>
  <c r="K60" i="102"/>
  <c r="O56" i="102"/>
  <c r="R52" i="102"/>
  <c r="U45" i="102"/>
  <c r="Y41" i="102"/>
  <c r="K38" i="102"/>
  <c r="I35" i="102"/>
  <c r="G32" i="102"/>
  <c r="D29" i="102"/>
  <c r="F26" i="102"/>
  <c r="L23" i="102"/>
  <c r="Q20" i="102"/>
  <c r="V17" i="102"/>
  <c r="D15" i="102"/>
  <c r="I12" i="102"/>
  <c r="X158" i="102"/>
  <c r="H149" i="102"/>
  <c r="D140" i="102"/>
  <c r="T130" i="102"/>
  <c r="Z119" i="102"/>
  <c r="E113" i="102"/>
  <c r="N106" i="102"/>
  <c r="W99" i="102"/>
  <c r="C94" i="102"/>
  <c r="Z84" i="102"/>
  <c r="Q79" i="102"/>
  <c r="G74" i="102"/>
  <c r="W68" i="102"/>
  <c r="M63" i="102"/>
  <c r="S58" i="102"/>
  <c r="T53" i="102"/>
  <c r="C46" i="102"/>
  <c r="D41" i="102"/>
  <c r="Y36" i="102"/>
  <c r="D33" i="102"/>
  <c r="I29" i="102"/>
  <c r="P25" i="102"/>
  <c r="F22" i="102"/>
  <c r="Z18" i="102"/>
  <c r="X15" i="102"/>
  <c r="V12" i="102"/>
  <c r="X161" i="102"/>
  <c r="M152" i="102"/>
  <c r="Z142" i="102"/>
  <c r="T133" i="102"/>
  <c r="J122" i="102"/>
  <c r="K115" i="102"/>
  <c r="O108" i="102"/>
  <c r="W101" i="102"/>
  <c r="Y95" i="102"/>
  <c r="Z89" i="102"/>
  <c r="H81" i="102"/>
  <c r="Z75" i="102"/>
  <c r="N70" i="102"/>
  <c r="I65" i="102"/>
  <c r="E60" i="102"/>
  <c r="J55" i="102"/>
  <c r="N50" i="102"/>
  <c r="T42" i="102"/>
  <c r="F38" i="102"/>
  <c r="K34" i="102"/>
  <c r="M30" i="102"/>
  <c r="T26" i="102"/>
  <c r="G23" i="102"/>
  <c r="Y19" i="102"/>
  <c r="W16" i="102"/>
  <c r="V13" i="102"/>
  <c r="H163" i="102"/>
  <c r="W153" i="102"/>
  <c r="G144" i="102"/>
  <c r="E135" i="102"/>
  <c r="O123" i="102"/>
  <c r="H116" i="102"/>
  <c r="M109" i="102"/>
  <c r="Y102" i="102"/>
  <c r="S96" i="102"/>
  <c r="X90" i="102"/>
  <c r="Z81" i="102"/>
  <c r="T76" i="102"/>
  <c r="K71" i="102"/>
  <c r="Y65" i="102"/>
  <c r="V60" i="102"/>
  <c r="E56" i="102"/>
  <c r="F51" i="102"/>
  <c r="L43" i="102"/>
  <c r="S38" i="102"/>
  <c r="X34" i="102"/>
  <c r="C31" i="102"/>
  <c r="H27" i="102"/>
  <c r="S23" i="102"/>
  <c r="M20" i="102"/>
  <c r="V16" i="102"/>
  <c r="U13" i="102"/>
  <c r="F163" i="102"/>
  <c r="Y149" i="102"/>
  <c r="I136" i="102"/>
  <c r="N121" i="102"/>
  <c r="L111" i="102"/>
  <c r="C102" i="102"/>
  <c r="L93" i="102"/>
  <c r="Y81" i="102"/>
  <c r="O74" i="102"/>
  <c r="U66" i="102"/>
  <c r="N59" i="102"/>
  <c r="O52" i="102"/>
  <c r="W42" i="102"/>
  <c r="P36" i="102"/>
  <c r="Y30" i="102"/>
  <c r="U25" i="102"/>
  <c r="W20" i="102"/>
  <c r="O16" i="102"/>
  <c r="C12" i="102"/>
  <c r="E58" i="102"/>
  <c r="G40" i="102"/>
  <c r="Y29" i="102"/>
  <c r="I19" i="102"/>
  <c r="Z144" i="102"/>
  <c r="U115" i="102"/>
  <c r="I94" i="102"/>
  <c r="S72" i="102"/>
  <c r="C152" i="102"/>
  <c r="G110" i="102"/>
  <c r="Z79" i="102"/>
  <c r="Q59" i="102"/>
  <c r="V39" i="102"/>
  <c r="Y25" i="102"/>
  <c r="C19" i="102"/>
  <c r="L12" i="102"/>
  <c r="V114" i="102"/>
  <c r="X59" i="102"/>
  <c r="E25" i="102"/>
  <c r="T114" i="102"/>
  <c r="W59" i="102"/>
  <c r="T34" i="102"/>
  <c r="K89" i="102"/>
  <c r="M27" i="102"/>
  <c r="P72" i="102"/>
  <c r="W152" i="102"/>
  <c r="H24" i="102"/>
  <c r="G46" i="102"/>
  <c r="F76" i="102"/>
  <c r="Q121" i="102"/>
  <c r="D13" i="102"/>
  <c r="N24" i="102"/>
  <c r="U37" i="102"/>
  <c r="O57" i="102"/>
  <c r="G76" i="102"/>
  <c r="S105" i="102"/>
  <c r="T145" i="102"/>
  <c r="I162" i="102"/>
  <c r="U159" i="102"/>
  <c r="I157" i="102"/>
  <c r="U154" i="102"/>
  <c r="I152" i="102"/>
  <c r="U149" i="102"/>
  <c r="I147" i="102"/>
  <c r="U144" i="102"/>
  <c r="I142" i="102"/>
  <c r="U139" i="102"/>
  <c r="I137" i="102"/>
  <c r="U134" i="102"/>
  <c r="I132" i="102"/>
  <c r="U129" i="102"/>
  <c r="O162" i="102"/>
  <c r="T159" i="102"/>
  <c r="Z156" i="102"/>
  <c r="G154" i="102"/>
  <c r="L151" i="102"/>
  <c r="R148" i="102"/>
  <c r="W145" i="102"/>
  <c r="D143" i="102"/>
  <c r="J140" i="102"/>
  <c r="O137" i="102"/>
  <c r="T134" i="102"/>
  <c r="Z131" i="102"/>
  <c r="G129" i="102"/>
  <c r="R123" i="102"/>
  <c r="F121" i="102"/>
  <c r="R118" i="102"/>
  <c r="F116" i="102"/>
  <c r="R113" i="102"/>
  <c r="F111" i="102"/>
  <c r="R108" i="102"/>
  <c r="F106" i="102"/>
  <c r="R103" i="102"/>
  <c r="F101" i="102"/>
  <c r="R98" i="102"/>
  <c r="F96" i="102"/>
  <c r="R93" i="102"/>
  <c r="F91" i="102"/>
  <c r="R85" i="102"/>
  <c r="K163" i="102"/>
  <c r="J160" i="102"/>
  <c r="G157" i="102"/>
  <c r="E154" i="102"/>
  <c r="D151" i="102"/>
  <c r="Y147" i="102"/>
  <c r="W144" i="102"/>
  <c r="U141" i="102"/>
  <c r="S138" i="102"/>
  <c r="P135" i="102"/>
  <c r="O132" i="102"/>
  <c r="M129" i="102"/>
  <c r="P123" i="102"/>
  <c r="V120" i="102"/>
  <c r="C118" i="102"/>
  <c r="H115" i="102"/>
  <c r="N112" i="102"/>
  <c r="S109" i="102"/>
  <c r="X106" i="102"/>
  <c r="F104" i="102"/>
  <c r="K101" i="102"/>
  <c r="P98" i="102"/>
  <c r="V95" i="102"/>
  <c r="C93" i="102"/>
  <c r="H90" i="102"/>
  <c r="N84" i="102"/>
  <c r="X81" i="102"/>
  <c r="L79" i="102"/>
  <c r="X76" i="102"/>
  <c r="L74" i="102"/>
  <c r="X71" i="102"/>
  <c r="L69" i="102"/>
  <c r="X66" i="102"/>
  <c r="L64" i="102"/>
  <c r="X61" i="102"/>
  <c r="L59" i="102"/>
  <c r="X56" i="102"/>
  <c r="L54" i="102"/>
  <c r="X51" i="102"/>
  <c r="L46" i="102"/>
  <c r="X43" i="102"/>
  <c r="L41" i="102"/>
  <c r="T161" i="102"/>
  <c r="R158" i="102"/>
  <c r="O155" i="102"/>
  <c r="N152" i="102"/>
  <c r="L149" i="102"/>
  <c r="I146" i="102"/>
  <c r="H143" i="102"/>
  <c r="E140" i="102"/>
  <c r="C137" i="102"/>
  <c r="Z133" i="102"/>
  <c r="W130" i="102"/>
  <c r="W124" i="102"/>
  <c r="E122" i="102"/>
  <c r="J119" i="102"/>
  <c r="Y161" i="102"/>
  <c r="C158" i="102"/>
  <c r="H154" i="102"/>
  <c r="J150" i="102"/>
  <c r="O146" i="102"/>
  <c r="P142" i="102"/>
  <c r="U138" i="102"/>
  <c r="X134" i="102"/>
  <c r="E131" i="102"/>
  <c r="J124" i="102"/>
  <c r="X120" i="102"/>
  <c r="N117" i="102"/>
  <c r="L114" i="102"/>
  <c r="J111" i="102"/>
  <c r="G108" i="102"/>
  <c r="F105" i="102"/>
  <c r="D102" i="102"/>
  <c r="Y98" i="102"/>
  <c r="X95" i="102"/>
  <c r="U92" i="102"/>
  <c r="S89" i="102"/>
  <c r="R83" i="102"/>
  <c r="W80" i="102"/>
  <c r="D78" i="102"/>
  <c r="J75" i="102"/>
  <c r="O72" i="102"/>
  <c r="T69" i="102"/>
  <c r="Z66" i="102"/>
  <c r="G64" i="102"/>
  <c r="L61" i="102"/>
  <c r="R58" i="102"/>
  <c r="W55" i="102"/>
  <c r="D53" i="102"/>
  <c r="J50" i="102"/>
  <c r="O44" i="102"/>
  <c r="T41" i="102"/>
  <c r="F39" i="102"/>
  <c r="R36" i="102"/>
  <c r="F34" i="102"/>
  <c r="R31" i="102"/>
  <c r="F29" i="102"/>
  <c r="R26" i="102"/>
  <c r="F24" i="102"/>
  <c r="R21" i="102"/>
  <c r="F19" i="102"/>
  <c r="R16" i="102"/>
  <c r="F14" i="102"/>
  <c r="R11" i="102"/>
  <c r="E161" i="102"/>
  <c r="J157" i="102"/>
  <c r="L153" i="102"/>
  <c r="Q149" i="102"/>
  <c r="S145" i="102"/>
  <c r="X141" i="102"/>
  <c r="Y137" i="102"/>
  <c r="F134" i="102"/>
  <c r="G162" i="102"/>
  <c r="N157" i="102"/>
  <c r="Q152" i="102"/>
  <c r="V147" i="102"/>
  <c r="Y142" i="102"/>
  <c r="H138" i="102"/>
  <c r="I133" i="102"/>
  <c r="W128" i="102"/>
  <c r="Y121" i="102"/>
  <c r="F118" i="102"/>
  <c r="S114" i="102"/>
  <c r="I111" i="102"/>
  <c r="X107" i="102"/>
  <c r="L104" i="102"/>
  <c r="Y162" i="102"/>
  <c r="G158" i="102"/>
  <c r="J153" i="102"/>
  <c r="P148" i="102"/>
  <c r="R143" i="102"/>
  <c r="W138" i="102"/>
  <c r="C134" i="102"/>
  <c r="O129" i="102"/>
  <c r="O122" i="102"/>
  <c r="T118" i="102"/>
  <c r="G115" i="102"/>
  <c r="U111" i="102"/>
  <c r="L108" i="102"/>
  <c r="Y104" i="102"/>
  <c r="N101" i="102"/>
  <c r="D98" i="102"/>
  <c r="R94" i="102"/>
  <c r="H91" i="102"/>
  <c r="U84" i="102"/>
  <c r="Q81" i="102"/>
  <c r="N78" i="102"/>
  <c r="M75" i="102"/>
  <c r="K72" i="102"/>
  <c r="H69" i="102"/>
  <c r="G66" i="102"/>
  <c r="D63" i="102"/>
  <c r="Q158" i="102"/>
  <c r="R152" i="102"/>
  <c r="Q146" i="102"/>
  <c r="P140" i="102"/>
  <c r="O134" i="102"/>
  <c r="Z128" i="102"/>
  <c r="C121" i="102"/>
  <c r="N116" i="102"/>
  <c r="F112" i="102"/>
  <c r="Y107" i="102"/>
  <c r="O103" i="102"/>
  <c r="Q99" i="102"/>
  <c r="S95" i="102"/>
  <c r="Y91" i="102"/>
  <c r="E85" i="102"/>
  <c r="P81" i="102"/>
  <c r="G78" i="102"/>
  <c r="S74" i="102"/>
  <c r="I71" i="102"/>
  <c r="W67" i="102"/>
  <c r="M64" i="102"/>
  <c r="G61" i="102"/>
  <c r="D58" i="102"/>
  <c r="C55" i="102"/>
  <c r="Y51" i="102"/>
  <c r="V45" i="102"/>
  <c r="U42" i="102"/>
  <c r="U39" i="102"/>
  <c r="Z36" i="102"/>
  <c r="H34" i="102"/>
  <c r="M31" i="102"/>
  <c r="R28" i="102"/>
  <c r="L160" i="102"/>
  <c r="M154" i="102"/>
  <c r="J148" i="102"/>
  <c r="L142" i="102"/>
  <c r="J136" i="102"/>
  <c r="O130" i="102"/>
  <c r="M122" i="102"/>
  <c r="T117" i="102"/>
  <c r="M113" i="102"/>
  <c r="F109" i="102"/>
  <c r="V104" i="102"/>
  <c r="S100" i="102"/>
  <c r="W96" i="102"/>
  <c r="E93" i="102"/>
  <c r="I89" i="102"/>
  <c r="P82" i="102"/>
  <c r="G79" i="102"/>
  <c r="T75" i="102"/>
  <c r="I72" i="102"/>
  <c r="X68" i="102"/>
  <c r="M65" i="102"/>
  <c r="E62" i="102"/>
  <c r="C59" i="102"/>
  <c r="Y55" i="102"/>
  <c r="W52" i="102"/>
  <c r="T46" i="102"/>
  <c r="S43" i="102"/>
  <c r="Q40" i="102"/>
  <c r="L162" i="102"/>
  <c r="X154" i="102"/>
  <c r="J147" i="102"/>
  <c r="X139" i="102"/>
  <c r="F132" i="102"/>
  <c r="X122" i="102"/>
  <c r="W116" i="102"/>
  <c r="R111" i="102"/>
  <c r="I106" i="102"/>
  <c r="D101" i="102"/>
  <c r="G96" i="102"/>
  <c r="N91" i="102"/>
  <c r="T83" i="102"/>
  <c r="M79" i="102"/>
  <c r="E75" i="102"/>
  <c r="X70" i="102"/>
  <c r="P66" i="102"/>
  <c r="L62" i="102"/>
  <c r="M58" i="102"/>
  <c r="R54" i="102"/>
  <c r="T50" i="102"/>
  <c r="Y43" i="102"/>
  <c r="E40" i="102"/>
  <c r="W36" i="102"/>
  <c r="V33" i="102"/>
  <c r="S30" i="102"/>
  <c r="Q27" i="102"/>
  <c r="V24" i="102"/>
  <c r="C22" i="102"/>
  <c r="F157" i="102"/>
  <c r="V149" i="102"/>
  <c r="H142" i="102"/>
  <c r="R134" i="102"/>
  <c r="T124" i="102"/>
  <c r="V118" i="102"/>
  <c r="I113" i="102"/>
  <c r="C108" i="102"/>
  <c r="O102" i="102"/>
  <c r="U97" i="102"/>
  <c r="Z92" i="102"/>
  <c r="I85" i="102"/>
  <c r="U80" i="102"/>
  <c r="P76" i="102"/>
  <c r="G72" i="102"/>
  <c r="Z67" i="102"/>
  <c r="R63" i="102"/>
  <c r="T59" i="102"/>
  <c r="V55" i="102"/>
  <c r="C52" i="102"/>
  <c r="E45" i="102"/>
  <c r="J41" i="102"/>
  <c r="V37" i="102"/>
  <c r="U34" i="102"/>
  <c r="S31" i="102"/>
  <c r="P28" i="102"/>
  <c r="S25" i="102"/>
  <c r="Y22" i="102"/>
  <c r="F20" i="102"/>
  <c r="K17" i="102"/>
  <c r="Q14" i="102"/>
  <c r="V11" i="102"/>
  <c r="D157" i="102"/>
  <c r="Z147" i="102"/>
  <c r="J138" i="102"/>
  <c r="I129" i="102"/>
  <c r="S118" i="102"/>
  <c r="Y111" i="102"/>
  <c r="H105" i="102"/>
  <c r="Z98" i="102"/>
  <c r="X92" i="102"/>
  <c r="D84" i="102"/>
  <c r="Q78" i="102"/>
  <c r="I73" i="102"/>
  <c r="Y67" i="102"/>
  <c r="P62" i="102"/>
  <c r="U57" i="102"/>
  <c r="Z52" i="102"/>
  <c r="D45" i="102"/>
  <c r="K40" i="102"/>
  <c r="I36" i="102"/>
  <c r="M32" i="102"/>
  <c r="O28" i="102"/>
  <c r="C25" i="102"/>
  <c r="P21" i="102"/>
  <c r="N18" i="102"/>
  <c r="K15" i="102"/>
  <c r="J12" i="102"/>
  <c r="I160" i="102"/>
  <c r="T150" i="102"/>
  <c r="O141" i="102"/>
  <c r="Y131" i="102"/>
  <c r="E121" i="102"/>
  <c r="Z113" i="102"/>
  <c r="N107" i="102"/>
  <c r="U100" i="102"/>
  <c r="Y94" i="102"/>
  <c r="X85" i="102"/>
  <c r="K80" i="102"/>
  <c r="Z74" i="102"/>
  <c r="R69" i="102"/>
  <c r="H64" i="102"/>
  <c r="J59" i="102"/>
  <c r="M54" i="102"/>
  <c r="R46" i="102"/>
  <c r="W41" i="102"/>
  <c r="P37" i="102"/>
  <c r="Q33" i="102"/>
  <c r="V29" i="102"/>
  <c r="D26" i="102"/>
  <c r="R22" i="102"/>
  <c r="M19" i="102"/>
  <c r="K16" i="102"/>
  <c r="I13" i="102"/>
  <c r="S161" i="102"/>
  <c r="E152" i="102"/>
  <c r="W142" i="102"/>
  <c r="G133" i="102"/>
  <c r="I122" i="102"/>
  <c r="D115" i="102"/>
  <c r="K108" i="102"/>
  <c r="S101" i="102"/>
  <c r="W95" i="102"/>
  <c r="T89" i="102"/>
  <c r="G81" i="102"/>
  <c r="S75" i="102"/>
  <c r="M70" i="102"/>
  <c r="C65" i="102"/>
  <c r="Z59" i="102"/>
  <c r="F55" i="102"/>
  <c r="M50" i="102"/>
  <c r="N42" i="102"/>
  <c r="E38" i="102"/>
  <c r="G34" i="102"/>
  <c r="K30" i="102"/>
  <c r="P26" i="102"/>
  <c r="F23" i="102"/>
  <c r="L19" i="102"/>
  <c r="J16" i="102"/>
  <c r="H13" i="102"/>
  <c r="Y160" i="102"/>
  <c r="N147" i="102"/>
  <c r="G134" i="102"/>
  <c r="P119" i="102"/>
  <c r="C110" i="102"/>
  <c r="N100" i="102"/>
  <c r="D92" i="102"/>
  <c r="T80" i="102"/>
  <c r="E73" i="102"/>
  <c r="N65" i="102"/>
  <c r="I58" i="102"/>
  <c r="P51" i="102"/>
  <c r="O41" i="102"/>
  <c r="S35" i="102"/>
  <c r="E30" i="102"/>
  <c r="W24" i="102"/>
  <c r="G20" i="102"/>
  <c r="S15" i="102"/>
  <c r="L11" i="102"/>
  <c r="T54" i="102"/>
  <c r="H37" i="102"/>
  <c r="F28" i="102"/>
  <c r="T17" i="102"/>
  <c r="I140" i="102"/>
  <c r="Q112" i="102"/>
  <c r="I90" i="102"/>
  <c r="D69" i="102"/>
  <c r="I150" i="102"/>
  <c r="V108" i="102"/>
  <c r="K77" i="102"/>
  <c r="V58" i="102"/>
  <c r="L39" i="102"/>
  <c r="X25" i="102"/>
  <c r="E18" i="102"/>
  <c r="P99" i="102"/>
  <c r="U52" i="102"/>
  <c r="O19" i="102"/>
  <c r="I99" i="102"/>
  <c r="R51" i="102"/>
  <c r="Q38" i="102"/>
  <c r="Q97" i="102"/>
  <c r="W34" i="102"/>
  <c r="M89" i="102"/>
  <c r="M11" i="102"/>
  <c r="S28" i="102"/>
  <c r="Z54" i="102"/>
  <c r="M83" i="102"/>
  <c r="C139" i="102"/>
  <c r="F15" i="102"/>
  <c r="V26" i="102"/>
  <c r="P40" i="102"/>
  <c r="U60" i="102"/>
  <c r="U79" i="102"/>
  <c r="N111" i="102"/>
  <c r="N154" i="102"/>
  <c r="W161" i="102"/>
  <c r="K159" i="102"/>
  <c r="W156" i="102"/>
  <c r="K154" i="102"/>
  <c r="W151" i="102"/>
  <c r="K149" i="102"/>
  <c r="W146" i="102"/>
  <c r="K144" i="102"/>
  <c r="W141" i="102"/>
  <c r="K139" i="102"/>
  <c r="W136" i="102"/>
  <c r="K134" i="102"/>
  <c r="W131" i="102"/>
  <c r="K129" i="102"/>
  <c r="D162" i="102"/>
  <c r="I159" i="102"/>
  <c r="O156" i="102"/>
  <c r="T153" i="102"/>
  <c r="Y150" i="102"/>
  <c r="G148" i="102"/>
  <c r="L145" i="102"/>
  <c r="Q142" i="102"/>
  <c r="W139" i="102"/>
  <c r="D137" i="102"/>
  <c r="I134" i="102"/>
  <c r="O131" i="102"/>
  <c r="T128" i="102"/>
  <c r="H123" i="102"/>
  <c r="T120" i="102"/>
  <c r="H118" i="102"/>
  <c r="T115" i="102"/>
  <c r="H113" i="102"/>
  <c r="T110" i="102"/>
  <c r="H108" i="102"/>
  <c r="T105" i="102"/>
  <c r="H103" i="102"/>
  <c r="T100" i="102"/>
  <c r="H98" i="102"/>
  <c r="T95" i="102"/>
  <c r="H93" i="102"/>
  <c r="T90" i="102"/>
  <c r="H85" i="102"/>
  <c r="W162" i="102"/>
  <c r="V159" i="102"/>
  <c r="S156" i="102"/>
  <c r="Q153" i="102"/>
  <c r="O150" i="102"/>
  <c r="M147" i="102"/>
  <c r="J144" i="102"/>
  <c r="I141" i="102"/>
  <c r="G138" i="102"/>
  <c r="D135" i="102"/>
  <c r="C132" i="102"/>
  <c r="X128" i="102"/>
  <c r="E123" i="102"/>
  <c r="K120" i="102"/>
  <c r="P117" i="102"/>
  <c r="U114" i="102"/>
  <c r="C112" i="102"/>
  <c r="H109" i="102"/>
  <c r="M106" i="102"/>
  <c r="S103" i="102"/>
  <c r="X100" i="102"/>
  <c r="E98" i="102"/>
  <c r="K95" i="102"/>
  <c r="P92" i="102"/>
  <c r="U89" i="102"/>
  <c r="C84" i="102"/>
  <c r="N81" i="102"/>
  <c r="Z78" i="102"/>
  <c r="N76" i="102"/>
  <c r="Z73" i="102"/>
  <c r="N71" i="102"/>
  <c r="Z68" i="102"/>
  <c r="N66" i="102"/>
  <c r="Z63" i="102"/>
  <c r="N61" i="102"/>
  <c r="Z58" i="102"/>
  <c r="N56" i="102"/>
  <c r="Z53" i="102"/>
  <c r="N51" i="102"/>
  <c r="Z45" i="102"/>
  <c r="N43" i="102"/>
  <c r="Z40" i="102"/>
  <c r="H161" i="102"/>
  <c r="F158" i="102"/>
  <c r="C155" i="102"/>
  <c r="Z151" i="102"/>
  <c r="W148" i="102"/>
  <c r="U145" i="102"/>
  <c r="T142" i="102"/>
  <c r="Q139" i="102"/>
  <c r="O136" i="102"/>
  <c r="M133" i="102"/>
  <c r="K130" i="102"/>
  <c r="L124" i="102"/>
  <c r="R121" i="102"/>
  <c r="W118" i="102"/>
  <c r="I161" i="102"/>
  <c r="L157" i="102"/>
  <c r="P153" i="102"/>
  <c r="S149" i="102"/>
  <c r="V145" i="102"/>
  <c r="Z141" i="102"/>
  <c r="F138" i="102"/>
  <c r="H134" i="102"/>
  <c r="L130" i="102"/>
  <c r="U123" i="102"/>
  <c r="I120" i="102"/>
  <c r="Y116" i="102"/>
  <c r="X113" i="102"/>
  <c r="V110" i="102"/>
  <c r="S107" i="102"/>
  <c r="R104" i="102"/>
  <c r="O101" i="102"/>
  <c r="M98" i="102"/>
  <c r="L95" i="102"/>
  <c r="I92" i="102"/>
  <c r="G89" i="102"/>
  <c r="G83" i="102"/>
  <c r="L80" i="102"/>
  <c r="Q77" i="102"/>
  <c r="W74" i="102"/>
  <c r="D72" i="102"/>
  <c r="I69" i="102"/>
  <c r="O66" i="102"/>
  <c r="T63" i="102"/>
  <c r="Y60" i="102"/>
  <c r="G58" i="102"/>
  <c r="L55" i="102"/>
  <c r="Q52" i="102"/>
  <c r="W46" i="102"/>
  <c r="D44" i="102"/>
  <c r="I41" i="102"/>
  <c r="T38" i="102"/>
  <c r="H36" i="102"/>
  <c r="T33" i="102"/>
  <c r="H31" i="102"/>
  <c r="T28" i="102"/>
  <c r="H26" i="102"/>
  <c r="T23" i="102"/>
  <c r="H21" i="102"/>
  <c r="T18" i="102"/>
  <c r="H16" i="102"/>
  <c r="T13" i="102"/>
  <c r="H11" i="102"/>
  <c r="N160" i="102"/>
  <c r="R156" i="102"/>
  <c r="U152" i="102"/>
  <c r="X148" i="102"/>
  <c r="D145" i="102"/>
  <c r="G141" i="102"/>
  <c r="K137" i="102"/>
  <c r="N133" i="102"/>
  <c r="N161" i="102"/>
  <c r="P156" i="102"/>
  <c r="U151" i="102"/>
  <c r="Z146" i="102"/>
  <c r="E142" i="102"/>
  <c r="J137" i="102"/>
  <c r="P132" i="102"/>
  <c r="G128" i="102"/>
  <c r="K121" i="102"/>
  <c r="Q117" i="102"/>
  <c r="F114" i="102"/>
  <c r="S110" i="102"/>
  <c r="I107" i="102"/>
  <c r="W103" i="102"/>
  <c r="F162" i="102"/>
  <c r="K157" i="102"/>
  <c r="O152" i="102"/>
  <c r="R147" i="102"/>
  <c r="X142" i="102"/>
  <c r="C138" i="102"/>
  <c r="H133" i="102"/>
  <c r="U128" i="102"/>
  <c r="X121" i="102"/>
  <c r="E118" i="102"/>
  <c r="R114" i="102"/>
  <c r="H111" i="102"/>
  <c r="U107" i="102"/>
  <c r="K104" i="102"/>
  <c r="Y100" i="102"/>
  <c r="O97" i="102"/>
  <c r="E94" i="102"/>
  <c r="Q90" i="102"/>
  <c r="H84" i="102"/>
  <c r="E81" i="102"/>
  <c r="Z77" i="102"/>
  <c r="Y74" i="102"/>
  <c r="V71" i="102"/>
  <c r="T68" i="102"/>
  <c r="S65" i="102"/>
  <c r="Q163" i="102"/>
  <c r="R157" i="102"/>
  <c r="Q151" i="102"/>
  <c r="P145" i="102"/>
  <c r="O139" i="102"/>
  <c r="Q133" i="102"/>
  <c r="D128" i="102"/>
  <c r="G120" i="102"/>
  <c r="R115" i="102"/>
  <c r="M111" i="102"/>
  <c r="E107" i="102"/>
  <c r="X102" i="102"/>
  <c r="X98" i="102"/>
  <c r="E95" i="102"/>
  <c r="K91" i="102"/>
  <c r="O84" i="102"/>
  <c r="Z80" i="102"/>
  <c r="P77" i="102"/>
  <c r="F74" i="102"/>
  <c r="T70" i="102"/>
  <c r="I67" i="102"/>
  <c r="W63" i="102"/>
  <c r="S60" i="102"/>
  <c r="P57" i="102"/>
  <c r="O54" i="102"/>
  <c r="L51" i="102"/>
  <c r="J45" i="102"/>
  <c r="I42" i="102"/>
  <c r="J39" i="102"/>
  <c r="O36" i="102"/>
  <c r="U33" i="102"/>
  <c r="Z30" i="102"/>
  <c r="G28" i="102"/>
  <c r="N159" i="102"/>
  <c r="M153" i="102"/>
  <c r="L147" i="102"/>
  <c r="N141" i="102"/>
  <c r="J135" i="102"/>
  <c r="Q129" i="102"/>
  <c r="S121" i="102"/>
  <c r="D117" i="102"/>
  <c r="S112" i="102"/>
  <c r="N108" i="102"/>
  <c r="G104" i="102"/>
  <c r="E100" i="102"/>
  <c r="H96" i="102"/>
  <c r="N92" i="102"/>
  <c r="Q85" i="102"/>
  <c r="C82" i="102"/>
  <c r="R78" i="102"/>
  <c r="F75" i="102"/>
  <c r="T71" i="102"/>
  <c r="J68" i="102"/>
  <c r="X64" i="102"/>
  <c r="Q61" i="102"/>
  <c r="N58" i="102"/>
  <c r="M55" i="102"/>
  <c r="K52" i="102"/>
  <c r="H46" i="102"/>
  <c r="G43" i="102"/>
  <c r="F40" i="102"/>
  <c r="D161" i="102"/>
  <c r="U153" i="102"/>
  <c r="D146" i="102"/>
  <c r="P138" i="102"/>
  <c r="G131" i="102"/>
  <c r="W121" i="102"/>
  <c r="D116" i="102"/>
  <c r="W110" i="102"/>
  <c r="K105" i="102"/>
  <c r="H100" i="102"/>
  <c r="N95" i="102"/>
  <c r="V90" i="102"/>
  <c r="Z82" i="102"/>
  <c r="U78" i="102"/>
  <c r="N74" i="102"/>
  <c r="F70" i="102"/>
  <c r="W65" i="102"/>
  <c r="Z71" i="102"/>
  <c r="K11" i="14"/>
  <c r="P41" i="14"/>
  <c r="K35" i="14"/>
  <c r="K64" i="14"/>
  <c r="N103" i="14"/>
  <c r="AO114" i="14"/>
  <c r="S114" i="14"/>
  <c r="L116" i="14"/>
  <c r="F28" i="21"/>
  <c r="B24" i="21"/>
  <c r="K24" i="21"/>
  <c r="F206" i="28"/>
  <c r="S244" i="28"/>
  <c r="G103" i="28"/>
  <c r="H245" i="28"/>
  <c r="Q194" i="28"/>
  <c r="K93" i="28"/>
  <c r="H178" i="28"/>
  <c r="Q174" i="28"/>
  <c r="O109" i="28"/>
  <c r="R187" i="28"/>
  <c r="D116" i="28"/>
  <c r="M135" i="27"/>
  <c r="G135" i="27"/>
  <c r="N134" i="27"/>
  <c r="H134" i="27"/>
  <c r="O133" i="27"/>
  <c r="I133" i="27"/>
  <c r="C133" i="27"/>
  <c r="J132" i="27"/>
  <c r="D132" i="27"/>
  <c r="K131" i="27"/>
  <c r="E131" i="27"/>
  <c r="L130" i="27"/>
  <c r="F130" i="27"/>
  <c r="M129" i="27"/>
  <c r="G129" i="27"/>
  <c r="N128" i="27"/>
  <c r="H128" i="27"/>
  <c r="O127" i="27"/>
  <c r="I127" i="27"/>
  <c r="C127" i="27"/>
  <c r="J126" i="27"/>
  <c r="D126" i="27"/>
  <c r="K125" i="27"/>
  <c r="E125" i="27"/>
  <c r="L124" i="27"/>
  <c r="F124" i="27"/>
  <c r="M123" i="27"/>
  <c r="G123" i="27"/>
  <c r="N122" i="27"/>
  <c r="H122" i="27"/>
  <c r="O121" i="27"/>
  <c r="I121" i="27"/>
  <c r="C121" i="27"/>
  <c r="J120" i="27"/>
  <c r="D120" i="27"/>
  <c r="K119" i="27"/>
  <c r="E119" i="27"/>
  <c r="L118" i="27"/>
  <c r="F118" i="27"/>
  <c r="M114" i="27"/>
  <c r="G114" i="27"/>
  <c r="N113" i="27"/>
  <c r="H113" i="27"/>
  <c r="O112" i="27"/>
  <c r="I112" i="27"/>
  <c r="C112" i="27"/>
  <c r="J111" i="27"/>
  <c r="D111" i="27"/>
  <c r="K110" i="27"/>
  <c r="E110" i="27"/>
  <c r="L109" i="27"/>
  <c r="F109" i="27"/>
  <c r="M108" i="27"/>
  <c r="G108" i="27"/>
  <c r="N107" i="27"/>
  <c r="H107" i="27"/>
  <c r="O106" i="27"/>
  <c r="I106" i="27"/>
  <c r="C106" i="27"/>
  <c r="J105" i="27"/>
  <c r="D105" i="27"/>
  <c r="K104" i="27"/>
  <c r="E104" i="27"/>
  <c r="L103" i="27"/>
  <c r="F103" i="27"/>
  <c r="M102" i="27"/>
  <c r="G102" i="27"/>
  <c r="N101" i="27"/>
  <c r="H101" i="27"/>
  <c r="O100" i="27"/>
  <c r="I100" i="27"/>
  <c r="C100" i="27"/>
  <c r="J99" i="27"/>
  <c r="D99" i="27"/>
  <c r="K98" i="27"/>
  <c r="E98" i="27"/>
  <c r="L97" i="27"/>
  <c r="F97" i="27"/>
  <c r="M93" i="27"/>
  <c r="G93" i="27"/>
  <c r="N92" i="27"/>
  <c r="H92" i="27"/>
  <c r="O91" i="27"/>
  <c r="I91" i="27"/>
  <c r="C91" i="27"/>
  <c r="J90" i="27"/>
  <c r="D90" i="27"/>
  <c r="K89" i="27"/>
  <c r="E89" i="27"/>
  <c r="L88" i="27"/>
  <c r="F88" i="27"/>
  <c r="M87" i="27"/>
  <c r="G87" i="27"/>
  <c r="N86" i="27"/>
  <c r="H86" i="27"/>
  <c r="O85" i="27"/>
  <c r="I85" i="27"/>
  <c r="C85" i="27"/>
  <c r="J84" i="27"/>
  <c r="D84" i="27"/>
  <c r="K83" i="27"/>
  <c r="E83" i="27"/>
  <c r="L82" i="27"/>
  <c r="F82" i="27"/>
  <c r="M81" i="27"/>
  <c r="G81" i="27"/>
  <c r="N80" i="27"/>
  <c r="H80" i="27"/>
  <c r="O79" i="27"/>
  <c r="I79" i="27"/>
  <c r="C79" i="27"/>
  <c r="J78" i="27"/>
  <c r="D78" i="27"/>
  <c r="K77" i="27"/>
  <c r="E77" i="27"/>
  <c r="L76" i="27"/>
  <c r="F76" i="27"/>
  <c r="M72" i="27"/>
  <c r="G72" i="27"/>
  <c r="N71" i="27"/>
  <c r="H71" i="27"/>
  <c r="O70" i="27"/>
  <c r="I70" i="27"/>
  <c r="C70" i="27"/>
  <c r="J69" i="27"/>
  <c r="D69" i="27"/>
  <c r="K68" i="27"/>
  <c r="E68" i="27"/>
  <c r="L67" i="27"/>
  <c r="F67" i="27"/>
  <c r="L135" i="27"/>
  <c r="F135" i="27"/>
  <c r="M134" i="27"/>
  <c r="G134" i="27"/>
  <c r="N133" i="27"/>
  <c r="H133" i="27"/>
  <c r="O132" i="27"/>
  <c r="I132" i="27"/>
  <c r="C132" i="27"/>
  <c r="J131" i="27"/>
  <c r="D131" i="27"/>
  <c r="K130" i="27"/>
  <c r="E130" i="27"/>
  <c r="L129" i="27"/>
  <c r="F129" i="27"/>
  <c r="M128" i="27"/>
  <c r="G128" i="27"/>
  <c r="N127" i="27"/>
  <c r="H127" i="27"/>
  <c r="O126" i="27"/>
  <c r="I126" i="27"/>
  <c r="C126" i="27"/>
  <c r="J125" i="27"/>
  <c r="D125" i="27"/>
  <c r="K124" i="27"/>
  <c r="E124" i="27"/>
  <c r="L123" i="27"/>
  <c r="F123" i="27"/>
  <c r="M122" i="27"/>
  <c r="G122" i="27"/>
  <c r="N121" i="27"/>
  <c r="H121" i="27"/>
  <c r="O120" i="27"/>
  <c r="I120" i="27"/>
  <c r="C120" i="27"/>
  <c r="J119" i="27"/>
  <c r="D119" i="27"/>
  <c r="K118" i="27"/>
  <c r="E118" i="27"/>
  <c r="L114" i="27"/>
  <c r="F114" i="27"/>
  <c r="M113" i="27"/>
  <c r="G113" i="27"/>
  <c r="N112" i="27"/>
  <c r="H112" i="27"/>
  <c r="O111" i="27"/>
  <c r="I111" i="27"/>
  <c r="C111" i="27"/>
  <c r="J110" i="27"/>
  <c r="D110" i="27"/>
  <c r="K109" i="27"/>
  <c r="E109" i="27"/>
  <c r="L108" i="27"/>
  <c r="F108" i="27"/>
  <c r="M107" i="27"/>
  <c r="G107" i="27"/>
  <c r="N106" i="27"/>
  <c r="H106" i="27"/>
  <c r="O105" i="27"/>
  <c r="I105" i="27"/>
  <c r="C105" i="27"/>
  <c r="J104" i="27"/>
  <c r="D104" i="27"/>
  <c r="K103" i="27"/>
  <c r="E103" i="27"/>
  <c r="L102" i="27"/>
  <c r="F102" i="27"/>
  <c r="M101" i="27"/>
  <c r="G101" i="27"/>
  <c r="N100" i="27"/>
  <c r="H100" i="27"/>
  <c r="O99" i="27"/>
  <c r="I99" i="27"/>
  <c r="C99" i="27"/>
  <c r="J98" i="27"/>
  <c r="D98" i="27"/>
  <c r="K97" i="27"/>
  <c r="E97" i="27"/>
  <c r="L93" i="27"/>
  <c r="F93" i="27"/>
  <c r="M92" i="27"/>
  <c r="G92" i="27"/>
  <c r="N91" i="27"/>
  <c r="H91" i="27"/>
  <c r="O90" i="27"/>
  <c r="I90" i="27"/>
  <c r="C90" i="27"/>
  <c r="J89" i="27"/>
  <c r="D89" i="27"/>
  <c r="K88" i="27"/>
  <c r="E88" i="27"/>
  <c r="L87" i="27"/>
  <c r="F87" i="27"/>
  <c r="M86" i="27"/>
  <c r="G86" i="27"/>
  <c r="N85" i="27"/>
  <c r="H85" i="27"/>
  <c r="O84" i="27"/>
  <c r="I84" i="27"/>
  <c r="C84" i="27"/>
  <c r="J83" i="27"/>
  <c r="D83" i="27"/>
  <c r="K82" i="27"/>
  <c r="E82" i="27"/>
  <c r="L81" i="27"/>
  <c r="F81" i="27"/>
  <c r="M80" i="27"/>
  <c r="G80" i="27"/>
  <c r="N79" i="27"/>
  <c r="H79" i="27"/>
  <c r="O78" i="27"/>
  <c r="I78" i="27"/>
  <c r="C78" i="27"/>
  <c r="J77" i="27"/>
  <c r="D77" i="27"/>
  <c r="K76" i="27"/>
  <c r="E76" i="27"/>
  <c r="L72" i="27"/>
  <c r="F72" i="27"/>
  <c r="M71" i="27"/>
  <c r="G71" i="27"/>
  <c r="K135" i="27"/>
  <c r="E135" i="27"/>
  <c r="L134" i="27"/>
  <c r="F134" i="27"/>
  <c r="M133" i="27"/>
  <c r="G133" i="27"/>
  <c r="N132" i="27"/>
  <c r="H132" i="27"/>
  <c r="O131" i="27"/>
  <c r="I131" i="27"/>
  <c r="C131" i="27"/>
  <c r="J130" i="27"/>
  <c r="D130" i="27"/>
  <c r="K129" i="27"/>
  <c r="E129" i="27"/>
  <c r="L128" i="27"/>
  <c r="F128" i="27"/>
  <c r="M127" i="27"/>
  <c r="G127" i="27"/>
  <c r="N126" i="27"/>
  <c r="H126" i="27"/>
  <c r="O125" i="27"/>
  <c r="I125" i="27"/>
  <c r="C125" i="27"/>
  <c r="J124" i="27"/>
  <c r="D124" i="27"/>
  <c r="K123" i="27"/>
  <c r="E123" i="27"/>
  <c r="L122" i="27"/>
  <c r="F122" i="27"/>
  <c r="M121" i="27"/>
  <c r="G121" i="27"/>
  <c r="N120" i="27"/>
  <c r="H120" i="27"/>
  <c r="O119" i="27"/>
  <c r="I119" i="27"/>
  <c r="C119" i="27"/>
  <c r="J118" i="27"/>
  <c r="D118" i="27"/>
  <c r="K114" i="27"/>
  <c r="E114" i="27"/>
  <c r="L113" i="27"/>
  <c r="F113" i="27"/>
  <c r="M112" i="27"/>
  <c r="G112" i="27"/>
  <c r="N111" i="27"/>
  <c r="H111" i="27"/>
  <c r="O110" i="27"/>
  <c r="I110" i="27"/>
  <c r="C110" i="27"/>
  <c r="J109" i="27"/>
  <c r="D109" i="27"/>
  <c r="K108" i="27"/>
  <c r="E108" i="27"/>
  <c r="L107" i="27"/>
  <c r="F107" i="27"/>
  <c r="M106" i="27"/>
  <c r="G106" i="27"/>
  <c r="N105" i="27"/>
  <c r="H105" i="27"/>
  <c r="O104" i="27"/>
  <c r="I104" i="27"/>
  <c r="C104" i="27"/>
  <c r="J103" i="27"/>
  <c r="D103" i="27"/>
  <c r="K102" i="27"/>
  <c r="E102" i="27"/>
  <c r="L101" i="27"/>
  <c r="F101" i="27"/>
  <c r="M100" i="27"/>
  <c r="G100" i="27"/>
  <c r="N99" i="27"/>
  <c r="H99" i="27"/>
  <c r="O98" i="27"/>
  <c r="I98" i="27"/>
  <c r="C98" i="27"/>
  <c r="J97" i="27"/>
  <c r="D97" i="27"/>
  <c r="K93" i="27"/>
  <c r="E93" i="27"/>
  <c r="L92" i="27"/>
  <c r="F92" i="27"/>
  <c r="M91" i="27"/>
  <c r="G91" i="27"/>
  <c r="N90" i="27"/>
  <c r="H90" i="27"/>
  <c r="O89" i="27"/>
  <c r="I89" i="27"/>
  <c r="C89" i="27"/>
  <c r="J88" i="27"/>
  <c r="D88" i="27"/>
  <c r="K87" i="27"/>
  <c r="E87" i="27"/>
  <c r="L86" i="27"/>
  <c r="F86" i="27"/>
  <c r="M85" i="27"/>
  <c r="G85" i="27"/>
  <c r="N84" i="27"/>
  <c r="H84" i="27"/>
  <c r="O83" i="27"/>
  <c r="I83" i="27"/>
  <c r="C83" i="27"/>
  <c r="J82" i="27"/>
  <c r="D82" i="27"/>
  <c r="K81" i="27"/>
  <c r="E81" i="27"/>
  <c r="L80" i="27"/>
  <c r="F80" i="27"/>
  <c r="M79" i="27"/>
  <c r="G79" i="27"/>
  <c r="N78" i="27"/>
  <c r="H78" i="27"/>
  <c r="O77" i="27"/>
  <c r="I77" i="27"/>
  <c r="C77" i="27"/>
  <c r="J76" i="27"/>
  <c r="D76" i="27"/>
  <c r="K72" i="27"/>
  <c r="E72" i="27"/>
  <c r="L71" i="27"/>
  <c r="F71" i="27"/>
  <c r="M70" i="27"/>
  <c r="G70" i="27"/>
  <c r="N69" i="27"/>
  <c r="H69" i="27"/>
  <c r="O68" i="27"/>
  <c r="I68" i="27"/>
  <c r="J135" i="27"/>
  <c r="K134" i="27"/>
  <c r="L133" i="27"/>
  <c r="M132" i="27"/>
  <c r="N131" i="27"/>
  <c r="O130" i="27"/>
  <c r="C130" i="27"/>
  <c r="D129" i="27"/>
  <c r="E128" i="27"/>
  <c r="F127" i="27"/>
  <c r="G126" i="27"/>
  <c r="H125" i="27"/>
  <c r="I124" i="27"/>
  <c r="J123" i="27"/>
  <c r="K122" i="27"/>
  <c r="L121" i="27"/>
  <c r="M120" i="27"/>
  <c r="N119" i="27"/>
  <c r="O118" i="27"/>
  <c r="C118" i="27"/>
  <c r="D114" i="27"/>
  <c r="E113" i="27"/>
  <c r="F112" i="27"/>
  <c r="G111" i="27"/>
  <c r="H110" i="27"/>
  <c r="I109" i="27"/>
  <c r="J108" i="27"/>
  <c r="K107" i="27"/>
  <c r="L106" i="27"/>
  <c r="M105" i="27"/>
  <c r="N104" i="27"/>
  <c r="O103" i="27"/>
  <c r="C103" i="27"/>
  <c r="D102" i="27"/>
  <c r="E101" i="27"/>
  <c r="F100" i="27"/>
  <c r="G99" i="27"/>
  <c r="H98" i="27"/>
  <c r="I97" i="27"/>
  <c r="J93" i="27"/>
  <c r="K92" i="27"/>
  <c r="L91" i="27"/>
  <c r="M90" i="27"/>
  <c r="N89" i="27"/>
  <c r="O88" i="27"/>
  <c r="C88" i="27"/>
  <c r="D87" i="27"/>
  <c r="E86" i="27"/>
  <c r="F85" i="27"/>
  <c r="G84" i="27"/>
  <c r="H83" i="27"/>
  <c r="I82" i="27"/>
  <c r="J81" i="27"/>
  <c r="K80" i="27"/>
  <c r="L79" i="27"/>
  <c r="M78" i="27"/>
  <c r="N77" i="27"/>
  <c r="O76" i="27"/>
  <c r="C76" i="27"/>
  <c r="D72" i="27"/>
  <c r="E71" i="27"/>
  <c r="J70" i="27"/>
  <c r="M69" i="27"/>
  <c r="E69" i="27"/>
  <c r="H68" i="27"/>
  <c r="N67" i="27"/>
  <c r="G67" i="27"/>
  <c r="M66" i="27"/>
  <c r="G66" i="27"/>
  <c r="N65" i="27"/>
  <c r="H65" i="27"/>
  <c r="O64" i="27"/>
  <c r="I64" i="27"/>
  <c r="C64" i="27"/>
  <c r="J63" i="27"/>
  <c r="D63" i="27"/>
  <c r="K62" i="27"/>
  <c r="E62" i="27"/>
  <c r="L61" i="27"/>
  <c r="F61" i="27"/>
  <c r="M60" i="27"/>
  <c r="G60" i="27"/>
  <c r="N59" i="27"/>
  <c r="H59" i="27"/>
  <c r="O58" i="27"/>
  <c r="I58" i="27"/>
  <c r="C58" i="27"/>
  <c r="J57" i="27"/>
  <c r="D57" i="27"/>
  <c r="K56" i="27"/>
  <c r="E56" i="27"/>
  <c r="L55" i="27"/>
  <c r="F55" i="27"/>
  <c r="M51" i="27"/>
  <c r="G51" i="27"/>
  <c r="N50" i="27"/>
  <c r="H50" i="27"/>
  <c r="O49" i="27"/>
  <c r="I49" i="27"/>
  <c r="C49" i="27"/>
  <c r="J48" i="27"/>
  <c r="D48" i="27"/>
  <c r="K47" i="27"/>
  <c r="E47" i="27"/>
  <c r="L46" i="27"/>
  <c r="F46" i="27"/>
  <c r="M45" i="27"/>
  <c r="G45" i="27"/>
  <c r="N44" i="27"/>
  <c r="H44" i="27"/>
  <c r="O43" i="27"/>
  <c r="I43" i="27"/>
  <c r="C43" i="27"/>
  <c r="J42" i="27"/>
  <c r="D42" i="27"/>
  <c r="K41" i="27"/>
  <c r="E41" i="27"/>
  <c r="L40" i="27"/>
  <c r="F40" i="27"/>
  <c r="M39" i="27"/>
  <c r="G39" i="27"/>
  <c r="N38" i="27"/>
  <c r="H38" i="27"/>
  <c r="O37" i="27"/>
  <c r="I37" i="27"/>
  <c r="C37" i="27"/>
  <c r="J36" i="27"/>
  <c r="D36" i="27"/>
  <c r="K35" i="27"/>
  <c r="E35" i="27"/>
  <c r="L34" i="27"/>
  <c r="F34" i="27"/>
  <c r="C28" i="27"/>
  <c r="C22" i="27"/>
  <c r="C16" i="27"/>
  <c r="L30" i="27"/>
  <c r="F30" i="27"/>
  <c r="L29" i="27"/>
  <c r="F29" i="27"/>
  <c r="L28" i="27"/>
  <c r="F28" i="27"/>
  <c r="L27" i="27"/>
  <c r="F27" i="27"/>
  <c r="L26" i="27"/>
  <c r="F26" i="27"/>
  <c r="L25" i="27"/>
  <c r="F25" i="27"/>
  <c r="L24" i="27"/>
  <c r="F24" i="27"/>
  <c r="L23" i="27"/>
  <c r="F23" i="27"/>
  <c r="L22" i="27"/>
  <c r="F22" i="27"/>
  <c r="L21" i="27"/>
  <c r="F21" i="27"/>
  <c r="L20" i="27"/>
  <c r="F20" i="27"/>
  <c r="L19" i="27"/>
  <c r="F19" i="27"/>
  <c r="L18" i="27"/>
  <c r="F18" i="27"/>
  <c r="L17" i="27"/>
  <c r="F17" i="27"/>
  <c r="L16" i="27"/>
  <c r="F16" i="27"/>
  <c r="L15" i="27"/>
  <c r="F15" i="27"/>
  <c r="L14" i="27"/>
  <c r="F14" i="27"/>
  <c r="L13" i="27"/>
  <c r="F13" i="27"/>
  <c r="Q124" i="27"/>
  <c r="Q120" i="27"/>
  <c r="P83" i="27"/>
  <c r="R130" i="27"/>
  <c r="P66" i="27"/>
  <c r="Q84" i="27"/>
  <c r="P37" i="27"/>
  <c r="Q47" i="27"/>
  <c r="R61" i="27"/>
  <c r="P14" i="27"/>
  <c r="I135" i="27"/>
  <c r="J134" i="27"/>
  <c r="K133" i="27"/>
  <c r="L132" i="27"/>
  <c r="M131" i="27"/>
  <c r="N130" i="27"/>
  <c r="O129" i="27"/>
  <c r="C129" i="27"/>
  <c r="D128" i="27"/>
  <c r="E127" i="27"/>
  <c r="F126" i="27"/>
  <c r="G125" i="27"/>
  <c r="H124" i="27"/>
  <c r="I123" i="27"/>
  <c r="J122" i="27"/>
  <c r="K121" i="27"/>
  <c r="L120" i="27"/>
  <c r="M119" i="27"/>
  <c r="N118" i="27"/>
  <c r="O114" i="27"/>
  <c r="C114" i="27"/>
  <c r="D113" i="27"/>
  <c r="E112" i="27"/>
  <c r="F111" i="27"/>
  <c r="G110" i="27"/>
  <c r="H109" i="27"/>
  <c r="I108" i="27"/>
  <c r="J107" i="27"/>
  <c r="K106" i="27"/>
  <c r="L105" i="27"/>
  <c r="M104" i="27"/>
  <c r="N103" i="27"/>
  <c r="O102" i="27"/>
  <c r="C102" i="27"/>
  <c r="D101" i="27"/>
  <c r="E100" i="27"/>
  <c r="F99" i="27"/>
  <c r="G98" i="27"/>
  <c r="H97" i="27"/>
  <c r="I93" i="27"/>
  <c r="J92" i="27"/>
  <c r="K91" i="27"/>
  <c r="L90" i="27"/>
  <c r="M89" i="27"/>
  <c r="N88" i="27"/>
  <c r="O87" i="27"/>
  <c r="C87" i="27"/>
  <c r="D86" i="27"/>
  <c r="E85" i="27"/>
  <c r="F84" i="27"/>
  <c r="G83" i="27"/>
  <c r="H82" i="27"/>
  <c r="I81" i="27"/>
  <c r="J80" i="27"/>
  <c r="K79" i="27"/>
  <c r="L78" i="27"/>
  <c r="M77" i="27"/>
  <c r="N76" i="27"/>
  <c r="O72" i="27"/>
  <c r="C72" i="27"/>
  <c r="D71" i="27"/>
  <c r="H70" i="27"/>
  <c r="L69" i="27"/>
  <c r="C69" i="27"/>
  <c r="G68" i="27"/>
  <c r="M67" i="27"/>
  <c r="E67" i="27"/>
  <c r="L66" i="27"/>
  <c r="F66" i="27"/>
  <c r="M65" i="27"/>
  <c r="G65" i="27"/>
  <c r="N64" i="27"/>
  <c r="H64" i="27"/>
  <c r="O63" i="27"/>
  <c r="I63" i="27"/>
  <c r="C63" i="27"/>
  <c r="J62" i="27"/>
  <c r="D62" i="27"/>
  <c r="K61" i="27"/>
  <c r="E61" i="27"/>
  <c r="L60" i="27"/>
  <c r="F60" i="27"/>
  <c r="M59" i="27"/>
  <c r="G59" i="27"/>
  <c r="N58" i="27"/>
  <c r="H58" i="27"/>
  <c r="O57" i="27"/>
  <c r="I57" i="27"/>
  <c r="C57" i="27"/>
  <c r="J56" i="27"/>
  <c r="D56" i="27"/>
  <c r="K55" i="27"/>
  <c r="E55" i="27"/>
  <c r="L51" i="27"/>
  <c r="F51" i="27"/>
  <c r="M50" i="27"/>
  <c r="G50" i="27"/>
  <c r="N49" i="27"/>
  <c r="H49" i="27"/>
  <c r="O48" i="27"/>
  <c r="I48" i="27"/>
  <c r="C48" i="27"/>
  <c r="J47" i="27"/>
  <c r="D47" i="27"/>
  <c r="K46" i="27"/>
  <c r="E46" i="27"/>
  <c r="L45" i="27"/>
  <c r="F45" i="27"/>
  <c r="M44" i="27"/>
  <c r="G44" i="27"/>
  <c r="N43" i="27"/>
  <c r="H43" i="27"/>
  <c r="O42" i="27"/>
  <c r="I42" i="27"/>
  <c r="C42" i="27"/>
  <c r="J41" i="27"/>
  <c r="D41" i="27"/>
  <c r="K40" i="27"/>
  <c r="E40" i="27"/>
  <c r="L39" i="27"/>
  <c r="F39" i="27"/>
  <c r="M38" i="27"/>
  <c r="G38" i="27"/>
  <c r="N37" i="27"/>
  <c r="H37" i="27"/>
  <c r="O36" i="27"/>
  <c r="I36" i="27"/>
  <c r="C36" i="27"/>
  <c r="J35" i="27"/>
  <c r="D35" i="27"/>
  <c r="K34" i="27"/>
  <c r="E34" i="27"/>
  <c r="C27" i="27"/>
  <c r="C21" i="27"/>
  <c r="C15" i="27"/>
  <c r="K30" i="27"/>
  <c r="E30" i="27"/>
  <c r="K29" i="27"/>
  <c r="E29" i="27"/>
  <c r="K28" i="27"/>
  <c r="E28" i="27"/>
  <c r="K27" i="27"/>
  <c r="E27" i="27"/>
  <c r="K26" i="27"/>
  <c r="E26" i="27"/>
  <c r="K25" i="27"/>
  <c r="E25" i="27"/>
  <c r="K24" i="27"/>
  <c r="E24" i="27"/>
  <c r="K23" i="27"/>
  <c r="E23" i="27"/>
  <c r="K22" i="27"/>
  <c r="E22" i="27"/>
  <c r="K21" i="27"/>
  <c r="E21" i="27"/>
  <c r="K20" i="27"/>
  <c r="E20" i="27"/>
  <c r="K19" i="27"/>
  <c r="E19" i="27"/>
  <c r="K18" i="27"/>
  <c r="E18" i="27"/>
  <c r="K17" i="27"/>
  <c r="E17" i="27"/>
  <c r="K16" i="27"/>
  <c r="E16" i="27"/>
  <c r="K15" i="27"/>
  <c r="E15" i="27"/>
  <c r="K14" i="27"/>
  <c r="E14" i="27"/>
  <c r="K13" i="27"/>
  <c r="E13" i="27"/>
  <c r="P119" i="27"/>
  <c r="P110" i="27"/>
  <c r="P100" i="27"/>
  <c r="Q134" i="27"/>
  <c r="P84" i="27"/>
  <c r="P79" i="27"/>
  <c r="Q88" i="27"/>
  <c r="P67" i="27"/>
  <c r="P41" i="27"/>
  <c r="P35" i="27"/>
  <c r="Q41" i="27"/>
  <c r="P23" i="27"/>
  <c r="S36" i="27"/>
  <c r="H135" i="27"/>
  <c r="I134" i="27"/>
  <c r="J133" i="27"/>
  <c r="K132" i="27"/>
  <c r="L131" i="27"/>
  <c r="M130" i="27"/>
  <c r="N129" i="27"/>
  <c r="O128" i="27"/>
  <c r="C128" i="27"/>
  <c r="D127" i="27"/>
  <c r="E126" i="27"/>
  <c r="F125" i="27"/>
  <c r="G124" i="27"/>
  <c r="H123" i="27"/>
  <c r="I122" i="27"/>
  <c r="J121" i="27"/>
  <c r="K120" i="27"/>
  <c r="L119" i="27"/>
  <c r="M118" i="27"/>
  <c r="N114" i="27"/>
  <c r="O113" i="27"/>
  <c r="C113" i="27"/>
  <c r="D112" i="27"/>
  <c r="E111" i="27"/>
  <c r="F110" i="27"/>
  <c r="G109" i="27"/>
  <c r="H108" i="27"/>
  <c r="I107" i="27"/>
  <c r="J106" i="27"/>
  <c r="K105" i="27"/>
  <c r="L104" i="27"/>
  <c r="M103" i="27"/>
  <c r="N102" i="27"/>
  <c r="O101" i="27"/>
  <c r="C101" i="27"/>
  <c r="D100" i="27"/>
  <c r="E99" i="27"/>
  <c r="F98" i="27"/>
  <c r="G97" i="27"/>
  <c r="H93" i="27"/>
  <c r="I92" i="27"/>
  <c r="J91" i="27"/>
  <c r="K90" i="27"/>
  <c r="L89" i="27"/>
  <c r="M88" i="27"/>
  <c r="N87" i="27"/>
  <c r="O86" i="27"/>
  <c r="C86" i="27"/>
  <c r="D85" i="27"/>
  <c r="E84" i="27"/>
  <c r="F83" i="27"/>
  <c r="G82" i="27"/>
  <c r="H81" i="27"/>
  <c r="I80" i="27"/>
  <c r="J79" i="27"/>
  <c r="K78" i="27"/>
  <c r="L77" i="27"/>
  <c r="M76" i="27"/>
  <c r="N72" i="27"/>
  <c r="O71" i="27"/>
  <c r="C71" i="27"/>
  <c r="F70" i="27"/>
  <c r="K69" i="27"/>
  <c r="N68" i="27"/>
  <c r="F68" i="27"/>
  <c r="K67" i="27"/>
  <c r="D67" i="27"/>
  <c r="K66" i="27"/>
  <c r="E66" i="27"/>
  <c r="L65" i="27"/>
  <c r="F65" i="27"/>
  <c r="M64" i="27"/>
  <c r="G64" i="27"/>
  <c r="N63" i="27"/>
  <c r="H63" i="27"/>
  <c r="O62" i="27"/>
  <c r="I62" i="27"/>
  <c r="C62" i="27"/>
  <c r="J61" i="27"/>
  <c r="D61" i="27"/>
  <c r="K60" i="27"/>
  <c r="E60" i="27"/>
  <c r="L59" i="27"/>
  <c r="F59" i="27"/>
  <c r="M58" i="27"/>
  <c r="G58" i="27"/>
  <c r="N57" i="27"/>
  <c r="H57" i="27"/>
  <c r="O56" i="27"/>
  <c r="I56" i="27"/>
  <c r="C56" i="27"/>
  <c r="J55" i="27"/>
  <c r="D55" i="27"/>
  <c r="K51" i="27"/>
  <c r="E51" i="27"/>
  <c r="L50" i="27"/>
  <c r="F50" i="27"/>
  <c r="M49" i="27"/>
  <c r="G49" i="27"/>
  <c r="N48" i="27"/>
  <c r="H48" i="27"/>
  <c r="O47" i="27"/>
  <c r="I47" i="27"/>
  <c r="C47" i="27"/>
  <c r="J46" i="27"/>
  <c r="D46" i="27"/>
  <c r="K45" i="27"/>
  <c r="E45" i="27"/>
  <c r="L44" i="27"/>
  <c r="F44" i="27"/>
  <c r="M43" i="27"/>
  <c r="G43" i="27"/>
  <c r="N42" i="27"/>
  <c r="H42" i="27"/>
  <c r="O41" i="27"/>
  <c r="I41" i="27"/>
  <c r="C41" i="27"/>
  <c r="J40" i="27"/>
  <c r="D40" i="27"/>
  <c r="K39" i="27"/>
  <c r="E39" i="27"/>
  <c r="L38" i="27"/>
  <c r="F38" i="27"/>
  <c r="M37" i="27"/>
  <c r="G37" i="27"/>
  <c r="N36" i="27"/>
  <c r="H36" i="27"/>
  <c r="O35" i="27"/>
  <c r="I35" i="27"/>
  <c r="C35" i="27"/>
  <c r="J34" i="27"/>
  <c r="D34" i="27"/>
  <c r="C26" i="27"/>
  <c r="C20" i="27"/>
  <c r="C14" i="27"/>
  <c r="J30" i="27"/>
  <c r="D30" i="27"/>
  <c r="J29" i="27"/>
  <c r="D29" i="27"/>
  <c r="J28" i="27"/>
  <c r="D28" i="27"/>
  <c r="J27" i="27"/>
  <c r="D27" i="27"/>
  <c r="J26" i="27"/>
  <c r="D26" i="27"/>
  <c r="J25" i="27"/>
  <c r="D25" i="27"/>
  <c r="J24" i="27"/>
  <c r="D24" i="27"/>
  <c r="J23" i="27"/>
  <c r="D23" i="27"/>
  <c r="J22" i="27"/>
  <c r="D22" i="27"/>
  <c r="J21" i="27"/>
  <c r="D21" i="27"/>
  <c r="J20" i="27"/>
  <c r="D20" i="27"/>
  <c r="J19" i="27"/>
  <c r="D19" i="27"/>
  <c r="J18" i="27"/>
  <c r="D18" i="27"/>
  <c r="J17" i="27"/>
  <c r="D17" i="27"/>
  <c r="J16" i="27"/>
  <c r="D16" i="27"/>
  <c r="J15" i="27"/>
  <c r="D15" i="27"/>
  <c r="J14" i="27"/>
  <c r="D14" i="27"/>
  <c r="J13" i="27"/>
  <c r="D13" i="27"/>
  <c r="P134" i="27"/>
  <c r="P124" i="27"/>
  <c r="P118" i="27"/>
  <c r="P102" i="27"/>
  <c r="P99" i="27"/>
  <c r="Q130" i="27"/>
  <c r="Q110" i="27"/>
  <c r="P88" i="27"/>
  <c r="P89" i="27"/>
  <c r="P61" i="27"/>
  <c r="P47" i="27"/>
  <c r="P45" i="27"/>
  <c r="Q36" i="27"/>
  <c r="Q45" i="27"/>
  <c r="R45" i="27"/>
  <c r="P22" i="27"/>
  <c r="O135" i="27"/>
  <c r="D134" i="27"/>
  <c r="F132" i="27"/>
  <c r="H130" i="27"/>
  <c r="J128" i="27"/>
  <c r="L126" i="27"/>
  <c r="N124" i="27"/>
  <c r="C123" i="27"/>
  <c r="E121" i="27"/>
  <c r="G119" i="27"/>
  <c r="I114" i="27"/>
  <c r="K112" i="27"/>
  <c r="M110" i="27"/>
  <c r="O108" i="27"/>
  <c r="D107" i="27"/>
  <c r="F105" i="27"/>
  <c r="H103" i="27"/>
  <c r="J101" i="27"/>
  <c r="L99" i="27"/>
  <c r="N97" i="27"/>
  <c r="C93" i="27"/>
  <c r="E91" i="27"/>
  <c r="G89" i="27"/>
  <c r="I87" i="27"/>
  <c r="K85" i="27"/>
  <c r="M83" i="27"/>
  <c r="O81" i="27"/>
  <c r="D80" i="27"/>
  <c r="F78" i="27"/>
  <c r="H76" i="27"/>
  <c r="J71" i="27"/>
  <c r="D70" i="27"/>
  <c r="L68" i="27"/>
  <c r="I67" i="27"/>
  <c r="I66" i="27"/>
  <c r="J65" i="27"/>
  <c r="K64" i="27"/>
  <c r="L63" i="27"/>
  <c r="M62" i="27"/>
  <c r="N61" i="27"/>
  <c r="O60" i="27"/>
  <c r="C60" i="27"/>
  <c r="D59" i="27"/>
  <c r="E58" i="27"/>
  <c r="F57" i="27"/>
  <c r="G56" i="27"/>
  <c r="H55" i="27"/>
  <c r="I51" i="27"/>
  <c r="J50" i="27"/>
  <c r="K49" i="27"/>
  <c r="L48" i="27"/>
  <c r="M47" i="27"/>
  <c r="N46" i="27"/>
  <c r="O45" i="27"/>
  <c r="C45" i="27"/>
  <c r="D44" i="27"/>
  <c r="E43" i="27"/>
  <c r="F42" i="27"/>
  <c r="G41" i="27"/>
  <c r="H40" i="27"/>
  <c r="I39" i="27"/>
  <c r="J38" i="27"/>
  <c r="K37" i="27"/>
  <c r="L36" i="27"/>
  <c r="M35" i="27"/>
  <c r="N34" i="27"/>
  <c r="C30" i="27"/>
  <c r="C18" i="27"/>
  <c r="H30" i="27"/>
  <c r="H29" i="27"/>
  <c r="H28" i="27"/>
  <c r="H27" i="27"/>
  <c r="H26" i="27"/>
  <c r="H25" i="27"/>
  <c r="H24" i="27"/>
  <c r="H23" i="27"/>
  <c r="H22" i="27"/>
  <c r="H21" i="27"/>
  <c r="H20" i="27"/>
  <c r="H19" i="27"/>
  <c r="H18" i="27"/>
  <c r="H17" i="27"/>
  <c r="H16" i="27"/>
  <c r="H15" i="27"/>
  <c r="H14" i="27"/>
  <c r="H13" i="27"/>
  <c r="P97" i="27"/>
  <c r="Q100" i="27"/>
  <c r="P78" i="27"/>
  <c r="R109" i="27"/>
  <c r="P72" i="27"/>
  <c r="P57" i="27"/>
  <c r="Q89" i="27"/>
  <c r="Q92" i="27"/>
  <c r="P24" i="27"/>
  <c r="R41" i="27"/>
  <c r="N135" i="27"/>
  <c r="C134" i="27"/>
  <c r="E132" i="27"/>
  <c r="G130" i="27"/>
  <c r="I128" i="27"/>
  <c r="K126" i="27"/>
  <c r="M124" i="27"/>
  <c r="O122" i="27"/>
  <c r="D121" i="27"/>
  <c r="F119" i="27"/>
  <c r="H114" i="27"/>
  <c r="J112" i="27"/>
  <c r="L110" i="27"/>
  <c r="N108" i="27"/>
  <c r="C107" i="27"/>
  <c r="E105" i="27"/>
  <c r="G103" i="27"/>
  <c r="I101" i="27"/>
  <c r="K99" i="27"/>
  <c r="M97" i="27"/>
  <c r="O92" i="27"/>
  <c r="D91" i="27"/>
  <c r="F89" i="27"/>
  <c r="H87" i="27"/>
  <c r="J85" i="27"/>
  <c r="L83" i="27"/>
  <c r="N81" i="27"/>
  <c r="C80" i="27"/>
  <c r="E78" i="27"/>
  <c r="G76" i="27"/>
  <c r="I71" i="27"/>
  <c r="O69" i="27"/>
  <c r="J68" i="27"/>
  <c r="H67" i="27"/>
  <c r="H66" i="27"/>
  <c r="I65" i="27"/>
  <c r="J64" i="27"/>
  <c r="K63" i="27"/>
  <c r="L62" i="27"/>
  <c r="M61" i="27"/>
  <c r="N60" i="27"/>
  <c r="O59" i="27"/>
  <c r="C59" i="27"/>
  <c r="D58" i="27"/>
  <c r="E57" i="27"/>
  <c r="F56" i="27"/>
  <c r="G55" i="27"/>
  <c r="H51" i="27"/>
  <c r="I50" i="27"/>
  <c r="J49" i="27"/>
  <c r="K48" i="27"/>
  <c r="L47" i="27"/>
  <c r="M46" i="27"/>
  <c r="N45" i="27"/>
  <c r="O44" i="27"/>
  <c r="C44" i="27"/>
  <c r="D43" i="27"/>
  <c r="E42" i="27"/>
  <c r="F41" i="27"/>
  <c r="G40" i="27"/>
  <c r="H39" i="27"/>
  <c r="I38" i="27"/>
  <c r="J37" i="27"/>
  <c r="K36" i="27"/>
  <c r="L35" i="27"/>
  <c r="M34" i="27"/>
  <c r="C29" i="27"/>
  <c r="C17" i="27"/>
  <c r="G30" i="27"/>
  <c r="G29" i="27"/>
  <c r="G28" i="27"/>
  <c r="G27" i="27"/>
  <c r="G26" i="27"/>
  <c r="G25" i="27"/>
  <c r="G24" i="27"/>
  <c r="G23" i="27"/>
  <c r="G22" i="27"/>
  <c r="G21" i="27"/>
  <c r="G20" i="27"/>
  <c r="G19" i="27"/>
  <c r="G18" i="27"/>
  <c r="G17" i="27"/>
  <c r="G16" i="27"/>
  <c r="G15" i="27"/>
  <c r="G14" i="27"/>
  <c r="G13" i="27"/>
  <c r="P129" i="27"/>
  <c r="Q119" i="27"/>
  <c r="P107" i="27"/>
  <c r="Q121" i="27"/>
  <c r="R134" i="27"/>
  <c r="Q104" i="27"/>
  <c r="P93" i="27"/>
  <c r="R121" i="27"/>
  <c r="P71" i="27"/>
  <c r="Q87" i="27"/>
  <c r="R86" i="27"/>
  <c r="R84" i="27"/>
  <c r="R40" i="27"/>
  <c r="P21" i="27"/>
  <c r="T36" i="27"/>
  <c r="S29" i="27"/>
  <c r="D135" i="27"/>
  <c r="F133" i="27"/>
  <c r="H131" i="27"/>
  <c r="J129" i="27"/>
  <c r="L127" i="27"/>
  <c r="N125" i="27"/>
  <c r="C124" i="27"/>
  <c r="E122" i="27"/>
  <c r="G120" i="27"/>
  <c r="I118" i="27"/>
  <c r="K113" i="27"/>
  <c r="M111" i="27"/>
  <c r="O109" i="27"/>
  <c r="D108" i="27"/>
  <c r="F106" i="27"/>
  <c r="H104" i="27"/>
  <c r="J102" i="27"/>
  <c r="L100" i="27"/>
  <c r="N98" i="27"/>
  <c r="C97" i="27"/>
  <c r="E92" i="27"/>
  <c r="G90" i="27"/>
  <c r="I88" i="27"/>
  <c r="K86" i="27"/>
  <c r="M84" i="27"/>
  <c r="O82" i="27"/>
  <c r="D81" i="27"/>
  <c r="F79" i="27"/>
  <c r="H77" i="27"/>
  <c r="J72" i="27"/>
  <c r="N70" i="27"/>
  <c r="I69" i="27"/>
  <c r="D68" i="27"/>
  <c r="C67" i="27"/>
  <c r="D66" i="27"/>
  <c r="E65" i="27"/>
  <c r="F64" i="27"/>
  <c r="G63" i="27"/>
  <c r="H62" i="27"/>
  <c r="I61" i="27"/>
  <c r="J60" i="27"/>
  <c r="K59" i="27"/>
  <c r="L58" i="27"/>
  <c r="M57" i="27"/>
  <c r="N56" i="27"/>
  <c r="O55" i="27"/>
  <c r="C55" i="27"/>
  <c r="D51" i="27"/>
  <c r="E50" i="27"/>
  <c r="F49" i="27"/>
  <c r="G48" i="27"/>
  <c r="H47" i="27"/>
  <c r="I46" i="27"/>
  <c r="J45" i="27"/>
  <c r="K44" i="27"/>
  <c r="L43" i="27"/>
  <c r="M42" i="27"/>
  <c r="N41" i="27"/>
  <c r="O40" i="27"/>
  <c r="C40" i="27"/>
  <c r="D39" i="27"/>
  <c r="E38" i="27"/>
  <c r="F37" i="27"/>
  <c r="G36" i="27"/>
  <c r="H35" i="27"/>
  <c r="I34" i="27"/>
  <c r="C25" i="27"/>
  <c r="O30" i="27"/>
  <c r="O29" i="27"/>
  <c r="O28" i="27"/>
  <c r="O27" i="27"/>
  <c r="O26" i="27"/>
  <c r="O25" i="27"/>
  <c r="O24" i="27"/>
  <c r="O23" i="27"/>
  <c r="O22" i="27"/>
  <c r="O21" i="27"/>
  <c r="O20" i="27"/>
  <c r="O19" i="27"/>
  <c r="O18" i="27"/>
  <c r="O17" i="27"/>
  <c r="O16" i="27"/>
  <c r="O15" i="27"/>
  <c r="O14" i="27"/>
  <c r="O13" i="27"/>
  <c r="C13" i="27"/>
  <c r="P130" i="27"/>
  <c r="P131" i="27"/>
  <c r="P132" i="27"/>
  <c r="Q109" i="27"/>
  <c r="P101" i="27"/>
  <c r="P104" i="27"/>
  <c r="Q132" i="27"/>
  <c r="P90" i="27"/>
  <c r="P85" i="27"/>
  <c r="P86" i="27"/>
  <c r="Q86" i="27"/>
  <c r="S134" i="27"/>
  <c r="P65" i="27"/>
  <c r="P34" i="27"/>
  <c r="R88" i="27"/>
  <c r="T134" i="27"/>
  <c r="Q35" i="27"/>
  <c r="R36" i="27"/>
  <c r="R35" i="27"/>
  <c r="P19" i="27"/>
  <c r="S58" i="27"/>
  <c r="Q29" i="27"/>
  <c r="Q21" i="27"/>
  <c r="R22" i="27"/>
  <c r="T35" i="27"/>
  <c r="S21" i="27"/>
  <c r="C135" i="27"/>
  <c r="E133" i="27"/>
  <c r="G131" i="27"/>
  <c r="I129" i="27"/>
  <c r="K127" i="27"/>
  <c r="M125" i="27"/>
  <c r="O123" i="27"/>
  <c r="D122" i="27"/>
  <c r="F120" i="27"/>
  <c r="H118" i="27"/>
  <c r="J113" i="27"/>
  <c r="L111" i="27"/>
  <c r="N109" i="27"/>
  <c r="C108" i="27"/>
  <c r="E106" i="27"/>
  <c r="G104" i="27"/>
  <c r="I102" i="27"/>
  <c r="K100" i="27"/>
  <c r="M98" i="27"/>
  <c r="O93" i="27"/>
  <c r="D92" i="27"/>
  <c r="F90" i="27"/>
  <c r="H88" i="27"/>
  <c r="J86" i="27"/>
  <c r="L84" i="27"/>
  <c r="N82" i="27"/>
  <c r="C81" i="27"/>
  <c r="E79" i="27"/>
  <c r="G77" i="27"/>
  <c r="I72" i="27"/>
  <c r="L70" i="27"/>
  <c r="G69" i="27"/>
  <c r="C68" i="27"/>
  <c r="O66" i="27"/>
  <c r="C66" i="27"/>
  <c r="D65" i="27"/>
  <c r="E64" i="27"/>
  <c r="F63" i="27"/>
  <c r="G62" i="27"/>
  <c r="H61" i="27"/>
  <c r="I60" i="27"/>
  <c r="J59" i="27"/>
  <c r="K58" i="27"/>
  <c r="L57" i="27"/>
  <c r="M56" i="27"/>
  <c r="N55" i="27"/>
  <c r="O51" i="27"/>
  <c r="C51" i="27"/>
  <c r="D50" i="27"/>
  <c r="E49" i="27"/>
  <c r="F48" i="27"/>
  <c r="G47" i="27"/>
  <c r="H46" i="27"/>
  <c r="I45" i="27"/>
  <c r="J44" i="27"/>
  <c r="K43" i="27"/>
  <c r="L42" i="27"/>
  <c r="M41" i="27"/>
  <c r="N40" i="27"/>
  <c r="O39" i="27"/>
  <c r="C39" i="27"/>
  <c r="D38" i="27"/>
  <c r="E37" i="27"/>
  <c r="F36" i="27"/>
  <c r="G35" i="27"/>
  <c r="H34" i="27"/>
  <c r="C24" i="27"/>
  <c r="N30" i="27"/>
  <c r="N29" i="27"/>
  <c r="N28" i="27"/>
  <c r="N27" i="27"/>
  <c r="N26" i="27"/>
  <c r="N25" i="27"/>
  <c r="N24" i="27"/>
  <c r="N23" i="27"/>
  <c r="N22" i="27"/>
  <c r="N21" i="27"/>
  <c r="N20" i="27"/>
  <c r="N19" i="27"/>
  <c r="N18" i="27"/>
  <c r="N17" i="27"/>
  <c r="N16" i="27"/>
  <c r="N15" i="27"/>
  <c r="N14" i="27"/>
  <c r="N13" i="27"/>
  <c r="P120" i="27"/>
  <c r="P113" i="27"/>
  <c r="R132" i="27"/>
  <c r="Q98" i="27"/>
  <c r="P60" i="27"/>
  <c r="P49" i="27"/>
  <c r="P39" i="27"/>
  <c r="P50" i="27"/>
  <c r="S106" i="27"/>
  <c r="P40" i="27"/>
  <c r="R58" i="27"/>
  <c r="T45" i="27"/>
  <c r="S19" i="27"/>
  <c r="E134" i="27"/>
  <c r="K128" i="27"/>
  <c r="D123" i="27"/>
  <c r="J114" i="27"/>
  <c r="C109" i="27"/>
  <c r="I103" i="27"/>
  <c r="O97" i="27"/>
  <c r="H89" i="27"/>
  <c r="N83" i="27"/>
  <c r="G78" i="27"/>
  <c r="E70" i="27"/>
  <c r="J66" i="27"/>
  <c r="M63" i="27"/>
  <c r="C61" i="27"/>
  <c r="F58" i="27"/>
  <c r="I55" i="27"/>
  <c r="L49" i="27"/>
  <c r="O46" i="27"/>
  <c r="E44" i="27"/>
  <c r="H41" i="27"/>
  <c r="K38" i="27"/>
  <c r="N35" i="27"/>
  <c r="C19" i="27"/>
  <c r="I28" i="27"/>
  <c r="I25" i="27"/>
  <c r="I22" i="27"/>
  <c r="I19" i="27"/>
  <c r="I16" i="27"/>
  <c r="I13" i="27"/>
  <c r="Q129" i="27"/>
  <c r="R120" i="27"/>
  <c r="R110" i="27"/>
  <c r="P56" i="27"/>
  <c r="Q61" i="27"/>
  <c r="P36" i="27"/>
  <c r="P17" i="27"/>
  <c r="Q13" i="27"/>
  <c r="D133" i="27"/>
  <c r="J127" i="27"/>
  <c r="C122" i="27"/>
  <c r="I113" i="27"/>
  <c r="O107" i="27"/>
  <c r="H102" i="27"/>
  <c r="N93" i="27"/>
  <c r="G88" i="27"/>
  <c r="M82" i="27"/>
  <c r="F77" i="27"/>
  <c r="F69" i="27"/>
  <c r="O65" i="27"/>
  <c r="E63" i="27"/>
  <c r="H60" i="27"/>
  <c r="K57" i="27"/>
  <c r="N51" i="27"/>
  <c r="D49" i="27"/>
  <c r="G46" i="27"/>
  <c r="J43" i="27"/>
  <c r="M40" i="27"/>
  <c r="C38" i="27"/>
  <c r="F35" i="27"/>
  <c r="M30" i="27"/>
  <c r="M27" i="27"/>
  <c r="M24" i="27"/>
  <c r="M21" i="27"/>
  <c r="M18" i="27"/>
  <c r="M15" i="27"/>
  <c r="P109" i="27"/>
  <c r="P98" i="27"/>
  <c r="P91" i="27"/>
  <c r="P13" i="27"/>
  <c r="S27" i="27"/>
  <c r="G132" i="27"/>
  <c r="M126" i="27"/>
  <c r="F121" i="27"/>
  <c r="L112" i="27"/>
  <c r="E107" i="27"/>
  <c r="K101" i="27"/>
  <c r="D93" i="27"/>
  <c r="J87" i="27"/>
  <c r="C82" i="27"/>
  <c r="I76" i="27"/>
  <c r="M68" i="27"/>
  <c r="K65" i="27"/>
  <c r="N62" i="27"/>
  <c r="D60" i="27"/>
  <c r="G57" i="27"/>
  <c r="J51" i="27"/>
  <c r="M48" i="27"/>
  <c r="C46" i="27"/>
  <c r="F43" i="27"/>
  <c r="I40" i="27"/>
  <c r="L37" i="27"/>
  <c r="O34" i="27"/>
  <c r="I30" i="27"/>
  <c r="I27" i="27"/>
  <c r="I24" i="27"/>
  <c r="I21" i="27"/>
  <c r="I18" i="27"/>
  <c r="I15" i="27"/>
  <c r="P121" i="27"/>
  <c r="P112" i="27"/>
  <c r="P64" i="27"/>
  <c r="R92" i="27"/>
  <c r="Q40" i="27"/>
  <c r="Q22" i="27"/>
  <c r="R19" i="27"/>
  <c r="F131" i="27"/>
  <c r="L125" i="27"/>
  <c r="E120" i="27"/>
  <c r="K111" i="27"/>
  <c r="D106" i="27"/>
  <c r="J100" i="27"/>
  <c r="C92" i="27"/>
  <c r="I86" i="27"/>
  <c r="O80" i="27"/>
  <c r="H72" i="27"/>
  <c r="O67" i="27"/>
  <c r="C65" i="27"/>
  <c r="F62" i="27"/>
  <c r="I59" i="27"/>
  <c r="L56" i="27"/>
  <c r="O50" i="27"/>
  <c r="E48" i="27"/>
  <c r="H45" i="27"/>
  <c r="K42" i="27"/>
  <c r="N39" i="27"/>
  <c r="D37" i="27"/>
  <c r="G34" i="27"/>
  <c r="M29" i="27"/>
  <c r="M26" i="27"/>
  <c r="M23" i="27"/>
  <c r="M20" i="27"/>
  <c r="M17" i="27"/>
  <c r="M14" i="27"/>
  <c r="Q118" i="27"/>
  <c r="P106" i="27"/>
  <c r="R124" i="27"/>
  <c r="P69" i="27"/>
  <c r="P58" i="27"/>
  <c r="P38" i="27"/>
  <c r="Q67" i="27"/>
  <c r="Q58" i="27"/>
  <c r="Q50" i="27"/>
  <c r="P26" i="27"/>
  <c r="Q27" i="27"/>
  <c r="R29" i="27"/>
  <c r="T22" i="27"/>
  <c r="T19" i="27"/>
  <c r="T29" i="27"/>
  <c r="I130" i="27"/>
  <c r="O124" i="27"/>
  <c r="H119" i="27"/>
  <c r="N110" i="27"/>
  <c r="G105" i="27"/>
  <c r="M99" i="27"/>
  <c r="F91" i="27"/>
  <c r="L85" i="27"/>
  <c r="E80" i="27"/>
  <c r="K71" i="27"/>
  <c r="J67" i="27"/>
  <c r="L64" i="27"/>
  <c r="O61" i="27"/>
  <c r="E59" i="27"/>
  <c r="H56" i="27"/>
  <c r="K50" i="27"/>
  <c r="N47" i="27"/>
  <c r="D45" i="27"/>
  <c r="G42" i="27"/>
  <c r="J39" i="27"/>
  <c r="M36" i="27"/>
  <c r="C34" i="27"/>
  <c r="I29" i="27"/>
  <c r="I26" i="27"/>
  <c r="I23" i="27"/>
  <c r="I20" i="27"/>
  <c r="I17" i="27"/>
  <c r="I14" i="27"/>
  <c r="M109" i="27"/>
  <c r="K70" i="27"/>
  <c r="C50" i="27"/>
  <c r="C23" i="27"/>
  <c r="M13" i="27"/>
  <c r="P128" i="27"/>
  <c r="P108" i="27"/>
  <c r="P87" i="27"/>
  <c r="S124" i="27"/>
  <c r="P16" i="27"/>
  <c r="S45" i="27"/>
  <c r="F104" i="27"/>
  <c r="N66" i="27"/>
  <c r="F47" i="27"/>
  <c r="M28" i="27"/>
  <c r="P48" i="27"/>
  <c r="O134" i="27"/>
  <c r="L98" i="27"/>
  <c r="D64" i="27"/>
  <c r="I44" i="27"/>
  <c r="M25" i="27"/>
  <c r="Q112" i="27"/>
  <c r="R27" i="27"/>
  <c r="T21" i="27"/>
  <c r="H129" i="27"/>
  <c r="E90" i="27"/>
  <c r="G61" i="27"/>
  <c r="L41" i="27"/>
  <c r="M22" i="27"/>
  <c r="P29" i="27"/>
  <c r="S22" i="27"/>
  <c r="N123" i="27"/>
  <c r="K84" i="27"/>
  <c r="J58" i="27"/>
  <c r="O38" i="27"/>
  <c r="M19" i="27"/>
  <c r="P63" i="27"/>
  <c r="P46" i="27"/>
  <c r="Q38" i="27"/>
  <c r="R21" i="27"/>
  <c r="G118" i="27"/>
  <c r="D79" i="27"/>
  <c r="M55" i="27"/>
  <c r="E36" i="27"/>
  <c r="M16" i="27"/>
  <c r="P133" i="27"/>
  <c r="Q101" i="27"/>
  <c r="P92" i="27"/>
  <c r="J105" i="102"/>
  <c r="J120" i="102"/>
  <c r="L139" i="102"/>
  <c r="D156" i="102"/>
  <c r="M136" i="102"/>
  <c r="M151" i="102"/>
  <c r="S116" i="102"/>
  <c r="C98" i="102"/>
  <c r="Z114" i="102"/>
  <c r="I45" i="102"/>
  <c r="H102" i="102"/>
  <c r="H14" i="14"/>
  <c r="K38" i="14"/>
  <c r="P74" i="14"/>
  <c r="AL74" i="14"/>
  <c r="D72" i="14"/>
  <c r="P23" i="14"/>
  <c r="AL23" i="14"/>
  <c r="AL51" i="14"/>
  <c r="Q51" i="14" s="1"/>
  <c r="P51" i="14"/>
  <c r="T41" i="66"/>
  <c r="S32" i="14"/>
  <c r="AQ117" i="14"/>
  <c r="AL77" i="14"/>
  <c r="AM77" i="14" s="1"/>
  <c r="P77" i="14"/>
  <c r="AO102" i="14"/>
  <c r="S102" i="14"/>
  <c r="P13" i="14"/>
  <c r="S36" i="14"/>
  <c r="AL39" i="14"/>
  <c r="P39" i="14"/>
  <c r="AL45" i="14"/>
  <c r="P45" i="14"/>
  <c r="R36" i="14"/>
  <c r="P19" i="14"/>
  <c r="P33" i="14"/>
  <c r="AL33" i="14"/>
  <c r="Q34" i="14"/>
  <c r="AM34" i="14"/>
  <c r="Q37" i="14"/>
  <c r="AM37" i="14"/>
  <c r="P40" i="14"/>
  <c r="P53" i="14"/>
  <c r="P10" i="14"/>
  <c r="AN29" i="14"/>
  <c r="R29" i="14"/>
  <c r="AL30" i="14"/>
  <c r="P30" i="14"/>
  <c r="AP32" i="14"/>
  <c r="T32" i="14"/>
  <c r="P52" i="14"/>
  <c r="R58" i="14"/>
  <c r="AN58" i="14"/>
  <c r="AM67" i="14"/>
  <c r="Q67" i="14"/>
  <c r="R105" i="14"/>
  <c r="AN105" i="14"/>
  <c r="S105" i="14" s="1"/>
  <c r="AM116" i="14"/>
  <c r="R116" i="14" s="1"/>
  <c r="Q116" i="14"/>
  <c r="Q120" i="14"/>
  <c r="AM120" i="14"/>
  <c r="AM129" i="14"/>
  <c r="Q129" i="14"/>
  <c r="AL16" i="66"/>
  <c r="Q16" i="66"/>
  <c r="Q52" i="66"/>
  <c r="AL52" i="66"/>
  <c r="AL16" i="14"/>
  <c r="AM16" i="14" s="1"/>
  <c r="P16" i="14"/>
  <c r="R44" i="14"/>
  <c r="Q44" i="14"/>
  <c r="Q29" i="14"/>
  <c r="P44" i="14"/>
  <c r="AP60" i="14"/>
  <c r="T60" i="14"/>
  <c r="AL73" i="14"/>
  <c r="P73" i="14"/>
  <c r="R75" i="14"/>
  <c r="AL86" i="14"/>
  <c r="P86" i="14"/>
  <c r="S95" i="14"/>
  <c r="AO95" i="14"/>
  <c r="T20" i="66"/>
  <c r="P30" i="66"/>
  <c r="AK30" i="66"/>
  <c r="AL37" i="66"/>
  <c r="Q37" i="66"/>
  <c r="AN44" i="14"/>
  <c r="Q58" i="14"/>
  <c r="P54" i="14"/>
  <c r="AL54" i="14"/>
  <c r="AL80" i="14"/>
  <c r="AM80" i="14" s="1"/>
  <c r="P80" i="14"/>
  <c r="AL93" i="14"/>
  <c r="P93" i="14"/>
  <c r="AM98" i="14"/>
  <c r="Q98" i="14"/>
  <c r="S117" i="14"/>
  <c r="AM113" i="14"/>
  <c r="Q113" i="14"/>
  <c r="AM118" i="14"/>
  <c r="AN118" i="14" s="1"/>
  <c r="Q118" i="14"/>
  <c r="AN121" i="14"/>
  <c r="R121" i="14"/>
  <c r="Q124" i="14"/>
  <c r="AM124" i="14"/>
  <c r="AM130" i="14"/>
  <c r="Q130" i="14"/>
  <c r="Q31" i="66"/>
  <c r="AL31" i="66"/>
  <c r="AP41" i="66"/>
  <c r="AM96" i="14"/>
  <c r="Q96" i="14"/>
  <c r="AM106" i="14"/>
  <c r="R106" i="14" s="1"/>
  <c r="Q106" i="14"/>
  <c r="S127" i="14"/>
  <c r="AO127" i="14"/>
  <c r="AM125" i="14"/>
  <c r="AN125" i="14" s="1"/>
  <c r="Q125" i="14"/>
  <c r="Q23" i="66"/>
  <c r="P32" i="66"/>
  <c r="T56" i="66"/>
  <c r="AO56" i="66"/>
  <c r="AP56" i="66" s="1"/>
  <c r="S60" i="14"/>
  <c r="P50" i="14"/>
  <c r="AL50" i="14"/>
  <c r="AM50" i="14" s="1"/>
  <c r="AN50" i="14" s="1"/>
  <c r="P61" i="14"/>
  <c r="S75" i="14"/>
  <c r="AL71" i="14"/>
  <c r="P71" i="14"/>
  <c r="P96" i="14"/>
  <c r="P94" i="14"/>
  <c r="Q114" i="14"/>
  <c r="P119" i="14"/>
  <c r="Q11" i="66"/>
  <c r="AL11" i="66"/>
  <c r="P15" i="66"/>
  <c r="AK15" i="66"/>
  <c r="P20" i="66"/>
  <c r="R44" i="66"/>
  <c r="AM44" i="66"/>
  <c r="T55" i="66"/>
  <c r="AO55" i="66"/>
  <c r="AP55" i="66" s="1"/>
  <c r="P74" i="66"/>
  <c r="AM80" i="66"/>
  <c r="R80" i="66"/>
  <c r="AL83" i="66"/>
  <c r="Q83" i="66"/>
  <c r="P117" i="66"/>
  <c r="AK129" i="66"/>
  <c r="AL129" i="66" s="1"/>
  <c r="P129" i="66"/>
  <c r="AN89" i="27"/>
  <c r="S89" i="27"/>
  <c r="AO124" i="27"/>
  <c r="T124" i="27"/>
  <c r="AN86" i="27"/>
  <c r="T86" i="27" s="1"/>
  <c r="S86" i="27"/>
  <c r="AN118" i="27"/>
  <c r="S118" i="27"/>
  <c r="AL77" i="27"/>
  <c r="AM77" i="27" s="1"/>
  <c r="Q77" i="27"/>
  <c r="R114" i="14"/>
  <c r="P120" i="14"/>
  <c r="P122" i="14"/>
  <c r="P128" i="14"/>
  <c r="P11" i="66"/>
  <c r="R23" i="66"/>
  <c r="AM23" i="66"/>
  <c r="AO40" i="66"/>
  <c r="AP40" i="66" s="1"/>
  <c r="Q44" i="66"/>
  <c r="S55" i="66"/>
  <c r="P57" i="66"/>
  <c r="AK57" i="66"/>
  <c r="Q65" i="66"/>
  <c r="P86" i="66"/>
  <c r="R13" i="27"/>
  <c r="AK68" i="27"/>
  <c r="P68" i="27"/>
  <c r="AP25" i="67"/>
  <c r="AL61" i="14"/>
  <c r="Q102" i="14"/>
  <c r="Q94" i="14"/>
  <c r="P125" i="14"/>
  <c r="Q28" i="66"/>
  <c r="P36" i="66"/>
  <c r="AK36" i="66"/>
  <c r="AL36" i="66" s="1"/>
  <c r="S41" i="66"/>
  <c r="P42" i="66"/>
  <c r="AK42" i="66"/>
  <c r="P49" i="66"/>
  <c r="P51" i="66"/>
  <c r="AK51" i="66"/>
  <c r="Q87" i="66"/>
  <c r="AL87" i="66"/>
  <c r="P96" i="66"/>
  <c r="P118" i="66"/>
  <c r="AK118" i="66"/>
  <c r="AL46" i="27"/>
  <c r="Q46" i="27"/>
  <c r="P105" i="27"/>
  <c r="R102" i="14"/>
  <c r="P113" i="14"/>
  <c r="P14" i="66"/>
  <c r="P16" i="66"/>
  <c r="S20" i="66"/>
  <c r="P21" i="66"/>
  <c r="AK21" i="66"/>
  <c r="P23" i="66"/>
  <c r="P31" i="66"/>
  <c r="P35" i="66"/>
  <c r="P43" i="66"/>
  <c r="AM66" i="66"/>
  <c r="S66" i="66" s="1"/>
  <c r="R66" i="66"/>
  <c r="P87" i="66"/>
  <c r="Q80" i="66"/>
  <c r="AM13" i="27"/>
  <c r="S13" i="27" s="1"/>
  <c r="AK99" i="66"/>
  <c r="P99" i="66"/>
  <c r="R107" i="66"/>
  <c r="S110" i="27"/>
  <c r="R89" i="27"/>
  <c r="AM100" i="27"/>
  <c r="R100" i="27"/>
  <c r="I11" i="101"/>
  <c r="P13" i="101"/>
  <c r="L16" i="101"/>
  <c r="M18" i="101"/>
  <c r="H21" i="101"/>
  <c r="P22" i="101"/>
  <c r="O25" i="101"/>
  <c r="E28" i="101"/>
  <c r="P30" i="101"/>
  <c r="O33" i="101"/>
  <c r="L36" i="101"/>
  <c r="P41" i="101"/>
  <c r="C44" i="101"/>
  <c r="N46" i="101"/>
  <c r="M49" i="101"/>
  <c r="L52" i="101"/>
  <c r="P54" i="101"/>
  <c r="M57" i="101"/>
  <c r="M60" i="101"/>
  <c r="K62" i="101"/>
  <c r="J65" i="101"/>
  <c r="J68" i="101"/>
  <c r="D74" i="101"/>
  <c r="G77" i="101"/>
  <c r="K80" i="101"/>
  <c r="N83" i="101"/>
  <c r="G85" i="101"/>
  <c r="K88" i="101"/>
  <c r="H92" i="101"/>
  <c r="P95" i="101"/>
  <c r="N98" i="101"/>
  <c r="I105" i="101"/>
  <c r="C109" i="101"/>
  <c r="K111" i="101"/>
  <c r="F115" i="101"/>
  <c r="G118" i="101"/>
  <c r="O121" i="101"/>
  <c r="K125" i="101"/>
  <c r="P37" i="14"/>
  <c r="P55" i="14"/>
  <c r="AL55" i="14"/>
  <c r="R117" i="14"/>
  <c r="P100" i="14"/>
  <c r="P102" i="14"/>
  <c r="P107" i="14"/>
  <c r="P10" i="66"/>
  <c r="Q40" i="66"/>
  <c r="Q41" i="66"/>
  <c r="P58" i="66"/>
  <c r="P70" i="66"/>
  <c r="P82" i="66"/>
  <c r="AK100" i="66"/>
  <c r="P100" i="66"/>
  <c r="P104" i="66"/>
  <c r="AK104" i="66"/>
  <c r="AL104" i="66" s="1"/>
  <c r="AK115" i="66"/>
  <c r="Q115" i="66" s="1"/>
  <c r="AL123" i="66"/>
  <c r="Q123" i="66"/>
  <c r="P123" i="66"/>
  <c r="AK42" i="27"/>
  <c r="P42" i="27"/>
  <c r="T25" i="67"/>
  <c r="P77" i="27"/>
  <c r="Q76" i="14"/>
  <c r="AM76" i="14"/>
  <c r="Q87" i="14"/>
  <c r="Q20" i="66"/>
  <c r="P37" i="66"/>
  <c r="P40" i="66"/>
  <c r="P41" i="66"/>
  <c r="AK43" i="66"/>
  <c r="P52" i="66"/>
  <c r="AK74" i="66"/>
  <c r="Q82" i="66"/>
  <c r="P113" i="66"/>
  <c r="AK113" i="66"/>
  <c r="AO110" i="27"/>
  <c r="T110" i="27"/>
  <c r="AK76" i="27"/>
  <c r="P76" i="27"/>
  <c r="AK82" i="27"/>
  <c r="AL82" i="27" s="1"/>
  <c r="P82" i="27"/>
  <c r="P47" i="67"/>
  <c r="AK47" i="67"/>
  <c r="AL47" i="67" s="1"/>
  <c r="AO19" i="48"/>
  <c r="T19" i="48"/>
  <c r="AQ48" i="48"/>
  <c r="V48" i="48"/>
  <c r="P126" i="27"/>
  <c r="AK26" i="67"/>
  <c r="P26" i="67"/>
  <c r="AK42" i="67"/>
  <c r="P42" i="67"/>
  <c r="AM106" i="67"/>
  <c r="R106" i="67"/>
  <c r="AL88" i="67"/>
  <c r="R88" i="67" s="1"/>
  <c r="Q88" i="67"/>
  <c r="P44" i="66"/>
  <c r="P53" i="66"/>
  <c r="R55" i="66"/>
  <c r="P62" i="66"/>
  <c r="P63" i="66"/>
  <c r="Q64" i="66"/>
  <c r="P65" i="66"/>
  <c r="P66" i="66"/>
  <c r="P75" i="66"/>
  <c r="P94" i="66"/>
  <c r="R105" i="66"/>
  <c r="AM105" i="66"/>
  <c r="P107" i="66"/>
  <c r="P116" i="66"/>
  <c r="P127" i="66"/>
  <c r="P25" i="27"/>
  <c r="AM39" i="27"/>
  <c r="AN39" i="27" s="1"/>
  <c r="R39" i="27"/>
  <c r="AM38" i="27"/>
  <c r="S38" i="27" s="1"/>
  <c r="R38" i="27"/>
  <c r="AK43" i="27"/>
  <c r="P43" i="27"/>
  <c r="AO130" i="27"/>
  <c r="AP130" i="27" s="1"/>
  <c r="T130" i="27"/>
  <c r="AN104" i="27"/>
  <c r="S104" i="27"/>
  <c r="AM101" i="27"/>
  <c r="AN101" i="27" s="1"/>
  <c r="R101" i="27"/>
  <c r="S25" i="67"/>
  <c r="AP17" i="67"/>
  <c r="AL111" i="27"/>
  <c r="Q111" i="27"/>
  <c r="Q128" i="27"/>
  <c r="AL128" i="27"/>
  <c r="AM128" i="27" s="1"/>
  <c r="AN128" i="27" s="1"/>
  <c r="R25" i="67"/>
  <c r="AL15" i="67"/>
  <c r="Q15" i="67"/>
  <c r="Q39" i="67"/>
  <c r="P12" i="66"/>
  <c r="AK12" i="66"/>
  <c r="P18" i="66"/>
  <c r="AK18" i="66"/>
  <c r="R20" i="66"/>
  <c r="P39" i="66"/>
  <c r="R41" i="66"/>
  <c r="P45" i="66"/>
  <c r="AK45" i="66"/>
  <c r="AL45" i="66" s="1"/>
  <c r="P54" i="66"/>
  <c r="AK54" i="66"/>
  <c r="Q55" i="66"/>
  <c r="R56" i="66"/>
  <c r="P60" i="66"/>
  <c r="AK60" i="66"/>
  <c r="R71" i="66"/>
  <c r="Q75" i="66"/>
  <c r="P79" i="66"/>
  <c r="AK86" i="66"/>
  <c r="AL86" i="66" s="1"/>
  <c r="P93" i="66"/>
  <c r="P103" i="66"/>
  <c r="AK103" i="66"/>
  <c r="P106" i="66"/>
  <c r="S114" i="66"/>
  <c r="AN114" i="66"/>
  <c r="AK116" i="66"/>
  <c r="P119" i="66"/>
  <c r="AK119" i="66"/>
  <c r="AK121" i="66"/>
  <c r="Q121" i="66" s="1"/>
  <c r="P121" i="66"/>
  <c r="P124" i="66"/>
  <c r="AK124" i="66"/>
  <c r="AK127" i="66"/>
  <c r="P108" i="66"/>
  <c r="Q26" i="27"/>
  <c r="P15" i="27"/>
  <c r="AM67" i="27"/>
  <c r="R67" i="27"/>
  <c r="P59" i="27"/>
  <c r="AK59" i="27"/>
  <c r="AL85" i="27"/>
  <c r="R85" i="27" s="1"/>
  <c r="Q85" i="27"/>
  <c r="AL97" i="27"/>
  <c r="Q97" i="27"/>
  <c r="AL105" i="27"/>
  <c r="Q105" i="27"/>
  <c r="R118" i="27"/>
  <c r="AO40" i="67"/>
  <c r="T40" i="67"/>
  <c r="AM14" i="67"/>
  <c r="AN14" i="67" s="1"/>
  <c r="R14" i="67"/>
  <c r="AK122" i="27"/>
  <c r="P122" i="27"/>
  <c r="P16" i="67"/>
  <c r="Q56" i="66"/>
  <c r="P19" i="66"/>
  <c r="P61" i="66"/>
  <c r="AK73" i="66"/>
  <c r="P73" i="66"/>
  <c r="Q81" i="66"/>
  <c r="Q93" i="66"/>
  <c r="S101" i="66"/>
  <c r="AN101" i="66"/>
  <c r="Q106" i="66"/>
  <c r="AL106" i="66"/>
  <c r="R106" i="66" s="1"/>
  <c r="R108" i="66"/>
  <c r="AM108" i="66"/>
  <c r="AM26" i="27"/>
  <c r="AN26" i="27" s="1"/>
  <c r="R26" i="27"/>
  <c r="Q108" i="66"/>
  <c r="AL15" i="27"/>
  <c r="Q15" i="27"/>
  <c r="P27" i="27"/>
  <c r="AL64" i="27"/>
  <c r="Q64" i="27"/>
  <c r="S109" i="27"/>
  <c r="AL78" i="27"/>
  <c r="Q78" i="27"/>
  <c r="S130" i="27"/>
  <c r="P103" i="27"/>
  <c r="AK103" i="27"/>
  <c r="AK123" i="27"/>
  <c r="P123" i="27"/>
  <c r="P135" i="27"/>
  <c r="AK135" i="27"/>
  <c r="AM65" i="67"/>
  <c r="R65" i="67"/>
  <c r="AL49" i="67"/>
  <c r="Q49" i="67"/>
  <c r="AN112" i="67"/>
  <c r="AO112" i="67" s="1"/>
  <c r="AP112" i="67" s="1"/>
  <c r="S112" i="67"/>
  <c r="AK35" i="66"/>
  <c r="P56" i="66"/>
  <c r="R77" i="66"/>
  <c r="AK79" i="66"/>
  <c r="P81" i="66"/>
  <c r="P85" i="66"/>
  <c r="Q77" i="66"/>
  <c r="AN14" i="27"/>
  <c r="S14" i="27"/>
  <c r="Q91" i="66"/>
  <c r="AL91" i="66"/>
  <c r="AL93" i="66"/>
  <c r="Q97" i="66"/>
  <c r="AL97" i="66"/>
  <c r="R14" i="27"/>
  <c r="P112" i="66"/>
  <c r="AK112" i="66"/>
  <c r="Q112" i="66" s="1"/>
  <c r="AK117" i="66"/>
  <c r="P122" i="66"/>
  <c r="AK122" i="66"/>
  <c r="Q122" i="66" s="1"/>
  <c r="P125" i="66"/>
  <c r="AK125" i="66"/>
  <c r="P128" i="66"/>
  <c r="AK128" i="66"/>
  <c r="P105" i="66"/>
  <c r="AN41" i="27"/>
  <c r="S41" i="27"/>
  <c r="Q24" i="27"/>
  <c r="AL24" i="27"/>
  <c r="P28" i="27"/>
  <c r="AN92" i="27"/>
  <c r="S92" i="27"/>
  <c r="AN109" i="27"/>
  <c r="AL71" i="27"/>
  <c r="AM71" i="27" s="1"/>
  <c r="Q71" i="27"/>
  <c r="AL114" i="27"/>
  <c r="Q114" i="27"/>
  <c r="AN39" i="67"/>
  <c r="AO39" i="67" s="1"/>
  <c r="AP39" i="67" s="1"/>
  <c r="S39" i="67"/>
  <c r="AO97" i="67"/>
  <c r="T97" i="67"/>
  <c r="AK70" i="66"/>
  <c r="Q70" i="66" s="1"/>
  <c r="AL75" i="66"/>
  <c r="R75" i="66" s="1"/>
  <c r="AK25" i="27"/>
  <c r="P18" i="27"/>
  <c r="AM50" i="27"/>
  <c r="R50" i="27"/>
  <c r="AN61" i="27"/>
  <c r="S61" i="27"/>
  <c r="AK44" i="27"/>
  <c r="P44" i="27"/>
  <c r="AN84" i="27"/>
  <c r="S84" i="27"/>
  <c r="AO106" i="27"/>
  <c r="T106" i="27"/>
  <c r="AL69" i="27"/>
  <c r="AM69" i="27" s="1"/>
  <c r="S69" i="27" s="1"/>
  <c r="Q69" i="27"/>
  <c r="AL81" i="27"/>
  <c r="Q81" i="27"/>
  <c r="AL91" i="27"/>
  <c r="R91" i="27" s="1"/>
  <c r="Q91" i="27"/>
  <c r="AM87" i="27"/>
  <c r="R87" i="27"/>
  <c r="T20" i="67"/>
  <c r="Q108" i="27"/>
  <c r="Q106" i="27"/>
  <c r="AM112" i="27"/>
  <c r="R112" i="27"/>
  <c r="S20" i="67"/>
  <c r="AN28" i="67"/>
  <c r="AO28" i="67" s="1"/>
  <c r="AP28" i="67" s="1"/>
  <c r="S28" i="67"/>
  <c r="R104" i="27"/>
  <c r="AL133" i="27"/>
  <c r="Q133" i="27"/>
  <c r="AM12" i="67"/>
  <c r="R12" i="67"/>
  <c r="AM44" i="67"/>
  <c r="AN44" i="67" s="1"/>
  <c r="T44" i="67" s="1"/>
  <c r="R44" i="67"/>
  <c r="AK21" i="67"/>
  <c r="P21" i="67"/>
  <c r="P27" i="67"/>
  <c r="AM68" i="67"/>
  <c r="R68" i="67"/>
  <c r="AM89" i="67"/>
  <c r="AN89" i="67" s="1"/>
  <c r="R89" i="67"/>
  <c r="P54" i="67"/>
  <c r="P59" i="67"/>
  <c r="AK64" i="67"/>
  <c r="P64" i="67"/>
  <c r="P69" i="67"/>
  <c r="P77" i="67"/>
  <c r="AK87" i="67"/>
  <c r="AL87" i="67" s="1"/>
  <c r="AM87" i="67" s="1"/>
  <c r="S87" i="67" s="1"/>
  <c r="P87" i="67"/>
  <c r="Q119" i="67"/>
  <c r="AL119" i="67"/>
  <c r="AK96" i="66"/>
  <c r="AL96" i="66" s="1"/>
  <c r="AM107" i="66"/>
  <c r="AN107" i="66" s="1"/>
  <c r="Q14" i="27"/>
  <c r="Q19" i="27"/>
  <c r="AK30" i="27"/>
  <c r="P30" i="27"/>
  <c r="S40" i="27"/>
  <c r="AL37" i="27"/>
  <c r="R37" i="27" s="1"/>
  <c r="Q37" i="27"/>
  <c r="Q39" i="27"/>
  <c r="AL49" i="27"/>
  <c r="Q49" i="27"/>
  <c r="AK55" i="27"/>
  <c r="P55" i="27"/>
  <c r="P70" i="27"/>
  <c r="AK70" i="27"/>
  <c r="R98" i="27"/>
  <c r="AN132" i="27"/>
  <c r="S132" i="27"/>
  <c r="P125" i="27"/>
  <c r="AK125" i="27"/>
  <c r="AL131" i="27"/>
  <c r="AM131" i="27" s="1"/>
  <c r="S131" i="27" s="1"/>
  <c r="Q131" i="27"/>
  <c r="AL46" i="67"/>
  <c r="R46" i="67" s="1"/>
  <c r="Q46" i="67"/>
  <c r="AL59" i="67"/>
  <c r="Q59" i="67"/>
  <c r="AL69" i="67"/>
  <c r="AM69" i="67" s="1"/>
  <c r="AN69" i="67" s="1"/>
  <c r="T69" i="67" s="1"/>
  <c r="Q69" i="67"/>
  <c r="Q82" i="67"/>
  <c r="AM108" i="67"/>
  <c r="S108" i="67" s="1"/>
  <c r="R108" i="67"/>
  <c r="P97" i="66"/>
  <c r="R114" i="66"/>
  <c r="R120" i="66"/>
  <c r="T58" i="27"/>
  <c r="AK20" i="27"/>
  <c r="P20" i="27"/>
  <c r="S35" i="27"/>
  <c r="AM47" i="27"/>
  <c r="R47" i="27"/>
  <c r="AL34" i="27"/>
  <c r="Q34" i="27"/>
  <c r="AO121" i="27"/>
  <c r="T121" i="27"/>
  <c r="R106" i="27"/>
  <c r="AN119" i="27"/>
  <c r="AO119" i="27" s="1"/>
  <c r="AP119" i="27" s="1"/>
  <c r="S119" i="27"/>
  <c r="T27" i="67"/>
  <c r="P80" i="27"/>
  <c r="AK80" i="27"/>
  <c r="AL90" i="27"/>
  <c r="Q90" i="27"/>
  <c r="P114" i="27"/>
  <c r="Q48" i="67"/>
  <c r="P36" i="67"/>
  <c r="AK36" i="67"/>
  <c r="AK41" i="67"/>
  <c r="Q41" i="67" s="1"/>
  <c r="P41" i="67"/>
  <c r="R81" i="67"/>
  <c r="AM81" i="67"/>
  <c r="AN109" i="67"/>
  <c r="T109" i="67" s="1"/>
  <c r="Q66" i="67"/>
  <c r="AL66" i="67"/>
  <c r="R112" i="67"/>
  <c r="U54" i="48"/>
  <c r="AP54" i="48"/>
  <c r="AQ54" i="48" s="1"/>
  <c r="AR54" i="48" s="1"/>
  <c r="AR16" i="49"/>
  <c r="AL82" i="66"/>
  <c r="AK51" i="27"/>
  <c r="P51" i="27"/>
  <c r="AM98" i="27"/>
  <c r="S98" i="27" s="1"/>
  <c r="AL66" i="27"/>
  <c r="Q66" i="27"/>
  <c r="P62" i="27"/>
  <c r="S121" i="27"/>
  <c r="AL93" i="27"/>
  <c r="Q93" i="27"/>
  <c r="P81" i="27"/>
  <c r="R119" i="27"/>
  <c r="AP78" i="67"/>
  <c r="P111" i="27"/>
  <c r="AM129" i="27"/>
  <c r="R129" i="27"/>
  <c r="AK127" i="27"/>
  <c r="P127" i="27"/>
  <c r="Q12" i="67"/>
  <c r="Q25" i="67"/>
  <c r="Q33" i="67"/>
  <c r="AL33" i="67"/>
  <c r="R33" i="67" s="1"/>
  <c r="AO132" i="67"/>
  <c r="AP132" i="67" s="1"/>
  <c r="AM82" i="67"/>
  <c r="R82" i="67"/>
  <c r="AL104" i="67"/>
  <c r="AM104" i="67" s="1"/>
  <c r="AN104" i="67" s="1"/>
  <c r="T104" i="67" s="1"/>
  <c r="Q104" i="67"/>
  <c r="AM126" i="67"/>
  <c r="R126" i="67"/>
  <c r="AL83" i="67"/>
  <c r="R83" i="67" s="1"/>
  <c r="Q83" i="67"/>
  <c r="R118" i="67"/>
  <c r="AQ65" i="49"/>
  <c r="V65" i="49"/>
  <c r="AK18" i="27"/>
  <c r="Q18" i="27" s="1"/>
  <c r="AK23" i="67"/>
  <c r="P23" i="67"/>
  <c r="AL50" i="67"/>
  <c r="AM50" i="67" s="1"/>
  <c r="Q50" i="67"/>
  <c r="P33" i="67"/>
  <c r="Q68" i="67"/>
  <c r="Q67" i="67"/>
  <c r="AL67" i="67"/>
  <c r="AL55" i="67"/>
  <c r="AM55" i="67" s="1"/>
  <c r="Q55" i="67"/>
  <c r="AN102" i="67"/>
  <c r="S102" i="67"/>
  <c r="Q76" i="67"/>
  <c r="AL76" i="67"/>
  <c r="AP16" i="48"/>
  <c r="AQ16" i="48" s="1"/>
  <c r="AR16" i="48" s="1"/>
  <c r="U16" i="48"/>
  <c r="AK111" i="67"/>
  <c r="P111" i="67"/>
  <c r="AK120" i="67"/>
  <c r="P120" i="67"/>
  <c r="Q124" i="67"/>
  <c r="AL124" i="67"/>
  <c r="AN9" i="48"/>
  <c r="AO9" i="48" s="1"/>
  <c r="AP9" i="48" s="1"/>
  <c r="S9" i="48"/>
  <c r="Q21" i="48"/>
  <c r="AL21" i="48"/>
  <c r="AO14" i="49"/>
  <c r="AP14" i="49" s="1"/>
  <c r="T14" i="49"/>
  <c r="P24" i="67"/>
  <c r="AL34" i="67"/>
  <c r="Q34" i="67"/>
  <c r="AM85" i="67"/>
  <c r="R85" i="67"/>
  <c r="P85" i="67"/>
  <c r="AK91" i="67"/>
  <c r="P91" i="67"/>
  <c r="AM118" i="67"/>
  <c r="AK100" i="67"/>
  <c r="P100" i="67"/>
  <c r="Q106" i="67"/>
  <c r="AL122" i="67"/>
  <c r="Q122" i="67"/>
  <c r="AN53" i="48"/>
  <c r="T53" i="48" s="1"/>
  <c r="S64" i="48"/>
  <c r="AN64" i="48"/>
  <c r="R50" i="48"/>
  <c r="AM50" i="48"/>
  <c r="AL17" i="49"/>
  <c r="Q17" i="49"/>
  <c r="P14" i="67"/>
  <c r="R57" i="67"/>
  <c r="AN79" i="67"/>
  <c r="AO79" i="67" s="1"/>
  <c r="AP79" i="67" s="1"/>
  <c r="P50" i="67"/>
  <c r="Q65" i="67"/>
  <c r="AL56" i="67"/>
  <c r="Q56" i="67"/>
  <c r="P67" i="67"/>
  <c r="AK86" i="67"/>
  <c r="P86" i="67"/>
  <c r="AK92" i="67"/>
  <c r="AL92" i="67" s="1"/>
  <c r="P92" i="67"/>
  <c r="P106" i="67"/>
  <c r="P101" i="67"/>
  <c r="AK101" i="67"/>
  <c r="P107" i="67"/>
  <c r="AK107" i="67"/>
  <c r="AK113" i="67"/>
  <c r="P113" i="67"/>
  <c r="AL133" i="67"/>
  <c r="Q133" i="67"/>
  <c r="P48" i="67"/>
  <c r="P71" i="67"/>
  <c r="AK71" i="67"/>
  <c r="AL71" i="67" s="1"/>
  <c r="P88" i="67"/>
  <c r="Q102" i="67"/>
  <c r="P122" i="67"/>
  <c r="Q126" i="67"/>
  <c r="AL130" i="67"/>
  <c r="Q130" i="67"/>
  <c r="S20" i="48"/>
  <c r="AN20" i="48"/>
  <c r="V16" i="49"/>
  <c r="AL31" i="48"/>
  <c r="Q31" i="48"/>
  <c r="R37" i="48"/>
  <c r="AM37" i="48"/>
  <c r="AO25" i="49"/>
  <c r="T25" i="49"/>
  <c r="R64" i="48"/>
  <c r="AN70" i="48"/>
  <c r="AO70" i="48" s="1"/>
  <c r="U70" i="48" s="1"/>
  <c r="S70" i="48"/>
  <c r="AL45" i="49"/>
  <c r="AM45" i="49" s="1"/>
  <c r="Q45" i="49"/>
  <c r="Q51" i="49"/>
  <c r="AL51" i="49"/>
  <c r="R51" i="49" s="1"/>
  <c r="P39" i="67"/>
  <c r="S84" i="67"/>
  <c r="P62" i="67"/>
  <c r="R110" i="67"/>
  <c r="P103" i="67"/>
  <c r="S129" i="67"/>
  <c r="AN129" i="67"/>
  <c r="AO129" i="67" s="1"/>
  <c r="AP129" i="67" s="1"/>
  <c r="T19" i="49"/>
  <c r="AO19" i="49"/>
  <c r="S36" i="49"/>
  <c r="R84" i="67"/>
  <c r="AM110" i="67"/>
  <c r="P58" i="67"/>
  <c r="P63" i="67"/>
  <c r="S132" i="67"/>
  <c r="AK117" i="67"/>
  <c r="P117" i="67"/>
  <c r="P127" i="67"/>
  <c r="AK127" i="67"/>
  <c r="AL127" i="67" s="1"/>
  <c r="R127" i="67" s="1"/>
  <c r="AL131" i="67"/>
  <c r="Q131" i="67"/>
  <c r="Q25" i="48"/>
  <c r="AP27" i="49"/>
  <c r="V27" i="49" s="1"/>
  <c r="U27" i="49"/>
  <c r="AL66" i="48"/>
  <c r="Q66" i="48"/>
  <c r="R35" i="49"/>
  <c r="AM35" i="49"/>
  <c r="S35" i="49" s="1"/>
  <c r="P108" i="67"/>
  <c r="V52" i="48"/>
  <c r="T54" i="48"/>
  <c r="R44" i="48"/>
  <c r="AM44" i="48"/>
  <c r="AL45" i="48"/>
  <c r="Q45" i="48"/>
  <c r="Q51" i="48"/>
  <c r="AL51" i="48"/>
  <c r="AM51" i="48" s="1"/>
  <c r="T27" i="49"/>
  <c r="AL65" i="48"/>
  <c r="Q65" i="48"/>
  <c r="T34" i="49"/>
  <c r="AO34" i="49"/>
  <c r="P104" i="67"/>
  <c r="P119" i="67"/>
  <c r="AN33" i="48"/>
  <c r="T33" i="48" s="1"/>
  <c r="S33" i="48"/>
  <c r="AN32" i="48"/>
  <c r="S32" i="48"/>
  <c r="Q12" i="48"/>
  <c r="AL18" i="48"/>
  <c r="AM18" i="48" s="1"/>
  <c r="Q18" i="48"/>
  <c r="T52" i="48"/>
  <c r="AN26" i="48"/>
  <c r="AO26" i="48" s="1"/>
  <c r="S26" i="48"/>
  <c r="Q38" i="48"/>
  <c r="S55" i="48"/>
  <c r="AL67" i="48"/>
  <c r="Q67" i="48"/>
  <c r="AL9" i="49"/>
  <c r="Q9" i="49"/>
  <c r="AL15" i="49"/>
  <c r="Q15" i="49"/>
  <c r="Q46" i="49"/>
  <c r="AL46" i="49"/>
  <c r="Q52" i="49"/>
  <c r="AL52" i="49"/>
  <c r="AM52" i="49" s="1"/>
  <c r="Q129" i="67"/>
  <c r="R20" i="48"/>
  <c r="AQ18" i="49"/>
  <c r="V18" i="49"/>
  <c r="U16" i="49"/>
  <c r="S71" i="48"/>
  <c r="R34" i="49"/>
  <c r="R52" i="48"/>
  <c r="T16" i="49"/>
  <c r="S19" i="49"/>
  <c r="S44" i="49"/>
  <c r="Q38" i="49"/>
  <c r="AL38" i="49"/>
  <c r="R49" i="49"/>
  <c r="Q34" i="49"/>
  <c r="Q13" i="48"/>
  <c r="R33" i="48"/>
  <c r="R49" i="48"/>
  <c r="AM49" i="48"/>
  <c r="Q46" i="48"/>
  <c r="Q52" i="48"/>
  <c r="U28" i="49"/>
  <c r="Q47" i="48"/>
  <c r="AL47" i="48"/>
  <c r="R47" i="48" s="1"/>
  <c r="Q53" i="48"/>
  <c r="AM62" i="48"/>
  <c r="S62" i="48" s="1"/>
  <c r="R62" i="48"/>
  <c r="S16" i="49"/>
  <c r="AP28" i="49"/>
  <c r="Q28" i="48"/>
  <c r="R48" i="48"/>
  <c r="T28" i="49"/>
  <c r="AN20" i="49"/>
  <c r="S20" i="49"/>
  <c r="R19" i="49"/>
  <c r="AM26" i="49"/>
  <c r="R26" i="49"/>
  <c r="AM59" i="49"/>
  <c r="S59" i="49" s="1"/>
  <c r="R59" i="49"/>
  <c r="R72" i="49"/>
  <c r="S54" i="48"/>
  <c r="R54" i="48"/>
  <c r="AP54" i="49"/>
  <c r="AQ54" i="49" s="1"/>
  <c r="U54" i="49"/>
  <c r="AL60" i="48"/>
  <c r="Q60" i="48"/>
  <c r="Q61" i="48"/>
  <c r="Q12" i="49"/>
  <c r="AL12" i="49"/>
  <c r="AM12" i="49" s="1"/>
  <c r="AN12" i="49" s="1"/>
  <c r="T18" i="49"/>
  <c r="Q32" i="49"/>
  <c r="AL32" i="49"/>
  <c r="R32" i="49" s="1"/>
  <c r="AQ15" i="84"/>
  <c r="V15" i="84"/>
  <c r="Q30" i="48"/>
  <c r="Q54" i="48"/>
  <c r="Q59" i="48"/>
  <c r="Q19" i="49"/>
  <c r="R50" i="49"/>
  <c r="AM50" i="49"/>
  <c r="Q47" i="49"/>
  <c r="AL47" i="49"/>
  <c r="AP67" i="49"/>
  <c r="AQ67" i="49" s="1"/>
  <c r="AR67" i="49" s="1"/>
  <c r="U67" i="49"/>
  <c r="Q55" i="48"/>
  <c r="R20" i="49"/>
  <c r="R25" i="49"/>
  <c r="AM68" i="49"/>
  <c r="S68" i="49" s="1"/>
  <c r="R68" i="49"/>
  <c r="AN10" i="84"/>
  <c r="S10" i="84"/>
  <c r="AL61" i="49"/>
  <c r="Q61" i="49"/>
  <c r="AL8" i="84"/>
  <c r="AM8" i="84" s="1"/>
  <c r="Q8" i="84"/>
  <c r="R10" i="84"/>
  <c r="AL12" i="84"/>
  <c r="AM12" i="84" s="1"/>
  <c r="AN12" i="84" s="1"/>
  <c r="Q12" i="84"/>
  <c r="AM43" i="84"/>
  <c r="R43" i="84"/>
  <c r="AN48" i="84"/>
  <c r="AO48" i="84" s="1"/>
  <c r="S48" i="84"/>
  <c r="AM52" i="84"/>
  <c r="R52" i="84"/>
  <c r="AP54" i="84"/>
  <c r="U54" i="84"/>
  <c r="Q10" i="49"/>
  <c r="AL10" i="49"/>
  <c r="R10" i="49" s="1"/>
  <c r="R48" i="84"/>
  <c r="AN66" i="49"/>
  <c r="S66" i="49"/>
  <c r="AM70" i="49"/>
  <c r="R70" i="49"/>
  <c r="AO9" i="84"/>
  <c r="T9" i="84"/>
  <c r="R14" i="84"/>
  <c r="AM14" i="84"/>
  <c r="AM32" i="84"/>
  <c r="R32" i="84"/>
  <c r="R54" i="49"/>
  <c r="S48" i="49"/>
  <c r="Q26" i="49"/>
  <c r="Q30" i="49"/>
  <c r="Q42" i="49"/>
  <c r="S65" i="49"/>
  <c r="S64" i="49"/>
  <c r="AN11" i="84"/>
  <c r="S11" i="84"/>
  <c r="AN36" i="84"/>
  <c r="S36" i="84"/>
  <c r="U44" i="84"/>
  <c r="AP44" i="84"/>
  <c r="AO49" i="84"/>
  <c r="AP49" i="84" s="1"/>
  <c r="AQ49" i="84" s="1"/>
  <c r="T49" i="84"/>
  <c r="AP53" i="84"/>
  <c r="U53" i="84"/>
  <c r="AQ59" i="84"/>
  <c r="AR59" i="84" s="1"/>
  <c r="V59" i="84"/>
  <c r="R29" i="49"/>
  <c r="R55" i="49"/>
  <c r="R65" i="49"/>
  <c r="AM33" i="84"/>
  <c r="S33" i="84" s="1"/>
  <c r="R33" i="84"/>
  <c r="AQ35" i="84"/>
  <c r="AR35" i="84" s="1"/>
  <c r="V35" i="84"/>
  <c r="U59" i="84"/>
  <c r="Q72" i="84"/>
  <c r="AL72" i="84"/>
  <c r="AM72" i="84" s="1"/>
  <c r="S72" i="84" s="1"/>
  <c r="S67" i="49"/>
  <c r="V62" i="84"/>
  <c r="V47" i="84"/>
  <c r="V19" i="84"/>
  <c r="Q33" i="84"/>
  <c r="V50" i="84"/>
  <c r="U47" i="84"/>
  <c r="S45" i="84"/>
  <c r="S13" i="84"/>
  <c r="U50" i="84"/>
  <c r="AP19" i="14"/>
  <c r="AQ19" i="14" s="1"/>
  <c r="AO9" i="14"/>
  <c r="S9" i="14"/>
  <c r="AN22" i="14"/>
  <c r="R22" i="14"/>
  <c r="R21" i="14"/>
  <c r="AN21" i="14"/>
  <c r="S21" i="14" s="1"/>
  <c r="AO12" i="14"/>
  <c r="S12" i="14"/>
  <c r="S70" i="49"/>
  <c r="AN70" i="49"/>
  <c r="AQ27" i="49"/>
  <c r="AR27" i="49" s="1"/>
  <c r="S129" i="27"/>
  <c r="AN129" i="27"/>
  <c r="AN12" i="67"/>
  <c r="AO12" i="67" s="1"/>
  <c r="AP12" i="67" s="1"/>
  <c r="S12" i="67"/>
  <c r="AO84" i="27"/>
  <c r="AP84" i="27" s="1"/>
  <c r="T84" i="27"/>
  <c r="AN50" i="27"/>
  <c r="AO50" i="27" s="1"/>
  <c r="AP50" i="27" s="1"/>
  <c r="S50" i="27"/>
  <c r="AL128" i="66"/>
  <c r="Q128" i="66"/>
  <c r="AM97" i="66"/>
  <c r="S97" i="66" s="1"/>
  <c r="R97" i="66"/>
  <c r="AO14" i="27"/>
  <c r="AP14" i="27" s="1"/>
  <c r="T14" i="27"/>
  <c r="AM78" i="27"/>
  <c r="AN78" i="27" s="1"/>
  <c r="R78" i="27"/>
  <c r="Q12" i="66"/>
  <c r="AL12" i="66"/>
  <c r="R12" i="66" s="1"/>
  <c r="R15" i="67"/>
  <c r="AM15" i="67"/>
  <c r="AN15" i="67" s="1"/>
  <c r="AP19" i="48"/>
  <c r="U19" i="48"/>
  <c r="AL76" i="27"/>
  <c r="Q76" i="27"/>
  <c r="Q43" i="66"/>
  <c r="AL43" i="66"/>
  <c r="R43" i="66" s="1"/>
  <c r="AL57" i="66"/>
  <c r="AM57" i="66" s="1"/>
  <c r="Q57" i="66"/>
  <c r="AO86" i="27"/>
  <c r="AP86" i="27" s="1"/>
  <c r="R83" i="66"/>
  <c r="AM83" i="66"/>
  <c r="R124" i="14"/>
  <c r="AN124" i="14"/>
  <c r="T95" i="14"/>
  <c r="AP95" i="14"/>
  <c r="AQ95" i="14" s="1"/>
  <c r="AM86" i="14"/>
  <c r="Q86" i="14"/>
  <c r="R129" i="14"/>
  <c r="AN129" i="14"/>
  <c r="R37" i="14"/>
  <c r="AN37" i="14"/>
  <c r="AO37" i="14" s="1"/>
  <c r="AM39" i="14"/>
  <c r="R39" i="14" s="1"/>
  <c r="Q39" i="14"/>
  <c r="AM74" i="14"/>
  <c r="Q74" i="14"/>
  <c r="AN33" i="84"/>
  <c r="AN32" i="84"/>
  <c r="S32" i="84"/>
  <c r="AN52" i="84"/>
  <c r="S52" i="84"/>
  <c r="R8" i="84"/>
  <c r="R133" i="67"/>
  <c r="AM133" i="67"/>
  <c r="AN133" i="67" s="1"/>
  <c r="AO133" i="67" s="1"/>
  <c r="AP133" i="67" s="1"/>
  <c r="T9" i="48"/>
  <c r="S126" i="67"/>
  <c r="AN126" i="67"/>
  <c r="T126" i="67" s="1"/>
  <c r="R66" i="27"/>
  <c r="AM66" i="27"/>
  <c r="AM66" i="67"/>
  <c r="AN66" i="67" s="1"/>
  <c r="R66" i="67"/>
  <c r="R59" i="67"/>
  <c r="AM59" i="67"/>
  <c r="R119" i="67"/>
  <c r="AM119" i="67"/>
  <c r="AN119" i="67" s="1"/>
  <c r="R72" i="84"/>
  <c r="AM10" i="49"/>
  <c r="AN10" i="49" s="1"/>
  <c r="T10" i="49" s="1"/>
  <c r="AN50" i="49"/>
  <c r="S50" i="49"/>
  <c r="AN26" i="49"/>
  <c r="S26" i="49"/>
  <c r="AO20" i="49"/>
  <c r="T20" i="49"/>
  <c r="AN49" i="48"/>
  <c r="S49" i="48"/>
  <c r="AN110" i="67"/>
  <c r="S110" i="67"/>
  <c r="S37" i="48"/>
  <c r="AN37" i="48"/>
  <c r="R17" i="49"/>
  <c r="AM17" i="49"/>
  <c r="AL91" i="67"/>
  <c r="Q91" i="67"/>
  <c r="AM34" i="67"/>
  <c r="R34" i="67"/>
  <c r="R124" i="67"/>
  <c r="AM124" i="67"/>
  <c r="AL23" i="67"/>
  <c r="Q23" i="67"/>
  <c r="AN98" i="27"/>
  <c r="AO98" i="27" s="1"/>
  <c r="AP98" i="27" s="1"/>
  <c r="AL41" i="67"/>
  <c r="R41" i="67" s="1"/>
  <c r="AN108" i="67"/>
  <c r="AO108" i="67" s="1"/>
  <c r="AP108" i="67" s="1"/>
  <c r="Q55" i="27"/>
  <c r="AL55" i="27"/>
  <c r="AL21" i="67"/>
  <c r="Q21" i="67"/>
  <c r="AO109" i="27"/>
  <c r="AP109" i="27" s="1"/>
  <c r="T109" i="27"/>
  <c r="R24" i="27"/>
  <c r="AM24" i="27"/>
  <c r="S65" i="67"/>
  <c r="AN65" i="67"/>
  <c r="AL123" i="27"/>
  <c r="Q123" i="27"/>
  <c r="S14" i="67"/>
  <c r="AL119" i="66"/>
  <c r="Q119" i="66"/>
  <c r="S105" i="66"/>
  <c r="AN105" i="66"/>
  <c r="AM88" i="67"/>
  <c r="S88" i="67" s="1"/>
  <c r="AL26" i="67"/>
  <c r="Q26" i="67"/>
  <c r="Q42" i="27"/>
  <c r="AL42" i="27"/>
  <c r="AM55" i="14"/>
  <c r="Q55" i="14"/>
  <c r="Q99" i="66"/>
  <c r="AL99" i="66"/>
  <c r="R99" i="66" s="1"/>
  <c r="AL42" i="66"/>
  <c r="R42" i="66" s="1"/>
  <c r="Q42" i="66"/>
  <c r="R77" i="27"/>
  <c r="Q15" i="66"/>
  <c r="AL15" i="66"/>
  <c r="R15" i="66" s="1"/>
  <c r="AP127" i="14"/>
  <c r="T127" i="14"/>
  <c r="R52" i="66"/>
  <c r="AM52" i="66"/>
  <c r="AM30" i="14"/>
  <c r="Q30" i="14"/>
  <c r="T102" i="14"/>
  <c r="AP102" i="14"/>
  <c r="AP9" i="84"/>
  <c r="AQ9" i="84" s="1"/>
  <c r="U9" i="84"/>
  <c r="R38" i="49"/>
  <c r="AM38" i="49"/>
  <c r="R18" i="48"/>
  <c r="R51" i="48"/>
  <c r="U25" i="49"/>
  <c r="AP25" i="49"/>
  <c r="AL111" i="67"/>
  <c r="AM111" i="67" s="1"/>
  <c r="Q111" i="67"/>
  <c r="AO36" i="84"/>
  <c r="T36" i="84"/>
  <c r="V67" i="49"/>
  <c r="AQ28" i="49"/>
  <c r="V28" i="49"/>
  <c r="R9" i="49"/>
  <c r="AM9" i="49"/>
  <c r="AM66" i="48"/>
  <c r="R66" i="48"/>
  <c r="T20" i="48"/>
  <c r="AO20" i="48"/>
  <c r="Q113" i="67"/>
  <c r="AL113" i="67"/>
  <c r="S50" i="48"/>
  <c r="AN50" i="48"/>
  <c r="T50" i="48" s="1"/>
  <c r="AL100" i="67"/>
  <c r="Q100" i="67"/>
  <c r="AO102" i="67"/>
  <c r="AP102" i="67" s="1"/>
  <c r="T102" i="67"/>
  <c r="AL18" i="27"/>
  <c r="AM93" i="27"/>
  <c r="R93" i="27"/>
  <c r="Q36" i="67"/>
  <c r="AL36" i="67"/>
  <c r="AP121" i="27"/>
  <c r="S47" i="27"/>
  <c r="AN47" i="27"/>
  <c r="T47" i="27" s="1"/>
  <c r="S107" i="66"/>
  <c r="AM133" i="27"/>
  <c r="R133" i="27"/>
  <c r="AN112" i="27"/>
  <c r="S112" i="27"/>
  <c r="Q44" i="27"/>
  <c r="AL44" i="27"/>
  <c r="Q25" i="27"/>
  <c r="AL25" i="27"/>
  <c r="AM25" i="27" s="1"/>
  <c r="AL125" i="66"/>
  <c r="Q125" i="66"/>
  <c r="AL117" i="66"/>
  <c r="R117" i="66" s="1"/>
  <c r="Q117" i="66"/>
  <c r="R93" i="66"/>
  <c r="AM93" i="66"/>
  <c r="AN93" i="66" s="1"/>
  <c r="T112" i="67"/>
  <c r="AL103" i="27"/>
  <c r="R103" i="27" s="1"/>
  <c r="Q103" i="27"/>
  <c r="Q127" i="66"/>
  <c r="AL127" i="66"/>
  <c r="Q103" i="66"/>
  <c r="AL103" i="66"/>
  <c r="AM103" i="66" s="1"/>
  <c r="R128" i="27"/>
  <c r="AN13" i="27"/>
  <c r="T13" i="27" s="1"/>
  <c r="AL21" i="66"/>
  <c r="AM21" i="66" s="1"/>
  <c r="Q21" i="66"/>
  <c r="AP124" i="27"/>
  <c r="S80" i="66"/>
  <c r="AN80" i="66"/>
  <c r="Q71" i="14"/>
  <c r="AM71" i="14"/>
  <c r="R71" i="14" s="1"/>
  <c r="R125" i="14"/>
  <c r="AM31" i="66"/>
  <c r="S31" i="66" s="1"/>
  <c r="R31" i="66"/>
  <c r="AN113" i="14"/>
  <c r="R113" i="14"/>
  <c r="Q54" i="14"/>
  <c r="AM54" i="14"/>
  <c r="R16" i="66"/>
  <c r="AM16" i="66"/>
  <c r="AN16" i="66" s="1"/>
  <c r="T16" i="66" s="1"/>
  <c r="AN34" i="14"/>
  <c r="R34" i="14"/>
  <c r="AM51" i="14"/>
  <c r="R51" i="14" s="1"/>
  <c r="AN62" i="14"/>
  <c r="R62" i="14"/>
  <c r="AO87" i="14"/>
  <c r="T87" i="14" s="1"/>
  <c r="S87" i="14"/>
  <c r="AM32" i="49"/>
  <c r="AM15" i="49"/>
  <c r="S15" i="49" s="1"/>
  <c r="R15" i="49"/>
  <c r="AO53" i="48"/>
  <c r="AP53" i="48" s="1"/>
  <c r="AQ53" i="84"/>
  <c r="AR53" i="84" s="1"/>
  <c r="V53" i="84"/>
  <c r="AO11" i="84"/>
  <c r="T11" i="84"/>
  <c r="AO66" i="49"/>
  <c r="AP66" i="49" s="1"/>
  <c r="T66" i="49"/>
  <c r="AM61" i="49"/>
  <c r="S61" i="49" s="1"/>
  <c r="R61" i="49"/>
  <c r="AN14" i="84"/>
  <c r="S14" i="84"/>
  <c r="AM46" i="49"/>
  <c r="R46" i="49"/>
  <c r="AM65" i="48"/>
  <c r="R65" i="48"/>
  <c r="AM45" i="48"/>
  <c r="R45" i="48"/>
  <c r="AL117" i="67"/>
  <c r="AM117" i="67" s="1"/>
  <c r="S117" i="67" s="1"/>
  <c r="Q117" i="67"/>
  <c r="AL107" i="67"/>
  <c r="Q107" i="67"/>
  <c r="Q86" i="67"/>
  <c r="AL86" i="67"/>
  <c r="Q127" i="27"/>
  <c r="AL127" i="27"/>
  <c r="AM127" i="27" s="1"/>
  <c r="AL51" i="27"/>
  <c r="R51" i="27" s="1"/>
  <c r="Q51" i="27"/>
  <c r="AM90" i="27"/>
  <c r="R90" i="27"/>
  <c r="Q70" i="27"/>
  <c r="AL70" i="27"/>
  <c r="Q96" i="66"/>
  <c r="S44" i="67"/>
  <c r="AM81" i="27"/>
  <c r="R81" i="27"/>
  <c r="AO92" i="27"/>
  <c r="T92" i="27"/>
  <c r="AM91" i="66"/>
  <c r="AN91" i="66" s="1"/>
  <c r="R91" i="66"/>
  <c r="AM64" i="27"/>
  <c r="R64" i="27"/>
  <c r="T101" i="66"/>
  <c r="AO101" i="66"/>
  <c r="AP101" i="66" s="1"/>
  <c r="Q73" i="66"/>
  <c r="AL73" i="66"/>
  <c r="AP40" i="67"/>
  <c r="Q124" i="66"/>
  <c r="AL124" i="66"/>
  <c r="AM124" i="66" s="1"/>
  <c r="AL116" i="66"/>
  <c r="R116" i="66" s="1"/>
  <c r="Q116" i="66"/>
  <c r="Q54" i="66"/>
  <c r="AL54" i="66"/>
  <c r="AL18" i="66"/>
  <c r="R18" i="66" s="1"/>
  <c r="Q18" i="66"/>
  <c r="T104" i="27"/>
  <c r="AO104" i="27"/>
  <c r="AL43" i="27"/>
  <c r="AM43" i="27" s="1"/>
  <c r="Q43" i="27"/>
  <c r="AN106" i="67"/>
  <c r="S106" i="67"/>
  <c r="R46" i="27"/>
  <c r="AM46" i="27"/>
  <c r="AM87" i="66"/>
  <c r="AN87" i="66" s="1"/>
  <c r="R87" i="66"/>
  <c r="R11" i="66"/>
  <c r="AM11" i="66"/>
  <c r="R96" i="14"/>
  <c r="AN96" i="14"/>
  <c r="AO121" i="14"/>
  <c r="S121" i="14"/>
  <c r="AM93" i="14"/>
  <c r="Q93" i="14"/>
  <c r="AO44" i="14"/>
  <c r="S44" i="14"/>
  <c r="R37" i="66"/>
  <c r="AM37" i="66"/>
  <c r="AQ60" i="14"/>
  <c r="AN120" i="14"/>
  <c r="R120" i="14"/>
  <c r="AO29" i="14"/>
  <c r="S29" i="14"/>
  <c r="AM23" i="14"/>
  <c r="AN23" i="14" s="1"/>
  <c r="Q23" i="14"/>
  <c r="AQ54" i="84"/>
  <c r="V54" i="84"/>
  <c r="AR15" i="84"/>
  <c r="U34" i="49"/>
  <c r="AP34" i="49"/>
  <c r="V34" i="49" s="1"/>
  <c r="Q120" i="67"/>
  <c r="AL120" i="67"/>
  <c r="R34" i="27"/>
  <c r="AM34" i="27"/>
  <c r="R69" i="67"/>
  <c r="R131" i="27"/>
  <c r="AL64" i="67"/>
  <c r="AM64" i="67" s="1"/>
  <c r="Q64" i="67"/>
  <c r="AP106" i="27"/>
  <c r="AM114" i="27"/>
  <c r="R114" i="27"/>
  <c r="AO41" i="27"/>
  <c r="T41" i="27"/>
  <c r="AL122" i="66"/>
  <c r="AM122" i="66" s="1"/>
  <c r="Q79" i="66"/>
  <c r="AL79" i="66"/>
  <c r="AM79" i="66" s="1"/>
  <c r="AL35" i="66"/>
  <c r="R35" i="66" s="1"/>
  <c r="Q35" i="66"/>
  <c r="R49" i="67"/>
  <c r="AM49" i="67"/>
  <c r="AL135" i="27"/>
  <c r="AM135" i="27" s="1"/>
  <c r="Q135" i="27"/>
  <c r="AM15" i="27"/>
  <c r="S15" i="27" s="1"/>
  <c r="R15" i="27"/>
  <c r="AM97" i="27"/>
  <c r="R97" i="27"/>
  <c r="T114" i="66"/>
  <c r="AO114" i="66"/>
  <c r="AR48" i="48"/>
  <c r="AP110" i="27"/>
  <c r="AN100" i="27"/>
  <c r="AO100" i="27" s="1"/>
  <c r="AP100" i="27" s="1"/>
  <c r="S100" i="27"/>
  <c r="Q118" i="66"/>
  <c r="AL118" i="66"/>
  <c r="AL51" i="66"/>
  <c r="Q51" i="66"/>
  <c r="Q36" i="66"/>
  <c r="AL68" i="27"/>
  <c r="R68" i="27" s="1"/>
  <c r="Q68" i="27"/>
  <c r="AN23" i="66"/>
  <c r="S23" i="66"/>
  <c r="AO118" i="27"/>
  <c r="T118" i="27"/>
  <c r="AO89" i="27"/>
  <c r="AP89" i="27" s="1"/>
  <c r="T89" i="27"/>
  <c r="AN44" i="66"/>
  <c r="S44" i="66"/>
  <c r="AM73" i="14"/>
  <c r="Q73" i="14"/>
  <c r="R67" i="14"/>
  <c r="AN67" i="14"/>
  <c r="S67" i="14" s="1"/>
  <c r="AM33" i="14"/>
  <c r="Q33" i="14"/>
  <c r="AM45" i="14"/>
  <c r="Q45" i="14"/>
  <c r="AM64" i="14"/>
  <c r="AN64" i="14" s="1"/>
  <c r="S64" i="14" s="1"/>
  <c r="Q64" i="14"/>
  <c r="AN43" i="84"/>
  <c r="T43" i="84" s="1"/>
  <c r="S43" i="84"/>
  <c r="R12" i="49"/>
  <c r="AM60" i="48"/>
  <c r="R60" i="48"/>
  <c r="AO32" i="48"/>
  <c r="T32" i="48"/>
  <c r="U19" i="49"/>
  <c r="AP19" i="49"/>
  <c r="AO64" i="48"/>
  <c r="AP64" i="48" s="1"/>
  <c r="T64" i="48"/>
  <c r="AR65" i="49"/>
  <c r="AN82" i="67"/>
  <c r="T82" i="67" s="1"/>
  <c r="S82" i="67"/>
  <c r="AM33" i="67"/>
  <c r="AM82" i="66"/>
  <c r="R82" i="66"/>
  <c r="AN81" i="67"/>
  <c r="S81" i="67"/>
  <c r="AL80" i="27"/>
  <c r="Q80" i="27"/>
  <c r="T61" i="27"/>
  <c r="AO61" i="27"/>
  <c r="AP61" i="27" s="1"/>
  <c r="AQ44" i="84"/>
  <c r="V44" i="84"/>
  <c r="AO10" i="84"/>
  <c r="AP10" i="84" s="1"/>
  <c r="V10" i="84" s="1"/>
  <c r="T10" i="84"/>
  <c r="AR18" i="49"/>
  <c r="AN35" i="49"/>
  <c r="R131" i="67"/>
  <c r="AM131" i="67"/>
  <c r="R130" i="67"/>
  <c r="AM130" i="67"/>
  <c r="AL101" i="67"/>
  <c r="R101" i="67" s="1"/>
  <c r="Q101" i="67"/>
  <c r="AM122" i="67"/>
  <c r="R122" i="67"/>
  <c r="AN118" i="67"/>
  <c r="T118" i="67" s="1"/>
  <c r="S118" i="67"/>
  <c r="AM76" i="67"/>
  <c r="R76" i="67"/>
  <c r="AM67" i="67"/>
  <c r="AN67" i="67" s="1"/>
  <c r="R67" i="67"/>
  <c r="R50" i="67"/>
  <c r="AL20" i="27"/>
  <c r="AM20" i="27" s="1"/>
  <c r="Q20" i="27"/>
  <c r="AL125" i="27"/>
  <c r="Q125" i="27"/>
  <c r="AO132" i="27"/>
  <c r="T132" i="27"/>
  <c r="AM49" i="27"/>
  <c r="R49" i="27"/>
  <c r="AL30" i="27"/>
  <c r="R30" i="27" s="1"/>
  <c r="Q30" i="27"/>
  <c r="AN87" i="27"/>
  <c r="AO87" i="27" s="1"/>
  <c r="AP87" i="27" s="1"/>
  <c r="S87" i="27"/>
  <c r="R69" i="27"/>
  <c r="AP97" i="67"/>
  <c r="S108" i="66"/>
  <c r="AN108" i="66"/>
  <c r="T108" i="66" s="1"/>
  <c r="AL122" i="27"/>
  <c r="Q122" i="27"/>
  <c r="Q59" i="27"/>
  <c r="AL59" i="27"/>
  <c r="R59" i="27" s="1"/>
  <c r="Q60" i="66"/>
  <c r="AL60" i="66"/>
  <c r="R60" i="66" s="1"/>
  <c r="AM111" i="27"/>
  <c r="R111" i="27"/>
  <c r="S101" i="27"/>
  <c r="AL42" i="67"/>
  <c r="Q42" i="67"/>
  <c r="AL113" i="66"/>
  <c r="Q113" i="66"/>
  <c r="AL74" i="66"/>
  <c r="Q74" i="66"/>
  <c r="R76" i="14"/>
  <c r="AN76" i="14"/>
  <c r="S76" i="14" s="1"/>
  <c r="AM123" i="66"/>
  <c r="S123" i="66" s="1"/>
  <c r="R123" i="66"/>
  <c r="Q100" i="66"/>
  <c r="AL100" i="66"/>
  <c r="AM100" i="66" s="1"/>
  <c r="Q50" i="14"/>
  <c r="AN106" i="14"/>
  <c r="AO106" i="14" s="1"/>
  <c r="R130" i="14"/>
  <c r="AN130" i="14"/>
  <c r="S130" i="14" s="1"/>
  <c r="AL30" i="66"/>
  <c r="Q30" i="66"/>
  <c r="S58" i="14"/>
  <c r="AO58" i="14"/>
  <c r="T58" i="14" s="1"/>
  <c r="AQ32" i="14"/>
  <c r="AP114" i="14"/>
  <c r="T114" i="14"/>
  <c r="AQ36" i="14"/>
  <c r="AO22" i="14"/>
  <c r="T22" i="14" s="1"/>
  <c r="S22" i="14"/>
  <c r="T12" i="14"/>
  <c r="AP12" i="14"/>
  <c r="AQ12" i="14" s="1"/>
  <c r="T9" i="14"/>
  <c r="AP9" i="14"/>
  <c r="AQ9" i="14" s="1"/>
  <c r="S37" i="66"/>
  <c r="AN37" i="66"/>
  <c r="T37" i="66" s="1"/>
  <c r="AM73" i="66"/>
  <c r="S73" i="66" s="1"/>
  <c r="R73" i="66"/>
  <c r="AN71" i="14"/>
  <c r="T80" i="66"/>
  <c r="AO80" i="66"/>
  <c r="AP20" i="48"/>
  <c r="U20" i="48"/>
  <c r="AQ25" i="49"/>
  <c r="V25" i="49"/>
  <c r="S52" i="66"/>
  <c r="AN52" i="66"/>
  <c r="AN24" i="27"/>
  <c r="S24" i="27"/>
  <c r="R55" i="27"/>
  <c r="AM55" i="27"/>
  <c r="T37" i="48"/>
  <c r="AO37" i="48"/>
  <c r="S119" i="67"/>
  <c r="AN66" i="27"/>
  <c r="S66" i="27"/>
  <c r="S133" i="67"/>
  <c r="S37" i="14"/>
  <c r="S83" i="66"/>
  <c r="AN83" i="66"/>
  <c r="AO129" i="27"/>
  <c r="T129" i="27"/>
  <c r="AO70" i="49"/>
  <c r="T70" i="49"/>
  <c r="AP114" i="66"/>
  <c r="AM51" i="66"/>
  <c r="S51" i="66" s="1"/>
  <c r="R51" i="66"/>
  <c r="AP121" i="14"/>
  <c r="AQ121" i="14" s="1"/>
  <c r="T121" i="14"/>
  <c r="R125" i="66"/>
  <c r="AM125" i="66"/>
  <c r="S125" i="66" s="1"/>
  <c r="AO112" i="27"/>
  <c r="T112" i="27"/>
  <c r="AP36" i="84"/>
  <c r="AQ36" i="84" s="1"/>
  <c r="AR36" i="84" s="1"/>
  <c r="U36" i="84"/>
  <c r="AR54" i="49"/>
  <c r="V9" i="84"/>
  <c r="AM42" i="66"/>
  <c r="AM26" i="67"/>
  <c r="R26" i="67"/>
  <c r="R119" i="66"/>
  <c r="AM119" i="66"/>
  <c r="S119" i="66" s="1"/>
  <c r="AM41" i="67"/>
  <c r="AM91" i="67"/>
  <c r="R91" i="67"/>
  <c r="AN72" i="84"/>
  <c r="AO32" i="84"/>
  <c r="T32" i="84"/>
  <c r="AQ19" i="48"/>
  <c r="AR19" i="48" s="1"/>
  <c r="V19" i="48"/>
  <c r="AN60" i="48"/>
  <c r="S60" i="48"/>
  <c r="AO120" i="14"/>
  <c r="AP120" i="14" s="1"/>
  <c r="AQ120" i="14" s="1"/>
  <c r="S120" i="14"/>
  <c r="AM116" i="66"/>
  <c r="S116" i="66" s="1"/>
  <c r="AP92" i="27"/>
  <c r="S90" i="27"/>
  <c r="AN90" i="27"/>
  <c r="AO90" i="27" s="1"/>
  <c r="AP90" i="27" s="1"/>
  <c r="AM107" i="67"/>
  <c r="R107" i="67"/>
  <c r="S65" i="48"/>
  <c r="AN65" i="48"/>
  <c r="AN61" i="49"/>
  <c r="AO61" i="49" s="1"/>
  <c r="AN93" i="27"/>
  <c r="S93" i="27"/>
  <c r="AP58" i="14"/>
  <c r="AO130" i="14"/>
  <c r="R50" i="14"/>
  <c r="AN130" i="67"/>
  <c r="S130" i="67"/>
  <c r="AN131" i="67"/>
  <c r="T131" i="67" s="1"/>
  <c r="S131" i="67"/>
  <c r="V19" i="49"/>
  <c r="AQ19" i="49"/>
  <c r="R118" i="66"/>
  <c r="AM118" i="66"/>
  <c r="AN34" i="27"/>
  <c r="S34" i="27"/>
  <c r="AO96" i="14"/>
  <c r="T96" i="14" s="1"/>
  <c r="S96" i="14"/>
  <c r="R124" i="66"/>
  <c r="AM86" i="67"/>
  <c r="AN86" i="67" s="1"/>
  <c r="R86" i="67"/>
  <c r="S93" i="66"/>
  <c r="AM36" i="67"/>
  <c r="R36" i="67"/>
  <c r="AM113" i="67"/>
  <c r="R113" i="67"/>
  <c r="AQ102" i="14"/>
  <c r="AN17" i="49"/>
  <c r="S17" i="49"/>
  <c r="AN59" i="67"/>
  <c r="S59" i="67"/>
  <c r="AM43" i="66"/>
  <c r="R100" i="66"/>
  <c r="S49" i="67"/>
  <c r="AN49" i="67"/>
  <c r="T49" i="67" s="1"/>
  <c r="S49" i="27"/>
  <c r="AN49" i="27"/>
  <c r="AN122" i="67"/>
  <c r="S122" i="67"/>
  <c r="AO82" i="67"/>
  <c r="U32" i="48"/>
  <c r="AP32" i="48"/>
  <c r="AP118" i="27"/>
  <c r="AM30" i="66"/>
  <c r="R30" i="66"/>
  <c r="AN123" i="66"/>
  <c r="T123" i="66" s="1"/>
  <c r="R113" i="66"/>
  <c r="AM113" i="66"/>
  <c r="AP132" i="27"/>
  <c r="AM101" i="67"/>
  <c r="AN82" i="66"/>
  <c r="S82" i="66"/>
  <c r="U64" i="48"/>
  <c r="AN45" i="14"/>
  <c r="S45" i="14" s="1"/>
  <c r="R45" i="14"/>
  <c r="T100" i="27"/>
  <c r="AP41" i="27"/>
  <c r="AN131" i="27"/>
  <c r="AR54" i="84"/>
  <c r="T29" i="14"/>
  <c r="AP29" i="14"/>
  <c r="AP44" i="14"/>
  <c r="T44" i="14"/>
  <c r="S87" i="66"/>
  <c r="S91" i="66"/>
  <c r="AO14" i="84"/>
  <c r="T14" i="84"/>
  <c r="AP87" i="14"/>
  <c r="AQ87" i="14" s="1"/>
  <c r="AO34" i="14"/>
  <c r="S34" i="14"/>
  <c r="R21" i="66"/>
  <c r="AM103" i="27"/>
  <c r="AN133" i="27"/>
  <c r="S133" i="27"/>
  <c r="AM18" i="27"/>
  <c r="R18" i="27"/>
  <c r="AM100" i="67"/>
  <c r="R100" i="67"/>
  <c r="AR28" i="49"/>
  <c r="AM123" i="27"/>
  <c r="S123" i="27" s="1"/>
  <c r="R123" i="27"/>
  <c r="R23" i="67"/>
  <c r="AM23" i="67"/>
  <c r="S23" i="67" s="1"/>
  <c r="AN34" i="67"/>
  <c r="S34" i="67"/>
  <c r="AP20" i="49"/>
  <c r="U20" i="49"/>
  <c r="AO50" i="49"/>
  <c r="T50" i="49"/>
  <c r="AN8" i="84"/>
  <c r="T8" i="84" s="1"/>
  <c r="S8" i="84"/>
  <c r="AN39" i="14"/>
  <c r="S39" i="14" s="1"/>
  <c r="AN86" i="14"/>
  <c r="R86" i="14"/>
  <c r="AM128" i="66"/>
  <c r="R128" i="66"/>
  <c r="AO67" i="14"/>
  <c r="T67" i="14" s="1"/>
  <c r="AO81" i="67"/>
  <c r="T81" i="67"/>
  <c r="S106" i="14"/>
  <c r="AO76" i="14"/>
  <c r="T76" i="14" s="1"/>
  <c r="AO101" i="27"/>
  <c r="T101" i="27"/>
  <c r="T35" i="49"/>
  <c r="AO35" i="49"/>
  <c r="R36" i="66"/>
  <c r="AM36" i="66"/>
  <c r="AN36" i="66" s="1"/>
  <c r="R120" i="67"/>
  <c r="AM120" i="67"/>
  <c r="AQ34" i="49"/>
  <c r="AR34" i="49" s="1"/>
  <c r="S11" i="66"/>
  <c r="AN11" i="66"/>
  <c r="AN46" i="27"/>
  <c r="AO46" i="27" s="1"/>
  <c r="AP46" i="27" s="1"/>
  <c r="S46" i="27"/>
  <c r="AP104" i="27"/>
  <c r="AM54" i="66"/>
  <c r="S54" i="66" s="1"/>
  <c r="R54" i="66"/>
  <c r="AN32" i="49"/>
  <c r="AO32" i="49" s="1"/>
  <c r="AP32" i="49" s="1"/>
  <c r="S32" i="49"/>
  <c r="R54" i="14"/>
  <c r="AN54" i="14"/>
  <c r="AO13" i="27"/>
  <c r="AP13" i="27" s="1"/>
  <c r="R127" i="66"/>
  <c r="AM127" i="66"/>
  <c r="AN127" i="66" s="1"/>
  <c r="R44" i="27"/>
  <c r="AM44" i="27"/>
  <c r="AN44" i="27" s="1"/>
  <c r="AO50" i="48"/>
  <c r="S9" i="49"/>
  <c r="AN9" i="49"/>
  <c r="T9" i="49" s="1"/>
  <c r="S38" i="49"/>
  <c r="AN38" i="49"/>
  <c r="AM42" i="27"/>
  <c r="AN42" i="27" s="1"/>
  <c r="R42" i="27"/>
  <c r="T105" i="66"/>
  <c r="AO105" i="66"/>
  <c r="AP105" i="66" s="1"/>
  <c r="AO65" i="67"/>
  <c r="T65" i="67"/>
  <c r="S124" i="67"/>
  <c r="AN124" i="67"/>
  <c r="U9" i="48"/>
  <c r="AO129" i="14"/>
  <c r="S129" i="14"/>
  <c r="AO124" i="14"/>
  <c r="S124" i="14"/>
  <c r="AM74" i="66"/>
  <c r="R74" i="66"/>
  <c r="AN111" i="27"/>
  <c r="S111" i="27"/>
  <c r="AO43" i="84"/>
  <c r="AQ114" i="14"/>
  <c r="AM42" i="67"/>
  <c r="AN42" i="67" s="1"/>
  <c r="AO42" i="67" s="1"/>
  <c r="AP42" i="67" s="1"/>
  <c r="R42" i="67"/>
  <c r="AM122" i="27"/>
  <c r="AN122" i="27" s="1"/>
  <c r="R122" i="27"/>
  <c r="R125" i="27"/>
  <c r="AM125" i="27"/>
  <c r="S67" i="67"/>
  <c r="AR44" i="84"/>
  <c r="AM80" i="27"/>
  <c r="R80" i="27"/>
  <c r="AN33" i="14"/>
  <c r="R33" i="14"/>
  <c r="AN73" i="14"/>
  <c r="R73" i="14"/>
  <c r="T44" i="66"/>
  <c r="AO44" i="66"/>
  <c r="AP44" i="66" s="1"/>
  <c r="AO23" i="66"/>
  <c r="T23" i="66"/>
  <c r="AN97" i="27"/>
  <c r="S97" i="27"/>
  <c r="R135" i="27"/>
  <c r="AN114" i="27"/>
  <c r="S114" i="27"/>
  <c r="AN93" i="14"/>
  <c r="R93" i="14"/>
  <c r="AO106" i="67"/>
  <c r="T106" i="67"/>
  <c r="AN64" i="27"/>
  <c r="AO64" i="27" s="1"/>
  <c r="AP64" i="27" s="1"/>
  <c r="S64" i="27"/>
  <c r="AN81" i="27"/>
  <c r="S81" i="27"/>
  <c r="R96" i="66"/>
  <c r="AM96" i="66"/>
  <c r="S96" i="66" s="1"/>
  <c r="AP70" i="48"/>
  <c r="AQ70" i="48" s="1"/>
  <c r="AR70" i="48" s="1"/>
  <c r="S45" i="48"/>
  <c r="AN45" i="48"/>
  <c r="AO45" i="48" s="1"/>
  <c r="AN46" i="49"/>
  <c r="S46" i="49"/>
  <c r="AP11" i="84"/>
  <c r="AQ11" i="84" s="1"/>
  <c r="AR11" i="84" s="1"/>
  <c r="U11" i="84"/>
  <c r="AN15" i="49"/>
  <c r="T15" i="49" s="1"/>
  <c r="AO62" i="14"/>
  <c r="T62" i="14" s="1"/>
  <c r="S62" i="14"/>
  <c r="AN31" i="66"/>
  <c r="T31" i="66" s="1"/>
  <c r="S66" i="48"/>
  <c r="AN66" i="48"/>
  <c r="R30" i="14"/>
  <c r="AN30" i="14"/>
  <c r="AQ127" i="14"/>
  <c r="AM21" i="67"/>
  <c r="R21" i="67"/>
  <c r="T110" i="67"/>
  <c r="AO110" i="67"/>
  <c r="S52" i="49"/>
  <c r="AN52" i="49"/>
  <c r="T49" i="48"/>
  <c r="AO49" i="48"/>
  <c r="T26" i="49"/>
  <c r="AO26" i="49"/>
  <c r="AO52" i="84"/>
  <c r="T52" i="84"/>
  <c r="AO33" i="84"/>
  <c r="T33" i="84"/>
  <c r="R74" i="14"/>
  <c r="AN74" i="14"/>
  <c r="S74" i="14" s="1"/>
  <c r="AM76" i="27"/>
  <c r="R76" i="27"/>
  <c r="AP62" i="14"/>
  <c r="AO46" i="49"/>
  <c r="AP46" i="49" s="1"/>
  <c r="T46" i="49"/>
  <c r="AO81" i="27"/>
  <c r="T81" i="27"/>
  <c r="AO97" i="27"/>
  <c r="AP97" i="27" s="1"/>
  <c r="T97" i="27"/>
  <c r="AP23" i="66"/>
  <c r="S73" i="14"/>
  <c r="AO73" i="14"/>
  <c r="S74" i="66"/>
  <c r="AN74" i="66"/>
  <c r="T74" i="66" s="1"/>
  <c r="AP101" i="27"/>
  <c r="AO52" i="49"/>
  <c r="T52" i="49"/>
  <c r="T66" i="48"/>
  <c r="AO66" i="48"/>
  <c r="AO124" i="67"/>
  <c r="T124" i="67"/>
  <c r="AO38" i="49"/>
  <c r="U38" i="49" s="1"/>
  <c r="T38" i="49"/>
  <c r="AO9" i="49"/>
  <c r="AP9" i="49" s="1"/>
  <c r="V9" i="49" s="1"/>
  <c r="S44" i="27"/>
  <c r="AN127" i="27"/>
  <c r="S127" i="27"/>
  <c r="AP35" i="49"/>
  <c r="AQ35" i="49" s="1"/>
  <c r="AR35" i="49" s="1"/>
  <c r="U35" i="49"/>
  <c r="AN23" i="67"/>
  <c r="AO49" i="67"/>
  <c r="AP49" i="67" s="1"/>
  <c r="AO93" i="66"/>
  <c r="AP93" i="66" s="1"/>
  <c r="T93" i="66"/>
  <c r="AR19" i="49"/>
  <c r="T130" i="14"/>
  <c r="AP130" i="14"/>
  <c r="AQ130" i="14" s="1"/>
  <c r="AP37" i="48"/>
  <c r="U37" i="48"/>
  <c r="AO16" i="66"/>
  <c r="AP16" i="66" s="1"/>
  <c r="S42" i="67"/>
  <c r="AP81" i="67"/>
  <c r="AP67" i="14"/>
  <c r="AQ67" i="14" s="1"/>
  <c r="S18" i="27"/>
  <c r="AN18" i="27"/>
  <c r="AN103" i="27"/>
  <c r="AO103" i="27" s="1"/>
  <c r="AP103" i="27" s="1"/>
  <c r="S103" i="27"/>
  <c r="U14" i="84"/>
  <c r="AP14" i="84"/>
  <c r="AO122" i="67"/>
  <c r="T122" i="67"/>
  <c r="AO59" i="67"/>
  <c r="T59" i="67"/>
  <c r="AO12" i="84"/>
  <c r="T12" i="84"/>
  <c r="AN107" i="67"/>
  <c r="AO107" i="67" s="1"/>
  <c r="S107" i="67"/>
  <c r="AN91" i="67"/>
  <c r="AO91" i="67" s="1"/>
  <c r="AP91" i="67" s="1"/>
  <c r="S91" i="67"/>
  <c r="AN26" i="67"/>
  <c r="S26" i="67"/>
  <c r="AO128" i="27"/>
  <c r="AP128" i="27" s="1"/>
  <c r="T128" i="27"/>
  <c r="AN87" i="67"/>
  <c r="AO87" i="67" s="1"/>
  <c r="AP87" i="67" s="1"/>
  <c r="AP129" i="27"/>
  <c r="AO119" i="67"/>
  <c r="T119" i="67"/>
  <c r="AR25" i="49"/>
  <c r="V20" i="48"/>
  <c r="AQ20" i="48"/>
  <c r="AN73" i="66"/>
  <c r="T64" i="27"/>
  <c r="AO33" i="14"/>
  <c r="S33" i="14"/>
  <c r="AP110" i="67"/>
  <c r="S125" i="27"/>
  <c r="AN125" i="27"/>
  <c r="AO54" i="14"/>
  <c r="S54" i="14"/>
  <c r="AO131" i="27"/>
  <c r="T131" i="27"/>
  <c r="V64" i="48"/>
  <c r="AQ64" i="48"/>
  <c r="AN20" i="27"/>
  <c r="AO20" i="27" s="1"/>
  <c r="AP20" i="27" s="1"/>
  <c r="S20" i="27"/>
  <c r="AQ32" i="48"/>
  <c r="V32" i="48"/>
  <c r="AO49" i="27"/>
  <c r="T49" i="27"/>
  <c r="AN100" i="66"/>
  <c r="S100" i="66"/>
  <c r="AN124" i="66"/>
  <c r="S124" i="66"/>
  <c r="AN118" i="66"/>
  <c r="S118" i="66"/>
  <c r="AQ58" i="14"/>
  <c r="AN119" i="66"/>
  <c r="AO119" i="66" s="1"/>
  <c r="AP119" i="66" s="1"/>
  <c r="T52" i="66"/>
  <c r="AO52" i="66"/>
  <c r="AP80" i="66"/>
  <c r="AP33" i="84"/>
  <c r="AQ33" i="84" s="1"/>
  <c r="AR33" i="84" s="1"/>
  <c r="U33" i="84"/>
  <c r="AO93" i="14"/>
  <c r="S93" i="14"/>
  <c r="U26" i="49"/>
  <c r="AP26" i="49"/>
  <c r="V26" i="49" s="1"/>
  <c r="AP106" i="67"/>
  <c r="AN80" i="27"/>
  <c r="S80" i="27"/>
  <c r="S122" i="27"/>
  <c r="AO111" i="27"/>
  <c r="AP111" i="27" s="1"/>
  <c r="T111" i="27"/>
  <c r="T124" i="14"/>
  <c r="AP124" i="14"/>
  <c r="AP65" i="67"/>
  <c r="AO39" i="14"/>
  <c r="AP39" i="14" s="1"/>
  <c r="AQ39" i="14" s="1"/>
  <c r="AP50" i="49"/>
  <c r="U50" i="49"/>
  <c r="AN123" i="27"/>
  <c r="AO123" i="27" s="1"/>
  <c r="AP123" i="27" s="1"/>
  <c r="AP34" i="14"/>
  <c r="AQ34" i="14" s="1"/>
  <c r="T34" i="14"/>
  <c r="AQ44" i="14"/>
  <c r="AN101" i="67"/>
  <c r="S101" i="67"/>
  <c r="S30" i="66"/>
  <c r="AN30" i="66"/>
  <c r="T30" i="66" s="1"/>
  <c r="T17" i="49"/>
  <c r="AO17" i="49"/>
  <c r="AN113" i="67"/>
  <c r="AO113" i="67" s="1"/>
  <c r="AP113" i="67" s="1"/>
  <c r="S113" i="67"/>
  <c r="S86" i="67"/>
  <c r="AO34" i="27"/>
  <c r="AP34" i="27" s="1"/>
  <c r="T34" i="27"/>
  <c r="AO130" i="67"/>
  <c r="T130" i="67"/>
  <c r="AO60" i="48"/>
  <c r="AP60" i="48" s="1"/>
  <c r="T60" i="48"/>
  <c r="AP32" i="84"/>
  <c r="AQ32" i="84" s="1"/>
  <c r="AR32" i="84" s="1"/>
  <c r="U32" i="84"/>
  <c r="AO69" i="67"/>
  <c r="AP69" i="67" s="1"/>
  <c r="AR49" i="84"/>
  <c r="AO24" i="27"/>
  <c r="T24" i="27"/>
  <c r="S21" i="67"/>
  <c r="AN21" i="67"/>
  <c r="T114" i="27"/>
  <c r="AO114" i="27"/>
  <c r="AP114" i="27" s="1"/>
  <c r="AO74" i="14"/>
  <c r="T74" i="14" s="1"/>
  <c r="AO11" i="66"/>
  <c r="T11" i="66"/>
  <c r="S21" i="66"/>
  <c r="AN21" i="66"/>
  <c r="T21" i="66" s="1"/>
  <c r="AO91" i="66"/>
  <c r="T91" i="66"/>
  <c r="AQ29" i="14"/>
  <c r="AO64" i="14"/>
  <c r="S43" i="66"/>
  <c r="AN43" i="66"/>
  <c r="T43" i="66" s="1"/>
  <c r="T65" i="48"/>
  <c r="AO65" i="48"/>
  <c r="AN41" i="67"/>
  <c r="AO41" i="67" s="1"/>
  <c r="AP41" i="67" s="1"/>
  <c r="S41" i="67"/>
  <c r="AO83" i="66"/>
  <c r="T83" i="66"/>
  <c r="AN55" i="27"/>
  <c r="S55" i="27"/>
  <c r="S128" i="66"/>
  <c r="AN128" i="66"/>
  <c r="T128" i="66" s="1"/>
  <c r="AO86" i="14"/>
  <c r="T86" i="14" s="1"/>
  <c r="S86" i="14"/>
  <c r="AO34" i="67"/>
  <c r="T34" i="67"/>
  <c r="S100" i="67"/>
  <c r="AN100" i="67"/>
  <c r="AO133" i="27"/>
  <c r="T133" i="27"/>
  <c r="AP82" i="67"/>
  <c r="S36" i="67"/>
  <c r="AN36" i="67"/>
  <c r="AO36" i="67" s="1"/>
  <c r="AP36" i="67" s="1"/>
  <c r="AP96" i="14"/>
  <c r="AQ96" i="14" s="1"/>
  <c r="S50" i="14"/>
  <c r="AO50" i="14"/>
  <c r="T50" i="14" s="1"/>
  <c r="T93" i="27"/>
  <c r="AO93" i="27"/>
  <c r="T120" i="14"/>
  <c r="S122" i="66"/>
  <c r="AN122" i="66"/>
  <c r="AO122" i="66" s="1"/>
  <c r="AP122" i="66" s="1"/>
  <c r="AO72" i="84"/>
  <c r="U72" i="84" s="1"/>
  <c r="T72" i="84"/>
  <c r="S42" i="66"/>
  <c r="AN42" i="66"/>
  <c r="AO42" i="66" s="1"/>
  <c r="AP42" i="66" s="1"/>
  <c r="AR9" i="84"/>
  <c r="AP112" i="27"/>
  <c r="AQ10" i="84"/>
  <c r="AR10" i="84" s="1"/>
  <c r="AP70" i="49"/>
  <c r="V70" i="49" s="1"/>
  <c r="U70" i="49"/>
  <c r="T66" i="27"/>
  <c r="AO66" i="27"/>
  <c r="AP66" i="27" s="1"/>
  <c r="S71" i="14"/>
  <c r="AO71" i="14"/>
  <c r="T71" i="14" s="1"/>
  <c r="AQ70" i="49"/>
  <c r="T42" i="66"/>
  <c r="AP93" i="27"/>
  <c r="AP64" i="14"/>
  <c r="AQ64" i="14" s="1"/>
  <c r="T64" i="14"/>
  <c r="AO21" i="66"/>
  <c r="AP21" i="66" s="1"/>
  <c r="AP52" i="66"/>
  <c r="AO125" i="27"/>
  <c r="T125" i="27"/>
  <c r="AP66" i="48"/>
  <c r="U66" i="48"/>
  <c r="AP83" i="66"/>
  <c r="AP11" i="66"/>
  <c r="AP130" i="67"/>
  <c r="T101" i="67"/>
  <c r="AO101" i="67"/>
  <c r="AO80" i="27"/>
  <c r="T80" i="27"/>
  <c r="AO124" i="66"/>
  <c r="AP124" i="66" s="1"/>
  <c r="T124" i="66"/>
  <c r="AR32" i="48"/>
  <c r="AP131" i="27"/>
  <c r="AP54" i="14"/>
  <c r="T54" i="14"/>
  <c r="T73" i="66"/>
  <c r="AO73" i="66"/>
  <c r="T107" i="67"/>
  <c r="AP59" i="67"/>
  <c r="AQ37" i="48"/>
  <c r="V37" i="48"/>
  <c r="AO127" i="27"/>
  <c r="T127" i="27"/>
  <c r="U9" i="49"/>
  <c r="AP124" i="67"/>
  <c r="T36" i="67"/>
  <c r="AO21" i="67"/>
  <c r="AP21" i="67" s="1"/>
  <c r="T21" i="67"/>
  <c r="AP17" i="49"/>
  <c r="AQ17" i="49" s="1"/>
  <c r="AR17" i="49" s="1"/>
  <c r="U17" i="49"/>
  <c r="AO30" i="66"/>
  <c r="AP30" i="66" s="1"/>
  <c r="AQ124" i="14"/>
  <c r="AQ14" i="84"/>
  <c r="AR14" i="84" s="1"/>
  <c r="V14" i="84"/>
  <c r="AO18" i="27"/>
  <c r="AP18" i="27" s="1"/>
  <c r="T18" i="27"/>
  <c r="AO74" i="66"/>
  <c r="AP73" i="14"/>
  <c r="T73" i="14"/>
  <c r="AP133" i="27"/>
  <c r="T41" i="67"/>
  <c r="AP91" i="66"/>
  <c r="U60" i="48"/>
  <c r="T93" i="14"/>
  <c r="AP93" i="14"/>
  <c r="AP12" i="84"/>
  <c r="AQ12" i="84" s="1"/>
  <c r="AR12" i="84" s="1"/>
  <c r="U12" i="84"/>
  <c r="V35" i="49"/>
  <c r="AP38" i="49"/>
  <c r="U52" i="49"/>
  <c r="AP52" i="49"/>
  <c r="U32" i="49"/>
  <c r="T122" i="66"/>
  <c r="T100" i="67"/>
  <c r="AO100" i="67"/>
  <c r="AP100" i="67" s="1"/>
  <c r="AP65" i="48"/>
  <c r="V65" i="48" s="1"/>
  <c r="U65" i="48"/>
  <c r="AR64" i="48"/>
  <c r="AR20" i="48"/>
  <c r="AP34" i="67"/>
  <c r="AP86" i="14"/>
  <c r="AQ86" i="14" s="1"/>
  <c r="AP24" i="27"/>
  <c r="V50" i="49"/>
  <c r="AQ50" i="49"/>
  <c r="AO118" i="66"/>
  <c r="AP118" i="66" s="1"/>
  <c r="T118" i="66"/>
  <c r="AP49" i="27"/>
  <c r="T33" i="14"/>
  <c r="AP33" i="14"/>
  <c r="AP119" i="67"/>
  <c r="AP122" i="67"/>
  <c r="AP81" i="27"/>
  <c r="AQ62" i="14"/>
  <c r="AP80" i="27"/>
  <c r="AQ66" i="48"/>
  <c r="V66" i="48"/>
  <c r="AR70" i="49"/>
  <c r="AP74" i="66"/>
  <c r="AQ65" i="48"/>
  <c r="AR65" i="48" s="1"/>
  <c r="AQ33" i="14"/>
  <c r="AQ52" i="49"/>
  <c r="AR52" i="49" s="1"/>
  <c r="V52" i="49"/>
  <c r="AP73" i="66"/>
  <c r="V17" i="49"/>
  <c r="AQ54" i="14"/>
  <c r="AR50" i="49"/>
  <c r="AQ93" i="14"/>
  <c r="AP101" i="67"/>
  <c r="V12" i="84"/>
  <c r="AQ73" i="14"/>
  <c r="AP127" i="27"/>
  <c r="AR37" i="48"/>
  <c r="AP107" i="67"/>
  <c r="AP125" i="27"/>
  <c r="AR66" i="48"/>
  <c r="P20" i="102"/>
  <c r="W19" i="102"/>
  <c r="W133" i="102"/>
  <c r="O63" i="102"/>
  <c r="D159" i="102"/>
  <c r="H106" i="102"/>
  <c r="J89" i="102"/>
  <c r="U64" i="102"/>
  <c r="R62" i="102"/>
  <c r="K27" i="102"/>
  <c r="H151" i="102"/>
  <c r="V85" i="102"/>
  <c r="S94" i="102"/>
  <c r="T147" i="102"/>
  <c r="C148" i="102"/>
  <c r="S99" i="102"/>
  <c r="R95" i="102"/>
  <c r="F50" i="102"/>
  <c r="E36" i="102"/>
  <c r="U12" i="102"/>
  <c r="Y144" i="102"/>
  <c r="P83" i="102"/>
  <c r="K141" i="102"/>
  <c r="I148" i="102"/>
  <c r="D90" i="102"/>
  <c r="K140" i="102"/>
  <c r="W89" i="102"/>
  <c r="T101" i="102"/>
  <c r="H25" i="102"/>
  <c r="K44" i="102"/>
  <c r="Z93" i="102"/>
  <c r="H12" i="102"/>
  <c r="Q69" i="102"/>
  <c r="L156" i="102"/>
  <c r="R34" i="102"/>
  <c r="L53" i="102"/>
  <c r="H131" i="102"/>
  <c r="M34" i="102"/>
  <c r="T137" i="102"/>
  <c r="I61" i="102"/>
  <c r="C135" i="102"/>
  <c r="S129" i="102"/>
  <c r="Q84" i="102"/>
  <c r="E46" i="102"/>
  <c r="J22" i="102"/>
  <c r="L131" i="102"/>
  <c r="T85" i="102"/>
  <c r="O33" i="102"/>
  <c r="H153" i="102"/>
  <c r="F93" i="102"/>
  <c r="S54" i="102"/>
  <c r="O18" i="102"/>
  <c r="N122" i="102"/>
  <c r="H71" i="102"/>
  <c r="M33" i="102"/>
  <c r="F97" i="102"/>
  <c r="R56" i="102"/>
  <c r="D19" i="102"/>
  <c r="U132" i="102"/>
  <c r="G15" i="102"/>
  <c r="J58" i="102"/>
  <c r="S154" i="102"/>
  <c r="J90" i="102"/>
  <c r="D61" i="102"/>
  <c r="Y79" i="102"/>
  <c r="E151" i="102"/>
  <c r="U110" i="102"/>
  <c r="Q95" i="102"/>
  <c r="Z38" i="102"/>
  <c r="Q83" i="102"/>
  <c r="I135" i="102"/>
  <c r="J27" i="102"/>
  <c r="Y45" i="102"/>
  <c r="E160" i="102"/>
  <c r="U41" i="102"/>
  <c r="H145" i="102"/>
  <c r="W160" i="102"/>
  <c r="C51" i="102"/>
  <c r="F90" i="102"/>
  <c r="P32" i="102"/>
  <c r="O115" i="102"/>
  <c r="W58" i="102"/>
  <c r="F94" i="102"/>
  <c r="R124" i="102"/>
  <c r="U71" i="102"/>
  <c r="W44" i="102"/>
  <c r="Y14" i="102"/>
  <c r="N129" i="102"/>
  <c r="S71" i="102"/>
  <c r="W31" i="102"/>
  <c r="F133" i="102"/>
  <c r="O91" i="102"/>
  <c r="D38" i="102"/>
  <c r="C17" i="102"/>
  <c r="X105" i="102"/>
  <c r="Z69" i="102"/>
  <c r="J21" i="102"/>
  <c r="O95" i="102"/>
  <c r="F42" i="102"/>
  <c r="Q17" i="102"/>
  <c r="G112" i="102"/>
  <c r="H17" i="102"/>
  <c r="E77" i="102"/>
  <c r="P161" i="102"/>
  <c r="V84" i="102"/>
  <c r="P58" i="102"/>
  <c r="F77" i="102"/>
  <c r="F146" i="102"/>
  <c r="L106" i="102"/>
  <c r="W91" i="102"/>
  <c r="K36" i="102"/>
  <c r="E80" i="102"/>
  <c r="E128" i="102"/>
  <c r="M24" i="102"/>
  <c r="C45" i="102"/>
  <c r="V131" i="102"/>
  <c r="Y40" i="102"/>
  <c r="F108" i="102"/>
  <c r="N75" i="102"/>
  <c r="N34" i="102"/>
  <c r="G84" i="102"/>
  <c r="R23" i="102"/>
  <c r="U113" i="102"/>
  <c r="C39" i="102"/>
  <c r="D91" i="102"/>
  <c r="P114" i="102"/>
  <c r="L70" i="102"/>
  <c r="I38" i="102"/>
  <c r="G14" i="102"/>
  <c r="X115" i="102"/>
  <c r="K70" i="102"/>
  <c r="L21" i="102"/>
  <c r="L129" i="102"/>
  <c r="W77" i="102"/>
  <c r="L36" i="102"/>
  <c r="X11" i="102"/>
  <c r="W102" i="102"/>
  <c r="J61" i="102"/>
  <c r="V19" i="102"/>
  <c r="L81" i="102"/>
  <c r="X39" i="102"/>
  <c r="M12" i="102"/>
  <c r="C109" i="102"/>
  <c r="D25" i="102"/>
  <c r="X79" i="102"/>
  <c r="Y143" i="102"/>
  <c r="V143" i="102"/>
  <c r="W129" i="102"/>
  <c r="F52" i="102"/>
  <c r="N132" i="102"/>
  <c r="C77" i="102"/>
  <c r="X144" i="102"/>
  <c r="X23" i="102"/>
  <c r="W43" i="102"/>
  <c r="C103" i="102"/>
  <c r="H129" i="102"/>
  <c r="C41" i="102"/>
  <c r="U94" i="102"/>
  <c r="O37" i="102"/>
  <c r="D64" i="102"/>
  <c r="L52" i="102"/>
  <c r="G16" i="102"/>
  <c r="S81" i="102"/>
  <c r="I155" i="102"/>
  <c r="H112" i="102"/>
  <c r="I21" i="102"/>
  <c r="M85" i="102"/>
  <c r="E99" i="102"/>
  <c r="F69" i="102"/>
  <c r="Z28" i="102"/>
  <c r="N13" i="102"/>
  <c r="I100" i="102"/>
  <c r="E69" i="102"/>
  <c r="M13" i="102"/>
  <c r="K124" i="102"/>
  <c r="K66" i="102"/>
  <c r="K35" i="102"/>
  <c r="V148" i="102"/>
  <c r="Y99" i="102"/>
  <c r="Q45" i="102"/>
  <c r="K18" i="102"/>
  <c r="O68" i="102"/>
  <c r="Z37" i="102"/>
  <c r="H148" i="102"/>
  <c r="V105" i="102"/>
  <c r="O38" i="102"/>
  <c r="O83" i="102"/>
  <c r="M141" i="102"/>
  <c r="T140" i="102"/>
  <c r="Y123" i="102"/>
  <c r="K46" i="102"/>
  <c r="F128" i="102"/>
  <c r="Q73" i="102"/>
  <c r="G137" i="102"/>
  <c r="P163" i="102"/>
  <c r="R40" i="102"/>
  <c r="Z97" i="102"/>
  <c r="Y119" i="102"/>
  <c r="H29" i="102"/>
  <c r="S93" i="102"/>
  <c r="C26" i="102"/>
  <c r="X62" i="102"/>
  <c r="I16" i="102"/>
  <c r="T14" i="102"/>
  <c r="V63" i="102"/>
  <c r="F153" i="102"/>
  <c r="K98" i="102"/>
  <c r="U19" i="102"/>
  <c r="J154" i="102"/>
  <c r="K97" i="102"/>
  <c r="O61" i="102"/>
  <c r="H28" i="102"/>
  <c r="I156" i="102"/>
  <c r="T98" i="102"/>
  <c r="H59" i="102"/>
  <c r="Y11" i="102"/>
  <c r="C111" i="102"/>
  <c r="X63" i="102"/>
  <c r="C28" i="102"/>
  <c r="F144" i="102"/>
  <c r="L91" i="102"/>
  <c r="K43" i="102"/>
  <c r="Z13" i="102"/>
  <c r="I66" i="102"/>
  <c r="O29" i="102"/>
  <c r="P146" i="102"/>
  <c r="I95" i="102"/>
  <c r="U40" i="102"/>
  <c r="V106" i="102"/>
  <c r="J21" i="96"/>
  <c r="L25" i="96"/>
  <c r="AC42" i="96"/>
  <c r="C84" i="96"/>
  <c r="X20" i="96"/>
  <c r="H32" i="96"/>
  <c r="AR93" i="96"/>
  <c r="AB84" i="96"/>
  <c r="AV70" i="96"/>
  <c r="AB70" i="96"/>
  <c r="AJ41" i="96"/>
  <c r="AP20" i="96"/>
  <c r="AK31" i="96"/>
  <c r="T49" i="96"/>
  <c r="AP79" i="96"/>
  <c r="AN67" i="96"/>
  <c r="AB43" i="96"/>
  <c r="AV93" i="96"/>
  <c r="AB61" i="96"/>
  <c r="AC59" i="96"/>
  <c r="Y51" i="96"/>
  <c r="Z51" i="96"/>
  <c r="AW80" i="96"/>
  <c r="AO79" i="96"/>
  <c r="AO83" i="96"/>
  <c r="AG42" i="96"/>
  <c r="D77" i="96"/>
  <c r="AJ46" i="96"/>
  <c r="AW29" i="96"/>
  <c r="AF96" i="96"/>
  <c r="S82" i="96"/>
  <c r="AL47" i="96"/>
  <c r="AR45" i="96"/>
  <c r="AU38" i="96"/>
  <c r="AO33" i="96"/>
  <c r="AK48" i="96"/>
  <c r="E73" i="96"/>
  <c r="AQ61" i="96"/>
  <c r="AD24" i="96"/>
  <c r="AT81" i="96"/>
  <c r="C17" i="96"/>
  <c r="S33" i="96"/>
  <c r="AS51" i="96"/>
  <c r="AW48" i="96"/>
  <c r="AN92" i="96"/>
  <c r="AP37" i="96"/>
  <c r="Z69" i="96"/>
  <c r="AI81" i="96"/>
  <c r="AM99" i="96"/>
  <c r="AV78" i="96"/>
  <c r="AE46" i="96"/>
  <c r="AU37" i="96"/>
  <c r="AE72" i="96"/>
  <c r="AK84" i="96"/>
  <c r="AD84" i="96"/>
  <c r="AL33" i="96"/>
  <c r="AN87" i="96"/>
  <c r="AU77" i="96"/>
  <c r="AL76" i="96"/>
  <c r="D57" i="96"/>
  <c r="AO30" i="96"/>
  <c r="Y98" i="96"/>
  <c r="P8" i="96"/>
  <c r="W18" i="96"/>
  <c r="AS14" i="96"/>
  <c r="AH35" i="96"/>
  <c r="AK37" i="96"/>
  <c r="Y45" i="96"/>
  <c r="AO85" i="96"/>
  <c r="D59" i="96"/>
  <c r="AC99" i="96"/>
  <c r="AD37" i="96"/>
  <c r="AE98" i="96"/>
  <c r="AM49" i="96"/>
  <c r="I82" i="96"/>
  <c r="AJ49" i="96"/>
  <c r="AF25" i="96"/>
  <c r="K93" i="96"/>
  <c r="V43" i="96"/>
  <c r="AO10" i="96"/>
  <c r="U37" i="96"/>
  <c r="AJ60" i="96"/>
  <c r="O73" i="96"/>
  <c r="Y20" i="96"/>
  <c r="U25" i="96"/>
  <c r="AN50" i="96"/>
  <c r="AT46" i="96"/>
  <c r="S39" i="96"/>
  <c r="F68" i="96"/>
  <c r="AK83" i="96"/>
  <c r="AQ69" i="96"/>
  <c r="AW11" i="96"/>
  <c r="AO78" i="96"/>
  <c r="U51" i="96"/>
  <c r="AV82" i="96"/>
  <c r="AS62" i="96"/>
  <c r="AM35" i="96"/>
  <c r="AM86" i="96"/>
  <c r="AD89" i="96"/>
  <c r="AJ42" i="96"/>
  <c r="AI17" i="96"/>
  <c r="C58" i="96"/>
  <c r="AG60" i="96"/>
  <c r="AE94" i="96"/>
  <c r="AT47" i="96"/>
  <c r="I50" i="96"/>
  <c r="H24" i="96"/>
  <c r="AK30" i="96"/>
  <c r="AP93" i="96"/>
  <c r="AC45" i="96"/>
  <c r="AN25" i="96"/>
  <c r="AB51" i="96"/>
  <c r="AN30" i="96"/>
  <c r="AJ81" i="96"/>
  <c r="AD66" i="96"/>
  <c r="AF52" i="96"/>
  <c r="T21" i="96"/>
  <c r="AK102" i="96"/>
  <c r="J61" i="96"/>
  <c r="AQ93" i="96"/>
  <c r="AM44" i="96"/>
  <c r="AS101" i="96"/>
  <c r="AG37" i="96"/>
  <c r="AF37" i="96"/>
  <c r="U19" i="96"/>
  <c r="AS39" i="96"/>
  <c r="AE76" i="96"/>
  <c r="AM92" i="96"/>
  <c r="AO39" i="96"/>
  <c r="AN76" i="96"/>
  <c r="AH86" i="96"/>
  <c r="AD46" i="96"/>
  <c r="AI63" i="96"/>
  <c r="AC15" i="96"/>
  <c r="AA73" i="96"/>
  <c r="AU84" i="96"/>
  <c r="AW75" i="96"/>
  <c r="AN51" i="96"/>
  <c r="AV95" i="96"/>
  <c r="AM79" i="96"/>
  <c r="T47" i="96"/>
  <c r="AO88" i="96"/>
  <c r="AO73" i="96"/>
  <c r="S23" i="96"/>
  <c r="AO25" i="96"/>
  <c r="AC93" i="96"/>
  <c r="AK50" i="96"/>
  <c r="V99" i="96"/>
  <c r="AW19" i="96"/>
  <c r="O25" i="96"/>
  <c r="AT44" i="96"/>
  <c r="Z59" i="96"/>
  <c r="D43" i="96"/>
  <c r="S90" i="96"/>
  <c r="AU25" i="96"/>
  <c r="AO52" i="96"/>
  <c r="AP41" i="96"/>
  <c r="AN28" i="96"/>
  <c r="AV79" i="96"/>
  <c r="AF102" i="96"/>
  <c r="AT93" i="96"/>
  <c r="U101" i="96"/>
  <c r="AE36" i="96"/>
  <c r="I84" i="96"/>
  <c r="AH100" i="96"/>
  <c r="AQ77" i="96"/>
  <c r="AW65" i="96"/>
  <c r="AJ82" i="96"/>
  <c r="V46" i="96"/>
  <c r="AV76" i="96"/>
  <c r="AW99" i="96"/>
  <c r="AA95" i="96"/>
  <c r="H36" i="96"/>
  <c r="AC11" i="96"/>
  <c r="AC50" i="96"/>
  <c r="AO99" i="96"/>
  <c r="AV24" i="96"/>
  <c r="AC100" i="96"/>
  <c r="H12" i="96"/>
  <c r="AB73" i="96"/>
  <c r="AQ65" i="96"/>
  <c r="AB39" i="96"/>
  <c r="AR50" i="96"/>
  <c r="AR44" i="96"/>
  <c r="Y41" i="96"/>
  <c r="AC80" i="96"/>
  <c r="AN40" i="96"/>
  <c r="X70" i="96"/>
  <c r="AW17" i="96"/>
  <c r="AC28" i="96"/>
  <c r="AO63" i="96"/>
  <c r="D47" i="96"/>
  <c r="P13" i="102"/>
  <c r="V73" i="102"/>
  <c r="M35" i="102"/>
  <c r="Q131" i="102"/>
  <c r="S55" i="102"/>
  <c r="I51" i="102"/>
  <c r="F152" i="102"/>
  <c r="D144" i="102"/>
  <c r="F140" i="102"/>
  <c r="J97" i="102"/>
  <c r="H18" i="102"/>
  <c r="I57" i="102"/>
  <c r="P27" i="102"/>
  <c r="F145" i="102"/>
  <c r="M28" i="101"/>
  <c r="I20" i="103"/>
  <c r="M34" i="101"/>
  <c r="D33" i="101"/>
  <c r="K42" i="103"/>
  <c r="O99" i="101"/>
  <c r="C91" i="101"/>
  <c r="H65" i="103"/>
  <c r="M99" i="101"/>
  <c r="P17" i="104"/>
  <c r="H74" i="104"/>
  <c r="M46" i="91"/>
  <c r="M21" i="91" s="1"/>
  <c r="D43" i="91"/>
  <c r="D18" i="91" s="1"/>
  <c r="J17" i="5"/>
  <c r="J43" i="91"/>
  <c r="J18" i="91" s="1"/>
  <c r="H47" i="91"/>
  <c r="H22" i="91" s="1"/>
  <c r="H21" i="5"/>
  <c r="F162" i="28"/>
  <c r="Q74" i="28"/>
  <c r="Q34" i="28" s="1"/>
  <c r="M74" i="28"/>
  <c r="M34" i="28" s="1"/>
  <c r="P124" i="28"/>
  <c r="Y141" i="28"/>
  <c r="R93" i="28"/>
  <c r="Y193" i="28"/>
  <c r="G148" i="28"/>
  <c r="F218" i="28"/>
  <c r="L223" i="28"/>
  <c r="S145" i="28"/>
  <c r="Y164" i="28"/>
  <c r="S227" i="28"/>
  <c r="G175" i="28"/>
  <c r="V109" i="28"/>
  <c r="D149" i="28"/>
  <c r="X151" i="28"/>
  <c r="I141" i="28"/>
  <c r="T215" i="28"/>
  <c r="R155" i="28"/>
  <c r="G245" i="28"/>
  <c r="Y180" i="28"/>
  <c r="H228" i="28"/>
  <c r="H200" i="28"/>
  <c r="F240" i="28"/>
  <c r="Y126" i="28"/>
  <c r="F201" i="28"/>
  <c r="M174" i="28"/>
  <c r="M198" i="28"/>
  <c r="W154" i="28"/>
  <c r="K58" i="28"/>
  <c r="K18" i="28" s="1"/>
  <c r="D182" i="28"/>
  <c r="F107" i="28"/>
  <c r="E212" i="28"/>
  <c r="R219" i="28"/>
  <c r="J109" i="28"/>
  <c r="D215" i="28"/>
  <c r="S83" i="28"/>
  <c r="S43" i="28" s="1"/>
  <c r="F151" i="28"/>
  <c r="Q220" i="28"/>
  <c r="M100" i="28"/>
  <c r="I170" i="28"/>
  <c r="J190" i="28"/>
  <c r="M241" i="28"/>
  <c r="R244" i="28"/>
  <c r="Y138" i="28"/>
  <c r="N174" i="28"/>
  <c r="S184" i="28"/>
  <c r="V100" i="28"/>
  <c r="N146" i="28"/>
  <c r="M242" i="28"/>
  <c r="X178" i="28"/>
  <c r="F164" i="28"/>
  <c r="U109" i="28"/>
  <c r="G206" i="28"/>
  <c r="R157" i="28"/>
  <c r="I218" i="28"/>
  <c r="Q61" i="28"/>
  <c r="Q21" i="28" s="1"/>
  <c r="K57" i="28"/>
  <c r="K17" i="28" s="1"/>
  <c r="D213" i="28"/>
  <c r="D62" i="28"/>
  <c r="D22" i="28" s="1"/>
  <c r="C152" i="28"/>
  <c r="L85" i="28"/>
  <c r="L45" i="28" s="1"/>
  <c r="G171" i="28"/>
  <c r="U221" i="28"/>
  <c r="P230" i="28"/>
  <c r="G59" i="28"/>
  <c r="G19" i="28" s="1"/>
  <c r="R205" i="28"/>
  <c r="R237" i="28"/>
  <c r="Y103" i="28"/>
  <c r="E148" i="28"/>
  <c r="F54" i="28"/>
  <c r="F14" i="28" s="1"/>
  <c r="Y107" i="28"/>
  <c r="W225" i="28"/>
  <c r="E145" i="28"/>
  <c r="S180" i="28"/>
  <c r="T148" i="28"/>
  <c r="C185" i="28"/>
  <c r="M122" i="28"/>
  <c r="X243" i="28"/>
  <c r="K152" i="28"/>
  <c r="C222" i="28"/>
  <c r="C179" i="28"/>
  <c r="M204" i="28"/>
  <c r="G212" i="28"/>
  <c r="V140" i="28"/>
  <c r="H103" i="28"/>
  <c r="X50" i="28"/>
  <c r="X10" i="28" s="1"/>
  <c r="J96" i="28"/>
  <c r="X62" i="28"/>
  <c r="X22" i="28" s="1"/>
  <c r="Q146" i="28"/>
  <c r="U78" i="28"/>
  <c r="U38" i="28" s="1"/>
  <c r="V225" i="28"/>
  <c r="T124" i="28"/>
  <c r="L206" i="28"/>
  <c r="T185" i="28"/>
  <c r="S146" i="28"/>
  <c r="N277" i="28"/>
  <c r="U239" i="28"/>
  <c r="W184" i="28"/>
  <c r="S136" i="28"/>
  <c r="Q197" i="28"/>
  <c r="W181" i="28"/>
  <c r="M106" i="28"/>
  <c r="W135" i="28"/>
  <c r="T121" i="28"/>
  <c r="S160" i="28"/>
  <c r="N153" i="28"/>
  <c r="P52" i="28"/>
  <c r="P12" i="28" s="1"/>
  <c r="P97" i="28"/>
  <c r="F194" i="28"/>
  <c r="X182" i="28"/>
  <c r="K84" i="28"/>
  <c r="K44" i="28" s="1"/>
  <c r="E118" i="28"/>
  <c r="W235" i="28"/>
  <c r="O157" i="28"/>
  <c r="M83" i="28"/>
  <c r="M43" i="28" s="1"/>
  <c r="L160" i="28"/>
  <c r="D158" i="28"/>
  <c r="H92" i="28"/>
  <c r="O152" i="28"/>
  <c r="J136" i="28"/>
  <c r="O149" i="28"/>
  <c r="X131" i="28"/>
  <c r="D52" i="28"/>
  <c r="D12" i="28" s="1"/>
  <c r="M222" i="28"/>
  <c r="I217" i="28"/>
  <c r="Q154" i="28"/>
  <c r="F138" i="28"/>
  <c r="W133" i="28"/>
  <c r="D221" i="28"/>
  <c r="K123" i="28"/>
  <c r="E164" i="28"/>
  <c r="M219" i="28"/>
  <c r="K140" i="28"/>
  <c r="I201" i="28"/>
  <c r="X145" i="28"/>
  <c r="K92" i="28"/>
  <c r="M197" i="28"/>
  <c r="S100" i="28"/>
  <c r="Q213" i="28"/>
  <c r="K96" i="28"/>
  <c r="C246" i="28"/>
  <c r="X160" i="28"/>
  <c r="L245" i="28"/>
  <c r="N244" i="28"/>
  <c r="T61" i="28"/>
  <c r="T21" i="28" s="1"/>
  <c r="P243" i="28"/>
  <c r="J204" i="28"/>
  <c r="K130" i="28"/>
  <c r="K200" i="28"/>
  <c r="S126" i="28"/>
  <c r="F100" i="28"/>
  <c r="S94" i="28"/>
  <c r="R195" i="28"/>
  <c r="O226" i="28"/>
  <c r="P138" i="28"/>
  <c r="G108" i="28"/>
  <c r="X101" i="28"/>
  <c r="F103" i="28"/>
  <c r="V204" i="28"/>
  <c r="Q142" i="28"/>
  <c r="V176" i="28"/>
  <c r="W244" i="28"/>
  <c r="D123" i="28"/>
  <c r="Q219" i="28"/>
  <c r="D69" i="28"/>
  <c r="D29" i="28" s="1"/>
  <c r="M179" i="28"/>
  <c r="T225" i="28"/>
  <c r="U114" i="28"/>
  <c r="E165" i="28"/>
  <c r="X86" i="28"/>
  <c r="X46" i="28" s="1"/>
  <c r="R277" i="28"/>
  <c r="M221" i="28"/>
  <c r="V182" i="28"/>
  <c r="R243" i="28"/>
  <c r="F62" i="28"/>
  <c r="F22" i="28" s="1"/>
  <c r="H148" i="28"/>
  <c r="H259" i="28"/>
  <c r="V206" i="28"/>
  <c r="X239" i="28"/>
  <c r="N218" i="28"/>
  <c r="J178" i="28"/>
  <c r="M157" i="28"/>
  <c r="X233" i="28"/>
  <c r="D258" i="28"/>
  <c r="J149" i="28"/>
  <c r="Y211" i="28"/>
  <c r="R120" i="28"/>
  <c r="O174" i="28"/>
  <c r="U163" i="28"/>
  <c r="J141" i="28"/>
  <c r="U92" i="28"/>
  <c r="J234" i="28"/>
  <c r="V213" i="28"/>
  <c r="F68" i="28"/>
  <c r="F28" i="28" s="1"/>
  <c r="K104" i="28"/>
  <c r="C188" i="28"/>
  <c r="E185" i="28"/>
  <c r="L101" i="28"/>
  <c r="T179" i="28"/>
  <c r="G179" i="28"/>
  <c r="E68" i="28"/>
  <c r="E28" i="28" s="1"/>
  <c r="Q236" i="28"/>
  <c r="Q114" i="28"/>
  <c r="W201" i="28"/>
  <c r="S215" i="28"/>
  <c r="U235" i="28"/>
  <c r="P55" i="28"/>
  <c r="P15" i="28" s="1"/>
  <c r="D57" i="28"/>
  <c r="D17" i="28" s="1"/>
  <c r="W194" i="28"/>
  <c r="H234" i="28"/>
  <c r="F155" i="28"/>
  <c r="W220" i="28"/>
  <c r="I105" i="28"/>
  <c r="J218" i="28"/>
  <c r="H147" i="28"/>
  <c r="W117" i="28"/>
  <c r="L213" i="28"/>
  <c r="M56" i="28"/>
  <c r="M16" i="28" s="1"/>
  <c r="S65" i="28"/>
  <c r="S25" i="28" s="1"/>
  <c r="J186" i="28"/>
  <c r="R242" i="28"/>
  <c r="T82" i="28"/>
  <c r="T42" i="28" s="1"/>
  <c r="R245" i="28"/>
  <c r="L143" i="28"/>
  <c r="Y99" i="28"/>
  <c r="G67" i="28"/>
  <c r="G27" i="28" s="1"/>
  <c r="T190" i="28"/>
  <c r="O95" i="28"/>
  <c r="V185" i="28"/>
  <c r="R119" i="28"/>
  <c r="F182" i="28"/>
  <c r="G202" i="28"/>
  <c r="G186" i="28"/>
  <c r="H75" i="28"/>
  <c r="H35" i="28" s="1"/>
  <c r="C166" i="28"/>
  <c r="T85" i="28"/>
  <c r="T45" i="28" s="1"/>
  <c r="I164" i="28"/>
  <c r="S203" i="28"/>
  <c r="Q157" i="28"/>
  <c r="H116" i="28"/>
  <c r="E229" i="28"/>
  <c r="S78" i="28"/>
  <c r="S38" i="28" s="1"/>
  <c r="Y244" i="28"/>
  <c r="F172" i="28"/>
  <c r="J170" i="28"/>
  <c r="O195" i="28"/>
  <c r="W74" i="28"/>
  <c r="W34" i="28" s="1"/>
  <c r="P242" i="28"/>
  <c r="Q137" i="28"/>
  <c r="P239" i="28"/>
  <c r="W239" i="28"/>
  <c r="J90" i="28"/>
  <c r="R150" i="28"/>
  <c r="S224" i="28"/>
  <c r="X58" i="28"/>
  <c r="X18" i="28" s="1"/>
  <c r="L162" i="28"/>
  <c r="P225" i="28"/>
  <c r="G92" i="28"/>
  <c r="M231" i="28"/>
  <c r="Q193" i="28"/>
  <c r="X82" i="28"/>
  <c r="X42" i="28" s="1"/>
  <c r="L240" i="28"/>
  <c r="G218" i="28"/>
  <c r="U146" i="28"/>
  <c r="R126" i="28"/>
  <c r="U229" i="28"/>
  <c r="T143" i="28"/>
  <c r="R231" i="28"/>
  <c r="R197" i="28"/>
  <c r="G63" i="28"/>
  <c r="G23" i="28" s="1"/>
  <c r="Q218" i="28"/>
  <c r="U191" i="28"/>
  <c r="V141" i="28"/>
  <c r="P152" i="28"/>
  <c r="G94" i="28"/>
  <c r="V174" i="28"/>
  <c r="E179" i="28"/>
  <c r="E54" i="28"/>
  <c r="E14" i="28" s="1"/>
  <c r="D164" i="28"/>
  <c r="J77" i="28"/>
  <c r="J37" i="28" s="1"/>
  <c r="K110" i="28"/>
  <c r="I156" i="28"/>
  <c r="H146" i="28"/>
  <c r="W96" i="28"/>
  <c r="Y199" i="28"/>
  <c r="O181" i="28"/>
  <c r="T239" i="28"/>
  <c r="S233" i="28"/>
  <c r="N221" i="28"/>
  <c r="P109" i="28"/>
  <c r="G180" i="28"/>
  <c r="L107" i="28"/>
  <c r="X184" i="28"/>
  <c r="H66" i="28"/>
  <c r="H26" i="28" s="1"/>
  <c r="F181" i="28"/>
  <c r="S196" i="28"/>
  <c r="H183" i="28"/>
  <c r="K77" i="28"/>
  <c r="K37" i="28" s="1"/>
  <c r="K171" i="28"/>
  <c r="G166" i="28"/>
  <c r="I93" i="28"/>
  <c r="R170" i="28"/>
  <c r="P149" i="28"/>
  <c r="G65" i="28"/>
  <c r="G25" i="28" s="1"/>
  <c r="S222" i="28"/>
  <c r="P187" i="28"/>
  <c r="D79" i="28"/>
  <c r="D39" i="28" s="1"/>
  <c r="E60" i="28"/>
  <c r="E20" i="28" s="1"/>
  <c r="N171" i="28"/>
  <c r="W52" i="28"/>
  <c r="W12" i="28" s="1"/>
  <c r="E222" i="28"/>
  <c r="C71" i="28"/>
  <c r="C31" i="28" s="1"/>
  <c r="D229" i="28"/>
  <c r="T277" i="28"/>
  <c r="N102" i="28"/>
  <c r="L226" i="28"/>
  <c r="I77" i="28"/>
  <c r="I37" i="28" s="1"/>
  <c r="F191" i="28"/>
  <c r="D50" i="28"/>
  <c r="D10" i="28" s="1"/>
  <c r="F154" i="28"/>
  <c r="F215" i="28"/>
  <c r="O219" i="28"/>
  <c r="M82" i="28"/>
  <c r="M42" i="28" s="1"/>
  <c r="P277" i="28"/>
  <c r="R186" i="28"/>
  <c r="T90" i="28"/>
  <c r="Y157" i="28"/>
  <c r="S202" i="28"/>
  <c r="T218" i="28"/>
  <c r="Y152" i="28"/>
  <c r="R81" i="28"/>
  <c r="R41" i="28" s="1"/>
  <c r="X154" i="28"/>
  <c r="U226" i="28"/>
  <c r="N120" i="28"/>
  <c r="W236" i="28"/>
  <c r="G170" i="91"/>
  <c r="X211" i="28"/>
  <c r="C86" i="28"/>
  <c r="C46" i="28" s="1"/>
  <c r="Y62" i="28"/>
  <c r="Y22" i="28" s="1"/>
  <c r="N191" i="28"/>
  <c r="U223" i="28"/>
  <c r="J91" i="28"/>
  <c r="G233" i="28"/>
  <c r="D151" i="28"/>
  <c r="N194" i="28"/>
  <c r="R180" i="28"/>
  <c r="K69" i="28"/>
  <c r="K29" i="28" s="1"/>
  <c r="X142" i="28"/>
  <c r="O178" i="28"/>
  <c r="S161" i="28"/>
  <c r="M110" i="28"/>
  <c r="P136" i="28"/>
  <c r="Y161" i="28"/>
  <c r="C133" i="28"/>
  <c r="O221" i="28"/>
  <c r="S73" i="28"/>
  <c r="S33" i="28" s="1"/>
  <c r="K99" i="28"/>
  <c r="R70" i="28"/>
  <c r="R30" i="28" s="1"/>
  <c r="I92" i="28"/>
  <c r="W73" i="28"/>
  <c r="W33" i="28" s="1"/>
  <c r="H63" i="28"/>
  <c r="H23" i="28" s="1"/>
  <c r="N134" i="28"/>
  <c r="I69" i="28"/>
  <c r="I29" i="28" s="1"/>
  <c r="X108" i="28"/>
  <c r="O182" i="28"/>
  <c r="E173" i="28"/>
  <c r="C190" i="28"/>
  <c r="T76" i="28"/>
  <c r="T36" i="28" s="1"/>
  <c r="U122" i="28"/>
  <c r="N156" i="28"/>
  <c r="R78" i="28"/>
  <c r="R38" i="28" s="1"/>
  <c r="K112" i="28"/>
  <c r="F90" i="28"/>
  <c r="X181" i="28"/>
  <c r="H238" i="28"/>
  <c r="K202" i="28"/>
  <c r="O183" i="28"/>
  <c r="R164" i="28"/>
  <c r="R75" i="28"/>
  <c r="R35" i="28" s="1"/>
  <c r="Q184" i="28"/>
  <c r="N132" i="28"/>
  <c r="W151" i="28"/>
  <c r="K177" i="28"/>
  <c r="F161" i="28"/>
  <c r="N185" i="28"/>
  <c r="R69" i="28"/>
  <c r="R29" i="28" s="1"/>
  <c r="C153" i="28"/>
  <c r="J159" i="28"/>
  <c r="S177" i="28"/>
  <c r="G82" i="28"/>
  <c r="G42" i="28" s="1"/>
  <c r="Y221" i="28"/>
  <c r="P79" i="28"/>
  <c r="P39" i="28" s="1"/>
  <c r="R114" i="28"/>
  <c r="S61" i="28"/>
  <c r="S21" i="28" s="1"/>
  <c r="S82" i="28"/>
  <c r="S42" i="28" s="1"/>
  <c r="F78" i="28"/>
  <c r="F38" i="28" s="1"/>
  <c r="D138" i="28"/>
  <c r="M162" i="28"/>
  <c r="T228" i="28"/>
  <c r="Y110" i="28"/>
  <c r="I238" i="28"/>
  <c r="L277" i="28"/>
  <c r="I163" i="28"/>
  <c r="L145" i="28"/>
  <c r="D132" i="28"/>
  <c r="R121" i="28"/>
  <c r="H175" i="28"/>
  <c r="L254" i="28"/>
  <c r="G71" i="28"/>
  <c r="G31" i="28" s="1"/>
  <c r="P219" i="28"/>
  <c r="R156" i="28"/>
  <c r="J103" i="28"/>
  <c r="T195" i="28"/>
  <c r="F147" i="28"/>
  <c r="X56" i="28"/>
  <c r="X16" i="28" s="1"/>
  <c r="E83" i="28"/>
  <c r="E43" i="28" s="1"/>
  <c r="P203" i="28"/>
  <c r="X57" i="28"/>
  <c r="X17" i="28" s="1"/>
  <c r="P232" i="28"/>
  <c r="C77" i="28"/>
  <c r="C37" i="28" s="1"/>
  <c r="E108" i="28"/>
  <c r="Q179" i="28"/>
  <c r="R147" i="28"/>
  <c r="F149" i="28"/>
  <c r="E72" i="28"/>
  <c r="E32" i="28" s="1"/>
  <c r="O153" i="28"/>
  <c r="U99" i="28"/>
  <c r="K61" i="28"/>
  <c r="K21" i="28" s="1"/>
  <c r="U149" i="28"/>
  <c r="Q149" i="28"/>
  <c r="K122" i="28"/>
  <c r="F60" i="28"/>
  <c r="F20" i="28" s="1"/>
  <c r="N106" i="28"/>
  <c r="K243" i="28"/>
  <c r="U214" i="28"/>
  <c r="T139" i="28"/>
  <c r="X242" i="28"/>
  <c r="P143" i="28"/>
  <c r="F66" i="28"/>
  <c r="F26" i="28" s="1"/>
  <c r="J65" i="28"/>
  <c r="J25" i="28" s="1"/>
  <c r="G112" i="28"/>
  <c r="Y220" i="28"/>
  <c r="M85" i="28"/>
  <c r="M45" i="28" s="1"/>
  <c r="F121" i="28"/>
  <c r="U54" i="28"/>
  <c r="U14" i="28" s="1"/>
  <c r="R82" i="28"/>
  <c r="R42" i="28" s="1"/>
  <c r="D150" i="28"/>
  <c r="K150" i="28"/>
  <c r="R149" i="28"/>
  <c r="Y179" i="28"/>
  <c r="T132" i="28"/>
  <c r="F211" i="28"/>
  <c r="M98" i="28"/>
  <c r="C138" i="28"/>
  <c r="V178" i="28"/>
  <c r="T198" i="28"/>
  <c r="N162" i="28"/>
  <c r="Y61" i="28"/>
  <c r="Y21" i="28" s="1"/>
  <c r="C155" i="28"/>
  <c r="I219" i="28"/>
  <c r="N138" i="28"/>
  <c r="L123" i="28"/>
  <c r="C57" i="28"/>
  <c r="C17" i="28" s="1"/>
  <c r="W229" i="28"/>
  <c r="F142" i="28"/>
  <c r="P123" i="28"/>
  <c r="S119" i="28"/>
  <c r="A136" i="93"/>
  <c r="D188" i="28"/>
  <c r="D246" i="28"/>
  <c r="H244" i="28"/>
  <c r="S69" i="28"/>
  <c r="S29" i="28" s="1"/>
  <c r="V117" i="28"/>
  <c r="F96" i="28"/>
  <c r="U232" i="28"/>
  <c r="O63" i="28"/>
  <c r="O23" i="28" s="1"/>
  <c r="E114" i="28"/>
  <c r="G173" i="28"/>
  <c r="V156" i="28"/>
  <c r="L190" i="28"/>
  <c r="O126" i="28"/>
  <c r="L231" i="28"/>
  <c r="U84" i="28"/>
  <c r="U44" i="28" s="1"/>
  <c r="L187" i="28"/>
  <c r="R68" i="28"/>
  <c r="R28" i="28" s="1"/>
  <c r="L211" i="28"/>
  <c r="J227" i="28"/>
  <c r="N240" i="28"/>
  <c r="W219" i="28"/>
  <c r="W84" i="28"/>
  <c r="W44" i="28" s="1"/>
  <c r="P193" i="28"/>
  <c r="U165" i="28"/>
  <c r="T137" i="28"/>
  <c r="L219" i="28"/>
  <c r="O144" i="28"/>
  <c r="G122" i="28"/>
  <c r="T81" i="28"/>
  <c r="T41" i="28" s="1"/>
  <c r="F176" i="28"/>
  <c r="P170" i="39"/>
  <c r="V110" i="28"/>
  <c r="E203" i="28"/>
  <c r="R214" i="28"/>
  <c r="I94" i="28"/>
  <c r="F51" i="28"/>
  <c r="F11" i="28" s="1"/>
  <c r="K193" i="28"/>
  <c r="G199" i="28"/>
  <c r="L58" i="28"/>
  <c r="L18" i="28" s="1"/>
  <c r="G185" i="28"/>
  <c r="G220" i="28"/>
  <c r="R133" i="28"/>
  <c r="J105" i="28"/>
  <c r="U194" i="28"/>
  <c r="T66" i="28"/>
  <c r="T26" i="28" s="1"/>
  <c r="C73" i="28"/>
  <c r="C33" i="28" s="1"/>
  <c r="M214" i="28"/>
  <c r="J102" i="28"/>
  <c r="Q226" i="28"/>
  <c r="Q76" i="28"/>
  <c r="Q36" i="28" s="1"/>
  <c r="I210" i="28"/>
  <c r="P125" i="28"/>
  <c r="M153" i="28"/>
  <c r="O242" i="28"/>
  <c r="J97" i="28"/>
  <c r="P204" i="28"/>
  <c r="I81" i="28"/>
  <c r="I41" i="28" s="1"/>
  <c r="J183" i="28"/>
  <c r="G219" i="28"/>
  <c r="G84" i="28"/>
  <c r="G44" i="28" s="1"/>
  <c r="U170" i="28"/>
  <c r="C215" i="28"/>
  <c r="E126" i="28"/>
  <c r="C143" i="28"/>
  <c r="U77" i="28"/>
  <c r="U37" i="28" s="1"/>
  <c r="S92" i="28"/>
  <c r="C178" i="28"/>
  <c r="W140" i="28"/>
  <c r="M124" i="28"/>
  <c r="T160" i="28"/>
  <c r="E162" i="28"/>
  <c r="R177" i="39"/>
  <c r="Y189" i="28"/>
  <c r="W141" i="28"/>
  <c r="V215" i="28"/>
  <c r="J155" i="28"/>
  <c r="C234" i="28"/>
  <c r="V190" i="28"/>
  <c r="H185" i="28"/>
  <c r="Y73" i="28"/>
  <c r="Y33" i="28" s="1"/>
  <c r="I146" i="28"/>
  <c r="T52" i="28"/>
  <c r="T12" i="28" s="1"/>
  <c r="S117" i="28"/>
  <c r="T134" i="28"/>
  <c r="J206" i="28"/>
  <c r="H113" i="28"/>
  <c r="D201" i="28"/>
  <c r="N154" i="28"/>
  <c r="N52" i="28"/>
  <c r="N12" i="28" s="1"/>
  <c r="K235" i="28"/>
  <c r="M101" i="28"/>
  <c r="T103" i="28"/>
  <c r="E151" i="28"/>
  <c r="T189" i="28"/>
  <c r="V115" i="28"/>
  <c r="F188" i="28"/>
  <c r="W216" i="28"/>
  <c r="C223" i="28"/>
  <c r="P229" i="28"/>
  <c r="X94" i="28"/>
  <c r="Y158" i="28"/>
  <c r="Q159" i="28"/>
  <c r="Q198" i="28"/>
  <c r="F228" i="28"/>
  <c r="G184" i="28"/>
  <c r="E100" i="28"/>
  <c r="V148" i="28"/>
  <c r="V241" i="28"/>
  <c r="C116" i="28"/>
  <c r="E63" i="28"/>
  <c r="E23" i="28" s="1"/>
  <c r="N69" i="28"/>
  <c r="N29" i="28" s="1"/>
  <c r="Q50" i="28"/>
  <c r="Q10" i="28" s="1"/>
  <c r="V151" i="28"/>
  <c r="P164" i="28"/>
  <c r="X130" i="28"/>
  <c r="R65" i="28"/>
  <c r="R25" i="28" s="1"/>
  <c r="L75" i="28"/>
  <c r="L35" i="28" s="1"/>
  <c r="T201" i="28"/>
  <c r="E67" i="28"/>
  <c r="E27" i="28" s="1"/>
  <c r="M72" i="28"/>
  <c r="M32" i="28" s="1"/>
  <c r="H67" i="28"/>
  <c r="H27" i="28" s="1"/>
  <c r="N124" i="28"/>
  <c r="O96" i="28"/>
  <c r="F132" i="28"/>
  <c r="W93" i="28"/>
  <c r="Y74" i="28"/>
  <c r="Y34" i="28" s="1"/>
  <c r="L96" i="28"/>
  <c r="D72" i="28"/>
  <c r="D32" i="28" s="1"/>
  <c r="N67" i="28"/>
  <c r="N27" i="28" s="1"/>
  <c r="K125" i="28"/>
  <c r="E86" i="28"/>
  <c r="E46" i="28" s="1"/>
  <c r="O235" i="28"/>
  <c r="L56" i="28"/>
  <c r="L16" i="28" s="1"/>
  <c r="I192" i="28"/>
  <c r="K228" i="28"/>
  <c r="R163" i="28"/>
  <c r="V150" i="28"/>
  <c r="Q121" i="28"/>
  <c r="F179" i="28"/>
  <c r="F175" i="28"/>
  <c r="L139" i="28"/>
  <c r="S90" i="28"/>
  <c r="T180" i="28"/>
  <c r="T118" i="28"/>
  <c r="D231" i="28"/>
  <c r="H50" i="28"/>
  <c r="H10" i="28" s="1"/>
  <c r="E158" i="28"/>
  <c r="D203" i="28"/>
  <c r="C148" i="28"/>
  <c r="N170" i="39"/>
  <c r="H216" i="28"/>
  <c r="T157" i="28"/>
  <c r="L54" i="28"/>
  <c r="L14" i="28" s="1"/>
  <c r="O104" i="28"/>
  <c r="Q231" i="28"/>
  <c r="K60" i="28"/>
  <c r="K20" i="28" s="1"/>
  <c r="R142" i="28"/>
  <c r="D206" i="28"/>
  <c r="Y134" i="28"/>
  <c r="W200" i="28"/>
  <c r="U72" i="28"/>
  <c r="U32" i="28" s="1"/>
  <c r="Y65" i="28"/>
  <c r="Y25" i="28" s="1"/>
  <c r="W82" i="28"/>
  <c r="W42" i="28" s="1"/>
  <c r="P104" i="28"/>
  <c r="R178" i="28"/>
  <c r="U110" i="28"/>
  <c r="K95" i="28"/>
  <c r="V91" i="28"/>
  <c r="F67" i="28"/>
  <c r="F27" i="28" s="1"/>
  <c r="H118" i="28"/>
  <c r="V244" i="28"/>
  <c r="N142" i="28"/>
  <c r="R104" i="28"/>
  <c r="F92" i="28"/>
  <c r="T172" i="28"/>
  <c r="O70" i="28"/>
  <c r="O30" i="28" s="1"/>
  <c r="I190" i="28"/>
  <c r="T188" i="28"/>
  <c r="I72" i="28"/>
  <c r="I32" i="28" s="1"/>
  <c r="U217" i="28"/>
  <c r="H226" i="28"/>
  <c r="K144" i="28"/>
  <c r="J131" i="28"/>
  <c r="S58" i="28"/>
  <c r="S18" i="28" s="1"/>
  <c r="S85" i="28"/>
  <c r="S45" i="28" s="1"/>
  <c r="C177" i="28"/>
  <c r="H133" i="28"/>
  <c r="O120" i="28"/>
  <c r="C61" i="28"/>
  <c r="C21" i="28" s="1"/>
  <c r="H173" i="28"/>
  <c r="R151" i="28"/>
  <c r="Q135" i="28"/>
  <c r="E109" i="28"/>
  <c r="H61" i="28"/>
  <c r="H21" i="28" s="1"/>
  <c r="L105" i="28"/>
  <c r="D235" i="28"/>
  <c r="I82" i="28"/>
  <c r="I42" i="28" s="1"/>
  <c r="E150" i="28"/>
  <c r="D145" i="28"/>
  <c r="C195" i="28"/>
  <c r="Q239" i="28"/>
  <c r="K50" i="28"/>
  <c r="K10" i="28" s="1"/>
  <c r="V198" i="28"/>
  <c r="R194" i="28"/>
  <c r="W212" i="28"/>
  <c r="C50" i="28"/>
  <c r="C10" i="28" s="1"/>
  <c r="R117" i="28"/>
  <c r="H159" i="28"/>
  <c r="L114" i="28"/>
  <c r="U123" i="28"/>
  <c r="S170" i="28"/>
  <c r="L188" i="28"/>
  <c r="Q233" i="28"/>
  <c r="X117" i="28"/>
  <c r="N227" i="28"/>
  <c r="V226" i="28"/>
  <c r="N180" i="28"/>
  <c r="F225" i="28"/>
  <c r="Q163" i="28"/>
  <c r="E64" i="28"/>
  <c r="E24" i="28" s="1"/>
  <c r="F111" i="28"/>
  <c r="J217" i="28"/>
  <c r="E56" i="28"/>
  <c r="E16" i="28" s="1"/>
  <c r="R171" i="28"/>
  <c r="R152" i="28"/>
  <c r="L152" i="28"/>
  <c r="M51" i="28"/>
  <c r="M11" i="28" s="1"/>
  <c r="T57" i="28"/>
  <c r="T17" i="28" s="1"/>
  <c r="Q161" i="28"/>
  <c r="F230" i="28"/>
  <c r="N204" i="28"/>
  <c r="K71" i="28"/>
  <c r="K31" i="28" s="1"/>
  <c r="R79" i="28"/>
  <c r="R39" i="28" s="1"/>
  <c r="O238" i="28"/>
  <c r="Q241" i="28"/>
  <c r="P113" i="28"/>
  <c r="L215" i="28"/>
  <c r="I152" i="28"/>
  <c r="L106" i="28"/>
  <c r="S153" i="28"/>
  <c r="U210" i="28"/>
  <c r="I245" i="28"/>
  <c r="Y111" i="28"/>
  <c r="X99" i="28"/>
  <c r="O199" i="28"/>
  <c r="R165" i="28"/>
  <c r="G146" i="28"/>
  <c r="I154" i="28"/>
  <c r="U139" i="28"/>
  <c r="V147" i="28"/>
  <c r="D198" i="28"/>
  <c r="V75" i="28"/>
  <c r="V35" i="28" s="1"/>
  <c r="J79" i="28"/>
  <c r="J39" i="28" s="1"/>
  <c r="Q186" i="28"/>
  <c r="I236" i="28"/>
  <c r="P135" i="28"/>
  <c r="R230" i="28"/>
  <c r="U184" i="28"/>
  <c r="W126" i="28"/>
  <c r="H187" i="28"/>
  <c r="H99" i="28"/>
  <c r="X76" i="28"/>
  <c r="X36" i="28" s="1"/>
  <c r="V108" i="28"/>
  <c r="P107" i="28"/>
  <c r="C83" i="28"/>
  <c r="C43" i="28" s="1"/>
  <c r="G160" i="28"/>
  <c r="O117" i="28"/>
  <c r="E149" i="28"/>
  <c r="E95" i="28"/>
  <c r="Q60" i="28"/>
  <c r="Q20" i="28" s="1"/>
  <c r="W131" i="28"/>
  <c r="T93" i="28"/>
  <c r="G227" i="28"/>
  <c r="T95" i="28"/>
  <c r="J61" i="28"/>
  <c r="J21" i="28" s="1"/>
  <c r="Y100" i="28"/>
  <c r="D114" i="28"/>
  <c r="L99" i="28"/>
  <c r="H135" i="28"/>
  <c r="P57" i="28"/>
  <c r="P17" i="28" s="1"/>
  <c r="O142" i="28"/>
  <c r="J160" i="28"/>
  <c r="E224" i="28"/>
  <c r="I215" i="28"/>
  <c r="P74" i="28"/>
  <c r="P34" i="28" s="1"/>
  <c r="N92" i="28"/>
  <c r="U65" i="28"/>
  <c r="U25" i="28" s="1"/>
  <c r="R96" i="28"/>
  <c r="W240" i="28"/>
  <c r="Q140" i="28"/>
  <c r="G60" i="28"/>
  <c r="G20" i="28" s="1"/>
  <c r="Y170" i="28"/>
  <c r="P96" i="28"/>
  <c r="C62" i="28"/>
  <c r="C22" i="28" s="1"/>
  <c r="N157" i="28"/>
  <c r="E119" i="28"/>
  <c r="V56" i="28"/>
  <c r="V16" i="28" s="1"/>
  <c r="M152" i="28"/>
  <c r="N182" i="28"/>
  <c r="S74" i="28"/>
  <c r="S34" i="28" s="1"/>
  <c r="C140" i="28"/>
  <c r="P51" i="28"/>
  <c r="P11" i="28" s="1"/>
  <c r="F125" i="28"/>
  <c r="M224" i="28"/>
  <c r="N81" i="28"/>
  <c r="N41" i="28" s="1"/>
  <c r="E70" i="28"/>
  <c r="E30" i="28" s="1"/>
  <c r="I98" i="28"/>
  <c r="F134" i="28"/>
  <c r="M84" i="28"/>
  <c r="M44" i="28" s="1"/>
  <c r="T235" i="28"/>
  <c r="D218" i="28"/>
  <c r="M147" i="28"/>
  <c r="I202" i="28"/>
  <c r="O213" i="28"/>
  <c r="W107" i="28"/>
  <c r="O101" i="28"/>
  <c r="G159" i="28"/>
  <c r="Y55" i="28"/>
  <c r="Y15" i="28" s="1"/>
  <c r="H115" i="28"/>
  <c r="O228" i="28"/>
  <c r="T220" i="28"/>
  <c r="O106" i="28"/>
  <c r="O186" i="28"/>
  <c r="V145" i="28"/>
  <c r="N158" i="28"/>
  <c r="Q158" i="28"/>
  <c r="G196" i="28"/>
  <c r="D152" i="28"/>
  <c r="G126" i="28"/>
  <c r="T113" i="28"/>
  <c r="G77" i="28"/>
  <c r="G37" i="28" s="1"/>
  <c r="O216" i="28"/>
  <c r="H150" i="28"/>
  <c r="P189" i="28"/>
  <c r="L115" i="28"/>
  <c r="X53" i="28"/>
  <c r="X13" i="28" s="1"/>
  <c r="Y148" i="28"/>
  <c r="W138" i="28"/>
  <c r="I133" i="28"/>
  <c r="W67" i="28"/>
  <c r="W27" i="28" s="1"/>
  <c r="H210" i="28"/>
  <c r="Y183" i="28"/>
  <c r="G158" i="28"/>
  <c r="U130" i="28"/>
  <c r="S212" i="28"/>
  <c r="P77" i="28"/>
  <c r="P37" i="28" s="1"/>
  <c r="V228" i="28"/>
  <c r="G152" i="28"/>
  <c r="L69" i="28"/>
  <c r="L29" i="28" s="1"/>
  <c r="M217" i="28"/>
  <c r="O115" i="28"/>
  <c r="E58" i="28"/>
  <c r="E18" i="28" s="1"/>
  <c r="X155" i="28"/>
  <c r="H161" i="28"/>
  <c r="R224" i="28"/>
  <c r="E195" i="28"/>
  <c r="U137" i="28"/>
  <c r="F196" i="28"/>
  <c r="U188" i="28"/>
  <c r="C56" i="28"/>
  <c r="C16" i="28" s="1"/>
  <c r="U166" i="28"/>
  <c r="X100" i="28"/>
  <c r="D180" i="28"/>
  <c r="G177" i="28"/>
  <c r="F50" i="28"/>
  <c r="F10" i="28" s="1"/>
  <c r="O114" i="28"/>
  <c r="K143" i="28"/>
  <c r="D244" i="28"/>
  <c r="Y60" i="28"/>
  <c r="Y20" i="28" s="1"/>
  <c r="I55" i="28"/>
  <c r="I15" i="28" s="1"/>
  <c r="G225" i="28"/>
  <c r="J222" i="28"/>
  <c r="N166" i="28"/>
  <c r="T224" i="28"/>
  <c r="O156" i="28"/>
  <c r="G107" i="28"/>
  <c r="V134" i="28"/>
  <c r="I174" i="28"/>
  <c r="F224" i="28"/>
  <c r="I193" i="28"/>
  <c r="N175" i="28"/>
  <c r="U103" i="28"/>
  <c r="D68" i="28"/>
  <c r="D28" i="28" s="1"/>
  <c r="I185" i="28"/>
  <c r="I198" i="28"/>
  <c r="J107" i="28"/>
  <c r="S68" i="28"/>
  <c r="S28" i="28" s="1"/>
  <c r="G56" i="28"/>
  <c r="G16" i="28" s="1"/>
  <c r="W98" i="28"/>
  <c r="L164" i="28"/>
  <c r="T159" i="28"/>
  <c r="L163" i="28"/>
  <c r="C131" i="28"/>
  <c r="O210" i="28"/>
  <c r="M93" i="28"/>
  <c r="T211" i="28"/>
  <c r="O141" i="28"/>
  <c r="S105" i="28"/>
  <c r="Q70" i="28"/>
  <c r="Q30" i="28" s="1"/>
  <c r="K115" i="28"/>
  <c r="Q225" i="28"/>
  <c r="S106" i="28"/>
  <c r="U57" i="28"/>
  <c r="U17" i="28" s="1"/>
  <c r="J137" i="28"/>
  <c r="H203" i="28"/>
  <c r="O90" i="28"/>
  <c r="L242" i="28"/>
  <c r="Q190" i="28"/>
  <c r="K199" i="28"/>
  <c r="H231" i="28"/>
  <c r="C107" i="28"/>
  <c r="X132" i="28"/>
  <c r="H65" i="28"/>
  <c r="H25" i="28" s="1"/>
  <c r="D95" i="28"/>
  <c r="X80" i="28"/>
  <c r="X40" i="28" s="1"/>
  <c r="M205" i="28"/>
  <c r="Y155" i="28"/>
  <c r="C175" i="28"/>
  <c r="I78" i="28"/>
  <c r="I38" i="28" s="1"/>
  <c r="S185" i="28"/>
  <c r="C76" i="28"/>
  <c r="C36" i="28" s="1"/>
  <c r="M120" i="28"/>
  <c r="Q126" i="28"/>
  <c r="L111" i="28"/>
  <c r="Y202" i="28"/>
  <c r="S182" i="28"/>
  <c r="L186" i="28"/>
  <c r="C105" i="28"/>
  <c r="F124" i="28"/>
  <c r="S99" i="28"/>
  <c r="Q223" i="28"/>
  <c r="M194" i="28"/>
  <c r="F184" i="28"/>
  <c r="L171" i="28"/>
  <c r="Q200" i="28"/>
  <c r="P195" i="28"/>
  <c r="S63" i="28"/>
  <c r="S23" i="28" s="1"/>
  <c r="T72" i="28"/>
  <c r="T32" i="28" s="1"/>
  <c r="M141" i="28"/>
  <c r="O170" i="28"/>
  <c r="D125" i="28"/>
  <c r="L68" i="28"/>
  <c r="L28" i="28" s="1"/>
  <c r="T140" i="28"/>
  <c r="P147" i="28"/>
  <c r="O185" i="28"/>
  <c r="L136" i="28"/>
  <c r="D117" i="28"/>
  <c r="V159" i="28"/>
  <c r="W57" i="28"/>
  <c r="W17" i="28" s="1"/>
  <c r="E120" i="28"/>
  <c r="X180" i="28"/>
  <c r="V163" i="28"/>
  <c r="X63" i="28"/>
  <c r="X23" i="28" s="1"/>
  <c r="F203" i="28"/>
  <c r="Y156" i="28"/>
  <c r="J50" i="28"/>
  <c r="J10" i="28" s="1"/>
  <c r="O100" i="28"/>
  <c r="U121" i="28"/>
  <c r="G235" i="28"/>
  <c r="V236" i="28"/>
  <c r="R239" i="28"/>
  <c r="O161" i="28"/>
  <c r="J213" i="28"/>
  <c r="I166" i="28"/>
  <c r="E236" i="28"/>
  <c r="R154" i="28"/>
  <c r="N152" i="28"/>
  <c r="Y218" i="28"/>
  <c r="T131" i="28"/>
  <c r="T177" i="39"/>
  <c r="J175" i="28"/>
  <c r="K223" i="28"/>
  <c r="Q192" i="28"/>
  <c r="E242" i="28"/>
  <c r="V171" i="28"/>
  <c r="O108" i="28"/>
  <c r="E206" i="28"/>
  <c r="U150" i="28"/>
  <c r="J182" i="28"/>
  <c r="T177" i="28"/>
  <c r="J246" i="28"/>
  <c r="I136" i="28"/>
  <c r="Y238" i="28"/>
  <c r="P197" i="28"/>
  <c r="O50" i="28"/>
  <c r="O10" i="28" s="1"/>
  <c r="N183" i="28"/>
  <c r="O244" i="28"/>
  <c r="Y215" i="28"/>
  <c r="Y206" i="28"/>
  <c r="U237" i="28"/>
  <c r="R227" i="28"/>
  <c r="I232" i="28"/>
  <c r="K232" i="28"/>
  <c r="X146" i="28"/>
  <c r="O192" i="28"/>
  <c r="N230" i="28"/>
  <c r="M117" i="28"/>
  <c r="Y242" i="28"/>
  <c r="D163" i="28"/>
  <c r="T142" i="28"/>
  <c r="S110" i="28"/>
  <c r="K230" i="28"/>
  <c r="D139" i="28"/>
  <c r="U51" i="28"/>
  <c r="U11" i="28" s="1"/>
  <c r="Y106" i="28"/>
  <c r="W118" i="28"/>
  <c r="T217" i="28"/>
  <c r="H78" i="28"/>
  <c r="H38" i="28" s="1"/>
  <c r="U119" i="28"/>
  <c r="K214" i="28"/>
  <c r="X174" i="28"/>
  <c r="T126" i="28"/>
  <c r="L84" i="28"/>
  <c r="L44" i="28" s="1"/>
  <c r="P166" i="28"/>
  <c r="T77" i="28"/>
  <c r="T37" i="28" s="1"/>
  <c r="Q166" i="28"/>
  <c r="M187" i="28"/>
  <c r="D197" i="28"/>
  <c r="D108" i="28"/>
  <c r="V68" i="28"/>
  <c r="V28" i="28" s="1"/>
  <c r="T68" i="28"/>
  <c r="T28" i="28" s="1"/>
  <c r="P133" i="28"/>
  <c r="X69" i="28"/>
  <c r="X29" i="28" s="1"/>
  <c r="Q215" i="28"/>
  <c r="P153" i="28"/>
  <c r="F221" i="28"/>
  <c r="W120" i="28"/>
  <c r="P163" i="28"/>
  <c r="O245" i="28"/>
  <c r="G134" i="28"/>
  <c r="K74" i="28"/>
  <c r="K34" i="28" s="1"/>
  <c r="E245" i="28"/>
  <c r="M109" i="28"/>
  <c r="P108" i="28"/>
  <c r="Q133" i="28"/>
  <c r="L185" i="28"/>
  <c r="S98" i="28"/>
  <c r="F139" i="28"/>
  <c r="J82" i="28"/>
  <c r="J42" i="28" s="1"/>
  <c r="Q245" i="28"/>
  <c r="E96" i="28"/>
  <c r="P202" i="28"/>
  <c r="O59" i="28"/>
  <c r="O19" i="28" s="1"/>
  <c r="R199" i="28"/>
  <c r="T194" i="28"/>
  <c r="M160" i="28"/>
  <c r="N75" i="28"/>
  <c r="N35" i="28" s="1"/>
  <c r="P93" i="28"/>
  <c r="L200" i="28"/>
  <c r="I229" i="28"/>
  <c r="J56" i="28"/>
  <c r="J16" i="28" s="1"/>
  <c r="F101" i="28"/>
  <c r="V60" i="28"/>
  <c r="V20" i="28" s="1"/>
  <c r="R59" i="28"/>
  <c r="R19" i="28" s="1"/>
  <c r="H70" i="28"/>
  <c r="H30" i="28" s="1"/>
  <c r="C154" i="28"/>
  <c r="L100" i="28"/>
  <c r="E191" i="28"/>
  <c r="H97" i="28"/>
  <c r="F113" i="28"/>
  <c r="C189" i="28"/>
  <c r="W195" i="28"/>
  <c r="Q96" i="28"/>
  <c r="Q173" i="28"/>
  <c r="X246" i="28"/>
  <c r="E244" i="28"/>
  <c r="L235" i="28"/>
  <c r="Q240" i="28"/>
  <c r="P234" i="28"/>
  <c r="H122" i="28"/>
  <c r="E92" i="28"/>
  <c r="M150" i="28"/>
  <c r="L178" i="28"/>
  <c r="L177" i="39"/>
  <c r="C118" i="28"/>
  <c r="W243" i="28"/>
  <c r="K155" i="28"/>
  <c r="E166" i="28"/>
  <c r="K187" i="28"/>
  <c r="Q52" i="28"/>
  <c r="Q12" i="28" s="1"/>
  <c r="X218" i="28"/>
  <c r="L243" i="28"/>
  <c r="V142" i="28"/>
  <c r="G236" i="28"/>
  <c r="O151" i="28"/>
  <c r="T123" i="28"/>
  <c r="D192" i="28"/>
  <c r="E198" i="28"/>
  <c r="Y76" i="28"/>
  <c r="Y36" i="28" s="1"/>
  <c r="I212" i="28"/>
  <c r="H180" i="28"/>
  <c r="J194" i="28"/>
  <c r="E182" i="28"/>
  <c r="X241" i="28"/>
  <c r="M182" i="28"/>
  <c r="T164" i="28"/>
  <c r="T146" i="28"/>
  <c r="Y85" i="28"/>
  <c r="Y45" i="28" s="1"/>
  <c r="V133" i="28"/>
  <c r="F186" i="28"/>
  <c r="O204" i="28"/>
  <c r="M155" i="28"/>
  <c r="W97" i="28"/>
  <c r="Y135" i="28"/>
  <c r="N211" i="28"/>
  <c r="W56" i="28"/>
  <c r="W16" i="28" s="1"/>
  <c r="O75" i="28"/>
  <c r="O35" i="28" s="1"/>
  <c r="X161" i="28"/>
  <c r="I86" i="28"/>
  <c r="I46" i="28" s="1"/>
  <c r="P56" i="28"/>
  <c r="P16" i="28" s="1"/>
  <c r="J238" i="28"/>
  <c r="P174" i="28"/>
  <c r="C158" i="28"/>
  <c r="D185" i="28"/>
  <c r="P214" i="28"/>
  <c r="V54" i="28"/>
  <c r="V14" i="28" s="1"/>
  <c r="E231" i="28"/>
  <c r="M105" i="28"/>
  <c r="P223" i="28"/>
  <c r="H144" i="28"/>
  <c r="G138" i="28"/>
  <c r="M220" i="28"/>
  <c r="N51" i="28"/>
  <c r="N11" i="28" s="1"/>
  <c r="R95" i="28"/>
  <c r="P83" i="28"/>
  <c r="P43" i="28" s="1"/>
  <c r="F245" i="28"/>
  <c r="E205" i="28"/>
  <c r="K100" i="28"/>
  <c r="R188" i="28"/>
  <c r="O196" i="28"/>
  <c r="R51" i="28"/>
  <c r="R11" i="28" s="1"/>
  <c r="S194" i="28"/>
  <c r="S190" i="28"/>
  <c r="K79" i="28"/>
  <c r="K39" i="28" s="1"/>
  <c r="C210" i="28"/>
  <c r="K160" i="28"/>
  <c r="I59" i="28"/>
  <c r="I19" i="28" s="1"/>
  <c r="M78" i="28"/>
  <c r="M38" i="28" s="1"/>
  <c r="W170" i="28"/>
  <c r="H90" i="28"/>
  <c r="X228" i="28"/>
  <c r="M238" i="28"/>
  <c r="E77" i="28"/>
  <c r="E37" i="28" s="1"/>
  <c r="R198" i="28"/>
  <c r="D118" i="28"/>
  <c r="R63" i="28"/>
  <c r="R23" i="28" s="1"/>
  <c r="N233" i="28"/>
  <c r="Y194" i="28"/>
  <c r="L71" i="28"/>
  <c r="L31" i="28" s="1"/>
  <c r="U106" i="28"/>
  <c r="V237" i="28"/>
  <c r="K114" i="28"/>
  <c r="I96" i="28"/>
  <c r="P132" i="28"/>
  <c r="V194" i="28"/>
  <c r="Q72" i="28"/>
  <c r="Q32" i="28" s="1"/>
  <c r="K75" i="28"/>
  <c r="K35" i="28" s="1"/>
  <c r="W51" i="28"/>
  <c r="W11" i="28" s="1"/>
  <c r="S198" i="28"/>
  <c r="O171" i="28"/>
  <c r="F210" i="28"/>
  <c r="X79" i="28"/>
  <c r="X39" i="28" s="1"/>
  <c r="P228" i="28"/>
  <c r="Q187" i="28"/>
  <c r="U82" i="28"/>
  <c r="U42" i="28" s="1"/>
  <c r="N60" i="28"/>
  <c r="N20" i="28" s="1"/>
  <c r="C130" i="28"/>
  <c r="O177" i="28"/>
  <c r="G210" i="28"/>
  <c r="Y195" i="28"/>
  <c r="N213" i="28"/>
  <c r="T147" i="28"/>
  <c r="T197" i="28"/>
  <c r="G238" i="28"/>
  <c r="D142" i="28"/>
  <c r="D86" i="28"/>
  <c r="D46" i="28" s="1"/>
  <c r="X217" i="28"/>
  <c r="Q172" i="28"/>
  <c r="N82" i="28"/>
  <c r="N42" i="28" s="1"/>
  <c r="O203" i="28"/>
  <c r="W85" i="28"/>
  <c r="W45" i="28" s="1"/>
  <c r="X165" i="28"/>
  <c r="F242" i="28"/>
  <c r="F79" i="28"/>
  <c r="F39" i="28" s="1"/>
  <c r="L232" i="28"/>
  <c r="L238" i="28"/>
  <c r="E194" i="28"/>
  <c r="I83" i="28"/>
  <c r="I43" i="28" s="1"/>
  <c r="U197" i="28"/>
  <c r="L176" i="28"/>
  <c r="M171" i="28"/>
  <c r="X115" i="28"/>
  <c r="F118" i="28"/>
  <c r="T181" i="28"/>
  <c r="N216" i="28"/>
  <c r="S225" i="28"/>
  <c r="F95" i="28"/>
  <c r="X191" i="28"/>
  <c r="M63" i="28"/>
  <c r="M23" i="28" s="1"/>
  <c r="U171" i="28"/>
  <c r="V66" i="28"/>
  <c r="V26" i="28" s="1"/>
  <c r="V103" i="28"/>
  <c r="Y178" i="28"/>
  <c r="R53" i="28"/>
  <c r="R13" i="28" s="1"/>
  <c r="J151" i="28"/>
  <c r="N144" i="28"/>
  <c r="E177" i="28"/>
  <c r="R118" i="28"/>
  <c r="N77" i="28"/>
  <c r="N37" i="28" s="1"/>
  <c r="Y232" i="28"/>
  <c r="J179" i="28"/>
  <c r="G135" i="28"/>
  <c r="P185" i="28"/>
  <c r="G74" i="28"/>
  <c r="G34" i="28" s="1"/>
  <c r="W80" i="28"/>
  <c r="W40" i="28" s="1"/>
  <c r="W116" i="28"/>
  <c r="O231" i="28"/>
  <c r="G62" i="28"/>
  <c r="G22" i="28" s="1"/>
  <c r="S218" i="28"/>
  <c r="M211" i="28"/>
  <c r="L64" i="28"/>
  <c r="L24" i="28" s="1"/>
  <c r="U50" i="28"/>
  <c r="U10" i="28" s="1"/>
  <c r="K227" i="28"/>
  <c r="N212" i="28"/>
  <c r="Y177" i="28"/>
  <c r="X123" i="28"/>
  <c r="K280" i="97"/>
  <c r="D94" i="28"/>
  <c r="P146" i="28"/>
  <c r="J52" i="28"/>
  <c r="J12" i="28" s="1"/>
  <c r="E116" i="28"/>
  <c r="Q101" i="28"/>
  <c r="T226" i="28"/>
  <c r="X84" i="28"/>
  <c r="X44" i="28" s="1"/>
  <c r="D193" i="28"/>
  <c r="Q152" i="28"/>
  <c r="T199" i="28"/>
  <c r="T130" i="28"/>
  <c r="C236" i="28"/>
  <c r="R92" i="28"/>
  <c r="P235" i="28"/>
  <c r="J150" i="28"/>
  <c r="V136" i="28"/>
  <c r="R58" i="28"/>
  <c r="R18" i="28" s="1"/>
  <c r="X200" i="28"/>
  <c r="L119" i="28"/>
  <c r="S60" i="28"/>
  <c r="S20" i="28" s="1"/>
  <c r="O163" i="28"/>
  <c r="Q136" i="28"/>
  <c r="L228" i="28"/>
  <c r="Q98" i="28"/>
  <c r="D256" i="28"/>
  <c r="W94" i="28"/>
  <c r="D147" i="28"/>
  <c r="Y66" i="28"/>
  <c r="Y26" i="28" s="1"/>
  <c r="P106" i="28"/>
  <c r="W158" i="28"/>
  <c r="D173" i="39"/>
  <c r="Q109" i="28"/>
  <c r="D134" i="28"/>
  <c r="U159" i="28"/>
  <c r="P176" i="28"/>
  <c r="D148" i="28"/>
  <c r="K178" i="28"/>
  <c r="Y71" i="28"/>
  <c r="Y31" i="28" s="1"/>
  <c r="G57" i="28"/>
  <c r="G17" i="28" s="1"/>
  <c r="L61" i="28"/>
  <c r="L21" i="28" s="1"/>
  <c r="R112" i="28"/>
  <c r="V158" i="28"/>
  <c r="P158" i="28"/>
  <c r="V229" i="28"/>
  <c r="X244" i="28"/>
  <c r="H125" i="28"/>
  <c r="M52" i="28"/>
  <c r="M12" i="28" s="1"/>
  <c r="Q105" i="28"/>
  <c r="L70" i="28"/>
  <c r="L30" i="28" s="1"/>
  <c r="Y226" i="28"/>
  <c r="K98" i="28"/>
  <c r="E156" i="28"/>
  <c r="F140" i="28"/>
  <c r="X238" i="28"/>
  <c r="M166" i="28"/>
  <c r="Y216" i="28"/>
  <c r="P75" i="28"/>
  <c r="P35" i="28" s="1"/>
  <c r="R200" i="28"/>
  <c r="G70" i="28"/>
  <c r="G30" i="28" s="1"/>
  <c r="G61" i="28"/>
  <c r="G21" i="28" s="1"/>
  <c r="E122" i="28"/>
  <c r="E155" i="28"/>
  <c r="Y136" i="28"/>
  <c r="C59" i="28"/>
  <c r="C19" i="28" s="1"/>
  <c r="R100" i="28"/>
  <c r="W79" i="28"/>
  <c r="W39" i="28" s="1"/>
  <c r="O53" i="28"/>
  <c r="O13" i="28" s="1"/>
  <c r="R90" i="28"/>
  <c r="C119" i="28"/>
  <c r="R72" i="28"/>
  <c r="R32" i="28" s="1"/>
  <c r="O124" i="28"/>
  <c r="G101" i="28"/>
  <c r="U101" i="28"/>
  <c r="C227" i="28"/>
  <c r="J93" i="28"/>
  <c r="E144" i="28"/>
  <c r="D227" i="28"/>
  <c r="W121" i="28"/>
  <c r="X78" i="28"/>
  <c r="X38" i="28" s="1"/>
  <c r="T79" i="28"/>
  <c r="T39" i="28" s="1"/>
  <c r="Y166" i="28"/>
  <c r="V105" i="28"/>
  <c r="F223" i="28"/>
  <c r="L77" i="28"/>
  <c r="L37" i="28" s="1"/>
  <c r="M57" i="28"/>
  <c r="M17" i="28" s="1"/>
  <c r="X124" i="28"/>
  <c r="Y154" i="28"/>
  <c r="H177" i="28"/>
  <c r="N188" i="28"/>
  <c r="Y79" i="28"/>
  <c r="Y39" i="28" s="1"/>
  <c r="T176" i="28"/>
  <c r="Y53" i="28"/>
  <c r="Y13" i="28" s="1"/>
  <c r="J100" i="28"/>
  <c r="R110" i="28"/>
  <c r="P95" i="28"/>
  <c r="J126" i="28"/>
  <c r="W221" i="28"/>
  <c r="M227" i="28"/>
  <c r="J201" i="28"/>
  <c r="Q92" i="28"/>
  <c r="U211" i="28"/>
  <c r="S221" i="28"/>
  <c r="G226" i="28"/>
  <c r="X152" i="28"/>
  <c r="W210" i="28"/>
  <c r="C160" i="28"/>
  <c r="J184" i="28"/>
  <c r="N202" i="28"/>
  <c r="E240" i="28"/>
  <c r="S121" i="28"/>
  <c r="Q164" i="28"/>
  <c r="R73" i="28"/>
  <c r="R33" i="28" s="1"/>
  <c r="K188" i="28"/>
  <c r="I109" i="28"/>
  <c r="W165" i="28"/>
  <c r="F130" i="28"/>
  <c r="W59" i="28"/>
  <c r="W19" i="28" s="1"/>
  <c r="G104" i="28"/>
  <c r="J231" i="28"/>
  <c r="X66" i="28"/>
  <c r="X26" i="28" s="1"/>
  <c r="O162" i="28"/>
  <c r="D106" i="28"/>
  <c r="J212" i="28"/>
  <c r="K81" i="28"/>
  <c r="K41" i="28" s="1"/>
  <c r="Q73" i="28"/>
  <c r="Q33" i="28" s="1"/>
  <c r="L165" i="28"/>
  <c r="E133" i="28"/>
  <c r="P224" i="28"/>
  <c r="F65" i="28"/>
  <c r="F25" i="28" s="1"/>
  <c r="Q171" i="28"/>
  <c r="D85" i="28"/>
  <c r="D45" i="28" s="1"/>
  <c r="E220" i="28"/>
  <c r="R170" i="39"/>
  <c r="V199" i="28"/>
  <c r="G197" i="28"/>
  <c r="Q85" i="28"/>
  <c r="Q45" i="28" s="1"/>
  <c r="K63" i="28"/>
  <c r="K23" i="28" s="1"/>
  <c r="E161" i="28"/>
  <c r="T166" i="28"/>
  <c r="T186" i="28"/>
  <c r="T110" i="28"/>
  <c r="T145" i="28"/>
  <c r="P245" i="28"/>
  <c r="X221" i="28"/>
  <c r="U145" i="28"/>
  <c r="D80" i="28"/>
  <c r="D40" i="28" s="1"/>
  <c r="L92" i="28"/>
  <c r="V130" i="28"/>
  <c r="Y80" i="28"/>
  <c r="Y40" i="28" s="1"/>
  <c r="G147" i="28"/>
  <c r="H58" i="28"/>
  <c r="H18" i="28" s="1"/>
  <c r="W148" i="28"/>
  <c r="D65" i="28"/>
  <c r="D25" i="28" s="1"/>
  <c r="F64" i="28"/>
  <c r="F24" i="28" s="1"/>
  <c r="S156" i="28"/>
  <c r="V120" i="28"/>
  <c r="N187" i="28"/>
  <c r="U61" i="28"/>
  <c r="U21" i="28" s="1"/>
  <c r="C203" i="28"/>
  <c r="F183" i="28"/>
  <c r="L65" i="28"/>
  <c r="L25" i="28" s="1"/>
  <c r="U177" i="28"/>
  <c r="V118" i="28"/>
  <c r="V97" i="28"/>
  <c r="P215" i="28"/>
  <c r="P110" i="28"/>
  <c r="L166" i="28"/>
  <c r="L233" i="28"/>
  <c r="N234" i="28"/>
  <c r="C217" i="28"/>
  <c r="M191" i="28"/>
  <c r="C200" i="28"/>
  <c r="V179" i="28"/>
  <c r="O67" i="28"/>
  <c r="O27" i="28" s="1"/>
  <c r="J130" i="28"/>
  <c r="O194" i="28"/>
  <c r="O119" i="28"/>
  <c r="N148" i="28"/>
  <c r="X235" i="28"/>
  <c r="Y159" i="28"/>
  <c r="C70" i="28"/>
  <c r="C30" i="28" s="1"/>
  <c r="F237" i="28"/>
  <c r="L225" i="28"/>
  <c r="C124" i="28"/>
  <c r="D54" i="28"/>
  <c r="D14" i="28" s="1"/>
  <c r="I184" i="28"/>
  <c r="O76" i="28"/>
  <c r="O36" i="28" s="1"/>
  <c r="L117" i="28"/>
  <c r="H236" i="28"/>
  <c r="O98" i="28"/>
  <c r="M210" i="28"/>
  <c r="O155" i="28"/>
  <c r="L198" i="28"/>
  <c r="Y58" i="28"/>
  <c r="Y18" i="28" s="1"/>
  <c r="L184" i="28"/>
  <c r="C120" i="28"/>
  <c r="K133" i="28"/>
  <c r="G58" i="28"/>
  <c r="G18" i="28" s="1"/>
  <c r="Y212" i="28"/>
  <c r="M140" i="28"/>
  <c r="Y81" i="28"/>
  <c r="Y41" i="28" s="1"/>
  <c r="Q165" i="28"/>
  <c r="R138" i="28"/>
  <c r="P72" i="28"/>
  <c r="P32" i="28" s="1"/>
  <c r="P112" i="28"/>
  <c r="P161" i="28"/>
  <c r="K201" i="28"/>
  <c r="L98" i="28"/>
  <c r="R228" i="28"/>
  <c r="W202" i="28"/>
  <c r="W134" i="28"/>
  <c r="V143" i="28"/>
  <c r="K195" i="28"/>
  <c r="F133" i="28"/>
  <c r="H77" i="28"/>
  <c r="H37" i="28" s="1"/>
  <c r="J63" i="28"/>
  <c r="J23" i="28" s="1"/>
  <c r="V212" i="28"/>
  <c r="H192" i="28"/>
  <c r="K238" i="28"/>
  <c r="L138" i="28"/>
  <c r="M138" i="28"/>
  <c r="J53" i="28"/>
  <c r="J13" i="28" s="1"/>
  <c r="Y143" i="28"/>
  <c r="E213" i="28"/>
  <c r="P85" i="28"/>
  <c r="P45" i="28" s="1"/>
  <c r="J70" i="28"/>
  <c r="J30" i="28" s="1"/>
  <c r="J216" i="28"/>
  <c r="V238" i="28"/>
  <c r="T191" i="28"/>
  <c r="Q214" i="28"/>
  <c r="I75" i="28"/>
  <c r="I35" i="28" s="1"/>
  <c r="W111" i="28"/>
  <c r="E187" i="28"/>
  <c r="X104" i="28"/>
  <c r="I197" i="28"/>
  <c r="Y142" i="28"/>
  <c r="J86" i="28"/>
  <c r="J46" i="28" s="1"/>
  <c r="U141" i="28"/>
  <c r="F86" i="28"/>
  <c r="F46" i="28" s="1"/>
  <c r="K175" i="28"/>
  <c r="S150" i="28"/>
  <c r="L60" i="28"/>
  <c r="L20" i="28" s="1"/>
  <c r="O85" i="28"/>
  <c r="O45" i="28" s="1"/>
  <c r="H73" i="28"/>
  <c r="H33" i="28" s="1"/>
  <c r="V153" i="28"/>
  <c r="E192" i="28"/>
  <c r="E132" i="28"/>
  <c r="S139" i="28"/>
  <c r="C170" i="28"/>
  <c r="T221" i="28"/>
  <c r="O94" i="28"/>
  <c r="M139" i="28"/>
  <c r="O91" i="28"/>
  <c r="L172" i="28"/>
  <c r="G132" i="28"/>
  <c r="L199" i="28"/>
  <c r="S240" i="28"/>
  <c r="K241" i="28"/>
  <c r="H141" i="28"/>
  <c r="C112" i="28"/>
  <c r="T202" i="28"/>
  <c r="T97" i="28"/>
  <c r="Y225" i="28"/>
  <c r="G151" i="28"/>
  <c r="I246" i="28"/>
  <c r="H198" i="28"/>
  <c r="Q175" i="28"/>
  <c r="R91" i="28"/>
  <c r="E93" i="28"/>
  <c r="P63" i="28"/>
  <c r="P23" i="28" s="1"/>
  <c r="W108" i="28"/>
  <c r="M199" i="28"/>
  <c r="H223" i="28"/>
  <c r="G190" i="28"/>
  <c r="N155" i="28"/>
  <c r="L214" i="28"/>
  <c r="S159" i="28"/>
  <c r="I142" i="28"/>
  <c r="S111" i="28"/>
  <c r="V119" i="28"/>
  <c r="N173" i="28"/>
  <c r="F204" i="28"/>
  <c r="S232" i="28"/>
  <c r="K173" i="28"/>
  <c r="O86" i="28"/>
  <c r="O46" i="28" s="1"/>
  <c r="W149" i="28"/>
  <c r="K106" i="28"/>
  <c r="F212" i="28"/>
  <c r="C191" i="28"/>
  <c r="I180" i="28"/>
  <c r="V175" i="28"/>
  <c r="K83" i="28"/>
  <c r="K43" i="28" s="1"/>
  <c r="Y151" i="28"/>
  <c r="T63" i="28"/>
  <c r="T23" i="28" s="1"/>
  <c r="N229" i="28"/>
  <c r="G156" i="28"/>
  <c r="C110" i="28"/>
  <c r="V200" i="28"/>
  <c r="X225" i="28"/>
  <c r="X77" i="28"/>
  <c r="X37" i="28" s="1"/>
  <c r="E139" i="28"/>
  <c r="F200" i="28"/>
  <c r="E98" i="28"/>
  <c r="I65" i="28"/>
  <c r="I25" i="28" s="1"/>
  <c r="W114" i="28"/>
  <c r="Q95" i="28"/>
  <c r="J195" i="28"/>
  <c r="C102" i="28"/>
  <c r="S54" i="28"/>
  <c r="S14" i="28" s="1"/>
  <c r="T86" i="28"/>
  <c r="T46" i="28" s="1"/>
  <c r="E153" i="28"/>
  <c r="U192" i="28"/>
  <c r="E101" i="28"/>
  <c r="O164" i="28"/>
  <c r="G243" i="28"/>
  <c r="Y146" i="28"/>
  <c r="T204" i="28"/>
  <c r="S147" i="28"/>
  <c r="J68" i="28"/>
  <c r="J28" i="28" s="1"/>
  <c r="P118" i="28"/>
  <c r="N181" i="28"/>
  <c r="L154" i="28"/>
  <c r="M102" i="28"/>
  <c r="J84" i="28"/>
  <c r="J44" i="28" s="1"/>
  <c r="R60" i="28"/>
  <c r="R20" i="28" s="1"/>
  <c r="H145" i="28"/>
  <c r="Y95" i="28"/>
  <c r="I145" i="28"/>
  <c r="E202" i="28"/>
  <c r="I206" i="28"/>
  <c r="H172" i="28"/>
  <c r="P231" i="28"/>
  <c r="O189" i="28"/>
  <c r="S72" i="28"/>
  <c r="S32" i="28" s="1"/>
  <c r="V76" i="28"/>
  <c r="V36" i="28" s="1"/>
  <c r="E140" i="28"/>
  <c r="E190" i="28"/>
  <c r="K198" i="28"/>
  <c r="E199" i="28"/>
  <c r="K218" i="28"/>
  <c r="W228" i="28"/>
  <c r="J188" i="28"/>
  <c r="F202" i="28"/>
  <c r="P84" i="28"/>
  <c r="P44" i="28" s="1"/>
  <c r="H136" i="28"/>
  <c r="J189" i="28"/>
  <c r="I115" i="28"/>
  <c r="J187" i="28"/>
  <c r="Q108" i="28"/>
  <c r="O146" i="28"/>
  <c r="K203" i="28"/>
  <c r="I97" i="28"/>
  <c r="I203" i="28"/>
  <c r="T55" i="28"/>
  <c r="T15" i="28" s="1"/>
  <c r="W238" i="28"/>
  <c r="U100" i="28"/>
  <c r="D239" i="28"/>
  <c r="J245" i="28"/>
  <c r="V98" i="28"/>
  <c r="G64" i="28"/>
  <c r="G24" i="28" s="1"/>
  <c r="E74" i="28"/>
  <c r="E34" i="28" s="1"/>
  <c r="M193" i="28"/>
  <c r="Q160" i="28"/>
  <c r="S183" i="28"/>
  <c r="I121" i="28"/>
  <c r="J199" i="28"/>
  <c r="E204" i="28"/>
  <c r="W145" i="28"/>
  <c r="J177" i="28"/>
  <c r="T149" i="28"/>
  <c r="O78" i="28"/>
  <c r="O38" i="28" s="1"/>
  <c r="M235" i="28"/>
  <c r="X195" i="28"/>
  <c r="H194" i="28"/>
  <c r="W125" i="28"/>
  <c r="X171" i="28"/>
  <c r="C60" i="28"/>
  <c r="C20" i="28" s="1"/>
  <c r="L218" i="28"/>
  <c r="N222" i="28"/>
  <c r="Y118" i="28"/>
  <c r="H241" i="28"/>
  <c r="T141" i="28"/>
  <c r="I239" i="28"/>
  <c r="R232" i="28"/>
  <c r="K204" i="28"/>
  <c r="C243" i="28"/>
  <c r="N246" i="28"/>
  <c r="V177" i="28"/>
  <c r="Q62" i="28"/>
  <c r="Q22" i="28" s="1"/>
  <c r="M148" i="28"/>
  <c r="W155" i="28"/>
  <c r="S142" i="28"/>
  <c r="O198" i="28"/>
  <c r="F52" i="28"/>
  <c r="F12" i="28" s="1"/>
  <c r="H72" i="28"/>
  <c r="H32" i="28" s="1"/>
  <c r="T101" i="28"/>
  <c r="E111" i="28"/>
  <c r="V187" i="28"/>
  <c r="V101" i="28"/>
  <c r="U164" i="28"/>
  <c r="E110" i="28"/>
  <c r="K66" i="28"/>
  <c r="K26" i="28" s="1"/>
  <c r="I132" i="28"/>
  <c r="Q201" i="28"/>
  <c r="P205" i="28"/>
  <c r="T236" i="28"/>
  <c r="L241" i="28"/>
  <c r="X176" i="28"/>
  <c r="J176" i="28"/>
  <c r="G93" i="28"/>
  <c r="H84" i="28"/>
  <c r="H44" i="28" s="1"/>
  <c r="Y78" i="28"/>
  <c r="Y38" i="28" s="1"/>
  <c r="U117" i="28"/>
  <c r="E79" i="28"/>
  <c r="E39" i="28" s="1"/>
  <c r="H131" i="28"/>
  <c r="O197" i="28"/>
  <c r="V233" i="28"/>
  <c r="G203" i="28"/>
  <c r="S64" i="28"/>
  <c r="S24" i="28" s="1"/>
  <c r="Q230" i="28"/>
  <c r="X149" i="28"/>
  <c r="P101" i="28"/>
  <c r="T238" i="28"/>
  <c r="R153" i="28"/>
  <c r="X81" i="28"/>
  <c r="X41" i="28" s="1"/>
  <c r="G105" i="28"/>
  <c r="T219" i="28"/>
  <c r="M144" i="28"/>
  <c r="T67" i="28"/>
  <c r="T27" i="28" s="1"/>
  <c r="V123" i="28"/>
  <c r="E223" i="28"/>
  <c r="J237" i="28"/>
  <c r="P122" i="28"/>
  <c r="N196" i="28"/>
  <c r="W86" i="28"/>
  <c r="W46" i="28" s="1"/>
  <c r="O82" i="28"/>
  <c r="O42" i="28" s="1"/>
  <c r="Y56" i="28"/>
  <c r="Y16" i="28" s="1"/>
  <c r="K138" i="28"/>
  <c r="U243" i="28"/>
  <c r="R166" i="28"/>
  <c r="M112" i="28"/>
  <c r="K206" i="28"/>
  <c r="N112" i="28"/>
  <c r="H163" i="28"/>
  <c r="L80" i="28"/>
  <c r="L40" i="28" s="1"/>
  <c r="E146" i="28"/>
  <c r="M236" i="28"/>
  <c r="X204" i="28"/>
  <c r="H220" i="28"/>
  <c r="G192" i="28"/>
  <c r="G79" i="28"/>
  <c r="G39" i="28" s="1"/>
  <c r="I91" i="28"/>
  <c r="I104" i="28"/>
  <c r="W146" i="28"/>
  <c r="T240" i="28"/>
  <c r="C99" i="28"/>
  <c r="I130" i="28"/>
  <c r="N186" i="28"/>
  <c r="I112" i="28"/>
  <c r="L73" i="28"/>
  <c r="L33" i="28" s="1"/>
  <c r="S246" i="28"/>
  <c r="L79" i="28"/>
  <c r="L39" i="28" s="1"/>
  <c r="Q80" i="28"/>
  <c r="Q40" i="28" s="1"/>
  <c r="T165" i="28"/>
  <c r="I140" i="28"/>
  <c r="D70" i="28"/>
  <c r="D30" i="28" s="1"/>
  <c r="U58" i="28"/>
  <c r="U18" i="28" s="1"/>
  <c r="S91" i="28"/>
  <c r="V104" i="28"/>
  <c r="G221" i="28"/>
  <c r="D234" i="28"/>
  <c r="X212" i="28"/>
  <c r="I139" i="28"/>
  <c r="N61" i="28"/>
  <c r="N21" i="28" s="1"/>
  <c r="G140" i="28"/>
  <c r="U59" i="28"/>
  <c r="U19" i="28" s="1"/>
  <c r="D210" i="28"/>
  <c r="Y91" i="28"/>
  <c r="D115" i="28"/>
  <c r="O225" i="28"/>
  <c r="M151" i="28"/>
  <c r="X224" i="28"/>
  <c r="J99" i="28"/>
  <c r="X98" i="28"/>
  <c r="S213" i="28"/>
  <c r="S217" i="28"/>
  <c r="G75" i="28"/>
  <c r="G35" i="28" s="1"/>
  <c r="K113" i="28"/>
  <c r="X106" i="28"/>
  <c r="Y102" i="28"/>
  <c r="N203" i="28"/>
  <c r="I188" i="28"/>
  <c r="X90" i="28"/>
  <c r="R107" i="28"/>
  <c r="H121" i="28"/>
  <c r="W61" i="28"/>
  <c r="W21" i="28" s="1"/>
  <c r="N117" i="28"/>
  <c r="G145" i="28"/>
  <c r="V86" i="28"/>
  <c r="V46" i="28" s="1"/>
  <c r="U144" i="28"/>
  <c r="S155" i="28"/>
  <c r="L141" i="28"/>
  <c r="X226" i="28"/>
  <c r="H81" i="28"/>
  <c r="H41" i="28" s="1"/>
  <c r="R204" i="28"/>
  <c r="S192" i="28"/>
  <c r="E130" i="28"/>
  <c r="S122" i="28"/>
  <c r="X186" i="28"/>
  <c r="V219" i="28"/>
  <c r="K170" i="28"/>
  <c r="F82" i="28"/>
  <c r="F42" i="28" s="1"/>
  <c r="H106" i="28"/>
  <c r="X97" i="28"/>
  <c r="V160" i="28"/>
  <c r="L161" i="28"/>
  <c r="I187" i="28"/>
  <c r="M108" i="28"/>
  <c r="D156" i="28"/>
  <c r="I151" i="28"/>
  <c r="M145" i="28"/>
  <c r="U138" i="28"/>
  <c r="R181" i="28"/>
  <c r="P227" i="28"/>
  <c r="J244" i="28"/>
  <c r="O123" i="28"/>
  <c r="W64" i="28"/>
  <c r="W24" i="28" s="1"/>
  <c r="C100" i="28"/>
  <c r="P115" i="28"/>
  <c r="K73" i="28"/>
  <c r="K33" i="28" s="1"/>
  <c r="U181" i="28"/>
  <c r="K51" i="28"/>
  <c r="K11" i="28" s="1"/>
  <c r="Y175" i="28"/>
  <c r="W153" i="28"/>
  <c r="D102" i="28"/>
  <c r="D90" i="28"/>
  <c r="G213" i="28"/>
  <c r="M97" i="28"/>
  <c r="Y245" i="28"/>
  <c r="F71" i="28"/>
  <c r="F31" i="28" s="1"/>
  <c r="V243" i="28"/>
  <c r="L142" i="90"/>
  <c r="M61" i="28"/>
  <c r="M21" i="28" s="1"/>
  <c r="G116" i="28"/>
  <c r="L113" i="28"/>
  <c r="Q237" i="28"/>
  <c r="S242" i="28"/>
  <c r="P156" i="28"/>
  <c r="V124" i="28"/>
  <c r="W175" i="28"/>
  <c r="I244" i="28"/>
  <c r="J224" i="28"/>
  <c r="C164" i="28"/>
  <c r="U96" i="28"/>
  <c r="G154" i="28"/>
  <c r="Y108" i="28"/>
  <c r="V191" i="28"/>
  <c r="X55" i="28"/>
  <c r="X15" i="28" s="1"/>
  <c r="D214" i="28"/>
  <c r="T133" i="28"/>
  <c r="E160" i="28"/>
  <c r="N232" i="28"/>
  <c r="Q53" i="28"/>
  <c r="Q13" i="28" s="1"/>
  <c r="P157" i="28"/>
  <c r="Q97" i="28"/>
  <c r="Y173" i="28"/>
  <c r="Q132" i="28"/>
  <c r="R131" i="28"/>
  <c r="D157" i="28"/>
  <c r="K151" i="28"/>
  <c r="G55" i="28"/>
  <c r="G15" i="28" s="1"/>
  <c r="L246" i="28"/>
  <c r="S97" i="28"/>
  <c r="M225" i="28"/>
  <c r="C216" i="28"/>
  <c r="F137" i="28"/>
  <c r="V220" i="28"/>
  <c r="Y145" i="28"/>
  <c r="C126" i="28"/>
  <c r="J80" i="28"/>
  <c r="J40" i="28" s="1"/>
  <c r="Y101" i="28"/>
  <c r="J191" i="28"/>
  <c r="C139" i="28"/>
  <c r="E51" i="28"/>
  <c r="E11" i="28" s="1"/>
  <c r="H153" i="28"/>
  <c r="H179" i="28"/>
  <c r="R240" i="28"/>
  <c r="X107" i="28"/>
  <c r="C146" i="28"/>
  <c r="V63" i="28"/>
  <c r="V23" i="28" s="1"/>
  <c r="T56" i="28"/>
  <c r="T16" i="28" s="1"/>
  <c r="W233" i="28"/>
  <c r="C221" i="28"/>
  <c r="N237" i="28"/>
  <c r="N72" i="28"/>
  <c r="N32" i="28" s="1"/>
  <c r="W91" i="28"/>
  <c r="F227" i="28"/>
  <c r="G246" i="28"/>
  <c r="X64" i="28"/>
  <c r="X24" i="28" s="1"/>
  <c r="Y184" i="28"/>
  <c r="L220" i="28"/>
  <c r="V84" i="28"/>
  <c r="V44" i="28" s="1"/>
  <c r="S205" i="28"/>
  <c r="R145" i="28"/>
  <c r="I80" i="28"/>
  <c r="I40" i="28" s="1"/>
  <c r="N219" i="28"/>
  <c r="U155" i="28"/>
  <c r="N83" i="28"/>
  <c r="N43" i="28" s="1"/>
  <c r="C101" i="28"/>
  <c r="I225" i="28"/>
  <c r="U230" i="28"/>
  <c r="R71" i="28"/>
  <c r="R31" i="28" s="1"/>
  <c r="F234" i="28"/>
  <c r="V73" i="28"/>
  <c r="V33" i="28" s="1"/>
  <c r="D202" i="28"/>
  <c r="Y210" i="28"/>
  <c r="M180" i="28"/>
  <c r="N115" i="28"/>
  <c r="F163" i="28"/>
  <c r="X190" i="28"/>
  <c r="I183" i="28"/>
  <c r="E246" i="28"/>
  <c r="S193" i="28"/>
  <c r="V165" i="28"/>
  <c r="P178" i="28"/>
  <c r="S56" i="28"/>
  <c r="S16" i="28" s="1"/>
  <c r="U152" i="28"/>
  <c r="I74" i="28"/>
  <c r="I34" i="28" s="1"/>
  <c r="X158" i="28"/>
  <c r="D191" i="28"/>
  <c r="K103" i="28"/>
  <c r="M69" i="28"/>
  <c r="M29" i="28" s="1"/>
  <c r="M116" i="28"/>
  <c r="O187" i="28"/>
  <c r="H201" i="28"/>
  <c r="N123" i="28"/>
  <c r="S138" i="28"/>
  <c r="K145" i="28"/>
  <c r="V203" i="28"/>
  <c r="Q199" i="28"/>
  <c r="I101" i="28"/>
  <c r="V82" i="28"/>
  <c r="V42" i="28" s="1"/>
  <c r="M186" i="28"/>
  <c r="N150" i="28"/>
  <c r="F61" i="28"/>
  <c r="F21" i="28" s="1"/>
  <c r="U113" i="28"/>
  <c r="L93" i="28"/>
  <c r="R212" i="28"/>
  <c r="N107" i="28"/>
  <c r="D205" i="28"/>
  <c r="R52" i="28"/>
  <c r="R12" i="28" s="1"/>
  <c r="E175" i="28"/>
  <c r="M203" i="28"/>
  <c r="C90" i="28"/>
  <c r="U176" i="28"/>
  <c r="R105" i="28"/>
  <c r="K59" i="28"/>
  <c r="K19" i="28" s="1"/>
  <c r="W172" i="28"/>
  <c r="D245" i="28"/>
  <c r="W185" i="28"/>
  <c r="L195" i="28"/>
  <c r="D74" i="28"/>
  <c r="D34" i="28" s="1"/>
  <c r="F80" i="28"/>
  <c r="F40" i="28" s="1"/>
  <c r="Q77" i="28"/>
  <c r="Q37" i="28" s="1"/>
  <c r="I149" i="28"/>
  <c r="M132" i="28"/>
  <c r="X227" i="28"/>
  <c r="D217" i="28"/>
  <c r="X213" i="28"/>
  <c r="D119" i="28"/>
  <c r="P180" i="28"/>
  <c r="Y94" i="28"/>
  <c r="J140" i="28"/>
  <c r="S174" i="28"/>
  <c r="Q123" i="28"/>
  <c r="L221" i="28"/>
  <c r="L110" i="28"/>
  <c r="J108" i="28"/>
  <c r="W182" i="28"/>
  <c r="F159" i="28"/>
  <c r="E91" i="28"/>
  <c r="C214" i="28"/>
  <c r="I224" i="28"/>
  <c r="Q205" i="28"/>
  <c r="Q182" i="28"/>
  <c r="T212" i="28"/>
  <c r="I165" i="28"/>
  <c r="H71" i="28"/>
  <c r="H31" i="28" s="1"/>
  <c r="C149" i="28"/>
  <c r="L177" i="28"/>
  <c r="L189" i="28"/>
  <c r="C204" i="28"/>
  <c r="H204" i="28"/>
  <c r="L133" i="28"/>
  <c r="H126" i="28"/>
  <c r="X141" i="28"/>
  <c r="Q103" i="28"/>
  <c r="V74" i="28"/>
  <c r="V34" i="28" s="1"/>
  <c r="T245" i="28"/>
  <c r="G99" i="28"/>
  <c r="H162" i="28"/>
  <c r="L51" i="28"/>
  <c r="L11" i="28" s="1"/>
  <c r="V184" i="28"/>
  <c r="O116" i="28"/>
  <c r="Y160" i="28"/>
  <c r="S187" i="28"/>
  <c r="U180" i="28"/>
  <c r="E152" i="28"/>
  <c r="J92" i="28"/>
  <c r="Q232" i="28"/>
  <c r="Y72" i="28"/>
  <c r="Y32" i="28" s="1"/>
  <c r="S236" i="28"/>
  <c r="V246" i="28"/>
  <c r="W150" i="28"/>
  <c r="Q221" i="28"/>
  <c r="H102" i="28"/>
  <c r="G201" i="28"/>
  <c r="H64" i="28"/>
  <c r="H24" i="28" s="1"/>
  <c r="H213" i="28"/>
  <c r="M159" i="28"/>
  <c r="F185" i="28"/>
  <c r="I131" i="28"/>
  <c r="Y149" i="28"/>
  <c r="C225" i="28"/>
  <c r="D146" i="28"/>
  <c r="G52" i="28"/>
  <c r="G12" i="28" s="1"/>
  <c r="M136" i="28"/>
  <c r="V139" i="28"/>
  <c r="C194" i="28"/>
  <c r="W110" i="28"/>
  <c r="O56" i="28"/>
  <c r="O16" i="28" s="1"/>
  <c r="K237" i="28"/>
  <c r="L90" i="28"/>
  <c r="I56" i="28"/>
  <c r="I16" i="28" s="1"/>
  <c r="J171" i="28"/>
  <c r="S176" i="28"/>
  <c r="I222" i="28"/>
  <c r="H165" i="28"/>
  <c r="I68" i="28"/>
  <c r="I28" i="28" s="1"/>
  <c r="W166" i="28"/>
  <c r="R50" i="28"/>
  <c r="R10" i="28" s="1"/>
  <c r="C165" i="28"/>
  <c r="D55" i="28"/>
  <c r="D15" i="28" s="1"/>
  <c r="I171" i="28"/>
  <c r="C184" i="28"/>
  <c r="G234" i="28"/>
  <c r="J210" i="28"/>
  <c r="S197" i="28"/>
  <c r="F110" i="28"/>
  <c r="G97" i="28"/>
  <c r="J242" i="28"/>
  <c r="L104" i="28"/>
  <c r="T69" i="28"/>
  <c r="T29" i="28" s="1"/>
  <c r="G230" i="28"/>
  <c r="J106" i="28"/>
  <c r="R211" i="28"/>
  <c r="D126" i="28"/>
  <c r="K205" i="28"/>
  <c r="D186" i="28"/>
  <c r="O60" i="28"/>
  <c r="O20" i="28" s="1"/>
  <c r="X136" i="28"/>
  <c r="K191" i="28"/>
  <c r="U131" i="28"/>
  <c r="N121" i="28"/>
  <c r="Q110" i="28"/>
  <c r="U212" i="28"/>
  <c r="V122" i="28"/>
  <c r="I117" i="28"/>
  <c r="P182" i="28"/>
  <c r="U112" i="28"/>
  <c r="I195" i="28"/>
  <c r="G240" i="28"/>
  <c r="K119" i="28"/>
  <c r="W171" i="28"/>
  <c r="U70" i="28"/>
  <c r="U30" i="28" s="1"/>
  <c r="S216" i="28"/>
  <c r="G242" i="28"/>
  <c r="V81" i="28"/>
  <c r="V41" i="28" s="1"/>
  <c r="N170" i="28"/>
  <c r="V112" i="28"/>
  <c r="Y105" i="28"/>
  <c r="S157" i="28"/>
  <c r="X74" i="28"/>
  <c r="X34" i="28" s="1"/>
  <c r="S93" i="28"/>
  <c r="C193" i="28"/>
  <c r="U66" i="28"/>
  <c r="U26" i="28" s="1"/>
  <c r="I106" i="28"/>
  <c r="P70" i="28"/>
  <c r="P30" i="28" s="1"/>
  <c r="P114" i="28"/>
  <c r="T171" i="28"/>
  <c r="C93" i="28"/>
  <c r="N59" i="28"/>
  <c r="N19" i="28" s="1"/>
  <c r="X199" i="28"/>
  <c r="K225" i="28"/>
  <c r="V55" i="28"/>
  <c r="V15" i="28" s="1"/>
  <c r="X134" i="28"/>
  <c r="P60" i="28"/>
  <c r="P20" i="28" s="1"/>
  <c r="K176" i="28"/>
  <c r="G153" i="28"/>
  <c r="S86" i="28"/>
  <c r="S46" i="28" s="1"/>
  <c r="C122" i="28"/>
  <c r="N189" i="28"/>
  <c r="U53" i="28"/>
  <c r="U13" i="28" s="1"/>
  <c r="M164" i="28"/>
  <c r="H219" i="28"/>
  <c r="T227" i="28"/>
  <c r="G73" i="28"/>
  <c r="G33" i="28" s="1"/>
  <c r="D166" i="28"/>
  <c r="Q156" i="28"/>
  <c r="K109" i="28"/>
  <c r="K244" i="28"/>
  <c r="J139" i="28"/>
  <c r="M53" i="28"/>
  <c r="M13" i="28" s="1"/>
  <c r="T105" i="28"/>
  <c r="V214" i="28"/>
  <c r="I102" i="28"/>
  <c r="K147" i="28"/>
  <c r="V99" i="28"/>
  <c r="M218" i="28"/>
  <c r="X173" i="28"/>
  <c r="D223" i="28"/>
  <c r="J205" i="28"/>
  <c r="J120" i="28"/>
  <c r="U120" i="28"/>
  <c r="L216" i="28"/>
  <c r="I134" i="28"/>
  <c r="U158" i="28"/>
  <c r="U187" i="28"/>
  <c r="G200" i="28"/>
  <c r="Y233" i="28"/>
  <c r="H140" i="28"/>
  <c r="G222" i="28"/>
  <c r="D224" i="28"/>
  <c r="J181" i="28"/>
  <c r="S114" i="28"/>
  <c r="Y201" i="28"/>
  <c r="U81" i="28"/>
  <c r="U41" i="28" s="1"/>
  <c r="T94" i="28"/>
  <c r="R103" i="28"/>
  <c r="S96" i="28"/>
  <c r="W241" i="28"/>
  <c r="G232" i="28"/>
  <c r="Y97" i="28"/>
  <c r="Q124" i="28"/>
  <c r="R246" i="28"/>
  <c r="I214" i="28"/>
  <c r="U213" i="28"/>
  <c r="D179" i="28"/>
  <c r="C65" i="28"/>
  <c r="C25" i="28" s="1"/>
  <c r="G144" i="28"/>
  <c r="N98" i="28"/>
  <c r="Y181" i="28"/>
  <c r="I159" i="28"/>
  <c r="Q67" i="28"/>
  <c r="Q27" i="28" s="1"/>
  <c r="K117" i="28"/>
  <c r="C206" i="28"/>
  <c r="Y186" i="28"/>
  <c r="H108" i="28"/>
  <c r="C172" i="28"/>
  <c r="E211" i="28"/>
  <c r="V85" i="28"/>
  <c r="V45" i="28" s="1"/>
  <c r="P238" i="28"/>
  <c r="F219" i="28"/>
  <c r="O212" i="28"/>
  <c r="F114" i="28"/>
  <c r="X162" i="28"/>
  <c r="K62" i="28"/>
  <c r="K22" i="28" s="1"/>
  <c r="Q107" i="28"/>
  <c r="K183" i="28"/>
  <c r="O205" i="28"/>
  <c r="H151" i="28"/>
  <c r="O166" i="28"/>
  <c r="L146" i="28"/>
  <c r="E210" i="28"/>
  <c r="M76" i="28"/>
  <c r="M36" i="28" s="1"/>
  <c r="G181" i="28"/>
  <c r="I220" i="28"/>
  <c r="O62" i="28"/>
  <c r="O22" i="28" s="1"/>
  <c r="X139" i="28"/>
  <c r="X122" i="28"/>
  <c r="I58" i="28"/>
  <c r="I18" i="28" s="1"/>
  <c r="N103" i="28"/>
  <c r="D120" i="28"/>
  <c r="Y116" i="28"/>
  <c r="J221" i="28"/>
  <c r="Q138" i="28"/>
  <c r="I90" i="28"/>
  <c r="I153" i="28"/>
  <c r="K149" i="28"/>
  <c r="D228" i="28"/>
  <c r="J236" i="28"/>
  <c r="E137" i="28"/>
  <c r="Y243" i="28"/>
  <c r="M65" i="28"/>
  <c r="M25" i="28" s="1"/>
  <c r="V183" i="28"/>
  <c r="T155" i="28"/>
  <c r="Q115" i="28"/>
  <c r="P233" i="28"/>
  <c r="V52" i="28"/>
  <c r="V12" i="28" s="1"/>
  <c r="S144" i="28"/>
  <c r="F108" i="28"/>
  <c r="X237" i="28"/>
  <c r="U179" i="28"/>
  <c r="K234" i="28"/>
  <c r="F98" i="28"/>
  <c r="J162" i="28"/>
  <c r="P116" i="28"/>
  <c r="V64" i="28"/>
  <c r="V24" i="28" s="1"/>
  <c r="U222" i="28"/>
  <c r="U97" i="28"/>
  <c r="M73" i="28"/>
  <c r="M33" i="28" s="1"/>
  <c r="R62" i="28"/>
  <c r="R22" i="28" s="1"/>
  <c r="F146" i="28"/>
  <c r="V114" i="28"/>
  <c r="N101" i="28"/>
  <c r="W100" i="28"/>
  <c r="O65" i="28"/>
  <c r="O25" i="28" s="1"/>
  <c r="H132" i="28"/>
  <c r="N126" i="28"/>
  <c r="D81" i="28"/>
  <c r="D41" i="28" s="1"/>
  <c r="T153" i="28"/>
  <c r="G136" i="93"/>
  <c r="S172" i="28"/>
  <c r="N164" i="28"/>
  <c r="P73" i="28"/>
  <c r="P33" i="28" s="1"/>
  <c r="L203" i="28"/>
  <c r="V125" i="28"/>
  <c r="S103" i="28"/>
  <c r="O222" i="28"/>
  <c r="F170" i="28"/>
  <c r="J223" i="28"/>
  <c r="C121" i="28"/>
  <c r="E112" i="28"/>
  <c r="Y69" i="28"/>
  <c r="Y29" i="28" s="1"/>
  <c r="N243" i="28"/>
  <c r="L149" i="28"/>
  <c r="H138" i="28"/>
  <c r="V50" i="28"/>
  <c r="V10" i="28" s="1"/>
  <c r="T122" i="28"/>
  <c r="E147" i="28"/>
  <c r="H74" i="28"/>
  <c r="H34" i="28" s="1"/>
  <c r="K184" i="28"/>
  <c r="D105" i="28"/>
  <c r="U218" i="28"/>
  <c r="L97" i="28"/>
  <c r="K181" i="28"/>
  <c r="E225" i="28"/>
  <c r="N228" i="28"/>
  <c r="R139" i="28"/>
  <c r="K86" i="28"/>
  <c r="K46" i="28" s="1"/>
  <c r="D101" i="28"/>
  <c r="F94" i="28"/>
  <c r="O230" i="28"/>
  <c r="Q99" i="28"/>
  <c r="L109" i="28"/>
  <c r="X96" i="28"/>
  <c r="D51" i="28"/>
  <c r="D11" i="28" s="1"/>
  <c r="W160" i="28"/>
  <c r="V135" i="28"/>
  <c r="Q177" i="28"/>
  <c r="S124" i="28"/>
  <c r="P246" i="28"/>
  <c r="D212" i="28"/>
  <c r="Q144" i="28"/>
  <c r="X164" i="28"/>
  <c r="S186" i="28"/>
  <c r="Y63" i="28"/>
  <c r="Y23" i="28" s="1"/>
  <c r="J71" i="28"/>
  <c r="J31" i="28" s="1"/>
  <c r="Y241" i="28"/>
  <c r="F56" i="28"/>
  <c r="F16" i="28" s="1"/>
  <c r="I63" i="28"/>
  <c r="I23" i="28" s="1"/>
  <c r="P81" i="28"/>
  <c r="P41" i="28" s="1"/>
  <c r="W214" i="28"/>
  <c r="I111" i="28"/>
  <c r="K52" i="28"/>
  <c r="K12" i="28" s="1"/>
  <c r="C123" i="28"/>
  <c r="H221" i="28"/>
  <c r="H154" i="28"/>
  <c r="H199" i="28"/>
  <c r="O206" i="28"/>
  <c r="V116" i="28"/>
  <c r="X188" i="28"/>
  <c r="M202" i="28"/>
  <c r="S76" i="28"/>
  <c r="S36" i="28" s="1"/>
  <c r="S234" i="28"/>
  <c r="N73" i="28"/>
  <c r="N33" i="28" s="1"/>
  <c r="D130" i="28"/>
  <c r="N65" i="28"/>
  <c r="N25" i="28" s="1"/>
  <c r="E138" i="28"/>
  <c r="K224" i="28"/>
  <c r="H142" i="28"/>
  <c r="N245" i="28"/>
  <c r="R134" i="28"/>
  <c r="K64" i="28"/>
  <c r="K24" i="28" s="1"/>
  <c r="Q122" i="28"/>
  <c r="V181" i="28"/>
  <c r="M206" i="28"/>
  <c r="E157" i="28"/>
  <c r="N224" i="28"/>
  <c r="L205" i="28"/>
  <c r="O57" i="28"/>
  <c r="O17" i="28" s="1"/>
  <c r="K212" i="28"/>
  <c r="Q117" i="28"/>
  <c r="O136" i="28"/>
  <c r="Q84" i="28"/>
  <c r="Q44" i="28" s="1"/>
  <c r="S75" i="28"/>
  <c r="S35" i="28" s="1"/>
  <c r="T50" i="28"/>
  <c r="T10" i="28" s="1"/>
  <c r="S199" i="28"/>
  <c r="G182" i="28"/>
  <c r="X222" i="28"/>
  <c r="M163" i="28"/>
  <c r="K216" i="28"/>
  <c r="M115" i="28"/>
  <c r="E103" i="28"/>
  <c r="Y236" i="28"/>
  <c r="Y219" i="28"/>
  <c r="I242" i="28"/>
  <c r="C201" i="28"/>
  <c r="L86" i="28"/>
  <c r="L46" i="28" s="1"/>
  <c r="C98" i="28"/>
  <c r="X172" i="28"/>
  <c r="C106" i="28"/>
  <c r="O55" i="28"/>
  <c r="O15" i="28" s="1"/>
  <c r="O132" i="28"/>
  <c r="W196" i="28"/>
  <c r="U193" i="28"/>
  <c r="J220" i="28"/>
  <c r="U105" i="28"/>
  <c r="S154" i="28"/>
  <c r="N139" i="28"/>
  <c r="C183" i="28"/>
  <c r="W95" i="28"/>
  <c r="J55" i="28"/>
  <c r="J15" i="28" s="1"/>
  <c r="O137" i="28"/>
  <c r="M165" i="28"/>
  <c r="W81" i="28"/>
  <c r="W41" i="28" s="1"/>
  <c r="C78" i="28"/>
  <c r="C38" i="28" s="1"/>
  <c r="Q183" i="28"/>
  <c r="R218" i="28"/>
  <c r="U238" i="28"/>
  <c r="U242" i="28"/>
  <c r="R238" i="28"/>
  <c r="M54" i="28"/>
  <c r="M14" i="28" s="1"/>
  <c r="C199" i="28"/>
  <c r="N176" i="28"/>
  <c r="E176" i="28"/>
  <c r="C244" i="28"/>
  <c r="F280" i="97"/>
  <c r="X245" i="28"/>
  <c r="Q91" i="28"/>
  <c r="S143" i="28"/>
  <c r="U79" i="28"/>
  <c r="U39" i="28" s="1"/>
  <c r="X205" i="28"/>
  <c r="E81" i="28"/>
  <c r="E41" i="28" s="1"/>
  <c r="G194" i="28"/>
  <c r="J51" i="28"/>
  <c r="J11" i="28" s="1"/>
  <c r="K194" i="28"/>
  <c r="F59" i="28"/>
  <c r="F19" i="28" s="1"/>
  <c r="F158" i="28"/>
  <c r="R143" i="28"/>
  <c r="F109" i="28"/>
  <c r="E172" i="28"/>
  <c r="D196" i="28"/>
  <c r="J173" i="28"/>
  <c r="P103" i="28"/>
  <c r="C237" i="28"/>
  <c r="N95" i="28"/>
  <c r="U157" i="28"/>
  <c r="F244" i="28"/>
  <c r="U132" i="28"/>
  <c r="M113" i="28"/>
  <c r="P64" i="28"/>
  <c r="P24" i="28" s="1"/>
  <c r="X193" i="28"/>
  <c r="W187" i="28"/>
  <c r="O202" i="28"/>
  <c r="W206" i="28"/>
  <c r="N50" i="28"/>
  <c r="N10" i="28" s="1"/>
  <c r="U204" i="28"/>
  <c r="C174" i="28"/>
  <c r="M96" i="28"/>
  <c r="P94" i="28"/>
  <c r="D144" i="28"/>
  <c r="F189" i="28"/>
  <c r="S148" i="28"/>
  <c r="C75" i="28"/>
  <c r="C35" i="28" s="1"/>
  <c r="S118" i="28"/>
  <c r="T231" i="28"/>
  <c r="I230" i="28"/>
  <c r="G205" i="28"/>
  <c r="Y200" i="28"/>
  <c r="M173" i="28"/>
  <c r="M240" i="28"/>
  <c r="Y137" i="28"/>
  <c r="Q119" i="28"/>
  <c r="X92" i="28"/>
  <c r="N195" i="28"/>
  <c r="Y163" i="28"/>
  <c r="G72" i="28"/>
  <c r="G32" i="28" s="1"/>
  <c r="O72" i="28"/>
  <c r="O32" i="28" s="1"/>
  <c r="G85" i="28"/>
  <c r="G45" i="28" s="1"/>
  <c r="U203" i="28"/>
  <c r="W159" i="28"/>
  <c r="I181" i="28"/>
  <c r="G228" i="28"/>
  <c r="F165" i="28"/>
  <c r="N140" i="28"/>
  <c r="H139" i="28"/>
  <c r="C173" i="28"/>
  <c r="Y191" i="28"/>
  <c r="F144" i="28"/>
  <c r="R220" i="28"/>
  <c r="F232" i="28"/>
  <c r="C150" i="28"/>
  <c r="K56" i="28"/>
  <c r="K16" i="28" s="1"/>
  <c r="W157" i="28"/>
  <c r="H230" i="28"/>
  <c r="P241" i="28"/>
  <c r="Y124" i="28"/>
  <c r="J166" i="28"/>
  <c r="M185" i="28"/>
  <c r="E136" i="93"/>
  <c r="W245" i="28"/>
  <c r="D172" i="28"/>
  <c r="I143" i="28"/>
  <c r="N235" i="28"/>
  <c r="C145" i="28"/>
  <c r="Y228" i="28"/>
  <c r="Y217" i="28"/>
  <c r="P244" i="28"/>
  <c r="L174" i="28"/>
  <c r="H143" i="28"/>
  <c r="X150" i="28"/>
  <c r="M177" i="28"/>
  <c r="V111" i="28"/>
  <c r="U183" i="28"/>
  <c r="O215" i="28"/>
  <c r="D91" i="28"/>
  <c r="G118" i="28"/>
  <c r="W144" i="28"/>
  <c r="O148" i="28"/>
  <c r="D162" i="28"/>
  <c r="F112" i="28"/>
  <c r="X170" i="28"/>
  <c r="U63" i="28"/>
  <c r="U23" i="28" s="1"/>
  <c r="H117" i="28"/>
  <c r="Y77" i="28"/>
  <c r="Y37" i="28" s="1"/>
  <c r="P69" i="28"/>
  <c r="P29" i="28" s="1"/>
  <c r="W55" i="28"/>
  <c r="W15" i="28" s="1"/>
  <c r="J135" i="28"/>
  <c r="K233" i="28"/>
  <c r="Y223" i="28"/>
  <c r="T54" i="28"/>
  <c r="T14" i="28" s="1"/>
  <c r="J114" i="28"/>
  <c r="C213" i="28"/>
  <c r="F177" i="28"/>
  <c r="F156" i="28"/>
  <c r="J219" i="28"/>
  <c r="Q203" i="28"/>
  <c r="O121" i="28"/>
  <c r="R141" i="28"/>
  <c r="K163" i="28"/>
  <c r="N239" i="28"/>
  <c r="I189" i="28"/>
  <c r="I196" i="28"/>
  <c r="J122" i="28"/>
  <c r="Y150" i="28"/>
  <c r="P194" i="28"/>
  <c r="D75" i="28"/>
  <c r="D35" i="28" s="1"/>
  <c r="F229" i="28"/>
  <c r="G216" i="28"/>
  <c r="P67" i="28"/>
  <c r="P27" i="28" s="1"/>
  <c r="W106" i="28"/>
  <c r="X59" i="28"/>
  <c r="X19" i="28" s="1"/>
  <c r="R191" i="28"/>
  <c r="I110" i="28"/>
  <c r="Q78" i="28"/>
  <c r="Q38" i="28" s="1"/>
  <c r="P173" i="28"/>
  <c r="M212" i="28"/>
  <c r="K80" i="28"/>
  <c r="K40" i="28" s="1"/>
  <c r="V161" i="28"/>
  <c r="W198" i="28"/>
  <c r="R85" i="28"/>
  <c r="R45" i="28" s="1"/>
  <c r="O191" i="28"/>
  <c r="Q130" i="28"/>
  <c r="C144" i="28"/>
  <c r="D190" i="28"/>
  <c r="D121" i="28"/>
  <c r="R109" i="28"/>
  <c r="H137" i="28"/>
  <c r="C68" i="28"/>
  <c r="C28" i="28" s="1"/>
  <c r="J156" i="28"/>
  <c r="Q57" i="28"/>
  <c r="Q17" i="28" s="1"/>
  <c r="O134" i="28"/>
  <c r="F226" i="28"/>
  <c r="V216" i="28"/>
  <c r="M216" i="28"/>
  <c r="X93" i="28"/>
  <c r="E107" i="28"/>
  <c r="C231" i="28"/>
  <c r="U104" i="28"/>
  <c r="M195" i="28"/>
  <c r="E53" i="28"/>
  <c r="E13" i="28" s="1"/>
  <c r="S53" i="28"/>
  <c r="S13" i="28" s="1"/>
  <c r="I144" i="28"/>
  <c r="I234" i="28"/>
  <c r="O165" i="28"/>
  <c r="I147" i="28"/>
  <c r="Y51" i="28"/>
  <c r="Y11" i="28" s="1"/>
  <c r="U215" i="28"/>
  <c r="D153" i="28"/>
  <c r="M232" i="28"/>
  <c r="O140" i="28"/>
  <c r="W199" i="28"/>
  <c r="Q189" i="28"/>
  <c r="D226" i="28"/>
  <c r="K102" i="28"/>
  <c r="M201" i="28"/>
  <c r="R108" i="28"/>
  <c r="J165" i="28"/>
  <c r="Y176" i="28"/>
  <c r="Q55" i="28"/>
  <c r="Q15" i="28" s="1"/>
  <c r="V51" i="28"/>
  <c r="V11" i="28" s="1"/>
  <c r="Y82" i="28"/>
  <c r="Y42" i="28" s="1"/>
  <c r="R183" i="28"/>
  <c r="O97" i="28"/>
  <c r="C245" i="28"/>
  <c r="E135" i="28"/>
  <c r="G86" i="28"/>
  <c r="G46" i="28" s="1"/>
  <c r="L122" i="28"/>
  <c r="L227" i="28"/>
  <c r="Y198" i="28"/>
  <c r="P198" i="28"/>
  <c r="F187" i="28"/>
  <c r="U143" i="28"/>
  <c r="P186" i="28"/>
  <c r="U60" i="28"/>
  <c r="U20" i="28" s="1"/>
  <c r="G109" i="28"/>
  <c r="E73" i="28"/>
  <c r="E33" i="28" s="1"/>
  <c r="J229" i="28"/>
  <c r="M86" i="28"/>
  <c r="M46" i="28" s="1"/>
  <c r="X153" i="28"/>
  <c r="E121" i="28"/>
  <c r="E57" i="28"/>
  <c r="E17" i="28" s="1"/>
  <c r="Y83" i="28"/>
  <c r="Y43" i="28" s="1"/>
  <c r="M184" i="28"/>
  <c r="K231" i="28"/>
  <c r="U245" i="28"/>
  <c r="D236" i="28"/>
  <c r="G174" i="28"/>
  <c r="Q90" i="28"/>
  <c r="F91" i="28"/>
  <c r="W72" i="28"/>
  <c r="W32" i="28" s="1"/>
  <c r="V94" i="28"/>
  <c r="U74" i="28"/>
  <c r="U34" i="28" s="1"/>
  <c r="G183" i="28"/>
  <c r="O158" i="28"/>
  <c r="M134" i="28"/>
  <c r="E61" i="28"/>
  <c r="E21" i="28" s="1"/>
  <c r="C67" i="28"/>
  <c r="C27" i="28" s="1"/>
  <c r="J101" i="28"/>
  <c r="E227" i="28"/>
  <c r="Q59" i="28"/>
  <c r="Q19" i="28" s="1"/>
  <c r="S84" i="28"/>
  <c r="S44" i="28" s="1"/>
  <c r="Q176" i="28"/>
  <c r="E115" i="28"/>
  <c r="V106" i="28"/>
  <c r="L53" i="28"/>
  <c r="L13" i="28" s="1"/>
  <c r="F74" i="28"/>
  <c r="F34" i="28" s="1"/>
  <c r="F171" i="28"/>
  <c r="L126" i="28"/>
  <c r="H138" i="93"/>
  <c r="R179" i="28"/>
  <c r="C171" i="28"/>
  <c r="H157" i="28"/>
  <c r="C161" i="28"/>
  <c r="H176" i="28"/>
  <c r="H120" i="28"/>
  <c r="X197" i="28"/>
  <c r="N172" i="28"/>
  <c r="J158" i="28"/>
  <c r="P196" i="28"/>
  <c r="G188" i="28"/>
  <c r="M189" i="28"/>
  <c r="M156" i="28"/>
  <c r="V93" i="28"/>
  <c r="M137" i="28"/>
  <c r="K190" i="28"/>
  <c r="F76" i="28"/>
  <c r="F36" i="28" s="1"/>
  <c r="U175" i="28"/>
  <c r="C212" i="28"/>
  <c r="V173" i="28"/>
  <c r="M228" i="28"/>
  <c r="U107" i="28"/>
  <c r="L191" i="28"/>
  <c r="S101" i="28"/>
  <c r="V245" i="28"/>
  <c r="G91" i="28"/>
  <c r="P92" i="28"/>
  <c r="V242" i="28"/>
  <c r="U161" i="28"/>
  <c r="K146" i="28"/>
  <c r="T246" i="28"/>
  <c r="Y234" i="28"/>
  <c r="N371" i="81"/>
  <c r="X118" i="28"/>
  <c r="Y235" i="28"/>
  <c r="T174" i="28"/>
  <c r="E84" i="28"/>
  <c r="E44" i="28" s="1"/>
  <c r="G111" i="28"/>
  <c r="S59" i="28"/>
  <c r="S19" i="28" s="1"/>
  <c r="L222" i="28"/>
  <c r="R136" i="28"/>
  <c r="U219" i="28"/>
  <c r="D225" i="28"/>
  <c r="N74" i="28"/>
  <c r="N34" i="28" s="1"/>
  <c r="J74" i="28"/>
  <c r="J34" i="28" s="1"/>
  <c r="M239" i="28"/>
  <c r="U76" i="28"/>
  <c r="U36" i="28" s="1"/>
  <c r="T65" i="28"/>
  <c r="T25" i="28" s="1"/>
  <c r="Q162" i="28"/>
  <c r="H79" i="28"/>
  <c r="H39" i="28" s="1"/>
  <c r="V223" i="28"/>
  <c r="R66" i="28"/>
  <c r="R26" i="28" s="1"/>
  <c r="U140" i="28"/>
  <c r="Y229" i="28"/>
  <c r="N110" i="28"/>
  <c r="C242" i="28"/>
  <c r="Y165" i="28"/>
  <c r="F236" i="28"/>
  <c r="Q150" i="28"/>
  <c r="V107" i="28"/>
  <c r="T75" i="28"/>
  <c r="T35" i="28" s="1"/>
  <c r="S107" i="28"/>
  <c r="G165" i="28"/>
  <c r="E217" i="28"/>
  <c r="T73" i="28"/>
  <c r="T33" i="28" s="1"/>
  <c r="J118" i="28"/>
  <c r="M154" i="28"/>
  <c r="L244" i="28"/>
  <c r="H156" i="28"/>
  <c r="N93" i="28"/>
  <c r="N177" i="39"/>
  <c r="J143" i="28"/>
  <c r="K211" i="28"/>
  <c r="T242" i="28"/>
  <c r="T83" i="28"/>
  <c r="T43" i="28" s="1"/>
  <c r="E123" i="28"/>
  <c r="E188" i="28"/>
  <c r="D137" i="28"/>
  <c r="U198" i="28"/>
  <c r="F235" i="28"/>
  <c r="I213" i="28"/>
  <c r="Y139" i="28"/>
  <c r="L121" i="28"/>
  <c r="P134" i="28"/>
  <c r="P175" i="28"/>
  <c r="W139" i="28"/>
  <c r="I54" i="28"/>
  <c r="I14" i="28" s="1"/>
  <c r="J198" i="28"/>
  <c r="E124" i="28"/>
  <c r="N108" i="28"/>
  <c r="H107" i="28"/>
  <c r="N215" i="28"/>
  <c r="F122" i="28"/>
  <c r="R193" i="28"/>
  <c r="R202" i="28"/>
  <c r="D124" i="28"/>
  <c r="Q153" i="28"/>
  <c r="Q244" i="28"/>
  <c r="U206" i="28"/>
  <c r="L55" i="28"/>
  <c r="L15" i="28" s="1"/>
  <c r="K161" i="28"/>
  <c r="R64" i="28"/>
  <c r="R24" i="28" s="1"/>
  <c r="V188" i="28"/>
  <c r="K164" i="28"/>
  <c r="G115" i="28"/>
  <c r="T243" i="28"/>
  <c r="Q178" i="28"/>
  <c r="P150" i="28"/>
  <c r="P76" i="28"/>
  <c r="P36" i="28" s="1"/>
  <c r="H186" i="28"/>
  <c r="J196" i="28"/>
  <c r="J104" i="28"/>
  <c r="D104" i="28"/>
  <c r="G50" i="28"/>
  <c r="G10" i="28" s="1"/>
  <c r="D216" i="28"/>
  <c r="E184" i="28"/>
  <c r="F73" i="28"/>
  <c r="F33" i="28" s="1"/>
  <c r="E180" i="28"/>
  <c r="V166" i="28"/>
  <c r="J69" i="28"/>
  <c r="J29" i="28" s="1"/>
  <c r="J239" i="28"/>
  <c r="V144" i="28"/>
  <c r="J232" i="28"/>
  <c r="X112" i="28"/>
  <c r="W104" i="28"/>
  <c r="F55" i="28"/>
  <c r="F15" i="28" s="1"/>
  <c r="M125" i="28"/>
  <c r="D61" i="28"/>
  <c r="D21" i="28" s="1"/>
  <c r="S171" i="28"/>
  <c r="X71" i="28"/>
  <c r="X31" i="28" s="1"/>
  <c r="I126" i="28"/>
  <c r="Y119" i="28"/>
  <c r="D204" i="28"/>
  <c r="Q243" i="28"/>
  <c r="N78" i="28"/>
  <c r="N38" i="28" s="1"/>
  <c r="Y214" i="28"/>
  <c r="G157" i="28"/>
  <c r="J81" i="28"/>
  <c r="J41" i="28" s="1"/>
  <c r="I138" i="28"/>
  <c r="X198" i="28"/>
  <c r="D176" i="28"/>
  <c r="P126" i="28"/>
  <c r="I204" i="28"/>
  <c r="W143" i="28"/>
  <c r="W112" i="28"/>
  <c r="E78" i="28"/>
  <c r="E38" i="28" s="1"/>
  <c r="X143" i="28"/>
  <c r="D222" i="28"/>
  <c r="H232" i="28"/>
  <c r="E170" i="28"/>
  <c r="X91" i="28"/>
  <c r="H235" i="28"/>
  <c r="G123" i="28"/>
  <c r="G149" i="28"/>
  <c r="Y237" i="28"/>
  <c r="J112" i="28"/>
  <c r="T59" i="28"/>
  <c r="T19" i="28" s="1"/>
  <c r="D241" i="28"/>
  <c r="V217" i="28"/>
  <c r="K67" i="28"/>
  <c r="K27" i="28" s="1"/>
  <c r="Q116" i="28"/>
  <c r="H160" i="28"/>
  <c r="D131" i="28"/>
  <c r="D220" i="28"/>
  <c r="W177" i="28"/>
  <c r="I107" i="28"/>
  <c r="E143" i="28"/>
  <c r="D187" i="28"/>
  <c r="P71" i="28"/>
  <c r="P31" i="28" s="1"/>
  <c r="O135" i="28"/>
  <c r="J145" i="28"/>
  <c r="H211" i="28"/>
  <c r="M91" i="28"/>
  <c r="C219" i="28"/>
  <c r="W83" i="28"/>
  <c r="W43" i="28" s="1"/>
  <c r="F205" i="28"/>
  <c r="R122" i="28"/>
  <c r="N64" i="28"/>
  <c r="N24" i="28" s="1"/>
  <c r="V221" i="28"/>
  <c r="O223" i="28"/>
  <c r="J57" i="28"/>
  <c r="J17" i="28" s="1"/>
  <c r="H212" i="28"/>
  <c r="M175" i="28"/>
  <c r="W71" i="28"/>
  <c r="W31" i="28" s="1"/>
  <c r="R184" i="28"/>
  <c r="R99" i="28"/>
  <c r="R236" i="28"/>
  <c r="O103" i="28"/>
  <c r="U162" i="28"/>
  <c r="E85" i="28"/>
  <c r="E45" i="28" s="1"/>
  <c r="V149" i="28"/>
  <c r="N223" i="28"/>
  <c r="C85" i="28"/>
  <c r="C45" i="28" s="1"/>
  <c r="E90" i="28"/>
  <c r="P119" i="28"/>
  <c r="O233" i="28"/>
  <c r="E69" i="28"/>
  <c r="E29" i="28" s="1"/>
  <c r="P221" i="28"/>
  <c r="K197" i="28"/>
  <c r="U55" i="28"/>
  <c r="U15" i="28" s="1"/>
  <c r="Q51" i="28"/>
  <c r="Q11" i="28" s="1"/>
  <c r="Q141" i="28"/>
  <c r="F81" i="28"/>
  <c r="F41" i="28" s="1"/>
  <c r="T107" i="28"/>
  <c r="W77" i="28"/>
  <c r="W37" i="28" s="1"/>
  <c r="Q65" i="28"/>
  <c r="Q25" i="28" s="1"/>
  <c r="R80" i="28"/>
  <c r="R40" i="28" s="1"/>
  <c r="L103" i="28"/>
  <c r="Q212" i="28"/>
  <c r="T232" i="28"/>
  <c r="T58" i="28"/>
  <c r="T18" i="28" s="1"/>
  <c r="H56" i="28"/>
  <c r="H16" i="28" s="1"/>
  <c r="I194" i="28"/>
  <c r="T170" i="28"/>
  <c r="L74" i="28"/>
  <c r="L34" i="28" s="1"/>
  <c r="H82" i="28"/>
  <c r="H42" i="28" s="1"/>
  <c r="Y203" i="28"/>
  <c r="N116" i="28"/>
  <c r="K105" i="28"/>
  <c r="K126" i="28"/>
  <c r="D77" i="28"/>
  <c r="D37" i="28" s="1"/>
  <c r="R196" i="28"/>
  <c r="M114" i="28"/>
  <c r="P160" i="28"/>
  <c r="P91" i="28"/>
  <c r="L239" i="28"/>
  <c r="Y171" i="28"/>
  <c r="D143" i="28"/>
  <c r="E71" i="28"/>
  <c r="E31" i="28" s="1"/>
  <c r="P50" i="28"/>
  <c r="P10" i="28" s="1"/>
  <c r="K162" i="28"/>
  <c r="X179" i="28"/>
  <c r="G170" i="28"/>
  <c r="N242" i="28"/>
  <c r="I76" i="28"/>
  <c r="I36" i="28" s="1"/>
  <c r="G134" i="65"/>
  <c r="F117" i="28"/>
  <c r="U202" i="28"/>
  <c r="Y205" i="28"/>
  <c r="G76" i="28"/>
  <c r="G36" i="28" s="1"/>
  <c r="W192" i="28"/>
  <c r="K222" i="28"/>
  <c r="V131" i="28"/>
  <c r="D100" i="28"/>
  <c r="W63" i="28"/>
  <c r="W23" i="28" s="1"/>
  <c r="K215" i="28"/>
  <c r="C108" i="28"/>
  <c r="M230" i="28"/>
  <c r="K41" i="91"/>
  <c r="K16" i="91" s="1"/>
  <c r="Y90" i="28"/>
  <c r="W152" i="28"/>
  <c r="X220" i="28"/>
  <c r="J157" i="28"/>
  <c r="U85" i="28"/>
  <c r="U45" i="28" s="1"/>
  <c r="U172" i="28"/>
  <c r="U133" i="28"/>
  <c r="L82" i="28"/>
  <c r="L42" i="28" s="1"/>
  <c r="G217" i="28"/>
  <c r="M64" i="28"/>
  <c r="M24" i="28" s="1"/>
  <c r="U216" i="28"/>
  <c r="E76" i="28"/>
  <c r="E36" i="28" s="1"/>
  <c r="S140" i="28"/>
  <c r="P249" i="28"/>
  <c r="S179" i="28"/>
  <c r="X102" i="28"/>
  <c r="N220" i="28"/>
  <c r="I191" i="28"/>
  <c r="H62" i="28"/>
  <c r="H22" i="28" s="1"/>
  <c r="P236" i="28"/>
  <c r="L130" i="28"/>
  <c r="K219" i="28"/>
  <c r="G244" i="28"/>
  <c r="W217" i="28"/>
  <c r="T150" i="28"/>
  <c r="C197" i="28"/>
  <c r="D183" i="28"/>
  <c r="W186" i="28"/>
  <c r="N161" i="28"/>
  <c r="G90" i="28"/>
  <c r="L212" i="28"/>
  <c r="O93" i="28"/>
  <c r="N85" i="28"/>
  <c r="N45" i="28" s="1"/>
  <c r="P90" i="28"/>
  <c r="L158" i="28"/>
  <c r="V254" i="28"/>
  <c r="O227" i="28"/>
  <c r="U80" i="28"/>
  <c r="U40" i="28" s="1"/>
  <c r="K157" i="28"/>
  <c r="T200" i="28"/>
  <c r="I116" i="28"/>
  <c r="V157" i="28"/>
  <c r="I227" i="28"/>
  <c r="Q185" i="28"/>
  <c r="T111" i="28"/>
  <c r="N192" i="28"/>
  <c r="T117" i="28"/>
  <c r="D181" i="28"/>
  <c r="F53" i="28"/>
  <c r="F13" i="28" s="1"/>
  <c r="G187" i="28"/>
  <c r="W161" i="28"/>
  <c r="J200" i="28"/>
  <c r="V218" i="28"/>
  <c r="N206" i="28"/>
  <c r="I186" i="28"/>
  <c r="G164" i="28"/>
  <c r="M121" i="28"/>
  <c r="Y188" i="28"/>
  <c r="X72" i="28"/>
  <c r="X32" i="28" s="1"/>
  <c r="C241" i="28"/>
  <c r="X202" i="28"/>
  <c r="H101" i="28"/>
  <c r="S112" i="28"/>
  <c r="X60" i="28"/>
  <c r="X20" i="28" s="1"/>
  <c r="J211" i="28"/>
  <c r="Q227" i="28"/>
  <c r="U118" i="28"/>
  <c r="Q210" i="28"/>
  <c r="N214" i="28"/>
  <c r="H188" i="28"/>
  <c r="U195" i="28"/>
  <c r="R113" i="28"/>
  <c r="K131" i="28"/>
  <c r="Q106" i="28"/>
  <c r="C224" i="28"/>
  <c r="G223" i="28"/>
  <c r="E59" i="28"/>
  <c r="E19" i="28" s="1"/>
  <c r="O190" i="28"/>
  <c r="M158" i="28"/>
  <c r="M104" i="28"/>
  <c r="P237" i="28"/>
  <c r="U69" i="28"/>
  <c r="U29" i="28" s="1"/>
  <c r="J125" i="28"/>
  <c r="O122" i="28"/>
  <c r="X65" i="28"/>
  <c r="X25" i="28" s="1"/>
  <c r="I84" i="28"/>
  <c r="I44" i="28" s="1"/>
  <c r="V77" i="28"/>
  <c r="V37" i="28" s="1"/>
  <c r="F214" i="28"/>
  <c r="E221" i="28"/>
  <c r="S163" i="28"/>
  <c r="V58" i="28"/>
  <c r="V18" i="28" s="1"/>
  <c r="J241" i="28"/>
  <c r="M135" i="28"/>
  <c r="V65" i="28"/>
  <c r="V25" i="28" s="1"/>
  <c r="G215" i="28"/>
  <c r="P212" i="28"/>
  <c r="V230" i="28"/>
  <c r="L159" i="28"/>
  <c r="E239" i="28"/>
  <c r="D84" i="28"/>
  <c r="D44" i="28" s="1"/>
  <c r="P53" i="28"/>
  <c r="P13" i="28" s="1"/>
  <c r="J202" i="28"/>
  <c r="T254" i="28"/>
  <c r="M81" i="28"/>
  <c r="M41" i="28" s="1"/>
  <c r="W113" i="28"/>
  <c r="N200" i="28"/>
  <c r="C66" i="28"/>
  <c r="C26" i="28" s="1"/>
  <c r="V70" i="28"/>
  <c r="V30" i="28" s="1"/>
  <c r="O184" i="28"/>
  <c r="I158" i="28"/>
  <c r="G83" i="28"/>
  <c r="G43" i="28" s="1"/>
  <c r="F233" i="28"/>
  <c r="I85" i="28"/>
  <c r="I45" i="28" s="1"/>
  <c r="N141" i="28"/>
  <c r="H233" i="28"/>
  <c r="P155" i="28"/>
  <c r="X254" i="28"/>
  <c r="E82" i="28"/>
  <c r="E42" i="28" s="1"/>
  <c r="Q143" i="28"/>
  <c r="H189" i="28"/>
  <c r="D112" i="28"/>
  <c r="X223" i="28"/>
  <c r="I148" i="28"/>
  <c r="N99" i="28"/>
  <c r="G229" i="28"/>
  <c r="N97" i="28"/>
  <c r="G80" i="28"/>
  <c r="G40" i="28" s="1"/>
  <c r="U91" i="28"/>
  <c r="H181" i="28"/>
  <c r="G195" i="28"/>
  <c r="I205" i="28"/>
  <c r="C96" i="28"/>
  <c r="H229" i="28"/>
  <c r="S219" i="28"/>
  <c r="Y196" i="28"/>
  <c r="I122" i="28"/>
  <c r="K179" i="28"/>
  <c r="I61" i="28"/>
  <c r="I21" i="28" s="1"/>
  <c r="M157" i="5"/>
  <c r="S70" i="28"/>
  <c r="S30" i="28" s="1"/>
  <c r="J66" i="28"/>
  <c r="J26" i="28" s="1"/>
  <c r="X113" i="28"/>
  <c r="N198" i="28"/>
  <c r="H218" i="28"/>
  <c r="F178" i="28"/>
  <c r="D173" i="28"/>
  <c r="P58" i="28"/>
  <c r="P18" i="28" s="1"/>
  <c r="Y122" i="28"/>
  <c r="X234" i="28"/>
  <c r="V113" i="28"/>
  <c r="L140" i="28"/>
  <c r="O220" i="28"/>
  <c r="Y109" i="28"/>
  <c r="E55" i="28"/>
  <c r="E15" i="28" s="1"/>
  <c r="T182" i="28"/>
  <c r="N118" i="28"/>
  <c r="H119" i="28"/>
  <c r="C103" i="28"/>
  <c r="G114" i="28"/>
  <c r="E186" i="28"/>
  <c r="I182" i="28"/>
  <c r="W62" i="28"/>
  <c r="W22" i="28" s="1"/>
  <c r="J119" i="28"/>
  <c r="X83" i="28"/>
  <c r="X43" i="28" s="1"/>
  <c r="M161" i="28"/>
  <c r="K142" i="28"/>
  <c r="W191" i="28"/>
  <c r="R148" i="28"/>
  <c r="X111" i="28"/>
  <c r="P141" i="28"/>
  <c r="C111" i="28"/>
  <c r="F279" i="97"/>
  <c r="T205" i="28"/>
  <c r="O138" i="28"/>
  <c r="L76" i="28"/>
  <c r="L36" i="28" s="1"/>
  <c r="X70" i="28"/>
  <c r="X30" i="28" s="1"/>
  <c r="R173" i="28"/>
  <c r="K226" i="28"/>
  <c r="O61" i="28"/>
  <c r="O21" i="28" s="1"/>
  <c r="W137" i="28"/>
  <c r="U147" i="28"/>
  <c r="L67" i="28"/>
  <c r="L27" i="28" s="1"/>
  <c r="F136" i="28"/>
  <c r="T136" i="28"/>
  <c r="K97" i="28"/>
  <c r="H110" i="28"/>
  <c r="S206" i="28"/>
  <c r="I237" i="28"/>
  <c r="R210" i="28"/>
  <c r="W90" i="28"/>
  <c r="P99" i="28"/>
  <c r="W205" i="28"/>
  <c r="D83" i="28"/>
  <c r="D43" i="28" s="1"/>
  <c r="H225" i="28"/>
  <c r="M172" i="28"/>
  <c r="J173" i="39"/>
  <c r="S62" i="28"/>
  <c r="S22" i="28" s="1"/>
  <c r="E171" i="28"/>
  <c r="P154" i="28"/>
  <c r="H224" i="28"/>
  <c r="I51" i="28"/>
  <c r="I11" i="28" s="1"/>
  <c r="W105" i="28"/>
  <c r="X201" i="28"/>
  <c r="V96" i="28"/>
  <c r="W122" i="28"/>
  <c r="Y93" i="28"/>
  <c r="H57" i="28"/>
  <c r="H17" i="28" s="1"/>
  <c r="X147" i="28"/>
  <c r="G136" i="28"/>
  <c r="H190" i="28"/>
  <c r="G54" i="28"/>
  <c r="G14" i="28" s="1"/>
  <c r="W213" i="28"/>
  <c r="C125" i="28"/>
  <c r="H196" i="28"/>
  <c r="P130" i="28"/>
  <c r="C187" i="28"/>
  <c r="T244" i="28"/>
  <c r="J133" i="28"/>
  <c r="Q235" i="28"/>
  <c r="M126" i="28"/>
  <c r="S191" i="28"/>
  <c r="G51" i="28"/>
  <c r="G11" i="28" s="1"/>
  <c r="U68" i="28"/>
  <c r="U28" i="28" s="1"/>
  <c r="J73" i="28"/>
  <c r="J33" i="28" s="1"/>
  <c r="O214" i="28"/>
  <c r="V186" i="28"/>
  <c r="C211" i="28"/>
  <c r="Y120" i="28"/>
  <c r="P188" i="28"/>
  <c r="Y70" i="28"/>
  <c r="Y30" i="28" s="1"/>
  <c r="R140" i="28"/>
  <c r="Q242" i="28"/>
  <c r="I240" i="28"/>
  <c r="K94" i="28"/>
  <c r="L95" i="28"/>
  <c r="Q151" i="28"/>
  <c r="M170" i="28"/>
  <c r="E218" i="28"/>
  <c r="J117" i="28"/>
  <c r="W142" i="28"/>
  <c r="J203" i="28"/>
  <c r="P201" i="28"/>
  <c r="F231" i="28"/>
  <c r="N109" i="28"/>
  <c r="C84" i="28"/>
  <c r="C44" i="28" s="1"/>
  <c r="Q83" i="28"/>
  <c r="Q43" i="28" s="1"/>
  <c r="C180" i="28"/>
  <c r="Q148" i="28"/>
  <c r="X105" i="28"/>
  <c r="F123" i="28"/>
  <c r="W234" i="28"/>
  <c r="X133" i="28"/>
  <c r="V137" i="28"/>
  <c r="L155" i="28"/>
  <c r="W101" i="28"/>
  <c r="E75" i="28"/>
  <c r="E35" i="28" s="1"/>
  <c r="W65" i="28"/>
  <c r="W25" i="28" s="1"/>
  <c r="P140" i="28"/>
  <c r="Q147" i="28"/>
  <c r="I124" i="28"/>
  <c r="O224" i="28"/>
  <c r="U201" i="28"/>
  <c r="O79" i="28"/>
  <c r="O39" i="28" s="1"/>
  <c r="M92" i="28"/>
  <c r="R94" i="28"/>
  <c r="D140" i="28"/>
  <c r="R226" i="28"/>
  <c r="I71" i="28"/>
  <c r="I31" i="28" s="1"/>
  <c r="N238" i="28"/>
  <c r="Q125" i="28"/>
  <c r="P59" i="28"/>
  <c r="P19" i="28" s="1"/>
  <c r="R116" i="28"/>
  <c r="G211" i="28"/>
  <c r="J147" i="28"/>
  <c r="T222" i="28"/>
  <c r="Y227" i="28"/>
  <c r="P200" i="28"/>
  <c r="R57" i="28"/>
  <c r="R17" i="28" s="1"/>
  <c r="I221" i="28"/>
  <c r="S66" i="28"/>
  <c r="S26" i="28" s="1"/>
  <c r="W123" i="28"/>
  <c r="S164" i="28"/>
  <c r="N147" i="28"/>
  <c r="O200" i="28"/>
  <c r="S178" i="28"/>
  <c r="Q69" i="28"/>
  <c r="Q29" i="28" s="1"/>
  <c r="I70" i="28"/>
  <c r="I30" i="28" s="1"/>
  <c r="T70" i="28"/>
  <c r="T30" i="28" s="1"/>
  <c r="K136" i="28"/>
  <c r="N94" i="28"/>
  <c r="X187" i="28"/>
  <c r="J67" i="28"/>
  <c r="J27" i="28" s="1"/>
  <c r="M66" i="28"/>
  <c r="M26" i="28" s="1"/>
  <c r="M80" i="28"/>
  <c r="M40" i="28" s="1"/>
  <c r="P137" i="28"/>
  <c r="H246" i="28"/>
  <c r="D194" i="28"/>
  <c r="J75" i="28"/>
  <c r="J35" i="28" s="1"/>
  <c r="J76" i="28"/>
  <c r="J36" i="28" s="1"/>
  <c r="E197" i="28"/>
  <c r="U124" i="28"/>
  <c r="G119" i="28"/>
  <c r="U190" i="28"/>
  <c r="E174" i="28"/>
  <c r="D141" i="28"/>
  <c r="P86" i="28"/>
  <c r="P46" i="28" s="1"/>
  <c r="E134" i="28"/>
  <c r="S175" i="28"/>
  <c r="L175" i="28"/>
  <c r="X73" i="28"/>
  <c r="X33" i="28" s="1"/>
  <c r="L116" i="28"/>
  <c r="E234" i="28"/>
  <c r="R74" i="28"/>
  <c r="R34" i="28" s="1"/>
  <c r="G68" i="28"/>
  <c r="G28" i="28" s="1"/>
  <c r="S165" i="28"/>
  <c r="M95" i="28"/>
  <c r="S133" i="28"/>
  <c r="G47" i="91"/>
  <c r="G22" i="91" s="1"/>
  <c r="G78" i="28"/>
  <c r="G38" i="28" s="1"/>
  <c r="H105" i="28"/>
  <c r="X232" i="28"/>
  <c r="J78" i="28"/>
  <c r="J38" i="28" s="1"/>
  <c r="I103" i="28"/>
  <c r="W136" i="28"/>
  <c r="W223" i="28"/>
  <c r="T99" i="28"/>
  <c r="R241" i="28"/>
  <c r="K242" i="28"/>
  <c r="S211" i="28"/>
  <c r="Y147" i="28"/>
  <c r="K182" i="28"/>
  <c r="N225" i="28"/>
  <c r="J124" i="28"/>
  <c r="E230" i="28"/>
  <c r="K132" i="28"/>
  <c r="Y104" i="28"/>
  <c r="W50" i="28"/>
  <c r="W10" i="28" s="1"/>
  <c r="L237" i="28"/>
  <c r="H134" i="28"/>
  <c r="X144" i="28"/>
  <c r="O150" i="28"/>
  <c r="M149" i="28"/>
  <c r="E183" i="28"/>
  <c r="H53" i="28"/>
  <c r="H13" i="28" s="1"/>
  <c r="N130" i="28"/>
  <c r="O243" i="28"/>
  <c r="V197" i="28"/>
  <c r="M119" i="28"/>
  <c r="T64" i="28"/>
  <c r="T24" i="28" s="1"/>
  <c r="K229" i="28"/>
  <c r="T203" i="28"/>
  <c r="C80" i="28"/>
  <c r="C40" i="28" s="1"/>
  <c r="N71" i="28"/>
  <c r="N31" i="28" s="1"/>
  <c r="T98" i="28"/>
  <c r="O241" i="28"/>
  <c r="O83" i="28"/>
  <c r="O43" i="28" s="1"/>
  <c r="E102" i="28"/>
  <c r="L197" i="28"/>
  <c r="N184" i="28"/>
  <c r="H164" i="28"/>
  <c r="G81" i="28"/>
  <c r="G41" i="28" s="1"/>
  <c r="P54" i="28"/>
  <c r="P14" i="28" s="1"/>
  <c r="M133" i="28"/>
  <c r="J85" i="28"/>
  <c r="J45" i="28" s="1"/>
  <c r="F99" i="28"/>
  <c r="P220" i="28"/>
  <c r="Y75" i="28"/>
  <c r="Y35" i="28" s="1"/>
  <c r="J180" i="28"/>
  <c r="O201" i="28"/>
  <c r="E233" i="28"/>
  <c r="Y130" i="28"/>
  <c r="P121" i="28"/>
  <c r="V69" i="28"/>
  <c r="V29" i="28" s="1"/>
  <c r="T108" i="28"/>
  <c r="Y64" i="28"/>
  <c r="Y24" i="28" s="1"/>
  <c r="K165" i="28"/>
  <c r="L156" i="28"/>
  <c r="P211" i="28"/>
  <c r="V235" i="28"/>
  <c r="J115" i="28"/>
  <c r="X230" i="28"/>
  <c r="K159" i="28"/>
  <c r="F120" i="28"/>
  <c r="Y213" i="28"/>
  <c r="K121" i="28"/>
  <c r="N179" i="28"/>
  <c r="E200" i="28"/>
  <c r="M79" i="28"/>
  <c r="M39" i="28" s="1"/>
  <c r="U182" i="28"/>
  <c r="I172" i="28"/>
  <c r="P139" i="28"/>
  <c r="Y162" i="28"/>
  <c r="V162" i="28"/>
  <c r="S239" i="28"/>
  <c r="U56" i="28"/>
  <c r="U16" i="28" s="1"/>
  <c r="Y54" i="28"/>
  <c r="Y14" i="28" s="1"/>
  <c r="O99" i="28"/>
  <c r="N63" i="28"/>
  <c r="N23" i="28" s="1"/>
  <c r="N199" i="28"/>
  <c r="J256" i="28"/>
  <c r="S245" i="28"/>
  <c r="I99" i="28"/>
  <c r="L236" i="28"/>
  <c r="I125" i="28"/>
  <c r="X215" i="28"/>
  <c r="C52" i="28"/>
  <c r="C12" i="28" s="1"/>
  <c r="X189" i="28"/>
  <c r="F97" i="28"/>
  <c r="T184" i="28"/>
  <c r="L150" i="28"/>
  <c r="W70" i="28"/>
  <c r="W30" i="28" s="1"/>
  <c r="P65" i="28"/>
  <c r="P25" i="28" s="1"/>
  <c r="T183" i="28"/>
  <c r="D109" i="28"/>
  <c r="K156" i="28"/>
  <c r="K240" i="28"/>
  <c r="X137" i="28"/>
  <c r="R235" i="28"/>
  <c r="K221" i="28"/>
  <c r="E104" i="28"/>
  <c r="L81" i="28"/>
  <c r="L41" i="28" s="1"/>
  <c r="Q234" i="28"/>
  <c r="D59" i="28"/>
  <c r="D19" i="28" s="1"/>
  <c r="F75" i="28"/>
  <c r="F35" i="28" s="1"/>
  <c r="C53" i="28"/>
  <c r="C13" i="28" s="1"/>
  <c r="N90" i="28"/>
  <c r="F143" i="28"/>
  <c r="O51" i="28"/>
  <c r="O11" i="28" s="1"/>
  <c r="W66" i="28"/>
  <c r="W26" i="28" s="1"/>
  <c r="T144" i="28"/>
  <c r="R161" i="28"/>
  <c r="K153" i="28"/>
  <c r="X140" i="28"/>
  <c r="R54" i="28"/>
  <c r="R14" i="28" s="1"/>
  <c r="T138" i="28"/>
  <c r="P100" i="28"/>
  <c r="F153" i="28"/>
  <c r="M142" i="28"/>
  <c r="M223" i="28"/>
  <c r="X175" i="28"/>
  <c r="D96" i="28"/>
  <c r="S134" i="28"/>
  <c r="M229" i="28"/>
  <c r="D110" i="28"/>
  <c r="N217" i="28"/>
  <c r="W226" i="28"/>
  <c r="D174" i="28"/>
  <c r="M131" i="28"/>
  <c r="I108" i="28"/>
  <c r="J148" i="28"/>
  <c r="D171" i="28"/>
  <c r="D238" i="28"/>
  <c r="G193" i="28"/>
  <c r="W232" i="28"/>
  <c r="R77" i="28"/>
  <c r="R37" i="28" s="1"/>
  <c r="S57" i="28"/>
  <c r="S17" i="28" s="1"/>
  <c r="P192" i="28"/>
  <c r="F254" i="28"/>
  <c r="Y92" i="28"/>
  <c r="E235" i="28"/>
  <c r="U234" i="28"/>
  <c r="V239" i="28"/>
  <c r="D111" i="28"/>
  <c r="H158" i="28"/>
  <c r="U86" i="28"/>
  <c r="U46" i="28" s="1"/>
  <c r="X54" i="28"/>
  <c r="X14" i="28" s="1"/>
  <c r="R83" i="28"/>
  <c r="R43" i="28" s="1"/>
  <c r="T80" i="28"/>
  <c r="T40" i="28" s="1"/>
  <c r="S229" i="28"/>
  <c r="D211" i="28"/>
  <c r="X240" i="28"/>
  <c r="W173" i="28"/>
  <c r="E163" i="28"/>
  <c r="S158" i="28"/>
  <c r="M246" i="28"/>
  <c r="V59" i="28"/>
  <c r="V19" i="28" s="1"/>
  <c r="F241" i="28"/>
  <c r="S141" i="28"/>
  <c r="C33" i="61"/>
  <c r="C18" i="61" s="1"/>
  <c r="D75" i="61"/>
  <c r="G48" i="61"/>
  <c r="Z104" i="46"/>
  <c r="S96" i="46"/>
  <c r="N31" i="46"/>
  <c r="R86" i="46"/>
  <c r="AA35" i="46"/>
  <c r="S9" i="46"/>
  <c r="U19" i="46"/>
  <c r="P33" i="46"/>
  <c r="F92" i="46"/>
  <c r="O29" i="46"/>
  <c r="K34" i="46"/>
  <c r="Y39" i="46"/>
  <c r="Y30" i="46"/>
  <c r="O27" i="46"/>
  <c r="C24" i="46"/>
  <c r="Y131" i="46"/>
  <c r="E131" i="46"/>
  <c r="X78" i="46"/>
  <c r="G26" i="46"/>
  <c r="S12" i="46"/>
  <c r="I105" i="46"/>
  <c r="W85" i="46"/>
  <c r="I33" i="46"/>
  <c r="Z28" i="46"/>
  <c r="X113" i="46"/>
  <c r="J132" i="46"/>
  <c r="F84" i="46"/>
  <c r="J126" i="46"/>
  <c r="T37" i="46"/>
  <c r="I53" i="46"/>
  <c r="G138" i="46"/>
  <c r="N115" i="46"/>
  <c r="V84" i="46"/>
  <c r="D95" i="46"/>
  <c r="F37" i="46"/>
  <c r="Y114" i="46"/>
  <c r="E116" i="46"/>
  <c r="H108" i="46"/>
  <c r="I112" i="46"/>
  <c r="Z84" i="46"/>
  <c r="Z45" i="46"/>
  <c r="Y111" i="46"/>
  <c r="R124" i="46"/>
  <c r="N49" i="46"/>
  <c r="K83" i="46"/>
  <c r="W19" i="46"/>
  <c r="D114" i="46"/>
  <c r="N84" i="46"/>
  <c r="V63" i="46"/>
  <c r="D57" i="46"/>
  <c r="D19" i="46"/>
  <c r="N33" i="46"/>
  <c r="W127" i="46"/>
  <c r="G55" i="46"/>
  <c r="V30" i="46"/>
  <c r="G14" i="46"/>
  <c r="L62" i="46"/>
  <c r="P19" i="46"/>
  <c r="V28" i="46"/>
  <c r="L36" i="46"/>
  <c r="Q50" i="46"/>
  <c r="P35" i="46"/>
  <c r="D49" i="46"/>
  <c r="T17" i="46"/>
  <c r="W7" i="46"/>
  <c r="AA141" i="46"/>
  <c r="X139" i="46"/>
  <c r="I102" i="46"/>
  <c r="E115" i="46"/>
  <c r="J157" i="46"/>
  <c r="Q75" i="46"/>
  <c r="F68" i="46"/>
  <c r="F71" i="46"/>
  <c r="M47" i="46"/>
  <c r="V54" i="46"/>
  <c r="N37" i="46"/>
  <c r="C25" i="46"/>
  <c r="V101" i="46"/>
  <c r="J11" i="46"/>
  <c r="C109" i="46"/>
  <c r="M124" i="46"/>
  <c r="D151" i="46"/>
  <c r="M7" i="46"/>
  <c r="J68" i="46"/>
  <c r="J151" i="46"/>
  <c r="F17" i="46"/>
  <c r="F48" i="46"/>
  <c r="L134" i="46"/>
  <c r="H86" i="46"/>
  <c r="L68" i="46"/>
  <c r="L152" i="46"/>
  <c r="G116" i="46"/>
  <c r="Z20" i="46"/>
  <c r="M87" i="46"/>
  <c r="K10" i="46"/>
  <c r="P13" i="46"/>
  <c r="Q90" i="46"/>
  <c r="W111" i="46"/>
  <c r="M67" i="46"/>
  <c r="H76" i="46"/>
  <c r="C127" i="46"/>
  <c r="C87" i="46"/>
  <c r="V33" i="46"/>
  <c r="X14" i="46"/>
  <c r="Z32" i="46"/>
  <c r="X40" i="46"/>
  <c r="Y33" i="46"/>
  <c r="AA72" i="46"/>
  <c r="T20" i="46"/>
  <c r="Y6" i="46"/>
  <c r="W36" i="46"/>
  <c r="Q67" i="46"/>
  <c r="V118" i="46"/>
  <c r="P25" i="46"/>
  <c r="D16" i="46"/>
  <c r="Q24" i="46"/>
  <c r="S88" i="46"/>
  <c r="Z38" i="46"/>
  <c r="T103" i="46"/>
  <c r="X18" i="46"/>
  <c r="M40" i="46"/>
  <c r="O36" i="46"/>
  <c r="S17" i="46"/>
  <c r="R117" i="46"/>
  <c r="AA13" i="46"/>
  <c r="N98" i="46"/>
  <c r="U34" i="46"/>
  <c r="D68" i="46"/>
  <c r="H106" i="46"/>
  <c r="S38" i="46"/>
  <c r="Y156" i="46"/>
  <c r="C27" i="46"/>
  <c r="L125" i="46"/>
  <c r="R145" i="46"/>
  <c r="C149" i="46"/>
  <c r="E34" i="46"/>
  <c r="E89" i="46"/>
  <c r="J28" i="46"/>
  <c r="E57" i="46"/>
  <c r="J129" i="46"/>
  <c r="M105" i="46"/>
  <c r="Q59" i="46"/>
  <c r="W46" i="46"/>
  <c r="M30" i="46"/>
  <c r="T62" i="46"/>
  <c r="J65" i="46"/>
  <c r="I139" i="46"/>
  <c r="AA32" i="46"/>
  <c r="K47" i="46"/>
  <c r="C75" i="46"/>
  <c r="AA63" i="46"/>
  <c r="T87" i="46"/>
  <c r="M126" i="46"/>
  <c r="X114" i="46"/>
  <c r="F25" i="46"/>
  <c r="AA127" i="46"/>
  <c r="N26" i="46"/>
  <c r="Q52" i="46"/>
  <c r="K129" i="46"/>
  <c r="AA10" i="46"/>
  <c r="V150" i="46"/>
  <c r="X102" i="46"/>
  <c r="R65" i="46"/>
  <c r="N11" i="46"/>
  <c r="P71" i="46"/>
  <c r="S44" i="46"/>
  <c r="V57" i="46"/>
  <c r="M129" i="46"/>
  <c r="Q8" i="46"/>
  <c r="H40" i="46"/>
  <c r="D123" i="46"/>
  <c r="C50" i="46"/>
  <c r="AA74" i="46"/>
  <c r="H35" i="46"/>
  <c r="H124" i="46"/>
  <c r="R11" i="46"/>
  <c r="Z37" i="46"/>
  <c r="F11" i="46"/>
  <c r="E132" i="46"/>
  <c r="M130" i="46"/>
  <c r="Z7" i="46"/>
  <c r="E21" i="46"/>
  <c r="K20" i="46"/>
  <c r="T151" i="46"/>
  <c r="L54" i="46"/>
  <c r="G11" i="46"/>
  <c r="K55" i="46"/>
  <c r="T122" i="46"/>
  <c r="P9" i="46"/>
  <c r="R75" i="46"/>
  <c r="D62" i="46"/>
  <c r="D79" i="46"/>
  <c r="J25" i="46"/>
  <c r="K79" i="46"/>
  <c r="R48" i="46"/>
  <c r="K31" i="46"/>
  <c r="Z60" i="46"/>
  <c r="M111" i="46"/>
  <c r="L109" i="46"/>
  <c r="X5" i="46"/>
  <c r="M24" i="46"/>
  <c r="T153" i="46"/>
  <c r="D72" i="46"/>
  <c r="P138" i="46"/>
  <c r="P31" i="46"/>
  <c r="W83" i="46"/>
  <c r="G95" i="46"/>
  <c r="AA75" i="46"/>
  <c r="N147" i="46"/>
  <c r="Y10" i="46"/>
  <c r="L5" i="46"/>
  <c r="W29" i="46"/>
  <c r="Z127" i="46"/>
  <c r="G105" i="46"/>
  <c r="M36" i="46"/>
  <c r="V25" i="46"/>
  <c r="Z155" i="46"/>
  <c r="S61" i="46"/>
  <c r="E49" i="46"/>
  <c r="V104" i="46"/>
  <c r="L111" i="46"/>
  <c r="V149" i="46"/>
  <c r="K53" i="46"/>
  <c r="V13" i="46"/>
  <c r="K19" i="46"/>
  <c r="I47" i="46"/>
  <c r="R110" i="46"/>
  <c r="K157" i="46"/>
  <c r="I107" i="46"/>
  <c r="Q58" i="46"/>
  <c r="U92" i="46"/>
  <c r="E60" i="46"/>
  <c r="D59" i="46"/>
  <c r="D140" i="46"/>
  <c r="U69" i="46"/>
  <c r="G152" i="46"/>
  <c r="G88" i="46"/>
  <c r="J90" i="46"/>
  <c r="J91" i="46"/>
  <c r="M101" i="46"/>
  <c r="Q86" i="46"/>
  <c r="I22" i="46"/>
  <c r="T54" i="46"/>
  <c r="L50" i="46"/>
  <c r="AA125" i="46"/>
  <c r="P53" i="46"/>
  <c r="Y89" i="46"/>
  <c r="W13" i="46"/>
  <c r="W53" i="46"/>
  <c r="AA104" i="46"/>
  <c r="G90" i="46"/>
  <c r="E122" i="46"/>
  <c r="W118" i="46"/>
  <c r="K26" i="46"/>
  <c r="W25" i="46"/>
  <c r="V32" i="46"/>
  <c r="V36" i="46"/>
  <c r="K151" i="46"/>
  <c r="U73" i="46"/>
  <c r="Q83" i="46"/>
  <c r="J55" i="46"/>
  <c r="X100" i="46"/>
  <c r="U135" i="46"/>
  <c r="D129" i="46"/>
  <c r="J35" i="46"/>
  <c r="D36" i="46"/>
  <c r="Q71" i="46"/>
  <c r="I25" i="46"/>
  <c r="K39" i="46"/>
  <c r="X135" i="46"/>
  <c r="E52" i="46"/>
  <c r="Y66" i="46"/>
  <c r="F105" i="46"/>
  <c r="U52" i="46"/>
  <c r="O79" i="46"/>
  <c r="X91" i="46"/>
  <c r="R70" i="46"/>
  <c r="G24" i="46"/>
  <c r="Y11" i="46"/>
  <c r="Q107" i="46"/>
  <c r="O24" i="46"/>
  <c r="N110" i="46"/>
  <c r="H30" i="46"/>
  <c r="T27" i="46"/>
  <c r="H75" i="46"/>
  <c r="C15" i="46"/>
  <c r="X27" i="46"/>
  <c r="N69" i="46"/>
  <c r="U90" i="46"/>
  <c r="D54" i="46"/>
  <c r="T51" i="46"/>
  <c r="AA142" i="46"/>
  <c r="E76" i="46"/>
  <c r="L71" i="46"/>
  <c r="F13" i="46"/>
  <c r="Z23" i="46"/>
  <c r="V131" i="46"/>
  <c r="S107" i="46"/>
  <c r="L131" i="46"/>
  <c r="P85" i="46"/>
  <c r="V125" i="46"/>
  <c r="T68" i="46"/>
  <c r="H51" i="46"/>
  <c r="C63" i="46"/>
  <c r="L24" i="46"/>
  <c r="I37" i="46"/>
  <c r="U51" i="46"/>
  <c r="E157" i="46"/>
  <c r="W52" i="46"/>
  <c r="Y40" i="46"/>
  <c r="Z19" i="46"/>
  <c r="T30" i="46"/>
  <c r="J51" i="46"/>
  <c r="F40" i="46"/>
  <c r="Y14" i="46"/>
  <c r="N124" i="46"/>
  <c r="N133" i="46"/>
  <c r="R21" i="46"/>
  <c r="K134" i="46"/>
  <c r="AA77" i="46"/>
  <c r="J139" i="46"/>
  <c r="D154" i="46"/>
  <c r="K67" i="46"/>
  <c r="O30" i="46"/>
  <c r="N79" i="46"/>
  <c r="O148" i="46"/>
  <c r="C137" i="46"/>
  <c r="X107" i="46"/>
  <c r="I77" i="46"/>
  <c r="L28" i="46"/>
  <c r="Q148" i="46"/>
  <c r="U89" i="46"/>
  <c r="C7" i="46"/>
  <c r="AA15" i="46"/>
  <c r="F104" i="46"/>
  <c r="C73" i="46"/>
  <c r="K71" i="46"/>
  <c r="M141" i="46"/>
  <c r="K109" i="46"/>
  <c r="F113" i="46"/>
  <c r="C86" i="46"/>
  <c r="I115" i="46"/>
  <c r="U124" i="46"/>
  <c r="R59" i="46"/>
  <c r="J137" i="46"/>
  <c r="S147" i="46"/>
  <c r="S140" i="46"/>
  <c r="M149" i="46"/>
  <c r="G74" i="46"/>
  <c r="H115" i="46"/>
  <c r="P8" i="46"/>
  <c r="G142" i="46"/>
  <c r="X116" i="46"/>
  <c r="U143" i="46"/>
  <c r="H148" i="46"/>
  <c r="G147" i="46"/>
  <c r="P29" i="46"/>
  <c r="W154" i="46"/>
  <c r="P34" i="46"/>
  <c r="Z17" i="46"/>
  <c r="AA22" i="46"/>
  <c r="F97" i="46"/>
  <c r="M143" i="46"/>
  <c r="P118" i="46"/>
  <c r="T94" i="46"/>
  <c r="W12" i="46"/>
  <c r="H62" i="46"/>
  <c r="Z131" i="46"/>
  <c r="AA153" i="46"/>
  <c r="Z89" i="46"/>
  <c r="Y97" i="46"/>
  <c r="E26" i="46"/>
  <c r="Q23" i="46"/>
  <c r="O8" i="46"/>
  <c r="H10" i="46"/>
  <c r="P64" i="46"/>
  <c r="M85" i="46"/>
  <c r="S89" i="46"/>
  <c r="Y34" i="46"/>
  <c r="K60" i="46"/>
  <c r="M156" i="46"/>
  <c r="Z16" i="46"/>
  <c r="X8" i="46"/>
  <c r="P46" i="46"/>
  <c r="M103" i="46"/>
  <c r="Q144" i="46"/>
  <c r="M23" i="46"/>
  <c r="T113" i="46"/>
  <c r="J123" i="46"/>
  <c r="U137" i="46"/>
  <c r="V35" i="46"/>
  <c r="O153" i="46"/>
  <c r="Q15" i="46"/>
  <c r="I110" i="46"/>
  <c r="F53" i="46"/>
  <c r="G99" i="46"/>
  <c r="L146" i="46"/>
  <c r="D21" i="46"/>
  <c r="D58" i="46"/>
  <c r="F147" i="46"/>
  <c r="E84" i="46"/>
  <c r="U70" i="46"/>
  <c r="AA6" i="46"/>
  <c r="V135" i="46"/>
  <c r="E91" i="46"/>
  <c r="T71" i="46"/>
  <c r="C130" i="46"/>
  <c r="E9" i="46"/>
  <c r="D98" i="46"/>
  <c r="Z117" i="46"/>
  <c r="Q117" i="46"/>
  <c r="T38" i="46"/>
  <c r="V79" i="46"/>
  <c r="S115" i="46"/>
  <c r="H95" i="46"/>
  <c r="O32" i="46"/>
  <c r="V90" i="46"/>
  <c r="Z124" i="46"/>
  <c r="Y102" i="46"/>
  <c r="X15" i="46"/>
  <c r="I148" i="46"/>
  <c r="N28" i="46"/>
  <c r="P66" i="46"/>
  <c r="N136" i="46"/>
  <c r="W130" i="46"/>
  <c r="V122" i="46"/>
  <c r="C11" i="46"/>
  <c r="J27" i="46"/>
  <c r="F157" i="46"/>
  <c r="R71" i="46"/>
  <c r="T156" i="46"/>
  <c r="R39" i="46"/>
  <c r="AA145" i="46"/>
  <c r="H126" i="46"/>
  <c r="Y35" i="46"/>
  <c r="Y148" i="46"/>
  <c r="U77" i="46"/>
  <c r="V137" i="46"/>
  <c r="Q19" i="46"/>
  <c r="Z30" i="46"/>
  <c r="U98" i="46"/>
  <c r="N83" i="46"/>
  <c r="I59" i="46"/>
  <c r="J8" i="46"/>
  <c r="Z56" i="46"/>
  <c r="O104" i="46"/>
  <c r="C145" i="46"/>
  <c r="O146" i="46"/>
  <c r="E77" i="46"/>
  <c r="T23" i="46"/>
  <c r="E58" i="46"/>
  <c r="J24" i="46"/>
  <c r="S103" i="46"/>
  <c r="F118" i="46"/>
  <c r="T114" i="46"/>
  <c r="P153" i="46"/>
  <c r="S86" i="46"/>
  <c r="D153" i="46"/>
  <c r="K44" i="46"/>
  <c r="Q157" i="46"/>
  <c r="C51" i="46"/>
  <c r="S13" i="46"/>
  <c r="Y107" i="46"/>
  <c r="K17" i="46"/>
  <c r="U27" i="46"/>
  <c r="W75" i="46"/>
  <c r="L53" i="46"/>
  <c r="Q154" i="46"/>
  <c r="V107" i="46"/>
  <c r="H32" i="46"/>
  <c r="Z88" i="46"/>
  <c r="M136" i="46"/>
  <c r="U76" i="46"/>
  <c r="S146" i="46"/>
  <c r="Y53" i="46"/>
  <c r="S21" i="46"/>
  <c r="G8" i="46"/>
  <c r="Q70" i="46"/>
  <c r="S70" i="46"/>
  <c r="D20" i="46"/>
  <c r="R17" i="46"/>
  <c r="S73" i="46"/>
  <c r="D71" i="46"/>
  <c r="V117" i="46"/>
  <c r="AA73" i="46"/>
  <c r="Y70" i="46"/>
  <c r="Z112" i="46"/>
  <c r="J63" i="46"/>
  <c r="D116" i="46"/>
  <c r="C57" i="46"/>
  <c r="L115" i="46"/>
  <c r="C68" i="46"/>
  <c r="X137" i="46"/>
  <c r="U138" i="46"/>
  <c r="D144" i="46"/>
  <c r="V58" i="46"/>
  <c r="J113" i="46"/>
  <c r="AA9" i="46"/>
  <c r="AA60" i="46"/>
  <c r="V144" i="46"/>
  <c r="C94" i="46"/>
  <c r="I73" i="46"/>
  <c r="L32" i="46"/>
  <c r="N140" i="46"/>
  <c r="J87" i="46"/>
  <c r="R56" i="46"/>
  <c r="H65" i="46"/>
  <c r="Y86" i="46"/>
  <c r="D6" i="46"/>
  <c r="AA98" i="46"/>
  <c r="N118" i="46"/>
  <c r="N78" i="46"/>
  <c r="Y113" i="46"/>
  <c r="L86" i="46"/>
  <c r="X26" i="46"/>
  <c r="E62" i="46"/>
  <c r="M106" i="46"/>
  <c r="P106" i="46"/>
  <c r="R28" i="46"/>
  <c r="T16" i="46"/>
  <c r="V23" i="46"/>
  <c r="V97" i="46"/>
  <c r="P107" i="46"/>
  <c r="J135" i="46"/>
  <c r="J88" i="46"/>
  <c r="G136" i="46"/>
  <c r="O145" i="46"/>
  <c r="R135" i="46"/>
  <c r="N125" i="46"/>
  <c r="C21" i="46"/>
  <c r="U148" i="46"/>
  <c r="N66" i="46"/>
  <c r="X127" i="46"/>
  <c r="C143" i="46"/>
  <c r="W89" i="46"/>
  <c r="U105" i="46"/>
  <c r="E50" i="46"/>
  <c r="L27" i="46"/>
  <c r="O106" i="46"/>
  <c r="E13" i="46"/>
  <c r="T35" i="46"/>
  <c r="Q113" i="46"/>
  <c r="M117" i="46"/>
  <c r="O57" i="46"/>
  <c r="K38" i="46"/>
  <c r="L126" i="46"/>
  <c r="S5" i="46"/>
  <c r="J136" i="46"/>
  <c r="L116" i="46"/>
  <c r="T63" i="46"/>
  <c r="S78" i="46"/>
  <c r="C136" i="46"/>
  <c r="U151" i="46"/>
  <c r="E155" i="46"/>
  <c r="Q145" i="46"/>
  <c r="P94" i="46"/>
  <c r="M58" i="46"/>
  <c r="F5" i="46"/>
  <c r="C54" i="46"/>
  <c r="O17" i="46"/>
  <c r="P32" i="46"/>
  <c r="AA34" i="46"/>
  <c r="F56" i="46"/>
  <c r="O151" i="46"/>
  <c r="E153" i="46"/>
  <c r="Q137" i="46"/>
  <c r="G28" i="46"/>
  <c r="H104" i="46"/>
  <c r="M14" i="46"/>
  <c r="T86" i="46"/>
  <c r="L84" i="46"/>
  <c r="F156" i="46"/>
  <c r="P128" i="46"/>
  <c r="P63" i="46"/>
  <c r="R78" i="46"/>
  <c r="S34" i="46"/>
  <c r="K24" i="46"/>
  <c r="AA30" i="46"/>
  <c r="G65" i="46"/>
  <c r="R96" i="46"/>
  <c r="H72" i="46"/>
  <c r="F20" i="46"/>
  <c r="U61" i="46"/>
  <c r="U5" i="46"/>
  <c r="R72" i="46"/>
  <c r="X88" i="46"/>
  <c r="P137" i="46"/>
  <c r="F24" i="46"/>
  <c r="M84" i="46"/>
  <c r="C113" i="46"/>
  <c r="N93" i="46"/>
  <c r="Z90" i="46"/>
  <c r="O132" i="46"/>
  <c r="V78" i="46"/>
  <c r="E93" i="46"/>
  <c r="P39" i="46"/>
  <c r="H89" i="46"/>
  <c r="W65" i="46"/>
  <c r="G23" i="46"/>
  <c r="Y99" i="46"/>
  <c r="L74" i="46"/>
  <c r="V31" i="46"/>
  <c r="AA154" i="46"/>
  <c r="H117" i="46"/>
  <c r="K101" i="46"/>
  <c r="D78" i="46"/>
  <c r="P40" i="46"/>
  <c r="X92" i="46"/>
  <c r="Q12" i="46"/>
  <c r="S27" i="46"/>
  <c r="Q57" i="46"/>
  <c r="AA152" i="46"/>
  <c r="R53" i="46"/>
  <c r="N100" i="46"/>
  <c r="O156" i="46"/>
  <c r="U31" i="46"/>
  <c r="AA133" i="46"/>
  <c r="N74" i="46"/>
  <c r="G113" i="46"/>
  <c r="N35" i="46"/>
  <c r="I150" i="46"/>
  <c r="V64" i="46"/>
  <c r="V153" i="46"/>
  <c r="M113" i="46"/>
  <c r="AA31" i="46"/>
  <c r="S133" i="46"/>
  <c r="T144" i="46"/>
  <c r="W23" i="46"/>
  <c r="L13" i="46"/>
  <c r="I101" i="46"/>
  <c r="F36" i="46"/>
  <c r="L63" i="46"/>
  <c r="R55" i="46"/>
  <c r="E103" i="46"/>
  <c r="N6" i="46"/>
  <c r="Y126" i="46"/>
  <c r="L147" i="46"/>
  <c r="K37" i="46"/>
  <c r="U6" i="46"/>
  <c r="O111" i="46"/>
  <c r="M94" i="46"/>
  <c r="Q62" i="46"/>
  <c r="E114" i="46"/>
  <c r="T126" i="46"/>
  <c r="O78" i="46"/>
  <c r="M144" i="46"/>
  <c r="J22" i="46"/>
  <c r="N106" i="46"/>
  <c r="N129" i="46"/>
  <c r="Q130" i="46"/>
  <c r="S98" i="46"/>
  <c r="W84" i="46"/>
  <c r="G31" i="46"/>
  <c r="Y26" i="46"/>
  <c r="K97" i="46"/>
  <c r="K140" i="46"/>
  <c r="C47" i="46"/>
  <c r="K22" i="46"/>
  <c r="X153" i="46"/>
  <c r="W40" i="46"/>
  <c r="H58" i="46"/>
  <c r="T32" i="46"/>
  <c r="C79" i="46"/>
  <c r="D145" i="46"/>
  <c r="Y78" i="46"/>
  <c r="F26" i="46"/>
  <c r="C134" i="46"/>
  <c r="X145" i="46"/>
  <c r="AA115" i="46"/>
  <c r="J64" i="46"/>
  <c r="R141" i="46"/>
  <c r="T6" i="46"/>
  <c r="O12" i="46"/>
  <c r="C40" i="46"/>
  <c r="G100" i="46"/>
  <c r="AA92" i="46"/>
  <c r="C44" i="46"/>
  <c r="E17" i="46"/>
  <c r="H97" i="46"/>
  <c r="P151" i="46"/>
  <c r="AA64" i="46"/>
  <c r="C46" i="46"/>
  <c r="J54" i="46"/>
  <c r="X13" i="46"/>
  <c r="Y60" i="46"/>
  <c r="U13" i="46"/>
  <c r="D14" i="46"/>
  <c r="M8" i="46"/>
  <c r="U38" i="46"/>
  <c r="K137" i="46"/>
  <c r="U85" i="46"/>
  <c r="H54" i="46"/>
  <c r="N105" i="46"/>
  <c r="M90" i="46"/>
  <c r="R30" i="46"/>
  <c r="M49" i="46"/>
  <c r="T95" i="46"/>
  <c r="K56" i="46"/>
  <c r="L154" i="46"/>
  <c r="W117" i="46"/>
  <c r="H60" i="46"/>
  <c r="E128" i="46"/>
  <c r="E143" i="46"/>
  <c r="G115" i="46"/>
  <c r="W77" i="46"/>
  <c r="G110" i="46"/>
  <c r="M112" i="46"/>
  <c r="G76" i="46"/>
  <c r="G91" i="46"/>
  <c r="P14" i="46"/>
  <c r="Q37" i="46"/>
  <c r="AA101" i="46"/>
  <c r="D67" i="46"/>
  <c r="I86" i="46"/>
  <c r="U37" i="46"/>
  <c r="P52" i="46"/>
  <c r="N77" i="46"/>
  <c r="S39" i="46"/>
  <c r="Y84" i="46"/>
  <c r="E14" i="46"/>
  <c r="AA12" i="46"/>
  <c r="O112" i="46"/>
  <c r="L128" i="46"/>
  <c r="H13" i="46"/>
  <c r="Y140" i="46"/>
  <c r="W66" i="46"/>
  <c r="Q29" i="46"/>
  <c r="AA87" i="46"/>
  <c r="M50" i="46"/>
  <c r="F123" i="46"/>
  <c r="P108" i="46"/>
  <c r="Y61" i="46"/>
  <c r="G103" i="46"/>
  <c r="Y143" i="46"/>
  <c r="R57" i="46"/>
  <c r="H77" i="46"/>
  <c r="X11" i="46"/>
  <c r="O154" i="46"/>
  <c r="Z147" i="46"/>
  <c r="U102" i="46"/>
  <c r="I34" i="46"/>
  <c r="K13" i="46"/>
  <c r="T125" i="46"/>
  <c r="K75" i="46"/>
  <c r="N145" i="46"/>
  <c r="Z94" i="46"/>
  <c r="Z33" i="46"/>
  <c r="P55" i="46"/>
  <c r="D93" i="46"/>
  <c r="O56" i="46"/>
  <c r="S100" i="46"/>
  <c r="Y46" i="46"/>
  <c r="R25" i="46"/>
  <c r="I62" i="46"/>
  <c r="K104" i="46"/>
  <c r="M10" i="46"/>
  <c r="K11" i="46"/>
  <c r="W67" i="46"/>
  <c r="L11" i="46"/>
  <c r="U112" i="46"/>
  <c r="T29" i="46"/>
  <c r="I52" i="46"/>
  <c r="AA118" i="46"/>
  <c r="X39" i="46"/>
  <c r="R122" i="46"/>
  <c r="V61" i="46"/>
  <c r="N135" i="46"/>
  <c r="H130" i="46"/>
  <c r="M70" i="46"/>
  <c r="Y71" i="46"/>
  <c r="W18" i="46"/>
  <c r="D101" i="46"/>
  <c r="Z62" i="46"/>
  <c r="D46" i="46"/>
  <c r="Q87" i="46"/>
  <c r="Z87" i="46"/>
  <c r="Z44" i="46"/>
  <c r="I65" i="46"/>
  <c r="J100" i="46"/>
  <c r="P12" i="46"/>
  <c r="W71" i="46"/>
  <c r="P47" i="46"/>
  <c r="F153" i="46"/>
  <c r="E12" i="46"/>
  <c r="AA107" i="46"/>
  <c r="M138" i="46"/>
  <c r="S37" i="46"/>
  <c r="Y57" i="46"/>
  <c r="K106" i="46"/>
  <c r="Y69" i="46"/>
  <c r="Z48" i="46"/>
  <c r="Y8" i="46"/>
  <c r="S138" i="46"/>
  <c r="I84" i="46"/>
  <c r="AA59" i="46"/>
  <c r="R105" i="46"/>
  <c r="V53" i="46"/>
  <c r="R115" i="46"/>
  <c r="U72" i="46"/>
  <c r="L66" i="46"/>
  <c r="J127" i="46"/>
  <c r="K25" i="46"/>
  <c r="V66" i="46"/>
  <c r="I38" i="46"/>
  <c r="AA94" i="46"/>
  <c r="J21" i="46"/>
  <c r="Z55" i="46"/>
  <c r="V126" i="46"/>
  <c r="K29" i="46"/>
  <c r="I64" i="46"/>
  <c r="R12" i="46"/>
  <c r="Q102" i="46"/>
  <c r="Q18" i="46"/>
  <c r="D122" i="46"/>
  <c r="X130" i="46"/>
  <c r="J99" i="46"/>
  <c r="G10" i="46"/>
  <c r="U36" i="46"/>
  <c r="L151" i="46"/>
  <c r="M147" i="46"/>
  <c r="W62" i="46"/>
  <c r="AA95" i="46"/>
  <c r="Y157" i="46"/>
  <c r="U154" i="46"/>
  <c r="E40" i="46"/>
  <c r="O70" i="46"/>
  <c r="C49" i="46"/>
  <c r="Q152" i="46"/>
  <c r="X17" i="46"/>
  <c r="N12" i="46"/>
  <c r="Q138" i="46"/>
  <c r="E47" i="46"/>
  <c r="I135" i="46"/>
  <c r="Z140" i="46"/>
  <c r="Q131" i="46"/>
  <c r="W35" i="46"/>
  <c r="Y47" i="46"/>
  <c r="T7" i="46"/>
  <c r="N86" i="46"/>
  <c r="S49" i="46"/>
  <c r="Q39" i="46"/>
  <c r="N47" i="46"/>
  <c r="W86" i="46"/>
  <c r="D76" i="46"/>
  <c r="E30" i="46"/>
  <c r="N73" i="46"/>
  <c r="I46" i="46"/>
  <c r="P140" i="46"/>
  <c r="N52" i="46"/>
  <c r="O13" i="46"/>
  <c r="J150" i="46"/>
  <c r="P124" i="46"/>
  <c r="W76" i="46"/>
  <c r="O86" i="46"/>
  <c r="J56" i="46"/>
  <c r="R24" i="46"/>
  <c r="H138" i="46"/>
  <c r="L143" i="46"/>
  <c r="T106" i="46"/>
  <c r="K76" i="46"/>
  <c r="G137" i="46"/>
  <c r="M16" i="46"/>
  <c r="L141" i="46"/>
  <c r="N130" i="46"/>
  <c r="M109" i="46"/>
  <c r="N59" i="46"/>
  <c r="X68" i="46"/>
  <c r="H151" i="46"/>
  <c r="AA52" i="46"/>
  <c r="O144" i="46"/>
  <c r="R50" i="46"/>
  <c r="W136" i="46"/>
  <c r="E28" i="46"/>
  <c r="G64" i="46"/>
  <c r="H157" i="46"/>
  <c r="C9" i="46"/>
  <c r="L92" i="46"/>
  <c r="R27" i="46"/>
  <c r="L149" i="46"/>
  <c r="I125" i="46"/>
  <c r="I60" i="46"/>
  <c r="C154" i="46"/>
  <c r="D45" i="46"/>
  <c r="U96" i="46"/>
  <c r="C114" i="46"/>
  <c r="J36" i="46"/>
  <c r="W133" i="46"/>
  <c r="G140" i="46"/>
  <c r="S18" i="46"/>
  <c r="J26" i="46"/>
  <c r="AA69" i="46"/>
  <c r="S69" i="46"/>
  <c r="I71" i="46"/>
  <c r="L64" i="46"/>
  <c r="M11" i="46"/>
  <c r="AA57" i="46"/>
  <c r="W73" i="46"/>
  <c r="H57" i="46"/>
  <c r="C66" i="46"/>
  <c r="C48" i="46"/>
  <c r="D24" i="46"/>
  <c r="Q141" i="46"/>
  <c r="C148" i="46"/>
  <c r="C93" i="46"/>
  <c r="M79" i="46"/>
  <c r="Y73" i="46"/>
  <c r="X98" i="46"/>
  <c r="X58" i="46"/>
  <c r="Q99" i="46"/>
  <c r="Y50" i="46"/>
  <c r="E152" i="46"/>
  <c r="J44" i="46"/>
  <c r="L78" i="46"/>
  <c r="F61" i="46"/>
  <c r="I131" i="46"/>
  <c r="U23" i="46"/>
  <c r="F86" i="46"/>
  <c r="P16" i="46"/>
  <c r="K40" i="46"/>
  <c r="K51" i="46"/>
  <c r="E37" i="46"/>
  <c r="I68" i="46"/>
  <c r="S112" i="46"/>
  <c r="V133" i="46"/>
  <c r="S90" i="46"/>
  <c r="D12" i="46"/>
  <c r="E110" i="46"/>
  <c r="Q61" i="46"/>
  <c r="Y23" i="46"/>
  <c r="V59" i="46"/>
  <c r="H100" i="46"/>
  <c r="R137" i="46"/>
  <c r="X86" i="46"/>
  <c r="Y125" i="46"/>
  <c r="O147" i="46"/>
  <c r="U78" i="46"/>
  <c r="G129" i="46"/>
  <c r="D113" i="46"/>
  <c r="E33" i="46"/>
  <c r="H132" i="46"/>
  <c r="S65" i="46"/>
  <c r="T59" i="46"/>
  <c r="R147" i="46"/>
  <c r="Y127" i="46"/>
  <c r="K77" i="46"/>
  <c r="D65" i="46"/>
  <c r="U126" i="46"/>
  <c r="AA150" i="46"/>
  <c r="J69" i="46"/>
  <c r="I155" i="46"/>
  <c r="F150" i="46"/>
  <c r="AA40" i="46"/>
  <c r="L96" i="46"/>
  <c r="N51" i="46"/>
  <c r="Q109" i="46"/>
  <c r="W145" i="46"/>
  <c r="I151" i="46"/>
  <c r="K49" i="46"/>
  <c r="U129" i="46"/>
  <c r="W10" i="46"/>
  <c r="G143" i="46"/>
  <c r="O131" i="46"/>
  <c r="I57" i="46"/>
  <c r="M146" i="46"/>
  <c r="X9" i="46"/>
  <c r="G67" i="46"/>
  <c r="L148" i="46"/>
  <c r="X111" i="46"/>
  <c r="S11" i="46"/>
  <c r="G40" i="46"/>
  <c r="R51" i="46"/>
  <c r="N101" i="46"/>
  <c r="S55" i="46"/>
  <c r="D103" i="46"/>
  <c r="O76" i="46"/>
  <c r="H16" i="46"/>
  <c r="O122" i="46"/>
  <c r="U50" i="46"/>
  <c r="E99" i="46"/>
  <c r="V154" i="46"/>
  <c r="J7" i="46"/>
  <c r="T18" i="46"/>
  <c r="E10" i="103"/>
  <c r="K23" i="103"/>
  <c r="O45" i="103"/>
  <c r="D70" i="103"/>
  <c r="R25" i="104"/>
  <c r="J86" i="104"/>
  <c r="L45" i="101"/>
  <c r="N121" i="101"/>
  <c r="G12" i="103"/>
  <c r="I26" i="103"/>
  <c r="O48" i="103"/>
  <c r="H77" i="103"/>
  <c r="T37" i="104"/>
  <c r="I96" i="104"/>
  <c r="O49" i="101"/>
  <c r="I129" i="101"/>
  <c r="E14" i="103"/>
  <c r="K33" i="103"/>
  <c r="Q51" i="103"/>
  <c r="J89" i="103"/>
  <c r="V45" i="104"/>
  <c r="V53" i="107"/>
  <c r="N56" i="101"/>
  <c r="P14" i="101"/>
  <c r="K64" i="101"/>
  <c r="G16" i="103"/>
  <c r="K36" i="103"/>
  <c r="O58" i="103"/>
  <c r="L97" i="103"/>
  <c r="D58" i="104"/>
  <c r="N15" i="108"/>
  <c r="M59" i="101"/>
  <c r="J19" i="101"/>
  <c r="G18" i="103"/>
  <c r="O39" i="103"/>
  <c r="V61" i="103"/>
  <c r="N9" i="104"/>
  <c r="F66" i="104"/>
  <c r="M27" i="5"/>
  <c r="C16" i="5"/>
  <c r="C44" i="91"/>
  <c r="C19" i="91" s="1"/>
  <c r="C18" i="5"/>
  <c r="I39" i="91"/>
  <c r="I14" i="91" s="1"/>
  <c r="I13" i="5"/>
  <c r="L13" i="5"/>
  <c r="L39" i="91"/>
  <c r="L14" i="91" s="1"/>
  <c r="O16" i="5"/>
  <c r="N52" i="91"/>
  <c r="N27" i="91" s="1"/>
  <c r="H25" i="5"/>
  <c r="H51" i="91"/>
  <c r="H26" i="91" s="1"/>
  <c r="P53" i="91"/>
  <c r="P28" i="91" s="1"/>
  <c r="P27" i="5"/>
  <c r="N30" i="5"/>
  <c r="N56" i="91"/>
  <c r="N31" i="91" s="1"/>
  <c r="J37" i="91"/>
  <c r="J12" i="91" s="1"/>
  <c r="J11" i="5"/>
  <c r="F44" i="91"/>
  <c r="F19" i="91" s="1"/>
  <c r="O25" i="5"/>
  <c r="N43" i="91"/>
  <c r="N18" i="91" s="1"/>
  <c r="N16" i="5"/>
  <c r="P52" i="91"/>
  <c r="P27" i="91" s="1"/>
  <c r="P26" i="5"/>
  <c r="F87" i="99"/>
  <c r="I115" i="99"/>
  <c r="E58" i="9"/>
  <c r="L91" i="99"/>
  <c r="D91" i="9"/>
  <c r="I108" i="9"/>
  <c r="J15" i="9"/>
  <c r="H75" i="9"/>
  <c r="F116" i="9"/>
  <c r="H94" i="99"/>
  <c r="H37" i="9"/>
  <c r="H68" i="9"/>
  <c r="J37" i="9"/>
  <c r="H86" i="99"/>
  <c r="I91" i="99"/>
  <c r="H109" i="99"/>
  <c r="L18" i="99"/>
  <c r="H99" i="9"/>
  <c r="C109" i="9"/>
  <c r="F74" i="9"/>
  <c r="L28" i="9"/>
  <c r="G107" i="9"/>
  <c r="G27" i="9"/>
  <c r="C117" i="9"/>
  <c r="C91" i="9"/>
  <c r="K36" i="99"/>
  <c r="L75" i="9"/>
  <c r="G16" i="99"/>
  <c r="H33" i="99"/>
  <c r="L99" i="9"/>
  <c r="H48" i="9"/>
  <c r="E119" i="99"/>
  <c r="J47" i="99"/>
  <c r="F16" i="9"/>
  <c r="K91" i="99"/>
  <c r="G19" i="9"/>
  <c r="C59" i="9"/>
  <c r="G55" i="9"/>
  <c r="C100" i="99"/>
  <c r="I40" i="99"/>
  <c r="H12" i="99"/>
  <c r="K54" i="99"/>
  <c r="J52" i="99"/>
  <c r="E87" i="99"/>
  <c r="J118" i="99"/>
  <c r="C23" i="9"/>
  <c r="H57" i="99"/>
  <c r="D70" i="9"/>
  <c r="H9" i="99"/>
  <c r="F91" i="9"/>
  <c r="H87" i="99"/>
  <c r="J71" i="9"/>
  <c r="H104" i="9"/>
  <c r="H115" i="9"/>
  <c r="I30" i="9"/>
  <c r="L117" i="99"/>
  <c r="C114" i="9"/>
  <c r="H23" i="9"/>
  <c r="F118" i="9"/>
  <c r="L103" i="9"/>
  <c r="L69" i="99"/>
  <c r="F94" i="99"/>
  <c r="L51" i="9"/>
  <c r="E52" i="9"/>
  <c r="F69" i="9"/>
  <c r="I114" i="99"/>
  <c r="H93" i="9"/>
  <c r="D22" i="9"/>
  <c r="F43" i="99"/>
  <c r="I95" i="9"/>
  <c r="K53" i="99"/>
  <c r="J34" i="9"/>
  <c r="C41" i="9"/>
  <c r="H8" i="99"/>
  <c r="L116" i="99"/>
  <c r="K86" i="99"/>
  <c r="H69" i="9"/>
  <c r="K39" i="99"/>
  <c r="L105" i="9"/>
  <c r="F59" i="99"/>
  <c r="J104" i="9"/>
  <c r="E57" i="9"/>
  <c r="C86" i="99"/>
  <c r="L77" i="9"/>
  <c r="G95" i="9"/>
  <c r="E47" i="9"/>
  <c r="I91" i="9"/>
  <c r="D27" i="9"/>
  <c r="G9" i="9"/>
  <c r="D20" i="9"/>
  <c r="F53" i="99"/>
  <c r="I93" i="9"/>
  <c r="C19" i="99"/>
  <c r="C52" i="9"/>
  <c r="G20" i="99"/>
  <c r="G93" i="99"/>
  <c r="F21" i="9"/>
  <c r="C8" i="9"/>
  <c r="H32" i="9"/>
  <c r="F67" i="99"/>
  <c r="I55" i="9"/>
  <c r="J110" i="99"/>
  <c r="J75" i="9"/>
  <c r="L91" i="9"/>
  <c r="G113" i="9"/>
  <c r="J87" i="9"/>
  <c r="E72" i="99"/>
  <c r="L115" i="9"/>
  <c r="C79" i="99"/>
  <c r="I93" i="99"/>
  <c r="J38" i="99"/>
  <c r="E100" i="99"/>
  <c r="G116" i="99"/>
  <c r="L40" i="99"/>
  <c r="E49" i="9"/>
  <c r="L113" i="99"/>
  <c r="L79" i="99"/>
  <c r="G70" i="99"/>
  <c r="C38" i="99"/>
  <c r="C90" i="99"/>
  <c r="H91" i="99"/>
  <c r="F56" i="99"/>
  <c r="D52" i="99"/>
  <c r="G15" i="99"/>
  <c r="E39" i="99"/>
  <c r="G60" i="99"/>
  <c r="D67" i="99"/>
  <c r="E49" i="99"/>
  <c r="E9" i="99"/>
  <c r="H85" i="99"/>
  <c r="I51" i="9"/>
  <c r="D13" i="9"/>
  <c r="J58" i="99"/>
  <c r="D39" i="9"/>
  <c r="J17" i="9"/>
  <c r="I39" i="9"/>
  <c r="G72" i="9"/>
  <c r="D36" i="9"/>
  <c r="D51" i="9"/>
  <c r="F75" i="9"/>
  <c r="H73" i="9"/>
  <c r="G46" i="9"/>
  <c r="E118" i="9"/>
  <c r="L90" i="99"/>
  <c r="F10" i="9"/>
  <c r="J56" i="9"/>
  <c r="D95" i="9"/>
  <c r="J65" i="9"/>
  <c r="D96" i="9"/>
  <c r="C8" i="99"/>
  <c r="L35" i="9"/>
  <c r="J19" i="99"/>
  <c r="L93" i="9"/>
  <c r="H84" i="9"/>
  <c r="K30" i="99"/>
  <c r="F72" i="99"/>
  <c r="I8" i="9"/>
  <c r="G35" i="99"/>
  <c r="C32" i="9"/>
  <c r="K85" i="9"/>
  <c r="D46" i="9"/>
  <c r="C106" i="9"/>
  <c r="F18" i="9"/>
  <c r="K108" i="9"/>
  <c r="L106" i="9"/>
  <c r="D35" i="99"/>
  <c r="D93" i="9"/>
  <c r="C61" i="99"/>
  <c r="G76" i="9"/>
  <c r="K107" i="99"/>
  <c r="C49" i="9"/>
  <c r="D109" i="9"/>
  <c r="J51" i="99"/>
  <c r="J98" i="9"/>
  <c r="H42" i="99"/>
  <c r="I80" i="99"/>
  <c r="I73" i="9"/>
  <c r="G67" i="99"/>
  <c r="H81" i="99"/>
  <c r="C35" i="99"/>
  <c r="I92" i="99"/>
  <c r="K76" i="9"/>
  <c r="K95" i="99"/>
  <c r="D18" i="99"/>
  <c r="G60" i="9"/>
  <c r="F52" i="9"/>
  <c r="C13" i="99"/>
  <c r="F98" i="99"/>
  <c r="C37" i="9"/>
  <c r="K116" i="99"/>
  <c r="L55" i="99"/>
  <c r="I98" i="99"/>
  <c r="K8" i="9"/>
  <c r="F37" i="9"/>
  <c r="K56" i="99"/>
  <c r="L72" i="99"/>
  <c r="H46" i="9"/>
  <c r="C58" i="99"/>
  <c r="J79" i="99"/>
  <c r="I39" i="99"/>
  <c r="H49" i="99"/>
  <c r="G88" i="9"/>
  <c r="H10" i="99"/>
  <c r="D51" i="99"/>
  <c r="G31" i="99"/>
  <c r="E76" i="9"/>
  <c r="H30" i="99"/>
  <c r="F55" i="99"/>
  <c r="L65" i="9"/>
  <c r="D61" i="99"/>
  <c r="F76" i="99"/>
  <c r="G38" i="9"/>
  <c r="F97" i="99"/>
  <c r="J11" i="99"/>
  <c r="I66" i="9"/>
  <c r="J104" i="99"/>
  <c r="F110" i="99"/>
  <c r="H85" i="9"/>
  <c r="D12" i="99"/>
  <c r="D59" i="99"/>
  <c r="H61" i="99"/>
  <c r="I110" i="99"/>
  <c r="C91" i="99"/>
  <c r="D104" i="99"/>
  <c r="G8" i="99"/>
  <c r="E91" i="99"/>
  <c r="J23" i="99"/>
  <c r="E55" i="99"/>
  <c r="I65" i="9"/>
  <c r="G115" i="99"/>
  <c r="F79" i="9"/>
  <c r="E86" i="9"/>
  <c r="D89" i="9"/>
  <c r="J13" i="9"/>
  <c r="D106" i="99"/>
  <c r="D52" i="9"/>
  <c r="E65" i="9"/>
  <c r="I90" i="99"/>
  <c r="C96" i="99"/>
  <c r="G57" i="99"/>
  <c r="F68" i="9"/>
  <c r="H11" i="9"/>
  <c r="C107" i="99"/>
  <c r="H113" i="99"/>
  <c r="E14" i="99"/>
  <c r="L33" i="9"/>
  <c r="E90" i="9"/>
  <c r="J29" i="9"/>
  <c r="L14" i="99"/>
  <c r="C60" i="99"/>
  <c r="D72" i="9"/>
  <c r="G51" i="99"/>
  <c r="F112" i="9"/>
  <c r="F112" i="99"/>
  <c r="J59" i="9"/>
  <c r="J117" i="99"/>
  <c r="K55" i="9"/>
  <c r="C39" i="99"/>
  <c r="K56" i="9"/>
  <c r="D49" i="99"/>
  <c r="H117" i="99"/>
  <c r="K49" i="9"/>
  <c r="I31" i="9"/>
  <c r="H98" i="9"/>
  <c r="F9" i="9"/>
  <c r="E109" i="99"/>
  <c r="K62" i="99"/>
  <c r="F62" i="99"/>
  <c r="I86" i="99"/>
  <c r="L118" i="9"/>
  <c r="C40" i="99"/>
  <c r="H112" i="9"/>
  <c r="I14" i="9"/>
  <c r="C99" i="9"/>
  <c r="E78" i="9"/>
  <c r="E66" i="9"/>
  <c r="K113" i="9"/>
  <c r="D41" i="99"/>
  <c r="F72" i="9"/>
  <c r="H33" i="9"/>
  <c r="F55" i="9"/>
  <c r="F98" i="9"/>
  <c r="J10" i="9"/>
  <c r="F56" i="9"/>
  <c r="C75" i="9"/>
  <c r="H74" i="9"/>
  <c r="D112" i="9"/>
  <c r="C74" i="9"/>
  <c r="C98" i="9"/>
  <c r="K47" i="99"/>
  <c r="L46" i="9"/>
  <c r="C94" i="99"/>
  <c r="I114" i="9"/>
  <c r="F108" i="99"/>
  <c r="C85" i="99"/>
  <c r="J28" i="99"/>
  <c r="G52" i="99"/>
  <c r="H13" i="99"/>
  <c r="G87" i="99"/>
  <c r="L92" i="9"/>
  <c r="G99" i="9"/>
  <c r="D93" i="99"/>
  <c r="G59" i="9"/>
  <c r="J107" i="99"/>
  <c r="J38" i="9"/>
  <c r="L73" i="99"/>
  <c r="D60" i="99"/>
  <c r="I74" i="99"/>
  <c r="F80" i="9"/>
  <c r="J57" i="99"/>
  <c r="K66" i="9"/>
  <c r="F104" i="99"/>
  <c r="E35" i="9"/>
  <c r="H23" i="99"/>
  <c r="H72" i="9"/>
  <c r="L39" i="9"/>
  <c r="L112" i="9"/>
  <c r="E14" i="9"/>
  <c r="E32" i="99"/>
  <c r="K96" i="99"/>
  <c r="L43" i="99"/>
  <c r="E29" i="99"/>
  <c r="D42" i="9"/>
  <c r="C96" i="9"/>
  <c r="F74" i="99"/>
  <c r="K116" i="9"/>
  <c r="E91" i="9"/>
  <c r="I105" i="9"/>
  <c r="I10" i="99"/>
  <c r="L78" i="99"/>
  <c r="L89" i="99"/>
  <c r="H116" i="9"/>
  <c r="F17" i="9"/>
  <c r="D30" i="99"/>
  <c r="J18" i="9"/>
  <c r="E71" i="99"/>
  <c r="D79" i="9"/>
  <c r="F49" i="9"/>
  <c r="D84" i="9"/>
  <c r="G56" i="9"/>
  <c r="L107" i="99"/>
  <c r="G78" i="9"/>
  <c r="C87" i="99"/>
  <c r="I76" i="9"/>
  <c r="K34" i="99"/>
  <c r="I22" i="9"/>
  <c r="K79" i="9"/>
  <c r="L47" i="9"/>
  <c r="H17" i="9"/>
  <c r="J117" i="9"/>
  <c r="F13" i="9"/>
  <c r="E80" i="9"/>
  <c r="I59" i="9"/>
  <c r="C62" i="99"/>
  <c r="C28" i="9"/>
  <c r="K106" i="9"/>
  <c r="J99" i="9"/>
  <c r="K38" i="9"/>
  <c r="D117" i="9"/>
  <c r="G47" i="9"/>
  <c r="G37" i="99"/>
  <c r="H111" i="9"/>
  <c r="L110" i="9"/>
  <c r="G89" i="9"/>
  <c r="L88" i="99"/>
  <c r="H9" i="9"/>
  <c r="G66" i="9"/>
  <c r="C70" i="9"/>
  <c r="C31" i="9"/>
  <c r="L21" i="9"/>
  <c r="J111" i="9"/>
  <c r="E93" i="9"/>
  <c r="J40" i="99"/>
  <c r="H31" i="99"/>
  <c r="L92" i="99"/>
  <c r="H14" i="9"/>
  <c r="G69" i="9"/>
  <c r="L57" i="9"/>
  <c r="L8" i="9"/>
  <c r="C99" i="99"/>
  <c r="C41" i="99"/>
  <c r="E73" i="9"/>
  <c r="H91" i="9"/>
  <c r="I31" i="99"/>
  <c r="I53" i="9"/>
  <c r="I100" i="99"/>
  <c r="K71" i="9"/>
  <c r="F50" i="9"/>
  <c r="K66" i="99"/>
  <c r="I68" i="9"/>
  <c r="K18" i="99"/>
  <c r="I37" i="9"/>
  <c r="K96" i="9"/>
  <c r="K112" i="9"/>
  <c r="D97" i="9"/>
  <c r="F48" i="9"/>
  <c r="G58" i="99"/>
  <c r="H59" i="9"/>
  <c r="L9" i="9"/>
  <c r="C39" i="9"/>
  <c r="D42" i="99"/>
  <c r="F106" i="9"/>
  <c r="E113" i="9"/>
  <c r="J22" i="9"/>
  <c r="F39" i="99"/>
  <c r="H10" i="9"/>
  <c r="I104" i="99"/>
  <c r="L105" i="99"/>
  <c r="G106" i="9"/>
  <c r="J106" i="99"/>
  <c r="J77" i="9"/>
  <c r="K11" i="99"/>
  <c r="K109" i="9"/>
  <c r="J48" i="9"/>
  <c r="C70" i="99"/>
  <c r="K61" i="9"/>
  <c r="C32" i="99"/>
  <c r="E84" i="9"/>
  <c r="J8" i="99"/>
  <c r="L68" i="99"/>
  <c r="K119" i="99"/>
  <c r="K14" i="99"/>
  <c r="H21" i="9"/>
  <c r="C113" i="99"/>
  <c r="J50" i="99"/>
  <c r="D94" i="99"/>
  <c r="J27" i="9"/>
  <c r="D53" i="99"/>
  <c r="E93" i="99"/>
  <c r="F106" i="99"/>
  <c r="K23" i="9"/>
  <c r="E77" i="99"/>
  <c r="E76" i="99"/>
  <c r="G87" i="9"/>
  <c r="H18" i="9"/>
  <c r="I94" i="9"/>
  <c r="I57" i="99"/>
  <c r="H90" i="9"/>
  <c r="E38" i="9"/>
  <c r="E61" i="9"/>
  <c r="D88" i="99"/>
  <c r="I19" i="9"/>
  <c r="D48" i="99"/>
  <c r="C68" i="99"/>
  <c r="H30" i="9"/>
  <c r="L99" i="99"/>
  <c r="I85" i="99"/>
  <c r="C48" i="9"/>
  <c r="F71" i="9"/>
  <c r="H92" i="9"/>
  <c r="H47" i="9"/>
  <c r="I52" i="99"/>
  <c r="C34" i="9"/>
  <c r="F47" i="9"/>
  <c r="H34" i="99"/>
  <c r="E89" i="99"/>
  <c r="L42" i="9"/>
  <c r="I49" i="99"/>
  <c r="E54" i="9"/>
  <c r="H79" i="9"/>
  <c r="I116" i="99"/>
  <c r="D69" i="9"/>
  <c r="I28" i="9"/>
  <c r="G58" i="9"/>
  <c r="R47" i="112"/>
  <c r="O45" i="112"/>
  <c r="S35" i="110"/>
  <c r="M14" i="110"/>
  <c r="U46" i="109"/>
  <c r="F37" i="109"/>
  <c r="L23" i="109"/>
  <c r="Q13" i="109"/>
  <c r="D53" i="106"/>
  <c r="S49" i="106"/>
  <c r="N46" i="106"/>
  <c r="I43" i="106"/>
  <c r="E40" i="106"/>
  <c r="T36" i="106"/>
  <c r="O33" i="106"/>
  <c r="P26" i="106"/>
  <c r="V23" i="106"/>
  <c r="H21" i="106"/>
  <c r="N18" i="106"/>
  <c r="T15" i="106"/>
  <c r="F13" i="106"/>
  <c r="G45" i="112"/>
  <c r="K34" i="110"/>
  <c r="J13" i="110"/>
  <c r="M46" i="109"/>
  <c r="S36" i="109"/>
  <c r="E23" i="109"/>
  <c r="J13" i="109"/>
  <c r="W51" i="106"/>
  <c r="S48" i="106"/>
  <c r="N45" i="106"/>
  <c r="I42" i="106"/>
  <c r="D39" i="106"/>
  <c r="S35" i="106"/>
  <c r="O28" i="106"/>
  <c r="S25" i="106"/>
  <c r="E23" i="106"/>
  <c r="K20" i="106"/>
  <c r="Q17" i="106"/>
  <c r="W14" i="106"/>
  <c r="I12" i="106"/>
  <c r="H26" i="112"/>
  <c r="U25" i="112"/>
  <c r="S48" i="110"/>
  <c r="M18" i="110"/>
  <c r="I43" i="109"/>
  <c r="I26" i="109"/>
  <c r="E10" i="109"/>
  <c r="V50" i="106"/>
  <c r="O46" i="106"/>
  <c r="G41" i="106"/>
  <c r="U36" i="106"/>
  <c r="O27" i="106"/>
  <c r="W23" i="106"/>
  <c r="M19" i="106"/>
  <c r="U15" i="106"/>
  <c r="K11" i="106"/>
  <c r="Q8" i="106"/>
  <c r="W51" i="105"/>
  <c r="I49" i="105"/>
  <c r="O46" i="105"/>
  <c r="U43" i="105"/>
  <c r="G41" i="105"/>
  <c r="M38" i="105"/>
  <c r="S35" i="105"/>
  <c r="E33" i="105"/>
  <c r="K26" i="105"/>
  <c r="Q23" i="105"/>
  <c r="W20" i="105"/>
  <c r="I18" i="105"/>
  <c r="O15" i="105"/>
  <c r="U12" i="105"/>
  <c r="G10" i="105"/>
  <c r="I13" i="112"/>
  <c r="I42" i="110"/>
  <c r="I9" i="110"/>
  <c r="K40" i="109"/>
  <c r="G20" i="109"/>
  <c r="U50" i="106"/>
  <c r="M45" i="106"/>
  <c r="F41" i="106"/>
  <c r="R35" i="106"/>
  <c r="N27" i="106"/>
  <c r="D23" i="106"/>
  <c r="L19" i="106"/>
  <c r="V14" i="106"/>
  <c r="J11" i="106"/>
  <c r="P8" i="106"/>
  <c r="V51" i="105"/>
  <c r="H49" i="105"/>
  <c r="N46" i="105"/>
  <c r="T43" i="105"/>
  <c r="F41" i="105"/>
  <c r="L38" i="105"/>
  <c r="R35" i="105"/>
  <c r="D33" i="105"/>
  <c r="J26" i="105"/>
  <c r="P23" i="105"/>
  <c r="V20" i="105"/>
  <c r="H18" i="105"/>
  <c r="N15" i="105"/>
  <c r="T12" i="105"/>
  <c r="F10" i="105"/>
  <c r="U12" i="112"/>
  <c r="U23" i="110"/>
  <c r="D40" i="109"/>
  <c r="O16" i="109"/>
  <c r="T49" i="106"/>
  <c r="K43" i="106"/>
  <c r="R34" i="106"/>
  <c r="U24" i="106"/>
  <c r="O18" i="106"/>
  <c r="G13" i="106"/>
  <c r="S53" i="105"/>
  <c r="G50" i="105"/>
  <c r="Q45" i="105"/>
  <c r="E42" i="105"/>
  <c r="O37" i="105"/>
  <c r="W33" i="105"/>
  <c r="M25" i="105"/>
  <c r="U21" i="105"/>
  <c r="K17" i="105"/>
  <c r="S13" i="105"/>
  <c r="I9" i="105"/>
  <c r="Q19" i="110"/>
  <c r="U33" i="109"/>
  <c r="M10" i="109"/>
  <c r="Q48" i="106"/>
  <c r="H42" i="106"/>
  <c r="Q34" i="106"/>
  <c r="T24" i="106"/>
  <c r="P17" i="106"/>
  <c r="H12" i="106"/>
  <c r="R53" i="105"/>
  <c r="F50" i="105"/>
  <c r="P45" i="105"/>
  <c r="D42" i="105"/>
  <c r="N37" i="105"/>
  <c r="V33" i="105"/>
  <c r="L25" i="105"/>
  <c r="T21" i="105"/>
  <c r="J17" i="105"/>
  <c r="R13" i="105"/>
  <c r="H9" i="105"/>
  <c r="G8" i="110"/>
  <c r="N33" i="109"/>
  <c r="Q47" i="106"/>
  <c r="F40" i="106"/>
  <c r="P33" i="106"/>
  <c r="G22" i="106"/>
  <c r="S16" i="106"/>
  <c r="M10" i="106"/>
  <c r="U52" i="105"/>
  <c r="K48" i="105"/>
  <c r="S44" i="105"/>
  <c r="V48" i="110"/>
  <c r="Q26" i="109"/>
  <c r="P47" i="106"/>
  <c r="M28" i="106"/>
  <c r="R16" i="106"/>
  <c r="T52" i="105"/>
  <c r="R44" i="105"/>
  <c r="J39" i="105"/>
  <c r="F28" i="105"/>
  <c r="R22" i="105"/>
  <c r="L16" i="105"/>
  <c r="D11" i="105"/>
  <c r="T40" i="110"/>
  <c r="T19" i="109"/>
  <c r="L44" i="106"/>
  <c r="Q26" i="106"/>
  <c r="E14" i="106"/>
  <c r="E51" i="105"/>
  <c r="W42" i="105"/>
  <c r="Q36" i="105"/>
  <c r="I27" i="105"/>
  <c r="E20" i="105"/>
  <c r="Q14" i="105"/>
  <c r="K8" i="105"/>
  <c r="J25" i="110"/>
  <c r="V16" i="109"/>
  <c r="K44" i="106"/>
  <c r="R25" i="106"/>
  <c r="D14" i="106"/>
  <c r="D51" i="105"/>
  <c r="V42" i="105"/>
  <c r="P36" i="105"/>
  <c r="H27" i="105"/>
  <c r="D20" i="105"/>
  <c r="P14" i="105"/>
  <c r="J8" i="105"/>
  <c r="W38" i="106"/>
  <c r="L10" i="106"/>
  <c r="I40" i="105"/>
  <c r="O24" i="105"/>
  <c r="W11" i="105"/>
  <c r="W37" i="106"/>
  <c r="O9" i="106"/>
  <c r="H40" i="105"/>
  <c r="N24" i="105"/>
  <c r="V11" i="105"/>
  <c r="U37" i="106"/>
  <c r="N9" i="106"/>
  <c r="K39" i="105"/>
  <c r="S22" i="105"/>
  <c r="E11" i="105"/>
  <c r="Q50" i="109"/>
  <c r="F22" i="106"/>
  <c r="U34" i="105"/>
  <c r="R49" i="109"/>
  <c r="I21" i="106"/>
  <c r="T34" i="105"/>
  <c r="P43" i="109"/>
  <c r="J20" i="106"/>
  <c r="G28" i="105"/>
  <c r="J48" i="105"/>
  <c r="G19" i="105"/>
  <c r="E53" i="106"/>
  <c r="M47" i="105"/>
  <c r="F19" i="105"/>
  <c r="V51" i="106"/>
  <c r="L47" i="105"/>
  <c r="M16" i="105"/>
  <c r="K150" i="13"/>
  <c r="C176" i="13"/>
  <c r="Q14" i="13"/>
  <c r="H101" i="13"/>
  <c r="Z123" i="13"/>
  <c r="V44" i="13"/>
  <c r="W190" i="13"/>
  <c r="D181" i="13"/>
  <c r="X91" i="13"/>
  <c r="V141" i="13"/>
  <c r="Y192" i="13"/>
  <c r="R123" i="13"/>
  <c r="AB91" i="13"/>
  <c r="N25" i="13"/>
  <c r="D188" i="13"/>
  <c r="S229" i="13"/>
  <c r="Z247" i="13"/>
  <c r="S147" i="13"/>
  <c r="U222" i="13"/>
  <c r="G87" i="13"/>
  <c r="M121" i="13"/>
  <c r="O69" i="13"/>
  <c r="AB92" i="13"/>
  <c r="K195" i="13"/>
  <c r="W96" i="13"/>
  <c r="S38" i="13"/>
  <c r="J104" i="13"/>
  <c r="E157" i="13"/>
  <c r="V172" i="13"/>
  <c r="T240" i="13"/>
  <c r="R95" i="13"/>
  <c r="G156" i="13"/>
  <c r="D107" i="90"/>
  <c r="H105" i="90"/>
  <c r="E30" i="90"/>
  <c r="E8" i="90" s="1"/>
  <c r="J43" i="90"/>
  <c r="J21" i="90" s="1"/>
  <c r="J61" i="90"/>
  <c r="D133" i="90"/>
  <c r="G38" i="90"/>
  <c r="G16" i="90" s="1"/>
  <c r="E56" i="90"/>
  <c r="K92" i="90"/>
  <c r="G32" i="90"/>
  <c r="G10" i="90" s="1"/>
  <c r="O64" i="90"/>
  <c r="H54" i="90"/>
  <c r="N56" i="90"/>
  <c r="L70" i="90"/>
  <c r="M78" i="90"/>
  <c r="J106" i="90"/>
  <c r="C99" i="90"/>
  <c r="M31" i="90"/>
  <c r="M9" i="90" s="1"/>
  <c r="N118" i="90"/>
  <c r="C105" i="90"/>
  <c r="O40" i="90"/>
  <c r="O18" i="90" s="1"/>
  <c r="H57" i="90"/>
  <c r="K39" i="90"/>
  <c r="K17" i="90" s="1"/>
  <c r="C132" i="90"/>
  <c r="E124" i="90"/>
  <c r="F107" i="90"/>
  <c r="C43" i="90"/>
  <c r="C21" i="90" s="1"/>
  <c r="J35" i="90"/>
  <c r="J13" i="90" s="1"/>
  <c r="M66" i="90"/>
  <c r="F129" i="90"/>
  <c r="G125" i="90"/>
  <c r="P113" i="13"/>
  <c r="O118" i="90"/>
  <c r="O211" i="13"/>
  <c r="N109" i="13"/>
  <c r="D78" i="13"/>
  <c r="I184" i="13"/>
  <c r="I167" i="13"/>
  <c r="Q25" i="13"/>
  <c r="AB136" i="13"/>
  <c r="Q85" i="13"/>
  <c r="AC35" i="13"/>
  <c r="K174" i="13"/>
  <c r="L242" i="13"/>
  <c r="J187" i="13"/>
  <c r="H176" i="13"/>
  <c r="U159" i="13"/>
  <c r="AB144" i="13"/>
  <c r="W216" i="13"/>
  <c r="P220" i="13"/>
  <c r="J226" i="13"/>
  <c r="H41" i="90"/>
  <c r="H19" i="90" s="1"/>
  <c r="I89" i="90"/>
  <c r="K105" i="13"/>
  <c r="N92" i="13"/>
  <c r="D176" i="13"/>
  <c r="N110" i="90"/>
  <c r="E80" i="90"/>
  <c r="N92" i="90"/>
  <c r="L58" i="90"/>
  <c r="I53" i="90"/>
  <c r="H63" i="90"/>
  <c r="M104" i="90"/>
  <c r="E135" i="90"/>
  <c r="H65" i="90"/>
  <c r="L46" i="90"/>
  <c r="L24" i="90" s="1"/>
  <c r="C68" i="90"/>
  <c r="M133" i="90"/>
  <c r="O101" i="90"/>
  <c r="D103" i="90"/>
  <c r="E125" i="90"/>
  <c r="H118" i="90"/>
  <c r="L74" i="90"/>
  <c r="K121" i="90"/>
  <c r="D127" i="90"/>
  <c r="C108" i="90"/>
  <c r="J89" i="90"/>
  <c r="AC77" i="13"/>
  <c r="K36" i="90"/>
  <c r="K14" i="90" s="1"/>
  <c r="L123" i="13"/>
  <c r="AC101" i="13"/>
  <c r="Q183" i="13"/>
  <c r="AC34" i="13"/>
  <c r="O45" i="13"/>
  <c r="X136" i="13"/>
  <c r="H162" i="13"/>
  <c r="C194" i="13"/>
  <c r="Q101" i="13"/>
  <c r="AA236" i="13"/>
  <c r="V113" i="13"/>
  <c r="AB181" i="13"/>
  <c r="T167" i="13"/>
  <c r="T117" i="13"/>
  <c r="F36" i="13"/>
  <c r="N115" i="13"/>
  <c r="O110" i="90"/>
  <c r="K55" i="13"/>
  <c r="W104" i="13"/>
  <c r="C31" i="61"/>
  <c r="C16" i="61" s="1"/>
  <c r="D86" i="61"/>
  <c r="C91" i="61"/>
  <c r="G132" i="13"/>
  <c r="J57" i="90"/>
  <c r="C123" i="90"/>
  <c r="L131" i="90"/>
  <c r="E61" i="90"/>
  <c r="E41" i="90"/>
  <c r="E19" i="90" s="1"/>
  <c r="M121" i="90"/>
  <c r="K135" i="90"/>
  <c r="M39" i="90"/>
  <c r="M17" i="90" s="1"/>
  <c r="O87" i="90"/>
  <c r="N89" i="90"/>
  <c r="D109" i="90"/>
  <c r="M54" i="90"/>
  <c r="F113" i="90"/>
  <c r="O82" i="90"/>
  <c r="D86" i="90"/>
  <c r="J84" i="90"/>
  <c r="C86" i="90"/>
  <c r="E99" i="90"/>
  <c r="O63" i="90"/>
  <c r="O214" i="13"/>
  <c r="L76" i="90"/>
  <c r="M188" i="13"/>
  <c r="M182" i="13"/>
  <c r="U183" i="13"/>
  <c r="W174" i="13"/>
  <c r="L165" i="13"/>
  <c r="T163" i="13"/>
  <c r="E148" i="13"/>
  <c r="Z33" i="13"/>
  <c r="AB55" i="13"/>
  <c r="R233" i="13"/>
  <c r="W51" i="13"/>
  <c r="U99" i="13"/>
  <c r="F172" i="13"/>
  <c r="J93" i="13"/>
  <c r="S81" i="13"/>
  <c r="I99" i="13"/>
  <c r="V61" i="13"/>
  <c r="W58" i="13"/>
  <c r="D150" i="13"/>
  <c r="G31" i="90"/>
  <c r="G9" i="90" s="1"/>
  <c r="M63" i="90"/>
  <c r="W87" i="13"/>
  <c r="K197" i="13"/>
  <c r="C18" i="31"/>
  <c r="C12" i="31"/>
  <c r="Z218" i="13"/>
  <c r="G114" i="90"/>
  <c r="D53" i="90"/>
  <c r="C48" i="90"/>
  <c r="C26" i="90" s="1"/>
  <c r="G45" i="90"/>
  <c r="G23" i="90" s="1"/>
  <c r="N79" i="90"/>
  <c r="G121" i="90"/>
  <c r="E109" i="90"/>
  <c r="M98" i="90"/>
  <c r="M128" i="90"/>
  <c r="N75" i="90"/>
  <c r="K37" i="90"/>
  <c r="K15" i="90" s="1"/>
  <c r="C76" i="90"/>
  <c r="K59" i="90"/>
  <c r="J38" i="90"/>
  <c r="J16" i="90" s="1"/>
  <c r="L120" i="90"/>
  <c r="I86" i="90"/>
  <c r="K41" i="90"/>
  <c r="K19" i="90" s="1"/>
  <c r="K65" i="90"/>
  <c r="N70" i="90"/>
  <c r="G97" i="90"/>
  <c r="I136" i="90"/>
  <c r="O26" i="13"/>
  <c r="X81" i="13"/>
  <c r="AC108" i="13"/>
  <c r="I247" i="13"/>
  <c r="N105" i="13"/>
  <c r="R199" i="13"/>
  <c r="F20" i="13"/>
  <c r="V146" i="13"/>
  <c r="W79" i="13"/>
  <c r="P162" i="13"/>
  <c r="H155" i="13"/>
  <c r="I41" i="13"/>
  <c r="J41" i="13"/>
  <c r="L173" i="13"/>
  <c r="Q173" i="13"/>
  <c r="Y218" i="13"/>
  <c r="U138" i="13"/>
  <c r="K86" i="90"/>
  <c r="N120" i="90"/>
  <c r="K17" i="21"/>
  <c r="H21" i="21"/>
  <c r="E15" i="21"/>
  <c r="K20" i="21"/>
  <c r="D26" i="21"/>
  <c r="V388" i="97"/>
  <c r="V387" i="97"/>
  <c r="V362" i="28"/>
  <c r="L102" i="111"/>
  <c r="J83" i="111"/>
  <c r="I64" i="111"/>
  <c r="T45" i="111"/>
  <c r="F27" i="111"/>
  <c r="Q12" i="111"/>
  <c r="G103" i="108"/>
  <c r="O98" i="108"/>
  <c r="E95" i="108"/>
  <c r="M90" i="108"/>
  <c r="W86" i="108"/>
  <c r="P78" i="108"/>
  <c r="H76" i="108"/>
  <c r="P72" i="108"/>
  <c r="D70" i="108"/>
  <c r="L66" i="108"/>
  <c r="D64" i="108"/>
  <c r="L60" i="108"/>
  <c r="V53" i="108"/>
  <c r="J50" i="108"/>
  <c r="V47" i="108"/>
  <c r="J44" i="108"/>
  <c r="R41" i="108"/>
  <c r="F38" i="108"/>
  <c r="R35" i="108"/>
  <c r="F28" i="108"/>
  <c r="P25" i="108"/>
  <c r="D22" i="108"/>
  <c r="P19" i="108"/>
  <c r="D16" i="108"/>
  <c r="L13" i="108"/>
  <c r="T9" i="108"/>
  <c r="L103" i="107"/>
  <c r="T99" i="107"/>
  <c r="J97" i="107"/>
  <c r="R93" i="107"/>
  <c r="J91" i="107"/>
  <c r="R87" i="107"/>
  <c r="F85" i="107"/>
  <c r="R77" i="107"/>
  <c r="Q75" i="107"/>
  <c r="S72" i="107"/>
  <c r="T70" i="107"/>
  <c r="V67" i="107"/>
  <c r="D66" i="107"/>
  <c r="E63" i="107"/>
  <c r="E61" i="107"/>
  <c r="H58" i="107"/>
  <c r="H52" i="107"/>
  <c r="L49" i="107"/>
  <c r="K47" i="107"/>
  <c r="M44" i="107"/>
  <c r="N42" i="107"/>
  <c r="P39" i="107"/>
  <c r="R37" i="107"/>
  <c r="S34" i="107"/>
  <c r="S28" i="107"/>
  <c r="V25" i="107"/>
  <c r="V23" i="107"/>
  <c r="F21" i="107"/>
  <c r="E19" i="107"/>
  <c r="G16" i="107"/>
  <c r="H14" i="107"/>
  <c r="J11" i="107"/>
  <c r="M9" i="107"/>
  <c r="E98" i="111"/>
  <c r="W78" i="111"/>
  <c r="D61" i="111"/>
  <c r="P45" i="111"/>
  <c r="U23" i="111"/>
  <c r="M12" i="111"/>
  <c r="G102" i="108"/>
  <c r="E98" i="108"/>
  <c r="E94" i="108"/>
  <c r="W89" i="108"/>
  <c r="W85" i="108"/>
  <c r="K78" i="108"/>
  <c r="J75" i="108"/>
  <c r="G72" i="108"/>
  <c r="F69" i="108"/>
  <c r="G66" i="108"/>
  <c r="F63" i="108"/>
  <c r="E60" i="108"/>
  <c r="D53" i="108"/>
  <c r="E50" i="108"/>
  <c r="D47" i="108"/>
  <c r="U43" i="108"/>
  <c r="T40" i="108"/>
  <c r="U37" i="108"/>
  <c r="T34" i="108"/>
  <c r="S27" i="108"/>
  <c r="R24" i="108"/>
  <c r="S21" i="108"/>
  <c r="R18" i="108"/>
  <c r="O15" i="108"/>
  <c r="N12" i="108"/>
  <c r="O9" i="108"/>
  <c r="N102" i="107"/>
  <c r="M99" i="107"/>
  <c r="L96" i="107"/>
  <c r="M93" i="107"/>
  <c r="L90" i="107"/>
  <c r="I87" i="107"/>
  <c r="H84" i="107"/>
  <c r="L77" i="107"/>
  <c r="D75" i="107"/>
  <c r="M72" i="107"/>
  <c r="E70" i="107"/>
  <c r="P67" i="107"/>
  <c r="H65" i="107"/>
  <c r="T62" i="107"/>
  <c r="K60" i="107"/>
  <c r="W53" i="107"/>
  <c r="N51" i="107"/>
  <c r="F49" i="107"/>
  <c r="R46" i="107"/>
  <c r="G44" i="107"/>
  <c r="S41" i="107"/>
  <c r="J39" i="107"/>
  <c r="V36" i="107"/>
  <c r="N34" i="107"/>
  <c r="E28" i="107"/>
  <c r="Q25" i="107"/>
  <c r="H23" i="107"/>
  <c r="T20" i="107"/>
  <c r="L18" i="107"/>
  <c r="U15" i="107"/>
  <c r="M13" i="107"/>
  <c r="D11" i="107"/>
  <c r="U8" i="107"/>
  <c r="F85" i="111"/>
  <c r="K59" i="111"/>
  <c r="V35" i="111"/>
  <c r="M99" i="108"/>
  <c r="Q92" i="108"/>
  <c r="I87" i="108"/>
  <c r="H77" i="108"/>
  <c r="H73" i="108"/>
  <c r="G68" i="108"/>
  <c r="E64" i="108"/>
  <c r="F59" i="108"/>
  <c r="D51" i="108"/>
  <c r="W45" i="108"/>
  <c r="W41" i="108"/>
  <c r="T36" i="108"/>
  <c r="R28" i="108"/>
  <c r="Q23" i="108"/>
  <c r="Q19" i="108"/>
  <c r="P14" i="108"/>
  <c r="P10" i="108"/>
  <c r="O101" i="107"/>
  <c r="M97" i="107"/>
  <c r="J92" i="107"/>
  <c r="J88" i="107"/>
  <c r="I83" i="107"/>
  <c r="R75" i="107"/>
  <c r="R71" i="107"/>
  <c r="M68" i="107"/>
  <c r="K64" i="107"/>
  <c r="H61" i="107"/>
  <c r="F53" i="107"/>
  <c r="U49" i="107"/>
  <c r="U45" i="107"/>
  <c r="P42" i="107"/>
  <c r="P38" i="107"/>
  <c r="J35" i="107"/>
  <c r="H27" i="107"/>
  <c r="W23" i="107"/>
  <c r="W19" i="107"/>
  <c r="R16" i="107"/>
  <c r="R12" i="107"/>
  <c r="N9" i="107"/>
  <c r="V103" i="104"/>
  <c r="O102" i="104"/>
  <c r="H101" i="104"/>
  <c r="U99" i="104"/>
  <c r="N98" i="104"/>
  <c r="G97" i="104"/>
  <c r="T95" i="104"/>
  <c r="M94" i="104"/>
  <c r="F93" i="104"/>
  <c r="W73" i="111"/>
  <c r="O50" i="111"/>
  <c r="K22" i="111"/>
  <c r="W103" i="108"/>
  <c r="S97" i="108"/>
  <c r="K92" i="108"/>
  <c r="E85" i="108"/>
  <c r="P76" i="108"/>
  <c r="F72" i="108"/>
  <c r="F68" i="108"/>
  <c r="L62" i="108"/>
  <c r="J58" i="108"/>
  <c r="T49" i="108"/>
  <c r="T45" i="108"/>
  <c r="H40" i="108"/>
  <c r="H36" i="108"/>
  <c r="R27" i="108"/>
  <c r="P23" i="108"/>
  <c r="V17" i="108"/>
  <c r="V13" i="108"/>
  <c r="L9" i="108"/>
  <c r="J101" i="107"/>
  <c r="T95" i="107"/>
  <c r="R91" i="107"/>
  <c r="H87" i="107"/>
  <c r="H83" i="107"/>
  <c r="L74" i="107"/>
  <c r="G71" i="107"/>
  <c r="O67" i="107"/>
  <c r="J64" i="107"/>
  <c r="T59" i="107"/>
  <c r="O52" i="107"/>
  <c r="W48" i="107"/>
  <c r="T45" i="107"/>
  <c r="J41" i="107"/>
  <c r="D38" i="107"/>
  <c r="L34" i="107"/>
  <c r="G27" i="107"/>
  <c r="Q22" i="107"/>
  <c r="L19" i="107"/>
  <c r="T15" i="107"/>
  <c r="O12" i="107"/>
  <c r="M8" i="107"/>
  <c r="P103" i="104"/>
  <c r="N102" i="104"/>
  <c r="V100" i="104"/>
  <c r="T99" i="104"/>
  <c r="H98" i="104"/>
  <c r="F97" i="104"/>
  <c r="N95" i="104"/>
  <c r="L94" i="104"/>
  <c r="T92" i="104"/>
  <c r="R91" i="104"/>
  <c r="F90" i="104"/>
  <c r="D89" i="104"/>
  <c r="E69" i="111"/>
  <c r="G22" i="111"/>
  <c r="S96" i="108"/>
  <c r="Q88" i="108"/>
  <c r="I76" i="108"/>
  <c r="I70" i="108"/>
  <c r="G62" i="108"/>
  <c r="W51" i="108"/>
  <c r="V44" i="108"/>
  <c r="V38" i="108"/>
  <c r="T26" i="108"/>
  <c r="P20" i="108"/>
  <c r="Q13" i="108"/>
  <c r="M103" i="107"/>
  <c r="K95" i="107"/>
  <c r="K89" i="107"/>
  <c r="J78" i="107"/>
  <c r="J73" i="107"/>
  <c r="V66" i="107"/>
  <c r="W61" i="107"/>
  <c r="I52" i="107"/>
  <c r="L47" i="107"/>
  <c r="D41" i="107"/>
  <c r="E36" i="107"/>
  <c r="N26" i="107"/>
  <c r="O21" i="107"/>
  <c r="F15" i="107"/>
  <c r="J10" i="107"/>
  <c r="D103" i="104"/>
  <c r="S100" i="104"/>
  <c r="W98" i="104"/>
  <c r="R96" i="104"/>
  <c r="V94" i="104"/>
  <c r="Q92" i="104"/>
  <c r="D91" i="104"/>
  <c r="N89" i="104"/>
  <c r="F88" i="104"/>
  <c r="N86" i="104"/>
  <c r="L85" i="104"/>
  <c r="T83" i="104"/>
  <c r="R78" i="104"/>
  <c r="F77" i="104"/>
  <c r="D76" i="104"/>
  <c r="L74" i="104"/>
  <c r="J73" i="104"/>
  <c r="R71" i="104"/>
  <c r="P70" i="104"/>
  <c r="D69" i="104"/>
  <c r="V67" i="104"/>
  <c r="J66" i="104"/>
  <c r="H65" i="104"/>
  <c r="P63" i="104"/>
  <c r="N62" i="104"/>
  <c r="V60" i="104"/>
  <c r="T59" i="104"/>
  <c r="H58" i="104"/>
  <c r="F53" i="104"/>
  <c r="N51" i="104"/>
  <c r="L50" i="104"/>
  <c r="T48" i="104"/>
  <c r="R47" i="104"/>
  <c r="F46" i="104"/>
  <c r="D45" i="104"/>
  <c r="L43" i="104"/>
  <c r="J42" i="104"/>
  <c r="R40" i="104"/>
  <c r="P39" i="104"/>
  <c r="D38" i="104"/>
  <c r="V36" i="104"/>
  <c r="J35" i="104"/>
  <c r="H34" i="104"/>
  <c r="P28" i="104"/>
  <c r="N27" i="104"/>
  <c r="V25" i="104"/>
  <c r="T24" i="104"/>
  <c r="H23" i="104"/>
  <c r="F22" i="104"/>
  <c r="N20" i="104"/>
  <c r="L19" i="104"/>
  <c r="T17" i="104"/>
  <c r="R16" i="104"/>
  <c r="F15" i="104"/>
  <c r="D14" i="104"/>
  <c r="L12" i="104"/>
  <c r="J11" i="104"/>
  <c r="R9" i="104"/>
  <c r="P8" i="104"/>
  <c r="D103" i="103"/>
  <c r="V101" i="103"/>
  <c r="J100" i="103"/>
  <c r="H99" i="103"/>
  <c r="P97" i="103"/>
  <c r="N96" i="103"/>
  <c r="V94" i="103"/>
  <c r="T93" i="103"/>
  <c r="H92" i="103"/>
  <c r="F91" i="103"/>
  <c r="N89" i="103"/>
  <c r="L88" i="103"/>
  <c r="T86" i="103"/>
  <c r="R85" i="103"/>
  <c r="F84" i="103"/>
  <c r="D83" i="103"/>
  <c r="L77" i="103"/>
  <c r="J76" i="103"/>
  <c r="R74" i="103"/>
  <c r="P73" i="103"/>
  <c r="D72" i="103"/>
  <c r="V70" i="103"/>
  <c r="J69" i="103"/>
  <c r="H68" i="103"/>
  <c r="P66" i="103"/>
  <c r="R65" i="103"/>
  <c r="P64" i="103"/>
  <c r="R63" i="103"/>
  <c r="N62" i="103"/>
  <c r="P61" i="103"/>
  <c r="P60" i="103"/>
  <c r="R59" i="103"/>
  <c r="N58" i="103"/>
  <c r="P53" i="103"/>
  <c r="N52" i="103"/>
  <c r="P51" i="103"/>
  <c r="L50" i="103"/>
  <c r="N49" i="103"/>
  <c r="N48" i="103"/>
  <c r="P47" i="103"/>
  <c r="L46" i="103"/>
  <c r="N45" i="103"/>
  <c r="L44" i="103"/>
  <c r="N43" i="103"/>
  <c r="J42" i="103"/>
  <c r="L41" i="103"/>
  <c r="L40" i="103"/>
  <c r="N39" i="103"/>
  <c r="J38" i="103"/>
  <c r="L37" i="103"/>
  <c r="J36" i="103"/>
  <c r="L35" i="103"/>
  <c r="H34" i="103"/>
  <c r="J33" i="103"/>
  <c r="J28" i="103"/>
  <c r="L27" i="103"/>
  <c r="H26" i="103"/>
  <c r="J25" i="103"/>
  <c r="H24" i="103"/>
  <c r="J23" i="103"/>
  <c r="F22" i="103"/>
  <c r="H21" i="103"/>
  <c r="I96" i="111"/>
  <c r="N59" i="111"/>
  <c r="K17" i="111"/>
  <c r="U95" i="108"/>
  <c r="S87" i="108"/>
  <c r="N74" i="108"/>
  <c r="N68" i="108"/>
  <c r="V61" i="108"/>
  <c r="V51" i="108"/>
  <c r="T43" i="108"/>
  <c r="R37" i="108"/>
  <c r="D26" i="108"/>
  <c r="D20" i="108"/>
  <c r="V11" i="108"/>
  <c r="T101" i="107"/>
  <c r="J95" i="107"/>
  <c r="H89" i="107"/>
  <c r="I77" i="107"/>
  <c r="L72" i="107"/>
  <c r="J66" i="107"/>
  <c r="N61" i="107"/>
  <c r="W50" i="107"/>
  <c r="F46" i="107"/>
  <c r="U40" i="107"/>
  <c r="D36" i="107"/>
  <c r="P25" i="107"/>
  <c r="Q20" i="107"/>
  <c r="O14" i="107"/>
  <c r="R9" i="107"/>
  <c r="R102" i="104"/>
  <c r="R100" i="104"/>
  <c r="V98" i="104"/>
  <c r="L96" i="104"/>
  <c r="P94" i="104"/>
  <c r="P92" i="104"/>
  <c r="U90" i="104"/>
  <c r="H89" i="104"/>
  <c r="R87" i="104"/>
  <c r="K86" i="104"/>
  <c r="D85" i="104"/>
  <c r="Q83" i="104"/>
  <c r="J78" i="104"/>
  <c r="W76" i="104"/>
  <c r="P75" i="104"/>
  <c r="I74" i="104"/>
  <c r="V72" i="104"/>
  <c r="O71" i="104"/>
  <c r="H70" i="104"/>
  <c r="U68" i="104"/>
  <c r="N67" i="104"/>
  <c r="G66" i="104"/>
  <c r="T64" i="104"/>
  <c r="M63" i="104"/>
  <c r="F62" i="104"/>
  <c r="S60" i="104"/>
  <c r="L59" i="104"/>
  <c r="E58" i="104"/>
  <c r="R52" i="104"/>
  <c r="K51" i="104"/>
  <c r="D50" i="104"/>
  <c r="Q48" i="104"/>
  <c r="J47" i="104"/>
  <c r="W45" i="104"/>
  <c r="P44" i="104"/>
  <c r="I43" i="104"/>
  <c r="V41" i="104"/>
  <c r="O40" i="104"/>
  <c r="H39" i="104"/>
  <c r="U37" i="104"/>
  <c r="N36" i="104"/>
  <c r="G35" i="104"/>
  <c r="T33" i="104"/>
  <c r="M28" i="104"/>
  <c r="F27" i="104"/>
  <c r="S25" i="104"/>
  <c r="L24" i="104"/>
  <c r="E23" i="104"/>
  <c r="R21" i="104"/>
  <c r="K20" i="104"/>
  <c r="D19" i="104"/>
  <c r="Q17" i="104"/>
  <c r="J16" i="104"/>
  <c r="W14" i="104"/>
  <c r="P13" i="104"/>
  <c r="I12" i="104"/>
  <c r="V10" i="104"/>
  <c r="O9" i="104"/>
  <c r="H8" i="104"/>
  <c r="U102" i="103"/>
  <c r="N101" i="103"/>
  <c r="G100" i="103"/>
  <c r="T98" i="103"/>
  <c r="M97" i="103"/>
  <c r="F96" i="103"/>
  <c r="S94" i="103"/>
  <c r="L93" i="103"/>
  <c r="E92" i="103"/>
  <c r="R90" i="103"/>
  <c r="K89" i="103"/>
  <c r="D88" i="103"/>
  <c r="Q86" i="103"/>
  <c r="J85" i="103"/>
  <c r="W83" i="103"/>
  <c r="P78" i="103"/>
  <c r="I77" i="103"/>
  <c r="V75" i="103"/>
  <c r="O74" i="103"/>
  <c r="H73" i="103"/>
  <c r="U71" i="103"/>
  <c r="N70" i="103"/>
  <c r="G69" i="103"/>
  <c r="T67" i="103"/>
  <c r="M66" i="103"/>
  <c r="I65" i="103"/>
  <c r="K64" i="103"/>
  <c r="K63" i="103"/>
  <c r="M62" i="103"/>
  <c r="I61" i="103"/>
  <c r="K60" i="103"/>
  <c r="I59" i="103"/>
  <c r="K58" i="103"/>
  <c r="G53" i="103"/>
  <c r="I52" i="103"/>
  <c r="I51" i="103"/>
  <c r="K50" i="103"/>
  <c r="G49" i="103"/>
  <c r="I48" i="103"/>
  <c r="G47" i="103"/>
  <c r="I46" i="103"/>
  <c r="E45" i="103"/>
  <c r="G44" i="103"/>
  <c r="G43" i="103"/>
  <c r="I42" i="103"/>
  <c r="E41" i="103"/>
  <c r="G40" i="103"/>
  <c r="E39" i="103"/>
  <c r="G38" i="103"/>
  <c r="W36" i="103"/>
  <c r="E36" i="103"/>
  <c r="E35" i="103"/>
  <c r="G34" i="103"/>
  <c r="W28" i="103"/>
  <c r="E28" i="103"/>
  <c r="W26" i="103"/>
  <c r="E26" i="103"/>
  <c r="U24" i="103"/>
  <c r="W23" i="103"/>
  <c r="W22" i="103"/>
  <c r="E22" i="103"/>
  <c r="U20" i="103"/>
  <c r="V95" i="111"/>
  <c r="J47" i="111"/>
  <c r="G14" i="111"/>
  <c r="M103" i="108"/>
  <c r="K95" i="108"/>
  <c r="O84" i="108"/>
  <c r="I74" i="108"/>
  <c r="H67" i="108"/>
  <c r="D61" i="108"/>
  <c r="V48" i="108"/>
  <c r="V42" i="108"/>
  <c r="S35" i="108"/>
  <c r="S25" i="108"/>
  <c r="Q17" i="108"/>
  <c r="O11" i="108"/>
  <c r="L100" i="107"/>
  <c r="L94" i="107"/>
  <c r="J86" i="107"/>
  <c r="O76" i="107"/>
  <c r="V70" i="107"/>
  <c r="E66" i="107"/>
  <c r="N59" i="107"/>
  <c r="R50" i="107"/>
  <c r="D45" i="107"/>
  <c r="G40" i="107"/>
  <c r="Q33" i="107"/>
  <c r="T24" i="107"/>
  <c r="F19" i="107"/>
  <c r="J14" i="107"/>
  <c r="H8" i="107"/>
  <c r="M89" i="111"/>
  <c r="G93" i="108"/>
  <c r="F74" i="108"/>
  <c r="D60" i="108"/>
  <c r="H42" i="108"/>
  <c r="F24" i="108"/>
  <c r="N11" i="108"/>
  <c r="H93" i="107"/>
  <c r="D76" i="107"/>
  <c r="Q64" i="107"/>
  <c r="P50" i="107"/>
  <c r="I39" i="107"/>
  <c r="I24" i="107"/>
  <c r="D13" i="107"/>
  <c r="T101" i="104"/>
  <c r="F99" i="104"/>
  <c r="H96" i="104"/>
  <c r="N93" i="104"/>
  <c r="L90" i="104"/>
  <c r="G88" i="104"/>
  <c r="V85" i="104"/>
  <c r="F84" i="104"/>
  <c r="U77" i="104"/>
  <c r="E76" i="104"/>
  <c r="T73" i="104"/>
  <c r="D72" i="104"/>
  <c r="S69" i="104"/>
  <c r="W67" i="104"/>
  <c r="R65" i="104"/>
  <c r="V63" i="104"/>
  <c r="Q61" i="104"/>
  <c r="U59" i="104"/>
  <c r="P53" i="104"/>
  <c r="T51" i="104"/>
  <c r="O49" i="104"/>
  <c r="S47" i="104"/>
  <c r="N45" i="104"/>
  <c r="R43" i="104"/>
  <c r="M41" i="104"/>
  <c r="Q39" i="104"/>
  <c r="L37" i="104"/>
  <c r="P35" i="104"/>
  <c r="K33" i="104"/>
  <c r="O27" i="104"/>
  <c r="J25" i="104"/>
  <c r="N23" i="104"/>
  <c r="I21" i="104"/>
  <c r="M19" i="104"/>
  <c r="H17" i="104"/>
  <c r="L15" i="104"/>
  <c r="G13" i="104"/>
  <c r="K11" i="104"/>
  <c r="F9" i="104"/>
  <c r="J103" i="103"/>
  <c r="E101" i="103"/>
  <c r="I99" i="103"/>
  <c r="D97" i="103"/>
  <c r="H95" i="103"/>
  <c r="W92" i="103"/>
  <c r="G91" i="103"/>
  <c r="V88" i="103"/>
  <c r="F87" i="103"/>
  <c r="U84" i="103"/>
  <c r="E83" i="103"/>
  <c r="T76" i="103"/>
  <c r="D75" i="103"/>
  <c r="S72" i="103"/>
  <c r="W70" i="103"/>
  <c r="S70" i="111"/>
  <c r="K91" i="108"/>
  <c r="H71" i="108"/>
  <c r="E58" i="108"/>
  <c r="U39" i="108"/>
  <c r="R22" i="108"/>
  <c r="N8" i="108"/>
  <c r="K91" i="107"/>
  <c r="G74" i="107"/>
  <c r="P63" i="107"/>
  <c r="I48" i="107"/>
  <c r="S37" i="107"/>
  <c r="L22" i="107"/>
  <c r="U11" i="107"/>
  <c r="Q101" i="104"/>
  <c r="E98" i="104"/>
  <c r="K95" i="104"/>
  <c r="H92" i="104"/>
  <c r="W89" i="104"/>
  <c r="L87" i="104"/>
  <c r="P85" i="104"/>
  <c r="P83" i="104"/>
  <c r="T77" i="104"/>
  <c r="J75" i="104"/>
  <c r="N73" i="104"/>
  <c r="N71" i="104"/>
  <c r="R69" i="104"/>
  <c r="H67" i="104"/>
  <c r="L65" i="104"/>
  <c r="L63" i="104"/>
  <c r="P61" i="104"/>
  <c r="F59" i="104"/>
  <c r="J53" i="104"/>
  <c r="J51" i="104"/>
  <c r="N49" i="104"/>
  <c r="D47" i="104"/>
  <c r="H45" i="104"/>
  <c r="H43" i="104"/>
  <c r="L41" i="104"/>
  <c r="V38" i="104"/>
  <c r="F37" i="104"/>
  <c r="F35" i="104"/>
  <c r="J33" i="104"/>
  <c r="T26" i="104"/>
  <c r="D25" i="104"/>
  <c r="D23" i="104"/>
  <c r="H21" i="104"/>
  <c r="R18" i="104"/>
  <c r="V16" i="104"/>
  <c r="V14" i="104"/>
  <c r="F13" i="104"/>
  <c r="P10" i="104"/>
  <c r="T8" i="104"/>
  <c r="T102" i="103"/>
  <c r="D101" i="103"/>
  <c r="N98" i="103"/>
  <c r="R96" i="103"/>
  <c r="R94" i="103"/>
  <c r="V92" i="103"/>
  <c r="L90" i="103"/>
  <c r="P88" i="103"/>
  <c r="P86" i="103"/>
  <c r="T84" i="103"/>
  <c r="J78" i="103"/>
  <c r="N76" i="103"/>
  <c r="N74" i="103"/>
  <c r="I69" i="111"/>
  <c r="Q89" i="108"/>
  <c r="N70" i="108"/>
  <c r="L52" i="108"/>
  <c r="T39" i="108"/>
  <c r="N21" i="108"/>
  <c r="V103" i="107"/>
  <c r="P89" i="107"/>
  <c r="F74" i="107"/>
  <c r="R62" i="107"/>
  <c r="R47" i="107"/>
  <c r="K36" i="107"/>
  <c r="J22" i="107"/>
  <c r="W10" i="107"/>
  <c r="P101" i="104"/>
  <c r="D98" i="104"/>
  <c r="J95" i="104"/>
  <c r="V91" i="104"/>
  <c r="V89" i="104"/>
  <c r="I87" i="104"/>
  <c r="M85" i="104"/>
  <c r="H83" i="104"/>
  <c r="L77" i="104"/>
  <c r="G75" i="104"/>
  <c r="K73" i="104"/>
  <c r="F71" i="104"/>
  <c r="J69" i="104"/>
  <c r="E67" i="104"/>
  <c r="I65" i="104"/>
  <c r="D63" i="104"/>
  <c r="H61" i="104"/>
  <c r="W58" i="104"/>
  <c r="G53" i="104"/>
  <c r="V50" i="104"/>
  <c r="F49" i="104"/>
  <c r="U46" i="104"/>
  <c r="E45" i="104"/>
  <c r="T42" i="104"/>
  <c r="D41" i="104"/>
  <c r="S38" i="104"/>
  <c r="W36" i="104"/>
  <c r="R34" i="104"/>
  <c r="V28" i="104"/>
  <c r="Q26" i="104"/>
  <c r="U24" i="104"/>
  <c r="P22" i="104"/>
  <c r="T20" i="104"/>
  <c r="O18" i="104"/>
  <c r="S16" i="104"/>
  <c r="N14" i="104"/>
  <c r="R12" i="104"/>
  <c r="M10" i="104"/>
  <c r="Q8" i="104"/>
  <c r="L102" i="103"/>
  <c r="P100" i="103"/>
  <c r="K98" i="103"/>
  <c r="O96" i="103"/>
  <c r="J94" i="103"/>
  <c r="N92" i="103"/>
  <c r="I90" i="103"/>
  <c r="M88" i="103"/>
  <c r="H86" i="103"/>
  <c r="L84" i="103"/>
  <c r="G78" i="103"/>
  <c r="K76" i="103"/>
  <c r="F74" i="103"/>
  <c r="J72" i="103"/>
  <c r="E70" i="103"/>
  <c r="I68" i="103"/>
  <c r="E66" i="103"/>
  <c r="Q64" i="103"/>
  <c r="E63" i="103"/>
  <c r="Q61" i="103"/>
  <c r="T40" i="111"/>
  <c r="I101" i="108"/>
  <c r="D66" i="108"/>
  <c r="F34" i="108"/>
  <c r="L99" i="107"/>
  <c r="P69" i="107"/>
  <c r="F44" i="107"/>
  <c r="T17" i="107"/>
  <c r="J100" i="104"/>
  <c r="D94" i="104"/>
  <c r="E89" i="104"/>
  <c r="R84" i="104"/>
  <c r="V76" i="104"/>
  <c r="P72" i="104"/>
  <c r="T68" i="104"/>
  <c r="N64" i="104"/>
  <c r="R60" i="104"/>
  <c r="L52" i="104"/>
  <c r="P48" i="104"/>
  <c r="J44" i="104"/>
  <c r="N40" i="104"/>
  <c r="H36" i="104"/>
  <c r="L28" i="104"/>
  <c r="F24" i="104"/>
  <c r="J20" i="104"/>
  <c r="D16" i="104"/>
  <c r="H12" i="104"/>
  <c r="V103" i="103"/>
  <c r="F100" i="103"/>
  <c r="T95" i="103"/>
  <c r="D92" i="103"/>
  <c r="R87" i="103"/>
  <c r="V83" i="103"/>
  <c r="P75" i="103"/>
  <c r="R72" i="103"/>
  <c r="P69" i="103"/>
  <c r="J67" i="103"/>
  <c r="G65" i="103"/>
  <c r="J63" i="103"/>
  <c r="H61" i="103"/>
  <c r="T59" i="103"/>
  <c r="J58" i="103"/>
  <c r="D53" i="103"/>
  <c r="H51" i="103"/>
  <c r="T49" i="103"/>
  <c r="H48" i="103"/>
  <c r="T46" i="103"/>
  <c r="D45" i="103"/>
  <c r="R43" i="103"/>
  <c r="H42" i="103"/>
  <c r="T40" i="103"/>
  <c r="D39" i="103"/>
  <c r="R37" i="103"/>
  <c r="D36" i="103"/>
  <c r="R34" i="103"/>
  <c r="V28" i="103"/>
  <c r="N27" i="103"/>
  <c r="D26" i="103"/>
  <c r="R24" i="103"/>
  <c r="V22" i="103"/>
  <c r="N21" i="103"/>
  <c r="H20" i="103"/>
  <c r="J19" i="103"/>
  <c r="F18" i="103"/>
  <c r="H17" i="103"/>
  <c r="F16" i="103"/>
  <c r="H15" i="103"/>
  <c r="D14" i="103"/>
  <c r="F13" i="103"/>
  <c r="F12" i="103"/>
  <c r="H11" i="103"/>
  <c r="D10" i="103"/>
  <c r="F9" i="103"/>
  <c r="D8" i="103"/>
  <c r="O37" i="111"/>
  <c r="S100" i="108"/>
  <c r="F65" i="108"/>
  <c r="U33" i="108"/>
  <c r="N98" i="107"/>
  <c r="J69" i="107"/>
  <c r="L43" i="107"/>
  <c r="O17" i="107"/>
  <c r="D100" i="104"/>
  <c r="R93" i="104"/>
  <c r="P88" i="104"/>
  <c r="O84" i="104"/>
  <c r="N76" i="104"/>
  <c r="M72" i="104"/>
  <c r="L68" i="104"/>
  <c r="K64" i="104"/>
  <c r="J60" i="104"/>
  <c r="I52" i="104"/>
  <c r="H48" i="104"/>
  <c r="G44" i="104"/>
  <c r="F40" i="104"/>
  <c r="E36" i="104"/>
  <c r="D28" i="104"/>
  <c r="W23" i="104"/>
  <c r="V19" i="104"/>
  <c r="U15" i="104"/>
  <c r="T11" i="104"/>
  <c r="S103" i="103"/>
  <c r="R99" i="103"/>
  <c r="Q95" i="103"/>
  <c r="P91" i="103"/>
  <c r="O87" i="103"/>
  <c r="N83" i="103"/>
  <c r="M75" i="103"/>
  <c r="T71" i="103"/>
  <c r="F69" i="103"/>
  <c r="V66" i="103"/>
  <c r="F65" i="103"/>
  <c r="D63" i="103"/>
  <c r="E61" i="103"/>
  <c r="S59" i="103"/>
  <c r="W53" i="103"/>
  <c r="O52" i="103"/>
  <c r="W50" i="103"/>
  <c r="O49" i="103"/>
  <c r="S47" i="103"/>
  <c r="M46" i="103"/>
  <c r="W44" i="103"/>
  <c r="O43" i="103"/>
  <c r="S41" i="103"/>
  <c r="M40" i="103"/>
  <c r="S38" i="103"/>
  <c r="M37" i="103"/>
  <c r="Q35" i="103"/>
  <c r="I34" i="103"/>
  <c r="S28" i="103"/>
  <c r="M27" i="103"/>
  <c r="Q25" i="103"/>
  <c r="I24" i="103"/>
  <c r="Q22" i="103"/>
  <c r="I21" i="103"/>
  <c r="W19" i="103"/>
  <c r="U18" i="103"/>
  <c r="W17" i="103"/>
  <c r="S16" i="103"/>
  <c r="U15" i="103"/>
  <c r="U14" i="103"/>
  <c r="W13" i="103"/>
  <c r="S12" i="103"/>
  <c r="U11" i="103"/>
  <c r="S10" i="103"/>
  <c r="U9" i="103"/>
  <c r="Q8" i="103"/>
  <c r="E36" i="111"/>
  <c r="M100" i="108"/>
  <c r="N64" i="108"/>
  <c r="P33" i="108"/>
  <c r="R97" i="107"/>
  <c r="G69" i="107"/>
  <c r="U42" i="107"/>
  <c r="N17" i="107"/>
  <c r="L99" i="104"/>
  <c r="O93" i="104"/>
  <c r="J88" i="104"/>
  <c r="N84" i="104"/>
  <c r="H76" i="104"/>
  <c r="L72" i="104"/>
  <c r="F68" i="104"/>
  <c r="J64" i="104"/>
  <c r="D60" i="104"/>
  <c r="H52" i="104"/>
  <c r="V47" i="104"/>
  <c r="F44" i="104"/>
  <c r="T39" i="104"/>
  <c r="D36" i="104"/>
  <c r="R27" i="104"/>
  <c r="V23" i="104"/>
  <c r="P19" i="104"/>
  <c r="T15" i="104"/>
  <c r="N11" i="104"/>
  <c r="R103" i="103"/>
  <c r="L99" i="103"/>
  <c r="P95" i="103"/>
  <c r="J91" i="103"/>
  <c r="N87" i="103"/>
  <c r="H83" i="103"/>
  <c r="L75" i="103"/>
  <c r="L71" i="103"/>
  <c r="R68" i="103"/>
  <c r="L66" i="103"/>
  <c r="J64" i="103"/>
  <c r="O62" i="103"/>
  <c r="D61" i="103"/>
  <c r="H59" i="103"/>
  <c r="V53" i="103"/>
  <c r="H52" i="103"/>
  <c r="V50" i="103"/>
  <c r="F49" i="103"/>
  <c r="R47" i="103"/>
  <c r="H46" i="103"/>
  <c r="V44" i="103"/>
  <c r="F43" i="103"/>
  <c r="R41" i="103"/>
  <c r="F40" i="103"/>
  <c r="R38" i="103"/>
  <c r="V36" i="103"/>
  <c r="P35" i="103"/>
  <c r="F34" i="103"/>
  <c r="R28" i="103"/>
  <c r="V26" i="103"/>
  <c r="P25" i="103"/>
  <c r="V23" i="103"/>
  <c r="P22" i="103"/>
  <c r="T20" i="103"/>
  <c r="V19" i="103"/>
  <c r="T18" i="103"/>
  <c r="V17" i="103"/>
  <c r="R16" i="103"/>
  <c r="T15" i="103"/>
  <c r="T14" i="103"/>
  <c r="V13" i="103"/>
  <c r="R12" i="103"/>
  <c r="T11" i="103"/>
  <c r="R10" i="103"/>
  <c r="T9" i="103"/>
  <c r="P8" i="103"/>
  <c r="O203" i="96"/>
  <c r="N8" i="103"/>
  <c r="L10" i="103"/>
  <c r="N12" i="103"/>
  <c r="N14" i="103"/>
  <c r="P16" i="103"/>
  <c r="N18" i="103"/>
  <c r="P20" i="103"/>
  <c r="N23" i="103"/>
  <c r="P26" i="103"/>
  <c r="P33" i="103"/>
  <c r="T36" i="103"/>
  <c r="P39" i="103"/>
  <c r="T42" i="103"/>
  <c r="T45" i="103"/>
  <c r="V48" i="103"/>
  <c r="T51" i="103"/>
  <c r="V58" i="103"/>
  <c r="W61" i="103"/>
  <c r="S65" i="103"/>
  <c r="H70" i="103"/>
  <c r="R77" i="103"/>
  <c r="T89" i="103"/>
  <c r="V97" i="103"/>
  <c r="D10" i="104"/>
  <c r="F18" i="104"/>
  <c r="H26" i="104"/>
  <c r="J38" i="104"/>
  <c r="L46" i="104"/>
  <c r="N58" i="104"/>
  <c r="P66" i="104"/>
  <c r="R74" i="104"/>
  <c r="T86" i="104"/>
  <c r="J97" i="104"/>
  <c r="T58" i="107"/>
  <c r="P16" i="108"/>
  <c r="J83" i="108"/>
  <c r="M126" i="101"/>
  <c r="J111" i="101"/>
  <c r="E96" i="101"/>
  <c r="F84" i="101"/>
  <c r="C73" i="101"/>
  <c r="L57" i="101"/>
  <c r="P48" i="101"/>
  <c r="C41" i="101"/>
  <c r="O31" i="101"/>
  <c r="E24" i="101"/>
  <c r="J18" i="101"/>
  <c r="J11" i="101"/>
  <c r="D124" i="101"/>
  <c r="C83" i="101"/>
  <c r="O53" i="101"/>
  <c r="L18" i="101"/>
  <c r="D32" i="101"/>
  <c r="M68" i="101"/>
  <c r="K115" i="101"/>
  <c r="H20" i="101"/>
  <c r="O59" i="101"/>
  <c r="H104" i="101"/>
  <c r="O17" i="101"/>
  <c r="K54" i="101"/>
  <c r="K98" i="101"/>
  <c r="P129" i="101"/>
  <c r="D122" i="101"/>
  <c r="J113" i="101"/>
  <c r="L105" i="101"/>
  <c r="F96" i="101"/>
  <c r="C130" i="101"/>
  <c r="F121" i="101"/>
  <c r="M111" i="101"/>
  <c r="C103" i="101"/>
  <c r="O92" i="101"/>
  <c r="L84" i="101"/>
  <c r="N76" i="101"/>
  <c r="F65" i="101"/>
  <c r="H57" i="101"/>
  <c r="P50" i="101"/>
  <c r="D43" i="101"/>
  <c r="F32" i="101"/>
  <c r="L126" i="101"/>
  <c r="K110" i="101"/>
  <c r="D96" i="101"/>
  <c r="E84" i="101"/>
  <c r="M72" i="101"/>
  <c r="K56" i="101"/>
  <c r="O48" i="101"/>
  <c r="O37" i="101"/>
  <c r="M31" i="101"/>
  <c r="P23" i="101"/>
  <c r="J17" i="101"/>
  <c r="M10" i="101"/>
  <c r="J120" i="101"/>
  <c r="J80" i="101"/>
  <c r="N42" i="101"/>
  <c r="H11" i="101"/>
  <c r="L35" i="101"/>
  <c r="D75" i="101"/>
  <c r="I119" i="101"/>
  <c r="L32" i="101"/>
  <c r="K72" i="101"/>
  <c r="D108" i="101"/>
  <c r="D21" i="101"/>
  <c r="K60" i="101"/>
  <c r="F105" i="101"/>
  <c r="F129" i="101"/>
  <c r="L120" i="101"/>
  <c r="N112" i="101"/>
  <c r="P104" i="101"/>
  <c r="D94" i="101"/>
  <c r="E129" i="101"/>
  <c r="L119" i="101"/>
  <c r="P110" i="101"/>
  <c r="F99" i="101"/>
  <c r="I90" i="101"/>
  <c r="P83" i="101"/>
  <c r="H75" i="101"/>
  <c r="J64" i="101"/>
  <c r="L56" i="101"/>
  <c r="N48" i="101"/>
  <c r="H42" i="101"/>
  <c r="N30" i="101"/>
  <c r="L129" i="101"/>
  <c r="C120" i="101"/>
  <c r="G110" i="101"/>
  <c r="H99" i="101"/>
  <c r="N88" i="101"/>
  <c r="D80" i="101"/>
  <c r="E72" i="101"/>
  <c r="N62" i="101"/>
  <c r="O54" i="101"/>
  <c r="J48" i="101"/>
  <c r="K37" i="101"/>
  <c r="F31" i="101"/>
  <c r="H23" i="101"/>
  <c r="L17" i="101"/>
  <c r="J10" i="101"/>
  <c r="L113" i="101"/>
  <c r="F98" i="101"/>
  <c r="I89" i="101"/>
  <c r="M80" i="101"/>
  <c r="C72" i="101"/>
  <c r="J122" i="101"/>
  <c r="I115" i="101"/>
  <c r="L106" i="101"/>
  <c r="K96" i="101"/>
  <c r="P87" i="101"/>
  <c r="K81" i="101"/>
  <c r="L73" i="101"/>
  <c r="G64" i="101"/>
  <c r="H56" i="101"/>
  <c r="C50" i="101"/>
  <c r="D42" i="101"/>
  <c r="M32" i="101"/>
  <c r="N24" i="101"/>
  <c r="C19" i="101"/>
  <c r="O11" i="101"/>
  <c r="O126" i="101"/>
  <c r="M105" i="101"/>
  <c r="F130" i="101"/>
  <c r="L117" i="101"/>
  <c r="L107" i="101"/>
  <c r="O91" i="101"/>
  <c r="M82" i="101"/>
  <c r="I68" i="101"/>
  <c r="J60" i="101"/>
  <c r="J50" i="101"/>
  <c r="K42" i="101"/>
  <c r="M29" i="101"/>
  <c r="C22" i="101"/>
  <c r="J169" i="102"/>
  <c r="P122" i="101"/>
  <c r="J110" i="101"/>
  <c r="D91" i="101"/>
  <c r="L80" i="101"/>
  <c r="L64" i="101"/>
  <c r="J55" i="101"/>
  <c r="O45" i="101"/>
  <c r="O36" i="101"/>
  <c r="P28" i="101"/>
  <c r="G22" i="101"/>
  <c r="N15" i="101"/>
  <c r="H10" i="101"/>
  <c r="O116" i="101"/>
  <c r="C74" i="101"/>
  <c r="C37" i="101"/>
  <c r="G12" i="101"/>
  <c r="K47" i="101"/>
  <c r="L78" i="101"/>
  <c r="E127" i="101"/>
  <c r="M35" i="101"/>
  <c r="O75" i="101"/>
  <c r="G120" i="101"/>
  <c r="C33" i="101"/>
  <c r="L72" i="101"/>
  <c r="P108" i="101"/>
  <c r="H126" i="101"/>
  <c r="J118" i="101"/>
  <c r="D112" i="101"/>
  <c r="F104" i="101"/>
  <c r="H93" i="101"/>
  <c r="C126" i="101"/>
  <c r="G117" i="101"/>
  <c r="E110" i="101"/>
  <c r="I98" i="101"/>
  <c r="L89" i="101"/>
  <c r="D81" i="101"/>
  <c r="F73" i="101"/>
  <c r="N63" i="101"/>
  <c r="P55" i="101"/>
  <c r="D48" i="101"/>
  <c r="J36" i="101"/>
  <c r="L28" i="101"/>
  <c r="N128" i="101"/>
  <c r="D119" i="101"/>
  <c r="I109" i="101"/>
  <c r="N95" i="101"/>
  <c r="I86" i="101"/>
  <c r="G79" i="101"/>
  <c r="H68" i="101"/>
  <c r="C62" i="101"/>
  <c r="D54" i="101"/>
  <c r="M47" i="101"/>
  <c r="N36" i="101"/>
  <c r="I30" i="101"/>
  <c r="L22" i="101"/>
  <c r="P16" i="101"/>
  <c r="K19" i="101"/>
  <c r="N33" i="101"/>
  <c r="N51" i="101"/>
  <c r="O74" i="101"/>
  <c r="O103" i="101"/>
  <c r="G130" i="101"/>
  <c r="E123" i="92"/>
  <c r="O8" i="103"/>
  <c r="M10" i="103"/>
  <c r="O12" i="103"/>
  <c r="O14" i="103"/>
  <c r="Q16" i="103"/>
  <c r="O18" i="103"/>
  <c r="Q20" i="103"/>
  <c r="O23" i="103"/>
  <c r="Q26" i="103"/>
  <c r="Q33" i="103"/>
  <c r="U36" i="103"/>
  <c r="Q39" i="103"/>
  <c r="U42" i="103"/>
  <c r="U45" i="103"/>
  <c r="W48" i="103"/>
  <c r="U51" i="103"/>
  <c r="W58" i="103"/>
  <c r="L62" i="103"/>
  <c r="D66" i="103"/>
  <c r="F71" i="103"/>
  <c r="F78" i="103"/>
  <c r="H90" i="103"/>
  <c r="J98" i="103"/>
  <c r="L10" i="104"/>
  <c r="N18" i="104"/>
  <c r="P26" i="104"/>
  <c r="R38" i="104"/>
  <c r="T46" i="104"/>
  <c r="V58" i="104"/>
  <c r="D67" i="104"/>
  <c r="F75" i="104"/>
  <c r="H87" i="104"/>
  <c r="P97" i="104"/>
  <c r="G8" i="107"/>
  <c r="M59" i="107"/>
  <c r="N17" i="108"/>
  <c r="I84" i="108"/>
  <c r="P111" i="101"/>
  <c r="L121" i="101"/>
  <c r="K73" i="101"/>
  <c r="O83" i="101"/>
  <c r="M94" i="101"/>
  <c r="G108" i="101"/>
  <c r="P125" i="101"/>
  <c r="D19" i="101"/>
  <c r="D28" i="101"/>
  <c r="M43" i="101"/>
  <c r="G53" i="101"/>
  <c r="H64" i="101"/>
  <c r="P76" i="101"/>
  <c r="I91" i="101"/>
  <c r="K107" i="101"/>
  <c r="I123" i="101"/>
  <c r="P27" i="101"/>
  <c r="L46" i="101"/>
  <c r="L61" i="101"/>
  <c r="H80" i="101"/>
  <c r="K97" i="101"/>
  <c r="J116" i="101"/>
  <c r="P91" i="101"/>
  <c r="P109" i="101"/>
  <c r="L125" i="101"/>
  <c r="F76" i="101"/>
  <c r="C124" i="101"/>
  <c r="N41" i="101"/>
  <c r="J93" i="101"/>
  <c r="C15" i="101"/>
  <c r="J62" i="101"/>
  <c r="F22" i="101"/>
  <c r="D36" i="101"/>
  <c r="M54" i="101"/>
  <c r="M79" i="101"/>
  <c r="H110" i="101"/>
  <c r="E169" i="102"/>
  <c r="V255" i="39"/>
  <c r="G9" i="103"/>
  <c r="I11" i="103"/>
  <c r="G13" i="103"/>
  <c r="I15" i="103"/>
  <c r="I17" i="103"/>
  <c r="K19" i="103"/>
  <c r="O21" i="103"/>
  <c r="S24" i="103"/>
  <c r="O27" i="103"/>
  <c r="S34" i="103"/>
  <c r="S37" i="103"/>
  <c r="U40" i="103"/>
  <c r="S43" i="103"/>
  <c r="U46" i="103"/>
  <c r="U49" i="103"/>
  <c r="E53" i="103"/>
  <c r="U59" i="103"/>
  <c r="S63" i="103"/>
  <c r="K67" i="103"/>
  <c r="V72" i="103"/>
  <c r="D85" i="103"/>
  <c r="F93" i="103"/>
  <c r="H101" i="103"/>
  <c r="J13" i="104"/>
  <c r="L21" i="104"/>
  <c r="N33" i="104"/>
  <c r="P41" i="104"/>
  <c r="R49" i="104"/>
  <c r="T61" i="104"/>
  <c r="V69" i="104"/>
  <c r="D78" i="104"/>
  <c r="T90" i="104"/>
  <c r="F102" i="104"/>
  <c r="N27" i="107"/>
  <c r="P83" i="107"/>
  <c r="H46" i="108"/>
  <c r="P29" i="98"/>
  <c r="I18" i="98"/>
  <c r="M26" i="98"/>
  <c r="F23" i="98"/>
  <c r="T84" i="28"/>
  <c r="T44" i="28" s="1"/>
  <c r="X103" i="28"/>
  <c r="L148" i="28"/>
  <c r="H237" i="28"/>
  <c r="K72" i="28"/>
  <c r="K32" i="28" s="1"/>
  <c r="S137" i="28"/>
  <c r="G125" i="28"/>
  <c r="H239" i="28"/>
  <c r="N115" i="101"/>
  <c r="L87" i="101"/>
  <c r="N57" i="101"/>
  <c r="P34" i="101"/>
  <c r="K11" i="101"/>
  <c r="H22" i="101"/>
  <c r="C46" i="101"/>
  <c r="O60" i="101"/>
  <c r="M110" i="101"/>
  <c r="G128" i="101"/>
  <c r="G31" i="101"/>
  <c r="E51" i="101"/>
  <c r="P68" i="101"/>
  <c r="K91" i="101"/>
  <c r="K119" i="101"/>
  <c r="L13" i="101"/>
  <c r="H31" i="101"/>
  <c r="G50" i="101"/>
  <c r="D67" i="101"/>
  <c r="D88" i="101"/>
  <c r="I117" i="101"/>
  <c r="G17" i="101"/>
  <c r="F52" i="101"/>
  <c r="K84" i="101"/>
  <c r="D116" i="101"/>
  <c r="D12" i="101"/>
  <c r="P20" i="101"/>
  <c r="J28" i="101"/>
  <c r="J41" i="101"/>
  <c r="I49" i="101"/>
  <c r="G59" i="101"/>
  <c r="F67" i="101"/>
  <c r="H81" i="101"/>
  <c r="M90" i="101"/>
  <c r="F106" i="101"/>
  <c r="E116" i="101"/>
  <c r="P128" i="101"/>
  <c r="J21" i="101"/>
  <c r="C42" i="101"/>
  <c r="P59" i="101"/>
  <c r="I76" i="101"/>
  <c r="I85" i="101"/>
  <c r="K109" i="101"/>
  <c r="C10" i="101"/>
  <c r="G24" i="101"/>
  <c r="E41" i="101"/>
  <c r="D62" i="101"/>
  <c r="E81" i="101"/>
  <c r="F108" i="101"/>
  <c r="P10" i="101"/>
  <c r="G30" i="101"/>
  <c r="E49" i="101"/>
  <c r="K75" i="101"/>
  <c r="F94" i="101"/>
  <c r="D121" i="101"/>
  <c r="K15" i="101"/>
  <c r="J27" i="101"/>
  <c r="H37" i="101"/>
  <c r="G58" i="101"/>
  <c r="G72" i="101"/>
  <c r="P86" i="101"/>
  <c r="G107" i="101"/>
  <c r="G10" i="101"/>
  <c r="I17" i="101"/>
  <c r="L27" i="101"/>
  <c r="K41" i="101"/>
  <c r="J53" i="101"/>
  <c r="I62" i="101"/>
  <c r="D77" i="101"/>
  <c r="H89" i="101"/>
  <c r="G106" i="101"/>
  <c r="I121" i="101"/>
  <c r="E75" i="101"/>
  <c r="P118" i="101"/>
  <c r="I10" i="101"/>
  <c r="G18" i="101"/>
  <c r="E27" i="101"/>
  <c r="G34" i="101"/>
  <c r="D46" i="101"/>
  <c r="N54" i="101"/>
  <c r="J63" i="101"/>
  <c r="C76" i="101"/>
  <c r="E83" i="101"/>
  <c r="F92" i="101"/>
  <c r="O104" i="101"/>
  <c r="K114" i="101"/>
  <c r="E125" i="101"/>
  <c r="H74" i="101"/>
  <c r="M84" i="101"/>
  <c r="J96" i="101"/>
  <c r="O111" i="101"/>
  <c r="L12" i="101"/>
  <c r="F21" i="101"/>
  <c r="C32" i="101"/>
  <c r="K44" i="101"/>
  <c r="F57" i="101"/>
  <c r="N66" i="101"/>
  <c r="O80" i="101"/>
  <c r="C94" i="101"/>
  <c r="P112" i="101"/>
  <c r="G125" i="101"/>
  <c r="P32" i="101"/>
  <c r="L51" i="101"/>
  <c r="D68" i="101"/>
  <c r="H85" i="101"/>
  <c r="H105" i="101"/>
  <c r="C122" i="101"/>
  <c r="P96" i="101"/>
  <c r="H116" i="101"/>
  <c r="L130" i="101"/>
  <c r="C51" i="101"/>
  <c r="M97" i="101"/>
  <c r="N17" i="101"/>
  <c r="M65" i="101"/>
  <c r="N23" i="101"/>
  <c r="I93" i="101"/>
  <c r="F14" i="101"/>
  <c r="P26" i="101"/>
  <c r="P43" i="101"/>
  <c r="J61" i="101"/>
  <c r="I88" i="101"/>
  <c r="O117" i="101"/>
  <c r="V263" i="102"/>
  <c r="L9" i="103"/>
  <c r="J11" i="103"/>
  <c r="L13" i="103"/>
  <c r="L15" i="103"/>
  <c r="N17" i="103"/>
  <c r="L19" i="103"/>
  <c r="D22" i="103"/>
  <c r="T24" i="103"/>
  <c r="D28" i="103"/>
  <c r="D35" i="103"/>
  <c r="F38" i="103"/>
  <c r="D41" i="103"/>
  <c r="F44" i="103"/>
  <c r="F47" i="103"/>
  <c r="J50" i="103"/>
  <c r="F53" i="103"/>
  <c r="J60" i="103"/>
  <c r="V63" i="103"/>
  <c r="N67" i="103"/>
  <c r="Q73" i="103"/>
  <c r="S85" i="103"/>
  <c r="U93" i="103"/>
  <c r="W101" i="103"/>
  <c r="E14" i="104"/>
  <c r="G22" i="104"/>
  <c r="I34" i="104"/>
  <c r="K42" i="104"/>
  <c r="M50" i="104"/>
  <c r="O62" i="104"/>
  <c r="Q70" i="104"/>
  <c r="S78" i="104"/>
  <c r="J91" i="104"/>
  <c r="L103" i="104"/>
  <c r="V28" i="107"/>
  <c r="K85" i="107"/>
  <c r="W47" i="108"/>
  <c r="M19" i="101"/>
  <c r="C28" i="101"/>
  <c r="M36" i="101"/>
  <c r="O46" i="101"/>
  <c r="K55" i="101"/>
  <c r="D65" i="101"/>
  <c r="O76" i="101"/>
  <c r="K85" i="101"/>
  <c r="D93" i="101"/>
  <c r="N105" i="101"/>
  <c r="G116" i="101"/>
  <c r="D126" i="101"/>
  <c r="K77" i="101"/>
  <c r="J85" i="101"/>
  <c r="H97" i="101"/>
  <c r="J114" i="101"/>
  <c r="H13" i="101"/>
  <c r="P21" i="101"/>
  <c r="N32" i="101"/>
  <c r="H45" i="101"/>
  <c r="C58" i="101"/>
  <c r="K67" i="101"/>
  <c r="D84" i="101"/>
  <c r="P94" i="101"/>
  <c r="N113" i="101"/>
  <c r="E126" i="101"/>
  <c r="D35" i="101"/>
  <c r="H52" i="101"/>
  <c r="N68" i="101"/>
  <c r="D86" i="101"/>
  <c r="P106" i="101"/>
  <c r="I124" i="101"/>
  <c r="L97" i="101"/>
  <c r="D117" i="101"/>
  <c r="J124" i="101"/>
  <c r="O41" i="101"/>
  <c r="O82" i="101"/>
  <c r="D15" i="101"/>
  <c r="M56" i="101"/>
  <c r="D26" i="101"/>
  <c r="G96" i="101"/>
  <c r="G14" i="101"/>
  <c r="C27" i="101"/>
  <c r="P44" i="101"/>
  <c r="K61" i="101"/>
  <c r="J88" i="101"/>
  <c r="P117" i="101"/>
  <c r="M9" i="103"/>
  <c r="K11" i="103"/>
  <c r="M13" i="103"/>
  <c r="M15" i="103"/>
  <c r="O17" i="103"/>
  <c r="M19" i="103"/>
  <c r="G22" i="103"/>
  <c r="K25" i="103"/>
  <c r="K28" i="103"/>
  <c r="M35" i="103"/>
  <c r="K38" i="103"/>
  <c r="M41" i="103"/>
  <c r="M44" i="103"/>
  <c r="Q47" i="103"/>
  <c r="M50" i="103"/>
  <c r="Q53" i="103"/>
  <c r="Q60" i="103"/>
  <c r="W63" i="103"/>
  <c r="L68" i="103"/>
  <c r="T73" i="103"/>
  <c r="V85" i="103"/>
  <c r="D94" i="103"/>
  <c r="F102" i="103"/>
  <c r="H14" i="104"/>
  <c r="J22" i="104"/>
  <c r="L34" i="104"/>
  <c r="N42" i="104"/>
  <c r="P50" i="104"/>
  <c r="R62" i="104"/>
  <c r="T70" i="104"/>
  <c r="V78" i="104"/>
  <c r="S91" i="104"/>
  <c r="M103" i="104"/>
  <c r="H33" i="107"/>
  <c r="P85" i="107"/>
  <c r="J48" i="108"/>
  <c r="P30" i="5"/>
  <c r="L40" i="91"/>
  <c r="L15" i="91" s="1"/>
  <c r="L51" i="91"/>
  <c r="L26" i="91" s="1"/>
  <c r="D20" i="5"/>
  <c r="C26" i="5"/>
  <c r="K25" i="5"/>
  <c r="K26" i="5"/>
  <c r="H44" i="91"/>
  <c r="H19" i="91" s="1"/>
  <c r="C53" i="91"/>
  <c r="C28" i="91" s="1"/>
  <c r="U267" i="113"/>
  <c r="O267" i="113"/>
  <c r="I267" i="113"/>
  <c r="C267" i="113"/>
  <c r="P266" i="113"/>
  <c r="J266" i="113"/>
  <c r="D266" i="113"/>
  <c r="Q265" i="113"/>
  <c r="K265" i="113"/>
  <c r="E265" i="113"/>
  <c r="R264" i="113"/>
  <c r="L264" i="113"/>
  <c r="F264" i="113"/>
  <c r="S263" i="113"/>
  <c r="M263" i="113"/>
  <c r="G263" i="113"/>
  <c r="T262" i="113"/>
  <c r="N262" i="113"/>
  <c r="H262" i="113"/>
  <c r="U261" i="113"/>
  <c r="O261" i="113"/>
  <c r="I261" i="113"/>
  <c r="C261" i="113"/>
  <c r="P260" i="113"/>
  <c r="J260" i="113"/>
  <c r="D260" i="113"/>
  <c r="Q259" i="113"/>
  <c r="K259" i="113"/>
  <c r="E259" i="113"/>
  <c r="R258" i="113"/>
  <c r="L258" i="113"/>
  <c r="F258" i="113"/>
  <c r="S257" i="113"/>
  <c r="M257" i="113"/>
  <c r="G257" i="113"/>
  <c r="T256" i="113"/>
  <c r="N256" i="113"/>
  <c r="H256" i="113"/>
  <c r="U255" i="113"/>
  <c r="O255" i="113"/>
  <c r="I255" i="113"/>
  <c r="C255" i="113"/>
  <c r="P254" i="113"/>
  <c r="J254" i="113"/>
  <c r="D254" i="113"/>
  <c r="Q253" i="113"/>
  <c r="K253" i="113"/>
  <c r="E253" i="113"/>
  <c r="R252" i="113"/>
  <c r="L252" i="113"/>
  <c r="F252" i="113"/>
  <c r="S251" i="113"/>
  <c r="M251" i="113"/>
  <c r="G251" i="113"/>
  <c r="T250" i="113"/>
  <c r="N250" i="113"/>
  <c r="H250" i="113"/>
  <c r="U249" i="113"/>
  <c r="O249" i="113"/>
  <c r="I249" i="113"/>
  <c r="C249" i="113"/>
  <c r="P248" i="113"/>
  <c r="J248" i="113"/>
  <c r="D248" i="113"/>
  <c r="Q247" i="113"/>
  <c r="K247" i="113"/>
  <c r="E247" i="113"/>
  <c r="R246" i="113"/>
  <c r="L246" i="113"/>
  <c r="F246" i="113"/>
  <c r="S245" i="113"/>
  <c r="M245" i="113"/>
  <c r="G245" i="113"/>
  <c r="T244" i="113"/>
  <c r="N244" i="113"/>
  <c r="H244" i="113"/>
  <c r="U243" i="113"/>
  <c r="O243" i="113"/>
  <c r="I243" i="113"/>
  <c r="C243" i="113"/>
  <c r="P242" i="113"/>
  <c r="J242" i="113"/>
  <c r="D242" i="113"/>
  <c r="Q241" i="113"/>
  <c r="T267" i="113"/>
  <c r="N267" i="113"/>
  <c r="H267" i="113"/>
  <c r="U266" i="113"/>
  <c r="O266" i="113"/>
  <c r="I266" i="113"/>
  <c r="C266" i="113"/>
  <c r="P265" i="113"/>
  <c r="J265" i="113"/>
  <c r="D265" i="113"/>
  <c r="Q264" i="113"/>
  <c r="K264" i="113"/>
  <c r="E264" i="113"/>
  <c r="R263" i="113"/>
  <c r="L263" i="113"/>
  <c r="F263" i="113"/>
  <c r="S262" i="113"/>
  <c r="M262" i="113"/>
  <c r="G262" i="113"/>
  <c r="T261" i="113"/>
  <c r="N261" i="113"/>
  <c r="H261" i="113"/>
  <c r="U260" i="113"/>
  <c r="O260" i="113"/>
  <c r="I260" i="113"/>
  <c r="C260" i="113"/>
  <c r="P259" i="113"/>
  <c r="J259" i="113"/>
  <c r="D259" i="113"/>
  <c r="Q258" i="113"/>
  <c r="K258" i="113"/>
  <c r="E258" i="113"/>
  <c r="R257" i="113"/>
  <c r="L257" i="113"/>
  <c r="F257" i="113"/>
  <c r="S256" i="113"/>
  <c r="M256" i="113"/>
  <c r="G256" i="113"/>
  <c r="T255" i="113"/>
  <c r="N255" i="113"/>
  <c r="H255" i="113"/>
  <c r="U254" i="113"/>
  <c r="O254" i="113"/>
  <c r="I254" i="113"/>
  <c r="C254" i="113"/>
  <c r="P253" i="113"/>
  <c r="J253" i="113"/>
  <c r="D253" i="113"/>
  <c r="Q252" i="113"/>
  <c r="K252" i="113"/>
  <c r="E252" i="113"/>
  <c r="R251" i="113"/>
  <c r="L251" i="113"/>
  <c r="F251" i="113"/>
  <c r="S250" i="113"/>
  <c r="M250" i="113"/>
  <c r="G250" i="113"/>
  <c r="T249" i="113"/>
  <c r="N249" i="113"/>
  <c r="H249" i="113"/>
  <c r="U248" i="113"/>
  <c r="O248" i="113"/>
  <c r="I248" i="113"/>
  <c r="C248" i="113"/>
  <c r="P247" i="113"/>
  <c r="J247" i="113"/>
  <c r="D247" i="113"/>
  <c r="Q246" i="113"/>
  <c r="K246" i="113"/>
  <c r="E246" i="113"/>
  <c r="R245" i="113"/>
  <c r="L245" i="113"/>
  <c r="F245" i="113"/>
  <c r="S244" i="113"/>
  <c r="M244" i="113"/>
  <c r="G244" i="113"/>
  <c r="T243" i="113"/>
  <c r="N243" i="113"/>
  <c r="H243" i="113"/>
  <c r="U242" i="113"/>
  <c r="O242" i="113"/>
  <c r="I242" i="113"/>
  <c r="C242" i="113"/>
  <c r="P241" i="113"/>
  <c r="H287" i="113"/>
  <c r="Q267" i="113"/>
  <c r="G267" i="113"/>
  <c r="R266" i="113"/>
  <c r="H266" i="113"/>
  <c r="S265" i="113"/>
  <c r="I265" i="113"/>
  <c r="T264" i="113"/>
  <c r="J264" i="113"/>
  <c r="U263" i="113"/>
  <c r="K263" i="113"/>
  <c r="C263" i="113"/>
  <c r="L262" i="113"/>
  <c r="D262" i="113"/>
  <c r="M261" i="113"/>
  <c r="E261" i="113"/>
  <c r="N260" i="113"/>
  <c r="F260" i="113"/>
  <c r="O259" i="113"/>
  <c r="G259" i="113"/>
  <c r="P258" i="113"/>
  <c r="H258" i="113"/>
  <c r="Q257" i="113"/>
  <c r="I257" i="113"/>
  <c r="R256" i="113"/>
  <c r="J256" i="113"/>
  <c r="S255" i="113"/>
  <c r="K255" i="113"/>
  <c r="T254" i="113"/>
  <c r="L254" i="113"/>
  <c r="U253" i="113"/>
  <c r="M253" i="113"/>
  <c r="C253" i="113"/>
  <c r="N252" i="113"/>
  <c r="D252" i="113"/>
  <c r="O251" i="113"/>
  <c r="E251" i="113"/>
  <c r="P250" i="113"/>
  <c r="F250" i="113"/>
  <c r="Q249" i="113"/>
  <c r="G249" i="113"/>
  <c r="R248" i="113"/>
  <c r="H248" i="113"/>
  <c r="S247" i="113"/>
  <c r="I247" i="113"/>
  <c r="T246" i="113"/>
  <c r="J246" i="113"/>
  <c r="U245" i="113"/>
  <c r="K245" i="113"/>
  <c r="C245" i="113"/>
  <c r="L244" i="113"/>
  <c r="D244" i="113"/>
  <c r="M243" i="113"/>
  <c r="E243" i="113"/>
  <c r="N242" i="113"/>
  <c r="F242" i="113"/>
  <c r="O241" i="113"/>
  <c r="I241" i="113"/>
  <c r="C241" i="113"/>
  <c r="P240" i="113"/>
  <c r="J240" i="113"/>
  <c r="D240" i="113"/>
  <c r="Q239" i="113"/>
  <c r="K239" i="113"/>
  <c r="E239" i="113"/>
  <c r="R238" i="113"/>
  <c r="L238" i="113"/>
  <c r="F238" i="113"/>
  <c r="S237" i="113"/>
  <c r="M237" i="113"/>
  <c r="G237" i="113"/>
  <c r="T221" i="113"/>
  <c r="N221" i="113"/>
  <c r="H221" i="113"/>
  <c r="U220" i="113"/>
  <c r="O220" i="113"/>
  <c r="I220" i="113"/>
  <c r="C220" i="113"/>
  <c r="P219" i="113"/>
  <c r="J219" i="113"/>
  <c r="D219" i="113"/>
  <c r="Q218" i="113"/>
  <c r="K218" i="113"/>
  <c r="E218" i="113"/>
  <c r="R217" i="113"/>
  <c r="D287" i="113"/>
  <c r="M267" i="113"/>
  <c r="D267" i="113"/>
  <c r="L266" i="113"/>
  <c r="T265" i="113"/>
  <c r="H265" i="113"/>
  <c r="P264" i="113"/>
  <c r="G264" i="113"/>
  <c r="O263" i="113"/>
  <c r="D263" i="113"/>
  <c r="K262" i="113"/>
  <c r="S261" i="113"/>
  <c r="J261" i="113"/>
  <c r="R260" i="113"/>
  <c r="G260" i="113"/>
  <c r="N259" i="113"/>
  <c r="C259" i="113"/>
  <c r="M258" i="113"/>
  <c r="U257" i="113"/>
  <c r="J257" i="113"/>
  <c r="Q256" i="113"/>
  <c r="F256" i="113"/>
  <c r="P255" i="113"/>
  <c r="E255" i="113"/>
  <c r="M254" i="113"/>
  <c r="T253" i="113"/>
  <c r="I253" i="113"/>
  <c r="S252" i="113"/>
  <c r="H252" i="113"/>
  <c r="P251" i="113"/>
  <c r="D251" i="113"/>
  <c r="L250" i="113"/>
  <c r="C250" i="113"/>
  <c r="K249" i="113"/>
  <c r="S248" i="113"/>
  <c r="G248" i="113"/>
  <c r="O247" i="113"/>
  <c r="F247" i="113"/>
  <c r="N246" i="113"/>
  <c r="C246" i="113"/>
  <c r="J245" i="113"/>
  <c r="R244" i="113"/>
  <c r="I244" i="113"/>
  <c r="Q243" i="113"/>
  <c r="F243" i="113"/>
  <c r="M242" i="113"/>
  <c r="U241" i="113"/>
  <c r="L241" i="113"/>
  <c r="E241" i="113"/>
  <c r="Q240" i="113"/>
  <c r="I240" i="113"/>
  <c r="U239" i="113"/>
  <c r="N239" i="113"/>
  <c r="G239" i="113"/>
  <c r="S238" i="113"/>
  <c r="K238" i="113"/>
  <c r="D238" i="113"/>
  <c r="P237" i="113"/>
  <c r="I237" i="113"/>
  <c r="U221" i="113"/>
  <c r="M221" i="113"/>
  <c r="F221" i="113"/>
  <c r="R220" i="113"/>
  <c r="K220" i="113"/>
  <c r="D220" i="113"/>
  <c r="O219" i="113"/>
  <c r="H219" i="113"/>
  <c r="T218" i="113"/>
  <c r="M218" i="113"/>
  <c r="F218" i="113"/>
  <c r="Q217" i="113"/>
  <c r="K217" i="113"/>
  <c r="E217" i="113"/>
  <c r="R216" i="113"/>
  <c r="L216" i="113"/>
  <c r="F216" i="113"/>
  <c r="S215" i="113"/>
  <c r="M215" i="113"/>
  <c r="G215" i="113"/>
  <c r="T214" i="113"/>
  <c r="N214" i="113"/>
  <c r="H214" i="113"/>
  <c r="U213" i="113"/>
  <c r="O213" i="113"/>
  <c r="I213" i="113"/>
  <c r="C213" i="113"/>
  <c r="P212" i="113"/>
  <c r="J212" i="113"/>
  <c r="D212" i="113"/>
  <c r="Q211" i="113"/>
  <c r="K211" i="113"/>
  <c r="E211" i="113"/>
  <c r="R210" i="113"/>
  <c r="L210" i="113"/>
  <c r="F210" i="113"/>
  <c r="S209" i="113"/>
  <c r="M209" i="113"/>
  <c r="G209" i="113"/>
  <c r="T208" i="113"/>
  <c r="N208" i="113"/>
  <c r="H208" i="113"/>
  <c r="U207" i="113"/>
  <c r="O207" i="113"/>
  <c r="I207" i="113"/>
  <c r="C207" i="113"/>
  <c r="P206" i="113"/>
  <c r="J206" i="113"/>
  <c r="D206" i="113"/>
  <c r="Q205" i="113"/>
  <c r="K205" i="113"/>
  <c r="E205" i="113"/>
  <c r="R204" i="113"/>
  <c r="L204" i="113"/>
  <c r="F204" i="113"/>
  <c r="S203" i="113"/>
  <c r="M203" i="113"/>
  <c r="G203" i="113"/>
  <c r="T202" i="113"/>
  <c r="N202" i="113"/>
  <c r="H202" i="113"/>
  <c r="U201" i="113"/>
  <c r="O201" i="113"/>
  <c r="I201" i="113"/>
  <c r="C201" i="113"/>
  <c r="P200" i="113"/>
  <c r="J200" i="113"/>
  <c r="D200" i="113"/>
  <c r="Q199" i="113"/>
  <c r="K199" i="113"/>
  <c r="E199" i="113"/>
  <c r="R198" i="113"/>
  <c r="L198" i="113"/>
  <c r="F198" i="113"/>
  <c r="S197" i="113"/>
  <c r="M197" i="113"/>
  <c r="G197" i="113"/>
  <c r="T196" i="113"/>
  <c r="N196" i="113"/>
  <c r="H196" i="113"/>
  <c r="U195" i="113"/>
  <c r="O195" i="113"/>
  <c r="I195" i="113"/>
  <c r="C195" i="113"/>
  <c r="P194" i="113"/>
  <c r="J194" i="113"/>
  <c r="D194" i="113"/>
  <c r="Q193" i="113"/>
  <c r="K193" i="113"/>
  <c r="E193" i="113"/>
  <c r="R192" i="113"/>
  <c r="L192" i="113"/>
  <c r="F192" i="113"/>
  <c r="S191" i="113"/>
  <c r="M191" i="113"/>
  <c r="G191" i="113"/>
  <c r="T175" i="113"/>
  <c r="N175" i="113"/>
  <c r="H175" i="113"/>
  <c r="U174" i="113"/>
  <c r="O174" i="113"/>
  <c r="I174" i="113"/>
  <c r="C174" i="113"/>
  <c r="P173" i="113"/>
  <c r="J173" i="113"/>
  <c r="D173" i="113"/>
  <c r="Q172" i="113"/>
  <c r="K172" i="113"/>
  <c r="E172" i="113"/>
  <c r="R171" i="113"/>
  <c r="L171" i="113"/>
  <c r="J284" i="113"/>
  <c r="L267" i="113"/>
  <c r="T266" i="113"/>
  <c r="K266" i="113"/>
  <c r="R265" i="113"/>
  <c r="G265" i="113"/>
  <c r="O264" i="113"/>
  <c r="D264" i="113"/>
  <c r="N263" i="113"/>
  <c r="U262" i="113"/>
  <c r="J262" i="113"/>
  <c r="R261" i="113"/>
  <c r="G261" i="113"/>
  <c r="Q260" i="113"/>
  <c r="E260" i="113"/>
  <c r="M259" i="113"/>
  <c r="U258" i="113"/>
  <c r="J258" i="113"/>
  <c r="T257" i="113"/>
  <c r="H257" i="113"/>
  <c r="P256" i="113"/>
  <c r="E256" i="113"/>
  <c r="M255" i="113"/>
  <c r="D255" i="113"/>
  <c r="K254" i="113"/>
  <c r="S253" i="113"/>
  <c r="H253" i="113"/>
  <c r="P252" i="113"/>
  <c r="G252" i="113"/>
  <c r="N251" i="113"/>
  <c r="C251" i="113"/>
  <c r="K250" i="113"/>
  <c r="S249" i="113"/>
  <c r="J249" i="113"/>
  <c r="Q248" i="113"/>
  <c r="F248" i="113"/>
  <c r="N247" i="113"/>
  <c r="C247" i="113"/>
  <c r="M246" i="113"/>
  <c r="T245" i="113"/>
  <c r="I245" i="113"/>
  <c r="Q244" i="113"/>
  <c r="F244" i="113"/>
  <c r="P243" i="113"/>
  <c r="D243" i="113"/>
  <c r="L242" i="113"/>
  <c r="T241" i="113"/>
  <c r="K241" i="113"/>
  <c r="D241" i="113"/>
  <c r="O240" i="113"/>
  <c r="H240" i="113"/>
  <c r="T239" i="113"/>
  <c r="M239" i="113"/>
  <c r="F239" i="113"/>
  <c r="Q238" i="113"/>
  <c r="J238" i="113"/>
  <c r="C238" i="113"/>
  <c r="O237" i="113"/>
  <c r="H237" i="113"/>
  <c r="S221" i="113"/>
  <c r="L221" i="113"/>
  <c r="E221" i="113"/>
  <c r="Q220" i="113"/>
  <c r="J220" i="113"/>
  <c r="U219" i="113"/>
  <c r="N219" i="113"/>
  <c r="G219" i="113"/>
  <c r="S218" i="113"/>
  <c r="L218" i="113"/>
  <c r="D218" i="113"/>
  <c r="P217" i="113"/>
  <c r="J217" i="113"/>
  <c r="D217" i="113"/>
  <c r="Q216" i="113"/>
  <c r="K216" i="113"/>
  <c r="E216" i="113"/>
  <c r="R215" i="113"/>
  <c r="L215" i="113"/>
  <c r="F215" i="113"/>
  <c r="S214" i="113"/>
  <c r="M214" i="113"/>
  <c r="G214" i="113"/>
  <c r="T213" i="113"/>
  <c r="N213" i="113"/>
  <c r="H213" i="113"/>
  <c r="U212" i="113"/>
  <c r="O212" i="113"/>
  <c r="I212" i="113"/>
  <c r="C212" i="113"/>
  <c r="P211" i="113"/>
  <c r="J211" i="113"/>
  <c r="D211" i="113"/>
  <c r="Q210" i="113"/>
  <c r="K210" i="113"/>
  <c r="E210" i="113"/>
  <c r="R209" i="113"/>
  <c r="L209" i="113"/>
  <c r="F209" i="113"/>
  <c r="S208" i="113"/>
  <c r="M208" i="113"/>
  <c r="G208" i="113"/>
  <c r="T207" i="113"/>
  <c r="N207" i="113"/>
  <c r="H207" i="113"/>
  <c r="U206" i="113"/>
  <c r="O206" i="113"/>
  <c r="I206" i="113"/>
  <c r="C206" i="113"/>
  <c r="P205" i="113"/>
  <c r="J205" i="113"/>
  <c r="D205" i="113"/>
  <c r="Q204" i="113"/>
  <c r="K204" i="113"/>
  <c r="E204" i="113"/>
  <c r="R203" i="113"/>
  <c r="L203" i="113"/>
  <c r="F203" i="113"/>
  <c r="S202" i="113"/>
  <c r="M202" i="113"/>
  <c r="G202" i="113"/>
  <c r="T201" i="113"/>
  <c r="N201" i="113"/>
  <c r="H201" i="113"/>
  <c r="U200" i="113"/>
  <c r="O200" i="113"/>
  <c r="I200" i="113"/>
  <c r="C200" i="113"/>
  <c r="P199" i="113"/>
  <c r="J199" i="113"/>
  <c r="D199" i="113"/>
  <c r="Q198" i="113"/>
  <c r="K198" i="113"/>
  <c r="E198" i="113"/>
  <c r="R197" i="113"/>
  <c r="L197" i="113"/>
  <c r="F197" i="113"/>
  <c r="S196" i="113"/>
  <c r="M196" i="113"/>
  <c r="G196" i="113"/>
  <c r="T195" i="113"/>
  <c r="N195" i="113"/>
  <c r="H195" i="113"/>
  <c r="U194" i="113"/>
  <c r="O194" i="113"/>
  <c r="I194" i="113"/>
  <c r="C194" i="113"/>
  <c r="P193" i="113"/>
  <c r="J193" i="113"/>
  <c r="D193" i="113"/>
  <c r="Q192" i="113"/>
  <c r="K192" i="113"/>
  <c r="E192" i="113"/>
  <c r="R191" i="113"/>
  <c r="L191" i="113"/>
  <c r="F191" i="113"/>
  <c r="S175" i="113"/>
  <c r="M175" i="113"/>
  <c r="G175" i="113"/>
  <c r="T174" i="113"/>
  <c r="N174" i="113"/>
  <c r="H174" i="113"/>
  <c r="U173" i="113"/>
  <c r="O173" i="113"/>
  <c r="I173" i="113"/>
  <c r="C173" i="113"/>
  <c r="P172" i="113"/>
  <c r="J172" i="113"/>
  <c r="D172" i="113"/>
  <c r="Q171" i="113"/>
  <c r="K171" i="113"/>
  <c r="K283" i="113"/>
  <c r="F267" i="113"/>
  <c r="G266" i="113"/>
  <c r="M265" i="113"/>
  <c r="N264" i="113"/>
  <c r="Q263" i="113"/>
  <c r="R262" i="113"/>
  <c r="E262" i="113"/>
  <c r="F261" i="113"/>
  <c r="K260" i="113"/>
  <c r="L259" i="113"/>
  <c r="O258" i="113"/>
  <c r="P257" i="113"/>
  <c r="C257" i="113"/>
  <c r="D256" i="113"/>
  <c r="G255" i="113"/>
  <c r="H254" i="113"/>
  <c r="N253" i="113"/>
  <c r="O252" i="113"/>
  <c r="T251" i="113"/>
  <c r="U250" i="113"/>
  <c r="E250" i="113"/>
  <c r="F249" i="113"/>
  <c r="L248" i="113"/>
  <c r="M247" i="113"/>
  <c r="P246" i="113"/>
  <c r="Q245" i="113"/>
  <c r="D245" i="113"/>
  <c r="E244" i="113"/>
  <c r="J243" i="113"/>
  <c r="K242" i="113"/>
  <c r="N241" i="113"/>
  <c r="U240" i="113"/>
  <c r="L240" i="113"/>
  <c r="S239" i="113"/>
  <c r="I239" i="113"/>
  <c r="P238" i="113"/>
  <c r="G238" i="113"/>
  <c r="N237" i="113"/>
  <c r="D237" i="113"/>
  <c r="K221" i="113"/>
  <c r="T220" i="113"/>
  <c r="H220" i="113"/>
  <c r="R219" i="113"/>
  <c r="F219" i="113"/>
  <c r="O218" i="113"/>
  <c r="C218" i="113"/>
  <c r="M217" i="113"/>
  <c r="C217" i="113"/>
  <c r="N216" i="113"/>
  <c r="D216" i="113"/>
  <c r="O215" i="113"/>
  <c r="E215" i="113"/>
  <c r="P214" i="113"/>
  <c r="F214" i="113"/>
  <c r="Q213" i="113"/>
  <c r="G213" i="113"/>
  <c r="R212" i="113"/>
  <c r="H212" i="113"/>
  <c r="S211" i="113"/>
  <c r="I211" i="113"/>
  <c r="T210" i="113"/>
  <c r="J210" i="113"/>
  <c r="U209" i="113"/>
  <c r="K209" i="113"/>
  <c r="C209" i="113"/>
  <c r="L208" i="113"/>
  <c r="D208" i="113"/>
  <c r="M207" i="113"/>
  <c r="E207" i="113"/>
  <c r="N206" i="113"/>
  <c r="F206" i="113"/>
  <c r="O205" i="113"/>
  <c r="G205" i="113"/>
  <c r="P204" i="113"/>
  <c r="H204" i="113"/>
  <c r="Q203" i="113"/>
  <c r="I203" i="113"/>
  <c r="R202" i="113"/>
  <c r="J202" i="113"/>
  <c r="S201" i="113"/>
  <c r="K201" i="113"/>
  <c r="T200" i="113"/>
  <c r="L200" i="113"/>
  <c r="U199" i="113"/>
  <c r="M199" i="113"/>
  <c r="C199" i="113"/>
  <c r="N198" i="113"/>
  <c r="D198" i="113"/>
  <c r="O197" i="113"/>
  <c r="E197" i="113"/>
  <c r="P196" i="113"/>
  <c r="F196" i="113"/>
  <c r="Q195" i="113"/>
  <c r="G195" i="113"/>
  <c r="R194" i="113"/>
  <c r="H194" i="113"/>
  <c r="S193" i="113"/>
  <c r="I193" i="113"/>
  <c r="T192" i="113"/>
  <c r="J192" i="113"/>
  <c r="U191" i="113"/>
  <c r="K191" i="113"/>
  <c r="C191" i="113"/>
  <c r="L175" i="113"/>
  <c r="D175" i="113"/>
  <c r="M174" i="113"/>
  <c r="E174" i="113"/>
  <c r="N173" i="113"/>
  <c r="F173" i="113"/>
  <c r="O172" i="113"/>
  <c r="G172" i="113"/>
  <c r="P171" i="113"/>
  <c r="H171" i="113"/>
  <c r="U170" i="113"/>
  <c r="O170" i="113"/>
  <c r="I170" i="113"/>
  <c r="C170" i="113"/>
  <c r="P169" i="113"/>
  <c r="J169" i="113"/>
  <c r="D169" i="113"/>
  <c r="Q168" i="113"/>
  <c r="K168" i="113"/>
  <c r="E168" i="113"/>
  <c r="R167" i="113"/>
  <c r="L167" i="113"/>
  <c r="F167" i="113"/>
  <c r="S166" i="113"/>
  <c r="M166" i="113"/>
  <c r="G166" i="113"/>
  <c r="T165" i="113"/>
  <c r="N165" i="113"/>
  <c r="H165" i="113"/>
  <c r="U164" i="113"/>
  <c r="O164" i="113"/>
  <c r="I164" i="113"/>
  <c r="C164" i="113"/>
  <c r="P163" i="113"/>
  <c r="J163" i="113"/>
  <c r="D163" i="113"/>
  <c r="Q162" i="113"/>
  <c r="K162" i="113"/>
  <c r="E162" i="113"/>
  <c r="R161" i="113"/>
  <c r="L161" i="113"/>
  <c r="F161" i="113"/>
  <c r="S160" i="113"/>
  <c r="M160" i="113"/>
  <c r="G160" i="113"/>
  <c r="T159" i="113"/>
  <c r="N159" i="113"/>
  <c r="H159" i="113"/>
  <c r="U158" i="113"/>
  <c r="O158" i="113"/>
  <c r="I158" i="113"/>
  <c r="C158" i="113"/>
  <c r="P157" i="113"/>
  <c r="J157" i="113"/>
  <c r="D157" i="113"/>
  <c r="Q156" i="113"/>
  <c r="K156" i="113"/>
  <c r="E156" i="113"/>
  <c r="R155" i="113"/>
  <c r="L155" i="113"/>
  <c r="F155" i="113"/>
  <c r="S154" i="113"/>
  <c r="M154" i="113"/>
  <c r="G154" i="113"/>
  <c r="T153" i="113"/>
  <c r="N153" i="113"/>
  <c r="H153" i="113"/>
  <c r="S267" i="113"/>
  <c r="E267" i="113"/>
  <c r="F266" i="113"/>
  <c r="L265" i="113"/>
  <c r="M264" i="113"/>
  <c r="P263" i="113"/>
  <c r="Q262" i="113"/>
  <c r="C262" i="113"/>
  <c r="D261" i="113"/>
  <c r="H260" i="113"/>
  <c r="I259" i="113"/>
  <c r="N258" i="113"/>
  <c r="O257" i="113"/>
  <c r="U256" i="113"/>
  <c r="C256" i="113"/>
  <c r="F255" i="113"/>
  <c r="G254" i="113"/>
  <c r="L253" i="113"/>
  <c r="M252" i="113"/>
  <c r="Q251" i="113"/>
  <c r="R250" i="113"/>
  <c r="D250" i="113"/>
  <c r="E249" i="113"/>
  <c r="K248" i="113"/>
  <c r="L247" i="113"/>
  <c r="O246" i="113"/>
  <c r="P245" i="113"/>
  <c r="U244" i="113"/>
  <c r="C244" i="113"/>
  <c r="G243" i="113"/>
  <c r="H242" i="113"/>
  <c r="M241" i="113"/>
  <c r="T240" i="113"/>
  <c r="K240" i="113"/>
  <c r="R239" i="113"/>
  <c r="H239" i="113"/>
  <c r="O238" i="113"/>
  <c r="E238" i="113"/>
  <c r="L237" i="113"/>
  <c r="C237" i="113"/>
  <c r="J221" i="113"/>
  <c r="S220" i="113"/>
  <c r="G220" i="113"/>
  <c r="Q219" i="113"/>
  <c r="E219" i="113"/>
  <c r="N218" i="113"/>
  <c r="U217" i="113"/>
  <c r="L217" i="113"/>
  <c r="U216" i="113"/>
  <c r="M216" i="113"/>
  <c r="C216" i="113"/>
  <c r="N215" i="113"/>
  <c r="D215" i="113"/>
  <c r="O214" i="113"/>
  <c r="E214" i="113"/>
  <c r="P213" i="113"/>
  <c r="F213" i="113"/>
  <c r="Q212" i="113"/>
  <c r="G212" i="113"/>
  <c r="R211" i="113"/>
  <c r="H211" i="113"/>
  <c r="S210" i="113"/>
  <c r="I210" i="113"/>
  <c r="T209" i="113"/>
  <c r="J209" i="113"/>
  <c r="U208" i="113"/>
  <c r="K208" i="113"/>
  <c r="C208" i="113"/>
  <c r="L207" i="113"/>
  <c r="D207" i="113"/>
  <c r="M206" i="113"/>
  <c r="E206" i="113"/>
  <c r="N205" i="113"/>
  <c r="F205" i="113"/>
  <c r="O204" i="113"/>
  <c r="G204" i="113"/>
  <c r="P203" i="113"/>
  <c r="H203" i="113"/>
  <c r="Q202" i="113"/>
  <c r="I202" i="113"/>
  <c r="R201" i="113"/>
  <c r="J201" i="113"/>
  <c r="S200" i="113"/>
  <c r="K200" i="113"/>
  <c r="T199" i="113"/>
  <c r="L199" i="113"/>
  <c r="U198" i="113"/>
  <c r="M198" i="113"/>
  <c r="C198" i="113"/>
  <c r="N197" i="113"/>
  <c r="D197" i="113"/>
  <c r="O196" i="113"/>
  <c r="E196" i="113"/>
  <c r="P195" i="113"/>
  <c r="F195" i="113"/>
  <c r="Q194" i="113"/>
  <c r="G194" i="113"/>
  <c r="R193" i="113"/>
  <c r="H193" i="113"/>
  <c r="S192" i="113"/>
  <c r="I192" i="113"/>
  <c r="T191" i="113"/>
  <c r="J191" i="113"/>
  <c r="U175" i="113"/>
  <c r="K175" i="113"/>
  <c r="C175" i="113"/>
  <c r="L174" i="113"/>
  <c r="D174" i="113"/>
  <c r="M173" i="113"/>
  <c r="E173" i="113"/>
  <c r="N172" i="113"/>
  <c r="F172" i="113"/>
  <c r="O171" i="113"/>
  <c r="G171" i="113"/>
  <c r="T170" i="113"/>
  <c r="N170" i="113"/>
  <c r="H170" i="113"/>
  <c r="U169" i="113"/>
  <c r="O169" i="113"/>
  <c r="I169" i="113"/>
  <c r="C169" i="113"/>
  <c r="P168" i="113"/>
  <c r="J168" i="113"/>
  <c r="D168" i="113"/>
  <c r="Q167" i="113"/>
  <c r="K167" i="113"/>
  <c r="E167" i="113"/>
  <c r="R166" i="113"/>
  <c r="L166" i="113"/>
  <c r="F166" i="113"/>
  <c r="S165" i="113"/>
  <c r="M165" i="113"/>
  <c r="G165" i="113"/>
  <c r="T164" i="113"/>
  <c r="N164" i="113"/>
  <c r="H164" i="113"/>
  <c r="U163" i="113"/>
  <c r="O163" i="113"/>
  <c r="I163" i="113"/>
  <c r="C163" i="113"/>
  <c r="P162" i="113"/>
  <c r="J162" i="113"/>
  <c r="D162" i="113"/>
  <c r="Q161" i="113"/>
  <c r="K161" i="113"/>
  <c r="E161" i="113"/>
  <c r="R160" i="113"/>
  <c r="L160" i="113"/>
  <c r="F160" i="113"/>
  <c r="S159" i="113"/>
  <c r="M159" i="113"/>
  <c r="G159" i="113"/>
  <c r="T158" i="113"/>
  <c r="N158" i="113"/>
  <c r="H158" i="113"/>
  <c r="U157" i="113"/>
  <c r="O157" i="113"/>
  <c r="I157" i="113"/>
  <c r="C157" i="113"/>
  <c r="P156" i="113"/>
  <c r="J156" i="113"/>
  <c r="D156" i="113"/>
  <c r="Q155" i="113"/>
  <c r="K155" i="113"/>
  <c r="E155" i="113"/>
  <c r="R154" i="113"/>
  <c r="L154" i="113"/>
  <c r="F154" i="113"/>
  <c r="S153" i="113"/>
  <c r="M153" i="113"/>
  <c r="R267" i="113"/>
  <c r="N266" i="113"/>
  <c r="F265" i="113"/>
  <c r="C264" i="113"/>
  <c r="P262" i="113"/>
  <c r="L261" i="113"/>
  <c r="U259" i="113"/>
  <c r="T258" i="113"/>
  <c r="N257" i="113"/>
  <c r="K256" i="113"/>
  <c r="S254" i="113"/>
  <c r="R253" i="113"/>
  <c r="J252" i="113"/>
  <c r="I251" i="113"/>
  <c r="R249" i="113"/>
  <c r="N248" i="113"/>
  <c r="H247" i="113"/>
  <c r="G246" i="113"/>
  <c r="P244" i="113"/>
  <c r="L243" i="113"/>
  <c r="G242" i="113"/>
  <c r="G241" i="113"/>
  <c r="G240" i="113"/>
  <c r="L239" i="113"/>
  <c r="N238" i="113"/>
  <c r="R237" i="113"/>
  <c r="R221" i="113"/>
  <c r="D221" i="113"/>
  <c r="F220" i="113"/>
  <c r="K219" i="113"/>
  <c r="J218" i="113"/>
  <c r="O217" i="113"/>
  <c r="T216" i="113"/>
  <c r="H216" i="113"/>
  <c r="K215" i="113"/>
  <c r="R214" i="113"/>
  <c r="D214" i="113"/>
  <c r="K213" i="113"/>
  <c r="N212" i="113"/>
  <c r="U211" i="113"/>
  <c r="G211" i="113"/>
  <c r="N210" i="113"/>
  <c r="Q209" i="113"/>
  <c r="E209" i="113"/>
  <c r="J208" i="113"/>
  <c r="Q207" i="113"/>
  <c r="T206" i="113"/>
  <c r="H206" i="113"/>
  <c r="M205" i="113"/>
  <c r="T204" i="113"/>
  <c r="D204" i="113"/>
  <c r="K203" i="113"/>
  <c r="P202" i="113"/>
  <c r="D202" i="113"/>
  <c r="G201" i="113"/>
  <c r="N200" i="113"/>
  <c r="S199" i="113"/>
  <c r="G199" i="113"/>
  <c r="J198" i="113"/>
  <c r="Q197" i="113"/>
  <c r="C197" i="113"/>
  <c r="J196" i="113"/>
  <c r="M195" i="113"/>
  <c r="T194" i="113"/>
  <c r="F194" i="113"/>
  <c r="M193" i="113"/>
  <c r="P192" i="113"/>
  <c r="D192" i="113"/>
  <c r="I191" i="113"/>
  <c r="P175" i="113"/>
  <c r="S174" i="113"/>
  <c r="G174" i="113"/>
  <c r="L173" i="113"/>
  <c r="S172" i="113"/>
  <c r="C172" i="113"/>
  <c r="J171" i="113"/>
  <c r="S170" i="113"/>
  <c r="K170" i="113"/>
  <c r="T169" i="113"/>
  <c r="L169" i="113"/>
  <c r="U168" i="113"/>
  <c r="M168" i="113"/>
  <c r="C168" i="113"/>
  <c r="N167" i="113"/>
  <c r="D167" i="113"/>
  <c r="O166" i="113"/>
  <c r="E166" i="113"/>
  <c r="P165" i="113"/>
  <c r="F165" i="113"/>
  <c r="Q164" i="113"/>
  <c r="G164" i="113"/>
  <c r="R163" i="113"/>
  <c r="H163" i="113"/>
  <c r="S162" i="113"/>
  <c r="I162" i="113"/>
  <c r="T161" i="113"/>
  <c r="J161" i="113"/>
  <c r="U160" i="113"/>
  <c r="K160" i="113"/>
  <c r="C160" i="113"/>
  <c r="L159" i="113"/>
  <c r="D159" i="113"/>
  <c r="M158" i="113"/>
  <c r="E158" i="113"/>
  <c r="N157" i="113"/>
  <c r="F157" i="113"/>
  <c r="O156" i="113"/>
  <c r="G156" i="113"/>
  <c r="P155" i="113"/>
  <c r="H155" i="113"/>
  <c r="Q154" i="113"/>
  <c r="I154" i="113"/>
  <c r="R153" i="113"/>
  <c r="J153" i="113"/>
  <c r="C153" i="113"/>
  <c r="P152" i="113"/>
  <c r="J152" i="113"/>
  <c r="D152" i="113"/>
  <c r="Q151" i="113"/>
  <c r="K151" i="113"/>
  <c r="E151" i="113"/>
  <c r="R150" i="113"/>
  <c r="L150" i="113"/>
  <c r="F150" i="113"/>
  <c r="S149" i="113"/>
  <c r="M149" i="113"/>
  <c r="G149" i="113"/>
  <c r="T148" i="113"/>
  <c r="N148" i="113"/>
  <c r="H148" i="113"/>
  <c r="U147" i="113"/>
  <c r="O147" i="113"/>
  <c r="I147" i="113"/>
  <c r="C147" i="113"/>
  <c r="P146" i="113"/>
  <c r="J146" i="113"/>
  <c r="D146" i="113"/>
  <c r="Q145" i="113"/>
  <c r="K145" i="113"/>
  <c r="E145" i="113"/>
  <c r="R129" i="113"/>
  <c r="L129" i="113"/>
  <c r="F129" i="113"/>
  <c r="S128" i="113"/>
  <c r="M128" i="113"/>
  <c r="G128" i="113"/>
  <c r="T127" i="113"/>
  <c r="N127" i="113"/>
  <c r="H127" i="113"/>
  <c r="U126" i="113"/>
  <c r="O126" i="113"/>
  <c r="I126" i="113"/>
  <c r="C126" i="113"/>
  <c r="P125" i="113"/>
  <c r="J125" i="113"/>
  <c r="D125" i="113"/>
  <c r="Q124" i="113"/>
  <c r="K124" i="113"/>
  <c r="E124" i="113"/>
  <c r="R123" i="113"/>
  <c r="L123" i="113"/>
  <c r="F123" i="113"/>
  <c r="S122" i="113"/>
  <c r="M122" i="113"/>
  <c r="G122" i="113"/>
  <c r="T121" i="113"/>
  <c r="N121" i="113"/>
  <c r="H121" i="113"/>
  <c r="U120" i="113"/>
  <c r="O120" i="113"/>
  <c r="I120" i="113"/>
  <c r="C120" i="113"/>
  <c r="P119" i="113"/>
  <c r="J119" i="113"/>
  <c r="D119" i="113"/>
  <c r="Q118" i="113"/>
  <c r="K118" i="113"/>
  <c r="E118" i="113"/>
  <c r="R117" i="113"/>
  <c r="L117" i="113"/>
  <c r="F117" i="113"/>
  <c r="S116" i="113"/>
  <c r="M116" i="113"/>
  <c r="G116" i="113"/>
  <c r="T115" i="113"/>
  <c r="N115" i="113"/>
  <c r="H115" i="113"/>
  <c r="U114" i="113"/>
  <c r="O114" i="113"/>
  <c r="I114" i="113"/>
  <c r="C114" i="113"/>
  <c r="P113" i="113"/>
  <c r="J113" i="113"/>
  <c r="D113" i="113"/>
  <c r="Q112" i="113"/>
  <c r="K112" i="113"/>
  <c r="E112" i="113"/>
  <c r="R111" i="113"/>
  <c r="L111" i="113"/>
  <c r="F111" i="113"/>
  <c r="S110" i="113"/>
  <c r="M110" i="113"/>
  <c r="G110" i="113"/>
  <c r="T109" i="113"/>
  <c r="N109" i="113"/>
  <c r="H109" i="113"/>
  <c r="U108" i="113"/>
  <c r="O108" i="113"/>
  <c r="I108" i="113"/>
  <c r="C108" i="113"/>
  <c r="P107" i="113"/>
  <c r="J107" i="113"/>
  <c r="D107" i="113"/>
  <c r="Q106" i="113"/>
  <c r="K106" i="113"/>
  <c r="E106" i="113"/>
  <c r="R105" i="113"/>
  <c r="L105" i="113"/>
  <c r="F105" i="113"/>
  <c r="S104" i="113"/>
  <c r="M104" i="113"/>
  <c r="G104" i="113"/>
  <c r="T103" i="113"/>
  <c r="N103" i="113"/>
  <c r="H103" i="113"/>
  <c r="U102" i="113"/>
  <c r="O102" i="113"/>
  <c r="I102" i="113"/>
  <c r="C102" i="113"/>
  <c r="P101" i="113"/>
  <c r="J101" i="113"/>
  <c r="D101" i="113"/>
  <c r="Q100" i="113"/>
  <c r="K100" i="113"/>
  <c r="E100" i="113"/>
  <c r="R99" i="113"/>
  <c r="L99" i="113"/>
  <c r="F99" i="113"/>
  <c r="S83" i="113"/>
  <c r="M83" i="113"/>
  <c r="G83" i="113"/>
  <c r="T82" i="113"/>
  <c r="N82" i="113"/>
  <c r="H82" i="113"/>
  <c r="U81" i="113"/>
  <c r="O81" i="113"/>
  <c r="I81" i="113"/>
  <c r="C81" i="113"/>
  <c r="P80" i="113"/>
  <c r="J80" i="113"/>
  <c r="D80" i="113"/>
  <c r="Q79" i="113"/>
  <c r="K79" i="113"/>
  <c r="E79" i="113"/>
  <c r="R78" i="113"/>
  <c r="L78" i="113"/>
  <c r="F78" i="113"/>
  <c r="S77" i="113"/>
  <c r="M77" i="113"/>
  <c r="G77" i="113"/>
  <c r="T76" i="113"/>
  <c r="N76" i="113"/>
  <c r="H76" i="113"/>
  <c r="U75" i="113"/>
  <c r="O75" i="113"/>
  <c r="I75" i="113"/>
  <c r="C75" i="113"/>
  <c r="P74" i="113"/>
  <c r="J74" i="113"/>
  <c r="D74" i="113"/>
  <c r="Q73" i="113"/>
  <c r="K73" i="113"/>
  <c r="E73" i="113"/>
  <c r="R72" i="113"/>
  <c r="L72" i="113"/>
  <c r="F72" i="113"/>
  <c r="S71" i="113"/>
  <c r="M71" i="113"/>
  <c r="G71" i="113"/>
  <c r="T70" i="113"/>
  <c r="N70" i="113"/>
  <c r="H70" i="113"/>
  <c r="U69" i="113"/>
  <c r="O69" i="113"/>
  <c r="I69" i="113"/>
  <c r="C69" i="113"/>
  <c r="P68" i="113"/>
  <c r="J68" i="113"/>
  <c r="D68" i="113"/>
  <c r="Q67" i="113"/>
  <c r="K67" i="113"/>
  <c r="E67" i="113"/>
  <c r="R66" i="113"/>
  <c r="L66" i="113"/>
  <c r="F66" i="113"/>
  <c r="S65" i="113"/>
  <c r="M65" i="113"/>
  <c r="G65" i="113"/>
  <c r="T64" i="113"/>
  <c r="N64" i="113"/>
  <c r="H64" i="113"/>
  <c r="U63" i="113"/>
  <c r="O63" i="113"/>
  <c r="I63" i="113"/>
  <c r="C63" i="113"/>
  <c r="P62" i="113"/>
  <c r="J62" i="113"/>
  <c r="D62" i="113"/>
  <c r="Q61" i="113"/>
  <c r="K61" i="113"/>
  <c r="E61" i="113"/>
  <c r="R60" i="113"/>
  <c r="L60" i="113"/>
  <c r="F60" i="113"/>
  <c r="S59" i="113"/>
  <c r="M59" i="113"/>
  <c r="G59" i="113"/>
  <c r="T58" i="113"/>
  <c r="N58" i="113"/>
  <c r="H58" i="113"/>
  <c r="U57" i="113"/>
  <c r="O57" i="113"/>
  <c r="I57" i="113"/>
  <c r="C57" i="113"/>
  <c r="P56" i="113"/>
  <c r="J56" i="113"/>
  <c r="D56" i="113"/>
  <c r="Q55" i="113"/>
  <c r="K55" i="113"/>
  <c r="E55" i="113"/>
  <c r="R54" i="113"/>
  <c r="L54" i="113"/>
  <c r="F54" i="113"/>
  <c r="S53" i="113"/>
  <c r="M53" i="113"/>
  <c r="G53" i="113"/>
  <c r="T37" i="113"/>
  <c r="N37" i="113"/>
  <c r="H37" i="113"/>
  <c r="U36" i="113"/>
  <c r="O36" i="113"/>
  <c r="P267" i="113"/>
  <c r="M266" i="113"/>
  <c r="C265" i="113"/>
  <c r="T263" i="113"/>
  <c r="O262" i="113"/>
  <c r="K261" i="113"/>
  <c r="T259" i="113"/>
  <c r="S258" i="113"/>
  <c r="K257" i="113"/>
  <c r="I256" i="113"/>
  <c r="R254" i="113"/>
  <c r="O253" i="113"/>
  <c r="I252" i="113"/>
  <c r="H251" i="113"/>
  <c r="P249" i="113"/>
  <c r="M248" i="113"/>
  <c r="G247" i="113"/>
  <c r="D246" i="113"/>
  <c r="O244" i="113"/>
  <c r="K243" i="113"/>
  <c r="E242" i="113"/>
  <c r="F241" i="113"/>
  <c r="F240" i="113"/>
  <c r="J239" i="113"/>
  <c r="M238" i="113"/>
  <c r="Q237" i="113"/>
  <c r="Q221" i="113"/>
  <c r="C221" i="113"/>
  <c r="E220" i="113"/>
  <c r="I219" i="113"/>
  <c r="I218" i="113"/>
  <c r="N217" i="113"/>
  <c r="S216" i="113"/>
  <c r="G216" i="113"/>
  <c r="J215" i="113"/>
  <c r="Q214" i="113"/>
  <c r="C214" i="113"/>
  <c r="J213" i="113"/>
  <c r="M212" i="113"/>
  <c r="T211" i="113"/>
  <c r="F211" i="113"/>
  <c r="M210" i="113"/>
  <c r="P209" i="113"/>
  <c r="D209" i="113"/>
  <c r="I208" i="113"/>
  <c r="P207" i="113"/>
  <c r="S206" i="113"/>
  <c r="G206" i="113"/>
  <c r="L205" i="113"/>
  <c r="S204" i="113"/>
  <c r="C204" i="113"/>
  <c r="J203" i="113"/>
  <c r="O202" i="113"/>
  <c r="C202" i="113"/>
  <c r="F201" i="113"/>
  <c r="M200" i="113"/>
  <c r="R199" i="113"/>
  <c r="F199" i="113"/>
  <c r="I198" i="113"/>
  <c r="P197" i="113"/>
  <c r="U196" i="113"/>
  <c r="I196" i="113"/>
  <c r="L195" i="113"/>
  <c r="S194" i="113"/>
  <c r="E194" i="113"/>
  <c r="L193" i="113"/>
  <c r="O192" i="113"/>
  <c r="C192" i="113"/>
  <c r="H191" i="113"/>
  <c r="O175" i="113"/>
  <c r="R174" i="113"/>
  <c r="F174" i="113"/>
  <c r="K173" i="113"/>
  <c r="R172" i="113"/>
  <c r="U171" i="113"/>
  <c r="I171" i="113"/>
  <c r="R170" i="113"/>
  <c r="J170" i="113"/>
  <c r="S169" i="113"/>
  <c r="K169" i="113"/>
  <c r="T168" i="113"/>
  <c r="L168" i="113"/>
  <c r="U167" i="113"/>
  <c r="M167" i="113"/>
  <c r="C167" i="113"/>
  <c r="N166" i="113"/>
  <c r="D166" i="113"/>
  <c r="O165" i="113"/>
  <c r="E165" i="113"/>
  <c r="P164" i="113"/>
  <c r="F164" i="113"/>
  <c r="Q163" i="113"/>
  <c r="G163" i="113"/>
  <c r="R162" i="113"/>
  <c r="H162" i="113"/>
  <c r="S161" i="113"/>
  <c r="I161" i="113"/>
  <c r="T160" i="113"/>
  <c r="J160" i="113"/>
  <c r="U159" i="113"/>
  <c r="K159" i="113"/>
  <c r="C159" i="113"/>
  <c r="L158" i="113"/>
  <c r="D158" i="113"/>
  <c r="M157" i="113"/>
  <c r="E157" i="113"/>
  <c r="N156" i="113"/>
  <c r="F156" i="113"/>
  <c r="O155" i="113"/>
  <c r="G155" i="113"/>
  <c r="P154" i="113"/>
  <c r="H154" i="113"/>
  <c r="Q153" i="113"/>
  <c r="I153" i="113"/>
  <c r="U152" i="113"/>
  <c r="O152" i="113"/>
  <c r="I152" i="113"/>
  <c r="C152" i="113"/>
  <c r="P151" i="113"/>
  <c r="J151" i="113"/>
  <c r="D151" i="113"/>
  <c r="Q150" i="113"/>
  <c r="K150" i="113"/>
  <c r="E150" i="113"/>
  <c r="R149" i="113"/>
  <c r="L149" i="113"/>
  <c r="F149" i="113"/>
  <c r="S148" i="113"/>
  <c r="M148" i="113"/>
  <c r="G148" i="113"/>
  <c r="T147" i="113"/>
  <c r="N147" i="113"/>
  <c r="H147" i="113"/>
  <c r="U146" i="113"/>
  <c r="O146" i="113"/>
  <c r="I146" i="113"/>
  <c r="C146" i="113"/>
  <c r="P145" i="113"/>
  <c r="J145" i="113"/>
  <c r="D145" i="113"/>
  <c r="Q129" i="113"/>
  <c r="K129" i="113"/>
  <c r="E129" i="113"/>
  <c r="R128" i="113"/>
  <c r="L128" i="113"/>
  <c r="F128" i="113"/>
  <c r="S127" i="113"/>
  <c r="M127" i="113"/>
  <c r="G127" i="113"/>
  <c r="T126" i="113"/>
  <c r="N126" i="113"/>
  <c r="H126" i="113"/>
  <c r="U125" i="113"/>
  <c r="O125" i="113"/>
  <c r="I125" i="113"/>
  <c r="C125" i="113"/>
  <c r="P124" i="113"/>
  <c r="J124" i="113"/>
  <c r="D124" i="113"/>
  <c r="Q123" i="113"/>
  <c r="K123" i="113"/>
  <c r="E123" i="113"/>
  <c r="R122" i="113"/>
  <c r="L122" i="113"/>
  <c r="F122" i="113"/>
  <c r="S121" i="113"/>
  <c r="M121" i="113"/>
  <c r="G121" i="113"/>
  <c r="T120" i="113"/>
  <c r="N120" i="113"/>
  <c r="H120" i="113"/>
  <c r="U119" i="113"/>
  <c r="O119" i="113"/>
  <c r="I119" i="113"/>
  <c r="C119" i="113"/>
  <c r="P118" i="113"/>
  <c r="J118" i="113"/>
  <c r="D118" i="113"/>
  <c r="Q117" i="113"/>
  <c r="K117" i="113"/>
  <c r="E117" i="113"/>
  <c r="R116" i="113"/>
  <c r="L116" i="113"/>
  <c r="F116" i="113"/>
  <c r="S115" i="113"/>
  <c r="M115" i="113"/>
  <c r="G115" i="113"/>
  <c r="T114" i="113"/>
  <c r="N114" i="113"/>
  <c r="H114" i="113"/>
  <c r="U113" i="113"/>
  <c r="O113" i="113"/>
  <c r="I113" i="113"/>
  <c r="C113" i="113"/>
  <c r="P112" i="113"/>
  <c r="J112" i="113"/>
  <c r="D112" i="113"/>
  <c r="Q111" i="113"/>
  <c r="K111" i="113"/>
  <c r="E111" i="113"/>
  <c r="R110" i="113"/>
  <c r="L110" i="113"/>
  <c r="F110" i="113"/>
  <c r="S109" i="113"/>
  <c r="M109" i="113"/>
  <c r="G109" i="113"/>
  <c r="T108" i="113"/>
  <c r="N108" i="113"/>
  <c r="H108" i="113"/>
  <c r="U107" i="113"/>
  <c r="O107" i="113"/>
  <c r="I107" i="113"/>
  <c r="C107" i="113"/>
  <c r="P106" i="113"/>
  <c r="J106" i="113"/>
  <c r="D106" i="113"/>
  <c r="Q105" i="113"/>
  <c r="K105" i="113"/>
  <c r="E105" i="113"/>
  <c r="R104" i="113"/>
  <c r="L104" i="113"/>
  <c r="F104" i="113"/>
  <c r="S103" i="113"/>
  <c r="M103" i="113"/>
  <c r="G103" i="113"/>
  <c r="T102" i="113"/>
  <c r="N102" i="113"/>
  <c r="H102" i="113"/>
  <c r="U101" i="113"/>
  <c r="O101" i="113"/>
  <c r="I101" i="113"/>
  <c r="C101" i="113"/>
  <c r="P100" i="113"/>
  <c r="J100" i="113"/>
  <c r="D100" i="113"/>
  <c r="Q99" i="113"/>
  <c r="K99" i="113"/>
  <c r="E99" i="113"/>
  <c r="R83" i="113"/>
  <c r="L83" i="113"/>
  <c r="F83" i="113"/>
  <c r="S82" i="113"/>
  <c r="M82" i="113"/>
  <c r="G82" i="113"/>
  <c r="T81" i="113"/>
  <c r="N81" i="113"/>
  <c r="H81" i="113"/>
  <c r="U80" i="113"/>
  <c r="O80" i="113"/>
  <c r="I80" i="113"/>
  <c r="C80" i="113"/>
  <c r="P79" i="113"/>
  <c r="J79" i="113"/>
  <c r="D79" i="113"/>
  <c r="Q78" i="113"/>
  <c r="K78" i="113"/>
  <c r="E78" i="113"/>
  <c r="R77" i="113"/>
  <c r="L77" i="113"/>
  <c r="F77" i="113"/>
  <c r="S76" i="113"/>
  <c r="M76" i="113"/>
  <c r="G76" i="113"/>
  <c r="T75" i="113"/>
  <c r="N75" i="113"/>
  <c r="H75" i="113"/>
  <c r="U74" i="113"/>
  <c r="O74" i="113"/>
  <c r="I74" i="113"/>
  <c r="C74" i="113"/>
  <c r="P73" i="113"/>
  <c r="J73" i="113"/>
  <c r="D73" i="113"/>
  <c r="Q72" i="113"/>
  <c r="K72" i="113"/>
  <c r="E72" i="113"/>
  <c r="R71" i="113"/>
  <c r="L71" i="113"/>
  <c r="F71" i="113"/>
  <c r="S70" i="113"/>
  <c r="M70" i="113"/>
  <c r="G70" i="113"/>
  <c r="T69" i="113"/>
  <c r="N69" i="113"/>
  <c r="H69" i="113"/>
  <c r="U68" i="113"/>
  <c r="O68" i="113"/>
  <c r="I68" i="113"/>
  <c r="C68" i="113"/>
  <c r="P67" i="113"/>
  <c r="J67" i="113"/>
  <c r="D67" i="113"/>
  <c r="Q66" i="113"/>
  <c r="K66" i="113"/>
  <c r="E66" i="113"/>
  <c r="R65" i="113"/>
  <c r="L65" i="113"/>
  <c r="F65" i="113"/>
  <c r="S64" i="113"/>
  <c r="M64" i="113"/>
  <c r="G64" i="113"/>
  <c r="T63" i="113"/>
  <c r="N63" i="113"/>
  <c r="H63" i="113"/>
  <c r="U62" i="113"/>
  <c r="O62" i="113"/>
  <c r="I62" i="113"/>
  <c r="C62" i="113"/>
  <c r="P61" i="113"/>
  <c r="J61" i="113"/>
  <c r="D61" i="113"/>
  <c r="Q60" i="113"/>
  <c r="K60" i="113"/>
  <c r="E60" i="113"/>
  <c r="R59" i="113"/>
  <c r="L59" i="113"/>
  <c r="F59" i="113"/>
  <c r="S58" i="113"/>
  <c r="M58" i="113"/>
  <c r="G58" i="113"/>
  <c r="T57" i="113"/>
  <c r="N57" i="113"/>
  <c r="H57" i="113"/>
  <c r="U56" i="113"/>
  <c r="O56" i="113"/>
  <c r="I56" i="113"/>
  <c r="C56" i="113"/>
  <c r="P55" i="113"/>
  <c r="J55" i="113"/>
  <c r="D55" i="113"/>
  <c r="Q54" i="113"/>
  <c r="K54" i="113"/>
  <c r="E54" i="113"/>
  <c r="R53" i="113"/>
  <c r="L53" i="113"/>
  <c r="F53" i="113"/>
  <c r="S37" i="113"/>
  <c r="M37" i="113"/>
  <c r="G37" i="113"/>
  <c r="K267" i="113"/>
  <c r="O265" i="113"/>
  <c r="J263" i="113"/>
  <c r="Q261" i="113"/>
  <c r="S259" i="113"/>
  <c r="D258" i="113"/>
  <c r="R255" i="113"/>
  <c r="F254" i="113"/>
  <c r="C252" i="113"/>
  <c r="J250" i="113"/>
  <c r="E248" i="113"/>
  <c r="I246" i="113"/>
  <c r="K244" i="113"/>
  <c r="R242" i="113"/>
  <c r="S240" i="113"/>
  <c r="P239" i="113"/>
  <c r="I238" i="113"/>
  <c r="F237" i="113"/>
  <c r="P220" i="113"/>
  <c r="M219" i="113"/>
  <c r="H218" i="113"/>
  <c r="G217" i="113"/>
  <c r="U215" i="113"/>
  <c r="C215" i="113"/>
  <c r="S213" i="113"/>
  <c r="T212" i="113"/>
  <c r="O211" i="113"/>
  <c r="P210" i="113"/>
  <c r="O209" i="113"/>
  <c r="P208" i="113"/>
  <c r="K207" i="113"/>
  <c r="L206" i="113"/>
  <c r="I205" i="113"/>
  <c r="J204" i="113"/>
  <c r="E203" i="113"/>
  <c r="F202" i="113"/>
  <c r="E201" i="113"/>
  <c r="F200" i="113"/>
  <c r="T198" i="113"/>
  <c r="U197" i="113"/>
  <c r="R196" i="113"/>
  <c r="S195" i="113"/>
  <c r="N194" i="113"/>
  <c r="O193" i="113"/>
  <c r="N192" i="113"/>
  <c r="O191" i="113"/>
  <c r="J175" i="113"/>
  <c r="K174" i="113"/>
  <c r="H173" i="113"/>
  <c r="I172" i="113"/>
  <c r="F171" i="113"/>
  <c r="M170" i="113"/>
  <c r="R169" i="113"/>
  <c r="F169" i="113"/>
  <c r="I168" i="113"/>
  <c r="P167" i="113"/>
  <c r="U166" i="113"/>
  <c r="I166" i="113"/>
  <c r="L165" i="113"/>
  <c r="S164" i="113"/>
  <c r="E164" i="113"/>
  <c r="L163" i="113"/>
  <c r="O162" i="113"/>
  <c r="C162" i="113"/>
  <c r="H161" i="113"/>
  <c r="O160" i="113"/>
  <c r="R159" i="113"/>
  <c r="F159" i="113"/>
  <c r="K158" i="113"/>
  <c r="R157" i="113"/>
  <c r="U156" i="113"/>
  <c r="I156" i="113"/>
  <c r="N155" i="113"/>
  <c r="U154" i="113"/>
  <c r="E154" i="113"/>
  <c r="L153" i="113"/>
  <c r="T152" i="113"/>
  <c r="L152" i="113"/>
  <c r="U151" i="113"/>
  <c r="M151" i="113"/>
  <c r="C151" i="113"/>
  <c r="N150" i="113"/>
  <c r="D150" i="113"/>
  <c r="O149" i="113"/>
  <c r="E149" i="113"/>
  <c r="P148" i="113"/>
  <c r="F148" i="113"/>
  <c r="Q147" i="113"/>
  <c r="G147" i="113"/>
  <c r="R146" i="113"/>
  <c r="H146" i="113"/>
  <c r="S145" i="113"/>
  <c r="I145" i="113"/>
  <c r="T129" i="113"/>
  <c r="J129" i="113"/>
  <c r="U128" i="113"/>
  <c r="K128" i="113"/>
  <c r="C128" i="113"/>
  <c r="L127" i="113"/>
  <c r="D127" i="113"/>
  <c r="M126" i="113"/>
  <c r="E126" i="113"/>
  <c r="N125" i="113"/>
  <c r="F125" i="113"/>
  <c r="O124" i="113"/>
  <c r="G124" i="113"/>
  <c r="P123" i="113"/>
  <c r="H123" i="113"/>
  <c r="Q122" i="113"/>
  <c r="I122" i="113"/>
  <c r="R121" i="113"/>
  <c r="J121" i="113"/>
  <c r="S120" i="113"/>
  <c r="K120" i="113"/>
  <c r="T119" i="113"/>
  <c r="L119" i="113"/>
  <c r="U118" i="113"/>
  <c r="M118" i="113"/>
  <c r="C118" i="113"/>
  <c r="N117" i="113"/>
  <c r="D117" i="113"/>
  <c r="O116" i="113"/>
  <c r="E116" i="113"/>
  <c r="P115" i="113"/>
  <c r="F115" i="113"/>
  <c r="Q114" i="113"/>
  <c r="G114" i="113"/>
  <c r="R113" i="113"/>
  <c r="H113" i="113"/>
  <c r="S112" i="113"/>
  <c r="I112" i="113"/>
  <c r="T111" i="113"/>
  <c r="J111" i="113"/>
  <c r="U110" i="113"/>
  <c r="K110" i="113"/>
  <c r="C110" i="113"/>
  <c r="L109" i="113"/>
  <c r="D109" i="113"/>
  <c r="M108" i="113"/>
  <c r="E108" i="113"/>
  <c r="N107" i="113"/>
  <c r="F107" i="113"/>
  <c r="O106" i="113"/>
  <c r="G106" i="113"/>
  <c r="P105" i="113"/>
  <c r="H105" i="113"/>
  <c r="Q104" i="113"/>
  <c r="I104" i="113"/>
  <c r="R103" i="113"/>
  <c r="J103" i="113"/>
  <c r="S102" i="113"/>
  <c r="K102" i="113"/>
  <c r="T101" i="113"/>
  <c r="L101" i="113"/>
  <c r="U100" i="113"/>
  <c r="M100" i="113"/>
  <c r="C100" i="113"/>
  <c r="N99" i="113"/>
  <c r="D99" i="113"/>
  <c r="O83" i="113"/>
  <c r="E83" i="113"/>
  <c r="P82" i="113"/>
  <c r="F82" i="113"/>
  <c r="Q81" i="113"/>
  <c r="G81" i="113"/>
  <c r="R80" i="113"/>
  <c r="H80" i="113"/>
  <c r="S79" i="113"/>
  <c r="I79" i="113"/>
  <c r="T78" i="113"/>
  <c r="J78" i="113"/>
  <c r="U77" i="113"/>
  <c r="K77" i="113"/>
  <c r="C77" i="113"/>
  <c r="L76" i="113"/>
  <c r="D76" i="113"/>
  <c r="M75" i="113"/>
  <c r="E75" i="113"/>
  <c r="N74" i="113"/>
  <c r="F74" i="113"/>
  <c r="O73" i="113"/>
  <c r="G73" i="113"/>
  <c r="P72" i="113"/>
  <c r="H72" i="113"/>
  <c r="Q71" i="113"/>
  <c r="I71" i="113"/>
  <c r="R70" i="113"/>
  <c r="J70" i="113"/>
  <c r="S69" i="113"/>
  <c r="K69" i="113"/>
  <c r="T68" i="113"/>
  <c r="L68" i="113"/>
  <c r="U67" i="113"/>
  <c r="M67" i="113"/>
  <c r="C67" i="113"/>
  <c r="N66" i="113"/>
  <c r="D66" i="113"/>
  <c r="O65" i="113"/>
  <c r="E65" i="113"/>
  <c r="P64" i="113"/>
  <c r="F64" i="113"/>
  <c r="Q63" i="113"/>
  <c r="G63" i="113"/>
  <c r="R62" i="113"/>
  <c r="H62" i="113"/>
  <c r="S61" i="113"/>
  <c r="I61" i="113"/>
  <c r="T60" i="113"/>
  <c r="J60" i="113"/>
  <c r="U59" i="113"/>
  <c r="K59" i="113"/>
  <c r="C59" i="113"/>
  <c r="L58" i="113"/>
  <c r="D58" i="113"/>
  <c r="M57" i="113"/>
  <c r="E57" i="113"/>
  <c r="N56" i="113"/>
  <c r="F56" i="113"/>
  <c r="O55" i="113"/>
  <c r="G55" i="113"/>
  <c r="P54" i="113"/>
  <c r="H54" i="113"/>
  <c r="Q53" i="113"/>
  <c r="I53" i="113"/>
  <c r="R37" i="113"/>
  <c r="J37" i="113"/>
  <c r="T36" i="113"/>
  <c r="M36" i="113"/>
  <c r="G36" i="113"/>
  <c r="T35" i="113"/>
  <c r="N35" i="113"/>
  <c r="H35" i="113"/>
  <c r="U34" i="113"/>
  <c r="O34" i="113"/>
  <c r="I34" i="113"/>
  <c r="C34" i="113"/>
  <c r="P33" i="113"/>
  <c r="J33" i="113"/>
  <c r="D33" i="113"/>
  <c r="Q32" i="113"/>
  <c r="K32" i="113"/>
  <c r="E32" i="113"/>
  <c r="R31" i="113"/>
  <c r="L31" i="113"/>
  <c r="F31" i="113"/>
  <c r="S30" i="113"/>
  <c r="M30" i="113"/>
  <c r="G30" i="113"/>
  <c r="T29" i="113"/>
  <c r="N29" i="113"/>
  <c r="H29" i="113"/>
  <c r="U28" i="113"/>
  <c r="O28" i="113"/>
  <c r="I28" i="113"/>
  <c r="C28" i="113"/>
  <c r="P27" i="113"/>
  <c r="J27" i="113"/>
  <c r="D27" i="113"/>
  <c r="Q26" i="113"/>
  <c r="K26" i="113"/>
  <c r="E26" i="113"/>
  <c r="R25" i="113"/>
  <c r="L25" i="113"/>
  <c r="F25" i="113"/>
  <c r="S24" i="113"/>
  <c r="M24" i="113"/>
  <c r="G24" i="113"/>
  <c r="T23" i="113"/>
  <c r="N23" i="113"/>
  <c r="H23" i="113"/>
  <c r="U22" i="113"/>
  <c r="O22" i="113"/>
  <c r="I22" i="113"/>
  <c r="C22" i="113"/>
  <c r="P21" i="113"/>
  <c r="J21" i="113"/>
  <c r="D21" i="113"/>
  <c r="Q20" i="113"/>
  <c r="K20" i="113"/>
  <c r="E20" i="113"/>
  <c r="R19" i="113"/>
  <c r="L19" i="113"/>
  <c r="F19" i="113"/>
  <c r="S18" i="113"/>
  <c r="M18" i="113"/>
  <c r="G18" i="113"/>
  <c r="T17" i="113"/>
  <c r="N17" i="113"/>
  <c r="H17" i="113"/>
  <c r="U16" i="113"/>
  <c r="O16" i="113"/>
  <c r="I16" i="113"/>
  <c r="C16" i="113"/>
  <c r="P15" i="113"/>
  <c r="J15" i="113"/>
  <c r="D15" i="113"/>
  <c r="Q14" i="113"/>
  <c r="K14" i="113"/>
  <c r="E14" i="113"/>
  <c r="R13" i="113"/>
  <c r="L13" i="113"/>
  <c r="F13" i="113"/>
  <c r="S12" i="113"/>
  <c r="M12" i="113"/>
  <c r="G12" i="113"/>
  <c r="T11" i="113"/>
  <c r="N11" i="113"/>
  <c r="H11" i="113"/>
  <c r="U10" i="113"/>
  <c r="O10" i="113"/>
  <c r="I10" i="113"/>
  <c r="C10" i="113"/>
  <c r="P9" i="113"/>
  <c r="J9" i="113"/>
  <c r="D9" i="113"/>
  <c r="Q8" i="113"/>
  <c r="K8" i="113"/>
  <c r="E8" i="113"/>
  <c r="R7" i="113"/>
  <c r="L7" i="113"/>
  <c r="F7" i="113"/>
  <c r="J267" i="113"/>
  <c r="N265" i="113"/>
  <c r="I263" i="113"/>
  <c r="P261" i="113"/>
  <c r="R259" i="113"/>
  <c r="C258" i="113"/>
  <c r="Q255" i="113"/>
  <c r="E254" i="113"/>
  <c r="U251" i="113"/>
  <c r="I250" i="113"/>
  <c r="U247" i="113"/>
  <c r="H246" i="113"/>
  <c r="J244" i="113"/>
  <c r="Q242" i="113"/>
  <c r="R240" i="113"/>
  <c r="O239" i="113"/>
  <c r="H238" i="113"/>
  <c r="E237" i="113"/>
  <c r="N220" i="113"/>
  <c r="L219" i="113"/>
  <c r="G218" i="113"/>
  <c r="F217" i="113"/>
  <c r="T215" i="113"/>
  <c r="U214" i="113"/>
  <c r="R213" i="113"/>
  <c r="S212" i="113"/>
  <c r="N211" i="113"/>
  <c r="O210" i="113"/>
  <c r="N209" i="113"/>
  <c r="O208" i="113"/>
  <c r="J207" i="113"/>
  <c r="K206" i="113"/>
  <c r="H205" i="113"/>
  <c r="I204" i="113"/>
  <c r="D203" i="113"/>
  <c r="E202" i="113"/>
  <c r="D201" i="113"/>
  <c r="E200" i="113"/>
  <c r="S198" i="113"/>
  <c r="T197" i="113"/>
  <c r="Q196" i="113"/>
  <c r="R195" i="113"/>
  <c r="M194" i="113"/>
  <c r="N193" i="113"/>
  <c r="M192" i="113"/>
  <c r="N191" i="113"/>
  <c r="I175" i="113"/>
  <c r="J174" i="113"/>
  <c r="G173" i="113"/>
  <c r="H172" i="113"/>
  <c r="E171" i="113"/>
  <c r="L170" i="113"/>
  <c r="Q169" i="113"/>
  <c r="E169" i="113"/>
  <c r="H168" i="113"/>
  <c r="O167" i="113"/>
  <c r="T166" i="113"/>
  <c r="H166" i="113"/>
  <c r="K165" i="113"/>
  <c r="R164" i="113"/>
  <c r="D164" i="113"/>
  <c r="K163" i="113"/>
  <c r="N162" i="113"/>
  <c r="U161" i="113"/>
  <c r="G161" i="113"/>
  <c r="N160" i="113"/>
  <c r="Q159" i="113"/>
  <c r="E159" i="113"/>
  <c r="J158" i="113"/>
  <c r="Q157" i="113"/>
  <c r="T156" i="113"/>
  <c r="H156" i="113"/>
  <c r="M155" i="113"/>
  <c r="T154" i="113"/>
  <c r="D154" i="113"/>
  <c r="K153" i="113"/>
  <c r="S152" i="113"/>
  <c r="K152" i="113"/>
  <c r="T151" i="113"/>
  <c r="L151" i="113"/>
  <c r="U150" i="113"/>
  <c r="M150" i="113"/>
  <c r="C150" i="113"/>
  <c r="N149" i="113"/>
  <c r="D149" i="113"/>
  <c r="O148" i="113"/>
  <c r="E148" i="113"/>
  <c r="P147" i="113"/>
  <c r="F147" i="113"/>
  <c r="Q146" i="113"/>
  <c r="G146" i="113"/>
  <c r="R145" i="113"/>
  <c r="H145" i="113"/>
  <c r="S129" i="113"/>
  <c r="I129" i="113"/>
  <c r="T128" i="113"/>
  <c r="J128" i="113"/>
  <c r="U127" i="113"/>
  <c r="K127" i="113"/>
  <c r="C127" i="113"/>
  <c r="L126" i="113"/>
  <c r="D126" i="113"/>
  <c r="M125" i="113"/>
  <c r="E125" i="113"/>
  <c r="N124" i="113"/>
  <c r="F124" i="113"/>
  <c r="O123" i="113"/>
  <c r="G123" i="113"/>
  <c r="P122" i="113"/>
  <c r="H122" i="113"/>
  <c r="Q121" i="113"/>
  <c r="I121" i="113"/>
  <c r="R120" i="113"/>
  <c r="J120" i="113"/>
  <c r="S119" i="113"/>
  <c r="K119" i="113"/>
  <c r="T118" i="113"/>
  <c r="L118" i="113"/>
  <c r="U117" i="113"/>
  <c r="M117" i="113"/>
  <c r="C117" i="113"/>
  <c r="N116" i="113"/>
  <c r="D116" i="113"/>
  <c r="O115" i="113"/>
  <c r="E115" i="113"/>
  <c r="P114" i="113"/>
  <c r="F114" i="113"/>
  <c r="Q113" i="113"/>
  <c r="G113" i="113"/>
  <c r="R112" i="113"/>
  <c r="H112" i="113"/>
  <c r="S111" i="113"/>
  <c r="I111" i="113"/>
  <c r="T110" i="113"/>
  <c r="J110" i="113"/>
  <c r="U109" i="113"/>
  <c r="K109" i="113"/>
  <c r="C109" i="113"/>
  <c r="L108" i="113"/>
  <c r="D108" i="113"/>
  <c r="M107" i="113"/>
  <c r="E107" i="113"/>
  <c r="N106" i="113"/>
  <c r="F106" i="113"/>
  <c r="O105" i="113"/>
  <c r="G105" i="113"/>
  <c r="P104" i="113"/>
  <c r="H104" i="113"/>
  <c r="Q103" i="113"/>
  <c r="I103" i="113"/>
  <c r="R102" i="113"/>
  <c r="J102" i="113"/>
  <c r="S101" i="113"/>
  <c r="K101" i="113"/>
  <c r="T100" i="113"/>
  <c r="L100" i="113"/>
  <c r="U99" i="113"/>
  <c r="M99" i="113"/>
  <c r="C99" i="113"/>
  <c r="N83" i="113"/>
  <c r="D83" i="113"/>
  <c r="O82" i="113"/>
  <c r="E82" i="113"/>
  <c r="P81" i="113"/>
  <c r="F81" i="113"/>
  <c r="Q80" i="113"/>
  <c r="G80" i="113"/>
  <c r="R79" i="113"/>
  <c r="H79" i="113"/>
  <c r="S78" i="113"/>
  <c r="I78" i="113"/>
  <c r="T77" i="113"/>
  <c r="J77" i="113"/>
  <c r="U76" i="113"/>
  <c r="K76" i="113"/>
  <c r="C76" i="113"/>
  <c r="L75" i="113"/>
  <c r="D75" i="113"/>
  <c r="M74" i="113"/>
  <c r="E74" i="113"/>
  <c r="N73" i="113"/>
  <c r="F73" i="113"/>
  <c r="O72" i="113"/>
  <c r="G72" i="113"/>
  <c r="P71" i="113"/>
  <c r="H71" i="113"/>
  <c r="Q70" i="113"/>
  <c r="I70" i="113"/>
  <c r="R69" i="113"/>
  <c r="J69" i="113"/>
  <c r="S68" i="113"/>
  <c r="K68" i="113"/>
  <c r="T67" i="113"/>
  <c r="L67" i="113"/>
  <c r="U66" i="113"/>
  <c r="M66" i="113"/>
  <c r="C66" i="113"/>
  <c r="N65" i="113"/>
  <c r="D65" i="113"/>
  <c r="O64" i="113"/>
  <c r="E64" i="113"/>
  <c r="P63" i="113"/>
  <c r="F63" i="113"/>
  <c r="Q62" i="113"/>
  <c r="G62" i="113"/>
  <c r="R61" i="113"/>
  <c r="H61" i="113"/>
  <c r="S60" i="113"/>
  <c r="I60" i="113"/>
  <c r="T59" i="113"/>
  <c r="J59" i="113"/>
  <c r="U58" i="113"/>
  <c r="K58" i="113"/>
  <c r="C58" i="113"/>
  <c r="L57" i="113"/>
  <c r="D57" i="113"/>
  <c r="M56" i="113"/>
  <c r="E56" i="113"/>
  <c r="N55" i="113"/>
  <c r="F55" i="113"/>
  <c r="O54" i="113"/>
  <c r="G54" i="113"/>
  <c r="P53" i="113"/>
  <c r="H53" i="113"/>
  <c r="Q37" i="113"/>
  <c r="I37" i="113"/>
  <c r="S36" i="113"/>
  <c r="L36" i="113"/>
  <c r="F36" i="113"/>
  <c r="S35" i="113"/>
  <c r="M35" i="113"/>
  <c r="G35" i="113"/>
  <c r="T34" i="113"/>
  <c r="N34" i="113"/>
  <c r="H34" i="113"/>
  <c r="U33" i="113"/>
  <c r="O33" i="113"/>
  <c r="I33" i="113"/>
  <c r="C33" i="113"/>
  <c r="P32" i="113"/>
  <c r="J32" i="113"/>
  <c r="D32" i="113"/>
  <c r="Q31" i="113"/>
  <c r="K31" i="113"/>
  <c r="E31" i="113"/>
  <c r="R30" i="113"/>
  <c r="L30" i="113"/>
  <c r="F30" i="113"/>
  <c r="S29" i="113"/>
  <c r="M29" i="113"/>
  <c r="G29" i="113"/>
  <c r="T28" i="113"/>
  <c r="N28" i="113"/>
  <c r="H28" i="113"/>
  <c r="U27" i="113"/>
  <c r="O27" i="113"/>
  <c r="I27" i="113"/>
  <c r="C27" i="113"/>
  <c r="P26" i="113"/>
  <c r="J26" i="113"/>
  <c r="D26" i="113"/>
  <c r="Q25" i="113"/>
  <c r="K25" i="113"/>
  <c r="E25" i="113"/>
  <c r="R24" i="113"/>
  <c r="L24" i="113"/>
  <c r="F24" i="113"/>
  <c r="S23" i="113"/>
  <c r="M23" i="113"/>
  <c r="G23" i="113"/>
  <c r="T22" i="113"/>
  <c r="N22" i="113"/>
  <c r="H22" i="113"/>
  <c r="U21" i="113"/>
  <c r="O21" i="113"/>
  <c r="I21" i="113"/>
  <c r="C21" i="113"/>
  <c r="P20" i="113"/>
  <c r="J20" i="113"/>
  <c r="D20" i="113"/>
  <c r="Q19" i="113"/>
  <c r="K19" i="113"/>
  <c r="E19" i="113"/>
  <c r="R18" i="113"/>
  <c r="L18" i="113"/>
  <c r="F18" i="113"/>
  <c r="S17" i="113"/>
  <c r="M17" i="113"/>
  <c r="G17" i="113"/>
  <c r="T16" i="113"/>
  <c r="N16" i="113"/>
  <c r="H16" i="113"/>
  <c r="U15" i="113"/>
  <c r="O15" i="113"/>
  <c r="I15" i="113"/>
  <c r="C15" i="113"/>
  <c r="P14" i="113"/>
  <c r="J14" i="113"/>
  <c r="D14" i="113"/>
  <c r="Q13" i="113"/>
  <c r="K13" i="113"/>
  <c r="E13" i="113"/>
  <c r="R12" i="113"/>
  <c r="L12" i="113"/>
  <c r="F12" i="113"/>
  <c r="S11" i="113"/>
  <c r="M11" i="113"/>
  <c r="G11" i="113"/>
  <c r="T10" i="113"/>
  <c r="N10" i="113"/>
  <c r="H10" i="113"/>
  <c r="U9" i="113"/>
  <c r="O9" i="113"/>
  <c r="I9" i="113"/>
  <c r="C9" i="113"/>
  <c r="P8" i="113"/>
  <c r="J8" i="113"/>
  <c r="D8" i="113"/>
  <c r="Q7" i="113"/>
  <c r="K7" i="113"/>
  <c r="E7" i="113"/>
  <c r="S266" i="113"/>
  <c r="I264" i="113"/>
  <c r="T260" i="113"/>
  <c r="I258" i="113"/>
  <c r="L255" i="113"/>
  <c r="U252" i="113"/>
  <c r="M249" i="113"/>
  <c r="U246" i="113"/>
  <c r="S243" i="113"/>
  <c r="J241" i="113"/>
  <c r="D239" i="113"/>
  <c r="K237" i="113"/>
  <c r="M220" i="113"/>
  <c r="R218" i="113"/>
  <c r="P216" i="113"/>
  <c r="I215" i="113"/>
  <c r="M213" i="113"/>
  <c r="F212" i="113"/>
  <c r="H210" i="113"/>
  <c r="R208" i="113"/>
  <c r="G207" i="113"/>
  <c r="S205" i="113"/>
  <c r="U203" i="113"/>
  <c r="L202" i="113"/>
  <c r="R200" i="113"/>
  <c r="I199" i="113"/>
  <c r="K197" i="113"/>
  <c r="D196" i="113"/>
  <c r="L194" i="113"/>
  <c r="C193" i="113"/>
  <c r="E191" i="113"/>
  <c r="Q174" i="113"/>
  <c r="U172" i="113"/>
  <c r="N171" i="113"/>
  <c r="G170" i="113"/>
  <c r="H169" i="113"/>
  <c r="G168" i="113"/>
  <c r="H167" i="113"/>
  <c r="C166" i="113"/>
  <c r="D165" i="113"/>
  <c r="T163" i="113"/>
  <c r="U162" i="113"/>
  <c r="P161" i="113"/>
  <c r="Q160" i="113"/>
  <c r="P159" i="113"/>
  <c r="Q158" i="113"/>
  <c r="L157" i="113"/>
  <c r="M156" i="113"/>
  <c r="J155" i="113"/>
  <c r="K154" i="113"/>
  <c r="G153" i="113"/>
  <c r="N152" i="113"/>
  <c r="S151" i="113"/>
  <c r="G151" i="113"/>
  <c r="J150" i="113"/>
  <c r="Q149" i="113"/>
  <c r="C149" i="113"/>
  <c r="J148" i="113"/>
  <c r="M147" i="113"/>
  <c r="T146" i="113"/>
  <c r="F146" i="113"/>
  <c r="M145" i="113"/>
  <c r="P129" i="113"/>
  <c r="D129" i="113"/>
  <c r="I128" i="113"/>
  <c r="P127" i="113"/>
  <c r="S126" i="113"/>
  <c r="G126" i="113"/>
  <c r="L125" i="113"/>
  <c r="S124" i="113"/>
  <c r="C124" i="113"/>
  <c r="J123" i="113"/>
  <c r="O122" i="113"/>
  <c r="C122" i="113"/>
  <c r="F121" i="113"/>
  <c r="M120" i="113"/>
  <c r="R119" i="113"/>
  <c r="F119" i="113"/>
  <c r="I118" i="113"/>
  <c r="P117" i="113"/>
  <c r="U116" i="113"/>
  <c r="I116" i="113"/>
  <c r="L115" i="113"/>
  <c r="S114" i="113"/>
  <c r="E114" i="113"/>
  <c r="L113" i="113"/>
  <c r="O112" i="113"/>
  <c r="C112" i="113"/>
  <c r="H111" i="113"/>
  <c r="O110" i="113"/>
  <c r="R109" i="113"/>
  <c r="F109" i="113"/>
  <c r="K108" i="113"/>
  <c r="R107" i="113"/>
  <c r="U106" i="113"/>
  <c r="I106" i="113"/>
  <c r="N105" i="113"/>
  <c r="U104" i="113"/>
  <c r="E104" i="113"/>
  <c r="L103" i="113"/>
  <c r="Q102" i="113"/>
  <c r="E102" i="113"/>
  <c r="H101" i="113"/>
  <c r="O100" i="113"/>
  <c r="T99" i="113"/>
  <c r="H99" i="113"/>
  <c r="K83" i="113"/>
  <c r="R82" i="113"/>
  <c r="D82" i="113"/>
  <c r="K81" i="113"/>
  <c r="N80" i="113"/>
  <c r="U79" i="113"/>
  <c r="G79" i="113"/>
  <c r="N78" i="113"/>
  <c r="Q77" i="113"/>
  <c r="E77" i="113"/>
  <c r="J76" i="113"/>
  <c r="Q75" i="113"/>
  <c r="T74" i="113"/>
  <c r="H74" i="113"/>
  <c r="M73" i="113"/>
  <c r="T72" i="113"/>
  <c r="D72" i="113"/>
  <c r="K71" i="113"/>
  <c r="P70" i="113"/>
  <c r="D70" i="113"/>
  <c r="G69" i="113"/>
  <c r="N68" i="113"/>
  <c r="S67" i="113"/>
  <c r="G67" i="113"/>
  <c r="J66" i="113"/>
  <c r="Q65" i="113"/>
  <c r="C65" i="113"/>
  <c r="J64" i="113"/>
  <c r="M63" i="113"/>
  <c r="T62" i="113"/>
  <c r="F62" i="113"/>
  <c r="M61" i="113"/>
  <c r="P60" i="113"/>
  <c r="D60" i="113"/>
  <c r="I59" i="113"/>
  <c r="P58" i="113"/>
  <c r="S57" i="113"/>
  <c r="G57" i="113"/>
  <c r="L56" i="113"/>
  <c r="S55" i="113"/>
  <c r="C55" i="113"/>
  <c r="J54" i="113"/>
  <c r="O53" i="113"/>
  <c r="C53" i="113"/>
  <c r="F37" i="113"/>
  <c r="P36" i="113"/>
  <c r="E36" i="113"/>
  <c r="P35" i="113"/>
  <c r="F35" i="113"/>
  <c r="Q34" i="113"/>
  <c r="G34" i="113"/>
  <c r="R33" i="113"/>
  <c r="H33" i="113"/>
  <c r="S32" i="113"/>
  <c r="I32" i="113"/>
  <c r="T31" i="113"/>
  <c r="J31" i="113"/>
  <c r="U30" i="113"/>
  <c r="K30" i="113"/>
  <c r="C30" i="113"/>
  <c r="L29" i="113"/>
  <c r="D29" i="113"/>
  <c r="M28" i="113"/>
  <c r="E28" i="113"/>
  <c r="N27" i="113"/>
  <c r="F27" i="113"/>
  <c r="O26" i="113"/>
  <c r="G26" i="113"/>
  <c r="P25" i="113"/>
  <c r="H25" i="113"/>
  <c r="Q24" i="113"/>
  <c r="I24" i="113"/>
  <c r="R23" i="113"/>
  <c r="J23" i="113"/>
  <c r="S22" i="113"/>
  <c r="K22" i="113"/>
  <c r="T21" i="113"/>
  <c r="L21" i="113"/>
  <c r="U20" i="113"/>
  <c r="M20" i="113"/>
  <c r="C20" i="113"/>
  <c r="N19" i="113"/>
  <c r="D19" i="113"/>
  <c r="O18" i="113"/>
  <c r="E18" i="113"/>
  <c r="P17" i="113"/>
  <c r="F17" i="113"/>
  <c r="Q16" i="113"/>
  <c r="G16" i="113"/>
  <c r="R15" i="113"/>
  <c r="H15" i="113"/>
  <c r="S14" i="113"/>
  <c r="I14" i="113"/>
  <c r="T13" i="113"/>
  <c r="J13" i="113"/>
  <c r="U12" i="113"/>
  <c r="K12" i="113"/>
  <c r="C12" i="113"/>
  <c r="L11" i="113"/>
  <c r="D11" i="113"/>
  <c r="M10" i="113"/>
  <c r="E10" i="113"/>
  <c r="N9" i="113"/>
  <c r="F9" i="113"/>
  <c r="O8" i="113"/>
  <c r="G8" i="113"/>
  <c r="P7" i="113"/>
  <c r="H7" i="113"/>
  <c r="Q266" i="113"/>
  <c r="H264" i="113"/>
  <c r="S260" i="113"/>
  <c r="G258" i="113"/>
  <c r="J255" i="113"/>
  <c r="T252" i="113"/>
  <c r="L249" i="113"/>
  <c r="S246" i="113"/>
  <c r="R243" i="113"/>
  <c r="H241" i="113"/>
  <c r="C239" i="113"/>
  <c r="J237" i="113"/>
  <c r="L220" i="113"/>
  <c r="P218" i="113"/>
  <c r="O216" i="113"/>
  <c r="H215" i="113"/>
  <c r="L213" i="113"/>
  <c r="E212" i="113"/>
  <c r="G210" i="113"/>
  <c r="Q208" i="113"/>
  <c r="F207" i="113"/>
  <c r="R205" i="113"/>
  <c r="T203" i="113"/>
  <c r="K202" i="113"/>
  <c r="Q200" i="113"/>
  <c r="H199" i="113"/>
  <c r="J197" i="113"/>
  <c r="C196" i="113"/>
  <c r="K194" i="113"/>
  <c r="U192" i="113"/>
  <c r="D191" i="113"/>
  <c r="P174" i="113"/>
  <c r="T172" i="113"/>
  <c r="M171" i="113"/>
  <c r="F170" i="113"/>
  <c r="G169" i="113"/>
  <c r="F168" i="113"/>
  <c r="G167" i="113"/>
  <c r="U165" i="113"/>
  <c r="C165" i="113"/>
  <c r="S163" i="113"/>
  <c r="T162" i="113"/>
  <c r="O161" i="113"/>
  <c r="P160" i="113"/>
  <c r="O159" i="113"/>
  <c r="P158" i="113"/>
  <c r="K157" i="113"/>
  <c r="L156" i="113"/>
  <c r="I155" i="113"/>
  <c r="J154" i="113"/>
  <c r="F153" i="113"/>
  <c r="M152" i="113"/>
  <c r="R151" i="113"/>
  <c r="F151" i="113"/>
  <c r="I150" i="113"/>
  <c r="P149" i="113"/>
  <c r="U148" i="113"/>
  <c r="I148" i="113"/>
  <c r="L147" i="113"/>
  <c r="S146" i="113"/>
  <c r="E146" i="113"/>
  <c r="L145" i="113"/>
  <c r="O129" i="113"/>
  <c r="C129" i="113"/>
  <c r="H128" i="113"/>
  <c r="O127" i="113"/>
  <c r="R126" i="113"/>
  <c r="F126" i="113"/>
  <c r="K125" i="113"/>
  <c r="R124" i="113"/>
  <c r="U123" i="113"/>
  <c r="I123" i="113"/>
  <c r="N122" i="113"/>
  <c r="U121" i="113"/>
  <c r="E121" i="113"/>
  <c r="L120" i="113"/>
  <c r="Q119" i="113"/>
  <c r="E119" i="113"/>
  <c r="H118" i="113"/>
  <c r="O117" i="113"/>
  <c r="T116" i="113"/>
  <c r="H116" i="113"/>
  <c r="K115" i="113"/>
  <c r="R114" i="113"/>
  <c r="D114" i="113"/>
  <c r="K113" i="113"/>
  <c r="N112" i="113"/>
  <c r="U111" i="113"/>
  <c r="G111" i="113"/>
  <c r="N110" i="113"/>
  <c r="Q109" i="113"/>
  <c r="E109" i="113"/>
  <c r="J108" i="113"/>
  <c r="Q107" i="113"/>
  <c r="T106" i="113"/>
  <c r="H106" i="113"/>
  <c r="M105" i="113"/>
  <c r="T104" i="113"/>
  <c r="D104" i="113"/>
  <c r="K103" i="113"/>
  <c r="P102" i="113"/>
  <c r="D102" i="113"/>
  <c r="G101" i="113"/>
  <c r="N100" i="113"/>
  <c r="S99" i="113"/>
  <c r="G99" i="113"/>
  <c r="J83" i="113"/>
  <c r="Q82" i="113"/>
  <c r="C82" i="113"/>
  <c r="J81" i="113"/>
  <c r="M80" i="113"/>
  <c r="T79" i="113"/>
  <c r="F79" i="113"/>
  <c r="M78" i="113"/>
  <c r="P77" i="113"/>
  <c r="D77" i="113"/>
  <c r="I76" i="113"/>
  <c r="P75" i="113"/>
  <c r="S74" i="113"/>
  <c r="G74" i="113"/>
  <c r="L73" i="113"/>
  <c r="S72" i="113"/>
  <c r="C72" i="113"/>
  <c r="J71" i="113"/>
  <c r="O70" i="113"/>
  <c r="C70" i="113"/>
  <c r="F69" i="113"/>
  <c r="M68" i="113"/>
  <c r="R67" i="113"/>
  <c r="F67" i="113"/>
  <c r="I66" i="113"/>
  <c r="P65" i="113"/>
  <c r="U64" i="113"/>
  <c r="I64" i="113"/>
  <c r="L63" i="113"/>
  <c r="S62" i="113"/>
  <c r="E62" i="113"/>
  <c r="L61" i="113"/>
  <c r="O60" i="113"/>
  <c r="C60" i="113"/>
  <c r="H59" i="113"/>
  <c r="O58" i="113"/>
  <c r="R57" i="113"/>
  <c r="F57" i="113"/>
  <c r="K56" i="113"/>
  <c r="R55" i="113"/>
  <c r="U54" i="113"/>
  <c r="I54" i="113"/>
  <c r="N53" i="113"/>
  <c r="U37" i="113"/>
  <c r="E37" i="113"/>
  <c r="N36" i="113"/>
  <c r="D36" i="113"/>
  <c r="O35" i="113"/>
  <c r="E35" i="113"/>
  <c r="P34" i="113"/>
  <c r="F34" i="113"/>
  <c r="Q33" i="113"/>
  <c r="E266" i="113"/>
  <c r="H263" i="113"/>
  <c r="M260" i="113"/>
  <c r="E257" i="113"/>
  <c r="Q254" i="113"/>
  <c r="K251" i="113"/>
  <c r="D249" i="113"/>
  <c r="O245" i="113"/>
  <c r="T242" i="113"/>
  <c r="N240" i="113"/>
  <c r="U238" i="113"/>
  <c r="P221" i="113"/>
  <c r="T219" i="113"/>
  <c r="T217" i="113"/>
  <c r="J216" i="113"/>
  <c r="L214" i="113"/>
  <c r="E213" i="113"/>
  <c r="M211" i="113"/>
  <c r="D210" i="113"/>
  <c r="F208" i="113"/>
  <c r="R206" i="113"/>
  <c r="C205" i="113"/>
  <c r="O203" i="113"/>
  <c r="Q201" i="113"/>
  <c r="H200" i="113"/>
  <c r="P198" i="113"/>
  <c r="I197" i="113"/>
  <c r="K195" i="113"/>
  <c r="U193" i="113"/>
  <c r="H192" i="113"/>
  <c r="R175" i="113"/>
  <c r="T173" i="113"/>
  <c r="M172" i="113"/>
  <c r="D171" i="113"/>
  <c r="E170" i="113"/>
  <c r="S168" i="113"/>
  <c r="T167" i="113"/>
  <c r="Q166" i="113"/>
  <c r="R165" i="113"/>
  <c r="M164" i="113"/>
  <c r="N163" i="113"/>
  <c r="M162" i="113"/>
  <c r="N161" i="113"/>
  <c r="I160" i="113"/>
  <c r="J159" i="113"/>
  <c r="G158" i="113"/>
  <c r="H157" i="113"/>
  <c r="C156" i="113"/>
  <c r="D155" i="113"/>
  <c r="C154" i="113"/>
  <c r="E153" i="113"/>
  <c r="H152" i="113"/>
  <c r="O151" i="113"/>
  <c r="T150" i="113"/>
  <c r="H150" i="113"/>
  <c r="K149" i="113"/>
  <c r="R148" i="113"/>
  <c r="D148" i="113"/>
  <c r="K147" i="113"/>
  <c r="N146" i="113"/>
  <c r="U145" i="113"/>
  <c r="G145" i="113"/>
  <c r="N129" i="113"/>
  <c r="Q128" i="113"/>
  <c r="E128" i="113"/>
  <c r="J127" i="113"/>
  <c r="Q126" i="113"/>
  <c r="T125" i="113"/>
  <c r="H125" i="113"/>
  <c r="M124" i="113"/>
  <c r="T123" i="113"/>
  <c r="D123" i="113"/>
  <c r="K122" i="113"/>
  <c r="P121" i="113"/>
  <c r="D121" i="113"/>
  <c r="G120" i="113"/>
  <c r="N119" i="113"/>
  <c r="S118" i="113"/>
  <c r="G118" i="113"/>
  <c r="J117" i="113"/>
  <c r="Q116" i="113"/>
  <c r="C116" i="113"/>
  <c r="J115" i="113"/>
  <c r="M114" i="113"/>
  <c r="T113" i="113"/>
  <c r="U265" i="113"/>
  <c r="L260" i="113"/>
  <c r="N254" i="113"/>
  <c r="T248" i="113"/>
  <c r="S242" i="113"/>
  <c r="T238" i="113"/>
  <c r="S219" i="113"/>
  <c r="I216" i="113"/>
  <c r="D213" i="113"/>
  <c r="C210" i="113"/>
  <c r="Q206" i="113"/>
  <c r="N203" i="113"/>
  <c r="G200" i="113"/>
  <c r="H197" i="113"/>
  <c r="T193" i="113"/>
  <c r="Q175" i="113"/>
  <c r="L172" i="113"/>
  <c r="D170" i="113"/>
  <c r="S167" i="113"/>
  <c r="Q165" i="113"/>
  <c r="M163" i="113"/>
  <c r="M161" i="113"/>
  <c r="I159" i="113"/>
  <c r="G157" i="113"/>
  <c r="C155" i="113"/>
  <c r="D153" i="113"/>
  <c r="N151" i="113"/>
  <c r="G150" i="113"/>
  <c r="Q148" i="113"/>
  <c r="J147" i="113"/>
  <c r="T145" i="113"/>
  <c r="M129" i="113"/>
  <c r="D128" i="113"/>
  <c r="P126" i="113"/>
  <c r="G125" i="113"/>
  <c r="S123" i="113"/>
  <c r="J122" i="113"/>
  <c r="C121" i="113"/>
  <c r="M119" i="113"/>
  <c r="F118" i="113"/>
  <c r="P116" i="113"/>
  <c r="I115" i="113"/>
  <c r="S113" i="113"/>
  <c r="T112" i="113"/>
  <c r="O111" i="113"/>
  <c r="P110" i="113"/>
  <c r="O109" i="113"/>
  <c r="P108" i="113"/>
  <c r="K107" i="113"/>
  <c r="L106" i="113"/>
  <c r="I105" i="113"/>
  <c r="J104" i="113"/>
  <c r="E103" i="113"/>
  <c r="F102" i="113"/>
  <c r="E101" i="113"/>
  <c r="F100" i="113"/>
  <c r="T83" i="113"/>
  <c r="U82" i="113"/>
  <c r="R81" i="113"/>
  <c r="S80" i="113"/>
  <c r="N79" i="113"/>
  <c r="O78" i="113"/>
  <c r="N77" i="113"/>
  <c r="O76" i="113"/>
  <c r="J75" i="113"/>
  <c r="K74" i="113"/>
  <c r="H73" i="113"/>
  <c r="I72" i="113"/>
  <c r="D71" i="113"/>
  <c r="E70" i="113"/>
  <c r="D69" i="113"/>
  <c r="E68" i="113"/>
  <c r="S66" i="113"/>
  <c r="T65" i="113"/>
  <c r="Q64" i="113"/>
  <c r="R63" i="113"/>
  <c r="M62" i="113"/>
  <c r="N61" i="113"/>
  <c r="M60" i="113"/>
  <c r="N59" i="113"/>
  <c r="I58" i="113"/>
  <c r="J57" i="113"/>
  <c r="G56" i="113"/>
  <c r="H55" i="113"/>
  <c r="C54" i="113"/>
  <c r="D53" i="113"/>
  <c r="C37" i="113"/>
  <c r="H36" i="113"/>
  <c r="K35" i="113"/>
  <c r="R34" i="113"/>
  <c r="D34" i="113"/>
  <c r="K33" i="113"/>
  <c r="R32" i="113"/>
  <c r="G32" i="113"/>
  <c r="O31" i="113"/>
  <c r="D31" i="113"/>
  <c r="N30" i="113"/>
  <c r="U29" i="113"/>
  <c r="J29" i="113"/>
  <c r="R28" i="113"/>
  <c r="G28" i="113"/>
  <c r="Q27" i="113"/>
  <c r="E27" i="113"/>
  <c r="M26" i="113"/>
  <c r="U25" i="113"/>
  <c r="J25" i="113"/>
  <c r="T24" i="113"/>
  <c r="H24" i="113"/>
  <c r="P23" i="113"/>
  <c r="E23" i="113"/>
  <c r="M22" i="113"/>
  <c r="D22" i="113"/>
  <c r="K21" i="113"/>
  <c r="S20" i="113"/>
  <c r="H20" i="113"/>
  <c r="P19" i="113"/>
  <c r="G19" i="113"/>
  <c r="N18" i="113"/>
  <c r="C18" i="113"/>
  <c r="K17" i="113"/>
  <c r="S16" i="113"/>
  <c r="J16" i="113"/>
  <c r="Q15" i="113"/>
  <c r="F15" i="113"/>
  <c r="N14" i="113"/>
  <c r="C14" i="113"/>
  <c r="M13" i="113"/>
  <c r="T12" i="113"/>
  <c r="I12" i="113"/>
  <c r="Q11" i="113"/>
  <c r="F11" i="113"/>
  <c r="P10" i="113"/>
  <c r="D10" i="113"/>
  <c r="L9" i="113"/>
  <c r="T8" i="113"/>
  <c r="I8" i="113"/>
  <c r="S7" i="113"/>
  <c r="G7" i="113"/>
  <c r="U264" i="113"/>
  <c r="H259" i="113"/>
  <c r="G253" i="113"/>
  <c r="T247" i="113"/>
  <c r="S241" i="113"/>
  <c r="U237" i="113"/>
  <c r="C219" i="113"/>
  <c r="Q215" i="113"/>
  <c r="L212" i="113"/>
  <c r="I209" i="113"/>
  <c r="U205" i="113"/>
  <c r="C203" i="113"/>
  <c r="O199" i="113"/>
  <c r="L196" i="113"/>
  <c r="G193" i="113"/>
  <c r="F175" i="113"/>
  <c r="T171" i="113"/>
  <c r="N169" i="113"/>
  <c r="J167" i="113"/>
  <c r="J165" i="113"/>
  <c r="F163" i="113"/>
  <c r="D161" i="113"/>
  <c r="S158" i="113"/>
  <c r="S156" i="113"/>
  <c r="O154" i="113"/>
  <c r="R152" i="113"/>
  <c r="I151" i="113"/>
  <c r="U149" i="113"/>
  <c r="L148" i="113"/>
  <c r="E147" i="113"/>
  <c r="O145" i="113"/>
  <c r="H129" i="113"/>
  <c r="R127" i="113"/>
  <c r="K126" i="113"/>
  <c r="U124" i="113"/>
  <c r="N123" i="113"/>
  <c r="E122" i="113"/>
  <c r="Q120" i="113"/>
  <c r="H119" i="113"/>
  <c r="T117" i="113"/>
  <c r="K116" i="113"/>
  <c r="D115" i="113"/>
  <c r="N113" i="113"/>
  <c r="M112" i="113"/>
  <c r="N111" i="113"/>
  <c r="I110" i="113"/>
  <c r="J109" i="113"/>
  <c r="G108" i="113"/>
  <c r="H107" i="113"/>
  <c r="C106" i="113"/>
  <c r="D105" i="113"/>
  <c r="C104" i="113"/>
  <c r="D103" i="113"/>
  <c r="R101" i="113"/>
  <c r="S100" i="113"/>
  <c r="P99" i="113"/>
  <c r="Q83" i="113"/>
  <c r="L82" i="113"/>
  <c r="M81" i="113"/>
  <c r="L80" i="113"/>
  <c r="M79" i="113"/>
  <c r="H78" i="113"/>
  <c r="I77" i="113"/>
  <c r="F76" i="113"/>
  <c r="G75" i="113"/>
  <c r="U73" i="113"/>
  <c r="C73" i="113"/>
  <c r="U71" i="113"/>
  <c r="C71" i="113"/>
  <c r="Q69" i="113"/>
  <c r="R68" i="113"/>
  <c r="O67" i="113"/>
  <c r="P66" i="113"/>
  <c r="K65" i="113"/>
  <c r="L64" i="113"/>
  <c r="K63" i="113"/>
  <c r="L62" i="113"/>
  <c r="G61" i="113"/>
  <c r="H60" i="113"/>
  <c r="E59" i="113"/>
  <c r="F58" i="113"/>
  <c r="T56" i="113"/>
  <c r="U55" i="113"/>
  <c r="T54" i="113"/>
  <c r="U53" i="113"/>
  <c r="P37" i="113"/>
  <c r="R36" i="113"/>
  <c r="C36" i="113"/>
  <c r="J35" i="113"/>
  <c r="M34" i="113"/>
  <c r="T33" i="113"/>
  <c r="G33" i="113"/>
  <c r="O32" i="113"/>
  <c r="F32" i="113"/>
  <c r="N31" i="113"/>
  <c r="C31" i="113"/>
  <c r="J30" i="113"/>
  <c r="R29" i="113"/>
  <c r="I29" i="113"/>
  <c r="Q28" i="113"/>
  <c r="F28" i="113"/>
  <c r="M27" i="113"/>
  <c r="U26" i="113"/>
  <c r="L26" i="113"/>
  <c r="T25" i="113"/>
  <c r="I25" i="113"/>
  <c r="P24" i="113"/>
  <c r="E24" i="113"/>
  <c r="O23" i="113"/>
  <c r="D23" i="113"/>
  <c r="L22" i="113"/>
  <c r="S21" i="113"/>
  <c r="H21" i="113"/>
  <c r="R20" i="113"/>
  <c r="G20" i="113"/>
  <c r="O19" i="113"/>
  <c r="C19" i="113"/>
  <c r="K18" i="113"/>
  <c r="U17" i="113"/>
  <c r="J17" i="113"/>
  <c r="R16" i="113"/>
  <c r="F16" i="113"/>
  <c r="N15" i="113"/>
  <c r="E15" i="113"/>
  <c r="M14" i="113"/>
  <c r="U13" i="113"/>
  <c r="I13" i="113"/>
  <c r="Q12" i="113"/>
  <c r="H12" i="113"/>
  <c r="P11" i="113"/>
  <c r="E11" i="113"/>
  <c r="L10" i="113"/>
  <c r="T9" i="113"/>
  <c r="K9" i="113"/>
  <c r="S8" i="113"/>
  <c r="S264" i="113"/>
  <c r="O256" i="113"/>
  <c r="R247" i="113"/>
  <c r="E240" i="113"/>
  <c r="U218" i="113"/>
  <c r="J214" i="113"/>
  <c r="H209" i="113"/>
  <c r="N204" i="113"/>
  <c r="N199" i="113"/>
  <c r="E195" i="113"/>
  <c r="E175" i="113"/>
  <c r="Q170" i="113"/>
  <c r="I167" i="113"/>
  <c r="K164" i="113"/>
  <c r="C161" i="113"/>
  <c r="T157" i="113"/>
  <c r="N154" i="113"/>
  <c r="F152" i="113"/>
  <c r="T149" i="113"/>
  <c r="S147" i="113"/>
  <c r="N145" i="113"/>
  <c r="O128" i="113"/>
  <c r="J126" i="113"/>
  <c r="I124" i="113"/>
  <c r="D122" i="113"/>
  <c r="E120" i="113"/>
  <c r="S117" i="113"/>
  <c r="R115" i="113"/>
  <c r="M113" i="113"/>
  <c r="F112" i="113"/>
  <c r="H110" i="113"/>
  <c r="R108" i="113"/>
  <c r="G107" i="113"/>
  <c r="S105" i="113"/>
  <c r="U103" i="113"/>
  <c r="L102" i="113"/>
  <c r="R100" i="113"/>
  <c r="I99" i="113"/>
  <c r="K82" i="113"/>
  <c r="D81" i="113"/>
  <c r="L79" i="113"/>
  <c r="C78" i="113"/>
  <c r="E76" i="113"/>
  <c r="Q74" i="113"/>
  <c r="U72" i="113"/>
  <c r="N71" i="113"/>
  <c r="P69" i="113"/>
  <c r="G68" i="113"/>
  <c r="O66" i="113"/>
  <c r="H65" i="113"/>
  <c r="J63" i="113"/>
  <c r="T61" i="113"/>
  <c r="G60" i="113"/>
  <c r="Q58" i="113"/>
  <c r="S56" i="113"/>
  <c r="L55" i="113"/>
  <c r="T53" i="113"/>
  <c r="K37" i="113"/>
  <c r="U35" i="113"/>
  <c r="C35" i="113"/>
  <c r="S33" i="113"/>
  <c r="U32" i="113"/>
  <c r="C32" i="113"/>
  <c r="H31" i="113"/>
  <c r="I30" i="113"/>
  <c r="O29" i="113"/>
  <c r="P28" i="113"/>
  <c r="S27" i="113"/>
  <c r="T26" i="113"/>
  <c r="F26" i="113"/>
  <c r="G25" i="113"/>
  <c r="K24" i="113"/>
  <c r="L23" i="113"/>
  <c r="Q22" i="113"/>
  <c r="R21" i="113"/>
  <c r="E21" i="113"/>
  <c r="F20" i="113"/>
  <c r="I19" i="113"/>
  <c r="J18" i="113"/>
  <c r="O17" i="113"/>
  <c r="P16" i="113"/>
  <c r="T15" i="113"/>
  <c r="U14" i="113"/>
  <c r="G14" i="113"/>
  <c r="H13" i="113"/>
  <c r="N12" i="113"/>
  <c r="O11" i="113"/>
  <c r="R10" i="113"/>
  <c r="S9" i="113"/>
  <c r="E9" i="113"/>
  <c r="H8" i="113"/>
  <c r="N7" i="113"/>
  <c r="E263" i="113"/>
  <c r="L256" i="113"/>
  <c r="N245" i="113"/>
  <c r="C240" i="113"/>
  <c r="S217" i="113"/>
  <c r="I214" i="113"/>
  <c r="E208" i="113"/>
  <c r="M204" i="113"/>
  <c r="O198" i="113"/>
  <c r="D195" i="113"/>
  <c r="S173" i="113"/>
  <c r="P170" i="113"/>
  <c r="P166" i="113"/>
  <c r="J164" i="113"/>
  <c r="H160" i="113"/>
  <c r="S157" i="113"/>
  <c r="U153" i="113"/>
  <c r="E152" i="113"/>
  <c r="J149" i="113"/>
  <c r="R147" i="113"/>
  <c r="F145" i="113"/>
  <c r="N128" i="113"/>
  <c r="S125" i="113"/>
  <c r="H124" i="113"/>
  <c r="O121" i="113"/>
  <c r="D120" i="113"/>
  <c r="I117" i="113"/>
  <c r="Q115" i="113"/>
  <c r="F113" i="113"/>
  <c r="P111" i="113"/>
  <c r="E110" i="113"/>
  <c r="Q108" i="113"/>
  <c r="S106" i="113"/>
  <c r="J105" i="113"/>
  <c r="P103" i="113"/>
  <c r="G102" i="113"/>
  <c r="I100" i="113"/>
  <c r="U83" i="113"/>
  <c r="J82" i="113"/>
  <c r="T80" i="113"/>
  <c r="C79" i="113"/>
  <c r="O77" i="113"/>
  <c r="S75" i="113"/>
  <c r="L74" i="113"/>
  <c r="N72" i="113"/>
  <c r="E71" i="113"/>
  <c r="M69" i="113"/>
  <c r="F68" i="113"/>
  <c r="H66" i="113"/>
  <c r="R64" i="113"/>
  <c r="E63" i="113"/>
  <c r="O61" i="113"/>
  <c r="Q59" i="113"/>
  <c r="J58" i="113"/>
  <c r="R56" i="113"/>
  <c r="I55" i="113"/>
  <c r="K53" i="113"/>
  <c r="D37" i="113"/>
  <c r="R35" i="113"/>
  <c r="S34" i="113"/>
  <c r="N33" i="113"/>
  <c r="T32" i="113"/>
  <c r="U31" i="113"/>
  <c r="G31" i="113"/>
  <c r="H30" i="113"/>
  <c r="K29" i="113"/>
  <c r="L28" i="113"/>
  <c r="R27" i="113"/>
  <c r="S26" i="113"/>
  <c r="C26" i="113"/>
  <c r="D25" i="113"/>
  <c r="J24" i="113"/>
  <c r="K23" i="113"/>
  <c r="P22" i="113"/>
  <c r="Q21" i="113"/>
  <c r="T20" i="113"/>
  <c r="U19" i="113"/>
  <c r="H19" i="113"/>
  <c r="I18" i="113"/>
  <c r="L17" i="113"/>
  <c r="M16" i="113"/>
  <c r="S15" i="113"/>
  <c r="T14" i="113"/>
  <c r="F14" i="113"/>
  <c r="G13" i="113"/>
  <c r="J12" i="113"/>
  <c r="K11" i="113"/>
  <c r="Q10" i="113"/>
  <c r="R9" i="113"/>
  <c r="U8" i="113"/>
  <c r="F8" i="113"/>
  <c r="M7" i="113"/>
  <c r="I262" i="113"/>
  <c r="Q250" i="113"/>
  <c r="T237" i="113"/>
  <c r="P215" i="113"/>
  <c r="S207" i="113"/>
  <c r="M201" i="113"/>
  <c r="F193" i="113"/>
  <c r="S171" i="113"/>
  <c r="K166" i="113"/>
  <c r="G162" i="113"/>
  <c r="R156" i="113"/>
  <c r="Q152" i="113"/>
  <c r="I149" i="113"/>
  <c r="L146" i="113"/>
  <c r="Q127" i="113"/>
  <c r="T124" i="113"/>
  <c r="L121" i="113"/>
  <c r="O118" i="113"/>
  <c r="C115" i="113"/>
  <c r="L112" i="113"/>
  <c r="D110" i="113"/>
  <c r="S107" i="113"/>
  <c r="C105" i="113"/>
  <c r="C103" i="113"/>
  <c r="H100" i="113"/>
  <c r="H83" i="113"/>
  <c r="K80" i="113"/>
  <c r="G78" i="113"/>
  <c r="R75" i="113"/>
  <c r="R73" i="113"/>
  <c r="U70" i="113"/>
  <c r="Q68" i="113"/>
  <c r="G66" i="113"/>
  <c r="C64" i="113"/>
  <c r="F61" i="113"/>
  <c r="D59" i="113"/>
  <c r="Q56" i="113"/>
  <c r="M54" i="113"/>
  <c r="Q36" i="113"/>
  <c r="I35" i="113"/>
  <c r="M33" i="113"/>
  <c r="L32" i="113"/>
  <c r="T30" i="113"/>
  <c r="Q29" i="113"/>
  <c r="K28" i="113"/>
  <c r="H27" i="113"/>
  <c r="S25" i="113"/>
  <c r="O24" i="113"/>
  <c r="I23" i="113"/>
  <c r="F22" i="113"/>
  <c r="O20" i="113"/>
  <c r="M19" i="113"/>
  <c r="H18" i="113"/>
  <c r="D17" i="113"/>
  <c r="M15" i="113"/>
  <c r="L14" i="113"/>
  <c r="D13" i="113"/>
  <c r="U11" i="113"/>
  <c r="K10" i="113"/>
  <c r="H9" i="113"/>
  <c r="C8" i="113"/>
  <c r="D7" i="113"/>
  <c r="F262" i="113"/>
  <c r="O250" i="113"/>
  <c r="O221" i="113"/>
  <c r="K214" i="113"/>
  <c r="R207" i="113"/>
  <c r="L201" i="113"/>
  <c r="G192" i="113"/>
  <c r="C171" i="113"/>
  <c r="J166" i="113"/>
  <c r="F162" i="113"/>
  <c r="U155" i="113"/>
  <c r="G152" i="113"/>
  <c r="H149" i="113"/>
  <c r="K146" i="113"/>
  <c r="I127" i="113"/>
  <c r="L124" i="113"/>
  <c r="K121" i="113"/>
  <c r="N118" i="113"/>
  <c r="L114" i="113"/>
  <c r="G112" i="113"/>
  <c r="P109" i="113"/>
  <c r="L107" i="113"/>
  <c r="O104" i="113"/>
  <c r="M102" i="113"/>
  <c r="G100" i="113"/>
  <c r="C83" i="113"/>
  <c r="F80" i="113"/>
  <c r="D78" i="113"/>
  <c r="K75" i="113"/>
  <c r="I73" i="113"/>
  <c r="L70" i="113"/>
  <c r="H68" i="113"/>
  <c r="U65" i="113"/>
  <c r="S63" i="113"/>
  <c r="C61" i="113"/>
  <c r="R58" i="113"/>
  <c r="H56" i="113"/>
  <c r="D54" i="113"/>
  <c r="K36" i="113"/>
  <c r="D35" i="113"/>
  <c r="L33" i="113"/>
  <c r="H32" i="113"/>
  <c r="Q30" i="113"/>
  <c r="P29" i="113"/>
  <c r="J28" i="113"/>
  <c r="G27" i="113"/>
  <c r="O25" i="113"/>
  <c r="N24" i="113"/>
  <c r="F23" i="113"/>
  <c r="E22" i="113"/>
  <c r="N20" i="113"/>
  <c r="J19" i="113"/>
  <c r="D18" i="113"/>
  <c r="C17" i="113"/>
  <c r="L15" i="113"/>
  <c r="H14" i="113"/>
  <c r="C13" i="113"/>
  <c r="R11" i="113"/>
  <c r="J10" i="113"/>
  <c r="G9" i="113"/>
  <c r="U7" i="113"/>
  <c r="C7" i="113"/>
  <c r="F259" i="113"/>
  <c r="H245" i="113"/>
  <c r="I221" i="113"/>
  <c r="K212" i="113"/>
  <c r="T205" i="113"/>
  <c r="H198" i="113"/>
  <c r="Q191" i="113"/>
  <c r="M169" i="113"/>
  <c r="I165" i="113"/>
  <c r="E160" i="113"/>
  <c r="T155" i="113"/>
  <c r="H151" i="113"/>
  <c r="K148" i="113"/>
  <c r="C145" i="113"/>
  <c r="F127" i="113"/>
  <c r="M123" i="113"/>
  <c r="P120" i="113"/>
  <c r="H117" i="113"/>
  <c r="K114" i="113"/>
  <c r="M111" i="113"/>
  <c r="I109" i="113"/>
  <c r="R106" i="113"/>
  <c r="N104" i="113"/>
  <c r="Q101" i="113"/>
  <c r="O99" i="113"/>
  <c r="I82" i="113"/>
  <c r="E80" i="113"/>
  <c r="H77" i="113"/>
  <c r="F75" i="113"/>
  <c r="M72" i="113"/>
  <c r="K70" i="113"/>
  <c r="N67" i="113"/>
  <c r="J65" i="113"/>
  <c r="D63" i="113"/>
  <c r="U60" i="113"/>
  <c r="E58" i="113"/>
  <c r="T55" i="113"/>
  <c r="J53" i="113"/>
  <c r="J36" i="113"/>
  <c r="L34" i="113"/>
  <c r="F33" i="113"/>
  <c r="S31" i="113"/>
  <c r="P30" i="113"/>
  <c r="F29" i="113"/>
  <c r="D28" i="113"/>
  <c r="R26" i="113"/>
  <c r="N25" i="113"/>
  <c r="D24" i="113"/>
  <c r="C23" i="113"/>
  <c r="N21" i="113"/>
  <c r="L20" i="113"/>
  <c r="U18" i="113"/>
  <c r="R17" i="113"/>
  <c r="L16" i="113"/>
  <c r="K15" i="113"/>
  <c r="S13" i="113"/>
  <c r="P12" i="113"/>
  <c r="J11" i="113"/>
  <c r="G10" i="113"/>
  <c r="R8" i="113"/>
  <c r="T7" i="113"/>
  <c r="D257" i="113"/>
  <c r="F253" i="113"/>
  <c r="I217" i="113"/>
  <c r="U202" i="113"/>
  <c r="R173" i="113"/>
  <c r="E163" i="113"/>
  <c r="P153" i="113"/>
  <c r="D147" i="113"/>
  <c r="R125" i="113"/>
  <c r="G119" i="113"/>
  <c r="E113" i="113"/>
  <c r="F108" i="113"/>
  <c r="O103" i="113"/>
  <c r="P83" i="113"/>
  <c r="U78" i="113"/>
  <c r="T73" i="113"/>
  <c r="L69" i="113"/>
  <c r="K64" i="113"/>
  <c r="P59" i="113"/>
  <c r="S54" i="113"/>
  <c r="Q35" i="113"/>
  <c r="N32" i="113"/>
  <c r="E30" i="113"/>
  <c r="L27" i="113"/>
  <c r="C25" i="113"/>
  <c r="J22" i="113"/>
  <c r="T19" i="113"/>
  <c r="I17" i="113"/>
  <c r="R14" i="113"/>
  <c r="E12" i="113"/>
  <c r="Q9" i="113"/>
  <c r="J7" i="113"/>
  <c r="J251" i="113"/>
  <c r="H217" i="113"/>
  <c r="P201" i="113"/>
  <c r="Q173" i="113"/>
  <c r="L162" i="113"/>
  <c r="O153" i="113"/>
  <c r="M146" i="113"/>
  <c r="Q125" i="113"/>
  <c r="R118" i="113"/>
  <c r="U112" i="113"/>
  <c r="T107" i="113"/>
  <c r="F103" i="113"/>
  <c r="I83" i="113"/>
  <c r="P78" i="113"/>
  <c r="S73" i="113"/>
  <c r="E69" i="113"/>
  <c r="D64" i="113"/>
  <c r="O59" i="113"/>
  <c r="N54" i="113"/>
  <c r="L35" i="113"/>
  <c r="M32" i="113"/>
  <c r="D30" i="113"/>
  <c r="K27" i="113"/>
  <c r="U24" i="113"/>
  <c r="G22" i="113"/>
  <c r="S19" i="113"/>
  <c r="E17" i="113"/>
  <c r="O14" i="113"/>
  <c r="D12" i="113"/>
  <c r="M9" i="113"/>
  <c r="I7" i="113"/>
  <c r="E245" i="113"/>
  <c r="L211" i="113"/>
  <c r="G198" i="113"/>
  <c r="R168" i="113"/>
  <c r="D160" i="113"/>
  <c r="S150" i="113"/>
  <c r="U129" i="113"/>
  <c r="C123" i="113"/>
  <c r="G117" i="113"/>
  <c r="D111" i="113"/>
  <c r="M106" i="113"/>
  <c r="N101" i="113"/>
  <c r="S81" i="113"/>
  <c r="R76" i="113"/>
  <c r="J72" i="113"/>
  <c r="I67" i="113"/>
  <c r="N62" i="113"/>
  <c r="Q57" i="113"/>
  <c r="E53" i="113"/>
  <c r="K34" i="113"/>
  <c r="P31" i="113"/>
  <c r="E29" i="113"/>
  <c r="N26" i="113"/>
  <c r="C24" i="113"/>
  <c r="M21" i="113"/>
  <c r="T18" i="113"/>
  <c r="K16" i="113"/>
  <c r="P13" i="113"/>
  <c r="I11" i="113"/>
  <c r="N8" i="113"/>
  <c r="R241" i="113"/>
  <c r="K196" i="113"/>
  <c r="R158" i="113"/>
  <c r="G129" i="113"/>
  <c r="J116" i="113"/>
  <c r="U105" i="113"/>
  <c r="L81" i="113"/>
  <c r="T71" i="113"/>
  <c r="K62" i="113"/>
  <c r="O37" i="113"/>
  <c r="M31" i="113"/>
  <c r="I26" i="113"/>
  <c r="G21" i="113"/>
  <c r="E16" i="113"/>
  <c r="C11" i="113"/>
  <c r="M240" i="113"/>
  <c r="J195" i="113"/>
  <c r="F158" i="113"/>
  <c r="P128" i="113"/>
  <c r="U115" i="113"/>
  <c r="T105" i="113"/>
  <c r="E81" i="113"/>
  <c r="O71" i="113"/>
  <c r="U61" i="113"/>
  <c r="L37" i="113"/>
  <c r="I31" i="113"/>
  <c r="H26" i="113"/>
  <c r="F21" i="113"/>
  <c r="D16" i="113"/>
  <c r="S10" i="113"/>
  <c r="G221" i="113"/>
  <c r="P191" i="113"/>
  <c r="S155" i="113"/>
  <c r="E127" i="113"/>
  <c r="J114" i="113"/>
  <c r="K104" i="113"/>
  <c r="O79" i="113"/>
  <c r="F70" i="113"/>
  <c r="N60" i="113"/>
  <c r="I36" i="113"/>
  <c r="O30" i="113"/>
  <c r="M25" i="113"/>
  <c r="I20" i="113"/>
  <c r="G15" i="113"/>
  <c r="F10" i="113"/>
  <c r="C211" i="113"/>
  <c r="O168" i="113"/>
  <c r="P150" i="113"/>
  <c r="U122" i="113"/>
  <c r="C111" i="113"/>
  <c r="M101" i="113"/>
  <c r="Q76" i="113"/>
  <c r="H67" i="113"/>
  <c r="P57" i="113"/>
  <c r="J34" i="113"/>
  <c r="C29" i="113"/>
  <c r="U23" i="113"/>
  <c r="Q18" i="113"/>
  <c r="O13" i="113"/>
  <c r="M8" i="113"/>
  <c r="U210" i="113"/>
  <c r="T122" i="113"/>
  <c r="P76" i="113"/>
  <c r="E34" i="113"/>
  <c r="P18" i="113"/>
  <c r="U204" i="113"/>
  <c r="F120" i="113"/>
  <c r="R74" i="113"/>
  <c r="E33" i="113"/>
  <c r="Q17" i="113"/>
  <c r="N168" i="113"/>
  <c r="Q110" i="113"/>
  <c r="T66" i="113"/>
  <c r="S28" i="113"/>
  <c r="N13" i="113"/>
  <c r="L164" i="113"/>
  <c r="I65" i="113"/>
  <c r="O12" i="113"/>
  <c r="N88" i="5"/>
  <c r="N89" i="91" s="1"/>
  <c r="O150" i="113"/>
  <c r="K57" i="113"/>
  <c r="L8" i="113"/>
  <c r="C148" i="113"/>
  <c r="M55" i="113"/>
  <c r="O7" i="113"/>
  <c r="S108" i="113"/>
  <c r="T27" i="113"/>
  <c r="E35" i="5"/>
  <c r="E36" i="91" s="1"/>
  <c r="E11" i="91" s="1"/>
  <c r="F91" i="5"/>
  <c r="F92" i="91" s="1"/>
  <c r="M38" i="5"/>
  <c r="M13" i="5" s="1"/>
  <c r="J67" i="5"/>
  <c r="J68" i="91" s="1"/>
  <c r="C125" i="5"/>
  <c r="C126" i="91" s="1"/>
  <c r="H65" i="5"/>
  <c r="H66" i="91" s="1"/>
  <c r="M73" i="5"/>
  <c r="M74" i="91" s="1"/>
  <c r="K39" i="5"/>
  <c r="K14" i="5" s="1"/>
  <c r="D152" i="5"/>
  <c r="D153" i="91" s="1"/>
  <c r="K122" i="5"/>
  <c r="K123" i="91" s="1"/>
  <c r="J145" i="5"/>
  <c r="J146" i="91" s="1"/>
  <c r="P53" i="5"/>
  <c r="P28" i="5" s="1"/>
  <c r="E151" i="5"/>
  <c r="E152" i="91" s="1"/>
  <c r="H91" i="5"/>
  <c r="H92" i="91" s="1"/>
  <c r="N35" i="5"/>
  <c r="N36" i="91" s="1"/>
  <c r="N11" i="91" s="1"/>
  <c r="E152" i="5"/>
  <c r="E153" i="91" s="1"/>
  <c r="N154" i="5"/>
  <c r="N155" i="91" s="1"/>
  <c r="C84" i="5"/>
  <c r="C85" i="91" s="1"/>
  <c r="J43" i="5"/>
  <c r="J18" i="5" s="1"/>
  <c r="D103" i="5"/>
  <c r="D104" i="91" s="1"/>
  <c r="G137" i="5"/>
  <c r="G138" i="91" s="1"/>
  <c r="L154" i="5"/>
  <c r="L155" i="91" s="1"/>
  <c r="P54" i="5"/>
  <c r="P29" i="5" s="1"/>
  <c r="D96" i="5"/>
  <c r="D97" i="91" s="1"/>
  <c r="C38" i="5"/>
  <c r="C13" i="5" s="1"/>
  <c r="M144" i="5"/>
  <c r="M145" i="91" s="1"/>
  <c r="H52" i="5"/>
  <c r="H27" i="5" s="1"/>
  <c r="H47" i="5"/>
  <c r="H48" i="91" s="1"/>
  <c r="H23" i="91" s="1"/>
  <c r="M74" i="5"/>
  <c r="M75" i="91" s="1"/>
  <c r="I143" i="5"/>
  <c r="I144" i="91" s="1"/>
  <c r="G50" i="5"/>
  <c r="G25" i="5" s="1"/>
  <c r="K153" i="5"/>
  <c r="K154" i="91" s="1"/>
  <c r="G63" i="5"/>
  <c r="G64" i="91" s="1"/>
  <c r="P145" i="5"/>
  <c r="P146" i="91" s="1"/>
  <c r="G35" i="5"/>
  <c r="G36" i="91" s="1"/>
  <c r="G11" i="91" s="1"/>
  <c r="L93" i="5"/>
  <c r="L94" i="91" s="1"/>
  <c r="M79" i="5"/>
  <c r="M80" i="91" s="1"/>
  <c r="J99" i="5"/>
  <c r="J100" i="91" s="1"/>
  <c r="P147" i="5"/>
  <c r="P148" i="91" s="1"/>
  <c r="K99" i="5"/>
  <c r="K100" i="91" s="1"/>
  <c r="G48" i="5"/>
  <c r="O136" i="5"/>
  <c r="O137" i="91" s="1"/>
  <c r="M65" i="5"/>
  <c r="M66" i="91" s="1"/>
  <c r="H129" i="5"/>
  <c r="H130" i="91" s="1"/>
  <c r="G165" i="5"/>
  <c r="F55" i="5"/>
  <c r="F56" i="91" s="1"/>
  <c r="F31" i="91" s="1"/>
  <c r="C44" i="5"/>
  <c r="C19" i="5" s="1"/>
  <c r="P140" i="5"/>
  <c r="P141" i="91" s="1"/>
  <c r="L62" i="5"/>
  <c r="L63" i="91" s="1"/>
  <c r="P109" i="5"/>
  <c r="P110" i="91" s="1"/>
  <c r="M124" i="5"/>
  <c r="M125" i="91" s="1"/>
  <c r="L73" i="5"/>
  <c r="L74" i="91" s="1"/>
  <c r="O90" i="5"/>
  <c r="O91" i="91" s="1"/>
  <c r="I42" i="5"/>
  <c r="J164" i="5"/>
  <c r="D141" i="5"/>
  <c r="D142" i="91" s="1"/>
  <c r="F69" i="5"/>
  <c r="F70" i="91" s="1"/>
  <c r="O124" i="5"/>
  <c r="O125" i="91" s="1"/>
  <c r="J144" i="5"/>
  <c r="J145" i="91" s="1"/>
  <c r="G42" i="5"/>
  <c r="G17" i="5" s="1"/>
  <c r="I70" i="5"/>
  <c r="I71" i="91" s="1"/>
  <c r="N45" i="5"/>
  <c r="N46" i="91" s="1"/>
  <c r="N21" i="91" s="1"/>
  <c r="I47" i="5"/>
  <c r="I22" i="5" s="1"/>
  <c r="K117" i="5"/>
  <c r="K118" i="91" s="1"/>
  <c r="N129" i="5"/>
  <c r="N130" i="91" s="1"/>
  <c r="H100" i="5"/>
  <c r="H101" i="91" s="1"/>
  <c r="L126" i="5"/>
  <c r="L127" i="91" s="1"/>
  <c r="K103" i="5"/>
  <c r="K104" i="91" s="1"/>
  <c r="D53" i="5"/>
  <c r="G134" i="5"/>
  <c r="G135" i="91" s="1"/>
  <c r="D135" i="5"/>
  <c r="D136" i="91" s="1"/>
  <c r="N46" i="5"/>
  <c r="N21" i="5" s="1"/>
  <c r="L65" i="5"/>
  <c r="L66" i="91" s="1"/>
  <c r="J102" i="5"/>
  <c r="J103" i="91" s="1"/>
  <c r="G65" i="5"/>
  <c r="G66" i="91" s="1"/>
  <c r="M90" i="5"/>
  <c r="M91" i="91" s="1"/>
  <c r="E79" i="5"/>
  <c r="E80" i="91" s="1"/>
  <c r="H127" i="5"/>
  <c r="H128" i="91" s="1"/>
  <c r="L140" i="5"/>
  <c r="L141" i="91" s="1"/>
  <c r="L141" i="5"/>
  <c r="L142" i="91" s="1"/>
  <c r="L46" i="5"/>
  <c r="N152" i="5"/>
  <c r="N153" i="91" s="1"/>
  <c r="O112" i="5"/>
  <c r="O113" i="91" s="1"/>
  <c r="E59" i="5"/>
  <c r="E60" i="91" s="1"/>
  <c r="O110" i="5"/>
  <c r="O111" i="91" s="1"/>
  <c r="G91" i="5"/>
  <c r="G92" i="91" s="1"/>
  <c r="J48" i="5"/>
  <c r="J49" i="91" s="1"/>
  <c r="J24" i="91" s="1"/>
  <c r="L84" i="5"/>
  <c r="L85" i="91" s="1"/>
  <c r="G87" i="5"/>
  <c r="G88" i="91" s="1"/>
  <c r="E42" i="5"/>
  <c r="J151" i="5"/>
  <c r="J152" i="91" s="1"/>
  <c r="L130" i="5"/>
  <c r="L131" i="91" s="1"/>
  <c r="F51" i="5"/>
  <c r="E139" i="5"/>
  <c r="E140" i="91" s="1"/>
  <c r="P77" i="5"/>
  <c r="P78" i="91" s="1"/>
  <c r="H112" i="5"/>
  <c r="H113" i="91" s="1"/>
  <c r="I52" i="5"/>
  <c r="K136" i="5"/>
  <c r="K137" i="91" s="1"/>
  <c r="P92" i="5"/>
  <c r="P93" i="91" s="1"/>
  <c r="F127" i="5"/>
  <c r="F128" i="91" s="1"/>
  <c r="N95" i="5"/>
  <c r="N96" i="91" s="1"/>
  <c r="I146" i="5"/>
  <c r="I147" i="91" s="1"/>
  <c r="R22" i="113"/>
  <c r="F79" i="5"/>
  <c r="F80" i="91" s="1"/>
  <c r="N151" i="5"/>
  <c r="N152" i="91" s="1"/>
  <c r="D138" i="5"/>
  <c r="D139" i="91" s="1"/>
  <c r="M102" i="5"/>
  <c r="M103" i="91" s="1"/>
  <c r="J124" i="5"/>
  <c r="J125" i="91" s="1"/>
  <c r="L114" i="5"/>
  <c r="L115" i="91" s="1"/>
  <c r="F125" i="5"/>
  <c r="F126" i="91" s="1"/>
  <c r="G153" i="5"/>
  <c r="G154" i="91" s="1"/>
  <c r="K73" i="5"/>
  <c r="K74" i="91" s="1"/>
  <c r="O86" i="5"/>
  <c r="O87" i="91" s="1"/>
  <c r="M100" i="5"/>
  <c r="M101" i="91" s="1"/>
  <c r="D117" i="5"/>
  <c r="D118" i="91" s="1"/>
  <c r="G73" i="5"/>
  <c r="G74" i="91" s="1"/>
  <c r="I80" i="5"/>
  <c r="I81" i="91" s="1"/>
  <c r="C74" i="5"/>
  <c r="C75" i="91" s="1"/>
  <c r="K150" i="5"/>
  <c r="K151" i="91" s="1"/>
  <c r="O45" i="5"/>
  <c r="O46" i="91" s="1"/>
  <c r="O21" i="91" s="1"/>
  <c r="J89" i="5"/>
  <c r="J90" i="91" s="1"/>
  <c r="G55" i="5"/>
  <c r="G30" i="5" s="1"/>
  <c r="G150" i="5"/>
  <c r="G151" i="91" s="1"/>
  <c r="E165" i="5"/>
  <c r="M149" i="5"/>
  <c r="M150" i="91" s="1"/>
  <c r="D105" i="5"/>
  <c r="D106" i="91" s="1"/>
  <c r="H62" i="5"/>
  <c r="H63" i="91" s="1"/>
  <c r="H96" i="5"/>
  <c r="H97" i="91" s="1"/>
  <c r="D74" i="5"/>
  <c r="D75" i="91" s="1"/>
  <c r="F96" i="5"/>
  <c r="F97" i="91" s="1"/>
  <c r="M138" i="5"/>
  <c r="M139" i="91" s="1"/>
  <c r="P80" i="5"/>
  <c r="P81" i="91" s="1"/>
  <c r="F151" i="5"/>
  <c r="F152" i="91" s="1"/>
  <c r="D69" i="5"/>
  <c r="D70" i="91" s="1"/>
  <c r="J111" i="5"/>
  <c r="J112" i="91" s="1"/>
  <c r="D136" i="5"/>
  <c r="D137" i="91" s="1"/>
  <c r="K160" i="91"/>
  <c r="G138" i="5"/>
  <c r="G139" i="91" s="1"/>
  <c r="J63" i="5"/>
  <c r="J64" i="91" s="1"/>
  <c r="J91" i="5"/>
  <c r="J92" i="91" s="1"/>
  <c r="K75" i="5"/>
  <c r="K76" i="91" s="1"/>
  <c r="C45" i="5"/>
  <c r="C46" i="91" s="1"/>
  <c r="C21" i="91" s="1"/>
  <c r="E136" i="5"/>
  <c r="E137" i="91" s="1"/>
  <c r="P98" i="5"/>
  <c r="P99" i="91" s="1"/>
  <c r="J80" i="5"/>
  <c r="J81" i="91" s="1"/>
  <c r="H76" i="5"/>
  <c r="H77" i="91" s="1"/>
  <c r="C120" i="5"/>
  <c r="C121" i="91" s="1"/>
  <c r="I91" i="5"/>
  <c r="I92" i="91" s="1"/>
  <c r="E165" i="91"/>
  <c r="P90" i="5"/>
  <c r="P91" i="91" s="1"/>
  <c r="L144" i="5"/>
  <c r="L145" i="91" s="1"/>
  <c r="M122" i="5"/>
  <c r="M123" i="91" s="1"/>
  <c r="E74" i="5"/>
  <c r="E75" i="91" s="1"/>
  <c r="F60" i="5"/>
  <c r="F61" i="91" s="1"/>
  <c r="C39" i="5"/>
  <c r="C40" i="91" s="1"/>
  <c r="C15" i="91" s="1"/>
  <c r="O35" i="5"/>
  <c r="O36" i="91" s="1"/>
  <c r="O11" i="91" s="1"/>
  <c r="D48" i="5"/>
  <c r="C55" i="5"/>
  <c r="C30" i="5" s="1"/>
  <c r="K90" i="5"/>
  <c r="K91" i="91" s="1"/>
  <c r="G78" i="5"/>
  <c r="G79" i="91" s="1"/>
  <c r="L121" i="5"/>
  <c r="L122" i="91" s="1"/>
  <c r="C70" i="5"/>
  <c r="C71" i="91" s="1"/>
  <c r="H128" i="5"/>
  <c r="H129" i="91" s="1"/>
  <c r="O48" i="5"/>
  <c r="O49" i="91" s="1"/>
  <c r="O24" i="91" s="1"/>
  <c r="H121" i="5"/>
  <c r="H122" i="91" s="1"/>
  <c r="O139" i="5"/>
  <c r="O140" i="91" s="1"/>
  <c r="G97" i="5"/>
  <c r="G98" i="91" s="1"/>
  <c r="P137" i="5"/>
  <c r="P138" i="91" s="1"/>
  <c r="O71" i="5"/>
  <c r="O72" i="91" s="1"/>
  <c r="M34" i="5"/>
  <c r="M35" i="91" s="1"/>
  <c r="M10" i="91" s="1"/>
  <c r="C59" i="5"/>
  <c r="C60" i="91" s="1"/>
  <c r="P151" i="5"/>
  <c r="P152" i="91" s="1"/>
  <c r="M127" i="5"/>
  <c r="M128" i="91" s="1"/>
  <c r="K128" i="5"/>
  <c r="K129" i="91" s="1"/>
  <c r="I150" i="5"/>
  <c r="I151" i="91" s="1"/>
  <c r="D127" i="5"/>
  <c r="D128" i="91" s="1"/>
  <c r="I54" i="5"/>
  <c r="F147" i="5"/>
  <c r="F148" i="91" s="1"/>
  <c r="G122" i="5"/>
  <c r="G123" i="91" s="1"/>
  <c r="L149" i="5"/>
  <c r="L150" i="91" s="1"/>
  <c r="D113" i="5"/>
  <c r="D114" i="91" s="1"/>
  <c r="K116" i="5"/>
  <c r="K117" i="91" s="1"/>
  <c r="O102" i="5"/>
  <c r="O103" i="91" s="1"/>
  <c r="F38" i="5"/>
  <c r="F13" i="5" s="1"/>
  <c r="K89" i="5"/>
  <c r="K90" i="91" s="1"/>
  <c r="O36" i="5"/>
  <c r="O37" i="91" s="1"/>
  <c r="O12" i="91" s="1"/>
  <c r="J140" i="5"/>
  <c r="J141" i="91" s="1"/>
  <c r="P95" i="5"/>
  <c r="P96" i="91" s="1"/>
  <c r="K148" i="5"/>
  <c r="K149" i="91" s="1"/>
  <c r="C54" i="5"/>
  <c r="C55" i="91" s="1"/>
  <c r="C30" i="91" s="1"/>
  <c r="J68" i="5"/>
  <c r="J69" i="91" s="1"/>
  <c r="J61" i="5"/>
  <c r="J62" i="91" s="1"/>
  <c r="F101" i="5"/>
  <c r="F102" i="91" s="1"/>
  <c r="N78" i="5"/>
  <c r="N79" i="91" s="1"/>
  <c r="M50" i="5"/>
  <c r="M25" i="5" s="1"/>
  <c r="E92" i="5"/>
  <c r="E93" i="91" s="1"/>
  <c r="C67" i="5"/>
  <c r="C68" i="91" s="1"/>
  <c r="K151" i="5"/>
  <c r="K152" i="91" s="1"/>
  <c r="F143" i="5"/>
  <c r="F144" i="91" s="1"/>
  <c r="G125" i="5"/>
  <c r="G126" i="91" s="1"/>
  <c r="G127" i="5"/>
  <c r="G128" i="91" s="1"/>
  <c r="I127" i="5"/>
  <c r="I128" i="91" s="1"/>
  <c r="D30" i="61"/>
  <c r="D15" i="61" s="1"/>
  <c r="F85" i="61"/>
  <c r="C45" i="61"/>
  <c r="C116" i="46"/>
  <c r="G150" i="46"/>
  <c r="W72" i="46"/>
  <c r="E59" i="46"/>
  <c r="P27" i="46"/>
  <c r="U94" i="46"/>
  <c r="Z98" i="46"/>
  <c r="U8" i="46"/>
  <c r="L93" i="46"/>
  <c r="N76" i="46"/>
  <c r="Q40" i="46"/>
  <c r="T61" i="46"/>
  <c r="Q143" i="46"/>
  <c r="S117" i="46"/>
  <c r="S56" i="46"/>
  <c r="Z108" i="46"/>
  <c r="U79" i="46"/>
  <c r="P70" i="46"/>
  <c r="Y117" i="46"/>
  <c r="O73" i="46"/>
  <c r="F142" i="46"/>
  <c r="G66" i="46"/>
  <c r="J84" i="46"/>
  <c r="Y100" i="46"/>
  <c r="P68" i="46"/>
  <c r="L15" i="46"/>
  <c r="I153" i="46"/>
  <c r="W134" i="46"/>
  <c r="X28" i="46"/>
  <c r="Z49" i="46"/>
  <c r="R125" i="46"/>
  <c r="U156" i="46"/>
  <c r="L34" i="46"/>
  <c r="X90" i="46"/>
  <c r="V102" i="46"/>
  <c r="P150" i="46"/>
  <c r="S57" i="46"/>
  <c r="Q36" i="46"/>
  <c r="G79" i="46"/>
  <c r="U40" i="46"/>
  <c r="U21" i="46"/>
  <c r="M97" i="46"/>
  <c r="C153" i="46"/>
  <c r="G18" i="46"/>
  <c r="R153" i="46"/>
  <c r="X49" i="46"/>
  <c r="W141" i="46"/>
  <c r="O60" i="46"/>
  <c r="C122" i="46"/>
  <c r="K116" i="46"/>
  <c r="Y24" i="46"/>
  <c r="L155" i="46"/>
  <c r="G32" i="46"/>
  <c r="P56" i="46"/>
  <c r="I36" i="46"/>
  <c r="S144" i="46"/>
  <c r="AA147" i="46"/>
  <c r="T155" i="46"/>
  <c r="K95" i="46"/>
  <c r="N65" i="46"/>
  <c r="L31" i="46"/>
  <c r="Q49" i="46"/>
  <c r="X118" i="46"/>
  <c r="Q51" i="46"/>
  <c r="C29" i="46"/>
  <c r="U146" i="46"/>
  <c r="F90" i="46"/>
  <c r="F16" i="46"/>
  <c r="R67" i="46"/>
  <c r="E29" i="46"/>
  <c r="U17" i="46"/>
  <c r="U157" i="46"/>
  <c r="AA128" i="46"/>
  <c r="I17" i="46"/>
  <c r="W60" i="46"/>
  <c r="D127" i="46"/>
  <c r="P6" i="46"/>
  <c r="F114" i="46"/>
  <c r="Z57" i="46"/>
  <c r="C155" i="46"/>
  <c r="F148" i="46"/>
  <c r="K123" i="46"/>
  <c r="S20" i="46"/>
  <c r="K74" i="46"/>
  <c r="X30" i="46"/>
  <c r="P78" i="46"/>
  <c r="L95" i="46"/>
  <c r="S40" i="46"/>
  <c r="U134" i="46"/>
  <c r="M142" i="46"/>
  <c r="P38" i="46"/>
  <c r="AA79" i="46"/>
  <c r="S19" i="46"/>
  <c r="AA123" i="46"/>
  <c r="J107" i="46"/>
  <c r="G17" i="46"/>
  <c r="T132" i="46"/>
  <c r="E27" i="46"/>
  <c r="O149" i="46"/>
  <c r="U71" i="46"/>
  <c r="I9" i="46"/>
  <c r="W64" i="46"/>
  <c r="F9" i="46"/>
  <c r="L10" i="46"/>
  <c r="K78" i="46"/>
  <c r="D139" i="46"/>
  <c r="P86" i="46"/>
  <c r="R103" i="46"/>
  <c r="G111" i="90"/>
  <c r="F114" i="90"/>
  <c r="I58" i="90"/>
  <c r="O78" i="90"/>
  <c r="E97" i="90"/>
  <c r="D91" i="90"/>
  <c r="M105" i="90"/>
  <c r="L89" i="90"/>
  <c r="L63" i="90"/>
  <c r="H45" i="90"/>
  <c r="H23" i="90" s="1"/>
  <c r="O120" i="90"/>
  <c r="J133" i="90"/>
  <c r="N86" i="90"/>
  <c r="J70" i="90"/>
  <c r="K81" i="90"/>
  <c r="K30" i="90"/>
  <c r="K8" i="90" s="1"/>
  <c r="D132" i="90"/>
  <c r="J112" i="90"/>
  <c r="H103" i="90"/>
  <c r="O98" i="90"/>
  <c r="K136" i="90"/>
  <c r="L113" i="90"/>
  <c r="E60" i="90"/>
  <c r="O80" i="90"/>
  <c r="E134" i="90"/>
  <c r="I66" i="90"/>
  <c r="D59" i="90"/>
  <c r="C127" i="90"/>
  <c r="J121" i="90"/>
  <c r="H90" i="90"/>
  <c r="D67" i="90"/>
  <c r="H74" i="90"/>
  <c r="H59" i="90"/>
  <c r="J100" i="90"/>
  <c r="J40" i="90"/>
  <c r="J18" i="90" s="1"/>
  <c r="G67" i="90"/>
  <c r="M62" i="90"/>
  <c r="G61" i="90"/>
  <c r="I56" i="90"/>
  <c r="O62" i="90"/>
  <c r="L105" i="90"/>
  <c r="M81" i="90"/>
  <c r="E54" i="90"/>
  <c r="D128" i="90"/>
  <c r="O45" i="90"/>
  <c r="O23" i="90" s="1"/>
  <c r="C41" i="90"/>
  <c r="C19" i="90" s="1"/>
  <c r="L38" i="90"/>
  <c r="L16" i="90" s="1"/>
  <c r="O122" i="90"/>
  <c r="H88" i="90"/>
  <c r="K47" i="90"/>
  <c r="K25" i="90" s="1"/>
  <c r="E96" i="90"/>
  <c r="H32" i="90"/>
  <c r="H10" i="90" s="1"/>
  <c r="L77" i="90"/>
  <c r="L135" i="90"/>
  <c r="G112" i="90"/>
  <c r="J77" i="90"/>
  <c r="K125" i="90"/>
  <c r="L130" i="90"/>
  <c r="C39" i="90"/>
  <c r="C17" i="90" s="1"/>
  <c r="L106" i="90"/>
  <c r="F91" i="90"/>
  <c r="E57" i="90"/>
  <c r="H40" i="90"/>
  <c r="H18" i="90" s="1"/>
  <c r="K74" i="90"/>
  <c r="M82" i="90"/>
  <c r="F45" i="90"/>
  <c r="F23" i="90" s="1"/>
  <c r="N121" i="90"/>
  <c r="J56" i="90"/>
  <c r="D81" i="90"/>
  <c r="H92" i="90"/>
  <c r="C79" i="90"/>
  <c r="O31" i="90"/>
  <c r="O9" i="90" s="1"/>
  <c r="N80" i="90"/>
  <c r="C18" i="21"/>
  <c r="D21" i="21"/>
  <c r="K28" i="21"/>
  <c r="K16" i="21"/>
  <c r="K18" i="21"/>
  <c r="C28" i="21"/>
  <c r="K23" i="21"/>
  <c r="G15" i="21"/>
  <c r="G18" i="21"/>
  <c r="K23" i="102"/>
  <c r="D16" i="102"/>
  <c r="P16" i="102"/>
  <c r="W50" i="102"/>
  <c r="C13" i="102"/>
  <c r="C43" i="102"/>
  <c r="M156" i="102"/>
  <c r="Y138" i="102"/>
  <c r="I153" i="102"/>
  <c r="V133" i="102"/>
  <c r="V112" i="102"/>
  <c r="J95" i="102"/>
  <c r="G156" i="102"/>
  <c r="R137" i="102"/>
  <c r="E117" i="102"/>
  <c r="M100" i="102"/>
  <c r="D81" i="102"/>
  <c r="D66" i="102"/>
  <c r="D51" i="102"/>
  <c r="O154" i="102"/>
  <c r="Z135" i="102"/>
  <c r="P160" i="102"/>
  <c r="M137" i="102"/>
  <c r="K113" i="102"/>
  <c r="V94" i="102"/>
  <c r="K74" i="102"/>
  <c r="S57" i="102"/>
  <c r="J38" i="102"/>
  <c r="J23" i="102"/>
  <c r="X159" i="102"/>
  <c r="T136" i="102"/>
  <c r="L141" i="102"/>
  <c r="P113" i="102"/>
  <c r="T151" i="102"/>
  <c r="J121" i="102"/>
  <c r="K100" i="102"/>
  <c r="N77" i="102"/>
  <c r="T156" i="102"/>
  <c r="O119" i="102"/>
  <c r="O94" i="102"/>
  <c r="E70" i="102"/>
  <c r="X50" i="102"/>
  <c r="O30" i="102"/>
  <c r="L134" i="102"/>
  <c r="M103" i="102"/>
  <c r="C78" i="102"/>
  <c r="Z57" i="102"/>
  <c r="C160" i="102"/>
  <c r="F115" i="102"/>
  <c r="K82" i="102"/>
  <c r="C61" i="102"/>
  <c r="O46" i="102"/>
  <c r="W35" i="102"/>
  <c r="S26" i="102"/>
  <c r="V154" i="102"/>
  <c r="E132" i="102"/>
  <c r="Q111" i="102"/>
  <c r="E96" i="102"/>
  <c r="K79" i="102"/>
  <c r="M66" i="102"/>
  <c r="Q54" i="102"/>
  <c r="D40" i="102"/>
  <c r="R30" i="102"/>
  <c r="Z21" i="102"/>
  <c r="R13" i="102"/>
  <c r="S144" i="102"/>
  <c r="O116" i="102"/>
  <c r="V96" i="102"/>
  <c r="V76" i="102"/>
  <c r="X60" i="102"/>
  <c r="O43" i="102"/>
  <c r="E31" i="102"/>
  <c r="O20" i="102"/>
  <c r="I11" i="102"/>
  <c r="I138" i="102"/>
  <c r="X111" i="102"/>
  <c r="W92" i="102"/>
  <c r="H73" i="102"/>
  <c r="R57" i="102"/>
  <c r="J40" i="102"/>
  <c r="N28" i="102"/>
  <c r="M18" i="102"/>
  <c r="L158" i="102"/>
  <c r="N130" i="102"/>
  <c r="C106" i="102"/>
  <c r="W84" i="102"/>
  <c r="Q68" i="102"/>
  <c r="R53" i="102"/>
  <c r="U36" i="102"/>
  <c r="N25" i="102"/>
  <c r="I15" i="102"/>
  <c r="G143" i="102"/>
  <c r="U106" i="102"/>
  <c r="I78" i="102"/>
  <c r="Z55" i="102"/>
  <c r="X33" i="102"/>
  <c r="R18" i="102"/>
  <c r="C50" i="102"/>
  <c r="D14" i="102"/>
  <c r="T81" i="102"/>
  <c r="R45" i="102"/>
  <c r="Q32" i="102"/>
  <c r="K21" i="102"/>
  <c r="D11" i="102"/>
  <c r="I124" i="102"/>
  <c r="I101" i="102"/>
  <c r="V77" i="102"/>
  <c r="I60" i="102"/>
  <c r="J42" i="102"/>
  <c r="T30" i="102"/>
  <c r="G22" i="102"/>
  <c r="C11" i="102"/>
  <c r="U148" i="102"/>
  <c r="K135" i="102"/>
  <c r="N120" i="102"/>
  <c r="M110" i="102"/>
  <c r="G94" i="102"/>
  <c r="Q72" i="102"/>
  <c r="P55" i="102"/>
  <c r="E37" i="102"/>
  <c r="Y26" i="102"/>
  <c r="U16" i="102"/>
  <c r="E124" i="102"/>
  <c r="H104" i="102"/>
  <c r="O82" i="102"/>
  <c r="V151" i="102"/>
  <c r="T138" i="102"/>
  <c r="Z122" i="102"/>
  <c r="T112" i="102"/>
  <c r="K103" i="102"/>
  <c r="P94" i="102"/>
  <c r="K83" i="102"/>
  <c r="O75" i="102"/>
  <c r="D68" i="102"/>
  <c r="O60" i="102"/>
  <c r="Q53" i="102"/>
  <c r="T43" i="102"/>
  <c r="I37" i="102"/>
  <c r="Y31" i="102"/>
  <c r="M26" i="102"/>
  <c r="Q21" i="102"/>
  <c r="F17" i="102"/>
  <c r="R12" i="102"/>
  <c r="V153" i="102"/>
  <c r="L140" i="102"/>
  <c r="M124" i="102"/>
  <c r="O114" i="102"/>
  <c r="T104" i="102"/>
  <c r="C96" i="102"/>
  <c r="J84" i="102"/>
  <c r="R76" i="102"/>
  <c r="Q67" i="102"/>
  <c r="C57" i="102"/>
  <c r="M41" i="102"/>
  <c r="Y28" i="102"/>
  <c r="M93" i="102"/>
  <c r="W90" i="102"/>
  <c r="N63" i="102"/>
  <c r="Y153" i="102"/>
  <c r="Y133" i="102"/>
  <c r="N150" i="102"/>
  <c r="D131" i="102"/>
  <c r="J110" i="102"/>
  <c r="V92" i="102"/>
  <c r="D153" i="102"/>
  <c r="P134" i="102"/>
  <c r="J114" i="102"/>
  <c r="R97" i="102"/>
  <c r="P78" i="102"/>
  <c r="P63" i="102"/>
  <c r="P45" i="102"/>
  <c r="N151" i="102"/>
  <c r="Y132" i="102"/>
  <c r="U156" i="102"/>
  <c r="R133" i="102"/>
  <c r="I110" i="102"/>
  <c r="U91" i="102"/>
  <c r="Q71" i="102"/>
  <c r="Y54" i="102"/>
  <c r="V35" i="102"/>
  <c r="V20" i="102"/>
  <c r="Y155" i="102"/>
  <c r="V132" i="102"/>
  <c r="N136" i="102"/>
  <c r="E110" i="102"/>
  <c r="X146" i="102"/>
  <c r="O117" i="102"/>
  <c r="Y96" i="102"/>
  <c r="M74" i="102"/>
  <c r="R150" i="102"/>
  <c r="C115" i="102"/>
  <c r="R90" i="102"/>
  <c r="T66" i="102"/>
  <c r="V44" i="102"/>
  <c r="T27" i="102"/>
  <c r="R128" i="102"/>
  <c r="L99" i="102"/>
  <c r="Q74" i="102"/>
  <c r="X54" i="102"/>
  <c r="J152" i="102"/>
  <c r="V109" i="102"/>
  <c r="Y77" i="102"/>
  <c r="W57" i="102"/>
  <c r="J43" i="102"/>
  <c r="H33" i="102"/>
  <c r="K24" i="102"/>
  <c r="N148" i="102"/>
  <c r="T123" i="102"/>
  <c r="D107" i="102"/>
  <c r="G92" i="102"/>
  <c r="V75" i="102"/>
  <c r="Y62" i="102"/>
  <c r="K51" i="102"/>
  <c r="J37" i="102"/>
  <c r="D28" i="102"/>
  <c r="S19" i="102"/>
  <c r="K11" i="102"/>
  <c r="X136" i="102"/>
  <c r="Y110" i="102"/>
  <c r="C92" i="102"/>
  <c r="N72" i="102"/>
  <c r="Y56" i="102"/>
  <c r="R39" i="102"/>
  <c r="Y27" i="102"/>
  <c r="Z17" i="102"/>
  <c r="W158" i="102"/>
  <c r="R130" i="102"/>
  <c r="K106" i="102"/>
  <c r="X84" i="102"/>
  <c r="U68" i="102"/>
  <c r="S53" i="102"/>
  <c r="X36" i="102"/>
  <c r="O25" i="102"/>
  <c r="W15" i="102"/>
  <c r="S150" i="102"/>
  <c r="D121" i="102"/>
  <c r="R100" i="102"/>
  <c r="I80" i="102"/>
  <c r="F64" i="102"/>
  <c r="Q46" i="102"/>
  <c r="P33" i="102"/>
  <c r="Q22" i="102"/>
  <c r="S12" i="102"/>
  <c r="U131" i="102"/>
  <c r="F99" i="102"/>
  <c r="Y71" i="102"/>
  <c r="G50" i="102"/>
  <c r="J29" i="102"/>
  <c r="C15" i="102"/>
  <c r="M36" i="102"/>
  <c r="V135" i="102"/>
  <c r="Y64" i="102"/>
  <c r="P43" i="102"/>
  <c r="U30" i="102"/>
  <c r="G19" i="102"/>
  <c r="Q162" i="102"/>
  <c r="O120" i="102"/>
  <c r="L98" i="102"/>
  <c r="K75" i="102"/>
  <c r="Y57" i="102"/>
  <c r="Y39" i="102"/>
  <c r="W28" i="102"/>
  <c r="R20" i="102"/>
  <c r="Q159" i="102"/>
  <c r="R146" i="102"/>
  <c r="W132" i="102"/>
  <c r="Z118" i="102"/>
  <c r="E109" i="102"/>
  <c r="J91" i="102"/>
  <c r="Y69" i="102"/>
  <c r="W51" i="102"/>
  <c r="G35" i="102"/>
  <c r="O24" i="102"/>
  <c r="R14" i="102"/>
  <c r="M120" i="102"/>
  <c r="R99" i="102"/>
  <c r="X162" i="102"/>
  <c r="T149" i="102"/>
  <c r="G136" i="102"/>
  <c r="L121" i="102"/>
  <c r="G111" i="102"/>
  <c r="R101" i="102"/>
  <c r="K93" i="102"/>
  <c r="W81" i="102"/>
  <c r="I74" i="102"/>
  <c r="R66" i="102"/>
  <c r="M59" i="102"/>
  <c r="N52" i="102"/>
  <c r="M42" i="102"/>
  <c r="N36" i="102"/>
  <c r="X30" i="102"/>
  <c r="R25" i="102"/>
  <c r="U20" i="102"/>
  <c r="N16" i="102"/>
  <c r="Z11" i="102"/>
  <c r="S151" i="102"/>
  <c r="W137" i="102"/>
  <c r="Y122" i="102"/>
  <c r="R112" i="102"/>
  <c r="F103" i="102"/>
  <c r="M94" i="102"/>
  <c r="I83" i="102"/>
  <c r="H74" i="102"/>
  <c r="L66" i="102"/>
  <c r="T55" i="102"/>
  <c r="G39" i="102"/>
  <c r="G27" i="102"/>
  <c r="F54" i="102"/>
  <c r="M161" i="102"/>
  <c r="M131" i="102"/>
  <c r="F142" i="102"/>
  <c r="V107" i="102"/>
  <c r="K162" i="102"/>
  <c r="N131" i="102"/>
  <c r="Z105" i="102"/>
  <c r="D76" i="102"/>
  <c r="D56" i="102"/>
  <c r="K148" i="102"/>
  <c r="G121" i="102"/>
  <c r="T129" i="102"/>
  <c r="C101" i="102"/>
  <c r="V68" i="102"/>
  <c r="Q43" i="102"/>
  <c r="J18" i="102"/>
  <c r="M144" i="102"/>
  <c r="T131" i="102"/>
  <c r="L161" i="102"/>
  <c r="E114" i="102"/>
  <c r="S83" i="102"/>
  <c r="R144" i="102"/>
  <c r="G102" i="102"/>
  <c r="J63" i="102"/>
  <c r="D36" i="102"/>
  <c r="Y120" i="102"/>
  <c r="C85" i="102"/>
  <c r="V51" i="102"/>
  <c r="C130" i="102"/>
  <c r="T73" i="102"/>
  <c r="J53" i="102"/>
  <c r="T32" i="102"/>
  <c r="J162" i="102"/>
  <c r="W122" i="102"/>
  <c r="Z100" i="102"/>
  <c r="D75" i="102"/>
  <c r="L58" i="102"/>
  <c r="V36" i="102"/>
  <c r="U24" i="102"/>
  <c r="L163" i="102"/>
  <c r="S123" i="102"/>
  <c r="Z90" i="102"/>
  <c r="H66" i="102"/>
  <c r="X38" i="102"/>
  <c r="V23" i="102"/>
  <c r="C157" i="102"/>
  <c r="O118" i="102"/>
  <c r="Y83" i="102"/>
  <c r="O62" i="102"/>
  <c r="G36" i="102"/>
  <c r="N21" i="102"/>
  <c r="F149" i="102"/>
  <c r="X112" i="102"/>
  <c r="J79" i="102"/>
  <c r="K58" i="102"/>
  <c r="Z32" i="102"/>
  <c r="L18" i="102"/>
  <c r="X129" i="102"/>
  <c r="H89" i="102"/>
  <c r="F46" i="102"/>
  <c r="I23" i="102"/>
  <c r="O34" i="102"/>
  <c r="S104" i="102"/>
  <c r="H41" i="102"/>
  <c r="R24" i="102"/>
  <c r="S146" i="102"/>
  <c r="Q107" i="102"/>
  <c r="R72" i="102"/>
  <c r="Z50" i="102"/>
  <c r="Z27" i="102"/>
  <c r="N15" i="102"/>
  <c r="E144" i="102"/>
  <c r="G124" i="102"/>
  <c r="W105" i="102"/>
  <c r="C80" i="102"/>
  <c r="U46" i="102"/>
  <c r="Q30" i="102"/>
  <c r="E13" i="102"/>
  <c r="L110" i="102"/>
  <c r="X160" i="102"/>
  <c r="U142" i="102"/>
  <c r="I119" i="102"/>
  <c r="Q106" i="102"/>
  <c r="S91" i="102"/>
  <c r="H78" i="102"/>
  <c r="L65" i="102"/>
  <c r="U55" i="102"/>
  <c r="N41" i="102"/>
  <c r="W33" i="102"/>
  <c r="T24" i="102"/>
  <c r="Q18" i="102"/>
  <c r="J11" i="102"/>
  <c r="C145" i="102"/>
  <c r="Z120" i="102"/>
  <c r="Z107" i="102"/>
  <c r="I93" i="102"/>
  <c r="F79" i="102"/>
  <c r="Y63" i="102"/>
  <c r="D46" i="102"/>
  <c r="Q25" i="102"/>
  <c r="E17" i="102"/>
  <c r="T162" i="102"/>
  <c r="T146" i="102"/>
  <c r="P120" i="102"/>
  <c r="E103" i="102"/>
  <c r="P85" i="102"/>
  <c r="R71" i="102"/>
  <c r="J60" i="102"/>
  <c r="R44" i="102"/>
  <c r="N33" i="102"/>
  <c r="Y23" i="102"/>
  <c r="P15" i="102"/>
  <c r="W155" i="102"/>
  <c r="U137" i="102"/>
  <c r="V113" i="102"/>
  <c r="H97" i="102"/>
  <c r="G80" i="102"/>
  <c r="J66" i="102"/>
  <c r="I54" i="102"/>
  <c r="D39" i="102"/>
  <c r="Z26" i="102"/>
  <c r="R17" i="102"/>
  <c r="E162" i="102"/>
  <c r="R92" i="102"/>
  <c r="G75" i="102"/>
  <c r="H62" i="102"/>
  <c r="Y50" i="102"/>
  <c r="C36" i="102"/>
  <c r="J25" i="102"/>
  <c r="E16" i="102"/>
  <c r="H155" i="102"/>
  <c r="V141" i="102"/>
  <c r="F122" i="102"/>
  <c r="M102" i="102"/>
  <c r="V83" i="102"/>
  <c r="W18" i="102"/>
  <c r="K31" i="102"/>
  <c r="M46" i="102"/>
  <c r="E67" i="102"/>
  <c r="F92" i="102"/>
  <c r="F123" i="102"/>
  <c r="Y136" i="102"/>
  <c r="N14" i="102"/>
  <c r="R38" i="102"/>
  <c r="Y158" i="102"/>
  <c r="Y128" i="102"/>
  <c r="Q136" i="102"/>
  <c r="V102" i="102"/>
  <c r="H159" i="102"/>
  <c r="M128" i="102"/>
  <c r="G103" i="102"/>
  <c r="P73" i="102"/>
  <c r="P53" i="102"/>
  <c r="I145" i="102"/>
  <c r="L118" i="102"/>
  <c r="G123" i="102"/>
  <c r="Y97" i="102"/>
  <c r="C66" i="102"/>
  <c r="V40" i="102"/>
  <c r="V15" i="102"/>
  <c r="O140" i="102"/>
  <c r="Q124" i="102"/>
  <c r="N156" i="102"/>
  <c r="R110" i="102"/>
  <c r="P80" i="102"/>
  <c r="N138" i="102"/>
  <c r="J98" i="102"/>
  <c r="F60" i="102"/>
  <c r="I33" i="102"/>
  <c r="I116" i="102"/>
  <c r="M81" i="102"/>
  <c r="T45" i="102"/>
  <c r="W120" i="102"/>
  <c r="M69" i="102"/>
  <c r="E50" i="102"/>
  <c r="G30" i="102"/>
  <c r="Z155" i="102"/>
  <c r="U117" i="102"/>
  <c r="C97" i="102"/>
  <c r="O71" i="102"/>
  <c r="G55" i="102"/>
  <c r="I34" i="102"/>
  <c r="M22" i="102"/>
  <c r="T155" i="102"/>
  <c r="M117" i="102"/>
  <c r="D83" i="102"/>
  <c r="V61" i="102"/>
  <c r="R35" i="102"/>
  <c r="C21" i="102"/>
  <c r="G149" i="102"/>
  <c r="D113" i="102"/>
  <c r="O79" i="102"/>
  <c r="O58" i="102"/>
  <c r="C33" i="102"/>
  <c r="Y18" i="102"/>
  <c r="E141" i="102"/>
  <c r="M107" i="102"/>
  <c r="X74" i="102"/>
  <c r="J54" i="102"/>
  <c r="U29" i="102"/>
  <c r="U15" i="102"/>
  <c r="Y117" i="102"/>
  <c r="R79" i="102"/>
  <c r="N40" i="102"/>
  <c r="K19" i="102"/>
  <c r="L26" i="102"/>
  <c r="I84" i="102"/>
  <c r="E39" i="102"/>
  <c r="C23" i="102"/>
  <c r="C142" i="102"/>
  <c r="P104" i="102"/>
  <c r="Y68" i="102"/>
  <c r="Q44" i="102"/>
  <c r="J26" i="102"/>
  <c r="F13" i="102"/>
  <c r="Y141" i="102"/>
  <c r="H122" i="102"/>
  <c r="J104" i="102"/>
  <c r="I76" i="102"/>
  <c r="M44" i="102"/>
  <c r="V28" i="102"/>
  <c r="Q11" i="102"/>
  <c r="J107" i="102"/>
  <c r="J158" i="102"/>
  <c r="V140" i="102"/>
  <c r="S117" i="102"/>
  <c r="U104" i="102"/>
  <c r="L90" i="102"/>
  <c r="Y76" i="102"/>
  <c r="C64" i="102"/>
  <c r="U54" i="102"/>
  <c r="M40" i="102"/>
  <c r="U32" i="102"/>
  <c r="C24" i="102"/>
  <c r="U17" i="102"/>
  <c r="V162" i="102"/>
  <c r="R142" i="102"/>
  <c r="G119" i="102"/>
  <c r="O106" i="102"/>
  <c r="Q91" i="102"/>
  <c r="E78" i="102"/>
  <c r="U62" i="102"/>
  <c r="R43" i="102"/>
  <c r="Z23" i="102"/>
  <c r="Q15" i="102"/>
  <c r="Z157" i="102"/>
  <c r="M142" i="102"/>
  <c r="I117" i="102"/>
  <c r="D100" i="102"/>
  <c r="W82" i="102"/>
  <c r="I70" i="102"/>
  <c r="Y58" i="102"/>
  <c r="K42" i="102"/>
  <c r="P31" i="102"/>
  <c r="H22" i="102"/>
  <c r="C14" i="102"/>
  <c r="G153" i="102"/>
  <c r="D133" i="102"/>
  <c r="Z110" i="102"/>
  <c r="P95" i="102"/>
  <c r="Y78" i="102"/>
  <c r="W64" i="102"/>
  <c r="H52" i="102"/>
  <c r="F37" i="102"/>
  <c r="Q24" i="102"/>
  <c r="F16" i="102"/>
  <c r="P107" i="102"/>
  <c r="R89" i="102"/>
  <c r="U73" i="102"/>
  <c r="Y59" i="102"/>
  <c r="O45" i="102"/>
  <c r="E34" i="102"/>
  <c r="Q23" i="102"/>
  <c r="M15" i="102"/>
  <c r="C153" i="102"/>
  <c r="H139" i="102"/>
  <c r="J118" i="102"/>
  <c r="G101" i="102"/>
  <c r="K81" i="102"/>
  <c r="X20" i="102"/>
  <c r="Y33" i="102"/>
  <c r="P52" i="102"/>
  <c r="U70" i="102"/>
  <c r="O96" i="102"/>
  <c r="R132" i="102"/>
  <c r="R145" i="102"/>
  <c r="T16" i="102"/>
  <c r="Y148" i="102"/>
  <c r="Q161" i="102"/>
  <c r="J128" i="102"/>
  <c r="J100" i="102"/>
  <c r="Z149" i="102"/>
  <c r="R122" i="102"/>
  <c r="W94" i="102"/>
  <c r="D71" i="102"/>
  <c r="D43" i="102"/>
  <c r="G142" i="102"/>
  <c r="X152" i="102"/>
  <c r="S119" i="102"/>
  <c r="S85" i="102"/>
  <c r="I63" i="102"/>
  <c r="J33" i="102"/>
  <c r="J13" i="102"/>
  <c r="R160" i="102"/>
  <c r="R120" i="102"/>
  <c r="D142" i="102"/>
  <c r="H107" i="102"/>
  <c r="J71" i="102"/>
  <c r="Q132" i="102"/>
  <c r="W83" i="102"/>
  <c r="D57" i="102"/>
  <c r="M158" i="102"/>
  <c r="D112" i="102"/>
  <c r="G71" i="102"/>
  <c r="Q42" i="102"/>
  <c r="O104" i="102"/>
  <c r="G65" i="102"/>
  <c r="P42" i="102"/>
  <c r="S29" i="102"/>
  <c r="G147" i="102"/>
  <c r="V116" i="102"/>
  <c r="M91" i="102"/>
  <c r="W70" i="102"/>
  <c r="S50" i="102"/>
  <c r="S33" i="102"/>
  <c r="H19" i="102"/>
  <c r="Z153" i="102"/>
  <c r="R109" i="102"/>
  <c r="G82" i="102"/>
  <c r="G56" i="102"/>
  <c r="C35" i="102"/>
  <c r="M17" i="102"/>
  <c r="X147" i="102"/>
  <c r="G105" i="102"/>
  <c r="M78" i="102"/>
  <c r="X52" i="102"/>
  <c r="L32" i="102"/>
  <c r="J15" i="102"/>
  <c r="P139" i="102"/>
  <c r="T99" i="102"/>
  <c r="C74" i="102"/>
  <c r="S45" i="102"/>
  <c r="C29" i="102"/>
  <c r="G12" i="102"/>
  <c r="E116" i="102"/>
  <c r="Q70" i="102"/>
  <c r="K39" i="102"/>
  <c r="H14" i="102"/>
  <c r="S24" i="102"/>
  <c r="K61" i="102"/>
  <c r="G37" i="102"/>
  <c r="S17" i="102"/>
  <c r="R135" i="102"/>
  <c r="H94" i="102"/>
  <c r="O67" i="102"/>
  <c r="C38" i="102"/>
  <c r="K25" i="102"/>
  <c r="V157" i="102"/>
  <c r="N139" i="102"/>
  <c r="F117" i="102"/>
  <c r="H101" i="102"/>
  <c r="N67" i="102"/>
  <c r="X40" i="102"/>
  <c r="V22" i="102"/>
  <c r="C162" i="102"/>
  <c r="R96" i="102"/>
  <c r="J156" i="102"/>
  <c r="X133" i="102"/>
  <c r="Z115" i="102"/>
  <c r="L100" i="102"/>
  <c r="F89" i="102"/>
  <c r="V72" i="102"/>
  <c r="W62" i="102"/>
  <c r="O51" i="102"/>
  <c r="I39" i="102"/>
  <c r="C30" i="102"/>
  <c r="E23" i="102"/>
  <c r="R15" i="102"/>
  <c r="D158" i="102"/>
  <c r="W135" i="102"/>
  <c r="R117" i="102"/>
  <c r="Q101" i="102"/>
  <c r="K90" i="102"/>
  <c r="U72" i="102"/>
  <c r="M60" i="102"/>
  <c r="H38" i="102"/>
  <c r="I22" i="102"/>
  <c r="X14" i="102"/>
  <c r="X155" i="102"/>
  <c r="V137" i="102"/>
  <c r="M114" i="102"/>
  <c r="N98" i="102"/>
  <c r="O80" i="102"/>
  <c r="P67" i="102"/>
  <c r="T56" i="102"/>
  <c r="C40" i="102"/>
  <c r="X29" i="102"/>
  <c r="S20" i="102"/>
  <c r="L13" i="102"/>
  <c r="I151" i="102"/>
  <c r="D129" i="102"/>
  <c r="G109" i="102"/>
  <c r="S92" i="102"/>
  <c r="K76" i="102"/>
  <c r="M62" i="102"/>
  <c r="Y46" i="102"/>
  <c r="H35" i="102"/>
  <c r="W22" i="102"/>
  <c r="S14" i="102"/>
  <c r="N102" i="102"/>
  <c r="E84" i="102"/>
  <c r="E71" i="102"/>
  <c r="X57" i="102"/>
  <c r="E43" i="102"/>
  <c r="O32" i="102"/>
  <c r="X21" i="102"/>
  <c r="Y13" i="102"/>
  <c r="P150" i="102"/>
  <c r="N137" i="102"/>
  <c r="N115" i="102"/>
  <c r="I98" i="102"/>
  <c r="O11" i="102"/>
  <c r="T22" i="102"/>
  <c r="Y35" i="102"/>
  <c r="E55" i="102"/>
  <c r="O73" i="102"/>
  <c r="E101" i="102"/>
  <c r="F139" i="102"/>
  <c r="U28" i="102"/>
  <c r="M146" i="102"/>
  <c r="V158" i="102"/>
  <c r="V122" i="102"/>
  <c r="V97" i="102"/>
  <c r="Y146" i="102"/>
  <c r="W119" i="102"/>
  <c r="E92" i="102"/>
  <c r="P68" i="102"/>
  <c r="U163" i="102"/>
  <c r="E139" i="102"/>
  <c r="D149" i="102"/>
  <c r="M116" i="102"/>
  <c r="S82" i="102"/>
  <c r="N60" i="102"/>
  <c r="V30" i="102"/>
  <c r="S163" i="102"/>
  <c r="V155" i="102"/>
  <c r="C117" i="102"/>
  <c r="H137" i="102"/>
  <c r="V103" i="102"/>
  <c r="H68" i="102"/>
  <c r="H124" i="102"/>
  <c r="M80" i="102"/>
  <c r="Y53" i="102"/>
  <c r="L152" i="102"/>
  <c r="R107" i="102"/>
  <c r="U67" i="102"/>
  <c r="S39" i="102"/>
  <c r="K99" i="102"/>
  <c r="T61" i="102"/>
  <c r="O39" i="102"/>
  <c r="F27" i="102"/>
  <c r="Y140" i="102"/>
  <c r="O112" i="102"/>
  <c r="M84" i="102"/>
  <c r="H67" i="102"/>
  <c r="N44" i="102"/>
  <c r="F31" i="102"/>
  <c r="X16" i="102"/>
  <c r="H146" i="102"/>
  <c r="C104" i="102"/>
  <c r="U77" i="102"/>
  <c r="G52" i="102"/>
  <c r="V31" i="102"/>
  <c r="W14" i="102"/>
  <c r="Z139" i="102"/>
  <c r="V99" i="102"/>
  <c r="E74" i="102"/>
  <c r="Q23" i="113"/>
  <c r="C112" i="5"/>
  <c r="C113" i="91" s="1"/>
  <c r="C91" i="5"/>
  <c r="C92" i="91" s="1"/>
  <c r="H86" i="5"/>
  <c r="H87" i="91" s="1"/>
  <c r="E137" i="5"/>
  <c r="E138" i="91" s="1"/>
  <c r="N87" i="5"/>
  <c r="N88" i="91" s="1"/>
  <c r="O143" i="5"/>
  <c r="O144" i="91" s="1"/>
  <c r="H59" i="5"/>
  <c r="H60" i="91" s="1"/>
  <c r="N79" i="5"/>
  <c r="N80" i="91" s="1"/>
  <c r="E84" i="5"/>
  <c r="E85" i="91" s="1"/>
  <c r="I111" i="5"/>
  <c r="I112" i="91" s="1"/>
  <c r="J59" i="5"/>
  <c r="J60" i="91" s="1"/>
  <c r="J93" i="5"/>
  <c r="J94" i="91" s="1"/>
  <c r="J152" i="5"/>
  <c r="J153" i="91" s="1"/>
  <c r="E49" i="5"/>
  <c r="E24" i="5" s="1"/>
  <c r="E72" i="5"/>
  <c r="E73" i="91" s="1"/>
  <c r="L63" i="5"/>
  <c r="L64" i="91" s="1"/>
  <c r="N138" i="5"/>
  <c r="N139" i="91" s="1"/>
  <c r="C152" i="5"/>
  <c r="C153" i="91" s="1"/>
  <c r="C88" i="5"/>
  <c r="C89" i="91" s="1"/>
  <c r="G45" i="5"/>
  <c r="P114" i="5"/>
  <c r="P115" i="91" s="1"/>
  <c r="L105" i="5"/>
  <c r="L106" i="91" s="1"/>
  <c r="F52" i="5"/>
  <c r="F27" i="5" s="1"/>
  <c r="D90" i="5"/>
  <c r="D91" i="91" s="1"/>
  <c r="J98" i="5"/>
  <c r="J99" i="91" s="1"/>
  <c r="I151" i="5"/>
  <c r="I152" i="91" s="1"/>
  <c r="P126" i="5"/>
  <c r="P127" i="91" s="1"/>
  <c r="L61" i="5"/>
  <c r="L62" i="91" s="1"/>
  <c r="G34" i="5"/>
  <c r="G9" i="5" s="1"/>
  <c r="M140" i="5"/>
  <c r="M141" i="91" s="1"/>
  <c r="H98" i="5"/>
  <c r="H99" i="91" s="1"/>
  <c r="P120" i="5"/>
  <c r="P121" i="91" s="1"/>
  <c r="F50" i="5"/>
  <c r="F51" i="91" s="1"/>
  <c r="F26" i="91" s="1"/>
  <c r="E97" i="5"/>
  <c r="E98" i="91" s="1"/>
  <c r="M128" i="5"/>
  <c r="M129" i="91" s="1"/>
  <c r="F93" i="5"/>
  <c r="F94" i="91" s="1"/>
  <c r="D112" i="5"/>
  <c r="D113" i="91" s="1"/>
  <c r="M125" i="5"/>
  <c r="M126" i="91" s="1"/>
  <c r="J146" i="5"/>
  <c r="J147" i="91" s="1"/>
  <c r="J51" i="5"/>
  <c r="F112" i="5"/>
  <c r="F113" i="91" s="1"/>
  <c r="G154" i="5"/>
  <c r="G155" i="91" s="1"/>
  <c r="K110" i="5"/>
  <c r="K111" i="91" s="1"/>
  <c r="F114" i="5"/>
  <c r="F115" i="91" s="1"/>
  <c r="M104" i="5"/>
  <c r="M105" i="91" s="1"/>
  <c r="D153" i="5"/>
  <c r="D154" i="91" s="1"/>
  <c r="J117" i="5"/>
  <c r="J118" i="91" s="1"/>
  <c r="F84" i="5"/>
  <c r="F85" i="91" s="1"/>
  <c r="J150" i="5"/>
  <c r="J151" i="91" s="1"/>
  <c r="N53" i="5"/>
  <c r="N54" i="91" s="1"/>
  <c r="N29" i="91" s="1"/>
  <c r="J38" i="5"/>
  <c r="J39" i="91" s="1"/>
  <c r="J14" i="91" s="1"/>
  <c r="F137" i="5"/>
  <c r="F138" i="91" s="1"/>
  <c r="G144" i="5"/>
  <c r="G145" i="91" s="1"/>
  <c r="H109" i="5"/>
  <c r="H110" i="91" s="1"/>
  <c r="J52" i="5"/>
  <c r="J27" i="5" s="1"/>
  <c r="J37" i="5"/>
  <c r="P153" i="5"/>
  <c r="P154" i="91" s="1"/>
  <c r="P78" i="5"/>
  <c r="P79" i="91" s="1"/>
  <c r="H137" i="5"/>
  <c r="H138" i="91" s="1"/>
  <c r="N103" i="5"/>
  <c r="N104" i="91" s="1"/>
  <c r="M103" i="5"/>
  <c r="M104" i="91" s="1"/>
  <c r="D139" i="5"/>
  <c r="D140" i="91" s="1"/>
  <c r="M46" i="5"/>
  <c r="M47" i="91" s="1"/>
  <c r="M22" i="91" s="1"/>
  <c r="P69" i="5"/>
  <c r="P70" i="91" s="1"/>
  <c r="P84" i="5"/>
  <c r="P85" i="91" s="1"/>
  <c r="J47" i="5"/>
  <c r="J22" i="5" s="1"/>
  <c r="C65" i="5"/>
  <c r="C66" i="91" s="1"/>
  <c r="F80" i="5"/>
  <c r="F81" i="91" s="1"/>
  <c r="N122" i="5"/>
  <c r="N123" i="91" s="1"/>
  <c r="N144" i="5"/>
  <c r="N145" i="91" s="1"/>
  <c r="E44" i="5"/>
  <c r="E45" i="91" s="1"/>
  <c r="E20" i="91" s="1"/>
  <c r="K98" i="5"/>
  <c r="K99" i="91" s="1"/>
  <c r="M42" i="5"/>
  <c r="P44" i="5"/>
  <c r="P19" i="5" s="1"/>
  <c r="P46" i="5"/>
  <c r="P21" i="5" s="1"/>
  <c r="F42" i="5"/>
  <c r="N92" i="5"/>
  <c r="N93" i="91" s="1"/>
  <c r="F111" i="5"/>
  <c r="F112" i="91" s="1"/>
  <c r="I115" i="5"/>
  <c r="I116" i="91" s="1"/>
  <c r="I101" i="5"/>
  <c r="I102" i="91" s="1"/>
  <c r="P113" i="5"/>
  <c r="P114" i="91" s="1"/>
  <c r="O100" i="5"/>
  <c r="O101" i="91" s="1"/>
  <c r="M61" i="5"/>
  <c r="M62" i="91" s="1"/>
  <c r="G40" i="5"/>
  <c r="G41" i="91" s="1"/>
  <c r="G16" i="91" s="1"/>
  <c r="F44" i="5"/>
  <c r="F72" i="5"/>
  <c r="F73" i="91" s="1"/>
  <c r="I164" i="5"/>
  <c r="D91" i="5"/>
  <c r="D92" i="91" s="1"/>
  <c r="I165" i="5"/>
  <c r="P121" i="5"/>
  <c r="P122" i="91" s="1"/>
  <c r="D84" i="5"/>
  <c r="D85" i="91" s="1"/>
  <c r="H130" i="5"/>
  <c r="H131" i="91" s="1"/>
  <c r="N50" i="5"/>
  <c r="N25" i="5" s="1"/>
  <c r="J66" i="5"/>
  <c r="J67" i="91" s="1"/>
  <c r="P79" i="5"/>
  <c r="P80" i="91" s="1"/>
  <c r="N52" i="5"/>
  <c r="N27" i="5" s="1"/>
  <c r="M105" i="5"/>
  <c r="M106" i="91" s="1"/>
  <c r="J65" i="5"/>
  <c r="J66" i="91" s="1"/>
  <c r="D41" i="5"/>
  <c r="D42" i="91" s="1"/>
  <c r="D17" i="91" s="1"/>
  <c r="F54" i="5"/>
  <c r="C59" i="61"/>
  <c r="D78" i="90"/>
  <c r="H86" i="90"/>
  <c r="I102" i="90"/>
  <c r="K21" i="21"/>
  <c r="F25" i="21"/>
  <c r="E104" i="92"/>
  <c r="O185" i="96"/>
  <c r="V267" i="102"/>
  <c r="V261" i="102"/>
  <c r="V260" i="39"/>
  <c r="V254" i="39"/>
  <c r="W455" i="81"/>
  <c r="V390" i="97"/>
  <c r="V384" i="97"/>
  <c r="V364" i="28"/>
  <c r="V358" i="28"/>
  <c r="E128" i="92"/>
  <c r="E122" i="92"/>
  <c r="O207" i="96"/>
  <c r="O201" i="96"/>
  <c r="E135" i="1"/>
  <c r="E131" i="1"/>
  <c r="V266" i="102"/>
  <c r="V260" i="102"/>
  <c r="V259" i="39"/>
  <c r="W460" i="81"/>
  <c r="W454" i="81"/>
  <c r="V389" i="97"/>
  <c r="V383" i="97"/>
  <c r="V363" i="28"/>
  <c r="V357" i="28"/>
  <c r="E127" i="92"/>
  <c r="E121" i="92"/>
  <c r="O206" i="96"/>
  <c r="O200" i="96"/>
  <c r="E139" i="1"/>
  <c r="V265" i="102"/>
  <c r="V262" i="39"/>
  <c r="W459" i="81"/>
  <c r="W451" i="81"/>
  <c r="V382" i="97"/>
  <c r="V360" i="28"/>
  <c r="E126" i="92"/>
  <c r="O209" i="96"/>
  <c r="E141" i="1"/>
  <c r="E133" i="1"/>
  <c r="V264" i="102"/>
  <c r="V261" i="39"/>
  <c r="W458" i="81"/>
  <c r="W450" i="81"/>
  <c r="V381" i="97"/>
  <c r="V359" i="28"/>
  <c r="E125" i="92"/>
  <c r="O208" i="96"/>
  <c r="E140" i="1"/>
  <c r="E132" i="1"/>
  <c r="V264" i="39"/>
  <c r="W457" i="81"/>
  <c r="V386" i="97"/>
  <c r="V356" i="28"/>
  <c r="E120" i="92"/>
  <c r="E137" i="1"/>
  <c r="U216" i="102"/>
  <c r="V270" i="102"/>
  <c r="V263" i="39"/>
  <c r="W456" i="81"/>
  <c r="V385" i="97"/>
  <c r="V355" i="28"/>
  <c r="O210" i="96"/>
  <c r="E136" i="1"/>
  <c r="V269" i="102"/>
  <c r="V258" i="39"/>
  <c r="W453" i="81"/>
  <c r="V380" i="97"/>
  <c r="E130" i="92"/>
  <c r="O205" i="96"/>
  <c r="E138" i="1"/>
  <c r="V268" i="102"/>
  <c r="V257" i="39"/>
  <c r="W452" i="81"/>
  <c r="V365" i="28"/>
  <c r="E129" i="92"/>
  <c r="O204" i="96"/>
  <c r="E134" i="1"/>
  <c r="T169" i="39"/>
  <c r="K49" i="39"/>
  <c r="C129" i="39"/>
  <c r="P51" i="39"/>
  <c r="X155" i="39"/>
  <c r="E52" i="39"/>
  <c r="X83" i="39"/>
  <c r="N126" i="39"/>
  <c r="J40" i="39"/>
  <c r="Y44" i="39"/>
  <c r="L107" i="39"/>
  <c r="X40" i="39"/>
  <c r="R53" i="39"/>
  <c r="U111" i="39"/>
  <c r="Q68" i="39"/>
  <c r="I102" i="39"/>
  <c r="T34" i="39"/>
  <c r="F44" i="39"/>
  <c r="X59" i="39"/>
  <c r="C29" i="39"/>
  <c r="S82" i="39"/>
  <c r="P139" i="39"/>
  <c r="T147" i="39"/>
  <c r="F102" i="39"/>
  <c r="I155" i="39"/>
  <c r="M149" i="39"/>
  <c r="D139" i="39"/>
  <c r="T116" i="102"/>
  <c r="O64" i="102"/>
  <c r="K29" i="102"/>
  <c r="Q89" i="102"/>
  <c r="P128" i="102"/>
  <c r="U157" i="102"/>
  <c r="I26" i="102"/>
  <c r="G53" i="102"/>
  <c r="O77" i="102"/>
  <c r="W11" i="102"/>
  <c r="T29" i="102"/>
  <c r="S56" i="102"/>
  <c r="V82" i="102"/>
  <c r="H117" i="102"/>
  <c r="W157" i="102"/>
  <c r="M25" i="102"/>
  <c r="Z46" i="102"/>
  <c r="Y73" i="102"/>
  <c r="Y105" i="102"/>
  <c r="C149" i="102"/>
  <c r="P18" i="102"/>
  <c r="E51" i="102"/>
  <c r="Q80" i="102"/>
  <c r="L109" i="102"/>
  <c r="D147" i="102"/>
  <c r="J19" i="102"/>
  <c r="Q34" i="102"/>
  <c r="E57" i="102"/>
  <c r="H79" i="102"/>
  <c r="E108" i="102"/>
  <c r="E145" i="102"/>
  <c r="T113" i="102"/>
  <c r="N31" i="102"/>
  <c r="R82" i="102"/>
  <c r="Q128" i="102"/>
  <c r="Z16" i="102"/>
  <c r="H53" i="102"/>
  <c r="I112" i="102"/>
  <c r="K26" i="102"/>
  <c r="K109" i="102"/>
  <c r="D24" i="102"/>
  <c r="M90" i="102"/>
  <c r="X18" i="102"/>
  <c r="I59" i="102"/>
  <c r="Y113" i="102"/>
  <c r="E22" i="102"/>
  <c r="L63" i="102"/>
  <c r="U11" i="102"/>
  <c r="C67" i="102"/>
  <c r="E14" i="102"/>
  <c r="D59" i="102"/>
  <c r="L133" i="102"/>
  <c r="D54" i="102"/>
  <c r="E61" i="102"/>
  <c r="W38" i="102"/>
  <c r="R162" i="102"/>
  <c r="J103" i="102"/>
  <c r="V25" i="102"/>
  <c r="E104" i="102"/>
  <c r="Q157" i="102"/>
  <c r="U108" i="102"/>
  <c r="J115" i="102"/>
  <c r="Y163" i="102"/>
  <c r="E124" i="92"/>
  <c r="V256" i="39"/>
  <c r="J99" i="113"/>
  <c r="F100" i="5"/>
  <c r="F101" i="91" s="1"/>
  <c r="N137" i="5"/>
  <c r="N138" i="91" s="1"/>
  <c r="F40" i="5"/>
  <c r="F15" i="5" s="1"/>
  <c r="N34" i="5"/>
  <c r="E134" i="5"/>
  <c r="E135" i="91" s="1"/>
  <c r="N110" i="5"/>
  <c r="N111" i="91" s="1"/>
  <c r="H66" i="5"/>
  <c r="H67" i="91" s="1"/>
  <c r="F62" i="5"/>
  <c r="F63" i="91" s="1"/>
  <c r="D37" i="5"/>
  <c r="D12" i="5" s="1"/>
  <c r="P43" i="5"/>
  <c r="P44" i="91" s="1"/>
  <c r="P19" i="91" s="1"/>
  <c r="N147" i="5"/>
  <c r="N148" i="91" s="1"/>
  <c r="E94" i="5"/>
  <c r="E95" i="91" s="1"/>
  <c r="M69" i="5"/>
  <c r="M70" i="91" s="1"/>
  <c r="O37" i="5"/>
  <c r="O38" i="91" s="1"/>
  <c r="O13" i="91" s="1"/>
  <c r="C34" i="5"/>
  <c r="C35" i="91" s="1"/>
  <c r="C10" i="91" s="1"/>
  <c r="N136" i="5"/>
  <c r="N137" i="91" s="1"/>
  <c r="D63" i="5"/>
  <c r="D64" i="91" s="1"/>
  <c r="C97" i="5"/>
  <c r="C98" i="91" s="1"/>
  <c r="K119" i="5"/>
  <c r="K120" i="91" s="1"/>
  <c r="K69" i="5"/>
  <c r="K70" i="91" s="1"/>
  <c r="P130" i="5"/>
  <c r="P131" i="91" s="1"/>
  <c r="H116" i="5"/>
  <c r="H117" i="91" s="1"/>
  <c r="J35" i="5"/>
  <c r="J10" i="5" s="1"/>
  <c r="K118" i="5"/>
  <c r="K119" i="91" s="1"/>
  <c r="O123" i="5"/>
  <c r="O124" i="91" s="1"/>
  <c r="L42" i="5"/>
  <c r="L43" i="91" s="1"/>
  <c r="L18" i="91" s="1"/>
  <c r="E140" i="5"/>
  <c r="E141" i="91" s="1"/>
  <c r="E99" i="5"/>
  <c r="E100" i="91" s="1"/>
  <c r="F94" i="5"/>
  <c r="F95" i="91" s="1"/>
  <c r="G88" i="5"/>
  <c r="G89" i="91" s="1"/>
  <c r="H90" i="5"/>
  <c r="H91" i="91" s="1"/>
  <c r="G129" i="5"/>
  <c r="G130" i="91" s="1"/>
  <c r="O113" i="5"/>
  <c r="O114" i="91" s="1"/>
  <c r="M62" i="5"/>
  <c r="M63" i="91" s="1"/>
  <c r="H103" i="5"/>
  <c r="H104" i="91" s="1"/>
  <c r="P72" i="5"/>
  <c r="P73" i="91" s="1"/>
  <c r="D167" i="91"/>
  <c r="J154" i="5"/>
  <c r="J155" i="91" s="1"/>
  <c r="I144" i="5"/>
  <c r="I145" i="91" s="1"/>
  <c r="P47" i="5"/>
  <c r="P48" i="91" s="1"/>
  <c r="P23" i="91" s="1"/>
  <c r="D55" i="5"/>
  <c r="P152" i="5"/>
  <c r="P153" i="91" s="1"/>
  <c r="K139" i="5"/>
  <c r="K140" i="91" s="1"/>
  <c r="J100" i="5"/>
  <c r="J101" i="91" s="1"/>
  <c r="L69" i="5"/>
  <c r="L70" i="91" s="1"/>
  <c r="J123" i="5"/>
  <c r="J124" i="91" s="1"/>
  <c r="F153" i="5"/>
  <c r="F154" i="91" s="1"/>
  <c r="D60" i="5"/>
  <c r="D61" i="91" s="1"/>
  <c r="N40" i="5"/>
  <c r="N120" i="5"/>
  <c r="N121" i="91" s="1"/>
  <c r="I36" i="5"/>
  <c r="I37" i="91" s="1"/>
  <c r="I12" i="91" s="1"/>
  <c r="N39" i="5"/>
  <c r="N40" i="91" s="1"/>
  <c r="N15" i="91" s="1"/>
  <c r="L95" i="5"/>
  <c r="L96" i="91" s="1"/>
  <c r="I79" i="5"/>
  <c r="I80" i="91" s="1"/>
  <c r="G72" i="5"/>
  <c r="G73" i="91" s="1"/>
  <c r="C89" i="5"/>
  <c r="C90" i="91" s="1"/>
  <c r="E150" i="5"/>
  <c r="E151" i="91" s="1"/>
  <c r="J122" i="5"/>
  <c r="J123" i="91" s="1"/>
  <c r="P128" i="5"/>
  <c r="P129" i="91" s="1"/>
  <c r="I77" i="5"/>
  <c r="I78" i="91" s="1"/>
  <c r="E88" i="5"/>
  <c r="E89" i="91" s="1"/>
  <c r="F75" i="5"/>
  <c r="F76" i="91" s="1"/>
  <c r="G71" i="5"/>
  <c r="G72" i="91" s="1"/>
  <c r="I78" i="5"/>
  <c r="I79" i="91" s="1"/>
  <c r="C35" i="5"/>
  <c r="C73" i="5"/>
  <c r="C74" i="91" s="1"/>
  <c r="L79" i="5"/>
  <c r="L80" i="91" s="1"/>
  <c r="D104" i="5"/>
  <c r="D105" i="91" s="1"/>
  <c r="N100" i="5"/>
  <c r="N101" i="91" s="1"/>
  <c r="D134" i="5"/>
  <c r="D135" i="91" s="1"/>
  <c r="G80" i="5"/>
  <c r="G81" i="91" s="1"/>
  <c r="E38" i="5"/>
  <c r="D115" i="5"/>
  <c r="D116" i="91" s="1"/>
  <c r="E86" i="5"/>
  <c r="E87" i="91" s="1"/>
  <c r="D52" i="5"/>
  <c r="D53" i="91" s="1"/>
  <c r="D28" i="91" s="1"/>
  <c r="C79" i="5"/>
  <c r="C80" i="91" s="1"/>
  <c r="D118" i="5"/>
  <c r="D119" i="91" s="1"/>
  <c r="C113" i="5"/>
  <c r="C114" i="91" s="1"/>
  <c r="L120" i="5"/>
  <c r="L121" i="91" s="1"/>
  <c r="K134" i="5"/>
  <c r="K135" i="91" s="1"/>
  <c r="P85" i="5"/>
  <c r="P86" i="91" s="1"/>
  <c r="E113" i="5"/>
  <c r="E114" i="91" s="1"/>
  <c r="G149" i="5"/>
  <c r="G150" i="91" s="1"/>
  <c r="P45" i="5"/>
  <c r="D38" i="5"/>
  <c r="H167" i="91"/>
  <c r="D65" i="5"/>
  <c r="D66" i="91" s="1"/>
  <c r="H115" i="5"/>
  <c r="H116" i="91" s="1"/>
  <c r="I95" i="5"/>
  <c r="I96" i="91" s="1"/>
  <c r="N80" i="5"/>
  <c r="N81" i="91" s="1"/>
  <c r="I89" i="5"/>
  <c r="I90" i="91" s="1"/>
  <c r="G76" i="5"/>
  <c r="G77" i="91" s="1"/>
  <c r="L104" i="5"/>
  <c r="L105" i="91" s="1"/>
  <c r="P119" i="5"/>
  <c r="P120" i="91" s="1"/>
  <c r="I34" i="5"/>
  <c r="I35" i="91" s="1"/>
  <c r="I10" i="91" s="1"/>
  <c r="K109" i="5"/>
  <c r="K110" i="91" s="1"/>
  <c r="E129" i="5"/>
  <c r="E130" i="91" s="1"/>
  <c r="F165" i="5"/>
  <c r="H74" i="5"/>
  <c r="H75" i="91" s="1"/>
  <c r="O141" i="5"/>
  <c r="O142" i="91" s="1"/>
  <c r="I122" i="5"/>
  <c r="I123" i="91" s="1"/>
  <c r="F141" i="5"/>
  <c r="F142" i="91" s="1"/>
  <c r="J77" i="5"/>
  <c r="J78" i="91" s="1"/>
  <c r="O77" i="5"/>
  <c r="O78" i="91" s="1"/>
  <c r="D28" i="21"/>
  <c r="B23" i="21"/>
  <c r="S111" i="102"/>
  <c r="F61" i="102"/>
  <c r="W26" i="102"/>
  <c r="O92" i="102"/>
  <c r="U130" i="102"/>
  <c r="O159" i="102"/>
  <c r="U27" i="102"/>
  <c r="H54" i="102"/>
  <c r="X78" i="102"/>
  <c r="O12" i="102"/>
  <c r="O31" i="102"/>
  <c r="X58" i="102"/>
  <c r="O85" i="102"/>
  <c r="C119" i="102"/>
  <c r="D160" i="102"/>
  <c r="C27" i="102"/>
  <c r="I52" i="102"/>
  <c r="L75" i="102"/>
  <c r="T107" i="102"/>
  <c r="K151" i="102"/>
  <c r="D20" i="102"/>
  <c r="N53" i="102"/>
  <c r="V81" i="102"/>
  <c r="E111" i="102"/>
  <c r="O149" i="102"/>
  <c r="E20" i="102"/>
  <c r="N35" i="102"/>
  <c r="H58" i="102"/>
  <c r="S80" i="102"/>
  <c r="Y109" i="102"/>
  <c r="F147" i="102"/>
  <c r="U116" i="102"/>
  <c r="L33" i="102"/>
  <c r="N85" i="102"/>
  <c r="V130" i="102"/>
  <c r="E19" i="102"/>
  <c r="Q55" i="102"/>
  <c r="Q115" i="102"/>
  <c r="X28" i="102"/>
  <c r="I131" i="102"/>
  <c r="I28" i="102"/>
  <c r="N97" i="102"/>
  <c r="Y21" i="102"/>
  <c r="K63" i="102"/>
  <c r="R119" i="102"/>
  <c r="Y24" i="102"/>
  <c r="V67" i="102"/>
  <c r="K14" i="102"/>
  <c r="M71" i="102"/>
  <c r="M16" i="102"/>
  <c r="I62" i="102"/>
  <c r="V139" i="102"/>
  <c r="G57" i="102"/>
  <c r="J64" i="102"/>
  <c r="S41" i="102"/>
  <c r="F65" i="102"/>
  <c r="T106" i="102"/>
  <c r="J28" i="102"/>
  <c r="G107" i="102"/>
  <c r="T160" i="102"/>
  <c r="O111" i="102"/>
  <c r="V117" i="102"/>
  <c r="N83" i="102"/>
  <c r="V361" i="28"/>
  <c r="V262" i="102"/>
  <c r="F101" i="113"/>
  <c r="N8" i="105"/>
  <c r="L9" i="105"/>
  <c r="J10" i="105"/>
  <c r="H11" i="105"/>
  <c r="F12" i="105"/>
  <c r="D13" i="105"/>
  <c r="V13" i="105"/>
  <c r="T14" i="105"/>
  <c r="R15" i="105"/>
  <c r="P16" i="105"/>
  <c r="N17" i="105"/>
  <c r="L18" i="105"/>
  <c r="J19" i="105"/>
  <c r="H20" i="105"/>
  <c r="F21" i="105"/>
  <c r="D22" i="105"/>
  <c r="V22" i="105"/>
  <c r="T23" i="105"/>
  <c r="R24" i="105"/>
  <c r="P25" i="105"/>
  <c r="N26" i="105"/>
  <c r="L27" i="105"/>
  <c r="J28" i="105"/>
  <c r="H33" i="105"/>
  <c r="F34" i="105"/>
  <c r="D35" i="105"/>
  <c r="V35" i="105"/>
  <c r="T36" i="105"/>
  <c r="R37" i="105"/>
  <c r="P38" i="105"/>
  <c r="N39" i="105"/>
  <c r="L40" i="105"/>
  <c r="J41" i="105"/>
  <c r="H42" i="105"/>
  <c r="F43" i="105"/>
  <c r="D44" i="105"/>
  <c r="V44" i="105"/>
  <c r="T45" i="105"/>
  <c r="R46" i="105"/>
  <c r="P47" i="105"/>
  <c r="N48" i="105"/>
  <c r="L49" i="105"/>
  <c r="J50" i="105"/>
  <c r="H51" i="105"/>
  <c r="F52" i="105"/>
  <c r="D53" i="105"/>
  <c r="V53" i="105"/>
  <c r="T8" i="106"/>
  <c r="R9" i="106"/>
  <c r="P10" i="106"/>
  <c r="N11" i="106"/>
  <c r="L12" i="106"/>
  <c r="J13" i="106"/>
  <c r="H14" i="106"/>
  <c r="F15" i="106"/>
  <c r="D16" i="106"/>
  <c r="V16" i="106"/>
  <c r="T17" i="106"/>
  <c r="R18" i="106"/>
  <c r="P19" i="106"/>
  <c r="N20" i="106"/>
  <c r="L21" i="106"/>
  <c r="J22" i="106"/>
  <c r="H23" i="106"/>
  <c r="F24" i="106"/>
  <c r="D25" i="106"/>
  <c r="V25" i="106"/>
  <c r="T26" i="106"/>
  <c r="R27" i="106"/>
  <c r="R28" i="106"/>
  <c r="T33" i="106"/>
  <c r="U34" i="106"/>
  <c r="W35" i="106"/>
  <c r="E37" i="106"/>
  <c r="F38" i="106"/>
  <c r="H39" i="106"/>
  <c r="I40" i="106"/>
  <c r="K41" i="106"/>
  <c r="M42" i="106"/>
  <c r="N43" i="106"/>
  <c r="P44" i="106"/>
  <c r="Q45" i="106"/>
  <c r="S46" i="106"/>
  <c r="U47" i="106"/>
  <c r="V48" i="106"/>
  <c r="D50" i="106"/>
  <c r="E51" i="106"/>
  <c r="G52" i="106"/>
  <c r="I53" i="106"/>
  <c r="E11" i="109"/>
  <c r="I14" i="109"/>
  <c r="N17" i="109"/>
  <c r="S20" i="109"/>
  <c r="D24" i="109"/>
  <c r="I27" i="109"/>
  <c r="M34" i="109"/>
  <c r="R37" i="109"/>
  <c r="W40" i="109"/>
  <c r="H44" i="109"/>
  <c r="M47" i="109"/>
  <c r="S50" i="109"/>
  <c r="K9" i="110"/>
  <c r="N14" i="110"/>
  <c r="R19" i="110"/>
  <c r="M25" i="110"/>
  <c r="W35" i="110"/>
  <c r="M42" i="110"/>
  <c r="L50" i="110"/>
  <c r="E15" i="112"/>
  <c r="G28" i="112"/>
  <c r="L63" i="110"/>
  <c r="S53" i="112"/>
  <c r="M53" i="112"/>
  <c r="G53" i="112"/>
  <c r="U52" i="112"/>
  <c r="O52" i="112"/>
  <c r="I52" i="112"/>
  <c r="W51" i="112"/>
  <c r="Q51" i="112"/>
  <c r="K51" i="112"/>
  <c r="E51" i="112"/>
  <c r="S50" i="112"/>
  <c r="M50" i="112"/>
  <c r="G50" i="112"/>
  <c r="U49" i="112"/>
  <c r="O49" i="112"/>
  <c r="I49" i="112"/>
  <c r="W48" i="112"/>
  <c r="Q48" i="112"/>
  <c r="K48" i="112"/>
  <c r="L63" i="109"/>
  <c r="R53" i="112"/>
  <c r="L53" i="112"/>
  <c r="F53" i="112"/>
  <c r="T52" i="112"/>
  <c r="N52" i="112"/>
  <c r="H52" i="112"/>
  <c r="V51" i="112"/>
  <c r="P51" i="112"/>
  <c r="J51" i="112"/>
  <c r="D51" i="112"/>
  <c r="R50" i="112"/>
  <c r="L50" i="112"/>
  <c r="F50" i="112"/>
  <c r="T49" i="112"/>
  <c r="N49" i="112"/>
  <c r="H49" i="112"/>
  <c r="V48" i="112"/>
  <c r="P48" i="112"/>
  <c r="U53" i="112"/>
  <c r="K53" i="112"/>
  <c r="W52" i="112"/>
  <c r="M52" i="112"/>
  <c r="E52" i="112"/>
  <c r="O51" i="112"/>
  <c r="G51" i="112"/>
  <c r="Q50" i="112"/>
  <c r="I50" i="112"/>
  <c r="S49" i="112"/>
  <c r="K49" i="112"/>
  <c r="U48" i="112"/>
  <c r="M48" i="112"/>
  <c r="F48" i="112"/>
  <c r="T47" i="112"/>
  <c r="N47" i="112"/>
  <c r="H47" i="112"/>
  <c r="V46" i="112"/>
  <c r="P46" i="112"/>
  <c r="J46" i="112"/>
  <c r="D46" i="112"/>
  <c r="R45" i="112"/>
  <c r="L45" i="112"/>
  <c r="F45" i="112"/>
  <c r="T44" i="112"/>
  <c r="N44" i="112"/>
  <c r="H44" i="112"/>
  <c r="V43" i="112"/>
  <c r="P43" i="112"/>
  <c r="J43" i="112"/>
  <c r="D43" i="112"/>
  <c r="R42" i="112"/>
  <c r="L42" i="112"/>
  <c r="F42" i="112"/>
  <c r="T41" i="112"/>
  <c r="N41" i="112"/>
  <c r="H41" i="112"/>
  <c r="V40" i="112"/>
  <c r="P40" i="112"/>
  <c r="J40" i="112"/>
  <c r="D40" i="112"/>
  <c r="R39" i="112"/>
  <c r="L39" i="112"/>
  <c r="F39" i="112"/>
  <c r="T38" i="112"/>
  <c r="N38" i="112"/>
  <c r="H38" i="112"/>
  <c r="V37" i="112"/>
  <c r="P37" i="112"/>
  <c r="J37" i="112"/>
  <c r="D37" i="112"/>
  <c r="R36" i="112"/>
  <c r="L36" i="112"/>
  <c r="F36" i="112"/>
  <c r="T35" i="112"/>
  <c r="N35" i="112"/>
  <c r="H35" i="112"/>
  <c r="V34" i="112"/>
  <c r="P34" i="112"/>
  <c r="J34" i="112"/>
  <c r="D34" i="112"/>
  <c r="R33" i="112"/>
  <c r="L33" i="112"/>
  <c r="F33" i="112"/>
  <c r="T28" i="112"/>
  <c r="N28" i="112"/>
  <c r="H28" i="112"/>
  <c r="V27" i="112"/>
  <c r="P27" i="112"/>
  <c r="J27" i="112"/>
  <c r="H63" i="106"/>
  <c r="P53" i="112"/>
  <c r="E53" i="112"/>
  <c r="P52" i="112"/>
  <c r="D52" i="112"/>
  <c r="M51" i="112"/>
  <c r="V50" i="112"/>
  <c r="K50" i="112"/>
  <c r="V49" i="112"/>
  <c r="J49" i="112"/>
  <c r="S48" i="112"/>
  <c r="I48" i="112"/>
  <c r="V47" i="112"/>
  <c r="O47" i="112"/>
  <c r="G47" i="112"/>
  <c r="T46" i="112"/>
  <c r="M46" i="112"/>
  <c r="F46" i="112"/>
  <c r="S45" i="112"/>
  <c r="K45" i="112"/>
  <c r="D45" i="112"/>
  <c r="Q44" i="112"/>
  <c r="J44" i="112"/>
  <c r="W43" i="112"/>
  <c r="O43" i="112"/>
  <c r="H43" i="112"/>
  <c r="U42" i="112"/>
  <c r="N42" i="112"/>
  <c r="G42" i="112"/>
  <c r="S41" i="112"/>
  <c r="L41" i="112"/>
  <c r="E41" i="112"/>
  <c r="R40" i="112"/>
  <c r="K40" i="112"/>
  <c r="W39" i="112"/>
  <c r="P39" i="112"/>
  <c r="I39" i="112"/>
  <c r="V38" i="112"/>
  <c r="O38" i="112"/>
  <c r="G38" i="112"/>
  <c r="T37" i="112"/>
  <c r="M37" i="112"/>
  <c r="F37" i="112"/>
  <c r="S36" i="112"/>
  <c r="K36" i="112"/>
  <c r="D36" i="112"/>
  <c r="Q35" i="112"/>
  <c r="J35" i="112"/>
  <c r="W34" i="112"/>
  <c r="O34" i="112"/>
  <c r="H34" i="112"/>
  <c r="U33" i="112"/>
  <c r="N33" i="112"/>
  <c r="G33" i="112"/>
  <c r="S28" i="112"/>
  <c r="L28" i="112"/>
  <c r="E28" i="112"/>
  <c r="R27" i="112"/>
  <c r="K27" i="112"/>
  <c r="D27" i="112"/>
  <c r="R26" i="112"/>
  <c r="L26" i="112"/>
  <c r="F26" i="112"/>
  <c r="T25" i="112"/>
  <c r="N25" i="112"/>
  <c r="H25" i="112"/>
  <c r="V24" i="112"/>
  <c r="P24" i="112"/>
  <c r="J24" i="112"/>
  <c r="D24" i="112"/>
  <c r="R23" i="112"/>
  <c r="L23" i="112"/>
  <c r="F23" i="112"/>
  <c r="T22" i="112"/>
  <c r="N22" i="112"/>
  <c r="H22" i="112"/>
  <c r="V21" i="112"/>
  <c r="P21" i="112"/>
  <c r="J21" i="112"/>
  <c r="D21" i="112"/>
  <c r="R20" i="112"/>
  <c r="L20" i="112"/>
  <c r="F20" i="112"/>
  <c r="T19" i="112"/>
  <c r="N19" i="112"/>
  <c r="H19" i="112"/>
  <c r="V18" i="112"/>
  <c r="P18" i="112"/>
  <c r="J18" i="112"/>
  <c r="D18" i="112"/>
  <c r="R17" i="112"/>
  <c r="L17" i="112"/>
  <c r="F17" i="112"/>
  <c r="T16" i="112"/>
  <c r="N16" i="112"/>
  <c r="H16" i="112"/>
  <c r="V15" i="112"/>
  <c r="P15" i="112"/>
  <c r="J15" i="112"/>
  <c r="D15" i="112"/>
  <c r="R14" i="112"/>
  <c r="L14" i="112"/>
  <c r="F14" i="112"/>
  <c r="T13" i="112"/>
  <c r="N13" i="112"/>
  <c r="H13" i="112"/>
  <c r="V12" i="112"/>
  <c r="P12" i="112"/>
  <c r="J12" i="112"/>
  <c r="D12" i="112"/>
  <c r="R11" i="112"/>
  <c r="L11" i="112"/>
  <c r="F11" i="112"/>
  <c r="T10" i="112"/>
  <c r="N10" i="112"/>
  <c r="H10" i="112"/>
  <c r="V9" i="112"/>
  <c r="P9" i="112"/>
  <c r="J9" i="112"/>
  <c r="D9" i="112"/>
  <c r="R8" i="112"/>
  <c r="L8" i="112"/>
  <c r="F8" i="112"/>
  <c r="T53" i="110"/>
  <c r="N53" i="110"/>
  <c r="H53" i="110"/>
  <c r="V52" i="110"/>
  <c r="P52" i="110"/>
  <c r="J52" i="110"/>
  <c r="D52" i="110"/>
  <c r="R51" i="110"/>
  <c r="L51" i="110"/>
  <c r="F51" i="110"/>
  <c r="T50" i="110"/>
  <c r="N50" i="110"/>
  <c r="H50" i="110"/>
  <c r="V49" i="110"/>
  <c r="P49" i="110"/>
  <c r="J49" i="110"/>
  <c r="D49" i="110"/>
  <c r="R48" i="110"/>
  <c r="L48" i="110"/>
  <c r="F48" i="110"/>
  <c r="T47" i="110"/>
  <c r="N47" i="110"/>
  <c r="H47" i="110"/>
  <c r="V46" i="110"/>
  <c r="P46" i="110"/>
  <c r="J46" i="110"/>
  <c r="D46" i="110"/>
  <c r="R45" i="110"/>
  <c r="L45" i="110"/>
  <c r="F45" i="110"/>
  <c r="T44" i="110"/>
  <c r="N44" i="110"/>
  <c r="H44" i="110"/>
  <c r="V43" i="110"/>
  <c r="P43" i="110"/>
  <c r="J43" i="110"/>
  <c r="D43" i="110"/>
  <c r="R42" i="110"/>
  <c r="L42" i="110"/>
  <c r="F42" i="110"/>
  <c r="T41" i="110"/>
  <c r="N41" i="110"/>
  <c r="H41" i="110"/>
  <c r="V40" i="110"/>
  <c r="P40" i="110"/>
  <c r="J40" i="110"/>
  <c r="D40" i="110"/>
  <c r="R39" i="110"/>
  <c r="L39" i="110"/>
  <c r="F39" i="110"/>
  <c r="T38" i="110"/>
  <c r="N38" i="110"/>
  <c r="H38" i="110"/>
  <c r="V37" i="110"/>
  <c r="P37" i="110"/>
  <c r="J37" i="110"/>
  <c r="D37" i="110"/>
  <c r="R36" i="110"/>
  <c r="L36" i="110"/>
  <c r="F36" i="110"/>
  <c r="T35" i="110"/>
  <c r="N35" i="110"/>
  <c r="H35" i="110"/>
  <c r="V34" i="110"/>
  <c r="P34" i="110"/>
  <c r="J34" i="110"/>
  <c r="D34" i="110"/>
  <c r="R33" i="110"/>
  <c r="L33" i="110"/>
  <c r="F33" i="110"/>
  <c r="T28" i="110"/>
  <c r="N28" i="110"/>
  <c r="H28" i="110"/>
  <c r="V27" i="110"/>
  <c r="P27" i="110"/>
  <c r="J27" i="110"/>
  <c r="D27" i="110"/>
  <c r="R26" i="110"/>
  <c r="L26" i="110"/>
  <c r="F26" i="110"/>
  <c r="T25" i="110"/>
  <c r="N25" i="110"/>
  <c r="H25" i="110"/>
  <c r="V24" i="110"/>
  <c r="P24" i="110"/>
  <c r="J24" i="110"/>
  <c r="D24" i="110"/>
  <c r="R23" i="110"/>
  <c r="L23" i="110"/>
  <c r="F23" i="110"/>
  <c r="T22" i="110"/>
  <c r="N22" i="110"/>
  <c r="H22" i="110"/>
  <c r="V21" i="110"/>
  <c r="P21" i="110"/>
  <c r="J21" i="110"/>
  <c r="D21" i="110"/>
  <c r="R20" i="110"/>
  <c r="L20" i="110"/>
  <c r="F20" i="110"/>
  <c r="T19" i="110"/>
  <c r="N19" i="110"/>
  <c r="H19" i="110"/>
  <c r="V18" i="110"/>
  <c r="P18" i="110"/>
  <c r="J18" i="110"/>
  <c r="D18" i="110"/>
  <c r="R17" i="110"/>
  <c r="L17" i="110"/>
  <c r="F17" i="110"/>
  <c r="T16" i="110"/>
  <c r="N16" i="110"/>
  <c r="H16" i="110"/>
  <c r="V15" i="110"/>
  <c r="P15" i="110"/>
  <c r="J15" i="110"/>
  <c r="D15" i="110"/>
  <c r="R14" i="110"/>
  <c r="L14" i="110"/>
  <c r="F14" i="110"/>
  <c r="T13" i="110"/>
  <c r="N13" i="110"/>
  <c r="H13" i="110"/>
  <c r="V12" i="110"/>
  <c r="P12" i="110"/>
  <c r="J12" i="110"/>
  <c r="D12" i="110"/>
  <c r="R11" i="110"/>
  <c r="L11" i="110"/>
  <c r="F11" i="110"/>
  <c r="T10" i="110"/>
  <c r="N10" i="110"/>
  <c r="H10" i="110"/>
  <c r="V9" i="110"/>
  <c r="P9" i="110"/>
  <c r="J9" i="110"/>
  <c r="D9" i="110"/>
  <c r="R8" i="110"/>
  <c r="L8" i="110"/>
  <c r="F8" i="110"/>
  <c r="T53" i="109"/>
  <c r="L63" i="112"/>
  <c r="T53" i="112"/>
  <c r="H53" i="112"/>
  <c r="L52" i="112"/>
  <c r="T51" i="112"/>
  <c r="H51" i="112"/>
  <c r="O50" i="112"/>
  <c r="W49" i="112"/>
  <c r="G49" i="112"/>
  <c r="O48" i="112"/>
  <c r="E48" i="112"/>
  <c r="Q47" i="112"/>
  <c r="I47" i="112"/>
  <c r="S46" i="112"/>
  <c r="K46" i="112"/>
  <c r="V45" i="112"/>
  <c r="N45" i="112"/>
  <c r="E45" i="112"/>
  <c r="P44" i="112"/>
  <c r="G44" i="112"/>
  <c r="S43" i="112"/>
  <c r="K43" i="112"/>
  <c r="V42" i="112"/>
  <c r="M42" i="112"/>
  <c r="D42" i="112"/>
  <c r="P41" i="112"/>
  <c r="G41" i="112"/>
  <c r="S40" i="112"/>
  <c r="I40" i="112"/>
  <c r="U39" i="112"/>
  <c r="M39" i="112"/>
  <c r="D39" i="112"/>
  <c r="P38" i="112"/>
  <c r="F38" i="112"/>
  <c r="R37" i="112"/>
  <c r="I37" i="112"/>
  <c r="U36" i="112"/>
  <c r="M36" i="112"/>
  <c r="W35" i="112"/>
  <c r="O35" i="112"/>
  <c r="F35" i="112"/>
  <c r="R34" i="112"/>
  <c r="I34" i="112"/>
  <c r="T33" i="112"/>
  <c r="K33" i="112"/>
  <c r="W28" i="112"/>
  <c r="O28" i="112"/>
  <c r="F28" i="112"/>
  <c r="Q27" i="112"/>
  <c r="H27" i="112"/>
  <c r="U26" i="112"/>
  <c r="N26" i="112"/>
  <c r="G26" i="112"/>
  <c r="S25" i="112"/>
  <c r="L25" i="112"/>
  <c r="E25" i="112"/>
  <c r="R24" i="112"/>
  <c r="K24" i="112"/>
  <c r="W23" i="112"/>
  <c r="P23" i="112"/>
  <c r="I23" i="112"/>
  <c r="V22" i="112"/>
  <c r="O22" i="112"/>
  <c r="G22" i="112"/>
  <c r="T21" i="112"/>
  <c r="M21" i="112"/>
  <c r="F21" i="112"/>
  <c r="S20" i="112"/>
  <c r="K20" i="112"/>
  <c r="D20" i="112"/>
  <c r="Q19" i="112"/>
  <c r="J19" i="112"/>
  <c r="W18" i="112"/>
  <c r="O18" i="112"/>
  <c r="H18" i="112"/>
  <c r="U17" i="112"/>
  <c r="N17" i="112"/>
  <c r="G17" i="112"/>
  <c r="S16" i="112"/>
  <c r="L16" i="112"/>
  <c r="E16" i="112"/>
  <c r="R15" i="112"/>
  <c r="K15" i="112"/>
  <c r="W14" i="112"/>
  <c r="P14" i="112"/>
  <c r="I14" i="112"/>
  <c r="V13" i="112"/>
  <c r="O13" i="112"/>
  <c r="G13" i="112"/>
  <c r="T12" i="112"/>
  <c r="M12" i="112"/>
  <c r="F12" i="112"/>
  <c r="S11" i="112"/>
  <c r="K11" i="112"/>
  <c r="D11" i="112"/>
  <c r="Q10" i="112"/>
  <c r="J10" i="112"/>
  <c r="W9" i="112"/>
  <c r="O9" i="112"/>
  <c r="H9" i="112"/>
  <c r="U8" i="112"/>
  <c r="N8" i="112"/>
  <c r="G8" i="112"/>
  <c r="V53" i="110"/>
  <c r="O53" i="110"/>
  <c r="G53" i="110"/>
  <c r="T52" i="110"/>
  <c r="M52" i="110"/>
  <c r="F52" i="110"/>
  <c r="S51" i="110"/>
  <c r="K51" i="110"/>
  <c r="D51" i="110"/>
  <c r="Q50" i="110"/>
  <c r="J50" i="110"/>
  <c r="W49" i="110"/>
  <c r="O49" i="110"/>
  <c r="H49" i="110"/>
  <c r="U48" i="110"/>
  <c r="N48" i="110"/>
  <c r="G48" i="110"/>
  <c r="S47" i="110"/>
  <c r="L47" i="110"/>
  <c r="E47" i="110"/>
  <c r="R46" i="110"/>
  <c r="K46" i="110"/>
  <c r="W45" i="110"/>
  <c r="P45" i="110"/>
  <c r="I45" i="110"/>
  <c r="V44" i="110"/>
  <c r="O44" i="110"/>
  <c r="G44" i="110"/>
  <c r="T43" i="110"/>
  <c r="M43" i="110"/>
  <c r="F43" i="110"/>
  <c r="S42" i="110"/>
  <c r="K42" i="110"/>
  <c r="D42" i="110"/>
  <c r="Q41" i="110"/>
  <c r="J41" i="110"/>
  <c r="W40" i="110"/>
  <c r="O40" i="110"/>
  <c r="H40" i="110"/>
  <c r="U39" i="110"/>
  <c r="N39" i="110"/>
  <c r="G39" i="110"/>
  <c r="S38" i="110"/>
  <c r="L38" i="110"/>
  <c r="E38" i="110"/>
  <c r="R37" i="110"/>
  <c r="K37" i="110"/>
  <c r="W36" i="110"/>
  <c r="P36" i="110"/>
  <c r="I36" i="110"/>
  <c r="V35" i="110"/>
  <c r="O35" i="110"/>
  <c r="G35" i="110"/>
  <c r="T34" i="110"/>
  <c r="M34" i="110"/>
  <c r="F34" i="110"/>
  <c r="S33" i="110"/>
  <c r="K33" i="110"/>
  <c r="D33" i="110"/>
  <c r="Q28" i="110"/>
  <c r="J28" i="110"/>
  <c r="W27" i="110"/>
  <c r="O27" i="110"/>
  <c r="H27" i="110"/>
  <c r="U26" i="110"/>
  <c r="N26" i="110"/>
  <c r="G26" i="110"/>
  <c r="S25" i="110"/>
  <c r="L25" i="110"/>
  <c r="E25" i="110"/>
  <c r="R24" i="110"/>
  <c r="K24" i="110"/>
  <c r="W23" i="110"/>
  <c r="P23" i="110"/>
  <c r="I23" i="110"/>
  <c r="V22" i="110"/>
  <c r="Q53" i="112"/>
  <c r="D53" i="112"/>
  <c r="K52" i="112"/>
  <c r="S51" i="112"/>
  <c r="F51" i="112"/>
  <c r="N50" i="112"/>
  <c r="R49" i="112"/>
  <c r="F49" i="112"/>
  <c r="N48" i="112"/>
  <c r="D48" i="112"/>
  <c r="P47" i="112"/>
  <c r="F47" i="112"/>
  <c r="R46" i="112"/>
  <c r="I46" i="112"/>
  <c r="U45" i="112"/>
  <c r="M45" i="112"/>
  <c r="W44" i="112"/>
  <c r="O44" i="112"/>
  <c r="F44" i="112"/>
  <c r="R43" i="112"/>
  <c r="I43" i="112"/>
  <c r="T42" i="112"/>
  <c r="K42" i="112"/>
  <c r="W41" i="112"/>
  <c r="O41" i="112"/>
  <c r="F41" i="112"/>
  <c r="Q40" i="112"/>
  <c r="H40" i="112"/>
  <c r="T39" i="112"/>
  <c r="K39" i="112"/>
  <c r="W38" i="112"/>
  <c r="M38" i="112"/>
  <c r="E38" i="112"/>
  <c r="Q37" i="112"/>
  <c r="H37" i="112"/>
  <c r="T36" i="112"/>
  <c r="J36" i="112"/>
  <c r="V35" i="112"/>
  <c r="M35" i="112"/>
  <c r="E35" i="112"/>
  <c r="Q34" i="112"/>
  <c r="G34" i="112"/>
  <c r="S33" i="112"/>
  <c r="J33" i="112"/>
  <c r="V28" i="112"/>
  <c r="M28" i="112"/>
  <c r="D28" i="112"/>
  <c r="O27" i="112"/>
  <c r="G27" i="112"/>
  <c r="T26" i="112"/>
  <c r="M26" i="112"/>
  <c r="E26" i="112"/>
  <c r="R25" i="112"/>
  <c r="K25" i="112"/>
  <c r="D25" i="112"/>
  <c r="Q24" i="112"/>
  <c r="I24" i="112"/>
  <c r="V23" i="112"/>
  <c r="O23" i="112"/>
  <c r="H23" i="112"/>
  <c r="U22" i="112"/>
  <c r="M22" i="112"/>
  <c r="F22" i="112"/>
  <c r="S21" i="112"/>
  <c r="L21" i="112"/>
  <c r="E21" i="112"/>
  <c r="Q20" i="112"/>
  <c r="J20" i="112"/>
  <c r="W19" i="112"/>
  <c r="P19" i="112"/>
  <c r="I19" i="112"/>
  <c r="U18" i="112"/>
  <c r="N18" i="112"/>
  <c r="G18" i="112"/>
  <c r="T17" i="112"/>
  <c r="M17" i="112"/>
  <c r="E17" i="112"/>
  <c r="R16" i="112"/>
  <c r="K16" i="112"/>
  <c r="D16" i="112"/>
  <c r="Q15" i="112"/>
  <c r="I15" i="112"/>
  <c r="V14" i="112"/>
  <c r="O14" i="112"/>
  <c r="H14" i="112"/>
  <c r="U13" i="112"/>
  <c r="M13" i="112"/>
  <c r="F13" i="112"/>
  <c r="S12" i="112"/>
  <c r="L12" i="112"/>
  <c r="E12" i="112"/>
  <c r="Q11" i="112"/>
  <c r="J11" i="112"/>
  <c r="W10" i="112"/>
  <c r="P10" i="112"/>
  <c r="I10" i="112"/>
  <c r="U9" i="112"/>
  <c r="N9" i="112"/>
  <c r="G9" i="112"/>
  <c r="T8" i="112"/>
  <c r="M8" i="112"/>
  <c r="E8" i="112"/>
  <c r="U53" i="110"/>
  <c r="M53" i="110"/>
  <c r="F53" i="110"/>
  <c r="S52" i="110"/>
  <c r="L52" i="110"/>
  <c r="E52" i="110"/>
  <c r="Q51" i="110"/>
  <c r="J51" i="110"/>
  <c r="W50" i="110"/>
  <c r="P50" i="110"/>
  <c r="I50" i="110"/>
  <c r="U49" i="110"/>
  <c r="N49" i="110"/>
  <c r="G49" i="110"/>
  <c r="T48" i="110"/>
  <c r="M48" i="110"/>
  <c r="E48" i="110"/>
  <c r="R47" i="110"/>
  <c r="K47" i="110"/>
  <c r="D47" i="110"/>
  <c r="Q46" i="110"/>
  <c r="I46" i="110"/>
  <c r="V45" i="110"/>
  <c r="O45" i="110"/>
  <c r="H45" i="110"/>
  <c r="U44" i="110"/>
  <c r="M44" i="110"/>
  <c r="F44" i="110"/>
  <c r="S43" i="110"/>
  <c r="L43" i="110"/>
  <c r="E43" i="110"/>
  <c r="Q42" i="110"/>
  <c r="J42" i="110"/>
  <c r="W41" i="110"/>
  <c r="P41" i="110"/>
  <c r="I41" i="110"/>
  <c r="U40" i="110"/>
  <c r="N40" i="110"/>
  <c r="G40" i="110"/>
  <c r="T39" i="110"/>
  <c r="M39" i="110"/>
  <c r="E39" i="110"/>
  <c r="R38" i="110"/>
  <c r="K38" i="110"/>
  <c r="D38" i="110"/>
  <c r="Q37" i="110"/>
  <c r="I37" i="110"/>
  <c r="V36" i="110"/>
  <c r="O36" i="110"/>
  <c r="H36" i="110"/>
  <c r="U35" i="110"/>
  <c r="M35" i="110"/>
  <c r="F35" i="110"/>
  <c r="S34" i="110"/>
  <c r="L34" i="110"/>
  <c r="E34" i="110"/>
  <c r="Q33" i="110"/>
  <c r="J33" i="110"/>
  <c r="W28" i="110"/>
  <c r="P28" i="110"/>
  <c r="I28" i="110"/>
  <c r="U27" i="110"/>
  <c r="N27" i="110"/>
  <c r="G27" i="110"/>
  <c r="T26" i="110"/>
  <c r="M26" i="110"/>
  <c r="E26" i="110"/>
  <c r="R25" i="110"/>
  <c r="K25" i="110"/>
  <c r="D25" i="110"/>
  <c r="Q24" i="110"/>
  <c r="I24" i="110"/>
  <c r="V23" i="110"/>
  <c r="O23" i="110"/>
  <c r="H23" i="110"/>
  <c r="U22" i="110"/>
  <c r="M22" i="110"/>
  <c r="F22" i="110"/>
  <c r="S21" i="110"/>
  <c r="L21" i="110"/>
  <c r="E21" i="110"/>
  <c r="Q20" i="110"/>
  <c r="J20" i="110"/>
  <c r="W19" i="110"/>
  <c r="P19" i="110"/>
  <c r="I19" i="110"/>
  <c r="U18" i="110"/>
  <c r="N18" i="110"/>
  <c r="G18" i="110"/>
  <c r="T17" i="110"/>
  <c r="M17" i="110"/>
  <c r="E17" i="110"/>
  <c r="R16" i="110"/>
  <c r="K16" i="110"/>
  <c r="D16" i="110"/>
  <c r="Q15" i="110"/>
  <c r="I15" i="110"/>
  <c r="V14" i="110"/>
  <c r="O14" i="110"/>
  <c r="H14" i="110"/>
  <c r="U13" i="110"/>
  <c r="M13" i="110"/>
  <c r="F13" i="110"/>
  <c r="S12" i="110"/>
  <c r="L12" i="110"/>
  <c r="E12" i="110"/>
  <c r="Q11" i="110"/>
  <c r="J11" i="110"/>
  <c r="W10" i="110"/>
  <c r="P10" i="110"/>
  <c r="I10" i="110"/>
  <c r="U9" i="110"/>
  <c r="N9" i="110"/>
  <c r="G9" i="110"/>
  <c r="T8" i="110"/>
  <c r="M8" i="110"/>
  <c r="E8" i="110"/>
  <c r="R53" i="109"/>
  <c r="L53" i="109"/>
  <c r="F53" i="109"/>
  <c r="T52" i="109"/>
  <c r="N52" i="109"/>
  <c r="H52" i="109"/>
  <c r="V51" i="109"/>
  <c r="P51" i="109"/>
  <c r="J51" i="109"/>
  <c r="D51" i="109"/>
  <c r="R50" i="109"/>
  <c r="L50" i="109"/>
  <c r="F50" i="109"/>
  <c r="T49" i="109"/>
  <c r="N49" i="109"/>
  <c r="H49" i="109"/>
  <c r="V48" i="109"/>
  <c r="P48" i="109"/>
  <c r="J48" i="109"/>
  <c r="D48" i="109"/>
  <c r="R47" i="109"/>
  <c r="L47" i="109"/>
  <c r="F47" i="109"/>
  <c r="T46" i="109"/>
  <c r="N46" i="109"/>
  <c r="H46" i="109"/>
  <c r="V45" i="109"/>
  <c r="P45" i="109"/>
  <c r="J45" i="109"/>
  <c r="D45" i="109"/>
  <c r="R44" i="109"/>
  <c r="L44" i="109"/>
  <c r="F44" i="109"/>
  <c r="T43" i="109"/>
  <c r="N43" i="109"/>
  <c r="H43" i="109"/>
  <c r="V42" i="109"/>
  <c r="P42" i="109"/>
  <c r="J42" i="109"/>
  <c r="D42" i="109"/>
  <c r="R41" i="109"/>
  <c r="L41" i="109"/>
  <c r="F41" i="109"/>
  <c r="T40" i="109"/>
  <c r="N40" i="109"/>
  <c r="H40" i="109"/>
  <c r="V39" i="109"/>
  <c r="P39" i="109"/>
  <c r="J39" i="109"/>
  <c r="D39" i="109"/>
  <c r="R38" i="109"/>
  <c r="L38" i="109"/>
  <c r="F38" i="109"/>
  <c r="T37" i="109"/>
  <c r="N37" i="109"/>
  <c r="H37" i="109"/>
  <c r="V36" i="109"/>
  <c r="P36" i="109"/>
  <c r="J36" i="109"/>
  <c r="D36" i="109"/>
  <c r="R35" i="109"/>
  <c r="L35" i="109"/>
  <c r="F35" i="109"/>
  <c r="T34" i="109"/>
  <c r="N34" i="109"/>
  <c r="H34" i="109"/>
  <c r="V33" i="109"/>
  <c r="P33" i="109"/>
  <c r="J33" i="109"/>
  <c r="D33" i="109"/>
  <c r="R28" i="109"/>
  <c r="L28" i="109"/>
  <c r="F28" i="109"/>
  <c r="T27" i="109"/>
  <c r="N27" i="109"/>
  <c r="H27" i="109"/>
  <c r="V26" i="109"/>
  <c r="P26" i="109"/>
  <c r="J26" i="109"/>
  <c r="D26" i="109"/>
  <c r="R25" i="109"/>
  <c r="L25" i="109"/>
  <c r="F25" i="109"/>
  <c r="T24" i="109"/>
  <c r="N24" i="109"/>
  <c r="H24" i="109"/>
  <c r="V23" i="109"/>
  <c r="P23" i="109"/>
  <c r="J23" i="109"/>
  <c r="D23" i="109"/>
  <c r="R22" i="109"/>
  <c r="L22" i="109"/>
  <c r="F22" i="109"/>
  <c r="T21" i="109"/>
  <c r="N21" i="109"/>
  <c r="H21" i="109"/>
  <c r="V20" i="109"/>
  <c r="P20" i="109"/>
  <c r="J20" i="109"/>
  <c r="D20" i="109"/>
  <c r="R19" i="109"/>
  <c r="L19" i="109"/>
  <c r="F19" i="109"/>
  <c r="T18" i="109"/>
  <c r="N18" i="109"/>
  <c r="H18" i="109"/>
  <c r="V17" i="109"/>
  <c r="P17" i="109"/>
  <c r="J17" i="109"/>
  <c r="D17" i="109"/>
  <c r="R16" i="109"/>
  <c r="L16" i="109"/>
  <c r="F16" i="109"/>
  <c r="T15" i="109"/>
  <c r="N15" i="109"/>
  <c r="H15" i="109"/>
  <c r="V14" i="109"/>
  <c r="P14" i="109"/>
  <c r="J14" i="109"/>
  <c r="D14" i="109"/>
  <c r="R13" i="109"/>
  <c r="L13" i="109"/>
  <c r="F13" i="109"/>
  <c r="T12" i="109"/>
  <c r="N12" i="109"/>
  <c r="H12" i="109"/>
  <c r="V11" i="109"/>
  <c r="P11" i="109"/>
  <c r="J11" i="109"/>
  <c r="D11" i="109"/>
  <c r="R10" i="109"/>
  <c r="L10" i="109"/>
  <c r="F10" i="109"/>
  <c r="T9" i="109"/>
  <c r="N9" i="109"/>
  <c r="H9" i="109"/>
  <c r="V8" i="109"/>
  <c r="O53" i="112"/>
  <c r="R52" i="112"/>
  <c r="R51" i="112"/>
  <c r="T50" i="112"/>
  <c r="Q49" i="112"/>
  <c r="T48" i="112"/>
  <c r="W47" i="112"/>
  <c r="K47" i="112"/>
  <c r="Q46" i="112"/>
  <c r="E46" i="112"/>
  <c r="J45" i="112"/>
  <c r="S44" i="112"/>
  <c r="E44" i="112"/>
  <c r="M43" i="112"/>
  <c r="S42" i="112"/>
  <c r="H42" i="112"/>
  <c r="M41" i="112"/>
  <c r="U40" i="112"/>
  <c r="G40" i="112"/>
  <c r="O39" i="112"/>
  <c r="U38" i="112"/>
  <c r="J38" i="112"/>
  <c r="O37" i="112"/>
  <c r="W36" i="112"/>
  <c r="I36" i="112"/>
  <c r="R35" i="112"/>
  <c r="D35" i="112"/>
  <c r="L34" i="112"/>
  <c r="Q33" i="112"/>
  <c r="E33" i="112"/>
  <c r="K28" i="112"/>
  <c r="T27" i="112"/>
  <c r="F27" i="112"/>
  <c r="P26" i="112"/>
  <c r="D26" i="112"/>
  <c r="O25" i="112"/>
  <c r="W24" i="112"/>
  <c r="M24" i="112"/>
  <c r="U23" i="112"/>
  <c r="K23" i="112"/>
  <c r="S22" i="112"/>
  <c r="J22" i="112"/>
  <c r="R21" i="112"/>
  <c r="H21" i="112"/>
  <c r="P20" i="112"/>
  <c r="G20" i="112"/>
  <c r="O19" i="112"/>
  <c r="E19" i="112"/>
  <c r="M18" i="112"/>
  <c r="W17" i="112"/>
  <c r="K17" i="112"/>
  <c r="V16" i="112"/>
  <c r="J16" i="112"/>
  <c r="T15" i="112"/>
  <c r="H15" i="112"/>
  <c r="S14" i="112"/>
  <c r="G14" i="112"/>
  <c r="Q13" i="112"/>
  <c r="E13" i="112"/>
  <c r="O12" i="112"/>
  <c r="W11" i="112"/>
  <c r="N11" i="112"/>
  <c r="V10" i="112"/>
  <c r="L10" i="112"/>
  <c r="T9" i="112"/>
  <c r="K9" i="112"/>
  <c r="S8" i="112"/>
  <c r="I8" i="112"/>
  <c r="L53" i="110"/>
  <c r="W52" i="110"/>
  <c r="K52" i="110"/>
  <c r="U51" i="110"/>
  <c r="I51" i="110"/>
  <c r="S50" i="110"/>
  <c r="G50" i="110"/>
  <c r="R49" i="110"/>
  <c r="F49" i="110"/>
  <c r="P48" i="110"/>
  <c r="D48" i="110"/>
  <c r="O47" i="110"/>
  <c r="W46" i="110"/>
  <c r="M46" i="110"/>
  <c r="U45" i="110"/>
  <c r="K45" i="110"/>
  <c r="S44" i="110"/>
  <c r="J44" i="110"/>
  <c r="R43" i="110"/>
  <c r="H43" i="110"/>
  <c r="P42" i="110"/>
  <c r="G42" i="110"/>
  <c r="O41" i="110"/>
  <c r="E41" i="110"/>
  <c r="M40" i="110"/>
  <c r="W39" i="110"/>
  <c r="K39" i="110"/>
  <c r="V38" i="110"/>
  <c r="J38" i="110"/>
  <c r="T37" i="110"/>
  <c r="H37" i="110"/>
  <c r="S36" i="110"/>
  <c r="G36" i="110"/>
  <c r="Q35" i="110"/>
  <c r="E35" i="110"/>
  <c r="O34" i="110"/>
  <c r="W33" i="110"/>
  <c r="N33" i="110"/>
  <c r="V28" i="110"/>
  <c r="L28" i="110"/>
  <c r="T27" i="110"/>
  <c r="K27" i="110"/>
  <c r="S26" i="110"/>
  <c r="I26" i="110"/>
  <c r="Q25" i="110"/>
  <c r="G25" i="110"/>
  <c r="O24" i="110"/>
  <c r="F24" i="110"/>
  <c r="N23" i="110"/>
  <c r="D23" i="110"/>
  <c r="O22" i="110"/>
  <c r="E22" i="110"/>
  <c r="Q21" i="110"/>
  <c r="H21" i="110"/>
  <c r="T20" i="110"/>
  <c r="K20" i="110"/>
  <c r="V19" i="110"/>
  <c r="M19" i="110"/>
  <c r="E19" i="110"/>
  <c r="Q18" i="110"/>
  <c r="H18" i="110"/>
  <c r="S17" i="110"/>
  <c r="J17" i="110"/>
  <c r="V16" i="110"/>
  <c r="M16" i="110"/>
  <c r="E16" i="110"/>
  <c r="O15" i="110"/>
  <c r="G15" i="110"/>
  <c r="S14" i="110"/>
  <c r="J14" i="110"/>
  <c r="V13" i="110"/>
  <c r="L13" i="110"/>
  <c r="D13" i="110"/>
  <c r="O12" i="110"/>
  <c r="G12" i="110"/>
  <c r="S11" i="110"/>
  <c r="I11" i="110"/>
  <c r="U10" i="110"/>
  <c r="L10" i="110"/>
  <c r="D10" i="110"/>
  <c r="O9" i="110"/>
  <c r="F9" i="110"/>
  <c r="Q8" i="110"/>
  <c r="I8" i="110"/>
  <c r="U53" i="109"/>
  <c r="M53" i="109"/>
  <c r="E53" i="109"/>
  <c r="R52" i="109"/>
  <c r="K52" i="109"/>
  <c r="D52" i="109"/>
  <c r="Q51" i="109"/>
  <c r="I51" i="109"/>
  <c r="V50" i="109"/>
  <c r="O50" i="109"/>
  <c r="H50" i="109"/>
  <c r="U49" i="109"/>
  <c r="M49" i="109"/>
  <c r="F49" i="109"/>
  <c r="S48" i="109"/>
  <c r="L48" i="109"/>
  <c r="E48" i="109"/>
  <c r="Q47" i="109"/>
  <c r="J47" i="109"/>
  <c r="W46" i="109"/>
  <c r="P46" i="109"/>
  <c r="I46" i="109"/>
  <c r="U45" i="109"/>
  <c r="N45" i="109"/>
  <c r="G45" i="109"/>
  <c r="T44" i="109"/>
  <c r="M44" i="109"/>
  <c r="E44" i="109"/>
  <c r="R43" i="109"/>
  <c r="K43" i="109"/>
  <c r="D43" i="109"/>
  <c r="Q42" i="109"/>
  <c r="I42" i="109"/>
  <c r="V41" i="109"/>
  <c r="O41" i="109"/>
  <c r="H41" i="109"/>
  <c r="U40" i="109"/>
  <c r="M40" i="109"/>
  <c r="F40" i="109"/>
  <c r="S39" i="109"/>
  <c r="L39" i="109"/>
  <c r="E39" i="109"/>
  <c r="Q38" i="109"/>
  <c r="J38" i="109"/>
  <c r="W37" i="109"/>
  <c r="P37" i="109"/>
  <c r="I37" i="109"/>
  <c r="U36" i="109"/>
  <c r="N36" i="109"/>
  <c r="G36" i="109"/>
  <c r="T35" i="109"/>
  <c r="M35" i="109"/>
  <c r="E35" i="109"/>
  <c r="R34" i="109"/>
  <c r="K34" i="109"/>
  <c r="D34" i="109"/>
  <c r="Q33" i="109"/>
  <c r="I33" i="109"/>
  <c r="V28" i="109"/>
  <c r="O28" i="109"/>
  <c r="H28" i="109"/>
  <c r="U27" i="109"/>
  <c r="M27" i="109"/>
  <c r="F27" i="109"/>
  <c r="S26" i="109"/>
  <c r="L26" i="109"/>
  <c r="E26" i="109"/>
  <c r="Q25" i="109"/>
  <c r="J25" i="109"/>
  <c r="W24" i="109"/>
  <c r="P24" i="109"/>
  <c r="I24" i="109"/>
  <c r="U23" i="109"/>
  <c r="N23" i="109"/>
  <c r="G23" i="109"/>
  <c r="T22" i="109"/>
  <c r="M22" i="109"/>
  <c r="E22" i="109"/>
  <c r="R21" i="109"/>
  <c r="K21" i="109"/>
  <c r="D21" i="109"/>
  <c r="Q20" i="109"/>
  <c r="I20" i="109"/>
  <c r="V19" i="109"/>
  <c r="O19" i="109"/>
  <c r="H19" i="109"/>
  <c r="U18" i="109"/>
  <c r="M18" i="109"/>
  <c r="F18" i="109"/>
  <c r="S17" i="109"/>
  <c r="L17" i="109"/>
  <c r="E17" i="109"/>
  <c r="Q16" i="109"/>
  <c r="J16" i="109"/>
  <c r="W15" i="109"/>
  <c r="P15" i="109"/>
  <c r="I15" i="109"/>
  <c r="U14" i="109"/>
  <c r="N14" i="109"/>
  <c r="G14" i="109"/>
  <c r="T13" i="109"/>
  <c r="M13" i="109"/>
  <c r="E13" i="109"/>
  <c r="R12" i="109"/>
  <c r="K12" i="109"/>
  <c r="D12" i="109"/>
  <c r="Q11" i="109"/>
  <c r="I11" i="109"/>
  <c r="V10" i="109"/>
  <c r="O10" i="109"/>
  <c r="H10" i="109"/>
  <c r="U9" i="109"/>
  <c r="M9" i="109"/>
  <c r="F9" i="109"/>
  <c r="S8" i="109"/>
  <c r="M8" i="109"/>
  <c r="G8" i="109"/>
  <c r="N53" i="112"/>
  <c r="Q52" i="112"/>
  <c r="N51" i="112"/>
  <c r="P50" i="112"/>
  <c r="P49" i="112"/>
  <c r="R48" i="112"/>
  <c r="U47" i="112"/>
  <c r="J47" i="112"/>
  <c r="O46" i="112"/>
  <c r="W45" i="112"/>
  <c r="I45" i="112"/>
  <c r="R44" i="112"/>
  <c r="D44" i="112"/>
  <c r="L43" i="112"/>
  <c r="Q42" i="112"/>
  <c r="E42" i="112"/>
  <c r="K41" i="112"/>
  <c r="T40" i="112"/>
  <c r="F40" i="112"/>
  <c r="N39" i="112"/>
  <c r="S38" i="112"/>
  <c r="I38" i="112"/>
  <c r="N37" i="112"/>
  <c r="V36" i="112"/>
  <c r="H36" i="112"/>
  <c r="P35" i="112"/>
  <c r="U34" i="112"/>
  <c r="K34" i="112"/>
  <c r="P33" i="112"/>
  <c r="D33" i="112"/>
  <c r="J28" i="112"/>
  <c r="S27" i="112"/>
  <c r="E27" i="112"/>
  <c r="O26" i="112"/>
  <c r="W25" i="112"/>
  <c r="M25" i="112"/>
  <c r="U24" i="112"/>
  <c r="L24" i="112"/>
  <c r="T23" i="112"/>
  <c r="J23" i="112"/>
  <c r="R22" i="112"/>
  <c r="I22" i="112"/>
  <c r="Q21" i="112"/>
  <c r="G21" i="112"/>
  <c r="O20" i="112"/>
  <c r="E20" i="112"/>
  <c r="M19" i="112"/>
  <c r="D19" i="112"/>
  <c r="L18" i="112"/>
  <c r="V17" i="112"/>
  <c r="J17" i="112"/>
  <c r="U16" i="112"/>
  <c r="I16" i="112"/>
  <c r="S15" i="112"/>
  <c r="G15" i="112"/>
  <c r="Q14" i="112"/>
  <c r="E14" i="112"/>
  <c r="P13" i="112"/>
  <c r="D13" i="112"/>
  <c r="N12" i="112"/>
  <c r="V11" i="112"/>
  <c r="M11" i="112"/>
  <c r="U10" i="112"/>
  <c r="K10" i="112"/>
  <c r="S9" i="112"/>
  <c r="I9" i="112"/>
  <c r="Q8" i="112"/>
  <c r="H8" i="112"/>
  <c r="W53" i="110"/>
  <c r="K53" i="110"/>
  <c r="U52" i="110"/>
  <c r="I52" i="110"/>
  <c r="T51" i="110"/>
  <c r="H51" i="110"/>
  <c r="R50" i="110"/>
  <c r="F50" i="110"/>
  <c r="Q49" i="110"/>
  <c r="E49" i="110"/>
  <c r="O48" i="110"/>
  <c r="W47" i="110"/>
  <c r="M47" i="110"/>
  <c r="U46" i="110"/>
  <c r="L46" i="110"/>
  <c r="T45" i="110"/>
  <c r="J45" i="110"/>
  <c r="R44" i="110"/>
  <c r="I44" i="110"/>
  <c r="Q43" i="110"/>
  <c r="G43" i="110"/>
  <c r="O42" i="110"/>
  <c r="E42" i="110"/>
  <c r="M41" i="110"/>
  <c r="D41" i="110"/>
  <c r="L40" i="110"/>
  <c r="V39" i="110"/>
  <c r="J39" i="110"/>
  <c r="U38" i="110"/>
  <c r="I38" i="110"/>
  <c r="S37" i="110"/>
  <c r="G37" i="110"/>
  <c r="Q36" i="110"/>
  <c r="E36" i="110"/>
  <c r="P35" i="110"/>
  <c r="D35" i="110"/>
  <c r="N34" i="110"/>
  <c r="V33" i="110"/>
  <c r="M33" i="110"/>
  <c r="U28" i="110"/>
  <c r="K28" i="110"/>
  <c r="S27" i="110"/>
  <c r="I27" i="110"/>
  <c r="Q26" i="110"/>
  <c r="H26" i="110"/>
  <c r="P25" i="110"/>
  <c r="F25" i="110"/>
  <c r="N24" i="110"/>
  <c r="E24" i="110"/>
  <c r="M23" i="110"/>
  <c r="W22" i="110"/>
  <c r="L22" i="110"/>
  <c r="D22" i="110"/>
  <c r="O21" i="110"/>
  <c r="G21" i="110"/>
  <c r="S20" i="110"/>
  <c r="I20" i="110"/>
  <c r="U19" i="110"/>
  <c r="L19" i="110"/>
  <c r="D19" i="110"/>
  <c r="O18" i="110"/>
  <c r="F18" i="110"/>
  <c r="Q17" i="110"/>
  <c r="I17" i="110"/>
  <c r="U16" i="110"/>
  <c r="L16" i="110"/>
  <c r="W15" i="110"/>
  <c r="N15" i="110"/>
  <c r="F15" i="110"/>
  <c r="Q14" i="110"/>
  <c r="I14" i="110"/>
  <c r="S13" i="110"/>
  <c r="K13" i="110"/>
  <c r="W12" i="110"/>
  <c r="N12" i="110"/>
  <c r="F12" i="110"/>
  <c r="P11" i="110"/>
  <c r="H11" i="110"/>
  <c r="S10" i="110"/>
  <c r="K10" i="110"/>
  <c r="W9" i="110"/>
  <c r="M9" i="110"/>
  <c r="E9" i="110"/>
  <c r="P8" i="110"/>
  <c r="H8" i="110"/>
  <c r="S53" i="109"/>
  <c r="K53" i="109"/>
  <c r="D53" i="109"/>
  <c r="Q52" i="109"/>
  <c r="J52" i="109"/>
  <c r="W51" i="109"/>
  <c r="O51" i="109"/>
  <c r="H51" i="109"/>
  <c r="U50" i="109"/>
  <c r="N50" i="109"/>
  <c r="G50" i="109"/>
  <c r="S49" i="109"/>
  <c r="L49" i="109"/>
  <c r="E49" i="109"/>
  <c r="R48" i="109"/>
  <c r="K48" i="109"/>
  <c r="W47" i="109"/>
  <c r="P47" i="109"/>
  <c r="I47" i="109"/>
  <c r="V46" i="109"/>
  <c r="O46" i="109"/>
  <c r="G46" i="109"/>
  <c r="T45" i="109"/>
  <c r="M45" i="109"/>
  <c r="F45" i="109"/>
  <c r="S44" i="109"/>
  <c r="K44" i="109"/>
  <c r="D44" i="109"/>
  <c r="Q43" i="109"/>
  <c r="J43" i="109"/>
  <c r="W42" i="109"/>
  <c r="O42" i="109"/>
  <c r="H42" i="109"/>
  <c r="U41" i="109"/>
  <c r="N41" i="109"/>
  <c r="G41" i="109"/>
  <c r="S40" i="109"/>
  <c r="L40" i="109"/>
  <c r="E40" i="109"/>
  <c r="R39" i="109"/>
  <c r="K39" i="109"/>
  <c r="W38" i="109"/>
  <c r="P38" i="109"/>
  <c r="I38" i="109"/>
  <c r="V37" i="109"/>
  <c r="O37" i="109"/>
  <c r="G37" i="109"/>
  <c r="T36" i="109"/>
  <c r="M36" i="109"/>
  <c r="F36" i="109"/>
  <c r="S35" i="109"/>
  <c r="K35" i="109"/>
  <c r="D35" i="109"/>
  <c r="Q34" i="109"/>
  <c r="J34" i="109"/>
  <c r="W33" i="109"/>
  <c r="O33" i="109"/>
  <c r="H33" i="109"/>
  <c r="U28" i="109"/>
  <c r="N28" i="109"/>
  <c r="G28" i="109"/>
  <c r="S27" i="109"/>
  <c r="L27" i="109"/>
  <c r="E27" i="109"/>
  <c r="R26" i="109"/>
  <c r="K26" i="109"/>
  <c r="W25" i="109"/>
  <c r="P25" i="109"/>
  <c r="I25" i="109"/>
  <c r="V24" i="109"/>
  <c r="O24" i="109"/>
  <c r="G24" i="109"/>
  <c r="T23" i="109"/>
  <c r="M23" i="109"/>
  <c r="F23" i="109"/>
  <c r="S22" i="109"/>
  <c r="K22" i="109"/>
  <c r="D22" i="109"/>
  <c r="Q21" i="109"/>
  <c r="J21" i="109"/>
  <c r="W20" i="109"/>
  <c r="O20" i="109"/>
  <c r="H20" i="109"/>
  <c r="U19" i="109"/>
  <c r="N19" i="109"/>
  <c r="G19" i="109"/>
  <c r="S18" i="109"/>
  <c r="L18" i="109"/>
  <c r="E18" i="109"/>
  <c r="R17" i="109"/>
  <c r="K17" i="109"/>
  <c r="W16" i="109"/>
  <c r="P16" i="109"/>
  <c r="I16" i="109"/>
  <c r="V15" i="109"/>
  <c r="O15" i="109"/>
  <c r="G15" i="109"/>
  <c r="T14" i="109"/>
  <c r="M14" i="109"/>
  <c r="F14" i="109"/>
  <c r="S13" i="109"/>
  <c r="K13" i="109"/>
  <c r="D13" i="109"/>
  <c r="Q12" i="109"/>
  <c r="J12" i="109"/>
  <c r="W11" i="109"/>
  <c r="O11" i="109"/>
  <c r="H11" i="109"/>
  <c r="U10" i="109"/>
  <c r="N10" i="109"/>
  <c r="G10" i="109"/>
  <c r="S9" i="109"/>
  <c r="L9" i="109"/>
  <c r="E9" i="109"/>
  <c r="R8" i="109"/>
  <c r="L8" i="109"/>
  <c r="F8" i="109"/>
  <c r="T53" i="106"/>
  <c r="N53" i="106"/>
  <c r="H53" i="106"/>
  <c r="V52" i="106"/>
  <c r="P52" i="106"/>
  <c r="J52" i="106"/>
  <c r="D52" i="106"/>
  <c r="R51" i="106"/>
  <c r="L51" i="106"/>
  <c r="F51" i="106"/>
  <c r="T50" i="106"/>
  <c r="N50" i="106"/>
  <c r="H50" i="106"/>
  <c r="V49" i="106"/>
  <c r="P49" i="106"/>
  <c r="J49" i="106"/>
  <c r="D49" i="106"/>
  <c r="R48" i="106"/>
  <c r="L48" i="106"/>
  <c r="F48" i="106"/>
  <c r="T47" i="106"/>
  <c r="N47" i="106"/>
  <c r="H47" i="106"/>
  <c r="V46" i="106"/>
  <c r="P46" i="106"/>
  <c r="J46" i="106"/>
  <c r="D46" i="106"/>
  <c r="R45" i="106"/>
  <c r="L45" i="106"/>
  <c r="F45" i="106"/>
  <c r="T44" i="106"/>
  <c r="N44" i="106"/>
  <c r="H44" i="106"/>
  <c r="V43" i="106"/>
  <c r="P43" i="106"/>
  <c r="J43" i="106"/>
  <c r="D43" i="106"/>
  <c r="R42" i="106"/>
  <c r="L42" i="106"/>
  <c r="F42" i="106"/>
  <c r="T41" i="106"/>
  <c r="N41" i="106"/>
  <c r="H41" i="106"/>
  <c r="V40" i="106"/>
  <c r="P40" i="106"/>
  <c r="J40" i="106"/>
  <c r="D40" i="106"/>
  <c r="R39" i="106"/>
  <c r="L39" i="106"/>
  <c r="F39" i="106"/>
  <c r="T38" i="106"/>
  <c r="N38" i="106"/>
  <c r="H38" i="106"/>
  <c r="V37" i="106"/>
  <c r="P37" i="106"/>
  <c r="J37" i="106"/>
  <c r="D37" i="106"/>
  <c r="R36" i="106"/>
  <c r="L36" i="106"/>
  <c r="F36" i="106"/>
  <c r="T35" i="106"/>
  <c r="N35" i="106"/>
  <c r="H35" i="106"/>
  <c r="V34" i="106"/>
  <c r="P34" i="106"/>
  <c r="J34" i="106"/>
  <c r="D34" i="106"/>
  <c r="R33" i="106"/>
  <c r="L33" i="106"/>
  <c r="F33" i="106"/>
  <c r="T28" i="106"/>
  <c r="N28" i="106"/>
  <c r="H28" i="106"/>
  <c r="J53" i="112"/>
  <c r="J52" i="112"/>
  <c r="L51" i="112"/>
  <c r="J50" i="112"/>
  <c r="M49" i="112"/>
  <c r="L48" i="112"/>
  <c r="S47" i="112"/>
  <c r="E47" i="112"/>
  <c r="N46" i="112"/>
  <c r="T45" i="112"/>
  <c r="H45" i="112"/>
  <c r="M44" i="112"/>
  <c r="U43" i="112"/>
  <c r="G43" i="112"/>
  <c r="P42" i="112"/>
  <c r="V41" i="112"/>
  <c r="J41" i="112"/>
  <c r="O40" i="112"/>
  <c r="E40" i="112"/>
  <c r="J39" i="112"/>
  <c r="R38" i="112"/>
  <c r="D38" i="112"/>
  <c r="L37" i="112"/>
  <c r="Q36" i="112"/>
  <c r="G36" i="112"/>
  <c r="L35" i="112"/>
  <c r="T34" i="112"/>
  <c r="F34" i="112"/>
  <c r="O33" i="112"/>
  <c r="U28" i="112"/>
  <c r="I28" i="112"/>
  <c r="N27" i="112"/>
  <c r="W26" i="112"/>
  <c r="K26" i="112"/>
  <c r="V25" i="112"/>
  <c r="J25" i="112"/>
  <c r="T24" i="112"/>
  <c r="H24" i="112"/>
  <c r="S23" i="112"/>
  <c r="G23" i="112"/>
  <c r="Q22" i="112"/>
  <c r="E22" i="112"/>
  <c r="O21" i="112"/>
  <c r="W20" i="112"/>
  <c r="N20" i="112"/>
  <c r="V19" i="112"/>
  <c r="L19" i="112"/>
  <c r="T18" i="112"/>
  <c r="K18" i="112"/>
  <c r="S17" i="112"/>
  <c r="I17" i="112"/>
  <c r="Q16" i="112"/>
  <c r="G16" i="112"/>
  <c r="O15" i="112"/>
  <c r="F15" i="112"/>
  <c r="N14" i="112"/>
  <c r="D14" i="112"/>
  <c r="L13" i="112"/>
  <c r="W12" i="112"/>
  <c r="K12" i="112"/>
  <c r="U11" i="112"/>
  <c r="I11" i="112"/>
  <c r="S10" i="112"/>
  <c r="G10" i="112"/>
  <c r="R9" i="112"/>
  <c r="F9" i="112"/>
  <c r="P8" i="112"/>
  <c r="D8" i="112"/>
  <c r="V52" i="112"/>
  <c r="W50" i="112"/>
  <c r="E49" i="112"/>
  <c r="M47" i="112"/>
  <c r="H46" i="112"/>
  <c r="V44" i="112"/>
  <c r="Q43" i="112"/>
  <c r="J42" i="112"/>
  <c r="D41" i="112"/>
  <c r="S39" i="112"/>
  <c r="L38" i="112"/>
  <c r="G37" i="112"/>
  <c r="U35" i="112"/>
  <c r="N34" i="112"/>
  <c r="I33" i="112"/>
  <c r="W27" i="112"/>
  <c r="S26" i="112"/>
  <c r="Q25" i="112"/>
  <c r="O24" i="112"/>
  <c r="N23" i="112"/>
  <c r="L22" i="112"/>
  <c r="K21" i="112"/>
  <c r="I20" i="112"/>
  <c r="G19" i="112"/>
  <c r="F18" i="112"/>
  <c r="D17" i="112"/>
  <c r="W15" i="112"/>
  <c r="U14" i="112"/>
  <c r="S13" i="112"/>
  <c r="R12" i="112"/>
  <c r="P11" i="112"/>
  <c r="O10" i="112"/>
  <c r="M9" i="112"/>
  <c r="K8" i="112"/>
  <c r="P53" i="110"/>
  <c r="Q52" i="110"/>
  <c r="V51" i="110"/>
  <c r="E51" i="110"/>
  <c r="K50" i="110"/>
  <c r="L49" i="110"/>
  <c r="Q48" i="110"/>
  <c r="U47" i="110"/>
  <c r="F47" i="110"/>
  <c r="G46" i="110"/>
  <c r="M45" i="110"/>
  <c r="P44" i="110"/>
  <c r="U43" i="110"/>
  <c r="V42" i="110"/>
  <c r="H42" i="110"/>
  <c r="K41" i="110"/>
  <c r="Q40" i="110"/>
  <c r="Q39" i="110"/>
  <c r="W38" i="110"/>
  <c r="F38" i="110"/>
  <c r="L37" i="110"/>
  <c r="M36" i="110"/>
  <c r="R35" i="110"/>
  <c r="U34" i="110"/>
  <c r="G34" i="110"/>
  <c r="H33" i="110"/>
  <c r="M28" i="110"/>
  <c r="Q27" i="110"/>
  <c r="V26" i="110"/>
  <c r="W25" i="110"/>
  <c r="I25" i="110"/>
  <c r="L24" i="110"/>
  <c r="Q23" i="110"/>
  <c r="R22" i="110"/>
  <c r="G22" i="110"/>
  <c r="M21" i="110"/>
  <c r="U20" i="110"/>
  <c r="G20" i="110"/>
  <c r="O19" i="110"/>
  <c r="T18" i="110"/>
  <c r="I18" i="110"/>
  <c r="O17" i="110"/>
  <c r="W16" i="110"/>
  <c r="I16" i="110"/>
  <c r="R15" i="110"/>
  <c r="W14" i="110"/>
  <c r="K14" i="110"/>
  <c r="Q13" i="110"/>
  <c r="E13" i="110"/>
  <c r="K12" i="110"/>
  <c r="T11" i="110"/>
  <c r="E11" i="110"/>
  <c r="M10" i="110"/>
  <c r="S9" i="110"/>
  <c r="H9" i="110"/>
  <c r="N8" i="110"/>
  <c r="V53" i="109"/>
  <c r="I53" i="109"/>
  <c r="S52" i="109"/>
  <c r="G52" i="109"/>
  <c r="R51" i="109"/>
  <c r="F51" i="109"/>
  <c r="P50" i="109"/>
  <c r="D50" i="109"/>
  <c r="O49" i="109"/>
  <c r="W48" i="109"/>
  <c r="M48" i="109"/>
  <c r="U47" i="109"/>
  <c r="K47" i="109"/>
  <c r="S46" i="109"/>
  <c r="J46" i="109"/>
  <c r="R45" i="109"/>
  <c r="H45" i="109"/>
  <c r="P44" i="109"/>
  <c r="G44" i="109"/>
  <c r="O43" i="109"/>
  <c r="E43" i="109"/>
  <c r="M42" i="109"/>
  <c r="W41" i="109"/>
  <c r="K41" i="109"/>
  <c r="V40" i="109"/>
  <c r="J40" i="109"/>
  <c r="T39" i="109"/>
  <c r="H39" i="109"/>
  <c r="S38" i="109"/>
  <c r="G38" i="109"/>
  <c r="Q37" i="109"/>
  <c r="E37" i="109"/>
  <c r="O36" i="109"/>
  <c r="W35" i="109"/>
  <c r="N35" i="109"/>
  <c r="V34" i="109"/>
  <c r="L34" i="109"/>
  <c r="T33" i="109"/>
  <c r="K33" i="109"/>
  <c r="S28" i="109"/>
  <c r="I28" i="109"/>
  <c r="Q27" i="109"/>
  <c r="G27" i="109"/>
  <c r="O26" i="109"/>
  <c r="F26" i="109"/>
  <c r="N25" i="109"/>
  <c r="D25" i="109"/>
  <c r="L24" i="109"/>
  <c r="W23" i="109"/>
  <c r="K23" i="109"/>
  <c r="U22" i="109"/>
  <c r="I22" i="109"/>
  <c r="S21" i="109"/>
  <c r="G21" i="109"/>
  <c r="R20" i="109"/>
  <c r="F20" i="109"/>
  <c r="P19" i="109"/>
  <c r="D19" i="109"/>
  <c r="O18" i="109"/>
  <c r="W17" i="109"/>
  <c r="M17" i="109"/>
  <c r="U16" i="109"/>
  <c r="K16" i="109"/>
  <c r="S15" i="109"/>
  <c r="J15" i="109"/>
  <c r="R14" i="109"/>
  <c r="H14" i="109"/>
  <c r="P13" i="109"/>
  <c r="G13" i="109"/>
  <c r="O12" i="109"/>
  <c r="E12" i="109"/>
  <c r="M11" i="109"/>
  <c r="W10" i="109"/>
  <c r="K10" i="109"/>
  <c r="V9" i="109"/>
  <c r="J9" i="109"/>
  <c r="T8" i="109"/>
  <c r="J8" i="109"/>
  <c r="S52" i="112"/>
  <c r="U50" i="112"/>
  <c r="D49" i="112"/>
  <c r="L47" i="112"/>
  <c r="G46" i="112"/>
  <c r="U44" i="112"/>
  <c r="N43" i="112"/>
  <c r="I42" i="112"/>
  <c r="W40" i="112"/>
  <c r="Q39" i="112"/>
  <c r="K38" i="112"/>
  <c r="E37" i="112"/>
  <c r="S35" i="112"/>
  <c r="M34" i="112"/>
  <c r="H33" i="112"/>
  <c r="U27" i="112"/>
  <c r="Q26" i="112"/>
  <c r="P25" i="112"/>
  <c r="N24" i="112"/>
  <c r="M23" i="112"/>
  <c r="K22" i="112"/>
  <c r="I21" i="112"/>
  <c r="H20" i="112"/>
  <c r="F19" i="112"/>
  <c r="E18" i="112"/>
  <c r="W16" i="112"/>
  <c r="U15" i="112"/>
  <c r="T14" i="112"/>
  <c r="R13" i="112"/>
  <c r="Q12" i="112"/>
  <c r="O11" i="112"/>
  <c r="M10" i="112"/>
  <c r="L9" i="112"/>
  <c r="J8" i="112"/>
  <c r="J53" i="110"/>
  <c r="O52" i="110"/>
  <c r="P51" i="110"/>
  <c r="V50" i="110"/>
  <c r="E50" i="110"/>
  <c r="K49" i="110"/>
  <c r="K48" i="110"/>
  <c r="Q47" i="110"/>
  <c r="T46" i="110"/>
  <c r="F46" i="110"/>
  <c r="G45" i="110"/>
  <c r="L44" i="110"/>
  <c r="O43" i="110"/>
  <c r="U42" i="110"/>
  <c r="V41" i="110"/>
  <c r="G41" i="110"/>
  <c r="K40" i="110"/>
  <c r="P39" i="110"/>
  <c r="Q38" i="110"/>
  <c r="W37" i="110"/>
  <c r="F37" i="110"/>
  <c r="K36" i="110"/>
  <c r="L35" i="110"/>
  <c r="R34" i="110"/>
  <c r="U33" i="110"/>
  <c r="G33" i="110"/>
  <c r="G28" i="110"/>
  <c r="M27" i="110"/>
  <c r="P26" i="110"/>
  <c r="V25" i="110"/>
  <c r="W24" i="110"/>
  <c r="H24" i="110"/>
  <c r="K23" i="110"/>
  <c r="Q22" i="110"/>
  <c r="W21" i="110"/>
  <c r="K21" i="110"/>
  <c r="P20" i="110"/>
  <c r="E20" i="110"/>
  <c r="K19" i="110"/>
  <c r="S18" i="110"/>
  <c r="E18" i="110"/>
  <c r="N17" i="110"/>
  <c r="S16" i="110"/>
  <c r="G16" i="110"/>
  <c r="M15" i="110"/>
  <c r="U14" i="110"/>
  <c r="G14" i="110"/>
  <c r="P13" i="110"/>
  <c r="U12" i="110"/>
  <c r="I12" i="110"/>
  <c r="O11" i="110"/>
  <c r="D11" i="110"/>
  <c r="J10" i="110"/>
  <c r="R9" i="110"/>
  <c r="W8" i="110"/>
  <c r="K8" i="110"/>
  <c r="Q53" i="109"/>
  <c r="H53" i="109"/>
  <c r="P52" i="109"/>
  <c r="F52" i="109"/>
  <c r="N51" i="109"/>
  <c r="E51" i="109"/>
  <c r="M50" i="109"/>
  <c r="W49" i="109"/>
  <c r="K49" i="109"/>
  <c r="U48" i="109"/>
  <c r="I48" i="109"/>
  <c r="T47" i="109"/>
  <c r="H47" i="109"/>
  <c r="R46" i="109"/>
  <c r="F46" i="109"/>
  <c r="Q45" i="109"/>
  <c r="E45" i="109"/>
  <c r="O44" i="109"/>
  <c r="W43" i="109"/>
  <c r="M43" i="109"/>
  <c r="U42" i="109"/>
  <c r="L42" i="109"/>
  <c r="T41" i="109"/>
  <c r="J41" i="109"/>
  <c r="R40" i="109"/>
  <c r="I40" i="109"/>
  <c r="Q39" i="109"/>
  <c r="G39" i="109"/>
  <c r="O38" i="109"/>
  <c r="E38" i="109"/>
  <c r="M37" i="109"/>
  <c r="D37" i="109"/>
  <c r="L36" i="109"/>
  <c r="V35" i="109"/>
  <c r="J35" i="109"/>
  <c r="U34" i="109"/>
  <c r="I34" i="109"/>
  <c r="S33" i="109"/>
  <c r="G33" i="109"/>
  <c r="Q28" i="109"/>
  <c r="E28" i="109"/>
  <c r="P27" i="109"/>
  <c r="D27" i="109"/>
  <c r="N26" i="109"/>
  <c r="V25" i="109"/>
  <c r="M25" i="109"/>
  <c r="U24" i="109"/>
  <c r="K24" i="109"/>
  <c r="S23" i="109"/>
  <c r="I23" i="109"/>
  <c r="Q22" i="109"/>
  <c r="H22" i="109"/>
  <c r="P21" i="109"/>
  <c r="F21" i="109"/>
  <c r="N20" i="109"/>
  <c r="E20" i="109"/>
  <c r="M19" i="109"/>
  <c r="W18" i="109"/>
  <c r="K18" i="109"/>
  <c r="U17" i="109"/>
  <c r="I17" i="109"/>
  <c r="T16" i="109"/>
  <c r="H16" i="109"/>
  <c r="R15" i="109"/>
  <c r="F15" i="109"/>
  <c r="Q14" i="109"/>
  <c r="E14" i="109"/>
  <c r="O13" i="109"/>
  <c r="W12" i="109"/>
  <c r="M12" i="109"/>
  <c r="U11" i="109"/>
  <c r="L11" i="109"/>
  <c r="T10" i="109"/>
  <c r="J10" i="109"/>
  <c r="R9" i="109"/>
  <c r="I9" i="109"/>
  <c r="Q8" i="109"/>
  <c r="I8" i="109"/>
  <c r="W53" i="106"/>
  <c r="H62" i="105"/>
  <c r="G52" i="112"/>
  <c r="H50" i="112"/>
  <c r="J48" i="112"/>
  <c r="D47" i="112"/>
  <c r="Q45" i="112"/>
  <c r="L44" i="112"/>
  <c r="F43" i="112"/>
  <c r="U41" i="112"/>
  <c r="N40" i="112"/>
  <c r="H39" i="112"/>
  <c r="W37" i="112"/>
  <c r="P36" i="112"/>
  <c r="K35" i="112"/>
  <c r="E34" i="112"/>
  <c r="R28" i="112"/>
  <c r="M27" i="112"/>
  <c r="J26" i="112"/>
  <c r="I25" i="112"/>
  <c r="G24" i="112"/>
  <c r="E23" i="112"/>
  <c r="D22" i="112"/>
  <c r="V20" i="112"/>
  <c r="U19" i="112"/>
  <c r="S18" i="112"/>
  <c r="Q17" i="112"/>
  <c r="P16" i="112"/>
  <c r="N15" i="112"/>
  <c r="M14" i="112"/>
  <c r="K13" i="112"/>
  <c r="I12" i="112"/>
  <c r="H11" i="112"/>
  <c r="F10" i="112"/>
  <c r="E9" i="112"/>
  <c r="I53" i="110"/>
  <c r="N52" i="110"/>
  <c r="O51" i="110"/>
  <c r="U50" i="110"/>
  <c r="D50" i="110"/>
  <c r="I49" i="110"/>
  <c r="J48" i="110"/>
  <c r="P47" i="110"/>
  <c r="S46" i="110"/>
  <c r="E46" i="110"/>
  <c r="E45" i="110"/>
  <c r="K44" i="110"/>
  <c r="N43" i="110"/>
  <c r="T42" i="110"/>
  <c r="U41" i="110"/>
  <c r="F41" i="110"/>
  <c r="I40" i="110"/>
  <c r="O39" i="110"/>
  <c r="P38" i="110"/>
  <c r="U37" i="110"/>
  <c r="E37" i="110"/>
  <c r="J36" i="110"/>
  <c r="K35" i="110"/>
  <c r="Q34" i="110"/>
  <c r="T33" i="110"/>
  <c r="E33" i="110"/>
  <c r="F28" i="110"/>
  <c r="L27" i="110"/>
  <c r="O26" i="110"/>
  <c r="U25" i="110"/>
  <c r="U24" i="110"/>
  <c r="G24" i="110"/>
  <c r="J23" i="110"/>
  <c r="P22" i="110"/>
  <c r="U21" i="110"/>
  <c r="I21" i="110"/>
  <c r="O20" i="110"/>
  <c r="D20" i="110"/>
  <c r="J19" i="110"/>
  <c r="R18" i="110"/>
  <c r="W17" i="110"/>
  <c r="K17" i="110"/>
  <c r="Q16" i="110"/>
  <c r="F16" i="110"/>
  <c r="L15" i="110"/>
  <c r="T14" i="110"/>
  <c r="E14" i="110"/>
  <c r="O13" i="110"/>
  <c r="T12" i="110"/>
  <c r="H12" i="110"/>
  <c r="N11" i="110"/>
  <c r="V10" i="110"/>
  <c r="G10" i="110"/>
  <c r="Q9" i="110"/>
  <c r="V8" i="110"/>
  <c r="J8" i="110"/>
  <c r="P53" i="109"/>
  <c r="G53" i="109"/>
  <c r="O52" i="109"/>
  <c r="E52" i="109"/>
  <c r="M51" i="109"/>
  <c r="W50" i="109"/>
  <c r="K50" i="109"/>
  <c r="V49" i="109"/>
  <c r="J49" i="109"/>
  <c r="T48" i="109"/>
  <c r="H48" i="109"/>
  <c r="S47" i="109"/>
  <c r="G47" i="109"/>
  <c r="Q46" i="109"/>
  <c r="E46" i="109"/>
  <c r="O45" i="109"/>
  <c r="W44" i="109"/>
  <c r="N44" i="109"/>
  <c r="V43" i="109"/>
  <c r="L43" i="109"/>
  <c r="T42" i="109"/>
  <c r="K42" i="109"/>
  <c r="S41" i="109"/>
  <c r="I41" i="109"/>
  <c r="Q40" i="109"/>
  <c r="G40" i="109"/>
  <c r="O39" i="109"/>
  <c r="F39" i="109"/>
  <c r="N38" i="109"/>
  <c r="D38" i="109"/>
  <c r="L37" i="109"/>
  <c r="W36" i="109"/>
  <c r="K36" i="109"/>
  <c r="U35" i="109"/>
  <c r="I35" i="109"/>
  <c r="S34" i="109"/>
  <c r="G34" i="109"/>
  <c r="R33" i="109"/>
  <c r="F33" i="109"/>
  <c r="P28" i="109"/>
  <c r="D28" i="109"/>
  <c r="O27" i="109"/>
  <c r="W26" i="109"/>
  <c r="M26" i="109"/>
  <c r="U25" i="109"/>
  <c r="K25" i="109"/>
  <c r="S24" i="109"/>
  <c r="J24" i="109"/>
  <c r="R23" i="109"/>
  <c r="H23" i="109"/>
  <c r="P22" i="109"/>
  <c r="G22" i="109"/>
  <c r="O21" i="109"/>
  <c r="E21" i="109"/>
  <c r="M20" i="109"/>
  <c r="W19" i="109"/>
  <c r="K19" i="109"/>
  <c r="V18" i="109"/>
  <c r="J18" i="109"/>
  <c r="T17" i="109"/>
  <c r="H17" i="109"/>
  <c r="S16" i="109"/>
  <c r="G16" i="109"/>
  <c r="Q15" i="109"/>
  <c r="E15" i="109"/>
  <c r="O14" i="109"/>
  <c r="W13" i="109"/>
  <c r="N13" i="109"/>
  <c r="V12" i="109"/>
  <c r="L12" i="109"/>
  <c r="T11" i="109"/>
  <c r="K11" i="109"/>
  <c r="S10" i="109"/>
  <c r="I10" i="109"/>
  <c r="Q9" i="109"/>
  <c r="G9" i="109"/>
  <c r="P8" i="109"/>
  <c r="H8" i="109"/>
  <c r="W53" i="112"/>
  <c r="E50" i="112"/>
  <c r="W46" i="112"/>
  <c r="K44" i="112"/>
  <c r="R41" i="112"/>
  <c r="G39" i="112"/>
  <c r="O36" i="112"/>
  <c r="W33" i="112"/>
  <c r="L27" i="112"/>
  <c r="G25" i="112"/>
  <c r="D23" i="112"/>
  <c r="U20" i="112"/>
  <c r="R18" i="112"/>
  <c r="O16" i="112"/>
  <c r="K14" i="112"/>
  <c r="H12" i="112"/>
  <c r="E10" i="112"/>
  <c r="E53" i="110"/>
  <c r="N51" i="110"/>
  <c r="T49" i="110"/>
  <c r="I48" i="110"/>
  <c r="O46" i="110"/>
  <c r="D45" i="110"/>
  <c r="K43" i="110"/>
  <c r="S41" i="110"/>
  <c r="F40" i="110"/>
  <c r="O38" i="110"/>
  <c r="U36" i="110"/>
  <c r="J35" i="110"/>
  <c r="P33" i="110"/>
  <c r="E28" i="110"/>
  <c r="K26" i="110"/>
  <c r="T24" i="110"/>
  <c r="G23" i="110"/>
  <c r="T21" i="110"/>
  <c r="N20" i="110"/>
  <c r="G19" i="110"/>
  <c r="V17" i="110"/>
  <c r="P16" i="110"/>
  <c r="K15" i="110"/>
  <c r="D14" i="110"/>
  <c r="R12" i="110"/>
  <c r="M11" i="110"/>
  <c r="F10" i="110"/>
  <c r="U8" i="110"/>
  <c r="O53" i="109"/>
  <c r="M52" i="109"/>
  <c r="L51" i="109"/>
  <c r="J50" i="109"/>
  <c r="I49" i="109"/>
  <c r="G48" i="109"/>
  <c r="E47" i="109"/>
  <c r="D46" i="109"/>
  <c r="V44" i="109"/>
  <c r="U43" i="109"/>
  <c r="S42" i="109"/>
  <c r="Q41" i="109"/>
  <c r="P40" i="109"/>
  <c r="N39" i="109"/>
  <c r="M38" i="109"/>
  <c r="K37" i="109"/>
  <c r="I36" i="109"/>
  <c r="H35" i="109"/>
  <c r="F34" i="109"/>
  <c r="E33" i="109"/>
  <c r="W27" i="109"/>
  <c r="U26" i="109"/>
  <c r="T25" i="109"/>
  <c r="R24" i="109"/>
  <c r="Q23" i="109"/>
  <c r="O22" i="109"/>
  <c r="M21" i="109"/>
  <c r="L20" i="109"/>
  <c r="J19" i="109"/>
  <c r="I18" i="109"/>
  <c r="G17" i="109"/>
  <c r="E16" i="109"/>
  <c r="D15" i="109"/>
  <c r="V13" i="109"/>
  <c r="U12" i="109"/>
  <c r="S11" i="109"/>
  <c r="Q10" i="109"/>
  <c r="P9" i="109"/>
  <c r="O8" i="109"/>
  <c r="V53" i="106"/>
  <c r="O53" i="106"/>
  <c r="G53" i="106"/>
  <c r="T52" i="106"/>
  <c r="M52" i="106"/>
  <c r="F52" i="106"/>
  <c r="S51" i="106"/>
  <c r="K51" i="106"/>
  <c r="D51" i="106"/>
  <c r="Q50" i="106"/>
  <c r="J50" i="106"/>
  <c r="W49" i="106"/>
  <c r="O49" i="106"/>
  <c r="H49" i="106"/>
  <c r="U48" i="106"/>
  <c r="N48" i="106"/>
  <c r="G48" i="106"/>
  <c r="S47" i="106"/>
  <c r="L47" i="106"/>
  <c r="E47" i="106"/>
  <c r="R46" i="106"/>
  <c r="K46" i="106"/>
  <c r="W45" i="106"/>
  <c r="P45" i="106"/>
  <c r="I45" i="106"/>
  <c r="V44" i="106"/>
  <c r="O44" i="106"/>
  <c r="G44" i="106"/>
  <c r="T43" i="106"/>
  <c r="M43" i="106"/>
  <c r="F43" i="106"/>
  <c r="S42" i="106"/>
  <c r="K42" i="106"/>
  <c r="D42" i="106"/>
  <c r="Q41" i="106"/>
  <c r="J41" i="106"/>
  <c r="W40" i="106"/>
  <c r="O40" i="106"/>
  <c r="H40" i="106"/>
  <c r="U39" i="106"/>
  <c r="N39" i="106"/>
  <c r="G39" i="106"/>
  <c r="S38" i="106"/>
  <c r="L38" i="106"/>
  <c r="E38" i="106"/>
  <c r="R37" i="106"/>
  <c r="K37" i="106"/>
  <c r="W36" i="106"/>
  <c r="P36" i="106"/>
  <c r="I36" i="106"/>
  <c r="V35" i="106"/>
  <c r="O35" i="106"/>
  <c r="G35" i="106"/>
  <c r="T34" i="106"/>
  <c r="M34" i="106"/>
  <c r="F34" i="106"/>
  <c r="S33" i="106"/>
  <c r="K33" i="106"/>
  <c r="D33" i="106"/>
  <c r="Q28" i="106"/>
  <c r="J28" i="106"/>
  <c r="W27" i="106"/>
  <c r="Q27" i="106"/>
  <c r="K27" i="106"/>
  <c r="E27" i="106"/>
  <c r="S26" i="106"/>
  <c r="M26" i="106"/>
  <c r="G26" i="106"/>
  <c r="U25" i="106"/>
  <c r="O25" i="106"/>
  <c r="I25" i="106"/>
  <c r="W24" i="106"/>
  <c r="Q24" i="106"/>
  <c r="K24" i="106"/>
  <c r="E24" i="106"/>
  <c r="S23" i="106"/>
  <c r="M23" i="106"/>
  <c r="G23" i="106"/>
  <c r="U22" i="106"/>
  <c r="O22" i="106"/>
  <c r="I22" i="106"/>
  <c r="W21" i="106"/>
  <c r="Q21" i="106"/>
  <c r="K21" i="106"/>
  <c r="E21" i="106"/>
  <c r="S20" i="106"/>
  <c r="M20" i="106"/>
  <c r="G20" i="106"/>
  <c r="U19" i="106"/>
  <c r="O19" i="106"/>
  <c r="I19" i="106"/>
  <c r="W18" i="106"/>
  <c r="Q18" i="106"/>
  <c r="K18" i="106"/>
  <c r="E18" i="106"/>
  <c r="S17" i="106"/>
  <c r="M17" i="106"/>
  <c r="G17" i="106"/>
  <c r="U16" i="106"/>
  <c r="O16" i="106"/>
  <c r="I16" i="106"/>
  <c r="W15" i="106"/>
  <c r="Q15" i="106"/>
  <c r="K15" i="106"/>
  <c r="E15" i="106"/>
  <c r="S14" i="106"/>
  <c r="M14" i="106"/>
  <c r="G14" i="106"/>
  <c r="U13" i="106"/>
  <c r="O13" i="106"/>
  <c r="I13" i="106"/>
  <c r="W12" i="106"/>
  <c r="Q12" i="106"/>
  <c r="K12" i="106"/>
  <c r="E12" i="106"/>
  <c r="S11" i="106"/>
  <c r="M11" i="106"/>
  <c r="G11" i="106"/>
  <c r="U10" i="106"/>
  <c r="O10" i="106"/>
  <c r="I10" i="106"/>
  <c r="W9" i="106"/>
  <c r="Q9" i="106"/>
  <c r="K9" i="106"/>
  <c r="E9" i="106"/>
  <c r="S8" i="106"/>
  <c r="M8" i="106"/>
  <c r="G8" i="106"/>
  <c r="U53" i="105"/>
  <c r="O53" i="105"/>
  <c r="I53" i="105"/>
  <c r="W52" i="105"/>
  <c r="Q52" i="105"/>
  <c r="K52" i="105"/>
  <c r="E52" i="105"/>
  <c r="S51" i="105"/>
  <c r="M51" i="105"/>
  <c r="G51" i="105"/>
  <c r="U50" i="105"/>
  <c r="O50" i="105"/>
  <c r="I50" i="105"/>
  <c r="W49" i="105"/>
  <c r="Q49" i="105"/>
  <c r="K49" i="105"/>
  <c r="E49" i="105"/>
  <c r="S48" i="105"/>
  <c r="M48" i="105"/>
  <c r="G48" i="105"/>
  <c r="U47" i="105"/>
  <c r="O47" i="105"/>
  <c r="I47" i="105"/>
  <c r="W46" i="105"/>
  <c r="Q46" i="105"/>
  <c r="K46" i="105"/>
  <c r="E46" i="105"/>
  <c r="S45" i="105"/>
  <c r="M45" i="105"/>
  <c r="G45" i="105"/>
  <c r="U44" i="105"/>
  <c r="O44" i="105"/>
  <c r="I44" i="105"/>
  <c r="W43" i="105"/>
  <c r="Q43" i="105"/>
  <c r="K43" i="105"/>
  <c r="E43" i="105"/>
  <c r="S42" i="105"/>
  <c r="M42" i="105"/>
  <c r="G42" i="105"/>
  <c r="U41" i="105"/>
  <c r="O41" i="105"/>
  <c r="I41" i="105"/>
  <c r="W40" i="105"/>
  <c r="Q40" i="105"/>
  <c r="K40" i="105"/>
  <c r="E40" i="105"/>
  <c r="S39" i="105"/>
  <c r="M39" i="105"/>
  <c r="G39" i="105"/>
  <c r="U38" i="105"/>
  <c r="O38" i="105"/>
  <c r="I38" i="105"/>
  <c r="W37" i="105"/>
  <c r="Q37" i="105"/>
  <c r="K37" i="105"/>
  <c r="E37" i="105"/>
  <c r="S36" i="105"/>
  <c r="M36" i="105"/>
  <c r="G36" i="105"/>
  <c r="U35" i="105"/>
  <c r="O35" i="105"/>
  <c r="I35" i="105"/>
  <c r="W34" i="105"/>
  <c r="Q34" i="105"/>
  <c r="K34" i="105"/>
  <c r="E34" i="105"/>
  <c r="S33" i="105"/>
  <c r="M33" i="105"/>
  <c r="G33" i="105"/>
  <c r="U28" i="105"/>
  <c r="O28" i="105"/>
  <c r="I28" i="105"/>
  <c r="W27" i="105"/>
  <c r="Q27" i="105"/>
  <c r="K27" i="105"/>
  <c r="E27" i="105"/>
  <c r="S26" i="105"/>
  <c r="M26" i="105"/>
  <c r="G26" i="105"/>
  <c r="U25" i="105"/>
  <c r="O25" i="105"/>
  <c r="I25" i="105"/>
  <c r="W24" i="105"/>
  <c r="Q24" i="105"/>
  <c r="K24" i="105"/>
  <c r="E24" i="105"/>
  <c r="S23" i="105"/>
  <c r="M23" i="105"/>
  <c r="G23" i="105"/>
  <c r="U22" i="105"/>
  <c r="O22" i="105"/>
  <c r="I22" i="105"/>
  <c r="W21" i="105"/>
  <c r="Q21" i="105"/>
  <c r="K21" i="105"/>
  <c r="E21" i="105"/>
  <c r="S20" i="105"/>
  <c r="M20" i="105"/>
  <c r="G20" i="105"/>
  <c r="U19" i="105"/>
  <c r="O19" i="105"/>
  <c r="I19" i="105"/>
  <c r="W18" i="105"/>
  <c r="Q18" i="105"/>
  <c r="K18" i="105"/>
  <c r="E18" i="105"/>
  <c r="S17" i="105"/>
  <c r="M17" i="105"/>
  <c r="G17" i="105"/>
  <c r="U16" i="105"/>
  <c r="O16" i="105"/>
  <c r="I16" i="105"/>
  <c r="W15" i="105"/>
  <c r="Q15" i="105"/>
  <c r="K15" i="105"/>
  <c r="E15" i="105"/>
  <c r="S14" i="105"/>
  <c r="M14" i="105"/>
  <c r="G14" i="105"/>
  <c r="U13" i="105"/>
  <c r="O13" i="105"/>
  <c r="I13" i="105"/>
  <c r="W12" i="105"/>
  <c r="Q12" i="105"/>
  <c r="K12" i="105"/>
  <c r="E12" i="105"/>
  <c r="S11" i="105"/>
  <c r="M11" i="105"/>
  <c r="G11" i="105"/>
  <c r="U10" i="105"/>
  <c r="O10" i="105"/>
  <c r="I10" i="105"/>
  <c r="W9" i="105"/>
  <c r="Q9" i="105"/>
  <c r="K9" i="105"/>
  <c r="E9" i="105"/>
  <c r="S8" i="105"/>
  <c r="M8" i="105"/>
  <c r="G8" i="105"/>
  <c r="V53" i="112"/>
  <c r="D50" i="112"/>
  <c r="U46" i="112"/>
  <c r="I44" i="112"/>
  <c r="Q41" i="112"/>
  <c r="E39" i="112"/>
  <c r="N36" i="112"/>
  <c r="V33" i="112"/>
  <c r="I27" i="112"/>
  <c r="F25" i="112"/>
  <c r="W22" i="112"/>
  <c r="T20" i="112"/>
  <c r="Q18" i="112"/>
  <c r="M16" i="112"/>
  <c r="J14" i="112"/>
  <c r="G12" i="112"/>
  <c r="D10" i="112"/>
  <c r="D53" i="110"/>
  <c r="M51" i="110"/>
  <c r="S49" i="110"/>
  <c r="H48" i="110"/>
  <c r="N46" i="110"/>
  <c r="W44" i="110"/>
  <c r="I43" i="110"/>
  <c r="R41" i="110"/>
  <c r="E40" i="110"/>
  <c r="M38" i="110"/>
  <c r="T36" i="110"/>
  <c r="I35" i="110"/>
  <c r="O33" i="110"/>
  <c r="D28" i="110"/>
  <c r="J26" i="110"/>
  <c r="S24" i="110"/>
  <c r="E23" i="110"/>
  <c r="R21" i="110"/>
  <c r="M20" i="110"/>
  <c r="F19" i="110"/>
  <c r="U17" i="110"/>
  <c r="O16" i="110"/>
  <c r="H15" i="110"/>
  <c r="W13" i="110"/>
  <c r="Q12" i="110"/>
  <c r="K11" i="110"/>
  <c r="E10" i="110"/>
  <c r="S8" i="110"/>
  <c r="N53" i="109"/>
  <c r="L52" i="109"/>
  <c r="K51" i="109"/>
  <c r="I50" i="109"/>
  <c r="G49" i="109"/>
  <c r="F48" i="109"/>
  <c r="D47" i="109"/>
  <c r="W45" i="109"/>
  <c r="U44" i="109"/>
  <c r="S43" i="109"/>
  <c r="R42" i="109"/>
  <c r="P41" i="109"/>
  <c r="O40" i="109"/>
  <c r="M39" i="109"/>
  <c r="K38" i="109"/>
  <c r="J37" i="109"/>
  <c r="H36" i="109"/>
  <c r="G35" i="109"/>
  <c r="E34" i="109"/>
  <c r="W28" i="109"/>
  <c r="V27" i="109"/>
  <c r="T26" i="109"/>
  <c r="S25" i="109"/>
  <c r="Q24" i="109"/>
  <c r="O23" i="109"/>
  <c r="N22" i="109"/>
  <c r="L21" i="109"/>
  <c r="K20" i="109"/>
  <c r="I19" i="109"/>
  <c r="G18" i="109"/>
  <c r="F17" i="109"/>
  <c r="D16" i="109"/>
  <c r="W14" i="109"/>
  <c r="U13" i="109"/>
  <c r="S12" i="109"/>
  <c r="R11" i="109"/>
  <c r="P10" i="109"/>
  <c r="O9" i="109"/>
  <c r="N8" i="109"/>
  <c r="U53" i="106"/>
  <c r="M53" i="106"/>
  <c r="F53" i="106"/>
  <c r="S52" i="106"/>
  <c r="L52" i="106"/>
  <c r="E52" i="106"/>
  <c r="Q51" i="106"/>
  <c r="J51" i="106"/>
  <c r="W50" i="106"/>
  <c r="P50" i="106"/>
  <c r="I50" i="106"/>
  <c r="U49" i="106"/>
  <c r="N49" i="106"/>
  <c r="G49" i="106"/>
  <c r="T48" i="106"/>
  <c r="M48" i="106"/>
  <c r="E48" i="106"/>
  <c r="R47" i="106"/>
  <c r="K47" i="106"/>
  <c r="D47" i="106"/>
  <c r="Q46" i="106"/>
  <c r="I46" i="106"/>
  <c r="V45" i="106"/>
  <c r="O45" i="106"/>
  <c r="H45" i="106"/>
  <c r="U44" i="106"/>
  <c r="M44" i="106"/>
  <c r="F44" i="106"/>
  <c r="S43" i="106"/>
  <c r="L43" i="106"/>
  <c r="E43" i="106"/>
  <c r="Q42" i="106"/>
  <c r="J42" i="106"/>
  <c r="W41" i="106"/>
  <c r="P41" i="106"/>
  <c r="I41" i="106"/>
  <c r="U40" i="106"/>
  <c r="N40" i="106"/>
  <c r="G40" i="106"/>
  <c r="T39" i="106"/>
  <c r="M39" i="106"/>
  <c r="E39" i="106"/>
  <c r="R38" i="106"/>
  <c r="K38" i="106"/>
  <c r="D38" i="106"/>
  <c r="Q37" i="106"/>
  <c r="I37" i="106"/>
  <c r="V36" i="106"/>
  <c r="O36" i="106"/>
  <c r="H36" i="106"/>
  <c r="U35" i="106"/>
  <c r="M35" i="106"/>
  <c r="F35" i="106"/>
  <c r="S34" i="106"/>
  <c r="L34" i="106"/>
  <c r="E34" i="106"/>
  <c r="Q33" i="106"/>
  <c r="J33" i="106"/>
  <c r="W28" i="106"/>
  <c r="P28" i="106"/>
  <c r="I28" i="106"/>
  <c r="V27" i="106"/>
  <c r="P27" i="106"/>
  <c r="J27" i="106"/>
  <c r="D27" i="106"/>
  <c r="R26" i="106"/>
  <c r="L26" i="106"/>
  <c r="F26" i="106"/>
  <c r="T25" i="106"/>
  <c r="N25" i="106"/>
  <c r="H25" i="106"/>
  <c r="V24" i="106"/>
  <c r="P24" i="106"/>
  <c r="J24" i="106"/>
  <c r="D24" i="106"/>
  <c r="R23" i="106"/>
  <c r="L23" i="106"/>
  <c r="F23" i="106"/>
  <c r="T22" i="106"/>
  <c r="N22" i="106"/>
  <c r="H22" i="106"/>
  <c r="V21" i="106"/>
  <c r="P21" i="106"/>
  <c r="J21" i="106"/>
  <c r="D21" i="106"/>
  <c r="R20" i="106"/>
  <c r="L20" i="106"/>
  <c r="F20" i="106"/>
  <c r="T19" i="106"/>
  <c r="N19" i="106"/>
  <c r="H19" i="106"/>
  <c r="V18" i="106"/>
  <c r="P18" i="106"/>
  <c r="J18" i="106"/>
  <c r="D18" i="106"/>
  <c r="R17" i="106"/>
  <c r="L17" i="106"/>
  <c r="F17" i="106"/>
  <c r="T16" i="106"/>
  <c r="N16" i="106"/>
  <c r="H16" i="106"/>
  <c r="V15" i="106"/>
  <c r="P15" i="106"/>
  <c r="J15" i="106"/>
  <c r="D15" i="106"/>
  <c r="R14" i="106"/>
  <c r="L14" i="106"/>
  <c r="F14" i="106"/>
  <c r="T13" i="106"/>
  <c r="N13" i="106"/>
  <c r="H13" i="106"/>
  <c r="V12" i="106"/>
  <c r="P12" i="106"/>
  <c r="J12" i="106"/>
  <c r="D12" i="106"/>
  <c r="R11" i="106"/>
  <c r="L11" i="106"/>
  <c r="F11" i="106"/>
  <c r="T10" i="106"/>
  <c r="N10" i="106"/>
  <c r="H10" i="106"/>
  <c r="V9" i="106"/>
  <c r="P9" i="106"/>
  <c r="J9" i="106"/>
  <c r="D9" i="106"/>
  <c r="R8" i="106"/>
  <c r="L8" i="106"/>
  <c r="F8" i="106"/>
  <c r="T53" i="105"/>
  <c r="N53" i="105"/>
  <c r="H53" i="105"/>
  <c r="V52" i="105"/>
  <c r="P52" i="105"/>
  <c r="J52" i="105"/>
  <c r="D52" i="105"/>
  <c r="R51" i="105"/>
  <c r="L51" i="105"/>
  <c r="F51" i="105"/>
  <c r="T50" i="105"/>
  <c r="N50" i="105"/>
  <c r="H50" i="105"/>
  <c r="V49" i="105"/>
  <c r="P49" i="105"/>
  <c r="J49" i="105"/>
  <c r="D49" i="105"/>
  <c r="R48" i="105"/>
  <c r="L48" i="105"/>
  <c r="F48" i="105"/>
  <c r="T47" i="105"/>
  <c r="N47" i="105"/>
  <c r="H47" i="105"/>
  <c r="V46" i="105"/>
  <c r="P46" i="105"/>
  <c r="J46" i="105"/>
  <c r="D46" i="105"/>
  <c r="R45" i="105"/>
  <c r="L45" i="105"/>
  <c r="F45" i="105"/>
  <c r="T44" i="105"/>
  <c r="N44" i="105"/>
  <c r="H44" i="105"/>
  <c r="V43" i="105"/>
  <c r="P43" i="105"/>
  <c r="J43" i="105"/>
  <c r="D43" i="105"/>
  <c r="R42" i="105"/>
  <c r="L42" i="105"/>
  <c r="F42" i="105"/>
  <c r="T41" i="105"/>
  <c r="N41" i="105"/>
  <c r="H41" i="105"/>
  <c r="V40" i="105"/>
  <c r="P40" i="105"/>
  <c r="J40" i="105"/>
  <c r="D40" i="105"/>
  <c r="R39" i="105"/>
  <c r="L39" i="105"/>
  <c r="F39" i="105"/>
  <c r="T38" i="105"/>
  <c r="N38" i="105"/>
  <c r="H38" i="105"/>
  <c r="V37" i="105"/>
  <c r="P37" i="105"/>
  <c r="J37" i="105"/>
  <c r="D37" i="105"/>
  <c r="R36" i="105"/>
  <c r="L36" i="105"/>
  <c r="F36" i="105"/>
  <c r="T35" i="105"/>
  <c r="N35" i="105"/>
  <c r="H35" i="105"/>
  <c r="V34" i="105"/>
  <c r="P34" i="105"/>
  <c r="J34" i="105"/>
  <c r="D34" i="105"/>
  <c r="R33" i="105"/>
  <c r="L33" i="105"/>
  <c r="F33" i="105"/>
  <c r="T28" i="105"/>
  <c r="N28" i="105"/>
  <c r="H28" i="105"/>
  <c r="V27" i="105"/>
  <c r="P27" i="105"/>
  <c r="J27" i="105"/>
  <c r="D27" i="105"/>
  <c r="R26" i="105"/>
  <c r="L26" i="105"/>
  <c r="F26" i="105"/>
  <c r="T25" i="105"/>
  <c r="N25" i="105"/>
  <c r="H25" i="105"/>
  <c r="V24" i="105"/>
  <c r="P24" i="105"/>
  <c r="J24" i="105"/>
  <c r="D24" i="105"/>
  <c r="R23" i="105"/>
  <c r="L23" i="105"/>
  <c r="F23" i="105"/>
  <c r="T22" i="105"/>
  <c r="N22" i="105"/>
  <c r="H22" i="105"/>
  <c r="V21" i="105"/>
  <c r="P21" i="105"/>
  <c r="J21" i="105"/>
  <c r="D21" i="105"/>
  <c r="R20" i="105"/>
  <c r="L20" i="105"/>
  <c r="F20" i="105"/>
  <c r="T19" i="105"/>
  <c r="N19" i="105"/>
  <c r="H19" i="105"/>
  <c r="V18" i="105"/>
  <c r="P18" i="105"/>
  <c r="J18" i="105"/>
  <c r="D18" i="105"/>
  <c r="R17" i="105"/>
  <c r="L17" i="105"/>
  <c r="F17" i="105"/>
  <c r="T16" i="105"/>
  <c r="N16" i="105"/>
  <c r="H16" i="105"/>
  <c r="V15" i="105"/>
  <c r="P15" i="105"/>
  <c r="J15" i="105"/>
  <c r="D15" i="105"/>
  <c r="R14" i="105"/>
  <c r="L14" i="105"/>
  <c r="F14" i="105"/>
  <c r="T13" i="105"/>
  <c r="N13" i="105"/>
  <c r="H13" i="105"/>
  <c r="V12" i="105"/>
  <c r="P12" i="105"/>
  <c r="J12" i="105"/>
  <c r="D12" i="105"/>
  <c r="R11" i="105"/>
  <c r="L11" i="105"/>
  <c r="F11" i="105"/>
  <c r="T10" i="105"/>
  <c r="N10" i="105"/>
  <c r="H10" i="105"/>
  <c r="V9" i="105"/>
  <c r="P9" i="105"/>
  <c r="J9" i="105"/>
  <c r="D9" i="105"/>
  <c r="R8" i="105"/>
  <c r="L8" i="105"/>
  <c r="F8" i="105"/>
  <c r="I53" i="112"/>
  <c r="L49" i="112"/>
  <c r="L46" i="112"/>
  <c r="T43" i="112"/>
  <c r="I41" i="112"/>
  <c r="Q38" i="112"/>
  <c r="E36" i="112"/>
  <c r="M33" i="112"/>
  <c r="V26" i="112"/>
  <c r="S24" i="112"/>
  <c r="P22" i="112"/>
  <c r="M20" i="112"/>
  <c r="I18" i="112"/>
  <c r="F16" i="112"/>
  <c r="W13" i="112"/>
  <c r="T11" i="112"/>
  <c r="Q9" i="112"/>
  <c r="R52" i="110"/>
  <c r="G51" i="110"/>
  <c r="M49" i="110"/>
  <c r="V47" i="110"/>
  <c r="H46" i="110"/>
  <c r="Q44" i="110"/>
  <c r="W42" i="110"/>
  <c r="L41" i="110"/>
  <c r="S39" i="110"/>
  <c r="G38" i="110"/>
  <c r="N36" i="110"/>
  <c r="W34" i="110"/>
  <c r="I33" i="110"/>
  <c r="R27" i="110"/>
  <c r="D26" i="110"/>
  <c r="M24" i="110"/>
  <c r="S22" i="110"/>
  <c r="N21" i="110"/>
  <c r="H20" i="110"/>
  <c r="W18" i="110"/>
  <c r="P17" i="110"/>
  <c r="J16" i="110"/>
  <c r="E15" i="110"/>
  <c r="R13" i="110"/>
  <c r="M12" i="110"/>
  <c r="G11" i="110"/>
  <c r="T9" i="110"/>
  <c r="O8" i="110"/>
  <c r="J53" i="109"/>
  <c r="I52" i="109"/>
  <c r="G51" i="109"/>
  <c r="E50" i="109"/>
  <c r="F52" i="112"/>
  <c r="H48" i="112"/>
  <c r="P45" i="112"/>
  <c r="E43" i="112"/>
  <c r="M40" i="112"/>
  <c r="U37" i="112"/>
  <c r="I35" i="112"/>
  <c r="Q28" i="112"/>
  <c r="I26" i="112"/>
  <c r="F24" i="112"/>
  <c r="W21" i="112"/>
  <c r="S19" i="112"/>
  <c r="P17" i="112"/>
  <c r="M15" i="112"/>
  <c r="J13" i="112"/>
  <c r="G11" i="112"/>
  <c r="W8" i="112"/>
  <c r="S53" i="110"/>
  <c r="H52" i="110"/>
  <c r="O50" i="110"/>
  <c r="W48" i="110"/>
  <c r="J47" i="110"/>
  <c r="U51" i="112"/>
  <c r="W42" i="112"/>
  <c r="G35" i="112"/>
  <c r="E24" i="112"/>
  <c r="O17" i="112"/>
  <c r="E11" i="112"/>
  <c r="G52" i="110"/>
  <c r="I47" i="110"/>
  <c r="D44" i="110"/>
  <c r="S40" i="110"/>
  <c r="N37" i="110"/>
  <c r="I34" i="110"/>
  <c r="E27" i="110"/>
  <c r="T23" i="110"/>
  <c r="W20" i="110"/>
  <c r="L18" i="110"/>
  <c r="T15" i="110"/>
  <c r="I13" i="110"/>
  <c r="Q10" i="110"/>
  <c r="D8" i="110"/>
  <c r="T51" i="109"/>
  <c r="Q49" i="109"/>
  <c r="V47" i="109"/>
  <c r="L46" i="109"/>
  <c r="Q44" i="109"/>
  <c r="G43" i="109"/>
  <c r="M41" i="109"/>
  <c r="W39" i="109"/>
  <c r="H38" i="109"/>
  <c r="R36" i="109"/>
  <c r="W34" i="109"/>
  <c r="M33" i="109"/>
  <c r="R27" i="109"/>
  <c r="H26" i="109"/>
  <c r="M24" i="109"/>
  <c r="W22" i="109"/>
  <c r="I21" i="109"/>
  <c r="S19" i="109"/>
  <c r="D18" i="109"/>
  <c r="N16" i="109"/>
  <c r="S14" i="109"/>
  <c r="I13" i="109"/>
  <c r="N11" i="109"/>
  <c r="D10" i="109"/>
  <c r="K8" i="109"/>
  <c r="L53" i="106"/>
  <c r="W52" i="106"/>
  <c r="K52" i="106"/>
  <c r="U51" i="106"/>
  <c r="I51" i="106"/>
  <c r="S50" i="106"/>
  <c r="G50" i="106"/>
  <c r="R49" i="106"/>
  <c r="F49" i="106"/>
  <c r="P48" i="106"/>
  <c r="D48" i="106"/>
  <c r="O47" i="106"/>
  <c r="W46" i="106"/>
  <c r="M46" i="106"/>
  <c r="U45" i="106"/>
  <c r="K45" i="106"/>
  <c r="S44" i="106"/>
  <c r="J44" i="106"/>
  <c r="R43" i="106"/>
  <c r="H43" i="106"/>
  <c r="P42" i="106"/>
  <c r="G42" i="106"/>
  <c r="O41" i="106"/>
  <c r="E41" i="106"/>
  <c r="M40" i="106"/>
  <c r="W39" i="106"/>
  <c r="K39" i="106"/>
  <c r="V38" i="106"/>
  <c r="J38" i="106"/>
  <c r="T37" i="106"/>
  <c r="H37" i="106"/>
  <c r="S36" i="106"/>
  <c r="G36" i="106"/>
  <c r="Q35" i="106"/>
  <c r="E35" i="106"/>
  <c r="O34" i="106"/>
  <c r="W33" i="106"/>
  <c r="N33" i="106"/>
  <c r="V28" i="106"/>
  <c r="L28" i="106"/>
  <c r="U27" i="106"/>
  <c r="M27" i="106"/>
  <c r="W26" i="106"/>
  <c r="O26" i="106"/>
  <c r="E26" i="106"/>
  <c r="Q25" i="106"/>
  <c r="G25" i="106"/>
  <c r="S24" i="106"/>
  <c r="I24" i="106"/>
  <c r="U23" i="106"/>
  <c r="K23" i="106"/>
  <c r="W22" i="106"/>
  <c r="M22" i="106"/>
  <c r="E22" i="106"/>
  <c r="O21" i="106"/>
  <c r="G21" i="106"/>
  <c r="Q20" i="106"/>
  <c r="I20" i="106"/>
  <c r="S19" i="106"/>
  <c r="K19" i="106"/>
  <c r="U18" i="106"/>
  <c r="M18" i="106"/>
  <c r="W17" i="106"/>
  <c r="O17" i="106"/>
  <c r="E17" i="106"/>
  <c r="Q16" i="106"/>
  <c r="G16" i="106"/>
  <c r="S15" i="106"/>
  <c r="I15" i="106"/>
  <c r="U14" i="106"/>
  <c r="K14" i="106"/>
  <c r="W13" i="106"/>
  <c r="M13" i="106"/>
  <c r="E13" i="106"/>
  <c r="O12" i="106"/>
  <c r="G12" i="106"/>
  <c r="Q11" i="106"/>
  <c r="I11" i="106"/>
  <c r="S10" i="106"/>
  <c r="K10" i="106"/>
  <c r="U9" i="106"/>
  <c r="M9" i="106"/>
  <c r="W8" i="106"/>
  <c r="O8" i="106"/>
  <c r="E8" i="106"/>
  <c r="Q53" i="105"/>
  <c r="G53" i="105"/>
  <c r="S52" i="105"/>
  <c r="I52" i="105"/>
  <c r="U51" i="105"/>
  <c r="K51" i="105"/>
  <c r="W50" i="105"/>
  <c r="M50" i="105"/>
  <c r="E50" i="105"/>
  <c r="O49" i="105"/>
  <c r="G49" i="105"/>
  <c r="Q48" i="105"/>
  <c r="I48" i="105"/>
  <c r="S47" i="105"/>
  <c r="K47" i="105"/>
  <c r="U46" i="105"/>
  <c r="M46" i="105"/>
  <c r="W45" i="105"/>
  <c r="O45" i="105"/>
  <c r="E45" i="105"/>
  <c r="Q44" i="105"/>
  <c r="G44" i="105"/>
  <c r="S43" i="105"/>
  <c r="I43" i="105"/>
  <c r="U42" i="105"/>
  <c r="K42" i="105"/>
  <c r="W41" i="105"/>
  <c r="M41" i="105"/>
  <c r="E41" i="105"/>
  <c r="O40" i="105"/>
  <c r="G40" i="105"/>
  <c r="Q39" i="105"/>
  <c r="I39" i="105"/>
  <c r="S38" i="105"/>
  <c r="K38" i="105"/>
  <c r="U37" i="105"/>
  <c r="M37" i="105"/>
  <c r="W36" i="105"/>
  <c r="O36" i="105"/>
  <c r="E36" i="105"/>
  <c r="Q35" i="105"/>
  <c r="G35" i="105"/>
  <c r="S34" i="105"/>
  <c r="I34" i="105"/>
  <c r="U33" i="105"/>
  <c r="K33" i="105"/>
  <c r="W28" i="105"/>
  <c r="M28" i="105"/>
  <c r="E28" i="105"/>
  <c r="O27" i="105"/>
  <c r="G27" i="105"/>
  <c r="Q26" i="105"/>
  <c r="I26" i="105"/>
  <c r="S25" i="105"/>
  <c r="K25" i="105"/>
  <c r="U24" i="105"/>
  <c r="M24" i="105"/>
  <c r="W23" i="105"/>
  <c r="O23" i="105"/>
  <c r="E23" i="105"/>
  <c r="Q22" i="105"/>
  <c r="G22" i="105"/>
  <c r="S21" i="105"/>
  <c r="I21" i="105"/>
  <c r="U20" i="105"/>
  <c r="K20" i="105"/>
  <c r="W19" i="105"/>
  <c r="M19" i="105"/>
  <c r="E19" i="105"/>
  <c r="O18" i="105"/>
  <c r="G18" i="105"/>
  <c r="Q17" i="105"/>
  <c r="I17" i="105"/>
  <c r="S16" i="105"/>
  <c r="K16" i="105"/>
  <c r="U15" i="105"/>
  <c r="M15" i="105"/>
  <c r="W14" i="105"/>
  <c r="O14" i="105"/>
  <c r="E14" i="105"/>
  <c r="Q13" i="105"/>
  <c r="G13" i="105"/>
  <c r="S12" i="105"/>
  <c r="I12" i="105"/>
  <c r="U11" i="105"/>
  <c r="K11" i="105"/>
  <c r="W10" i="105"/>
  <c r="M10" i="105"/>
  <c r="E10" i="105"/>
  <c r="O9" i="105"/>
  <c r="G9" i="105"/>
  <c r="Q8" i="105"/>
  <c r="I8" i="105"/>
  <c r="I51" i="112"/>
  <c r="O42" i="112"/>
  <c r="S34" i="112"/>
  <c r="Q23" i="112"/>
  <c r="H17" i="112"/>
  <c r="R10" i="112"/>
  <c r="W51" i="110"/>
  <c r="G47" i="110"/>
  <c r="W43" i="110"/>
  <c r="R40" i="110"/>
  <c r="M37" i="110"/>
  <c r="H34" i="110"/>
  <c r="W26" i="110"/>
  <c r="S23" i="110"/>
  <c r="V20" i="110"/>
  <c r="K18" i="110"/>
  <c r="S15" i="110"/>
  <c r="G13" i="110"/>
  <c r="O10" i="110"/>
  <c r="W53" i="109"/>
  <c r="S51" i="109"/>
  <c r="P49" i="109"/>
  <c r="O47" i="109"/>
  <c r="K46" i="109"/>
  <c r="J44" i="109"/>
  <c r="F43" i="109"/>
  <c r="E41" i="109"/>
  <c r="U39" i="109"/>
  <c r="U37" i="109"/>
  <c r="Q36" i="109"/>
  <c r="P34" i="109"/>
  <c r="L33" i="109"/>
  <c r="K27" i="109"/>
  <c r="G26" i="109"/>
  <c r="F24" i="109"/>
  <c r="V22" i="109"/>
  <c r="U20" i="109"/>
  <c r="Q19" i="109"/>
  <c r="Q17" i="109"/>
  <c r="M16" i="109"/>
  <c r="L14" i="109"/>
  <c r="H13" i="109"/>
  <c r="G11" i="109"/>
  <c r="W9" i="109"/>
  <c r="E8" i="109"/>
  <c r="K53" i="106"/>
  <c r="U52" i="106"/>
  <c r="I52" i="106"/>
  <c r="T51" i="106"/>
  <c r="H51" i="106"/>
  <c r="R50" i="106"/>
  <c r="F50" i="106"/>
  <c r="Q49" i="106"/>
  <c r="E49" i="106"/>
  <c r="O48" i="106"/>
  <c r="W47" i="106"/>
  <c r="M47" i="106"/>
  <c r="U46" i="106"/>
  <c r="L46" i="106"/>
  <c r="T45" i="106"/>
  <c r="J45" i="106"/>
  <c r="R44" i="106"/>
  <c r="I44" i="106"/>
  <c r="Q43" i="106"/>
  <c r="G43" i="106"/>
  <c r="O42" i="106"/>
  <c r="E42" i="106"/>
  <c r="M41" i="106"/>
  <c r="D41" i="106"/>
  <c r="L40" i="106"/>
  <c r="V39" i="106"/>
  <c r="J39" i="106"/>
  <c r="U38" i="106"/>
  <c r="I38" i="106"/>
  <c r="S37" i="106"/>
  <c r="G37" i="106"/>
  <c r="Q36" i="106"/>
  <c r="E36" i="106"/>
  <c r="P35" i="106"/>
  <c r="D35" i="106"/>
  <c r="N34" i="106"/>
  <c r="V33" i="106"/>
  <c r="M33" i="106"/>
  <c r="U28" i="106"/>
  <c r="K28" i="106"/>
  <c r="T27" i="106"/>
  <c r="L27" i="106"/>
  <c r="V26" i="106"/>
  <c r="N26" i="106"/>
  <c r="D26" i="106"/>
  <c r="P25" i="106"/>
  <c r="F25" i="106"/>
  <c r="R24" i="106"/>
  <c r="H24" i="106"/>
  <c r="T23" i="106"/>
  <c r="J23" i="106"/>
  <c r="V22" i="106"/>
  <c r="L22" i="106"/>
  <c r="D22" i="106"/>
  <c r="N21" i="106"/>
  <c r="F21" i="106"/>
  <c r="P20" i="106"/>
  <c r="H20" i="106"/>
  <c r="R19" i="106"/>
  <c r="J19" i="106"/>
  <c r="T18" i="106"/>
  <c r="L18" i="106"/>
  <c r="V17" i="106"/>
  <c r="N17" i="106"/>
  <c r="D17" i="106"/>
  <c r="P16" i="106"/>
  <c r="F16" i="106"/>
  <c r="R15" i="106"/>
  <c r="H15" i="106"/>
  <c r="T14" i="106"/>
  <c r="J14" i="106"/>
  <c r="V13" i="106"/>
  <c r="L13" i="106"/>
  <c r="D13" i="106"/>
  <c r="N12" i="106"/>
  <c r="F12" i="106"/>
  <c r="P11" i="106"/>
  <c r="H11" i="106"/>
  <c r="R10" i="106"/>
  <c r="J10" i="106"/>
  <c r="T9" i="106"/>
  <c r="L9" i="106"/>
  <c r="V8" i="106"/>
  <c r="N8" i="106"/>
  <c r="D8" i="106"/>
  <c r="P53" i="105"/>
  <c r="F53" i="105"/>
  <c r="R52" i="105"/>
  <c r="H52" i="105"/>
  <c r="T51" i="105"/>
  <c r="J51" i="105"/>
  <c r="V50" i="105"/>
  <c r="L50" i="105"/>
  <c r="D50" i="105"/>
  <c r="N49" i="105"/>
  <c r="F49" i="105"/>
  <c r="P48" i="105"/>
  <c r="H48" i="105"/>
  <c r="R47" i="105"/>
  <c r="J47" i="105"/>
  <c r="T46" i="105"/>
  <c r="L46" i="105"/>
  <c r="V45" i="105"/>
  <c r="N45" i="105"/>
  <c r="D45" i="105"/>
  <c r="P44" i="105"/>
  <c r="F44" i="105"/>
  <c r="R43" i="105"/>
  <c r="H43" i="105"/>
  <c r="T42" i="105"/>
  <c r="J42" i="105"/>
  <c r="V41" i="105"/>
  <c r="L41" i="105"/>
  <c r="D41" i="105"/>
  <c r="N40" i="105"/>
  <c r="F40" i="105"/>
  <c r="P39" i="105"/>
  <c r="H39" i="105"/>
  <c r="R38" i="105"/>
  <c r="J38" i="105"/>
  <c r="T37" i="105"/>
  <c r="L37" i="105"/>
  <c r="V36" i="105"/>
  <c r="N36" i="105"/>
  <c r="D36" i="105"/>
  <c r="P35" i="105"/>
  <c r="F35" i="105"/>
  <c r="R34" i="105"/>
  <c r="H34" i="105"/>
  <c r="T33" i="105"/>
  <c r="J33" i="105"/>
  <c r="V28" i="105"/>
  <c r="L28" i="105"/>
  <c r="D28" i="105"/>
  <c r="N27" i="105"/>
  <c r="F27" i="105"/>
  <c r="P26" i="105"/>
  <c r="H26" i="105"/>
  <c r="R25" i="105"/>
  <c r="J25" i="105"/>
  <c r="T24" i="105"/>
  <c r="L24" i="105"/>
  <c r="V23" i="105"/>
  <c r="N23" i="105"/>
  <c r="D23" i="105"/>
  <c r="P22" i="105"/>
  <c r="F22" i="105"/>
  <c r="R21" i="105"/>
  <c r="H21" i="105"/>
  <c r="T20" i="105"/>
  <c r="J20" i="105"/>
  <c r="V19" i="105"/>
  <c r="L19" i="105"/>
  <c r="D19" i="105"/>
  <c r="N18" i="105"/>
  <c r="F18" i="105"/>
  <c r="P17" i="105"/>
  <c r="H17" i="105"/>
  <c r="R16" i="105"/>
  <c r="J16" i="105"/>
  <c r="T15" i="105"/>
  <c r="L15" i="105"/>
  <c r="V14" i="105"/>
  <c r="N14" i="105"/>
  <c r="D14" i="105"/>
  <c r="P13" i="105"/>
  <c r="F13" i="105"/>
  <c r="R12" i="105"/>
  <c r="H12" i="105"/>
  <c r="T11" i="105"/>
  <c r="J11" i="105"/>
  <c r="V10" i="105"/>
  <c r="L10" i="105"/>
  <c r="D10" i="105"/>
  <c r="N9" i="105"/>
  <c r="F9" i="105"/>
  <c r="P8" i="105"/>
  <c r="H8" i="105"/>
  <c r="G48" i="112"/>
  <c r="L40" i="112"/>
  <c r="P28" i="112"/>
  <c r="U21" i="112"/>
  <c r="L15" i="112"/>
  <c r="V8" i="112"/>
  <c r="M50" i="110"/>
  <c r="S45" i="110"/>
  <c r="N42" i="110"/>
  <c r="I39" i="110"/>
  <c r="D36" i="110"/>
  <c r="S28" i="110"/>
  <c r="O25" i="110"/>
  <c r="K22" i="110"/>
  <c r="S19" i="110"/>
  <c r="H17" i="110"/>
  <c r="P14" i="110"/>
  <c r="W11" i="110"/>
  <c r="L9" i="110"/>
  <c r="W52" i="109"/>
  <c r="T50" i="109"/>
  <c r="D49" i="109"/>
  <c r="N47" i="109"/>
  <c r="S45" i="109"/>
  <c r="I44" i="109"/>
  <c r="N42" i="109"/>
  <c r="D41" i="109"/>
  <c r="I39" i="109"/>
  <c r="S37" i="109"/>
  <c r="E36" i="109"/>
  <c r="O34" i="109"/>
  <c r="T28" i="109"/>
  <c r="J27" i="109"/>
  <c r="O25" i="109"/>
  <c r="E24" i="109"/>
  <c r="J22" i="109"/>
  <c r="T20" i="109"/>
  <c r="E19" i="109"/>
  <c r="O17" i="109"/>
  <c r="U15" i="109"/>
  <c r="K14" i="109"/>
  <c r="P12" i="109"/>
  <c r="F11" i="109"/>
  <c r="K9" i="109"/>
  <c r="D8" i="109"/>
  <c r="S53" i="106"/>
  <c r="J53" i="106"/>
  <c r="R52" i="106"/>
  <c r="H52" i="106"/>
  <c r="P51" i="106"/>
  <c r="G51" i="106"/>
  <c r="O50" i="106"/>
  <c r="E50" i="106"/>
  <c r="M49" i="106"/>
  <c r="W48" i="106"/>
  <c r="K48" i="106"/>
  <c r="V47" i="106"/>
  <c r="J47" i="106"/>
  <c r="T46" i="106"/>
  <c r="H46" i="106"/>
  <c r="S45" i="106"/>
  <c r="G45" i="106"/>
  <c r="Q44" i="106"/>
  <c r="E44" i="106"/>
  <c r="O43" i="106"/>
  <c r="W42" i="106"/>
  <c r="N42" i="106"/>
  <c r="V41" i="106"/>
  <c r="L41" i="106"/>
  <c r="T40" i="106"/>
  <c r="K40" i="106"/>
  <c r="S39" i="106"/>
  <c r="I39" i="106"/>
  <c r="Q38" i="106"/>
  <c r="G38" i="106"/>
  <c r="O37" i="106"/>
  <c r="F37" i="106"/>
  <c r="N36" i="106"/>
  <c r="D36" i="106"/>
  <c r="L35" i="106"/>
  <c r="W34" i="106"/>
  <c r="K34" i="106"/>
  <c r="U33" i="106"/>
  <c r="I33" i="106"/>
  <c r="S28" i="106"/>
  <c r="G28" i="106"/>
  <c r="S27" i="106"/>
  <c r="I27" i="106"/>
  <c r="U26" i="106"/>
  <c r="K26" i="106"/>
  <c r="W25" i="106"/>
  <c r="M25" i="106"/>
  <c r="E25" i="106"/>
  <c r="O24" i="106"/>
  <c r="G24" i="106"/>
  <c r="Q23" i="106"/>
  <c r="I23" i="106"/>
  <c r="S22" i="106"/>
  <c r="K22" i="106"/>
  <c r="U21" i="106"/>
  <c r="M21" i="106"/>
  <c r="W20" i="106"/>
  <c r="O20" i="106"/>
  <c r="E20" i="106"/>
  <c r="Q19" i="106"/>
  <c r="G19" i="106"/>
  <c r="S18" i="106"/>
  <c r="I18" i="106"/>
  <c r="U17" i="106"/>
  <c r="K17" i="106"/>
  <c r="W16" i="106"/>
  <c r="M16" i="106"/>
  <c r="E16" i="106"/>
  <c r="O15" i="106"/>
  <c r="G15" i="106"/>
  <c r="Q14" i="106"/>
  <c r="I14" i="106"/>
  <c r="S13" i="106"/>
  <c r="K13" i="106"/>
  <c r="U12" i="106"/>
  <c r="M12" i="106"/>
  <c r="W11" i="106"/>
  <c r="O11" i="106"/>
  <c r="E11" i="106"/>
  <c r="Q10" i="106"/>
  <c r="G10" i="106"/>
  <c r="S9" i="106"/>
  <c r="I9" i="106"/>
  <c r="U8" i="106"/>
  <c r="K8" i="106"/>
  <c r="W53" i="105"/>
  <c r="M53" i="105"/>
  <c r="E53" i="105"/>
  <c r="O52" i="105"/>
  <c r="G52" i="105"/>
  <c r="Q51" i="105"/>
  <c r="I51" i="105"/>
  <c r="S50" i="105"/>
  <c r="K50" i="105"/>
  <c r="U49" i="105"/>
  <c r="M49" i="105"/>
  <c r="W48" i="105"/>
  <c r="O48" i="105"/>
  <c r="E48" i="105"/>
  <c r="Q47" i="105"/>
  <c r="G47" i="105"/>
  <c r="S46" i="105"/>
  <c r="I46" i="105"/>
  <c r="U45" i="105"/>
  <c r="K45" i="105"/>
  <c r="W44" i="105"/>
  <c r="M44" i="105"/>
  <c r="E44" i="105"/>
  <c r="O43" i="105"/>
  <c r="G43" i="105"/>
  <c r="Q42" i="105"/>
  <c r="I42" i="105"/>
  <c r="S41" i="105"/>
  <c r="K41" i="105"/>
  <c r="U40" i="105"/>
  <c r="M40" i="105"/>
  <c r="W39" i="105"/>
  <c r="O39" i="105"/>
  <c r="E39" i="105"/>
  <c r="Q38" i="105"/>
  <c r="G38" i="105"/>
  <c r="S37" i="105"/>
  <c r="I37" i="105"/>
  <c r="U36" i="105"/>
  <c r="K36" i="105"/>
  <c r="W35" i="105"/>
  <c r="M35" i="105"/>
  <c r="E35" i="105"/>
  <c r="O34" i="105"/>
  <c r="G34" i="105"/>
  <c r="Q33" i="105"/>
  <c r="I33" i="105"/>
  <c r="S28" i="105"/>
  <c r="K28" i="105"/>
  <c r="U27" i="105"/>
  <c r="M27" i="105"/>
  <c r="W26" i="105"/>
  <c r="O26" i="105"/>
  <c r="E26" i="105"/>
  <c r="Q25" i="105"/>
  <c r="G25" i="105"/>
  <c r="S24" i="105"/>
  <c r="I24" i="105"/>
  <c r="U23" i="105"/>
  <c r="K23" i="105"/>
  <c r="W22" i="105"/>
  <c r="M22" i="105"/>
  <c r="E22" i="105"/>
  <c r="O21" i="105"/>
  <c r="G21" i="105"/>
  <c r="Q20" i="105"/>
  <c r="I20" i="105"/>
  <c r="S19" i="105"/>
  <c r="K19" i="105"/>
  <c r="U18" i="105"/>
  <c r="M18" i="105"/>
  <c r="W17" i="105"/>
  <c r="O17" i="105"/>
  <c r="E17" i="105"/>
  <c r="Q16" i="105"/>
  <c r="G16" i="105"/>
  <c r="S15" i="105"/>
  <c r="I15" i="105"/>
  <c r="U14" i="105"/>
  <c r="K14" i="105"/>
  <c r="W13" i="105"/>
  <c r="M13" i="105"/>
  <c r="E13" i="105"/>
  <c r="O12" i="105"/>
  <c r="G12" i="105"/>
  <c r="Q11" i="105"/>
  <c r="I11" i="105"/>
  <c r="S10" i="105"/>
  <c r="K10" i="105"/>
  <c r="U9" i="105"/>
  <c r="M9" i="105"/>
  <c r="W8" i="105"/>
  <c r="O8" i="105"/>
  <c r="E8" i="105"/>
  <c r="T8" i="105"/>
  <c r="R9" i="105"/>
  <c r="P10" i="105"/>
  <c r="N11" i="105"/>
  <c r="L12" i="105"/>
  <c r="J13" i="105"/>
  <c r="H14" i="105"/>
  <c r="F15" i="105"/>
  <c r="D16" i="105"/>
  <c r="V16" i="105"/>
  <c r="T17" i="105"/>
  <c r="R18" i="105"/>
  <c r="P19" i="105"/>
  <c r="N20" i="105"/>
  <c r="L21" i="105"/>
  <c r="J22" i="105"/>
  <c r="H23" i="105"/>
  <c r="F24" i="105"/>
  <c r="D25" i="105"/>
  <c r="V25" i="105"/>
  <c r="T26" i="105"/>
  <c r="R27" i="105"/>
  <c r="P28" i="105"/>
  <c r="N33" i="105"/>
  <c r="L34" i="105"/>
  <c r="J35" i="105"/>
  <c r="H36" i="105"/>
  <c r="F37" i="105"/>
  <c r="D38" i="105"/>
  <c r="V38" i="105"/>
  <c r="T39" i="105"/>
  <c r="R40" i="105"/>
  <c r="P41" i="105"/>
  <c r="N42" i="105"/>
  <c r="L43" i="105"/>
  <c r="J44" i="105"/>
  <c r="H45" i="105"/>
  <c r="F46" i="105"/>
  <c r="D47" i="105"/>
  <c r="V47" i="105"/>
  <c r="T48" i="105"/>
  <c r="R49" i="105"/>
  <c r="P50" i="105"/>
  <c r="N51" i="105"/>
  <c r="L52" i="105"/>
  <c r="J53" i="105"/>
  <c r="H8" i="106"/>
  <c r="F9" i="106"/>
  <c r="D10" i="106"/>
  <c r="V10" i="106"/>
  <c r="T11" i="106"/>
  <c r="R12" i="106"/>
  <c r="P13" i="106"/>
  <c r="N14" i="106"/>
  <c r="L15" i="106"/>
  <c r="J16" i="106"/>
  <c r="H17" i="106"/>
  <c r="F18" i="106"/>
  <c r="D19" i="106"/>
  <c r="V19" i="106"/>
  <c r="T20" i="106"/>
  <c r="R21" i="106"/>
  <c r="P22" i="106"/>
  <c r="N23" i="106"/>
  <c r="L24" i="106"/>
  <c r="J25" i="106"/>
  <c r="H26" i="106"/>
  <c r="F27" i="106"/>
  <c r="D28" i="106"/>
  <c r="E33" i="106"/>
  <c r="G34" i="106"/>
  <c r="I35" i="106"/>
  <c r="J36" i="106"/>
  <c r="L37" i="106"/>
  <c r="M38" i="106"/>
  <c r="O39" i="106"/>
  <c r="Q40" i="106"/>
  <c r="R41" i="106"/>
  <c r="T42" i="106"/>
  <c r="U43" i="106"/>
  <c r="W44" i="106"/>
  <c r="E46" i="106"/>
  <c r="F47" i="106"/>
  <c r="H48" i="106"/>
  <c r="I49" i="106"/>
  <c r="K50" i="106"/>
  <c r="M51" i="106"/>
  <c r="N52" i="106"/>
  <c r="P53" i="106"/>
  <c r="U8" i="109"/>
  <c r="F12" i="109"/>
  <c r="K15" i="109"/>
  <c r="P18" i="109"/>
  <c r="U21" i="109"/>
  <c r="E25" i="109"/>
  <c r="J28" i="109"/>
  <c r="O35" i="109"/>
  <c r="T38" i="109"/>
  <c r="E42" i="109"/>
  <c r="I45" i="109"/>
  <c r="N48" i="109"/>
  <c r="U51" i="109"/>
  <c r="R10" i="110"/>
  <c r="U15" i="110"/>
  <c r="F21" i="110"/>
  <c r="F27" i="110"/>
  <c r="O37" i="110"/>
  <c r="E44" i="110"/>
  <c r="Q53" i="110"/>
  <c r="K19" i="112"/>
  <c r="K37" i="112"/>
  <c r="I113" i="28"/>
  <c r="Y172" i="28"/>
  <c r="F220" i="28"/>
  <c r="K76" i="28"/>
  <c r="K36" i="28" s="1"/>
  <c r="R206" i="28"/>
  <c r="S125" i="28"/>
  <c r="J153" i="28"/>
  <c r="H215" i="28"/>
  <c r="L20" i="94"/>
  <c r="K59" i="94"/>
  <c r="C68" i="94"/>
  <c r="F47" i="94"/>
  <c r="J80" i="94"/>
  <c r="D80" i="94"/>
  <c r="N9" i="94"/>
  <c r="K83" i="94"/>
  <c r="L83" i="94"/>
  <c r="I55" i="94"/>
  <c r="N23" i="94"/>
  <c r="H85" i="94"/>
  <c r="F55" i="94"/>
  <c r="D15" i="94"/>
  <c r="J62" i="94"/>
  <c r="H17" i="94"/>
  <c r="J61" i="94"/>
  <c r="C12" i="94"/>
  <c r="L47" i="94"/>
  <c r="M87" i="94"/>
  <c r="E39" i="94"/>
  <c r="C75" i="94"/>
  <c r="D7" i="94"/>
  <c r="M62" i="28"/>
  <c r="M22" i="28" s="1"/>
  <c r="P171" i="28"/>
  <c r="H197" i="28"/>
  <c r="C147" i="28"/>
  <c r="Q204" i="28"/>
  <c r="Y144" i="28"/>
  <c r="N80" i="28"/>
  <c r="N40" i="28" s="1"/>
  <c r="M60" i="28"/>
  <c r="M20" i="28" s="1"/>
  <c r="X236" i="28"/>
  <c r="N178" i="28"/>
  <c r="H113" i="103"/>
  <c r="H113" i="104"/>
  <c r="L113" i="108"/>
  <c r="T103" i="111"/>
  <c r="N103" i="111"/>
  <c r="H103" i="111"/>
  <c r="V102" i="111"/>
  <c r="P102" i="111"/>
  <c r="J102" i="111"/>
  <c r="D102" i="111"/>
  <c r="R101" i="111"/>
  <c r="L101" i="111"/>
  <c r="F101" i="111"/>
  <c r="T100" i="111"/>
  <c r="N100" i="111"/>
  <c r="H100" i="111"/>
  <c r="V99" i="111"/>
  <c r="P99" i="111"/>
  <c r="J99" i="111"/>
  <c r="D99" i="111"/>
  <c r="R98" i="111"/>
  <c r="L98" i="111"/>
  <c r="F98" i="111"/>
  <c r="T97" i="111"/>
  <c r="N97" i="111"/>
  <c r="H97" i="111"/>
  <c r="V96" i="111"/>
  <c r="P96" i="111"/>
  <c r="J96" i="111"/>
  <c r="D96" i="111"/>
  <c r="R95" i="111"/>
  <c r="L95" i="111"/>
  <c r="F95" i="111"/>
  <c r="T94" i="111"/>
  <c r="N94" i="111"/>
  <c r="H94" i="111"/>
  <c r="V93" i="111"/>
  <c r="P93" i="111"/>
  <c r="J93" i="111"/>
  <c r="D93" i="111"/>
  <c r="R92" i="111"/>
  <c r="L92" i="111"/>
  <c r="F92" i="111"/>
  <c r="T91" i="111"/>
  <c r="N91" i="111"/>
  <c r="H91" i="111"/>
  <c r="V90" i="111"/>
  <c r="P90" i="111"/>
  <c r="J90" i="111"/>
  <c r="D90" i="111"/>
  <c r="R89" i="111"/>
  <c r="L89" i="111"/>
  <c r="F89" i="111"/>
  <c r="T88" i="111"/>
  <c r="N88" i="111"/>
  <c r="H88" i="111"/>
  <c r="V87" i="111"/>
  <c r="P87" i="111"/>
  <c r="J87" i="111"/>
  <c r="D87" i="111"/>
  <c r="R86" i="111"/>
  <c r="L86" i="111"/>
  <c r="F86" i="111"/>
  <c r="T85" i="111"/>
  <c r="N85" i="111"/>
  <c r="H85" i="111"/>
  <c r="V84" i="111"/>
  <c r="P84" i="111"/>
  <c r="J84" i="111"/>
  <c r="D84" i="111"/>
  <c r="R83" i="111"/>
  <c r="L83" i="111"/>
  <c r="F83" i="111"/>
  <c r="T78" i="111"/>
  <c r="N78" i="111"/>
  <c r="H78" i="111"/>
  <c r="V77" i="111"/>
  <c r="P77" i="111"/>
  <c r="J77" i="111"/>
  <c r="D77" i="111"/>
  <c r="R76" i="111"/>
  <c r="L76" i="111"/>
  <c r="F76" i="111"/>
  <c r="T75" i="111"/>
  <c r="N75" i="111"/>
  <c r="H75" i="111"/>
  <c r="V74" i="111"/>
  <c r="P74" i="111"/>
  <c r="J74" i="111"/>
  <c r="D74" i="111"/>
  <c r="R73" i="111"/>
  <c r="L73" i="111"/>
  <c r="F73" i="111"/>
  <c r="T72" i="111"/>
  <c r="N72" i="111"/>
  <c r="H72" i="111"/>
  <c r="V71" i="111"/>
  <c r="P71" i="111"/>
  <c r="J71" i="111"/>
  <c r="D71" i="111"/>
  <c r="R70" i="111"/>
  <c r="L70" i="111"/>
  <c r="F70" i="111"/>
  <c r="T69" i="111"/>
  <c r="N69" i="111"/>
  <c r="H69" i="111"/>
  <c r="V68" i="111"/>
  <c r="P68" i="111"/>
  <c r="J68" i="111"/>
  <c r="D68" i="111"/>
  <c r="R67" i="111"/>
  <c r="L67" i="111"/>
  <c r="F67" i="111"/>
  <c r="T66" i="111"/>
  <c r="N66" i="111"/>
  <c r="H66" i="111"/>
  <c r="V65" i="111"/>
  <c r="P65" i="111"/>
  <c r="J65" i="111"/>
  <c r="D65" i="111"/>
  <c r="R64" i="111"/>
  <c r="L64" i="111"/>
  <c r="F64" i="111"/>
  <c r="T63" i="111"/>
  <c r="N63" i="111"/>
  <c r="H63" i="111"/>
  <c r="V62" i="111"/>
  <c r="P62" i="111"/>
  <c r="J62" i="111"/>
  <c r="D62" i="111"/>
  <c r="R61" i="111"/>
  <c r="L61" i="111"/>
  <c r="F61" i="111"/>
  <c r="T60" i="111"/>
  <c r="N60" i="111"/>
  <c r="H60" i="111"/>
  <c r="V59" i="111"/>
  <c r="P59" i="111"/>
  <c r="J59" i="111"/>
  <c r="D59" i="111"/>
  <c r="R58" i="111"/>
  <c r="L58" i="111"/>
  <c r="F58" i="111"/>
  <c r="T53" i="111"/>
  <c r="N53" i="111"/>
  <c r="H53" i="111"/>
  <c r="V52" i="111"/>
  <c r="P52" i="111"/>
  <c r="J52" i="111"/>
  <c r="D52" i="111"/>
  <c r="R51" i="111"/>
  <c r="L51" i="111"/>
  <c r="F51" i="111"/>
  <c r="T50" i="111"/>
  <c r="N50" i="111"/>
  <c r="H50" i="111"/>
  <c r="V49" i="111"/>
  <c r="P49" i="111"/>
  <c r="J49" i="111"/>
  <c r="D49" i="111"/>
  <c r="R48" i="111"/>
  <c r="L48" i="111"/>
  <c r="F48" i="111"/>
  <c r="T47" i="111"/>
  <c r="N47" i="111"/>
  <c r="H47" i="111"/>
  <c r="V46" i="111"/>
  <c r="P46" i="111"/>
  <c r="J46" i="111"/>
  <c r="D46" i="111"/>
  <c r="R45" i="111"/>
  <c r="L45" i="111"/>
  <c r="F45" i="111"/>
  <c r="T44" i="111"/>
  <c r="N44" i="111"/>
  <c r="H44" i="111"/>
  <c r="V43" i="111"/>
  <c r="P43" i="111"/>
  <c r="J43" i="111"/>
  <c r="D43" i="111"/>
  <c r="R42" i="111"/>
  <c r="L42" i="111"/>
  <c r="F42" i="111"/>
  <c r="T41" i="111"/>
  <c r="N41" i="111"/>
  <c r="H41" i="111"/>
  <c r="V40" i="111"/>
  <c r="P40" i="111"/>
  <c r="J40" i="111"/>
  <c r="D40" i="111"/>
  <c r="R39" i="111"/>
  <c r="L39" i="111"/>
  <c r="F39" i="111"/>
  <c r="T38" i="111"/>
  <c r="N38" i="111"/>
  <c r="H38" i="111"/>
  <c r="V37" i="111"/>
  <c r="P37" i="111"/>
  <c r="J37" i="111"/>
  <c r="D37" i="111"/>
  <c r="R36" i="111"/>
  <c r="L36" i="111"/>
  <c r="F36" i="111"/>
  <c r="T35" i="111"/>
  <c r="N35" i="111"/>
  <c r="H35" i="111"/>
  <c r="V34" i="111"/>
  <c r="P34" i="111"/>
  <c r="J34" i="111"/>
  <c r="D34" i="111"/>
  <c r="R33" i="111"/>
  <c r="L33" i="111"/>
  <c r="F33" i="111"/>
  <c r="T28" i="111"/>
  <c r="N28" i="111"/>
  <c r="H28" i="111"/>
  <c r="V27" i="111"/>
  <c r="P27" i="111"/>
  <c r="J27" i="111"/>
  <c r="D27" i="111"/>
  <c r="R26" i="111"/>
  <c r="L26" i="111"/>
  <c r="F26" i="111"/>
  <c r="T25" i="111"/>
  <c r="N25" i="111"/>
  <c r="H25" i="111"/>
  <c r="V24" i="111"/>
  <c r="P24" i="111"/>
  <c r="J24" i="111"/>
  <c r="D24" i="111"/>
  <c r="R23" i="111"/>
  <c r="L23" i="111"/>
  <c r="F23" i="111"/>
  <c r="T22" i="111"/>
  <c r="N22" i="111"/>
  <c r="H22" i="111"/>
  <c r="V21" i="111"/>
  <c r="P21" i="111"/>
  <c r="J21" i="111"/>
  <c r="D21" i="111"/>
  <c r="R20" i="111"/>
  <c r="L20" i="111"/>
  <c r="F20" i="111"/>
  <c r="T19" i="111"/>
  <c r="N19" i="111"/>
  <c r="H19" i="111"/>
  <c r="V18" i="111"/>
  <c r="P18" i="111"/>
  <c r="J18" i="111"/>
  <c r="D18" i="111"/>
  <c r="R17" i="111"/>
  <c r="L17" i="111"/>
  <c r="F17" i="111"/>
  <c r="T16" i="111"/>
  <c r="N16" i="111"/>
  <c r="H16" i="111"/>
  <c r="V15" i="111"/>
  <c r="P15" i="111"/>
  <c r="J15" i="111"/>
  <c r="D15" i="111"/>
  <c r="R14" i="111"/>
  <c r="L14" i="111"/>
  <c r="F14" i="111"/>
  <c r="T13" i="111"/>
  <c r="N13" i="111"/>
  <c r="H13" i="111"/>
  <c r="V12" i="111"/>
  <c r="P12" i="111"/>
  <c r="J12" i="111"/>
  <c r="D12" i="111"/>
  <c r="R11" i="111"/>
  <c r="L11" i="111"/>
  <c r="F11" i="111"/>
  <c r="T10" i="111"/>
  <c r="N10" i="111"/>
  <c r="H10" i="111"/>
  <c r="V9" i="111"/>
  <c r="P9" i="111"/>
  <c r="J9" i="111"/>
  <c r="D9" i="111"/>
  <c r="R8" i="111"/>
  <c r="L8" i="111"/>
  <c r="F8" i="111"/>
  <c r="S103" i="111"/>
  <c r="L103" i="111"/>
  <c r="E103" i="111"/>
  <c r="R102" i="111"/>
  <c r="K102" i="111"/>
  <c r="W101" i="111"/>
  <c r="P101" i="111"/>
  <c r="I101" i="111"/>
  <c r="V100" i="111"/>
  <c r="O100" i="111"/>
  <c r="G100" i="111"/>
  <c r="T99" i="111"/>
  <c r="M99" i="111"/>
  <c r="F99" i="111"/>
  <c r="S98" i="111"/>
  <c r="K98" i="111"/>
  <c r="D98" i="111"/>
  <c r="Q97" i="111"/>
  <c r="J97" i="111"/>
  <c r="W96" i="111"/>
  <c r="O96" i="111"/>
  <c r="H96" i="111"/>
  <c r="U95" i="111"/>
  <c r="N95" i="111"/>
  <c r="G95" i="111"/>
  <c r="S94" i="111"/>
  <c r="L94" i="111"/>
  <c r="E94" i="111"/>
  <c r="R93" i="111"/>
  <c r="K93" i="111"/>
  <c r="W92" i="111"/>
  <c r="P92" i="111"/>
  <c r="I92" i="111"/>
  <c r="V91" i="111"/>
  <c r="O91" i="111"/>
  <c r="G91" i="111"/>
  <c r="T90" i="111"/>
  <c r="M90" i="111"/>
  <c r="F90" i="111"/>
  <c r="S89" i="111"/>
  <c r="K89" i="111"/>
  <c r="D89" i="111"/>
  <c r="Q88" i="111"/>
  <c r="J88" i="111"/>
  <c r="W87" i="111"/>
  <c r="O87" i="111"/>
  <c r="H87" i="111"/>
  <c r="U86" i="111"/>
  <c r="N86" i="111"/>
  <c r="G86" i="111"/>
  <c r="S85" i="111"/>
  <c r="L85" i="111"/>
  <c r="E85" i="111"/>
  <c r="R84" i="111"/>
  <c r="K84" i="111"/>
  <c r="W83" i="111"/>
  <c r="P83" i="111"/>
  <c r="I83" i="111"/>
  <c r="V78" i="111"/>
  <c r="O78" i="111"/>
  <c r="G78" i="111"/>
  <c r="T77" i="111"/>
  <c r="M77" i="111"/>
  <c r="F77" i="111"/>
  <c r="S76" i="111"/>
  <c r="K76" i="111"/>
  <c r="D76" i="111"/>
  <c r="Q75" i="111"/>
  <c r="J75" i="111"/>
  <c r="W74" i="111"/>
  <c r="O74" i="111"/>
  <c r="H74" i="111"/>
  <c r="U73" i="111"/>
  <c r="N73" i="111"/>
  <c r="G73" i="111"/>
  <c r="S72" i="111"/>
  <c r="L72" i="111"/>
  <c r="E72" i="111"/>
  <c r="R71" i="111"/>
  <c r="K71" i="111"/>
  <c r="W70" i="111"/>
  <c r="P70" i="111"/>
  <c r="I70" i="111"/>
  <c r="V69" i="111"/>
  <c r="O69" i="111"/>
  <c r="G69" i="111"/>
  <c r="T68" i="111"/>
  <c r="M68" i="111"/>
  <c r="F68" i="111"/>
  <c r="S67" i="111"/>
  <c r="K67" i="111"/>
  <c r="D67" i="111"/>
  <c r="Q66" i="111"/>
  <c r="J66" i="111"/>
  <c r="W65" i="111"/>
  <c r="O65" i="111"/>
  <c r="H65" i="111"/>
  <c r="U64" i="111"/>
  <c r="N64" i="111"/>
  <c r="G64" i="111"/>
  <c r="S63" i="111"/>
  <c r="L63" i="111"/>
  <c r="E63" i="111"/>
  <c r="R62" i="111"/>
  <c r="K62" i="111"/>
  <c r="W61" i="111"/>
  <c r="P61" i="111"/>
  <c r="I61" i="111"/>
  <c r="V60" i="111"/>
  <c r="O60" i="111"/>
  <c r="G60" i="111"/>
  <c r="T59" i="111"/>
  <c r="M59" i="111"/>
  <c r="F59" i="111"/>
  <c r="S58" i="111"/>
  <c r="K58" i="111"/>
  <c r="D58" i="111"/>
  <c r="Q53" i="111"/>
  <c r="J53" i="111"/>
  <c r="W52" i="111"/>
  <c r="O52" i="111"/>
  <c r="H52" i="111"/>
  <c r="U51" i="111"/>
  <c r="N51" i="111"/>
  <c r="G51" i="111"/>
  <c r="S50" i="111"/>
  <c r="L50" i="111"/>
  <c r="E50" i="111"/>
  <c r="R49" i="111"/>
  <c r="K49" i="111"/>
  <c r="W48" i="111"/>
  <c r="P48" i="111"/>
  <c r="I48" i="111"/>
  <c r="V47" i="111"/>
  <c r="O47" i="111"/>
  <c r="G47" i="111"/>
  <c r="T46" i="111"/>
  <c r="M46" i="111"/>
  <c r="F46" i="111"/>
  <c r="S45" i="111"/>
  <c r="K45" i="111"/>
  <c r="D45" i="111"/>
  <c r="Q44" i="111"/>
  <c r="J44" i="111"/>
  <c r="W43" i="111"/>
  <c r="O43" i="111"/>
  <c r="H43" i="111"/>
  <c r="U42" i="111"/>
  <c r="N42" i="111"/>
  <c r="G42" i="111"/>
  <c r="S41" i="111"/>
  <c r="L41" i="111"/>
  <c r="E41" i="111"/>
  <c r="R40" i="111"/>
  <c r="K40" i="111"/>
  <c r="W39" i="111"/>
  <c r="P39" i="111"/>
  <c r="I39" i="111"/>
  <c r="V38" i="111"/>
  <c r="O38" i="111"/>
  <c r="G38" i="111"/>
  <c r="T37" i="111"/>
  <c r="M37" i="111"/>
  <c r="F37" i="111"/>
  <c r="S36" i="111"/>
  <c r="K36" i="111"/>
  <c r="D36" i="111"/>
  <c r="Q35" i="111"/>
  <c r="J35" i="111"/>
  <c r="W34" i="111"/>
  <c r="O34" i="111"/>
  <c r="H34" i="111"/>
  <c r="U33" i="111"/>
  <c r="N33" i="111"/>
  <c r="G33" i="111"/>
  <c r="S28" i="111"/>
  <c r="L28" i="111"/>
  <c r="E28" i="111"/>
  <c r="R27" i="111"/>
  <c r="K27" i="111"/>
  <c r="W26" i="111"/>
  <c r="P26" i="111"/>
  <c r="I26" i="111"/>
  <c r="V25" i="111"/>
  <c r="O25" i="111"/>
  <c r="G25" i="111"/>
  <c r="T24" i="111"/>
  <c r="M24" i="111"/>
  <c r="F24" i="111"/>
  <c r="S23" i="111"/>
  <c r="K23" i="111"/>
  <c r="D23" i="111"/>
  <c r="Q22" i="111"/>
  <c r="J22" i="111"/>
  <c r="W21" i="111"/>
  <c r="O21" i="111"/>
  <c r="H21" i="111"/>
  <c r="U20" i="111"/>
  <c r="N20" i="111"/>
  <c r="G20" i="111"/>
  <c r="S19" i="111"/>
  <c r="L19" i="111"/>
  <c r="E19" i="111"/>
  <c r="R18" i="111"/>
  <c r="K18" i="111"/>
  <c r="W17" i="111"/>
  <c r="P17" i="111"/>
  <c r="I17" i="111"/>
  <c r="V16" i="111"/>
  <c r="O16" i="111"/>
  <c r="G16" i="111"/>
  <c r="T15" i="111"/>
  <c r="M15" i="111"/>
  <c r="F15" i="111"/>
  <c r="S14" i="111"/>
  <c r="K14" i="111"/>
  <c r="D14" i="111"/>
  <c r="Q13" i="111"/>
  <c r="J13" i="111"/>
  <c r="W12" i="111"/>
  <c r="O12" i="111"/>
  <c r="H12" i="111"/>
  <c r="U11" i="111"/>
  <c r="N11" i="111"/>
  <c r="G11" i="111"/>
  <c r="S10" i="111"/>
  <c r="L10" i="111"/>
  <c r="E10" i="111"/>
  <c r="R9" i="111"/>
  <c r="K9" i="111"/>
  <c r="W8" i="111"/>
  <c r="P8" i="111"/>
  <c r="I8" i="111"/>
  <c r="L113" i="111"/>
  <c r="R103" i="111"/>
  <c r="K103" i="111"/>
  <c r="D103" i="111"/>
  <c r="Q102" i="111"/>
  <c r="I102" i="111"/>
  <c r="V101" i="111"/>
  <c r="O101" i="111"/>
  <c r="H101" i="111"/>
  <c r="U100" i="111"/>
  <c r="M100" i="111"/>
  <c r="F100" i="111"/>
  <c r="S99" i="111"/>
  <c r="L99" i="111"/>
  <c r="E99" i="111"/>
  <c r="Q98" i="111"/>
  <c r="J98" i="111"/>
  <c r="W97" i="111"/>
  <c r="P97" i="111"/>
  <c r="I97" i="111"/>
  <c r="U96" i="111"/>
  <c r="N96" i="111"/>
  <c r="G96" i="111"/>
  <c r="T95" i="111"/>
  <c r="M95" i="111"/>
  <c r="E95" i="111"/>
  <c r="R94" i="111"/>
  <c r="K94" i="111"/>
  <c r="D94" i="111"/>
  <c r="Q93" i="111"/>
  <c r="I93" i="111"/>
  <c r="V92" i="111"/>
  <c r="O92" i="111"/>
  <c r="H92" i="111"/>
  <c r="U91" i="111"/>
  <c r="M91" i="111"/>
  <c r="F91" i="111"/>
  <c r="S90" i="111"/>
  <c r="L90" i="111"/>
  <c r="E90" i="111"/>
  <c r="Q89" i="111"/>
  <c r="J89" i="111"/>
  <c r="W88" i="111"/>
  <c r="P88" i="111"/>
  <c r="I88" i="111"/>
  <c r="U87" i="111"/>
  <c r="N87" i="111"/>
  <c r="G87" i="111"/>
  <c r="T86" i="111"/>
  <c r="M86" i="111"/>
  <c r="E86" i="111"/>
  <c r="R85" i="111"/>
  <c r="K85" i="111"/>
  <c r="D85" i="111"/>
  <c r="Q84" i="111"/>
  <c r="I84" i="111"/>
  <c r="V83" i="111"/>
  <c r="O83" i="111"/>
  <c r="H83" i="111"/>
  <c r="U78" i="111"/>
  <c r="M78" i="111"/>
  <c r="F78" i="111"/>
  <c r="S77" i="111"/>
  <c r="L77" i="111"/>
  <c r="E77" i="111"/>
  <c r="Q76" i="111"/>
  <c r="J76" i="111"/>
  <c r="W75" i="111"/>
  <c r="P75" i="111"/>
  <c r="I75" i="111"/>
  <c r="U74" i="111"/>
  <c r="N74" i="111"/>
  <c r="G74" i="111"/>
  <c r="T73" i="111"/>
  <c r="M73" i="111"/>
  <c r="E73" i="111"/>
  <c r="R72" i="111"/>
  <c r="K72" i="111"/>
  <c r="D72" i="111"/>
  <c r="Q71" i="111"/>
  <c r="I71" i="111"/>
  <c r="V70" i="111"/>
  <c r="O70" i="111"/>
  <c r="H70" i="111"/>
  <c r="U69" i="111"/>
  <c r="M69" i="111"/>
  <c r="F69" i="111"/>
  <c r="S68" i="111"/>
  <c r="L68" i="111"/>
  <c r="E68" i="111"/>
  <c r="Q67" i="111"/>
  <c r="J67" i="111"/>
  <c r="W66" i="111"/>
  <c r="P66" i="111"/>
  <c r="I66" i="111"/>
  <c r="U65" i="111"/>
  <c r="N65" i="111"/>
  <c r="G65" i="111"/>
  <c r="T64" i="111"/>
  <c r="M64" i="111"/>
  <c r="E64" i="111"/>
  <c r="R63" i="111"/>
  <c r="K63" i="111"/>
  <c r="D63" i="111"/>
  <c r="Q62" i="111"/>
  <c r="I62" i="111"/>
  <c r="V61" i="111"/>
  <c r="O61" i="111"/>
  <c r="H61" i="111"/>
  <c r="U60" i="111"/>
  <c r="M60" i="111"/>
  <c r="F60" i="111"/>
  <c r="S59" i="111"/>
  <c r="L59" i="111"/>
  <c r="E59" i="111"/>
  <c r="Q58" i="111"/>
  <c r="J58" i="111"/>
  <c r="W53" i="111"/>
  <c r="P53" i="111"/>
  <c r="I53" i="111"/>
  <c r="U52" i="111"/>
  <c r="N52" i="111"/>
  <c r="G52" i="111"/>
  <c r="T51" i="111"/>
  <c r="M51" i="111"/>
  <c r="E51" i="111"/>
  <c r="R50" i="111"/>
  <c r="K50" i="111"/>
  <c r="D50" i="111"/>
  <c r="Q49" i="111"/>
  <c r="I49" i="111"/>
  <c r="V48" i="111"/>
  <c r="O48" i="111"/>
  <c r="H48" i="111"/>
  <c r="U47" i="111"/>
  <c r="M47" i="111"/>
  <c r="F47" i="111"/>
  <c r="S46" i="111"/>
  <c r="L46" i="111"/>
  <c r="E46" i="111"/>
  <c r="Q45" i="111"/>
  <c r="J45" i="111"/>
  <c r="W44" i="111"/>
  <c r="P44" i="111"/>
  <c r="I44" i="111"/>
  <c r="U43" i="111"/>
  <c r="N43" i="111"/>
  <c r="G43" i="111"/>
  <c r="T42" i="111"/>
  <c r="M42" i="111"/>
  <c r="E42" i="111"/>
  <c r="R41" i="111"/>
  <c r="K41" i="111"/>
  <c r="D41" i="111"/>
  <c r="Q40" i="111"/>
  <c r="I40" i="111"/>
  <c r="V39" i="111"/>
  <c r="O39" i="111"/>
  <c r="H39" i="111"/>
  <c r="U38" i="111"/>
  <c r="M38" i="111"/>
  <c r="F38" i="111"/>
  <c r="S37" i="111"/>
  <c r="L37" i="111"/>
  <c r="E37" i="111"/>
  <c r="Q36" i="111"/>
  <c r="J36" i="111"/>
  <c r="W35" i="111"/>
  <c r="P35" i="111"/>
  <c r="I35" i="111"/>
  <c r="U34" i="111"/>
  <c r="N34" i="111"/>
  <c r="G34" i="111"/>
  <c r="T33" i="111"/>
  <c r="M33" i="111"/>
  <c r="E33" i="111"/>
  <c r="R28" i="111"/>
  <c r="K28" i="111"/>
  <c r="D28" i="111"/>
  <c r="Q27" i="111"/>
  <c r="I27" i="111"/>
  <c r="V26" i="111"/>
  <c r="O26" i="111"/>
  <c r="H26" i="111"/>
  <c r="U25" i="111"/>
  <c r="M25" i="111"/>
  <c r="F25" i="111"/>
  <c r="S24" i="111"/>
  <c r="L24" i="111"/>
  <c r="E24" i="111"/>
  <c r="Q23" i="111"/>
  <c r="J23" i="111"/>
  <c r="W22" i="111"/>
  <c r="P22" i="111"/>
  <c r="I22" i="111"/>
  <c r="U21" i="111"/>
  <c r="N21" i="111"/>
  <c r="G21" i="111"/>
  <c r="T20" i="111"/>
  <c r="M20" i="111"/>
  <c r="E20" i="111"/>
  <c r="R19" i="111"/>
  <c r="K19" i="111"/>
  <c r="D19" i="111"/>
  <c r="Q18" i="111"/>
  <c r="I18" i="111"/>
  <c r="V17" i="111"/>
  <c r="O17" i="111"/>
  <c r="H17" i="111"/>
  <c r="U16" i="111"/>
  <c r="M16" i="111"/>
  <c r="F16" i="111"/>
  <c r="S15" i="111"/>
  <c r="L15" i="111"/>
  <c r="E15" i="111"/>
  <c r="Q14" i="111"/>
  <c r="J14" i="111"/>
  <c r="W13" i="111"/>
  <c r="P13" i="111"/>
  <c r="I13" i="111"/>
  <c r="U12" i="111"/>
  <c r="N12" i="111"/>
  <c r="G12" i="111"/>
  <c r="T11" i="111"/>
  <c r="M11" i="111"/>
  <c r="E11" i="111"/>
  <c r="R10" i="111"/>
  <c r="K10" i="111"/>
  <c r="D10" i="111"/>
  <c r="Q9" i="111"/>
  <c r="I9" i="111"/>
  <c r="V8" i="111"/>
  <c r="O8" i="111"/>
  <c r="H8" i="111"/>
  <c r="Q103" i="111"/>
  <c r="G103" i="111"/>
  <c r="O102" i="111"/>
  <c r="F102" i="111"/>
  <c r="N101" i="111"/>
  <c r="D101" i="111"/>
  <c r="L100" i="111"/>
  <c r="W99" i="111"/>
  <c r="K99" i="111"/>
  <c r="U98" i="111"/>
  <c r="I98" i="111"/>
  <c r="S97" i="111"/>
  <c r="G97" i="111"/>
  <c r="R96" i="111"/>
  <c r="F96" i="111"/>
  <c r="P95" i="111"/>
  <c r="D95" i="111"/>
  <c r="O94" i="111"/>
  <c r="W93" i="111"/>
  <c r="M93" i="111"/>
  <c r="U92" i="111"/>
  <c r="K92" i="111"/>
  <c r="S91" i="111"/>
  <c r="J91" i="111"/>
  <c r="R90" i="111"/>
  <c r="H90" i="111"/>
  <c r="P89" i="111"/>
  <c r="G89" i="111"/>
  <c r="O88" i="111"/>
  <c r="E88" i="111"/>
  <c r="M87" i="111"/>
  <c r="W86" i="111"/>
  <c r="K86" i="111"/>
  <c r="V85" i="111"/>
  <c r="J85" i="111"/>
  <c r="T84" i="111"/>
  <c r="H84" i="111"/>
  <c r="S83" i="111"/>
  <c r="G83" i="111"/>
  <c r="Q78" i="111"/>
  <c r="E78" i="111"/>
  <c r="O77" i="111"/>
  <c r="W76" i="111"/>
  <c r="N76" i="111"/>
  <c r="V75" i="111"/>
  <c r="L75" i="111"/>
  <c r="T74" i="111"/>
  <c r="K74" i="111"/>
  <c r="S73" i="111"/>
  <c r="I73" i="111"/>
  <c r="Q72" i="111"/>
  <c r="G72" i="111"/>
  <c r="O71" i="111"/>
  <c r="F71" i="111"/>
  <c r="N70" i="111"/>
  <c r="D70" i="111"/>
  <c r="L69" i="111"/>
  <c r="W68" i="111"/>
  <c r="K68" i="111"/>
  <c r="U67" i="111"/>
  <c r="I67" i="111"/>
  <c r="S66" i="111"/>
  <c r="G66" i="111"/>
  <c r="R65" i="111"/>
  <c r="F65" i="111"/>
  <c r="P64" i="111"/>
  <c r="D64" i="111"/>
  <c r="O63" i="111"/>
  <c r="W62" i="111"/>
  <c r="M62" i="111"/>
  <c r="U61" i="111"/>
  <c r="K61" i="111"/>
  <c r="S60" i="111"/>
  <c r="J60" i="111"/>
  <c r="R59" i="111"/>
  <c r="H59" i="111"/>
  <c r="P58" i="111"/>
  <c r="G58" i="111"/>
  <c r="O53" i="111"/>
  <c r="E53" i="111"/>
  <c r="M52" i="111"/>
  <c r="W51" i="111"/>
  <c r="K51" i="111"/>
  <c r="V50" i="111"/>
  <c r="J50" i="111"/>
  <c r="T49" i="111"/>
  <c r="H49" i="111"/>
  <c r="S48" i="111"/>
  <c r="G48" i="111"/>
  <c r="Q47" i="111"/>
  <c r="E47" i="111"/>
  <c r="O46" i="111"/>
  <c r="W45" i="111"/>
  <c r="N45" i="111"/>
  <c r="V44" i="111"/>
  <c r="L44" i="111"/>
  <c r="T43" i="111"/>
  <c r="K43" i="111"/>
  <c r="S42" i="111"/>
  <c r="I42" i="111"/>
  <c r="Q41" i="111"/>
  <c r="G41" i="111"/>
  <c r="O40" i="111"/>
  <c r="F40" i="111"/>
  <c r="N39" i="111"/>
  <c r="D39" i="111"/>
  <c r="L38" i="111"/>
  <c r="W37" i="111"/>
  <c r="K37" i="111"/>
  <c r="U36" i="111"/>
  <c r="I36" i="111"/>
  <c r="S35" i="111"/>
  <c r="G35" i="111"/>
  <c r="R34" i="111"/>
  <c r="F34" i="111"/>
  <c r="P33" i="111"/>
  <c r="D33" i="111"/>
  <c r="O28" i="111"/>
  <c r="W27" i="111"/>
  <c r="M27" i="111"/>
  <c r="U26" i="111"/>
  <c r="K26" i="111"/>
  <c r="S25" i="111"/>
  <c r="J25" i="111"/>
  <c r="R24" i="111"/>
  <c r="H24" i="111"/>
  <c r="P23" i="111"/>
  <c r="G23" i="111"/>
  <c r="O22" i="111"/>
  <c r="E22" i="111"/>
  <c r="M21" i="111"/>
  <c r="W20" i="111"/>
  <c r="K20" i="111"/>
  <c r="V19" i="111"/>
  <c r="J19" i="111"/>
  <c r="T18" i="111"/>
  <c r="H18" i="111"/>
  <c r="S17" i="111"/>
  <c r="G17" i="111"/>
  <c r="Q16" i="111"/>
  <c r="E16" i="111"/>
  <c r="O15" i="111"/>
  <c r="W14" i="111"/>
  <c r="N14" i="111"/>
  <c r="V13" i="111"/>
  <c r="L13" i="111"/>
  <c r="T12" i="111"/>
  <c r="K12" i="111"/>
  <c r="S11" i="111"/>
  <c r="I11" i="111"/>
  <c r="Q10" i="111"/>
  <c r="G10" i="111"/>
  <c r="O9" i="111"/>
  <c r="F9" i="111"/>
  <c r="N8" i="111"/>
  <c r="D8" i="111"/>
  <c r="U103" i="108"/>
  <c r="O103" i="108"/>
  <c r="I103" i="108"/>
  <c r="W102" i="108"/>
  <c r="Q102" i="108"/>
  <c r="K102" i="108"/>
  <c r="E102" i="108"/>
  <c r="S101" i="108"/>
  <c r="M101" i="108"/>
  <c r="G101" i="108"/>
  <c r="U100" i="108"/>
  <c r="O100" i="108"/>
  <c r="I100" i="108"/>
  <c r="W99" i="108"/>
  <c r="Q99" i="108"/>
  <c r="K99" i="108"/>
  <c r="E99" i="108"/>
  <c r="S98" i="108"/>
  <c r="M98" i="108"/>
  <c r="G98" i="108"/>
  <c r="U97" i="108"/>
  <c r="O97" i="108"/>
  <c r="I97" i="108"/>
  <c r="W96" i="108"/>
  <c r="Q96" i="108"/>
  <c r="K96" i="108"/>
  <c r="E96" i="108"/>
  <c r="S95" i="108"/>
  <c r="M95" i="108"/>
  <c r="G95" i="108"/>
  <c r="U94" i="108"/>
  <c r="O94" i="108"/>
  <c r="I94" i="108"/>
  <c r="W93" i="108"/>
  <c r="Q93" i="108"/>
  <c r="K93" i="108"/>
  <c r="E93" i="108"/>
  <c r="S92" i="108"/>
  <c r="M92" i="108"/>
  <c r="G92" i="108"/>
  <c r="U91" i="108"/>
  <c r="O91" i="108"/>
  <c r="I91" i="108"/>
  <c r="W90" i="108"/>
  <c r="Q90" i="108"/>
  <c r="K90" i="108"/>
  <c r="E90" i="108"/>
  <c r="S89" i="108"/>
  <c r="M89" i="108"/>
  <c r="G89" i="108"/>
  <c r="U88" i="108"/>
  <c r="O88" i="108"/>
  <c r="I88" i="108"/>
  <c r="W87" i="108"/>
  <c r="Q87" i="108"/>
  <c r="K87" i="108"/>
  <c r="E87" i="108"/>
  <c r="S86" i="108"/>
  <c r="M86" i="108"/>
  <c r="G86" i="108"/>
  <c r="U85" i="108"/>
  <c r="O85" i="108"/>
  <c r="I85" i="108"/>
  <c r="W84" i="108"/>
  <c r="Q84" i="108"/>
  <c r="K84" i="108"/>
  <c r="E84" i="108"/>
  <c r="S83" i="108"/>
  <c r="M83" i="108"/>
  <c r="G83" i="108"/>
  <c r="U78" i="108"/>
  <c r="O78" i="108"/>
  <c r="I78" i="108"/>
  <c r="W77" i="108"/>
  <c r="Q77" i="108"/>
  <c r="K77" i="108"/>
  <c r="E77" i="108"/>
  <c r="S76" i="108"/>
  <c r="M76" i="108"/>
  <c r="G76" i="108"/>
  <c r="U75" i="108"/>
  <c r="O75" i="108"/>
  <c r="I75" i="108"/>
  <c r="W74" i="108"/>
  <c r="Q74" i="108"/>
  <c r="K74" i="108"/>
  <c r="E74" i="108"/>
  <c r="S73" i="108"/>
  <c r="M73" i="108"/>
  <c r="G73" i="108"/>
  <c r="U72" i="108"/>
  <c r="O72" i="108"/>
  <c r="I72" i="108"/>
  <c r="W71" i="108"/>
  <c r="Q71" i="108"/>
  <c r="K71" i="108"/>
  <c r="E71" i="108"/>
  <c r="S70" i="108"/>
  <c r="M70" i="108"/>
  <c r="G70" i="108"/>
  <c r="U69" i="108"/>
  <c r="O69" i="108"/>
  <c r="I69" i="108"/>
  <c r="W68" i="108"/>
  <c r="Q68" i="108"/>
  <c r="K68" i="108"/>
  <c r="E68" i="108"/>
  <c r="S67" i="108"/>
  <c r="M67" i="108"/>
  <c r="G67" i="108"/>
  <c r="U66" i="108"/>
  <c r="O66" i="108"/>
  <c r="I66" i="108"/>
  <c r="W65" i="108"/>
  <c r="Q65" i="108"/>
  <c r="K65" i="108"/>
  <c r="E65" i="108"/>
  <c r="S64" i="108"/>
  <c r="M64" i="108"/>
  <c r="G64" i="108"/>
  <c r="U63" i="108"/>
  <c r="O63" i="108"/>
  <c r="I63" i="108"/>
  <c r="W62" i="108"/>
  <c r="Q62" i="108"/>
  <c r="K62" i="108"/>
  <c r="E62" i="108"/>
  <c r="S61" i="108"/>
  <c r="M61" i="108"/>
  <c r="G61" i="108"/>
  <c r="U60" i="108"/>
  <c r="O60" i="108"/>
  <c r="I60" i="108"/>
  <c r="W59" i="108"/>
  <c r="Q59" i="108"/>
  <c r="K59" i="108"/>
  <c r="E59" i="108"/>
  <c r="S58" i="108"/>
  <c r="M58" i="108"/>
  <c r="G58" i="108"/>
  <c r="U53" i="108"/>
  <c r="O53" i="108"/>
  <c r="I53" i="108"/>
  <c r="W52" i="108"/>
  <c r="Q52" i="108"/>
  <c r="K52" i="108"/>
  <c r="E52" i="108"/>
  <c r="S51" i="108"/>
  <c r="M51" i="108"/>
  <c r="G51" i="108"/>
  <c r="U50" i="108"/>
  <c r="O50" i="108"/>
  <c r="I50" i="108"/>
  <c r="W49" i="108"/>
  <c r="Q49" i="108"/>
  <c r="K49" i="108"/>
  <c r="E49" i="108"/>
  <c r="S48" i="108"/>
  <c r="M48" i="108"/>
  <c r="G48" i="108"/>
  <c r="U47" i="108"/>
  <c r="O47" i="108"/>
  <c r="I47" i="108"/>
  <c r="W46" i="108"/>
  <c r="Q46" i="108"/>
  <c r="K46" i="108"/>
  <c r="E46" i="108"/>
  <c r="S45" i="108"/>
  <c r="M45" i="108"/>
  <c r="G45" i="108"/>
  <c r="U44" i="108"/>
  <c r="O44" i="108"/>
  <c r="I44" i="108"/>
  <c r="W43" i="108"/>
  <c r="Q43" i="108"/>
  <c r="K43" i="108"/>
  <c r="E43" i="108"/>
  <c r="S42" i="108"/>
  <c r="M42" i="108"/>
  <c r="G42" i="108"/>
  <c r="U41" i="108"/>
  <c r="O41" i="108"/>
  <c r="I41" i="108"/>
  <c r="W40" i="108"/>
  <c r="Q40" i="108"/>
  <c r="K40" i="108"/>
  <c r="E40" i="108"/>
  <c r="S39" i="108"/>
  <c r="M39" i="108"/>
  <c r="G39" i="108"/>
  <c r="U38" i="108"/>
  <c r="O38" i="108"/>
  <c r="I38" i="108"/>
  <c r="W37" i="108"/>
  <c r="Q37" i="108"/>
  <c r="K37" i="108"/>
  <c r="E37" i="108"/>
  <c r="S36" i="108"/>
  <c r="M36" i="108"/>
  <c r="G36" i="108"/>
  <c r="U35" i="108"/>
  <c r="O35" i="108"/>
  <c r="I35" i="108"/>
  <c r="W34" i="108"/>
  <c r="Q34" i="108"/>
  <c r="K34" i="108"/>
  <c r="E34" i="108"/>
  <c r="S33" i="108"/>
  <c r="M33" i="108"/>
  <c r="G33" i="108"/>
  <c r="U28" i="108"/>
  <c r="O28" i="108"/>
  <c r="I28" i="108"/>
  <c r="W27" i="108"/>
  <c r="Q27" i="108"/>
  <c r="K27" i="108"/>
  <c r="E27" i="108"/>
  <c r="S26" i="108"/>
  <c r="M26" i="108"/>
  <c r="G26" i="108"/>
  <c r="U25" i="108"/>
  <c r="O25" i="108"/>
  <c r="I25" i="108"/>
  <c r="W24" i="108"/>
  <c r="Q24" i="108"/>
  <c r="K24" i="108"/>
  <c r="E24" i="108"/>
  <c r="S23" i="108"/>
  <c r="M23" i="108"/>
  <c r="G23" i="108"/>
  <c r="U22" i="108"/>
  <c r="O22" i="108"/>
  <c r="I22" i="108"/>
  <c r="W21" i="108"/>
  <c r="Q21" i="108"/>
  <c r="K21" i="108"/>
  <c r="E21" i="108"/>
  <c r="S20" i="108"/>
  <c r="M20" i="108"/>
  <c r="G20" i="108"/>
  <c r="U19" i="108"/>
  <c r="O19" i="108"/>
  <c r="I19" i="108"/>
  <c r="W18" i="108"/>
  <c r="Q18" i="108"/>
  <c r="K18" i="108"/>
  <c r="E18" i="108"/>
  <c r="S17" i="108"/>
  <c r="M17" i="108"/>
  <c r="G17" i="108"/>
  <c r="U16" i="108"/>
  <c r="O16" i="108"/>
  <c r="I16" i="108"/>
  <c r="W15" i="108"/>
  <c r="Q15" i="108"/>
  <c r="K15" i="108"/>
  <c r="E15" i="108"/>
  <c r="S14" i="108"/>
  <c r="M14" i="108"/>
  <c r="G14" i="108"/>
  <c r="U13" i="108"/>
  <c r="O13" i="108"/>
  <c r="I13" i="108"/>
  <c r="W12" i="108"/>
  <c r="Q12" i="108"/>
  <c r="K12" i="108"/>
  <c r="E12" i="108"/>
  <c r="S11" i="108"/>
  <c r="M11" i="108"/>
  <c r="G11" i="108"/>
  <c r="U10" i="108"/>
  <c r="O10" i="108"/>
  <c r="I10" i="108"/>
  <c r="W9" i="108"/>
  <c r="Q9" i="108"/>
  <c r="K9" i="108"/>
  <c r="E9" i="108"/>
  <c r="S8" i="108"/>
  <c r="M8" i="108"/>
  <c r="G8" i="108"/>
  <c r="U103" i="107"/>
  <c r="O103" i="107"/>
  <c r="I103" i="107"/>
  <c r="W102" i="107"/>
  <c r="Q102" i="107"/>
  <c r="K102" i="107"/>
  <c r="E102" i="107"/>
  <c r="S101" i="107"/>
  <c r="M101" i="107"/>
  <c r="G101" i="107"/>
  <c r="U100" i="107"/>
  <c r="O100" i="107"/>
  <c r="I100" i="107"/>
  <c r="W99" i="107"/>
  <c r="Q99" i="107"/>
  <c r="K99" i="107"/>
  <c r="E99" i="107"/>
  <c r="S98" i="107"/>
  <c r="M98" i="107"/>
  <c r="G98" i="107"/>
  <c r="U97" i="107"/>
  <c r="O97" i="107"/>
  <c r="I97" i="107"/>
  <c r="W96" i="107"/>
  <c r="Q96" i="107"/>
  <c r="K96" i="107"/>
  <c r="E96" i="107"/>
  <c r="S95" i="107"/>
  <c r="M95" i="107"/>
  <c r="G95" i="107"/>
  <c r="U94" i="107"/>
  <c r="O94" i="107"/>
  <c r="I94" i="107"/>
  <c r="W93" i="107"/>
  <c r="Q93" i="107"/>
  <c r="K93" i="107"/>
  <c r="E93" i="107"/>
  <c r="S92" i="107"/>
  <c r="M92" i="107"/>
  <c r="G92" i="107"/>
  <c r="U91" i="107"/>
  <c r="O91" i="107"/>
  <c r="I91" i="107"/>
  <c r="W90" i="107"/>
  <c r="Q90" i="107"/>
  <c r="K90" i="107"/>
  <c r="E90" i="107"/>
  <c r="S89" i="107"/>
  <c r="M89" i="107"/>
  <c r="G89" i="107"/>
  <c r="U88" i="107"/>
  <c r="O88" i="107"/>
  <c r="I88" i="107"/>
  <c r="W87" i="107"/>
  <c r="Q87" i="107"/>
  <c r="K87" i="107"/>
  <c r="E87" i="107"/>
  <c r="S86" i="107"/>
  <c r="M86" i="107"/>
  <c r="G86" i="107"/>
  <c r="U85" i="107"/>
  <c r="O85" i="107"/>
  <c r="I85" i="107"/>
  <c r="W84" i="107"/>
  <c r="Q84" i="107"/>
  <c r="K84" i="107"/>
  <c r="E84" i="107"/>
  <c r="S83" i="107"/>
  <c r="M83" i="107"/>
  <c r="G83" i="107"/>
  <c r="U78" i="107"/>
  <c r="O78" i="107"/>
  <c r="I78" i="107"/>
  <c r="W77" i="107"/>
  <c r="Q77" i="107"/>
  <c r="K77" i="107"/>
  <c r="E77" i="107"/>
  <c r="S76" i="107"/>
  <c r="M76" i="107"/>
  <c r="G76" i="107"/>
  <c r="U75" i="107"/>
  <c r="O75" i="107"/>
  <c r="I75" i="107"/>
  <c r="W74" i="107"/>
  <c r="Q74" i="107"/>
  <c r="K74" i="107"/>
  <c r="E74" i="107"/>
  <c r="S73" i="107"/>
  <c r="M73" i="107"/>
  <c r="G73" i="107"/>
  <c r="U72" i="107"/>
  <c r="O72" i="107"/>
  <c r="I72" i="107"/>
  <c r="W71" i="107"/>
  <c r="Q71" i="107"/>
  <c r="K71" i="107"/>
  <c r="E71" i="107"/>
  <c r="S70" i="107"/>
  <c r="M70" i="107"/>
  <c r="G70" i="107"/>
  <c r="U69" i="107"/>
  <c r="O69" i="107"/>
  <c r="I69" i="107"/>
  <c r="W68" i="107"/>
  <c r="Q68" i="107"/>
  <c r="K68" i="107"/>
  <c r="E68" i="107"/>
  <c r="S67" i="107"/>
  <c r="M67" i="107"/>
  <c r="G67" i="107"/>
  <c r="U66" i="107"/>
  <c r="O66" i="107"/>
  <c r="I66" i="107"/>
  <c r="W65" i="107"/>
  <c r="Q65" i="107"/>
  <c r="K65" i="107"/>
  <c r="E65" i="107"/>
  <c r="S64" i="107"/>
  <c r="M64" i="107"/>
  <c r="G64" i="107"/>
  <c r="U63" i="107"/>
  <c r="O63" i="107"/>
  <c r="I63" i="107"/>
  <c r="W62" i="107"/>
  <c r="Q62" i="107"/>
  <c r="K62" i="107"/>
  <c r="E62" i="107"/>
  <c r="S61" i="107"/>
  <c r="M61" i="107"/>
  <c r="G61" i="107"/>
  <c r="U60" i="107"/>
  <c r="O60" i="107"/>
  <c r="I60" i="107"/>
  <c r="W59" i="107"/>
  <c r="Q59" i="107"/>
  <c r="K59" i="107"/>
  <c r="E59" i="107"/>
  <c r="S58" i="107"/>
  <c r="M58" i="107"/>
  <c r="G58" i="107"/>
  <c r="U53" i="107"/>
  <c r="O53" i="107"/>
  <c r="I53" i="107"/>
  <c r="W52" i="107"/>
  <c r="Q52" i="107"/>
  <c r="K52" i="107"/>
  <c r="E52" i="107"/>
  <c r="S51" i="107"/>
  <c r="M51" i="107"/>
  <c r="G51" i="107"/>
  <c r="U50" i="107"/>
  <c r="O50" i="107"/>
  <c r="I50" i="107"/>
  <c r="W49" i="107"/>
  <c r="Q49" i="107"/>
  <c r="K49" i="107"/>
  <c r="E49" i="107"/>
  <c r="S48" i="107"/>
  <c r="M48" i="107"/>
  <c r="G48" i="107"/>
  <c r="U47" i="107"/>
  <c r="O47" i="107"/>
  <c r="I47" i="107"/>
  <c r="W46" i="107"/>
  <c r="Q46" i="107"/>
  <c r="K46" i="107"/>
  <c r="E46" i="107"/>
  <c r="S45" i="107"/>
  <c r="M45" i="107"/>
  <c r="G45" i="107"/>
  <c r="U44" i="107"/>
  <c r="O44" i="107"/>
  <c r="I44" i="107"/>
  <c r="W43" i="107"/>
  <c r="Q43" i="107"/>
  <c r="K43" i="107"/>
  <c r="E43" i="107"/>
  <c r="S42" i="107"/>
  <c r="M42" i="107"/>
  <c r="G42" i="107"/>
  <c r="U41" i="107"/>
  <c r="O41" i="107"/>
  <c r="I41" i="107"/>
  <c r="W40" i="107"/>
  <c r="Q40" i="107"/>
  <c r="K40" i="107"/>
  <c r="E40" i="107"/>
  <c r="S39" i="107"/>
  <c r="M39" i="107"/>
  <c r="G39" i="107"/>
  <c r="U38" i="107"/>
  <c r="O38" i="107"/>
  <c r="I38" i="107"/>
  <c r="W37" i="107"/>
  <c r="Q37" i="107"/>
  <c r="K37" i="107"/>
  <c r="E37" i="107"/>
  <c r="S36" i="107"/>
  <c r="M36" i="107"/>
  <c r="G36" i="107"/>
  <c r="U35" i="107"/>
  <c r="O35" i="107"/>
  <c r="I35" i="107"/>
  <c r="W34" i="107"/>
  <c r="Q34" i="107"/>
  <c r="K34" i="107"/>
  <c r="E34" i="107"/>
  <c r="S33" i="107"/>
  <c r="M33" i="107"/>
  <c r="G33" i="107"/>
  <c r="U28" i="107"/>
  <c r="O28" i="107"/>
  <c r="I28" i="107"/>
  <c r="W27" i="107"/>
  <c r="Q27" i="107"/>
  <c r="K27" i="107"/>
  <c r="E27" i="107"/>
  <c r="S26" i="107"/>
  <c r="M26" i="107"/>
  <c r="G26" i="107"/>
  <c r="U25" i="107"/>
  <c r="O25" i="107"/>
  <c r="I25" i="107"/>
  <c r="W24" i="107"/>
  <c r="Q24" i="107"/>
  <c r="K24" i="107"/>
  <c r="E24" i="107"/>
  <c r="S23" i="107"/>
  <c r="M23" i="107"/>
  <c r="G23" i="107"/>
  <c r="U22" i="107"/>
  <c r="O22" i="107"/>
  <c r="I22" i="107"/>
  <c r="W21" i="107"/>
  <c r="Q21" i="107"/>
  <c r="K21" i="107"/>
  <c r="E21" i="107"/>
  <c r="S20" i="107"/>
  <c r="M20" i="107"/>
  <c r="G20" i="107"/>
  <c r="U19" i="107"/>
  <c r="O19" i="107"/>
  <c r="I19" i="107"/>
  <c r="W18" i="107"/>
  <c r="Q18" i="107"/>
  <c r="K18" i="107"/>
  <c r="E18" i="107"/>
  <c r="S17" i="107"/>
  <c r="M17" i="107"/>
  <c r="G17" i="107"/>
  <c r="U16" i="107"/>
  <c r="O16" i="107"/>
  <c r="I16" i="107"/>
  <c r="W15" i="107"/>
  <c r="Q15" i="107"/>
  <c r="K15" i="107"/>
  <c r="E15" i="107"/>
  <c r="S14" i="107"/>
  <c r="M14" i="107"/>
  <c r="G14" i="107"/>
  <c r="U13" i="107"/>
  <c r="O13" i="107"/>
  <c r="I13" i="107"/>
  <c r="W12" i="107"/>
  <c r="Q12" i="107"/>
  <c r="K12" i="107"/>
  <c r="E12" i="107"/>
  <c r="S11" i="107"/>
  <c r="M11" i="107"/>
  <c r="G11" i="107"/>
  <c r="U10" i="107"/>
  <c r="O10" i="107"/>
  <c r="I10" i="107"/>
  <c r="W9" i="107"/>
  <c r="P103" i="111"/>
  <c r="F103" i="111"/>
  <c r="N102" i="111"/>
  <c r="E102" i="111"/>
  <c r="M101" i="111"/>
  <c r="W100" i="111"/>
  <c r="K100" i="111"/>
  <c r="U99" i="111"/>
  <c r="I99" i="111"/>
  <c r="T98" i="111"/>
  <c r="H98" i="111"/>
  <c r="R97" i="111"/>
  <c r="F97" i="111"/>
  <c r="Q96" i="111"/>
  <c r="E96" i="111"/>
  <c r="O95" i="111"/>
  <c r="W94" i="111"/>
  <c r="M94" i="111"/>
  <c r="U93" i="111"/>
  <c r="L93" i="111"/>
  <c r="T92" i="111"/>
  <c r="J92" i="111"/>
  <c r="R91" i="111"/>
  <c r="I91" i="111"/>
  <c r="Q90" i="111"/>
  <c r="G90" i="111"/>
  <c r="O89" i="111"/>
  <c r="E89" i="111"/>
  <c r="M88" i="111"/>
  <c r="D88" i="111"/>
  <c r="L87" i="111"/>
  <c r="V86" i="111"/>
  <c r="J86" i="111"/>
  <c r="U85" i="111"/>
  <c r="I85" i="111"/>
  <c r="S84" i="111"/>
  <c r="G84" i="111"/>
  <c r="Q83" i="111"/>
  <c r="E83" i="111"/>
  <c r="P78" i="111"/>
  <c r="D78" i="111"/>
  <c r="N77" i="111"/>
  <c r="V76" i="111"/>
  <c r="M76" i="111"/>
  <c r="U75" i="111"/>
  <c r="K75" i="111"/>
  <c r="S74" i="111"/>
  <c r="I74" i="111"/>
  <c r="Q73" i="111"/>
  <c r="H73" i="111"/>
  <c r="P72" i="111"/>
  <c r="F72" i="111"/>
  <c r="N71" i="111"/>
  <c r="E71" i="111"/>
  <c r="M70" i="111"/>
  <c r="W69" i="111"/>
  <c r="K69" i="111"/>
  <c r="U68" i="111"/>
  <c r="I68" i="111"/>
  <c r="T67" i="111"/>
  <c r="H67" i="111"/>
  <c r="R66" i="111"/>
  <c r="F66" i="111"/>
  <c r="Q65" i="111"/>
  <c r="E65" i="111"/>
  <c r="O64" i="111"/>
  <c r="W63" i="111"/>
  <c r="M63" i="111"/>
  <c r="U62" i="111"/>
  <c r="L62" i="111"/>
  <c r="T61" i="111"/>
  <c r="J61" i="111"/>
  <c r="R60" i="111"/>
  <c r="I60" i="111"/>
  <c r="Q59" i="111"/>
  <c r="G59" i="111"/>
  <c r="O58" i="111"/>
  <c r="E58" i="111"/>
  <c r="M53" i="111"/>
  <c r="D53" i="111"/>
  <c r="L52" i="111"/>
  <c r="V51" i="111"/>
  <c r="J51" i="111"/>
  <c r="U50" i="111"/>
  <c r="I50" i="111"/>
  <c r="S49" i="111"/>
  <c r="G49" i="111"/>
  <c r="Q48" i="111"/>
  <c r="E48" i="111"/>
  <c r="P47" i="111"/>
  <c r="D47" i="111"/>
  <c r="N46" i="111"/>
  <c r="V45" i="111"/>
  <c r="M45" i="111"/>
  <c r="U44" i="111"/>
  <c r="K44" i="111"/>
  <c r="S43" i="111"/>
  <c r="I43" i="111"/>
  <c r="Q42" i="111"/>
  <c r="H42" i="111"/>
  <c r="P41" i="111"/>
  <c r="F41" i="111"/>
  <c r="N40" i="111"/>
  <c r="E40" i="111"/>
  <c r="M39" i="111"/>
  <c r="W38" i="111"/>
  <c r="K38" i="111"/>
  <c r="U37" i="111"/>
  <c r="I37" i="111"/>
  <c r="T36" i="111"/>
  <c r="H36" i="111"/>
  <c r="R35" i="111"/>
  <c r="F35" i="111"/>
  <c r="Q34" i="111"/>
  <c r="E34" i="111"/>
  <c r="O33" i="111"/>
  <c r="W28" i="111"/>
  <c r="M28" i="111"/>
  <c r="U27" i="111"/>
  <c r="L27" i="111"/>
  <c r="T26" i="111"/>
  <c r="J26" i="111"/>
  <c r="R25" i="111"/>
  <c r="I25" i="111"/>
  <c r="Q24" i="111"/>
  <c r="G24" i="111"/>
  <c r="O23" i="111"/>
  <c r="E23" i="111"/>
  <c r="M22" i="111"/>
  <c r="D22" i="111"/>
  <c r="L21" i="111"/>
  <c r="V20" i="111"/>
  <c r="J20" i="111"/>
  <c r="U19" i="111"/>
  <c r="I19" i="111"/>
  <c r="S18" i="111"/>
  <c r="G18" i="111"/>
  <c r="Q17" i="111"/>
  <c r="E17" i="111"/>
  <c r="P16" i="111"/>
  <c r="D16" i="111"/>
  <c r="N15" i="111"/>
  <c r="V14" i="111"/>
  <c r="M14" i="111"/>
  <c r="U13" i="111"/>
  <c r="K13" i="111"/>
  <c r="S12" i="111"/>
  <c r="I12" i="111"/>
  <c r="Q11" i="111"/>
  <c r="H11" i="111"/>
  <c r="P10" i="111"/>
  <c r="F10" i="111"/>
  <c r="N9" i="111"/>
  <c r="E9" i="111"/>
  <c r="M8" i="111"/>
  <c r="T103" i="108"/>
  <c r="N103" i="108"/>
  <c r="H103" i="108"/>
  <c r="V102" i="108"/>
  <c r="P102" i="108"/>
  <c r="J102" i="108"/>
  <c r="D102" i="108"/>
  <c r="R101" i="108"/>
  <c r="L101" i="108"/>
  <c r="F101" i="108"/>
  <c r="T100" i="108"/>
  <c r="N100" i="108"/>
  <c r="H100" i="108"/>
  <c r="V99" i="108"/>
  <c r="P99" i="108"/>
  <c r="J99" i="108"/>
  <c r="D99" i="108"/>
  <c r="R98" i="108"/>
  <c r="L98" i="108"/>
  <c r="F98" i="108"/>
  <c r="T97" i="108"/>
  <c r="N97" i="108"/>
  <c r="H97" i="108"/>
  <c r="V96" i="108"/>
  <c r="P96" i="108"/>
  <c r="J96" i="108"/>
  <c r="D96" i="108"/>
  <c r="R95" i="108"/>
  <c r="L95" i="108"/>
  <c r="F95" i="108"/>
  <c r="T94" i="108"/>
  <c r="N94" i="108"/>
  <c r="H94" i="108"/>
  <c r="V93" i="108"/>
  <c r="P93" i="108"/>
  <c r="J93" i="108"/>
  <c r="D93" i="108"/>
  <c r="R92" i="108"/>
  <c r="L92" i="108"/>
  <c r="F92" i="108"/>
  <c r="T91" i="108"/>
  <c r="N91" i="108"/>
  <c r="H91" i="108"/>
  <c r="V90" i="108"/>
  <c r="P90" i="108"/>
  <c r="J90" i="108"/>
  <c r="D90" i="108"/>
  <c r="R89" i="108"/>
  <c r="L89" i="108"/>
  <c r="F89" i="108"/>
  <c r="T88" i="108"/>
  <c r="N88" i="108"/>
  <c r="H88" i="108"/>
  <c r="V87" i="108"/>
  <c r="P87" i="108"/>
  <c r="J87" i="108"/>
  <c r="D87" i="108"/>
  <c r="R86" i="108"/>
  <c r="L86" i="108"/>
  <c r="F86" i="108"/>
  <c r="T85" i="108"/>
  <c r="N85" i="108"/>
  <c r="H85" i="108"/>
  <c r="V84" i="108"/>
  <c r="P84" i="108"/>
  <c r="J84" i="108"/>
  <c r="D84" i="108"/>
  <c r="R83" i="108"/>
  <c r="L83" i="108"/>
  <c r="F83" i="108"/>
  <c r="T78" i="108"/>
  <c r="N78" i="108"/>
  <c r="H78" i="108"/>
  <c r="V77" i="108"/>
  <c r="P77" i="108"/>
  <c r="J77" i="108"/>
  <c r="D77" i="108"/>
  <c r="R76" i="108"/>
  <c r="L76" i="108"/>
  <c r="F76" i="108"/>
  <c r="T75" i="108"/>
  <c r="N75" i="108"/>
  <c r="H75" i="108"/>
  <c r="V74" i="108"/>
  <c r="P74" i="108"/>
  <c r="J74" i="108"/>
  <c r="D74" i="108"/>
  <c r="R73" i="108"/>
  <c r="L73" i="108"/>
  <c r="F73" i="108"/>
  <c r="T72" i="108"/>
  <c r="N72" i="108"/>
  <c r="H72" i="108"/>
  <c r="V71" i="108"/>
  <c r="P71" i="108"/>
  <c r="J71" i="108"/>
  <c r="D71" i="108"/>
  <c r="R70" i="108"/>
  <c r="L70" i="108"/>
  <c r="F70" i="108"/>
  <c r="T69" i="108"/>
  <c r="N69" i="108"/>
  <c r="H69" i="108"/>
  <c r="V68" i="108"/>
  <c r="P68" i="108"/>
  <c r="J68" i="108"/>
  <c r="D68" i="108"/>
  <c r="R67" i="108"/>
  <c r="L67" i="108"/>
  <c r="F67" i="108"/>
  <c r="T66" i="108"/>
  <c r="N66" i="108"/>
  <c r="H66" i="108"/>
  <c r="V65" i="108"/>
  <c r="P65" i="108"/>
  <c r="J65" i="108"/>
  <c r="D65" i="108"/>
  <c r="R64" i="108"/>
  <c r="L64" i="108"/>
  <c r="F64" i="108"/>
  <c r="T63" i="108"/>
  <c r="N63" i="108"/>
  <c r="H63" i="108"/>
  <c r="V62" i="108"/>
  <c r="P62" i="108"/>
  <c r="J62" i="108"/>
  <c r="D62" i="108"/>
  <c r="R61" i="108"/>
  <c r="L61" i="108"/>
  <c r="F61" i="108"/>
  <c r="T60" i="108"/>
  <c r="N60" i="108"/>
  <c r="H60" i="108"/>
  <c r="V59" i="108"/>
  <c r="P59" i="108"/>
  <c r="J59" i="108"/>
  <c r="D59" i="108"/>
  <c r="R58" i="108"/>
  <c r="L58" i="108"/>
  <c r="F58" i="108"/>
  <c r="T53" i="108"/>
  <c r="N53" i="108"/>
  <c r="H53" i="108"/>
  <c r="V52" i="108"/>
  <c r="P52" i="108"/>
  <c r="J52" i="108"/>
  <c r="D52" i="108"/>
  <c r="R51" i="108"/>
  <c r="L51" i="108"/>
  <c r="F51" i="108"/>
  <c r="T50" i="108"/>
  <c r="N50" i="108"/>
  <c r="H50" i="108"/>
  <c r="V49" i="108"/>
  <c r="P49" i="108"/>
  <c r="J49" i="108"/>
  <c r="D49" i="108"/>
  <c r="R48" i="108"/>
  <c r="L48" i="108"/>
  <c r="F48" i="108"/>
  <c r="T47" i="108"/>
  <c r="N47" i="108"/>
  <c r="H47" i="108"/>
  <c r="V46" i="108"/>
  <c r="P46" i="108"/>
  <c r="J46" i="108"/>
  <c r="D46" i="108"/>
  <c r="R45" i="108"/>
  <c r="L45" i="108"/>
  <c r="F45" i="108"/>
  <c r="T44" i="108"/>
  <c r="N44" i="108"/>
  <c r="H44" i="108"/>
  <c r="V43" i="108"/>
  <c r="P43" i="108"/>
  <c r="J43" i="108"/>
  <c r="D43" i="108"/>
  <c r="R42" i="108"/>
  <c r="L42" i="108"/>
  <c r="F42" i="108"/>
  <c r="T41" i="108"/>
  <c r="N41" i="108"/>
  <c r="H41" i="108"/>
  <c r="V40" i="108"/>
  <c r="P40" i="108"/>
  <c r="J40" i="108"/>
  <c r="D40" i="108"/>
  <c r="R39" i="108"/>
  <c r="L39" i="108"/>
  <c r="F39" i="108"/>
  <c r="T38" i="108"/>
  <c r="N38" i="108"/>
  <c r="H38" i="108"/>
  <c r="V37" i="108"/>
  <c r="P37" i="108"/>
  <c r="J37" i="108"/>
  <c r="D37" i="108"/>
  <c r="R36" i="108"/>
  <c r="L36" i="108"/>
  <c r="F36" i="108"/>
  <c r="T35" i="108"/>
  <c r="N35" i="108"/>
  <c r="H35" i="108"/>
  <c r="V34" i="108"/>
  <c r="P34" i="108"/>
  <c r="J34" i="108"/>
  <c r="D34" i="108"/>
  <c r="R33" i="108"/>
  <c r="L33" i="108"/>
  <c r="F33" i="108"/>
  <c r="T28" i="108"/>
  <c r="N28" i="108"/>
  <c r="H28" i="108"/>
  <c r="V27" i="108"/>
  <c r="P27" i="108"/>
  <c r="J27" i="108"/>
  <c r="D27" i="108"/>
  <c r="R26" i="108"/>
  <c r="L26" i="108"/>
  <c r="F26" i="108"/>
  <c r="T25" i="108"/>
  <c r="N25" i="108"/>
  <c r="H25" i="108"/>
  <c r="V24" i="108"/>
  <c r="P24" i="108"/>
  <c r="J24" i="108"/>
  <c r="D24" i="108"/>
  <c r="R23" i="108"/>
  <c r="L23" i="108"/>
  <c r="F23" i="108"/>
  <c r="T22" i="108"/>
  <c r="N22" i="108"/>
  <c r="H22" i="108"/>
  <c r="V21" i="108"/>
  <c r="P21" i="108"/>
  <c r="J21" i="108"/>
  <c r="D21" i="108"/>
  <c r="R20" i="108"/>
  <c r="L20" i="108"/>
  <c r="F20" i="108"/>
  <c r="T19" i="108"/>
  <c r="N19" i="108"/>
  <c r="H19" i="108"/>
  <c r="V18" i="108"/>
  <c r="P18" i="108"/>
  <c r="J18" i="108"/>
  <c r="D18" i="108"/>
  <c r="R17" i="108"/>
  <c r="L17" i="108"/>
  <c r="F17" i="108"/>
  <c r="T16" i="108"/>
  <c r="N16" i="108"/>
  <c r="H16" i="108"/>
  <c r="V15" i="108"/>
  <c r="P15" i="108"/>
  <c r="J15" i="108"/>
  <c r="D15" i="108"/>
  <c r="R14" i="108"/>
  <c r="L14" i="108"/>
  <c r="F14" i="108"/>
  <c r="T13" i="108"/>
  <c r="N13" i="108"/>
  <c r="H13" i="108"/>
  <c r="V12" i="108"/>
  <c r="P12" i="108"/>
  <c r="J12" i="108"/>
  <c r="D12" i="108"/>
  <c r="R11" i="108"/>
  <c r="L11" i="108"/>
  <c r="F11" i="108"/>
  <c r="T10" i="108"/>
  <c r="N10" i="108"/>
  <c r="H10" i="108"/>
  <c r="V9" i="108"/>
  <c r="P9" i="108"/>
  <c r="J9" i="108"/>
  <c r="D9" i="108"/>
  <c r="R8" i="108"/>
  <c r="L8" i="108"/>
  <c r="F8" i="108"/>
  <c r="T103" i="107"/>
  <c r="N103" i="107"/>
  <c r="H103" i="107"/>
  <c r="V102" i="107"/>
  <c r="P102" i="107"/>
  <c r="J102" i="107"/>
  <c r="D102" i="107"/>
  <c r="R101" i="107"/>
  <c r="L101" i="107"/>
  <c r="F101" i="107"/>
  <c r="T100" i="107"/>
  <c r="N100" i="107"/>
  <c r="H100" i="107"/>
  <c r="V99" i="107"/>
  <c r="P99" i="107"/>
  <c r="J99" i="107"/>
  <c r="D99" i="107"/>
  <c r="R98" i="107"/>
  <c r="L98" i="107"/>
  <c r="F98" i="107"/>
  <c r="T97" i="107"/>
  <c r="N97" i="107"/>
  <c r="H97" i="107"/>
  <c r="V96" i="107"/>
  <c r="P96" i="107"/>
  <c r="J96" i="107"/>
  <c r="D96" i="107"/>
  <c r="R95" i="107"/>
  <c r="L95" i="107"/>
  <c r="F95" i="107"/>
  <c r="T94" i="107"/>
  <c r="N94" i="107"/>
  <c r="H94" i="107"/>
  <c r="V93" i="107"/>
  <c r="P93" i="107"/>
  <c r="J93" i="107"/>
  <c r="D93" i="107"/>
  <c r="R92" i="107"/>
  <c r="L92" i="107"/>
  <c r="F92" i="107"/>
  <c r="T91" i="107"/>
  <c r="N91" i="107"/>
  <c r="H91" i="107"/>
  <c r="V90" i="107"/>
  <c r="P90" i="107"/>
  <c r="J90" i="107"/>
  <c r="D90" i="107"/>
  <c r="R89" i="107"/>
  <c r="L89" i="107"/>
  <c r="F89" i="107"/>
  <c r="T88" i="107"/>
  <c r="N88" i="107"/>
  <c r="H88" i="107"/>
  <c r="V87" i="107"/>
  <c r="P87" i="107"/>
  <c r="J87" i="107"/>
  <c r="D87" i="107"/>
  <c r="R86" i="107"/>
  <c r="L86" i="107"/>
  <c r="F86" i="107"/>
  <c r="T85" i="107"/>
  <c r="N85" i="107"/>
  <c r="H85" i="107"/>
  <c r="V84" i="107"/>
  <c r="P84" i="107"/>
  <c r="J84" i="107"/>
  <c r="D84" i="107"/>
  <c r="R83" i="107"/>
  <c r="L83" i="107"/>
  <c r="F83" i="107"/>
  <c r="T78" i="107"/>
  <c r="N78" i="107"/>
  <c r="H78" i="107"/>
  <c r="V77" i="107"/>
  <c r="P77" i="107"/>
  <c r="J77" i="107"/>
  <c r="D77" i="107"/>
  <c r="R76" i="107"/>
  <c r="L76" i="107"/>
  <c r="F76" i="107"/>
  <c r="T75" i="107"/>
  <c r="N75" i="107"/>
  <c r="H75" i="107"/>
  <c r="V74" i="107"/>
  <c r="P74" i="107"/>
  <c r="J74" i="107"/>
  <c r="D74" i="107"/>
  <c r="R73" i="107"/>
  <c r="L73" i="107"/>
  <c r="F73" i="107"/>
  <c r="T72" i="107"/>
  <c r="N72" i="107"/>
  <c r="H72" i="107"/>
  <c r="V71" i="107"/>
  <c r="P71" i="107"/>
  <c r="J71" i="107"/>
  <c r="D71" i="107"/>
  <c r="R70" i="107"/>
  <c r="L70" i="107"/>
  <c r="F70" i="107"/>
  <c r="T69" i="107"/>
  <c r="N69" i="107"/>
  <c r="H69" i="107"/>
  <c r="V68" i="107"/>
  <c r="P68" i="107"/>
  <c r="J68" i="107"/>
  <c r="D68" i="107"/>
  <c r="R67" i="107"/>
  <c r="L67" i="107"/>
  <c r="F67" i="107"/>
  <c r="T66" i="107"/>
  <c r="N66" i="107"/>
  <c r="H66" i="107"/>
  <c r="V65" i="107"/>
  <c r="P65" i="107"/>
  <c r="J65" i="107"/>
  <c r="D65" i="107"/>
  <c r="R64" i="107"/>
  <c r="L64" i="107"/>
  <c r="F64" i="107"/>
  <c r="T63" i="107"/>
  <c r="N63" i="107"/>
  <c r="H63" i="107"/>
  <c r="V62" i="107"/>
  <c r="P62" i="107"/>
  <c r="J62" i="107"/>
  <c r="D62" i="107"/>
  <c r="R61" i="107"/>
  <c r="L61" i="107"/>
  <c r="F61" i="107"/>
  <c r="T60" i="107"/>
  <c r="N60" i="107"/>
  <c r="H60" i="107"/>
  <c r="V59" i="107"/>
  <c r="P59" i="107"/>
  <c r="J59" i="107"/>
  <c r="D59" i="107"/>
  <c r="R58" i="107"/>
  <c r="L58" i="107"/>
  <c r="F58" i="107"/>
  <c r="T53" i="107"/>
  <c r="N53" i="107"/>
  <c r="H53" i="107"/>
  <c r="V52" i="107"/>
  <c r="P52" i="107"/>
  <c r="J52" i="107"/>
  <c r="D52" i="107"/>
  <c r="R51" i="107"/>
  <c r="L51" i="107"/>
  <c r="F51" i="107"/>
  <c r="T50" i="107"/>
  <c r="N50" i="107"/>
  <c r="H50" i="107"/>
  <c r="V49" i="107"/>
  <c r="P49" i="107"/>
  <c r="J49" i="107"/>
  <c r="D49" i="107"/>
  <c r="R48" i="107"/>
  <c r="L48" i="107"/>
  <c r="F48" i="107"/>
  <c r="T47" i="107"/>
  <c r="N47" i="107"/>
  <c r="H47" i="107"/>
  <c r="V46" i="107"/>
  <c r="P46" i="107"/>
  <c r="J46" i="107"/>
  <c r="D46" i="107"/>
  <c r="R45" i="107"/>
  <c r="L45" i="107"/>
  <c r="F45" i="107"/>
  <c r="T44" i="107"/>
  <c r="N44" i="107"/>
  <c r="H44" i="107"/>
  <c r="V43" i="107"/>
  <c r="P43" i="107"/>
  <c r="J43" i="107"/>
  <c r="D43" i="107"/>
  <c r="R42" i="107"/>
  <c r="L42" i="107"/>
  <c r="F42" i="107"/>
  <c r="T41" i="107"/>
  <c r="N41" i="107"/>
  <c r="H41" i="107"/>
  <c r="V40" i="107"/>
  <c r="P40" i="107"/>
  <c r="J40" i="107"/>
  <c r="D40" i="107"/>
  <c r="R39" i="107"/>
  <c r="L39" i="107"/>
  <c r="F39" i="107"/>
  <c r="T38" i="107"/>
  <c r="N38" i="107"/>
  <c r="H38" i="107"/>
  <c r="V37" i="107"/>
  <c r="P37" i="107"/>
  <c r="J37" i="107"/>
  <c r="D37" i="107"/>
  <c r="R36" i="107"/>
  <c r="L36" i="107"/>
  <c r="F36" i="107"/>
  <c r="T35" i="107"/>
  <c r="N35" i="107"/>
  <c r="H35" i="107"/>
  <c r="V34" i="107"/>
  <c r="P34" i="107"/>
  <c r="J34" i="107"/>
  <c r="D34" i="107"/>
  <c r="R33" i="107"/>
  <c r="L33" i="107"/>
  <c r="F33" i="107"/>
  <c r="T28" i="107"/>
  <c r="N28" i="107"/>
  <c r="H28" i="107"/>
  <c r="V27" i="107"/>
  <c r="P27" i="107"/>
  <c r="J27" i="107"/>
  <c r="D27" i="107"/>
  <c r="R26" i="107"/>
  <c r="L26" i="107"/>
  <c r="F26" i="107"/>
  <c r="T25" i="107"/>
  <c r="N25" i="107"/>
  <c r="H25" i="107"/>
  <c r="V24" i="107"/>
  <c r="P24" i="107"/>
  <c r="J24" i="107"/>
  <c r="D24" i="107"/>
  <c r="R23" i="107"/>
  <c r="L23" i="107"/>
  <c r="F23" i="107"/>
  <c r="T22" i="107"/>
  <c r="N22" i="107"/>
  <c r="H22" i="107"/>
  <c r="V21" i="107"/>
  <c r="P21" i="107"/>
  <c r="J21" i="107"/>
  <c r="D21" i="107"/>
  <c r="R20" i="107"/>
  <c r="L20" i="107"/>
  <c r="F20" i="107"/>
  <c r="T19" i="107"/>
  <c r="N19" i="107"/>
  <c r="H19" i="107"/>
  <c r="V18" i="107"/>
  <c r="P18" i="107"/>
  <c r="J18" i="107"/>
  <c r="D18" i="107"/>
  <c r="R17" i="107"/>
  <c r="L17" i="107"/>
  <c r="F17" i="107"/>
  <c r="T16" i="107"/>
  <c r="N16" i="107"/>
  <c r="H16" i="107"/>
  <c r="V15" i="107"/>
  <c r="P15" i="107"/>
  <c r="J15" i="107"/>
  <c r="D15" i="107"/>
  <c r="R14" i="107"/>
  <c r="L14" i="107"/>
  <c r="F14" i="107"/>
  <c r="T13" i="107"/>
  <c r="N13" i="107"/>
  <c r="H13" i="107"/>
  <c r="V12" i="107"/>
  <c r="P12" i="107"/>
  <c r="J12" i="107"/>
  <c r="D12" i="107"/>
  <c r="R11" i="107"/>
  <c r="L11" i="107"/>
  <c r="F11" i="107"/>
  <c r="T10" i="107"/>
  <c r="N10" i="107"/>
  <c r="H10" i="107"/>
  <c r="V9" i="107"/>
  <c r="P9" i="107"/>
  <c r="J9" i="107"/>
  <c r="D9" i="107"/>
  <c r="R8" i="107"/>
  <c r="L8" i="107"/>
  <c r="F8" i="107"/>
  <c r="L113" i="107"/>
  <c r="O103" i="111"/>
  <c r="W102" i="111"/>
  <c r="M102" i="111"/>
  <c r="U101" i="111"/>
  <c r="K101" i="111"/>
  <c r="S100" i="111"/>
  <c r="J100" i="111"/>
  <c r="R99" i="111"/>
  <c r="H99" i="111"/>
  <c r="P98" i="111"/>
  <c r="G98" i="111"/>
  <c r="O97" i="111"/>
  <c r="E97" i="111"/>
  <c r="M96" i="111"/>
  <c r="W95" i="111"/>
  <c r="K95" i="111"/>
  <c r="V94" i="111"/>
  <c r="J94" i="111"/>
  <c r="T93" i="111"/>
  <c r="H93" i="111"/>
  <c r="S92" i="111"/>
  <c r="G92" i="111"/>
  <c r="Q91" i="111"/>
  <c r="E91" i="111"/>
  <c r="O90" i="111"/>
  <c r="W89" i="111"/>
  <c r="N89" i="111"/>
  <c r="V88" i="111"/>
  <c r="L88" i="111"/>
  <c r="T87" i="111"/>
  <c r="K87" i="111"/>
  <c r="S86" i="111"/>
  <c r="I86" i="111"/>
  <c r="Q85" i="111"/>
  <c r="G85" i="111"/>
  <c r="O84" i="111"/>
  <c r="F84" i="111"/>
  <c r="N83" i="111"/>
  <c r="D83" i="111"/>
  <c r="L78" i="111"/>
  <c r="J103" i="111"/>
  <c r="H102" i="111"/>
  <c r="G101" i="111"/>
  <c r="E100" i="111"/>
  <c r="W98" i="111"/>
  <c r="V97" i="111"/>
  <c r="T96" i="111"/>
  <c r="S95" i="111"/>
  <c r="Q94" i="111"/>
  <c r="O93" i="111"/>
  <c r="N92" i="111"/>
  <c r="L91" i="111"/>
  <c r="K90" i="111"/>
  <c r="I89" i="111"/>
  <c r="G88" i="111"/>
  <c r="F87" i="111"/>
  <c r="D86" i="111"/>
  <c r="W84" i="111"/>
  <c r="U83" i="111"/>
  <c r="S78" i="111"/>
  <c r="U77" i="111"/>
  <c r="G77" i="111"/>
  <c r="H76" i="111"/>
  <c r="M75" i="111"/>
  <c r="Q74" i="111"/>
  <c r="V73" i="111"/>
  <c r="W72" i="111"/>
  <c r="I72" i="111"/>
  <c r="L71" i="111"/>
  <c r="Q70" i="111"/>
  <c r="R69" i="111"/>
  <c r="D69" i="111"/>
  <c r="G68" i="111"/>
  <c r="M67" i="111"/>
  <c r="M66" i="111"/>
  <c r="S65" i="111"/>
  <c r="V64" i="111"/>
  <c r="H64" i="111"/>
  <c r="I63" i="111"/>
  <c r="N62" i="111"/>
  <c r="Q61" i="111"/>
  <c r="W60" i="111"/>
  <c r="D60" i="111"/>
  <c r="I59" i="111"/>
  <c r="M58" i="111"/>
  <c r="R53" i="111"/>
  <c r="S52" i="111"/>
  <c r="E52" i="111"/>
  <c r="H51" i="111"/>
  <c r="M50" i="111"/>
  <c r="N49" i="111"/>
  <c r="T48" i="111"/>
  <c r="W47" i="111"/>
  <c r="I47" i="111"/>
  <c r="I46" i="111"/>
  <c r="O45" i="111"/>
  <c r="R44" i="111"/>
  <c r="D44" i="111"/>
  <c r="E43" i="111"/>
  <c r="J42" i="111"/>
  <c r="M41" i="111"/>
  <c r="S40" i="111"/>
  <c r="T39" i="111"/>
  <c r="E39" i="111"/>
  <c r="I38" i="111"/>
  <c r="N37" i="111"/>
  <c r="O36" i="111"/>
  <c r="U35" i="111"/>
  <c r="D35" i="111"/>
  <c r="I34" i="111"/>
  <c r="J33" i="111"/>
  <c r="P28" i="111"/>
  <c r="S27" i="111"/>
  <c r="E27" i="111"/>
  <c r="E26" i="111"/>
  <c r="K25" i="111"/>
  <c r="N24" i="111"/>
  <c r="T23" i="111"/>
  <c r="U22" i="111"/>
  <c r="F22" i="111"/>
  <c r="I21" i="111"/>
  <c r="O20" i="111"/>
  <c r="P19" i="111"/>
  <c r="U18" i="111"/>
  <c r="E18" i="111"/>
  <c r="J17" i="111"/>
  <c r="K16" i="111"/>
  <c r="Q15" i="111"/>
  <c r="T14" i="111"/>
  <c r="E14" i="111"/>
  <c r="F13" i="111"/>
  <c r="L12" i="111"/>
  <c r="O11" i="111"/>
  <c r="U10" i="111"/>
  <c r="U9" i="111"/>
  <c r="G9" i="111"/>
  <c r="J8" i="111"/>
  <c r="V103" i="108"/>
  <c r="L103" i="108"/>
  <c r="D103" i="108"/>
  <c r="N102" i="108"/>
  <c r="F102" i="108"/>
  <c r="P101" i="108"/>
  <c r="H101" i="108"/>
  <c r="R100" i="108"/>
  <c r="J100" i="108"/>
  <c r="T99" i="108"/>
  <c r="L99" i="108"/>
  <c r="V98" i="108"/>
  <c r="N98" i="108"/>
  <c r="D98" i="108"/>
  <c r="P97" i="108"/>
  <c r="F97" i="108"/>
  <c r="R96" i="108"/>
  <c r="H96" i="108"/>
  <c r="T95" i="108"/>
  <c r="J95" i="108"/>
  <c r="V94" i="108"/>
  <c r="L94" i="108"/>
  <c r="D94" i="108"/>
  <c r="N93" i="108"/>
  <c r="F93" i="108"/>
  <c r="P92" i="108"/>
  <c r="H92" i="108"/>
  <c r="R91" i="108"/>
  <c r="J91" i="108"/>
  <c r="T90" i="108"/>
  <c r="L90" i="108"/>
  <c r="V89" i="108"/>
  <c r="N89" i="108"/>
  <c r="D89" i="108"/>
  <c r="P88" i="108"/>
  <c r="F88" i="108"/>
  <c r="R87" i="108"/>
  <c r="H87" i="108"/>
  <c r="T86" i="108"/>
  <c r="J86" i="108"/>
  <c r="V85" i="108"/>
  <c r="L85" i="108"/>
  <c r="D85" i="108"/>
  <c r="N84" i="108"/>
  <c r="F84" i="108"/>
  <c r="P83" i="108"/>
  <c r="H83" i="108"/>
  <c r="R78" i="108"/>
  <c r="J78" i="108"/>
  <c r="T77" i="108"/>
  <c r="L77" i="108"/>
  <c r="V76" i="108"/>
  <c r="N76" i="108"/>
  <c r="D76" i="108"/>
  <c r="P75" i="108"/>
  <c r="F75" i="108"/>
  <c r="R74" i="108"/>
  <c r="H74" i="108"/>
  <c r="T73" i="108"/>
  <c r="J73" i="108"/>
  <c r="V72" i="108"/>
  <c r="L72" i="108"/>
  <c r="D72" i="108"/>
  <c r="N71" i="108"/>
  <c r="F71" i="108"/>
  <c r="P70" i="108"/>
  <c r="H70" i="108"/>
  <c r="R69" i="108"/>
  <c r="J69" i="108"/>
  <c r="T68" i="108"/>
  <c r="L68" i="108"/>
  <c r="V67" i="108"/>
  <c r="N67" i="108"/>
  <c r="D67" i="108"/>
  <c r="P66" i="108"/>
  <c r="F66" i="108"/>
  <c r="R65" i="108"/>
  <c r="H65" i="108"/>
  <c r="T64" i="108"/>
  <c r="J64" i="108"/>
  <c r="V63" i="108"/>
  <c r="L63" i="108"/>
  <c r="D63" i="108"/>
  <c r="N62" i="108"/>
  <c r="F62" i="108"/>
  <c r="P61" i="108"/>
  <c r="H61" i="108"/>
  <c r="R60" i="108"/>
  <c r="J60" i="108"/>
  <c r="T59" i="108"/>
  <c r="L59" i="108"/>
  <c r="V58" i="108"/>
  <c r="N58" i="108"/>
  <c r="D58" i="108"/>
  <c r="P53" i="108"/>
  <c r="F53" i="108"/>
  <c r="R52" i="108"/>
  <c r="H52" i="108"/>
  <c r="T51" i="108"/>
  <c r="J51" i="108"/>
  <c r="V50" i="108"/>
  <c r="L50" i="108"/>
  <c r="D50" i="108"/>
  <c r="N49" i="108"/>
  <c r="F49" i="108"/>
  <c r="P48" i="108"/>
  <c r="H48" i="108"/>
  <c r="R47" i="108"/>
  <c r="J47" i="108"/>
  <c r="T46" i="108"/>
  <c r="L46" i="108"/>
  <c r="V45" i="108"/>
  <c r="N45" i="108"/>
  <c r="D45" i="108"/>
  <c r="P44" i="108"/>
  <c r="F44" i="108"/>
  <c r="R43" i="108"/>
  <c r="H43" i="108"/>
  <c r="T42" i="108"/>
  <c r="J42" i="108"/>
  <c r="V41" i="108"/>
  <c r="L41" i="108"/>
  <c r="D41" i="108"/>
  <c r="N40" i="108"/>
  <c r="F40" i="108"/>
  <c r="P39" i="108"/>
  <c r="H39" i="108"/>
  <c r="R38" i="108"/>
  <c r="J38" i="108"/>
  <c r="T37" i="108"/>
  <c r="L37" i="108"/>
  <c r="V36" i="108"/>
  <c r="N36" i="108"/>
  <c r="D36" i="108"/>
  <c r="P35" i="108"/>
  <c r="F35" i="108"/>
  <c r="R34" i="108"/>
  <c r="H34" i="108"/>
  <c r="T33" i="108"/>
  <c r="J33" i="108"/>
  <c r="V28" i="108"/>
  <c r="L28" i="108"/>
  <c r="D28" i="108"/>
  <c r="N27" i="108"/>
  <c r="F27" i="108"/>
  <c r="P26" i="108"/>
  <c r="H26" i="108"/>
  <c r="R25" i="108"/>
  <c r="J25" i="108"/>
  <c r="T24" i="108"/>
  <c r="L24" i="108"/>
  <c r="V23" i="108"/>
  <c r="N23" i="108"/>
  <c r="D23" i="108"/>
  <c r="P22" i="108"/>
  <c r="F22" i="108"/>
  <c r="R21" i="108"/>
  <c r="H21" i="108"/>
  <c r="T20" i="108"/>
  <c r="J20" i="108"/>
  <c r="V19" i="108"/>
  <c r="L19" i="108"/>
  <c r="D19" i="108"/>
  <c r="N18" i="108"/>
  <c r="F18" i="108"/>
  <c r="P17" i="108"/>
  <c r="H17" i="108"/>
  <c r="R16" i="108"/>
  <c r="J16" i="108"/>
  <c r="T15" i="108"/>
  <c r="L15" i="108"/>
  <c r="V14" i="108"/>
  <c r="N14" i="108"/>
  <c r="D14" i="108"/>
  <c r="P13" i="108"/>
  <c r="F13" i="108"/>
  <c r="R12" i="108"/>
  <c r="H12" i="108"/>
  <c r="T11" i="108"/>
  <c r="J11" i="108"/>
  <c r="V10" i="108"/>
  <c r="L10" i="108"/>
  <c r="D10" i="108"/>
  <c r="N9" i="108"/>
  <c r="F9" i="108"/>
  <c r="P8" i="108"/>
  <c r="H8" i="108"/>
  <c r="R103" i="107"/>
  <c r="J103" i="107"/>
  <c r="T102" i="107"/>
  <c r="L102" i="107"/>
  <c r="V101" i="107"/>
  <c r="N101" i="107"/>
  <c r="D101" i="107"/>
  <c r="P100" i="107"/>
  <c r="F100" i="107"/>
  <c r="R99" i="107"/>
  <c r="H99" i="107"/>
  <c r="T98" i="107"/>
  <c r="J98" i="107"/>
  <c r="V97" i="107"/>
  <c r="L97" i="107"/>
  <c r="D97" i="107"/>
  <c r="N96" i="107"/>
  <c r="F96" i="107"/>
  <c r="P95" i="107"/>
  <c r="H95" i="107"/>
  <c r="R94" i="107"/>
  <c r="J94" i="107"/>
  <c r="T93" i="107"/>
  <c r="L93" i="107"/>
  <c r="V92" i="107"/>
  <c r="N92" i="107"/>
  <c r="D92" i="107"/>
  <c r="P91" i="107"/>
  <c r="F91" i="107"/>
  <c r="R90" i="107"/>
  <c r="H90" i="107"/>
  <c r="T89" i="107"/>
  <c r="J89" i="107"/>
  <c r="V88" i="107"/>
  <c r="L88" i="107"/>
  <c r="D88" i="107"/>
  <c r="N87" i="107"/>
  <c r="F87" i="107"/>
  <c r="P86" i="107"/>
  <c r="H86" i="107"/>
  <c r="R85" i="107"/>
  <c r="J85" i="107"/>
  <c r="T84" i="107"/>
  <c r="L84" i="107"/>
  <c r="V83" i="107"/>
  <c r="N83" i="107"/>
  <c r="D83" i="107"/>
  <c r="P78" i="107"/>
  <c r="F78" i="107"/>
  <c r="I103" i="111"/>
  <c r="G102" i="111"/>
  <c r="E101" i="111"/>
  <c r="D100" i="111"/>
  <c r="V98" i="111"/>
  <c r="U97" i="111"/>
  <c r="S96" i="111"/>
  <c r="Q95" i="111"/>
  <c r="P94" i="111"/>
  <c r="N93" i="111"/>
  <c r="M92" i="111"/>
  <c r="K91" i="111"/>
  <c r="I90" i="111"/>
  <c r="H89" i="111"/>
  <c r="F88" i="111"/>
  <c r="E87" i="111"/>
  <c r="W85" i="111"/>
  <c r="U84" i="111"/>
  <c r="T83" i="111"/>
  <c r="R78" i="111"/>
  <c r="R77" i="111"/>
  <c r="U76" i="111"/>
  <c r="G76" i="111"/>
  <c r="G75" i="111"/>
  <c r="M74" i="111"/>
  <c r="P73" i="111"/>
  <c r="V72" i="111"/>
  <c r="W71" i="111"/>
  <c r="H71" i="111"/>
  <c r="K70" i="111"/>
  <c r="Q69" i="111"/>
  <c r="R68" i="111"/>
  <c r="W67" i="111"/>
  <c r="G67" i="111"/>
  <c r="L66" i="111"/>
  <c r="M65" i="111"/>
  <c r="S64" i="111"/>
  <c r="V63" i="111"/>
  <c r="G63" i="111"/>
  <c r="H62" i="111"/>
  <c r="N61" i="111"/>
  <c r="Q60" i="111"/>
  <c r="W59" i="111"/>
  <c r="W58" i="111"/>
  <c r="I58" i="111"/>
  <c r="L53" i="111"/>
  <c r="R52" i="111"/>
  <c r="S51" i="111"/>
  <c r="D51" i="111"/>
  <c r="G50" i="111"/>
  <c r="M49" i="111"/>
  <c r="N48" i="111"/>
  <c r="S47" i="111"/>
  <c r="W46" i="111"/>
  <c r="H46" i="111"/>
  <c r="I45" i="111"/>
  <c r="O44" i="111"/>
  <c r="R43" i="111"/>
  <c r="W42" i="111"/>
  <c r="D42" i="111"/>
  <c r="J41" i="111"/>
  <c r="M40" i="111"/>
  <c r="S39" i="111"/>
  <c r="S38" i="111"/>
  <c r="E38" i="111"/>
  <c r="H37" i="111"/>
  <c r="N36" i="111"/>
  <c r="O35" i="111"/>
  <c r="T34" i="111"/>
  <c r="W33" i="111"/>
  <c r="I33" i="111"/>
  <c r="J28" i="111"/>
  <c r="O27" i="111"/>
  <c r="S26" i="111"/>
  <c r="D26" i="111"/>
  <c r="E25" i="111"/>
  <c r="K24" i="111"/>
  <c r="N23" i="111"/>
  <c r="S22" i="111"/>
  <c r="T21" i="111"/>
  <c r="F21" i="111"/>
  <c r="I20" i="111"/>
  <c r="O19" i="111"/>
  <c r="O18" i="111"/>
  <c r="U17" i="111"/>
  <c r="D17" i="111"/>
  <c r="J16" i="111"/>
  <c r="K15" i="111"/>
  <c r="P14" i="111"/>
  <c r="S13" i="111"/>
  <c r="E13" i="111"/>
  <c r="F12" i="111"/>
  <c r="K11" i="111"/>
  <c r="O10" i="111"/>
  <c r="T9" i="111"/>
  <c r="U8" i="111"/>
  <c r="G8" i="111"/>
  <c r="S103" i="108"/>
  <c r="K103" i="108"/>
  <c r="U102" i="108"/>
  <c r="M102" i="108"/>
  <c r="W101" i="108"/>
  <c r="O101" i="108"/>
  <c r="E101" i="108"/>
  <c r="Q100" i="108"/>
  <c r="G100" i="108"/>
  <c r="S99" i="108"/>
  <c r="I99" i="108"/>
  <c r="U98" i="108"/>
  <c r="K98" i="108"/>
  <c r="W97" i="108"/>
  <c r="M97" i="108"/>
  <c r="E97" i="108"/>
  <c r="O96" i="108"/>
  <c r="G96" i="108"/>
  <c r="Q95" i="108"/>
  <c r="I95" i="108"/>
  <c r="S94" i="108"/>
  <c r="K94" i="108"/>
  <c r="U93" i="108"/>
  <c r="M93" i="108"/>
  <c r="W92" i="108"/>
  <c r="O92" i="108"/>
  <c r="E92" i="108"/>
  <c r="Q91" i="108"/>
  <c r="G91" i="108"/>
  <c r="S90" i="108"/>
  <c r="I90" i="108"/>
  <c r="U89" i="108"/>
  <c r="K89" i="108"/>
  <c r="W88" i="108"/>
  <c r="M88" i="108"/>
  <c r="E88" i="108"/>
  <c r="O87" i="108"/>
  <c r="G87" i="108"/>
  <c r="Q86" i="108"/>
  <c r="I86" i="108"/>
  <c r="S85" i="108"/>
  <c r="K85" i="108"/>
  <c r="U84" i="108"/>
  <c r="M84" i="108"/>
  <c r="W83" i="108"/>
  <c r="O83" i="108"/>
  <c r="E83" i="108"/>
  <c r="Q78" i="108"/>
  <c r="G78" i="108"/>
  <c r="S77" i="108"/>
  <c r="I77" i="108"/>
  <c r="U76" i="108"/>
  <c r="K76" i="108"/>
  <c r="W75" i="108"/>
  <c r="M75" i="108"/>
  <c r="E75" i="108"/>
  <c r="O74" i="108"/>
  <c r="G74" i="108"/>
  <c r="Q73" i="108"/>
  <c r="I73" i="108"/>
  <c r="S72" i="108"/>
  <c r="K72" i="108"/>
  <c r="U71" i="108"/>
  <c r="M71" i="108"/>
  <c r="W70" i="108"/>
  <c r="O70" i="108"/>
  <c r="E70" i="108"/>
  <c r="Q69" i="108"/>
  <c r="G69" i="108"/>
  <c r="S68" i="108"/>
  <c r="I68" i="108"/>
  <c r="U67" i="108"/>
  <c r="K67" i="108"/>
  <c r="W66" i="108"/>
  <c r="M66" i="108"/>
  <c r="E66" i="108"/>
  <c r="O65" i="108"/>
  <c r="G65" i="108"/>
  <c r="Q64" i="108"/>
  <c r="I64" i="108"/>
  <c r="S63" i="108"/>
  <c r="K63" i="108"/>
  <c r="U62" i="108"/>
  <c r="M62" i="108"/>
  <c r="W61" i="108"/>
  <c r="O61" i="108"/>
  <c r="E61" i="108"/>
  <c r="Q60" i="108"/>
  <c r="G60" i="108"/>
  <c r="S59" i="108"/>
  <c r="I59" i="108"/>
  <c r="U58" i="108"/>
  <c r="K58" i="108"/>
  <c r="W53" i="108"/>
  <c r="M53" i="108"/>
  <c r="E53" i="108"/>
  <c r="O52" i="108"/>
  <c r="G52" i="108"/>
  <c r="Q51" i="108"/>
  <c r="I51" i="108"/>
  <c r="S50" i="108"/>
  <c r="K50" i="108"/>
  <c r="U49" i="108"/>
  <c r="M49" i="108"/>
  <c r="W48" i="108"/>
  <c r="O48" i="108"/>
  <c r="E48" i="108"/>
  <c r="Q47" i="108"/>
  <c r="G47" i="108"/>
  <c r="S46" i="108"/>
  <c r="I46" i="108"/>
  <c r="U45" i="108"/>
  <c r="K45" i="108"/>
  <c r="W44" i="108"/>
  <c r="M44" i="108"/>
  <c r="E44" i="108"/>
  <c r="O43" i="108"/>
  <c r="G43" i="108"/>
  <c r="Q42" i="108"/>
  <c r="I42" i="108"/>
  <c r="S41" i="108"/>
  <c r="K41" i="108"/>
  <c r="U40" i="108"/>
  <c r="M40" i="108"/>
  <c r="W39" i="108"/>
  <c r="O39" i="108"/>
  <c r="E39" i="108"/>
  <c r="Q38" i="108"/>
  <c r="G38" i="108"/>
  <c r="S37" i="108"/>
  <c r="I37" i="108"/>
  <c r="U36" i="108"/>
  <c r="K36" i="108"/>
  <c r="W35" i="108"/>
  <c r="M35" i="108"/>
  <c r="E35" i="108"/>
  <c r="O34" i="108"/>
  <c r="G34" i="108"/>
  <c r="Q33" i="108"/>
  <c r="I33" i="108"/>
  <c r="S28" i="108"/>
  <c r="K28" i="108"/>
  <c r="U27" i="108"/>
  <c r="M27" i="108"/>
  <c r="W26" i="108"/>
  <c r="O26" i="108"/>
  <c r="E26" i="108"/>
  <c r="Q25" i="108"/>
  <c r="G25" i="108"/>
  <c r="S24" i="108"/>
  <c r="I24" i="108"/>
  <c r="U23" i="108"/>
  <c r="K23" i="108"/>
  <c r="W22" i="108"/>
  <c r="M22" i="108"/>
  <c r="E22" i="108"/>
  <c r="O21" i="108"/>
  <c r="G21" i="108"/>
  <c r="Q20" i="108"/>
  <c r="I20" i="108"/>
  <c r="S19" i="108"/>
  <c r="K19" i="108"/>
  <c r="U18" i="108"/>
  <c r="M18" i="108"/>
  <c r="W17" i="108"/>
  <c r="O17" i="108"/>
  <c r="E17" i="108"/>
  <c r="Q16" i="108"/>
  <c r="G16" i="108"/>
  <c r="S15" i="108"/>
  <c r="I15" i="108"/>
  <c r="U14" i="108"/>
  <c r="K14" i="108"/>
  <c r="W13" i="108"/>
  <c r="M13" i="108"/>
  <c r="E13" i="108"/>
  <c r="O12" i="108"/>
  <c r="G12" i="108"/>
  <c r="Q11" i="108"/>
  <c r="I11" i="108"/>
  <c r="S10" i="108"/>
  <c r="K10" i="108"/>
  <c r="U9" i="108"/>
  <c r="M9" i="108"/>
  <c r="W8" i="108"/>
  <c r="O8" i="108"/>
  <c r="E8" i="108"/>
  <c r="Q103" i="107"/>
  <c r="G103" i="107"/>
  <c r="S102" i="107"/>
  <c r="I102" i="107"/>
  <c r="U101" i="107"/>
  <c r="K101" i="107"/>
  <c r="W100" i="107"/>
  <c r="M100" i="107"/>
  <c r="E100" i="107"/>
  <c r="O99" i="107"/>
  <c r="G99" i="107"/>
  <c r="Q98" i="107"/>
  <c r="I98" i="107"/>
  <c r="S97" i="107"/>
  <c r="K97" i="107"/>
  <c r="U96" i="107"/>
  <c r="M96" i="107"/>
  <c r="W95" i="107"/>
  <c r="O95" i="107"/>
  <c r="E95" i="107"/>
  <c r="Q94" i="107"/>
  <c r="G94" i="107"/>
  <c r="S93" i="107"/>
  <c r="I93" i="107"/>
  <c r="U92" i="107"/>
  <c r="K92" i="107"/>
  <c r="W91" i="107"/>
  <c r="M91" i="107"/>
  <c r="E91" i="107"/>
  <c r="O90" i="107"/>
  <c r="G90" i="107"/>
  <c r="Q89" i="107"/>
  <c r="I89" i="107"/>
  <c r="S88" i="107"/>
  <c r="K88" i="107"/>
  <c r="U87" i="107"/>
  <c r="M87" i="107"/>
  <c r="W86" i="107"/>
  <c r="O86" i="107"/>
  <c r="E86" i="107"/>
  <c r="Q85" i="107"/>
  <c r="G85" i="107"/>
  <c r="S84" i="107"/>
  <c r="I84" i="107"/>
  <c r="U83" i="107"/>
  <c r="K83" i="107"/>
  <c r="W78" i="107"/>
  <c r="M78" i="107"/>
  <c r="E78" i="107"/>
  <c r="O77" i="107"/>
  <c r="G77" i="107"/>
  <c r="Q76" i="107"/>
  <c r="I76" i="107"/>
  <c r="S75" i="107"/>
  <c r="K75" i="107"/>
  <c r="U74" i="107"/>
  <c r="M74" i="107"/>
  <c r="W73" i="107"/>
  <c r="O73" i="107"/>
  <c r="E73" i="107"/>
  <c r="Q72" i="107"/>
  <c r="G72" i="107"/>
  <c r="S71" i="107"/>
  <c r="I71" i="107"/>
  <c r="U70" i="107"/>
  <c r="K70" i="107"/>
  <c r="W69" i="107"/>
  <c r="M69" i="107"/>
  <c r="E69" i="107"/>
  <c r="O68" i="107"/>
  <c r="G68" i="107"/>
  <c r="Q67" i="107"/>
  <c r="I67" i="107"/>
  <c r="S66" i="107"/>
  <c r="K66" i="107"/>
  <c r="U65" i="107"/>
  <c r="M65" i="107"/>
  <c r="W64" i="107"/>
  <c r="O64" i="107"/>
  <c r="E64" i="107"/>
  <c r="Q63" i="107"/>
  <c r="G63" i="107"/>
  <c r="S62" i="107"/>
  <c r="I62" i="107"/>
  <c r="U61" i="107"/>
  <c r="K61" i="107"/>
  <c r="W60" i="107"/>
  <c r="M60" i="107"/>
  <c r="E60" i="107"/>
  <c r="O59" i="107"/>
  <c r="G59" i="107"/>
  <c r="Q58" i="107"/>
  <c r="I58" i="107"/>
  <c r="S53" i="107"/>
  <c r="K53" i="107"/>
  <c r="U52" i="107"/>
  <c r="M52" i="107"/>
  <c r="W51" i="107"/>
  <c r="O51" i="107"/>
  <c r="E51" i="107"/>
  <c r="Q50" i="107"/>
  <c r="G50" i="107"/>
  <c r="S49" i="107"/>
  <c r="I49" i="107"/>
  <c r="U48" i="107"/>
  <c r="K48" i="107"/>
  <c r="W47" i="107"/>
  <c r="M47" i="107"/>
  <c r="E47" i="107"/>
  <c r="O46" i="107"/>
  <c r="G46" i="107"/>
  <c r="Q45" i="107"/>
  <c r="I45" i="107"/>
  <c r="S44" i="107"/>
  <c r="K44" i="107"/>
  <c r="U43" i="107"/>
  <c r="M43" i="107"/>
  <c r="W42" i="107"/>
  <c r="O42" i="107"/>
  <c r="E42" i="107"/>
  <c r="Q41" i="107"/>
  <c r="G41" i="107"/>
  <c r="S40" i="107"/>
  <c r="I40" i="107"/>
  <c r="U39" i="107"/>
  <c r="K39" i="107"/>
  <c r="W38" i="107"/>
  <c r="M38" i="107"/>
  <c r="E38" i="107"/>
  <c r="O37" i="107"/>
  <c r="G37" i="107"/>
  <c r="Q36" i="107"/>
  <c r="I36" i="107"/>
  <c r="S35" i="107"/>
  <c r="K35" i="107"/>
  <c r="U34" i="107"/>
  <c r="M34" i="107"/>
  <c r="W33" i="107"/>
  <c r="O33" i="107"/>
  <c r="E33" i="107"/>
  <c r="Q28" i="107"/>
  <c r="G28" i="107"/>
  <c r="S27" i="107"/>
  <c r="I27" i="107"/>
  <c r="U26" i="107"/>
  <c r="K26" i="107"/>
  <c r="W25" i="107"/>
  <c r="M25" i="107"/>
  <c r="E25" i="107"/>
  <c r="O24" i="107"/>
  <c r="G24" i="107"/>
  <c r="Q23" i="107"/>
  <c r="I23" i="107"/>
  <c r="S22" i="107"/>
  <c r="K22" i="107"/>
  <c r="U21" i="107"/>
  <c r="M21" i="107"/>
  <c r="W20" i="107"/>
  <c r="O20" i="107"/>
  <c r="E20" i="107"/>
  <c r="Q19" i="107"/>
  <c r="G19" i="107"/>
  <c r="S18" i="107"/>
  <c r="I18" i="107"/>
  <c r="U17" i="107"/>
  <c r="K17" i="107"/>
  <c r="W16" i="107"/>
  <c r="M16" i="107"/>
  <c r="E16" i="107"/>
  <c r="O15" i="107"/>
  <c r="G15" i="107"/>
  <c r="Q14" i="107"/>
  <c r="I14" i="107"/>
  <c r="S13" i="107"/>
  <c r="K13" i="107"/>
  <c r="U12" i="107"/>
  <c r="M12" i="107"/>
  <c r="W11" i="107"/>
  <c r="O11" i="107"/>
  <c r="E11" i="107"/>
  <c r="Q10" i="107"/>
  <c r="G10" i="107"/>
  <c r="S9" i="107"/>
  <c r="L9" i="107"/>
  <c r="E9" i="107"/>
  <c r="Q8" i="107"/>
  <c r="J8" i="107"/>
  <c r="W103" i="111"/>
  <c r="U102" i="111"/>
  <c r="T101" i="111"/>
  <c r="R100" i="111"/>
  <c r="Q99" i="111"/>
  <c r="O98" i="111"/>
  <c r="M97" i="111"/>
  <c r="L96" i="111"/>
  <c r="J95" i="111"/>
  <c r="I94" i="111"/>
  <c r="G93" i="111"/>
  <c r="E92" i="111"/>
  <c r="D91" i="111"/>
  <c r="V89" i="111"/>
  <c r="U88" i="111"/>
  <c r="S87" i="111"/>
  <c r="Q86" i="111"/>
  <c r="P85" i="111"/>
  <c r="N84" i="111"/>
  <c r="M83" i="111"/>
  <c r="K78" i="111"/>
  <c r="Q77" i="111"/>
  <c r="T76" i="111"/>
  <c r="E76" i="111"/>
  <c r="F75" i="111"/>
  <c r="L74" i="111"/>
  <c r="O73" i="111"/>
  <c r="U72" i="111"/>
  <c r="U71" i="111"/>
  <c r="G71" i="111"/>
  <c r="J70" i="111"/>
  <c r="P69" i="111"/>
  <c r="Q68" i="111"/>
  <c r="V67" i="111"/>
  <c r="E67" i="111"/>
  <c r="K66" i="111"/>
  <c r="L65" i="111"/>
  <c r="Q64" i="111"/>
  <c r="U63" i="111"/>
  <c r="F63" i="111"/>
  <c r="G62" i="111"/>
  <c r="M61" i="111"/>
  <c r="P60" i="111"/>
  <c r="U59" i="111"/>
  <c r="V58" i="111"/>
  <c r="H58" i="111"/>
  <c r="K53" i="111"/>
  <c r="Q52" i="111"/>
  <c r="Q51" i="111"/>
  <c r="W50" i="111"/>
  <c r="F50" i="111"/>
  <c r="L49" i="111"/>
  <c r="M48" i="111"/>
  <c r="R47" i="111"/>
  <c r="U46" i="111"/>
  <c r="G46" i="111"/>
  <c r="H45" i="111"/>
  <c r="M44" i="111"/>
  <c r="Q43" i="111"/>
  <c r="V42" i="111"/>
  <c r="W41" i="111"/>
  <c r="I41" i="111"/>
  <c r="L40" i="111"/>
  <c r="Q39" i="111"/>
  <c r="R38" i="111"/>
  <c r="D38" i="111"/>
  <c r="G37" i="111"/>
  <c r="M36" i="111"/>
  <c r="M35" i="111"/>
  <c r="S34" i="111"/>
  <c r="V33" i="111"/>
  <c r="H33" i="111"/>
  <c r="I28" i="111"/>
  <c r="N27" i="111"/>
  <c r="Q26" i="111"/>
  <c r="W25" i="111"/>
  <c r="D25" i="111"/>
  <c r="I24" i="111"/>
  <c r="M23" i="111"/>
  <c r="R22" i="111"/>
  <c r="S21" i="111"/>
  <c r="E21" i="111"/>
  <c r="H20" i="111"/>
  <c r="M19" i="111"/>
  <c r="N18" i="111"/>
  <c r="T17" i="111"/>
  <c r="W16" i="111"/>
  <c r="I16" i="111"/>
  <c r="I15" i="111"/>
  <c r="O14" i="111"/>
  <c r="R13" i="111"/>
  <c r="D13" i="111"/>
  <c r="E12" i="111"/>
  <c r="J11" i="111"/>
  <c r="M10" i="111"/>
  <c r="S9" i="111"/>
  <c r="T8" i="111"/>
  <c r="E8" i="111"/>
  <c r="R103" i="108"/>
  <c r="J103" i="108"/>
  <c r="T102" i="108"/>
  <c r="L102" i="108"/>
  <c r="V101" i="108"/>
  <c r="N101" i="108"/>
  <c r="D101" i="108"/>
  <c r="P100" i="108"/>
  <c r="F100" i="108"/>
  <c r="R99" i="108"/>
  <c r="H99" i="108"/>
  <c r="T98" i="108"/>
  <c r="J98" i="108"/>
  <c r="V97" i="108"/>
  <c r="L97" i="108"/>
  <c r="D97" i="108"/>
  <c r="N96" i="108"/>
  <c r="F96" i="108"/>
  <c r="P95" i="108"/>
  <c r="H95" i="108"/>
  <c r="R94" i="108"/>
  <c r="J94" i="108"/>
  <c r="T93" i="108"/>
  <c r="L93" i="108"/>
  <c r="V92" i="108"/>
  <c r="N92" i="108"/>
  <c r="D92" i="108"/>
  <c r="P91" i="108"/>
  <c r="F91" i="108"/>
  <c r="R90" i="108"/>
  <c r="H90" i="108"/>
  <c r="T89" i="108"/>
  <c r="J89" i="108"/>
  <c r="V88" i="108"/>
  <c r="L88" i="108"/>
  <c r="D88" i="108"/>
  <c r="N87" i="108"/>
  <c r="F87" i="108"/>
  <c r="P86" i="108"/>
  <c r="H86" i="108"/>
  <c r="R85" i="108"/>
  <c r="J85" i="108"/>
  <c r="T84" i="108"/>
  <c r="L84" i="108"/>
  <c r="V83" i="108"/>
  <c r="V103" i="111"/>
  <c r="S101" i="111"/>
  <c r="O99" i="111"/>
  <c r="L97" i="111"/>
  <c r="I95" i="111"/>
  <c r="F93" i="111"/>
  <c r="W90" i="111"/>
  <c r="S88" i="111"/>
  <c r="P86" i="111"/>
  <c r="M84" i="111"/>
  <c r="J78" i="111"/>
  <c r="P76" i="111"/>
  <c r="E75" i="111"/>
  <c r="K73" i="111"/>
  <c r="T71" i="111"/>
  <c r="G70" i="111"/>
  <c r="O68" i="111"/>
  <c r="V66" i="111"/>
  <c r="K65" i="111"/>
  <c r="Q63" i="111"/>
  <c r="F62" i="111"/>
  <c r="L60" i="111"/>
  <c r="U58" i="111"/>
  <c r="G53" i="111"/>
  <c r="P51" i="111"/>
  <c r="W49" i="111"/>
  <c r="K48" i="111"/>
  <c r="R46" i="111"/>
  <c r="G45" i="111"/>
  <c r="M43" i="111"/>
  <c r="V41" i="111"/>
  <c r="H40" i="111"/>
  <c r="Q38" i="111"/>
  <c r="W36" i="111"/>
  <c r="L35" i="111"/>
  <c r="S33" i="111"/>
  <c r="G28" i="111"/>
  <c r="N26" i="111"/>
  <c r="W24" i="111"/>
  <c r="I23" i="111"/>
  <c r="R21" i="111"/>
  <c r="D20" i="111"/>
  <c r="M18" i="111"/>
  <c r="S16" i="111"/>
  <c r="H15" i="111"/>
  <c r="O13" i="111"/>
  <c r="W11" i="111"/>
  <c r="J10" i="111"/>
  <c r="S8" i="111"/>
  <c r="Q103" i="108"/>
  <c r="S102" i="108"/>
  <c r="U101" i="108"/>
  <c r="W100" i="108"/>
  <c r="E100" i="108"/>
  <c r="G99" i="108"/>
  <c r="I98" i="108"/>
  <c r="K97" i="108"/>
  <c r="M96" i="108"/>
  <c r="O95" i="108"/>
  <c r="Q94" i="108"/>
  <c r="S93" i="108"/>
  <c r="U92" i="108"/>
  <c r="W91" i="108"/>
  <c r="E91" i="108"/>
  <c r="G90" i="108"/>
  <c r="I89" i="108"/>
  <c r="K88" i="108"/>
  <c r="M87" i="108"/>
  <c r="O86" i="108"/>
  <c r="Q85" i="108"/>
  <c r="S84" i="108"/>
  <c r="U83" i="108"/>
  <c r="I83" i="108"/>
  <c r="M78" i="108"/>
  <c r="U77" i="108"/>
  <c r="G77" i="108"/>
  <c r="O76" i="108"/>
  <c r="S75" i="108"/>
  <c r="G75" i="108"/>
  <c r="M74" i="108"/>
  <c r="U73" i="108"/>
  <c r="E73" i="108"/>
  <c r="M72" i="108"/>
  <c r="S71" i="108"/>
  <c r="G71" i="108"/>
  <c r="K70" i="108"/>
  <c r="S69" i="108"/>
  <c r="E69" i="108"/>
  <c r="M68" i="108"/>
  <c r="Q67" i="108"/>
  <c r="E67" i="108"/>
  <c r="K66" i="108"/>
  <c r="S65" i="108"/>
  <c r="W64" i="108"/>
  <c r="K64" i="108"/>
  <c r="Q63" i="108"/>
  <c r="E63" i="108"/>
  <c r="I62" i="108"/>
  <c r="Q61" i="108"/>
  <c r="W60" i="108"/>
  <c r="K60" i="108"/>
  <c r="O59" i="108"/>
  <c r="W58" i="108"/>
  <c r="I58" i="108"/>
  <c r="Q53" i="108"/>
  <c r="U52" i="108"/>
  <c r="I52" i="108"/>
  <c r="O51" i="108"/>
  <c r="W50" i="108"/>
  <c r="G50" i="108"/>
  <c r="O49" i="108"/>
  <c r="U48" i="108"/>
  <c r="I48" i="108"/>
  <c r="M47" i="108"/>
  <c r="U46" i="108"/>
  <c r="G46" i="108"/>
  <c r="O45" i="108"/>
  <c r="S44" i="108"/>
  <c r="G44" i="108"/>
  <c r="M43" i="108"/>
  <c r="U42" i="108"/>
  <c r="E42" i="108"/>
  <c r="M41" i="108"/>
  <c r="S40" i="108"/>
  <c r="G40" i="108"/>
  <c r="K39" i="108"/>
  <c r="S38" i="108"/>
  <c r="E38" i="108"/>
  <c r="M37" i="108"/>
  <c r="Q36" i="108"/>
  <c r="E36" i="108"/>
  <c r="K35" i="108"/>
  <c r="S34" i="108"/>
  <c r="W33" i="108"/>
  <c r="K33" i="108"/>
  <c r="Q28" i="108"/>
  <c r="E28" i="108"/>
  <c r="I27" i="108"/>
  <c r="Q26" i="108"/>
  <c r="W25" i="108"/>
  <c r="K25" i="108"/>
  <c r="O24" i="108"/>
  <c r="W23" i="108"/>
  <c r="I23" i="108"/>
  <c r="Q22" i="108"/>
  <c r="U21" i="108"/>
  <c r="I21" i="108"/>
  <c r="O20" i="108"/>
  <c r="W19" i="108"/>
  <c r="G19" i="108"/>
  <c r="O18" i="108"/>
  <c r="U17" i="108"/>
  <c r="I17" i="108"/>
  <c r="M16" i="108"/>
  <c r="U15" i="108"/>
  <c r="G15" i="108"/>
  <c r="O14" i="108"/>
  <c r="S13" i="108"/>
  <c r="G13" i="108"/>
  <c r="M12" i="108"/>
  <c r="U11" i="108"/>
  <c r="E11" i="108"/>
  <c r="M10" i="108"/>
  <c r="S9" i="108"/>
  <c r="G9" i="108"/>
  <c r="K8" i="108"/>
  <c r="S103" i="107"/>
  <c r="E103" i="107"/>
  <c r="M102" i="107"/>
  <c r="Q101" i="107"/>
  <c r="E101" i="107"/>
  <c r="K100" i="107"/>
  <c r="S99" i="107"/>
  <c r="W98" i="107"/>
  <c r="K98" i="107"/>
  <c r="Q97" i="107"/>
  <c r="E97" i="107"/>
  <c r="I96" i="107"/>
  <c r="Q95" i="107"/>
  <c r="W94" i="107"/>
  <c r="K94" i="107"/>
  <c r="O93" i="107"/>
  <c r="W92" i="107"/>
  <c r="I92" i="107"/>
  <c r="Q91" i="107"/>
  <c r="U90" i="107"/>
  <c r="I90" i="107"/>
  <c r="O89" i="107"/>
  <c r="W88" i="107"/>
  <c r="G88" i="107"/>
  <c r="O87" i="107"/>
  <c r="U86" i="107"/>
  <c r="I86" i="107"/>
  <c r="M85" i="107"/>
  <c r="U84" i="107"/>
  <c r="G84" i="107"/>
  <c r="O83" i="107"/>
  <c r="S78" i="107"/>
  <c r="G78" i="107"/>
  <c r="N77" i="107"/>
  <c r="W76" i="107"/>
  <c r="N76" i="107"/>
  <c r="W75" i="107"/>
  <c r="L75" i="107"/>
  <c r="T74" i="107"/>
  <c r="I74" i="107"/>
  <c r="T73" i="107"/>
  <c r="I73" i="107"/>
  <c r="R72" i="107"/>
  <c r="F72" i="107"/>
  <c r="O71" i="107"/>
  <c r="F71" i="107"/>
  <c r="O70" i="107"/>
  <c r="D70" i="107"/>
  <c r="L69" i="107"/>
  <c r="U68" i="107"/>
  <c r="L68" i="107"/>
  <c r="U67" i="107"/>
  <c r="J67" i="107"/>
  <c r="R66" i="107"/>
  <c r="G66" i="107"/>
  <c r="R65" i="107"/>
  <c r="G65" i="107"/>
  <c r="P64" i="107"/>
  <c r="D64" i="107"/>
  <c r="M63" i="107"/>
  <c r="D63" i="107"/>
  <c r="M62" i="107"/>
  <c r="V61" i="107"/>
  <c r="J61" i="107"/>
  <c r="S60" i="107"/>
  <c r="J60" i="107"/>
  <c r="S59" i="107"/>
  <c r="H59" i="107"/>
  <c r="P58" i="107"/>
  <c r="E58" i="107"/>
  <c r="P53" i="107"/>
  <c r="E53" i="107"/>
  <c r="N52" i="107"/>
  <c r="V51" i="107"/>
  <c r="K51" i="107"/>
  <c r="V50" i="107"/>
  <c r="K50" i="107"/>
  <c r="T49" i="107"/>
  <c r="H49" i="107"/>
  <c r="Q48" i="107"/>
  <c r="H48" i="107"/>
  <c r="Q47" i="107"/>
  <c r="F47" i="107"/>
  <c r="N46" i="107"/>
  <c r="W45" i="107"/>
  <c r="N45" i="107"/>
  <c r="W44" i="107"/>
  <c r="L44" i="107"/>
  <c r="T43" i="107"/>
  <c r="I43" i="107"/>
  <c r="T42" i="107"/>
  <c r="I42" i="107"/>
  <c r="R41" i="107"/>
  <c r="F41" i="107"/>
  <c r="O40" i="107"/>
  <c r="F40" i="107"/>
  <c r="O39" i="107"/>
  <c r="D39" i="107"/>
  <c r="L38" i="107"/>
  <c r="U37" i="107"/>
  <c r="L37" i="107"/>
  <c r="U36" i="107"/>
  <c r="J36" i="107"/>
  <c r="R35" i="107"/>
  <c r="G35" i="107"/>
  <c r="R34" i="107"/>
  <c r="G34" i="107"/>
  <c r="P33" i="107"/>
  <c r="D33" i="107"/>
  <c r="M28" i="107"/>
  <c r="D28" i="107"/>
  <c r="M27" i="107"/>
  <c r="V26" i="107"/>
  <c r="J26" i="107"/>
  <c r="S25" i="107"/>
  <c r="J25" i="107"/>
  <c r="S24" i="107"/>
  <c r="H24" i="107"/>
  <c r="P23" i="107"/>
  <c r="E23" i="107"/>
  <c r="P22" i="107"/>
  <c r="E22" i="107"/>
  <c r="N21" i="107"/>
  <c r="V20" i="107"/>
  <c r="K20" i="107"/>
  <c r="V19" i="107"/>
  <c r="K19" i="107"/>
  <c r="T18" i="107"/>
  <c r="H18" i="107"/>
  <c r="Q17" i="107"/>
  <c r="H17" i="107"/>
  <c r="Q16" i="107"/>
  <c r="F16" i="107"/>
  <c r="N15" i="107"/>
  <c r="W14" i="107"/>
  <c r="N14" i="107"/>
  <c r="W13" i="107"/>
  <c r="L13" i="107"/>
  <c r="T12" i="107"/>
  <c r="I12" i="107"/>
  <c r="T11" i="107"/>
  <c r="I11" i="107"/>
  <c r="R10" i="107"/>
  <c r="F10" i="107"/>
  <c r="Q9" i="107"/>
  <c r="H9" i="107"/>
  <c r="T8" i="107"/>
  <c r="K8" i="107"/>
  <c r="U103" i="104"/>
  <c r="O103" i="104"/>
  <c r="I103" i="104"/>
  <c r="W102" i="104"/>
  <c r="Q102" i="104"/>
  <c r="K102" i="104"/>
  <c r="E102" i="104"/>
  <c r="S101" i="104"/>
  <c r="M101" i="104"/>
  <c r="G101" i="104"/>
  <c r="U100" i="104"/>
  <c r="O100" i="104"/>
  <c r="I100" i="104"/>
  <c r="W99" i="104"/>
  <c r="Q99" i="104"/>
  <c r="K99" i="104"/>
  <c r="E99" i="104"/>
  <c r="S98" i="104"/>
  <c r="M98" i="104"/>
  <c r="G98" i="104"/>
  <c r="U97" i="104"/>
  <c r="O97" i="104"/>
  <c r="I97" i="104"/>
  <c r="W96" i="104"/>
  <c r="Q96" i="104"/>
  <c r="K96" i="104"/>
  <c r="E96" i="104"/>
  <c r="S95" i="104"/>
  <c r="M95" i="104"/>
  <c r="G95" i="104"/>
  <c r="U94" i="104"/>
  <c r="O94" i="104"/>
  <c r="I94" i="104"/>
  <c r="W93" i="104"/>
  <c r="Q93" i="104"/>
  <c r="K93" i="104"/>
  <c r="E93" i="104"/>
  <c r="S92" i="104"/>
  <c r="M92" i="104"/>
  <c r="G92" i="104"/>
  <c r="U91" i="104"/>
  <c r="O91" i="104"/>
  <c r="I91" i="104"/>
  <c r="W90" i="104"/>
  <c r="Q90" i="104"/>
  <c r="K90" i="104"/>
  <c r="E90" i="104"/>
  <c r="S89" i="104"/>
  <c r="M89" i="104"/>
  <c r="G89" i="104"/>
  <c r="U88" i="104"/>
  <c r="O88" i="104"/>
  <c r="I88" i="104"/>
  <c r="W87" i="104"/>
  <c r="Q87" i="104"/>
  <c r="K87" i="104"/>
  <c r="E87" i="104"/>
  <c r="S86" i="104"/>
  <c r="M86" i="104"/>
  <c r="G86" i="104"/>
  <c r="U85" i="104"/>
  <c r="O85" i="104"/>
  <c r="I85" i="104"/>
  <c r="W84" i="104"/>
  <c r="Q84" i="104"/>
  <c r="K84" i="104"/>
  <c r="E84" i="104"/>
  <c r="S83" i="104"/>
  <c r="M83" i="104"/>
  <c r="G83" i="104"/>
  <c r="U78" i="104"/>
  <c r="O78" i="104"/>
  <c r="I78" i="104"/>
  <c r="W77" i="104"/>
  <c r="Q77" i="104"/>
  <c r="K77" i="104"/>
  <c r="E77" i="104"/>
  <c r="S76" i="104"/>
  <c r="M76" i="104"/>
  <c r="G76" i="104"/>
  <c r="U75" i="104"/>
  <c r="O75" i="104"/>
  <c r="I75" i="104"/>
  <c r="W74" i="104"/>
  <c r="Q74" i="104"/>
  <c r="K74" i="104"/>
  <c r="E74" i="104"/>
  <c r="S73" i="104"/>
  <c r="M73" i="104"/>
  <c r="G73" i="104"/>
  <c r="U72" i="104"/>
  <c r="O72" i="104"/>
  <c r="I72" i="104"/>
  <c r="W71" i="104"/>
  <c r="Q71" i="104"/>
  <c r="K71" i="104"/>
  <c r="E71" i="104"/>
  <c r="S70" i="104"/>
  <c r="M70" i="104"/>
  <c r="G70" i="104"/>
  <c r="U69" i="104"/>
  <c r="O69" i="104"/>
  <c r="I69" i="104"/>
  <c r="W68" i="104"/>
  <c r="Q68" i="104"/>
  <c r="K68" i="104"/>
  <c r="E68" i="104"/>
  <c r="S67" i="104"/>
  <c r="M67" i="104"/>
  <c r="G67" i="104"/>
  <c r="U66" i="104"/>
  <c r="O66" i="104"/>
  <c r="I66" i="104"/>
  <c r="W65" i="104"/>
  <c r="Q65" i="104"/>
  <c r="K65" i="104"/>
  <c r="E65" i="104"/>
  <c r="S64" i="104"/>
  <c r="M64" i="104"/>
  <c r="G64" i="104"/>
  <c r="U63" i="104"/>
  <c r="O63" i="104"/>
  <c r="I63" i="104"/>
  <c r="W62" i="104"/>
  <c r="Q62" i="104"/>
  <c r="K62" i="104"/>
  <c r="E62" i="104"/>
  <c r="S61" i="104"/>
  <c r="M61" i="104"/>
  <c r="G61" i="104"/>
  <c r="U60" i="104"/>
  <c r="O60" i="104"/>
  <c r="I60" i="104"/>
  <c r="W59" i="104"/>
  <c r="Q59" i="104"/>
  <c r="K59" i="104"/>
  <c r="E59" i="104"/>
  <c r="S58" i="104"/>
  <c r="M58" i="104"/>
  <c r="G58" i="104"/>
  <c r="U53" i="104"/>
  <c r="O53" i="104"/>
  <c r="I53" i="104"/>
  <c r="W52" i="104"/>
  <c r="Q52" i="104"/>
  <c r="K52" i="104"/>
  <c r="E52" i="104"/>
  <c r="S51" i="104"/>
  <c r="M51" i="104"/>
  <c r="G51" i="104"/>
  <c r="U50" i="104"/>
  <c r="O50" i="104"/>
  <c r="I50" i="104"/>
  <c r="W49" i="104"/>
  <c r="Q49" i="104"/>
  <c r="K49" i="104"/>
  <c r="E49" i="104"/>
  <c r="S48" i="104"/>
  <c r="M48" i="104"/>
  <c r="G48" i="104"/>
  <c r="U47" i="104"/>
  <c r="O47" i="104"/>
  <c r="I47" i="104"/>
  <c r="W46" i="104"/>
  <c r="Q46" i="104"/>
  <c r="K46" i="104"/>
  <c r="E46" i="104"/>
  <c r="S45" i="104"/>
  <c r="M45" i="104"/>
  <c r="G45" i="104"/>
  <c r="U44" i="104"/>
  <c r="O44" i="104"/>
  <c r="I44" i="104"/>
  <c r="W43" i="104"/>
  <c r="Q43" i="104"/>
  <c r="K43" i="104"/>
  <c r="E43" i="104"/>
  <c r="S42" i="104"/>
  <c r="M42" i="104"/>
  <c r="G42" i="104"/>
  <c r="U41" i="104"/>
  <c r="O41" i="104"/>
  <c r="I41" i="104"/>
  <c r="W40" i="104"/>
  <c r="Q40" i="104"/>
  <c r="K40" i="104"/>
  <c r="E40" i="104"/>
  <c r="S39" i="104"/>
  <c r="M39" i="104"/>
  <c r="G39" i="104"/>
  <c r="U38" i="104"/>
  <c r="O38" i="104"/>
  <c r="I38" i="104"/>
  <c r="W37" i="104"/>
  <c r="Q37" i="104"/>
  <c r="K37" i="104"/>
  <c r="E37" i="104"/>
  <c r="S36" i="104"/>
  <c r="M36" i="104"/>
  <c r="G36" i="104"/>
  <c r="U35" i="104"/>
  <c r="O35" i="104"/>
  <c r="I35" i="104"/>
  <c r="W34" i="104"/>
  <c r="Q34" i="104"/>
  <c r="K34" i="104"/>
  <c r="E34" i="104"/>
  <c r="S33" i="104"/>
  <c r="M33" i="104"/>
  <c r="G33" i="104"/>
  <c r="U28" i="104"/>
  <c r="O28" i="104"/>
  <c r="I28" i="104"/>
  <c r="W27" i="104"/>
  <c r="Q27" i="104"/>
  <c r="K27" i="104"/>
  <c r="E27" i="104"/>
  <c r="S26" i="104"/>
  <c r="M26" i="104"/>
  <c r="G26" i="104"/>
  <c r="U25" i="104"/>
  <c r="O25" i="104"/>
  <c r="I25" i="104"/>
  <c r="W24" i="104"/>
  <c r="Q24" i="104"/>
  <c r="K24" i="104"/>
  <c r="E24" i="104"/>
  <c r="S23" i="104"/>
  <c r="M23" i="104"/>
  <c r="G23" i="104"/>
  <c r="U22" i="104"/>
  <c r="O22" i="104"/>
  <c r="I22" i="104"/>
  <c r="W21" i="104"/>
  <c r="Q21" i="104"/>
  <c r="K21" i="104"/>
  <c r="E21" i="104"/>
  <c r="S20" i="104"/>
  <c r="M20" i="104"/>
  <c r="G20" i="104"/>
  <c r="U19" i="104"/>
  <c r="O19" i="104"/>
  <c r="I19" i="104"/>
  <c r="W18" i="104"/>
  <c r="Q18" i="104"/>
  <c r="K18" i="104"/>
  <c r="E18" i="104"/>
  <c r="S17" i="104"/>
  <c r="M17" i="104"/>
  <c r="G17" i="104"/>
  <c r="U16" i="104"/>
  <c r="O16" i="104"/>
  <c r="I16" i="104"/>
  <c r="W15" i="104"/>
  <c r="Q15" i="104"/>
  <c r="K15" i="104"/>
  <c r="E15" i="104"/>
  <c r="S14" i="104"/>
  <c r="M14" i="104"/>
  <c r="G14" i="104"/>
  <c r="U13" i="104"/>
  <c r="O13" i="104"/>
  <c r="I13" i="104"/>
  <c r="W12" i="104"/>
  <c r="Q12" i="104"/>
  <c r="K12" i="104"/>
  <c r="E12" i="104"/>
  <c r="S11" i="104"/>
  <c r="M11" i="104"/>
  <c r="G11" i="104"/>
  <c r="U10" i="104"/>
  <c r="O10" i="104"/>
  <c r="I10" i="104"/>
  <c r="W9" i="104"/>
  <c r="Q9" i="104"/>
  <c r="K9" i="104"/>
  <c r="E9" i="104"/>
  <c r="S8" i="104"/>
  <c r="M8" i="104"/>
  <c r="G8" i="104"/>
  <c r="U103" i="103"/>
  <c r="O103" i="103"/>
  <c r="I103" i="103"/>
  <c r="W102" i="103"/>
  <c r="Q102" i="103"/>
  <c r="K102" i="103"/>
  <c r="E102" i="103"/>
  <c r="S101" i="103"/>
  <c r="M101" i="103"/>
  <c r="G101" i="103"/>
  <c r="U100" i="103"/>
  <c r="O100" i="103"/>
  <c r="I100" i="103"/>
  <c r="W99" i="103"/>
  <c r="Q99" i="103"/>
  <c r="K99" i="103"/>
  <c r="E99" i="103"/>
  <c r="S98" i="103"/>
  <c r="M98" i="103"/>
  <c r="G98" i="103"/>
  <c r="U97" i="103"/>
  <c r="O97" i="103"/>
  <c r="I97" i="103"/>
  <c r="W96" i="103"/>
  <c r="Q96" i="103"/>
  <c r="K96" i="103"/>
  <c r="E96" i="103"/>
  <c r="S95" i="103"/>
  <c r="M95" i="103"/>
  <c r="G95" i="103"/>
  <c r="U94" i="103"/>
  <c r="O94" i="103"/>
  <c r="I94" i="103"/>
  <c r="W93" i="103"/>
  <c r="Q93" i="103"/>
  <c r="K93" i="103"/>
  <c r="E93" i="103"/>
  <c r="S92" i="103"/>
  <c r="M92" i="103"/>
  <c r="G92" i="103"/>
  <c r="U91" i="103"/>
  <c r="O91" i="103"/>
  <c r="I91" i="103"/>
  <c r="W90" i="103"/>
  <c r="Q90" i="103"/>
  <c r="K90" i="103"/>
  <c r="E90" i="103"/>
  <c r="S89" i="103"/>
  <c r="M89" i="103"/>
  <c r="G89" i="103"/>
  <c r="U88" i="103"/>
  <c r="O88" i="103"/>
  <c r="I88" i="103"/>
  <c r="W87" i="103"/>
  <c r="Q87" i="103"/>
  <c r="K87" i="103"/>
  <c r="E87" i="103"/>
  <c r="S86" i="103"/>
  <c r="M86" i="103"/>
  <c r="G86" i="103"/>
  <c r="U85" i="103"/>
  <c r="O85" i="103"/>
  <c r="I85" i="103"/>
  <c r="W84" i="103"/>
  <c r="Q84" i="103"/>
  <c r="K84" i="103"/>
  <c r="E84" i="103"/>
  <c r="S83" i="103"/>
  <c r="M83" i="103"/>
  <c r="G83" i="103"/>
  <c r="U78" i="103"/>
  <c r="O78" i="103"/>
  <c r="I78" i="103"/>
  <c r="W77" i="103"/>
  <c r="Q77" i="103"/>
  <c r="K77" i="103"/>
  <c r="E77" i="103"/>
  <c r="S76" i="103"/>
  <c r="M76" i="103"/>
  <c r="G76" i="103"/>
  <c r="U75" i="103"/>
  <c r="O75" i="103"/>
  <c r="I75" i="103"/>
  <c r="W74" i="103"/>
  <c r="Q74" i="103"/>
  <c r="K74" i="103"/>
  <c r="E74" i="103"/>
  <c r="S73" i="103"/>
  <c r="M73" i="103"/>
  <c r="G73" i="103"/>
  <c r="U72" i="103"/>
  <c r="O72" i="103"/>
  <c r="I72" i="103"/>
  <c r="W71" i="103"/>
  <c r="Q71" i="103"/>
  <c r="K71" i="103"/>
  <c r="E71" i="103"/>
  <c r="S70" i="103"/>
  <c r="M70" i="103"/>
  <c r="G70" i="103"/>
  <c r="U69" i="103"/>
  <c r="O69" i="103"/>
  <c r="I69" i="103"/>
  <c r="W68" i="103"/>
  <c r="Q68" i="103"/>
  <c r="K68" i="103"/>
  <c r="E68" i="103"/>
  <c r="S67" i="103"/>
  <c r="M67" i="103"/>
  <c r="G67" i="103"/>
  <c r="U66" i="103"/>
  <c r="O66" i="103"/>
  <c r="I66" i="103"/>
  <c r="W65" i="103"/>
  <c r="Q65" i="103"/>
  <c r="K65" i="103"/>
  <c r="E65" i="103"/>
  <c r="S64" i="103"/>
  <c r="M64" i="103"/>
  <c r="G64" i="103"/>
  <c r="U63" i="103"/>
  <c r="O63" i="103"/>
  <c r="I63" i="103"/>
  <c r="W62" i="103"/>
  <c r="Q62" i="103"/>
  <c r="K62" i="103"/>
  <c r="E62" i="103"/>
  <c r="S61" i="103"/>
  <c r="M61" i="103"/>
  <c r="G61" i="103"/>
  <c r="U60" i="103"/>
  <c r="O60" i="103"/>
  <c r="I60" i="103"/>
  <c r="W59" i="103"/>
  <c r="Q59" i="103"/>
  <c r="K59" i="103"/>
  <c r="E59" i="103"/>
  <c r="S58" i="103"/>
  <c r="M58" i="103"/>
  <c r="G58" i="103"/>
  <c r="U53" i="103"/>
  <c r="O53" i="103"/>
  <c r="I53" i="103"/>
  <c r="W52" i="103"/>
  <c r="Q52" i="103"/>
  <c r="K52" i="103"/>
  <c r="E52" i="103"/>
  <c r="S51" i="103"/>
  <c r="M51" i="103"/>
  <c r="G51" i="103"/>
  <c r="U50" i="103"/>
  <c r="O50" i="103"/>
  <c r="I50" i="103"/>
  <c r="W49" i="103"/>
  <c r="Q49" i="103"/>
  <c r="K49" i="103"/>
  <c r="E49" i="103"/>
  <c r="S48" i="103"/>
  <c r="M48" i="103"/>
  <c r="G48" i="103"/>
  <c r="U47" i="103"/>
  <c r="O47" i="103"/>
  <c r="I47" i="103"/>
  <c r="W46" i="103"/>
  <c r="Q46" i="103"/>
  <c r="K46" i="103"/>
  <c r="E46" i="103"/>
  <c r="S45" i="103"/>
  <c r="M45" i="103"/>
  <c r="G45" i="103"/>
  <c r="U44" i="103"/>
  <c r="O44" i="103"/>
  <c r="I44" i="103"/>
  <c r="W43" i="103"/>
  <c r="Q43" i="103"/>
  <c r="K43" i="103"/>
  <c r="E43" i="103"/>
  <c r="S42" i="103"/>
  <c r="M42" i="103"/>
  <c r="G42" i="103"/>
  <c r="U41" i="103"/>
  <c r="O41" i="103"/>
  <c r="I41" i="103"/>
  <c r="W40" i="103"/>
  <c r="Q40" i="103"/>
  <c r="K40" i="103"/>
  <c r="E40" i="103"/>
  <c r="S39" i="103"/>
  <c r="M39" i="103"/>
  <c r="G39" i="103"/>
  <c r="U38" i="103"/>
  <c r="O38" i="103"/>
  <c r="I38" i="103"/>
  <c r="W37" i="103"/>
  <c r="Q37" i="103"/>
  <c r="K37" i="103"/>
  <c r="E37" i="103"/>
  <c r="S36" i="103"/>
  <c r="M36" i="103"/>
  <c r="G36" i="103"/>
  <c r="U35" i="103"/>
  <c r="O35" i="103"/>
  <c r="I35" i="103"/>
  <c r="W34" i="103"/>
  <c r="Q34" i="103"/>
  <c r="K34" i="103"/>
  <c r="E34" i="103"/>
  <c r="S33" i="103"/>
  <c r="M33" i="103"/>
  <c r="G33" i="103"/>
  <c r="U28" i="103"/>
  <c r="O28" i="103"/>
  <c r="I28" i="103"/>
  <c r="W27" i="103"/>
  <c r="Q27" i="103"/>
  <c r="K27" i="103"/>
  <c r="E27" i="103"/>
  <c r="S26" i="103"/>
  <c r="M26" i="103"/>
  <c r="G26" i="103"/>
  <c r="U25" i="103"/>
  <c r="O25" i="103"/>
  <c r="I25" i="103"/>
  <c r="W24" i="103"/>
  <c r="Q24" i="103"/>
  <c r="K24" i="103"/>
  <c r="E24" i="103"/>
  <c r="S23" i="103"/>
  <c r="M23" i="103"/>
  <c r="G23" i="103"/>
  <c r="U22" i="103"/>
  <c r="O22" i="103"/>
  <c r="I22" i="103"/>
  <c r="W21" i="103"/>
  <c r="Q21" i="103"/>
  <c r="K21" i="103"/>
  <c r="E21" i="103"/>
  <c r="S20" i="103"/>
  <c r="M20" i="103"/>
  <c r="G20" i="103"/>
  <c r="U19" i="103"/>
  <c r="O19" i="103"/>
  <c r="I19" i="103"/>
  <c r="W18" i="103"/>
  <c r="Q18" i="103"/>
  <c r="K18" i="103"/>
  <c r="E18" i="103"/>
  <c r="S17" i="103"/>
  <c r="M17" i="103"/>
  <c r="G17" i="103"/>
  <c r="U16" i="103"/>
  <c r="O16" i="103"/>
  <c r="I16" i="103"/>
  <c r="W15" i="103"/>
  <c r="Q15" i="103"/>
  <c r="K15" i="103"/>
  <c r="E15" i="103"/>
  <c r="S14" i="103"/>
  <c r="M14" i="103"/>
  <c r="G14" i="103"/>
  <c r="U13" i="103"/>
  <c r="O13" i="103"/>
  <c r="I13" i="103"/>
  <c r="W12" i="103"/>
  <c r="Q12" i="103"/>
  <c r="K12" i="103"/>
  <c r="E12" i="103"/>
  <c r="S11" i="103"/>
  <c r="M11" i="103"/>
  <c r="G11" i="103"/>
  <c r="U10" i="103"/>
  <c r="O10" i="103"/>
  <c r="I10" i="103"/>
  <c r="W9" i="103"/>
  <c r="Q9" i="103"/>
  <c r="K9" i="103"/>
  <c r="E9" i="103"/>
  <c r="S8" i="103"/>
  <c r="M8" i="103"/>
  <c r="G8" i="103"/>
  <c r="U103" i="111"/>
  <c r="Q101" i="111"/>
  <c r="N99" i="111"/>
  <c r="K97" i="111"/>
  <c r="H95" i="111"/>
  <c r="E93" i="111"/>
  <c r="U90" i="111"/>
  <c r="R88" i="111"/>
  <c r="O86" i="111"/>
  <c r="L84" i="111"/>
  <c r="I78" i="111"/>
  <c r="O76" i="111"/>
  <c r="D75" i="111"/>
  <c r="J73" i="111"/>
  <c r="S71" i="111"/>
  <c r="E70" i="111"/>
  <c r="N68" i="111"/>
  <c r="U66" i="111"/>
  <c r="I65" i="111"/>
  <c r="P63" i="111"/>
  <c r="E62" i="111"/>
  <c r="K60" i="111"/>
  <c r="T58" i="111"/>
  <c r="F53" i="111"/>
  <c r="O51" i="111"/>
  <c r="U49" i="111"/>
  <c r="J48" i="111"/>
  <c r="Q46" i="111"/>
  <c r="E45" i="111"/>
  <c r="L43" i="111"/>
  <c r="U41" i="111"/>
  <c r="G40" i="111"/>
  <c r="P38" i="111"/>
  <c r="V36" i="111"/>
  <c r="K35" i="111"/>
  <c r="Q33" i="111"/>
  <c r="F28" i="111"/>
  <c r="M26" i="111"/>
  <c r="U24" i="111"/>
  <c r="H23" i="111"/>
  <c r="Q21" i="111"/>
  <c r="W19" i="111"/>
  <c r="L18" i="111"/>
  <c r="R16" i="111"/>
  <c r="G15" i="111"/>
  <c r="M13" i="111"/>
  <c r="V11" i="111"/>
  <c r="I10" i="111"/>
  <c r="Q8" i="111"/>
  <c r="P103" i="108"/>
  <c r="R102" i="108"/>
  <c r="T101" i="108"/>
  <c r="V100" i="108"/>
  <c r="D100" i="108"/>
  <c r="F99" i="108"/>
  <c r="H98" i="108"/>
  <c r="J97" i="108"/>
  <c r="L96" i="108"/>
  <c r="N95" i="108"/>
  <c r="P94" i="108"/>
  <c r="R93" i="108"/>
  <c r="T92" i="108"/>
  <c r="V91" i="108"/>
  <c r="D91" i="108"/>
  <c r="F90" i="108"/>
  <c r="H89" i="108"/>
  <c r="J88" i="108"/>
  <c r="L87" i="108"/>
  <c r="N86" i="108"/>
  <c r="P85" i="108"/>
  <c r="R84" i="108"/>
  <c r="T83" i="108"/>
  <c r="D83" i="108"/>
  <c r="L78" i="108"/>
  <c r="R77" i="108"/>
  <c r="F77" i="108"/>
  <c r="J76" i="108"/>
  <c r="R75" i="108"/>
  <c r="D75" i="108"/>
  <c r="L74" i="108"/>
  <c r="P73" i="108"/>
  <c r="D73" i="108"/>
  <c r="J72" i="108"/>
  <c r="R71" i="108"/>
  <c r="V70" i="108"/>
  <c r="J70" i="108"/>
  <c r="P69" i="108"/>
  <c r="D69" i="108"/>
  <c r="H68" i="108"/>
  <c r="P67" i="108"/>
  <c r="V66" i="108"/>
  <c r="J66" i="108"/>
  <c r="N65" i="108"/>
  <c r="V64" i="108"/>
  <c r="H64" i="108"/>
  <c r="P63" i="108"/>
  <c r="T62" i="108"/>
  <c r="H62" i="108"/>
  <c r="N61" i="108"/>
  <c r="V60" i="108"/>
  <c r="F60" i="108"/>
  <c r="N59" i="108"/>
  <c r="T58" i="108"/>
  <c r="H58" i="108"/>
  <c r="L53" i="108"/>
  <c r="T52" i="108"/>
  <c r="F52" i="108"/>
  <c r="N51" i="108"/>
  <c r="R50" i="108"/>
  <c r="F50" i="108"/>
  <c r="L49" i="108"/>
  <c r="T48" i="108"/>
  <c r="D48" i="108"/>
  <c r="L47" i="108"/>
  <c r="R46" i="108"/>
  <c r="F46" i="108"/>
  <c r="J45" i="108"/>
  <c r="R44" i="108"/>
  <c r="D44" i="108"/>
  <c r="L43" i="108"/>
  <c r="P42" i="108"/>
  <c r="D42" i="108"/>
  <c r="J41" i="108"/>
  <c r="R40" i="108"/>
  <c r="V39" i="108"/>
  <c r="J39" i="108"/>
  <c r="P38" i="108"/>
  <c r="D38" i="108"/>
  <c r="H37" i="108"/>
  <c r="P36" i="108"/>
  <c r="V35" i="108"/>
  <c r="J35" i="108"/>
  <c r="N34" i="108"/>
  <c r="V33" i="108"/>
  <c r="H33" i="108"/>
  <c r="P28" i="108"/>
  <c r="T27" i="108"/>
  <c r="H27" i="108"/>
  <c r="N26" i="108"/>
  <c r="V25" i="108"/>
  <c r="F25" i="108"/>
  <c r="N24" i="108"/>
  <c r="T23" i="108"/>
  <c r="H23" i="108"/>
  <c r="L22" i="108"/>
  <c r="T21" i="108"/>
  <c r="F21" i="108"/>
  <c r="N20" i="108"/>
  <c r="R19" i="108"/>
  <c r="F19" i="108"/>
  <c r="L18" i="108"/>
  <c r="T17" i="108"/>
  <c r="D17" i="108"/>
  <c r="L16" i="108"/>
  <c r="R15" i="108"/>
  <c r="F15" i="108"/>
  <c r="J14" i="108"/>
  <c r="R13" i="108"/>
  <c r="D13" i="108"/>
  <c r="L12" i="108"/>
  <c r="P11" i="108"/>
  <c r="D11" i="108"/>
  <c r="J10" i="108"/>
  <c r="R9" i="108"/>
  <c r="V8" i="108"/>
  <c r="J8" i="108"/>
  <c r="P103" i="107"/>
  <c r="D103" i="107"/>
  <c r="H102" i="107"/>
  <c r="P101" i="107"/>
  <c r="V100" i="107"/>
  <c r="J100" i="107"/>
  <c r="N99" i="107"/>
  <c r="V98" i="107"/>
  <c r="H98" i="107"/>
  <c r="P97" i="107"/>
  <c r="T96" i="107"/>
  <c r="H96" i="107"/>
  <c r="N95" i="107"/>
  <c r="V94" i="107"/>
  <c r="F94" i="107"/>
  <c r="N93" i="107"/>
  <c r="T92" i="107"/>
  <c r="H92" i="107"/>
  <c r="L91" i="107"/>
  <c r="T90" i="107"/>
  <c r="F90" i="107"/>
  <c r="N89" i="107"/>
  <c r="R88" i="107"/>
  <c r="F88" i="107"/>
  <c r="L87" i="107"/>
  <c r="T86" i="107"/>
  <c r="D86" i="107"/>
  <c r="L85" i="107"/>
  <c r="R84" i="107"/>
  <c r="F84" i="107"/>
  <c r="J83" i="107"/>
  <c r="R78" i="107"/>
  <c r="D78" i="107"/>
  <c r="M77" i="107"/>
  <c r="V76" i="107"/>
  <c r="K76" i="107"/>
  <c r="V75" i="107"/>
  <c r="J75" i="107"/>
  <c r="S74" i="107"/>
  <c r="H74" i="107"/>
  <c r="Q73" i="107"/>
  <c r="H73" i="107"/>
  <c r="P72" i="107"/>
  <c r="E72" i="107"/>
  <c r="N71" i="107"/>
  <c r="W70" i="107"/>
  <c r="N70" i="107"/>
  <c r="V69" i="107"/>
  <c r="K69" i="107"/>
  <c r="T68" i="107"/>
  <c r="I68" i="107"/>
  <c r="T67" i="107"/>
  <c r="H67" i="107"/>
  <c r="Q66" i="107"/>
  <c r="F66" i="107"/>
  <c r="O65" i="107"/>
  <c r="F65" i="107"/>
  <c r="N64" i="107"/>
  <c r="W63" i="107"/>
  <c r="L63" i="107"/>
  <c r="U62" i="107"/>
  <c r="L62" i="107"/>
  <c r="T61" i="107"/>
  <c r="I61" i="107"/>
  <c r="R60" i="107"/>
  <c r="G60" i="107"/>
  <c r="R59" i="107"/>
  <c r="F59" i="107"/>
  <c r="O58" i="107"/>
  <c r="D58" i="107"/>
  <c r="M53" i="107"/>
  <c r="D53" i="107"/>
  <c r="L52" i="107"/>
  <c r="U51" i="107"/>
  <c r="J51" i="107"/>
  <c r="S50" i="107"/>
  <c r="J50" i="107"/>
  <c r="R49" i="107"/>
  <c r="G49" i="107"/>
  <c r="P48" i="107"/>
  <c r="E48" i="107"/>
  <c r="P47" i="107"/>
  <c r="D47" i="107"/>
  <c r="M46" i="107"/>
  <c r="V45" i="107"/>
  <c r="K45" i="107"/>
  <c r="V44" i="107"/>
  <c r="J44" i="107"/>
  <c r="S43" i="107"/>
  <c r="H43" i="107"/>
  <c r="Q42" i="107"/>
  <c r="H42" i="107"/>
  <c r="P41" i="107"/>
  <c r="E41" i="107"/>
  <c r="N40" i="107"/>
  <c r="W39" i="107"/>
  <c r="N39" i="107"/>
  <c r="V38" i="107"/>
  <c r="K38" i="107"/>
  <c r="T37" i="107"/>
  <c r="I37" i="107"/>
  <c r="T36" i="107"/>
  <c r="H36" i="107"/>
  <c r="Q35" i="107"/>
  <c r="F35" i="107"/>
  <c r="O34" i="107"/>
  <c r="F34" i="107"/>
  <c r="N33" i="107"/>
  <c r="W28" i="107"/>
  <c r="L28" i="107"/>
  <c r="U27" i="107"/>
  <c r="L27" i="107"/>
  <c r="T26" i="107"/>
  <c r="I26" i="107"/>
  <c r="R25" i="107"/>
  <c r="G25" i="107"/>
  <c r="R24" i="107"/>
  <c r="F24" i="107"/>
  <c r="O23" i="107"/>
  <c r="D23" i="107"/>
  <c r="M22" i="107"/>
  <c r="D22" i="107"/>
  <c r="L21" i="107"/>
  <c r="U20" i="107"/>
  <c r="J20" i="107"/>
  <c r="S19" i="107"/>
  <c r="J19" i="107"/>
  <c r="R18" i="107"/>
  <c r="G18" i="107"/>
  <c r="P17" i="107"/>
  <c r="E17" i="107"/>
  <c r="P16" i="107"/>
  <c r="D16" i="107"/>
  <c r="M15" i="107"/>
  <c r="V14" i="107"/>
  <c r="K14" i="107"/>
  <c r="V13" i="107"/>
  <c r="J13" i="107"/>
  <c r="S12" i="107"/>
  <c r="H12" i="107"/>
  <c r="Q11" i="107"/>
  <c r="H11" i="107"/>
  <c r="P10" i="107"/>
  <c r="E10" i="107"/>
  <c r="O9" i="107"/>
  <c r="G9" i="107"/>
  <c r="S8" i="107"/>
  <c r="I8" i="107"/>
  <c r="T103" i="104"/>
  <c r="N103" i="104"/>
  <c r="H103" i="104"/>
  <c r="V102" i="104"/>
  <c r="P102" i="104"/>
  <c r="J102" i="104"/>
  <c r="D102" i="104"/>
  <c r="R101" i="104"/>
  <c r="L101" i="104"/>
  <c r="F101" i="104"/>
  <c r="T100" i="104"/>
  <c r="N100" i="104"/>
  <c r="H100" i="104"/>
  <c r="V99" i="104"/>
  <c r="P99" i="104"/>
  <c r="J99" i="104"/>
  <c r="D99" i="104"/>
  <c r="R98" i="104"/>
  <c r="L98" i="104"/>
  <c r="F98" i="104"/>
  <c r="T97" i="104"/>
  <c r="N97" i="104"/>
  <c r="H97" i="104"/>
  <c r="V96" i="104"/>
  <c r="P96" i="104"/>
  <c r="J96" i="104"/>
  <c r="D96" i="104"/>
  <c r="R95" i="104"/>
  <c r="L95" i="104"/>
  <c r="F95" i="104"/>
  <c r="T94" i="104"/>
  <c r="N94" i="104"/>
  <c r="H94" i="104"/>
  <c r="V93" i="104"/>
  <c r="P93" i="104"/>
  <c r="J93" i="104"/>
  <c r="D93" i="104"/>
  <c r="R92" i="104"/>
  <c r="L92" i="104"/>
  <c r="F92" i="104"/>
  <c r="T91" i="104"/>
  <c r="N91" i="104"/>
  <c r="H91" i="104"/>
  <c r="V90" i="104"/>
  <c r="P90" i="104"/>
  <c r="J90" i="104"/>
  <c r="D90" i="104"/>
  <c r="R89" i="104"/>
  <c r="L89" i="104"/>
  <c r="F89" i="104"/>
  <c r="T88" i="104"/>
  <c r="N88" i="104"/>
  <c r="H88" i="104"/>
  <c r="V87" i="104"/>
  <c r="P87" i="104"/>
  <c r="J87" i="104"/>
  <c r="D87" i="104"/>
  <c r="R86" i="104"/>
  <c r="L86" i="104"/>
  <c r="F86" i="104"/>
  <c r="T85" i="104"/>
  <c r="N85" i="104"/>
  <c r="H85" i="104"/>
  <c r="V84" i="104"/>
  <c r="P84" i="104"/>
  <c r="J84" i="104"/>
  <c r="D84" i="104"/>
  <c r="R83" i="104"/>
  <c r="L83" i="104"/>
  <c r="F83" i="104"/>
  <c r="T78" i="104"/>
  <c r="N78" i="104"/>
  <c r="H78" i="104"/>
  <c r="V77" i="104"/>
  <c r="P77" i="104"/>
  <c r="J77" i="104"/>
  <c r="D77" i="104"/>
  <c r="R76" i="104"/>
  <c r="L76" i="104"/>
  <c r="F76" i="104"/>
  <c r="T75" i="104"/>
  <c r="N75" i="104"/>
  <c r="H75" i="104"/>
  <c r="V74" i="104"/>
  <c r="P74" i="104"/>
  <c r="J74" i="104"/>
  <c r="D74" i="104"/>
  <c r="R73" i="104"/>
  <c r="L73" i="104"/>
  <c r="F73" i="104"/>
  <c r="T72" i="104"/>
  <c r="N72" i="104"/>
  <c r="H72" i="104"/>
  <c r="V71" i="104"/>
  <c r="P71" i="104"/>
  <c r="J71" i="104"/>
  <c r="D71" i="104"/>
  <c r="R70" i="104"/>
  <c r="L70" i="104"/>
  <c r="F70" i="104"/>
  <c r="T69" i="104"/>
  <c r="N69" i="104"/>
  <c r="H69" i="104"/>
  <c r="V68" i="104"/>
  <c r="P68" i="104"/>
  <c r="J68" i="104"/>
  <c r="D68" i="104"/>
  <c r="R67" i="104"/>
  <c r="L67" i="104"/>
  <c r="F67" i="104"/>
  <c r="T66" i="104"/>
  <c r="N66" i="104"/>
  <c r="H66" i="104"/>
  <c r="V65" i="104"/>
  <c r="P65" i="104"/>
  <c r="J65" i="104"/>
  <c r="D65" i="104"/>
  <c r="R64" i="104"/>
  <c r="L64" i="104"/>
  <c r="F64" i="104"/>
  <c r="T63" i="104"/>
  <c r="N63" i="104"/>
  <c r="H63" i="104"/>
  <c r="V62" i="104"/>
  <c r="P62" i="104"/>
  <c r="J62" i="104"/>
  <c r="D62" i="104"/>
  <c r="R61" i="104"/>
  <c r="L61" i="104"/>
  <c r="F61" i="104"/>
  <c r="T60" i="104"/>
  <c r="N60" i="104"/>
  <c r="H60" i="104"/>
  <c r="V59" i="104"/>
  <c r="P59" i="104"/>
  <c r="J59" i="104"/>
  <c r="D59" i="104"/>
  <c r="R58" i="104"/>
  <c r="L58" i="104"/>
  <c r="F58" i="104"/>
  <c r="T53" i="104"/>
  <c r="N53" i="104"/>
  <c r="H53" i="104"/>
  <c r="V52" i="104"/>
  <c r="P52" i="104"/>
  <c r="J52" i="104"/>
  <c r="D52" i="104"/>
  <c r="R51" i="104"/>
  <c r="L51" i="104"/>
  <c r="F51" i="104"/>
  <c r="T50" i="104"/>
  <c r="N50" i="104"/>
  <c r="H50" i="104"/>
  <c r="V49" i="104"/>
  <c r="P49" i="104"/>
  <c r="J49" i="104"/>
  <c r="D49" i="104"/>
  <c r="R48" i="104"/>
  <c r="L48" i="104"/>
  <c r="F48" i="104"/>
  <c r="T47" i="104"/>
  <c r="N47" i="104"/>
  <c r="H47" i="104"/>
  <c r="V46" i="104"/>
  <c r="P46" i="104"/>
  <c r="J46" i="104"/>
  <c r="D46" i="104"/>
  <c r="R45" i="104"/>
  <c r="L45" i="104"/>
  <c r="F45" i="104"/>
  <c r="T44" i="104"/>
  <c r="N44" i="104"/>
  <c r="H44" i="104"/>
  <c r="V43" i="104"/>
  <c r="P43" i="104"/>
  <c r="J43" i="104"/>
  <c r="D43" i="104"/>
  <c r="R42" i="104"/>
  <c r="L42" i="104"/>
  <c r="F42" i="104"/>
  <c r="T41" i="104"/>
  <c r="N41" i="104"/>
  <c r="H41" i="104"/>
  <c r="V40" i="104"/>
  <c r="P40" i="104"/>
  <c r="J40" i="104"/>
  <c r="D40" i="104"/>
  <c r="R39" i="104"/>
  <c r="L39" i="104"/>
  <c r="F39" i="104"/>
  <c r="T38" i="104"/>
  <c r="N38" i="104"/>
  <c r="H38" i="104"/>
  <c r="V37" i="104"/>
  <c r="P37" i="104"/>
  <c r="J37" i="104"/>
  <c r="D37" i="104"/>
  <c r="R36" i="104"/>
  <c r="L36" i="104"/>
  <c r="F36" i="104"/>
  <c r="T35" i="104"/>
  <c r="N35" i="104"/>
  <c r="H35" i="104"/>
  <c r="V34" i="104"/>
  <c r="P34" i="104"/>
  <c r="J34" i="104"/>
  <c r="D34" i="104"/>
  <c r="R33" i="104"/>
  <c r="L33" i="104"/>
  <c r="F33" i="104"/>
  <c r="T28" i="104"/>
  <c r="N28" i="104"/>
  <c r="H28" i="104"/>
  <c r="V27" i="104"/>
  <c r="P27" i="104"/>
  <c r="J27" i="104"/>
  <c r="D27" i="104"/>
  <c r="R26" i="104"/>
  <c r="L26" i="104"/>
  <c r="F26" i="104"/>
  <c r="T25" i="104"/>
  <c r="N25" i="104"/>
  <c r="H25" i="104"/>
  <c r="V24" i="104"/>
  <c r="P24" i="104"/>
  <c r="J24" i="104"/>
  <c r="D24" i="104"/>
  <c r="R23" i="104"/>
  <c r="L23" i="104"/>
  <c r="F23" i="104"/>
  <c r="T22" i="104"/>
  <c r="N22" i="104"/>
  <c r="H22" i="104"/>
  <c r="V21" i="104"/>
  <c r="P21" i="104"/>
  <c r="J21" i="104"/>
  <c r="D21" i="104"/>
  <c r="R20" i="104"/>
  <c r="L20" i="104"/>
  <c r="F20" i="104"/>
  <c r="T19" i="104"/>
  <c r="N19" i="104"/>
  <c r="H19" i="104"/>
  <c r="V18" i="104"/>
  <c r="P18" i="104"/>
  <c r="J18" i="104"/>
  <c r="D18" i="104"/>
  <c r="R17" i="104"/>
  <c r="L17" i="104"/>
  <c r="F17" i="104"/>
  <c r="T16" i="104"/>
  <c r="N16" i="104"/>
  <c r="H16" i="104"/>
  <c r="V15" i="104"/>
  <c r="P15" i="104"/>
  <c r="J15" i="104"/>
  <c r="D15" i="104"/>
  <c r="R14" i="104"/>
  <c r="L14" i="104"/>
  <c r="F14" i="104"/>
  <c r="T13" i="104"/>
  <c r="N13" i="104"/>
  <c r="H13" i="104"/>
  <c r="V12" i="104"/>
  <c r="P12" i="104"/>
  <c r="J12" i="104"/>
  <c r="D12" i="104"/>
  <c r="R11" i="104"/>
  <c r="L11" i="104"/>
  <c r="F11" i="104"/>
  <c r="T10" i="104"/>
  <c r="N10" i="104"/>
  <c r="H10" i="104"/>
  <c r="V9" i="104"/>
  <c r="P9" i="104"/>
  <c r="J9" i="104"/>
  <c r="D9" i="104"/>
  <c r="R8" i="104"/>
  <c r="L8" i="104"/>
  <c r="F8" i="104"/>
  <c r="T103" i="103"/>
  <c r="N103" i="103"/>
  <c r="H103" i="103"/>
  <c r="V102" i="103"/>
  <c r="P102" i="103"/>
  <c r="J102" i="103"/>
  <c r="D102" i="103"/>
  <c r="R101" i="103"/>
  <c r="L101" i="103"/>
  <c r="F101" i="103"/>
  <c r="T100" i="103"/>
  <c r="N100" i="103"/>
  <c r="H100" i="103"/>
  <c r="V99" i="103"/>
  <c r="P99" i="103"/>
  <c r="J99" i="103"/>
  <c r="D99" i="103"/>
  <c r="R98" i="103"/>
  <c r="L98" i="103"/>
  <c r="F98" i="103"/>
  <c r="T97" i="103"/>
  <c r="N97" i="103"/>
  <c r="H97" i="103"/>
  <c r="V96" i="103"/>
  <c r="P96" i="103"/>
  <c r="J96" i="103"/>
  <c r="D96" i="103"/>
  <c r="R95" i="103"/>
  <c r="L95" i="103"/>
  <c r="F95" i="103"/>
  <c r="T94" i="103"/>
  <c r="N94" i="103"/>
  <c r="H94" i="103"/>
  <c r="V93" i="103"/>
  <c r="P93" i="103"/>
  <c r="J93" i="103"/>
  <c r="D93" i="103"/>
  <c r="R92" i="103"/>
  <c r="L92" i="103"/>
  <c r="F92" i="103"/>
  <c r="T91" i="103"/>
  <c r="N91" i="103"/>
  <c r="H91" i="103"/>
  <c r="V90" i="103"/>
  <c r="P90" i="103"/>
  <c r="J90" i="103"/>
  <c r="D90" i="103"/>
  <c r="R89" i="103"/>
  <c r="L89" i="103"/>
  <c r="F89" i="103"/>
  <c r="T88" i="103"/>
  <c r="N88" i="103"/>
  <c r="H88" i="103"/>
  <c r="V87" i="103"/>
  <c r="P87" i="103"/>
  <c r="J87" i="103"/>
  <c r="D87" i="103"/>
  <c r="R86" i="103"/>
  <c r="L86" i="103"/>
  <c r="F86" i="103"/>
  <c r="T85" i="103"/>
  <c r="N85" i="103"/>
  <c r="H85" i="103"/>
  <c r="V84" i="103"/>
  <c r="P84" i="103"/>
  <c r="J84" i="103"/>
  <c r="D84" i="103"/>
  <c r="R83" i="103"/>
  <c r="L83" i="103"/>
  <c r="F83" i="103"/>
  <c r="T78" i="103"/>
  <c r="N78" i="103"/>
  <c r="H78" i="103"/>
  <c r="V77" i="103"/>
  <c r="P77" i="103"/>
  <c r="J77" i="103"/>
  <c r="D77" i="103"/>
  <c r="R76" i="103"/>
  <c r="L76" i="103"/>
  <c r="F76" i="103"/>
  <c r="T75" i="103"/>
  <c r="N75" i="103"/>
  <c r="H75" i="103"/>
  <c r="V74" i="103"/>
  <c r="P74" i="103"/>
  <c r="J74" i="103"/>
  <c r="D74" i="103"/>
  <c r="R73" i="103"/>
  <c r="L73" i="103"/>
  <c r="F73" i="103"/>
  <c r="T72" i="103"/>
  <c r="N72" i="103"/>
  <c r="H72" i="103"/>
  <c r="V71" i="103"/>
  <c r="P71" i="103"/>
  <c r="J71" i="103"/>
  <c r="D71" i="103"/>
  <c r="R70" i="103"/>
  <c r="L70" i="103"/>
  <c r="F70" i="103"/>
  <c r="T69" i="103"/>
  <c r="N69" i="103"/>
  <c r="H69" i="103"/>
  <c r="V68" i="103"/>
  <c r="P68" i="103"/>
  <c r="J68" i="103"/>
  <c r="D68" i="103"/>
  <c r="R67" i="103"/>
  <c r="L67" i="103"/>
  <c r="F67" i="103"/>
  <c r="T66" i="103"/>
  <c r="N66" i="103"/>
  <c r="H66" i="103"/>
  <c r="V65" i="103"/>
  <c r="P65" i="103"/>
  <c r="J65" i="103"/>
  <c r="D65" i="103"/>
  <c r="R64" i="103"/>
  <c r="L64" i="103"/>
  <c r="F64" i="103"/>
  <c r="T63" i="103"/>
  <c r="N63" i="103"/>
  <c r="H63" i="103"/>
  <c r="V62" i="103"/>
  <c r="P62" i="103"/>
  <c r="J62" i="103"/>
  <c r="D62" i="103"/>
  <c r="R61" i="103"/>
  <c r="L61" i="103"/>
  <c r="F61" i="103"/>
  <c r="T60" i="103"/>
  <c r="N60" i="103"/>
  <c r="H60" i="103"/>
  <c r="V59" i="103"/>
  <c r="P59" i="103"/>
  <c r="J59" i="103"/>
  <c r="D59" i="103"/>
  <c r="R58" i="103"/>
  <c r="L58" i="103"/>
  <c r="F58" i="103"/>
  <c r="T53" i="103"/>
  <c r="N53" i="103"/>
  <c r="H53" i="103"/>
  <c r="V52" i="103"/>
  <c r="P52" i="103"/>
  <c r="J52" i="103"/>
  <c r="D52" i="103"/>
  <c r="R51" i="103"/>
  <c r="L51" i="103"/>
  <c r="F51" i="103"/>
  <c r="T50" i="103"/>
  <c r="N50" i="103"/>
  <c r="H50" i="103"/>
  <c r="V49" i="103"/>
  <c r="P49" i="103"/>
  <c r="J49" i="103"/>
  <c r="D49" i="103"/>
  <c r="R48" i="103"/>
  <c r="L48" i="103"/>
  <c r="F48" i="103"/>
  <c r="T47" i="103"/>
  <c r="N47" i="103"/>
  <c r="H47" i="103"/>
  <c r="V46" i="103"/>
  <c r="P46" i="103"/>
  <c r="J46" i="103"/>
  <c r="D46" i="103"/>
  <c r="R45" i="103"/>
  <c r="L45" i="103"/>
  <c r="F45" i="103"/>
  <c r="T44" i="103"/>
  <c r="N44" i="103"/>
  <c r="H44" i="103"/>
  <c r="V43" i="103"/>
  <c r="P43" i="103"/>
  <c r="J43" i="103"/>
  <c r="D43" i="103"/>
  <c r="R42" i="103"/>
  <c r="L42" i="103"/>
  <c r="F42" i="103"/>
  <c r="T41" i="103"/>
  <c r="N41" i="103"/>
  <c r="H41" i="103"/>
  <c r="V40" i="103"/>
  <c r="P40" i="103"/>
  <c r="J40" i="103"/>
  <c r="D40" i="103"/>
  <c r="R39" i="103"/>
  <c r="L39" i="103"/>
  <c r="F39" i="103"/>
  <c r="T38" i="103"/>
  <c r="N38" i="103"/>
  <c r="H38" i="103"/>
  <c r="V37" i="103"/>
  <c r="P37" i="103"/>
  <c r="J37" i="103"/>
  <c r="D37" i="103"/>
  <c r="R36" i="103"/>
  <c r="L36" i="103"/>
  <c r="F36" i="103"/>
  <c r="T35" i="103"/>
  <c r="N35" i="103"/>
  <c r="H35" i="103"/>
  <c r="V34" i="103"/>
  <c r="P34" i="103"/>
  <c r="J34" i="103"/>
  <c r="D34" i="103"/>
  <c r="R33" i="103"/>
  <c r="L33" i="103"/>
  <c r="F33" i="103"/>
  <c r="T28" i="103"/>
  <c r="N28" i="103"/>
  <c r="H28" i="103"/>
  <c r="V27" i="103"/>
  <c r="P27" i="103"/>
  <c r="J27" i="103"/>
  <c r="D27" i="103"/>
  <c r="R26" i="103"/>
  <c r="L26" i="103"/>
  <c r="F26" i="103"/>
  <c r="T25" i="103"/>
  <c r="N25" i="103"/>
  <c r="H25" i="103"/>
  <c r="V24" i="103"/>
  <c r="P24" i="103"/>
  <c r="J24" i="103"/>
  <c r="D24" i="103"/>
  <c r="R23" i="103"/>
  <c r="L23" i="103"/>
  <c r="F23" i="103"/>
  <c r="T22" i="103"/>
  <c r="N22" i="103"/>
  <c r="H22" i="103"/>
  <c r="V21" i="103"/>
  <c r="P21" i="103"/>
  <c r="J21" i="103"/>
  <c r="D21" i="103"/>
  <c r="R20" i="103"/>
  <c r="L20" i="103"/>
  <c r="F20" i="103"/>
  <c r="T19" i="103"/>
  <c r="N19" i="103"/>
  <c r="H19" i="103"/>
  <c r="V18" i="103"/>
  <c r="P18" i="103"/>
  <c r="J18" i="103"/>
  <c r="D18" i="103"/>
  <c r="R17" i="103"/>
  <c r="L17" i="103"/>
  <c r="F17" i="103"/>
  <c r="T16" i="103"/>
  <c r="N16" i="103"/>
  <c r="H16" i="103"/>
  <c r="V15" i="103"/>
  <c r="P15" i="103"/>
  <c r="J15" i="103"/>
  <c r="D15" i="103"/>
  <c r="R14" i="103"/>
  <c r="L14" i="103"/>
  <c r="F14" i="103"/>
  <c r="T13" i="103"/>
  <c r="N13" i="103"/>
  <c r="H13" i="103"/>
  <c r="V12" i="103"/>
  <c r="P12" i="103"/>
  <c r="J12" i="103"/>
  <c r="D12" i="103"/>
  <c r="R11" i="103"/>
  <c r="L11" i="103"/>
  <c r="F11" i="103"/>
  <c r="T10" i="103"/>
  <c r="N10" i="103"/>
  <c r="H10" i="103"/>
  <c r="V9" i="103"/>
  <c r="P9" i="103"/>
  <c r="J9" i="103"/>
  <c r="D9" i="103"/>
  <c r="R8" i="103"/>
  <c r="L8" i="103"/>
  <c r="F8" i="103"/>
  <c r="M103" i="111"/>
  <c r="J101" i="111"/>
  <c r="G99" i="111"/>
  <c r="D97" i="111"/>
  <c r="U94" i="111"/>
  <c r="Q92" i="111"/>
  <c r="N90" i="111"/>
  <c r="K88" i="111"/>
  <c r="H86" i="111"/>
  <c r="E84" i="111"/>
  <c r="W77" i="111"/>
  <c r="I76" i="111"/>
  <c r="R74" i="111"/>
  <c r="D73" i="111"/>
  <c r="M71" i="111"/>
  <c r="S69" i="111"/>
  <c r="H68" i="111"/>
  <c r="O66" i="111"/>
  <c r="W64" i="111"/>
  <c r="J63" i="111"/>
  <c r="S61" i="111"/>
  <c r="E60" i="111"/>
  <c r="N58" i="111"/>
  <c r="T52" i="111"/>
  <c r="I51" i="111"/>
  <c r="O49" i="111"/>
  <c r="D48" i="111"/>
  <c r="K46" i="111"/>
  <c r="S44" i="111"/>
  <c r="F43" i="111"/>
  <c r="O41" i="111"/>
  <c r="U39" i="111"/>
  <c r="J38" i="111"/>
  <c r="P36" i="111"/>
  <c r="E35" i="111"/>
  <c r="K33" i="111"/>
  <c r="T27" i="111"/>
  <c r="G26" i="111"/>
  <c r="O24" i="111"/>
  <c r="V22" i="111"/>
  <c r="K21" i="111"/>
  <c r="Q19" i="111"/>
  <c r="F18" i="111"/>
  <c r="L16" i="111"/>
  <c r="U14" i="111"/>
  <c r="G13" i="111"/>
  <c r="P11" i="111"/>
  <c r="W9" i="111"/>
  <c r="K8" i="111"/>
  <c r="T102" i="111"/>
  <c r="Q100" i="111"/>
  <c r="N98" i="111"/>
  <c r="K96" i="111"/>
  <c r="G94" i="111"/>
  <c r="D92" i="111"/>
  <c r="U89" i="111"/>
  <c r="R87" i="111"/>
  <c r="O85" i="111"/>
  <c r="K83" i="111"/>
  <c r="K77" i="111"/>
  <c r="S75" i="111"/>
  <c r="F74" i="111"/>
  <c r="O72" i="111"/>
  <c r="U70" i="111"/>
  <c r="J69" i="111"/>
  <c r="P67" i="111"/>
  <c r="E66" i="111"/>
  <c r="K64" i="111"/>
  <c r="T62" i="111"/>
  <c r="G61" i="111"/>
  <c r="O59" i="111"/>
  <c r="V53" i="111"/>
  <c r="K52" i="111"/>
  <c r="Q50" i="111"/>
  <c r="F49" i="111"/>
  <c r="L47" i="111"/>
  <c r="U45" i="111"/>
  <c r="G44" i="111"/>
  <c r="P42" i="111"/>
  <c r="W40" i="111"/>
  <c r="K39" i="111"/>
  <c r="R37" i="111"/>
  <c r="G36" i="111"/>
  <c r="M34" i="111"/>
  <c r="V28" i="111"/>
  <c r="H27" i="111"/>
  <c r="Q25" i="111"/>
  <c r="W23" i="111"/>
  <c r="L22" i="111"/>
  <c r="S20" i="111"/>
  <c r="G19" i="111"/>
  <c r="N17" i="111"/>
  <c r="W15" i="111"/>
  <c r="I14" i="111"/>
  <c r="R12" i="111"/>
  <c r="D11" i="111"/>
  <c r="M9" i="111"/>
  <c r="P100" i="111"/>
  <c r="F94" i="111"/>
  <c r="Q87" i="111"/>
  <c r="I77" i="111"/>
  <c r="M72" i="111"/>
  <c r="O67" i="111"/>
  <c r="S62" i="111"/>
  <c r="U53" i="111"/>
  <c r="E49" i="111"/>
  <c r="F44" i="111"/>
  <c r="J39" i="111"/>
  <c r="L34" i="111"/>
  <c r="P25" i="111"/>
  <c r="Q20" i="111"/>
  <c r="U15" i="111"/>
  <c r="W10" i="111"/>
  <c r="F103" i="108"/>
  <c r="Q101" i="108"/>
  <c r="L100" i="108"/>
  <c r="W98" i="108"/>
  <c r="R97" i="108"/>
  <c r="I96" i="108"/>
  <c r="D95" i="108"/>
  <c r="O93" i="108"/>
  <c r="J92" i="108"/>
  <c r="U90" i="108"/>
  <c r="P89" i="108"/>
  <c r="G88" i="108"/>
  <c r="V86" i="108"/>
  <c r="M85" i="108"/>
  <c r="H84" i="108"/>
  <c r="W78" i="108"/>
  <c r="E78" i="108"/>
  <c r="W76" i="108"/>
  <c r="E76" i="108"/>
  <c r="U74" i="108"/>
  <c r="W73" i="108"/>
  <c r="W72" i="108"/>
  <c r="E72" i="108"/>
  <c r="U70" i="108"/>
  <c r="W69" i="108"/>
  <c r="U68" i="108"/>
  <c r="W67" i="108"/>
  <c r="S66" i="108"/>
  <c r="U65" i="108"/>
  <c r="U64" i="108"/>
  <c r="W63" i="108"/>
  <c r="S62" i="108"/>
  <c r="U61" i="108"/>
  <c r="S60" i="108"/>
  <c r="U59" i="108"/>
  <c r="Q58" i="108"/>
  <c r="S53" i="108"/>
  <c r="S52" i="108"/>
  <c r="U51" i="108"/>
  <c r="Q50" i="108"/>
  <c r="S49" i="108"/>
  <c r="Q48" i="108"/>
  <c r="S47" i="108"/>
  <c r="O46" i="108"/>
  <c r="Q45" i="108"/>
  <c r="Q44" i="108"/>
  <c r="S43" i="108"/>
  <c r="O42" i="108"/>
  <c r="Q41" i="108"/>
  <c r="O40" i="108"/>
  <c r="Q39" i="108"/>
  <c r="M38" i="108"/>
  <c r="O37" i="108"/>
  <c r="O36" i="108"/>
  <c r="Q35" i="108"/>
  <c r="M34" i="108"/>
  <c r="O33" i="108"/>
  <c r="M28" i="108"/>
  <c r="O27" i="108"/>
  <c r="K26" i="108"/>
  <c r="M25" i="108"/>
  <c r="M24" i="108"/>
  <c r="O23" i="108"/>
  <c r="K22" i="108"/>
  <c r="M21" i="108"/>
  <c r="K20" i="108"/>
  <c r="M19" i="108"/>
  <c r="I18" i="108"/>
  <c r="K17" i="108"/>
  <c r="K16" i="108"/>
  <c r="M15" i="108"/>
  <c r="I14" i="108"/>
  <c r="K13" i="108"/>
  <c r="I12" i="108"/>
  <c r="K11" i="108"/>
  <c r="G10" i="108"/>
  <c r="I9" i="108"/>
  <c r="I8" i="108"/>
  <c r="K103" i="107"/>
  <c r="G102" i="107"/>
  <c r="I101" i="107"/>
  <c r="G100" i="107"/>
  <c r="I99" i="107"/>
  <c r="E98" i="107"/>
  <c r="G97" i="107"/>
  <c r="G96" i="107"/>
  <c r="I95" i="107"/>
  <c r="E94" i="107"/>
  <c r="G93" i="107"/>
  <c r="E92" i="107"/>
  <c r="G91" i="107"/>
  <c r="W89" i="107"/>
  <c r="E89" i="107"/>
  <c r="E88" i="107"/>
  <c r="G87" i="107"/>
  <c r="W85" i="107"/>
  <c r="E85" i="107"/>
  <c r="W83" i="107"/>
  <c r="E83" i="107"/>
  <c r="U77" i="107"/>
  <c r="H77" i="107"/>
  <c r="J76" i="107"/>
  <c r="P75" i="107"/>
  <c r="R74" i="107"/>
  <c r="V73" i="107"/>
  <c r="D73" i="107"/>
  <c r="K72" i="107"/>
  <c r="M71" i="107"/>
  <c r="Q70" i="107"/>
  <c r="S69" i="107"/>
  <c r="F69" i="107"/>
  <c r="H68" i="107"/>
  <c r="N67" i="107"/>
  <c r="P66" i="107"/>
  <c r="T65" i="107"/>
  <c r="V64" i="107"/>
  <c r="I64" i="107"/>
  <c r="K63" i="107"/>
  <c r="O62" i="107"/>
  <c r="Q61" i="107"/>
  <c r="D61" i="107"/>
  <c r="F60" i="107"/>
  <c r="L59" i="107"/>
  <c r="N58" i="107"/>
  <c r="R53" i="107"/>
  <c r="T52" i="107"/>
  <c r="G52" i="107"/>
  <c r="I51" i="107"/>
  <c r="M50" i="107"/>
  <c r="O49" i="107"/>
  <c r="V48" i="107"/>
  <c r="D48" i="107"/>
  <c r="J47" i="107"/>
  <c r="L46" i="107"/>
  <c r="P45" i="107"/>
  <c r="R44" i="107"/>
  <c r="E44" i="107"/>
  <c r="G43" i="107"/>
  <c r="K42" i="107"/>
  <c r="M41" i="107"/>
  <c r="T40" i="107"/>
  <c r="V39" i="107"/>
  <c r="H39" i="107"/>
  <c r="J38" i="107"/>
  <c r="N37" i="107"/>
  <c r="P36" i="107"/>
  <c r="W35" i="107"/>
  <c r="E35" i="107"/>
  <c r="I34" i="107"/>
  <c r="K33" i="107"/>
  <c r="R28" i="107"/>
  <c r="T27" i="107"/>
  <c r="F27" i="107"/>
  <c r="H26" i="107"/>
  <c r="L25" i="107"/>
  <c r="N24" i="107"/>
  <c r="U23" i="107"/>
  <c r="W22" i="107"/>
  <c r="G22" i="107"/>
  <c r="I21" i="107"/>
  <c r="P20" i="107"/>
  <c r="R19" i="107"/>
  <c r="D19" i="107"/>
  <c r="F18" i="107"/>
  <c r="J17" i="107"/>
  <c r="L16" i="107"/>
  <c r="S15" i="107"/>
  <c r="U14" i="107"/>
  <c r="E14" i="107"/>
  <c r="G13" i="107"/>
  <c r="N12" i="107"/>
  <c r="P11" i="107"/>
  <c r="V10" i="107"/>
  <c r="D10" i="107"/>
  <c r="K9" i="107"/>
  <c r="P8" i="107"/>
  <c r="E8" i="107"/>
  <c r="S103" i="104"/>
  <c r="K103" i="104"/>
  <c r="U102" i="104"/>
  <c r="M102" i="104"/>
  <c r="W101" i="104"/>
  <c r="O101" i="104"/>
  <c r="E101" i="104"/>
  <c r="Q100" i="104"/>
  <c r="G100" i="104"/>
  <c r="S99" i="104"/>
  <c r="I99" i="104"/>
  <c r="U98" i="104"/>
  <c r="K98" i="104"/>
  <c r="W97" i="104"/>
  <c r="M97" i="104"/>
  <c r="E97" i="104"/>
  <c r="O96" i="104"/>
  <c r="G96" i="104"/>
  <c r="Q95" i="104"/>
  <c r="I95" i="104"/>
  <c r="S94" i="104"/>
  <c r="K94" i="104"/>
  <c r="U93" i="104"/>
  <c r="M93" i="104"/>
  <c r="W92" i="104"/>
  <c r="O92" i="104"/>
  <c r="E92" i="104"/>
  <c r="Q91" i="104"/>
  <c r="G91" i="104"/>
  <c r="S90" i="104"/>
  <c r="I90" i="104"/>
  <c r="U89" i="104"/>
  <c r="K89" i="104"/>
  <c r="W88" i="104"/>
  <c r="M88" i="104"/>
  <c r="E88" i="104"/>
  <c r="O87" i="104"/>
  <c r="G87" i="104"/>
  <c r="Q86" i="104"/>
  <c r="I86" i="104"/>
  <c r="S85" i="104"/>
  <c r="K85" i="104"/>
  <c r="U84" i="104"/>
  <c r="M84" i="104"/>
  <c r="W83" i="104"/>
  <c r="O83" i="104"/>
  <c r="E83" i="104"/>
  <c r="Q78" i="104"/>
  <c r="G78" i="104"/>
  <c r="S77" i="104"/>
  <c r="I77" i="104"/>
  <c r="U76" i="104"/>
  <c r="K76" i="104"/>
  <c r="W75" i="104"/>
  <c r="M75" i="104"/>
  <c r="E75" i="104"/>
  <c r="O74" i="104"/>
  <c r="G74" i="104"/>
  <c r="Q73" i="104"/>
  <c r="I73" i="104"/>
  <c r="S72" i="104"/>
  <c r="K72" i="104"/>
  <c r="U71" i="104"/>
  <c r="M71" i="104"/>
  <c r="W70" i="104"/>
  <c r="O70" i="104"/>
  <c r="E70" i="104"/>
  <c r="Q69" i="104"/>
  <c r="G69" i="104"/>
  <c r="S68" i="104"/>
  <c r="I68" i="104"/>
  <c r="U67" i="104"/>
  <c r="K67" i="104"/>
  <c r="W66" i="104"/>
  <c r="M66" i="104"/>
  <c r="E66" i="104"/>
  <c r="O65" i="104"/>
  <c r="G65" i="104"/>
  <c r="Q64" i="104"/>
  <c r="I64" i="104"/>
  <c r="S63" i="104"/>
  <c r="K63" i="104"/>
  <c r="U62" i="104"/>
  <c r="M62" i="104"/>
  <c r="W61" i="104"/>
  <c r="O61" i="104"/>
  <c r="E61" i="104"/>
  <c r="Q60" i="104"/>
  <c r="G60" i="104"/>
  <c r="S59" i="104"/>
  <c r="I59" i="104"/>
  <c r="U58" i="104"/>
  <c r="K58" i="104"/>
  <c r="W53" i="104"/>
  <c r="M53" i="104"/>
  <c r="E53" i="104"/>
  <c r="O52" i="104"/>
  <c r="G52" i="104"/>
  <c r="Q51" i="104"/>
  <c r="I51" i="104"/>
  <c r="S50" i="104"/>
  <c r="K50" i="104"/>
  <c r="U49" i="104"/>
  <c r="M49" i="104"/>
  <c r="W48" i="104"/>
  <c r="O48" i="104"/>
  <c r="E48" i="104"/>
  <c r="Q47" i="104"/>
  <c r="G47" i="104"/>
  <c r="S46" i="104"/>
  <c r="I46" i="104"/>
  <c r="U45" i="104"/>
  <c r="K45" i="104"/>
  <c r="W44" i="104"/>
  <c r="M44" i="104"/>
  <c r="E44" i="104"/>
  <c r="O43" i="104"/>
  <c r="G43" i="104"/>
  <c r="Q42" i="104"/>
  <c r="I42" i="104"/>
  <c r="S41" i="104"/>
  <c r="K41" i="104"/>
  <c r="U40" i="104"/>
  <c r="M40" i="104"/>
  <c r="W39" i="104"/>
  <c r="O39" i="104"/>
  <c r="E39" i="104"/>
  <c r="Q38" i="104"/>
  <c r="G38" i="104"/>
  <c r="S37" i="104"/>
  <c r="I37" i="104"/>
  <c r="U36" i="104"/>
  <c r="K36" i="104"/>
  <c r="W35" i="104"/>
  <c r="M35" i="104"/>
  <c r="E35" i="104"/>
  <c r="O34" i="104"/>
  <c r="G34" i="104"/>
  <c r="Q33" i="104"/>
  <c r="I33" i="104"/>
  <c r="S28" i="104"/>
  <c r="K28" i="104"/>
  <c r="U27" i="104"/>
  <c r="M27" i="104"/>
  <c r="W26" i="104"/>
  <c r="O26" i="104"/>
  <c r="E26" i="104"/>
  <c r="Q25" i="104"/>
  <c r="G25" i="104"/>
  <c r="S24" i="104"/>
  <c r="I24" i="104"/>
  <c r="U23" i="104"/>
  <c r="K23" i="104"/>
  <c r="W22" i="104"/>
  <c r="M22" i="104"/>
  <c r="E22" i="104"/>
  <c r="O21" i="104"/>
  <c r="G21" i="104"/>
  <c r="Q20" i="104"/>
  <c r="I20" i="104"/>
  <c r="S19" i="104"/>
  <c r="K19" i="104"/>
  <c r="U18" i="104"/>
  <c r="M18" i="104"/>
  <c r="W17" i="104"/>
  <c r="O17" i="104"/>
  <c r="E17" i="104"/>
  <c r="Q16" i="104"/>
  <c r="G16" i="104"/>
  <c r="S15" i="104"/>
  <c r="I15" i="104"/>
  <c r="U14" i="104"/>
  <c r="K14" i="104"/>
  <c r="W13" i="104"/>
  <c r="M13" i="104"/>
  <c r="E13" i="104"/>
  <c r="O12" i="104"/>
  <c r="G12" i="104"/>
  <c r="Q11" i="104"/>
  <c r="I11" i="104"/>
  <c r="S10" i="104"/>
  <c r="K10" i="104"/>
  <c r="U9" i="104"/>
  <c r="M9" i="104"/>
  <c r="W8" i="104"/>
  <c r="O8" i="104"/>
  <c r="E8" i="104"/>
  <c r="Q103" i="103"/>
  <c r="G103" i="103"/>
  <c r="S102" i="103"/>
  <c r="I102" i="103"/>
  <c r="U101" i="103"/>
  <c r="K101" i="103"/>
  <c r="W100" i="103"/>
  <c r="M100" i="103"/>
  <c r="E100" i="103"/>
  <c r="O99" i="103"/>
  <c r="G99" i="103"/>
  <c r="Q98" i="103"/>
  <c r="I98" i="103"/>
  <c r="S97" i="103"/>
  <c r="K97" i="103"/>
  <c r="U96" i="103"/>
  <c r="M96" i="103"/>
  <c r="W95" i="103"/>
  <c r="O95" i="103"/>
  <c r="E95" i="103"/>
  <c r="Q94" i="103"/>
  <c r="G94" i="103"/>
  <c r="S93" i="103"/>
  <c r="I93" i="103"/>
  <c r="U92" i="103"/>
  <c r="K92" i="103"/>
  <c r="W91" i="103"/>
  <c r="M91" i="103"/>
  <c r="E91" i="103"/>
  <c r="O90" i="103"/>
  <c r="G90" i="103"/>
  <c r="Q89" i="103"/>
  <c r="I89" i="103"/>
  <c r="S88" i="103"/>
  <c r="K88" i="103"/>
  <c r="U87" i="103"/>
  <c r="M87" i="103"/>
  <c r="W86" i="103"/>
  <c r="O86" i="103"/>
  <c r="E86" i="103"/>
  <c r="Q85" i="103"/>
  <c r="G85" i="103"/>
  <c r="S84" i="103"/>
  <c r="I84" i="103"/>
  <c r="U83" i="103"/>
  <c r="K83" i="103"/>
  <c r="W78" i="103"/>
  <c r="M78" i="103"/>
  <c r="E78" i="103"/>
  <c r="O77" i="103"/>
  <c r="G77" i="103"/>
  <c r="Q76" i="103"/>
  <c r="I76" i="103"/>
  <c r="S75" i="103"/>
  <c r="K75" i="103"/>
  <c r="U74" i="103"/>
  <c r="M74" i="103"/>
  <c r="W73" i="103"/>
  <c r="O73" i="103"/>
  <c r="E73" i="103"/>
  <c r="Q72" i="103"/>
  <c r="G72" i="103"/>
  <c r="S71" i="103"/>
  <c r="I71" i="103"/>
  <c r="U70" i="103"/>
  <c r="K70" i="103"/>
  <c r="W69" i="103"/>
  <c r="M69" i="103"/>
  <c r="E69" i="103"/>
  <c r="O68" i="103"/>
  <c r="G68" i="103"/>
  <c r="Q67" i="103"/>
  <c r="I67" i="103"/>
  <c r="S66" i="103"/>
  <c r="K66" i="103"/>
  <c r="U65" i="103"/>
  <c r="M65" i="103"/>
  <c r="W64" i="103"/>
  <c r="O64" i="103"/>
  <c r="E64" i="103"/>
  <c r="Q63" i="103"/>
  <c r="G63" i="103"/>
  <c r="S62" i="103"/>
  <c r="I62" i="103"/>
  <c r="U61" i="103"/>
  <c r="K61" i="103"/>
  <c r="W60" i="103"/>
  <c r="M60" i="103"/>
  <c r="E60" i="103"/>
  <c r="O59" i="103"/>
  <c r="G59" i="103"/>
  <c r="Q58" i="103"/>
  <c r="I58" i="103"/>
  <c r="S53" i="103"/>
  <c r="K53" i="103"/>
  <c r="U52" i="103"/>
  <c r="M52" i="103"/>
  <c r="W51" i="103"/>
  <c r="O51" i="103"/>
  <c r="E51" i="103"/>
  <c r="Q50" i="103"/>
  <c r="G50" i="103"/>
  <c r="S49" i="103"/>
  <c r="I49" i="103"/>
  <c r="U48" i="103"/>
  <c r="K48" i="103"/>
  <c r="W47" i="103"/>
  <c r="M47" i="103"/>
  <c r="E47" i="103"/>
  <c r="O46" i="103"/>
  <c r="G46" i="103"/>
  <c r="Q45" i="103"/>
  <c r="I45" i="103"/>
  <c r="S44" i="103"/>
  <c r="K44" i="103"/>
  <c r="U43" i="103"/>
  <c r="M43" i="103"/>
  <c r="W42" i="103"/>
  <c r="O42" i="103"/>
  <c r="E42" i="103"/>
  <c r="Q41" i="103"/>
  <c r="G41" i="103"/>
  <c r="S40" i="103"/>
  <c r="I40" i="103"/>
  <c r="U39" i="103"/>
  <c r="K39" i="103"/>
  <c r="W38" i="103"/>
  <c r="M38" i="103"/>
  <c r="E38" i="103"/>
  <c r="O37" i="103"/>
  <c r="G37" i="103"/>
  <c r="Q36" i="103"/>
  <c r="I36" i="103"/>
  <c r="S35" i="103"/>
  <c r="K35" i="103"/>
  <c r="U34" i="103"/>
  <c r="M34" i="103"/>
  <c r="W33" i="103"/>
  <c r="O33" i="103"/>
  <c r="E33" i="103"/>
  <c r="Q28" i="103"/>
  <c r="G28" i="103"/>
  <c r="S27" i="103"/>
  <c r="I27" i="103"/>
  <c r="U26" i="103"/>
  <c r="K26" i="103"/>
  <c r="W25" i="103"/>
  <c r="M25" i="103"/>
  <c r="E25" i="103"/>
  <c r="O24" i="103"/>
  <c r="G24" i="103"/>
  <c r="Q23" i="103"/>
  <c r="I23" i="103"/>
  <c r="S22" i="103"/>
  <c r="K22" i="103"/>
  <c r="U21" i="103"/>
  <c r="M21" i="103"/>
  <c r="W20" i="103"/>
  <c r="O20" i="103"/>
  <c r="E20" i="103"/>
  <c r="Q19" i="103"/>
  <c r="G19" i="103"/>
  <c r="S18" i="103"/>
  <c r="I18" i="103"/>
  <c r="U17" i="103"/>
  <c r="K17" i="103"/>
  <c r="W16" i="103"/>
  <c r="M16" i="103"/>
  <c r="E16" i="103"/>
  <c r="O15" i="103"/>
  <c r="G15" i="103"/>
  <c r="Q14" i="103"/>
  <c r="I14" i="103"/>
  <c r="S13" i="103"/>
  <c r="K13" i="103"/>
  <c r="U12" i="103"/>
  <c r="M12" i="103"/>
  <c r="W11" i="103"/>
  <c r="O11" i="103"/>
  <c r="E11" i="103"/>
  <c r="Q10" i="103"/>
  <c r="G10" i="103"/>
  <c r="S9" i="103"/>
  <c r="I9" i="103"/>
  <c r="U8" i="103"/>
  <c r="K8" i="103"/>
  <c r="I100" i="111"/>
  <c r="S93" i="111"/>
  <c r="I87" i="111"/>
  <c r="H77" i="111"/>
  <c r="J72" i="111"/>
  <c r="N67" i="111"/>
  <c r="O62" i="111"/>
  <c r="S53" i="111"/>
  <c r="U48" i="111"/>
  <c r="E44" i="111"/>
  <c r="G39" i="111"/>
  <c r="K34" i="111"/>
  <c r="L25" i="111"/>
  <c r="P20" i="111"/>
  <c r="R15" i="111"/>
  <c r="V10" i="111"/>
  <c r="E103" i="108"/>
  <c r="K101" i="108"/>
  <c r="K100" i="108"/>
  <c r="Q98" i="108"/>
  <c r="Q97" i="108"/>
  <c r="W95" i="108"/>
  <c r="W94" i="108"/>
  <c r="I93" i="108"/>
  <c r="I92" i="108"/>
  <c r="O90" i="108"/>
  <c r="O89" i="108"/>
  <c r="U87" i="108"/>
  <c r="U86" i="108"/>
  <c r="G85" i="108"/>
  <c r="G84" i="108"/>
  <c r="V78" i="108"/>
  <c r="D78" i="108"/>
  <c r="T76" i="108"/>
  <c r="V75" i="108"/>
  <c r="T74" i="108"/>
  <c r="V73" i="108"/>
  <c r="R72" i="108"/>
  <c r="T71" i="108"/>
  <c r="T70" i="108"/>
  <c r="V69" i="108"/>
  <c r="R68" i="108"/>
  <c r="T67" i="108"/>
  <c r="R66" i="108"/>
  <c r="T65" i="108"/>
  <c r="P64" i="108"/>
  <c r="R63" i="108"/>
  <c r="R62" i="108"/>
  <c r="T61" i="108"/>
  <c r="P60" i="108"/>
  <c r="R59" i="108"/>
  <c r="P58" i="108"/>
  <c r="R53" i="108"/>
  <c r="N52" i="108"/>
  <c r="P51" i="108"/>
  <c r="P50" i="108"/>
  <c r="R49" i="108"/>
  <c r="N48" i="108"/>
  <c r="P47" i="108"/>
  <c r="N46" i="108"/>
  <c r="P45" i="108"/>
  <c r="L44" i="108"/>
  <c r="N43" i="108"/>
  <c r="N42" i="108"/>
  <c r="P41" i="108"/>
  <c r="L40" i="108"/>
  <c r="N39" i="108"/>
  <c r="L38" i="108"/>
  <c r="N37" i="108"/>
  <c r="J36" i="108"/>
  <c r="L35" i="108"/>
  <c r="L34" i="108"/>
  <c r="N33" i="108"/>
  <c r="J28" i="108"/>
  <c r="L27" i="108"/>
  <c r="J26" i="108"/>
  <c r="L25" i="108"/>
  <c r="H24" i="108"/>
  <c r="J23" i="108"/>
  <c r="J22" i="108"/>
  <c r="L21" i="108"/>
  <c r="H20" i="108"/>
  <c r="J19" i="108"/>
  <c r="H18" i="108"/>
  <c r="J17" i="108"/>
  <c r="F16" i="108"/>
  <c r="H15" i="108"/>
  <c r="H14" i="108"/>
  <c r="J13" i="108"/>
  <c r="F12" i="108"/>
  <c r="H11" i="108"/>
  <c r="F10" i="108"/>
  <c r="H9" i="108"/>
  <c r="D8" i="108"/>
  <c r="F103" i="107"/>
  <c r="F102" i="107"/>
  <c r="H101" i="107"/>
  <c r="D100" i="107"/>
  <c r="F99" i="107"/>
  <c r="D98" i="107"/>
  <c r="F97" i="107"/>
  <c r="V95" i="107"/>
  <c r="D95" i="107"/>
  <c r="D94" i="107"/>
  <c r="F93" i="107"/>
  <c r="V91" i="107"/>
  <c r="D91" i="107"/>
  <c r="V89" i="107"/>
  <c r="D89" i="107"/>
  <c r="T87" i="107"/>
  <c r="V86" i="107"/>
  <c r="V85" i="107"/>
  <c r="D85" i="107"/>
  <c r="T83" i="107"/>
  <c r="V78" i="107"/>
  <c r="T77" i="107"/>
  <c r="F77" i="107"/>
  <c r="H76" i="107"/>
  <c r="M75" i="107"/>
  <c r="O74" i="107"/>
  <c r="U73" i="107"/>
  <c r="W72" i="107"/>
  <c r="J72" i="107"/>
  <c r="L71" i="107"/>
  <c r="P70" i="107"/>
  <c r="R69" i="107"/>
  <c r="D69" i="107"/>
  <c r="F68" i="107"/>
  <c r="K67" i="107"/>
  <c r="M66" i="107"/>
  <c r="S65" i="107"/>
  <c r="U64" i="107"/>
  <c r="H64" i="107"/>
  <c r="J63" i="107"/>
  <c r="N62" i="107"/>
  <c r="P61" i="107"/>
  <c r="V60" i="107"/>
  <c r="D60" i="107"/>
  <c r="I59" i="107"/>
  <c r="K58" i="107"/>
  <c r="Q53" i="107"/>
  <c r="S52" i="107"/>
  <c r="F52" i="107"/>
  <c r="H51" i="107"/>
  <c r="L50" i="107"/>
  <c r="N49" i="107"/>
  <c r="T48" i="107"/>
  <c r="V47" i="107"/>
  <c r="G47" i="107"/>
  <c r="I46" i="107"/>
  <c r="O45" i="107"/>
  <c r="Q44" i="107"/>
  <c r="D44" i="107"/>
  <c r="F43" i="107"/>
  <c r="J42" i="107"/>
  <c r="L41" i="107"/>
  <c r="R40" i="107"/>
  <c r="T39" i="107"/>
  <c r="E39" i="107"/>
  <c r="G38" i="107"/>
  <c r="M37" i="107"/>
  <c r="O36" i="107"/>
  <c r="V35" i="107"/>
  <c r="D35" i="107"/>
  <c r="H34" i="107"/>
  <c r="J33" i="107"/>
  <c r="P28" i="107"/>
  <c r="R27" i="107"/>
  <c r="W26" i="107"/>
  <c r="E26" i="107"/>
  <c r="K25" i="107"/>
  <c r="M24" i="107"/>
  <c r="T23" i="107"/>
  <c r="V22" i="107"/>
  <c r="F22" i="107"/>
  <c r="H21" i="107"/>
  <c r="N20" i="107"/>
  <c r="P19" i="107"/>
  <c r="U18" i="107"/>
  <c r="W17" i="107"/>
  <c r="I17" i="107"/>
  <c r="K16" i="107"/>
  <c r="R15" i="107"/>
  <c r="T14" i="107"/>
  <c r="D14" i="107"/>
  <c r="F13" i="107"/>
  <c r="L12" i="107"/>
  <c r="N11" i="107"/>
  <c r="S10" i="107"/>
  <c r="U9" i="107"/>
  <c r="I9" i="107"/>
  <c r="O8" i="107"/>
  <c r="D8" i="107"/>
  <c r="R103" i="104"/>
  <c r="J103" i="104"/>
  <c r="T102" i="104"/>
  <c r="L102" i="104"/>
  <c r="V101" i="104"/>
  <c r="N101" i="104"/>
  <c r="D101" i="104"/>
  <c r="P100" i="104"/>
  <c r="F100" i="104"/>
  <c r="R99" i="104"/>
  <c r="H99" i="104"/>
  <c r="T98" i="104"/>
  <c r="J98" i="104"/>
  <c r="V97" i="104"/>
  <c r="L97" i="104"/>
  <c r="D97" i="104"/>
  <c r="N96" i="104"/>
  <c r="F96" i="104"/>
  <c r="P95" i="104"/>
  <c r="H95" i="104"/>
  <c r="R94" i="104"/>
  <c r="J94" i="104"/>
  <c r="T93" i="104"/>
  <c r="L93" i="104"/>
  <c r="V92" i="104"/>
  <c r="N92" i="104"/>
  <c r="D92" i="104"/>
  <c r="P91" i="104"/>
  <c r="F91" i="104"/>
  <c r="R90" i="104"/>
  <c r="H90" i="104"/>
  <c r="T89" i="104"/>
  <c r="J89" i="104"/>
  <c r="V88" i="104"/>
  <c r="L88" i="104"/>
  <c r="D88" i="104"/>
  <c r="N87" i="104"/>
  <c r="F87" i="104"/>
  <c r="P86" i="104"/>
  <c r="H86" i="104"/>
  <c r="R85" i="104"/>
  <c r="J85" i="104"/>
  <c r="T84" i="104"/>
  <c r="L84" i="104"/>
  <c r="V83" i="104"/>
  <c r="N83" i="104"/>
  <c r="D83" i="104"/>
  <c r="P78" i="104"/>
  <c r="F78" i="104"/>
  <c r="R77" i="104"/>
  <c r="H77" i="104"/>
  <c r="T76" i="104"/>
  <c r="J76" i="104"/>
  <c r="V75" i="104"/>
  <c r="L75" i="104"/>
  <c r="D75" i="104"/>
  <c r="N74" i="104"/>
  <c r="F74" i="104"/>
  <c r="P73" i="104"/>
  <c r="H73" i="104"/>
  <c r="R72" i="104"/>
  <c r="J72" i="104"/>
  <c r="T71" i="104"/>
  <c r="L71" i="104"/>
  <c r="V70" i="104"/>
  <c r="N70" i="104"/>
  <c r="D70" i="104"/>
  <c r="P69" i="104"/>
  <c r="F69" i="104"/>
  <c r="R68" i="104"/>
  <c r="H68" i="104"/>
  <c r="T67" i="104"/>
  <c r="J67" i="104"/>
  <c r="V66" i="104"/>
  <c r="L66" i="104"/>
  <c r="D66" i="104"/>
  <c r="N65" i="104"/>
  <c r="F65" i="104"/>
  <c r="P64" i="104"/>
  <c r="H64" i="104"/>
  <c r="R63" i="104"/>
  <c r="J63" i="104"/>
  <c r="T62" i="104"/>
  <c r="L62" i="104"/>
  <c r="V61" i="104"/>
  <c r="N61" i="104"/>
  <c r="D61" i="104"/>
  <c r="P60" i="104"/>
  <c r="F60" i="104"/>
  <c r="R59" i="104"/>
  <c r="H59" i="104"/>
  <c r="T58" i="104"/>
  <c r="J58" i="104"/>
  <c r="V53" i="104"/>
  <c r="L53" i="104"/>
  <c r="D53" i="104"/>
  <c r="N52" i="104"/>
  <c r="F52" i="104"/>
  <c r="P51" i="104"/>
  <c r="H51" i="104"/>
  <c r="R50" i="104"/>
  <c r="J50" i="104"/>
  <c r="T49" i="104"/>
  <c r="L49" i="104"/>
  <c r="V48" i="104"/>
  <c r="N48" i="104"/>
  <c r="D48" i="104"/>
  <c r="P47" i="104"/>
  <c r="F47" i="104"/>
  <c r="R46" i="104"/>
  <c r="H46" i="104"/>
  <c r="T45" i="104"/>
  <c r="J45" i="104"/>
  <c r="V44" i="104"/>
  <c r="L44" i="104"/>
  <c r="D44" i="104"/>
  <c r="N43" i="104"/>
  <c r="F43" i="104"/>
  <c r="P42" i="104"/>
  <c r="H42" i="104"/>
  <c r="R41" i="104"/>
  <c r="J41" i="104"/>
  <c r="T40" i="104"/>
  <c r="L40" i="104"/>
  <c r="V39" i="104"/>
  <c r="N39" i="104"/>
  <c r="D39" i="104"/>
  <c r="P38" i="104"/>
  <c r="F38" i="104"/>
  <c r="R37" i="104"/>
  <c r="H37" i="104"/>
  <c r="T36" i="104"/>
  <c r="J36" i="104"/>
  <c r="V35" i="104"/>
  <c r="L35" i="104"/>
  <c r="D35" i="104"/>
  <c r="N34" i="104"/>
  <c r="F34" i="104"/>
  <c r="P33" i="104"/>
  <c r="H33" i="104"/>
  <c r="R28" i="104"/>
  <c r="J28" i="104"/>
  <c r="T27" i="104"/>
  <c r="L27" i="104"/>
  <c r="V26" i="104"/>
  <c r="N26" i="104"/>
  <c r="D26" i="104"/>
  <c r="P25" i="104"/>
  <c r="F25" i="104"/>
  <c r="R24" i="104"/>
  <c r="H24" i="104"/>
  <c r="T23" i="104"/>
  <c r="J23" i="104"/>
  <c r="V22" i="104"/>
  <c r="L22" i="104"/>
  <c r="D22" i="104"/>
  <c r="N21" i="104"/>
  <c r="F21" i="104"/>
  <c r="P20" i="104"/>
  <c r="H20" i="104"/>
  <c r="R19" i="104"/>
  <c r="J19" i="104"/>
  <c r="T18" i="104"/>
  <c r="L18" i="104"/>
  <c r="V17" i="104"/>
  <c r="N17" i="104"/>
  <c r="D17" i="104"/>
  <c r="P16" i="104"/>
  <c r="F16" i="104"/>
  <c r="R15" i="104"/>
  <c r="H15" i="104"/>
  <c r="T14" i="104"/>
  <c r="J14" i="104"/>
  <c r="V13" i="104"/>
  <c r="L13" i="104"/>
  <c r="D13" i="104"/>
  <c r="N12" i="104"/>
  <c r="F12" i="104"/>
  <c r="P11" i="104"/>
  <c r="H11" i="104"/>
  <c r="R10" i="104"/>
  <c r="J10" i="104"/>
  <c r="T9" i="104"/>
  <c r="L9" i="104"/>
  <c r="V8" i="104"/>
  <c r="N8" i="104"/>
  <c r="D8" i="104"/>
  <c r="P103" i="103"/>
  <c r="F103" i="103"/>
  <c r="R102" i="103"/>
  <c r="H102" i="103"/>
  <c r="T101" i="103"/>
  <c r="J101" i="103"/>
  <c r="V100" i="103"/>
  <c r="L100" i="103"/>
  <c r="D100" i="103"/>
  <c r="N99" i="103"/>
  <c r="F99" i="103"/>
  <c r="P98" i="103"/>
  <c r="H98" i="103"/>
  <c r="R97" i="103"/>
  <c r="J97" i="103"/>
  <c r="T96" i="103"/>
  <c r="L96" i="103"/>
  <c r="V95" i="103"/>
  <c r="N95" i="103"/>
  <c r="D95" i="103"/>
  <c r="P94" i="103"/>
  <c r="F94" i="103"/>
  <c r="R93" i="103"/>
  <c r="H93" i="103"/>
  <c r="T92" i="103"/>
  <c r="J92" i="103"/>
  <c r="V91" i="103"/>
  <c r="L91" i="103"/>
  <c r="D91" i="103"/>
  <c r="N90" i="103"/>
  <c r="F90" i="103"/>
  <c r="P89" i="103"/>
  <c r="H89" i="103"/>
  <c r="R88" i="103"/>
  <c r="J88" i="103"/>
  <c r="T87" i="103"/>
  <c r="L87" i="103"/>
  <c r="V86" i="103"/>
  <c r="N86" i="103"/>
  <c r="D86" i="103"/>
  <c r="P85" i="103"/>
  <c r="F85" i="103"/>
  <c r="R84" i="103"/>
  <c r="H84" i="103"/>
  <c r="T83" i="103"/>
  <c r="J83" i="103"/>
  <c r="V78" i="103"/>
  <c r="L78" i="103"/>
  <c r="D78" i="103"/>
  <c r="N77" i="103"/>
  <c r="F77" i="103"/>
  <c r="P76" i="103"/>
  <c r="H76" i="103"/>
  <c r="R75" i="103"/>
  <c r="J75" i="103"/>
  <c r="T74" i="103"/>
  <c r="L74" i="103"/>
  <c r="V73" i="103"/>
  <c r="N73" i="103"/>
  <c r="D73" i="103"/>
  <c r="P72" i="103"/>
  <c r="F72" i="103"/>
  <c r="R71" i="103"/>
  <c r="H71" i="103"/>
  <c r="T70" i="103"/>
  <c r="J70" i="103"/>
  <c r="V69" i="103"/>
  <c r="L69" i="103"/>
  <c r="D69" i="103"/>
  <c r="N68" i="103"/>
  <c r="F68" i="103"/>
  <c r="P67" i="103"/>
  <c r="H67" i="103"/>
  <c r="R66" i="103"/>
  <c r="J66" i="103"/>
  <c r="T65" i="103"/>
  <c r="L65" i="103"/>
  <c r="V64" i="103"/>
  <c r="N64" i="103"/>
  <c r="D64" i="103"/>
  <c r="P63" i="103"/>
  <c r="F63" i="103"/>
  <c r="R62" i="103"/>
  <c r="H62" i="103"/>
  <c r="T61" i="103"/>
  <c r="J61" i="103"/>
  <c r="V60" i="103"/>
  <c r="L60" i="103"/>
  <c r="D60" i="103"/>
  <c r="N59" i="103"/>
  <c r="F59" i="103"/>
  <c r="P58" i="103"/>
  <c r="H58" i="103"/>
  <c r="R53" i="103"/>
  <c r="J53" i="103"/>
  <c r="T52" i="103"/>
  <c r="L52" i="103"/>
  <c r="V51" i="103"/>
  <c r="N51" i="103"/>
  <c r="D51" i="103"/>
  <c r="P50" i="103"/>
  <c r="F50" i="103"/>
  <c r="R49" i="103"/>
  <c r="H49" i="103"/>
  <c r="T48" i="103"/>
  <c r="J48" i="103"/>
  <c r="V47" i="103"/>
  <c r="L47" i="103"/>
  <c r="D47" i="103"/>
  <c r="N46" i="103"/>
  <c r="F46" i="103"/>
  <c r="P45" i="103"/>
  <c r="H45" i="103"/>
  <c r="R44" i="103"/>
  <c r="J44" i="103"/>
  <c r="T43" i="103"/>
  <c r="L43" i="103"/>
  <c r="V42" i="103"/>
  <c r="N42" i="103"/>
  <c r="D42" i="103"/>
  <c r="P41" i="103"/>
  <c r="F41" i="103"/>
  <c r="R40" i="103"/>
  <c r="H40" i="103"/>
  <c r="T39" i="103"/>
  <c r="J39" i="103"/>
  <c r="V38" i="103"/>
  <c r="L38" i="103"/>
  <c r="D38" i="103"/>
  <c r="N37" i="103"/>
  <c r="F37" i="103"/>
  <c r="P36" i="103"/>
  <c r="H36" i="103"/>
  <c r="R35" i="103"/>
  <c r="J35" i="103"/>
  <c r="T34" i="103"/>
  <c r="L34" i="103"/>
  <c r="V33" i="103"/>
  <c r="N33" i="103"/>
  <c r="D33" i="103"/>
  <c r="P28" i="103"/>
  <c r="F28" i="103"/>
  <c r="R27" i="103"/>
  <c r="H27" i="103"/>
  <c r="T26" i="103"/>
  <c r="J26" i="103"/>
  <c r="V25" i="103"/>
  <c r="L25" i="103"/>
  <c r="D25" i="103"/>
  <c r="N24" i="103"/>
  <c r="F24" i="103"/>
  <c r="P23" i="103"/>
  <c r="H23" i="103"/>
  <c r="R22" i="103"/>
  <c r="J22" i="103"/>
  <c r="T21" i="103"/>
  <c r="L21" i="103"/>
  <c r="V20" i="103"/>
  <c r="N20" i="103"/>
  <c r="D20" i="103"/>
  <c r="P19" i="103"/>
  <c r="F19" i="103"/>
  <c r="R18" i="103"/>
  <c r="H18" i="103"/>
  <c r="T17" i="103"/>
  <c r="J17" i="103"/>
  <c r="V16" i="103"/>
  <c r="L16" i="103"/>
  <c r="D16" i="103"/>
  <c r="N15" i="103"/>
  <c r="F15" i="103"/>
  <c r="P14" i="103"/>
  <c r="H14" i="103"/>
  <c r="R13" i="103"/>
  <c r="J13" i="103"/>
  <c r="T12" i="103"/>
  <c r="L12" i="103"/>
  <c r="V11" i="103"/>
  <c r="N11" i="103"/>
  <c r="D11" i="103"/>
  <c r="P10" i="103"/>
  <c r="F10" i="103"/>
  <c r="R9" i="103"/>
  <c r="H9" i="103"/>
  <c r="T8" i="103"/>
  <c r="J8" i="103"/>
  <c r="M98" i="111"/>
  <c r="W91" i="111"/>
  <c r="M85" i="111"/>
  <c r="R75" i="111"/>
  <c r="T70" i="111"/>
  <c r="D66" i="111"/>
  <c r="E61" i="111"/>
  <c r="I52" i="111"/>
  <c r="K47" i="111"/>
  <c r="O42" i="111"/>
  <c r="Q37" i="111"/>
  <c r="U28" i="111"/>
  <c r="V23" i="111"/>
  <c r="F19" i="111"/>
  <c r="H14" i="111"/>
  <c r="L9" i="111"/>
  <c r="O102" i="108"/>
  <c r="J101" i="108"/>
  <c r="U99" i="108"/>
  <c r="P98" i="108"/>
  <c r="G97" i="108"/>
  <c r="V95" i="108"/>
  <c r="M94" i="108"/>
  <c r="H93" i="108"/>
  <c r="S91" i="108"/>
  <c r="N90" i="108"/>
  <c r="E89" i="108"/>
  <c r="T87" i="108"/>
  <c r="K86" i="108"/>
  <c r="F85" i="108"/>
  <c r="Q83" i="108"/>
  <c r="S78" i="108"/>
  <c r="O77" i="108"/>
  <c r="Q76" i="108"/>
  <c r="Q75" i="108"/>
  <c r="S74" i="108"/>
  <c r="O73" i="108"/>
  <c r="Q72" i="108"/>
  <c r="O71" i="108"/>
  <c r="Q70" i="108"/>
  <c r="M69" i="108"/>
  <c r="O68" i="108"/>
  <c r="O67" i="108"/>
  <c r="Q66" i="108"/>
  <c r="M65" i="108"/>
  <c r="O64" i="108"/>
  <c r="M63" i="108"/>
  <c r="O62" i="108"/>
  <c r="K61" i="108"/>
  <c r="M60" i="108"/>
  <c r="M59" i="108"/>
  <c r="O58" i="108"/>
  <c r="K53" i="108"/>
  <c r="M52" i="108"/>
  <c r="K51" i="108"/>
  <c r="M50" i="108"/>
  <c r="I49" i="108"/>
  <c r="K48" i="108"/>
  <c r="K47" i="108"/>
  <c r="M46" i="108"/>
  <c r="I45" i="108"/>
  <c r="K44" i="108"/>
  <c r="I43" i="108"/>
  <c r="K42" i="108"/>
  <c r="G41" i="108"/>
  <c r="I40" i="108"/>
  <c r="I39" i="108"/>
  <c r="K38" i="108"/>
  <c r="G37" i="108"/>
  <c r="I36" i="108"/>
  <c r="G35" i="108"/>
  <c r="I34" i="108"/>
  <c r="E33" i="108"/>
  <c r="G28" i="108"/>
  <c r="G27" i="108"/>
  <c r="I26" i="108"/>
  <c r="E25" i="108"/>
  <c r="G24" i="108"/>
  <c r="E23" i="108"/>
  <c r="G22" i="108"/>
  <c r="W20" i="108"/>
  <c r="E20" i="108"/>
  <c r="E19" i="108"/>
  <c r="G18" i="108"/>
  <c r="W16" i="108"/>
  <c r="E16" i="108"/>
  <c r="W14" i="108"/>
  <c r="E14" i="108"/>
  <c r="U12" i="108"/>
  <c r="W11" i="108"/>
  <c r="W10" i="108"/>
  <c r="E10" i="108"/>
  <c r="U8" i="108"/>
  <c r="W103" i="107"/>
  <c r="U102" i="107"/>
  <c r="W101" i="107"/>
  <c r="S100" i="107"/>
  <c r="U99" i="107"/>
  <c r="U98" i="107"/>
  <c r="W97" i="107"/>
  <c r="S96" i="107"/>
  <c r="U95" i="107"/>
  <c r="S94" i="107"/>
  <c r="U93" i="107"/>
  <c r="Q92" i="107"/>
  <c r="S91" i="107"/>
  <c r="S90" i="107"/>
  <c r="U89" i="107"/>
  <c r="Q88" i="107"/>
  <c r="S87" i="107"/>
  <c r="Q86" i="107"/>
  <c r="S85" i="107"/>
  <c r="O84" i="107"/>
  <c r="Q83" i="107"/>
  <c r="Q78" i="107"/>
  <c r="S77" i="107"/>
  <c r="U76" i="107"/>
  <c r="E76" i="107"/>
  <c r="G75" i="107"/>
  <c r="N74" i="107"/>
  <c r="P73" i="107"/>
  <c r="V72" i="107"/>
  <c r="D72" i="107"/>
  <c r="H71" i="107"/>
  <c r="J70" i="107"/>
  <c r="Q69" i="107"/>
  <c r="S68" i="107"/>
  <c r="W67" i="107"/>
  <c r="E67" i="107"/>
  <c r="L66" i="107"/>
  <c r="N65" i="107"/>
  <c r="T64" i="107"/>
  <c r="V63" i="107"/>
  <c r="F63" i="107"/>
  <c r="H62" i="107"/>
  <c r="O61" i="107"/>
  <c r="Q60" i="107"/>
  <c r="U59" i="107"/>
  <c r="W58" i="107"/>
  <c r="J58" i="107"/>
  <c r="L53" i="107"/>
  <c r="R52" i="107"/>
  <c r="T51" i="107"/>
  <c r="D51" i="107"/>
  <c r="F50" i="107"/>
  <c r="M49" i="107"/>
  <c r="O48" i="107"/>
  <c r="S47" i="107"/>
  <c r="U46" i="107"/>
  <c r="H46" i="107"/>
  <c r="J45" i="107"/>
  <c r="P44" i="107"/>
  <c r="R43" i="107"/>
  <c r="V42" i="107"/>
  <c r="D42" i="107"/>
  <c r="K41" i="107"/>
  <c r="M40" i="107"/>
  <c r="Q39" i="107"/>
  <c r="S38" i="107"/>
  <c r="F38" i="107"/>
  <c r="H37" i="107"/>
  <c r="N36" i="107"/>
  <c r="P35" i="107"/>
  <c r="T34" i="107"/>
  <c r="V33" i="107"/>
  <c r="I33" i="107"/>
  <c r="K28" i="107"/>
  <c r="O27" i="107"/>
  <c r="Q26" i="107"/>
  <c r="D26" i="107"/>
  <c r="F25" i="107"/>
  <c r="L24" i="107"/>
  <c r="N23" i="107"/>
  <c r="R22" i="107"/>
  <c r="T21" i="107"/>
  <c r="G21" i="107"/>
  <c r="I20" i="107"/>
  <c r="M19" i="107"/>
  <c r="O18" i="107"/>
  <c r="V17" i="107"/>
  <c r="D17" i="107"/>
  <c r="J16" i="107"/>
  <c r="L15" i="107"/>
  <c r="P14" i="107"/>
  <c r="R13" i="107"/>
  <c r="E13" i="107"/>
  <c r="G12" i="107"/>
  <c r="K11" i="107"/>
  <c r="M10" i="107"/>
  <c r="T9" i="107"/>
  <c r="F9" i="107"/>
  <c r="N8" i="107"/>
  <c r="Q103" i="104"/>
  <c r="G103" i="104"/>
  <c r="S102" i="104"/>
  <c r="I102" i="104"/>
  <c r="U101" i="104"/>
  <c r="K101" i="104"/>
  <c r="W100" i="104"/>
  <c r="M100" i="104"/>
  <c r="E100" i="104"/>
  <c r="O99" i="104"/>
  <c r="G99" i="104"/>
  <c r="Q98" i="104"/>
  <c r="I98" i="104"/>
  <c r="S97" i="104"/>
  <c r="K97" i="104"/>
  <c r="U96" i="104"/>
  <c r="M96" i="104"/>
  <c r="W95" i="104"/>
  <c r="O95" i="104"/>
  <c r="E95" i="104"/>
  <c r="Q94" i="104"/>
  <c r="G94" i="104"/>
  <c r="S93" i="104"/>
  <c r="I93" i="104"/>
  <c r="U92" i="104"/>
  <c r="K92" i="104"/>
  <c r="W91" i="104"/>
  <c r="M91" i="104"/>
  <c r="E91" i="104"/>
  <c r="O90" i="104"/>
  <c r="G90" i="104"/>
  <c r="Q89" i="104"/>
  <c r="I89" i="104"/>
  <c r="S88" i="104"/>
  <c r="K88" i="104"/>
  <c r="U87" i="104"/>
  <c r="M87" i="104"/>
  <c r="W86" i="104"/>
  <c r="O86" i="104"/>
  <c r="E86" i="104"/>
  <c r="Q85" i="104"/>
  <c r="G85" i="104"/>
  <c r="S84" i="104"/>
  <c r="I84" i="104"/>
  <c r="U83" i="104"/>
  <c r="K83" i="104"/>
  <c r="W78" i="104"/>
  <c r="M78" i="104"/>
  <c r="E78" i="104"/>
  <c r="O77" i="104"/>
  <c r="G77" i="104"/>
  <c r="Q76" i="104"/>
  <c r="I76" i="104"/>
  <c r="S75" i="104"/>
  <c r="K75" i="104"/>
  <c r="U74" i="104"/>
  <c r="M74" i="104"/>
  <c r="W73" i="104"/>
  <c r="O73" i="104"/>
  <c r="E73" i="104"/>
  <c r="Q72" i="104"/>
  <c r="G72" i="104"/>
  <c r="S71" i="104"/>
  <c r="I71" i="104"/>
  <c r="U70" i="104"/>
  <c r="K70" i="104"/>
  <c r="W69" i="104"/>
  <c r="M69" i="104"/>
  <c r="E69" i="104"/>
  <c r="O68" i="104"/>
  <c r="G68" i="104"/>
  <c r="Q67" i="104"/>
  <c r="I67" i="104"/>
  <c r="S66" i="104"/>
  <c r="K66" i="104"/>
  <c r="U65" i="104"/>
  <c r="M65" i="104"/>
  <c r="W64" i="104"/>
  <c r="O64" i="104"/>
  <c r="E64" i="104"/>
  <c r="Q63" i="104"/>
  <c r="G63" i="104"/>
  <c r="S62" i="104"/>
  <c r="I62" i="104"/>
  <c r="U61" i="104"/>
  <c r="K61" i="104"/>
  <c r="W60" i="104"/>
  <c r="M60" i="104"/>
  <c r="E60" i="104"/>
  <c r="O59" i="104"/>
  <c r="G59" i="104"/>
  <c r="Q58" i="104"/>
  <c r="I58" i="104"/>
  <c r="S53" i="104"/>
  <c r="K53" i="104"/>
  <c r="U52" i="104"/>
  <c r="M52" i="104"/>
  <c r="W51" i="104"/>
  <c r="O51" i="104"/>
  <c r="E51" i="104"/>
  <c r="Q50" i="104"/>
  <c r="G50" i="104"/>
  <c r="S49" i="104"/>
  <c r="I49" i="104"/>
  <c r="U48" i="104"/>
  <c r="K48" i="104"/>
  <c r="W47" i="104"/>
  <c r="M47" i="104"/>
  <c r="E47" i="104"/>
  <c r="O46" i="104"/>
  <c r="G46" i="104"/>
  <c r="Q45" i="104"/>
  <c r="I45" i="104"/>
  <c r="S44" i="104"/>
  <c r="K44" i="104"/>
  <c r="U43" i="104"/>
  <c r="M43" i="104"/>
  <c r="W42" i="104"/>
  <c r="O42" i="104"/>
  <c r="E42" i="104"/>
  <c r="Q41" i="104"/>
  <c r="G41" i="104"/>
  <c r="S40" i="104"/>
  <c r="I40" i="104"/>
  <c r="U39" i="104"/>
  <c r="K39" i="104"/>
  <c r="W38" i="104"/>
  <c r="M38" i="104"/>
  <c r="E38" i="104"/>
  <c r="O37" i="104"/>
  <c r="G37" i="104"/>
  <c r="Q36" i="104"/>
  <c r="I36" i="104"/>
  <c r="S35" i="104"/>
  <c r="K35" i="104"/>
  <c r="U34" i="104"/>
  <c r="M34" i="104"/>
  <c r="W33" i="104"/>
  <c r="O33" i="104"/>
  <c r="E33" i="104"/>
  <c r="Q28" i="104"/>
  <c r="G28" i="104"/>
  <c r="S27" i="104"/>
  <c r="I27" i="104"/>
  <c r="U26" i="104"/>
  <c r="K26" i="104"/>
  <c r="W25" i="104"/>
  <c r="M25" i="104"/>
  <c r="E25" i="104"/>
  <c r="O24" i="104"/>
  <c r="G24" i="104"/>
  <c r="Q23" i="104"/>
  <c r="I23" i="104"/>
  <c r="S22" i="104"/>
  <c r="K22" i="104"/>
  <c r="U21" i="104"/>
  <c r="M21" i="104"/>
  <c r="W20" i="104"/>
  <c r="O20" i="104"/>
  <c r="E20" i="104"/>
  <c r="Q19" i="104"/>
  <c r="G19" i="104"/>
  <c r="S18" i="104"/>
  <c r="I18" i="104"/>
  <c r="U17" i="104"/>
  <c r="K17" i="104"/>
  <c r="W16" i="104"/>
  <c r="M16" i="104"/>
  <c r="E16" i="104"/>
  <c r="O15" i="104"/>
  <c r="G15" i="104"/>
  <c r="Q14" i="104"/>
  <c r="I14" i="104"/>
  <c r="S13" i="104"/>
  <c r="K13" i="104"/>
  <c r="U12" i="104"/>
  <c r="M12" i="104"/>
  <c r="W11" i="104"/>
  <c r="O11" i="104"/>
  <c r="E11" i="104"/>
  <c r="Q10" i="104"/>
  <c r="G10" i="104"/>
  <c r="S9" i="104"/>
  <c r="I9" i="104"/>
  <c r="U8" i="104"/>
  <c r="K8" i="104"/>
  <c r="W103" i="103"/>
  <c r="M103" i="103"/>
  <c r="E103" i="103"/>
  <c r="O102" i="103"/>
  <c r="G102" i="103"/>
  <c r="Q101" i="103"/>
  <c r="I101" i="103"/>
  <c r="S100" i="103"/>
  <c r="K100" i="103"/>
  <c r="U99" i="103"/>
  <c r="M99" i="103"/>
  <c r="W98" i="103"/>
  <c r="O98" i="103"/>
  <c r="E98" i="103"/>
  <c r="Q97" i="103"/>
  <c r="G97" i="103"/>
  <c r="S96" i="103"/>
  <c r="I96" i="103"/>
  <c r="U95" i="103"/>
  <c r="K95" i="103"/>
  <c r="W94" i="103"/>
  <c r="M94" i="103"/>
  <c r="E94" i="103"/>
  <c r="O93" i="103"/>
  <c r="G93" i="103"/>
  <c r="Q92" i="103"/>
  <c r="I92" i="103"/>
  <c r="S91" i="103"/>
  <c r="K91" i="103"/>
  <c r="U90" i="103"/>
  <c r="M90" i="103"/>
  <c r="W89" i="103"/>
  <c r="O89" i="103"/>
  <c r="E89" i="103"/>
  <c r="Q88" i="103"/>
  <c r="G88" i="103"/>
  <c r="S87" i="103"/>
  <c r="I87" i="103"/>
  <c r="U86" i="103"/>
  <c r="K86" i="103"/>
  <c r="W85" i="103"/>
  <c r="M85" i="103"/>
  <c r="E85" i="103"/>
  <c r="O84" i="103"/>
  <c r="G84" i="103"/>
  <c r="Q83" i="103"/>
  <c r="I83" i="103"/>
  <c r="S78" i="103"/>
  <c r="K78" i="103"/>
  <c r="U77" i="103"/>
  <c r="M77" i="103"/>
  <c r="W76" i="103"/>
  <c r="O76" i="103"/>
  <c r="E76" i="103"/>
  <c r="Q75" i="103"/>
  <c r="G75" i="103"/>
  <c r="S74" i="103"/>
  <c r="I74" i="103"/>
  <c r="U73" i="103"/>
  <c r="K73" i="103"/>
  <c r="W72" i="103"/>
  <c r="M72" i="103"/>
  <c r="E72" i="103"/>
  <c r="O71" i="103"/>
  <c r="G71" i="103"/>
  <c r="Q70" i="103"/>
  <c r="I70" i="103"/>
  <c r="S69" i="103"/>
  <c r="K69" i="103"/>
  <c r="U68" i="103"/>
  <c r="M68" i="103"/>
  <c r="W67" i="103"/>
  <c r="O67" i="103"/>
  <c r="E67" i="103"/>
  <c r="Q66" i="103"/>
  <c r="H129" i="101"/>
  <c r="I125" i="101"/>
  <c r="J121" i="101"/>
  <c r="M117" i="101"/>
  <c r="E113" i="101"/>
  <c r="D109" i="101"/>
  <c r="G105" i="101"/>
  <c r="L98" i="101"/>
  <c r="L94" i="101"/>
  <c r="O90" i="101"/>
  <c r="H87" i="101"/>
  <c r="P81" i="101"/>
  <c r="K78" i="101"/>
  <c r="C75" i="101"/>
  <c r="L68" i="101"/>
  <c r="L65" i="101"/>
  <c r="N61" i="101"/>
  <c r="P58" i="101"/>
  <c r="O55" i="101"/>
  <c r="N52" i="101"/>
  <c r="I170" i="102"/>
  <c r="D129" i="101"/>
  <c r="K124" i="101"/>
  <c r="K120" i="101"/>
  <c r="N116" i="101"/>
  <c r="D113" i="101"/>
  <c r="P107" i="101"/>
  <c r="E104" i="101"/>
  <c r="E97" i="101"/>
  <c r="J92" i="101"/>
  <c r="O88" i="101"/>
  <c r="F85" i="101"/>
  <c r="O81" i="101"/>
  <c r="G78" i="101"/>
  <c r="P74" i="101"/>
  <c r="K68" i="101"/>
  <c r="M64" i="101"/>
  <c r="M61" i="101"/>
  <c r="L58" i="101"/>
  <c r="N55" i="101"/>
  <c r="M52" i="101"/>
  <c r="M130" i="101"/>
  <c r="K126" i="101"/>
  <c r="H119" i="101"/>
  <c r="G114" i="101"/>
  <c r="O107" i="101"/>
  <c r="L99" i="101"/>
  <c r="I92" i="101"/>
  <c r="K87" i="101"/>
  <c r="M81" i="101"/>
  <c r="E77" i="101"/>
  <c r="L67" i="101"/>
  <c r="O63" i="101"/>
  <c r="K58" i="101"/>
  <c r="L54" i="101"/>
  <c r="N49" i="101"/>
  <c r="M46" i="101"/>
  <c r="O43" i="101"/>
  <c r="M37" i="101"/>
  <c r="C34" i="101"/>
  <c r="C31" i="101"/>
  <c r="O27" i="101"/>
  <c r="P24" i="101"/>
  <c r="E22" i="101"/>
  <c r="I19" i="101"/>
  <c r="M16" i="101"/>
  <c r="F13" i="101"/>
  <c r="L10" i="101"/>
  <c r="G129" i="101"/>
  <c r="C114" i="101"/>
  <c r="O89" i="101"/>
  <c r="M67" i="101"/>
  <c r="J51" i="101"/>
  <c r="N31" i="101"/>
  <c r="P15" i="101"/>
  <c r="G20" i="101"/>
  <c r="M41" i="101"/>
  <c r="N59" i="101"/>
  <c r="N82" i="101"/>
  <c r="C108" i="101"/>
  <c r="E23" i="101"/>
  <c r="N44" i="101"/>
  <c r="I63" i="101"/>
  <c r="F86" i="101"/>
  <c r="N111" i="101"/>
  <c r="O23" i="101"/>
  <c r="O44" i="101"/>
  <c r="L63" i="101"/>
  <c r="K86" i="101"/>
  <c r="L112" i="101"/>
  <c r="J128" i="101"/>
  <c r="F124" i="101"/>
  <c r="P119" i="101"/>
  <c r="L115" i="101"/>
  <c r="H111" i="101"/>
  <c r="D107" i="101"/>
  <c r="N99" i="101"/>
  <c r="J95" i="101"/>
  <c r="F91" i="101"/>
  <c r="H128" i="101"/>
  <c r="L123" i="101"/>
  <c r="O118" i="101"/>
  <c r="D114" i="101"/>
  <c r="H109" i="101"/>
  <c r="K104" i="101"/>
  <c r="N96" i="101"/>
  <c r="D92" i="101"/>
  <c r="J87" i="101"/>
  <c r="F83" i="101"/>
  <c r="P78" i="101"/>
  <c r="L74" i="101"/>
  <c r="H67" i="101"/>
  <c r="D63" i="101"/>
  <c r="N58" i="101"/>
  <c r="J54" i="101"/>
  <c r="F50" i="101"/>
  <c r="P45" i="101"/>
  <c r="L41" i="101"/>
  <c r="H34" i="101"/>
  <c r="D30" i="101"/>
  <c r="N25" i="101"/>
  <c r="P127" i="101"/>
  <c r="K122" i="101"/>
  <c r="H117" i="101"/>
  <c r="C112" i="101"/>
  <c r="M106" i="101"/>
  <c r="J98" i="101"/>
  <c r="E93" i="101"/>
  <c r="C88" i="101"/>
  <c r="G83" i="101"/>
  <c r="J78" i="101"/>
  <c r="M73" i="101"/>
  <c r="C66" i="101"/>
  <c r="F61" i="101"/>
  <c r="I56" i="101"/>
  <c r="M51" i="101"/>
  <c r="P46" i="101"/>
  <c r="E42" i="101"/>
  <c r="I34" i="101"/>
  <c r="L29" i="101"/>
  <c r="O24" i="101"/>
  <c r="J20" i="101"/>
  <c r="F16" i="101"/>
  <c r="P11" i="101"/>
  <c r="N119" i="101"/>
  <c r="C111" i="101"/>
  <c r="P103" i="101"/>
  <c r="O93" i="101"/>
  <c r="O87" i="101"/>
  <c r="G82" i="101"/>
  <c r="M76" i="101"/>
  <c r="K129" i="101"/>
  <c r="G124" i="101"/>
  <c r="C119" i="101"/>
  <c r="M113" i="101"/>
  <c r="H108" i="101"/>
  <c r="E103" i="101"/>
  <c r="O94" i="101"/>
  <c r="J89" i="101"/>
  <c r="N84" i="101"/>
  <c r="C80" i="101"/>
  <c r="F75" i="101"/>
  <c r="J67" i="101"/>
  <c r="M62" i="101"/>
  <c r="P57" i="101"/>
  <c r="F53" i="101"/>
  <c r="I48" i="101"/>
  <c r="L43" i="101"/>
  <c r="P35" i="101"/>
  <c r="E31" i="101"/>
  <c r="H26" i="101"/>
  <c r="O21" i="101"/>
  <c r="K17" i="101"/>
  <c r="G13" i="101"/>
  <c r="H130" i="101"/>
  <c r="E124" i="101"/>
  <c r="M112" i="101"/>
  <c r="G86" i="101"/>
  <c r="L127" i="101"/>
  <c r="F120" i="101"/>
  <c r="K112" i="101"/>
  <c r="E105" i="101"/>
  <c r="J94" i="101"/>
  <c r="G87" i="101"/>
  <c r="I80" i="101"/>
  <c r="J73" i="101"/>
  <c r="I64" i="101"/>
  <c r="I58" i="101"/>
  <c r="K52" i="101"/>
  <c r="J46" i="101"/>
  <c r="L37" i="101"/>
  <c r="L31" i="101"/>
  <c r="M25" i="101"/>
  <c r="E20" i="101"/>
  <c r="O14" i="101"/>
  <c r="O128" i="101"/>
  <c r="C115" i="101"/>
  <c r="O96" i="101"/>
  <c r="O85" i="101"/>
  <c r="L76" i="101"/>
  <c r="G65" i="101"/>
  <c r="F56" i="101"/>
  <c r="I45" i="101"/>
  <c r="H33" i="101"/>
  <c r="K26" i="101"/>
  <c r="E19" i="101"/>
  <c r="C12" i="101"/>
  <c r="K118" i="101"/>
  <c r="L104" i="101"/>
  <c r="O86" i="101"/>
  <c r="G74" i="101"/>
  <c r="E56" i="101"/>
  <c r="G43" i="101"/>
  <c r="I27" i="101"/>
  <c r="H16" i="101"/>
  <c r="F122" i="101"/>
  <c r="P105" i="101"/>
  <c r="N87" i="101"/>
  <c r="J75" i="101"/>
  <c r="D59" i="101"/>
  <c r="E47" i="101"/>
  <c r="F33" i="101"/>
  <c r="I23" i="101"/>
  <c r="I14" i="101"/>
  <c r="F123" i="101"/>
  <c r="C107" i="101"/>
  <c r="C89" i="101"/>
  <c r="D82" i="101"/>
  <c r="I75" i="101"/>
  <c r="O64" i="101"/>
  <c r="P53" i="101"/>
  <c r="E36" i="101"/>
  <c r="E26" i="101"/>
  <c r="F15" i="101"/>
  <c r="J127" i="101"/>
  <c r="E120" i="101"/>
  <c r="I112" i="101"/>
  <c r="D105" i="101"/>
  <c r="H94" i="101"/>
  <c r="C87" i="101"/>
  <c r="G80" i="101"/>
  <c r="I73" i="101"/>
  <c r="F64" i="101"/>
  <c r="H58" i="101"/>
  <c r="G52" i="101"/>
  <c r="I46" i="101"/>
  <c r="I37" i="101"/>
  <c r="K31" i="101"/>
  <c r="J25" i="101"/>
  <c r="D20" i="101"/>
  <c r="L14" i="101"/>
  <c r="D130" i="101"/>
  <c r="K113" i="101"/>
  <c r="I95" i="101"/>
  <c r="E68" i="101"/>
  <c r="H50" i="101"/>
  <c r="I29" i="101"/>
  <c r="O129" i="101"/>
  <c r="I113" i="101"/>
  <c r="H95" i="101"/>
  <c r="F81" i="101"/>
  <c r="E66" i="101"/>
  <c r="E55" i="101"/>
  <c r="F44" i="101"/>
  <c r="G29" i="101"/>
  <c r="P18" i="101"/>
  <c r="N129" i="101"/>
  <c r="C117" i="101"/>
  <c r="P98" i="101"/>
  <c r="I84" i="101"/>
  <c r="C67" i="101"/>
  <c r="D56" i="101"/>
  <c r="E44" i="101"/>
  <c r="F29" i="101"/>
  <c r="K13" i="101"/>
  <c r="E122" i="101"/>
  <c r="E108" i="101"/>
  <c r="D90" i="101"/>
  <c r="C56" i="101"/>
  <c r="D44" i="101"/>
  <c r="E30" i="101"/>
  <c r="D17" i="101"/>
  <c r="E14" i="101"/>
  <c r="N27" i="101"/>
  <c r="M45" i="101"/>
  <c r="L60" i="101"/>
  <c r="J79" i="101"/>
  <c r="F97" i="101"/>
  <c r="G119" i="101"/>
  <c r="K130" i="101"/>
  <c r="M125" i="101"/>
  <c r="E119" i="101"/>
  <c r="E114" i="101"/>
  <c r="O106" i="101"/>
  <c r="M98" i="101"/>
  <c r="C92" i="101"/>
  <c r="I87" i="101"/>
  <c r="P80" i="101"/>
  <c r="G76" i="101"/>
  <c r="I67" i="101"/>
  <c r="M63" i="101"/>
  <c r="J58" i="101"/>
  <c r="K53" i="101"/>
  <c r="L49" i="101"/>
  <c r="K46" i="101"/>
  <c r="K43" i="101"/>
  <c r="P36" i="101"/>
  <c r="P33" i="101"/>
  <c r="O30" i="101"/>
  <c r="M27" i="101"/>
  <c r="M24" i="101"/>
  <c r="D22" i="101"/>
  <c r="H19" i="101"/>
  <c r="O15" i="101"/>
  <c r="E13" i="101"/>
  <c r="K10" i="101"/>
  <c r="O130" i="101"/>
  <c r="I110" i="101"/>
  <c r="J86" i="101"/>
  <c r="N64" i="101"/>
  <c r="M48" i="101"/>
  <c r="C29" i="101"/>
  <c r="I13" i="101"/>
  <c r="D23" i="101"/>
  <c r="M44" i="101"/>
  <c r="L62" i="101"/>
  <c r="E86" i="101"/>
  <c r="L111" i="101"/>
  <c r="N26" i="101"/>
  <c r="N47" i="101"/>
  <c r="I66" i="101"/>
  <c r="P89" i="101"/>
  <c r="L116" i="101"/>
  <c r="J137" i="101"/>
  <c r="O26" i="101"/>
  <c r="O47" i="101"/>
  <c r="J66" i="101"/>
  <c r="C90" i="101"/>
  <c r="M116" i="101"/>
  <c r="N127" i="101"/>
  <c r="J123" i="101"/>
  <c r="F119" i="101"/>
  <c r="P114" i="101"/>
  <c r="L110" i="101"/>
  <c r="H106" i="101"/>
  <c r="D99" i="101"/>
  <c r="N94" i="101"/>
  <c r="J90" i="101"/>
  <c r="K127" i="101"/>
  <c r="O122" i="101"/>
  <c r="D118" i="101"/>
  <c r="G113" i="101"/>
  <c r="K108" i="101"/>
  <c r="N103" i="101"/>
  <c r="C96" i="101"/>
  <c r="G91" i="101"/>
  <c r="N86" i="101"/>
  <c r="J82" i="101"/>
  <c r="F78" i="101"/>
  <c r="P73" i="101"/>
  <c r="L66" i="101"/>
  <c r="H62" i="101"/>
  <c r="D58" i="101"/>
  <c r="N53" i="101"/>
  <c r="J49" i="101"/>
  <c r="F45" i="101"/>
  <c r="P37" i="101"/>
  <c r="L33" i="101"/>
  <c r="H29" i="101"/>
  <c r="D25" i="101"/>
  <c r="C127" i="101"/>
  <c r="M121" i="101"/>
  <c r="I116" i="101"/>
  <c r="E111" i="101"/>
  <c r="O105" i="101"/>
  <c r="J97" i="101"/>
  <c r="G92" i="101"/>
  <c r="F87" i="101"/>
  <c r="I82" i="101"/>
  <c r="M77" i="101"/>
  <c r="P72" i="101"/>
  <c r="E65" i="101"/>
  <c r="I60" i="101"/>
  <c r="L55" i="101"/>
  <c r="O50" i="101"/>
  <c r="E46" i="101"/>
  <c r="H41" i="101"/>
  <c r="K33" i="101"/>
  <c r="O28" i="101"/>
  <c r="D24" i="101"/>
  <c r="N19" i="101"/>
  <c r="J15" i="101"/>
  <c r="F11" i="101"/>
  <c r="C118" i="101"/>
  <c r="E109" i="101"/>
  <c r="D103" i="101"/>
  <c r="C93" i="101"/>
  <c r="D87" i="101"/>
  <c r="J81" i="101"/>
  <c r="P75" i="101"/>
  <c r="M128" i="101"/>
  <c r="H123" i="101"/>
  <c r="E118" i="101"/>
  <c r="O112" i="101"/>
  <c r="J107" i="101"/>
  <c r="G99" i="101"/>
  <c r="P93" i="101"/>
  <c r="M88" i="101"/>
  <c r="C84" i="101"/>
  <c r="F79" i="101"/>
  <c r="I74" i="101"/>
  <c r="M66" i="101"/>
  <c r="P61" i="101"/>
  <c r="E57" i="101"/>
  <c r="I52" i="101"/>
  <c r="L47" i="101"/>
  <c r="O42" i="101"/>
  <c r="E35" i="101"/>
  <c r="H30" i="101"/>
  <c r="K25" i="101"/>
  <c r="E21" i="101"/>
  <c r="O16" i="101"/>
  <c r="K12" i="101"/>
  <c r="J129" i="101"/>
  <c r="I122" i="101"/>
  <c r="D110" i="101"/>
  <c r="P79" i="101"/>
  <c r="J126" i="101"/>
  <c r="N118" i="101"/>
  <c r="I111" i="101"/>
  <c r="M103" i="101"/>
  <c r="G93" i="101"/>
  <c r="C86" i="101"/>
  <c r="H79" i="101"/>
  <c r="I72" i="101"/>
  <c r="H63" i="101"/>
  <c r="J57" i="101"/>
  <c r="I51" i="101"/>
  <c r="K45" i="101"/>
  <c r="K36" i="101"/>
  <c r="L30" i="101"/>
  <c r="L24" i="101"/>
  <c r="G19" i="101"/>
  <c r="O13" i="101"/>
  <c r="G126" i="101"/>
  <c r="H112" i="101"/>
  <c r="G94" i="101"/>
  <c r="K83" i="101"/>
  <c r="K74" i="101"/>
  <c r="F63" i="101"/>
  <c r="G54" i="101"/>
  <c r="G44" i="101"/>
  <c r="I32" i="101"/>
  <c r="I25" i="101"/>
  <c r="E18" i="101"/>
  <c r="E10" i="101"/>
  <c r="C116" i="101"/>
  <c r="C99" i="101"/>
  <c r="J84" i="101"/>
  <c r="F72" i="101"/>
  <c r="F54" i="101"/>
  <c r="F41" i="101"/>
  <c r="H25" i="101"/>
  <c r="J14" i="101"/>
  <c r="I118" i="101"/>
  <c r="H103" i="101"/>
  <c r="M85" i="101"/>
  <c r="E73" i="101"/>
  <c r="C57" i="101"/>
  <c r="D45" i="101"/>
  <c r="F30" i="101"/>
  <c r="K21" i="101"/>
  <c r="M12" i="101"/>
  <c r="P120" i="101"/>
  <c r="I104" i="101"/>
  <c r="M87" i="101"/>
  <c r="C81" i="101"/>
  <c r="E74" i="101"/>
  <c r="P62" i="101"/>
  <c r="D51" i="101"/>
  <c r="C35" i="101"/>
  <c r="F25" i="101"/>
  <c r="J13" i="101"/>
  <c r="I126" i="101"/>
  <c r="M118" i="101"/>
  <c r="G111" i="101"/>
  <c r="L103" i="101"/>
  <c r="F93" i="101"/>
  <c r="P85" i="101"/>
  <c r="D79" i="101"/>
  <c r="H72" i="101"/>
  <c r="G63" i="101"/>
  <c r="I57" i="101"/>
  <c r="H51" i="101"/>
  <c r="J45" i="101"/>
  <c r="I36" i="101"/>
  <c r="K30" i="101"/>
  <c r="K24" i="101"/>
  <c r="F19" i="101"/>
  <c r="N13" i="101"/>
  <c r="I127" i="101"/>
  <c r="F111" i="101"/>
  <c r="P92" i="101"/>
  <c r="E64" i="101"/>
  <c r="G48" i="101"/>
  <c r="J24" i="101"/>
  <c r="H127" i="101"/>
  <c r="O110" i="101"/>
  <c r="N92" i="101"/>
  <c r="O78" i="101"/>
  <c r="D64" i="101"/>
  <c r="E53" i="101"/>
  <c r="G42" i="101"/>
  <c r="H28" i="101"/>
  <c r="F17" i="101"/>
  <c r="G127" i="101"/>
  <c r="M114" i="101"/>
  <c r="I96" i="101"/>
  <c r="E82" i="101"/>
  <c r="P64" i="101"/>
  <c r="D55" i="101"/>
  <c r="F42" i="101"/>
  <c r="G25" i="101"/>
  <c r="M11" i="101"/>
  <c r="J119" i="101"/>
  <c r="K105" i="101"/>
  <c r="O68" i="101"/>
  <c r="P52" i="101"/>
  <c r="E43" i="101"/>
  <c r="F28" i="101"/>
  <c r="D16" i="101"/>
  <c r="C16" i="101"/>
  <c r="C30" i="101"/>
  <c r="P47" i="101"/>
  <c r="O62" i="101"/>
  <c r="C82" i="101"/>
  <c r="P99" i="101"/>
  <c r="P121" i="101"/>
  <c r="F12" i="101"/>
  <c r="N16" i="101"/>
  <c r="F20" i="101"/>
  <c r="C25" i="101"/>
  <c r="P29" i="101"/>
  <c r="N34" i="101"/>
  <c r="L42" i="101"/>
  <c r="C47" i="101"/>
  <c r="O51" i="101"/>
  <c r="I59" i="101"/>
  <c r="K66" i="101"/>
  <c r="H77" i="101"/>
  <c r="G84" i="101"/>
  <c r="C95" i="101"/>
  <c r="J105" i="101"/>
  <c r="H114" i="101"/>
  <c r="C123" i="101"/>
  <c r="Q13" i="14"/>
  <c r="F76" i="14"/>
  <c r="H8" i="103"/>
  <c r="V8" i="103"/>
  <c r="N9" i="103"/>
  <c r="J10" i="103"/>
  <c r="V10" i="103"/>
  <c r="P11" i="103"/>
  <c r="H12" i="103"/>
  <c r="D13" i="103"/>
  <c r="P13" i="103"/>
  <c r="J14" i="103"/>
  <c r="V14" i="103"/>
  <c r="R15" i="103"/>
  <c r="J16" i="103"/>
  <c r="D17" i="103"/>
  <c r="P17" i="103"/>
  <c r="L18" i="103"/>
  <c r="D19" i="103"/>
  <c r="R19" i="103"/>
  <c r="J20" i="103"/>
  <c r="F21" i="103"/>
  <c r="R21" i="103"/>
  <c r="L22" i="103"/>
  <c r="D23" i="103"/>
  <c r="T23" i="103"/>
  <c r="L24" i="103"/>
  <c r="F25" i="103"/>
  <c r="R25" i="103"/>
  <c r="N26" i="103"/>
  <c r="F27" i="103"/>
  <c r="T27" i="103"/>
  <c r="L28" i="103"/>
  <c r="H33" i="103"/>
  <c r="T33" i="103"/>
  <c r="N34" i="103"/>
  <c r="F35" i="103"/>
  <c r="V35" i="103"/>
  <c r="N36" i="103"/>
  <c r="H37" i="103"/>
  <c r="T37" i="103"/>
  <c r="P38" i="103"/>
  <c r="H39" i="103"/>
  <c r="V39" i="103"/>
  <c r="N40" i="103"/>
  <c r="J41" i="103"/>
  <c r="V41" i="103"/>
  <c r="P42" i="103"/>
  <c r="H43" i="103"/>
  <c r="D44" i="103"/>
  <c r="P44" i="103"/>
  <c r="J45" i="103"/>
  <c r="V45" i="103"/>
  <c r="R46" i="103"/>
  <c r="J47" i="103"/>
  <c r="D48" i="103"/>
  <c r="P48" i="103"/>
  <c r="L49" i="103"/>
  <c r="D50" i="103"/>
  <c r="R50" i="103"/>
  <c r="J51" i="103"/>
  <c r="F52" i="103"/>
  <c r="R52" i="103"/>
  <c r="L53" i="103"/>
  <c r="D58" i="103"/>
  <c r="T58" i="103"/>
  <c r="L59" i="103"/>
  <c r="F60" i="103"/>
  <c r="R60" i="103"/>
  <c r="N61" i="103"/>
  <c r="F62" i="103"/>
  <c r="T62" i="103"/>
  <c r="L63" i="103"/>
  <c r="H64" i="103"/>
  <c r="T64" i="103"/>
  <c r="N65" i="103"/>
  <c r="F66" i="103"/>
  <c r="W66" i="103"/>
  <c r="U67" i="103"/>
  <c r="S68" i="103"/>
  <c r="Q69" i="103"/>
  <c r="O70" i="103"/>
  <c r="M71" i="103"/>
  <c r="K72" i="103"/>
  <c r="I73" i="103"/>
  <c r="G74" i="103"/>
  <c r="E75" i="103"/>
  <c r="W75" i="103"/>
  <c r="U76" i="103"/>
  <c r="S77" i="103"/>
  <c r="Q78" i="103"/>
  <c r="O83" i="103"/>
  <c r="M84" i="103"/>
  <c r="K85" i="103"/>
  <c r="I86" i="103"/>
  <c r="G87" i="103"/>
  <c r="E88" i="103"/>
  <c r="W88" i="103"/>
  <c r="U89" i="103"/>
  <c r="S90" i="103"/>
  <c r="Q91" i="103"/>
  <c r="O92" i="103"/>
  <c r="M93" i="103"/>
  <c r="K94" i="103"/>
  <c r="I95" i="103"/>
  <c r="G96" i="103"/>
  <c r="E97" i="103"/>
  <c r="W97" i="103"/>
  <c r="U98" i="103"/>
  <c r="S99" i="103"/>
  <c r="Q100" i="103"/>
  <c r="O101" i="103"/>
  <c r="M102" i="103"/>
  <c r="K103" i="103"/>
  <c r="I8" i="104"/>
  <c r="G9" i="104"/>
  <c r="E10" i="104"/>
  <c r="W10" i="104"/>
  <c r="U11" i="104"/>
  <c r="S12" i="104"/>
  <c r="Q13" i="104"/>
  <c r="O14" i="104"/>
  <c r="M15" i="104"/>
  <c r="K16" i="104"/>
  <c r="I17" i="104"/>
  <c r="G18" i="104"/>
  <c r="E19" i="104"/>
  <c r="W19" i="104"/>
  <c r="U20" i="104"/>
  <c r="S21" i="104"/>
  <c r="Q22" i="104"/>
  <c r="O23" i="104"/>
  <c r="M24" i="104"/>
  <c r="K25" i="104"/>
  <c r="I26" i="104"/>
  <c r="G27" i="104"/>
  <c r="E28" i="104"/>
  <c r="W28" i="104"/>
  <c r="U33" i="104"/>
  <c r="S34" i="104"/>
  <c r="Q35" i="104"/>
  <c r="O36" i="104"/>
  <c r="M37" i="104"/>
  <c r="K38" i="104"/>
  <c r="I39" i="104"/>
  <c r="G40" i="104"/>
  <c r="E41" i="104"/>
  <c r="W41" i="104"/>
  <c r="U42" i="104"/>
  <c r="S43" i="104"/>
  <c r="Q44" i="104"/>
  <c r="O45" i="104"/>
  <c r="M46" i="104"/>
  <c r="K47" i="104"/>
  <c r="I48" i="104"/>
  <c r="G49" i="104"/>
  <c r="E50" i="104"/>
  <c r="W50" i="104"/>
  <c r="U51" i="104"/>
  <c r="S52" i="104"/>
  <c r="Q53" i="104"/>
  <c r="O58" i="104"/>
  <c r="M59" i="104"/>
  <c r="K60" i="104"/>
  <c r="I61" i="104"/>
  <c r="G62" i="104"/>
  <c r="E63" i="104"/>
  <c r="W63" i="104"/>
  <c r="U64" i="104"/>
  <c r="S65" i="104"/>
  <c r="Q66" i="104"/>
  <c r="O67" i="104"/>
  <c r="M68" i="104"/>
  <c r="K69" i="104"/>
  <c r="I70" i="104"/>
  <c r="G71" i="104"/>
  <c r="E72" i="104"/>
  <c r="W72" i="104"/>
  <c r="U73" i="104"/>
  <c r="S74" i="104"/>
  <c r="Q75" i="104"/>
  <c r="O76" i="104"/>
  <c r="M77" i="104"/>
  <c r="K78" i="104"/>
  <c r="I83" i="104"/>
  <c r="G84" i="104"/>
  <c r="E85" i="104"/>
  <c r="W85" i="104"/>
  <c r="U86" i="104"/>
  <c r="S87" i="104"/>
  <c r="Q88" i="104"/>
  <c r="O89" i="104"/>
  <c r="M90" i="104"/>
  <c r="K91" i="104"/>
  <c r="I92" i="104"/>
  <c r="G93" i="104"/>
  <c r="E94" i="104"/>
  <c r="W94" i="104"/>
  <c r="U95" i="104"/>
  <c r="S96" i="104"/>
  <c r="Q97" i="104"/>
  <c r="O98" i="104"/>
  <c r="M99" i="104"/>
  <c r="K100" i="104"/>
  <c r="I101" i="104"/>
  <c r="G102" i="104"/>
  <c r="E103" i="104"/>
  <c r="W103" i="104"/>
  <c r="U8" i="105"/>
  <c r="S9" i="105"/>
  <c r="Q10" i="105"/>
  <c r="O11" i="105"/>
  <c r="M12" i="105"/>
  <c r="K13" i="105"/>
  <c r="I14" i="105"/>
  <c r="G15" i="105"/>
  <c r="E16" i="105"/>
  <c r="W16" i="105"/>
  <c r="U17" i="105"/>
  <c r="S18" i="105"/>
  <c r="Q19" i="105"/>
  <c r="O20" i="105"/>
  <c r="M21" i="105"/>
  <c r="K22" i="105"/>
  <c r="I23" i="105"/>
  <c r="G24" i="105"/>
  <c r="E25" i="105"/>
  <c r="W25" i="105"/>
  <c r="U26" i="105"/>
  <c r="S27" i="105"/>
  <c r="Q28" i="105"/>
  <c r="O33" i="105"/>
  <c r="M34" i="105"/>
  <c r="K35" i="105"/>
  <c r="I36" i="105"/>
  <c r="G37" i="105"/>
  <c r="E38" i="105"/>
  <c r="W38" i="105"/>
  <c r="U39" i="105"/>
  <c r="S40" i="105"/>
  <c r="Q41" i="105"/>
  <c r="O42" i="105"/>
  <c r="M43" i="105"/>
  <c r="K44" i="105"/>
  <c r="I45" i="105"/>
  <c r="G46" i="105"/>
  <c r="E47" i="105"/>
  <c r="W47" i="105"/>
  <c r="U48" i="105"/>
  <c r="S49" i="105"/>
  <c r="Q50" i="105"/>
  <c r="O51" i="105"/>
  <c r="M52" i="105"/>
  <c r="K53" i="105"/>
  <c r="I8" i="106"/>
  <c r="G9" i="106"/>
  <c r="E10" i="106"/>
  <c r="W10" i="106"/>
  <c r="U11" i="106"/>
  <c r="S12" i="106"/>
  <c r="Q13" i="106"/>
  <c r="O14" i="106"/>
  <c r="M15" i="106"/>
  <c r="K16" i="106"/>
  <c r="I17" i="106"/>
  <c r="G18" i="106"/>
  <c r="E19" i="106"/>
  <c r="W19" i="106"/>
  <c r="U20" i="106"/>
  <c r="S21" i="106"/>
  <c r="Q22" i="106"/>
  <c r="O23" i="106"/>
  <c r="M24" i="106"/>
  <c r="K25" i="106"/>
  <c r="I26" i="106"/>
  <c r="G27" i="106"/>
  <c r="E28" i="106"/>
  <c r="G33" i="106"/>
  <c r="H34" i="106"/>
  <c r="J35" i="106"/>
  <c r="K36" i="106"/>
  <c r="M37" i="106"/>
  <c r="O38" i="106"/>
  <c r="P39" i="106"/>
  <c r="R40" i="106"/>
  <c r="S41" i="106"/>
  <c r="U42" i="106"/>
  <c r="W43" i="106"/>
  <c r="D45" i="106"/>
  <c r="F46" i="106"/>
  <c r="G47" i="106"/>
  <c r="I48" i="106"/>
  <c r="K49" i="106"/>
  <c r="L50" i="106"/>
  <c r="N51" i="106"/>
  <c r="O52" i="106"/>
  <c r="Q53" i="106"/>
  <c r="V8" i="107"/>
  <c r="K10" i="107"/>
  <c r="V11" i="107"/>
  <c r="P13" i="107"/>
  <c r="H15" i="107"/>
  <c r="S16" i="107"/>
  <c r="M18" i="107"/>
  <c r="D20" i="107"/>
  <c r="R21" i="107"/>
  <c r="J23" i="107"/>
  <c r="U24" i="107"/>
  <c r="O26" i="107"/>
  <c r="F28" i="107"/>
  <c r="T33" i="107"/>
  <c r="L35" i="107"/>
  <c r="W36" i="107"/>
  <c r="Q38" i="107"/>
  <c r="H40" i="107"/>
  <c r="V41" i="107"/>
  <c r="N43" i="107"/>
  <c r="E45" i="107"/>
  <c r="S46" i="107"/>
  <c r="J48" i="107"/>
  <c r="D50" i="107"/>
  <c r="P51" i="107"/>
  <c r="G53" i="107"/>
  <c r="U58" i="107"/>
  <c r="L60" i="107"/>
  <c r="F62" i="107"/>
  <c r="R63" i="107"/>
  <c r="I65" i="107"/>
  <c r="W66" i="107"/>
  <c r="N68" i="107"/>
  <c r="H70" i="107"/>
  <c r="T71" i="107"/>
  <c r="K73" i="107"/>
  <c r="E75" i="107"/>
  <c r="P76" i="107"/>
  <c r="K78" i="107"/>
  <c r="M84" i="107"/>
  <c r="K86" i="107"/>
  <c r="M88" i="107"/>
  <c r="M90" i="107"/>
  <c r="O92" i="107"/>
  <c r="M94" i="107"/>
  <c r="O96" i="107"/>
  <c r="O98" i="107"/>
  <c r="Q100" i="107"/>
  <c r="O102" i="107"/>
  <c r="Q8" i="108"/>
  <c r="Q10" i="108"/>
  <c r="S12" i="108"/>
  <c r="Q14" i="108"/>
  <c r="S16" i="108"/>
  <c r="S18" i="108"/>
  <c r="U20" i="108"/>
  <c r="S22" i="108"/>
  <c r="U24" i="108"/>
  <c r="U26" i="108"/>
  <c r="W28" i="108"/>
  <c r="U34" i="108"/>
  <c r="W36" i="108"/>
  <c r="W38" i="108"/>
  <c r="E41" i="108"/>
  <c r="W42" i="108"/>
  <c r="E45" i="108"/>
  <c r="E47" i="108"/>
  <c r="G49" i="108"/>
  <c r="E51" i="108"/>
  <c r="G53" i="108"/>
  <c r="G59" i="108"/>
  <c r="I61" i="108"/>
  <c r="G63" i="108"/>
  <c r="I65" i="108"/>
  <c r="I67" i="108"/>
  <c r="K69" i="108"/>
  <c r="I71" i="108"/>
  <c r="K73" i="108"/>
  <c r="K75" i="108"/>
  <c r="M77" i="108"/>
  <c r="K83" i="108"/>
  <c r="D86" i="108"/>
  <c r="R88" i="108"/>
  <c r="L91" i="108"/>
  <c r="F94" i="108"/>
  <c r="T96" i="108"/>
  <c r="N99" i="108"/>
  <c r="H102" i="108"/>
  <c r="W8" i="109"/>
  <c r="G12" i="109"/>
  <c r="L15" i="109"/>
  <c r="Q18" i="109"/>
  <c r="V21" i="109"/>
  <c r="G25" i="109"/>
  <c r="K28" i="109"/>
  <c r="P35" i="109"/>
  <c r="U38" i="109"/>
  <c r="F42" i="109"/>
  <c r="K45" i="109"/>
  <c r="O48" i="109"/>
  <c r="U52" i="109"/>
  <c r="U11" i="110"/>
  <c r="D17" i="110"/>
  <c r="I22" i="110"/>
  <c r="O28" i="110"/>
  <c r="D39" i="110"/>
  <c r="N45" i="110"/>
  <c r="R53" i="110"/>
  <c r="M17" i="111"/>
  <c r="G27" i="111"/>
  <c r="U40" i="111"/>
  <c r="P50" i="111"/>
  <c r="J64" i="111"/>
  <c r="E74" i="111"/>
  <c r="T89" i="111"/>
  <c r="S102" i="111"/>
  <c r="R19" i="112"/>
  <c r="S37" i="112"/>
  <c r="T156" i="28"/>
  <c r="L112" i="28"/>
  <c r="F198" i="28"/>
  <c r="X206" i="28"/>
  <c r="K158" i="28"/>
  <c r="Q188" i="28"/>
  <c r="Y114" i="28"/>
  <c r="W130" i="28"/>
  <c r="I8" i="94"/>
  <c r="I59" i="94"/>
  <c r="C63" i="94"/>
  <c r="H88" i="94"/>
  <c r="G12" i="94"/>
  <c r="I13" i="94"/>
  <c r="H10" i="94"/>
  <c r="D89" i="94"/>
  <c r="C60" i="94"/>
  <c r="C31" i="94"/>
  <c r="J8" i="94"/>
  <c r="G58" i="94"/>
  <c r="F18" i="94"/>
  <c r="L65" i="94"/>
  <c r="H22" i="94"/>
  <c r="E64" i="94"/>
  <c r="M14" i="94"/>
  <c r="K53" i="94"/>
  <c r="K7" i="94"/>
  <c r="M41" i="94"/>
  <c r="O54" i="28"/>
  <c r="O14" i="28" s="1"/>
  <c r="V180" i="28"/>
  <c r="J144" i="28"/>
  <c r="H124" i="28"/>
  <c r="C95" i="28"/>
  <c r="E52" i="28"/>
  <c r="E12" i="28" s="1"/>
  <c r="P183" i="28"/>
  <c r="C104" i="28"/>
  <c r="J58" i="28"/>
  <c r="J18" i="28" s="1"/>
  <c r="P98" i="28"/>
  <c r="T62" i="28"/>
  <c r="T22" i="28" s="1"/>
  <c r="L81" i="101"/>
  <c r="K89" i="101"/>
  <c r="L96" i="101"/>
  <c r="I108" i="101"/>
  <c r="J115" i="101"/>
  <c r="H124" i="101"/>
  <c r="H24" i="101"/>
  <c r="J31" i="101"/>
  <c r="F37" i="101"/>
  <c r="H47" i="101"/>
  <c r="D53" i="101"/>
  <c r="F60" i="101"/>
  <c r="P65" i="101"/>
  <c r="D76" i="101"/>
  <c r="N81" i="101"/>
  <c r="P88" i="101"/>
  <c r="F95" i="101"/>
  <c r="E106" i="101"/>
  <c r="J112" i="101"/>
  <c r="I120" i="101"/>
  <c r="N126" i="101"/>
  <c r="L92" i="101"/>
  <c r="H98" i="101"/>
  <c r="J108" i="101"/>
  <c r="F114" i="101"/>
  <c r="H121" i="101"/>
  <c r="D127" i="101"/>
  <c r="E128" i="101"/>
  <c r="K94" i="101"/>
  <c r="K57" i="101"/>
  <c r="O29" i="101"/>
  <c r="D128" i="101"/>
  <c r="K93" i="101"/>
  <c r="O56" i="101"/>
  <c r="N29" i="101"/>
  <c r="E123" i="101"/>
  <c r="M89" i="101"/>
  <c r="L53" i="101"/>
  <c r="C26" i="101"/>
  <c r="G21" i="101"/>
  <c r="N45" i="101"/>
  <c r="F77" i="101"/>
  <c r="N106" i="101"/>
  <c r="D13" i="101"/>
  <c r="C17" i="101"/>
  <c r="I21" i="101"/>
  <c r="P25" i="101"/>
  <c r="M30" i="101"/>
  <c r="O34" i="101"/>
  <c r="M42" i="101"/>
  <c r="L48" i="101"/>
  <c r="P51" i="101"/>
  <c r="N60" i="101"/>
  <c r="O66" i="101"/>
  <c r="E78" i="101"/>
  <c r="D85" i="101"/>
  <c r="D95" i="101"/>
  <c r="I106" i="101"/>
  <c r="G115" i="101"/>
  <c r="D123" i="101"/>
  <c r="E17" i="14"/>
  <c r="I8" i="103"/>
  <c r="W8" i="103"/>
  <c r="O9" i="103"/>
  <c r="K10" i="103"/>
  <c r="W10" i="103"/>
  <c r="Q11" i="103"/>
  <c r="I12" i="103"/>
  <c r="E13" i="103"/>
  <c r="Q13" i="103"/>
  <c r="K14" i="103"/>
  <c r="W14" i="103"/>
  <c r="S15" i="103"/>
  <c r="K16" i="103"/>
  <c r="E17" i="103"/>
  <c r="Q17" i="103"/>
  <c r="M18" i="103"/>
  <c r="E19" i="103"/>
  <c r="S19" i="103"/>
  <c r="K20" i="103"/>
  <c r="G21" i="103"/>
  <c r="S21" i="103"/>
  <c r="M22" i="103"/>
  <c r="E23" i="103"/>
  <c r="U23" i="103"/>
  <c r="M24" i="103"/>
  <c r="G25" i="103"/>
  <c r="S25" i="103"/>
  <c r="O26" i="103"/>
  <c r="G27" i="103"/>
  <c r="U27" i="103"/>
  <c r="M28" i="103"/>
  <c r="I33" i="103"/>
  <c r="U33" i="103"/>
  <c r="O34" i="103"/>
  <c r="G35" i="103"/>
  <c r="W35" i="103"/>
  <c r="O36" i="103"/>
  <c r="I37" i="103"/>
  <c r="U37" i="103"/>
  <c r="Q38" i="103"/>
  <c r="I39" i="103"/>
  <c r="W39" i="103"/>
  <c r="O40" i="103"/>
  <c r="K41" i="103"/>
  <c r="W41" i="103"/>
  <c r="Q42" i="103"/>
  <c r="I43" i="103"/>
  <c r="E44" i="103"/>
  <c r="Q44" i="103"/>
  <c r="K45" i="103"/>
  <c r="W45" i="103"/>
  <c r="S46" i="103"/>
  <c r="K47" i="103"/>
  <c r="E48" i="103"/>
  <c r="Q48" i="103"/>
  <c r="M49" i="103"/>
  <c r="E50" i="103"/>
  <c r="S50" i="103"/>
  <c r="K51" i="103"/>
  <c r="G52" i="103"/>
  <c r="S52" i="103"/>
  <c r="M53" i="103"/>
  <c r="E58" i="103"/>
  <c r="U58" i="103"/>
  <c r="M59" i="103"/>
  <c r="G60" i="103"/>
  <c r="S60" i="103"/>
  <c r="O61" i="103"/>
  <c r="G62" i="103"/>
  <c r="U62" i="103"/>
  <c r="M63" i="103"/>
  <c r="I64" i="103"/>
  <c r="U64" i="103"/>
  <c r="O65" i="103"/>
  <c r="G66" i="103"/>
  <c r="D67" i="103"/>
  <c r="V67" i="103"/>
  <c r="T68" i="103"/>
  <c r="R69" i="103"/>
  <c r="P70" i="103"/>
  <c r="N71" i="103"/>
  <c r="L72" i="103"/>
  <c r="J73" i="103"/>
  <c r="H74" i="103"/>
  <c r="F75" i="103"/>
  <c r="D76" i="103"/>
  <c r="V76" i="103"/>
  <c r="T77" i="103"/>
  <c r="R78" i="103"/>
  <c r="P83" i="103"/>
  <c r="N84" i="103"/>
  <c r="L85" i="103"/>
  <c r="J86" i="103"/>
  <c r="H87" i="103"/>
  <c r="F88" i="103"/>
  <c r="D89" i="103"/>
  <c r="V89" i="103"/>
  <c r="T90" i="103"/>
  <c r="R91" i="103"/>
  <c r="P92" i="103"/>
  <c r="N93" i="103"/>
  <c r="L94" i="103"/>
  <c r="J95" i="103"/>
  <c r="H96" i="103"/>
  <c r="F97" i="103"/>
  <c r="D98" i="103"/>
  <c r="V98" i="103"/>
  <c r="T99" i="103"/>
  <c r="R100" i="103"/>
  <c r="P101" i="103"/>
  <c r="N102" i="103"/>
  <c r="L103" i="103"/>
  <c r="J8" i="104"/>
  <c r="H9" i="104"/>
  <c r="F10" i="104"/>
  <c r="D11" i="104"/>
  <c r="V11" i="104"/>
  <c r="T12" i="104"/>
  <c r="R13" i="104"/>
  <c r="P14" i="104"/>
  <c r="N15" i="104"/>
  <c r="L16" i="104"/>
  <c r="J17" i="104"/>
  <c r="H18" i="104"/>
  <c r="F19" i="104"/>
  <c r="D20" i="104"/>
  <c r="V20" i="104"/>
  <c r="T21" i="104"/>
  <c r="R22" i="104"/>
  <c r="P23" i="104"/>
  <c r="N24" i="104"/>
  <c r="L25" i="104"/>
  <c r="J26" i="104"/>
  <c r="H27" i="104"/>
  <c r="F28" i="104"/>
  <c r="D33" i="104"/>
  <c r="V33" i="104"/>
  <c r="T34" i="104"/>
  <c r="R35" i="104"/>
  <c r="P36" i="104"/>
  <c r="N37" i="104"/>
  <c r="L38" i="104"/>
  <c r="J39" i="104"/>
  <c r="H40" i="104"/>
  <c r="F41" i="104"/>
  <c r="D42" i="104"/>
  <c r="V42" i="104"/>
  <c r="T43" i="104"/>
  <c r="R44" i="104"/>
  <c r="P45" i="104"/>
  <c r="N46" i="104"/>
  <c r="L47" i="104"/>
  <c r="J48" i="104"/>
  <c r="H49" i="104"/>
  <c r="F50" i="104"/>
  <c r="D51" i="104"/>
  <c r="V51" i="104"/>
  <c r="T52" i="104"/>
  <c r="R53" i="104"/>
  <c r="P58" i="104"/>
  <c r="N59" i="104"/>
  <c r="L60" i="104"/>
  <c r="J61" i="104"/>
  <c r="H62" i="104"/>
  <c r="F63" i="104"/>
  <c r="D64" i="104"/>
  <c r="V64" i="104"/>
  <c r="T65" i="104"/>
  <c r="R66" i="104"/>
  <c r="P67" i="104"/>
  <c r="N68" i="104"/>
  <c r="L69" i="104"/>
  <c r="J70" i="104"/>
  <c r="H71" i="104"/>
  <c r="F72" i="104"/>
  <c r="D73" i="104"/>
  <c r="V73" i="104"/>
  <c r="T74" i="104"/>
  <c r="R75" i="104"/>
  <c r="P76" i="104"/>
  <c r="N77" i="104"/>
  <c r="L78" i="104"/>
  <c r="J83" i="104"/>
  <c r="H84" i="104"/>
  <c r="F85" i="104"/>
  <c r="D86" i="104"/>
  <c r="V86" i="104"/>
  <c r="T87" i="104"/>
  <c r="R88" i="104"/>
  <c r="P89" i="104"/>
  <c r="N90" i="104"/>
  <c r="L91" i="104"/>
  <c r="J92" i="104"/>
  <c r="H93" i="104"/>
  <c r="F94" i="104"/>
  <c r="D95" i="104"/>
  <c r="V95" i="104"/>
  <c r="T96" i="104"/>
  <c r="R97" i="104"/>
  <c r="P98" i="104"/>
  <c r="N99" i="104"/>
  <c r="L100" i="104"/>
  <c r="J101" i="104"/>
  <c r="H102" i="104"/>
  <c r="F103" i="104"/>
  <c r="D8" i="105"/>
  <c r="V8" i="105"/>
  <c r="T9" i="105"/>
  <c r="R10" i="105"/>
  <c r="P11" i="105"/>
  <c r="N12" i="105"/>
  <c r="L13" i="105"/>
  <c r="J14" i="105"/>
  <c r="H15" i="105"/>
  <c r="F16" i="105"/>
  <c r="D17" i="105"/>
  <c r="V17" i="105"/>
  <c r="T18" i="105"/>
  <c r="R19" i="105"/>
  <c r="P20" i="105"/>
  <c r="N21" i="105"/>
  <c r="L22" i="105"/>
  <c r="J23" i="105"/>
  <c r="H24" i="105"/>
  <c r="F25" i="105"/>
  <c r="D26" i="105"/>
  <c r="V26" i="105"/>
  <c r="T27" i="105"/>
  <c r="R28" i="105"/>
  <c r="P33" i="105"/>
  <c r="N34" i="105"/>
  <c r="L35" i="105"/>
  <c r="J36" i="105"/>
  <c r="H37" i="105"/>
  <c r="F38" i="105"/>
  <c r="D39" i="105"/>
  <c r="V39" i="105"/>
  <c r="T40" i="105"/>
  <c r="R41" i="105"/>
  <c r="P42" i="105"/>
  <c r="N43" i="105"/>
  <c r="L44" i="105"/>
  <c r="J45" i="105"/>
  <c r="H46" i="105"/>
  <c r="F47" i="105"/>
  <c r="D48" i="105"/>
  <c r="V48" i="105"/>
  <c r="T49" i="105"/>
  <c r="R50" i="105"/>
  <c r="P51" i="105"/>
  <c r="N52" i="105"/>
  <c r="L53" i="105"/>
  <c r="J8" i="106"/>
  <c r="H9" i="106"/>
  <c r="F10" i="106"/>
  <c r="D11" i="106"/>
  <c r="V11" i="106"/>
  <c r="T12" i="106"/>
  <c r="R13" i="106"/>
  <c r="P14" i="106"/>
  <c r="N15" i="106"/>
  <c r="L16" i="106"/>
  <c r="J17" i="106"/>
  <c r="H18" i="106"/>
  <c r="F19" i="106"/>
  <c r="D20" i="106"/>
  <c r="V20" i="106"/>
  <c r="T21" i="106"/>
  <c r="R22" i="106"/>
  <c r="P23" i="106"/>
  <c r="N24" i="106"/>
  <c r="L25" i="106"/>
  <c r="J26" i="106"/>
  <c r="H27" i="106"/>
  <c r="F28" i="106"/>
  <c r="H33" i="106"/>
  <c r="I34" i="106"/>
  <c r="K35" i="106"/>
  <c r="M36" i="106"/>
  <c r="N37" i="106"/>
  <c r="P38" i="106"/>
  <c r="Q39" i="106"/>
  <c r="S40" i="106"/>
  <c r="U41" i="106"/>
  <c r="V42" i="106"/>
  <c r="D44" i="106"/>
  <c r="E45" i="106"/>
  <c r="G46" i="106"/>
  <c r="I47" i="106"/>
  <c r="J48" i="106"/>
  <c r="L49" i="106"/>
  <c r="M50" i="106"/>
  <c r="O51" i="106"/>
  <c r="Q52" i="106"/>
  <c r="R53" i="106"/>
  <c r="W8" i="107"/>
  <c r="L10" i="107"/>
  <c r="F12" i="107"/>
  <c r="Q13" i="107"/>
  <c r="I15" i="107"/>
  <c r="V16" i="107"/>
  <c r="N18" i="107"/>
  <c r="H20" i="107"/>
  <c r="S21" i="107"/>
  <c r="K23" i="107"/>
  <c r="D25" i="107"/>
  <c r="P26" i="107"/>
  <c r="J28" i="107"/>
  <c r="U33" i="107"/>
  <c r="M35" i="107"/>
  <c r="F37" i="107"/>
  <c r="R38" i="107"/>
  <c r="L40" i="107"/>
  <c r="W41" i="107"/>
  <c r="O43" i="107"/>
  <c r="H45" i="107"/>
  <c r="T46" i="107"/>
  <c r="N48" i="107"/>
  <c r="E50" i="107"/>
  <c r="Q51" i="107"/>
  <c r="J53" i="107"/>
  <c r="V58" i="107"/>
  <c r="P60" i="107"/>
  <c r="G62" i="107"/>
  <c r="S63" i="107"/>
  <c r="L65" i="107"/>
  <c r="D67" i="107"/>
  <c r="R68" i="107"/>
  <c r="I70" i="107"/>
  <c r="U71" i="107"/>
  <c r="N73" i="107"/>
  <c r="F75" i="107"/>
  <c r="T76" i="107"/>
  <c r="L78" i="107"/>
  <c r="N84" i="107"/>
  <c r="N86" i="107"/>
  <c r="P88" i="107"/>
  <c r="N90" i="107"/>
  <c r="P92" i="107"/>
  <c r="P94" i="107"/>
  <c r="R96" i="107"/>
  <c r="P98" i="107"/>
  <c r="R100" i="107"/>
  <c r="R102" i="107"/>
  <c r="T8" i="108"/>
  <c r="R10" i="108"/>
  <c r="T12" i="108"/>
  <c r="T14" i="108"/>
  <c r="V16" i="108"/>
  <c r="T18" i="108"/>
  <c r="V20" i="108"/>
  <c r="V22" i="108"/>
  <c r="D25" i="108"/>
  <c r="V26" i="108"/>
  <c r="D33" i="108"/>
  <c r="D35" i="108"/>
  <c r="F37" i="108"/>
  <c r="D39" i="108"/>
  <c r="F41" i="108"/>
  <c r="F43" i="108"/>
  <c r="H45" i="108"/>
  <c r="F47" i="108"/>
  <c r="H49" i="108"/>
  <c r="H51" i="108"/>
  <c r="J53" i="108"/>
  <c r="H59" i="108"/>
  <c r="J61" i="108"/>
  <c r="J63" i="108"/>
  <c r="L65" i="108"/>
  <c r="J67" i="108"/>
  <c r="L69" i="108"/>
  <c r="L71" i="108"/>
  <c r="N73" i="108"/>
  <c r="L75" i="108"/>
  <c r="N77" i="108"/>
  <c r="N83" i="108"/>
  <c r="E86" i="108"/>
  <c r="S88" i="108"/>
  <c r="M91" i="108"/>
  <c r="G94" i="108"/>
  <c r="U96" i="108"/>
  <c r="O99" i="108"/>
  <c r="I102" i="108"/>
  <c r="D9" i="109"/>
  <c r="I12" i="109"/>
  <c r="M15" i="109"/>
  <c r="R18" i="109"/>
  <c r="W21" i="109"/>
  <c r="H25" i="109"/>
  <c r="M28" i="109"/>
  <c r="Q35" i="109"/>
  <c r="V38" i="109"/>
  <c r="G42" i="109"/>
  <c r="L45" i="109"/>
  <c r="Q48" i="109"/>
  <c r="V52" i="109"/>
  <c r="V11" i="110"/>
  <c r="G17" i="110"/>
  <c r="J22" i="110"/>
  <c r="R28" i="110"/>
  <c r="H39" i="110"/>
  <c r="Q45" i="110"/>
  <c r="H9" i="111"/>
  <c r="W18" i="111"/>
  <c r="Q28" i="111"/>
  <c r="K42" i="111"/>
  <c r="F52" i="111"/>
  <c r="T65" i="111"/>
  <c r="O75" i="111"/>
  <c r="P91" i="111"/>
  <c r="O8" i="112"/>
  <c r="N21" i="112"/>
  <c r="V39" i="112"/>
  <c r="C36" i="91"/>
  <c r="C11" i="91" s="1"/>
  <c r="C10" i="5"/>
  <c r="D56" i="91"/>
  <c r="D31" i="91" s="1"/>
  <c r="D30" i="5"/>
  <c r="J38" i="91"/>
  <c r="J13" i="91" s="1"/>
  <c r="J12" i="5"/>
  <c r="G20" i="5"/>
  <c r="G46" i="91"/>
  <c r="G21" i="91" s="1"/>
  <c r="E50" i="91"/>
  <c r="E25" i="91" s="1"/>
  <c r="D49" i="91"/>
  <c r="D24" i="91" s="1"/>
  <c r="D23" i="5"/>
  <c r="I27" i="5"/>
  <c r="I53" i="91"/>
  <c r="I28" i="91" s="1"/>
  <c r="N14" i="5"/>
  <c r="P18" i="5"/>
  <c r="N35" i="91"/>
  <c r="N10" i="91" s="1"/>
  <c r="N9" i="5"/>
  <c r="F19" i="5"/>
  <c r="F45" i="91"/>
  <c r="F20" i="91" s="1"/>
  <c r="M17" i="5"/>
  <c r="M43" i="91"/>
  <c r="M18" i="91" s="1"/>
  <c r="E17" i="5"/>
  <c r="E43" i="91"/>
  <c r="E18" i="91" s="1"/>
  <c r="I43" i="91"/>
  <c r="I18" i="91" s="1"/>
  <c r="I17" i="5"/>
  <c r="J48" i="91"/>
  <c r="J23" i="91" s="1"/>
  <c r="G49" i="91"/>
  <c r="G24" i="91" s="1"/>
  <c r="G23" i="5"/>
  <c r="C20" i="5"/>
  <c r="D39" i="91"/>
  <c r="D14" i="91" s="1"/>
  <c r="D13" i="5"/>
  <c r="N41" i="91"/>
  <c r="N16" i="91" s="1"/>
  <c r="N15" i="5"/>
  <c r="F55" i="91"/>
  <c r="F30" i="91" s="1"/>
  <c r="F29" i="5"/>
  <c r="F17" i="5"/>
  <c r="F43" i="91"/>
  <c r="F18" i="91" s="1"/>
  <c r="J52" i="91"/>
  <c r="J27" i="91" s="1"/>
  <c r="J26" i="5"/>
  <c r="M51" i="91"/>
  <c r="M26" i="91" s="1"/>
  <c r="I55" i="91"/>
  <c r="I30" i="91" s="1"/>
  <c r="I29" i="5"/>
  <c r="F52" i="91"/>
  <c r="F27" i="91" s="1"/>
  <c r="F26" i="5"/>
  <c r="J23" i="5"/>
  <c r="L21" i="5"/>
  <c r="L47" i="91"/>
  <c r="L22" i="91" s="1"/>
  <c r="D28" i="5"/>
  <c r="D54" i="91"/>
  <c r="D29" i="91" s="1"/>
  <c r="I48" i="91"/>
  <c r="I23" i="91" s="1"/>
  <c r="D27" i="5"/>
  <c r="G35" i="91"/>
  <c r="G10" i="91" s="1"/>
  <c r="P20" i="5"/>
  <c r="P46" i="91"/>
  <c r="P21" i="91" s="1"/>
  <c r="E39" i="91"/>
  <c r="E14" i="91" s="1"/>
  <c r="E13" i="5"/>
  <c r="F25" i="5"/>
  <c r="M9" i="5"/>
  <c r="M21" i="5" l="1"/>
  <c r="D16" i="5"/>
  <c r="Q73" i="91"/>
  <c r="R73" i="91" s="1"/>
  <c r="S73" i="91" s="1"/>
  <c r="N44" i="91"/>
  <c r="N19" i="91" s="1"/>
  <c r="O20" i="5"/>
  <c r="F10" i="5"/>
  <c r="O10" i="5"/>
  <c r="P54" i="91"/>
  <c r="P29" i="91" s="1"/>
  <c r="H24" i="99"/>
  <c r="H25" i="99" s="1"/>
  <c r="I54" i="91"/>
  <c r="I29" i="91" s="1"/>
  <c r="C22" i="5"/>
  <c r="J56" i="91"/>
  <c r="J31" i="91" s="1"/>
  <c r="N23" i="5"/>
  <c r="E9" i="5"/>
  <c r="C45" i="91"/>
  <c r="C20" i="91" s="1"/>
  <c r="L9" i="5"/>
  <c r="L41" i="91"/>
  <c r="L16" i="91" s="1"/>
  <c r="K45" i="91"/>
  <c r="K20" i="91" s="1"/>
  <c r="J20" i="5"/>
  <c r="O56" i="91"/>
  <c r="O31" i="91" s="1"/>
  <c r="C12" i="5"/>
  <c r="C14" i="5"/>
  <c r="M55" i="91"/>
  <c r="M30" i="91" s="1"/>
  <c r="P55" i="91"/>
  <c r="P30" i="91" s="1"/>
  <c r="L48" i="91"/>
  <c r="L23" i="91" s="1"/>
  <c r="M40" i="91"/>
  <c r="M15" i="91" s="1"/>
  <c r="J29" i="5"/>
  <c r="P47" i="91"/>
  <c r="P22" i="91" s="1"/>
  <c r="H53" i="91"/>
  <c r="H28" i="91" s="1"/>
  <c r="K38" i="91"/>
  <c r="K13" i="91" s="1"/>
  <c r="O48" i="91"/>
  <c r="O23" i="91" s="1"/>
  <c r="N45" i="91"/>
  <c r="N20" i="91" s="1"/>
  <c r="C9" i="5"/>
  <c r="G39" i="91"/>
  <c r="G14" i="91" s="1"/>
  <c r="E53" i="91"/>
  <c r="E28" i="91" s="1"/>
  <c r="P42" i="91"/>
  <c r="P17" i="91" s="1"/>
  <c r="E20" i="5"/>
  <c r="G24" i="5"/>
  <c r="F41" i="91"/>
  <c r="F16" i="91" s="1"/>
  <c r="D45" i="91"/>
  <c r="D20" i="91" s="1"/>
  <c r="K40" i="91"/>
  <c r="K15" i="91" s="1"/>
  <c r="O23" i="5"/>
  <c r="H16" i="5"/>
  <c r="K13" i="5"/>
  <c r="I11" i="5"/>
  <c r="D11" i="5"/>
  <c r="H46" i="91"/>
  <c r="H21" i="91" s="1"/>
  <c r="O47" i="91"/>
  <c r="O22" i="91" s="1"/>
  <c r="N10" i="5"/>
  <c r="L27" i="5"/>
  <c r="M50" i="91"/>
  <c r="M25" i="91" s="1"/>
  <c r="E28" i="5"/>
  <c r="Q123" i="91"/>
  <c r="R123" i="91" s="1"/>
  <c r="S123" i="91" s="1"/>
  <c r="D15" i="5"/>
  <c r="G48" i="91"/>
  <c r="G23" i="91" s="1"/>
  <c r="D38" i="91"/>
  <c r="D13" i="91" s="1"/>
  <c r="G56" i="91"/>
  <c r="G31" i="91" s="1"/>
  <c r="N20" i="5"/>
  <c r="C56" i="91"/>
  <c r="C31" i="91" s="1"/>
  <c r="N51" i="91"/>
  <c r="N26" i="91" s="1"/>
  <c r="L36" i="91"/>
  <c r="L11" i="91" s="1"/>
  <c r="M48" i="91"/>
  <c r="M23" i="91" s="1"/>
  <c r="H40" i="91"/>
  <c r="H15" i="91" s="1"/>
  <c r="K48" i="91"/>
  <c r="K23" i="91" s="1"/>
  <c r="O12" i="5"/>
  <c r="J44" i="91"/>
  <c r="J19" i="91" s="1"/>
  <c r="N28" i="5"/>
  <c r="N38" i="91"/>
  <c r="N13" i="91" s="1"/>
  <c r="C54" i="91"/>
  <c r="C29" i="91" s="1"/>
  <c r="K56" i="91"/>
  <c r="K31" i="91" s="1"/>
  <c r="L17" i="5"/>
  <c r="G51" i="91"/>
  <c r="G26" i="91" s="1"/>
  <c r="I36" i="91"/>
  <c r="I11" i="91" s="1"/>
  <c r="J25" i="5"/>
  <c r="L56" i="91"/>
  <c r="L31" i="91" s="1"/>
  <c r="M16" i="5"/>
  <c r="D35" i="91"/>
  <c r="D10" i="91" s="1"/>
  <c r="P45" i="91"/>
  <c r="P20" i="91" s="1"/>
  <c r="K42" i="91"/>
  <c r="K17" i="91" s="1"/>
  <c r="L46" i="91"/>
  <c r="L21" i="91" s="1"/>
  <c r="E56" i="91"/>
  <c r="E31" i="91" s="1"/>
  <c r="J24" i="5"/>
  <c r="D24" i="5"/>
  <c r="C43" i="91"/>
  <c r="C18" i="91" s="1"/>
  <c r="F12" i="5"/>
  <c r="L44" i="91"/>
  <c r="L19" i="91" s="1"/>
  <c r="H10" i="5"/>
  <c r="H41" i="91"/>
  <c r="H16" i="91" s="1"/>
  <c r="M56" i="91"/>
  <c r="M31" i="91" s="1"/>
  <c r="G37" i="91"/>
  <c r="G12" i="91" s="1"/>
  <c r="P15" i="5"/>
  <c r="G52" i="91"/>
  <c r="G27" i="91" s="1"/>
  <c r="H22" i="5"/>
  <c r="L37" i="91"/>
  <c r="L12" i="91" s="1"/>
  <c r="O24" i="5"/>
  <c r="D25" i="5"/>
  <c r="O52" i="91"/>
  <c r="O27" i="91" s="1"/>
  <c r="F39" i="91"/>
  <c r="F14" i="91" s="1"/>
  <c r="C51" i="91"/>
  <c r="C26" i="91" s="1"/>
  <c r="M18" i="5"/>
  <c r="M38" i="91"/>
  <c r="M13" i="91" s="1"/>
  <c r="F50" i="91"/>
  <c r="F25" i="91" s="1"/>
  <c r="F53" i="91"/>
  <c r="F28" i="91" s="1"/>
  <c r="E19" i="5"/>
  <c r="I49" i="91"/>
  <c r="I24" i="91" s="1"/>
  <c r="K43" i="91"/>
  <c r="K18" i="91" s="1"/>
  <c r="I21" i="5"/>
  <c r="E15" i="5"/>
  <c r="Q22" i="93"/>
  <c r="L24" i="5"/>
  <c r="O27" i="5"/>
  <c r="G40" i="91"/>
  <c r="G15" i="91" s="1"/>
  <c r="K55" i="91"/>
  <c r="K30" i="91" s="1"/>
  <c r="I38" i="91"/>
  <c r="I13" i="91" s="1"/>
  <c r="H9" i="5"/>
  <c r="G12" i="5"/>
  <c r="G10" i="5"/>
  <c r="J53" i="91"/>
  <c r="J28" i="91" s="1"/>
  <c r="E10" i="5"/>
  <c r="P17" i="5"/>
  <c r="Q74" i="91"/>
  <c r="G43" i="91"/>
  <c r="G18" i="91" s="1"/>
  <c r="E21" i="5"/>
  <c r="P13" i="5"/>
  <c r="C29" i="5"/>
  <c r="N47" i="91"/>
  <c r="N22" i="91" s="1"/>
  <c r="C39" i="91"/>
  <c r="C14" i="91" s="1"/>
  <c r="K18" i="5"/>
  <c r="I30" i="5"/>
  <c r="F30" i="5"/>
  <c r="J45" i="91"/>
  <c r="J20" i="91" s="1"/>
  <c r="E14" i="5"/>
  <c r="N53" i="91"/>
  <c r="N28" i="91" s="1"/>
  <c r="I9" i="5"/>
  <c r="G15" i="5"/>
  <c r="C27" i="92"/>
  <c r="C10" i="92"/>
  <c r="C18" i="92"/>
  <c r="C19" i="92"/>
  <c r="J36" i="91"/>
  <c r="J11" i="91" s="1"/>
  <c r="E48" i="91"/>
  <c r="E23" i="91" s="1"/>
  <c r="F20" i="5"/>
  <c r="E18" i="5"/>
  <c r="O26" i="98"/>
  <c r="P35" i="91"/>
  <c r="P10" i="91" s="1"/>
  <c r="E56" i="61"/>
  <c r="F98" i="61"/>
  <c r="E35" i="61"/>
  <c r="E20" i="61" s="1"/>
  <c r="H76" i="61"/>
  <c r="D93" i="61"/>
  <c r="E62" i="61"/>
  <c r="G62" i="61" s="1"/>
  <c r="H62" i="61" s="1"/>
  <c r="G28" i="61"/>
  <c r="G13" i="61" s="1"/>
  <c r="H34" i="61"/>
  <c r="H19" i="61" s="1"/>
  <c r="C89" i="61"/>
  <c r="H39" i="61"/>
  <c r="D65" i="61"/>
  <c r="G49" i="61"/>
  <c r="C84" i="61"/>
  <c r="F35" i="61"/>
  <c r="F20" i="61" s="1"/>
  <c r="H92" i="61"/>
  <c r="C55" i="61"/>
  <c r="H86" i="61"/>
  <c r="C35" i="61"/>
  <c r="C20" i="61" s="1"/>
  <c r="E76" i="61"/>
  <c r="G47" i="61"/>
  <c r="D41" i="61"/>
  <c r="E73" i="61"/>
  <c r="G41" i="61"/>
  <c r="C34" i="61"/>
  <c r="C19" i="61" s="1"/>
  <c r="E59" i="61"/>
  <c r="G90" i="61"/>
  <c r="F84" i="61"/>
  <c r="AB54" i="13"/>
  <c r="AA145" i="13"/>
  <c r="J166" i="13"/>
  <c r="E141" i="13"/>
  <c r="L198" i="13"/>
  <c r="F159" i="13"/>
  <c r="D241" i="13"/>
  <c r="O27" i="13"/>
  <c r="U149" i="13"/>
  <c r="V118" i="13"/>
  <c r="G74" i="13"/>
  <c r="AB56" i="13"/>
  <c r="Z25" i="13"/>
  <c r="AB69" i="13"/>
  <c r="V97" i="13"/>
  <c r="N32" i="13"/>
  <c r="R202" i="13"/>
  <c r="M59" i="13"/>
  <c r="W20" i="13"/>
  <c r="AA68" i="13"/>
  <c r="J32" i="13"/>
  <c r="U198" i="13"/>
  <c r="J36" i="13"/>
  <c r="T183" i="13"/>
  <c r="Y236" i="13"/>
  <c r="AC38" i="13"/>
  <c r="X57" i="13"/>
  <c r="M30" i="13"/>
  <c r="Y222" i="13"/>
  <c r="G137" i="13"/>
  <c r="O118" i="13"/>
  <c r="I161" i="13"/>
  <c r="X221" i="13"/>
  <c r="Z22" i="13"/>
  <c r="U124" i="13"/>
  <c r="W195" i="13"/>
  <c r="R73" i="13"/>
  <c r="D95" i="13"/>
  <c r="I65" i="13"/>
  <c r="J39" i="13"/>
  <c r="I230" i="13"/>
  <c r="U188" i="13"/>
  <c r="P125" i="13"/>
  <c r="F132" i="13"/>
  <c r="Z75" i="13"/>
  <c r="T65" i="13"/>
  <c r="T99" i="13"/>
  <c r="Q138" i="13"/>
  <c r="E110" i="13"/>
  <c r="I152" i="13"/>
  <c r="AA239" i="13"/>
  <c r="Q175" i="13"/>
  <c r="P98" i="13"/>
  <c r="V190" i="13"/>
  <c r="Z161" i="13"/>
  <c r="Q52" i="13"/>
  <c r="F228" i="13"/>
  <c r="G166" i="13"/>
  <c r="R53" i="13"/>
  <c r="AB165" i="13"/>
  <c r="Z32" i="13"/>
  <c r="G85" i="13"/>
  <c r="H184" i="13"/>
  <c r="AC202" i="13"/>
  <c r="O204" i="13"/>
  <c r="D245" i="13"/>
  <c r="J229" i="13"/>
  <c r="V137" i="13"/>
  <c r="F139" i="13"/>
  <c r="J184" i="13"/>
  <c r="V132" i="13"/>
  <c r="H137" i="13"/>
  <c r="I86" i="13"/>
  <c r="Q35" i="13"/>
  <c r="U40" i="13"/>
  <c r="L149" i="13"/>
  <c r="K82" i="13"/>
  <c r="S172" i="13"/>
  <c r="AB217" i="13"/>
  <c r="L98" i="13"/>
  <c r="D121" i="13"/>
  <c r="T190" i="13"/>
  <c r="L147" i="13"/>
  <c r="D29" i="13"/>
  <c r="U63" i="13"/>
  <c r="E226" i="13"/>
  <c r="H191" i="13"/>
  <c r="Y15" i="13"/>
  <c r="D13" i="13"/>
  <c r="I154" i="13"/>
  <c r="K140" i="13"/>
  <c r="AB84" i="13"/>
  <c r="Y53" i="13"/>
  <c r="E183" i="13"/>
  <c r="F191" i="13"/>
  <c r="N21" i="13"/>
  <c r="U16" i="13"/>
  <c r="S158" i="13"/>
  <c r="J223" i="13"/>
  <c r="AA113" i="13"/>
  <c r="Q70" i="13"/>
  <c r="Y173" i="13"/>
  <c r="W100" i="13"/>
  <c r="N126" i="13"/>
  <c r="W164" i="13"/>
  <c r="L140" i="13"/>
  <c r="AC24" i="13"/>
  <c r="AA77" i="13"/>
  <c r="S13" i="13"/>
  <c r="H83" i="13"/>
  <c r="AC174" i="13"/>
  <c r="M165" i="13"/>
  <c r="E177" i="13"/>
  <c r="K41" i="13"/>
  <c r="AC217" i="13"/>
  <c r="K179" i="13"/>
  <c r="G60" i="13"/>
  <c r="Z202" i="13"/>
  <c r="J53" i="13"/>
  <c r="W76" i="13"/>
  <c r="O150" i="13"/>
  <c r="W223" i="13"/>
  <c r="D11" i="13"/>
  <c r="V216" i="13"/>
  <c r="R234" i="13"/>
  <c r="N30" i="13"/>
  <c r="R12" i="13"/>
  <c r="K166" i="13"/>
  <c r="R101" i="13"/>
  <c r="U69" i="13"/>
  <c r="E199" i="13"/>
  <c r="F138" i="13"/>
  <c r="J157" i="13"/>
  <c r="X25" i="13"/>
  <c r="R68" i="13"/>
  <c r="Z236" i="13"/>
  <c r="R74" i="13"/>
  <c r="V101" i="13"/>
  <c r="M122" i="13"/>
  <c r="F122" i="13"/>
  <c r="X30" i="13"/>
  <c r="F165" i="13"/>
  <c r="AC201" i="13"/>
  <c r="O212" i="13"/>
  <c r="C21" i="13"/>
  <c r="U140" i="13"/>
  <c r="E239" i="13"/>
  <c r="I61" i="13"/>
  <c r="T241" i="13"/>
  <c r="G79" i="13"/>
  <c r="AA65" i="13"/>
  <c r="I69" i="13"/>
  <c r="U60" i="13"/>
  <c r="AB70" i="13"/>
  <c r="U106" i="13"/>
  <c r="Q24" i="13"/>
  <c r="R204" i="13"/>
  <c r="P149" i="13"/>
  <c r="V72" i="13"/>
  <c r="R71" i="13"/>
  <c r="L112" i="13"/>
  <c r="Z55" i="13"/>
  <c r="AB71" i="13"/>
  <c r="K235" i="13"/>
  <c r="Z143" i="13"/>
  <c r="G143" i="13"/>
  <c r="N203" i="13"/>
  <c r="Z227" i="13"/>
  <c r="I215" i="13"/>
  <c r="W199" i="13"/>
  <c r="J61" i="13"/>
  <c r="S240" i="13"/>
  <c r="E163" i="13"/>
  <c r="L63" i="13"/>
  <c r="AB100" i="13"/>
  <c r="I28" i="13"/>
  <c r="P109" i="13"/>
  <c r="N86" i="13"/>
  <c r="V20" i="13"/>
  <c r="K85" i="13"/>
  <c r="G180" i="13"/>
  <c r="J160" i="13"/>
  <c r="C124" i="13"/>
  <c r="AA107" i="13"/>
  <c r="V175" i="13"/>
  <c r="O70" i="13"/>
  <c r="O65" i="13"/>
  <c r="W57" i="13"/>
  <c r="J137" i="13"/>
  <c r="K101" i="13"/>
  <c r="M156" i="13"/>
  <c r="D232" i="13"/>
  <c r="T245" i="13"/>
  <c r="AC220" i="13"/>
  <c r="W138" i="13"/>
  <c r="I51" i="13"/>
  <c r="M184" i="13"/>
  <c r="C32" i="13"/>
  <c r="P148" i="13"/>
  <c r="O161" i="13"/>
  <c r="X101" i="13"/>
  <c r="AA114" i="13"/>
  <c r="R144" i="13"/>
  <c r="Z183" i="13"/>
  <c r="F81" i="13"/>
  <c r="G97" i="13"/>
  <c r="S152" i="13"/>
  <c r="K53" i="13"/>
  <c r="H164" i="13"/>
  <c r="T104" i="13"/>
  <c r="M139" i="13"/>
  <c r="O78" i="13"/>
  <c r="R47" i="13"/>
  <c r="J144" i="13"/>
  <c r="E171" i="13"/>
  <c r="K112" i="13"/>
  <c r="K156" i="13"/>
  <c r="O92" i="13"/>
  <c r="H20" i="13"/>
  <c r="Z177" i="13"/>
  <c r="X44" i="13"/>
  <c r="K187" i="13"/>
  <c r="D206" i="13"/>
  <c r="E51" i="13"/>
  <c r="W204" i="13"/>
  <c r="S247" i="13"/>
  <c r="N47" i="13"/>
  <c r="E232" i="13"/>
  <c r="Z27" i="13"/>
  <c r="J124" i="13"/>
  <c r="I126" i="13"/>
  <c r="Z206" i="13"/>
  <c r="X43" i="13"/>
  <c r="K229" i="13"/>
  <c r="T211" i="13"/>
  <c r="Z230" i="13"/>
  <c r="Q13" i="13"/>
  <c r="R103" i="13"/>
  <c r="L84" i="13"/>
  <c r="R107" i="13"/>
  <c r="P211" i="13"/>
  <c r="AC132" i="13"/>
  <c r="U103" i="13"/>
  <c r="C225" i="13"/>
  <c r="M41" i="13"/>
  <c r="M192" i="13"/>
  <c r="R151" i="13"/>
  <c r="J245" i="13"/>
  <c r="D200" i="13"/>
  <c r="V40" i="13"/>
  <c r="E91" i="13"/>
  <c r="S155" i="13"/>
  <c r="G40" i="13"/>
  <c r="AC26" i="13"/>
  <c r="AA79" i="13"/>
  <c r="M203" i="13"/>
  <c r="V236" i="13"/>
  <c r="AB19" i="13"/>
  <c r="J34" i="13"/>
  <c r="X150" i="13"/>
  <c r="G190" i="13"/>
  <c r="P213" i="13"/>
  <c r="T25" i="13"/>
  <c r="C132" i="13"/>
  <c r="Q221" i="13"/>
  <c r="Q135" i="13"/>
  <c r="S222" i="13"/>
  <c r="M241" i="13"/>
  <c r="G131" i="13"/>
  <c r="N68" i="13"/>
  <c r="D240" i="13"/>
  <c r="G119" i="13"/>
  <c r="V70" i="13"/>
  <c r="K74" i="13"/>
  <c r="T173" i="13"/>
  <c r="T91" i="13"/>
  <c r="W212" i="13"/>
  <c r="V21" i="13"/>
  <c r="L127" i="13"/>
  <c r="D115" i="13"/>
  <c r="T118" i="13"/>
  <c r="O153" i="13"/>
  <c r="I98" i="13"/>
  <c r="Y142" i="13"/>
  <c r="N184" i="13"/>
  <c r="H131" i="13"/>
  <c r="J239" i="13"/>
  <c r="L101" i="13"/>
  <c r="M131" i="13"/>
  <c r="D139" i="13"/>
  <c r="E184" i="13"/>
  <c r="G175" i="13"/>
  <c r="Q19" i="13"/>
  <c r="D102" i="13"/>
  <c r="G184" i="13"/>
  <c r="T198" i="13"/>
  <c r="I95" i="13"/>
  <c r="M180" i="13"/>
  <c r="M73" i="13"/>
  <c r="F186" i="13"/>
  <c r="I47" i="13"/>
  <c r="F117" i="13"/>
  <c r="O156" i="13"/>
  <c r="Y229" i="13"/>
  <c r="C108" i="13"/>
  <c r="E135" i="13"/>
  <c r="AB150" i="13"/>
  <c r="W182" i="13"/>
  <c r="V23" i="13"/>
  <c r="M227" i="13"/>
  <c r="O195" i="13"/>
  <c r="X163" i="13"/>
  <c r="S246" i="13"/>
  <c r="Z212" i="13"/>
  <c r="X93" i="13"/>
  <c r="P80" i="13"/>
  <c r="N118" i="13"/>
  <c r="X70" i="13"/>
  <c r="S33" i="13"/>
  <c r="I227" i="13"/>
  <c r="I72" i="13"/>
  <c r="K24" i="13"/>
  <c r="AC161" i="13"/>
  <c r="G86" i="13"/>
  <c r="E214" i="13"/>
  <c r="K192" i="13"/>
  <c r="K236" i="13"/>
  <c r="W242" i="13"/>
  <c r="K80" i="13"/>
  <c r="T225" i="13"/>
  <c r="W43" i="13"/>
  <c r="N199" i="13"/>
  <c r="D184" i="13"/>
  <c r="L197" i="13"/>
  <c r="C240" i="13"/>
  <c r="S122" i="13"/>
  <c r="W17" i="13"/>
  <c r="Y68" i="13"/>
  <c r="R206" i="13"/>
  <c r="U39" i="13"/>
  <c r="N172" i="13"/>
  <c r="U205" i="13"/>
  <c r="F173" i="13"/>
  <c r="AA57" i="13"/>
  <c r="I146" i="13"/>
  <c r="R29" i="13"/>
  <c r="L28" i="13"/>
  <c r="F107" i="13"/>
  <c r="Y71" i="13"/>
  <c r="AA41" i="13"/>
  <c r="L167" i="13"/>
  <c r="L79" i="13"/>
  <c r="W33" i="13"/>
  <c r="AC196" i="13"/>
  <c r="C142" i="13"/>
  <c r="AC193" i="13"/>
  <c r="I29" i="13"/>
  <c r="P241" i="13"/>
  <c r="L193" i="13"/>
  <c r="T54" i="13"/>
  <c r="X140" i="13"/>
  <c r="AC136" i="13"/>
  <c r="AB140" i="13"/>
  <c r="V62" i="13"/>
  <c r="V192" i="13"/>
  <c r="N241" i="13"/>
  <c r="R152" i="13"/>
  <c r="H78" i="13"/>
  <c r="P120" i="13"/>
  <c r="E85" i="13"/>
  <c r="L196" i="13"/>
  <c r="Z99" i="13"/>
  <c r="U14" i="13"/>
  <c r="AB192" i="13"/>
  <c r="J120" i="13"/>
  <c r="AC92" i="13"/>
  <c r="R106" i="13"/>
  <c r="I32" i="13"/>
  <c r="F44" i="13"/>
  <c r="T143" i="13"/>
  <c r="F229" i="13"/>
  <c r="N171" i="13"/>
  <c r="W61" i="13"/>
  <c r="AB97" i="13"/>
  <c r="J197" i="13"/>
  <c r="K131" i="13"/>
  <c r="AA133" i="13"/>
  <c r="F185" i="13"/>
  <c r="AB122" i="13"/>
  <c r="N226" i="13"/>
  <c r="U148" i="13"/>
  <c r="H74" i="13"/>
  <c r="Y144" i="13"/>
  <c r="K227" i="13"/>
  <c r="O12" i="13"/>
  <c r="D42" i="13"/>
  <c r="Q93" i="13"/>
  <c r="Z114" i="13"/>
  <c r="N77" i="13"/>
  <c r="W127" i="13"/>
  <c r="I137" i="13"/>
  <c r="J165" i="13"/>
  <c r="R221" i="13"/>
  <c r="E41" i="13"/>
  <c r="K133" i="13"/>
  <c r="R142" i="13"/>
  <c r="Z102" i="13"/>
  <c r="L222" i="13"/>
  <c r="C211" i="13"/>
  <c r="H68" i="13"/>
  <c r="Y70" i="13"/>
  <c r="H195" i="13"/>
  <c r="H178" i="13"/>
  <c r="H122" i="13"/>
  <c r="U131" i="13"/>
  <c r="L36" i="13"/>
  <c r="K64" i="13"/>
  <c r="L163" i="13"/>
  <c r="E71" i="13"/>
  <c r="Q206" i="13"/>
  <c r="AC175" i="13"/>
  <c r="Y155" i="13"/>
  <c r="P177" i="13"/>
  <c r="M167" i="13"/>
  <c r="L45" i="13"/>
  <c r="AC240" i="13"/>
  <c r="C161" i="13"/>
  <c r="O200" i="13"/>
  <c r="Z200" i="13"/>
  <c r="Q22" i="13"/>
  <c r="Y105" i="13"/>
  <c r="O109" i="13"/>
  <c r="Z46" i="13"/>
  <c r="D39" i="13"/>
  <c r="E138" i="13"/>
  <c r="Q230" i="13"/>
  <c r="Q222" i="13"/>
  <c r="I220" i="13"/>
  <c r="K67" i="13"/>
  <c r="S230" i="13"/>
  <c r="W29" i="13"/>
  <c r="V158" i="13"/>
  <c r="R17" i="13"/>
  <c r="D18" i="5"/>
  <c r="F26" i="61"/>
  <c r="F11" i="61" s="1"/>
  <c r="E75" i="61"/>
  <c r="H24" i="61"/>
  <c r="H9" i="61" s="1"/>
  <c r="D95" i="61"/>
  <c r="E28" i="61"/>
  <c r="E13" i="61" s="1"/>
  <c r="E43" i="61"/>
  <c r="G79" i="61"/>
  <c r="H47" i="61"/>
  <c r="G78" i="61"/>
  <c r="E25" i="61"/>
  <c r="E10" i="61" s="1"/>
  <c r="H69" i="61"/>
  <c r="C88" i="61"/>
  <c r="G76" i="61"/>
  <c r="D31" i="61"/>
  <c r="D16" i="61" s="1"/>
  <c r="F76" i="61"/>
  <c r="C28" i="61"/>
  <c r="C13" i="61" s="1"/>
  <c r="G74" i="61"/>
  <c r="G46" i="61"/>
  <c r="C60" i="61"/>
  <c r="F94" i="61"/>
  <c r="H87" i="61"/>
  <c r="G95" i="61"/>
  <c r="G75" i="61"/>
  <c r="G35" i="61"/>
  <c r="G20" i="61" s="1"/>
  <c r="D47" i="61"/>
  <c r="T201" i="13"/>
  <c r="G16" i="5"/>
  <c r="H29" i="5"/>
  <c r="I40" i="91"/>
  <c r="I15" i="91" s="1"/>
  <c r="C41" i="61"/>
  <c r="G73" i="61"/>
  <c r="E44" i="61"/>
  <c r="H44" i="61"/>
  <c r="G77" i="61"/>
  <c r="C30" i="61"/>
  <c r="C15" i="61" s="1"/>
  <c r="F74" i="61"/>
  <c r="F25" i="61"/>
  <c r="F10" i="61" s="1"/>
  <c r="G88" i="61"/>
  <c r="G44" i="61"/>
  <c r="E95" i="61"/>
  <c r="F79" i="61"/>
  <c r="F34" i="61"/>
  <c r="F19" i="61" s="1"/>
  <c r="H70" i="61"/>
  <c r="E32" i="61"/>
  <c r="E17" i="61" s="1"/>
  <c r="D94" i="61"/>
  <c r="F89" i="61"/>
  <c r="C75" i="61"/>
  <c r="D57" i="61"/>
  <c r="D64" i="61"/>
  <c r="F59" i="61"/>
  <c r="G43" i="61"/>
  <c r="D60" i="61"/>
  <c r="G71" i="61"/>
  <c r="D90" i="61"/>
  <c r="E48" i="61"/>
  <c r="M49" i="91"/>
  <c r="M24" i="91" s="1"/>
  <c r="F39" i="61"/>
  <c r="C80" i="61"/>
  <c r="D29" i="61"/>
  <c r="D14" i="61" s="1"/>
  <c r="H27" i="61"/>
  <c r="H12" i="61" s="1"/>
  <c r="C76" i="61"/>
  <c r="D35" i="61"/>
  <c r="D20" i="61" s="1"/>
  <c r="E79" i="61"/>
  <c r="E40" i="61"/>
  <c r="G92" i="61"/>
  <c r="G24" i="61"/>
  <c r="G9" i="61" s="1"/>
  <c r="H89" i="61"/>
  <c r="C44" i="61"/>
  <c r="F40" i="61"/>
  <c r="F73" i="61"/>
  <c r="D70" i="61"/>
  <c r="C32" i="61"/>
  <c r="C17" i="61" s="1"/>
  <c r="D73" i="61"/>
  <c r="F49" i="61"/>
  <c r="H94" i="61"/>
  <c r="E39" i="61"/>
  <c r="F60" i="61"/>
  <c r="F33" i="61"/>
  <c r="F18" i="61" s="1"/>
  <c r="C85" i="61"/>
  <c r="C61" i="61"/>
  <c r="F55" i="61"/>
  <c r="E69" i="61"/>
  <c r="F78" i="61"/>
  <c r="F211" i="13"/>
  <c r="M26" i="5"/>
  <c r="L16" i="5"/>
  <c r="E37" i="91"/>
  <c r="E12" i="91" s="1"/>
  <c r="F43" i="61"/>
  <c r="D58" i="61"/>
  <c r="D72" i="61"/>
  <c r="D28" i="61"/>
  <c r="D13" i="61" s="1"/>
  <c r="C78" i="61"/>
  <c r="F41" i="61"/>
  <c r="F77" i="61"/>
  <c r="H30" i="61"/>
  <c r="H15" i="61" s="1"/>
  <c r="E74" i="61"/>
  <c r="D27" i="61"/>
  <c r="D12" i="61" s="1"/>
  <c r="D91" i="61"/>
  <c r="C72" i="61"/>
  <c r="E54" i="61"/>
  <c r="G54" i="61" s="1"/>
  <c r="H54" i="61" s="1"/>
  <c r="C56" i="61"/>
  <c r="H41" i="61"/>
  <c r="C57" i="61"/>
  <c r="E46" i="61"/>
  <c r="E64" i="61"/>
  <c r="E50" i="61"/>
  <c r="C25" i="61"/>
  <c r="C10" i="61" s="1"/>
  <c r="C48" i="61"/>
  <c r="C69" i="61"/>
  <c r="H42" i="61"/>
  <c r="E61" i="61"/>
  <c r="H77" i="61"/>
  <c r="E92" i="61"/>
  <c r="AB234" i="13"/>
  <c r="AB27" i="13"/>
  <c r="O42" i="13"/>
  <c r="Z224" i="13"/>
  <c r="T16" i="13"/>
  <c r="V200" i="13"/>
  <c r="U219" i="13"/>
  <c r="X219" i="13"/>
  <c r="R58" i="13"/>
  <c r="Q117" i="13"/>
  <c r="U113" i="13"/>
  <c r="AB93" i="13"/>
  <c r="I25" i="5"/>
  <c r="E29" i="5"/>
  <c r="N39" i="91"/>
  <c r="N14" i="91" s="1"/>
  <c r="K53" i="91"/>
  <c r="K28" i="91" s="1"/>
  <c r="O45" i="91"/>
  <c r="O20" i="91" s="1"/>
  <c r="H43" i="91"/>
  <c r="H18" i="91" s="1"/>
  <c r="D21" i="5"/>
  <c r="D62" i="61"/>
  <c r="H25" i="61"/>
  <c r="H10" i="61" s="1"/>
  <c r="F57" i="61"/>
  <c r="D43" i="61"/>
  <c r="G33" i="61"/>
  <c r="G18" i="61" s="1"/>
  <c r="G91" i="61"/>
  <c r="H28" i="61"/>
  <c r="H13" i="61" s="1"/>
  <c r="H84" i="61"/>
  <c r="E94" i="61"/>
  <c r="H95" i="61"/>
  <c r="H46" i="61"/>
  <c r="D74" i="61"/>
  <c r="G70" i="61"/>
  <c r="G72" i="61"/>
  <c r="H40" i="61"/>
  <c r="E33" i="61"/>
  <c r="E18" i="61" s="1"/>
  <c r="C86" i="61"/>
  <c r="F56" i="61"/>
  <c r="D42" i="61"/>
  <c r="F42" i="61"/>
  <c r="F71" i="61"/>
  <c r="E31" i="61"/>
  <c r="E16" i="61" s="1"/>
  <c r="H33" i="61"/>
  <c r="H18" i="61" s="1"/>
  <c r="G86" i="61"/>
  <c r="C26" i="61"/>
  <c r="C11" i="61" s="1"/>
  <c r="E60" i="61"/>
  <c r="D69" i="61"/>
  <c r="F70" i="61"/>
  <c r="AB133" i="13"/>
  <c r="M153" i="13"/>
  <c r="D26" i="5"/>
  <c r="H11" i="5"/>
  <c r="H30" i="5"/>
  <c r="I44" i="91"/>
  <c r="I19" i="91" s="1"/>
  <c r="F61" i="61"/>
  <c r="G89" i="61"/>
  <c r="E63" i="61"/>
  <c r="C74" i="61"/>
  <c r="F46" i="61"/>
  <c r="E87" i="61"/>
  <c r="G25" i="61"/>
  <c r="G10" i="61" s="1"/>
  <c r="H72" i="61"/>
  <c r="D26" i="61"/>
  <c r="D11" i="61" s="1"/>
  <c r="C65" i="61"/>
  <c r="C42" i="61"/>
  <c r="E70" i="61"/>
  <c r="F64" i="61"/>
  <c r="F30" i="61"/>
  <c r="F15" i="61" s="1"/>
  <c r="E88" i="61"/>
  <c r="C95" i="61"/>
  <c r="F31" i="61"/>
  <c r="F16" i="61" s="1"/>
  <c r="F88" i="61"/>
  <c r="H31" i="61"/>
  <c r="H16" i="61" s="1"/>
  <c r="E89" i="61"/>
  <c r="E29" i="61"/>
  <c r="E14" i="61" s="1"/>
  <c r="C70" i="61"/>
  <c r="D32" i="61"/>
  <c r="D17" i="61" s="1"/>
  <c r="H35" i="61"/>
  <c r="H20" i="61" s="1"/>
  <c r="D71" i="61"/>
  <c r="E34" i="61"/>
  <c r="E19" i="61" s="1"/>
  <c r="H45" i="61"/>
  <c r="G50" i="61"/>
  <c r="H71" i="61"/>
  <c r="G53" i="91"/>
  <c r="G28" i="91" s="1"/>
  <c r="C24" i="5"/>
  <c r="D56" i="61"/>
  <c r="H93" i="61"/>
  <c r="D61" i="61"/>
  <c r="G84" i="61"/>
  <c r="F48" i="61"/>
  <c r="F99" i="61"/>
  <c r="D24" i="61"/>
  <c r="D9" i="61" s="1"/>
  <c r="E41" i="61"/>
  <c r="H49" i="61"/>
  <c r="C54" i="61"/>
  <c r="F32" i="61"/>
  <c r="F17" i="61" s="1"/>
  <c r="C87" i="61"/>
  <c r="D79" i="61"/>
  <c r="D85" i="61"/>
  <c r="E55" i="61"/>
  <c r="E91" i="61"/>
  <c r="C92" i="61"/>
  <c r="G29" i="61"/>
  <c r="G14" i="61" s="1"/>
  <c r="F24" i="61"/>
  <c r="F9" i="61" s="1"/>
  <c r="F95" i="61"/>
  <c r="C29" i="61"/>
  <c r="C14" i="61" s="1"/>
  <c r="G85" i="61"/>
  <c r="D34" i="61"/>
  <c r="D19" i="61" s="1"/>
  <c r="F87" i="61"/>
  <c r="F72" i="61"/>
  <c r="G30" i="61"/>
  <c r="G15" i="61" s="1"/>
  <c r="H75" i="61"/>
  <c r="G40" i="61"/>
  <c r="O182" i="13"/>
  <c r="H54" i="91"/>
  <c r="H29" i="91" s="1"/>
  <c r="F63" i="61"/>
  <c r="D78" i="61"/>
  <c r="D46" i="61"/>
  <c r="C90" i="61"/>
  <c r="C47" i="61"/>
  <c r="E65" i="61"/>
  <c r="H48" i="61"/>
  <c r="E47" i="61"/>
  <c r="F86" i="61"/>
  <c r="H32" i="61"/>
  <c r="H17" i="61" s="1"/>
  <c r="H73" i="61"/>
  <c r="E93" i="61"/>
  <c r="C24" i="61"/>
  <c r="C9" i="61" s="1"/>
  <c r="C77" i="61"/>
  <c r="F44" i="61"/>
  <c r="C79" i="61"/>
  <c r="D77" i="61"/>
  <c r="D39" i="61"/>
  <c r="D92" i="61"/>
  <c r="D89" i="61"/>
  <c r="F69" i="61"/>
  <c r="E49" i="61"/>
  <c r="H91" i="61"/>
  <c r="F90" i="61"/>
  <c r="F50" i="61"/>
  <c r="G27" i="61"/>
  <c r="G12" i="61" s="1"/>
  <c r="C43" i="61"/>
  <c r="O54" i="91"/>
  <c r="O29" i="91" s="1"/>
  <c r="F65" i="61"/>
  <c r="E80" i="61"/>
  <c r="G39" i="61"/>
  <c r="E71" i="61"/>
  <c r="F45" i="61"/>
  <c r="D63" i="61"/>
  <c r="G32" i="61"/>
  <c r="G17" i="61" s="1"/>
  <c r="F47" i="61"/>
  <c r="G80" i="61"/>
  <c r="C46" i="61"/>
  <c r="C40" i="61"/>
  <c r="H74" i="61"/>
  <c r="H50" i="61"/>
  <c r="C63" i="61"/>
  <c r="E57" i="61"/>
  <c r="E58" i="61"/>
  <c r="G58" i="61" s="1"/>
  <c r="H58" i="61" s="1"/>
  <c r="C62" i="61"/>
  <c r="H78" i="61"/>
  <c r="D44" i="61"/>
  <c r="H79" i="61"/>
  <c r="H43" i="61"/>
  <c r="H90" i="61"/>
  <c r="D33" i="61"/>
  <c r="D18" i="61" s="1"/>
  <c r="G94" i="61"/>
  <c r="E42" i="61"/>
  <c r="E30" i="61"/>
  <c r="E15" i="61" s="1"/>
  <c r="D49" i="61"/>
  <c r="D87" i="61"/>
  <c r="I211" i="13"/>
  <c r="S200" i="13"/>
  <c r="I12" i="101"/>
  <c r="J34" i="101"/>
  <c r="Q24" i="14"/>
  <c r="N146" i="102"/>
  <c r="F153" i="97"/>
  <c r="Q16" i="98"/>
  <c r="K123" i="101"/>
  <c r="P55" i="39"/>
  <c r="W11" i="39"/>
  <c r="G68" i="101"/>
  <c r="T18" i="67"/>
  <c r="Q60" i="67"/>
  <c r="E81" i="39"/>
  <c r="L51" i="39"/>
  <c r="P112" i="39"/>
  <c r="D72" i="39"/>
  <c r="R65" i="66"/>
  <c r="R126" i="66"/>
  <c r="T40" i="66"/>
  <c r="P115" i="66"/>
  <c r="T132" i="67"/>
  <c r="S43" i="49"/>
  <c r="R153" i="39"/>
  <c r="E96" i="39"/>
  <c r="S109" i="67"/>
  <c r="Q123" i="67"/>
  <c r="S55" i="49"/>
  <c r="C76" i="39"/>
  <c r="V80" i="39"/>
  <c r="P24" i="39"/>
  <c r="J44" i="39"/>
  <c r="P17" i="66"/>
  <c r="S53" i="48"/>
  <c r="R23" i="39"/>
  <c r="Y35" i="39"/>
  <c r="R60" i="39"/>
  <c r="X129" i="39"/>
  <c r="H43" i="101"/>
  <c r="P45" i="67"/>
  <c r="M126" i="39"/>
  <c r="C26" i="39"/>
  <c r="I119" i="39"/>
  <c r="R158" i="39"/>
  <c r="F20" i="39"/>
  <c r="O10" i="101"/>
  <c r="P33" i="66"/>
  <c r="V11" i="49"/>
  <c r="T21" i="49"/>
  <c r="W120" i="39"/>
  <c r="D23" i="39"/>
  <c r="O53" i="39"/>
  <c r="W110" i="39"/>
  <c r="Z9" i="39"/>
  <c r="H32" i="101"/>
  <c r="S79" i="67"/>
  <c r="R30" i="49"/>
  <c r="Q78" i="39"/>
  <c r="T16" i="39"/>
  <c r="W91" i="39"/>
  <c r="N83" i="39"/>
  <c r="C22" i="39"/>
  <c r="G36" i="101"/>
  <c r="P9" i="66"/>
  <c r="T29" i="49"/>
  <c r="Z101" i="39"/>
  <c r="X67" i="39"/>
  <c r="Y76" i="39"/>
  <c r="Z63" i="39"/>
  <c r="N72" i="101"/>
  <c r="E61" i="101"/>
  <c r="P50" i="66"/>
  <c r="R36" i="48"/>
  <c r="K9" i="5"/>
  <c r="S118" i="14"/>
  <c r="AO118" i="14"/>
  <c r="AN14" i="14"/>
  <c r="R14" i="14"/>
  <c r="AM52" i="14"/>
  <c r="Q52" i="14"/>
  <c r="Q108" i="14"/>
  <c r="AM108" i="14"/>
  <c r="AM40" i="14"/>
  <c r="Q40" i="14"/>
  <c r="Q53" i="14"/>
  <c r="AM53" i="14"/>
  <c r="AM63" i="14"/>
  <c r="Q63" i="14"/>
  <c r="AM78" i="14"/>
  <c r="Q78" i="14"/>
  <c r="Q109" i="14"/>
  <c r="AM109" i="14"/>
  <c r="AM85" i="14"/>
  <c r="Q85" i="14"/>
  <c r="AP37" i="14"/>
  <c r="AQ37" i="14" s="1"/>
  <c r="T37" i="14"/>
  <c r="AM18" i="14"/>
  <c r="Q18" i="14"/>
  <c r="AM41" i="14"/>
  <c r="Q41" i="14"/>
  <c r="AN79" i="14"/>
  <c r="R79" i="14"/>
  <c r="AN99" i="14"/>
  <c r="R99" i="14"/>
  <c r="AN128" i="14"/>
  <c r="R128" i="14"/>
  <c r="AM31" i="14"/>
  <c r="Q31" i="14"/>
  <c r="AO42" i="14"/>
  <c r="S42" i="14"/>
  <c r="AM65" i="14"/>
  <c r="Q65" i="14"/>
  <c r="Q100" i="14"/>
  <c r="AM100" i="14"/>
  <c r="R123" i="14"/>
  <c r="AN123" i="14"/>
  <c r="Q84" i="14"/>
  <c r="AM84" i="14"/>
  <c r="AN15" i="14"/>
  <c r="AO15" i="14" s="1"/>
  <c r="R15" i="14"/>
  <c r="AM119" i="14"/>
  <c r="Q119" i="14"/>
  <c r="AM56" i="14"/>
  <c r="Q56" i="14"/>
  <c r="AM66" i="14"/>
  <c r="Q66" i="14"/>
  <c r="Q101" i="14"/>
  <c r="AM101" i="14"/>
  <c r="AM38" i="14"/>
  <c r="Q38" i="14"/>
  <c r="AN77" i="14"/>
  <c r="R77" i="14"/>
  <c r="AM20" i="14"/>
  <c r="Q20" i="14"/>
  <c r="AM43" i="14"/>
  <c r="Q43" i="14"/>
  <c r="AM57" i="14"/>
  <c r="Q57" i="14"/>
  <c r="AM81" i="14"/>
  <c r="Q81" i="14"/>
  <c r="AM92" i="14"/>
  <c r="Q92" i="14"/>
  <c r="AM115" i="14"/>
  <c r="Q115" i="14"/>
  <c r="Q10" i="14"/>
  <c r="AM10" i="14"/>
  <c r="AN82" i="14"/>
  <c r="R82" i="14"/>
  <c r="AN103" i="14"/>
  <c r="R103" i="14"/>
  <c r="AO125" i="14"/>
  <c r="S125" i="14"/>
  <c r="AN35" i="14"/>
  <c r="R35" i="14"/>
  <c r="AO59" i="14"/>
  <c r="S59" i="14"/>
  <c r="AM72" i="14"/>
  <c r="Q72" i="14"/>
  <c r="R94" i="14"/>
  <c r="AN94" i="14"/>
  <c r="AM107" i="14"/>
  <c r="Q107" i="14"/>
  <c r="S23" i="14"/>
  <c r="AO23" i="14"/>
  <c r="Q46" i="14"/>
  <c r="AM46" i="14"/>
  <c r="R83" i="14"/>
  <c r="AN83" i="14"/>
  <c r="Q104" i="14"/>
  <c r="AM104" i="14"/>
  <c r="AM126" i="14"/>
  <c r="Q126" i="14"/>
  <c r="R80" i="14"/>
  <c r="AN80" i="14"/>
  <c r="AN16" i="14"/>
  <c r="R16" i="14"/>
  <c r="Q16" i="14"/>
  <c r="Q77" i="14"/>
  <c r="P35" i="14"/>
  <c r="P115" i="14"/>
  <c r="AN116" i="14"/>
  <c r="Q80" i="14"/>
  <c r="Q99" i="14"/>
  <c r="Q42" i="14"/>
  <c r="P15" i="14"/>
  <c r="P108" i="14"/>
  <c r="Q14" i="14"/>
  <c r="R23" i="14"/>
  <c r="P24" i="14"/>
  <c r="P66" i="14"/>
  <c r="P78" i="14"/>
  <c r="AP22" i="14"/>
  <c r="AQ22" i="14" s="1"/>
  <c r="AO21" i="14"/>
  <c r="R42" i="14"/>
  <c r="Q128" i="14"/>
  <c r="AM24" i="14"/>
  <c r="AP76" i="14"/>
  <c r="AQ76" i="14" s="1"/>
  <c r="R59" i="14"/>
  <c r="Q35" i="14"/>
  <c r="Q123" i="14"/>
  <c r="Q59" i="14"/>
  <c r="R97" i="14"/>
  <c r="R118" i="14"/>
  <c r="Q83" i="14"/>
  <c r="AP71" i="14"/>
  <c r="AQ71" i="14" s="1"/>
  <c r="T97" i="14"/>
  <c r="Q97" i="14"/>
  <c r="Q103" i="14"/>
  <c r="P99" i="14"/>
  <c r="AN13" i="14"/>
  <c r="Q14" i="66"/>
  <c r="AL14" i="66"/>
  <c r="AL39" i="66"/>
  <c r="Q39" i="66"/>
  <c r="AL53" i="66"/>
  <c r="Q53" i="66"/>
  <c r="AL78" i="66"/>
  <c r="Q78" i="66"/>
  <c r="AL92" i="66"/>
  <c r="Q92" i="66"/>
  <c r="Q29" i="66"/>
  <c r="AL29" i="66"/>
  <c r="AL102" i="66"/>
  <c r="Q102" i="66"/>
  <c r="AN79" i="66"/>
  <c r="S79" i="66"/>
  <c r="Q94" i="66"/>
  <c r="AL94" i="66"/>
  <c r="AM84" i="66"/>
  <c r="R84" i="66"/>
  <c r="S103" i="66"/>
  <c r="AN103" i="66"/>
  <c r="AM104" i="66"/>
  <c r="R104" i="66"/>
  <c r="AL95" i="66"/>
  <c r="Q95" i="66"/>
  <c r="AO87" i="66"/>
  <c r="AP87" i="66" s="1"/>
  <c r="T87" i="66"/>
  <c r="AN57" i="66"/>
  <c r="S57" i="66"/>
  <c r="AM129" i="66"/>
  <c r="R129" i="66"/>
  <c r="AL32" i="66"/>
  <c r="Q32" i="66"/>
  <c r="R81" i="66"/>
  <c r="AM81" i="66"/>
  <c r="R45" i="66"/>
  <c r="AM45" i="66"/>
  <c r="AL7" i="66"/>
  <c r="Q7" i="66"/>
  <c r="Q19" i="66"/>
  <c r="AL19" i="66"/>
  <c r="Q58" i="66"/>
  <c r="AL58" i="66"/>
  <c r="AN71" i="66"/>
  <c r="S71" i="66"/>
  <c r="T36" i="66"/>
  <c r="AO36" i="66"/>
  <c r="AP36" i="66" s="1"/>
  <c r="T107" i="66"/>
  <c r="AO107" i="66"/>
  <c r="AP107" i="66" s="1"/>
  <c r="AL8" i="66"/>
  <c r="Q8" i="66"/>
  <c r="AM34" i="66"/>
  <c r="R34" i="66"/>
  <c r="Q59" i="66"/>
  <c r="AL59" i="66"/>
  <c r="AL72" i="66"/>
  <c r="Q72" i="66"/>
  <c r="AL98" i="66"/>
  <c r="Q98" i="66"/>
  <c r="S120" i="66"/>
  <c r="AN120" i="66"/>
  <c r="Q10" i="66"/>
  <c r="AL10" i="66"/>
  <c r="AL22" i="66"/>
  <c r="Q22" i="66"/>
  <c r="AL49" i="66"/>
  <c r="Q49" i="66"/>
  <c r="Q61" i="66"/>
  <c r="AL61" i="66"/>
  <c r="AL85" i="66"/>
  <c r="Q85" i="66"/>
  <c r="AM86" i="66"/>
  <c r="R86" i="66"/>
  <c r="AL62" i="66"/>
  <c r="Q62" i="66"/>
  <c r="AL24" i="66"/>
  <c r="Q24" i="66"/>
  <c r="AL63" i="66"/>
  <c r="Q63" i="66"/>
  <c r="AL76" i="66"/>
  <c r="R76" i="66" s="1"/>
  <c r="Q76" i="66"/>
  <c r="AL13" i="66"/>
  <c r="Q13" i="66"/>
  <c r="AM28" i="66"/>
  <c r="R28" i="66"/>
  <c r="AL38" i="66"/>
  <c r="Q38" i="66"/>
  <c r="AM64" i="66"/>
  <c r="R64" i="66"/>
  <c r="AN77" i="66"/>
  <c r="S77" i="66"/>
  <c r="AK17" i="66"/>
  <c r="AN54" i="66"/>
  <c r="Q84" i="66"/>
  <c r="S40" i="66"/>
  <c r="S36" i="66"/>
  <c r="AN66" i="66"/>
  <c r="Q45" i="66"/>
  <c r="Q126" i="66"/>
  <c r="AM15" i="66"/>
  <c r="Q86" i="66"/>
  <c r="AO128" i="66"/>
  <c r="AP128" i="66" s="1"/>
  <c r="AN51" i="66"/>
  <c r="AN116" i="66"/>
  <c r="AL121" i="66"/>
  <c r="AM75" i="66"/>
  <c r="AK33" i="66"/>
  <c r="AM126" i="66"/>
  <c r="AO43" i="66"/>
  <c r="AP43" i="66" s="1"/>
  <c r="AN96" i="66"/>
  <c r="AL115" i="66"/>
  <c r="P77" i="66"/>
  <c r="S127" i="66"/>
  <c r="AL70" i="66"/>
  <c r="P59" i="66"/>
  <c r="P95" i="66"/>
  <c r="T119" i="66"/>
  <c r="AN125" i="66"/>
  <c r="AO31" i="66"/>
  <c r="AP31" i="66" s="1"/>
  <c r="AM35" i="66"/>
  <c r="S16" i="66"/>
  <c r="Q129" i="66"/>
  <c r="AK50" i="66"/>
  <c r="P24" i="66"/>
  <c r="AK9" i="66"/>
  <c r="P126" i="66"/>
  <c r="P84" i="66"/>
  <c r="AN97" i="66"/>
  <c r="AM117" i="66"/>
  <c r="AM12" i="66"/>
  <c r="R79" i="66"/>
  <c r="AM18" i="66"/>
  <c r="AM99" i="66"/>
  <c r="S99" i="66" s="1"/>
  <c r="R103" i="66"/>
  <c r="AM60" i="66"/>
  <c r="Q104" i="66"/>
  <c r="AM106" i="66"/>
  <c r="AM65" i="66"/>
  <c r="R40" i="66"/>
  <c r="Q66" i="66"/>
  <c r="AO37" i="66"/>
  <c r="AP37" i="66" s="1"/>
  <c r="AO123" i="66"/>
  <c r="AP123" i="66" s="1"/>
  <c r="R57" i="66"/>
  <c r="P76" i="66"/>
  <c r="P102" i="66"/>
  <c r="AO39" i="27"/>
  <c r="AP39" i="27" s="1"/>
  <c r="T39" i="27"/>
  <c r="AL17" i="27"/>
  <c r="Q17" i="27"/>
  <c r="AL28" i="27"/>
  <c r="Q28" i="27"/>
  <c r="AL48" i="27"/>
  <c r="Q48" i="27"/>
  <c r="AL60" i="27"/>
  <c r="Q60" i="27"/>
  <c r="AL107" i="27"/>
  <c r="Q107" i="27"/>
  <c r="Q126" i="27"/>
  <c r="AL126" i="27"/>
  <c r="T44" i="27"/>
  <c r="AO44" i="27"/>
  <c r="AP44" i="27" s="1"/>
  <c r="AN77" i="27"/>
  <c r="S77" i="27"/>
  <c r="T40" i="27"/>
  <c r="AO40" i="27"/>
  <c r="AP40" i="27" s="1"/>
  <c r="AM108" i="27"/>
  <c r="R108" i="27"/>
  <c r="AL16" i="27"/>
  <c r="Q16" i="27"/>
  <c r="AO42" i="27"/>
  <c r="AP42" i="27" s="1"/>
  <c r="T42" i="27"/>
  <c r="AM82" i="27"/>
  <c r="R82" i="27"/>
  <c r="AL62" i="27"/>
  <c r="Q62" i="27"/>
  <c r="AL72" i="27"/>
  <c r="R72" i="27" s="1"/>
  <c r="Q72" i="27"/>
  <c r="AN25" i="27"/>
  <c r="S25" i="27"/>
  <c r="AL63" i="27"/>
  <c r="Q63" i="27"/>
  <c r="AL79" i="27"/>
  <c r="Q79" i="27"/>
  <c r="AO27" i="27"/>
  <c r="AP27" i="27" s="1"/>
  <c r="T27" i="27"/>
  <c r="AL99" i="27"/>
  <c r="Q99" i="27"/>
  <c r="AN120" i="27"/>
  <c r="S120" i="27"/>
  <c r="AL65" i="27"/>
  <c r="Q65" i="27"/>
  <c r="AN88" i="27"/>
  <c r="S88" i="27"/>
  <c r="T122" i="27"/>
  <c r="AO122" i="27"/>
  <c r="AP122" i="27" s="1"/>
  <c r="T78" i="27"/>
  <c r="AO78" i="27"/>
  <c r="AP78" i="27" s="1"/>
  <c r="AL23" i="27"/>
  <c r="Q23" i="27"/>
  <c r="S71" i="27"/>
  <c r="AN71" i="27"/>
  <c r="AL83" i="27"/>
  <c r="Q83" i="27"/>
  <c r="AL102" i="27"/>
  <c r="Q102" i="27"/>
  <c r="AN43" i="27"/>
  <c r="AO43" i="27" s="1"/>
  <c r="AP43" i="27" s="1"/>
  <c r="S43" i="27"/>
  <c r="AO26" i="27"/>
  <c r="AP26" i="27" s="1"/>
  <c r="T26" i="27"/>
  <c r="AL56" i="27"/>
  <c r="Q56" i="27"/>
  <c r="AL113" i="27"/>
  <c r="Q113" i="27"/>
  <c r="AL57" i="27"/>
  <c r="Q57" i="27"/>
  <c r="T123" i="27"/>
  <c r="AM30" i="27"/>
  <c r="AN30" i="27" s="1"/>
  <c r="S78" i="27"/>
  <c r="AM37" i="27"/>
  <c r="AM85" i="27"/>
  <c r="T46" i="27"/>
  <c r="R20" i="27"/>
  <c r="T87" i="27"/>
  <c r="Q82" i="27"/>
  <c r="S39" i="27"/>
  <c r="T90" i="27"/>
  <c r="S42" i="27"/>
  <c r="AO47" i="27"/>
  <c r="AP47" i="27" s="1"/>
  <c r="S26" i="27"/>
  <c r="T20" i="27"/>
  <c r="T98" i="27"/>
  <c r="R43" i="27"/>
  <c r="R127" i="27"/>
  <c r="AN15" i="27"/>
  <c r="R25" i="27"/>
  <c r="T50" i="27"/>
  <c r="R71" i="27"/>
  <c r="AO66" i="67"/>
  <c r="AP66" i="67" s="1"/>
  <c r="T66" i="67"/>
  <c r="AN50" i="67"/>
  <c r="AO50" i="67" s="1"/>
  <c r="AP50" i="67" s="1"/>
  <c r="S50" i="67"/>
  <c r="AN75" i="67"/>
  <c r="S75" i="67"/>
  <c r="AL96" i="67"/>
  <c r="Q96" i="67"/>
  <c r="R61" i="67"/>
  <c r="AM61" i="67"/>
  <c r="AO62" i="67"/>
  <c r="AP62" i="67" s="1"/>
  <c r="T62" i="67"/>
  <c r="S64" i="67"/>
  <c r="AN64" i="67"/>
  <c r="AM71" i="67"/>
  <c r="R71" i="67"/>
  <c r="R13" i="67"/>
  <c r="AM13" i="67"/>
  <c r="AL43" i="67"/>
  <c r="Q43" i="67"/>
  <c r="AN77" i="67"/>
  <c r="S77" i="67"/>
  <c r="AL63" i="67"/>
  <c r="Q63" i="67"/>
  <c r="AL98" i="67"/>
  <c r="Q98" i="67"/>
  <c r="T67" i="67"/>
  <c r="AO67" i="67"/>
  <c r="AP67" i="67" s="1"/>
  <c r="R92" i="67"/>
  <c r="AM92" i="67"/>
  <c r="AL22" i="67"/>
  <c r="Q22" i="67"/>
  <c r="Q99" i="67"/>
  <c r="AL99" i="67"/>
  <c r="AM24" i="67"/>
  <c r="R24" i="67"/>
  <c r="T86" i="67"/>
  <c r="AO86" i="67"/>
  <c r="AP86" i="67" s="1"/>
  <c r="Q54" i="67"/>
  <c r="AL54" i="67"/>
  <c r="R54" i="67" s="1"/>
  <c r="AL125" i="67"/>
  <c r="Q125" i="67"/>
  <c r="AN134" i="67"/>
  <c r="S134" i="67"/>
  <c r="S55" i="67"/>
  <c r="AN55" i="67"/>
  <c r="S35" i="67"/>
  <c r="AN35" i="67"/>
  <c r="AM90" i="67"/>
  <c r="R90" i="67"/>
  <c r="AO89" i="67"/>
  <c r="AP89" i="67" s="1"/>
  <c r="T89" i="67"/>
  <c r="AL80" i="67"/>
  <c r="AM80" i="67" s="1"/>
  <c r="Q80" i="67"/>
  <c r="AL103" i="67"/>
  <c r="Q103" i="67"/>
  <c r="AL37" i="67"/>
  <c r="Q37" i="67"/>
  <c r="AL16" i="67"/>
  <c r="Q16" i="67"/>
  <c r="AL38" i="67"/>
  <c r="Q38" i="67"/>
  <c r="AO58" i="67"/>
  <c r="AP58" i="67" s="1"/>
  <c r="T58" i="67"/>
  <c r="AL70" i="67"/>
  <c r="Q70" i="67"/>
  <c r="R47" i="67"/>
  <c r="AM47" i="67"/>
  <c r="AN47" i="67" s="1"/>
  <c r="AM48" i="67"/>
  <c r="R48" i="67"/>
  <c r="R105" i="67"/>
  <c r="AM105" i="67"/>
  <c r="T91" i="67"/>
  <c r="S66" i="67"/>
  <c r="R64" i="67"/>
  <c r="R87" i="67"/>
  <c r="T39" i="67"/>
  <c r="P90" i="67"/>
  <c r="S29" i="67"/>
  <c r="P70" i="67"/>
  <c r="P99" i="67"/>
  <c r="Q79" i="67"/>
  <c r="R35" i="67"/>
  <c r="P60" i="67"/>
  <c r="R109" i="67"/>
  <c r="P123" i="67"/>
  <c r="Q18" i="67"/>
  <c r="T87" i="67"/>
  <c r="AO126" i="67"/>
  <c r="AP126" i="67" s="1"/>
  <c r="T108" i="67"/>
  <c r="R117" i="67"/>
  <c r="R111" i="67"/>
  <c r="T79" i="67"/>
  <c r="AO104" i="67"/>
  <c r="AP104" i="67" s="1"/>
  <c r="T12" i="67"/>
  <c r="S104" i="67"/>
  <c r="Q109" i="67"/>
  <c r="T28" i="67"/>
  <c r="R104" i="67"/>
  <c r="Q92" i="67"/>
  <c r="Q132" i="67"/>
  <c r="Q61" i="67"/>
  <c r="R132" i="67"/>
  <c r="AK45" i="67"/>
  <c r="T133" i="67"/>
  <c r="AN88" i="67"/>
  <c r="Q47" i="67"/>
  <c r="P109" i="67"/>
  <c r="R29" i="67"/>
  <c r="Q13" i="67"/>
  <c r="AN117" i="67"/>
  <c r="S15" i="67"/>
  <c r="Q87" i="67"/>
  <c r="R55" i="67"/>
  <c r="T129" i="67"/>
  <c r="AL60" i="67"/>
  <c r="S18" i="67"/>
  <c r="AO18" i="67"/>
  <c r="AP18" i="67" s="1"/>
  <c r="Q29" i="67"/>
  <c r="P29" i="67"/>
  <c r="P18" i="67"/>
  <c r="T113" i="67"/>
  <c r="AO131" i="67"/>
  <c r="AP131" i="67" s="1"/>
  <c r="S69" i="67"/>
  <c r="S89" i="67"/>
  <c r="Q90" i="67"/>
  <c r="T29" i="67"/>
  <c r="AO109" i="67"/>
  <c r="AP109" i="67" s="1"/>
  <c r="Q71" i="67"/>
  <c r="AL123" i="67"/>
  <c r="AM123" i="67" s="1"/>
  <c r="Q35" i="67"/>
  <c r="AO118" i="67"/>
  <c r="AP118" i="67" s="1"/>
  <c r="R79" i="67"/>
  <c r="AM26" i="84"/>
  <c r="R26" i="84"/>
  <c r="T51" i="84"/>
  <c r="AO51" i="84"/>
  <c r="AM64" i="84"/>
  <c r="R64" i="84"/>
  <c r="AM27" i="84"/>
  <c r="R27" i="84"/>
  <c r="AM37" i="84"/>
  <c r="R37" i="84"/>
  <c r="AM65" i="84"/>
  <c r="R65" i="84"/>
  <c r="AP48" i="84"/>
  <c r="U48" i="84"/>
  <c r="AP13" i="84"/>
  <c r="AQ13" i="84" s="1"/>
  <c r="AR13" i="84" s="1"/>
  <c r="U13" i="84"/>
  <c r="AM28" i="84"/>
  <c r="R28" i="84"/>
  <c r="R38" i="84"/>
  <c r="AM38" i="84"/>
  <c r="AM42" i="84"/>
  <c r="R42" i="84"/>
  <c r="AO16" i="84"/>
  <c r="T16" i="84"/>
  <c r="AM55" i="84"/>
  <c r="R55" i="84"/>
  <c r="AM68" i="84"/>
  <c r="R68" i="84"/>
  <c r="R17" i="84"/>
  <c r="AM17" i="84"/>
  <c r="AM30" i="84"/>
  <c r="R30" i="84"/>
  <c r="AM69" i="84"/>
  <c r="R69" i="84"/>
  <c r="AM18" i="84"/>
  <c r="R18" i="84"/>
  <c r="R31" i="84"/>
  <c r="AM31" i="84"/>
  <c r="AP46" i="84"/>
  <c r="U46" i="84"/>
  <c r="AM60" i="84"/>
  <c r="R60" i="84"/>
  <c r="AM70" i="84"/>
  <c r="R70" i="84"/>
  <c r="AN61" i="84"/>
  <c r="S61" i="84"/>
  <c r="AM71" i="84"/>
  <c r="R71" i="84"/>
  <c r="AM20" i="84"/>
  <c r="R20" i="84"/>
  <c r="AM21" i="84"/>
  <c r="R21" i="84"/>
  <c r="AM34" i="84"/>
  <c r="R34" i="84"/>
  <c r="AM25" i="84"/>
  <c r="R25" i="84"/>
  <c r="AM63" i="84"/>
  <c r="R63" i="84"/>
  <c r="Q25" i="84"/>
  <c r="Q16" i="84"/>
  <c r="V36" i="84"/>
  <c r="T48" i="84"/>
  <c r="Q67" i="84"/>
  <c r="R67" i="84"/>
  <c r="Q51" i="84"/>
  <c r="S51" i="84"/>
  <c r="R51" i="84"/>
  <c r="V32" i="84"/>
  <c r="AO8" i="84"/>
  <c r="S16" i="84"/>
  <c r="R61" i="84"/>
  <c r="Q38" i="84"/>
  <c r="AP72" i="84"/>
  <c r="S45" i="49"/>
  <c r="AN45" i="49"/>
  <c r="AN49" i="49"/>
  <c r="S49" i="49"/>
  <c r="R37" i="49"/>
  <c r="AM37" i="49"/>
  <c r="S62" i="49"/>
  <c r="AN62" i="49"/>
  <c r="AN8" i="49"/>
  <c r="S8" i="49"/>
  <c r="AM42" i="49"/>
  <c r="R42" i="49"/>
  <c r="AN53" i="49"/>
  <c r="S53" i="49"/>
  <c r="T64" i="49"/>
  <c r="AO64" i="49"/>
  <c r="AN72" i="49"/>
  <c r="S72" i="49"/>
  <c r="U61" i="49"/>
  <c r="AP61" i="49"/>
  <c r="AO36" i="49"/>
  <c r="T36" i="49"/>
  <c r="AQ66" i="49"/>
  <c r="AR66" i="49" s="1"/>
  <c r="V66" i="49"/>
  <c r="T31" i="49"/>
  <c r="AO31" i="49"/>
  <c r="AO44" i="49"/>
  <c r="T44" i="49"/>
  <c r="AM60" i="49"/>
  <c r="R60" i="49"/>
  <c r="V63" i="49"/>
  <c r="AQ63" i="49"/>
  <c r="AR63" i="49" s="1"/>
  <c r="AN69" i="49"/>
  <c r="S69" i="49"/>
  <c r="AQ14" i="49"/>
  <c r="AR14" i="49" s="1"/>
  <c r="V14" i="49"/>
  <c r="AM13" i="49"/>
  <c r="R13" i="49"/>
  <c r="AM71" i="49"/>
  <c r="R71" i="49"/>
  <c r="Q31" i="49"/>
  <c r="Q13" i="49"/>
  <c r="AM30" i="49"/>
  <c r="R43" i="49"/>
  <c r="Q64" i="49"/>
  <c r="S33" i="49"/>
  <c r="R21" i="49"/>
  <c r="R53" i="49"/>
  <c r="AO21" i="49"/>
  <c r="Q44" i="49"/>
  <c r="V33" i="49"/>
  <c r="R64" i="49"/>
  <c r="AO15" i="49"/>
  <c r="AO10" i="49"/>
  <c r="U10" i="49" s="1"/>
  <c r="R44" i="49"/>
  <c r="AO29" i="49"/>
  <c r="U11" i="49"/>
  <c r="AN43" i="49"/>
  <c r="Q62" i="49"/>
  <c r="U46" i="49"/>
  <c r="R45" i="49"/>
  <c r="R62" i="49"/>
  <c r="U33" i="49"/>
  <c r="S31" i="49"/>
  <c r="T11" i="49"/>
  <c r="Q21" i="49"/>
  <c r="T61" i="49"/>
  <c r="U14" i="49"/>
  <c r="R11" i="49"/>
  <c r="S21" i="49"/>
  <c r="U66" i="49"/>
  <c r="AN55" i="49"/>
  <c r="AQ11" i="49"/>
  <c r="AR11" i="49" s="1"/>
  <c r="R31" i="49"/>
  <c r="T33" i="49"/>
  <c r="S11" i="49"/>
  <c r="Q11" i="49"/>
  <c r="AM8" i="48"/>
  <c r="R8" i="48"/>
  <c r="R35" i="48"/>
  <c r="AM35" i="48"/>
  <c r="AM46" i="48"/>
  <c r="R46" i="48"/>
  <c r="AM59" i="48"/>
  <c r="R59" i="48"/>
  <c r="AO71" i="48"/>
  <c r="T71" i="48"/>
  <c r="AN51" i="48"/>
  <c r="S51" i="48"/>
  <c r="R25" i="48"/>
  <c r="AM25" i="48"/>
  <c r="AM61" i="48"/>
  <c r="R61" i="48"/>
  <c r="AM11" i="48"/>
  <c r="R11" i="48"/>
  <c r="AM72" i="48"/>
  <c r="R72" i="48"/>
  <c r="AP26" i="48"/>
  <c r="U26" i="48"/>
  <c r="AM12" i="48"/>
  <c r="R12" i="48"/>
  <c r="AM27" i="48"/>
  <c r="R27" i="48"/>
  <c r="AM63" i="48"/>
  <c r="R63" i="48"/>
  <c r="AM13" i="48"/>
  <c r="R13" i="48"/>
  <c r="R28" i="48"/>
  <c r="AM28" i="48"/>
  <c r="AM38" i="48"/>
  <c r="R38" i="48"/>
  <c r="AM34" i="48"/>
  <c r="R34" i="48"/>
  <c r="AM69" i="48"/>
  <c r="R69" i="48"/>
  <c r="AM14" i="48"/>
  <c r="R14" i="48"/>
  <c r="AO55" i="48"/>
  <c r="T55" i="48"/>
  <c r="R15" i="48"/>
  <c r="AM15" i="48"/>
  <c r="AM30" i="48"/>
  <c r="R30" i="48"/>
  <c r="AM42" i="48"/>
  <c r="R42" i="48"/>
  <c r="AQ53" i="48"/>
  <c r="AR53" i="48" s="1"/>
  <c r="V53" i="48"/>
  <c r="AM17" i="48"/>
  <c r="R17" i="48"/>
  <c r="AM43" i="48"/>
  <c r="R43" i="48"/>
  <c r="AM68" i="48"/>
  <c r="R68" i="48"/>
  <c r="R71" i="48"/>
  <c r="Q27" i="48"/>
  <c r="R10" i="48"/>
  <c r="AO33" i="48"/>
  <c r="S10" i="48"/>
  <c r="AM36" i="48"/>
  <c r="T10" i="48"/>
  <c r="V10" i="48"/>
  <c r="U10" i="48"/>
  <c r="Q17" i="48"/>
  <c r="V70" i="48"/>
  <c r="R53" i="48"/>
  <c r="Q63" i="48"/>
  <c r="U53" i="48"/>
  <c r="Q43" i="48"/>
  <c r="T26" i="48"/>
  <c r="Q10" i="48"/>
  <c r="M28" i="5"/>
  <c r="M54" i="91"/>
  <c r="M29" i="91" s="1"/>
  <c r="O41" i="91"/>
  <c r="O16" i="91" s="1"/>
  <c r="O15" i="5"/>
  <c r="G19" i="5"/>
  <c r="G45" i="91"/>
  <c r="G20" i="91" s="1"/>
  <c r="H13" i="5"/>
  <c r="H39" i="91"/>
  <c r="H14" i="91" s="1"/>
  <c r="E49" i="91"/>
  <c r="E24" i="91" s="1"/>
  <c r="E23" i="5"/>
  <c r="J102" i="65"/>
  <c r="J102" i="93" s="1"/>
  <c r="P93" i="65"/>
  <c r="P93" i="93" s="1"/>
  <c r="O35" i="65"/>
  <c r="O35" i="93" s="1"/>
  <c r="H122" i="65"/>
  <c r="H122" i="93" s="1"/>
  <c r="K115" i="65"/>
  <c r="K115" i="93" s="1"/>
  <c r="O87" i="65"/>
  <c r="O87" i="93" s="1"/>
  <c r="F51" i="65"/>
  <c r="F51" i="93" s="1"/>
  <c r="G33" i="65"/>
  <c r="G33" i="93" s="1"/>
  <c r="E82" i="65"/>
  <c r="E82" i="93" s="1"/>
  <c r="D52" i="65"/>
  <c r="D52" i="93" s="1"/>
  <c r="E102" i="65"/>
  <c r="E102" i="93" s="1"/>
  <c r="H22" i="65"/>
  <c r="H22" i="93" s="1"/>
  <c r="E111" i="65"/>
  <c r="E111" i="93" s="1"/>
  <c r="M19" i="65"/>
  <c r="M19" i="93" s="1"/>
  <c r="I57" i="65"/>
  <c r="I57" i="93" s="1"/>
  <c r="F36" i="65"/>
  <c r="F36" i="93" s="1"/>
  <c r="O51" i="65"/>
  <c r="O51" i="93" s="1"/>
  <c r="L103" i="65"/>
  <c r="L103" i="93" s="1"/>
  <c r="J36" i="65"/>
  <c r="J36" i="93" s="1"/>
  <c r="E25" i="65"/>
  <c r="E25" i="93" s="1"/>
  <c r="K43" i="65"/>
  <c r="K43" i="93" s="1"/>
  <c r="D67" i="65"/>
  <c r="D67" i="93" s="1"/>
  <c r="E71" i="65"/>
  <c r="E71" i="93" s="1"/>
  <c r="L98" i="65"/>
  <c r="L98" i="93" s="1"/>
  <c r="F127" i="65"/>
  <c r="F127" i="93" s="1"/>
  <c r="N102" i="65"/>
  <c r="N102" i="93" s="1"/>
  <c r="D115" i="65"/>
  <c r="D115" i="93" s="1"/>
  <c r="M29" i="65"/>
  <c r="M29" i="93" s="1"/>
  <c r="F129" i="65"/>
  <c r="F129" i="93" s="1"/>
  <c r="E124" i="65"/>
  <c r="E124" i="93" s="1"/>
  <c r="C114" i="65"/>
  <c r="C114" i="93" s="1"/>
  <c r="J45" i="65"/>
  <c r="J45" i="93" s="1"/>
  <c r="N16" i="65"/>
  <c r="N16" i="93" s="1"/>
  <c r="F28" i="65"/>
  <c r="F28" i="93" s="1"/>
  <c r="I14" i="65"/>
  <c r="I14" i="93" s="1"/>
  <c r="F114" i="65"/>
  <c r="F114" i="93" s="1"/>
  <c r="M106" i="65"/>
  <c r="M106" i="93" s="1"/>
  <c r="C57" i="65"/>
  <c r="C57" i="93" s="1"/>
  <c r="M79" i="65"/>
  <c r="M79" i="93" s="1"/>
  <c r="N56" i="65"/>
  <c r="N56" i="93" s="1"/>
  <c r="P110" i="65"/>
  <c r="P110" i="93" s="1"/>
  <c r="I72" i="65"/>
  <c r="I72" i="93" s="1"/>
  <c r="N81" i="65"/>
  <c r="N81" i="93" s="1"/>
  <c r="C44" i="65"/>
  <c r="C44" i="93" s="1"/>
  <c r="C30" i="65"/>
  <c r="C30" i="93" s="1"/>
  <c r="C105" i="65"/>
  <c r="C105" i="93" s="1"/>
  <c r="C46" i="65"/>
  <c r="C46" i="93" s="1"/>
  <c r="M47" i="65"/>
  <c r="M47" i="93" s="1"/>
  <c r="F60" i="65"/>
  <c r="F60" i="93" s="1"/>
  <c r="M17" i="65"/>
  <c r="M17" i="93" s="1"/>
  <c r="O111" i="65"/>
  <c r="O111" i="93" s="1"/>
  <c r="M124" i="65"/>
  <c r="M124" i="93" s="1"/>
  <c r="J60" i="65"/>
  <c r="J60" i="93" s="1"/>
  <c r="H93" i="65"/>
  <c r="H93" i="93" s="1"/>
  <c r="C59" i="65"/>
  <c r="C59" i="93" s="1"/>
  <c r="N40" i="65"/>
  <c r="N40" i="93" s="1"/>
  <c r="M58" i="65"/>
  <c r="M58" i="93" s="1"/>
  <c r="I34" i="65"/>
  <c r="I34" i="93" s="1"/>
  <c r="I24" i="65"/>
  <c r="I24" i="93" s="1"/>
  <c r="M15" i="65"/>
  <c r="M15" i="93" s="1"/>
  <c r="F76" i="65"/>
  <c r="F76" i="93" s="1"/>
  <c r="P85" i="65"/>
  <c r="P85" i="93" s="1"/>
  <c r="P25" i="65"/>
  <c r="P25" i="93" s="1"/>
  <c r="M80" i="65"/>
  <c r="M80" i="93" s="1"/>
  <c r="J78" i="65"/>
  <c r="J78" i="93" s="1"/>
  <c r="O98" i="65"/>
  <c r="O98" i="93" s="1"/>
  <c r="G9" i="65"/>
  <c r="G9" i="93" s="1"/>
  <c r="F16" i="65"/>
  <c r="F16" i="93" s="1"/>
  <c r="H15" i="65"/>
  <c r="H15" i="93" s="1"/>
  <c r="P49" i="65"/>
  <c r="P49" i="93" s="1"/>
  <c r="K41" i="65"/>
  <c r="K41" i="93" s="1"/>
  <c r="K28" i="65"/>
  <c r="K28" i="93" s="1"/>
  <c r="H67" i="65"/>
  <c r="H67" i="93" s="1"/>
  <c r="M78" i="65"/>
  <c r="M78" i="93" s="1"/>
  <c r="J71" i="65"/>
  <c r="J71" i="93" s="1"/>
  <c r="E81" i="65"/>
  <c r="E81" i="93" s="1"/>
  <c r="N120" i="65"/>
  <c r="N120" i="93" s="1"/>
  <c r="E98" i="65"/>
  <c r="E98" i="93" s="1"/>
  <c r="C93" i="65"/>
  <c r="C93" i="93" s="1"/>
  <c r="J81" i="65"/>
  <c r="J81" i="93" s="1"/>
  <c r="O86" i="65"/>
  <c r="O86" i="93" s="1"/>
  <c r="D31" i="65"/>
  <c r="D31" i="93" s="1"/>
  <c r="C115" i="65"/>
  <c r="C115" i="93" s="1"/>
  <c r="F50" i="65"/>
  <c r="F50" i="93" s="1"/>
  <c r="M57" i="65"/>
  <c r="M57" i="93" s="1"/>
  <c r="L85" i="65"/>
  <c r="L85" i="93" s="1"/>
  <c r="C12" i="65"/>
  <c r="C12" i="93" s="1"/>
  <c r="M23" i="65"/>
  <c r="M23" i="93" s="1"/>
  <c r="O112" i="65"/>
  <c r="O112" i="93" s="1"/>
  <c r="K91" i="65"/>
  <c r="K91" i="93" s="1"/>
  <c r="F122" i="65"/>
  <c r="F122" i="93" s="1"/>
  <c r="O64" i="65"/>
  <c r="O64" i="93" s="1"/>
  <c r="N48" i="65"/>
  <c r="N48" i="93" s="1"/>
  <c r="D12" i="65"/>
  <c r="D12" i="93" s="1"/>
  <c r="H36" i="65"/>
  <c r="H36" i="93" s="1"/>
  <c r="F79" i="65"/>
  <c r="F79" i="93" s="1"/>
  <c r="O97" i="65"/>
  <c r="O97" i="93" s="1"/>
  <c r="G17" i="65"/>
  <c r="G17" i="93" s="1"/>
  <c r="M102" i="65"/>
  <c r="M102" i="93" s="1"/>
  <c r="P36" i="65"/>
  <c r="P36" i="93" s="1"/>
  <c r="I48" i="65"/>
  <c r="I48" i="93" s="1"/>
  <c r="N89" i="65"/>
  <c r="N89" i="93" s="1"/>
  <c r="K27" i="65"/>
  <c r="K27" i="93" s="1"/>
  <c r="H11" i="65"/>
  <c r="H11" i="93" s="1"/>
  <c r="C85" i="65"/>
  <c r="C85" i="93" s="1"/>
  <c r="I52" i="65"/>
  <c r="I52" i="93" s="1"/>
  <c r="F116" i="65"/>
  <c r="F116" i="93" s="1"/>
  <c r="N66" i="65"/>
  <c r="N66" i="93" s="1"/>
  <c r="F103" i="65"/>
  <c r="F103" i="93" s="1"/>
  <c r="I93" i="65"/>
  <c r="I93" i="93" s="1"/>
  <c r="E18" i="65"/>
  <c r="E18" i="93" s="1"/>
  <c r="C58" i="65"/>
  <c r="C58" i="93" s="1"/>
  <c r="P75" i="65"/>
  <c r="P75" i="93" s="1"/>
  <c r="F33" i="65"/>
  <c r="F33" i="93" s="1"/>
  <c r="E118" i="65"/>
  <c r="E118" i="93" s="1"/>
  <c r="C21" i="65"/>
  <c r="C21" i="93" s="1"/>
  <c r="I19" i="65"/>
  <c r="I19" i="93" s="1"/>
  <c r="L79" i="65"/>
  <c r="L79" i="93" s="1"/>
  <c r="D54" i="65"/>
  <c r="D54" i="93" s="1"/>
  <c r="M11" i="65"/>
  <c r="M11" i="93" s="1"/>
  <c r="P106" i="65"/>
  <c r="P106" i="93" s="1"/>
  <c r="P83" i="65"/>
  <c r="P83" i="93" s="1"/>
  <c r="M109" i="65"/>
  <c r="M109" i="93" s="1"/>
  <c r="G124" i="65"/>
  <c r="G124" i="93" s="1"/>
  <c r="K34" i="65"/>
  <c r="K34" i="93" s="1"/>
  <c r="K94" i="65"/>
  <c r="K94" i="93" s="1"/>
  <c r="G117" i="65"/>
  <c r="G117" i="93" s="1"/>
  <c r="F61" i="65"/>
  <c r="F61" i="93" s="1"/>
  <c r="O123" i="65"/>
  <c r="O123" i="93" s="1"/>
  <c r="M35" i="65"/>
  <c r="M35" i="93" s="1"/>
  <c r="K106" i="65"/>
  <c r="K106" i="93" s="1"/>
  <c r="P15" i="65"/>
  <c r="P15" i="93" s="1"/>
  <c r="F78" i="65"/>
  <c r="F78" i="93" s="1"/>
  <c r="E125" i="65"/>
  <c r="E125" i="93" s="1"/>
  <c r="N115" i="65"/>
  <c r="N115" i="93" s="1"/>
  <c r="D96" i="65"/>
  <c r="D96" i="93" s="1"/>
  <c r="E61" i="65"/>
  <c r="E61" i="93" s="1"/>
  <c r="I103" i="65"/>
  <c r="I103" i="93" s="1"/>
  <c r="O40" i="65"/>
  <c r="O40" i="93" s="1"/>
  <c r="O15" i="65"/>
  <c r="O15" i="93" s="1"/>
  <c r="N105" i="65"/>
  <c r="N105" i="93" s="1"/>
  <c r="C94" i="65"/>
  <c r="C94" i="93" s="1"/>
  <c r="I77" i="65"/>
  <c r="I77" i="93" s="1"/>
  <c r="I16" i="65"/>
  <c r="I16" i="93" s="1"/>
  <c r="N29" i="65"/>
  <c r="N29" i="93" s="1"/>
  <c r="O116" i="65"/>
  <c r="O116" i="93" s="1"/>
  <c r="K20" i="65"/>
  <c r="K20" i="93" s="1"/>
  <c r="M103" i="65"/>
  <c r="M103" i="93" s="1"/>
  <c r="P71" i="65"/>
  <c r="P71" i="93" s="1"/>
  <c r="E91" i="65"/>
  <c r="E91" i="93" s="1"/>
  <c r="J80" i="65"/>
  <c r="J80" i="93" s="1"/>
  <c r="M87" i="65"/>
  <c r="M87" i="93" s="1"/>
  <c r="K32" i="65"/>
  <c r="K32" i="93" s="1"/>
  <c r="J48" i="65"/>
  <c r="J48" i="93" s="1"/>
  <c r="L126" i="65"/>
  <c r="L126" i="93" s="1"/>
  <c r="E112" i="65"/>
  <c r="E112" i="93" s="1"/>
  <c r="G59" i="65"/>
  <c r="G59" i="93" s="1"/>
  <c r="D42" i="65"/>
  <c r="D42" i="93" s="1"/>
  <c r="F109" i="65"/>
  <c r="F109" i="93" s="1"/>
  <c r="K54" i="65"/>
  <c r="K54" i="93" s="1"/>
  <c r="J86" i="65"/>
  <c r="J86" i="93" s="1"/>
  <c r="G27" i="65"/>
  <c r="G27" i="93" s="1"/>
  <c r="G74" i="65"/>
  <c r="G74" i="93" s="1"/>
  <c r="L60" i="65"/>
  <c r="L60" i="93" s="1"/>
  <c r="G42" i="65"/>
  <c r="G42" i="93" s="1"/>
  <c r="G32" i="65"/>
  <c r="G32" i="93" s="1"/>
  <c r="J51" i="65"/>
  <c r="J51" i="93" s="1"/>
  <c r="G12" i="65"/>
  <c r="G12" i="93" s="1"/>
  <c r="L121" i="65"/>
  <c r="L121" i="93" s="1"/>
  <c r="O49" i="65"/>
  <c r="O49" i="93" s="1"/>
  <c r="G121" i="65"/>
  <c r="G121" i="93" s="1"/>
  <c r="F65" i="65"/>
  <c r="F65" i="93" s="1"/>
  <c r="F23" i="65"/>
  <c r="F23" i="93" s="1"/>
  <c r="H62" i="65"/>
  <c r="H62" i="93" s="1"/>
  <c r="J76" i="65"/>
  <c r="J76" i="93" s="1"/>
  <c r="D57" i="65"/>
  <c r="D57" i="93" s="1"/>
  <c r="D123" i="65"/>
  <c r="D123" i="93" s="1"/>
  <c r="P14" i="65"/>
  <c r="P14" i="93" s="1"/>
  <c r="F55" i="65"/>
  <c r="F55" i="93" s="1"/>
  <c r="J98" i="65"/>
  <c r="J98" i="93" s="1"/>
  <c r="E67" i="65"/>
  <c r="E67" i="93" s="1"/>
  <c r="I114" i="65"/>
  <c r="I114" i="93" s="1"/>
  <c r="K87" i="65"/>
  <c r="K87" i="93" s="1"/>
  <c r="G16" i="65"/>
  <c r="G16" i="93" s="1"/>
  <c r="D129" i="65"/>
  <c r="D129" i="93" s="1"/>
  <c r="G89" i="65"/>
  <c r="G89" i="93" s="1"/>
  <c r="P92" i="65"/>
  <c r="P92" i="93" s="1"/>
  <c r="D73" i="65"/>
  <c r="D73" i="93" s="1"/>
  <c r="I126" i="65"/>
  <c r="I126" i="93" s="1"/>
  <c r="F40" i="65"/>
  <c r="F40" i="93" s="1"/>
  <c r="H35" i="65"/>
  <c r="H35" i="93" s="1"/>
  <c r="N41" i="65"/>
  <c r="N41" i="93" s="1"/>
  <c r="N112" i="65"/>
  <c r="N112" i="93" s="1"/>
  <c r="D91" i="65"/>
  <c r="D91" i="93" s="1"/>
  <c r="N127" i="65"/>
  <c r="N127" i="93" s="1"/>
  <c r="N62" i="65"/>
  <c r="N62" i="93" s="1"/>
  <c r="I112" i="65"/>
  <c r="I112" i="93" s="1"/>
  <c r="I129" i="65"/>
  <c r="I129" i="93" s="1"/>
  <c r="G115" i="65"/>
  <c r="G115" i="93" s="1"/>
  <c r="C127" i="65"/>
  <c r="C127" i="93" s="1"/>
  <c r="P54" i="65"/>
  <c r="P54" i="93" s="1"/>
  <c r="H103" i="65"/>
  <c r="H103" i="93" s="1"/>
  <c r="G22" i="65"/>
  <c r="G22" i="93" s="1"/>
  <c r="L118" i="65"/>
  <c r="L118" i="93" s="1"/>
  <c r="N71" i="65"/>
  <c r="N71" i="93" s="1"/>
  <c r="C51" i="65"/>
  <c r="C51" i="93" s="1"/>
  <c r="M25" i="65"/>
  <c r="M25" i="93" s="1"/>
  <c r="E19" i="65"/>
  <c r="E19" i="93" s="1"/>
  <c r="I105" i="65"/>
  <c r="I105" i="93" s="1"/>
  <c r="P116" i="65"/>
  <c r="P116" i="93" s="1"/>
  <c r="M33" i="65"/>
  <c r="M33" i="93" s="1"/>
  <c r="H90" i="65"/>
  <c r="H90" i="93" s="1"/>
  <c r="D79" i="65"/>
  <c r="D79" i="93" s="1"/>
  <c r="C102" i="65"/>
  <c r="C102" i="93" s="1"/>
  <c r="N110" i="65"/>
  <c r="N110" i="93" s="1"/>
  <c r="P76" i="65"/>
  <c r="P76" i="93" s="1"/>
  <c r="H66" i="65"/>
  <c r="H66" i="93" s="1"/>
  <c r="F10" i="65"/>
  <c r="F10" i="93" s="1"/>
  <c r="F118" i="65"/>
  <c r="F118" i="93" s="1"/>
  <c r="L77" i="65"/>
  <c r="L77" i="93" s="1"/>
  <c r="O117" i="65"/>
  <c r="O117" i="93" s="1"/>
  <c r="M120" i="65"/>
  <c r="M120" i="93" s="1"/>
  <c r="G113" i="65"/>
  <c r="G113" i="93" s="1"/>
  <c r="M93" i="65"/>
  <c r="M93" i="93" s="1"/>
  <c r="C13" i="65"/>
  <c r="C13" i="93" s="1"/>
  <c r="O21" i="65"/>
  <c r="O21" i="93" s="1"/>
  <c r="E52" i="65"/>
  <c r="E52" i="93" s="1"/>
  <c r="D88" i="65"/>
  <c r="D88" i="93" s="1"/>
  <c r="J84" i="65"/>
  <c r="J84" i="93" s="1"/>
  <c r="O94" i="65"/>
  <c r="O94" i="93" s="1"/>
  <c r="H64" i="65"/>
  <c r="H64" i="93" s="1"/>
  <c r="E127" i="65"/>
  <c r="E127" i="93" s="1"/>
  <c r="N36" i="65"/>
  <c r="N36" i="93" s="1"/>
  <c r="N74" i="65"/>
  <c r="N74" i="93" s="1"/>
  <c r="K117" i="65"/>
  <c r="K117" i="93" s="1"/>
  <c r="G102" i="65"/>
  <c r="G102" i="93" s="1"/>
  <c r="G92" i="65"/>
  <c r="G92" i="93" s="1"/>
  <c r="H95" i="65"/>
  <c r="H95" i="93" s="1"/>
  <c r="K31" i="65"/>
  <c r="K31" i="93" s="1"/>
  <c r="F42" i="65"/>
  <c r="F42" i="93" s="1"/>
  <c r="C129" i="65"/>
  <c r="C129" i="93" s="1"/>
  <c r="F43" i="65"/>
  <c r="F43" i="93" s="1"/>
  <c r="K82" i="65"/>
  <c r="K82" i="93" s="1"/>
  <c r="C106" i="65"/>
  <c r="C106" i="93" s="1"/>
  <c r="D20" i="65"/>
  <c r="D20" i="93" s="1"/>
  <c r="D71" i="65"/>
  <c r="D71" i="93" s="1"/>
  <c r="D95" i="65"/>
  <c r="D95" i="93" s="1"/>
  <c r="O36" i="65"/>
  <c r="O36" i="93" s="1"/>
  <c r="O54" i="65"/>
  <c r="O54" i="93" s="1"/>
  <c r="L16" i="65"/>
  <c r="L16" i="93" s="1"/>
  <c r="O59" i="65"/>
  <c r="O59" i="93" s="1"/>
  <c r="M60" i="65"/>
  <c r="M60" i="93" s="1"/>
  <c r="C77" i="65"/>
  <c r="C77" i="93" s="1"/>
  <c r="D72" i="65"/>
  <c r="D72" i="93" s="1"/>
  <c r="F86" i="65"/>
  <c r="F86" i="93" s="1"/>
  <c r="K85" i="65"/>
  <c r="K85" i="93" s="1"/>
  <c r="F19" i="65"/>
  <c r="F19" i="93" s="1"/>
  <c r="O62" i="65"/>
  <c r="O62" i="93" s="1"/>
  <c r="E12" i="65"/>
  <c r="E12" i="93" s="1"/>
  <c r="G79" i="65"/>
  <c r="G79" i="93" s="1"/>
  <c r="F30" i="65"/>
  <c r="F30" i="93" s="1"/>
  <c r="M114" i="65"/>
  <c r="M114" i="93" s="1"/>
  <c r="O92" i="65"/>
  <c r="O92" i="93" s="1"/>
  <c r="J125" i="65"/>
  <c r="J125" i="93" s="1"/>
  <c r="H105" i="65"/>
  <c r="H105" i="93" s="1"/>
  <c r="L102" i="65"/>
  <c r="L102" i="93" s="1"/>
  <c r="C111" i="65"/>
  <c r="C111" i="93" s="1"/>
  <c r="D92" i="65"/>
  <c r="D92" i="93" s="1"/>
  <c r="M98" i="65"/>
  <c r="M98" i="93" s="1"/>
  <c r="C112" i="65"/>
  <c r="C112" i="93" s="1"/>
  <c r="G128" i="65"/>
  <c r="G128" i="93" s="1"/>
  <c r="D121" i="65"/>
  <c r="D121" i="93" s="1"/>
  <c r="M73" i="65"/>
  <c r="M73" i="93" s="1"/>
  <c r="E106" i="65"/>
  <c r="E106" i="93" s="1"/>
  <c r="L49" i="65"/>
  <c r="L49" i="93" s="1"/>
  <c r="I92" i="65"/>
  <c r="I92" i="93" s="1"/>
  <c r="P34" i="65"/>
  <c r="P34" i="93" s="1"/>
  <c r="L29" i="65"/>
  <c r="L29" i="93" s="1"/>
  <c r="C103" i="65"/>
  <c r="C103" i="93" s="1"/>
  <c r="O75" i="65"/>
  <c r="O75" i="93" s="1"/>
  <c r="L11" i="65"/>
  <c r="L11" i="93" s="1"/>
  <c r="I32" i="65"/>
  <c r="I32" i="93" s="1"/>
  <c r="N43" i="65"/>
  <c r="N43" i="93" s="1"/>
  <c r="D23" i="65"/>
  <c r="D23" i="93" s="1"/>
  <c r="N109" i="65"/>
  <c r="N109" i="93" s="1"/>
  <c r="E113" i="65"/>
  <c r="E113" i="93" s="1"/>
  <c r="I110" i="65"/>
  <c r="I110" i="93" s="1"/>
  <c r="H127" i="65"/>
  <c r="H127" i="93" s="1"/>
  <c r="G84" i="65"/>
  <c r="G84" i="93" s="1"/>
  <c r="E66" i="65"/>
  <c r="E66" i="93" s="1"/>
  <c r="H31" i="65"/>
  <c r="H31" i="93" s="1"/>
  <c r="L80" i="65"/>
  <c r="L80" i="93" s="1"/>
  <c r="J88" i="65"/>
  <c r="J88" i="93" s="1"/>
  <c r="J105" i="65"/>
  <c r="J105" i="93" s="1"/>
  <c r="K127" i="65"/>
  <c r="K127" i="93" s="1"/>
  <c r="D93" i="65"/>
  <c r="D93" i="93" s="1"/>
  <c r="G49" i="65"/>
  <c r="G49" i="93" s="1"/>
  <c r="L119" i="65"/>
  <c r="L119" i="93" s="1"/>
  <c r="H128" i="65"/>
  <c r="H128" i="93" s="1"/>
  <c r="P56" i="65"/>
  <c r="P56" i="93" s="1"/>
  <c r="F53" i="65"/>
  <c r="F53" i="93" s="1"/>
  <c r="H102" i="65"/>
  <c r="H102" i="93" s="1"/>
  <c r="H87" i="65"/>
  <c r="H87" i="93" s="1"/>
  <c r="C16" i="65"/>
  <c r="C16" i="93" s="1"/>
  <c r="C47" i="65"/>
  <c r="C47" i="93" s="1"/>
  <c r="K92" i="65"/>
  <c r="K92" i="93" s="1"/>
  <c r="C15" i="65"/>
  <c r="C15" i="93" s="1"/>
  <c r="K125" i="65"/>
  <c r="K125" i="93" s="1"/>
  <c r="G20" i="65"/>
  <c r="G20" i="93" s="1"/>
  <c r="I44" i="65"/>
  <c r="I44" i="93" s="1"/>
  <c r="G83" i="65"/>
  <c r="G83" i="93" s="1"/>
  <c r="O121" i="65"/>
  <c r="O121" i="93" s="1"/>
  <c r="I83" i="65"/>
  <c r="I83" i="93" s="1"/>
  <c r="O71" i="65"/>
  <c r="O71" i="93" s="1"/>
  <c r="C90" i="65"/>
  <c r="C90" i="93" s="1"/>
  <c r="G86" i="65"/>
  <c r="G86" i="93" s="1"/>
  <c r="I31" i="65"/>
  <c r="I31" i="93" s="1"/>
  <c r="L17" i="65"/>
  <c r="L17" i="93" s="1"/>
  <c r="D25" i="65"/>
  <c r="D25" i="93" s="1"/>
  <c r="F119" i="65"/>
  <c r="F119" i="93" s="1"/>
  <c r="I42" i="65"/>
  <c r="I42" i="93" s="1"/>
  <c r="C22" i="65"/>
  <c r="C22" i="93" s="1"/>
  <c r="P19" i="65"/>
  <c r="P19" i="93" s="1"/>
  <c r="O90" i="65"/>
  <c r="O90" i="93" s="1"/>
  <c r="D18" i="65"/>
  <c r="D18" i="93" s="1"/>
  <c r="E109" i="65"/>
  <c r="E109" i="93" s="1"/>
  <c r="F45" i="65"/>
  <c r="F45" i="93" s="1"/>
  <c r="N94" i="65"/>
  <c r="N94" i="93" s="1"/>
  <c r="K105" i="65"/>
  <c r="K105" i="93" s="1"/>
  <c r="L67" i="65"/>
  <c r="L67" i="93" s="1"/>
  <c r="N85" i="65"/>
  <c r="N85" i="93" s="1"/>
  <c r="P45" i="65"/>
  <c r="P45" i="93" s="1"/>
  <c r="J95" i="65"/>
  <c r="J95" i="93" s="1"/>
  <c r="I59" i="65"/>
  <c r="I59" i="93" s="1"/>
  <c r="M55" i="65"/>
  <c r="M55" i="93" s="1"/>
  <c r="C116" i="65"/>
  <c r="C116" i="93" s="1"/>
  <c r="H110" i="65"/>
  <c r="H110" i="93" s="1"/>
  <c r="D29" i="65"/>
  <c r="D29" i="93" s="1"/>
  <c r="D17" i="65"/>
  <c r="D17" i="93" s="1"/>
  <c r="J113" i="65"/>
  <c r="J113" i="93" s="1"/>
  <c r="G109" i="65"/>
  <c r="G109" i="93" s="1"/>
  <c r="J14" i="65"/>
  <c r="J14" i="93" s="1"/>
  <c r="G24" i="65"/>
  <c r="G24" i="93" s="1"/>
  <c r="K21" i="65"/>
  <c r="K21" i="93" s="1"/>
  <c r="C92" i="65"/>
  <c r="C92" i="93" s="1"/>
  <c r="L40" i="65"/>
  <c r="L40" i="93" s="1"/>
  <c r="I98" i="65"/>
  <c r="I98" i="93" s="1"/>
  <c r="N122" i="65"/>
  <c r="N122" i="93" s="1"/>
  <c r="C98" i="65"/>
  <c r="C98" i="93" s="1"/>
  <c r="F97" i="65"/>
  <c r="F97" i="93" s="1"/>
  <c r="F81" i="65"/>
  <c r="F81" i="93" s="1"/>
  <c r="J97" i="65"/>
  <c r="J97" i="93" s="1"/>
  <c r="M91" i="65"/>
  <c r="M91" i="93" s="1"/>
  <c r="K104" i="65"/>
  <c r="K104" i="93" s="1"/>
  <c r="O104" i="65"/>
  <c r="O104" i="93" s="1"/>
  <c r="L116" i="65"/>
  <c r="L116" i="93" s="1"/>
  <c r="O11" i="65"/>
  <c r="O11" i="93" s="1"/>
  <c r="H76" i="65"/>
  <c r="H76" i="93" s="1"/>
  <c r="K109" i="65"/>
  <c r="K109" i="93" s="1"/>
  <c r="E21" i="65"/>
  <c r="E21" i="93" s="1"/>
  <c r="N73" i="65"/>
  <c r="N73" i="93" s="1"/>
  <c r="L81" i="65"/>
  <c r="L81" i="93" s="1"/>
  <c r="E42" i="65"/>
  <c r="E42" i="93" s="1"/>
  <c r="I124" i="65"/>
  <c r="I124" i="93" s="1"/>
  <c r="J32" i="65"/>
  <c r="J32" i="93" s="1"/>
  <c r="N123" i="65"/>
  <c r="N123" i="93" s="1"/>
  <c r="O88" i="65"/>
  <c r="O88" i="93" s="1"/>
  <c r="K50" i="65"/>
  <c r="K50" i="93" s="1"/>
  <c r="M76" i="65"/>
  <c r="M76" i="93" s="1"/>
  <c r="J41" i="65"/>
  <c r="J41" i="93" s="1"/>
  <c r="C121" i="65"/>
  <c r="C121" i="93" s="1"/>
  <c r="F58" i="65"/>
  <c r="F58" i="93" s="1"/>
  <c r="G46" i="65"/>
  <c r="G46" i="93" s="1"/>
  <c r="L35" i="65"/>
  <c r="L35" i="93" s="1"/>
  <c r="K67" i="65"/>
  <c r="K67" i="93" s="1"/>
  <c r="L97" i="65"/>
  <c r="L97" i="93" s="1"/>
  <c r="J124" i="65"/>
  <c r="J124" i="93" s="1"/>
  <c r="P112" i="65"/>
  <c r="P112" i="93" s="1"/>
  <c r="F34" i="65"/>
  <c r="F34" i="93" s="1"/>
  <c r="G31" i="65"/>
  <c r="G31" i="93" s="1"/>
  <c r="H48" i="65"/>
  <c r="H48" i="93" s="1"/>
  <c r="O129" i="65"/>
  <c r="O129" i="93" s="1"/>
  <c r="L71" i="65"/>
  <c r="L71" i="93" s="1"/>
  <c r="P78" i="65"/>
  <c r="P78" i="93" s="1"/>
  <c r="N46" i="65"/>
  <c r="N46" i="93" s="1"/>
  <c r="J40" i="65"/>
  <c r="J40" i="93" s="1"/>
  <c r="D61" i="65"/>
  <c r="D61" i="93" s="1"/>
  <c r="P29" i="65"/>
  <c r="P29" i="93" s="1"/>
  <c r="J66" i="65"/>
  <c r="J66" i="93" s="1"/>
  <c r="F15" i="65"/>
  <c r="F15" i="93" s="1"/>
  <c r="H124" i="65"/>
  <c r="H124" i="93" s="1"/>
  <c r="N12" i="65"/>
  <c r="N12" i="93" s="1"/>
  <c r="K26" i="65"/>
  <c r="K26" i="93" s="1"/>
  <c r="F11" i="65"/>
  <c r="F11" i="93" s="1"/>
  <c r="E108" i="65"/>
  <c r="E108" i="93" s="1"/>
  <c r="H106" i="65"/>
  <c r="H106" i="93" s="1"/>
  <c r="F52" i="65"/>
  <c r="F52" i="93" s="1"/>
  <c r="L122" i="65"/>
  <c r="L122" i="93" s="1"/>
  <c r="M88" i="65"/>
  <c r="M88" i="93" s="1"/>
  <c r="I62" i="65"/>
  <c r="I62" i="93" s="1"/>
  <c r="F106" i="65"/>
  <c r="F106" i="93" s="1"/>
  <c r="E51" i="65"/>
  <c r="E51" i="93" s="1"/>
  <c r="O41" i="65"/>
  <c r="O41" i="93" s="1"/>
  <c r="L129" i="65"/>
  <c r="L129" i="93" s="1"/>
  <c r="G43" i="65"/>
  <c r="G43" i="93" s="1"/>
  <c r="M85" i="65"/>
  <c r="M85" i="93" s="1"/>
  <c r="K74" i="65"/>
  <c r="K74" i="93" s="1"/>
  <c r="C87" i="65"/>
  <c r="C87" i="93" s="1"/>
  <c r="J87" i="65"/>
  <c r="J87" i="93" s="1"/>
  <c r="K46" i="65"/>
  <c r="K46" i="93" s="1"/>
  <c r="L89" i="65"/>
  <c r="L89" i="93" s="1"/>
  <c r="G93" i="65"/>
  <c r="G93" i="93" s="1"/>
  <c r="O53" i="65"/>
  <c r="O53" i="93" s="1"/>
  <c r="D117" i="65"/>
  <c r="D117" i="93" s="1"/>
  <c r="N18" i="65"/>
  <c r="N18" i="93" s="1"/>
  <c r="K60" i="65"/>
  <c r="K60" i="93" s="1"/>
  <c r="E41" i="65"/>
  <c r="E41" i="93" s="1"/>
  <c r="O56" i="65"/>
  <c r="O56" i="93" s="1"/>
  <c r="C108" i="65"/>
  <c r="C108" i="93" s="1"/>
  <c r="H129" i="65"/>
  <c r="H129" i="93" s="1"/>
  <c r="L18" i="65"/>
  <c r="L18" i="93" s="1"/>
  <c r="H96" i="65"/>
  <c r="H96" i="93" s="1"/>
  <c r="E48" i="65"/>
  <c r="E48" i="93" s="1"/>
  <c r="D10" i="65"/>
  <c r="D10" i="93" s="1"/>
  <c r="P52" i="65"/>
  <c r="P52" i="93" s="1"/>
  <c r="J67" i="65"/>
  <c r="J67" i="93" s="1"/>
  <c r="H112" i="65"/>
  <c r="H112" i="93" s="1"/>
  <c r="G72" i="65"/>
  <c r="G72" i="93" s="1"/>
  <c r="J107" i="65"/>
  <c r="J107" i="93" s="1"/>
  <c r="G53" i="65"/>
  <c r="G53" i="93" s="1"/>
  <c r="D116" i="65"/>
  <c r="D116" i="93" s="1"/>
  <c r="M117" i="65"/>
  <c r="M117" i="93" s="1"/>
  <c r="C19" i="65"/>
  <c r="C19" i="93" s="1"/>
  <c r="I30" i="65"/>
  <c r="I30" i="93" s="1"/>
  <c r="L110" i="65"/>
  <c r="L110" i="93" s="1"/>
  <c r="O12" i="65"/>
  <c r="O12" i="93" s="1"/>
  <c r="P89" i="65"/>
  <c r="P89" i="93" s="1"/>
  <c r="L32" i="65"/>
  <c r="L32" i="93" s="1"/>
  <c r="J16" i="65"/>
  <c r="J16" i="93" s="1"/>
  <c r="E23" i="65"/>
  <c r="E23" i="93" s="1"/>
  <c r="K12" i="65"/>
  <c r="K12" i="93" s="1"/>
  <c r="L65" i="65"/>
  <c r="L65" i="93" s="1"/>
  <c r="G23" i="65"/>
  <c r="G23" i="93" s="1"/>
  <c r="N60" i="65"/>
  <c r="N60" i="93" s="1"/>
  <c r="F110" i="65"/>
  <c r="F110" i="93" s="1"/>
  <c r="P103" i="65"/>
  <c r="P103" i="93" s="1"/>
  <c r="P91" i="65"/>
  <c r="P91" i="93" s="1"/>
  <c r="N49" i="65"/>
  <c r="N49" i="93" s="1"/>
  <c r="D66" i="65"/>
  <c r="D66" i="93" s="1"/>
  <c r="H78" i="65"/>
  <c r="H78" i="93" s="1"/>
  <c r="D26" i="65"/>
  <c r="D26" i="93" s="1"/>
  <c r="M84" i="65"/>
  <c r="M84" i="93" s="1"/>
  <c r="M52" i="65"/>
  <c r="M52" i="93" s="1"/>
  <c r="K40" i="65"/>
  <c r="K40" i="93" s="1"/>
  <c r="P57" i="65"/>
  <c r="P57" i="93" s="1"/>
  <c r="E76" i="65"/>
  <c r="E76" i="93" s="1"/>
  <c r="G66" i="65"/>
  <c r="G66" i="93" s="1"/>
  <c r="N34" i="65"/>
  <c r="N34" i="93" s="1"/>
  <c r="P55" i="65"/>
  <c r="P55" i="93" s="1"/>
  <c r="K55" i="65"/>
  <c r="K55" i="93" s="1"/>
  <c r="G110" i="65"/>
  <c r="G110" i="93" s="1"/>
  <c r="E55" i="65"/>
  <c r="E55" i="93" s="1"/>
  <c r="P30" i="65"/>
  <c r="P30" i="93" s="1"/>
  <c r="L22" i="65"/>
  <c r="L22" i="93" s="1"/>
  <c r="H26" i="65"/>
  <c r="H26" i="93" s="1"/>
  <c r="D111" i="65"/>
  <c r="D111" i="93" s="1"/>
  <c r="O106" i="65"/>
  <c r="O106" i="93" s="1"/>
  <c r="M94" i="65"/>
  <c r="M94" i="93" s="1"/>
  <c r="C26" i="65"/>
  <c r="C26" i="93" s="1"/>
  <c r="D40" i="65"/>
  <c r="D40" i="93" s="1"/>
  <c r="D104" i="65"/>
  <c r="D104" i="93" s="1"/>
  <c r="G19" i="21"/>
  <c r="D106" i="101"/>
  <c r="F82" i="101"/>
  <c r="H91" i="101"/>
  <c r="M108" i="101"/>
  <c r="E89" i="101"/>
  <c r="M95" i="101"/>
  <c r="M55" i="101"/>
  <c r="G66" i="101"/>
  <c r="G81" i="101"/>
  <c r="D50" i="101"/>
  <c r="L50" i="101"/>
  <c r="M74" i="101"/>
  <c r="E88" i="101"/>
  <c r="O58" i="101"/>
  <c r="H14" i="101"/>
  <c r="K95" i="101"/>
  <c r="G11" i="101"/>
  <c r="D104" i="101"/>
  <c r="N18" i="101"/>
  <c r="C97" i="101"/>
  <c r="E12" i="101"/>
  <c r="C105" i="101"/>
  <c r="C61" i="101"/>
  <c r="N79" i="101"/>
  <c r="O95" i="101"/>
  <c r="E15" i="101"/>
  <c r="F74" i="101"/>
  <c r="H84" i="101"/>
  <c r="E98" i="101"/>
  <c r="I79" i="101"/>
  <c r="C121" i="101"/>
  <c r="M129" i="101"/>
  <c r="C129" i="101"/>
  <c r="N73" i="101"/>
  <c r="AO100" i="66"/>
  <c r="AP100" i="66" s="1"/>
  <c r="T100" i="66"/>
  <c r="T129" i="14"/>
  <c r="AP129" i="14"/>
  <c r="AQ129" i="14" s="1"/>
  <c r="T12" i="49"/>
  <c r="AO12" i="49"/>
  <c r="AQ9" i="48"/>
  <c r="AR9" i="48" s="1"/>
  <c r="V9" i="48"/>
  <c r="O9" i="5"/>
  <c r="O35" i="91"/>
  <c r="O10" i="91" s="1"/>
  <c r="F40" i="91"/>
  <c r="F15" i="91" s="1"/>
  <c r="F14" i="5"/>
  <c r="F23" i="5"/>
  <c r="F49" i="91"/>
  <c r="F24" i="91" s="1"/>
  <c r="AM88" i="14"/>
  <c r="Q88" i="14"/>
  <c r="AM122" i="14"/>
  <c r="Q122" i="14"/>
  <c r="S28" i="66"/>
  <c r="AN28" i="66"/>
  <c r="P22" i="5"/>
  <c r="P49" i="91"/>
  <c r="P24" i="91" s="1"/>
  <c r="T42" i="67"/>
  <c r="V60" i="48"/>
  <c r="AQ60" i="48"/>
  <c r="AR60" i="48" s="1"/>
  <c r="AN76" i="27"/>
  <c r="S76" i="27"/>
  <c r="AP52" i="84"/>
  <c r="U52" i="84"/>
  <c r="U49" i="48"/>
  <c r="AP49" i="48"/>
  <c r="S113" i="66"/>
  <c r="AN113" i="66"/>
  <c r="T15" i="67"/>
  <c r="AO15" i="67"/>
  <c r="AP15" i="67" s="1"/>
  <c r="AN55" i="14"/>
  <c r="R55" i="14"/>
  <c r="AO14" i="67"/>
  <c r="AP14" i="67" s="1"/>
  <c r="T14" i="67"/>
  <c r="M39" i="91"/>
  <c r="M14" i="91" s="1"/>
  <c r="AO26" i="67"/>
  <c r="AP26" i="67" s="1"/>
  <c r="T26" i="67"/>
  <c r="AO127" i="66"/>
  <c r="AP127" i="66" s="1"/>
  <c r="T127" i="66"/>
  <c r="T82" i="66"/>
  <c r="AO82" i="66"/>
  <c r="AP82" i="66" s="1"/>
  <c r="AM70" i="27"/>
  <c r="R70" i="27"/>
  <c r="R52" i="14"/>
  <c r="AN52" i="14"/>
  <c r="AO113" i="14"/>
  <c r="S113" i="14"/>
  <c r="T39" i="14"/>
  <c r="AO96" i="66"/>
  <c r="AP96" i="66" s="1"/>
  <c r="T96" i="66"/>
  <c r="T43" i="27"/>
  <c r="AP43" i="84"/>
  <c r="U43" i="84"/>
  <c r="S111" i="67"/>
  <c r="AN111" i="67"/>
  <c r="T23" i="67"/>
  <c r="AO23" i="67"/>
  <c r="AP23" i="67" s="1"/>
  <c r="AN135" i="27"/>
  <c r="S135" i="27"/>
  <c r="O11" i="5"/>
  <c r="AO55" i="27"/>
  <c r="AP55" i="27" s="1"/>
  <c r="T55" i="27"/>
  <c r="AO47" i="67"/>
  <c r="AP47" i="67" s="1"/>
  <c r="T47" i="67"/>
  <c r="AP45" i="48"/>
  <c r="U45" i="48"/>
  <c r="S18" i="48"/>
  <c r="AN18" i="48"/>
  <c r="J13" i="5"/>
  <c r="AN33" i="67"/>
  <c r="S33" i="67"/>
  <c r="H19" i="5"/>
  <c r="T88" i="67"/>
  <c r="AO88" i="67"/>
  <c r="AP88" i="67" s="1"/>
  <c r="AN76" i="67"/>
  <c r="S76" i="67"/>
  <c r="U50" i="48"/>
  <c r="AP50" i="48"/>
  <c r="V32" i="49"/>
  <c r="AQ32" i="49"/>
  <c r="AR32" i="49" s="1"/>
  <c r="AN120" i="67"/>
  <c r="S120" i="67"/>
  <c r="AQ20" i="49"/>
  <c r="AR20" i="49" s="1"/>
  <c r="V20" i="49"/>
  <c r="AP106" i="14"/>
  <c r="AQ106" i="14" s="1"/>
  <c r="T106" i="14"/>
  <c r="V38" i="49"/>
  <c r="AQ38" i="49"/>
  <c r="AR38" i="49" s="1"/>
  <c r="AQ46" i="49"/>
  <c r="AR46" i="49" s="1"/>
  <c r="V46" i="49"/>
  <c r="AO30" i="14"/>
  <c r="S30" i="14"/>
  <c r="T103" i="27"/>
  <c r="AN99" i="66"/>
  <c r="S30" i="27"/>
  <c r="S128" i="27"/>
  <c r="AN98" i="14"/>
  <c r="R98" i="14"/>
  <c r="V33" i="84"/>
  <c r="T50" i="67"/>
  <c r="S47" i="67"/>
  <c r="AM51" i="27"/>
  <c r="V49" i="84"/>
  <c r="AO14" i="14"/>
  <c r="S14" i="14"/>
  <c r="AP74" i="14"/>
  <c r="AQ74" i="14" s="1"/>
  <c r="AN69" i="27"/>
  <c r="S12" i="49"/>
  <c r="S12" i="84"/>
  <c r="U10" i="84"/>
  <c r="S10" i="49"/>
  <c r="AM54" i="67"/>
  <c r="AO105" i="14"/>
  <c r="AP50" i="14"/>
  <c r="AQ50" i="14" s="1"/>
  <c r="AO45" i="14"/>
  <c r="AO44" i="67"/>
  <c r="AP44" i="67" s="1"/>
  <c r="AN51" i="14"/>
  <c r="AN67" i="84"/>
  <c r="S67" i="84"/>
  <c r="AM47" i="49"/>
  <c r="R47" i="49"/>
  <c r="AM67" i="48"/>
  <c r="R67" i="48"/>
  <c r="S44" i="48"/>
  <c r="AN44" i="48"/>
  <c r="AN12" i="48"/>
  <c r="S12" i="48"/>
  <c r="R31" i="48"/>
  <c r="AM31" i="48"/>
  <c r="R56" i="67"/>
  <c r="AM56" i="67"/>
  <c r="S85" i="67"/>
  <c r="AN85" i="67"/>
  <c r="AM21" i="48"/>
  <c r="R21" i="48"/>
  <c r="S68" i="67"/>
  <c r="AN68" i="67"/>
  <c r="R105" i="27"/>
  <c r="AM105" i="27"/>
  <c r="AN67" i="27"/>
  <c r="S67" i="27"/>
  <c r="AM94" i="66"/>
  <c r="R94" i="66"/>
  <c r="AM61" i="14"/>
  <c r="Q61" i="14"/>
  <c r="T32" i="49"/>
  <c r="AO108" i="66"/>
  <c r="AP108" i="66" s="1"/>
  <c r="R64" i="14"/>
  <c r="R80" i="67"/>
  <c r="AQ26" i="49"/>
  <c r="AR26" i="49" s="1"/>
  <c r="AP10" i="49"/>
  <c r="V11" i="84"/>
  <c r="AM59" i="27"/>
  <c r="AQ9" i="49"/>
  <c r="AR9" i="49" s="1"/>
  <c r="T45" i="48"/>
  <c r="R122" i="66"/>
  <c r="AN38" i="27"/>
  <c r="AN59" i="49"/>
  <c r="AM51" i="49"/>
  <c r="AM76" i="66"/>
  <c r="AM127" i="67"/>
  <c r="AM68" i="27"/>
  <c r="U49" i="84"/>
  <c r="AL112" i="66"/>
  <c r="V16" i="48"/>
  <c r="S15" i="14"/>
  <c r="R123" i="67"/>
  <c r="AM46" i="67"/>
  <c r="AN68" i="49"/>
  <c r="V54" i="49"/>
  <c r="AM91" i="27"/>
  <c r="V54" i="48"/>
  <c r="R52" i="49"/>
  <c r="AM83" i="67"/>
  <c r="AM47" i="48"/>
  <c r="T70" i="48"/>
  <c r="AN62" i="48"/>
  <c r="R12" i="84"/>
  <c r="T119" i="27"/>
  <c r="Q127" i="67"/>
  <c r="AO11" i="14"/>
  <c r="S11" i="14"/>
  <c r="V13" i="84"/>
  <c r="AN17" i="14"/>
  <c r="R17" i="14"/>
  <c r="D10" i="5"/>
  <c r="D36" i="91"/>
  <c r="D11" i="91" s="1"/>
  <c r="E51" i="91"/>
  <c r="E26" i="91" s="1"/>
  <c r="E25" i="5"/>
  <c r="S19" i="14"/>
  <c r="T8" i="14"/>
  <c r="AP8" i="14"/>
  <c r="AQ8" i="14" s="1"/>
  <c r="S25" i="14"/>
  <c r="AO25" i="14"/>
  <c r="R19" i="14"/>
  <c r="G29" i="5"/>
  <c r="G55" i="91"/>
  <c r="G30" i="91" s="1"/>
  <c r="E38" i="91"/>
  <c r="E13" i="91" s="1"/>
  <c r="E12" i="5"/>
  <c r="S32" i="96"/>
  <c r="W80" i="96"/>
  <c r="S93" i="96"/>
  <c r="G47" i="96"/>
  <c r="I95" i="96"/>
  <c r="AW76" i="96"/>
  <c r="AA102" i="96"/>
  <c r="AV50" i="96"/>
  <c r="AT16" i="96"/>
  <c r="AU31" i="96"/>
  <c r="K86" i="96"/>
  <c r="AO49" i="96"/>
  <c r="AA46" i="96"/>
  <c r="N67" i="96"/>
  <c r="O28" i="96"/>
  <c r="K37" i="96"/>
  <c r="N42" i="96"/>
  <c r="D25" i="96"/>
  <c r="G75" i="96"/>
  <c r="AN97" i="96"/>
  <c r="AT48" i="96"/>
  <c r="AH12" i="96"/>
  <c r="S72" i="96"/>
  <c r="AK45" i="96"/>
  <c r="O52" i="101"/>
  <c r="C63" i="101"/>
  <c r="I41" i="101"/>
  <c r="F68" i="101"/>
  <c r="H83" i="101"/>
  <c r="F34" i="101"/>
  <c r="K82" i="101"/>
  <c r="D97" i="101"/>
  <c r="O65" i="101"/>
  <c r="J52" i="101"/>
  <c r="AM66" i="96"/>
  <c r="AK87" i="96"/>
  <c r="AH90" i="96"/>
  <c r="V8" i="96"/>
  <c r="AU67" i="96"/>
  <c r="AN85" i="96"/>
  <c r="AI82" i="96"/>
  <c r="AQ36" i="96"/>
  <c r="AI78" i="96"/>
  <c r="C128" i="101"/>
  <c r="O35" i="101"/>
  <c r="F125" i="101"/>
  <c r="F55" i="101"/>
  <c r="F103" i="101"/>
  <c r="G49" i="101"/>
  <c r="F116" i="101"/>
  <c r="P126" i="101"/>
  <c r="H90" i="101"/>
  <c r="H60" i="101"/>
  <c r="P31" i="101"/>
  <c r="G8" i="94"/>
  <c r="H125" i="101"/>
  <c r="N90" i="101"/>
  <c r="H59" i="101"/>
  <c r="K32" i="101"/>
  <c r="N123" i="101"/>
  <c r="F80" i="101"/>
  <c r="I42" i="101"/>
  <c r="O12" i="101"/>
  <c r="E80" i="101"/>
  <c r="J23" i="101"/>
  <c r="M92" i="101"/>
  <c r="F43" i="101"/>
  <c r="N125" i="101"/>
  <c r="M78" i="101"/>
  <c r="E33" i="101"/>
  <c r="L122" i="101"/>
  <c r="N91" i="101"/>
  <c r="H65" i="101"/>
  <c r="I43" i="101"/>
  <c r="F18" i="101"/>
  <c r="K103" i="101"/>
  <c r="C20" i="101"/>
  <c r="J83" i="101"/>
  <c r="H35" i="101"/>
  <c r="F112" i="101"/>
  <c r="C60" i="101"/>
  <c r="P130" i="101"/>
  <c r="P56" i="101"/>
  <c r="J12" i="101"/>
  <c r="K65" i="101"/>
  <c r="M17" i="101"/>
  <c r="K79" i="101"/>
  <c r="M115" i="101"/>
  <c r="J44" i="101"/>
  <c r="K90" i="101"/>
  <c r="P42" i="101"/>
  <c r="I107" i="101"/>
  <c r="N120" i="101"/>
  <c r="E87" i="101"/>
  <c r="K59" i="101"/>
  <c r="K29" i="101"/>
  <c r="L128" i="101"/>
  <c r="P123" i="101"/>
  <c r="H88" i="101"/>
  <c r="J56" i="101"/>
  <c r="K28" i="101"/>
  <c r="E121" i="101"/>
  <c r="P77" i="101"/>
  <c r="H36" i="101"/>
  <c r="K128" i="101"/>
  <c r="O77" i="101"/>
  <c r="L21" i="101"/>
  <c r="E90" i="101"/>
  <c r="F36" i="101"/>
  <c r="H118" i="101"/>
  <c r="I77" i="101"/>
  <c r="D31" i="101"/>
  <c r="G121" i="101"/>
  <c r="G89" i="101"/>
  <c r="G62" i="101"/>
  <c r="J42" i="101"/>
  <c r="H17" i="101"/>
  <c r="C98" i="101"/>
  <c r="M13" i="101"/>
  <c r="K76" i="101"/>
  <c r="G33" i="101"/>
  <c r="L109" i="101"/>
  <c r="E58" i="101"/>
  <c r="F127" i="101"/>
  <c r="C52" i="101"/>
  <c r="N10" i="101"/>
  <c r="N67" i="101"/>
  <c r="D29" i="101"/>
  <c r="P82" i="101"/>
  <c r="O114" i="101"/>
  <c r="N43" i="101"/>
  <c r="L85" i="101"/>
  <c r="C36" i="101"/>
  <c r="K106" i="101"/>
  <c r="O119" i="101"/>
  <c r="H86" i="101"/>
  <c r="M58" i="101"/>
  <c r="N28" i="101"/>
  <c r="M127" i="101"/>
  <c r="M122" i="101"/>
  <c r="C85" i="101"/>
  <c r="I55" i="101"/>
  <c r="M26" i="101"/>
  <c r="L118" i="101"/>
  <c r="H73" i="101"/>
  <c r="I35" i="101"/>
  <c r="F126" i="101"/>
  <c r="C65" i="101"/>
  <c r="P19" i="101"/>
  <c r="I83" i="101"/>
  <c r="E34" i="101"/>
  <c r="O115" i="101"/>
  <c r="D73" i="101"/>
  <c r="E29" i="101"/>
  <c r="K117" i="101"/>
  <c r="G88" i="101"/>
  <c r="H61" i="101"/>
  <c r="J35" i="101"/>
  <c r="J16" i="101"/>
  <c r="F89" i="101"/>
  <c r="C11" i="101"/>
  <c r="G73" i="101"/>
  <c r="G26" i="101"/>
  <c r="E107" i="101"/>
  <c r="C53" i="101"/>
  <c r="L124" i="101"/>
  <c r="P49" i="101"/>
  <c r="K18" i="101"/>
  <c r="O73" i="101"/>
  <c r="K50" i="101"/>
  <c r="H120" i="101"/>
  <c r="M107" i="101"/>
  <c r="N35" i="101"/>
  <c r="O84" i="101"/>
  <c r="F35" i="101"/>
  <c r="N104" i="101"/>
  <c r="F117" i="101"/>
  <c r="H82" i="101"/>
  <c r="C54" i="101"/>
  <c r="C24" i="101"/>
  <c r="D125" i="101"/>
  <c r="K116" i="101"/>
  <c r="M83" i="101"/>
  <c r="I54" i="101"/>
  <c r="M23" i="101"/>
  <c r="J117" i="101"/>
  <c r="E67" i="101"/>
  <c r="I31" i="101"/>
  <c r="M123" i="101"/>
  <c r="E63" i="101"/>
  <c r="D18" i="101"/>
  <c r="O79" i="101"/>
  <c r="G28" i="101"/>
  <c r="F113" i="101"/>
  <c r="O67" i="101"/>
  <c r="D27" i="101"/>
  <c r="D115" i="101"/>
  <c r="P84" i="101"/>
  <c r="G60" i="101"/>
  <c r="K34" i="101"/>
  <c r="L15" i="101"/>
  <c r="C79" i="101"/>
  <c r="N124" i="101"/>
  <c r="C68" i="101"/>
  <c r="I24" i="101"/>
  <c r="J104" i="101"/>
  <c r="D49" i="101"/>
  <c r="P116" i="101"/>
  <c r="C48" i="101"/>
  <c r="K20" i="101"/>
  <c r="H76" i="101"/>
  <c r="G97" i="101"/>
  <c r="P124" i="101"/>
  <c r="I94" i="101"/>
  <c r="F27" i="101"/>
  <c r="E76" i="101"/>
  <c r="G27" i="101"/>
  <c r="E92" i="101"/>
  <c r="D111" i="101"/>
  <c r="N80" i="101"/>
  <c r="K51" i="101"/>
  <c r="G23" i="101"/>
  <c r="M120" i="101"/>
  <c r="E115" i="101"/>
  <c r="I81" i="101"/>
  <c r="K49" i="101"/>
  <c r="O22" i="101"/>
  <c r="N109" i="101"/>
  <c r="F66" i="101"/>
  <c r="J30" i="101"/>
  <c r="N114" i="101"/>
  <c r="D61" i="101"/>
  <c r="N12" i="101"/>
  <c r="N77" i="101"/>
  <c r="H27" i="101"/>
  <c r="O98" i="101"/>
  <c r="P66" i="101"/>
  <c r="F23" i="101"/>
  <c r="O113" i="101"/>
  <c r="L83" i="101"/>
  <c r="G56" i="101"/>
  <c r="I33" i="101"/>
  <c r="P12" i="101"/>
  <c r="L75" i="101"/>
  <c r="G122" i="101"/>
  <c r="E62" i="101"/>
  <c r="J22" i="101"/>
  <c r="E94" i="101"/>
  <c r="F46" i="101"/>
  <c r="I114" i="101"/>
  <c r="D41" i="101"/>
  <c r="C23" i="101"/>
  <c r="E85" i="101"/>
  <c r="G104" i="101"/>
  <c r="N122" i="101"/>
  <c r="L93" i="101"/>
  <c r="J26" i="101"/>
  <c r="G75" i="101"/>
  <c r="I26" i="101"/>
  <c r="G90" i="101"/>
  <c r="F110" i="101"/>
  <c r="I78" i="101"/>
  <c r="N50" i="101"/>
  <c r="K22" i="101"/>
  <c r="E117" i="101"/>
  <c r="P113" i="101"/>
  <c r="D78" i="101"/>
  <c r="K48" i="101"/>
  <c r="C21" i="101"/>
  <c r="M104" i="101"/>
  <c r="F62" i="101"/>
  <c r="I28" i="101"/>
  <c r="G112" i="101"/>
  <c r="E59" i="101"/>
  <c r="I128" i="101"/>
  <c r="P67" i="101"/>
  <c r="F26" i="101"/>
  <c r="H96" i="101"/>
  <c r="N65" i="101"/>
  <c r="L19" i="101"/>
  <c r="O109" i="101"/>
  <c r="L82" i="101"/>
  <c r="H55" i="101"/>
  <c r="J32" i="101"/>
  <c r="D11" i="101"/>
  <c r="E60" i="101"/>
  <c r="M119" i="101"/>
  <c r="D60" i="101"/>
  <c r="N20" i="101"/>
  <c r="D89" i="101"/>
  <c r="E37" i="101"/>
  <c r="E112" i="101"/>
  <c r="D37" i="101"/>
  <c r="E25" i="101"/>
  <c r="P90" i="101"/>
  <c r="H12" i="101"/>
  <c r="N117" i="101"/>
  <c r="F88" i="101"/>
  <c r="J130" i="101"/>
  <c r="J74" i="101"/>
  <c r="L25" i="101"/>
  <c r="L88" i="101"/>
  <c r="G109" i="101"/>
  <c r="L77" i="101"/>
  <c r="F49" i="101"/>
  <c r="I20" i="101"/>
  <c r="H115" i="101"/>
  <c r="C110" i="101"/>
  <c r="N75" i="101"/>
  <c r="J47" i="101"/>
  <c r="I18" i="101"/>
  <c r="I99" i="101"/>
  <c r="G61" i="101"/>
  <c r="K23" i="101"/>
  <c r="M109" i="101"/>
  <c r="E52" i="101"/>
  <c r="M124" i="101"/>
  <c r="D66" i="101"/>
  <c r="O19" i="101"/>
  <c r="N93" i="101"/>
  <c r="O61" i="101"/>
  <c r="P17" i="101"/>
  <c r="N108" i="101"/>
  <c r="C78" i="101"/>
  <c r="H54" i="101"/>
  <c r="J29" i="101"/>
  <c r="F10" i="101"/>
  <c r="G57" i="101"/>
  <c r="L108" i="101"/>
  <c r="F58" i="101"/>
  <c r="H15" i="101"/>
  <c r="M86" i="101"/>
  <c r="G35" i="101"/>
  <c r="G103" i="101"/>
  <c r="D34" i="101"/>
  <c r="O32" i="101"/>
  <c r="M93" i="101"/>
  <c r="M50" i="101"/>
  <c r="F109" i="101"/>
  <c r="L79" i="101"/>
  <c r="O120" i="101"/>
  <c r="K63" i="101"/>
  <c r="H18" i="101"/>
  <c r="D83" i="101"/>
  <c r="C104" i="101"/>
  <c r="O72" i="101"/>
  <c r="G45" i="101"/>
  <c r="E16" i="101"/>
  <c r="E99" i="101"/>
  <c r="O108" i="101"/>
  <c r="N74" i="101"/>
  <c r="L44" i="101"/>
  <c r="K16" i="101"/>
  <c r="M91" i="101"/>
  <c r="F59" i="101"/>
  <c r="M22" i="101"/>
  <c r="F107" i="101"/>
  <c r="F47" i="101"/>
  <c r="P115" i="101"/>
  <c r="C64" i="101"/>
  <c r="C18" i="101"/>
  <c r="J91" i="101"/>
  <c r="O57" i="101"/>
  <c r="L11" i="101"/>
  <c r="H107" i="101"/>
  <c r="C77" i="101"/>
  <c r="I53" i="101"/>
  <c r="K27" i="101"/>
  <c r="O124" i="101"/>
  <c r="G55" i="101"/>
  <c r="C106" i="101"/>
  <c r="D57" i="101"/>
  <c r="N11" i="101"/>
  <c r="N78" i="101"/>
  <c r="G32" i="101"/>
  <c r="N97" i="101"/>
  <c r="E32" i="101"/>
  <c r="N37" i="101"/>
  <c r="J106" i="101"/>
  <c r="M53" i="101"/>
  <c r="N107" i="101"/>
  <c r="J77" i="101"/>
  <c r="F118" i="101"/>
  <c r="L59" i="101"/>
  <c r="N14" i="101"/>
  <c r="E79" i="101"/>
  <c r="G98" i="101"/>
  <c r="D72" i="101"/>
  <c r="I44" i="101"/>
  <c r="I15" i="101"/>
  <c r="L95" i="101"/>
  <c r="K99" i="101"/>
  <c r="G67" i="101"/>
  <c r="J43" i="101"/>
  <c r="M15" i="101"/>
  <c r="L90" i="101"/>
  <c r="H53" i="101"/>
  <c r="M21" i="101"/>
  <c r="M96" i="101"/>
  <c r="E45" i="101"/>
  <c r="H113" i="101"/>
  <c r="E54" i="101"/>
  <c r="E17" i="101"/>
  <c r="L86" i="101"/>
  <c r="C55" i="101"/>
  <c r="E137" i="101"/>
  <c r="J99" i="101"/>
  <c r="M75" i="101"/>
  <c r="I50" i="101"/>
  <c r="L26" i="101"/>
  <c r="H122" i="101"/>
  <c r="H46" i="101"/>
  <c r="I103" i="101"/>
  <c r="F51" i="101"/>
  <c r="D10" i="101"/>
  <c r="J76" i="101"/>
  <c r="I22" i="101"/>
  <c r="E95" i="101"/>
  <c r="F24" i="101"/>
  <c r="C43" i="101"/>
  <c r="J109" i="101"/>
  <c r="I77" i="94"/>
  <c r="N54" i="94"/>
  <c r="C76" i="94"/>
  <c r="D42" i="94"/>
  <c r="D79" i="94"/>
  <c r="E8" i="94"/>
  <c r="N57" i="94"/>
  <c r="I34" i="94"/>
  <c r="D46" i="94"/>
  <c r="I85" i="94"/>
  <c r="H67" i="94"/>
  <c r="M36" i="94"/>
  <c r="L68" i="94"/>
  <c r="E76" i="94"/>
  <c r="I44" i="94"/>
  <c r="K17" i="94"/>
  <c r="L60" i="94"/>
  <c r="M69" i="94"/>
  <c r="E45" i="94"/>
  <c r="I14" i="94"/>
  <c r="K45" i="94"/>
  <c r="E51" i="94"/>
  <c r="L88" i="94"/>
  <c r="L40" i="94"/>
  <c r="F68" i="94"/>
  <c r="C67" i="94"/>
  <c r="M42" i="94"/>
  <c r="N11" i="94"/>
  <c r="G38" i="94"/>
  <c r="J43" i="94"/>
  <c r="M80" i="94"/>
  <c r="N32" i="94"/>
  <c r="C57" i="94"/>
  <c r="D37" i="94"/>
  <c r="F7" i="94"/>
  <c r="I31" i="94"/>
  <c r="K23" i="94"/>
  <c r="G65" i="94"/>
  <c r="N16" i="94"/>
  <c r="E52" i="94"/>
  <c r="L22" i="94"/>
  <c r="L86" i="94"/>
  <c r="M21" i="94"/>
  <c r="G15" i="94"/>
  <c r="L34" i="94"/>
  <c r="G79" i="94"/>
  <c r="E34" i="94"/>
  <c r="L9" i="94"/>
  <c r="J58" i="94"/>
  <c r="H80" i="94"/>
  <c r="N69" i="94"/>
  <c r="E87" i="94"/>
  <c r="M83" i="94"/>
  <c r="E36" i="94"/>
  <c r="I29" i="94"/>
  <c r="G7" i="94"/>
  <c r="G55" i="94"/>
  <c r="H76" i="94"/>
  <c r="C58" i="94"/>
  <c r="H73" i="94"/>
  <c r="N83" i="94"/>
  <c r="E46" i="94"/>
  <c r="L20" i="101"/>
  <c r="O125" i="101"/>
  <c r="D120" i="101"/>
  <c r="D98" i="101"/>
  <c r="G16" i="101"/>
  <c r="L91" i="101"/>
  <c r="C13" i="101"/>
  <c r="E91" i="101"/>
  <c r="I97" i="101"/>
  <c r="L114" i="101"/>
  <c r="Q172" i="13"/>
  <c r="X84" i="13"/>
  <c r="T80" i="13"/>
  <c r="P78" i="13"/>
  <c r="L111" i="13"/>
  <c r="F177" i="13"/>
  <c r="F171" i="13"/>
  <c r="AB124" i="13"/>
  <c r="R178" i="13"/>
  <c r="AA237" i="13"/>
  <c r="H173" i="13"/>
  <c r="X102" i="13"/>
  <c r="O56" i="13"/>
  <c r="C78" i="13"/>
  <c r="C242" i="13"/>
  <c r="Z228" i="13"/>
  <c r="E247" i="13"/>
  <c r="AB178" i="13"/>
  <c r="J190" i="13"/>
  <c r="AA83" i="13"/>
  <c r="AC204" i="13"/>
  <c r="F232" i="13"/>
  <c r="Y52" i="13"/>
  <c r="G46" i="13"/>
  <c r="T162" i="13"/>
  <c r="Z142" i="13"/>
  <c r="Y100" i="13"/>
  <c r="F78" i="108"/>
  <c r="C59" i="101"/>
  <c r="G37" i="101"/>
  <c r="N21" i="101"/>
  <c r="O123" i="101"/>
  <c r="E48" i="101"/>
  <c r="K14" i="101"/>
  <c r="M33" i="101"/>
  <c r="E11" i="101"/>
  <c r="O127" i="101"/>
  <c r="J59" i="101"/>
  <c r="P63" i="101"/>
  <c r="G46" i="101"/>
  <c r="N22" i="101"/>
  <c r="C125" i="101"/>
  <c r="E50" i="101"/>
  <c r="I16" i="101"/>
  <c r="L34" i="101"/>
  <c r="C14" i="101"/>
  <c r="I130" i="101"/>
  <c r="P60" i="101"/>
  <c r="AP89" i="96"/>
  <c r="AJ30" i="96"/>
  <c r="U71" i="96"/>
  <c r="U34" i="96"/>
  <c r="AL85" i="96"/>
  <c r="AG28" i="96"/>
  <c r="AP32" i="96"/>
  <c r="AP40" i="96"/>
  <c r="AK35" i="96"/>
  <c r="AM87" i="96"/>
  <c r="AG50" i="96"/>
  <c r="N40" i="96"/>
  <c r="G94" i="96"/>
  <c r="AA96" i="96"/>
  <c r="S85" i="96"/>
  <c r="H18" i="96"/>
  <c r="F94" i="96"/>
  <c r="G49" i="96"/>
  <c r="AS45" i="96"/>
  <c r="M37" i="96"/>
  <c r="AJ21" i="96"/>
  <c r="AI42" i="96"/>
  <c r="F62" i="96"/>
  <c r="AK53" i="96"/>
  <c r="K92" i="101"/>
  <c r="F48" i="101"/>
  <c r="L23" i="101"/>
  <c r="E130" i="101"/>
  <c r="D52" i="101"/>
  <c r="O20" i="101"/>
  <c r="K35" i="101"/>
  <c r="M14" i="101"/>
  <c r="H78" i="101"/>
  <c r="J72" i="101"/>
  <c r="N19" i="96"/>
  <c r="J45" i="96"/>
  <c r="AF69" i="96"/>
  <c r="J28" i="96"/>
  <c r="F79" i="96"/>
  <c r="AM43" i="96"/>
  <c r="AU39" i="96"/>
  <c r="AK88" i="96"/>
  <c r="AE84" i="96"/>
  <c r="AM52" i="96"/>
  <c r="C59" i="96"/>
  <c r="P90" i="96"/>
  <c r="K49" i="96"/>
  <c r="G44" i="96"/>
  <c r="X82" i="96"/>
  <c r="AD63" i="96"/>
  <c r="AH85" i="96"/>
  <c r="L85" i="96"/>
  <c r="F74" i="96"/>
  <c r="I44" i="96"/>
  <c r="AM18" i="96"/>
  <c r="J47" i="96"/>
  <c r="AI95" i="96"/>
  <c r="X53" i="96"/>
  <c r="J74" i="94"/>
  <c r="G40" i="94"/>
  <c r="C46" i="94"/>
  <c r="W55" i="13"/>
  <c r="F128" i="101"/>
  <c r="G15" i="101"/>
  <c r="N85" i="101"/>
  <c r="H44" i="101"/>
  <c r="C45" i="101"/>
  <c r="G95" i="101"/>
  <c r="G47" i="101"/>
  <c r="I61" i="101"/>
  <c r="J33" i="101"/>
  <c r="K121" i="101"/>
  <c r="N130" i="101"/>
  <c r="AD8" i="96"/>
  <c r="AV58" i="96"/>
  <c r="AR40" i="96"/>
  <c r="D19" i="96"/>
  <c r="L67" i="96"/>
  <c r="AO57" i="96"/>
  <c r="AK22" i="96"/>
  <c r="AT102" i="96"/>
  <c r="AT74" i="96"/>
  <c r="D78" i="96"/>
  <c r="D21" i="96"/>
  <c r="G21" i="96"/>
  <c r="P40" i="96"/>
  <c r="F92" i="96"/>
  <c r="O62" i="96"/>
  <c r="E18" i="96"/>
  <c r="C67" i="96"/>
  <c r="M53" i="96"/>
  <c r="S60" i="96"/>
  <c r="O42" i="96"/>
  <c r="E30" i="96"/>
  <c r="AA34" i="96"/>
  <c r="AG80" i="96"/>
  <c r="W74" i="96"/>
  <c r="J125" i="101"/>
  <c r="O18" i="101"/>
  <c r="F90" i="101"/>
  <c r="I47" i="101"/>
  <c r="D47" i="101"/>
  <c r="O97" i="101"/>
  <c r="H49" i="101"/>
  <c r="I65" i="101"/>
  <c r="J37" i="101"/>
  <c r="G123" i="101"/>
  <c r="N89" i="101"/>
  <c r="U86" i="96"/>
  <c r="X38" i="96"/>
  <c r="T53" i="96"/>
  <c r="R15" i="96"/>
  <c r="AJ32" i="96"/>
  <c r="AB100" i="96"/>
  <c r="AC95" i="96"/>
  <c r="AV101" i="96"/>
  <c r="AL66" i="96"/>
  <c r="AU8" i="96"/>
  <c r="X66" i="96"/>
  <c r="AQ10" i="96"/>
  <c r="R49" i="96"/>
  <c r="H71" i="96"/>
  <c r="X14" i="96"/>
  <c r="G32" i="96"/>
  <c r="Q68" i="96"/>
  <c r="AB74" i="96"/>
  <c r="W83" i="96"/>
  <c r="AE43" i="96"/>
  <c r="F29" i="96"/>
  <c r="AF90" i="96"/>
  <c r="AU75" i="96"/>
  <c r="AL82" i="96"/>
  <c r="C113" i="101"/>
  <c r="M20" i="101"/>
  <c r="P97" i="101"/>
  <c r="H48" i="101"/>
  <c r="C49" i="101"/>
  <c r="N110" i="101"/>
  <c r="G51" i="101"/>
  <c r="H66" i="101"/>
  <c r="G41" i="101"/>
  <c r="D14" i="101"/>
  <c r="J103" i="101"/>
  <c r="Z43" i="102"/>
  <c r="N33" i="98"/>
  <c r="O116" i="98"/>
  <c r="F41" i="102"/>
  <c r="H40" i="98"/>
  <c r="H175" i="98"/>
  <c r="E11" i="102"/>
  <c r="I68" i="98"/>
  <c r="M44" i="98"/>
  <c r="H31" i="98"/>
  <c r="D96" i="102"/>
  <c r="K111" i="98"/>
  <c r="M175" i="98"/>
  <c r="N15" i="98"/>
  <c r="P12" i="102"/>
  <c r="P9" i="98"/>
  <c r="K14" i="98"/>
  <c r="S8" i="98"/>
  <c r="W98" i="102"/>
  <c r="N13" i="98"/>
  <c r="E30" i="98"/>
  <c r="G59" i="61" l="1"/>
  <c r="H59" i="61" s="1"/>
  <c r="G65" i="61"/>
  <c r="H65" i="61" s="1"/>
  <c r="G64" i="61"/>
  <c r="H64" i="61" s="1"/>
  <c r="G57" i="61"/>
  <c r="H57" i="61" s="1"/>
  <c r="G63" i="61"/>
  <c r="H63" i="61" s="1"/>
  <c r="G60" i="61"/>
  <c r="H60" i="61" s="1"/>
  <c r="G61" i="61"/>
  <c r="H61" i="61" s="1"/>
  <c r="G56" i="61"/>
  <c r="H56" i="61" s="1"/>
  <c r="G55" i="61"/>
  <c r="H55" i="61" s="1"/>
  <c r="T21" i="14"/>
  <c r="AP21" i="14"/>
  <c r="AQ21" i="14" s="1"/>
  <c r="AO116" i="14"/>
  <c r="S116" i="14"/>
  <c r="AN72" i="14"/>
  <c r="R72" i="14"/>
  <c r="R20" i="14"/>
  <c r="AN20" i="14"/>
  <c r="AN119" i="14"/>
  <c r="R119" i="14"/>
  <c r="AP42" i="14"/>
  <c r="AQ42" i="14" s="1"/>
  <c r="T42" i="14"/>
  <c r="AN18" i="14"/>
  <c r="R18" i="14"/>
  <c r="S83" i="14"/>
  <c r="AO83" i="14"/>
  <c r="AN53" i="14"/>
  <c r="R53" i="14"/>
  <c r="AP59" i="14"/>
  <c r="AQ59" i="14" s="1"/>
  <c r="T59" i="14"/>
  <c r="AN115" i="14"/>
  <c r="R115" i="14"/>
  <c r="AO77" i="14"/>
  <c r="S77" i="14"/>
  <c r="T15" i="14"/>
  <c r="AP15" i="14"/>
  <c r="AQ15" i="14" s="1"/>
  <c r="AN31" i="14"/>
  <c r="R31" i="14"/>
  <c r="R40" i="14"/>
  <c r="AN40" i="14"/>
  <c r="R46" i="14"/>
  <c r="AN46" i="14"/>
  <c r="AN84" i="14"/>
  <c r="R84" i="14"/>
  <c r="R108" i="14"/>
  <c r="AN108" i="14"/>
  <c r="S35" i="14"/>
  <c r="AO35" i="14"/>
  <c r="AN92" i="14"/>
  <c r="R92" i="14"/>
  <c r="R38" i="14"/>
  <c r="AN38" i="14"/>
  <c r="AO128" i="14"/>
  <c r="S128" i="14"/>
  <c r="AN85" i="14"/>
  <c r="R85" i="14"/>
  <c r="R10" i="14"/>
  <c r="AN10" i="14"/>
  <c r="AP23" i="14"/>
  <c r="AQ23" i="14" s="1"/>
  <c r="T23" i="14"/>
  <c r="AN101" i="14"/>
  <c r="R101" i="14"/>
  <c r="S123" i="14"/>
  <c r="AO123" i="14"/>
  <c r="R109" i="14"/>
  <c r="AN109" i="14"/>
  <c r="AO16" i="14"/>
  <c r="S16" i="14"/>
  <c r="AP125" i="14"/>
  <c r="AQ125" i="14" s="1"/>
  <c r="T125" i="14"/>
  <c r="AN81" i="14"/>
  <c r="R81" i="14"/>
  <c r="AO99" i="14"/>
  <c r="S99" i="14"/>
  <c r="AO13" i="14"/>
  <c r="S13" i="14"/>
  <c r="AO80" i="14"/>
  <c r="S80" i="14"/>
  <c r="R100" i="14"/>
  <c r="AN100" i="14"/>
  <c r="AN104" i="14"/>
  <c r="R104" i="14"/>
  <c r="R107" i="14"/>
  <c r="AN107" i="14"/>
  <c r="AO103" i="14"/>
  <c r="S103" i="14"/>
  <c r="AN57" i="14"/>
  <c r="R57" i="14"/>
  <c r="AN66" i="14"/>
  <c r="R66" i="14"/>
  <c r="AO79" i="14"/>
  <c r="S79" i="14"/>
  <c r="AN78" i="14"/>
  <c r="R78" i="14"/>
  <c r="R24" i="14"/>
  <c r="AN24" i="14"/>
  <c r="AO94" i="14"/>
  <c r="S94" i="14"/>
  <c r="AP118" i="14"/>
  <c r="AQ118" i="14" s="1"/>
  <c r="T118" i="14"/>
  <c r="AN126" i="14"/>
  <c r="R126" i="14"/>
  <c r="AO82" i="14"/>
  <c r="S82" i="14"/>
  <c r="AN43" i="14"/>
  <c r="R43" i="14"/>
  <c r="AN56" i="14"/>
  <c r="R56" i="14"/>
  <c r="AN65" i="14"/>
  <c r="R65" i="14"/>
  <c r="R41" i="14"/>
  <c r="AN41" i="14"/>
  <c r="AN63" i="14"/>
  <c r="R63" i="14"/>
  <c r="AN12" i="66"/>
  <c r="S12" i="66"/>
  <c r="T125" i="66"/>
  <c r="AO125" i="66"/>
  <c r="AP125" i="66" s="1"/>
  <c r="S75" i="66"/>
  <c r="AN75" i="66"/>
  <c r="AM13" i="66"/>
  <c r="R13" i="66"/>
  <c r="AM85" i="66"/>
  <c r="R85" i="66"/>
  <c r="R98" i="66"/>
  <c r="AM98" i="66"/>
  <c r="S104" i="66"/>
  <c r="AN104" i="66"/>
  <c r="S81" i="66"/>
  <c r="AN81" i="66"/>
  <c r="S117" i="66"/>
  <c r="AN117" i="66"/>
  <c r="R121" i="66"/>
  <c r="AM121" i="66"/>
  <c r="T54" i="66"/>
  <c r="AO54" i="66"/>
  <c r="AP54" i="66" s="1"/>
  <c r="R61" i="66"/>
  <c r="AM61" i="66"/>
  <c r="T103" i="66"/>
  <c r="AO103" i="66"/>
  <c r="AP103" i="66" s="1"/>
  <c r="AM29" i="66"/>
  <c r="R29" i="66"/>
  <c r="T97" i="66"/>
  <c r="AO97" i="66"/>
  <c r="AP97" i="66" s="1"/>
  <c r="T116" i="66"/>
  <c r="AO116" i="66"/>
  <c r="AP116" i="66" s="1"/>
  <c r="Q17" i="66"/>
  <c r="AL17" i="66"/>
  <c r="R72" i="66"/>
  <c r="AM72" i="66"/>
  <c r="AO71" i="66"/>
  <c r="AP71" i="66" s="1"/>
  <c r="T71" i="66"/>
  <c r="R32" i="66"/>
  <c r="AM32" i="66"/>
  <c r="R92" i="66"/>
  <c r="AM92" i="66"/>
  <c r="T51" i="66"/>
  <c r="AO51" i="66"/>
  <c r="AP51" i="66" s="1"/>
  <c r="R59" i="66"/>
  <c r="AM59" i="66"/>
  <c r="R58" i="66"/>
  <c r="AM58" i="66"/>
  <c r="AN65" i="66"/>
  <c r="S65" i="66"/>
  <c r="R70" i="66"/>
  <c r="AM70" i="66"/>
  <c r="AO77" i="66"/>
  <c r="AP77" i="66" s="1"/>
  <c r="T77" i="66"/>
  <c r="AM63" i="66"/>
  <c r="R63" i="66"/>
  <c r="R49" i="66"/>
  <c r="AM49" i="66"/>
  <c r="S129" i="66"/>
  <c r="AN129" i="66"/>
  <c r="S84" i="66"/>
  <c r="AN84" i="66"/>
  <c r="R78" i="66"/>
  <c r="AM78" i="66"/>
  <c r="AN106" i="66"/>
  <c r="S106" i="66"/>
  <c r="AL9" i="66"/>
  <c r="Q9" i="66"/>
  <c r="AM19" i="66"/>
  <c r="R19" i="66"/>
  <c r="AN15" i="66"/>
  <c r="S15" i="66"/>
  <c r="S64" i="66"/>
  <c r="AN64" i="66"/>
  <c r="AM24" i="66"/>
  <c r="R24" i="66"/>
  <c r="AM22" i="66"/>
  <c r="R22" i="66"/>
  <c r="AN34" i="66"/>
  <c r="S34" i="66"/>
  <c r="AO57" i="66"/>
  <c r="AP57" i="66" s="1"/>
  <c r="T57" i="66"/>
  <c r="R53" i="66"/>
  <c r="AM53" i="66"/>
  <c r="AN60" i="66"/>
  <c r="S60" i="66"/>
  <c r="AL50" i="66"/>
  <c r="Q50" i="66"/>
  <c r="R115" i="66"/>
  <c r="AM115" i="66"/>
  <c r="AM10" i="66"/>
  <c r="R10" i="66"/>
  <c r="R38" i="66"/>
  <c r="AM38" i="66"/>
  <c r="R62" i="66"/>
  <c r="AM62" i="66"/>
  <c r="R8" i="66"/>
  <c r="AM8" i="66"/>
  <c r="AM7" i="66"/>
  <c r="R7" i="66"/>
  <c r="T79" i="66"/>
  <c r="AO79" i="66"/>
  <c r="AP79" i="66" s="1"/>
  <c r="AM39" i="66"/>
  <c r="R39" i="66"/>
  <c r="Q33" i="66"/>
  <c r="AL33" i="66"/>
  <c r="AO66" i="66"/>
  <c r="AP66" i="66" s="1"/>
  <c r="T66" i="66"/>
  <c r="T120" i="66"/>
  <c r="AO120" i="66"/>
  <c r="AP120" i="66" s="1"/>
  <c r="S45" i="66"/>
  <c r="AN45" i="66"/>
  <c r="AM14" i="66"/>
  <c r="R14" i="66"/>
  <c r="AN18" i="66"/>
  <c r="S18" i="66"/>
  <c r="S35" i="66"/>
  <c r="AN35" i="66"/>
  <c r="S126" i="66"/>
  <c r="AN126" i="66"/>
  <c r="S86" i="66"/>
  <c r="AN86" i="66"/>
  <c r="R95" i="66"/>
  <c r="AM95" i="66"/>
  <c r="R102" i="66"/>
  <c r="AM102" i="66"/>
  <c r="T30" i="27"/>
  <c r="AO30" i="27"/>
  <c r="AP30" i="27" s="1"/>
  <c r="AM72" i="27"/>
  <c r="AM102" i="27"/>
  <c r="R102" i="27"/>
  <c r="AO88" i="27"/>
  <c r="AP88" i="27" s="1"/>
  <c r="T88" i="27"/>
  <c r="AM63" i="27"/>
  <c r="R63" i="27"/>
  <c r="AM16" i="27"/>
  <c r="R16" i="27"/>
  <c r="AM107" i="27"/>
  <c r="R107" i="27"/>
  <c r="R57" i="27"/>
  <c r="AM57" i="27"/>
  <c r="AM83" i="27"/>
  <c r="R83" i="27"/>
  <c r="AM65" i="27"/>
  <c r="R65" i="27"/>
  <c r="AO25" i="27"/>
  <c r="AP25" i="27" s="1"/>
  <c r="T25" i="27"/>
  <c r="AN108" i="27"/>
  <c r="S108" i="27"/>
  <c r="AM60" i="27"/>
  <c r="R60" i="27"/>
  <c r="AO71" i="27"/>
  <c r="AP71" i="27" s="1"/>
  <c r="T71" i="27"/>
  <c r="AM113" i="27"/>
  <c r="R113" i="27"/>
  <c r="AO120" i="27"/>
  <c r="AP120" i="27" s="1"/>
  <c r="T120" i="27"/>
  <c r="R48" i="27"/>
  <c r="AM48" i="27"/>
  <c r="AO15" i="27"/>
  <c r="AP15" i="27" s="1"/>
  <c r="T15" i="27"/>
  <c r="AM56" i="27"/>
  <c r="R56" i="27"/>
  <c r="AM23" i="27"/>
  <c r="R23" i="27"/>
  <c r="AM99" i="27"/>
  <c r="R99" i="27"/>
  <c r="AM62" i="27"/>
  <c r="R62" i="27"/>
  <c r="T77" i="27"/>
  <c r="AO77" i="27"/>
  <c r="AP77" i="27" s="1"/>
  <c r="AM28" i="27"/>
  <c r="R28" i="27"/>
  <c r="AN85" i="27"/>
  <c r="S85" i="27"/>
  <c r="AN82" i="27"/>
  <c r="S82" i="27"/>
  <c r="AM17" i="27"/>
  <c r="R17" i="27"/>
  <c r="S37" i="27"/>
  <c r="AN37" i="27"/>
  <c r="AM126" i="27"/>
  <c r="R126" i="27"/>
  <c r="AM79" i="27"/>
  <c r="R79" i="27"/>
  <c r="AN105" i="67"/>
  <c r="S105" i="67"/>
  <c r="AO35" i="67"/>
  <c r="AP35" i="67" s="1"/>
  <c r="T35" i="67"/>
  <c r="AM16" i="67"/>
  <c r="R16" i="67"/>
  <c r="AN24" i="67"/>
  <c r="S24" i="67"/>
  <c r="AM63" i="67"/>
  <c r="R63" i="67"/>
  <c r="S123" i="67"/>
  <c r="AN123" i="67"/>
  <c r="AO55" i="67"/>
  <c r="AP55" i="67" s="1"/>
  <c r="T55" i="67"/>
  <c r="AM99" i="67"/>
  <c r="R99" i="67"/>
  <c r="S61" i="67"/>
  <c r="AN61" i="67"/>
  <c r="AN48" i="67"/>
  <c r="S48" i="67"/>
  <c r="AM37" i="67"/>
  <c r="R37" i="67"/>
  <c r="AO77" i="67"/>
  <c r="AP77" i="67" s="1"/>
  <c r="T77" i="67"/>
  <c r="R60" i="67"/>
  <c r="AM60" i="67"/>
  <c r="Q45" i="67"/>
  <c r="AL45" i="67"/>
  <c r="AM103" i="67"/>
  <c r="R103" i="67"/>
  <c r="T134" i="67"/>
  <c r="AO134" i="67"/>
  <c r="AP134" i="67" s="1"/>
  <c r="AM22" i="67"/>
  <c r="R22" i="67"/>
  <c r="AM43" i="67"/>
  <c r="R43" i="67"/>
  <c r="AM96" i="67"/>
  <c r="R96" i="67"/>
  <c r="AN92" i="67"/>
  <c r="S92" i="67"/>
  <c r="S13" i="67"/>
  <c r="AN13" i="67"/>
  <c r="R70" i="67"/>
  <c r="AM70" i="67"/>
  <c r="S80" i="67"/>
  <c r="AN80" i="67"/>
  <c r="AM125" i="67"/>
  <c r="R125" i="67"/>
  <c r="AO75" i="67"/>
  <c r="AP75" i="67" s="1"/>
  <c r="T75" i="67"/>
  <c r="AO117" i="67"/>
  <c r="AP117" i="67" s="1"/>
  <c r="T117" i="67"/>
  <c r="S71" i="67"/>
  <c r="AN71" i="67"/>
  <c r="AO64" i="67"/>
  <c r="AP64" i="67" s="1"/>
  <c r="T64" i="67"/>
  <c r="AM38" i="67"/>
  <c r="R38" i="67"/>
  <c r="S90" i="67"/>
  <c r="AN90" i="67"/>
  <c r="R98" i="67"/>
  <c r="AM98" i="67"/>
  <c r="AN71" i="84"/>
  <c r="S71" i="84"/>
  <c r="AN18" i="84"/>
  <c r="S18" i="84"/>
  <c r="AP16" i="84"/>
  <c r="U16" i="84"/>
  <c r="AN65" i="84"/>
  <c r="S65" i="84"/>
  <c r="AP8" i="84"/>
  <c r="U8" i="84"/>
  <c r="AN63" i="84"/>
  <c r="S63" i="84"/>
  <c r="AO61" i="84"/>
  <c r="T61" i="84"/>
  <c r="AN69" i="84"/>
  <c r="S69" i="84"/>
  <c r="AN42" i="84"/>
  <c r="S42" i="84"/>
  <c r="AN37" i="84"/>
  <c r="S37" i="84"/>
  <c r="AN38" i="84"/>
  <c r="S38" i="84"/>
  <c r="AN25" i="84"/>
  <c r="S25" i="84"/>
  <c r="AN70" i="84"/>
  <c r="S70" i="84"/>
  <c r="AN30" i="84"/>
  <c r="S30" i="84"/>
  <c r="AN27" i="84"/>
  <c r="S27" i="84"/>
  <c r="AN17" i="84"/>
  <c r="S17" i="84"/>
  <c r="AN34" i="84"/>
  <c r="S34" i="84"/>
  <c r="AN60" i="84"/>
  <c r="S60" i="84"/>
  <c r="AN28" i="84"/>
  <c r="S28" i="84"/>
  <c r="AN64" i="84"/>
  <c r="S64" i="84"/>
  <c r="AP51" i="84"/>
  <c r="U51" i="84"/>
  <c r="AN21" i="84"/>
  <c r="S21" i="84"/>
  <c r="AQ46" i="84"/>
  <c r="AR46" i="84" s="1"/>
  <c r="V46" i="84"/>
  <c r="AN68" i="84"/>
  <c r="S68" i="84"/>
  <c r="AN31" i="84"/>
  <c r="S31" i="84"/>
  <c r="AQ72" i="84"/>
  <c r="AR72" i="84" s="1"/>
  <c r="V72" i="84"/>
  <c r="AN20" i="84"/>
  <c r="S20" i="84"/>
  <c r="AN55" i="84"/>
  <c r="S55" i="84"/>
  <c r="AQ48" i="84"/>
  <c r="AR48" i="84" s="1"/>
  <c r="V48" i="84"/>
  <c r="AN26" i="84"/>
  <c r="S26" i="84"/>
  <c r="AN42" i="49"/>
  <c r="S42" i="49"/>
  <c r="AO43" i="49"/>
  <c r="T43" i="49"/>
  <c r="AO69" i="49"/>
  <c r="T69" i="49"/>
  <c r="U36" i="49"/>
  <c r="AP36" i="49"/>
  <c r="AO8" i="49"/>
  <c r="T8" i="49"/>
  <c r="AP29" i="49"/>
  <c r="U29" i="49"/>
  <c r="AQ61" i="49"/>
  <c r="AR61" i="49" s="1"/>
  <c r="V61" i="49"/>
  <c r="AO62" i="49"/>
  <c r="T62" i="49"/>
  <c r="AN30" i="49"/>
  <c r="S30" i="49"/>
  <c r="S37" i="49"/>
  <c r="AN37" i="49"/>
  <c r="T55" i="49"/>
  <c r="AO55" i="49"/>
  <c r="AP15" i="49"/>
  <c r="U15" i="49"/>
  <c r="S60" i="49"/>
  <c r="AN60" i="49"/>
  <c r="AO72" i="49"/>
  <c r="T72" i="49"/>
  <c r="AP64" i="49"/>
  <c r="U64" i="49"/>
  <c r="AN71" i="49"/>
  <c r="S71" i="49"/>
  <c r="U44" i="49"/>
  <c r="AP44" i="49"/>
  <c r="AO49" i="49"/>
  <c r="T49" i="49"/>
  <c r="U31" i="49"/>
  <c r="AP31" i="49"/>
  <c r="AO45" i="49"/>
  <c r="T45" i="49"/>
  <c r="U21" i="49"/>
  <c r="AP21" i="49"/>
  <c r="AN13" i="49"/>
  <c r="S13" i="49"/>
  <c r="T53" i="49"/>
  <c r="AO53" i="49"/>
  <c r="AP33" i="48"/>
  <c r="U33" i="48"/>
  <c r="AN42" i="48"/>
  <c r="S42" i="48"/>
  <c r="AN34" i="48"/>
  <c r="S34" i="48"/>
  <c r="T51" i="48"/>
  <c r="AO51" i="48"/>
  <c r="AN30" i="48"/>
  <c r="S30" i="48"/>
  <c r="AN38" i="48"/>
  <c r="S38" i="48"/>
  <c r="AQ26" i="48"/>
  <c r="AR26" i="48" s="1"/>
  <c r="V26" i="48"/>
  <c r="AP71" i="48"/>
  <c r="U71" i="48"/>
  <c r="AN15" i="48"/>
  <c r="S15" i="48"/>
  <c r="S28" i="48"/>
  <c r="AN28" i="48"/>
  <c r="AN68" i="48"/>
  <c r="S68" i="48"/>
  <c r="AN72" i="48"/>
  <c r="S72" i="48"/>
  <c r="AN59" i="48"/>
  <c r="S59" i="48"/>
  <c r="S43" i="48"/>
  <c r="AN43" i="48"/>
  <c r="AP55" i="48"/>
  <c r="U55" i="48"/>
  <c r="AN13" i="48"/>
  <c r="S13" i="48"/>
  <c r="AN11" i="48"/>
  <c r="S11" i="48"/>
  <c r="S46" i="48"/>
  <c r="AN46" i="48"/>
  <c r="S35" i="48"/>
  <c r="AN35" i="48"/>
  <c r="AN17" i="48"/>
  <c r="S17" i="48"/>
  <c r="AN14" i="48"/>
  <c r="S14" i="48"/>
  <c r="AN63" i="48"/>
  <c r="S63" i="48"/>
  <c r="AN61" i="48"/>
  <c r="S61" i="48"/>
  <c r="S36" i="48"/>
  <c r="AN36" i="48"/>
  <c r="AN25" i="48"/>
  <c r="S25" i="48"/>
  <c r="AN69" i="48"/>
  <c r="S69" i="48"/>
  <c r="AN27" i="48"/>
  <c r="S27" i="48"/>
  <c r="AN8" i="48"/>
  <c r="S8" i="48"/>
  <c r="S47" i="48"/>
  <c r="AN47" i="48"/>
  <c r="S67" i="48"/>
  <c r="AN67" i="48"/>
  <c r="AQ45" i="48"/>
  <c r="AR45" i="48" s="1"/>
  <c r="V45" i="48"/>
  <c r="AN83" i="67"/>
  <c r="S83" i="67"/>
  <c r="R112" i="66"/>
  <c r="AM112" i="66"/>
  <c r="S56" i="67"/>
  <c r="AN56" i="67"/>
  <c r="AP105" i="14"/>
  <c r="AQ105" i="14" s="1"/>
  <c r="T105" i="14"/>
  <c r="AO111" i="67"/>
  <c r="AP111" i="67" s="1"/>
  <c r="T111" i="67"/>
  <c r="T67" i="27"/>
  <c r="AO67" i="27"/>
  <c r="AP67" i="27" s="1"/>
  <c r="AN47" i="49"/>
  <c r="S47" i="49"/>
  <c r="S54" i="67"/>
  <c r="AN54" i="67"/>
  <c r="AP25" i="14"/>
  <c r="AQ25" i="14" s="1"/>
  <c r="T25" i="14"/>
  <c r="AO17" i="14"/>
  <c r="S17" i="14"/>
  <c r="AN68" i="27"/>
  <c r="S68" i="27"/>
  <c r="AN59" i="27"/>
  <c r="S59" i="27"/>
  <c r="AN105" i="27"/>
  <c r="S105" i="27"/>
  <c r="AN31" i="48"/>
  <c r="S31" i="48"/>
  <c r="AN51" i="27"/>
  <c r="S51" i="27"/>
  <c r="AO120" i="67"/>
  <c r="AP120" i="67" s="1"/>
  <c r="T120" i="67"/>
  <c r="AP113" i="14"/>
  <c r="AQ113" i="14" s="1"/>
  <c r="T113" i="14"/>
  <c r="AO113" i="66"/>
  <c r="AP113" i="66" s="1"/>
  <c r="T113" i="66"/>
  <c r="AN91" i="27"/>
  <c r="S91" i="27"/>
  <c r="AN127" i="67"/>
  <c r="S127" i="67"/>
  <c r="S52" i="14"/>
  <c r="AO52" i="14"/>
  <c r="T28" i="66"/>
  <c r="AO28" i="66"/>
  <c r="AP28" i="66" s="1"/>
  <c r="AN76" i="66"/>
  <c r="S76" i="66"/>
  <c r="AP30" i="14"/>
  <c r="AQ30" i="14" s="1"/>
  <c r="T30" i="14"/>
  <c r="T33" i="67"/>
  <c r="AO33" i="67"/>
  <c r="AP33" i="67" s="1"/>
  <c r="AQ49" i="48"/>
  <c r="AR49" i="48" s="1"/>
  <c r="V49" i="48"/>
  <c r="AP11" i="14"/>
  <c r="AQ11" i="14" s="1"/>
  <c r="T11" i="14"/>
  <c r="AO68" i="49"/>
  <c r="T68" i="49"/>
  <c r="AN51" i="49"/>
  <c r="S51" i="49"/>
  <c r="AN61" i="14"/>
  <c r="R61" i="14"/>
  <c r="T12" i="48"/>
  <c r="AO12" i="48"/>
  <c r="AO67" i="84"/>
  <c r="T67" i="84"/>
  <c r="V50" i="48"/>
  <c r="AQ50" i="48"/>
  <c r="AR50" i="48" s="1"/>
  <c r="AQ43" i="84"/>
  <c r="AR43" i="84" s="1"/>
  <c r="V43" i="84"/>
  <c r="U12" i="49"/>
  <c r="AP12" i="49"/>
  <c r="S46" i="67"/>
  <c r="AN46" i="67"/>
  <c r="T59" i="49"/>
  <c r="AO59" i="49"/>
  <c r="T68" i="67"/>
  <c r="AO68" i="67"/>
  <c r="AP68" i="67" s="1"/>
  <c r="S51" i="14"/>
  <c r="AO51" i="14"/>
  <c r="AO69" i="27"/>
  <c r="AP69" i="27" s="1"/>
  <c r="T69" i="27"/>
  <c r="T135" i="27"/>
  <c r="AO135" i="27"/>
  <c r="AP135" i="27" s="1"/>
  <c r="R122" i="14"/>
  <c r="AN122" i="14"/>
  <c r="AO38" i="27"/>
  <c r="AP38" i="27" s="1"/>
  <c r="T38" i="27"/>
  <c r="AO98" i="14"/>
  <c r="S98" i="14"/>
  <c r="AQ52" i="84"/>
  <c r="AR52" i="84" s="1"/>
  <c r="V52" i="84"/>
  <c r="V10" i="49"/>
  <c r="AQ10" i="49"/>
  <c r="AR10" i="49" s="1"/>
  <c r="AO44" i="48"/>
  <c r="T44" i="48"/>
  <c r="AO18" i="48"/>
  <c r="T18" i="48"/>
  <c r="AN70" i="27"/>
  <c r="S70" i="27"/>
  <c r="AN88" i="14"/>
  <c r="R88" i="14"/>
  <c r="T62" i="48"/>
  <c r="AO62" i="48"/>
  <c r="S94" i="66"/>
  <c r="AN94" i="66"/>
  <c r="S21" i="48"/>
  <c r="AN21" i="48"/>
  <c r="S55" i="14"/>
  <c r="AO55" i="14"/>
  <c r="AO76" i="27"/>
  <c r="AP76" i="27" s="1"/>
  <c r="T76" i="27"/>
  <c r="AN72" i="27"/>
  <c r="S72" i="27"/>
  <c r="T85" i="67"/>
  <c r="AO85" i="67"/>
  <c r="AP85" i="67" s="1"/>
  <c r="T45" i="14"/>
  <c r="AP45" i="14"/>
  <c r="AQ45" i="14" s="1"/>
  <c r="AP14" i="14"/>
  <c r="AQ14" i="14" s="1"/>
  <c r="T14" i="14"/>
  <c r="T99" i="66"/>
  <c r="AO99" i="66"/>
  <c r="AP99" i="66" s="1"/>
  <c r="T76" i="67"/>
  <c r="AO76" i="67"/>
  <c r="AP76" i="67" s="1"/>
  <c r="S10" i="14" l="1"/>
  <c r="AO10" i="14"/>
  <c r="AO108" i="14"/>
  <c r="S108" i="14"/>
  <c r="AO43" i="14"/>
  <c r="S43" i="14"/>
  <c r="S78" i="14"/>
  <c r="AO78" i="14"/>
  <c r="AO104" i="14"/>
  <c r="S104" i="14"/>
  <c r="T77" i="14"/>
  <c r="AP77" i="14"/>
  <c r="AQ77" i="14" s="1"/>
  <c r="AO100" i="14"/>
  <c r="S100" i="14"/>
  <c r="AP82" i="14"/>
  <c r="AQ82" i="14" s="1"/>
  <c r="T82" i="14"/>
  <c r="T79" i="14"/>
  <c r="AP79" i="14"/>
  <c r="AQ79" i="14" s="1"/>
  <c r="T16" i="14"/>
  <c r="AP16" i="14"/>
  <c r="AQ16" i="14" s="1"/>
  <c r="AO85" i="14"/>
  <c r="S85" i="14"/>
  <c r="AO84" i="14"/>
  <c r="S84" i="14"/>
  <c r="AO115" i="14"/>
  <c r="S115" i="14"/>
  <c r="AO119" i="14"/>
  <c r="S119" i="14"/>
  <c r="AO109" i="14"/>
  <c r="S109" i="14"/>
  <c r="AO46" i="14"/>
  <c r="S46" i="14"/>
  <c r="AO20" i="14"/>
  <c r="S20" i="14"/>
  <c r="AO63" i="14"/>
  <c r="S63" i="14"/>
  <c r="AO126" i="14"/>
  <c r="S126" i="14"/>
  <c r="S66" i="14"/>
  <c r="AO66" i="14"/>
  <c r="AP80" i="14"/>
  <c r="AQ80" i="14" s="1"/>
  <c r="T80" i="14"/>
  <c r="T128" i="14"/>
  <c r="AP128" i="14"/>
  <c r="AQ128" i="14" s="1"/>
  <c r="AO41" i="14"/>
  <c r="S41" i="14"/>
  <c r="AP123" i="14"/>
  <c r="AQ123" i="14" s="1"/>
  <c r="T123" i="14"/>
  <c r="S38" i="14"/>
  <c r="AO38" i="14"/>
  <c r="S40" i="14"/>
  <c r="AO40" i="14"/>
  <c r="AO57" i="14"/>
  <c r="S57" i="14"/>
  <c r="T13" i="14"/>
  <c r="AP13" i="14"/>
  <c r="AQ13" i="14" s="1"/>
  <c r="S53" i="14"/>
  <c r="AO53" i="14"/>
  <c r="S72" i="14"/>
  <c r="AO72" i="14"/>
  <c r="AP83" i="14"/>
  <c r="AQ83" i="14" s="1"/>
  <c r="T83" i="14"/>
  <c r="AO65" i="14"/>
  <c r="S65" i="14"/>
  <c r="AP94" i="14"/>
  <c r="AQ94" i="14" s="1"/>
  <c r="T94" i="14"/>
  <c r="T103" i="14"/>
  <c r="AP103" i="14"/>
  <c r="AQ103" i="14" s="1"/>
  <c r="AP99" i="14"/>
  <c r="AQ99" i="14" s="1"/>
  <c r="T99" i="14"/>
  <c r="S101" i="14"/>
  <c r="AO101" i="14"/>
  <c r="S92" i="14"/>
  <c r="AO92" i="14"/>
  <c r="S31" i="14"/>
  <c r="AO31" i="14"/>
  <c r="T116" i="14"/>
  <c r="AP116" i="14"/>
  <c r="AQ116" i="14" s="1"/>
  <c r="AO24" i="14"/>
  <c r="S24" i="14"/>
  <c r="S107" i="14"/>
  <c r="AO107" i="14"/>
  <c r="AP35" i="14"/>
  <c r="AQ35" i="14" s="1"/>
  <c r="T35" i="14"/>
  <c r="AO56" i="14"/>
  <c r="S56" i="14"/>
  <c r="S81" i="14"/>
  <c r="AO81" i="14"/>
  <c r="AO18" i="14"/>
  <c r="S18" i="14"/>
  <c r="S98" i="66"/>
  <c r="AN98" i="66"/>
  <c r="AO15" i="66"/>
  <c r="AP15" i="66" s="1"/>
  <c r="T15" i="66"/>
  <c r="S61" i="66"/>
  <c r="AN61" i="66"/>
  <c r="T35" i="66"/>
  <c r="AO35" i="66"/>
  <c r="AP35" i="66" s="1"/>
  <c r="R33" i="66"/>
  <c r="AM33" i="66"/>
  <c r="AN38" i="66"/>
  <c r="S38" i="66"/>
  <c r="AN49" i="66"/>
  <c r="S49" i="66"/>
  <c r="S59" i="66"/>
  <c r="AN59" i="66"/>
  <c r="R17" i="66"/>
  <c r="AM17" i="66"/>
  <c r="S72" i="66"/>
  <c r="AN72" i="66"/>
  <c r="AN19" i="66"/>
  <c r="S19" i="66"/>
  <c r="AN85" i="66"/>
  <c r="S85" i="66"/>
  <c r="AO129" i="66"/>
  <c r="AP129" i="66" s="1"/>
  <c r="T129" i="66"/>
  <c r="S121" i="66"/>
  <c r="AN121" i="66"/>
  <c r="AN53" i="66"/>
  <c r="S53" i="66"/>
  <c r="AO18" i="66"/>
  <c r="AP18" i="66" s="1"/>
  <c r="T18" i="66"/>
  <c r="AN39" i="66"/>
  <c r="S39" i="66"/>
  <c r="AN10" i="66"/>
  <c r="S10" i="66"/>
  <c r="T34" i="66"/>
  <c r="AO34" i="66"/>
  <c r="AP34" i="66" s="1"/>
  <c r="R9" i="66"/>
  <c r="AM9" i="66"/>
  <c r="S63" i="66"/>
  <c r="AN63" i="66"/>
  <c r="S13" i="66"/>
  <c r="AN13" i="66"/>
  <c r="S58" i="66"/>
  <c r="AN58" i="66"/>
  <c r="AN102" i="66"/>
  <c r="S102" i="66"/>
  <c r="S115" i="66"/>
  <c r="AN115" i="66"/>
  <c r="AN92" i="66"/>
  <c r="S92" i="66"/>
  <c r="T117" i="66"/>
  <c r="AO117" i="66"/>
  <c r="AP117" i="66" s="1"/>
  <c r="AO75" i="66"/>
  <c r="AP75" i="66" s="1"/>
  <c r="T75" i="66"/>
  <c r="AN14" i="66"/>
  <c r="S14" i="66"/>
  <c r="S22" i="66"/>
  <c r="AN22" i="66"/>
  <c r="AO106" i="66"/>
  <c r="AP106" i="66" s="1"/>
  <c r="T106" i="66"/>
  <c r="AN95" i="66"/>
  <c r="S95" i="66"/>
  <c r="T45" i="66"/>
  <c r="AO45" i="66"/>
  <c r="AP45" i="66" s="1"/>
  <c r="S78" i="66"/>
  <c r="AN78" i="66"/>
  <c r="AN70" i="66"/>
  <c r="S70" i="66"/>
  <c r="S32" i="66"/>
  <c r="AN32" i="66"/>
  <c r="T81" i="66"/>
  <c r="AO81" i="66"/>
  <c r="AP81" i="66" s="1"/>
  <c r="AN7" i="66"/>
  <c r="S7" i="66"/>
  <c r="R50" i="66"/>
  <c r="AM50" i="66"/>
  <c r="AN24" i="66"/>
  <c r="S24" i="66"/>
  <c r="AN29" i="66"/>
  <c r="S29" i="66"/>
  <c r="AN62" i="66"/>
  <c r="S62" i="66"/>
  <c r="T86" i="66"/>
  <c r="AO86" i="66"/>
  <c r="AP86" i="66" s="1"/>
  <c r="S8" i="66"/>
  <c r="AN8" i="66"/>
  <c r="AO64" i="66"/>
  <c r="AP64" i="66" s="1"/>
  <c r="T64" i="66"/>
  <c r="T84" i="66"/>
  <c r="AO84" i="66"/>
  <c r="AP84" i="66" s="1"/>
  <c r="AO104" i="66"/>
  <c r="AP104" i="66" s="1"/>
  <c r="T104" i="66"/>
  <c r="AO126" i="66"/>
  <c r="AP126" i="66" s="1"/>
  <c r="T126" i="66"/>
  <c r="AO60" i="66"/>
  <c r="AP60" i="66" s="1"/>
  <c r="T60" i="66"/>
  <c r="AO65" i="66"/>
  <c r="AP65" i="66" s="1"/>
  <c r="T65" i="66"/>
  <c r="AO12" i="66"/>
  <c r="AP12" i="66" s="1"/>
  <c r="T12" i="66"/>
  <c r="AN79" i="27"/>
  <c r="S79" i="27"/>
  <c r="S28" i="27"/>
  <c r="AN28" i="27"/>
  <c r="AO108" i="27"/>
  <c r="AP108" i="27" s="1"/>
  <c r="T108" i="27"/>
  <c r="AN16" i="27"/>
  <c r="S16" i="27"/>
  <c r="AN48" i="27"/>
  <c r="S48" i="27"/>
  <c r="S126" i="27"/>
  <c r="AN126" i="27"/>
  <c r="AN63" i="27"/>
  <c r="S63" i="27"/>
  <c r="AO85" i="27"/>
  <c r="AP85" i="27" s="1"/>
  <c r="T85" i="27"/>
  <c r="T37" i="27"/>
  <c r="AO37" i="27"/>
  <c r="AP37" i="27" s="1"/>
  <c r="AN62" i="27"/>
  <c r="S62" i="27"/>
  <c r="AN65" i="27"/>
  <c r="S65" i="27"/>
  <c r="S60" i="27"/>
  <c r="AN60" i="27"/>
  <c r="AN56" i="27"/>
  <c r="S56" i="27"/>
  <c r="AN17" i="27"/>
  <c r="S17" i="27"/>
  <c r="AN99" i="27"/>
  <c r="S99" i="27"/>
  <c r="AN113" i="27"/>
  <c r="S113" i="27"/>
  <c r="AN83" i="27"/>
  <c r="S83" i="27"/>
  <c r="AN102" i="27"/>
  <c r="S102" i="27"/>
  <c r="AN57" i="27"/>
  <c r="S57" i="27"/>
  <c r="AN107" i="27"/>
  <c r="S107" i="27"/>
  <c r="AO82" i="27"/>
  <c r="AP82" i="27" s="1"/>
  <c r="T82" i="27"/>
  <c r="AN23" i="27"/>
  <c r="S23" i="27"/>
  <c r="AN125" i="67"/>
  <c r="S125" i="67"/>
  <c r="AO80" i="67"/>
  <c r="AP80" i="67" s="1"/>
  <c r="T80" i="67"/>
  <c r="AN38" i="67"/>
  <c r="S38" i="67"/>
  <c r="AN22" i="67"/>
  <c r="S22" i="67"/>
  <c r="S37" i="67"/>
  <c r="AN37" i="67"/>
  <c r="AN63" i="67"/>
  <c r="S63" i="67"/>
  <c r="AN70" i="67"/>
  <c r="S70" i="67"/>
  <c r="AO48" i="67"/>
  <c r="AP48" i="67" s="1"/>
  <c r="T48" i="67"/>
  <c r="AO24" i="67"/>
  <c r="AP24" i="67" s="1"/>
  <c r="T24" i="67"/>
  <c r="T71" i="67"/>
  <c r="AO71" i="67"/>
  <c r="AP71" i="67" s="1"/>
  <c r="AO13" i="67"/>
  <c r="AP13" i="67" s="1"/>
  <c r="T13" i="67"/>
  <c r="AO61" i="67"/>
  <c r="AP61" i="67" s="1"/>
  <c r="T61" i="67"/>
  <c r="AN103" i="67"/>
  <c r="S103" i="67"/>
  <c r="S16" i="67"/>
  <c r="AN16" i="67"/>
  <c r="AM45" i="67"/>
  <c r="R45" i="67"/>
  <c r="AO123" i="67"/>
  <c r="AP123" i="67" s="1"/>
  <c r="T123" i="67"/>
  <c r="AO92" i="67"/>
  <c r="AP92" i="67" s="1"/>
  <c r="T92" i="67"/>
  <c r="AN99" i="67"/>
  <c r="S99" i="67"/>
  <c r="AO90" i="67"/>
  <c r="AP90" i="67" s="1"/>
  <c r="T90" i="67"/>
  <c r="AN43" i="67"/>
  <c r="S43" i="67"/>
  <c r="S98" i="67"/>
  <c r="AN98" i="67"/>
  <c r="AN60" i="67"/>
  <c r="S60" i="67"/>
  <c r="AN96" i="67"/>
  <c r="S96" i="67"/>
  <c r="AO105" i="67"/>
  <c r="AP105" i="67" s="1"/>
  <c r="T105" i="67"/>
  <c r="T26" i="84"/>
  <c r="AO26" i="84"/>
  <c r="AO68" i="84"/>
  <c r="T68" i="84"/>
  <c r="AO60" i="84"/>
  <c r="T60" i="84"/>
  <c r="AO25" i="84"/>
  <c r="T25" i="84"/>
  <c r="AO63" i="84"/>
  <c r="T63" i="84"/>
  <c r="AO34" i="84"/>
  <c r="T34" i="84"/>
  <c r="T38" i="84"/>
  <c r="AO38" i="84"/>
  <c r="AQ8" i="84"/>
  <c r="AR8" i="84" s="1"/>
  <c r="V8" i="84"/>
  <c r="AO55" i="84"/>
  <c r="T55" i="84"/>
  <c r="AO21" i="84"/>
  <c r="T21" i="84"/>
  <c r="T17" i="84"/>
  <c r="AO17" i="84"/>
  <c r="AO37" i="84"/>
  <c r="T37" i="84"/>
  <c r="AO65" i="84"/>
  <c r="T65" i="84"/>
  <c r="AO20" i="84"/>
  <c r="T20" i="84"/>
  <c r="AQ51" i="84"/>
  <c r="AR51" i="84" s="1"/>
  <c r="V51" i="84"/>
  <c r="AO27" i="84"/>
  <c r="T27" i="84"/>
  <c r="AO42" i="84"/>
  <c r="T42" i="84"/>
  <c r="AQ16" i="84"/>
  <c r="AR16" i="84" s="1"/>
  <c r="V16" i="84"/>
  <c r="T64" i="84"/>
  <c r="AO64" i="84"/>
  <c r="T30" i="84"/>
  <c r="AO30" i="84"/>
  <c r="AO69" i="84"/>
  <c r="T69" i="84"/>
  <c r="AO18" i="84"/>
  <c r="T18" i="84"/>
  <c r="AO31" i="84"/>
  <c r="T31" i="84"/>
  <c r="T28" i="84"/>
  <c r="AO28" i="84"/>
  <c r="AO70" i="84"/>
  <c r="T70" i="84"/>
  <c r="U61" i="84"/>
  <c r="AP61" i="84"/>
  <c r="AO71" i="84"/>
  <c r="T71" i="84"/>
  <c r="AP49" i="49"/>
  <c r="U49" i="49"/>
  <c r="V15" i="49"/>
  <c r="AQ15" i="49"/>
  <c r="AR15" i="49" s="1"/>
  <c r="AQ29" i="49"/>
  <c r="AR29" i="49" s="1"/>
  <c r="V29" i="49"/>
  <c r="AP8" i="49"/>
  <c r="U8" i="49"/>
  <c r="U55" i="49"/>
  <c r="AP55" i="49"/>
  <c r="AO37" i="49"/>
  <c r="T37" i="49"/>
  <c r="AQ36" i="49"/>
  <c r="AR36" i="49" s="1"/>
  <c r="V36" i="49"/>
  <c r="AO13" i="49"/>
  <c r="T13" i="49"/>
  <c r="AO71" i="49"/>
  <c r="T71" i="49"/>
  <c r="V44" i="49"/>
  <c r="AQ44" i="49"/>
  <c r="AR44" i="49" s="1"/>
  <c r="V21" i="49"/>
  <c r="AQ21" i="49"/>
  <c r="AR21" i="49" s="1"/>
  <c r="U53" i="49"/>
  <c r="AP53" i="49"/>
  <c r="AQ64" i="49"/>
  <c r="AR64" i="49" s="1"/>
  <c r="V64" i="49"/>
  <c r="AO30" i="49"/>
  <c r="T30" i="49"/>
  <c r="AP69" i="49"/>
  <c r="U69" i="49"/>
  <c r="U45" i="49"/>
  <c r="AP45" i="49"/>
  <c r="U72" i="49"/>
  <c r="AP72" i="49"/>
  <c r="AP62" i="49"/>
  <c r="U62" i="49"/>
  <c r="AP43" i="49"/>
  <c r="U43" i="49"/>
  <c r="AQ31" i="49"/>
  <c r="AR31" i="49" s="1"/>
  <c r="V31" i="49"/>
  <c r="AO60" i="49"/>
  <c r="T60" i="49"/>
  <c r="AO42" i="49"/>
  <c r="T42" i="49"/>
  <c r="AO72" i="48"/>
  <c r="T72" i="48"/>
  <c r="AO38" i="48"/>
  <c r="T38" i="48"/>
  <c r="T36" i="48"/>
  <c r="AO36" i="48"/>
  <c r="AO61" i="48"/>
  <c r="T61" i="48"/>
  <c r="AO11" i="48"/>
  <c r="T11" i="48"/>
  <c r="AO68" i="48"/>
  <c r="T68" i="48"/>
  <c r="AO30" i="48"/>
  <c r="T30" i="48"/>
  <c r="AO28" i="48"/>
  <c r="T28" i="48"/>
  <c r="AP51" i="48"/>
  <c r="U51" i="48"/>
  <c r="AO46" i="48"/>
  <c r="T46" i="48"/>
  <c r="AO8" i="48"/>
  <c r="T8" i="48"/>
  <c r="AO63" i="48"/>
  <c r="T63" i="48"/>
  <c r="AO13" i="48"/>
  <c r="T13" i="48"/>
  <c r="AO27" i="48"/>
  <c r="T27" i="48"/>
  <c r="T14" i="48"/>
  <c r="AO14" i="48"/>
  <c r="V55" i="48"/>
  <c r="AQ55" i="48"/>
  <c r="AR55" i="48" s="1"/>
  <c r="AO15" i="48"/>
  <c r="T15" i="48"/>
  <c r="AO34" i="48"/>
  <c r="T34" i="48"/>
  <c r="T43" i="48"/>
  <c r="AO43" i="48"/>
  <c r="AO69" i="48"/>
  <c r="T69" i="48"/>
  <c r="AO17" i="48"/>
  <c r="T17" i="48"/>
  <c r="V71" i="48"/>
  <c r="AQ71" i="48"/>
  <c r="AR71" i="48" s="1"/>
  <c r="AO42" i="48"/>
  <c r="T42" i="48"/>
  <c r="T35" i="48"/>
  <c r="AO35" i="48"/>
  <c r="T25" i="48"/>
  <c r="AO25" i="48"/>
  <c r="AO59" i="48"/>
  <c r="T59" i="48"/>
  <c r="V33" i="48"/>
  <c r="AQ33" i="48"/>
  <c r="AR33" i="48" s="1"/>
  <c r="AP62" i="48"/>
  <c r="U62" i="48"/>
  <c r="AO54" i="67"/>
  <c r="AP54" i="67" s="1"/>
  <c r="T54" i="67"/>
  <c r="T56" i="67"/>
  <c r="AO56" i="67"/>
  <c r="AP56" i="67" s="1"/>
  <c r="AO51" i="49"/>
  <c r="T51" i="49"/>
  <c r="AO127" i="67"/>
  <c r="AP127" i="67" s="1"/>
  <c r="T127" i="67"/>
  <c r="AO31" i="48"/>
  <c r="T31" i="48"/>
  <c r="AP51" i="14"/>
  <c r="AQ51" i="14" s="1"/>
  <c r="T51" i="14"/>
  <c r="AN112" i="66"/>
  <c r="S112" i="66"/>
  <c r="AO88" i="14"/>
  <c r="S88" i="14"/>
  <c r="U68" i="49"/>
  <c r="AP68" i="49"/>
  <c r="AO91" i="27"/>
  <c r="AP91" i="27" s="1"/>
  <c r="T91" i="27"/>
  <c r="T105" i="27"/>
  <c r="AO105" i="27"/>
  <c r="AP105" i="27" s="1"/>
  <c r="T47" i="49"/>
  <c r="AO47" i="49"/>
  <c r="AP55" i="14"/>
  <c r="AQ55" i="14" s="1"/>
  <c r="T55" i="14"/>
  <c r="T70" i="27"/>
  <c r="AO70" i="27"/>
  <c r="AP70" i="27" s="1"/>
  <c r="AP98" i="14"/>
  <c r="AQ98" i="14" s="1"/>
  <c r="T98" i="14"/>
  <c r="AO76" i="66"/>
  <c r="AP76" i="66" s="1"/>
  <c r="T76" i="66"/>
  <c r="T59" i="27"/>
  <c r="AO59" i="27"/>
  <c r="AP59" i="27" s="1"/>
  <c r="AO83" i="67"/>
  <c r="AP83" i="67" s="1"/>
  <c r="T83" i="67"/>
  <c r="T21" i="48"/>
  <c r="AO21" i="48"/>
  <c r="AP59" i="49"/>
  <c r="U59" i="49"/>
  <c r="U18" i="48"/>
  <c r="AP18" i="48"/>
  <c r="AP67" i="84"/>
  <c r="U67" i="84"/>
  <c r="AO68" i="27"/>
  <c r="AP68" i="27" s="1"/>
  <c r="T68" i="27"/>
  <c r="T94" i="66"/>
  <c r="AO94" i="66"/>
  <c r="AP94" i="66" s="1"/>
  <c r="AO122" i="14"/>
  <c r="S122" i="14"/>
  <c r="AO46" i="67"/>
  <c r="AP46" i="67" s="1"/>
  <c r="T46" i="67"/>
  <c r="AP12" i="48"/>
  <c r="U12" i="48"/>
  <c r="AP52" i="14"/>
  <c r="AQ52" i="14" s="1"/>
  <c r="T52" i="14"/>
  <c r="AO67" i="48"/>
  <c r="T67" i="48"/>
  <c r="AP44" i="48"/>
  <c r="U44" i="48"/>
  <c r="AP17" i="14"/>
  <c r="AQ17" i="14" s="1"/>
  <c r="T17" i="14"/>
  <c r="V12" i="49"/>
  <c r="AQ12" i="49"/>
  <c r="AR12" i="49" s="1"/>
  <c r="AO47" i="48"/>
  <c r="T47" i="48"/>
  <c r="AO72" i="27"/>
  <c r="AP72" i="27" s="1"/>
  <c r="T72" i="27"/>
  <c r="S61" i="14"/>
  <c r="AO61" i="14"/>
  <c r="T51" i="27"/>
  <c r="AO51" i="27"/>
  <c r="AP51" i="27" s="1"/>
  <c r="T63" i="14" l="1"/>
  <c r="AP63" i="14"/>
  <c r="AQ63" i="14" s="1"/>
  <c r="AP84" i="14"/>
  <c r="AQ84" i="14" s="1"/>
  <c r="T84" i="14"/>
  <c r="AP41" i="14"/>
  <c r="AQ41" i="14" s="1"/>
  <c r="T41" i="14"/>
  <c r="T20" i="14"/>
  <c r="AP20" i="14"/>
  <c r="AQ20" i="14" s="1"/>
  <c r="AP85" i="14"/>
  <c r="AQ85" i="14" s="1"/>
  <c r="T85" i="14"/>
  <c r="AP104" i="14"/>
  <c r="AQ104" i="14" s="1"/>
  <c r="T104" i="14"/>
  <c r="AP72" i="14"/>
  <c r="AQ72" i="14" s="1"/>
  <c r="T72" i="14"/>
  <c r="AP53" i="14"/>
  <c r="AQ53" i="14" s="1"/>
  <c r="T53" i="14"/>
  <c r="T24" i="14"/>
  <c r="AP24" i="14"/>
  <c r="AQ24" i="14" s="1"/>
  <c r="AP46" i="14"/>
  <c r="AQ46" i="14" s="1"/>
  <c r="T46" i="14"/>
  <c r="T78" i="14"/>
  <c r="AP78" i="14"/>
  <c r="AQ78" i="14" s="1"/>
  <c r="T18" i="14"/>
  <c r="AP18" i="14"/>
  <c r="AQ18" i="14" s="1"/>
  <c r="AP57" i="14"/>
  <c r="AQ57" i="14" s="1"/>
  <c r="T57" i="14"/>
  <c r="AP109" i="14"/>
  <c r="AQ109" i="14" s="1"/>
  <c r="T109" i="14"/>
  <c r="AP43" i="14"/>
  <c r="AQ43" i="14" s="1"/>
  <c r="T43" i="14"/>
  <c r="AP81" i="14"/>
  <c r="AQ81" i="14" s="1"/>
  <c r="T81" i="14"/>
  <c r="T31" i="14"/>
  <c r="AP31" i="14"/>
  <c r="AQ31" i="14" s="1"/>
  <c r="T40" i="14"/>
  <c r="AP40" i="14"/>
  <c r="AQ40" i="14" s="1"/>
  <c r="T66" i="14"/>
  <c r="AP66" i="14"/>
  <c r="AQ66" i="14" s="1"/>
  <c r="AP107" i="14"/>
  <c r="AQ107" i="14" s="1"/>
  <c r="T107" i="14"/>
  <c r="AP65" i="14"/>
  <c r="AQ65" i="14" s="1"/>
  <c r="T65" i="14"/>
  <c r="T119" i="14"/>
  <c r="AP119" i="14"/>
  <c r="AQ119" i="14" s="1"/>
  <c r="T108" i="14"/>
  <c r="AP108" i="14"/>
  <c r="AQ108" i="14" s="1"/>
  <c r="T101" i="14"/>
  <c r="AP101" i="14"/>
  <c r="AQ101" i="14" s="1"/>
  <c r="AP92" i="14"/>
  <c r="AQ92" i="14" s="1"/>
  <c r="T92" i="14"/>
  <c r="AP38" i="14"/>
  <c r="AQ38" i="14" s="1"/>
  <c r="T38" i="14"/>
  <c r="T10" i="14"/>
  <c r="AP10" i="14"/>
  <c r="AQ10" i="14" s="1"/>
  <c r="T56" i="14"/>
  <c r="AP56" i="14"/>
  <c r="AQ56" i="14" s="1"/>
  <c r="AP126" i="14"/>
  <c r="AQ126" i="14" s="1"/>
  <c r="T126" i="14"/>
  <c r="AP115" i="14"/>
  <c r="AQ115" i="14" s="1"/>
  <c r="T115" i="14"/>
  <c r="AP100" i="14"/>
  <c r="AQ100" i="14" s="1"/>
  <c r="T100" i="14"/>
  <c r="AO62" i="66"/>
  <c r="AP62" i="66" s="1"/>
  <c r="T62" i="66"/>
  <c r="AO102" i="66"/>
  <c r="AP102" i="66" s="1"/>
  <c r="T102" i="66"/>
  <c r="T10" i="66"/>
  <c r="AO10" i="66"/>
  <c r="AP10" i="66" s="1"/>
  <c r="T85" i="66"/>
  <c r="AO85" i="66"/>
  <c r="AP85" i="66" s="1"/>
  <c r="T38" i="66"/>
  <c r="AO38" i="66"/>
  <c r="AP38" i="66" s="1"/>
  <c r="T58" i="66"/>
  <c r="AO58" i="66"/>
  <c r="AP58" i="66" s="1"/>
  <c r="S33" i="66"/>
  <c r="AN33" i="66"/>
  <c r="AO29" i="66"/>
  <c r="AP29" i="66" s="1"/>
  <c r="T29" i="66"/>
  <c r="AO70" i="66"/>
  <c r="AP70" i="66" s="1"/>
  <c r="T70" i="66"/>
  <c r="AO14" i="66"/>
  <c r="AP14" i="66" s="1"/>
  <c r="T14" i="66"/>
  <c r="AO39" i="66"/>
  <c r="AP39" i="66" s="1"/>
  <c r="T39" i="66"/>
  <c r="T19" i="66"/>
  <c r="AO19" i="66"/>
  <c r="AP19" i="66" s="1"/>
  <c r="AO78" i="66"/>
  <c r="AP78" i="66" s="1"/>
  <c r="T78" i="66"/>
  <c r="T13" i="66"/>
  <c r="AO13" i="66"/>
  <c r="AP13" i="66" s="1"/>
  <c r="AO72" i="66"/>
  <c r="AP72" i="66" s="1"/>
  <c r="T72" i="66"/>
  <c r="AO24" i="66"/>
  <c r="AP24" i="66" s="1"/>
  <c r="T24" i="66"/>
  <c r="AN50" i="66"/>
  <c r="S50" i="66"/>
  <c r="T63" i="66"/>
  <c r="AO63" i="66"/>
  <c r="AP63" i="66" s="1"/>
  <c r="AN17" i="66"/>
  <c r="S17" i="66"/>
  <c r="AO61" i="66"/>
  <c r="AP61" i="66" s="1"/>
  <c r="T61" i="66"/>
  <c r="AO22" i="66"/>
  <c r="AP22" i="66" s="1"/>
  <c r="T22" i="66"/>
  <c r="T53" i="66"/>
  <c r="AO53" i="66"/>
  <c r="AP53" i="66" s="1"/>
  <c r="T8" i="66"/>
  <c r="AO8" i="66"/>
  <c r="AP8" i="66" s="1"/>
  <c r="S9" i="66"/>
  <c r="AN9" i="66"/>
  <c r="AO121" i="66"/>
  <c r="AP121" i="66" s="1"/>
  <c r="T121" i="66"/>
  <c r="T59" i="66"/>
  <c r="AO59" i="66"/>
  <c r="AP59" i="66" s="1"/>
  <c r="T32" i="66"/>
  <c r="AO32" i="66"/>
  <c r="AP32" i="66" s="1"/>
  <c r="T7" i="66"/>
  <c r="AO7" i="66"/>
  <c r="AP7" i="66" s="1"/>
  <c r="T95" i="66"/>
  <c r="AO95" i="66"/>
  <c r="AP95" i="66" s="1"/>
  <c r="T92" i="66"/>
  <c r="AO92" i="66"/>
  <c r="AP92" i="66" s="1"/>
  <c r="AO115" i="66"/>
  <c r="AP115" i="66" s="1"/>
  <c r="T115" i="66"/>
  <c r="AO98" i="66"/>
  <c r="AP98" i="66" s="1"/>
  <c r="T98" i="66"/>
  <c r="T49" i="66"/>
  <c r="AO49" i="66"/>
  <c r="AP49" i="66" s="1"/>
  <c r="AO83" i="27"/>
  <c r="AP83" i="27" s="1"/>
  <c r="T83" i="27"/>
  <c r="AO65" i="27"/>
  <c r="AP65" i="27" s="1"/>
  <c r="T65" i="27"/>
  <c r="AO48" i="27"/>
  <c r="AP48" i="27" s="1"/>
  <c r="T48" i="27"/>
  <c r="AO23" i="27"/>
  <c r="AP23" i="27" s="1"/>
  <c r="T23" i="27"/>
  <c r="AO113" i="27"/>
  <c r="AP113" i="27" s="1"/>
  <c r="T113" i="27"/>
  <c r="AO62" i="27"/>
  <c r="AP62" i="27" s="1"/>
  <c r="T62" i="27"/>
  <c r="AO16" i="27"/>
  <c r="AP16" i="27" s="1"/>
  <c r="T16" i="27"/>
  <c r="T102" i="27"/>
  <c r="AO102" i="27"/>
  <c r="AP102" i="27" s="1"/>
  <c r="T126" i="27"/>
  <c r="AO126" i="27"/>
  <c r="AP126" i="27" s="1"/>
  <c r="AO60" i="27"/>
  <c r="AP60" i="27" s="1"/>
  <c r="T60" i="27"/>
  <c r="AO28" i="27"/>
  <c r="AP28" i="27" s="1"/>
  <c r="T28" i="27"/>
  <c r="AO99" i="27"/>
  <c r="AP99" i="27" s="1"/>
  <c r="T99" i="27"/>
  <c r="AO107" i="27"/>
  <c r="AP107" i="27" s="1"/>
  <c r="T107" i="27"/>
  <c r="AO17" i="27"/>
  <c r="AP17" i="27" s="1"/>
  <c r="T17" i="27"/>
  <c r="AO57" i="27"/>
  <c r="AP57" i="27" s="1"/>
  <c r="T57" i="27"/>
  <c r="T56" i="27"/>
  <c r="AO56" i="27"/>
  <c r="AP56" i="27" s="1"/>
  <c r="T63" i="27"/>
  <c r="AO63" i="27"/>
  <c r="AP63" i="27" s="1"/>
  <c r="AO79" i="27"/>
  <c r="AP79" i="27" s="1"/>
  <c r="T79" i="27"/>
  <c r="AO99" i="67"/>
  <c r="AP99" i="67" s="1"/>
  <c r="T99" i="67"/>
  <c r="AO96" i="67"/>
  <c r="AP96" i="67" s="1"/>
  <c r="T96" i="67"/>
  <c r="T22" i="67"/>
  <c r="AO22" i="67"/>
  <c r="AP22" i="67" s="1"/>
  <c r="AO63" i="67"/>
  <c r="AP63" i="67" s="1"/>
  <c r="T63" i="67"/>
  <c r="AO98" i="67"/>
  <c r="AP98" i="67" s="1"/>
  <c r="T98" i="67"/>
  <c r="T37" i="67"/>
  <c r="AO37" i="67"/>
  <c r="AP37" i="67" s="1"/>
  <c r="AN45" i="67"/>
  <c r="S45" i="67"/>
  <c r="AO38" i="67"/>
  <c r="AP38" i="67" s="1"/>
  <c r="T38" i="67"/>
  <c r="AO16" i="67"/>
  <c r="AP16" i="67" s="1"/>
  <c r="T16" i="67"/>
  <c r="AO43" i="67"/>
  <c r="AP43" i="67" s="1"/>
  <c r="T43" i="67"/>
  <c r="AO60" i="67"/>
  <c r="AP60" i="67" s="1"/>
  <c r="T60" i="67"/>
  <c r="AO103" i="67"/>
  <c r="AP103" i="67" s="1"/>
  <c r="T103" i="67"/>
  <c r="AO70" i="67"/>
  <c r="AP70" i="67" s="1"/>
  <c r="T70" i="67"/>
  <c r="AO125" i="67"/>
  <c r="AP125" i="67" s="1"/>
  <c r="T125" i="67"/>
  <c r="AP17" i="84"/>
  <c r="U17" i="84"/>
  <c r="AP25" i="84"/>
  <c r="U25" i="84"/>
  <c r="U28" i="84"/>
  <c r="AP28" i="84"/>
  <c r="AP42" i="84"/>
  <c r="U42" i="84"/>
  <c r="AP18" i="84"/>
  <c r="U18" i="84"/>
  <c r="U71" i="84"/>
  <c r="AP71" i="84"/>
  <c r="U69" i="84"/>
  <c r="AP69" i="84"/>
  <c r="AP55" i="84"/>
  <c r="U55" i="84"/>
  <c r="AP60" i="84"/>
  <c r="U60" i="84"/>
  <c r="AP34" i="84"/>
  <c r="U34" i="84"/>
  <c r="AP37" i="84"/>
  <c r="U37" i="84"/>
  <c r="U20" i="84"/>
  <c r="AP20" i="84"/>
  <c r="AP68" i="84"/>
  <c r="U68" i="84"/>
  <c r="AP63" i="84"/>
  <c r="U63" i="84"/>
  <c r="AP21" i="84"/>
  <c r="U21" i="84"/>
  <c r="AQ61" i="84"/>
  <c r="AR61" i="84" s="1"/>
  <c r="V61" i="84"/>
  <c r="AP64" i="84"/>
  <c r="U64" i="84"/>
  <c r="AP38" i="84"/>
  <c r="U38" i="84"/>
  <c r="AP26" i="84"/>
  <c r="U26" i="84"/>
  <c r="AP31" i="84"/>
  <c r="U31" i="84"/>
  <c r="U27" i="84"/>
  <c r="AP27" i="84"/>
  <c r="AP30" i="84"/>
  <c r="U30" i="84"/>
  <c r="AP70" i="84"/>
  <c r="U70" i="84"/>
  <c r="U65" i="84"/>
  <c r="AP65" i="84"/>
  <c r="AQ55" i="49"/>
  <c r="AR55" i="49" s="1"/>
  <c r="V55" i="49"/>
  <c r="AQ8" i="49"/>
  <c r="AR8" i="49" s="1"/>
  <c r="V8" i="49"/>
  <c r="V72" i="49"/>
  <c r="AQ72" i="49"/>
  <c r="AR72" i="49" s="1"/>
  <c r="AQ62" i="49"/>
  <c r="AR62" i="49" s="1"/>
  <c r="V62" i="49"/>
  <c r="V45" i="49"/>
  <c r="AQ45" i="49"/>
  <c r="AR45" i="49" s="1"/>
  <c r="AQ69" i="49"/>
  <c r="AR69" i="49" s="1"/>
  <c r="V69" i="49"/>
  <c r="U37" i="49"/>
  <c r="AP37" i="49"/>
  <c r="U30" i="49"/>
  <c r="AP30" i="49"/>
  <c r="AP13" i="49"/>
  <c r="U13" i="49"/>
  <c r="AQ53" i="49"/>
  <c r="AR53" i="49" s="1"/>
  <c r="V53" i="49"/>
  <c r="U60" i="49"/>
  <c r="AP60" i="49"/>
  <c r="AP71" i="49"/>
  <c r="U71" i="49"/>
  <c r="AP42" i="49"/>
  <c r="U42" i="49"/>
  <c r="AQ43" i="49"/>
  <c r="AR43" i="49" s="1"/>
  <c r="V43" i="49"/>
  <c r="AQ49" i="49"/>
  <c r="AR49" i="49" s="1"/>
  <c r="V49" i="49"/>
  <c r="U68" i="48"/>
  <c r="AP68" i="48"/>
  <c r="AP36" i="48"/>
  <c r="U36" i="48"/>
  <c r="AP15" i="48"/>
  <c r="U15" i="48"/>
  <c r="AP61" i="48"/>
  <c r="U61" i="48"/>
  <c r="AP63" i="48"/>
  <c r="U63" i="48"/>
  <c r="AP11" i="48"/>
  <c r="U11" i="48"/>
  <c r="U14" i="48"/>
  <c r="AP14" i="48"/>
  <c r="AP59" i="48"/>
  <c r="U59" i="48"/>
  <c r="AP69" i="48"/>
  <c r="U69" i="48"/>
  <c r="U27" i="48"/>
  <c r="AP27" i="48"/>
  <c r="U28" i="48"/>
  <c r="AP28" i="48"/>
  <c r="AP38" i="48"/>
  <c r="U38" i="48"/>
  <c r="U35" i="48"/>
  <c r="AP35" i="48"/>
  <c r="AP42" i="48"/>
  <c r="U42" i="48"/>
  <c r="AQ51" i="48"/>
  <c r="AR51" i="48" s="1"/>
  <c r="V51" i="48"/>
  <c r="AP25" i="48"/>
  <c r="U25" i="48"/>
  <c r="U43" i="48"/>
  <c r="AP43" i="48"/>
  <c r="AP34" i="48"/>
  <c r="U34" i="48"/>
  <c r="AP8" i="48"/>
  <c r="U8" i="48"/>
  <c r="AP46" i="48"/>
  <c r="U46" i="48"/>
  <c r="AP17" i="48"/>
  <c r="U17" i="48"/>
  <c r="U13" i="48"/>
  <c r="AP13" i="48"/>
  <c r="U30" i="48"/>
  <c r="AP30" i="48"/>
  <c r="AP72" i="48"/>
  <c r="U72" i="48"/>
  <c r="AQ68" i="49"/>
  <c r="AR68" i="49" s="1"/>
  <c r="V68" i="49"/>
  <c r="AO112" i="66"/>
  <c r="AP112" i="66" s="1"/>
  <c r="T112" i="66"/>
  <c r="AP21" i="48"/>
  <c r="U21" i="48"/>
  <c r="U47" i="48"/>
  <c r="AP47" i="48"/>
  <c r="AP51" i="49"/>
  <c r="U51" i="49"/>
  <c r="AP122" i="14"/>
  <c r="AQ122" i="14" s="1"/>
  <c r="T122" i="14"/>
  <c r="AP61" i="14"/>
  <c r="AQ61" i="14" s="1"/>
  <c r="T61" i="14"/>
  <c r="V18" i="48"/>
  <c r="AQ18" i="48"/>
  <c r="AR18" i="48" s="1"/>
  <c r="V44" i="48"/>
  <c r="AQ44" i="48"/>
  <c r="AR44" i="48" s="1"/>
  <c r="AP67" i="48"/>
  <c r="U67" i="48"/>
  <c r="U47" i="49"/>
  <c r="AP47" i="49"/>
  <c r="V12" i="48"/>
  <c r="AQ12" i="48"/>
  <c r="AR12" i="48" s="1"/>
  <c r="V59" i="49"/>
  <c r="AQ59" i="49"/>
  <c r="AR59" i="49" s="1"/>
  <c r="T88" i="14"/>
  <c r="AP88" i="14"/>
  <c r="AQ88" i="14" s="1"/>
  <c r="AQ67" i="84"/>
  <c r="AR67" i="84" s="1"/>
  <c r="V67" i="84"/>
  <c r="AP31" i="48"/>
  <c r="U31" i="48"/>
  <c r="AQ62" i="48"/>
  <c r="AR62" i="48" s="1"/>
  <c r="V62" i="48"/>
  <c r="T50" i="66" l="1"/>
  <c r="AO50" i="66"/>
  <c r="AP50" i="66" s="1"/>
  <c r="AO9" i="66"/>
  <c r="AP9" i="66" s="1"/>
  <c r="T9" i="66"/>
  <c r="T33" i="66"/>
  <c r="AO33" i="66"/>
  <c r="AP33" i="66" s="1"/>
  <c r="AO17" i="66"/>
  <c r="AP17" i="66" s="1"/>
  <c r="T17" i="66"/>
  <c r="AO45" i="67"/>
  <c r="AP45" i="67" s="1"/>
  <c r="T45" i="67"/>
  <c r="AQ71" i="84"/>
  <c r="AR71" i="84" s="1"/>
  <c r="V71" i="84"/>
  <c r="V38" i="84"/>
  <c r="AQ38" i="84"/>
  <c r="AR38" i="84" s="1"/>
  <c r="AQ65" i="84"/>
  <c r="AR65" i="84" s="1"/>
  <c r="V65" i="84"/>
  <c r="AQ20" i="84"/>
  <c r="AR20" i="84" s="1"/>
  <c r="V20" i="84"/>
  <c r="AQ70" i="84"/>
  <c r="AR70" i="84" s="1"/>
  <c r="V70" i="84"/>
  <c r="AQ64" i="84"/>
  <c r="AR64" i="84" s="1"/>
  <c r="V64" i="84"/>
  <c r="AQ37" i="84"/>
  <c r="AR37" i="84" s="1"/>
  <c r="V37" i="84"/>
  <c r="V18" i="84"/>
  <c r="AQ18" i="84"/>
  <c r="AR18" i="84" s="1"/>
  <c r="V30" i="84"/>
  <c r="AQ30" i="84"/>
  <c r="AR30" i="84" s="1"/>
  <c r="AQ34" i="84"/>
  <c r="AR34" i="84" s="1"/>
  <c r="V34" i="84"/>
  <c r="AQ42" i="84"/>
  <c r="AR42" i="84" s="1"/>
  <c r="V42" i="84"/>
  <c r="AQ27" i="84"/>
  <c r="AR27" i="84" s="1"/>
  <c r="V27" i="84"/>
  <c r="V28" i="84"/>
  <c r="AQ28" i="84"/>
  <c r="AR28" i="84" s="1"/>
  <c r="V21" i="84"/>
  <c r="AQ21" i="84"/>
  <c r="AR21" i="84" s="1"/>
  <c r="AQ60" i="84"/>
  <c r="AR60" i="84" s="1"/>
  <c r="V60" i="84"/>
  <c r="AQ31" i="84"/>
  <c r="AR31" i="84" s="1"/>
  <c r="V31" i="84"/>
  <c r="AQ63" i="84"/>
  <c r="AR63" i="84" s="1"/>
  <c r="V63" i="84"/>
  <c r="AQ55" i="84"/>
  <c r="AR55" i="84" s="1"/>
  <c r="V55" i="84"/>
  <c r="AQ25" i="84"/>
  <c r="AR25" i="84" s="1"/>
  <c r="V25" i="84"/>
  <c r="AQ69" i="84"/>
  <c r="AR69" i="84" s="1"/>
  <c r="V69" i="84"/>
  <c r="AQ26" i="84"/>
  <c r="AR26" i="84" s="1"/>
  <c r="V26" i="84"/>
  <c r="AQ68" i="84"/>
  <c r="AR68" i="84" s="1"/>
  <c r="V68" i="84"/>
  <c r="AQ17" i="84"/>
  <c r="AR17" i="84" s="1"/>
  <c r="V17" i="84"/>
  <c r="AQ71" i="49"/>
  <c r="AR71" i="49" s="1"/>
  <c r="V71" i="49"/>
  <c r="V60" i="49"/>
  <c r="AQ60" i="49"/>
  <c r="AR60" i="49" s="1"/>
  <c r="V13" i="49"/>
  <c r="AQ13" i="49"/>
  <c r="AR13" i="49" s="1"/>
  <c r="AQ30" i="49"/>
  <c r="AR30" i="49" s="1"/>
  <c r="V30" i="49"/>
  <c r="V37" i="49"/>
  <c r="AQ37" i="49"/>
  <c r="AR37" i="49" s="1"/>
  <c r="V42" i="49"/>
  <c r="AQ42" i="49"/>
  <c r="AR42" i="49" s="1"/>
  <c r="AQ72" i="48"/>
  <c r="AR72" i="48" s="1"/>
  <c r="V72" i="48"/>
  <c r="V34" i="48"/>
  <c r="AQ34" i="48"/>
  <c r="AR34" i="48" s="1"/>
  <c r="AQ38" i="48"/>
  <c r="AR38" i="48" s="1"/>
  <c r="V38" i="48"/>
  <c r="AQ11" i="48"/>
  <c r="AR11" i="48" s="1"/>
  <c r="V11" i="48"/>
  <c r="AQ30" i="48"/>
  <c r="AR30" i="48" s="1"/>
  <c r="V30" i="48"/>
  <c r="V43" i="48"/>
  <c r="AQ43" i="48"/>
  <c r="AR43" i="48" s="1"/>
  <c r="V28" i="48"/>
  <c r="AQ28" i="48"/>
  <c r="AR28" i="48" s="1"/>
  <c r="V63" i="48"/>
  <c r="AQ63" i="48"/>
  <c r="AR63" i="48" s="1"/>
  <c r="AQ13" i="48"/>
  <c r="AR13" i="48" s="1"/>
  <c r="V13" i="48"/>
  <c r="AQ27" i="48"/>
  <c r="AR27" i="48" s="1"/>
  <c r="V27" i="48"/>
  <c r="V25" i="48"/>
  <c r="AQ25" i="48"/>
  <c r="AR25" i="48" s="1"/>
  <c r="AQ61" i="48"/>
  <c r="AR61" i="48" s="1"/>
  <c r="V61" i="48"/>
  <c r="AQ17" i="48"/>
  <c r="AR17" i="48" s="1"/>
  <c r="V17" i="48"/>
  <c r="V69" i="48"/>
  <c r="AQ69" i="48"/>
  <c r="AR69" i="48" s="1"/>
  <c r="V15" i="48"/>
  <c r="AQ15" i="48"/>
  <c r="AR15" i="48" s="1"/>
  <c r="AQ46" i="48"/>
  <c r="AR46" i="48" s="1"/>
  <c r="V46" i="48"/>
  <c r="V42" i="48"/>
  <c r="AQ42" i="48"/>
  <c r="AR42" i="48" s="1"/>
  <c r="AQ59" i="48"/>
  <c r="AR59" i="48" s="1"/>
  <c r="V59" i="48"/>
  <c r="V36" i="48"/>
  <c r="AQ36" i="48"/>
  <c r="AR36" i="48" s="1"/>
  <c r="V35" i="48"/>
  <c r="AQ35" i="48"/>
  <c r="AR35" i="48" s="1"/>
  <c r="AQ14" i="48"/>
  <c r="AR14" i="48" s="1"/>
  <c r="V14" i="48"/>
  <c r="V68" i="48"/>
  <c r="AQ68" i="48"/>
  <c r="AR68" i="48" s="1"/>
  <c r="AQ8" i="48"/>
  <c r="AR8" i="48" s="1"/>
  <c r="V8" i="48"/>
  <c r="V47" i="49"/>
  <c r="AQ47" i="49"/>
  <c r="AR47" i="49" s="1"/>
  <c r="V51" i="49"/>
  <c r="AQ51" i="49"/>
  <c r="AR51" i="49" s="1"/>
  <c r="V47" i="48"/>
  <c r="AQ47" i="48"/>
  <c r="AR47" i="48" s="1"/>
  <c r="AQ31" i="48"/>
  <c r="AR31" i="48" s="1"/>
  <c r="V31" i="48"/>
  <c r="V67" i="48"/>
  <c r="AQ67" i="48"/>
  <c r="AR67" i="48" s="1"/>
  <c r="AQ21" i="48"/>
  <c r="AR21" i="48" s="1"/>
  <c r="V21" i="4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ADemidova</author>
  </authors>
  <commentList>
    <comment ref="A2" authorId="0" shapeId="0" xr:uid="{35B97EA8-6301-45C4-95D4-7D21FC3CC03A}">
      <text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A23" authorId="0" shapeId="0" xr:uid="{4325E14C-5C9D-491C-8FD9-2D633F538D30}">
      <text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A32" authorId="0" shapeId="0" xr:uid="{1F68DC48-903D-406F-9053-DA5BA28DF48B}">
      <text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K32" authorId="0" shapeId="0" xr:uid="{BF6D8495-844C-4CB3-90C2-BCF7DD826052}">
      <text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A42" authorId="0" shapeId="0" xr:uid="{D2676A04-264A-4E22-A2D5-E033BEF49BB3}">
      <text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ADemidova</author>
  </authors>
  <commentList>
    <comment ref="A5" authorId="0" shapeId="0" xr:uid="{0F1B924E-7DF3-44A4-8A7B-D33026F95631}">
      <text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A18" authorId="0" shapeId="0" xr:uid="{39E8A85C-5612-4C99-AB8C-FC81D0DAD604}">
      <text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ADemidova</author>
  </authors>
  <commentList>
    <comment ref="A5" authorId="0" shapeId="0" xr:uid="{7A34C9DC-5046-414F-9139-65F4FEFEED19}">
      <text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ADemidova</author>
  </authors>
  <commentList>
    <comment ref="C4" authorId="0" shapeId="0" xr:uid="{3093A3B7-E430-4A55-A39A-471C1D2A17E7}">
      <text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ADemidova</author>
  </authors>
  <commentList>
    <comment ref="A1" authorId="0" shapeId="0" xr:uid="{021D21DE-2559-49F1-9DB4-52431A99754A}">
      <text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ADemidova</author>
  </authors>
  <commentList>
    <comment ref="A1" authorId="0" shapeId="0" xr:uid="{FFB282F4-245E-4D7D-B6E2-C54B60982DD9}">
      <text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<sst xmlns="http://schemas.openxmlformats.org/spreadsheetml/2006/main" count="4321" uniqueCount="1283">
  <si>
    <t>Готовые горизонтальные жалюзи</t>
  </si>
  <si>
    <t>Ширина, см</t>
  </si>
  <si>
    <t>№ п/п</t>
  </si>
  <si>
    <t>ВЫСОТА, м</t>
  </si>
  <si>
    <t>бесплатно</t>
  </si>
  <si>
    <t>ПРИМЕЧАНИЕ:</t>
  </si>
  <si>
    <t>* Округление до 0,8 п.м.</t>
  </si>
  <si>
    <t>Максимальный вес шторы – 6,5 кг</t>
  </si>
  <si>
    <t>Максимальная ширина карниза – 3,00 м</t>
  </si>
  <si>
    <t>Максимальная высота шторы – 3,0 м</t>
  </si>
  <si>
    <t>Максимальное количество рабочих блоков – 11 шт.</t>
  </si>
  <si>
    <t>Металлик</t>
  </si>
  <si>
    <t>Белый глянец</t>
  </si>
  <si>
    <t>Ткань*</t>
  </si>
  <si>
    <t>Ткань "Home Desing"*</t>
  </si>
  <si>
    <t>*- используются в качестве фона</t>
  </si>
  <si>
    <t>Декоративная панель:</t>
  </si>
  <si>
    <t>Цена       у.е./1 м2</t>
  </si>
  <si>
    <t>Цена      у.е./1 м.п.</t>
  </si>
  <si>
    <r>
      <t>Цена       у.е./1 м</t>
    </r>
    <r>
      <rPr>
        <b/>
        <i/>
        <vertAlign val="superscript"/>
        <sz val="10"/>
        <rFont val="Times New Roman"/>
        <family val="1"/>
        <charset val="204"/>
      </rPr>
      <t>2</t>
    </r>
  </si>
  <si>
    <r>
      <t>Цена  у.е./1 м</t>
    </r>
    <r>
      <rPr>
        <b/>
        <vertAlign val="superscript"/>
        <sz val="11"/>
        <rFont val="Times New Roman"/>
        <family val="1"/>
        <charset val="204"/>
      </rPr>
      <t>2</t>
    </r>
  </si>
  <si>
    <t xml:space="preserve">Цена у.е./м² </t>
  </si>
  <si>
    <t>Тел/факс (495) 225-25-80</t>
  </si>
  <si>
    <t>МИНИ</t>
  </si>
  <si>
    <t>ЦЕНА  у.е./шт.</t>
  </si>
  <si>
    <t>ИСОТРА ХИТ 25мм</t>
  </si>
  <si>
    <t>ИСОТРА ХИТ 2  25мм</t>
  </si>
  <si>
    <t>ИСОТРА ХИТ  16мм</t>
  </si>
  <si>
    <t>ИСОТРА ХИТ 2 16мм</t>
  </si>
  <si>
    <t>В-ЛАЙТ</t>
  </si>
  <si>
    <t xml:space="preserve">Цена </t>
  </si>
  <si>
    <t>Вертикальные</t>
  </si>
  <si>
    <t>Аргентум</t>
  </si>
  <si>
    <t>ЗАМЕНА ТКАНИ КОМБО</t>
  </si>
  <si>
    <t>Изолайт, исотра 25 мм</t>
  </si>
  <si>
    <t>Изолайт, исотра 16 мм</t>
  </si>
  <si>
    <t>Замена ткани вертикальной</t>
  </si>
  <si>
    <t>Мини</t>
  </si>
  <si>
    <t>Замена ткани рулонной</t>
  </si>
  <si>
    <t>Комплектация</t>
  </si>
  <si>
    <t>КУРС У.Е.</t>
  </si>
  <si>
    <t>Наценка (*К)</t>
  </si>
  <si>
    <t>Надбавка (+К)</t>
  </si>
  <si>
    <t>Цвет</t>
  </si>
  <si>
    <t xml:space="preserve"> - при заказе указывается глубина штапика</t>
  </si>
  <si>
    <t>Сонет</t>
  </si>
  <si>
    <t>ВЫСОТА,м</t>
  </si>
  <si>
    <t>Комбо Уни-2</t>
  </si>
  <si>
    <t>Комбо Уни-2 ламинация</t>
  </si>
  <si>
    <t>201, 202, 203, 204, 205, 206</t>
  </si>
  <si>
    <t>Стоимость, у.е./шт.</t>
  </si>
  <si>
    <t>25 мм</t>
  </si>
  <si>
    <t>БАМБУК</t>
  </si>
  <si>
    <t>ДЕРЕВО</t>
  </si>
  <si>
    <t>веревочная лесенка</t>
  </si>
  <si>
    <t>АЛЮМИНИЙ 50 мм</t>
  </si>
  <si>
    <t>Сахара</t>
  </si>
  <si>
    <t>Порто блэкаут</t>
  </si>
  <si>
    <t>Далия</t>
  </si>
  <si>
    <t>Гарден</t>
  </si>
  <si>
    <t>Калипсо</t>
  </si>
  <si>
    <t>Фараон</t>
  </si>
  <si>
    <t>Версаль</t>
  </si>
  <si>
    <t>Версаль блэкаут</t>
  </si>
  <si>
    <t>Ламьера</t>
  </si>
  <si>
    <t>Силк скрин алю</t>
  </si>
  <si>
    <t>При расчете за изделие площадью менее 1м² площадь округляется до 1м².</t>
  </si>
  <si>
    <r>
      <t>Цена       у.е./1 м</t>
    </r>
    <r>
      <rPr>
        <b/>
        <i/>
        <vertAlign val="superscript"/>
        <sz val="9"/>
        <rFont val="Times New Roman"/>
        <family val="1"/>
        <charset val="204"/>
      </rPr>
      <t>2</t>
    </r>
  </si>
  <si>
    <t>www.gamma-i.ru</t>
  </si>
  <si>
    <t>Балтик</t>
  </si>
  <si>
    <t>Мультифрут</t>
  </si>
  <si>
    <t>Мюнхен</t>
  </si>
  <si>
    <t>Мюнхен перл</t>
  </si>
  <si>
    <t>Плато</t>
  </si>
  <si>
    <t>Клаудиа</t>
  </si>
  <si>
    <t>Нельке</t>
  </si>
  <si>
    <t>Берлин блэкаут</t>
  </si>
  <si>
    <t>Спринг твиг</t>
  </si>
  <si>
    <t>Орегон</t>
  </si>
  <si>
    <t>Махаон</t>
  </si>
  <si>
    <t>Мюнхен блэкаут</t>
  </si>
  <si>
    <t>Иви</t>
  </si>
  <si>
    <t>Карисма</t>
  </si>
  <si>
    <t>Калифорния</t>
  </si>
  <si>
    <t>Бомбей</t>
  </si>
  <si>
    <t>Шампань блэкаут</t>
  </si>
  <si>
    <t>ЦВЕТ</t>
  </si>
  <si>
    <t>Наименование</t>
  </si>
  <si>
    <t>Торговая Марка</t>
  </si>
  <si>
    <t>SOMFY (Франция)</t>
  </si>
  <si>
    <t>DekoRatio (Китай)</t>
  </si>
  <si>
    <t>Пульт управления RTS 16 канальный TELIS белый</t>
  </si>
  <si>
    <t>Настенный радиовыключатель 1 канальный SMOOVE белый</t>
  </si>
  <si>
    <t>Приемник радиосигнала Centralis Indoor RTS</t>
  </si>
  <si>
    <t xml:space="preserve"> г. Москва, Верхняя аллея, д.1 оф.3</t>
  </si>
  <si>
    <t>Наименование   жалюзи</t>
  </si>
  <si>
    <t>Шантунг</t>
  </si>
  <si>
    <t>Флора</t>
  </si>
  <si>
    <t>Фрост</t>
  </si>
  <si>
    <t>Зодиак</t>
  </si>
  <si>
    <t>Офелия</t>
  </si>
  <si>
    <t>Эдем</t>
  </si>
  <si>
    <t>ТКАНИ ПО КАТЕГОРИЯМ</t>
  </si>
  <si>
    <t>ТКАНЬ</t>
  </si>
  <si>
    <t>КАТЕГОРИЯ</t>
  </si>
  <si>
    <t>Аврора</t>
  </si>
  <si>
    <t>Шикатан</t>
  </si>
  <si>
    <t>Стандарт</t>
  </si>
  <si>
    <t>Опус</t>
  </si>
  <si>
    <t>Траффик</t>
  </si>
  <si>
    <t>Маджестик</t>
  </si>
  <si>
    <t>Арабель</t>
  </si>
  <si>
    <t>Гобелен</t>
  </si>
  <si>
    <t>Цвета</t>
  </si>
  <si>
    <t>Айсис</t>
  </si>
  <si>
    <t>Шелк</t>
  </si>
  <si>
    <t>Мадагаскар</t>
  </si>
  <si>
    <t>Ямайка</t>
  </si>
  <si>
    <t>РЕКЛАМНАЯ ПРОДУКЦИЯ (ОБРАЗЦЫ)</t>
  </si>
  <si>
    <t>Брелок "Вертикальные пластиковые жалюзи"</t>
  </si>
  <si>
    <t>Замена ткани КОМБО</t>
  </si>
  <si>
    <t>Джунгли</t>
  </si>
  <si>
    <t>Моне</t>
  </si>
  <si>
    <t>Тип крепления</t>
  </si>
  <si>
    <t>Описание</t>
  </si>
  <si>
    <t>Цена у.е./ шт.</t>
  </si>
  <si>
    <t>Пластик  (ценовая категория от 26,4$/м2)*</t>
  </si>
  <si>
    <t xml:space="preserve">ТИП 2 </t>
  </si>
  <si>
    <t xml:space="preserve"> ТИП 3 </t>
  </si>
  <si>
    <t xml:space="preserve">E-mail: 2252580@gamma-i.ru </t>
  </si>
  <si>
    <t>НАЦЕНКА:</t>
  </si>
  <si>
    <t>УПРАВЛЯЮЩИЙ ПРУТ:</t>
  </si>
  <si>
    <t>№ шва</t>
  </si>
  <si>
    <t>№1</t>
  </si>
  <si>
    <t>№2</t>
  </si>
  <si>
    <t>№3</t>
  </si>
  <si>
    <t>№4</t>
  </si>
  <si>
    <t>№5</t>
  </si>
  <si>
    <t>№6</t>
  </si>
  <si>
    <t>№7</t>
  </si>
  <si>
    <t>тесьма</t>
  </si>
  <si>
    <t>RV 923</t>
  </si>
  <si>
    <t xml:space="preserve"> --- </t>
  </si>
  <si>
    <t>RV 729</t>
  </si>
  <si>
    <t>штанга</t>
  </si>
  <si>
    <t>RV 923 - тесьма обычная</t>
  </si>
  <si>
    <t>RV 729 - тесьма с бахромой</t>
  </si>
  <si>
    <t>Стандартная высота волана - 19-21 см.</t>
  </si>
  <si>
    <t>Карина</t>
  </si>
  <si>
    <t>Орнамент</t>
  </si>
  <si>
    <t>Салмиак</t>
  </si>
  <si>
    <t>Зиг заг</t>
  </si>
  <si>
    <t>Тонус</t>
  </si>
  <si>
    <t>Бетти</t>
  </si>
  <si>
    <t>Этаж</t>
  </si>
  <si>
    <t>Олив</t>
  </si>
  <si>
    <t>Вискан</t>
  </si>
  <si>
    <t>Кофе</t>
  </si>
  <si>
    <t>Мегаполис</t>
  </si>
  <si>
    <t>Маракеш</t>
  </si>
  <si>
    <t>Магеллан</t>
  </si>
  <si>
    <t>Ажур</t>
  </si>
  <si>
    <t>Аруба</t>
  </si>
  <si>
    <t>Лусто</t>
  </si>
  <si>
    <t>Валенсия</t>
  </si>
  <si>
    <t>Маракеш блэкаут</t>
  </si>
  <si>
    <t>Индра</t>
  </si>
  <si>
    <t>Дриада</t>
  </si>
  <si>
    <t>Сакура</t>
  </si>
  <si>
    <t>Болгарская роза</t>
  </si>
  <si>
    <t>Китайская роза</t>
  </si>
  <si>
    <t>Крымская роза</t>
  </si>
  <si>
    <t>Стикан</t>
  </si>
  <si>
    <t xml:space="preserve">Электропривод </t>
  </si>
  <si>
    <t>Мин. 
Ширина, мм</t>
  </si>
  <si>
    <t>Макс. 
Ширина, мм</t>
  </si>
  <si>
    <t>Макс. 
Высота, мм</t>
  </si>
  <si>
    <t>Макс. 
Высота 
блэкаут, мм</t>
  </si>
  <si>
    <t>Макс. 
Высота 
Скрин, мм</t>
  </si>
  <si>
    <t>Макс. 
Высота 
Палермо,          Парма 8, мм</t>
  </si>
  <si>
    <t>Макс. 
Высота 
Парма, Тоскана, мм</t>
  </si>
  <si>
    <t>Макс. 
Высота 
Версаль, мм</t>
  </si>
  <si>
    <t>Стоимость дополнительной комплектации:</t>
  </si>
  <si>
    <t>Стоимость декоративной отделки, у.е./м.п.</t>
  </si>
  <si>
    <t>Карнизная система СТАНДАРТ, у.е./м.п.</t>
  </si>
  <si>
    <r>
      <t xml:space="preserve">Рулонные жалюзи "СТАНДАРТ"                                                                                         </t>
    </r>
    <r>
      <rPr>
        <sz val="12"/>
        <rFont val="Bookman Old Style"/>
        <family val="1"/>
        <charset val="204"/>
      </rPr>
      <t xml:space="preserve">(ширина изделий до </t>
    </r>
    <r>
      <rPr>
        <b/>
        <sz val="12"/>
        <rFont val="Bookman Old Style"/>
        <family val="1"/>
        <charset val="204"/>
      </rPr>
      <t>1,70 м</t>
    </r>
    <r>
      <rPr>
        <sz val="12"/>
        <rFont val="Bookman Old Style"/>
        <family val="1"/>
        <charset val="204"/>
      </rPr>
      <t xml:space="preserve">, изготавливаются на трубе </t>
    </r>
    <r>
      <rPr>
        <b/>
        <sz val="12"/>
        <rFont val="Bookman Old Style"/>
        <family val="1"/>
        <charset val="204"/>
      </rPr>
      <t>26 мм</t>
    </r>
    <r>
      <rPr>
        <sz val="12"/>
        <rFont val="Bookman Old Style"/>
        <family val="1"/>
        <charset val="204"/>
      </rPr>
      <t>)</t>
    </r>
  </si>
  <si>
    <t xml:space="preserve"> - фиксация нижней планки с помощью магнитов</t>
  </si>
  <si>
    <t>СТАНДАРТ</t>
  </si>
  <si>
    <t>АЛЮМИНЕВЫЕ 16 мм</t>
  </si>
  <si>
    <t>АЛЮМИНЕВЫЕ 25 мм</t>
  </si>
  <si>
    <t>ДЕРЕВЯННЫЕ 25 мм</t>
  </si>
  <si>
    <t>БАМБУКОВЫЕ 25 мм</t>
  </si>
  <si>
    <t>»</t>
  </si>
  <si>
    <t>ТКАНЕВЫЕ 89 мм</t>
  </si>
  <si>
    <t>ПЛАСТИКОВЫЕ 89 мм</t>
  </si>
  <si>
    <t>АЛЮМИНИВЫЕ 89 мм</t>
  </si>
  <si>
    <t xml:space="preserve">МУЛЬТИФАКТУРНЫЕ 89 мм </t>
  </si>
  <si>
    <t>ГОТОВЫЕ (фикс. размеров)</t>
  </si>
  <si>
    <t xml:space="preserve">КОМБО УНИ-2 (ламинация) </t>
  </si>
  <si>
    <t xml:space="preserve"> - Минимально допустимые размеры: ширина 30 см, высота 30 см</t>
  </si>
  <si>
    <t>Тафетта</t>
  </si>
  <si>
    <r>
      <rPr>
        <b/>
        <sz val="10"/>
        <color indexed="53"/>
        <rFont val="Times New Roman"/>
        <family val="1"/>
        <charset val="204"/>
      </rPr>
      <t>*</t>
    </r>
    <r>
      <rPr>
        <b/>
        <sz val="10"/>
        <rFont val="Times New Roman"/>
        <family val="1"/>
        <charset val="204"/>
      </rPr>
      <t xml:space="preserve"> Система  УНИ-1 уменьшает видимую величину стекла сверху на 6 см по краям на 2 см </t>
    </r>
  </si>
  <si>
    <t>Горизонтальные алюминиевые 25 мм</t>
  </si>
  <si>
    <r>
      <t xml:space="preserve">Миникассетные рулонные жалюзи "МИНИ"                                                                                           </t>
    </r>
    <r>
      <rPr>
        <sz val="12"/>
        <rFont val="Times New Roman"/>
        <family val="1"/>
        <charset val="204"/>
      </rPr>
      <t xml:space="preserve">(изготавливаются на трубе </t>
    </r>
    <r>
      <rPr>
        <b/>
        <sz val="12"/>
        <rFont val="Times New Roman"/>
        <family val="1"/>
        <charset val="204"/>
      </rPr>
      <t>19 мм</t>
    </r>
    <r>
      <rPr>
        <sz val="12"/>
        <rFont val="Times New Roman"/>
        <family val="1"/>
        <charset val="204"/>
      </rPr>
      <t>)</t>
    </r>
  </si>
  <si>
    <r>
      <rPr>
        <b/>
        <sz val="10"/>
        <color indexed="53"/>
        <rFont val="Times New Roman"/>
        <family val="1"/>
        <charset val="204"/>
      </rPr>
      <t>*</t>
    </r>
    <r>
      <rPr>
        <b/>
        <sz val="10"/>
        <rFont val="Times New Roman"/>
        <family val="1"/>
        <charset val="204"/>
      </rPr>
      <t xml:space="preserve"> Система  УНИ-2 не уменьшает видимую величину стекла.</t>
    </r>
  </si>
  <si>
    <r>
      <t>ЗАМЕНА ТКАНИ для рулонных жалюзи</t>
    </r>
    <r>
      <rPr>
        <b/>
        <sz val="11"/>
        <color indexed="53"/>
        <rFont val="Times New Roman"/>
        <family val="1"/>
        <charset val="204"/>
      </rPr>
      <t>*</t>
    </r>
  </si>
  <si>
    <t>*механизм управления правый</t>
  </si>
  <si>
    <t>ШИРИНА, м</t>
  </si>
  <si>
    <t>*Цвет нижнего утяжелителя: белый, коричневый, черный, анодированный, золото, патина, сатина.</t>
  </si>
  <si>
    <t>*Максимально возможные размеры изделий приведены в ТАБЛИЦЕ</t>
  </si>
  <si>
    <t xml:space="preserve"> - Максимально допустимые размеры изделия приведены в ТАБЛИЦЕ</t>
  </si>
  <si>
    <t>*Максимально допустимые размеры изделия приведены в ТАБЛИЦЕ</t>
  </si>
  <si>
    <t>*Для всех видов материи минимально допустимая ширина 30 см.</t>
  </si>
  <si>
    <t>*Дополнительные бесплатные опции :</t>
  </si>
  <si>
    <t>*Способ крепления:  металлические клипсы, пластиковые кронштейны без сверления (открывающиеся створки)</t>
  </si>
  <si>
    <t>*Минимальная ширина изделий - 0,30 м</t>
  </si>
  <si>
    <t>*Кассета и П-образные направляющие - алюминиевые</t>
  </si>
  <si>
    <t>*Способ крепления: саморезы, скотч</t>
  </si>
  <si>
    <t>*Фурнитура алюминиевая</t>
  </si>
  <si>
    <t>Комбо Уни-2 (ламинация)</t>
  </si>
  <si>
    <t>*высота указана с учетом 2 слоя</t>
  </si>
  <si>
    <t>16 мм</t>
  </si>
  <si>
    <t>ГОТОВЫЕ горизонтальные жалюзи</t>
  </si>
  <si>
    <t>*крепление универсальное (потолок, стена)</t>
  </si>
  <si>
    <t>*высота 160 см</t>
  </si>
  <si>
    <t>100, 23,            56, 17</t>
  </si>
  <si>
    <t>Ширина    ламели</t>
  </si>
  <si>
    <t>* - Комбинация цвета, наценка 50%</t>
  </si>
  <si>
    <t>* - Комбинация цвета. Наценка 50%</t>
  </si>
  <si>
    <t>Вертикальные пластиковые 89 мм:</t>
  </si>
  <si>
    <t>Вертикальные алюминиевые 89 мм:</t>
  </si>
  <si>
    <t>Мультифактурные жалюзи 89 мм:</t>
  </si>
  <si>
    <r>
      <t>Грувер</t>
    </r>
    <r>
      <rPr>
        <sz val="8"/>
        <rFont val="Times New Roman"/>
        <family val="1"/>
        <charset val="204"/>
      </rPr>
      <t xml:space="preserve"> </t>
    </r>
    <r>
      <rPr>
        <sz val="9"/>
        <rFont val="Times New Roman"/>
        <family val="1"/>
        <charset val="204"/>
      </rPr>
      <t>(закрывает только лицевую часть карниза)</t>
    </r>
  </si>
  <si>
    <t>в комплект входит декоративная панель</t>
  </si>
  <si>
    <t>С грувером до конца ламели:</t>
  </si>
  <si>
    <r>
      <t>Пластик  (ценовая категория до 25,2$/м</t>
    </r>
    <r>
      <rPr>
        <vertAlign val="superscript"/>
        <sz val="11"/>
        <rFont val="Times New Roman"/>
        <family val="1"/>
        <charset val="204"/>
      </rPr>
      <t>2</t>
    </r>
    <r>
      <rPr>
        <sz val="11"/>
        <rFont val="Times New Roman"/>
        <family val="1"/>
        <charset val="204"/>
      </rPr>
      <t>)*</t>
    </r>
  </si>
  <si>
    <t>Мультифактурные "Home Desing" по эскизу заказчика (1-2 сл. пластика)</t>
  </si>
  <si>
    <t>Мультифактурные "Home Desing" по эскизу заказчика (3-4 сл. пластика)</t>
  </si>
  <si>
    <t>Мультифактурные по эскизу заказчика                  (3-4 сл. пластика)</t>
  </si>
  <si>
    <t>Мультифактурные по эскизу заказчика                  (1-2 сл. пластика)</t>
  </si>
  <si>
    <t>Мультифактурные (стандартные модели)</t>
  </si>
  <si>
    <t>Мультифактурные "Home Desing" (стандартные модели)</t>
  </si>
  <si>
    <r>
      <t xml:space="preserve"> - При расчете стоимости изделия высотой менее 1 м</t>
    </r>
    <r>
      <rPr>
        <b/>
        <vertAlign val="superscript"/>
        <sz val="10"/>
        <rFont val="Times New Roman"/>
        <family val="1"/>
        <charset val="204"/>
      </rPr>
      <t>,</t>
    </r>
    <r>
      <rPr>
        <b/>
        <sz val="10"/>
        <rFont val="Times New Roman"/>
        <family val="1"/>
        <charset val="204"/>
      </rPr>
      <t xml:space="preserve"> высота округляется до 1 м.</t>
    </r>
  </si>
  <si>
    <r>
      <t xml:space="preserve"> - При расчете стоимости изделия площадью менее 1 м</t>
    </r>
    <r>
      <rPr>
        <b/>
        <vertAlign val="superscript"/>
        <sz val="10"/>
        <rFont val="Times New Roman"/>
        <family val="1"/>
        <charset val="204"/>
      </rPr>
      <t>2,</t>
    </r>
    <r>
      <rPr>
        <b/>
        <sz val="10"/>
        <rFont val="Times New Roman"/>
        <family val="1"/>
        <charset val="204"/>
      </rPr>
      <t xml:space="preserve"> площадь округляется до 1 м</t>
    </r>
    <r>
      <rPr>
        <b/>
        <vertAlign val="superscript"/>
        <sz val="10"/>
        <rFont val="Times New Roman"/>
        <family val="1"/>
        <charset val="204"/>
      </rPr>
      <t>2</t>
    </r>
    <r>
      <rPr>
        <b/>
        <sz val="10"/>
        <rFont val="Times New Roman"/>
        <family val="1"/>
        <charset val="204"/>
      </rPr>
      <t>.</t>
    </r>
  </si>
  <si>
    <t>Ламели тканевые 89 мм:</t>
  </si>
  <si>
    <t>Ламели алюминиевые 89 мм:</t>
  </si>
  <si>
    <t xml:space="preserve">    Универсальная  солнцезащитная система горизонтальных жалюзи                                                                                           для мансардных окон VELUX, FAKRO, ROTO.</t>
  </si>
  <si>
    <t xml:space="preserve">772082, 772083, 772085, 772091, 772093, 772095, 772098; </t>
  </si>
  <si>
    <r>
      <t xml:space="preserve">ВЫСОТА (мм)          </t>
    </r>
    <r>
      <rPr>
        <b/>
        <vertAlign val="superscript"/>
        <sz val="10"/>
        <rFont val="Tahoma"/>
        <family val="2"/>
        <charset val="204"/>
      </rPr>
      <t>ШИРИНА (мм)</t>
    </r>
  </si>
  <si>
    <r>
      <t>ЛЕНТА:</t>
    </r>
    <r>
      <rPr>
        <sz val="11"/>
        <rFont val="Times New Roman"/>
        <family val="1"/>
        <charset val="204"/>
      </rPr>
      <t xml:space="preserve"> только 25 мм</t>
    </r>
  </si>
  <si>
    <r>
      <t>В-ЛАЙТ</t>
    </r>
    <r>
      <rPr>
        <b/>
        <sz val="18"/>
        <color indexed="53"/>
        <rFont val="Bookman Old Style"/>
        <family val="1"/>
        <charset val="204"/>
      </rPr>
      <t>*</t>
    </r>
  </si>
  <si>
    <t>Венера</t>
  </si>
  <si>
    <t>В тех случаях когда невозможно установить систему УНИ-1 (глубина штапика менее 8 мм или штапик сложной формы) рекомендуется использовать систему УНИ – 2. Она сделана на базе системы УНИ-1,  лишь добавляется плитка подкладочная под короб глубиной 12 мм  и используются п – образные направляющие.</t>
  </si>
  <si>
    <t>Замена рулонной ткани</t>
  </si>
  <si>
    <t>Замена материала для верт. жалюзи</t>
  </si>
  <si>
    <t>*Минимальная ширина - 0,30 м.</t>
  </si>
  <si>
    <t>Электроуправление для вертикальных жалюзи</t>
  </si>
  <si>
    <t>Электроуправление для горизонтальных алюминиевых жалюзи</t>
  </si>
  <si>
    <r>
      <rPr>
        <b/>
        <sz val="12"/>
        <rFont val="Cooper Black"/>
        <family val="1"/>
      </rPr>
      <t>50</t>
    </r>
    <r>
      <rPr>
        <b/>
        <sz val="12"/>
        <rFont val="Times New Roman"/>
        <family val="1"/>
        <charset val="204"/>
      </rPr>
      <t xml:space="preserve"> мм </t>
    </r>
  </si>
  <si>
    <t>Электроуправление для римских штор</t>
  </si>
  <si>
    <t>Привод</t>
  </si>
  <si>
    <r>
      <t xml:space="preserve">Электроуправление для рулонных жалюзи </t>
    </r>
    <r>
      <rPr>
        <u/>
        <sz val="14"/>
        <rFont val="Bookman Old Style"/>
        <family val="1"/>
        <charset val="204"/>
      </rPr>
      <t>"</t>
    </r>
    <r>
      <rPr>
        <b/>
        <u/>
        <sz val="14"/>
        <rFont val="Bookman Old Style"/>
        <family val="1"/>
        <charset val="204"/>
      </rPr>
      <t>СТАНДАРТ"</t>
    </r>
  </si>
  <si>
    <t>Варианты электроприводов для рулонных жалюзи "СТАНДАРТ"</t>
  </si>
  <si>
    <t>Тип изделия</t>
  </si>
  <si>
    <t>Варианты электроприводов для горизонтальных жалюзи</t>
  </si>
  <si>
    <t>Электроуправление для горизонтальных                                                                                        деревянных и бамбуковых жалюзи</t>
  </si>
  <si>
    <t>Варианты управления для горизонтальных жалюзи с электроприводом</t>
  </si>
  <si>
    <t>Ограничения по размерам                                                                                                  для горизонтальных жалюзи с электроприводом</t>
  </si>
  <si>
    <t>Варианты электроприводов для вертикальных жалюзи</t>
  </si>
  <si>
    <t>Ограничения по размерам                                                                                                  для вертикальных жалюзи с электроприводом</t>
  </si>
  <si>
    <t>Варианты управления для вертикальных жалюзи с электроприводом</t>
  </si>
  <si>
    <t>на готовую продукцию</t>
  </si>
  <si>
    <t>http://gamma-i.ru/</t>
  </si>
  <si>
    <t>Рекламная продукция</t>
  </si>
  <si>
    <t>В-ЛАЙТ (для мансардных окон)</t>
  </si>
  <si>
    <t>КОМБО УНИ-2 (белая фур-ра)</t>
  </si>
  <si>
    <r>
      <t>1.</t>
    </r>
    <r>
      <rPr>
        <b/>
        <sz val="12"/>
        <rFont val="Times New Roman"/>
        <family val="1"/>
        <charset val="204"/>
      </rPr>
      <t xml:space="preserve">     </t>
    </r>
    <r>
      <rPr>
        <b/>
        <sz val="12"/>
        <rFont val="Book Antiqua"/>
        <family val="1"/>
        <charset val="204"/>
      </rPr>
      <t>ЖАЛЮЗИ ВЕРТИКАЛЬНЫЕ:</t>
    </r>
  </si>
  <si>
    <r>
      <t>2.</t>
    </r>
    <r>
      <rPr>
        <b/>
        <sz val="12"/>
        <rFont val="Times New Roman"/>
        <family val="1"/>
        <charset val="204"/>
      </rPr>
      <t xml:space="preserve">     </t>
    </r>
    <r>
      <rPr>
        <b/>
        <sz val="12"/>
        <rFont val="Book Antiqua"/>
        <family val="1"/>
        <charset val="204"/>
      </rPr>
      <t>ЖАЛЮЗИ ГОРИЗОНТАЛЬНЫЕ алюминиевые:</t>
    </r>
  </si>
  <si>
    <r>
      <t>3.</t>
    </r>
    <r>
      <rPr>
        <b/>
        <sz val="12"/>
        <rFont val="Times New Roman"/>
        <family val="1"/>
        <charset val="204"/>
      </rPr>
      <t xml:space="preserve">     </t>
    </r>
    <r>
      <rPr>
        <b/>
        <sz val="12"/>
        <rFont val="Book Antiqua"/>
        <family val="1"/>
        <charset val="204"/>
      </rPr>
      <t>ЖАЛЮЗИ ГОРИЗОНТАЛЬНЫЕ дерево/бамбук:</t>
    </r>
  </si>
  <si>
    <r>
      <t>4.</t>
    </r>
    <r>
      <rPr>
        <b/>
        <sz val="12"/>
        <rFont val="Times New Roman"/>
        <family val="1"/>
        <charset val="204"/>
      </rPr>
      <t xml:space="preserve">     </t>
    </r>
    <r>
      <rPr>
        <b/>
        <sz val="12"/>
        <rFont val="Book Antiqua"/>
        <family val="1"/>
        <charset val="204"/>
      </rPr>
      <t>ЖАЛЮЗИ ГОРИЗОНТАЛЬНЫЕ для окон ПВХ</t>
    </r>
  </si>
  <si>
    <r>
      <t>6.</t>
    </r>
    <r>
      <rPr>
        <b/>
        <sz val="12"/>
        <rFont val="Times New Roman"/>
        <family val="1"/>
        <charset val="204"/>
      </rPr>
      <t xml:space="preserve">     </t>
    </r>
    <r>
      <rPr>
        <b/>
        <sz val="12"/>
        <rFont val="Book Antiqua"/>
        <family val="1"/>
        <charset val="204"/>
      </rPr>
      <t>РУЛОННЫЕ ЖАЛЮЗИ:</t>
    </r>
  </si>
  <si>
    <r>
      <t>7.</t>
    </r>
    <r>
      <rPr>
        <b/>
        <sz val="12"/>
        <rFont val="Times New Roman"/>
        <family val="1"/>
        <charset val="204"/>
      </rPr>
      <t xml:space="preserve">     </t>
    </r>
    <r>
      <rPr>
        <b/>
        <sz val="12"/>
        <rFont val="Book Antiqua"/>
        <family val="1"/>
        <charset val="204"/>
      </rPr>
      <t>РУЛОННЫЕ ЖАЛЮЗИ для окон ПВХ:</t>
    </r>
  </si>
  <si>
    <t xml:space="preserve">               8.     КОМБО</t>
  </si>
  <si>
    <t xml:space="preserve">    9.     КОМБО для окон ПВХ:</t>
  </si>
  <si>
    <t>Ограничения по размерам                                                                                                  для римских штор с электроприводом</t>
  </si>
  <si>
    <t xml:space="preserve">Цены в прайсах указаны в у.е. </t>
  </si>
  <si>
    <t>Чтобы перевести цены в прайсе в рубли, Вам нужно подставить значение курса в ячейку справа от ячейки "КУРС У.Е."</t>
  </si>
  <si>
    <r>
      <t xml:space="preserve">Если Вы хотите увеличить цену на товар </t>
    </r>
    <r>
      <rPr>
        <b/>
        <u/>
        <sz val="10"/>
        <rFont val="Arial Cyr"/>
        <charset val="204"/>
      </rPr>
      <t>НА</t>
    </r>
    <r>
      <rPr>
        <sz val="10"/>
        <rFont val="Arial Cyr"/>
        <charset val="204"/>
      </rPr>
      <t xml:space="preserve"> определенную сумму - "N", то Вам необходимо в таблице напротив нужного вида изделия в столбце зеленого цвета вместо цифры "0" проставить цифру равную увеличению "N".</t>
    </r>
  </si>
  <si>
    <r>
      <t>Вертикальные тканевые жалюзи 89 мм</t>
    </r>
    <r>
      <rPr>
        <b/>
        <sz val="12"/>
        <rFont val="Bookman Old Style"/>
        <family val="1"/>
        <charset val="204"/>
      </rPr>
      <t>:</t>
    </r>
  </si>
  <si>
    <t>Вертикальные жалюзи нестандартной формы:</t>
  </si>
  <si>
    <t>+20% к стоимости изделия</t>
  </si>
  <si>
    <r>
      <rPr>
        <b/>
        <sz val="11"/>
        <rFont val="Times New Roman"/>
        <family val="1"/>
        <charset val="204"/>
      </rPr>
      <t>Арка</t>
    </r>
    <r>
      <rPr>
        <sz val="11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(расчитываются по большей высоте)</t>
    </r>
  </si>
  <si>
    <r>
      <rPr>
        <b/>
        <sz val="11"/>
        <rFont val="Times New Roman"/>
        <family val="1"/>
        <charset val="204"/>
      </rPr>
      <t>Наклонные</t>
    </r>
    <r>
      <rPr>
        <sz val="10"/>
        <rFont val="Times New Roman"/>
        <family val="1"/>
        <charset val="204"/>
      </rPr>
      <t xml:space="preserve"> (расчитываются по большей ширине и высоте)</t>
    </r>
  </si>
  <si>
    <r>
      <t>Ламели пластиковые 89 мм</t>
    </r>
    <r>
      <rPr>
        <b/>
        <sz val="12"/>
        <color indexed="53"/>
        <rFont val="Bookman Old Style"/>
        <family val="1"/>
        <charset val="204"/>
      </rPr>
      <t>*</t>
    </r>
    <r>
      <rPr>
        <b/>
        <sz val="12"/>
        <rFont val="Bookman Old Style"/>
        <family val="1"/>
        <charset val="204"/>
      </rPr>
      <t>:</t>
    </r>
  </si>
  <si>
    <r>
      <t xml:space="preserve">* </t>
    </r>
    <r>
      <rPr>
        <sz val="10"/>
        <rFont val="Times New Roman"/>
        <family val="1"/>
        <charset val="204"/>
      </rPr>
      <t>по умолчанию изготавливаются без нижней пробивки и цепочки</t>
    </r>
  </si>
  <si>
    <t>ЗАМЕНА ткани, пластика                                                                                для вертикальных жалюзи</t>
  </si>
  <si>
    <t xml:space="preserve">               При расчете замены ламелей высотой менее 1 м, высота ламели округляется до 1 м.</t>
  </si>
  <si>
    <t>Для изделий 16 и 25 мм шириной менее 40,5 см прут и веревка управления расположены с разных сторон изделия (управление в данном случае считается по расположению прута управления)</t>
  </si>
  <si>
    <t>Для жалюзи 50 мм элементы управления на подъем и поворот расположены с разных сторон изделия. Управление считается по стороне расположения веревки для поворота ламелей.</t>
  </si>
  <si>
    <t xml:space="preserve"> - крепление без сверления на скотч (по умолчанию - крепление на саморезы)</t>
  </si>
  <si>
    <t xml:space="preserve"> - крепление без сверления на навесные кронштейны (по умолчанию нерегулируемые)</t>
  </si>
  <si>
    <t xml:space="preserve"> - боковая фиксация с помощью лески (по умолчанию нижние кронштейны - металлические)</t>
  </si>
  <si>
    <t>Цвет фурнитуры: белый (по умолчанию), коричневый.</t>
  </si>
  <si>
    <t>При расчете ширина и высота округляются в большую сторону.</t>
  </si>
  <si>
    <r>
      <t xml:space="preserve">Если Вы хотите увеличить цену на товар </t>
    </r>
    <r>
      <rPr>
        <b/>
        <u/>
        <sz val="10"/>
        <rFont val="Arial Cyr"/>
        <charset val="204"/>
      </rPr>
      <t>В</t>
    </r>
    <r>
      <rPr>
        <sz val="10"/>
        <rFont val="Arial Cyr"/>
        <charset val="204"/>
      </rPr>
      <t xml:space="preserve"> "N" кол-во раз, то Вам необходимо в таблице напротив нужного вида изделия в столбце желтого цвета вместо заданной цифры проставить цифру равную увеличению "N".</t>
    </r>
  </si>
  <si>
    <t>Электроуправление для рулонных жалюзи Уни-2</t>
  </si>
  <si>
    <t>Варианты электроприводов для рулонных жалюзи Уни-2</t>
  </si>
  <si>
    <t>Электроуправление для КОМБО Уни-2</t>
  </si>
  <si>
    <t>Варианты электроприводов для КОМБО Уни-2</t>
  </si>
  <si>
    <t>Варианты управления КОМБО Уни-2 с электроприводом</t>
  </si>
  <si>
    <t>Ткани КОМБО по категориям</t>
  </si>
  <si>
    <t>Форли</t>
  </si>
  <si>
    <t>Неаполь</t>
  </si>
  <si>
    <t>Палермо</t>
  </si>
  <si>
    <t>1 категория</t>
  </si>
  <si>
    <t>2 категория</t>
  </si>
  <si>
    <t>Уни-2</t>
  </si>
  <si>
    <t>Р-ЛАЙТ</t>
  </si>
  <si>
    <t>3 категория</t>
  </si>
  <si>
    <t>4 категория</t>
  </si>
  <si>
    <t>5 категория</t>
  </si>
  <si>
    <t>Миникассетные рулонные жалюзи для мансардных окон VELUX, FAKRO, ROTO.</t>
  </si>
  <si>
    <t>Ткани рулонные по категориям</t>
  </si>
  <si>
    <t>10, 13, 15, 16, 20, 22, 23, 24</t>
  </si>
  <si>
    <t>Цвет фурнитуры: бежевый, серебро</t>
  </si>
  <si>
    <t>у.е./шт.</t>
  </si>
  <si>
    <t>1,0 м -</t>
  </si>
  <si>
    <t>1,5 м -</t>
  </si>
  <si>
    <t>2,0 м -</t>
  </si>
  <si>
    <t>КОМБО В-52 ЛЮКС (на трубе 42 мм)</t>
  </si>
  <si>
    <t>В-52 Стандарт</t>
  </si>
  <si>
    <t>В-52 Люкс</t>
  </si>
  <si>
    <t>КОМБО В-52 Стандарт (на трубе 26 мм)</t>
  </si>
  <si>
    <t>КОМБО В-52 Люкс</t>
  </si>
  <si>
    <t>Латина</t>
  </si>
  <si>
    <t>Монца</t>
  </si>
  <si>
    <t>Реджина</t>
  </si>
  <si>
    <t>Равенна</t>
  </si>
  <si>
    <t>Модена</t>
  </si>
  <si>
    <t>Римини</t>
  </si>
  <si>
    <t>Сицилия</t>
  </si>
  <si>
    <t>Верона</t>
  </si>
  <si>
    <t>Салерно</t>
  </si>
  <si>
    <t>Лацио</t>
  </si>
  <si>
    <t>Новара</t>
  </si>
  <si>
    <r>
      <t>Миникассетные рулонные жалюзи УНИ - 1 ламинация</t>
    </r>
    <r>
      <rPr>
        <b/>
        <sz val="13"/>
        <color indexed="53"/>
        <rFont val="Bookman Old Style"/>
        <family val="1"/>
        <charset val="204"/>
      </rPr>
      <t>*</t>
    </r>
  </si>
  <si>
    <t>УНИ-1 ламинация</t>
  </si>
  <si>
    <t>УНИ-2 ламинация</t>
  </si>
  <si>
    <t>Уни-1 ламинацмя</t>
  </si>
  <si>
    <t>Уни-2 ламинация</t>
  </si>
  <si>
    <t>Миникассетные рулонные жалюзи УНИ - 2 (ламинация)</t>
  </si>
  <si>
    <t>Респект блэкаут</t>
  </si>
  <si>
    <t>Изготовление изделия уни-2 с пружинным механизмом возможно только с белой фурнитурой.</t>
  </si>
  <si>
    <t>Минимально допустимые размеры для изделия уни-2 с пружинным механизмом: ширина 39 см, высота 33 см</t>
  </si>
  <si>
    <t>Комплектация для римских штор</t>
  </si>
  <si>
    <t>0.6</t>
  </si>
  <si>
    <t>Ширина, м</t>
  </si>
  <si>
    <t>Высота, м</t>
  </si>
  <si>
    <t xml:space="preserve"> -</t>
  </si>
  <si>
    <t>На подъемные механизмы используются пластиковые бесконечные цепи</t>
  </si>
  <si>
    <t>*в комплект входит:</t>
  </si>
  <si>
    <t>Рабочие блоки с веревкой (по 1 шт. на каждый 40 см ширины)</t>
  </si>
  <si>
    <t>Кольца стопорные (по кол-ву рабочих блоков* (кол-во стержней + 1))</t>
  </si>
  <si>
    <t>Стержни соломка стекловолокно, 4мм (по 1 шт на каждые 25 см высоты)</t>
  </si>
  <si>
    <t>мин.</t>
  </si>
  <si>
    <t>ширина, м</t>
  </si>
  <si>
    <t>высота,м</t>
  </si>
  <si>
    <r>
      <t>Цена /                   у.е. за 1м</t>
    </r>
    <r>
      <rPr>
        <b/>
        <vertAlign val="superscript"/>
        <sz val="12"/>
        <rFont val="Times New Roman"/>
        <family val="1"/>
        <charset val="204"/>
      </rPr>
      <t>2</t>
    </r>
    <r>
      <rPr>
        <b/>
        <sz val="12"/>
        <rFont val="Times New Roman"/>
        <family val="1"/>
        <charset val="204"/>
      </rPr>
      <t xml:space="preserve"> </t>
    </r>
  </si>
  <si>
    <t>Римские шторы (без карниза, стержней и утяжелителя)</t>
  </si>
  <si>
    <t>Стержни соломка стекловолокно, 4 мм (у.е./м п.)*</t>
  </si>
  <si>
    <t>Лэйси</t>
  </si>
  <si>
    <t>Смуги</t>
  </si>
  <si>
    <t>Стамбул</t>
  </si>
  <si>
    <t>Лэйси блэкаут</t>
  </si>
  <si>
    <t>Сейшелы</t>
  </si>
  <si>
    <t>Смуги блэкаут</t>
  </si>
  <si>
    <t>Варианты управления для рулонных жалюзи "СТАНДАРТ" с электроприводом</t>
  </si>
  <si>
    <t xml:space="preserve"> - При использовании металлической фурнитуры стоимость изделия увеличивается на</t>
  </si>
  <si>
    <r>
      <t>у.е./ м</t>
    </r>
    <r>
      <rPr>
        <b/>
        <vertAlign val="superscript"/>
        <sz val="10"/>
        <rFont val="Times New Roman"/>
        <family val="1"/>
        <charset val="204"/>
      </rPr>
      <t>2</t>
    </r>
  </si>
  <si>
    <t>Дополнительные опции</t>
  </si>
  <si>
    <t>Цена</t>
  </si>
  <si>
    <t>Декоративная панель для 25 мм  у.е./м.п.</t>
  </si>
  <si>
    <r>
      <t>Управление  МЕЙДЖИК  у.е/м</t>
    </r>
    <r>
      <rPr>
        <b/>
        <vertAlign val="superscript"/>
        <sz val="10"/>
        <rFont val="Times New Roman"/>
        <family val="1"/>
        <charset val="204"/>
      </rPr>
      <t xml:space="preserve">2 </t>
    </r>
    <r>
      <rPr>
        <b/>
        <sz val="10"/>
        <rFont val="Times New Roman"/>
        <family val="1"/>
        <charset val="204"/>
      </rPr>
      <t>(возможно изготовить при ширине изделия не менее 50 см)</t>
    </r>
  </si>
  <si>
    <t>Фиксатор нижней планки (ФНП) - у.е. / комплект</t>
  </si>
  <si>
    <t>Фиксатор палочки управления - у.е. / шт.</t>
  </si>
  <si>
    <r>
      <t>Исполнение PRAVISI - у.е./м</t>
    </r>
    <r>
      <rPr>
        <b/>
        <vertAlign val="superscript"/>
        <sz val="10"/>
        <rFont val="Times New Roman"/>
        <family val="1"/>
        <charset val="204"/>
      </rPr>
      <t xml:space="preserve">2 </t>
    </r>
    <r>
      <rPr>
        <b/>
        <sz val="10"/>
        <rFont val="Times New Roman"/>
        <family val="1"/>
        <charset val="204"/>
      </rPr>
      <t>(пробивка ламелей выполнена таким образом, что отверстие нижней ламели перекрыто верхней ламелью, как у "Изолайт",  только для 25 мм изделий)</t>
    </r>
  </si>
  <si>
    <t>* Усиленный механизм для системы "Изолайт"</t>
  </si>
  <si>
    <t>у.е./м.п.</t>
  </si>
  <si>
    <t>Карнизная система ЛЮКС, у.е./м.п.</t>
  </si>
  <si>
    <t xml:space="preserve">Пружина+ручное управления </t>
  </si>
  <si>
    <t xml:space="preserve">410 мм,                      у.е./шт. </t>
  </si>
  <si>
    <t>Наличие пружинного механизма увеличивает стоимость изделия на</t>
  </si>
  <si>
    <t>Категория ткани/                                                                                       Вид изделия</t>
  </si>
  <si>
    <t>Скрин 5%</t>
  </si>
  <si>
    <t>Скрин 1%</t>
  </si>
  <si>
    <t>Скрин 3%</t>
  </si>
  <si>
    <t>Нельзя изготовить</t>
  </si>
  <si>
    <t>Максимально возможная                                           высота до 0,70м</t>
  </si>
  <si>
    <t>Максимально возможная                                           высота до 1,00м</t>
  </si>
  <si>
    <t>Максимально возможная                                           высота до 1,36м</t>
  </si>
  <si>
    <t>Карина б/а</t>
  </si>
  <si>
    <t xml:space="preserve"> </t>
  </si>
  <si>
    <t>Клаудиа блекаут</t>
  </si>
  <si>
    <t>Камила</t>
  </si>
  <si>
    <t>Раита натурал димоут</t>
  </si>
  <si>
    <t>Орнамент блэкаут</t>
  </si>
  <si>
    <t>Рябина бежевый</t>
  </si>
  <si>
    <t>Савония бейж</t>
  </si>
  <si>
    <t xml:space="preserve">Шелк </t>
  </si>
  <si>
    <t>у.е/шт</t>
  </si>
  <si>
    <t>Миникассетные рулонные жалюзи УНИ-2</t>
  </si>
  <si>
    <t>Миникассетные рулонные жалюзи УНИ-1</t>
  </si>
  <si>
    <t>УНИ-2</t>
  </si>
  <si>
    <t>УНИ-1</t>
  </si>
  <si>
    <r>
      <rPr>
        <b/>
        <sz val="10"/>
        <color indexed="53"/>
        <rFont val="Times New Roman"/>
        <family val="1"/>
        <charset val="204"/>
      </rPr>
      <t>*</t>
    </r>
    <r>
      <rPr>
        <b/>
        <sz val="10"/>
        <rFont val="Times New Roman"/>
        <family val="1"/>
        <charset val="204"/>
      </rPr>
      <t xml:space="preserve"> При расчете ширина и высота округляются в большую сторону.</t>
    </r>
  </si>
  <si>
    <t>Карина блэкаут</t>
  </si>
  <si>
    <t>Переносной стенд-образец Р-лайт/В-лайт</t>
  </si>
  <si>
    <t>Переносной стенд-образец рулонные шторы</t>
  </si>
  <si>
    <t>Коллекция «КИС»</t>
  </si>
  <si>
    <t>Адель</t>
  </si>
  <si>
    <t>Астрид</t>
  </si>
  <si>
    <t>Бруклин</t>
  </si>
  <si>
    <t>Каир</t>
  </si>
  <si>
    <t>Каприз</t>
  </si>
  <si>
    <t>Кельн</t>
  </si>
  <si>
    <t>Клио</t>
  </si>
  <si>
    <t>Лайн</t>
  </si>
  <si>
    <t>Магнолия</t>
  </si>
  <si>
    <t>Моран</t>
  </si>
  <si>
    <t>Ниагара</t>
  </si>
  <si>
    <t>Олимпик блэкаут</t>
  </si>
  <si>
    <t>Рейн</t>
  </si>
  <si>
    <t>Рита</t>
  </si>
  <si>
    <t>Сандра</t>
  </si>
  <si>
    <t>Сатурн</t>
  </si>
  <si>
    <t>Сиде</t>
  </si>
  <si>
    <t>Сиде блэкаут</t>
  </si>
  <si>
    <t>Тако</t>
  </si>
  <si>
    <t>Палома (3001-3035)</t>
  </si>
  <si>
    <t>Палома (3048-3051)</t>
  </si>
  <si>
    <t xml:space="preserve"> г. Москва, Б.Академическая, д. 44, к.1</t>
  </si>
  <si>
    <t>СКИДКА</t>
  </si>
  <si>
    <t>%</t>
  </si>
  <si>
    <t>Оливия</t>
  </si>
  <si>
    <t>Тэффи</t>
  </si>
  <si>
    <t>Скрин (5%)</t>
  </si>
  <si>
    <t>Скрин (1%)</t>
  </si>
  <si>
    <t>Скрин (3%)</t>
  </si>
  <si>
    <t>Гарантийные размеры миникассетных горизонтальных жалюзи</t>
  </si>
  <si>
    <t>ИЗОЛАЙТ</t>
  </si>
  <si>
    <t>ИСОТРА</t>
  </si>
  <si>
    <t>ИСОТРА ХИТ 2</t>
  </si>
  <si>
    <t>25мм</t>
  </si>
  <si>
    <t>16мм</t>
  </si>
  <si>
    <t>Минимальная ширина, см</t>
  </si>
  <si>
    <t>Максимальная ширина, см</t>
  </si>
  <si>
    <r>
      <t>Максимальная площадь, м</t>
    </r>
    <r>
      <rPr>
        <b/>
        <vertAlign val="superscript"/>
        <sz val="12"/>
        <rFont val="Calibri"/>
        <family val="2"/>
        <charset val="204"/>
      </rPr>
      <t>2</t>
    </r>
  </si>
  <si>
    <t>DV24DF 24B</t>
  </si>
  <si>
    <t>Пульт управления 1 канальный DC1600 белый</t>
  </si>
  <si>
    <t>Пульт управления 15 канальный DC1602 белый</t>
  </si>
  <si>
    <t>Настенный радиовыключатель 1 канальный DC1670 белый</t>
  </si>
  <si>
    <t>При расчете за изделие площадью менее 0,8м² площадь округляется до 0,8м².</t>
  </si>
  <si>
    <t>0 категория</t>
  </si>
  <si>
    <t>Для рулонных штор ЛЮКС, выполненных из тканей "блэкаут", максимально возможная ширина изделия равна 260 см. Шторы, шириной превышающей указанную, изготавливаются без гарантии и под ответственность заказчика.</t>
  </si>
  <si>
    <t>Аллегро перл</t>
  </si>
  <si>
    <t>Анже</t>
  </si>
  <si>
    <t>Анже блэкаут</t>
  </si>
  <si>
    <t>Атико блэкаут</t>
  </si>
  <si>
    <t>Витель</t>
  </si>
  <si>
    <t>Гэлакси</t>
  </si>
  <si>
    <t>Детские</t>
  </si>
  <si>
    <t>Корсо</t>
  </si>
  <si>
    <t>Корсо блэкаут</t>
  </si>
  <si>
    <t>Куба</t>
  </si>
  <si>
    <t>Шейд</t>
  </si>
  <si>
    <t>Эклипс</t>
  </si>
  <si>
    <t xml:space="preserve">Рулонные жалюзи ГРАНД </t>
  </si>
  <si>
    <t>При оформлении заказа необходимо указывать способ замера ширины изделия: по габаритам (по умолчанию) или по ткани.</t>
  </si>
  <si>
    <t>Рулонные жалюзи ГРАНД</t>
  </si>
  <si>
    <t>ГРАНД</t>
  </si>
  <si>
    <t>(диаметр трубы 61 мм / 47мм)</t>
  </si>
  <si>
    <t>Лигурия</t>
  </si>
  <si>
    <t>Альто</t>
  </si>
  <si>
    <t>Салерно 24</t>
  </si>
  <si>
    <t>Салерно 2201, 2202</t>
  </si>
  <si>
    <t>Настенный радиовыключатель 15-канальный DC1673 белый</t>
  </si>
  <si>
    <t>Электроуправление для рулонных жалюзи Мини</t>
  </si>
  <si>
    <t>Варианты управления для рулонных жалюзи Мини с электроприводом</t>
  </si>
  <si>
    <r>
      <t xml:space="preserve">Для трубы </t>
    </r>
    <r>
      <rPr>
        <b/>
        <sz val="12"/>
        <rFont val="Cooper Black"/>
        <family val="1"/>
      </rPr>
      <t>47 и 61</t>
    </r>
    <r>
      <rPr>
        <b/>
        <sz val="12"/>
        <rFont val="Times New Roman"/>
        <family val="1"/>
        <charset val="204"/>
      </rPr>
      <t xml:space="preserve"> мм</t>
    </r>
  </si>
  <si>
    <t>DK30DE</t>
  </si>
  <si>
    <t>DM35LE</t>
  </si>
  <si>
    <t>Латина                        1307, 1308</t>
  </si>
  <si>
    <t>Латина                      (остальные цвета)</t>
  </si>
  <si>
    <t xml:space="preserve"> Ограничения по размерам для изделий КОМБО с электроприводом</t>
  </si>
  <si>
    <t>высота max, м</t>
  </si>
  <si>
    <t xml:space="preserve">УНИ-2                        </t>
  </si>
  <si>
    <t>электропривод DM 16 LE</t>
  </si>
  <si>
    <t xml:space="preserve">В39                                                 </t>
  </si>
  <si>
    <t>электропривод DM 25 CE / DM 25 LE</t>
  </si>
  <si>
    <t>Палермо 13</t>
  </si>
  <si>
    <t>Палермо (остальные цвета)</t>
  </si>
  <si>
    <t>Цена       у.е./1 м.п.</t>
  </si>
  <si>
    <t>Магнитный фиксатор нижней планки (комплект) - у.е. / комплект</t>
  </si>
  <si>
    <t xml:space="preserve"> - комплект прямоугольных агнитов на скотч, белых - </t>
  </si>
  <si>
    <t>у.е./2 шт. (комплект)</t>
  </si>
  <si>
    <r>
      <t xml:space="preserve">Типы крепления для мансардных окон ПВХ                                                </t>
    </r>
    <r>
      <rPr>
        <b/>
        <sz val="10"/>
        <rFont val="Bookman Old Style"/>
        <family val="1"/>
        <charset val="204"/>
      </rPr>
      <t>*Минимальная гарантийная ширина с мансардной пробивкой                                                                    для 25 мм - 32,5 см, для 50 мм - 45см.</t>
    </r>
  </si>
  <si>
    <t>Для жалюзи 50 мм с мансардной пробивкой возможно использовать только крепления тип 1 и тип 4.</t>
  </si>
  <si>
    <t>Цена       у.е./1 м.п</t>
  </si>
  <si>
    <t>Комплектация для вертикальных жалюзи 89мм:</t>
  </si>
  <si>
    <t xml:space="preserve">Наименование   </t>
  </si>
  <si>
    <t>Ед. измерения</t>
  </si>
  <si>
    <t>Цена у.е.</t>
  </si>
  <si>
    <t>Грузик нижний 32г, 89мм</t>
  </si>
  <si>
    <t>Держатель ламели, 89мм</t>
  </si>
  <si>
    <t>Замок цепи управления, пластиковый, односоставный</t>
  </si>
  <si>
    <t>Крепление армстронг</t>
  </si>
  <si>
    <t>Кронштейн для грувера</t>
  </si>
  <si>
    <t>Кронштейн потолочный</t>
  </si>
  <si>
    <t>Кронштейн стеновой усиленный, 16см (белый)</t>
  </si>
  <si>
    <t>Кронштейн стеновой, 10см</t>
  </si>
  <si>
    <t>Кронштейн стеновой, 7.5см</t>
  </si>
  <si>
    <t>Спецламеледержатель для вертикальных жалюзи</t>
  </si>
  <si>
    <t>Удлинитель стеновых кронштейнов</t>
  </si>
  <si>
    <t>Цепь нижняя для вертикального пластика, металлическая</t>
  </si>
  <si>
    <t>Цепь нижняя, 89мм, металлическая для верт тканевых</t>
  </si>
  <si>
    <t>Цепь нижняя, 89мм, пластиковая, СК, стандарт</t>
  </si>
  <si>
    <t>шт</t>
  </si>
  <si>
    <t>м.п.</t>
  </si>
  <si>
    <t>Ручка, серебристая для управления межрамными жалюзи</t>
  </si>
  <si>
    <t>Брелок "Вертикальные алюминиевые жалюзи"</t>
  </si>
  <si>
    <t>Брелок "Вертикальные тканевые жалюзи "Стандарт"</t>
  </si>
  <si>
    <t>Брелок "Вертикальные тканевые жалюзи "Премиум"</t>
  </si>
  <si>
    <t>Мини-каталог "Рулонные шторы "Стандарт"</t>
  </si>
  <si>
    <t>Мини-каталог "Рулонные шторы "Премиум"</t>
  </si>
  <si>
    <t>Каталог "Шторы ПЛИССЕ"</t>
  </si>
  <si>
    <t>Каталог "Профиль и фурнитура для штор ПЛИССЕ"</t>
  </si>
  <si>
    <t>Каталог "КОМБО"</t>
  </si>
  <si>
    <t>Стойка малая (6 типов изделий)</t>
  </si>
  <si>
    <t>Стойка большая (12 типов изделий)</t>
  </si>
  <si>
    <t>Нарезка фурнитуры</t>
  </si>
  <si>
    <t>Нарезка фурнитуры "Изолайт"</t>
  </si>
  <si>
    <t>Нарезка фурнитуры "Уни"</t>
  </si>
  <si>
    <t>Нарезка фурнитуры "Комбо"</t>
  </si>
  <si>
    <t>Печатная продукция</t>
  </si>
  <si>
    <t>Брошюра "Мультифактурные жалюзи"</t>
  </si>
  <si>
    <t>Технический каталог "Карнизные системы"</t>
  </si>
  <si>
    <t>Брошюра "Dekoratio. Моторизованные системы"</t>
  </si>
  <si>
    <t>Технический каталог "Шторы ПЛИССЕ"</t>
  </si>
  <si>
    <t>Брошюра "Шторы ПЛИССЕ"</t>
  </si>
  <si>
    <t>Брошюра "Механизм ПРЕМИУМ"</t>
  </si>
  <si>
    <t>Уни-1</t>
  </si>
  <si>
    <t>Электро комбо</t>
  </si>
  <si>
    <t>Автоматика</t>
  </si>
  <si>
    <t>металл 1:1</t>
  </si>
  <si>
    <t>металл 1:3</t>
  </si>
  <si>
    <t xml:space="preserve">650 мм,                               у.е./шт. </t>
  </si>
  <si>
    <t xml:space="preserve"> белый пластик 1:1</t>
  </si>
  <si>
    <t>белый пластик 1:3</t>
  </si>
  <si>
    <t>пластик 1:1 (кроме белого)</t>
  </si>
  <si>
    <t>пластик 1:3 (кроме белого)</t>
  </si>
  <si>
    <t>**Цвета механизма ПРЕМИУМ пластик: белый, бежевый, антрацит, бронза, серый, черный</t>
  </si>
  <si>
    <t>**Механизм ПРЕМИУМ для трубы 42 мм, у.е./шт.</t>
  </si>
  <si>
    <t>**Цвета механизма ПРЕМИУМ металл: белый, алюминий, никель, латунь, сталь, хром</t>
  </si>
  <si>
    <t xml:space="preserve">Карниз «Компакт Премиум» с подъемным механизмом для римских штор </t>
  </si>
  <si>
    <r>
      <t xml:space="preserve">Для карниза </t>
    </r>
    <r>
      <rPr>
        <b/>
        <sz val="12"/>
        <rFont val="Times New Roman"/>
        <family val="1"/>
        <charset val="204"/>
      </rPr>
      <t>"Компакт Премиум"</t>
    </r>
  </si>
  <si>
    <t>ширина,м</t>
  </si>
  <si>
    <t>цена, у.е</t>
  </si>
  <si>
    <r>
      <rPr>
        <b/>
        <sz val="14"/>
        <rFont val="Book Antiqua"/>
        <family val="1"/>
        <charset val="204"/>
      </rPr>
      <t xml:space="preserve">Карниз для римских штор "Компакт Премиум" </t>
    </r>
    <r>
      <rPr>
        <b/>
        <sz val="12"/>
        <rFont val="Book Antiqua"/>
        <family val="1"/>
        <charset val="204"/>
      </rPr>
      <t xml:space="preserve">                     </t>
    </r>
    <r>
      <rPr>
        <b/>
        <sz val="10"/>
        <rFont val="Book Antiqua"/>
        <family val="1"/>
        <charset val="204"/>
      </rPr>
      <t xml:space="preserve">                                                                                  </t>
    </r>
  </si>
  <si>
    <t>Кронштейн "Компакт Премиум"</t>
  </si>
  <si>
    <t>Механизм "Компакт Премиум 1:1" с крышкой белый</t>
  </si>
  <si>
    <t>Шнур для рабочего блока (350см), белый</t>
  </si>
  <si>
    <t>Рабочий блок "Компакт Премиум"</t>
  </si>
  <si>
    <t>ОГРАНИЧЕНИЯ НА КАРНИЗЫ «КОМПАКТ ПРЕМИУМ»</t>
  </si>
  <si>
    <t>Кронштейны универсальные «Компакт Премиум» (по 1 шт. на каждые 50 см)</t>
  </si>
  <si>
    <t>КОМБО УНИ-1 (белая фурнитура)</t>
  </si>
  <si>
    <t>Комбо Уни-1</t>
  </si>
  <si>
    <t>Электропривод DV24AF серединный</t>
  </si>
  <si>
    <t>От</t>
  </si>
  <si>
    <t>До</t>
  </si>
  <si>
    <t>В одну сторону</t>
  </si>
  <si>
    <t>В разные стороны</t>
  </si>
  <si>
    <t>Ширина изделия, м</t>
  </si>
  <si>
    <t>Кол-во ламелей</t>
  </si>
  <si>
    <t>/тип раскрытия</t>
  </si>
  <si>
    <t>Расчёт количества ламелей для вертикальных жалюзи 89мм</t>
  </si>
  <si>
    <t>Расчет кол-ва ламелей для вертикальных жалюзи 89мм</t>
  </si>
  <si>
    <t>Рекомендуемое кол-во ламелей в зависимости от ширины изделия указано в таблице расчёта.</t>
  </si>
  <si>
    <t>https://gamma-i.ru/catalog/products/vertikalnye-zhalyuzi-89-mm/-tkanevye/</t>
  </si>
  <si>
    <t>https://gamma-i.ru/catalog/complects/tkan-vertikalnaya-89-mm-new/</t>
  </si>
  <si>
    <t>Подробнее о тканях:</t>
  </si>
  <si>
    <t>https://gamma-i.ru/catalog/complects/plastik-dlya-vertikalnykh-zhalyuzi-89-mm/</t>
  </si>
  <si>
    <t>Подробнее о пластике:</t>
  </si>
  <si>
    <t>https://gamma-i.ru/catalog/products/vertikalnye-zhalyuzi-89-mm/plastikovye/</t>
  </si>
  <si>
    <t>Подробнее об изделии:</t>
  </si>
  <si>
    <t>https://gamma-i.ru/catalog/products/vertikalnye-zhalyuzi-89-mm/multifakturnye-zhalyuzi/</t>
  </si>
  <si>
    <t>https://gamma-i.ru/catalog/complects/lenta-alyuminievaya-16-25-mm/</t>
  </si>
  <si>
    <t>https://gamma-i.ru/catalog/products/gorizontalnye-zhalyuzi/alyuminievye-16-mm/</t>
  </si>
  <si>
    <t>https://gamma-i.ru/catalog/products/gorizontalnye-zhalyuzi/alyuminievye-25-mm/</t>
  </si>
  <si>
    <t>Подробнее о ленте 16-25 мм:</t>
  </si>
  <si>
    <t>https://gamma-i.ru/catalog/products/gorizontalnye-zhalyuzi/alyuminievye-50-mm/</t>
  </si>
  <si>
    <r>
      <t xml:space="preserve">Подробнее об изделии </t>
    </r>
    <r>
      <rPr>
        <b/>
        <u/>
        <sz val="10"/>
        <rFont val="Bookman Old Style"/>
        <family val="1"/>
        <charset val="204"/>
      </rPr>
      <t>16 мм</t>
    </r>
    <r>
      <rPr>
        <b/>
        <sz val="10"/>
        <rFont val="Bookman Old Style"/>
        <family val="1"/>
        <charset val="204"/>
      </rPr>
      <t>:</t>
    </r>
  </si>
  <si>
    <r>
      <t xml:space="preserve">Подробнее об изделии </t>
    </r>
    <r>
      <rPr>
        <b/>
        <u/>
        <sz val="10"/>
        <rFont val="Bookman Old Style"/>
        <family val="1"/>
        <charset val="204"/>
      </rPr>
      <t>25 мм</t>
    </r>
    <r>
      <rPr>
        <b/>
        <sz val="10"/>
        <rFont val="Bookman Old Style"/>
        <family val="1"/>
        <charset val="204"/>
      </rPr>
      <t>:</t>
    </r>
  </si>
  <si>
    <r>
      <t xml:space="preserve">Подробнее об изделии </t>
    </r>
    <r>
      <rPr>
        <b/>
        <u/>
        <sz val="10"/>
        <rFont val="Bookman Old Style"/>
        <family val="1"/>
        <charset val="204"/>
      </rPr>
      <t>50 мм</t>
    </r>
    <r>
      <rPr>
        <b/>
        <sz val="10"/>
        <rFont val="Bookman Old Style"/>
        <family val="1"/>
        <charset val="204"/>
      </rPr>
      <t>:</t>
    </r>
  </si>
  <si>
    <t>https://gamma-i.ru/catalog/complects/vnutrivalnye-35-40-mm/somfy-sonesse-40-rts/</t>
  </si>
  <si>
    <t>Подробнее о ламелях:</t>
  </si>
  <si>
    <t>https://gamma-i.ru/catalog/complects/derevo-bambuk/</t>
  </si>
  <si>
    <t>https://gamma-i.ru/catalog/products/gorizontalnye-zhalyuzi/derevyannye-25-mm/</t>
  </si>
  <si>
    <r>
      <t xml:space="preserve">Подробнее о дерево </t>
    </r>
    <r>
      <rPr>
        <b/>
        <u/>
        <sz val="10"/>
        <rFont val="Bookman Old Style"/>
        <family val="1"/>
        <charset val="204"/>
      </rPr>
      <t>25 мм</t>
    </r>
    <r>
      <rPr>
        <b/>
        <sz val="10"/>
        <rFont val="Bookman Old Style"/>
        <family val="1"/>
        <charset val="204"/>
      </rPr>
      <t>:</t>
    </r>
  </si>
  <si>
    <r>
      <t xml:space="preserve">Подробнее о бамбук </t>
    </r>
    <r>
      <rPr>
        <b/>
        <u/>
        <sz val="10"/>
        <rFont val="Bookman Old Style"/>
        <family val="1"/>
        <charset val="204"/>
      </rPr>
      <t>25 мм</t>
    </r>
    <r>
      <rPr>
        <b/>
        <sz val="10"/>
        <rFont val="Bookman Old Style"/>
        <family val="1"/>
        <charset val="204"/>
      </rPr>
      <t>:</t>
    </r>
  </si>
  <si>
    <t>https://gamma-i.ru/catalog/products/gorizontalnye-zhalyuzi/bambukovye-25-mm/</t>
  </si>
  <si>
    <t>https://gamma-i.ru/catalog/products/kassetnye-sistemy-na-mansardnye-okna/v-layt/</t>
  </si>
  <si>
    <t>Подробнее о ткани:</t>
  </si>
  <si>
    <t>https://gamma-i.ru/catalog/products/rulonnye-shtory-svobodnovisyashchie/standart-na-trube-26-mm/</t>
  </si>
  <si>
    <t>https://gamma-i.ru/catalog/complects/tkan-rulonnaya-/</t>
  </si>
  <si>
    <t>https://gamma-i.ru/catalog/products/rulonnye-shtory-svobodnovisyashchie/lyuks-na-trube-42-mm/</t>
  </si>
  <si>
    <t>https://gamma-i.ru/catalog/products/rulonnye-shtory-svobodnovisyashchie/grand-na-trube-61-mm/</t>
  </si>
  <si>
    <t>https://gamma-i.ru/catalog/products/rulonnye-shtory-svobodnovisyashchie/mini/</t>
  </si>
  <si>
    <t>https://gamma-i.ru/catalog/products/kassetnye-rulonnye-shtory-na-plastikovye-okna/uni-1/</t>
  </si>
  <si>
    <t>https://gamma-i.ru/catalog/products/kassetnye-rulonnye-shtory-na-plastikovye-okna/uni-2/</t>
  </si>
  <si>
    <t>Подробнее об изделии с пружиной:</t>
  </si>
  <si>
    <t>Подробнее об изделии с цепочкой:</t>
  </si>
  <si>
    <t>https://gamma-i.ru/catalog/products/kassetnye-rulonnye-shtory-na-plastikovye-okna/uni-2-s-pruzhinnym-mekhanizmom/</t>
  </si>
  <si>
    <t>https://gamma-i.ru/catalog/products/kassetnye-sistemy-na-mansardnye-okna/r-layt/</t>
  </si>
  <si>
    <t>https://gamma-i.ru/catalog/complects/tkan-kombo/</t>
  </si>
  <si>
    <t>https://gamma-i.ru/catalog/products/kombo-den-noch-svobodnovisyashchie/v-52-standart-na-trube-25-mm/</t>
  </si>
  <si>
    <t>https://gamma-i.ru/catalog/products/kombo-den-noch-svobodnovisyashchie/v-52-lyuks-na-trube-42-mm/</t>
  </si>
  <si>
    <t>https://gamma-i.ru/catalog/products/kombo-den-noch-na-plastikovye-okna/uni-2-kombo/</t>
  </si>
  <si>
    <t>https://gamma-i.ru/catalog/products/kombo-den-noch-na-plastikovye-okna/uni-1-kombo/</t>
  </si>
  <si>
    <t>https://gamma-i.ru/catalog/products/rimskie-shtory/rimskie-shtory-s-karnizom-kompakt/</t>
  </si>
  <si>
    <r>
      <t>ЦВЕТА КОМПЛЕКТУЮЩИХ:</t>
    </r>
    <r>
      <rPr>
        <b/>
        <sz val="11"/>
        <rFont val="Times New Roman"/>
        <family val="1"/>
        <charset val="204"/>
      </rPr>
      <t xml:space="preserve">  </t>
    </r>
    <r>
      <rPr>
        <sz val="11"/>
        <rFont val="Times New Roman"/>
        <family val="1"/>
        <charset val="204"/>
      </rPr>
      <t>серебро (по умолчанию), коричневый, светло-бежевый.</t>
    </r>
  </si>
  <si>
    <t>Цвет фурнитуры: белый (по умолчанию), коричневый, серый, темно-серый.</t>
  </si>
  <si>
    <t>*Нижний отвес: малый (труба с заглушкой), средний двусоставный (белый или коричневый), большой (белый, коричневый, серебристый).</t>
  </si>
  <si>
    <t>*Ширина изделия до 1,70 м</t>
  </si>
  <si>
    <t>*Ширина изделия от 1,71 до 2,40 м</t>
  </si>
  <si>
    <t>Пульт управления 15-канальный DC1662D для вертикальных жалюзи белый</t>
  </si>
  <si>
    <t>Электропривод DV24AF 12В с радиоприемником, серединный (0,8/45)</t>
  </si>
  <si>
    <r>
      <t>Электропривод</t>
    </r>
    <r>
      <rPr>
        <b/>
        <sz val="11"/>
        <color indexed="8"/>
        <rFont val="Times New Roman"/>
        <family val="1"/>
        <charset val="204"/>
      </rPr>
      <t xml:space="preserve"> </t>
    </r>
    <r>
      <rPr>
        <sz val="11"/>
        <color indexed="8"/>
        <rFont val="Times New Roman"/>
        <family val="1"/>
        <charset val="204"/>
      </rPr>
      <t>LV25-B64 24В боковой (до 600 мм.) (0,4/40)</t>
    </r>
  </si>
  <si>
    <t>Электропривод LW25-B83 24В серединный  (0,8/30)</t>
  </si>
  <si>
    <t>Блок питания DC943A 12В</t>
  </si>
  <si>
    <t>Блок питания DC943В 24В</t>
  </si>
  <si>
    <t>SOMFY (Франция</t>
  </si>
  <si>
    <t>Электропривод Sonesse ALTUS 4/16 RTS 230В</t>
  </si>
  <si>
    <t>Горизонтальные         25 мм</t>
  </si>
  <si>
    <t>Зарядное устройство для привода  12 В</t>
  </si>
  <si>
    <t>Пульт управления RTS 1 канальный SITUO белый</t>
  </si>
  <si>
    <t>Пульт управления RTS 5 канальный SITUO белый</t>
  </si>
  <si>
    <t xml:space="preserve">Пульт управления 1 канальный DC1610 для горизонтальных жалюзи белый </t>
  </si>
  <si>
    <t>Пульт управления 15 канальный DC1612 для горизонтальных жалюзи белый</t>
  </si>
  <si>
    <t>Пульт управления 1-канальный DC1667А для вертикальных жалюзи белый</t>
  </si>
  <si>
    <t>Выключатель (проводной) S 51DC для жалюзи без корпуса</t>
  </si>
  <si>
    <t>Корпус внутренней проводки для выключателя S 51DC</t>
  </si>
  <si>
    <t>Корпус наружней проводки для выключателя S51DC</t>
  </si>
  <si>
    <t>Настенный проводной выключатель DC1690 со встроенным радиоприемником</t>
  </si>
  <si>
    <t>Настенный выключатель 1-канальный DC866 белый</t>
  </si>
  <si>
    <t>Корпус наружной проводки для выключателя DC866A</t>
  </si>
  <si>
    <t>Приемник радиосигнала DC114B</t>
  </si>
  <si>
    <t>https://gamma-i.ru/catalog/complects/pulty-upravleniya/dekoratio-dc1673/</t>
  </si>
  <si>
    <r>
      <t xml:space="preserve">Электропривод Sonesse 6/20 230В </t>
    </r>
    <r>
      <rPr>
        <sz val="11"/>
        <color indexed="53"/>
        <rFont val="Times New Roman"/>
        <family val="1"/>
        <charset val="204"/>
      </rPr>
      <t>*низкий уровень шума</t>
    </r>
  </si>
  <si>
    <r>
      <t xml:space="preserve">Электропривод Sonesse 6/20 RTS 230В с радиоприемником </t>
    </r>
    <r>
      <rPr>
        <sz val="11"/>
        <color indexed="53"/>
        <rFont val="Times New Roman"/>
        <family val="1"/>
        <charset val="204"/>
      </rPr>
      <t>*низкий уровень шума</t>
    </r>
  </si>
  <si>
    <t>Зарядное устройство 8В для электропривода DM25LE</t>
  </si>
  <si>
    <t>DekoRatio    (Китай)</t>
  </si>
  <si>
    <t>Электропривод DM35LE с встроенным аккумулятором и  радиоприемником (3/28)</t>
  </si>
  <si>
    <t xml:space="preserve">Altus RTS </t>
  </si>
  <si>
    <t>Электропривод ALTUS 4/16 RTS 230В</t>
  </si>
  <si>
    <t>Электропривод Aries 4/16 укороченный</t>
  </si>
  <si>
    <t>Электропривод Sonesse Ultra 30 WF RTS LI-ON 12В (0,7/28)</t>
  </si>
  <si>
    <t>Aries 4/16 укороченный</t>
  </si>
  <si>
    <t>Sonesse Ultra 30 WF RTS</t>
  </si>
  <si>
    <t>Электропривод Sonesse 40 3/30 230В</t>
  </si>
  <si>
    <t>Электропривод Sonesse 40 3/30 RTS 230В с радиоприемником</t>
  </si>
  <si>
    <t>DM35SL</t>
  </si>
  <si>
    <t>Варианты управления для римских штор с электроприводом</t>
  </si>
  <si>
    <r>
      <rPr>
        <b/>
        <sz val="12"/>
        <rFont val="Cooper Black"/>
        <family val="1"/>
      </rPr>
      <t>16, 25</t>
    </r>
    <r>
      <rPr>
        <b/>
        <sz val="12"/>
        <rFont val="Times New Roman"/>
        <family val="1"/>
        <charset val="204"/>
      </rPr>
      <t xml:space="preserve"> мм </t>
    </r>
  </si>
  <si>
    <t>Sonesse 40 RTS</t>
  </si>
  <si>
    <t>Ширина ламели</t>
  </si>
  <si>
    <t>Варианты электроприводов для деревянных и бамбуковых жалюзи</t>
  </si>
  <si>
    <t>Варианты управления для                                                                                                деревянных и бамбуковых жалюзи с электроприводом</t>
  </si>
  <si>
    <t xml:space="preserve">Sonesse 40 </t>
  </si>
  <si>
    <t xml:space="preserve">DM35SL  </t>
  </si>
  <si>
    <t xml:space="preserve">DV24AF без аккумулятора </t>
  </si>
  <si>
    <t>Компакт Премиум</t>
  </si>
  <si>
    <t xml:space="preserve">DV24AF с аккумулятором </t>
  </si>
  <si>
    <t>Sonesse 40 RTS (Somfy)</t>
  </si>
  <si>
    <t>Sonesse 40 (Somfy)</t>
  </si>
  <si>
    <t>Ограничения и технические характеристики римских штор "Компакт Премиум" с тканью</t>
  </si>
  <si>
    <t>Варианты электроприводов для рулонных жалюзи Уни-1</t>
  </si>
  <si>
    <t>Варианты управления для рулонных жалюзи Уни-1 с электроприводом</t>
  </si>
  <si>
    <t>у.е. за 1 м.п.</t>
  </si>
  <si>
    <t>Изготовления ГРАНД на карнизной системе увеличивает стоимость изделия на</t>
  </si>
  <si>
    <t>SOMFY                     (Франция)</t>
  </si>
  <si>
    <t>SOMFY                  (Франция)</t>
  </si>
  <si>
    <t>SOMFY            (Франция)</t>
  </si>
  <si>
    <t>Электроуправление для рулонных жалюзи ГРАНД</t>
  </si>
  <si>
    <t>Варианты электроприводов для рулонных жалюзи ГРАНД</t>
  </si>
  <si>
    <t>Варианты управления для рулонных жалюзи ГРАНДс электроприводом</t>
  </si>
  <si>
    <t>SOMFY                 (Франция)</t>
  </si>
  <si>
    <t>SOMFY                   (Франция)</t>
  </si>
  <si>
    <t>SOMFY                    (Франция)</t>
  </si>
  <si>
    <t>SOMFY                       (Франция)</t>
  </si>
  <si>
    <t>Варианты электроприводов для рулонных жалюзи Мини</t>
  </si>
  <si>
    <t>Электропривод Sonesse 6/20 230В (низкий уровень шума)</t>
  </si>
  <si>
    <t>Электропривод Sonesse 6/20 RTS 230В (низкий уровень шума) с радиоприемником</t>
  </si>
  <si>
    <t xml:space="preserve">Электропривод DM25CE 8В со встроенным радиоприемником беспроводной с блоком для батареек       </t>
  </si>
  <si>
    <t>Электропривод DM25LE 8В со встроенным радиоприемником, беспроводной, со встр. аккумулятором</t>
  </si>
  <si>
    <t>Электроприводы Sonesse 40 3/30, 6/20</t>
  </si>
  <si>
    <t>Электроприводы Sonesse 40 RTS 3/30, 6/20</t>
  </si>
  <si>
    <t>Электроуправление для рулонных жалюзи Уни-1</t>
  </si>
  <si>
    <t>Электроуправление для КОМБО Уни-1</t>
  </si>
  <si>
    <t>Варианты электроприводов для КОМБО Уни-1</t>
  </si>
  <si>
    <t>Варианты управления КОМБО Уни-1 с электроприводом</t>
  </si>
  <si>
    <t>* - в данном цвете фурнитуры невозможно выполнить изделие с креплением на скотч</t>
  </si>
  <si>
    <t>Ограничения по изготовлению Р-лайт</t>
  </si>
  <si>
    <t>Максимально возможная                                           высота до 1,16м</t>
  </si>
  <si>
    <t>группа 1</t>
  </si>
  <si>
    <t>группа 2</t>
  </si>
  <si>
    <t>группа 3</t>
  </si>
  <si>
    <t>группа 4</t>
  </si>
  <si>
    <t>группа 5</t>
  </si>
  <si>
    <t>Амальфи</t>
  </si>
  <si>
    <t>Андрия</t>
  </si>
  <si>
    <t>Детские блэкаут</t>
  </si>
  <si>
    <t>Баски димаут</t>
  </si>
  <si>
    <t>Кейптаун ФР</t>
  </si>
  <si>
    <t>Монако</t>
  </si>
  <si>
    <t>Ницца блэкаут</t>
  </si>
  <si>
    <t>Респект блэкаут ФР</t>
  </si>
  <si>
    <t>Риано</t>
  </si>
  <si>
    <t>Корсо перл</t>
  </si>
  <si>
    <t>Севилья блэкаут</t>
  </si>
  <si>
    <t>Севилья</t>
  </si>
  <si>
    <t>Шерни</t>
  </si>
  <si>
    <t>Ницца</t>
  </si>
  <si>
    <t>Палау</t>
  </si>
  <si>
    <t>Прованс</t>
  </si>
  <si>
    <t>Форио</t>
  </si>
  <si>
    <t>1 группа</t>
  </si>
  <si>
    <t>2 группа</t>
  </si>
  <si>
    <t>3 группа</t>
  </si>
  <si>
    <t>4 группа</t>
  </si>
  <si>
    <t>5 группа</t>
  </si>
  <si>
    <t>Кастелло</t>
  </si>
  <si>
    <t>Сиена</t>
  </si>
  <si>
    <t>Арабика</t>
  </si>
  <si>
    <t>Либерика</t>
  </si>
  <si>
    <t>у.е./1 м.п. к изделию</t>
  </si>
  <si>
    <t xml:space="preserve"> Цвет фурнитуры: светлый дуб, золотой дуб, темный дуб, махагон.</t>
  </si>
  <si>
    <t>Цвет фурнитуры: золотой дуб, светлый дуб, темный дуб, махагон</t>
  </si>
  <si>
    <t>Арабика блэкаут</t>
  </si>
  <si>
    <t>Либерика блэкаут</t>
  </si>
  <si>
    <t xml:space="preserve">Либерика блэкаут </t>
  </si>
  <si>
    <t>Калипсо (снижена ценовая категория)</t>
  </si>
  <si>
    <t>Лэйси (снижена ценовая категория)</t>
  </si>
  <si>
    <t>Версаль (снижена ценовая категория)</t>
  </si>
  <si>
    <t>Версаль блэкаут (снижена ценовая категория)</t>
  </si>
  <si>
    <t>Нарезка мультифактурных жалюзи</t>
  </si>
  <si>
    <t>Рулонные жалюзи СПРИНГ</t>
  </si>
  <si>
    <t>СПРИНГ</t>
  </si>
  <si>
    <r>
      <t xml:space="preserve">Рулонные жалюзи "СПРИНГ"                                                                                        </t>
    </r>
    <r>
      <rPr>
        <sz val="12"/>
        <rFont val="Bookman Old Style"/>
        <family val="1"/>
        <charset val="204"/>
      </rPr>
      <t/>
    </r>
  </si>
  <si>
    <t xml:space="preserve">Декоративная панель алюминиевая белая, серебристая </t>
  </si>
  <si>
    <t>у.е./ 1 м.п</t>
  </si>
  <si>
    <t>Цвет кронштейнов: белый (по умолчанию), серый.</t>
  </si>
  <si>
    <t>*Цвет фурнитуры: белый (по умолчанию).</t>
  </si>
  <si>
    <t>**Цвета механизма ПРЕМИУМ металл: белый, алюминий, никель, латунь, сталь, хром.</t>
  </si>
  <si>
    <t>**Цвета механизма ПРЕМИУМ пластик: белый, бежевый, антрацит, бронза, серый, черный.</t>
  </si>
  <si>
    <t xml:space="preserve">Стоимость данной опции: </t>
  </si>
  <si>
    <t>Дополнительные опции:</t>
  </si>
  <si>
    <t>**Механизм Классик ПРЕМИУМ для трубы 28 мм, у.е./шт.</t>
  </si>
  <si>
    <t>пластик 1:1                (кроме белого)</t>
  </si>
  <si>
    <t>Карниз Классик Премиум белый, антрацит, бежевый, бронза, серый, черный.  Стоимость:</t>
  </si>
  <si>
    <r>
      <t xml:space="preserve">Рулонные жалюзи "КЛАССИК"                                                                                                                                </t>
    </r>
    <r>
      <rPr>
        <sz val="12"/>
        <rFont val="Bookman Old Style"/>
        <family val="1"/>
        <charset val="204"/>
      </rPr>
      <t xml:space="preserve">(ширина изделий до </t>
    </r>
    <r>
      <rPr>
        <b/>
        <sz val="12"/>
        <rFont val="Bookman Old Style"/>
        <family val="1"/>
        <charset val="204"/>
      </rPr>
      <t>1,70 м</t>
    </r>
    <r>
      <rPr>
        <sz val="12"/>
        <rFont val="Bookman Old Style"/>
        <family val="1"/>
        <charset val="204"/>
      </rPr>
      <t xml:space="preserve">, изготавливаются на трубе </t>
    </r>
    <r>
      <rPr>
        <b/>
        <sz val="12"/>
        <rFont val="Bookman Old Style"/>
        <family val="1"/>
        <charset val="204"/>
      </rPr>
      <t>28 мм</t>
    </r>
    <r>
      <rPr>
        <sz val="12"/>
        <rFont val="Bookman Old Style"/>
        <family val="1"/>
        <charset val="204"/>
      </rPr>
      <t>)</t>
    </r>
  </si>
  <si>
    <t>хром               металл 1:1</t>
  </si>
  <si>
    <t>металл 1:1              (кроме хром)</t>
  </si>
  <si>
    <t xml:space="preserve">Дополнительно к механизму ПРЕМИУМ можно приобрести металлическую цепочку в следующих цветах: латунь, бронза, серебро (никель), серый никель, черный никель, матовое золото, медь, хром. </t>
  </si>
  <si>
    <t xml:space="preserve">у.е./ 1 м.п. - цвет серебро, </t>
  </si>
  <si>
    <t>у.е./ 1 м.п. -  остальные цвета.</t>
  </si>
  <si>
    <r>
      <t>10.</t>
    </r>
    <r>
      <rPr>
        <b/>
        <sz val="12"/>
        <rFont val="Times New Roman"/>
        <family val="1"/>
        <charset val="204"/>
      </rPr>
      <t xml:space="preserve">     </t>
    </r>
    <r>
      <rPr>
        <b/>
        <sz val="12"/>
        <rFont val="Book Antiqua"/>
        <family val="1"/>
        <charset val="204"/>
      </rPr>
      <t>РИМСКИЕ ШТОРЫ</t>
    </r>
  </si>
  <si>
    <t>11.   ОБРАЗЦЫ</t>
  </si>
  <si>
    <r>
      <t>13.</t>
    </r>
    <r>
      <rPr>
        <b/>
        <sz val="12"/>
        <rFont val="Times New Roman"/>
        <family val="1"/>
        <charset val="204"/>
      </rPr>
      <t>    Ограничения по размерам</t>
    </r>
  </si>
  <si>
    <t>Металлическая цепочка серебро (никель)</t>
  </si>
  <si>
    <t>у.е./ 1 м.п.</t>
  </si>
  <si>
    <t>Горизонтальные жалюзи АБСОЛЮТ                                                                ДЕРЕВО, БАМБУК  50 мм</t>
  </si>
  <si>
    <t>Наценка за тканевую (декоративную лесенку)</t>
  </si>
  <si>
    <t>у.е./м²</t>
  </si>
  <si>
    <t xml:space="preserve">у.е./м </t>
  </si>
  <si>
    <t>Горизонтальные дерево, бамбук Абсолют 50 мм</t>
  </si>
  <si>
    <t>Абсолют ДЕРЕВЯННЫЕ 50 мм</t>
  </si>
  <si>
    <t>Абсолют БАМБУКОВЫЕ 50 мм</t>
  </si>
  <si>
    <t>Классик</t>
  </si>
  <si>
    <t>КОМБО Классик (на трубе 28.5 мм)</t>
  </si>
  <si>
    <t>Цвет карниза: белый (по умолчанию), антрацит, бежевый, бронза, серый, черный.</t>
  </si>
  <si>
    <t>*Нижний отвес: малый (труба с заглушкой: белый, антрацит, коричневый), средний двусоставный (белый, антрацит, коричневый), большой (белый, антрацит, коричневый, серебристый).</t>
  </si>
  <si>
    <t>Белладжо</t>
  </si>
  <si>
    <t>Бергамо</t>
  </si>
  <si>
    <t>Делия</t>
  </si>
  <si>
    <t>Камино</t>
  </si>
  <si>
    <t>Кремона</t>
  </si>
  <si>
    <t>Лариано</t>
  </si>
  <si>
    <t>Маера</t>
  </si>
  <si>
    <t>Марино</t>
  </si>
  <si>
    <t>Патти</t>
  </si>
  <si>
    <t>Равелло</t>
  </si>
  <si>
    <t>Ченто</t>
  </si>
  <si>
    <t xml:space="preserve">Дополнительно к механизму ПРЕМИУМ можно приобрести карниз "Люкс Премиум" в следующих цветах: белый, антрацит, бежевый, бронза, серый, черный. </t>
  </si>
  <si>
    <t>у.е./ 1 м.п. -  все цвета.</t>
  </si>
  <si>
    <t>*Минимально возможный размер пластиковой цепочки управления - 1,0 м, что соотвествует длине управления 0,5 м</t>
  </si>
  <si>
    <r>
      <t>Возможные цвета наружных отвесов ЛЮКС с наценкой</t>
    </r>
    <r>
      <rPr>
        <sz val="10"/>
        <rFont val="Times New Roman"/>
        <family val="1"/>
        <charset val="204"/>
      </rPr>
      <t>: 6063 серебро, 6063 бронза. Стоимость:</t>
    </r>
  </si>
  <si>
    <t>Возможные цвета наружных отвесов ЛЮКС с наценкой: 6063 серебро, 6063 бронза. Стоимость:</t>
  </si>
  <si>
    <r>
      <t>Возможные цвета наружных отвесов ЛЮКС с наценкой</t>
    </r>
    <r>
      <rPr>
        <b/>
        <sz val="10"/>
        <rFont val="Times New Roman"/>
        <family val="1"/>
        <charset val="204"/>
      </rPr>
      <t>: 6063 серебро, 6063 бронза. Стоимость:</t>
    </r>
  </si>
  <si>
    <t>Возможные цвета наружных отвесов ЛЮКС без наценки: белый (по умолчанию), бежевый, коричневый, серый, черный, антрацит.</t>
  </si>
  <si>
    <t xml:space="preserve">Наценка за цепочный механизм (по умолчанию используется пластиковая цепочка). </t>
  </si>
  <si>
    <t xml:space="preserve">Наценка за металлическую цепочку. </t>
  </si>
  <si>
    <t>Возможные цвета металлических цепочек: серебро.</t>
  </si>
  <si>
    <t>Максимальная возможная ширина 180см, высота 220см. Для ткани "Скрин" максимальная возможная ширина 140 см.</t>
  </si>
  <si>
    <t>Минимальная возможная ширина 57 см.</t>
  </si>
  <si>
    <t>Наценка за сублимированный карниз</t>
  </si>
  <si>
    <t>Минимальная гарантийная ширина для изделий с веревочным и цепочным управлением - 45см.</t>
  </si>
  <si>
    <t>Зарядное устройство для Sonesse 30 ULTRA WF, Sonesse 28 WF и внешнего Li-Ion аккумулятора</t>
  </si>
  <si>
    <t>Пульт управления RTS 1 канальный Situo Variation для горизонтальных жалюзи белый</t>
  </si>
  <si>
    <t>Пульт управления RTS 5 канальный Situo Variation для горизонтальных жалюзи белый</t>
  </si>
  <si>
    <t>Пульт управления RTS 1 канальный Situo Variation</t>
  </si>
  <si>
    <t>Пульт управления RTS 5 канальный Situo Variation</t>
  </si>
  <si>
    <t>Горизонтальные жалюзи                                                                  ДЕРЕВО, БАМБУК 25 мм</t>
  </si>
  <si>
    <r>
      <t xml:space="preserve">Типы крепления для мансардных окон ПВХ                                                </t>
    </r>
    <r>
      <rPr>
        <b/>
        <sz val="10"/>
        <rFont val="Bookman Old Style"/>
        <family val="1"/>
        <charset val="204"/>
      </rPr>
      <t>*Минимальная гарантийная ширина с мансардной пробивкой                                                                    для 25 мм - 32,5 см.</t>
    </r>
  </si>
  <si>
    <t>Минимальная гарантийная ширина для 25 мм - 23 см</t>
  </si>
  <si>
    <t xml:space="preserve">ДЕРЕВО Абсолют </t>
  </si>
  <si>
    <t xml:space="preserve">БАМБУК Абсолют </t>
  </si>
  <si>
    <t>Классик 50К-... 31, 32, 33, 34, 35, 36, 37, 38, 39, 40, 41, 42, 43, 44</t>
  </si>
  <si>
    <t>Модерн 50К-… 51, 52, 53, 54, 55, 56, 57, 58, 59, 60, 61, 62, 63</t>
  </si>
  <si>
    <t>Элегант 50К-… 301, 302, 303, 304, 305</t>
  </si>
  <si>
    <t>Элегант 50К-… 306, 307, 308, 309, 310</t>
  </si>
  <si>
    <t>ТИП 4 (пластик)</t>
  </si>
  <si>
    <t>ТИП 4 (металл)</t>
  </si>
  <si>
    <t>ТИП 1 (пластик)</t>
  </si>
  <si>
    <t>ТИП 1 (металл)</t>
  </si>
  <si>
    <t>кольцо стопорное с винтом - 4 шт., кронштейн нижний тип 1 пластиковый - 2 шт., трос</t>
  </si>
  <si>
    <t>кольцо стопорное с винтом - 2 шт., кронштейн нижний тип 1 металлический - 2 шт., трос</t>
  </si>
  <si>
    <t>кронштейн для окон ПВХ верхний - 2 шт., кронштейн для окон ПВХ нижний - 2 шт., трос</t>
  </si>
  <si>
    <t>кронштейн для окон ПВХ верхний - 2 шт.</t>
  </si>
  <si>
    <t>Крепление на раму / стену со сверлением:</t>
  </si>
  <si>
    <t>Накидное крепление на открывающуюся створку без сверления (верх + низ):</t>
  </si>
  <si>
    <t>Накидное крепление на открывающуюся створку без сверления (только верх):</t>
  </si>
  <si>
    <t>Крепление на подоконник / пол со сверлением:</t>
  </si>
  <si>
    <t>кольцо стопорное с винтом - 4 шт., кронштейн нижний тип 4 пластмассовый - 2 шт., трос</t>
  </si>
  <si>
    <t>кольцо стопорное с винтом - 2 шт., кронштейн нижний тип 4 металлический - 2 шт., трос</t>
  </si>
  <si>
    <t>https://gamma-i.ru/catalog/automation/elektroprivody/dekoratio-dk30de/</t>
  </si>
  <si>
    <t>https://gamma-i.ru/catalog/automation/ustroystva-upravleniya/dekoratio-dc1667a/</t>
  </si>
  <si>
    <t>https://gamma-i.ru/catalog/automation/ustroystva-upravleniya/dekoratio-dc1662d/</t>
  </si>
  <si>
    <t>https://gamma-i.ru/catalog/automation/elektroprivody/dekoratio-dv24af/</t>
  </si>
  <si>
    <t>https://gamma-i.ru/catalog/automation/elektroprivody/dekoratio-dv24dh/</t>
  </si>
  <si>
    <t>https://gamma-i.ru/catalog/automation/elektroprivody/dekoratio-dv24dg/</t>
  </si>
  <si>
    <t>https://gamma-i.ru/catalog/automation/drugaya-avtomatika/dekoratio-dc943a/</t>
  </si>
  <si>
    <t>https://gamma-i.ru/catalog/automation/elektroprivody/somfy-lv-lw25/</t>
  </si>
  <si>
    <t>https://gamma-i.ru/catalog/automation/elektroprivody/somfy-sonesse-40-pa/</t>
  </si>
  <si>
    <t>https://gamma-i.ru/catalog/automation/elektroprivody/somfy-sonesse-40-rts/</t>
  </si>
  <si>
    <t>https://gamma-i.ru/catalog/automation/elektroprivody/somfy-altus-4-16-40/</t>
  </si>
  <si>
    <t>https://gamma-i.ru/catalog/automation/elektroprivody/dekoratio-dm35sl/</t>
  </si>
  <si>
    <t>https://gamma-i.ru/catalog/automation/elektroprivody/dekoratio-dm35rvl/</t>
  </si>
  <si>
    <t>https://gamma-i.ru/catalog/automation/elektroprivody/dekoratio-dm35le/</t>
  </si>
  <si>
    <t>https://gamma-i.ru/catalog/automation/ustroystva-upravleniya/somfy-situo-1-rts/</t>
  </si>
  <si>
    <t>https://gamma-i.ru/catalog/automation/ustroystva-upravleniya/somfy-situo-5-rts/</t>
  </si>
  <si>
    <t>https://gamma-i.ru/catalog/automation/ustroystva-upravleniya/somfy-telis-16-rts/</t>
  </si>
  <si>
    <t>https://gamma-i.ru/catalog/automation/ustroystva-upravleniya/somfy-situo-variation-1/</t>
  </si>
  <si>
    <t>https://gamma-i.ru/catalog/automation/ustroystva-upravleniya/somfy-situo-variation-5/</t>
  </si>
  <si>
    <t>https://gamma-i.ru/catalog/automation/ustroystva-upravleniya/somfy-smoove-1-rts/</t>
  </si>
  <si>
    <t>https://gamma-i.ru/catalog/automation/ustroystva-upravleniya/dekoratio-dc1602/</t>
  </si>
  <si>
    <t>https://gamma-i.ru/catalog/automation/ustroystva-upravleniya/dekoratio-dc1610/</t>
  </si>
  <si>
    <t>https://gamma-i.ru/catalog/automation/ustroystva-upravleniya/dekoratio-dc1612/</t>
  </si>
  <si>
    <t>https://gamma-i.ru/catalog/automation/ustroystva-upravleniya/dekoratio-dc1670/</t>
  </si>
  <si>
    <t>https://gamma-i.ru/catalog/automation/ustroystva-upravleniya/dekoratio-dc1673/</t>
  </si>
  <si>
    <t>https://gamma-i.ru/catalog/automation/ustroystva-upravleniya/dekoratio-dc866/</t>
  </si>
  <si>
    <t>https://gamma-i.ru/catalog/automation/ustroystva-upravleniya/dekoratio-dc1600/</t>
  </si>
  <si>
    <t>https://gamma-i.ru/catalog/automation/elektroprivody/dekoratio-dm25le/</t>
  </si>
  <si>
    <t>https://gamma-i.ru/catalog/products/rulonnye-shtory-svobodnovisyashchie/klassik-na-trube-28-mm/</t>
  </si>
  <si>
    <t>https://gamma-i.ru/catalog/automation/elektroprivody/somfy-sonesse-30-wf/</t>
  </si>
  <si>
    <t>https://gamma-i.ru/catalog/products/rulonnye-shtory-svobodnovisyashchie/spring/</t>
  </si>
  <si>
    <t>https://gamma-i.ru/catalog/products/derevo-bambuk-coulisse/derevo-colulisse-tkanevaya-lesenka-veryevochnoe-upravlenie/</t>
  </si>
  <si>
    <t>https://gamma-i.ru/catalog/products/derevo-bambuk-coulisse/bambuk-50mm-kollektsiya-coulisse/</t>
  </si>
  <si>
    <t>https://gamma-i.ru/catalog/complects/derevo-bambuk-50mm-coulisse/</t>
  </si>
  <si>
    <t>Подробнее об изделии дерево 50 мм</t>
  </si>
  <si>
    <t>Подробнее об изделии бамбук 50 мм</t>
  </si>
  <si>
    <t>https://gamma-i.ru/catalog/products/kombo-den-noch-svobodnovisyashchie/kombo-klassik/</t>
  </si>
  <si>
    <t>Магнит прямоугольный пластиковый на скотче - у.е. / шт.</t>
  </si>
  <si>
    <t>Нарезка фурнитуры "Исотра Хит-2"</t>
  </si>
  <si>
    <t>Брошюра " Дерево Coulisse"</t>
  </si>
  <si>
    <t>DekoRatio 2 (Китай)</t>
  </si>
  <si>
    <t>Электропривод AM15ESE со встроенным радиоприемником B аккумулятором</t>
  </si>
  <si>
    <t>Пульт управления АС140-01- 1 канальный сенсорный белый, черный</t>
  </si>
  <si>
    <t>Пульт управления АС140-06 6 канальный сенсорный белый, черный</t>
  </si>
  <si>
    <t>Пульт управления АС140-16 16 канальный сенсорный белый, черный</t>
  </si>
  <si>
    <t>Зарядное устройство для привода АМ15ESE</t>
  </si>
  <si>
    <t>DekoRatio 1                   (Китай)</t>
  </si>
  <si>
    <t>DekoRatio 1                      (Китай)</t>
  </si>
  <si>
    <t>DekoRatio 1                     (Китай)</t>
  </si>
  <si>
    <t>DekoRatio 1                       (Китай)</t>
  </si>
  <si>
    <t>DekoRatio 1                 (Китай)</t>
  </si>
  <si>
    <t>DekoRatio 2                      (Китай)</t>
  </si>
  <si>
    <t>Пульт 1-канальный АС140-01 серсорный  (белый ,черный)</t>
  </si>
  <si>
    <t>Пульт 6-канальный АС140-06 серсорный  (белый ,черный)</t>
  </si>
  <si>
    <t>Пульт 16-канальный АС140-16 серсорный  (белый ,черный)</t>
  </si>
  <si>
    <t>Настенный радиовыключатель 1 канальный АС133-01 (белый, черный)</t>
  </si>
  <si>
    <t>Настенный радиовыключатель 5 канальный АС133-05 (белый, черный)</t>
  </si>
  <si>
    <t>Блок управления Умный Дом АС520</t>
  </si>
  <si>
    <t>Зарядное устройство для привода АМ35ESE</t>
  </si>
  <si>
    <t>DekoRatio 1                    (Китай)</t>
  </si>
  <si>
    <t>DekoRatio 2                   (Китай)</t>
  </si>
  <si>
    <t>Электропривод AM35ESE 6/18 14В со встроенным аккумулятором и радиоприемником</t>
  </si>
  <si>
    <t>Наценка на изготовление жалюзи дерево/бамбук неправильной формы - 50%</t>
  </si>
  <si>
    <t>Жалюзи 50 мм возможно изготовить с двумя типами управления: разнесенное или совмещенное. По умолчанию изделия изготавливаются с разнесенным управлением, когда элементы управления на подъем и поворот расположены с разных сторон изделия. Управление считается по стороне расположения веревки для поворота ламелей. Совмещенное управление подразумевает расположение обоих элементов управления с одной стороны, при этом элемент на поворот расположен с внешней стороны карниза, а на подъем - с внутренней.</t>
  </si>
  <si>
    <r>
      <t xml:space="preserve">Электропривод АМ24 24В с радиоприемником, серединный (1/34) </t>
    </r>
    <r>
      <rPr>
        <sz val="11"/>
        <color indexed="53"/>
        <rFont val="Times New Roman"/>
        <family val="1"/>
        <charset val="204"/>
      </rPr>
      <t>NEW</t>
    </r>
  </si>
  <si>
    <r>
      <t xml:space="preserve">Блок питания АМ24 24В </t>
    </r>
    <r>
      <rPr>
        <sz val="11"/>
        <color indexed="53"/>
        <rFont val="Times New Roman"/>
        <family val="1"/>
        <charset val="204"/>
      </rPr>
      <t>NEW</t>
    </r>
  </si>
  <si>
    <t xml:space="preserve">LW25-B83 24В                            </t>
  </si>
  <si>
    <t>LV25-B64 24В</t>
  </si>
  <si>
    <r>
      <t xml:space="preserve">Электропривод AM35Q - "фазный" </t>
    </r>
    <r>
      <rPr>
        <sz val="11"/>
        <color indexed="53"/>
        <rFont val="Times New Roman"/>
        <family val="1"/>
        <charset val="204"/>
      </rPr>
      <t>NEW</t>
    </r>
  </si>
  <si>
    <r>
      <t xml:space="preserve">Электропривод AM35G - с возможностью параллельного подключения </t>
    </r>
    <r>
      <rPr>
        <sz val="11"/>
        <color indexed="53"/>
        <rFont val="Times New Roman"/>
        <family val="1"/>
        <charset val="204"/>
      </rPr>
      <t>NEW</t>
    </r>
  </si>
  <si>
    <r>
      <t xml:space="preserve">Электропривод AM35QMEL - со встроенным радио приёмником </t>
    </r>
    <r>
      <rPr>
        <sz val="11"/>
        <color indexed="53"/>
        <rFont val="Times New Roman"/>
        <family val="1"/>
        <charset val="204"/>
      </rPr>
      <t>NEW</t>
    </r>
  </si>
  <si>
    <r>
      <t xml:space="preserve">Электропривод AM35ESE -   со встроенным аккумулятором и радиоприемником </t>
    </r>
    <r>
      <rPr>
        <sz val="11"/>
        <color indexed="53"/>
        <rFont val="Times New Roman"/>
        <family val="1"/>
        <charset val="204"/>
      </rPr>
      <t>NEW</t>
    </r>
  </si>
  <si>
    <t>AM35Q</t>
  </si>
  <si>
    <t>AM35G</t>
  </si>
  <si>
    <t>AM35QMEL</t>
  </si>
  <si>
    <t>AM35ESE</t>
  </si>
  <si>
    <t>Цепь управления бесконечная пластиковая*</t>
  </si>
  <si>
    <t>* Наценка за металлическую цепочку:</t>
  </si>
  <si>
    <t>у.е./ 1 м.п. -   латунь, бронза, серый никель, черный никель, матовое золото, медь, хром.</t>
  </si>
  <si>
    <t xml:space="preserve">у.е./ 1 м.п. - цвет серебро (никель), </t>
  </si>
  <si>
    <r>
      <t xml:space="preserve">Электропривод АМ45QE со встроенным радиоприемником, низкий уровень шума </t>
    </r>
    <r>
      <rPr>
        <sz val="11"/>
        <color indexed="53"/>
        <rFont val="Times New Roman"/>
        <family val="1"/>
        <charset val="204"/>
      </rPr>
      <t>NEW</t>
    </r>
  </si>
  <si>
    <r>
      <t xml:space="preserve">Электроуправление для рулонных жалюзи ЛЮКС </t>
    </r>
    <r>
      <rPr>
        <b/>
        <u/>
        <sz val="14"/>
        <color indexed="53"/>
        <rFont val="Bookman Old Style"/>
        <family val="1"/>
        <charset val="204"/>
      </rPr>
      <t>(только в комплектации ПРЕМИУМ)</t>
    </r>
  </si>
  <si>
    <t>**Комплект ПРЕМИУМ для электроуправления, у.е./шт.</t>
  </si>
  <si>
    <t xml:space="preserve"> белый пластик </t>
  </si>
  <si>
    <t>пластик (кроме белого)</t>
  </si>
  <si>
    <t>белый металл</t>
  </si>
  <si>
    <t>алюминий металл</t>
  </si>
  <si>
    <t>никель металл</t>
  </si>
  <si>
    <t>латунь металл</t>
  </si>
  <si>
    <t>сталь, хром металл</t>
  </si>
  <si>
    <t>Варианты управления для рулонных жалюзи Люкс с электроприводом</t>
  </si>
  <si>
    <r>
      <t xml:space="preserve">Электроуправление для рулонных жалюзи КОМБО В-52 ЛЮКС </t>
    </r>
    <r>
      <rPr>
        <b/>
        <u/>
        <sz val="14"/>
        <color indexed="53"/>
        <rFont val="Bookman Old Style"/>
        <family val="1"/>
        <charset val="204"/>
      </rPr>
      <t>(только в комплектации ПРЕМИУМ)</t>
    </r>
  </si>
  <si>
    <t>Варианты электроприводов для рулонных жалюзи КОМБО В-52 ЛЮКС</t>
  </si>
  <si>
    <t>Варианты управления для рулонных жалюзи КОМБО В-52 ЛЮКС с электроприводом</t>
  </si>
  <si>
    <t>Возможные цвета карнизов: белый, антрацит, бежевый, бронза, серый, черный (без дополнительной оплаты).</t>
  </si>
  <si>
    <t>*Нижний отвес: малый (труба с заглушкой: антрацит, белый, коричневый), средний двусоставный (антрацит, белый, коричневый), большой (антрацит, белый, коричневый, серебристый).</t>
  </si>
  <si>
    <t>Дерево 25 мм</t>
  </si>
  <si>
    <t>Бамбук 25 мм</t>
  </si>
  <si>
    <t>Миракл</t>
  </si>
  <si>
    <r>
      <t xml:space="preserve">Римские шторы "Компакт Премиум" с тканью Флекси, Шале </t>
    </r>
    <r>
      <rPr>
        <b/>
        <sz val="12"/>
        <color indexed="53"/>
        <rFont val="Book Antiqua"/>
        <family val="1"/>
        <charset val="204"/>
      </rPr>
      <t>NEW</t>
    </r>
  </si>
  <si>
    <t>При расчете ширина и высота округляются в большую сторону. Максимальная ширина с тканью "Флекси" 2,25м рассчитывается по значению 2,3м, максимальная ширина с тканью "Шале" 2,87м - по 2,9м.</t>
  </si>
  <si>
    <t>ФЛЕКСИ                                                макс.</t>
  </si>
  <si>
    <r>
      <t xml:space="preserve">ШАЛЕ </t>
    </r>
    <r>
      <rPr>
        <b/>
        <sz val="12"/>
        <color indexed="53"/>
        <rFont val="Calibri"/>
        <family val="2"/>
        <charset val="204"/>
      </rPr>
      <t>NEW</t>
    </r>
    <r>
      <rPr>
        <b/>
        <sz val="12"/>
        <rFont val="Calibri"/>
        <family val="2"/>
        <charset val="204"/>
      </rPr>
      <t xml:space="preserve">                                               макс.</t>
    </r>
  </si>
  <si>
    <r>
      <t xml:space="preserve">Ткань "Флекси", "Шале" </t>
    </r>
    <r>
      <rPr>
        <sz val="12"/>
        <color indexed="53"/>
        <rFont val="Calibri"/>
        <family val="2"/>
        <charset val="204"/>
      </rPr>
      <t>NEW</t>
    </r>
  </si>
  <si>
    <t xml:space="preserve">Флекси </t>
  </si>
  <si>
    <t>Шале</t>
  </si>
  <si>
    <t>Для карниза "XL Абсолют"</t>
  </si>
  <si>
    <t>XL Абсолют</t>
  </si>
  <si>
    <r>
      <t xml:space="preserve">Римские шторы "XL Абсолют" с тканью Флекси, Шале </t>
    </r>
    <r>
      <rPr>
        <b/>
        <sz val="12"/>
        <color indexed="53"/>
        <rFont val="Book Antiqua"/>
        <family val="1"/>
        <charset val="204"/>
      </rPr>
      <t>NEW</t>
    </r>
  </si>
  <si>
    <t>https://gamma-i.ru/catalog/products/rimskie-shtory/rimskie-shtory-khl-absolyut/</t>
  </si>
  <si>
    <t xml:space="preserve">                                Цвет фурнитуры: белый (по умолчанию), бежевый, коричневый, темно-серый, черный.</t>
  </si>
  <si>
    <t>Римские шторы Компакт и XL и карнизы</t>
  </si>
  <si>
    <t>Римские шторы Компакт и XL</t>
  </si>
  <si>
    <r>
      <t xml:space="preserve">Рулонные жалюзи "ЛЮКС"                                                                                                                                                                                               </t>
    </r>
    <r>
      <rPr>
        <sz val="12"/>
        <rFont val="Bookman Old Style"/>
        <family val="1"/>
        <charset val="204"/>
      </rPr>
      <t xml:space="preserve">(изготавливаются на трубе </t>
    </r>
    <r>
      <rPr>
        <b/>
        <sz val="12"/>
        <rFont val="Bookman Old Style"/>
        <family val="1"/>
        <charset val="204"/>
      </rPr>
      <t>42 мм</t>
    </r>
    <r>
      <rPr>
        <sz val="12"/>
        <rFont val="Bookman Old Style"/>
        <family val="1"/>
        <charset val="204"/>
      </rPr>
      <t xml:space="preserve">)                                                                                                                                                                                                    </t>
    </r>
    <r>
      <rPr>
        <sz val="9"/>
        <rFont val="Bookman Old Style"/>
        <family val="1"/>
        <charset val="204"/>
      </rPr>
      <t>*для изделий шириной более 240 см рекомендовано использовать трубу 50 мм, которая увеичивает стоимость изделия на 5%</t>
    </r>
  </si>
  <si>
    <r>
      <rPr>
        <b/>
        <sz val="14"/>
        <rFont val="Book Antiqua"/>
        <family val="1"/>
        <charset val="204"/>
      </rPr>
      <t xml:space="preserve">Карниз для римских штор "XL" </t>
    </r>
    <r>
      <rPr>
        <b/>
        <sz val="12"/>
        <rFont val="Book Antiqua"/>
        <family val="1"/>
        <charset val="204"/>
      </rPr>
      <t xml:space="preserve">                     </t>
    </r>
    <r>
      <rPr>
        <b/>
        <sz val="10"/>
        <rFont val="Book Antiqua"/>
        <family val="1"/>
        <charset val="204"/>
      </rPr>
      <t xml:space="preserve">                                                                                  </t>
    </r>
  </si>
  <si>
    <t>Бежевый матовый</t>
  </si>
  <si>
    <t>Металлик глянец</t>
  </si>
  <si>
    <t>Брелок "Тесьма для деревянных жалюзи"</t>
  </si>
  <si>
    <t>Каталог "Рулонные шторы "Стандарт"</t>
  </si>
  <si>
    <t>Каталог "Рулонные шторы "Премиум"</t>
  </si>
  <si>
    <t>Каталог "Римские шторы"</t>
  </si>
  <si>
    <t>Брошюра "Все для окон. Интерьер-Стиль"</t>
  </si>
  <si>
    <t>Брошюра "Все для окон. Дилер"</t>
  </si>
  <si>
    <t>Стоимость, руб.</t>
  </si>
  <si>
    <t>Брошюра " Римские шторы"</t>
  </si>
  <si>
    <t>772082, 772085, 772091, 772093, 772095, 772098</t>
  </si>
  <si>
    <t>Брелок "Алюминиевая лента 16/25/50мм"</t>
  </si>
  <si>
    <t>Брелок "Горизонтальные деревянные жалюзи 25мм"</t>
  </si>
  <si>
    <t>Каталог "Дерево/бамбук 25/50мм" ( комплект из 5-ти шт)</t>
  </si>
  <si>
    <t>Возможные цвета пластиковых цепочек:белая (по умолчанию), антрацит, прозрачная белая, прозрачная коричневая.</t>
  </si>
  <si>
    <t>Изготовление ГРАНД на трубе 47 мм уменьшает стоимость изделия на 10%.</t>
  </si>
  <si>
    <t xml:space="preserve">Электропривод AM15ESE со встроенным радиоприемником B аккумулятором                                                                                    </t>
  </si>
  <si>
    <t xml:space="preserve">DekoRatio AM15ESE    </t>
  </si>
  <si>
    <t>перфорированные 100, 130, 23, 52, 56, 7016</t>
  </si>
  <si>
    <t>1, 202, 203, 206, 207, 211, 901, 1042; ПЕРФОРАЦИЯ: 23, 52, 56, 100, 130, 7016;</t>
  </si>
  <si>
    <r>
      <t>Дерево 25 мм</t>
    </r>
    <r>
      <rPr>
        <b/>
        <sz val="12"/>
        <color indexed="53"/>
        <rFont val="Times New Roman"/>
        <family val="1"/>
        <charset val="204"/>
      </rPr>
      <t xml:space="preserve"> NEW</t>
    </r>
  </si>
  <si>
    <t>25-… 31, 32, 33, 35, 36, 37, 38, 39, 40, 41, 42, 43, 44, 52, 53, 56, 58, 59, 62, 63, 64, 65, 66, 67 ,68 ,69 ,70, 71</t>
  </si>
  <si>
    <t>КОМБО Мини Нью</t>
  </si>
  <si>
    <t>Цвет фурнитуры: белый (по умолчанию), бежевый, серый (выводится), антрацит, бронза, серый (новый), черный.</t>
  </si>
  <si>
    <t>ВНИМАНИЕ: Спайка ткани увеличивает стоимость изделия на 100%</t>
  </si>
  <si>
    <t xml:space="preserve">DM35RVL  </t>
  </si>
  <si>
    <t>DM35RVL</t>
  </si>
  <si>
    <t>Нижняя планка плоская (алюминий), белая</t>
  </si>
  <si>
    <t>Нижняя планка плоская (алюминий), белая (у.е./м п.)*</t>
  </si>
  <si>
    <t>1 
категория</t>
  </si>
  <si>
    <t>2 
категория</t>
  </si>
  <si>
    <t>Горизонтальные алюминиевые АБСОЛЮТ 50 мм</t>
  </si>
  <si>
    <t>* - Жалюзи 50 мм неправильной формы  наценка 50%</t>
  </si>
  <si>
    <t>*Минимальная гарантийная ширина для 50 мм - 45см</t>
  </si>
  <si>
    <r>
      <t xml:space="preserve">Типы крепления для мансардных окон ПВХ 
</t>
    </r>
    <r>
      <rPr>
        <b/>
        <sz val="8"/>
        <rFont val="Bookman Old Style"/>
        <family val="1"/>
        <charset val="204"/>
      </rPr>
      <t>*Минимальная гарантийная ширина с мансардной пробивкой для 50 мм - 45см.</t>
    </r>
  </si>
  <si>
    <t>Тканевая лесенка - у.е /м2</t>
  </si>
  <si>
    <r>
      <t xml:space="preserve">Горизонтальные алюминиевые жалюзи                                                     </t>
    </r>
    <r>
      <rPr>
        <b/>
        <sz val="10"/>
        <rFont val="Bookman Old Style"/>
        <family val="1"/>
        <charset val="204"/>
      </rPr>
      <t>*Минимальная гарантийная ширина для 16 и 25 мм - 23 см</t>
    </r>
  </si>
  <si>
    <r>
      <t xml:space="preserve">Типы крепления для мансардных окон ПВХ                                                </t>
    </r>
    <r>
      <rPr>
        <b/>
        <sz val="10"/>
        <rFont val="Bookman Old Style"/>
        <family val="1"/>
        <charset val="204"/>
      </rPr>
      <t>*Минимальная гарантийная ширина с мансардной пробивкой                                                                    для 16 и 25 мм - 32,5 см</t>
    </r>
  </si>
  <si>
    <t>Варианты управления для горизонтальных жалюзи
 с электроприводом</t>
  </si>
  <si>
    <t>Горизонтальные дерево, бамбук 25 мм</t>
  </si>
  <si>
    <r>
      <rPr>
        <b/>
        <u/>
        <sz val="10"/>
        <rFont val="Arial Cyr"/>
        <charset val="204"/>
      </rPr>
      <t>1 категория:</t>
    </r>
    <r>
      <rPr>
        <b/>
        <sz val="10"/>
        <rFont val="Arial Cyr"/>
        <charset val="204"/>
      </rPr>
      <t xml:space="preserve"> 100, 104, 130, 23, 27, 56, 7042, 7043; </t>
    </r>
    <r>
      <rPr>
        <b/>
        <u/>
        <sz val="10"/>
        <rFont val="Arial Cyr"/>
        <charset val="204"/>
      </rPr>
      <t>2 категория:</t>
    </r>
    <r>
      <rPr>
        <b/>
        <sz val="10"/>
        <rFont val="Arial Cyr"/>
        <charset val="204"/>
      </rPr>
      <t xml:space="preserve"> перфорированные 100, 130, 56, 7043.</t>
    </r>
  </si>
  <si>
    <t>Наценка за металлическую цепочку  - у.е /м2</t>
  </si>
  <si>
    <t>Наценка за цепочный механизм (по умолчанию используется пластиковая цепочка)  - у.е /м2</t>
  </si>
  <si>
    <t>https://gamma-i.ru/catalog/automation/elektroprivody/dekoratio-ii-am35mel-wifi/</t>
  </si>
  <si>
    <t>Электропривод AM35MEL WiFi 220В (6/28)</t>
  </si>
  <si>
    <t>AM35MEL</t>
  </si>
  <si>
    <t>Варианты электроприводов для рулонных жалюзи ЛЮКС ПРЕМИУМ</t>
  </si>
  <si>
    <t>Блок управления Умный дом AC520</t>
  </si>
  <si>
    <r>
      <t xml:space="preserve">Электропривод DM35RVL 230В с радиоприемником </t>
    </r>
    <r>
      <rPr>
        <sz val="11"/>
        <color indexed="53"/>
        <rFont val="Times New Roman"/>
        <family val="1"/>
        <charset val="204"/>
      </rPr>
      <t xml:space="preserve">*низкий уровень шума </t>
    </r>
    <r>
      <rPr>
        <sz val="11"/>
        <color indexed="8"/>
        <rFont val="Times New Roman"/>
        <family val="1"/>
        <charset val="204"/>
      </rPr>
      <t>(10/17)</t>
    </r>
  </si>
  <si>
    <t>Электропривод DM35RVL 230В с радиоприемником *низкий уровень шума (10/17)</t>
  </si>
  <si>
    <t>Электропривод DM35SL 230В (10/17)</t>
  </si>
  <si>
    <t>0 
категория</t>
  </si>
  <si>
    <t>2
 категория</t>
  </si>
  <si>
    <t>3 
категория</t>
  </si>
  <si>
    <t>4 
категория</t>
  </si>
  <si>
    <t>5 
категория</t>
  </si>
  <si>
    <t>Боковые направляющие, белые</t>
  </si>
  <si>
    <t xml:space="preserve">Дополнительно  можно приобрести металлическую цепочку в следующих цветах: латунь, бронза, серебро (никель), серый никель, черный никель, матовое золото, медь, хром. </t>
  </si>
  <si>
    <t>Цвет фурнитуры: белый. Тип механизма: 1:1.</t>
  </si>
  <si>
    <t>Механизм ПРЕМИУМ для трубы 42 мм белый пластик 1:3</t>
  </si>
  <si>
    <t>, у.е./шт.</t>
  </si>
  <si>
    <t>Для рулонных штор ЛЮКС, выполненных из тканей "блэкаут", максимально возможная ширина изделия равна 260 см. 
Шторы, шириной превышающей указанную, изготавливаются без гарантии и под ответственность заказчика.</t>
  </si>
  <si>
    <r>
      <t xml:space="preserve">Электропривод AM35Q - "фазный" </t>
    </r>
    <r>
      <rPr>
        <sz val="11"/>
        <color indexed="53"/>
        <rFont val="Times New Roman"/>
        <family val="1"/>
        <charset val="204"/>
      </rPr>
      <t>NEW</t>
    </r>
  </si>
  <si>
    <r>
      <t xml:space="preserve">Электропривод AM35G - с возможностью параллельного подключения </t>
    </r>
    <r>
      <rPr>
        <sz val="11"/>
        <color indexed="53"/>
        <rFont val="Times New Roman"/>
        <family val="1"/>
        <charset val="204"/>
      </rPr>
      <t>NEW</t>
    </r>
  </si>
  <si>
    <r>
      <t xml:space="preserve">Электропривод AM35QMEL - со встроенным радио приёмником </t>
    </r>
    <r>
      <rPr>
        <sz val="11"/>
        <color indexed="53"/>
        <rFont val="Times New Roman"/>
        <family val="1"/>
        <charset val="204"/>
      </rPr>
      <t>NEW</t>
    </r>
  </si>
  <si>
    <t>Ограничения по размерам для рулонных жалюзи Кватро Люкс с электроприводом</t>
  </si>
  <si>
    <t>Варианты управления для рулонных жалюзи Кватро Люкс с электроприводом</t>
  </si>
  <si>
    <t>Электропривод DK30DE 12В в комплекте с блоком питания</t>
  </si>
  <si>
    <t>*Нижний отвес: Малый Комбо Премиум, белый (по умолчанию), антрацит, бронза, серый, черный.</t>
  </si>
  <si>
    <t>Цвет фурнитуры: белый (по умолчанию), коричневый, светло-серый *, антрацит*, чёрный*.</t>
  </si>
  <si>
    <t>Цвет фурнитуры: белый (по умолчанию), коричневый, светло-серый, антрацит, чёрный.</t>
  </si>
  <si>
    <t>Цвет фурнитуры: белый (по умолчанию), дуб, бронза, серый, антрацит, чёрный.</t>
  </si>
  <si>
    <t>КОМБО МИНИ НЬЮ</t>
  </si>
  <si>
    <t>МИНИ НЬЮ</t>
  </si>
  <si>
    <r>
      <t xml:space="preserve">Миникассетные рулонные жалюзи "МИНИ НЬЮ"                                                                                           </t>
    </r>
    <r>
      <rPr>
        <sz val="12"/>
        <rFont val="Times New Roman"/>
        <family val="1"/>
        <charset val="204"/>
      </rPr>
      <t xml:space="preserve">(изготавливаются на трубе </t>
    </r>
    <r>
      <rPr>
        <b/>
        <sz val="12"/>
        <rFont val="Times New Roman"/>
        <family val="1"/>
        <charset val="204"/>
      </rPr>
      <t>19 мм</t>
    </r>
    <r>
      <rPr>
        <sz val="12"/>
        <rFont val="Times New Roman"/>
        <family val="1"/>
        <charset val="204"/>
      </rPr>
      <t>)</t>
    </r>
  </si>
  <si>
    <t>Максимально допустимые размеры по ширине: с гарантией- до 80 см, без гарантии- до 90 см</t>
  </si>
  <si>
    <t>Рибкорд</t>
  </si>
  <si>
    <t>Одесса</t>
  </si>
  <si>
    <t>Капелло</t>
  </si>
  <si>
    <r>
      <t xml:space="preserve">Электропривод DM35SL 230В </t>
    </r>
    <r>
      <rPr>
        <sz val="11"/>
        <color indexed="53"/>
        <rFont val="Times New Roman"/>
        <family val="1"/>
        <charset val="204"/>
      </rPr>
      <t>*низкий уровень шума</t>
    </r>
    <r>
      <rPr>
        <sz val="11"/>
        <color indexed="8"/>
        <rFont val="Times New Roman"/>
        <family val="1"/>
        <charset val="204"/>
      </rPr>
      <t xml:space="preserve"> </t>
    </r>
  </si>
  <si>
    <t xml:space="preserve">Электропривод DM35SL 230В </t>
  </si>
  <si>
    <t>Электропривод DM35SL 230В</t>
  </si>
  <si>
    <t>Электропривод DV24DH 24В серединный (1,2/45)</t>
  </si>
  <si>
    <t>Электропривод DV24DG 24В боковой (0,6/45)</t>
  </si>
  <si>
    <t>DV24DH 24В</t>
  </si>
  <si>
    <t>DV24DG 24В</t>
  </si>
  <si>
    <t>Карниз 89мм в сборе (цепь управления в комплекте)</t>
  </si>
  <si>
    <t>Максимально возможная                                           высота до 1,21 м</t>
  </si>
  <si>
    <t>группа 6</t>
  </si>
  <si>
    <t>6 группа</t>
  </si>
  <si>
    <t>2,25*</t>
  </si>
  <si>
    <t>*флекси снежно-белый макс.ширина 1,83 м</t>
  </si>
  <si>
    <t>Эмилия</t>
  </si>
  <si>
    <t>Эмилия блэкаут</t>
  </si>
  <si>
    <t>Нуар</t>
  </si>
  <si>
    <t>Блок управления Умный дом AC520-02 Wi-Fi</t>
  </si>
  <si>
    <t>Металлик перфорированный</t>
  </si>
  <si>
    <t>Антрацит</t>
  </si>
  <si>
    <r>
      <t xml:space="preserve">* - Жалюзи 25 мм неправильной формы, наценка 250% </t>
    </r>
    <r>
      <rPr>
        <b/>
        <sz val="10"/>
        <color indexed="53"/>
        <rFont val="Times New Roman"/>
        <family val="1"/>
        <charset val="204"/>
      </rPr>
      <t>(на 16 мм неправильная форма недоступна )</t>
    </r>
  </si>
  <si>
    <t>Зарядное устройство DC264, 12.6В-1А</t>
  </si>
  <si>
    <t>мин. возможная ширина изделия - 27см</t>
  </si>
  <si>
    <t>https://gamma-i.ru/catalog/products/rulonnye-shtory-svobodnovisyashchie/kvatro-klassik/</t>
  </si>
  <si>
    <r>
      <t xml:space="preserve">Рулонные жалюзи Кватро ЛЮКС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Bookman Old Style"/>
        <family val="1"/>
        <charset val="204"/>
      </rPr>
      <t xml:space="preserve">(изготавливаются на трубе </t>
    </r>
    <r>
      <rPr>
        <b/>
        <sz val="12"/>
        <rFont val="Bookman Old Style"/>
        <family val="1"/>
        <charset val="204"/>
      </rPr>
      <t xml:space="preserve">42 мм, </t>
    </r>
    <r>
      <rPr>
        <sz val="12"/>
        <rFont val="Bookman Old Style"/>
        <family val="1"/>
        <charset val="204"/>
      </rPr>
      <t xml:space="preserve">для изделий шириной </t>
    </r>
    <r>
      <rPr>
        <b/>
        <sz val="12"/>
        <rFont val="Bookman Old Style"/>
        <family val="1"/>
        <charset val="204"/>
      </rPr>
      <t>более 240 см</t>
    </r>
    <r>
      <rPr>
        <sz val="12"/>
        <rFont val="Bookman Old Style"/>
        <family val="1"/>
        <charset val="204"/>
      </rPr>
      <t xml:space="preserve"> рекомендовано использовать трубу </t>
    </r>
    <r>
      <rPr>
        <b/>
        <sz val="12"/>
        <rFont val="Bookman Old Style"/>
        <family val="1"/>
        <charset val="204"/>
      </rPr>
      <t>50 мм</t>
    </r>
    <r>
      <rPr>
        <sz val="12"/>
        <rFont val="Bookman Old Style"/>
        <family val="1"/>
        <charset val="204"/>
      </rPr>
      <t xml:space="preserve">)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</si>
  <si>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https://gamma-i.ru/catalog/products/rulonnye-shtory-svobodnovisyashchie/kvatro-lyuks/</t>
  </si>
  <si>
    <t>SOMFY                             (Франция)</t>
  </si>
  <si>
    <t>SOMFY                              (Франция)</t>
  </si>
  <si>
    <t>SOMFY                                 (Франция)</t>
  </si>
  <si>
    <t xml:space="preserve">у.е.к изделию/1 м.п. высоты </t>
  </si>
  <si>
    <t xml:space="preserve"> +</t>
  </si>
  <si>
    <t>у.е.к изделию/1 м.п. ширины</t>
  </si>
  <si>
    <t>Боковые + нижняя  направляющие, белые</t>
  </si>
  <si>
    <t>Рулонные Кватро Классик</t>
  </si>
  <si>
    <t>Рулонные Кватро Люкс</t>
  </si>
  <si>
    <r>
      <t xml:space="preserve">Рулонные жалюзи Кватро КЛАССИК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Bookman Old Style"/>
        <family val="1"/>
        <charset val="204"/>
      </rPr>
      <t xml:space="preserve">(изготавливаются на трубе </t>
    </r>
    <r>
      <rPr>
        <b/>
        <sz val="12"/>
        <rFont val="Bookman Old Style"/>
        <family val="1"/>
        <charset val="204"/>
      </rPr>
      <t>28,5 мм)</t>
    </r>
  </si>
  <si>
    <t>Рулонные КВАТРО Классик</t>
  </si>
  <si>
    <t>Рулонные КВАТРО Люкс</t>
  </si>
  <si>
    <t>Скрин 311,312,313 алю</t>
  </si>
  <si>
    <t>Бабочки</t>
  </si>
  <si>
    <t>Космос</t>
  </si>
  <si>
    <t>Треугольники</t>
  </si>
  <si>
    <t>Шарики</t>
  </si>
  <si>
    <t>Монстрики</t>
  </si>
  <si>
    <t>Капитан</t>
  </si>
  <si>
    <t>Зайчики</t>
  </si>
  <si>
    <t>Знаки</t>
  </si>
  <si>
    <t>Черепашки</t>
  </si>
  <si>
    <t>Транспорт</t>
  </si>
  <si>
    <t>Жирафы</t>
  </si>
  <si>
    <t>Оливки</t>
  </si>
  <si>
    <t>Подсолнух</t>
  </si>
  <si>
    <t>Кексы</t>
  </si>
  <si>
    <t>Звездочки</t>
  </si>
  <si>
    <t>Зоопарк</t>
  </si>
  <si>
    <t>Машинки</t>
  </si>
  <si>
    <t>Овечки</t>
  </si>
  <si>
    <t>Совушки</t>
  </si>
  <si>
    <t>Кексы блэкаут</t>
  </si>
  <si>
    <t>Звездочки блэкаут</t>
  </si>
  <si>
    <t>Зоопарк блэкаут</t>
  </si>
  <si>
    <t>Машинки блэкаут</t>
  </si>
  <si>
    <t>Овечки блэкаут</t>
  </si>
  <si>
    <t>Совушки блэкаут</t>
  </si>
  <si>
    <t>Цветы</t>
  </si>
  <si>
    <t>Роза</t>
  </si>
  <si>
    <t>Единорожки</t>
  </si>
  <si>
    <t>Паровозик</t>
  </si>
  <si>
    <t>Роботы</t>
  </si>
  <si>
    <t>Оливки блэкаут</t>
  </si>
  <si>
    <t>Подсолнух блэкаут</t>
  </si>
  <si>
    <t>Фея белый</t>
  </si>
  <si>
    <t>Фея бежевый</t>
  </si>
  <si>
    <t>772081,772082, 772083, 772085, 772091, 772093, 772095, 772098</t>
  </si>
  <si>
    <t>21, 23, 48, 56, 79, 90, 100, 187, 7016</t>
  </si>
  <si>
    <t>1, 203, 207, 211, 1042</t>
  </si>
  <si>
    <t>10, 17, 159,19, 23, 27,292, 39, 40, 44, 46, 46/48, 48, 50, 56, 67, 84, 97, 104, 106, 130, 146, 163, 187, 188, 189, 330, 427, 497, 532, 608, 611, 7016, 730</t>
  </si>
  <si>
    <t xml:space="preserve">Типы крепления для мансардных окон ПВХ           </t>
  </si>
  <si>
    <r>
      <t>*</t>
    </r>
    <r>
      <rPr>
        <b/>
        <sz val="10"/>
        <color indexed="8"/>
        <rFont val="Times New Roman"/>
        <family val="1"/>
        <charset val="204"/>
      </rPr>
      <t>Дабл изготавливается только с механизмом ПРЕМИУМ белый пластик 1:1 или ПРЕМИУМ белый пластик 1:3.</t>
    </r>
  </si>
  <si>
    <r>
      <t xml:space="preserve">Комлект кронштейнов  и крышек Дабл (белый) </t>
    </r>
    <r>
      <rPr>
        <b/>
        <sz val="10"/>
        <color indexed="53"/>
        <rFont val="Times New Roman"/>
        <family val="1"/>
        <charset val="204"/>
      </rPr>
      <t>*</t>
    </r>
  </si>
  <si>
    <r>
      <t>Комлект кронштейнов и крышек Дабл (Антрацит, Бежевый, Бронза, Серый, Черный)</t>
    </r>
    <r>
      <rPr>
        <b/>
        <sz val="10"/>
        <color indexed="53"/>
        <rFont val="Times New Roman"/>
        <family val="1"/>
        <charset val="204"/>
      </rPr>
      <t>*</t>
    </r>
  </si>
  <si>
    <r>
      <t>*</t>
    </r>
    <r>
      <rPr>
        <b/>
        <sz val="10"/>
        <color indexed="8"/>
        <rFont val="Times New Roman"/>
        <family val="1"/>
        <charset val="204"/>
      </rPr>
      <t>Дабл изготавливается только с механизмом Классик ПРЕМИУМ белый пластик 1:1 или Классик ПРЕМИУМ белый пластик 1:3.</t>
    </r>
  </si>
  <si>
    <r>
      <rPr>
        <b/>
        <sz val="10"/>
        <color indexed="53"/>
        <rFont val="Times New Roman"/>
        <family val="1"/>
        <charset val="204"/>
      </rPr>
      <t xml:space="preserve">Расчет Дабл: </t>
    </r>
    <r>
      <rPr>
        <b/>
        <sz val="10"/>
        <rFont val="Times New Roman"/>
        <family val="1"/>
        <charset val="204"/>
      </rPr>
      <t>Стоимость одного изделия Классик</t>
    </r>
    <r>
      <rPr>
        <b/>
        <sz val="10"/>
        <color indexed="53"/>
        <rFont val="Times New Roman"/>
        <family val="1"/>
        <charset val="204"/>
      </rPr>
      <t xml:space="preserve"> +</t>
    </r>
    <r>
      <rPr>
        <b/>
        <sz val="10"/>
        <rFont val="Times New Roman"/>
        <family val="1"/>
        <charset val="204"/>
      </rPr>
      <t xml:space="preserve"> стоимость второго изделия Классик / Комбо Классик </t>
    </r>
    <r>
      <rPr>
        <b/>
        <sz val="10"/>
        <color indexed="53"/>
        <rFont val="Times New Roman"/>
        <family val="1"/>
        <charset val="204"/>
      </rPr>
      <t xml:space="preserve">+ </t>
    </r>
    <r>
      <rPr>
        <b/>
        <sz val="10"/>
        <color indexed="8"/>
        <rFont val="Times New Roman"/>
        <family val="1"/>
        <charset val="204"/>
      </rPr>
      <t>2 шт:</t>
    </r>
    <r>
      <rPr>
        <b/>
        <sz val="10"/>
        <color indexed="53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 xml:space="preserve">механизм Классик ПРЕМИУМ белый пластик 1:1/ 1:3 (по одному комплекту на каждую штору) </t>
    </r>
    <r>
      <rPr>
        <b/>
        <sz val="10"/>
        <color indexed="53"/>
        <rFont val="Times New Roman"/>
        <family val="1"/>
        <charset val="204"/>
      </rPr>
      <t xml:space="preserve">+  </t>
    </r>
    <r>
      <rPr>
        <b/>
        <sz val="10"/>
        <color indexed="8"/>
        <rFont val="Times New Roman"/>
        <family val="1"/>
        <charset val="204"/>
      </rPr>
      <t xml:space="preserve">1 </t>
    </r>
    <r>
      <rPr>
        <b/>
        <sz val="10"/>
        <color indexed="8"/>
        <rFont val="Times New Roman"/>
        <family val="1"/>
        <charset val="204"/>
      </rPr>
      <t xml:space="preserve">комплект кронштейнов и крышек Дабл </t>
    </r>
  </si>
  <si>
    <t>ЛЮКС/ ЛЮКС Премиум/ ДАБЛ ЛЮКС</t>
  </si>
  <si>
    <t>КЛАССИК Премиум / ДАБЛ КЛАССИК</t>
  </si>
  <si>
    <r>
      <rPr>
        <b/>
        <sz val="10"/>
        <color indexed="53"/>
        <rFont val="Times New Roman"/>
        <family val="1"/>
        <charset val="204"/>
      </rPr>
      <t xml:space="preserve">Расчет Дабл: </t>
    </r>
    <r>
      <rPr>
        <b/>
        <sz val="10"/>
        <rFont val="Times New Roman"/>
        <family val="1"/>
        <charset val="204"/>
      </rPr>
      <t>Стоимость одного изделия Люкс</t>
    </r>
    <r>
      <rPr>
        <b/>
        <sz val="10"/>
        <color indexed="53"/>
        <rFont val="Times New Roman"/>
        <family val="1"/>
        <charset val="204"/>
      </rPr>
      <t xml:space="preserve"> +</t>
    </r>
    <r>
      <rPr>
        <b/>
        <sz val="10"/>
        <rFont val="Times New Roman"/>
        <family val="1"/>
        <charset val="204"/>
      </rPr>
      <t xml:space="preserve"> стоимость второго изделия Люкс / Комбо Б-52 Люкс </t>
    </r>
    <r>
      <rPr>
        <b/>
        <sz val="10"/>
        <color indexed="53"/>
        <rFont val="Times New Roman"/>
        <family val="1"/>
        <charset val="204"/>
      </rPr>
      <t xml:space="preserve">+ </t>
    </r>
    <r>
      <rPr>
        <b/>
        <sz val="10"/>
        <color indexed="8"/>
        <rFont val="Times New Roman"/>
        <family val="1"/>
        <charset val="204"/>
      </rPr>
      <t>2 шт:</t>
    </r>
    <r>
      <rPr>
        <b/>
        <sz val="10"/>
        <color indexed="53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 xml:space="preserve">механизм ПРЕМИУМ белый пластик 1:1/ 1:3 (по одному комплекту на каждую штору) </t>
    </r>
    <r>
      <rPr>
        <b/>
        <sz val="10"/>
        <color indexed="53"/>
        <rFont val="Times New Roman"/>
        <family val="1"/>
        <charset val="204"/>
      </rPr>
      <t xml:space="preserve">+ </t>
    </r>
    <r>
      <rPr>
        <b/>
        <sz val="10"/>
        <color indexed="8"/>
        <rFont val="Times New Roman"/>
        <family val="1"/>
        <charset val="204"/>
      </rPr>
      <t xml:space="preserve">1 </t>
    </r>
    <r>
      <rPr>
        <b/>
        <sz val="10"/>
        <color indexed="8"/>
        <rFont val="Times New Roman"/>
        <family val="1"/>
        <charset val="204"/>
      </rPr>
      <t xml:space="preserve">комплект кронштейнов и крышек Дабл </t>
    </r>
  </si>
  <si>
    <t>Кватро Люкс</t>
  </si>
  <si>
    <t>Кватро Классик</t>
  </si>
  <si>
    <r>
      <t xml:space="preserve">Комбо Кватро КЛАССИК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Bookman Old Style"/>
        <family val="1"/>
        <charset val="204"/>
      </rPr>
      <t xml:space="preserve">(изготавливаются на трубе </t>
    </r>
    <r>
      <rPr>
        <b/>
        <sz val="12"/>
        <rFont val="Bookman Old Style"/>
        <family val="1"/>
        <charset val="204"/>
      </rPr>
      <t>28,5 мм)</t>
    </r>
  </si>
  <si>
    <r>
      <t xml:space="preserve">Комбо Кватро ЛЮКС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Bookman Old Style"/>
        <family val="1"/>
        <charset val="204"/>
      </rPr>
      <t xml:space="preserve">(изготавливаются на трубе </t>
    </r>
    <r>
      <rPr>
        <b/>
        <sz val="12"/>
        <rFont val="Bookman Old Style"/>
        <family val="1"/>
        <charset val="204"/>
      </rPr>
      <t xml:space="preserve">42 мм, </t>
    </r>
    <r>
      <rPr>
        <sz val="12"/>
        <rFont val="Bookman Old Style"/>
        <family val="1"/>
        <charset val="204"/>
      </rPr>
      <t xml:space="preserve">для изделий шириной </t>
    </r>
    <r>
      <rPr>
        <b/>
        <sz val="12"/>
        <rFont val="Bookman Old Style"/>
        <family val="1"/>
        <charset val="204"/>
      </rPr>
      <t>более 240 см</t>
    </r>
    <r>
      <rPr>
        <sz val="12"/>
        <rFont val="Bookman Old Style"/>
        <family val="1"/>
        <charset val="204"/>
      </rPr>
      <t xml:space="preserve"> рекомендовано использовать трубу </t>
    </r>
    <r>
      <rPr>
        <b/>
        <sz val="12"/>
        <rFont val="Bookman Old Style"/>
        <family val="1"/>
        <charset val="204"/>
      </rPr>
      <t>50 мм</t>
    </r>
    <r>
      <rPr>
        <sz val="12"/>
        <rFont val="Bookman Old Style"/>
        <family val="1"/>
        <charset val="204"/>
      </rPr>
      <t xml:space="preserve">)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</si>
  <si>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КОМБО Кватро Классик</t>
  </si>
  <si>
    <t>КОМБО Кватро Люкс</t>
  </si>
  <si>
    <t>Нижний отвес: Комбо премиум малый (труба с заглушкой: белый, антрацит,бежевый, бронза,серый,черный), комбо премиум средний  (белый, антрацит, бежевый,бронза,серый,черный),Комбо премиум большой двухсоставный (белый, антрацит,бежевый,бронза,серый,черный) - без наценки.</t>
  </si>
  <si>
    <t>Изготавливаются на трубе 28,5 мм</t>
  </si>
  <si>
    <t>Система с коробом без направляющих</t>
  </si>
  <si>
    <t>Карниз(монтажный профиль) - по умолчанию.</t>
  </si>
  <si>
    <t xml:space="preserve">Дополнительно  можно приобрести металлическую цепочку в следующих цветах: латунь, серебро (никель), серый никель, черный никель, матовое золото, медь, хром. </t>
  </si>
  <si>
    <t>Варианты управления для рулонных жалюзи Комбо Кватро Люкс с электроприводом</t>
  </si>
  <si>
    <t>Ограничения по размерам для рулонных жалюзи Комбо Кватро Люкс с электроприводом</t>
  </si>
  <si>
    <t>Варианты электроприводов для рулонных жалюзи Комбо Кватро Люкс</t>
  </si>
  <si>
    <t>Изготавливаются на трубе 42 мм, для изделий шириной более 240 см рекомендовано использовать трубу 50 мм</t>
  </si>
  <si>
    <t>Механизм ПРЕМИУМ белый пластик 1:3</t>
  </si>
  <si>
    <t>Комбо Кватро Классик</t>
  </si>
  <si>
    <t>Ткань Комбо</t>
  </si>
  <si>
    <t>Комбо Кватро Люкс</t>
  </si>
  <si>
    <t>Цвет фурнитуры: белый (по умолчанию), черный.</t>
  </si>
  <si>
    <t>Космос блэкаут</t>
  </si>
  <si>
    <t>Воздушный шар блэкаут</t>
  </si>
  <si>
    <t>Глобусы блэкаут</t>
  </si>
  <si>
    <t>Зверята блэкаут</t>
  </si>
  <si>
    <t>Музыка блэкаут</t>
  </si>
  <si>
    <t>Птички блэкаут</t>
  </si>
  <si>
    <t>Совушки подружки блэкаут</t>
  </si>
  <si>
    <t>Фрегат блэкаут</t>
  </si>
  <si>
    <t xml:space="preserve">Меркурий </t>
  </si>
  <si>
    <t>Гренада блэкаут</t>
  </si>
  <si>
    <t>Сето</t>
  </si>
  <si>
    <t>Электропривод AM24EL 24В (1/34), центральный, без аккумулятора</t>
  </si>
  <si>
    <t>Блок питания для привода AM24</t>
  </si>
  <si>
    <t>AM24EL 24В без аккумулятора</t>
  </si>
  <si>
    <t>DekoRatio 2  (Китай)</t>
  </si>
  <si>
    <t>https://gamma-i.ru/catalog/automation/elektroprivody/dekoratio-ii-am24el/</t>
  </si>
  <si>
    <t>КОМБО В-52 Стандарт,Классик</t>
  </si>
  <si>
    <t>DV24AF 12В (блок питания или АКБ-внешние)</t>
  </si>
  <si>
    <t>Электропривод DV24AF 12В с радиоприемником, серединный (0,8/45) с внешним аккумулятором DC1278B</t>
  </si>
  <si>
    <t>АМ24 24В + блок питания внутрикарнизный</t>
  </si>
  <si>
    <t>Электропривод DV24AF серединный с  внешним аккумулятором DC1278B</t>
  </si>
  <si>
    <t>Блок питания  DC943A 12В для электропривода</t>
  </si>
  <si>
    <t>Наличие усиленного механизма увеличивает стоимость изделия на</t>
  </si>
  <si>
    <t>Электроуправление для рулонных жалюзи Уни-1 (ламинацмия)</t>
  </si>
  <si>
    <t>Варианты управления для рулонных жалюзи Уни-1 (ламинация) с электроприводом</t>
  </si>
  <si>
    <t>Варианты управления для рулонных жалюзи Уни-2 с электроприводом</t>
  </si>
  <si>
    <t>Максимальная ширина изделия без усиленного механизма 130см</t>
  </si>
  <si>
    <t>Электроуправление для рулонных жалюзи Уни-2(ламинация)</t>
  </si>
  <si>
    <t>Варианты электроприводов для рулонных жалюзи Уни-2 (ламинация)</t>
  </si>
  <si>
    <t>Варианты управления для рулонных жалюзи Уни-2 (ламинация) с электроприводом</t>
  </si>
  <si>
    <t>Ограничения по размерам КОМБО Уни-2 с электроприводом</t>
  </si>
  <si>
    <t>Ограничения по размерам  КОМБО Уни-2 с электроприводом</t>
  </si>
  <si>
    <t>Ограничения по размерам КОМБО Уни-1 с электроприводом</t>
  </si>
  <si>
    <t>Ткань "Скрин" не используется при усиленном механизме</t>
  </si>
  <si>
    <t>Максимальная ширина изделия с усиленным механизмом 210см</t>
  </si>
  <si>
    <t>*Минимальная ширина - 0,30 м; максимальная ширина 1,50 м без усиленного механизма; максимальная ширина с усиленным механизмом 2,10м</t>
  </si>
  <si>
    <t>*Минимальная ширина - 0,30 м; максимальная ширина 1,50 м без усиленного механизма; максимальная ширина изделия с усиленным механизмом 2,10м.</t>
  </si>
  <si>
    <t>Кабель-канал 16х16 белый пластик</t>
  </si>
  <si>
    <t>Кабель-канал 16х16 черный пластик</t>
  </si>
  <si>
    <t>Кабель-канал 40х25 белый пластик</t>
  </si>
  <si>
    <t>Кабель-канал 40х25 черный пластик</t>
  </si>
  <si>
    <t>Провод ПВС 3х0,5 кв.мм белый</t>
  </si>
  <si>
    <t>Провод ПВС 3х0,75 кв.мм белый</t>
  </si>
  <si>
    <t>Провод ПВС 3х1,5 кв.мм белый</t>
  </si>
  <si>
    <t>Распаечная коробка 75х75х30 пластиковая белая IP42</t>
  </si>
  <si>
    <t>Вилка прямой ввод белая 220В</t>
  </si>
  <si>
    <t>Вилка прямой ввод черная 220В</t>
  </si>
  <si>
    <t>Комплектация для монтажа изделий с электроприводом</t>
  </si>
  <si>
    <t>ед. изм.</t>
  </si>
  <si>
    <t>м</t>
  </si>
  <si>
    <t>Распаечная коробка 75х75х30 пластиковая антрацит IP42</t>
  </si>
  <si>
    <t>ЦЕНА в руб</t>
  </si>
  <si>
    <t>*** Механизм 42 мм, черный, у.е/м.п.</t>
  </si>
  <si>
    <t>лента           100</t>
  </si>
  <si>
    <t>лента          цвет</t>
  </si>
  <si>
    <t>лента      перф, под дерево</t>
  </si>
  <si>
    <t>Цвет фурнитуры БЕЛЫЙ</t>
  </si>
  <si>
    <t xml:space="preserve">Цвет ленты:
10, 17, 19, 23, 27, 39, 40, 44, 46, 46/48, 48, 50, 56, 67, 84, 97, 104, 106, 130, 146, 163, 187, 188, 189, 330, 427, 497, 532, 608, 611, 7016, 730,292 </t>
  </si>
  <si>
    <t xml:space="preserve">Миникассетные горизонтальные алюминиевые жалюзи
              «ИЗОЛАЙТ» 25 мм </t>
  </si>
  <si>
    <t>лента          203</t>
  </si>
  <si>
    <t xml:space="preserve">Миникассетные горизонтальные алюминиевые жалюзи
              «ИЗОЛАЙТ» 16 мм </t>
  </si>
  <si>
    <t>лента  под дерево</t>
  </si>
  <si>
    <t>Цвет фурнитуры: бежевый, коричневый, серебро</t>
  </si>
  <si>
    <t>Цвет фурнитуры: бежевый, коричневый, серебро.</t>
  </si>
  <si>
    <t xml:space="preserve">Миникассетные горизонтальные алюминиевые жалюзи
              «ИСОТРА ХИТ 2» 25 мм </t>
  </si>
  <si>
    <t>Цвет фурнитуры: золотой дуб, махагон, темный дуб</t>
  </si>
  <si>
    <t xml:space="preserve">Миникассетные горизонтальные алюминиевые жалюзи
              «ИСОТРА ХИТ 2» 16 мм </t>
  </si>
  <si>
    <t>Цвет фурнитуры: белый,  антрацит , бежевый, коричневый, серебро.</t>
  </si>
  <si>
    <t>Цвет фурнитуры: золотой дуб, махагон, темный дуб.</t>
  </si>
  <si>
    <t>Цвет фурнитуры: белый, коричневый.</t>
  </si>
  <si>
    <t xml:space="preserve">Миникассетные горизонтальные алюминиевые жалюзи
              «ИСОТРА» 25 мм </t>
  </si>
  <si>
    <t xml:space="preserve">Миникассетные горизонтальные алюминиевые жалюзи
              «ИСОТРА» 16 мм </t>
  </si>
  <si>
    <t>ИЗОЛАЙТ 25мм белая фурнитура</t>
  </si>
  <si>
    <t>ИЗОЛАЙТ 25мм цветная фурнитура</t>
  </si>
  <si>
    <t>ИЗОЛАЙТ  16мм белая фурнитура</t>
  </si>
  <si>
    <t>ИЗОЛАЙТ  16мм цветная фурнитура</t>
  </si>
  <si>
    <t>ИСОТРА ХИТ 2  25мм ламинация</t>
  </si>
  <si>
    <t>ИСОТРА ХИТ 2 16мм ламинация</t>
  </si>
  <si>
    <t>Цвет ленты 100</t>
  </si>
  <si>
    <t xml:space="preserve">Цвет ленты:10, 17, 19, 23, 27, 39, 40, 44, 46, 46/48, 48, 50, 56, 67, 84, 97, 104, 106, 130, 146, 163, 187, 188, 189, 330, 427, 497, 532, 608, 611, 7016, 730,292 </t>
  </si>
  <si>
    <t>Цвет ленты:1, 203, 207, 211, 1042</t>
  </si>
  <si>
    <t>Цвет ленты перфорированные: 100, 130, 23, 52, 56, 7016
под дерево: 772082, 772083, 772085, 772091, 772093, 772095, 772098</t>
  </si>
  <si>
    <t>Цвет ленты 21, 23, 48, 56, 79, 90, 100, 187, 7016</t>
  </si>
  <si>
    <t xml:space="preserve">Цвет ленты под дерево: 772085, 772091, 772093, 772095, 772098 </t>
  </si>
  <si>
    <t>Цвет ленты: 1, 203, 207, 211, 1042</t>
  </si>
  <si>
    <t>* Усиленный механизм для системы "Исотра Хит 2" мин. возможная ширина : ИСОТРА Хит 2 -48см</t>
  </si>
  <si>
    <t>* Усиленный механизм для системы "Исотра Хит 2" мин. возможная ширина :ИСОТРА Хит 2 -48см</t>
  </si>
  <si>
    <t>* Усиленный механизм для системы "Исотра Хит 2" мин. возможная ширина: ИСОТРА Хит 2 -48см</t>
  </si>
  <si>
    <t xml:space="preserve">* Усиленный механизм для системы "Исотра"  мин. возможная ширина:  ИСОТРА - 27 см </t>
  </si>
  <si>
    <t>* Усиленный механизм для системы "Исотра"  мин. возможная ширина: ИСОТРА - 27 см</t>
  </si>
  <si>
    <t>Рулонные СТАНДАРТ, КОМФОРТ, КЛАССИК, ДАБЛ КЛАССИК</t>
  </si>
  <si>
    <r>
      <t xml:space="preserve">Рулонные жалюзи "КОМФОРТ"
</t>
    </r>
    <r>
      <rPr>
        <sz val="12"/>
        <rFont val="Bookman Old Style"/>
        <family val="1"/>
        <charset val="204"/>
      </rPr>
      <t>(ширина изделий до</t>
    </r>
    <r>
      <rPr>
        <b/>
        <sz val="12"/>
        <rFont val="Bookman Old Style"/>
        <family val="1"/>
        <charset val="204"/>
      </rPr>
      <t xml:space="preserve"> 2,20 м</t>
    </r>
    <r>
      <rPr>
        <sz val="12"/>
        <rFont val="Bookman Old Style"/>
        <family val="1"/>
        <charset val="204"/>
      </rPr>
      <t>, изготавливаются на трубе</t>
    </r>
    <r>
      <rPr>
        <b/>
        <sz val="12"/>
        <rFont val="Bookman Old Style"/>
        <family val="1"/>
        <charset val="204"/>
      </rPr>
      <t xml:space="preserve"> 32 мм</t>
    </r>
    <r>
      <rPr>
        <sz val="12"/>
        <rFont val="Bookman Old Style"/>
        <family val="1"/>
        <charset val="204"/>
      </rPr>
      <t>)</t>
    </r>
  </si>
  <si>
    <t xml:space="preserve">                                Цвет фурнитуры: белый (по умолчанию), антрацит, бежевый, бронза, серый, черный.</t>
  </si>
  <si>
    <t>Карниз КОМФОРТ белый, антрацит, бежевый, бронза, серый, черный.  Стоимость:</t>
  </si>
  <si>
    <t xml:space="preserve">Металлическая цепочка в следующих цветах: латунь, бронза, серебро (никель), серый никель, черный никель, матовое золото, медь, хром. </t>
  </si>
  <si>
    <t>КОМФОРТ</t>
  </si>
  <si>
    <t>Пульт AC152-06 6-канальный черный со скроллом  для горизонтальных жалюзи</t>
  </si>
  <si>
    <t>Пульт 1-канальный АС140-01 сенсорный  (белый ,черный)</t>
  </si>
  <si>
    <t>Пульт 6-канальный АС140-06 сенсорный  (белый ,черный)</t>
  </si>
  <si>
    <t>Пульт 16-канальный АС140-16 сенсорный  (белый ,черный)</t>
  </si>
  <si>
    <t>Менеджеры проекта</t>
  </si>
  <si>
    <t>e-mail</t>
  </si>
  <si>
    <t>Телефон</t>
  </si>
  <si>
    <t>Ольга Цепляева</t>
  </si>
  <si>
    <t>tseplaeva@nika-decor.ru</t>
  </si>
  <si>
    <t>+7 921 777 44 22</t>
  </si>
  <si>
    <t>Наталья Фидлер</t>
  </si>
  <si>
    <t>fidler@nika-decor.ru</t>
  </si>
  <si>
    <t>+7 921 777 74 33</t>
  </si>
  <si>
    <t>Ольга Прокофьева</t>
  </si>
  <si>
    <t>prokof@nika-decor.ru</t>
  </si>
  <si>
    <t>+7 921 777 44 33</t>
  </si>
  <si>
    <t>без наценки</t>
  </si>
  <si>
    <t>**Цвета механизма ПРЕМИУМ пластик: белый (по умолчанию 1:1), бежевый, антрацит, бронза, серый, черный</t>
  </si>
  <si>
    <t>0 кат</t>
  </si>
  <si>
    <t>Каталог "Рулонные шторы 2в1" Стандарт+Премиум</t>
  </si>
  <si>
    <t>Каталог "Профиль для штор плиссе Хантер Даглас"</t>
  </si>
  <si>
    <t>Каталог "Цепи управления"</t>
  </si>
  <si>
    <t>БАЛИ*</t>
  </si>
  <si>
    <t>ВЕНЕРА*</t>
  </si>
  <si>
    <t>ВЕНЕРА металлик*</t>
  </si>
  <si>
    <t>ДЖАНГЛ*</t>
  </si>
  <si>
    <t>ДЖАНГЛ металлик*</t>
  </si>
  <si>
    <t>ЖЕМЧУГ*</t>
  </si>
  <si>
    <t>ЖЕМЧУГ блэкаут*</t>
  </si>
  <si>
    <t>КЕЛЬН*</t>
  </si>
  <si>
    <t>ЛАЙН 2*</t>
  </si>
  <si>
    <t>ЛАЙН ЛАЙТ*</t>
  </si>
  <si>
    <t>МАЛЬТА*</t>
  </si>
  <si>
    <t>ОФИС блэкаут*</t>
  </si>
  <si>
    <t>ПЛЕЙН блэкаут*</t>
  </si>
  <si>
    <t>РЕЙН*</t>
  </si>
  <si>
    <t>РИО*</t>
  </si>
  <si>
    <t>САВАННА*</t>
  </si>
  <si>
    <t>СЕУЛ*</t>
  </si>
  <si>
    <t>СКРИН*</t>
  </si>
  <si>
    <t>СКРИН 2*</t>
  </si>
  <si>
    <t>СФЕРА*</t>
  </si>
  <si>
    <t>ШИКАТАН*</t>
  </si>
  <si>
    <t>* уточняйте наличие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</si>
</sst>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.00&quot;р.&quot;_-;\-* #,##0.00&quot;р.&quot;_-;_-* &quot;-&quot;??&quot;р.&quot;_-;_-@_-"/>
    <numFmt numFmtId="165" formatCode="0.0"/>
    <numFmt numFmtId="166" formatCode="0.000"/>
    <numFmt numFmtId="167" formatCode="0.00;[Red]0.00"/>
  </numFmts>
  <fonts count="142">
    <font>
      <sz val="10"/>
      <name val="Arial Cyr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sz val="8"/>
      <name val="Arial Cyr"/>
      <charset val="204"/>
    </font>
    <font>
      <sz val="10"/>
      <name val="Times New Roman"/>
      <family val="1"/>
      <charset val="204"/>
    </font>
    <font>
      <b/>
      <i/>
      <u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u/>
      <sz val="10"/>
      <color indexed="12"/>
      <name val="Arial Cyr"/>
      <charset val="204"/>
    </font>
    <font>
      <sz val="12"/>
      <name val="Arial Cyr"/>
      <charset val="204"/>
    </font>
    <font>
      <sz val="10"/>
      <name val="Arial Cyr"/>
      <charset val="204"/>
    </font>
    <font>
      <b/>
      <sz val="12"/>
      <name val="Arial Cyr"/>
      <charset val="204"/>
    </font>
    <font>
      <b/>
      <sz val="10"/>
      <name val="Arial Cyr"/>
      <charset val="204"/>
    </font>
    <font>
      <b/>
      <u/>
      <sz val="12"/>
      <name val="Times New Roman"/>
      <family val="1"/>
      <charset val="204"/>
    </font>
    <font>
      <b/>
      <sz val="14"/>
      <name val="Arial Cyr"/>
      <charset val="204"/>
    </font>
    <font>
      <b/>
      <vertAlign val="superscript"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2"/>
      <name val="Book Antiqua"/>
      <family val="1"/>
      <charset val="204"/>
    </font>
    <font>
      <sz val="8"/>
      <name val="Times New Roman"/>
      <family val="1"/>
      <charset val="204"/>
    </font>
    <font>
      <sz val="9"/>
      <name val="Times New Roman"/>
      <family val="1"/>
      <charset val="204"/>
    </font>
    <font>
      <b/>
      <sz val="9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vertAlign val="superscript"/>
      <sz val="11"/>
      <name val="Times New Roman"/>
      <family val="1"/>
      <charset val="204"/>
    </font>
    <font>
      <sz val="11"/>
      <name val="Arial Cyr"/>
      <charset val="204"/>
    </font>
    <font>
      <sz val="10"/>
      <name val="Arial Cyr"/>
      <charset val="204"/>
    </font>
    <font>
      <b/>
      <i/>
      <sz val="10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10"/>
      <name val="Arial"/>
      <family val="2"/>
      <charset val="204"/>
    </font>
    <font>
      <b/>
      <sz val="9"/>
      <name val="Arial"/>
      <family val="2"/>
      <charset val="204"/>
    </font>
    <font>
      <b/>
      <i/>
      <vertAlign val="superscript"/>
      <sz val="10"/>
      <name val="Times New Roman"/>
      <family val="1"/>
      <charset val="204"/>
    </font>
    <font>
      <b/>
      <sz val="11.5"/>
      <name val="Times New Roman"/>
      <family val="1"/>
      <charset val="204"/>
    </font>
    <font>
      <sz val="10"/>
      <name val="Tahoma"/>
      <family val="2"/>
      <charset val="238"/>
    </font>
    <font>
      <sz val="10"/>
      <name val="Arial"/>
      <family val="2"/>
      <charset val="204"/>
    </font>
    <font>
      <b/>
      <sz val="10"/>
      <name val="Tahoma"/>
      <family val="2"/>
      <charset val="238"/>
    </font>
    <font>
      <sz val="10"/>
      <name val="MS Sans Serif"/>
      <family val="2"/>
      <charset val="204"/>
    </font>
    <font>
      <sz val="9"/>
      <name val="Tahoma"/>
      <family val="2"/>
      <charset val="238"/>
    </font>
    <font>
      <sz val="18"/>
      <name val="Tahoma"/>
      <family val="2"/>
      <charset val="238"/>
    </font>
    <font>
      <b/>
      <sz val="10"/>
      <name val="Tahoma"/>
      <family val="2"/>
      <charset val="204"/>
    </font>
    <font>
      <sz val="10"/>
      <name val="Tahoma"/>
      <family val="2"/>
      <charset val="204"/>
    </font>
    <font>
      <b/>
      <sz val="11"/>
      <name val="Tahoma"/>
      <family val="2"/>
      <charset val="204"/>
    </font>
    <font>
      <sz val="11"/>
      <name val="Tahoma"/>
      <family val="2"/>
      <charset val="238"/>
    </font>
    <font>
      <sz val="10"/>
      <name val="Arial"/>
      <family val="2"/>
      <charset val="238"/>
    </font>
    <font>
      <sz val="8"/>
      <name val="Arial"/>
      <family val="2"/>
      <charset val="204"/>
    </font>
    <font>
      <b/>
      <sz val="11"/>
      <name val="Tahoma"/>
      <family val="2"/>
      <charset val="238"/>
    </font>
    <font>
      <sz val="10"/>
      <name val="Arial"/>
      <family val="2"/>
      <charset val="204"/>
    </font>
    <font>
      <b/>
      <sz val="9"/>
      <name val="Tahoma"/>
      <family val="2"/>
      <charset val="238"/>
    </font>
    <font>
      <b/>
      <sz val="10"/>
      <color indexed="8"/>
      <name val="Times New Roman"/>
      <family val="1"/>
      <charset val="204"/>
    </font>
    <font>
      <u/>
      <sz val="10"/>
      <name val="Arial Cyr"/>
      <charset val="204"/>
    </font>
    <font>
      <b/>
      <sz val="10"/>
      <name val="Bookman Old Style"/>
      <family val="1"/>
      <charset val="204"/>
    </font>
    <font>
      <sz val="10"/>
      <name val="Arial Cyr"/>
      <charset val="204"/>
    </font>
    <font>
      <b/>
      <sz val="24"/>
      <name val="Arial Cyr"/>
      <charset val="204"/>
    </font>
    <font>
      <b/>
      <sz val="20"/>
      <name val="Arial Cyr"/>
      <charset val="204"/>
    </font>
    <font>
      <sz val="10.5"/>
      <name val="Times New Roman"/>
      <family val="1"/>
      <charset val="204"/>
    </font>
    <font>
      <b/>
      <sz val="10.5"/>
      <name val="Times New Roman"/>
      <family val="1"/>
      <charset val="204"/>
    </font>
    <font>
      <sz val="9"/>
      <name val="Arial Cyr"/>
      <charset val="204"/>
    </font>
    <font>
      <b/>
      <sz val="9"/>
      <name val="Arial Cyr"/>
      <charset val="204"/>
    </font>
    <font>
      <b/>
      <vertAlign val="superscript"/>
      <sz val="11"/>
      <name val="Times New Roman"/>
      <family val="1"/>
      <charset val="204"/>
    </font>
    <font>
      <i/>
      <sz val="10"/>
      <name val="Times New Roman"/>
      <family val="1"/>
      <charset val="204"/>
    </font>
    <font>
      <u/>
      <sz val="9"/>
      <name val="Arial Cyr"/>
      <charset val="204"/>
    </font>
    <font>
      <sz val="6"/>
      <name val="Arial"/>
      <family val="2"/>
      <charset val="204"/>
    </font>
    <font>
      <b/>
      <vertAlign val="superscript"/>
      <sz val="10"/>
      <name val="Times New Roman"/>
      <family val="1"/>
      <charset val="204"/>
    </font>
    <font>
      <b/>
      <i/>
      <u/>
      <sz val="13"/>
      <name val="Times New Roman"/>
      <family val="1"/>
      <charset val="204"/>
    </font>
    <font>
      <b/>
      <i/>
      <sz val="9"/>
      <name val="Times New Roman"/>
      <family val="1"/>
      <charset val="204"/>
    </font>
    <font>
      <b/>
      <i/>
      <vertAlign val="superscript"/>
      <sz val="9"/>
      <name val="Times New Roman"/>
      <family val="1"/>
      <charset val="204"/>
    </font>
    <font>
      <sz val="8"/>
      <color indexed="81"/>
      <name val="Tahoma"/>
      <family val="2"/>
      <charset val="204"/>
    </font>
    <font>
      <b/>
      <u/>
      <sz val="11"/>
      <name val="Times New Roman"/>
      <family val="1"/>
      <charset val="204"/>
    </font>
    <font>
      <b/>
      <i/>
      <sz val="14"/>
      <name val="Times New Roman"/>
      <family val="1"/>
      <charset val="204"/>
    </font>
    <font>
      <sz val="7"/>
      <name val="Arial Cyr"/>
      <charset val="204"/>
    </font>
    <font>
      <b/>
      <sz val="12"/>
      <color indexed="53"/>
      <name val="Book Antiqua"/>
      <family val="1"/>
      <charset val="204"/>
    </font>
    <font>
      <b/>
      <sz val="11"/>
      <color indexed="8"/>
      <name val="Calibri"/>
      <family val="2"/>
      <charset val="204"/>
    </font>
    <font>
      <b/>
      <sz val="10"/>
      <color indexed="8"/>
      <name val="Calibri"/>
      <family val="2"/>
      <charset val="204"/>
    </font>
    <font>
      <sz val="10"/>
      <name val="Bookman Old Style"/>
      <family val="1"/>
      <charset val="204"/>
    </font>
    <font>
      <b/>
      <sz val="12"/>
      <name val="Bookman Old Style"/>
      <family val="1"/>
      <charset val="204"/>
    </font>
    <font>
      <sz val="12"/>
      <name val="Bookman Old Style"/>
      <family val="1"/>
      <charset val="204"/>
    </font>
    <font>
      <sz val="12"/>
      <name val="Calibri"/>
      <family val="2"/>
      <charset val="204"/>
    </font>
    <font>
      <b/>
      <sz val="10"/>
      <color indexed="53"/>
      <name val="Times New Roman"/>
      <family val="1"/>
      <charset val="204"/>
    </font>
    <font>
      <b/>
      <sz val="13"/>
      <name val="Bookman Old Style"/>
      <family val="1"/>
      <charset val="204"/>
    </font>
    <font>
      <b/>
      <sz val="13"/>
      <color indexed="53"/>
      <name val="Bookman Old Style"/>
      <family val="1"/>
      <charset val="204"/>
    </font>
    <font>
      <b/>
      <sz val="11"/>
      <color indexed="53"/>
      <name val="Times New Roman"/>
      <family val="1"/>
      <charset val="204"/>
    </font>
    <font>
      <b/>
      <u/>
      <sz val="10"/>
      <name val="Bookman Old Style"/>
      <family val="1"/>
      <charset val="204"/>
    </font>
    <font>
      <u/>
      <sz val="10"/>
      <color indexed="12"/>
      <name val="Times New Roman"/>
      <family val="1"/>
      <charset val="204"/>
    </font>
    <font>
      <sz val="9.5"/>
      <name val="Times New Roman"/>
      <family val="1"/>
      <charset val="204"/>
    </font>
    <font>
      <b/>
      <sz val="14"/>
      <name val="Bookman Old Style"/>
      <family val="1"/>
      <charset val="204"/>
    </font>
    <font>
      <b/>
      <sz val="18"/>
      <color indexed="8"/>
      <name val="Cooper Std Black"/>
      <family val="1"/>
    </font>
    <font>
      <b/>
      <sz val="11"/>
      <name val="Cooper Std Black"/>
      <family val="1"/>
    </font>
    <font>
      <b/>
      <sz val="15"/>
      <name val="Bookman Old Style"/>
      <family val="1"/>
      <charset val="204"/>
    </font>
    <font>
      <b/>
      <sz val="28"/>
      <name val="Cooper Black"/>
      <family val="1"/>
    </font>
    <font>
      <sz val="28"/>
      <name val="Cooper Black"/>
      <family val="1"/>
    </font>
    <font>
      <b/>
      <sz val="12"/>
      <name val="Cooper Black"/>
      <family val="1"/>
    </font>
    <font>
      <sz val="14"/>
      <name val="Cooper Black"/>
      <family val="1"/>
    </font>
    <font>
      <sz val="11.5"/>
      <name val="Times New Roman"/>
      <family val="1"/>
      <charset val="204"/>
    </font>
    <font>
      <b/>
      <sz val="11"/>
      <name val="Bookman Old Style"/>
      <family val="1"/>
      <charset val="204"/>
    </font>
    <font>
      <b/>
      <sz val="18"/>
      <name val="Bookman Old Style"/>
      <family val="1"/>
      <charset val="204"/>
    </font>
    <font>
      <b/>
      <vertAlign val="subscript"/>
      <sz val="10"/>
      <name val="Tahoma"/>
      <family val="2"/>
      <charset val="204"/>
    </font>
    <font>
      <b/>
      <vertAlign val="superscript"/>
      <sz val="10"/>
      <name val="Tahoma"/>
      <family val="2"/>
      <charset val="204"/>
    </font>
    <font>
      <b/>
      <sz val="18"/>
      <color indexed="53"/>
      <name val="Bookman Old Style"/>
      <family val="1"/>
      <charset val="204"/>
    </font>
    <font>
      <b/>
      <sz val="16"/>
      <name val="Bookman Old Style"/>
      <family val="1"/>
      <charset val="204"/>
    </font>
    <font>
      <b/>
      <u/>
      <sz val="14"/>
      <name val="Bookman Old Style"/>
      <family val="1"/>
      <charset val="204"/>
    </font>
    <font>
      <u/>
      <sz val="14"/>
      <name val="Bookman Old Style"/>
      <family val="1"/>
      <charset val="204"/>
    </font>
    <font>
      <b/>
      <u/>
      <sz val="12"/>
      <name val="Bookman Old Style"/>
      <family val="1"/>
      <charset val="204"/>
    </font>
    <font>
      <sz val="24"/>
      <name val="Arno Pro Display"/>
      <family val="1"/>
    </font>
    <font>
      <u/>
      <sz val="18"/>
      <color indexed="12"/>
      <name val="Times New Roman"/>
      <family val="1"/>
      <charset val="204"/>
    </font>
    <font>
      <b/>
      <u/>
      <sz val="10"/>
      <name val="Arial Cyr"/>
      <charset val="204"/>
    </font>
    <font>
      <b/>
      <sz val="12"/>
      <color indexed="53"/>
      <name val="Bookman Old Style"/>
      <family val="1"/>
      <charset val="204"/>
    </font>
    <font>
      <sz val="14"/>
      <name val="Bookman Old Style"/>
      <family val="1"/>
      <charset val="204"/>
    </font>
    <font>
      <b/>
      <sz val="12"/>
      <name val="Calibri"/>
      <family val="2"/>
      <charset val="204"/>
    </font>
    <font>
      <b/>
      <sz val="8"/>
      <name val="Arial"/>
      <family val="2"/>
      <charset val="204"/>
    </font>
    <font>
      <b/>
      <vertAlign val="superscript"/>
      <sz val="12"/>
      <name val="Calibri"/>
      <family val="2"/>
      <charset val="204"/>
    </font>
    <font>
      <sz val="11"/>
      <color indexed="53"/>
      <name val="Times New Roman"/>
      <family val="1"/>
      <charset val="204"/>
    </font>
    <font>
      <b/>
      <sz val="14"/>
      <name val="Book Antiqua"/>
      <family val="1"/>
      <charset val="204"/>
    </font>
    <font>
      <b/>
      <sz val="10"/>
      <name val="Book Antiqua"/>
      <family val="1"/>
      <charset val="204"/>
    </font>
    <font>
      <u/>
      <sz val="9"/>
      <color indexed="12"/>
      <name val="Arial Cyr"/>
      <charset val="204"/>
    </font>
    <font>
      <b/>
      <u/>
      <sz val="14"/>
      <color indexed="53"/>
      <name val="Bookman Old Style"/>
      <family val="1"/>
      <charset val="204"/>
    </font>
    <font>
      <sz val="10"/>
      <name val="Calibri"/>
      <family val="2"/>
      <charset val="204"/>
    </font>
    <font>
      <b/>
      <sz val="12"/>
      <color indexed="53"/>
      <name val="Calibri"/>
      <family val="2"/>
      <charset val="204"/>
    </font>
    <font>
      <sz val="12"/>
      <color indexed="53"/>
      <name val="Calibri"/>
      <family val="2"/>
      <charset val="204"/>
    </font>
    <font>
      <sz val="9"/>
      <name val="Bookman Old Style"/>
      <family val="1"/>
      <charset val="204"/>
    </font>
    <font>
      <b/>
      <sz val="12"/>
      <color indexed="53"/>
      <name val="Times New Roman"/>
      <family val="1"/>
      <charset val="204"/>
    </font>
    <font>
      <b/>
      <sz val="8"/>
      <name val="Bookman Old Style"/>
      <family val="1"/>
      <charset val="204"/>
    </font>
    <font>
      <sz val="10"/>
      <name val="Arial"/>
      <family val="2"/>
      <charset val="204"/>
    </font>
    <font>
      <b/>
      <sz val="9"/>
      <name val="Bookman Old Style"/>
      <family val="1"/>
      <charset val="204"/>
    </font>
    <font>
      <sz val="8"/>
      <name val="Arial"/>
      <family val="2"/>
    </font>
    <font>
      <sz val="8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0"/>
      <color rgb="FFFF0000"/>
      <name val="Arial Cyr"/>
      <charset val="204"/>
    </font>
    <font>
      <sz val="11"/>
      <color rgb="FFFF0000"/>
      <name val="Times New Roman"/>
      <family val="1"/>
      <charset val="204"/>
    </font>
    <font>
      <sz val="10"/>
      <name val="Calibri"/>
      <family val="2"/>
      <charset val="204"/>
      <scheme val="minor"/>
    </font>
    <font>
      <b/>
      <sz val="10"/>
      <color rgb="FFFF0000"/>
      <name val="Times New Roman"/>
      <family val="1"/>
      <charset val="204"/>
    </font>
    <font>
      <sz val="10"/>
      <color theme="1"/>
      <name val="Arial Cyr"/>
      <charset val="204"/>
    </font>
    <font>
      <sz val="8"/>
      <color theme="1"/>
      <name val="Arial"/>
      <family val="2"/>
      <charset val="204"/>
    </font>
    <font>
      <u/>
      <sz val="10"/>
      <color rgb="FF0000FF"/>
      <name val="Arial Cyr"/>
      <charset val="204"/>
    </font>
    <font>
      <b/>
      <sz val="9"/>
      <color theme="1"/>
      <name val="Times New Roman"/>
      <family val="1"/>
      <charset val="204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778899"/>
      </patternFill>
    </fill>
    <fill>
      <patternFill patternType="solid">
        <fgColor rgb="FFFFFFFF"/>
        <bgColor rgb="FF000000"/>
      </patternFill>
    </fill>
  </fills>
  <borders count="1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 diagonalDown="1"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 diagonalUp="1" diagonalDown="1"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 style="thin">
        <color theme="0"/>
      </diagonal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indexed="64"/>
      </bottom>
      <diagonal/>
    </border>
    <border>
      <left style="medium">
        <color theme="0"/>
      </left>
      <right style="medium">
        <color theme="0"/>
      </right>
      <top/>
      <bottom style="medium">
        <color indexed="64"/>
      </bottom>
      <diagonal/>
    </border>
    <border>
      <left style="medium">
        <color theme="0"/>
      </left>
      <right style="medium">
        <color theme="0"/>
      </right>
      <top style="medium">
        <color indexed="64"/>
      </top>
      <bottom style="medium">
        <color indexed="64"/>
      </bottom>
      <diagonal/>
    </border>
    <border>
      <left style="medium">
        <color theme="0"/>
      </left>
      <right style="medium">
        <color theme="0"/>
      </right>
      <top style="medium">
        <color indexed="64"/>
      </top>
      <bottom style="medium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medium">
        <color theme="0"/>
      </left>
      <right style="thin">
        <color indexed="64"/>
      </right>
      <top style="medium">
        <color indexed="64"/>
      </top>
      <bottom style="medium">
        <color theme="0"/>
      </bottom>
      <diagonal/>
    </border>
    <border>
      <left style="medium">
        <color theme="0"/>
      </left>
      <right style="thin">
        <color indexed="64"/>
      </right>
      <top style="medium">
        <color theme="0"/>
      </top>
      <bottom style="medium">
        <color theme="0"/>
      </bottom>
      <diagonal/>
    </border>
    <border>
      <left style="medium">
        <color indexed="64"/>
      </left>
      <right style="medium">
        <color theme="0"/>
      </right>
      <top style="medium">
        <color indexed="64"/>
      </top>
      <bottom style="medium">
        <color theme="0"/>
      </bottom>
      <diagonal/>
    </border>
    <border>
      <left style="medium">
        <color indexed="64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medium">
        <color theme="0"/>
      </left>
      <right/>
      <top/>
      <bottom style="medium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medium">
        <color theme="0"/>
      </left>
      <right/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medium">
        <color theme="0"/>
      </right>
      <top style="medium">
        <color indexed="64"/>
      </top>
      <bottom style="medium">
        <color theme="0"/>
      </bottom>
      <diagonal/>
    </border>
    <border>
      <left style="medium">
        <color theme="0"/>
      </left>
      <right style="medium">
        <color indexed="64"/>
      </right>
      <top style="medium">
        <color indexed="64"/>
      </top>
      <bottom style="medium">
        <color theme="0"/>
      </bottom>
      <diagonal/>
    </border>
    <border>
      <left style="medium">
        <color theme="0"/>
      </left>
      <right style="medium">
        <color indexed="64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medium">
        <color indexed="64"/>
      </bottom>
      <diagonal/>
    </border>
    <border>
      <left style="medium">
        <color theme="0"/>
      </left>
      <right/>
      <top/>
      <bottom/>
      <diagonal/>
    </border>
  </borders>
  <cellStyleXfs count="23">
    <xf numFmtId="0" fontId="0" fillId="0" borderId="0"/>
    <xf numFmtId="0" fontId="40" fillId="0" borderId="0"/>
    <xf numFmtId="0" fontId="12" fillId="0" borderId="0" applyNumberFormat="0" applyFill="0" applyBorder="0" applyAlignment="0" applyProtection="0">
      <alignment vertical="top"/>
      <protection locked="0"/>
    </xf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28" fillId="0" borderId="0"/>
    <xf numFmtId="0" fontId="14" fillId="0" borderId="0"/>
    <xf numFmtId="0" fontId="38" fillId="0" borderId="0"/>
    <xf numFmtId="0" fontId="1" fillId="0" borderId="0"/>
    <xf numFmtId="0" fontId="125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29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25" fillId="0" borderId="0"/>
    <xf numFmtId="0" fontId="127" fillId="0" borderId="0"/>
    <xf numFmtId="0" fontId="127" fillId="0" borderId="0"/>
  </cellStyleXfs>
  <cellXfs count="2180">
    <xf numFmtId="0" fontId="0" fillId="0" borderId="0" xfId="0"/>
    <xf numFmtId="0" fontId="0" fillId="2" borderId="0" xfId="0" applyFill="1"/>
    <xf numFmtId="0" fontId="5" fillId="2" borderId="0" xfId="0" applyFont="1" applyFill="1"/>
    <xf numFmtId="0" fontId="8" fillId="2" borderId="0" xfId="0" applyFont="1" applyFill="1"/>
    <xf numFmtId="0" fontId="20" fillId="2" borderId="0" xfId="0" applyFont="1" applyFill="1" applyAlignment="1">
      <alignment horizontal="right"/>
    </xf>
    <xf numFmtId="0" fontId="20" fillId="2" borderId="0" xfId="0" applyFont="1" applyFill="1"/>
    <xf numFmtId="0" fontId="20" fillId="2" borderId="0" xfId="0" applyFont="1" applyFill="1" applyAlignment="1">
      <alignment horizontal="left"/>
    </xf>
    <xf numFmtId="0" fontId="10" fillId="2" borderId="0" xfId="0" applyFont="1" applyFill="1"/>
    <xf numFmtId="0" fontId="2" fillId="2" borderId="0" xfId="0" applyFont="1" applyFill="1"/>
    <xf numFmtId="0" fontId="25" fillId="2" borderId="0" xfId="0" applyFont="1" applyFill="1" applyAlignment="1">
      <alignment horizontal="left"/>
    </xf>
    <xf numFmtId="0" fontId="30" fillId="2" borderId="0" xfId="0" applyFont="1" applyFill="1"/>
    <xf numFmtId="0" fontId="29" fillId="2" borderId="0" xfId="0" applyFont="1" applyFill="1"/>
    <xf numFmtId="0" fontId="3" fillId="2" borderId="0" xfId="0" applyFont="1" applyFill="1"/>
    <xf numFmtId="0" fontId="3" fillId="2" borderId="0" xfId="0" applyFont="1" applyFill="1" applyAlignment="1">
      <alignment horizontal="left"/>
    </xf>
    <xf numFmtId="0" fontId="15" fillId="2" borderId="0" xfId="0" applyFont="1" applyFill="1"/>
    <xf numFmtId="0" fontId="14" fillId="2" borderId="0" xfId="0" applyFont="1" applyFill="1"/>
    <xf numFmtId="0" fontId="1" fillId="2" borderId="0" xfId="0" applyFont="1" applyFill="1"/>
    <xf numFmtId="0" fontId="0" fillId="2" borderId="0" xfId="0" applyFill="1" applyAlignment="1">
      <alignment horizontal="left"/>
    </xf>
    <xf numFmtId="0" fontId="13" fillId="2" borderId="0" xfId="0" applyFont="1" applyFill="1"/>
    <xf numFmtId="0" fontId="16" fillId="2" borderId="0" xfId="0" applyFont="1" applyFill="1"/>
    <xf numFmtId="0" fontId="36" fillId="2" borderId="0" xfId="0" applyFont="1" applyFill="1"/>
    <xf numFmtId="0" fontId="17" fillId="2" borderId="0" xfId="0" applyFont="1" applyFill="1" applyAlignment="1">
      <alignment horizontal="center"/>
    </xf>
    <xf numFmtId="0" fontId="33" fillId="2" borderId="0" xfId="0" applyFont="1" applyFill="1"/>
    <xf numFmtId="0" fontId="34" fillId="2" borderId="0" xfId="0" applyFont="1" applyFill="1" applyAlignment="1">
      <alignment horizontal="left" indent="2"/>
    </xf>
    <xf numFmtId="0" fontId="37" fillId="2" borderId="0" xfId="1" applyFont="1" applyFill="1" applyProtection="1">
      <protection locked="0"/>
    </xf>
    <xf numFmtId="0" fontId="37" fillId="2" borderId="0" xfId="0" applyFont="1" applyFill="1" applyAlignment="1">
      <alignment horizontal="right"/>
    </xf>
    <xf numFmtId="0" fontId="42" fillId="2" borderId="0" xfId="0" applyFont="1" applyFill="1" applyAlignment="1">
      <alignment horizontal="centerContinuous" vertical="center"/>
    </xf>
    <xf numFmtId="0" fontId="37" fillId="2" borderId="0" xfId="0" applyFont="1" applyFill="1"/>
    <xf numFmtId="0" fontId="37" fillId="2" borderId="0" xfId="1" applyFont="1" applyFill="1" applyProtection="1">
      <protection locked="0" hidden="1"/>
    </xf>
    <xf numFmtId="0" fontId="39" fillId="2" borderId="0" xfId="1" applyFont="1" applyFill="1" applyProtection="1">
      <protection locked="0" hidden="1"/>
    </xf>
    <xf numFmtId="2" fontId="37" fillId="2" borderId="0" xfId="0" applyNumberFormat="1" applyFont="1" applyFill="1"/>
    <xf numFmtId="2" fontId="48" fillId="2" borderId="0" xfId="0" applyNumberFormat="1" applyFont="1" applyFill="1"/>
    <xf numFmtId="0" fontId="49" fillId="2" borderId="0" xfId="0" applyFont="1" applyFill="1"/>
    <xf numFmtId="0" fontId="37" fillId="2" borderId="0" xfId="0" applyFont="1" applyFill="1" applyAlignment="1">
      <alignment horizontal="center"/>
    </xf>
    <xf numFmtId="1" fontId="37" fillId="2" borderId="0" xfId="0" applyNumberFormat="1" applyFont="1" applyFill="1"/>
    <xf numFmtId="9" fontId="39" fillId="2" borderId="1" xfId="0" applyNumberFormat="1" applyFont="1" applyFill="1" applyBorder="1" applyAlignment="1">
      <alignment horizontal="center" vertical="center"/>
    </xf>
    <xf numFmtId="9" fontId="39" fillId="2" borderId="0" xfId="0" applyNumberFormat="1" applyFont="1" applyFill="1"/>
    <xf numFmtId="0" fontId="41" fillId="2" borderId="0" xfId="0" applyFont="1" applyFill="1"/>
    <xf numFmtId="0" fontId="51" fillId="2" borderId="0" xfId="0" applyFont="1" applyFill="1"/>
    <xf numFmtId="3" fontId="46" fillId="2" borderId="0" xfId="0" applyNumberFormat="1" applyFont="1" applyFill="1" applyAlignment="1">
      <alignment horizontal="center"/>
    </xf>
    <xf numFmtId="165" fontId="47" fillId="2" borderId="0" xfId="1" applyNumberFormat="1" applyFont="1" applyFill="1"/>
    <xf numFmtId="0" fontId="53" fillId="2" borderId="0" xfId="0" applyFont="1" applyFill="1"/>
    <xf numFmtId="0" fontId="55" fillId="2" borderId="0" xfId="0" applyFont="1" applyFill="1"/>
    <xf numFmtId="0" fontId="60" fillId="2" borderId="0" xfId="0" applyFont="1" applyFill="1"/>
    <xf numFmtId="0" fontId="61" fillId="2" borderId="0" xfId="0" applyFont="1" applyFill="1"/>
    <xf numFmtId="0" fontId="63" fillId="2" borderId="0" xfId="0" applyFont="1" applyFill="1"/>
    <xf numFmtId="0" fontId="9" fillId="2" borderId="0" xfId="0" applyFont="1" applyFill="1"/>
    <xf numFmtId="0" fontId="64" fillId="2" borderId="0" xfId="0" applyFont="1" applyFill="1"/>
    <xf numFmtId="0" fontId="12" fillId="2" borderId="0" xfId="2" applyFill="1" applyAlignment="1" applyProtection="1"/>
    <xf numFmtId="0" fontId="65" fillId="2" borderId="0" xfId="0" applyFont="1" applyFill="1"/>
    <xf numFmtId="0" fontId="12" fillId="2" borderId="0" xfId="2" applyFill="1" applyAlignment="1" applyProtection="1">
      <alignment horizontal="left"/>
    </xf>
    <xf numFmtId="0" fontId="0" fillId="2" borderId="0" xfId="0" applyFill="1" applyAlignment="1">
      <alignment horizontal="center"/>
    </xf>
    <xf numFmtId="0" fontId="54" fillId="2" borderId="0" xfId="0" applyFont="1" applyFill="1" applyAlignment="1">
      <alignment horizontal="left"/>
    </xf>
    <xf numFmtId="0" fontId="0" fillId="2" borderId="1" xfId="0" applyFill="1" applyBorder="1"/>
    <xf numFmtId="0" fontId="2" fillId="2" borderId="0" xfId="0" applyFont="1" applyFill="1" applyAlignment="1">
      <alignment vertical="top" wrapText="1"/>
    </xf>
    <xf numFmtId="165" fontId="3" fillId="2" borderId="0" xfId="0" applyNumberFormat="1" applyFont="1" applyFill="1" applyAlignment="1">
      <alignment horizontal="center" vertical="center" wrapText="1"/>
    </xf>
    <xf numFmtId="0" fontId="32" fillId="2" borderId="0" xfId="0" applyFont="1" applyFill="1" applyAlignment="1">
      <alignment horizontal="right"/>
    </xf>
    <xf numFmtId="0" fontId="1" fillId="2" borderId="1" xfId="0" applyFont="1" applyFill="1" applyBorder="1"/>
    <xf numFmtId="0" fontId="0" fillId="2" borderId="0" xfId="0" applyFill="1" applyAlignment="1">
      <alignment vertical="center"/>
    </xf>
    <xf numFmtId="0" fontId="54" fillId="2" borderId="0" xfId="0" applyFont="1" applyFill="1" applyAlignment="1">
      <alignment horizontal="center"/>
    </xf>
    <xf numFmtId="0" fontId="2" fillId="2" borderId="0" xfId="0" applyFont="1" applyFill="1" applyAlignment="1">
      <alignment horizontal="left" vertical="center" wrapText="1"/>
    </xf>
    <xf numFmtId="0" fontId="20" fillId="2" borderId="0" xfId="0" applyFont="1" applyFill="1" applyAlignment="1">
      <alignment vertical="center"/>
    </xf>
    <xf numFmtId="0" fontId="71" fillId="2" borderId="0" xfId="0" applyFont="1" applyFill="1"/>
    <xf numFmtId="0" fontId="22" fillId="2" borderId="0" xfId="0" applyFont="1" applyFill="1" applyAlignment="1">
      <alignment vertical="center"/>
    </xf>
    <xf numFmtId="0" fontId="6" fillId="2" borderId="2" xfId="0" applyFon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/>
    </xf>
    <xf numFmtId="165" fontId="8" fillId="2" borderId="0" xfId="0" applyNumberFormat="1" applyFont="1" applyFill="1"/>
    <xf numFmtId="0" fontId="8" fillId="2" borderId="0" xfId="0" applyFont="1" applyFill="1" applyAlignment="1">
      <alignment horizontal="right"/>
    </xf>
    <xf numFmtId="165" fontId="8" fillId="2" borderId="3" xfId="0" applyNumberFormat="1" applyFont="1" applyFill="1" applyBorder="1" applyAlignment="1">
      <alignment horizontal="center"/>
    </xf>
    <xf numFmtId="165" fontId="0" fillId="2" borderId="0" xfId="0" applyNumberFormat="1" applyFill="1" applyAlignment="1">
      <alignment vertical="center"/>
    </xf>
    <xf numFmtId="165" fontId="0" fillId="2" borderId="0" xfId="0" applyNumberFormat="1" applyFill="1" applyAlignment="1">
      <alignment horizontal="center" vertical="center"/>
    </xf>
    <xf numFmtId="0" fontId="50" fillId="2" borderId="0" xfId="0" applyFont="1" applyFill="1"/>
    <xf numFmtId="0" fontId="24" fillId="2" borderId="0" xfId="0" applyFont="1" applyFill="1" applyAlignment="1">
      <alignment horizontal="right"/>
    </xf>
    <xf numFmtId="165" fontId="10" fillId="2" borderId="0" xfId="0" applyNumberFormat="1" applyFont="1" applyFill="1" applyAlignment="1">
      <alignment horizontal="center" vertical="center"/>
    </xf>
    <xf numFmtId="0" fontId="18" fillId="2" borderId="4" xfId="0" applyFont="1" applyFill="1" applyBorder="1" applyAlignment="1">
      <alignment horizontal="center"/>
    </xf>
    <xf numFmtId="0" fontId="25" fillId="2" borderId="0" xfId="0" applyFont="1" applyFill="1" applyAlignment="1">
      <alignment horizontal="left" vertical="center"/>
    </xf>
    <xf numFmtId="165" fontId="8" fillId="2" borderId="5" xfId="0" applyNumberFormat="1" applyFont="1" applyFill="1" applyBorder="1" applyAlignment="1">
      <alignment horizontal="center"/>
    </xf>
    <xf numFmtId="165" fontId="8" fillId="2" borderId="6" xfId="0" applyNumberFormat="1" applyFont="1" applyFill="1" applyBorder="1" applyAlignment="1">
      <alignment horizontal="center"/>
    </xf>
    <xf numFmtId="165" fontId="8" fillId="2" borderId="7" xfId="0" applyNumberFormat="1" applyFont="1" applyFill="1" applyBorder="1" applyAlignment="1">
      <alignment horizontal="center"/>
    </xf>
    <xf numFmtId="165" fontId="8" fillId="2" borderId="1" xfId="0" applyNumberFormat="1" applyFont="1" applyFill="1" applyBorder="1" applyAlignment="1">
      <alignment horizontal="center"/>
    </xf>
    <xf numFmtId="165" fontId="8" fillId="2" borderId="8" xfId="0" applyNumberFormat="1" applyFont="1" applyFill="1" applyBorder="1" applyAlignment="1">
      <alignment horizontal="center"/>
    </xf>
    <xf numFmtId="165" fontId="8" fillId="2" borderId="9" xfId="0" applyNumberFormat="1" applyFont="1" applyFill="1" applyBorder="1" applyAlignment="1">
      <alignment horizontal="center"/>
    </xf>
    <xf numFmtId="165" fontId="3" fillId="2" borderId="10" xfId="0" applyNumberFormat="1" applyFont="1" applyFill="1" applyBorder="1" applyAlignment="1">
      <alignment horizontal="center" vertical="center" wrapText="1"/>
    </xf>
    <xf numFmtId="165" fontId="3" fillId="2" borderId="11" xfId="0" applyNumberFormat="1" applyFont="1" applyFill="1" applyBorder="1" applyAlignment="1">
      <alignment horizontal="center" vertical="center" wrapText="1"/>
    </xf>
    <xf numFmtId="0" fontId="60" fillId="0" borderId="1" xfId="0" applyFont="1" applyBorder="1" applyAlignment="1">
      <alignment horizontal="center" vertical="center"/>
    </xf>
    <xf numFmtId="0" fontId="74" fillId="2" borderId="0" xfId="0" applyFont="1" applyFill="1" applyAlignment="1">
      <alignment horizontal="center"/>
    </xf>
    <xf numFmtId="165" fontId="8" fillId="2" borderId="10" xfId="0" applyNumberFormat="1" applyFont="1" applyFill="1" applyBorder="1" applyAlignment="1">
      <alignment horizontal="center"/>
    </xf>
    <xf numFmtId="165" fontId="8" fillId="2" borderId="12" xfId="0" applyNumberFormat="1" applyFont="1" applyFill="1" applyBorder="1" applyAlignment="1">
      <alignment horizontal="center"/>
    </xf>
    <xf numFmtId="165" fontId="8" fillId="2" borderId="11" xfId="0" applyNumberFormat="1" applyFont="1" applyFill="1" applyBorder="1" applyAlignment="1">
      <alignment horizontal="center"/>
    </xf>
    <xf numFmtId="165" fontId="8" fillId="2" borderId="13" xfId="0" applyNumberFormat="1" applyFont="1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0" fillId="0" borderId="9" xfId="0" applyBorder="1" applyAlignment="1">
      <alignment horizontal="center" vertical="center"/>
    </xf>
    <xf numFmtId="0" fontId="0" fillId="0" borderId="9" xfId="0" applyBorder="1" applyAlignment="1">
      <alignment horizontal="left" vertical="center" wrapText="1"/>
    </xf>
    <xf numFmtId="0" fontId="0" fillId="0" borderId="14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" xfId="0" applyBorder="1" applyAlignment="1">
      <alignment horizontal="left" vertical="center" wrapText="1"/>
    </xf>
    <xf numFmtId="0" fontId="80" fillId="2" borderId="0" xfId="0" applyFont="1" applyFill="1" applyAlignment="1">
      <alignment horizontal="right"/>
    </xf>
    <xf numFmtId="0" fontId="12" fillId="0" borderId="0" xfId="2" applyAlignment="1" applyProtection="1"/>
    <xf numFmtId="0" fontId="12" fillId="2" borderId="0" xfId="2" applyFill="1" applyBorder="1" applyAlignment="1" applyProtection="1"/>
    <xf numFmtId="0" fontId="0" fillId="0" borderId="82" xfId="0" applyBorder="1"/>
    <xf numFmtId="0" fontId="67" fillId="2" borderId="0" xfId="0" applyFont="1" applyFill="1"/>
    <xf numFmtId="0" fontId="0" fillId="7" borderId="1" xfId="0" applyFill="1" applyBorder="1" applyAlignment="1">
      <alignment horizontal="center" vertical="center"/>
    </xf>
    <xf numFmtId="0" fontId="16" fillId="7" borderId="1" xfId="0" applyFont="1" applyFill="1" applyBorder="1" applyAlignment="1">
      <alignment horizontal="center" vertical="center"/>
    </xf>
    <xf numFmtId="165" fontId="8" fillId="2" borderId="15" xfId="0" applyNumberFormat="1" applyFont="1" applyFill="1" applyBorder="1" applyAlignment="1">
      <alignment horizontal="center"/>
    </xf>
    <xf numFmtId="165" fontId="8" fillId="2" borderId="16" xfId="0" applyNumberFormat="1" applyFont="1" applyFill="1" applyBorder="1" applyAlignment="1">
      <alignment horizontal="center"/>
    </xf>
    <xf numFmtId="165" fontId="8" fillId="2" borderId="17" xfId="0" applyNumberFormat="1" applyFont="1" applyFill="1" applyBorder="1" applyAlignment="1">
      <alignment horizontal="center"/>
    </xf>
    <xf numFmtId="165" fontId="8" fillId="2" borderId="18" xfId="0" applyNumberFormat="1" applyFont="1" applyFill="1" applyBorder="1" applyAlignment="1">
      <alignment horizontal="center"/>
    </xf>
    <xf numFmtId="165" fontId="8" fillId="7" borderId="19" xfId="0" applyNumberFormat="1" applyFont="1" applyFill="1" applyBorder="1" applyAlignment="1">
      <alignment horizontal="center"/>
    </xf>
    <xf numFmtId="165" fontId="8" fillId="7" borderId="20" xfId="0" applyNumberFormat="1" applyFont="1" applyFill="1" applyBorder="1" applyAlignment="1">
      <alignment horizontal="center"/>
    </xf>
    <xf numFmtId="165" fontId="8" fillId="7" borderId="21" xfId="0" applyNumberFormat="1" applyFont="1" applyFill="1" applyBorder="1" applyAlignment="1">
      <alignment horizontal="center"/>
    </xf>
    <xf numFmtId="165" fontId="8" fillId="7" borderId="4" xfId="0" applyNumberFormat="1" applyFont="1" applyFill="1" applyBorder="1" applyAlignment="1">
      <alignment horizontal="center"/>
    </xf>
    <xf numFmtId="165" fontId="2" fillId="2" borderId="0" xfId="0" applyNumberFormat="1" applyFont="1" applyFill="1" applyAlignment="1">
      <alignment horizontal="center" vertical="center"/>
    </xf>
    <xf numFmtId="165" fontId="8" fillId="2" borderId="0" xfId="0" applyNumberFormat="1" applyFont="1" applyFill="1" applyAlignment="1">
      <alignment vertical="center"/>
    </xf>
    <xf numFmtId="165" fontId="20" fillId="2" borderId="0" xfId="0" applyNumberFormat="1" applyFont="1" applyFill="1" applyAlignment="1">
      <alignment horizontal="left" vertical="center"/>
    </xf>
    <xf numFmtId="165" fontId="20" fillId="2" borderId="0" xfId="0" applyNumberFormat="1" applyFont="1" applyFill="1" applyAlignment="1">
      <alignment vertical="center"/>
    </xf>
    <xf numFmtId="0" fontId="87" fillId="2" borderId="0" xfId="0" applyFont="1" applyFill="1" applyAlignment="1">
      <alignment horizontal="right"/>
    </xf>
    <xf numFmtId="165" fontId="8" fillId="7" borderId="22" xfId="0" applyNumberFormat="1" applyFont="1" applyFill="1" applyBorder="1" applyAlignment="1">
      <alignment horizontal="center"/>
    </xf>
    <xf numFmtId="165" fontId="8" fillId="7" borderId="23" xfId="0" applyNumberFormat="1" applyFont="1" applyFill="1" applyBorder="1" applyAlignment="1">
      <alignment horizontal="center"/>
    </xf>
    <xf numFmtId="0" fontId="72" fillId="2" borderId="0" xfId="0" applyFont="1" applyFill="1" applyAlignment="1">
      <alignment vertical="center"/>
    </xf>
    <xf numFmtId="0" fontId="59" fillId="7" borderId="24" xfId="0" applyFont="1" applyFill="1" applyBorder="1" applyAlignment="1">
      <alignment horizontal="center" vertical="center" wrapText="1"/>
    </xf>
    <xf numFmtId="0" fontId="3" fillId="7" borderId="23" xfId="0" applyFont="1" applyFill="1" applyBorder="1" applyAlignment="1">
      <alignment horizontal="center" vertical="center"/>
    </xf>
    <xf numFmtId="49" fontId="20" fillId="2" borderId="0" xfId="0" applyNumberFormat="1" applyFont="1" applyFill="1"/>
    <xf numFmtId="0" fontId="20" fillId="7" borderId="11" xfId="0" applyFont="1" applyFill="1" applyBorder="1" applyAlignment="1">
      <alignment horizontal="center" vertical="center" wrapText="1"/>
    </xf>
    <xf numFmtId="0" fontId="20" fillId="7" borderId="13" xfId="0" applyFont="1" applyFill="1" applyBorder="1" applyAlignment="1">
      <alignment horizontal="center" vertical="center" wrapText="1"/>
    </xf>
    <xf numFmtId="0" fontId="6" fillId="2" borderId="19" xfId="0" applyFont="1" applyFill="1" applyBorder="1" applyAlignment="1">
      <alignment horizontal="center" vertical="center"/>
    </xf>
    <xf numFmtId="0" fontId="6" fillId="2" borderId="20" xfId="0" applyFont="1" applyFill="1" applyBorder="1" applyAlignment="1">
      <alignment horizontal="center" vertical="center"/>
    </xf>
    <xf numFmtId="0" fontId="6" fillId="2" borderId="21" xfId="0" applyFont="1" applyFill="1" applyBorder="1" applyAlignment="1">
      <alignment horizontal="center" vertical="center"/>
    </xf>
    <xf numFmtId="0" fontId="31" fillId="7" borderId="4" xfId="0" applyFont="1" applyFill="1" applyBorder="1" applyAlignment="1">
      <alignment horizontal="center" vertical="top" wrapText="1"/>
    </xf>
    <xf numFmtId="0" fontId="31" fillId="7" borderId="23" xfId="0" applyFont="1" applyFill="1" applyBorder="1" applyAlignment="1">
      <alignment horizontal="center" vertical="top" wrapText="1"/>
    </xf>
    <xf numFmtId="165" fontId="3" fillId="2" borderId="14" xfId="0" applyNumberFormat="1" applyFont="1" applyFill="1" applyBorder="1" applyAlignment="1">
      <alignment horizontal="center" vertical="center" wrapText="1"/>
    </xf>
    <xf numFmtId="0" fontId="58" fillId="2" borderId="5" xfId="0" applyFont="1" applyFill="1" applyBorder="1" applyAlignment="1">
      <alignment horizontal="left" vertical="center" wrapText="1"/>
    </xf>
    <xf numFmtId="0" fontId="2" fillId="2" borderId="13" xfId="0" applyFont="1" applyFill="1" applyBorder="1" applyAlignment="1">
      <alignment horizontal="left" vertical="center" wrapText="1"/>
    </xf>
    <xf numFmtId="0" fontId="31" fillId="7" borderId="25" xfId="0" applyFont="1" applyFill="1" applyBorder="1" applyAlignment="1">
      <alignment horizontal="center" vertical="top" wrapText="1"/>
    </xf>
    <xf numFmtId="0" fontId="2" fillId="2" borderId="5" xfId="0" applyFont="1" applyFill="1" applyBorder="1" applyAlignment="1">
      <alignment vertical="top" wrapText="1"/>
    </xf>
    <xf numFmtId="0" fontId="68" fillId="7" borderId="23" xfId="0" applyFont="1" applyFill="1" applyBorder="1" applyAlignment="1">
      <alignment horizontal="center" vertical="top" wrapText="1"/>
    </xf>
    <xf numFmtId="0" fontId="2" fillId="2" borderId="8" xfId="0" applyFont="1" applyFill="1" applyBorder="1" applyAlignment="1">
      <alignment vertical="top" wrapText="1"/>
    </xf>
    <xf numFmtId="0" fontId="20" fillId="2" borderId="0" xfId="0" applyFont="1" applyFill="1" applyAlignment="1">
      <alignment horizontal="center" wrapText="1"/>
    </xf>
    <xf numFmtId="0" fontId="99" fillId="7" borderId="26" xfId="0" applyFont="1" applyFill="1" applyBorder="1" applyAlignment="1">
      <alignment horizontal="center"/>
    </xf>
    <xf numFmtId="3" fontId="45" fillId="7" borderId="27" xfId="0" applyNumberFormat="1" applyFont="1" applyFill="1" applyBorder="1" applyAlignment="1">
      <alignment horizontal="center"/>
    </xf>
    <xf numFmtId="3" fontId="45" fillId="7" borderId="24" xfId="0" applyNumberFormat="1" applyFont="1" applyFill="1" applyBorder="1" applyAlignment="1">
      <alignment horizontal="center"/>
    </xf>
    <xf numFmtId="3" fontId="45" fillId="7" borderId="28" xfId="0" applyNumberFormat="1" applyFont="1" applyFill="1" applyBorder="1" applyAlignment="1">
      <alignment horizontal="center"/>
    </xf>
    <xf numFmtId="3" fontId="45" fillId="7" borderId="29" xfId="0" applyNumberFormat="1" applyFont="1" applyFill="1" applyBorder="1" applyAlignment="1">
      <alignment horizontal="center"/>
    </xf>
    <xf numFmtId="3" fontId="45" fillId="7" borderId="30" xfId="0" applyNumberFormat="1" applyFont="1" applyFill="1" applyBorder="1" applyAlignment="1">
      <alignment horizontal="center"/>
    </xf>
    <xf numFmtId="0" fontId="71" fillId="2" borderId="0" xfId="1" applyFont="1" applyFill="1" applyProtection="1">
      <protection locked="0" hidden="1"/>
    </xf>
    <xf numFmtId="0" fontId="44" fillId="2" borderId="0" xfId="0" applyFont="1" applyFill="1"/>
    <xf numFmtId="0" fontId="46" fillId="2" borderId="0" xfId="0" applyFont="1" applyFill="1"/>
    <xf numFmtId="165" fontId="38" fillId="2" borderId="5" xfId="1" applyNumberFormat="1" applyFont="1" applyFill="1" applyBorder="1" applyAlignment="1">
      <alignment horizontal="center"/>
    </xf>
    <xf numFmtId="165" fontId="38" fillId="2" borderId="9" xfId="1" applyNumberFormat="1" applyFont="1" applyFill="1" applyBorder="1" applyAlignment="1">
      <alignment horizontal="center"/>
    </xf>
    <xf numFmtId="165" fontId="38" fillId="2" borderId="14" xfId="1" applyNumberFormat="1" applyFont="1" applyFill="1" applyBorder="1" applyAlignment="1">
      <alignment horizontal="center"/>
    </xf>
    <xf numFmtId="165" fontId="38" fillId="2" borderId="8" xfId="1" applyNumberFormat="1" applyFont="1" applyFill="1" applyBorder="1" applyAlignment="1">
      <alignment horizontal="center"/>
    </xf>
    <xf numFmtId="165" fontId="38" fillId="2" borderId="1" xfId="1" applyNumberFormat="1" applyFont="1" applyFill="1" applyBorder="1" applyAlignment="1">
      <alignment horizontal="center"/>
    </xf>
    <xf numFmtId="165" fontId="38" fillId="2" borderId="10" xfId="1" applyNumberFormat="1" applyFont="1" applyFill="1" applyBorder="1" applyAlignment="1">
      <alignment horizontal="center"/>
    </xf>
    <xf numFmtId="165" fontId="38" fillId="2" borderId="13" xfId="1" applyNumberFormat="1" applyFont="1" applyFill="1" applyBorder="1" applyAlignment="1">
      <alignment horizontal="center"/>
    </xf>
    <xf numFmtId="165" fontId="38" fillId="2" borderId="12" xfId="1" applyNumberFormat="1" applyFont="1" applyFill="1" applyBorder="1" applyAlignment="1">
      <alignment horizontal="center"/>
    </xf>
    <xf numFmtId="165" fontId="38" fillId="2" borderId="11" xfId="1" applyNumberFormat="1" applyFont="1" applyFill="1" applyBorder="1" applyAlignment="1">
      <alignment horizontal="center"/>
    </xf>
    <xf numFmtId="0" fontId="8" fillId="0" borderId="0" xfId="0" applyFont="1" applyAlignment="1">
      <alignment horizontal="right"/>
    </xf>
    <xf numFmtId="0" fontId="2" fillId="2" borderId="0" xfId="0" applyFont="1" applyFill="1" applyAlignment="1">
      <alignment horizontal="left"/>
    </xf>
    <xf numFmtId="0" fontId="29" fillId="2" borderId="0" xfId="0" applyFont="1" applyFill="1" applyAlignment="1">
      <alignment horizontal="left"/>
    </xf>
    <xf numFmtId="0" fontId="0" fillId="0" borderId="83" xfId="0" applyBorder="1"/>
    <xf numFmtId="0" fontId="10" fillId="2" borderId="1" xfId="0" applyFont="1" applyFill="1" applyBorder="1" applyAlignment="1">
      <alignment horizontal="left" vertical="center" wrapText="1"/>
    </xf>
    <xf numFmtId="0" fontId="10" fillId="2" borderId="9" xfId="0" applyFont="1" applyFill="1" applyBorder="1" applyAlignment="1">
      <alignment horizontal="left" vertical="center" wrapText="1"/>
    </xf>
    <xf numFmtId="0" fontId="10" fillId="2" borderId="31" xfId="0" applyFont="1" applyFill="1" applyBorder="1" applyAlignment="1">
      <alignment horizontal="left" vertical="center" wrapText="1"/>
    </xf>
    <xf numFmtId="0" fontId="3" fillId="7" borderId="32" xfId="0" applyFont="1" applyFill="1" applyBorder="1" applyAlignment="1">
      <alignment horizontal="center" vertical="center" wrapText="1"/>
    </xf>
    <xf numFmtId="0" fontId="0" fillId="2" borderId="82" xfId="0" applyFill="1" applyBorder="1"/>
    <xf numFmtId="165" fontId="8" fillId="7" borderId="33" xfId="0" applyNumberFormat="1" applyFont="1" applyFill="1" applyBorder="1" applyAlignment="1">
      <alignment horizontal="center"/>
    </xf>
    <xf numFmtId="0" fontId="10" fillId="2" borderId="12" xfId="0" applyFont="1" applyFill="1" applyBorder="1" applyAlignment="1">
      <alignment horizontal="left" vertical="center" wrapText="1"/>
    </xf>
    <xf numFmtId="0" fontId="20" fillId="7" borderId="34" xfId="0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60" fillId="0" borderId="12" xfId="0" applyFont="1" applyBorder="1" applyAlignment="1">
      <alignment horizontal="center" vertical="center"/>
    </xf>
    <xf numFmtId="165" fontId="78" fillId="2" borderId="35" xfId="0" applyNumberFormat="1" applyFont="1" applyFill="1" applyBorder="1" applyAlignment="1">
      <alignment wrapText="1"/>
    </xf>
    <xf numFmtId="0" fontId="0" fillId="0" borderId="84" xfId="0" applyBorder="1"/>
    <xf numFmtId="0" fontId="12" fillId="2" borderId="0" xfId="2" applyFill="1" applyAlignment="1" applyProtection="1">
      <alignment wrapText="1"/>
    </xf>
    <xf numFmtId="0" fontId="0" fillId="2" borderId="85" xfId="0" applyFill="1" applyBorder="1"/>
    <xf numFmtId="165" fontId="12" fillId="2" borderId="0" xfId="2" applyNumberFormat="1" applyFill="1" applyBorder="1" applyAlignment="1" applyProtection="1">
      <alignment horizontal="left" vertical="center"/>
    </xf>
    <xf numFmtId="165" fontId="8" fillId="2" borderId="0" xfId="0" applyNumberFormat="1" applyFont="1" applyFill="1" applyAlignment="1">
      <alignment horizontal="center"/>
    </xf>
    <xf numFmtId="0" fontId="20" fillId="2" borderId="35" xfId="0" applyFont="1" applyFill="1" applyBorder="1"/>
    <xf numFmtId="0" fontId="20" fillId="8" borderId="35" xfId="0" applyFont="1" applyFill="1" applyBorder="1"/>
    <xf numFmtId="165" fontId="8" fillId="8" borderId="35" xfId="0" applyNumberFormat="1" applyFont="1" applyFill="1" applyBorder="1" applyAlignment="1">
      <alignment horizontal="center"/>
    </xf>
    <xf numFmtId="165" fontId="1" fillId="8" borderId="35" xfId="0" applyNumberFormat="1" applyFont="1" applyFill="1" applyBorder="1" applyAlignment="1">
      <alignment horizontal="center" vertical="center"/>
    </xf>
    <xf numFmtId="165" fontId="0" fillId="8" borderId="0" xfId="0" applyNumberFormat="1" applyFill="1" applyAlignment="1">
      <alignment horizontal="center" vertical="center" textRotation="90"/>
    </xf>
    <xf numFmtId="165" fontId="8" fillId="8" borderId="0" xfId="0" applyNumberFormat="1" applyFont="1" applyFill="1" applyAlignment="1">
      <alignment horizontal="center"/>
    </xf>
    <xf numFmtId="0" fontId="20" fillId="8" borderId="0" xfId="0" applyFont="1" applyFill="1"/>
    <xf numFmtId="165" fontId="8" fillId="8" borderId="0" xfId="0" applyNumberFormat="1" applyFont="1" applyFill="1" applyAlignment="1">
      <alignment horizontal="center" vertical="center" textRotation="90"/>
    </xf>
    <xf numFmtId="9" fontId="0" fillId="2" borderId="0" xfId="0" applyNumberFormat="1" applyFill="1" applyAlignment="1">
      <alignment horizontal="center"/>
    </xf>
    <xf numFmtId="0" fontId="18" fillId="2" borderId="0" xfId="0" applyFont="1" applyFill="1" applyAlignment="1">
      <alignment horizontal="center"/>
    </xf>
    <xf numFmtId="0" fontId="6" fillId="7" borderId="4" xfId="0" applyFont="1" applyFill="1" applyBorder="1" applyAlignment="1">
      <alignment horizontal="center" vertical="center" wrapText="1"/>
    </xf>
    <xf numFmtId="0" fontId="6" fillId="7" borderId="4" xfId="0" applyFont="1" applyFill="1" applyBorder="1" applyAlignment="1">
      <alignment horizontal="center" vertical="center"/>
    </xf>
    <xf numFmtId="2" fontId="3" fillId="2" borderId="36" xfId="0" applyNumberFormat="1" applyFont="1" applyFill="1" applyBorder="1" applyAlignment="1">
      <alignment horizontal="center" vertical="top" wrapText="1"/>
    </xf>
    <xf numFmtId="165" fontId="8" fillId="2" borderId="9" xfId="0" applyNumberFormat="1" applyFont="1" applyFill="1" applyBorder="1" applyAlignment="1">
      <alignment horizontal="center" vertical="center"/>
    </xf>
    <xf numFmtId="165" fontId="8" fillId="2" borderId="14" xfId="0" applyNumberFormat="1" applyFont="1" applyFill="1" applyBorder="1" applyAlignment="1">
      <alignment horizontal="center" vertical="center"/>
    </xf>
    <xf numFmtId="165" fontId="8" fillId="2" borderId="1" xfId="0" applyNumberFormat="1" applyFont="1" applyFill="1" applyBorder="1" applyAlignment="1">
      <alignment horizontal="center" vertical="center"/>
    </xf>
    <xf numFmtId="165" fontId="8" fillId="2" borderId="10" xfId="0" applyNumberFormat="1" applyFont="1" applyFill="1" applyBorder="1" applyAlignment="1">
      <alignment horizontal="center" vertical="center"/>
    </xf>
    <xf numFmtId="165" fontId="8" fillId="2" borderId="12" xfId="0" applyNumberFormat="1" applyFont="1" applyFill="1" applyBorder="1" applyAlignment="1">
      <alignment horizontal="center" vertical="center"/>
    </xf>
    <xf numFmtId="165" fontId="8" fillId="2" borderId="11" xfId="0" applyNumberFormat="1" applyFont="1" applyFill="1" applyBorder="1" applyAlignment="1">
      <alignment horizontal="center" vertical="center"/>
    </xf>
    <xf numFmtId="0" fontId="8" fillId="2" borderId="83" xfId="0" applyFont="1" applyFill="1" applyBorder="1" applyAlignment="1">
      <alignment horizontal="right"/>
    </xf>
    <xf numFmtId="0" fontId="8" fillId="2" borderId="86" xfId="0" applyFont="1" applyFill="1" applyBorder="1"/>
    <xf numFmtId="0" fontId="0" fillId="0" borderId="87" xfId="0" applyBorder="1"/>
    <xf numFmtId="0" fontId="110" fillId="0" borderId="14" xfId="0" applyFont="1" applyBorder="1" applyAlignment="1">
      <alignment horizontal="left" vertical="center"/>
    </xf>
    <xf numFmtId="0" fontId="110" fillId="0" borderId="10" xfId="0" applyFont="1" applyBorder="1" applyAlignment="1">
      <alignment horizontal="left" vertical="center"/>
    </xf>
    <xf numFmtId="0" fontId="110" fillId="9" borderId="10" xfId="0" applyFont="1" applyFill="1" applyBorder="1" applyAlignment="1">
      <alignment horizontal="left" vertical="center"/>
    </xf>
    <xf numFmtId="0" fontId="110" fillId="9" borderId="11" xfId="0" applyFont="1" applyFill="1" applyBorder="1" applyAlignment="1">
      <alignment horizontal="left" vertical="center"/>
    </xf>
    <xf numFmtId="165" fontId="0" fillId="0" borderId="5" xfId="0" applyNumberFormat="1" applyBorder="1" applyAlignment="1">
      <alignment horizontal="center"/>
    </xf>
    <xf numFmtId="165" fontId="0" fillId="0" borderId="9" xfId="0" applyNumberFormat="1" applyBorder="1" applyAlignment="1">
      <alignment horizontal="center"/>
    </xf>
    <xf numFmtId="165" fontId="0" fillId="0" borderId="14" xfId="0" applyNumberFormat="1" applyBorder="1" applyAlignment="1">
      <alignment horizontal="center"/>
    </xf>
    <xf numFmtId="165" fontId="0" fillId="0" borderId="8" xfId="0" applyNumberFormat="1" applyBorder="1" applyAlignment="1">
      <alignment horizontal="center"/>
    </xf>
    <xf numFmtId="165" fontId="0" fillId="0" borderId="1" xfId="0" applyNumberFormat="1" applyBorder="1" applyAlignment="1">
      <alignment horizontal="center"/>
    </xf>
    <xf numFmtId="165" fontId="0" fillId="0" borderId="10" xfId="0" applyNumberFormat="1" applyBorder="1" applyAlignment="1">
      <alignment horizontal="center"/>
    </xf>
    <xf numFmtId="165" fontId="0" fillId="0" borderId="13" xfId="0" applyNumberFormat="1" applyBorder="1" applyAlignment="1">
      <alignment horizontal="center"/>
    </xf>
    <xf numFmtId="165" fontId="0" fillId="0" borderId="12" xfId="0" applyNumberFormat="1" applyBorder="1" applyAlignment="1">
      <alignment horizontal="center"/>
    </xf>
    <xf numFmtId="165" fontId="0" fillId="0" borderId="11" xfId="0" applyNumberFormat="1" applyBorder="1" applyAlignment="1">
      <alignment horizontal="center"/>
    </xf>
    <xf numFmtId="0" fontId="72" fillId="2" borderId="82" xfId="0" applyFont="1" applyFill="1" applyBorder="1" applyAlignment="1">
      <alignment vertical="center"/>
    </xf>
    <xf numFmtId="0" fontId="0" fillId="0" borderId="88" xfId="0" applyBorder="1"/>
    <xf numFmtId="0" fontId="0" fillId="0" borderId="89" xfId="0" applyBorder="1"/>
    <xf numFmtId="0" fontId="0" fillId="0" borderId="88" xfId="0" applyBorder="1" applyAlignment="1">
      <alignment horizontal="center"/>
    </xf>
    <xf numFmtId="0" fontId="0" fillId="0" borderId="90" xfId="0" applyBorder="1"/>
    <xf numFmtId="0" fontId="71" fillId="2" borderId="83" xfId="1" applyFont="1" applyFill="1" applyBorder="1" applyProtection="1">
      <protection locked="0" hidden="1"/>
    </xf>
    <xf numFmtId="0" fontId="0" fillId="2" borderId="83" xfId="0" applyFill="1" applyBorder="1"/>
    <xf numFmtId="0" fontId="39" fillId="2" borderId="83" xfId="0" applyFont="1" applyFill="1" applyBorder="1" applyAlignment="1">
      <alignment horizontal="right"/>
    </xf>
    <xf numFmtId="0" fontId="39" fillId="2" borderId="83" xfId="0" applyFont="1" applyFill="1" applyBorder="1" applyAlignment="1">
      <alignment horizontal="left"/>
    </xf>
    <xf numFmtId="0" fontId="41" fillId="2" borderId="83" xfId="0" applyFont="1" applyFill="1" applyBorder="1"/>
    <xf numFmtId="165" fontId="8" fillId="7" borderId="37" xfId="0" applyNumberFormat="1" applyFont="1" applyFill="1" applyBorder="1" applyAlignment="1">
      <alignment horizontal="center"/>
    </xf>
    <xf numFmtId="165" fontId="8" fillId="7" borderId="38" xfId="0" applyNumberFormat="1" applyFont="1" applyFill="1" applyBorder="1" applyAlignment="1">
      <alignment horizontal="center"/>
    </xf>
    <xf numFmtId="165" fontId="8" fillId="7" borderId="39" xfId="0" applyNumberFormat="1" applyFont="1" applyFill="1" applyBorder="1" applyAlignment="1">
      <alignment horizontal="center"/>
    </xf>
    <xf numFmtId="165" fontId="8" fillId="7" borderId="40" xfId="0" applyNumberFormat="1" applyFont="1" applyFill="1" applyBorder="1" applyAlignment="1">
      <alignment horizontal="center"/>
    </xf>
    <xf numFmtId="0" fontId="22" fillId="2" borderId="0" xfId="0" applyFont="1" applyFill="1" applyAlignment="1">
      <alignment horizontal="left"/>
    </xf>
    <xf numFmtId="165" fontId="8" fillId="7" borderId="16" xfId="0" applyNumberFormat="1" applyFont="1" applyFill="1" applyBorder="1" applyAlignment="1">
      <alignment horizontal="center"/>
    </xf>
    <xf numFmtId="165" fontId="8" fillId="7" borderId="41" xfId="0" applyNumberFormat="1" applyFont="1" applyFill="1" applyBorder="1" applyAlignment="1">
      <alignment horizontal="center"/>
    </xf>
    <xf numFmtId="165" fontId="8" fillId="7" borderId="42" xfId="0" applyNumberFormat="1" applyFont="1" applyFill="1" applyBorder="1" applyAlignment="1">
      <alignment horizontal="center"/>
    </xf>
    <xf numFmtId="165" fontId="8" fillId="7" borderId="15" xfId="0" applyNumberFormat="1" applyFont="1" applyFill="1" applyBorder="1" applyAlignment="1">
      <alignment horizontal="center"/>
    </xf>
    <xf numFmtId="165" fontId="14" fillId="2" borderId="1" xfId="0" applyNumberFormat="1" applyFont="1" applyFill="1" applyBorder="1" applyAlignment="1">
      <alignment horizontal="center" vertical="center"/>
    </xf>
    <xf numFmtId="165" fontId="14" fillId="2" borderId="12" xfId="0" applyNumberFormat="1" applyFont="1" applyFill="1" applyBorder="1" applyAlignment="1">
      <alignment horizontal="center" vertical="center"/>
    </xf>
    <xf numFmtId="165" fontId="14" fillId="2" borderId="0" xfId="0" applyNumberFormat="1" applyFont="1" applyFill="1" applyAlignment="1">
      <alignment horizontal="center" vertical="center"/>
    </xf>
    <xf numFmtId="165" fontId="14" fillId="7" borderId="39" xfId="0" applyNumberFormat="1" applyFont="1" applyFill="1" applyBorder="1" applyAlignment="1">
      <alignment horizontal="center" vertical="center"/>
    </xf>
    <xf numFmtId="165" fontId="14" fillId="7" borderId="37" xfId="0" applyNumberFormat="1" applyFont="1" applyFill="1" applyBorder="1" applyAlignment="1">
      <alignment horizontal="center" vertical="center"/>
    </xf>
    <xf numFmtId="165" fontId="14" fillId="7" borderId="38" xfId="0" applyNumberFormat="1" applyFont="1" applyFill="1" applyBorder="1" applyAlignment="1">
      <alignment horizontal="center" vertical="center"/>
    </xf>
    <xf numFmtId="165" fontId="14" fillId="2" borderId="8" xfId="0" applyNumberFormat="1" applyFont="1" applyFill="1" applyBorder="1" applyAlignment="1">
      <alignment horizontal="center" vertical="center"/>
    </xf>
    <xf numFmtId="165" fontId="14" fillId="2" borderId="13" xfId="0" applyNumberFormat="1" applyFont="1" applyFill="1" applyBorder="1" applyAlignment="1">
      <alignment horizontal="center" vertical="center"/>
    </xf>
    <xf numFmtId="165" fontId="14" fillId="2" borderId="7" xfId="0" applyNumberFormat="1" applyFont="1" applyFill="1" applyBorder="1" applyAlignment="1">
      <alignment horizontal="center" vertical="center"/>
    </xf>
    <xf numFmtId="165" fontId="14" fillId="2" borderId="43" xfId="0" applyNumberFormat="1" applyFont="1" applyFill="1" applyBorder="1" applyAlignment="1">
      <alignment horizontal="center" vertical="center"/>
    </xf>
    <xf numFmtId="165" fontId="14" fillId="7" borderId="17" xfId="0" applyNumberFormat="1" applyFont="1" applyFill="1" applyBorder="1" applyAlignment="1">
      <alignment horizontal="center" vertical="center"/>
    </xf>
    <xf numFmtId="165" fontId="14" fillId="7" borderId="44" xfId="0" applyNumberFormat="1" applyFont="1" applyFill="1" applyBorder="1" applyAlignment="1">
      <alignment horizontal="center" vertical="center"/>
    </xf>
    <xf numFmtId="165" fontId="14" fillId="8" borderId="0" xfId="0" applyNumberFormat="1" applyFont="1" applyFill="1" applyAlignment="1">
      <alignment horizontal="center" vertical="center"/>
    </xf>
    <xf numFmtId="165" fontId="8" fillId="2" borderId="5" xfId="0" applyNumberFormat="1" applyFont="1" applyFill="1" applyBorder="1" applyAlignment="1">
      <alignment horizontal="center" vertical="center"/>
    </xf>
    <xf numFmtId="165" fontId="8" fillId="2" borderId="8" xfId="0" applyNumberFormat="1" applyFont="1" applyFill="1" applyBorder="1" applyAlignment="1">
      <alignment horizontal="center" vertical="center"/>
    </xf>
    <xf numFmtId="165" fontId="8" fillId="2" borderId="13" xfId="0" applyNumberFormat="1" applyFont="1" applyFill="1" applyBorder="1" applyAlignment="1">
      <alignment horizontal="center" vertical="center"/>
    </xf>
    <xf numFmtId="0" fontId="20" fillId="2" borderId="0" xfId="0" applyFont="1" applyFill="1" applyAlignment="1">
      <alignment horizontal="center" vertical="center"/>
    </xf>
    <xf numFmtId="0" fontId="20" fillId="2" borderId="82" xfId="0" applyFont="1" applyFill="1" applyBorder="1"/>
    <xf numFmtId="165" fontId="131" fillId="8" borderId="9" xfId="0" applyNumberFormat="1" applyFont="1" applyFill="1" applyBorder="1" applyAlignment="1">
      <alignment horizontal="center"/>
    </xf>
    <xf numFmtId="165" fontId="131" fillId="8" borderId="1" xfId="0" applyNumberFormat="1" applyFont="1" applyFill="1" applyBorder="1" applyAlignment="1">
      <alignment horizontal="center"/>
    </xf>
    <xf numFmtId="165" fontId="131" fillId="8" borderId="12" xfId="0" applyNumberFormat="1" applyFont="1" applyFill="1" applyBorder="1" applyAlignment="1">
      <alignment horizontal="center"/>
    </xf>
    <xf numFmtId="165" fontId="131" fillId="8" borderId="0" xfId="0" applyNumberFormat="1" applyFont="1" applyFill="1" applyAlignment="1">
      <alignment horizontal="center"/>
    </xf>
    <xf numFmtId="0" fontId="0" fillId="10" borderId="8" xfId="0" applyFill="1" applyBorder="1" applyAlignment="1">
      <alignment horizontal="center" vertical="center"/>
    </xf>
    <xf numFmtId="0" fontId="0" fillId="10" borderId="13" xfId="0" applyFill="1" applyBorder="1" applyAlignment="1">
      <alignment horizontal="center" vertical="center"/>
    </xf>
    <xf numFmtId="0" fontId="0" fillId="10" borderId="5" xfId="0" applyFill="1" applyBorder="1" applyAlignment="1">
      <alignment horizontal="center" vertical="center"/>
    </xf>
    <xf numFmtId="0" fontId="111" fillId="8" borderId="0" xfId="0" applyFont="1" applyFill="1"/>
    <xf numFmtId="0" fontId="80" fillId="8" borderId="0" xfId="0" applyFont="1" applyFill="1"/>
    <xf numFmtId="165" fontId="78" fillId="2" borderId="0" xfId="0" applyNumberFormat="1" applyFont="1" applyFill="1" applyAlignment="1">
      <alignment wrapText="1"/>
    </xf>
    <xf numFmtId="165" fontId="8" fillId="7" borderId="45" xfId="0" applyNumberFormat="1" applyFont="1" applyFill="1" applyBorder="1" applyAlignment="1">
      <alignment horizontal="center"/>
    </xf>
    <xf numFmtId="165" fontId="8" fillId="7" borderId="29" xfId="0" applyNumberFormat="1" applyFont="1" applyFill="1" applyBorder="1" applyAlignment="1">
      <alignment horizontal="center"/>
    </xf>
    <xf numFmtId="165" fontId="8" fillId="7" borderId="30" xfId="0" applyNumberFormat="1" applyFont="1" applyFill="1" applyBorder="1" applyAlignment="1">
      <alignment horizontal="center"/>
    </xf>
    <xf numFmtId="165" fontId="131" fillId="8" borderId="5" xfId="0" applyNumberFormat="1" applyFont="1" applyFill="1" applyBorder="1" applyAlignment="1">
      <alignment horizontal="center"/>
    </xf>
    <xf numFmtId="165" fontId="131" fillId="8" borderId="8" xfId="0" applyNumberFormat="1" applyFont="1" applyFill="1" applyBorder="1" applyAlignment="1">
      <alignment horizontal="center"/>
    </xf>
    <xf numFmtId="165" fontId="131" fillId="8" borderId="13" xfId="0" applyNumberFormat="1" applyFont="1" applyFill="1" applyBorder="1" applyAlignment="1">
      <alignment horizontal="center"/>
    </xf>
    <xf numFmtId="0" fontId="86" fillId="2" borderId="0" xfId="2" applyFont="1" applyFill="1" applyAlignment="1" applyProtection="1">
      <alignment horizontal="left" vertical="center"/>
    </xf>
    <xf numFmtId="165" fontId="8" fillId="7" borderId="46" xfId="11" applyNumberFormat="1" applyFont="1" applyFill="1" applyBorder="1" applyAlignment="1">
      <alignment horizontal="center"/>
    </xf>
    <xf numFmtId="165" fontId="8" fillId="7" borderId="34" xfId="11" applyNumberFormat="1" applyFont="1" applyFill="1" applyBorder="1" applyAlignment="1">
      <alignment horizontal="center"/>
    </xf>
    <xf numFmtId="165" fontId="8" fillId="8" borderId="3" xfId="11" applyNumberFormat="1" applyFont="1" applyFill="1" applyBorder="1" applyAlignment="1">
      <alignment horizontal="center" vertical="center"/>
    </xf>
    <xf numFmtId="165" fontId="8" fillId="7" borderId="19" xfId="11" applyNumberFormat="1" applyFont="1" applyFill="1" applyBorder="1" applyAlignment="1">
      <alignment horizontal="center"/>
    </xf>
    <xf numFmtId="165" fontId="8" fillId="7" borderId="20" xfId="11" applyNumberFormat="1" applyFont="1" applyFill="1" applyBorder="1" applyAlignment="1">
      <alignment horizontal="center"/>
    </xf>
    <xf numFmtId="2" fontId="8" fillId="7" borderId="21" xfId="11" applyNumberFormat="1" applyFont="1" applyFill="1" applyBorder="1" applyAlignment="1">
      <alignment horizontal="center"/>
    </xf>
    <xf numFmtId="165" fontId="8" fillId="8" borderId="5" xfId="11" applyNumberFormat="1" applyFont="1" applyFill="1" applyBorder="1" applyAlignment="1">
      <alignment horizontal="center" vertical="center"/>
    </xf>
    <xf numFmtId="165" fontId="8" fillId="8" borderId="6" xfId="11" applyNumberFormat="1" applyFont="1" applyFill="1" applyBorder="1" applyAlignment="1">
      <alignment horizontal="center" vertical="center"/>
    </xf>
    <xf numFmtId="165" fontId="8" fillId="8" borderId="15" xfId="11" applyNumberFormat="1" applyFont="1" applyFill="1" applyBorder="1" applyAlignment="1">
      <alignment horizontal="center" vertical="center"/>
    </xf>
    <xf numFmtId="165" fontId="8" fillId="8" borderId="7" xfId="11" applyNumberFormat="1" applyFont="1" applyFill="1" applyBorder="1" applyAlignment="1">
      <alignment horizontal="center" vertical="center"/>
    </xf>
    <xf numFmtId="165" fontId="8" fillId="8" borderId="16" xfId="11" applyNumberFormat="1" applyFont="1" applyFill="1" applyBorder="1" applyAlignment="1">
      <alignment horizontal="center" vertical="center"/>
    </xf>
    <xf numFmtId="165" fontId="8" fillId="8" borderId="17" xfId="11" applyNumberFormat="1" applyFont="1" applyFill="1" applyBorder="1" applyAlignment="1">
      <alignment horizontal="center" vertical="center"/>
    </xf>
    <xf numFmtId="165" fontId="8" fillId="8" borderId="18" xfId="11" applyNumberFormat="1" applyFont="1" applyFill="1" applyBorder="1" applyAlignment="1">
      <alignment horizontal="center" vertical="center"/>
    </xf>
    <xf numFmtId="165" fontId="8" fillId="8" borderId="47" xfId="11" applyNumberFormat="1" applyFont="1" applyFill="1" applyBorder="1" applyAlignment="1">
      <alignment horizontal="center" vertical="center"/>
    </xf>
    <xf numFmtId="165" fontId="8" fillId="8" borderId="89" xfId="11" applyNumberFormat="1" applyFont="1" applyFill="1" applyBorder="1" applyAlignment="1">
      <alignment horizontal="center" vertical="center"/>
    </xf>
    <xf numFmtId="165" fontId="8" fillId="8" borderId="89" xfId="0" applyNumberFormat="1" applyFont="1" applyFill="1" applyBorder="1" applyAlignment="1">
      <alignment horizontal="center" vertical="center" textRotation="90"/>
    </xf>
    <xf numFmtId="2" fontId="8" fillId="8" borderId="89" xfId="11" applyNumberFormat="1" applyFont="1" applyFill="1" applyBorder="1" applyAlignment="1">
      <alignment horizontal="center"/>
    </xf>
    <xf numFmtId="0" fontId="16" fillId="9" borderId="1" xfId="0" applyFont="1" applyFill="1" applyBorder="1" applyAlignment="1">
      <alignment horizontal="center" vertical="center"/>
    </xf>
    <xf numFmtId="0" fontId="16" fillId="9" borderId="10" xfId="0" applyFont="1" applyFill="1" applyBorder="1" applyAlignment="1">
      <alignment horizontal="center" vertical="center"/>
    </xf>
    <xf numFmtId="0" fontId="20" fillId="0" borderId="82" xfId="0" applyFont="1" applyBorder="1" applyAlignment="1">
      <alignment horizontal="left" vertical="center"/>
    </xf>
    <xf numFmtId="0" fontId="0" fillId="2" borderId="82" xfId="0" applyFill="1" applyBorder="1" applyAlignment="1">
      <alignment vertical="center"/>
    </xf>
    <xf numFmtId="0" fontId="25" fillId="2" borderId="82" xfId="0" applyFont="1" applyFill="1" applyBorder="1" applyAlignment="1">
      <alignment horizontal="left" vertical="center"/>
    </xf>
    <xf numFmtId="0" fontId="25" fillId="2" borderId="82" xfId="0" applyFont="1" applyFill="1" applyBorder="1" applyAlignment="1">
      <alignment horizontal="left"/>
    </xf>
    <xf numFmtId="0" fontId="25" fillId="2" borderId="82" xfId="0" applyFont="1" applyFill="1" applyBorder="1"/>
    <xf numFmtId="0" fontId="60" fillId="2" borderId="82" xfId="0" applyFont="1" applyFill="1" applyBorder="1"/>
    <xf numFmtId="0" fontId="61" fillId="2" borderId="82" xfId="0" applyFont="1" applyFill="1" applyBorder="1"/>
    <xf numFmtId="0" fontId="26" fillId="2" borderId="0" xfId="0" applyFont="1" applyFill="1" applyAlignment="1">
      <alignment horizontal="center" vertical="center" wrapText="1"/>
    </xf>
    <xf numFmtId="2" fontId="52" fillId="2" borderId="0" xfId="0" applyNumberFormat="1" applyFont="1" applyFill="1" applyAlignment="1">
      <alignment horizontal="center" vertical="center"/>
    </xf>
    <xf numFmtId="0" fontId="54" fillId="2" borderId="82" xfId="0" applyFont="1" applyFill="1" applyBorder="1" applyAlignment="1">
      <alignment horizontal="left"/>
    </xf>
    <xf numFmtId="165" fontId="8" fillId="7" borderId="45" xfId="11" applyNumberFormat="1" applyFont="1" applyFill="1" applyBorder="1" applyAlignment="1">
      <alignment horizontal="center"/>
    </xf>
    <xf numFmtId="165" fontId="8" fillId="7" borderId="29" xfId="11" applyNumberFormat="1" applyFont="1" applyFill="1" applyBorder="1" applyAlignment="1">
      <alignment horizontal="center"/>
    </xf>
    <xf numFmtId="2" fontId="8" fillId="7" borderId="30" xfId="11" applyNumberFormat="1" applyFont="1" applyFill="1" applyBorder="1" applyAlignment="1">
      <alignment horizontal="center"/>
    </xf>
    <xf numFmtId="165" fontId="8" fillId="8" borderId="1" xfId="11" applyNumberFormat="1" applyFont="1" applyFill="1" applyBorder="1" applyAlignment="1">
      <alignment horizontal="center" vertical="center"/>
    </xf>
    <xf numFmtId="165" fontId="8" fillId="8" borderId="9" xfId="11" applyNumberFormat="1" applyFont="1" applyFill="1" applyBorder="1" applyAlignment="1">
      <alignment horizontal="center" vertical="center"/>
    </xf>
    <xf numFmtId="165" fontId="8" fillId="8" borderId="14" xfId="11" applyNumberFormat="1" applyFont="1" applyFill="1" applyBorder="1" applyAlignment="1">
      <alignment horizontal="center" vertical="center"/>
    </xf>
    <xf numFmtId="165" fontId="8" fillId="8" borderId="8" xfId="11" applyNumberFormat="1" applyFont="1" applyFill="1" applyBorder="1" applyAlignment="1">
      <alignment horizontal="center" vertical="center"/>
    </xf>
    <xf numFmtId="165" fontId="8" fillId="8" borderId="10" xfId="11" applyNumberFormat="1" applyFont="1" applyFill="1" applyBorder="1" applyAlignment="1">
      <alignment horizontal="center" vertical="center"/>
    </xf>
    <xf numFmtId="165" fontId="8" fillId="8" borderId="13" xfId="11" applyNumberFormat="1" applyFont="1" applyFill="1" applyBorder="1" applyAlignment="1">
      <alignment horizontal="center" vertical="center"/>
    </xf>
    <xf numFmtId="165" fontId="8" fillId="8" borderId="12" xfId="11" applyNumberFormat="1" applyFont="1" applyFill="1" applyBorder="1" applyAlignment="1">
      <alignment horizontal="center" vertical="center"/>
    </xf>
    <xf numFmtId="165" fontId="8" fillId="8" borderId="11" xfId="11" applyNumberFormat="1" applyFont="1" applyFill="1" applyBorder="1" applyAlignment="1">
      <alignment horizontal="center" vertical="center"/>
    </xf>
    <xf numFmtId="0" fontId="20" fillId="8" borderId="0" xfId="0" applyFont="1" applyFill="1" applyAlignment="1">
      <alignment vertical="center"/>
    </xf>
    <xf numFmtId="0" fontId="20" fillId="2" borderId="0" xfId="0" applyFont="1" applyFill="1" applyAlignment="1">
      <alignment horizontal="left" wrapText="1"/>
    </xf>
    <xf numFmtId="0" fontId="6" fillId="7" borderId="34" xfId="0" applyFont="1" applyFill="1" applyBorder="1" applyAlignment="1">
      <alignment horizontal="center" vertical="center" wrapText="1"/>
    </xf>
    <xf numFmtId="165" fontId="8" fillId="2" borderId="5" xfId="0" applyNumberFormat="1" applyFont="1" applyFill="1" applyBorder="1" applyAlignment="1">
      <alignment horizontal="center" vertical="center" wrapText="1"/>
    </xf>
    <xf numFmtId="165" fontId="8" fillId="2" borderId="9" xfId="0" applyNumberFormat="1" applyFont="1" applyFill="1" applyBorder="1" applyAlignment="1">
      <alignment horizontal="center" vertical="center" wrapText="1"/>
    </xf>
    <xf numFmtId="165" fontId="8" fillId="2" borderId="14" xfId="0" applyNumberFormat="1" applyFont="1" applyFill="1" applyBorder="1" applyAlignment="1">
      <alignment horizontal="center" vertical="center" wrapText="1"/>
    </xf>
    <xf numFmtId="165" fontId="8" fillId="2" borderId="8" xfId="0" applyNumberFormat="1" applyFont="1" applyFill="1" applyBorder="1" applyAlignment="1">
      <alignment horizontal="center" vertical="center" wrapText="1"/>
    </xf>
    <xf numFmtId="165" fontId="8" fillId="2" borderId="1" xfId="0" applyNumberFormat="1" applyFont="1" applyFill="1" applyBorder="1" applyAlignment="1">
      <alignment horizontal="center" vertical="center" wrapText="1"/>
    </xf>
    <xf numFmtId="165" fontId="8" fillId="2" borderId="10" xfId="0" applyNumberFormat="1" applyFont="1" applyFill="1" applyBorder="1" applyAlignment="1">
      <alignment horizontal="center" vertical="center" wrapText="1"/>
    </xf>
    <xf numFmtId="165" fontId="8" fillId="2" borderId="13" xfId="0" applyNumberFormat="1" applyFont="1" applyFill="1" applyBorder="1" applyAlignment="1">
      <alignment horizontal="center" vertical="center" wrapText="1"/>
    </xf>
    <xf numFmtId="165" fontId="8" fillId="2" borderId="12" xfId="0" applyNumberFormat="1" applyFont="1" applyFill="1" applyBorder="1" applyAlignment="1">
      <alignment horizontal="center" vertical="center" wrapText="1"/>
    </xf>
    <xf numFmtId="165" fontId="8" fillId="2" borderId="11" xfId="0" applyNumberFormat="1" applyFont="1" applyFill="1" applyBorder="1" applyAlignment="1">
      <alignment horizontal="center" vertical="center" wrapText="1"/>
    </xf>
    <xf numFmtId="165" fontId="8" fillId="2" borderId="43" xfId="11" applyNumberFormat="1" applyFont="1" applyFill="1" applyBorder="1" applyAlignment="1">
      <alignment horizontal="center" vertical="center"/>
    </xf>
    <xf numFmtId="165" fontId="8" fillId="2" borderId="48" xfId="11" applyNumberFormat="1" applyFont="1" applyFill="1" applyBorder="1" applyAlignment="1">
      <alignment horizontal="center" vertical="center"/>
    </xf>
    <xf numFmtId="165" fontId="8" fillId="7" borderId="17" xfId="11" applyNumberFormat="1" applyFont="1" applyFill="1" applyBorder="1" applyAlignment="1">
      <alignment horizontal="center"/>
    </xf>
    <xf numFmtId="165" fontId="8" fillId="7" borderId="44" xfId="11" applyNumberFormat="1" applyFont="1" applyFill="1" applyBorder="1" applyAlignment="1">
      <alignment horizontal="center"/>
    </xf>
    <xf numFmtId="165" fontId="8" fillId="7" borderId="36" xfId="11" applyNumberFormat="1" applyFont="1" applyFill="1" applyBorder="1" applyAlignment="1">
      <alignment horizontal="center"/>
    </xf>
    <xf numFmtId="0" fontId="39" fillId="2" borderId="0" xfId="0" applyFont="1" applyFill="1"/>
    <xf numFmtId="0" fontId="0" fillId="0" borderId="91" xfId="0" applyBorder="1"/>
    <xf numFmtId="0" fontId="20" fillId="8" borderId="0" xfId="0" applyFont="1" applyFill="1" applyAlignment="1">
      <alignment horizontal="center"/>
    </xf>
    <xf numFmtId="165" fontId="8" fillId="7" borderId="22" xfId="0" applyNumberFormat="1" applyFont="1" applyFill="1" applyBorder="1" applyAlignment="1">
      <alignment horizontal="center" vertical="center"/>
    </xf>
    <xf numFmtId="165" fontId="8" fillId="7" borderId="27" xfId="0" applyNumberFormat="1" applyFont="1" applyFill="1" applyBorder="1" applyAlignment="1">
      <alignment horizontal="center" vertical="center"/>
    </xf>
    <xf numFmtId="165" fontId="8" fillId="7" borderId="24" xfId="0" applyNumberFormat="1" applyFont="1" applyFill="1" applyBorder="1" applyAlignment="1">
      <alignment horizontal="center" vertical="center"/>
    </xf>
    <xf numFmtId="165" fontId="8" fillId="7" borderId="15" xfId="0" applyNumberFormat="1" applyFont="1" applyFill="1" applyBorder="1" applyAlignment="1">
      <alignment horizontal="center" vertical="center"/>
    </xf>
    <xf numFmtId="165" fontId="8" fillId="2" borderId="6" xfId="0" applyNumberFormat="1" applyFont="1" applyFill="1" applyBorder="1" applyAlignment="1">
      <alignment horizontal="center" vertical="center"/>
    </xf>
    <xf numFmtId="165" fontId="8" fillId="7" borderId="41" xfId="0" applyNumberFormat="1" applyFont="1" applyFill="1" applyBorder="1" applyAlignment="1">
      <alignment horizontal="center" vertical="center"/>
    </xf>
    <xf numFmtId="165" fontId="8" fillId="2" borderId="49" xfId="0" applyNumberFormat="1" applyFont="1" applyFill="1" applyBorder="1" applyAlignment="1">
      <alignment horizontal="center" vertical="center"/>
    </xf>
    <xf numFmtId="165" fontId="8" fillId="7" borderId="42" xfId="0" applyNumberFormat="1" applyFont="1" applyFill="1" applyBorder="1" applyAlignment="1">
      <alignment horizontal="center" vertical="center"/>
    </xf>
    <xf numFmtId="165" fontId="8" fillId="2" borderId="50" xfId="0" applyNumberFormat="1" applyFont="1" applyFill="1" applyBorder="1" applyAlignment="1">
      <alignment horizontal="center" vertical="center"/>
    </xf>
    <xf numFmtId="2" fontId="77" fillId="0" borderId="48" xfId="11" applyNumberFormat="1" applyFont="1" applyBorder="1" applyAlignment="1">
      <alignment horizontal="center" vertical="center"/>
    </xf>
    <xf numFmtId="2" fontId="77" fillId="0" borderId="10" xfId="11" applyNumberFormat="1" applyFont="1" applyBorder="1" applyAlignment="1">
      <alignment horizontal="center" vertical="center"/>
    </xf>
    <xf numFmtId="2" fontId="77" fillId="0" borderId="11" xfId="11" applyNumberFormat="1" applyFont="1" applyBorder="1" applyAlignment="1">
      <alignment horizontal="center" vertical="center"/>
    </xf>
    <xf numFmtId="165" fontId="8" fillId="7" borderId="33" xfId="11" applyNumberFormat="1" applyFont="1" applyFill="1" applyBorder="1" applyAlignment="1">
      <alignment horizontal="center"/>
    </xf>
    <xf numFmtId="165" fontId="8" fillId="7" borderId="51" xfId="11" applyNumberFormat="1" applyFont="1" applyFill="1" applyBorder="1" applyAlignment="1">
      <alignment horizontal="center"/>
    </xf>
    <xf numFmtId="165" fontId="8" fillId="7" borderId="52" xfId="11" applyNumberFormat="1" applyFont="1" applyFill="1" applyBorder="1" applyAlignment="1">
      <alignment horizontal="center"/>
    </xf>
    <xf numFmtId="165" fontId="14" fillId="2" borderId="5" xfId="0" applyNumberFormat="1" applyFont="1" applyFill="1" applyBorder="1" applyAlignment="1">
      <alignment horizontal="center" vertical="center"/>
    </xf>
    <xf numFmtId="165" fontId="14" fillId="2" borderId="9" xfId="0" applyNumberFormat="1" applyFont="1" applyFill="1" applyBorder="1" applyAlignment="1">
      <alignment horizontal="center" vertical="center"/>
    </xf>
    <xf numFmtId="165" fontId="8" fillId="8" borderId="0" xfId="11" applyNumberFormat="1" applyFont="1" applyFill="1" applyAlignment="1">
      <alignment horizontal="center" vertical="center"/>
    </xf>
    <xf numFmtId="2" fontId="8" fillId="8" borderId="35" xfId="11" applyNumberFormat="1" applyFont="1" applyFill="1" applyBorder="1" applyAlignment="1">
      <alignment horizontal="center"/>
    </xf>
    <xf numFmtId="165" fontId="8" fillId="8" borderId="35" xfId="11" applyNumberFormat="1" applyFont="1" applyFill="1" applyBorder="1" applyAlignment="1">
      <alignment horizontal="center" vertical="center"/>
    </xf>
    <xf numFmtId="0" fontId="8" fillId="2" borderId="0" xfId="0" applyFont="1" applyFill="1" applyAlignment="1">
      <alignment horizontal="center" vertical="center" wrapText="1"/>
    </xf>
    <xf numFmtId="0" fontId="20" fillId="8" borderId="90" xfId="0" applyFont="1" applyFill="1" applyBorder="1"/>
    <xf numFmtId="0" fontId="41" fillId="2" borderId="92" xfId="0" applyFont="1" applyFill="1" applyBorder="1"/>
    <xf numFmtId="0" fontId="0" fillId="2" borderId="92" xfId="0" applyFill="1" applyBorder="1"/>
    <xf numFmtId="0" fontId="0" fillId="0" borderId="92" xfId="0" applyBorder="1"/>
    <xf numFmtId="0" fontId="39" fillId="2" borderId="92" xfId="0" applyFont="1" applyFill="1" applyBorder="1" applyAlignment="1">
      <alignment horizontal="right"/>
    </xf>
    <xf numFmtId="0" fontId="39" fillId="2" borderId="92" xfId="0" applyFont="1" applyFill="1" applyBorder="1" applyAlignment="1">
      <alignment horizontal="left"/>
    </xf>
    <xf numFmtId="0" fontId="0" fillId="0" borderId="85" xfId="0" applyBorder="1"/>
    <xf numFmtId="165" fontId="24" fillId="2" borderId="85" xfId="0" applyNumberFormat="1" applyFont="1" applyFill="1" applyBorder="1" applyAlignment="1">
      <alignment horizontal="right"/>
    </xf>
    <xf numFmtId="165" fontId="24" fillId="2" borderId="83" xfId="0" applyNumberFormat="1" applyFont="1" applyFill="1" applyBorder="1" applyAlignment="1">
      <alignment horizontal="right"/>
    </xf>
    <xf numFmtId="165" fontId="20" fillId="2" borderId="0" xfId="0" applyNumberFormat="1" applyFont="1" applyFill="1" applyAlignment="1">
      <alignment horizontal="center" vertical="center"/>
    </xf>
    <xf numFmtId="165" fontId="6" fillId="2" borderId="6" xfId="0" applyNumberFormat="1" applyFont="1" applyFill="1" applyBorder="1" applyAlignment="1">
      <alignment horizontal="center" vertical="center"/>
    </xf>
    <xf numFmtId="165" fontId="6" fillId="2" borderId="49" xfId="0" applyNumberFormat="1" applyFont="1" applyFill="1" applyBorder="1" applyAlignment="1">
      <alignment horizontal="center" vertical="center"/>
    </xf>
    <xf numFmtId="165" fontId="6" fillId="2" borderId="50" xfId="0" applyNumberFormat="1" applyFont="1" applyFill="1" applyBorder="1" applyAlignment="1">
      <alignment horizontal="center" vertical="center"/>
    </xf>
    <xf numFmtId="165" fontId="39" fillId="2" borderId="0" xfId="0" applyNumberFormat="1" applyFont="1" applyFill="1" applyAlignment="1">
      <alignment horizontal="right"/>
    </xf>
    <xf numFmtId="165" fontId="39" fillId="2" borderId="83" xfId="0" applyNumberFormat="1" applyFont="1" applyFill="1" applyBorder="1" applyAlignment="1">
      <alignment horizontal="center"/>
    </xf>
    <xf numFmtId="165" fontId="39" fillId="2" borderId="92" xfId="0" applyNumberFormat="1" applyFont="1" applyFill="1" applyBorder="1" applyAlignment="1">
      <alignment horizontal="center"/>
    </xf>
    <xf numFmtId="2" fontId="14" fillId="7" borderId="44" xfId="0" applyNumberFormat="1" applyFont="1" applyFill="1" applyBorder="1" applyAlignment="1">
      <alignment horizontal="center" vertical="center"/>
    </xf>
    <xf numFmtId="0" fontId="20" fillId="2" borderId="8" xfId="0" applyFont="1" applyFill="1" applyBorder="1" applyAlignment="1">
      <alignment horizontal="center" vertical="center"/>
    </xf>
    <xf numFmtId="0" fontId="20" fillId="2" borderId="5" xfId="0" applyFont="1" applyFill="1" applyBorder="1" applyAlignment="1">
      <alignment horizontal="center" vertical="center"/>
    </xf>
    <xf numFmtId="0" fontId="6" fillId="7" borderId="31" xfId="0" applyFont="1" applyFill="1" applyBorder="1" applyAlignment="1">
      <alignment horizontal="center" vertical="center"/>
    </xf>
    <xf numFmtId="0" fontId="21" fillId="2" borderId="14" xfId="0" applyFont="1" applyFill="1" applyBorder="1" applyAlignment="1">
      <alignment horizontal="center" vertical="center" wrapText="1"/>
    </xf>
    <xf numFmtId="0" fontId="21" fillId="2" borderId="10" xfId="0" applyFont="1" applyFill="1" applyBorder="1" applyAlignment="1">
      <alignment horizontal="center" vertical="center" wrapText="1"/>
    </xf>
    <xf numFmtId="0" fontId="20" fillId="2" borderId="13" xfId="0" applyFont="1" applyFill="1" applyBorder="1" applyAlignment="1">
      <alignment horizontal="center" vertical="center"/>
    </xf>
    <xf numFmtId="0" fontId="21" fillId="2" borderId="11" xfId="0" applyFont="1" applyFill="1" applyBorder="1" applyAlignment="1">
      <alignment horizontal="center" vertical="center" wrapText="1"/>
    </xf>
    <xf numFmtId="2" fontId="8" fillId="8" borderId="0" xfId="11" applyNumberFormat="1" applyFont="1" applyFill="1" applyAlignment="1">
      <alignment horizontal="center"/>
    </xf>
    <xf numFmtId="0" fontId="3" fillId="10" borderId="0" xfId="0" applyFont="1" applyFill="1"/>
    <xf numFmtId="1" fontId="78" fillId="10" borderId="0" xfId="0" applyNumberFormat="1" applyFont="1" applyFill="1" applyAlignment="1">
      <alignment horizontal="center" wrapText="1"/>
    </xf>
    <xf numFmtId="0" fontId="18" fillId="2" borderId="0" xfId="0" applyFont="1" applyFill="1" applyAlignment="1">
      <alignment horizontal="right"/>
    </xf>
    <xf numFmtId="0" fontId="18" fillId="2" borderId="0" xfId="0" applyFont="1" applyFill="1" applyAlignment="1">
      <alignment horizontal="left"/>
    </xf>
    <xf numFmtId="0" fontId="24" fillId="2" borderId="83" xfId="0" applyFont="1" applyFill="1" applyBorder="1" applyAlignment="1">
      <alignment horizontal="right"/>
    </xf>
    <xf numFmtId="0" fontId="27" fillId="2" borderId="0" xfId="0" applyFont="1" applyFill="1" applyAlignment="1">
      <alignment horizontal="left" vertical="center" wrapText="1"/>
    </xf>
    <xf numFmtId="165" fontId="6" fillId="0" borderId="83" xfId="0" applyNumberFormat="1" applyFont="1" applyBorder="1" applyAlignment="1">
      <alignment horizontal="center" vertical="center" wrapText="1"/>
    </xf>
    <xf numFmtId="165" fontId="6" fillId="0" borderId="85" xfId="0" applyNumberFormat="1" applyFont="1" applyBorder="1" applyAlignment="1">
      <alignment horizontal="center" vertical="center" wrapText="1"/>
    </xf>
    <xf numFmtId="165" fontId="6" fillId="0" borderId="92" xfId="0" applyNumberFormat="1" applyFont="1" applyBorder="1" applyAlignment="1">
      <alignment horizontal="center" vertical="center" wrapText="1"/>
    </xf>
    <xf numFmtId="0" fontId="0" fillId="9" borderId="1" xfId="0" applyFill="1" applyBorder="1" applyAlignment="1">
      <alignment horizontal="left" vertical="center" indent="3"/>
    </xf>
    <xf numFmtId="0" fontId="0" fillId="8" borderId="1" xfId="0" applyFill="1" applyBorder="1" applyAlignment="1">
      <alignment horizontal="left" vertical="center" indent="3"/>
    </xf>
    <xf numFmtId="0" fontId="25" fillId="2" borderId="0" xfId="0" applyFont="1" applyFill="1" applyAlignment="1">
      <alignment horizontal="center" vertical="center" wrapText="1"/>
    </xf>
    <xf numFmtId="0" fontId="25" fillId="2" borderId="53" xfId="0" applyFont="1" applyFill="1" applyBorder="1" applyAlignment="1">
      <alignment horizontal="center" vertical="center" wrapText="1"/>
    </xf>
    <xf numFmtId="0" fontId="82" fillId="2" borderId="0" xfId="0" applyFont="1" applyFill="1" applyAlignment="1">
      <alignment horizontal="center"/>
    </xf>
    <xf numFmtId="0" fontId="54" fillId="2" borderId="0" xfId="0" applyFont="1" applyFill="1" applyAlignment="1">
      <alignment horizontal="center" vertical="center"/>
    </xf>
    <xf numFmtId="165" fontId="8" fillId="7" borderId="27" xfId="11" applyNumberFormat="1" applyFont="1" applyFill="1" applyBorder="1" applyAlignment="1">
      <alignment horizontal="center"/>
    </xf>
    <xf numFmtId="165" fontId="8" fillId="7" borderId="24" xfId="11" applyNumberFormat="1" applyFont="1" applyFill="1" applyBorder="1" applyAlignment="1">
      <alignment horizontal="center"/>
    </xf>
    <xf numFmtId="165" fontId="8" fillId="7" borderId="39" xfId="11" applyNumberFormat="1" applyFont="1" applyFill="1" applyBorder="1" applyAlignment="1">
      <alignment horizontal="center"/>
    </xf>
    <xf numFmtId="165" fontId="8" fillId="7" borderId="37" xfId="11" applyNumberFormat="1" applyFont="1" applyFill="1" applyBorder="1" applyAlignment="1">
      <alignment horizontal="center"/>
    </xf>
    <xf numFmtId="165" fontId="8" fillId="7" borderId="38" xfId="11" applyNumberFormat="1" applyFont="1" applyFill="1" applyBorder="1" applyAlignment="1">
      <alignment horizontal="center"/>
    </xf>
    <xf numFmtId="165" fontId="8" fillId="7" borderId="15" xfId="11" applyNumberFormat="1" applyFont="1" applyFill="1" applyBorder="1" applyAlignment="1">
      <alignment horizontal="center"/>
    </xf>
    <xf numFmtId="165" fontId="8" fillId="7" borderId="41" xfId="11" applyNumberFormat="1" applyFont="1" applyFill="1" applyBorder="1" applyAlignment="1">
      <alignment horizontal="center"/>
    </xf>
    <xf numFmtId="165" fontId="8" fillId="7" borderId="42" xfId="11" applyNumberFormat="1" applyFont="1" applyFill="1" applyBorder="1" applyAlignment="1">
      <alignment horizontal="center"/>
    </xf>
    <xf numFmtId="0" fontId="0" fillId="9" borderId="12" xfId="0" applyFill="1" applyBorder="1" applyAlignment="1">
      <alignment horizontal="left" vertical="center" indent="3"/>
    </xf>
    <xf numFmtId="0" fontId="0" fillId="0" borderId="93" xfId="0" applyBorder="1"/>
    <xf numFmtId="0" fontId="0" fillId="0" borderId="94" xfId="0" applyBorder="1"/>
    <xf numFmtId="0" fontId="38" fillId="0" borderId="0" xfId="0" applyFont="1"/>
    <xf numFmtId="0" fontId="33" fillId="7" borderId="11" xfId="11" applyFont="1" applyFill="1" applyBorder="1" applyAlignment="1">
      <alignment horizontal="center" vertical="center" wrapText="1"/>
    </xf>
    <xf numFmtId="0" fontId="33" fillId="5" borderId="7" xfId="11" applyFont="1" applyFill="1" applyBorder="1" applyAlignment="1">
      <alignment horizontal="center" vertical="center" wrapText="1"/>
    </xf>
    <xf numFmtId="0" fontId="33" fillId="5" borderId="40" xfId="11" applyFont="1" applyFill="1" applyBorder="1" applyAlignment="1">
      <alignment horizontal="center" vertical="center" wrapText="1"/>
    </xf>
    <xf numFmtId="0" fontId="33" fillId="5" borderId="8" xfId="11" applyFont="1" applyFill="1" applyBorder="1" applyAlignment="1">
      <alignment horizontal="center" vertical="center" wrapText="1"/>
    </xf>
    <xf numFmtId="0" fontId="33" fillId="5" borderId="20" xfId="11" applyFont="1" applyFill="1" applyBorder="1" applyAlignment="1">
      <alignment horizontal="center" vertical="center" wrapText="1"/>
    </xf>
    <xf numFmtId="0" fontId="33" fillId="5" borderId="21" xfId="11" applyFont="1" applyFill="1" applyBorder="1" applyAlignment="1">
      <alignment horizontal="center" vertical="center" wrapText="1"/>
    </xf>
    <xf numFmtId="0" fontId="33" fillId="7" borderId="15" xfId="11" applyFont="1" applyFill="1" applyBorder="1" applyAlignment="1">
      <alignment horizontal="center" vertical="center" wrapText="1"/>
    </xf>
    <xf numFmtId="0" fontId="33" fillId="7" borderId="54" xfId="11" applyFont="1" applyFill="1" applyBorder="1" applyAlignment="1">
      <alignment horizontal="center" vertical="center" wrapText="1"/>
    </xf>
    <xf numFmtId="0" fontId="8" fillId="8" borderId="5" xfId="0" applyFont="1" applyFill="1" applyBorder="1" applyAlignment="1">
      <alignment vertical="top" wrapText="1"/>
    </xf>
    <xf numFmtId="2" fontId="3" fillId="8" borderId="14" xfId="0" applyNumberFormat="1" applyFont="1" applyFill="1" applyBorder="1" applyAlignment="1">
      <alignment horizontal="center" vertical="top" wrapText="1"/>
    </xf>
    <xf numFmtId="0" fontId="8" fillId="8" borderId="8" xfId="0" applyFont="1" applyFill="1" applyBorder="1" applyAlignment="1">
      <alignment vertical="top" wrapText="1"/>
    </xf>
    <xf numFmtId="2" fontId="3" fillId="8" borderId="10" xfId="0" applyNumberFormat="1" applyFont="1" applyFill="1" applyBorder="1" applyAlignment="1">
      <alignment horizontal="center" vertical="top" wrapText="1"/>
    </xf>
    <xf numFmtId="0" fontId="8" fillId="8" borderId="13" xfId="0" applyFont="1" applyFill="1" applyBorder="1" applyAlignment="1">
      <alignment vertical="top" wrapText="1"/>
    </xf>
    <xf numFmtId="2" fontId="3" fillId="8" borderId="11" xfId="0" applyNumberFormat="1" applyFont="1" applyFill="1" applyBorder="1" applyAlignment="1">
      <alignment horizontal="center" vertical="top" wrapText="1"/>
    </xf>
    <xf numFmtId="0" fontId="10" fillId="2" borderId="6" xfId="0" applyFont="1" applyFill="1" applyBorder="1"/>
    <xf numFmtId="0" fontId="2" fillId="2" borderId="50" xfId="0" applyFont="1" applyFill="1" applyBorder="1" applyAlignment="1">
      <alignment vertical="top" wrapText="1"/>
    </xf>
    <xf numFmtId="0" fontId="31" fillId="7" borderId="27" xfId="0" applyFont="1" applyFill="1" applyBorder="1" applyAlignment="1">
      <alignment horizontal="center" vertical="center" wrapText="1"/>
    </xf>
    <xf numFmtId="0" fontId="58" fillId="2" borderId="1" xfId="0" applyFont="1" applyFill="1" applyBorder="1" applyAlignment="1">
      <alignment horizontal="center" vertical="center"/>
    </xf>
    <xf numFmtId="0" fontId="58" fillId="2" borderId="12" xfId="0" applyFont="1" applyFill="1" applyBorder="1" applyAlignment="1">
      <alignment horizontal="center" vertical="center"/>
    </xf>
    <xf numFmtId="0" fontId="14" fillId="2" borderId="1" xfId="0" applyFont="1" applyFill="1" applyBorder="1"/>
    <xf numFmtId="0" fontId="22" fillId="2" borderId="0" xfId="0" applyFont="1" applyFill="1" applyAlignment="1">
      <alignment horizontal="center" vertical="center"/>
    </xf>
    <xf numFmtId="0" fontId="20" fillId="2" borderId="0" xfId="0" applyFont="1" applyFill="1" applyAlignment="1">
      <alignment horizontal="left" vertical="center" wrapText="1"/>
    </xf>
    <xf numFmtId="0" fontId="25" fillId="7" borderId="32" xfId="0" applyFont="1" applyFill="1" applyBorder="1" applyAlignment="1">
      <alignment horizontal="center" vertical="center"/>
    </xf>
    <xf numFmtId="0" fontId="25" fillId="7" borderId="46" xfId="0" applyFont="1" applyFill="1" applyBorder="1" applyAlignment="1">
      <alignment horizontal="center" vertical="center"/>
    </xf>
    <xf numFmtId="0" fontId="25" fillId="7" borderId="34" xfId="0" applyFont="1" applyFill="1" applyBorder="1" applyAlignment="1">
      <alignment horizontal="center" vertical="center"/>
    </xf>
    <xf numFmtId="0" fontId="6" fillId="2" borderId="18" xfId="0" applyFont="1" applyFill="1" applyBorder="1" applyAlignment="1">
      <alignment horizontal="center" vertical="center"/>
    </xf>
    <xf numFmtId="165" fontId="8" fillId="7" borderId="28" xfId="0" applyNumberFormat="1" applyFont="1" applyFill="1" applyBorder="1" applyAlignment="1">
      <alignment horizontal="center"/>
    </xf>
    <xf numFmtId="165" fontId="8" fillId="7" borderId="32" xfId="0" applyNumberFormat="1" applyFont="1" applyFill="1" applyBorder="1" applyAlignment="1">
      <alignment horizontal="center"/>
    </xf>
    <xf numFmtId="0" fontId="20" fillId="7" borderId="12" xfId="0" applyFont="1" applyFill="1" applyBorder="1" applyAlignment="1">
      <alignment horizontal="center" vertical="center" wrapText="1"/>
    </xf>
    <xf numFmtId="0" fontId="5" fillId="2" borderId="0" xfId="0" applyFont="1" applyFill="1" applyAlignment="1">
      <alignment vertical="center"/>
    </xf>
    <xf numFmtId="1" fontId="0" fillId="0" borderId="7" xfId="0" applyNumberFormat="1" applyBorder="1" applyAlignment="1">
      <alignment horizontal="center" vertical="center" wrapText="1"/>
    </xf>
    <xf numFmtId="166" fontId="0" fillId="0" borderId="43" xfId="0" applyNumberFormat="1" applyBorder="1" applyAlignment="1">
      <alignment horizontal="center" vertical="center" wrapText="1"/>
    </xf>
    <xf numFmtId="166" fontId="0" fillId="0" borderId="8" xfId="0" applyNumberFormat="1" applyBorder="1" applyAlignment="1">
      <alignment horizontal="center" vertical="center" wrapText="1"/>
    </xf>
    <xf numFmtId="166" fontId="0" fillId="0" borderId="1" xfId="0" applyNumberFormat="1" applyBorder="1" applyAlignment="1">
      <alignment horizontal="center" vertical="center" wrapText="1"/>
    </xf>
    <xf numFmtId="166" fontId="0" fillId="0" borderId="13" xfId="0" applyNumberFormat="1" applyBorder="1" applyAlignment="1">
      <alignment horizontal="center" vertical="center" wrapText="1"/>
    </xf>
    <xf numFmtId="166" fontId="0" fillId="0" borderId="12" xfId="0" applyNumberFormat="1" applyBorder="1" applyAlignment="1">
      <alignment horizontal="center" vertical="center" wrapText="1"/>
    </xf>
    <xf numFmtId="165" fontId="8" fillId="8" borderId="0" xfId="0" applyNumberFormat="1" applyFont="1" applyFill="1"/>
    <xf numFmtId="165" fontId="8" fillId="8" borderId="0" xfId="0" applyNumberFormat="1" applyFont="1" applyFill="1" applyAlignment="1">
      <alignment horizontal="center" vertical="center" wrapText="1"/>
    </xf>
    <xf numFmtId="1" fontId="54" fillId="2" borderId="0" xfId="0" applyNumberFormat="1" applyFont="1" applyFill="1" applyAlignment="1">
      <alignment horizontal="center" vertical="center" wrapText="1"/>
    </xf>
    <xf numFmtId="0" fontId="12" fillId="2" borderId="0" xfId="2" applyFill="1" applyBorder="1" applyAlignment="1" applyProtection="1">
      <alignment vertical="center" wrapText="1"/>
    </xf>
    <xf numFmtId="0" fontId="20" fillId="8" borderId="83" xfId="0" applyFont="1" applyFill="1" applyBorder="1"/>
    <xf numFmtId="1" fontId="54" fillId="8" borderId="0" xfId="0" applyNumberFormat="1" applyFont="1" applyFill="1" applyAlignment="1">
      <alignment horizontal="left" vertical="center" wrapText="1"/>
    </xf>
    <xf numFmtId="2" fontId="25" fillId="2" borderId="1" xfId="0" applyNumberFormat="1" applyFont="1" applyFill="1" applyBorder="1" applyAlignment="1">
      <alignment horizontal="center" vertical="center" wrapText="1"/>
    </xf>
    <xf numFmtId="2" fontId="25" fillId="2" borderId="10" xfId="0" applyNumberFormat="1" applyFont="1" applyFill="1" applyBorder="1" applyAlignment="1">
      <alignment horizontal="center" vertical="center" wrapText="1"/>
    </xf>
    <xf numFmtId="2" fontId="60" fillId="0" borderId="12" xfId="0" applyNumberFormat="1" applyFont="1" applyBorder="1" applyAlignment="1">
      <alignment horizontal="center" vertical="center"/>
    </xf>
    <xf numFmtId="2" fontId="25" fillId="2" borderId="12" xfId="0" applyNumberFormat="1" applyFont="1" applyFill="1" applyBorder="1" applyAlignment="1">
      <alignment horizontal="center" vertical="center" wrapText="1"/>
    </xf>
    <xf numFmtId="2" fontId="60" fillId="0" borderId="11" xfId="0" applyNumberFormat="1" applyFont="1" applyBorder="1" applyAlignment="1">
      <alignment horizontal="center" vertical="center"/>
    </xf>
    <xf numFmtId="1" fontId="16" fillId="0" borderId="43" xfId="0" applyNumberFormat="1" applyFont="1" applyBorder="1" applyAlignment="1">
      <alignment horizontal="center" vertical="center" wrapText="1"/>
    </xf>
    <xf numFmtId="1" fontId="16" fillId="0" borderId="48" xfId="0" applyNumberFormat="1" applyFont="1" applyBorder="1" applyAlignment="1">
      <alignment horizontal="center" vertical="center" wrapText="1"/>
    </xf>
    <xf numFmtId="1" fontId="16" fillId="0" borderId="1" xfId="0" applyNumberFormat="1" applyFont="1" applyBorder="1" applyAlignment="1">
      <alignment horizontal="center" vertical="center" wrapText="1"/>
    </xf>
    <xf numFmtId="1" fontId="16" fillId="0" borderId="10" xfId="0" applyNumberFormat="1" applyFont="1" applyBorder="1" applyAlignment="1">
      <alignment horizontal="center" vertical="center" wrapText="1"/>
    </xf>
    <xf numFmtId="1" fontId="16" fillId="0" borderId="12" xfId="0" applyNumberFormat="1" applyFont="1" applyBorder="1" applyAlignment="1">
      <alignment horizontal="center" vertical="center" wrapText="1"/>
    </xf>
    <xf numFmtId="1" fontId="16" fillId="0" borderId="11" xfId="0" applyNumberFormat="1" applyFont="1" applyBorder="1" applyAlignment="1">
      <alignment horizontal="center" vertical="center" wrapText="1"/>
    </xf>
    <xf numFmtId="2" fontId="3" fillId="2" borderId="14" xfId="0" applyNumberFormat="1" applyFont="1" applyFill="1" applyBorder="1" applyAlignment="1">
      <alignment horizontal="center"/>
    </xf>
    <xf numFmtId="2" fontId="3" fillId="2" borderId="48" xfId="0" applyNumberFormat="1" applyFont="1" applyFill="1" applyBorder="1" applyAlignment="1">
      <alignment horizontal="center"/>
    </xf>
    <xf numFmtId="2" fontId="3" fillId="2" borderId="48" xfId="0" applyNumberFormat="1" applyFont="1" applyFill="1" applyBorder="1" applyAlignment="1">
      <alignment horizontal="center" vertical="center"/>
    </xf>
    <xf numFmtId="2" fontId="3" fillId="2" borderId="36" xfId="0" applyNumberFormat="1" applyFont="1" applyFill="1" applyBorder="1" applyAlignment="1">
      <alignment horizontal="center"/>
    </xf>
    <xf numFmtId="2" fontId="20" fillId="2" borderId="0" xfId="0" applyNumberFormat="1" applyFont="1" applyFill="1" applyAlignment="1">
      <alignment horizontal="center"/>
    </xf>
    <xf numFmtId="165" fontId="132" fillId="8" borderId="10" xfId="0" applyNumberFormat="1" applyFont="1" applyFill="1" applyBorder="1" applyAlignment="1">
      <alignment horizontal="center" vertical="center"/>
    </xf>
    <xf numFmtId="0" fontId="133" fillId="8" borderId="8" xfId="0" applyFont="1" applyFill="1" applyBorder="1" applyAlignment="1">
      <alignment horizontal="left" vertical="center" wrapText="1"/>
    </xf>
    <xf numFmtId="0" fontId="26" fillId="8" borderId="55" xfId="0" applyFont="1" applyFill="1" applyBorder="1" applyAlignment="1">
      <alignment vertical="center" wrapText="1"/>
    </xf>
    <xf numFmtId="0" fontId="0" fillId="8" borderId="0" xfId="0" applyFill="1"/>
    <xf numFmtId="0" fontId="20" fillId="8" borderId="86" xfId="0" applyFont="1" applyFill="1" applyBorder="1"/>
    <xf numFmtId="2" fontId="20" fillId="8" borderId="0" xfId="11" applyNumberFormat="1" applyFont="1" applyFill="1" applyAlignment="1">
      <alignment horizontal="center" vertical="center"/>
    </xf>
    <xf numFmtId="0" fontId="0" fillId="0" borderId="95" xfId="0" applyBorder="1"/>
    <xf numFmtId="0" fontId="12" fillId="2" borderId="0" xfId="2" applyFill="1" applyBorder="1" applyAlignment="1" applyProtection="1">
      <alignment horizontal="left" vertical="center" wrapText="1"/>
    </xf>
    <xf numFmtId="165" fontId="8" fillId="0" borderId="8" xfId="11" applyNumberFormat="1" applyFont="1" applyBorder="1" applyAlignment="1">
      <alignment horizontal="center" vertical="center"/>
    </xf>
    <xf numFmtId="165" fontId="8" fillId="0" borderId="1" xfId="11" applyNumberFormat="1" applyFont="1" applyBorder="1" applyAlignment="1">
      <alignment horizontal="center" vertical="center"/>
    </xf>
    <xf numFmtId="165" fontId="8" fillId="9" borderId="22" xfId="7" applyNumberFormat="1" applyFont="1" applyFill="1" applyBorder="1" applyAlignment="1">
      <alignment horizontal="center"/>
    </xf>
    <xf numFmtId="165" fontId="8" fillId="9" borderId="15" xfId="7" applyNumberFormat="1" applyFont="1" applyFill="1" applyBorder="1" applyAlignment="1">
      <alignment horizontal="center"/>
    </xf>
    <xf numFmtId="165" fontId="14" fillId="11" borderId="5" xfId="7" applyNumberFormat="1" applyFill="1" applyBorder="1" applyAlignment="1">
      <alignment horizontal="center"/>
    </xf>
    <xf numFmtId="165" fontId="14" fillId="11" borderId="9" xfId="7" applyNumberFormat="1" applyFill="1" applyBorder="1" applyAlignment="1">
      <alignment horizontal="center"/>
    </xf>
    <xf numFmtId="165" fontId="14" fillId="11" borderId="14" xfId="7" applyNumberFormat="1" applyFill="1" applyBorder="1" applyAlignment="1">
      <alignment horizontal="center"/>
    </xf>
    <xf numFmtId="165" fontId="8" fillId="9" borderId="41" xfId="7" applyNumberFormat="1" applyFont="1" applyFill="1" applyBorder="1" applyAlignment="1">
      <alignment horizontal="center"/>
    </xf>
    <xf numFmtId="165" fontId="14" fillId="11" borderId="8" xfId="7" applyNumberFormat="1" applyFill="1" applyBorder="1" applyAlignment="1">
      <alignment horizontal="center"/>
    </xf>
    <xf numFmtId="165" fontId="14" fillId="11" borderId="1" xfId="7" applyNumberFormat="1" applyFill="1" applyBorder="1" applyAlignment="1">
      <alignment horizontal="center"/>
    </xf>
    <xf numFmtId="165" fontId="14" fillId="11" borderId="10" xfId="7" applyNumberFormat="1" applyFill="1" applyBorder="1" applyAlignment="1">
      <alignment horizontal="center"/>
    </xf>
    <xf numFmtId="165" fontId="8" fillId="9" borderId="42" xfId="7" applyNumberFormat="1" applyFont="1" applyFill="1" applyBorder="1" applyAlignment="1">
      <alignment horizontal="center"/>
    </xf>
    <xf numFmtId="165" fontId="14" fillId="11" borderId="13" xfId="7" applyNumberFormat="1" applyFill="1" applyBorder="1" applyAlignment="1">
      <alignment horizontal="center"/>
    </xf>
    <xf numFmtId="165" fontId="14" fillId="11" borderId="12" xfId="7" applyNumberFormat="1" applyFill="1" applyBorder="1" applyAlignment="1">
      <alignment horizontal="center"/>
    </xf>
    <xf numFmtId="165" fontId="14" fillId="11" borderId="11" xfId="7" applyNumberFormat="1" applyFill="1" applyBorder="1" applyAlignment="1">
      <alignment horizontal="center"/>
    </xf>
    <xf numFmtId="165" fontId="14" fillId="7" borderId="5" xfId="7" applyNumberFormat="1" applyFill="1" applyBorder="1" applyAlignment="1">
      <alignment horizontal="center"/>
    </xf>
    <xf numFmtId="165" fontId="14" fillId="7" borderId="9" xfId="7" applyNumberFormat="1" applyFill="1" applyBorder="1" applyAlignment="1">
      <alignment horizontal="center"/>
    </xf>
    <xf numFmtId="165" fontId="14" fillId="7" borderId="14" xfId="7" applyNumberFormat="1" applyFill="1" applyBorder="1" applyAlignment="1">
      <alignment horizontal="center"/>
    </xf>
    <xf numFmtId="165" fontId="14" fillId="7" borderId="8" xfId="7" applyNumberFormat="1" applyFill="1" applyBorder="1" applyAlignment="1">
      <alignment horizontal="center"/>
    </xf>
    <xf numFmtId="165" fontId="14" fillId="7" borderId="1" xfId="7" applyNumberFormat="1" applyFill="1" applyBorder="1" applyAlignment="1">
      <alignment horizontal="center"/>
    </xf>
    <xf numFmtId="165" fontId="14" fillId="7" borderId="10" xfId="7" applyNumberFormat="1" applyFill="1" applyBorder="1" applyAlignment="1">
      <alignment horizontal="center"/>
    </xf>
    <xf numFmtId="2" fontId="8" fillId="9" borderId="41" xfId="7" applyNumberFormat="1" applyFont="1" applyFill="1" applyBorder="1" applyAlignment="1">
      <alignment horizontal="center"/>
    </xf>
    <xf numFmtId="0" fontId="0" fillId="9" borderId="43" xfId="0" applyFill="1" applyBorder="1" applyAlignment="1">
      <alignment horizontal="left" vertical="center" indent="3"/>
    </xf>
    <xf numFmtId="2" fontId="20" fillId="8" borderId="1" xfId="11" applyNumberFormat="1" applyFont="1" applyFill="1" applyBorder="1" applyAlignment="1">
      <alignment horizontal="center" vertical="center"/>
    </xf>
    <xf numFmtId="0" fontId="20" fillId="2" borderId="55" xfId="0" applyFont="1" applyFill="1" applyBorder="1" applyAlignment="1">
      <alignment horizontal="center" vertical="center"/>
    </xf>
    <xf numFmtId="0" fontId="134" fillId="8" borderId="1" xfId="0" applyFont="1" applyFill="1" applyBorder="1" applyAlignment="1">
      <alignment horizontal="left" vertical="center" indent="3"/>
    </xf>
    <xf numFmtId="0" fontId="134" fillId="9" borderId="1" xfId="0" applyFont="1" applyFill="1" applyBorder="1" applyAlignment="1">
      <alignment horizontal="left" vertical="center" indent="3"/>
    </xf>
    <xf numFmtId="0" fontId="2" fillId="2" borderId="1" xfId="0" applyFont="1" applyFill="1" applyBorder="1" applyAlignment="1">
      <alignment horizontal="left" vertical="center" wrapText="1"/>
    </xf>
    <xf numFmtId="2" fontId="3" fillId="2" borderId="1" xfId="0" applyNumberFormat="1" applyFont="1" applyFill="1" applyBorder="1" applyAlignment="1">
      <alignment horizontal="center" vertical="center" wrapText="1"/>
    </xf>
    <xf numFmtId="165" fontId="8" fillId="8" borderId="88" xfId="11" applyNumberFormat="1" applyFont="1" applyFill="1" applyBorder="1" applyAlignment="1">
      <alignment horizontal="center" vertical="center"/>
    </xf>
    <xf numFmtId="165" fontId="20" fillId="8" borderId="0" xfId="11" applyNumberFormat="1" applyFont="1" applyFill="1" applyAlignment="1">
      <alignment horizontal="left" vertical="center"/>
    </xf>
    <xf numFmtId="2" fontId="20" fillId="2" borderId="1" xfId="0" applyNumberFormat="1" applyFont="1" applyFill="1" applyBorder="1" applyAlignment="1">
      <alignment horizontal="center" vertical="center"/>
    </xf>
    <xf numFmtId="0" fontId="20" fillId="8" borderId="0" xfId="0" applyFont="1" applyFill="1" applyAlignment="1">
      <alignment wrapText="1"/>
    </xf>
    <xf numFmtId="0" fontId="8" fillId="8" borderId="0" xfId="0" applyFont="1" applyFill="1"/>
    <xf numFmtId="0" fontId="6" fillId="2" borderId="11" xfId="0" applyFont="1" applyFill="1" applyBorder="1" applyAlignment="1">
      <alignment horizontal="center" vertical="center" wrapText="1"/>
    </xf>
    <xf numFmtId="0" fontId="20" fillId="2" borderId="0" xfId="0" applyFont="1" applyFill="1" applyAlignment="1">
      <alignment vertical="center" wrapText="1"/>
    </xf>
    <xf numFmtId="2" fontId="20" fillId="2" borderId="0" xfId="0" applyNumberFormat="1" applyFont="1" applyFill="1" applyAlignment="1">
      <alignment horizontal="center" vertical="center"/>
    </xf>
    <xf numFmtId="165" fontId="8" fillId="7" borderId="39" xfId="0" applyNumberFormat="1" applyFont="1" applyFill="1" applyBorder="1" applyAlignment="1">
      <alignment horizontal="center" vertical="center"/>
    </xf>
    <xf numFmtId="165" fontId="8" fillId="7" borderId="37" xfId="0" applyNumberFormat="1" applyFont="1" applyFill="1" applyBorder="1" applyAlignment="1">
      <alignment horizontal="center" vertical="center"/>
    </xf>
    <xf numFmtId="165" fontId="8" fillId="7" borderId="38" xfId="0" applyNumberFormat="1" applyFont="1" applyFill="1" applyBorder="1" applyAlignment="1">
      <alignment horizontal="center" vertical="center"/>
    </xf>
    <xf numFmtId="0" fontId="1" fillId="9" borderId="1" xfId="2" applyFont="1" applyFill="1" applyBorder="1" applyAlignment="1" applyProtection="1">
      <alignment horizontal="left" vertical="center" wrapText="1" indent="3"/>
    </xf>
    <xf numFmtId="165" fontId="20" fillId="2" borderId="0" xfId="0" applyNumberFormat="1" applyFont="1" applyFill="1"/>
    <xf numFmtId="0" fontId="16" fillId="2" borderId="0" xfId="0" applyFont="1" applyFill="1" applyAlignment="1">
      <alignment vertical="center"/>
    </xf>
    <xf numFmtId="165" fontId="16" fillId="2" borderId="4" xfId="0" applyNumberFormat="1" applyFont="1" applyFill="1" applyBorder="1" applyAlignment="1">
      <alignment horizontal="center"/>
    </xf>
    <xf numFmtId="0" fontId="0" fillId="2" borderId="90" xfId="0" applyFill="1" applyBorder="1" applyAlignment="1">
      <alignment vertical="center"/>
    </xf>
    <xf numFmtId="0" fontId="0" fillId="2" borderId="90" xfId="0" applyFill="1" applyBorder="1"/>
    <xf numFmtId="0" fontId="20" fillId="2" borderId="96" xfId="0" applyFont="1" applyFill="1" applyBorder="1" applyAlignment="1">
      <alignment vertical="center"/>
    </xf>
    <xf numFmtId="0" fontId="0" fillId="2" borderId="83" xfId="0" applyFill="1" applyBorder="1" applyAlignment="1">
      <alignment vertical="center"/>
    </xf>
    <xf numFmtId="0" fontId="20" fillId="2" borderId="97" xfId="0" applyFont="1" applyFill="1" applyBorder="1" applyAlignment="1">
      <alignment vertical="center"/>
    </xf>
    <xf numFmtId="2" fontId="16" fillId="2" borderId="97" xfId="0" applyNumberFormat="1" applyFont="1" applyFill="1" applyBorder="1" applyAlignment="1">
      <alignment vertical="center"/>
    </xf>
    <xf numFmtId="0" fontId="0" fillId="2" borderId="98" xfId="0" applyFill="1" applyBorder="1"/>
    <xf numFmtId="0" fontId="0" fillId="2" borderId="99" xfId="0" applyFill="1" applyBorder="1"/>
    <xf numFmtId="0" fontId="12" fillId="2" borderId="53" xfId="2" applyFill="1" applyBorder="1" applyAlignment="1" applyProtection="1">
      <alignment horizontal="left" vertical="center" wrapText="1"/>
    </xf>
    <xf numFmtId="0" fontId="20" fillId="8" borderId="100" xfId="0" applyFont="1" applyFill="1" applyBorder="1"/>
    <xf numFmtId="0" fontId="8" fillId="8" borderId="101" xfId="0" applyFont="1" applyFill="1" applyBorder="1"/>
    <xf numFmtId="165" fontId="8" fillId="8" borderId="0" xfId="11" applyNumberFormat="1" applyFont="1" applyFill="1" applyAlignment="1">
      <alignment horizontal="left" vertical="center"/>
    </xf>
    <xf numFmtId="165" fontId="20" fillId="8" borderId="59" xfId="11" applyNumberFormat="1" applyFont="1" applyFill="1" applyBorder="1" applyAlignment="1">
      <alignment vertical="center"/>
    </xf>
    <xf numFmtId="165" fontId="20" fillId="8" borderId="0" xfId="11" applyNumberFormat="1" applyFont="1" applyFill="1" applyAlignment="1">
      <alignment vertical="center"/>
    </xf>
    <xf numFmtId="165" fontId="6" fillId="8" borderId="14" xfId="0" applyNumberFormat="1" applyFont="1" applyFill="1" applyBorder="1" applyAlignment="1">
      <alignment horizontal="center" vertical="center" wrapText="1"/>
    </xf>
    <xf numFmtId="165" fontId="6" fillId="8" borderId="10" xfId="0" applyNumberFormat="1" applyFont="1" applyFill="1" applyBorder="1" applyAlignment="1">
      <alignment horizontal="center" vertical="center" wrapText="1"/>
    </xf>
    <xf numFmtId="165" fontId="6" fillId="8" borderId="11" xfId="0" applyNumberFormat="1" applyFont="1" applyFill="1" applyBorder="1" applyAlignment="1">
      <alignment horizontal="center" vertical="center" wrapText="1"/>
    </xf>
    <xf numFmtId="165" fontId="52" fillId="8" borderId="0" xfId="0" applyNumberFormat="1" applyFont="1" applyFill="1" applyAlignment="1">
      <alignment horizontal="center" vertical="center"/>
    </xf>
    <xf numFmtId="0" fontId="26" fillId="2" borderId="0" xfId="0" applyFont="1" applyFill="1" applyAlignment="1">
      <alignment horizontal="left" vertical="center" wrapText="1"/>
    </xf>
    <xf numFmtId="0" fontId="26" fillId="2" borderId="7" xfId="0" applyFont="1" applyFill="1" applyBorder="1" applyAlignment="1">
      <alignment horizontal="left" vertical="center" wrapText="1"/>
    </xf>
    <xf numFmtId="0" fontId="20" fillId="7" borderId="24" xfId="0" applyFont="1" applyFill="1" applyBorder="1" applyAlignment="1">
      <alignment horizontal="center" vertical="center" wrapText="1"/>
    </xf>
    <xf numFmtId="0" fontId="3" fillId="7" borderId="22" xfId="0" applyFont="1" applyFill="1" applyBorder="1" applyAlignment="1">
      <alignment horizontal="center" vertical="center" wrapText="1"/>
    </xf>
    <xf numFmtId="165" fontId="52" fillId="8" borderId="56" xfId="0" applyNumberFormat="1" applyFont="1" applyFill="1" applyBorder="1" applyAlignment="1">
      <alignment horizontal="center" vertical="center"/>
    </xf>
    <xf numFmtId="165" fontId="52" fillId="8" borderId="3" xfId="0" applyNumberFormat="1" applyFont="1" applyFill="1" applyBorder="1" applyAlignment="1">
      <alignment horizontal="center" vertical="center"/>
    </xf>
    <xf numFmtId="0" fontId="26" fillId="8" borderId="57" xfId="0" applyFont="1" applyFill="1" applyBorder="1" applyAlignment="1">
      <alignment vertical="center" wrapText="1"/>
    </xf>
    <xf numFmtId="165" fontId="52" fillId="8" borderId="60" xfId="0" applyNumberFormat="1" applyFont="1" applyFill="1" applyBorder="1" applyAlignment="1">
      <alignment horizontal="center" vertical="center"/>
    </xf>
    <xf numFmtId="0" fontId="133" fillId="2" borderId="61" xfId="0" applyFont="1" applyFill="1" applyBorder="1" applyAlignment="1">
      <alignment horizontal="left" vertical="center" wrapText="1"/>
    </xf>
    <xf numFmtId="0" fontId="133" fillId="2" borderId="62" xfId="0" applyFont="1" applyFill="1" applyBorder="1" applyAlignment="1">
      <alignment horizontal="left" vertical="center" wrapText="1"/>
    </xf>
    <xf numFmtId="0" fontId="133" fillId="2" borderId="59" xfId="0" applyFont="1" applyFill="1" applyBorder="1" applyAlignment="1">
      <alignment horizontal="left" vertical="center" wrapText="1"/>
    </xf>
    <xf numFmtId="0" fontId="26" fillId="2" borderId="62" xfId="0" applyFont="1" applyFill="1" applyBorder="1" applyAlignment="1">
      <alignment horizontal="left" vertical="center" wrapText="1"/>
    </xf>
    <xf numFmtId="0" fontId="26" fillId="2" borderId="63" xfId="0" applyFont="1" applyFill="1" applyBorder="1" applyAlignment="1">
      <alignment horizontal="left" vertical="center" wrapText="1"/>
    </xf>
    <xf numFmtId="0" fontId="133" fillId="2" borderId="57" xfId="0" applyFont="1" applyFill="1" applyBorder="1" applyAlignment="1">
      <alignment horizontal="left" vertical="center" wrapText="1"/>
    </xf>
    <xf numFmtId="0" fontId="133" fillId="2" borderId="28" xfId="0" applyFont="1" applyFill="1" applyBorder="1" applyAlignment="1">
      <alignment horizontal="left" vertical="center" wrapText="1"/>
    </xf>
    <xf numFmtId="0" fontId="133" fillId="2" borderId="33" xfId="0" applyFont="1" applyFill="1" applyBorder="1" applyAlignment="1">
      <alignment horizontal="left" vertical="center" wrapText="1"/>
    </xf>
    <xf numFmtId="0" fontId="133" fillId="2" borderId="64" xfId="0" applyFont="1" applyFill="1" applyBorder="1" applyAlignment="1">
      <alignment horizontal="left" vertical="center" wrapText="1"/>
    </xf>
    <xf numFmtId="0" fontId="133" fillId="2" borderId="63" xfId="0" applyFont="1" applyFill="1" applyBorder="1" applyAlignment="1">
      <alignment horizontal="left" vertical="center" wrapText="1"/>
    </xf>
    <xf numFmtId="0" fontId="133" fillId="8" borderId="13" xfId="0" applyFont="1" applyFill="1" applyBorder="1" applyAlignment="1">
      <alignment horizontal="left" vertical="center" wrapText="1"/>
    </xf>
    <xf numFmtId="165" fontId="132" fillId="8" borderId="11" xfId="0" applyNumberFormat="1" applyFont="1" applyFill="1" applyBorder="1" applyAlignment="1">
      <alignment horizontal="center" vertical="center"/>
    </xf>
    <xf numFmtId="0" fontId="26" fillId="8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vertical="center" wrapText="1"/>
    </xf>
    <xf numFmtId="165" fontId="52" fillId="8" borderId="48" xfId="0" applyNumberFormat="1" applyFont="1" applyFill="1" applyBorder="1" applyAlignment="1">
      <alignment horizontal="center" vertical="center"/>
    </xf>
    <xf numFmtId="165" fontId="52" fillId="8" borderId="10" xfId="0" applyNumberFormat="1" applyFont="1" applyFill="1" applyBorder="1" applyAlignment="1">
      <alignment horizontal="center" vertical="center"/>
    </xf>
    <xf numFmtId="0" fontId="26" fillId="8" borderId="8" xfId="0" applyFont="1" applyFill="1" applyBorder="1" applyAlignment="1">
      <alignment horizontal="left" vertical="center" wrapText="1"/>
    </xf>
    <xf numFmtId="0" fontId="26" fillId="8" borderId="8" xfId="0" applyFont="1" applyFill="1" applyBorder="1" applyAlignment="1">
      <alignment vertical="center" wrapText="1"/>
    </xf>
    <xf numFmtId="2" fontId="61" fillId="2" borderId="0" xfId="0" applyNumberFormat="1" applyFont="1" applyFill="1"/>
    <xf numFmtId="0" fontId="20" fillId="2" borderId="22" xfId="0" applyFont="1" applyFill="1" applyBorder="1" applyAlignment="1">
      <alignment horizontal="center" vertical="center"/>
    </xf>
    <xf numFmtId="0" fontId="10" fillId="2" borderId="27" xfId="0" applyFont="1" applyFill="1" applyBorder="1" applyAlignment="1">
      <alignment horizontal="left" vertical="center" wrapText="1"/>
    </xf>
    <xf numFmtId="0" fontId="6" fillId="2" borderId="24" xfId="0" applyFont="1" applyFill="1" applyBorder="1" applyAlignment="1">
      <alignment horizontal="center" vertical="center" wrapText="1"/>
    </xf>
    <xf numFmtId="2" fontId="52" fillId="8" borderId="61" xfId="0" applyNumberFormat="1" applyFont="1" applyFill="1" applyBorder="1" applyAlignment="1">
      <alignment horizontal="center" vertical="center"/>
    </xf>
    <xf numFmtId="2" fontId="52" fillId="8" borderId="65" xfId="0" applyNumberFormat="1" applyFont="1" applyFill="1" applyBorder="1" applyAlignment="1">
      <alignment horizontal="center" vertical="center"/>
    </xf>
    <xf numFmtId="2" fontId="52" fillId="8" borderId="16" xfId="0" applyNumberFormat="1" applyFont="1" applyFill="1" applyBorder="1" applyAlignment="1">
      <alignment horizontal="center" vertical="center"/>
    </xf>
    <xf numFmtId="0" fontId="0" fillId="8" borderId="83" xfId="0" applyFill="1" applyBorder="1"/>
    <xf numFmtId="0" fontId="26" fillId="2" borderId="28" xfId="0" applyFont="1" applyFill="1" applyBorder="1" applyAlignment="1">
      <alignment vertical="center" wrapText="1"/>
    </xf>
    <xf numFmtId="0" fontId="26" fillId="8" borderId="28" xfId="0" applyFont="1" applyFill="1" applyBorder="1" applyAlignment="1">
      <alignment vertical="center" wrapText="1"/>
    </xf>
    <xf numFmtId="1" fontId="52" fillId="8" borderId="52" xfId="0" applyNumberFormat="1" applyFont="1" applyFill="1" applyBorder="1" applyAlignment="1">
      <alignment horizontal="center" vertical="center"/>
    </xf>
    <xf numFmtId="1" fontId="52" fillId="8" borderId="48" xfId="0" applyNumberFormat="1" applyFont="1" applyFill="1" applyBorder="1" applyAlignment="1">
      <alignment horizontal="center" vertical="center"/>
    </xf>
    <xf numFmtId="0" fontId="133" fillId="8" borderId="55" xfId="0" applyFont="1" applyFill="1" applyBorder="1" applyAlignment="1">
      <alignment horizontal="left" vertical="center" wrapText="1"/>
    </xf>
    <xf numFmtId="0" fontId="133" fillId="8" borderId="5" xfId="0" applyFont="1" applyFill="1" applyBorder="1" applyAlignment="1">
      <alignment horizontal="left" vertical="center" wrapText="1"/>
    </xf>
    <xf numFmtId="1" fontId="103" fillId="2" borderId="0" xfId="0" applyNumberFormat="1" applyFont="1" applyFill="1" applyAlignment="1">
      <alignment horizontal="center" vertical="top" wrapText="1"/>
    </xf>
    <xf numFmtId="0" fontId="20" fillId="2" borderId="100" xfId="0" applyFont="1" applyFill="1" applyBorder="1" applyAlignment="1">
      <alignment vertical="center"/>
    </xf>
    <xf numFmtId="2" fontId="16" fillId="2" borderId="100" xfId="0" applyNumberFormat="1" applyFont="1" applyFill="1" applyBorder="1" applyAlignment="1">
      <alignment vertical="center"/>
    </xf>
    <xf numFmtId="0" fontId="0" fillId="2" borderId="85" xfId="0" applyFill="1" applyBorder="1" applyAlignment="1">
      <alignment vertical="center"/>
    </xf>
    <xf numFmtId="0" fontId="20" fillId="2" borderId="102" xfId="0" applyFont="1" applyFill="1" applyBorder="1" applyAlignment="1">
      <alignment vertical="center"/>
    </xf>
    <xf numFmtId="0" fontId="32" fillId="2" borderId="0" xfId="0" applyFont="1" applyFill="1" applyAlignment="1">
      <alignment vertical="center" wrapText="1"/>
    </xf>
    <xf numFmtId="2" fontId="16" fillId="2" borderId="0" xfId="0" applyNumberFormat="1" applyFont="1" applyFill="1" applyAlignment="1">
      <alignment vertical="center"/>
    </xf>
    <xf numFmtId="0" fontId="0" fillId="0" borderId="103" xfId="0" applyBorder="1"/>
    <xf numFmtId="0" fontId="11" fillId="9" borderId="12" xfId="0" applyFont="1" applyFill="1" applyBorder="1" applyAlignment="1">
      <alignment horizontal="left" vertical="center" wrapText="1"/>
    </xf>
    <xf numFmtId="0" fontId="6" fillId="9" borderId="4" xfId="0" applyFont="1" applyFill="1" applyBorder="1" applyAlignment="1">
      <alignment horizontal="left" vertical="center" wrapText="1"/>
    </xf>
    <xf numFmtId="0" fontId="4" fillId="9" borderId="4" xfId="0" applyFont="1" applyFill="1" applyBorder="1" applyAlignment="1">
      <alignment horizontal="justify" vertical="center" wrapText="1"/>
    </xf>
    <xf numFmtId="0" fontId="6" fillId="9" borderId="13" xfId="0" applyFont="1" applyFill="1" applyBorder="1" applyAlignment="1">
      <alignment horizontal="left" vertical="center" wrapText="1"/>
    </xf>
    <xf numFmtId="165" fontId="8" fillId="7" borderId="66" xfId="0" applyNumberFormat="1" applyFont="1" applyFill="1" applyBorder="1" applyAlignment="1">
      <alignment horizontal="center"/>
    </xf>
    <xf numFmtId="165" fontId="131" fillId="8" borderId="14" xfId="0" applyNumberFormat="1" applyFont="1" applyFill="1" applyBorder="1" applyAlignment="1">
      <alignment horizontal="center"/>
    </xf>
    <xf numFmtId="165" fontId="131" fillId="8" borderId="10" xfId="0" applyNumberFormat="1" applyFont="1" applyFill="1" applyBorder="1" applyAlignment="1">
      <alignment horizontal="center"/>
    </xf>
    <xf numFmtId="165" fontId="131" fillId="8" borderId="11" xfId="0" applyNumberFormat="1" applyFont="1" applyFill="1" applyBorder="1" applyAlignment="1">
      <alignment horizontal="center"/>
    </xf>
    <xf numFmtId="0" fontId="16" fillId="2" borderId="0" xfId="0" applyFont="1" applyFill="1" applyAlignment="1">
      <alignment vertical="top" wrapText="1"/>
    </xf>
    <xf numFmtId="0" fontId="111" fillId="8" borderId="35" xfId="0" applyFont="1" applyFill="1" applyBorder="1" applyAlignment="1">
      <alignment horizontal="center" vertical="center"/>
    </xf>
    <xf numFmtId="0" fontId="111" fillId="8" borderId="0" xfId="0" applyFont="1" applyFill="1" applyAlignment="1">
      <alignment horizontal="center" vertical="center"/>
    </xf>
    <xf numFmtId="0" fontId="119" fillId="8" borderId="0" xfId="0" applyFont="1" applyFill="1" applyAlignment="1">
      <alignment horizontal="left" vertical="center"/>
    </xf>
    <xf numFmtId="0" fontId="16" fillId="2" borderId="0" xfId="0" applyFont="1" applyFill="1" applyAlignment="1">
      <alignment horizontal="center" vertical="top" wrapText="1"/>
    </xf>
    <xf numFmtId="0" fontId="6" fillId="2" borderId="53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165" fontId="6" fillId="2" borderId="18" xfId="0" applyNumberFormat="1" applyFont="1" applyFill="1" applyBorder="1" applyAlignment="1">
      <alignment horizontal="center" vertical="center"/>
    </xf>
    <xf numFmtId="2" fontId="3" fillId="2" borderId="10" xfId="0" applyNumberFormat="1" applyFont="1" applyFill="1" applyBorder="1" applyAlignment="1">
      <alignment horizontal="center" vertical="center" wrapText="1"/>
    </xf>
    <xf numFmtId="0" fontId="58" fillId="2" borderId="12" xfId="0" applyFont="1" applyFill="1" applyBorder="1" applyAlignment="1">
      <alignment horizontal="left" vertical="center" wrapText="1"/>
    </xf>
    <xf numFmtId="2" fontId="3" fillId="2" borderId="12" xfId="0" applyNumberFormat="1" applyFont="1" applyFill="1" applyBorder="1" applyAlignment="1">
      <alignment horizontal="center" vertical="center" wrapText="1"/>
    </xf>
    <xf numFmtId="2" fontId="3" fillId="2" borderId="11" xfId="0" applyNumberFormat="1" applyFont="1" applyFill="1" applyBorder="1" applyAlignment="1">
      <alignment horizontal="center" vertical="center" wrapText="1"/>
    </xf>
    <xf numFmtId="0" fontId="2" fillId="8" borderId="5" xfId="0" applyFont="1" applyFill="1" applyBorder="1" applyAlignment="1">
      <alignment vertical="top" wrapText="1"/>
    </xf>
    <xf numFmtId="165" fontId="3" fillId="8" borderId="14" xfId="0" applyNumberFormat="1" applyFont="1" applyFill="1" applyBorder="1" applyAlignment="1">
      <alignment horizontal="center" vertical="center" wrapText="1"/>
    </xf>
    <xf numFmtId="0" fontId="2" fillId="8" borderId="8" xfId="0" applyFont="1" applyFill="1" applyBorder="1" applyAlignment="1">
      <alignment vertical="top" wrapText="1"/>
    </xf>
    <xf numFmtId="165" fontId="3" fillId="8" borderId="10" xfId="0" applyNumberFormat="1" applyFont="1" applyFill="1" applyBorder="1" applyAlignment="1">
      <alignment horizontal="center" vertical="center" wrapText="1"/>
    </xf>
    <xf numFmtId="0" fontId="2" fillId="8" borderId="13" xfId="0" applyFont="1" applyFill="1" applyBorder="1" applyAlignment="1">
      <alignment vertical="top" wrapText="1"/>
    </xf>
    <xf numFmtId="165" fontId="3" fillId="8" borderId="11" xfId="0" applyNumberFormat="1" applyFont="1" applyFill="1" applyBorder="1" applyAlignment="1">
      <alignment horizontal="center" vertical="center" wrapText="1"/>
    </xf>
    <xf numFmtId="165" fontId="3" fillId="8" borderId="67" xfId="0" applyNumberFormat="1" applyFont="1" applyFill="1" applyBorder="1" applyAlignment="1">
      <alignment horizontal="center" vertical="center" wrapText="1"/>
    </xf>
    <xf numFmtId="165" fontId="3" fillId="8" borderId="68" xfId="0" applyNumberFormat="1" applyFont="1" applyFill="1" applyBorder="1" applyAlignment="1">
      <alignment horizontal="center" vertical="center" wrapText="1"/>
    </xf>
    <xf numFmtId="165" fontId="3" fillId="8" borderId="69" xfId="0" applyNumberFormat="1" applyFont="1" applyFill="1" applyBorder="1" applyAlignment="1">
      <alignment horizontal="center" vertical="center" wrapText="1"/>
    </xf>
    <xf numFmtId="0" fontId="31" fillId="7" borderId="64" xfId="0" applyFont="1" applyFill="1" applyBorder="1" applyAlignment="1">
      <alignment horizontal="center" vertical="top" wrapText="1"/>
    </xf>
    <xf numFmtId="1" fontId="78" fillId="8" borderId="0" xfId="0" applyNumberFormat="1" applyFont="1" applyFill="1" applyAlignment="1">
      <alignment horizontal="center" wrapText="1"/>
    </xf>
    <xf numFmtId="2" fontId="3" fillId="8" borderId="67" xfId="0" applyNumberFormat="1" applyFont="1" applyFill="1" applyBorder="1" applyAlignment="1">
      <alignment horizontal="center" vertical="top" wrapText="1"/>
    </xf>
    <xf numFmtId="2" fontId="3" fillId="8" borderId="68" xfId="0" applyNumberFormat="1" applyFont="1" applyFill="1" applyBorder="1" applyAlignment="1">
      <alignment horizontal="center" vertical="top" wrapText="1"/>
    </xf>
    <xf numFmtId="2" fontId="3" fillId="8" borderId="69" xfId="0" applyNumberFormat="1" applyFont="1" applyFill="1" applyBorder="1" applyAlignment="1">
      <alignment horizontal="center" vertical="top" wrapText="1"/>
    </xf>
    <xf numFmtId="0" fontId="31" fillId="7" borderId="5" xfId="0" applyFont="1" applyFill="1" applyBorder="1" applyAlignment="1">
      <alignment horizontal="center" vertical="top" wrapText="1"/>
    </xf>
    <xf numFmtId="0" fontId="31" fillId="7" borderId="9" xfId="0" applyFont="1" applyFill="1" applyBorder="1" applyAlignment="1">
      <alignment horizontal="center" vertical="top" wrapText="1"/>
    </xf>
    <xf numFmtId="0" fontId="31" fillId="7" borderId="14" xfId="0" applyFont="1" applyFill="1" applyBorder="1" applyAlignment="1">
      <alignment horizontal="center" vertical="top" wrapText="1"/>
    </xf>
    <xf numFmtId="0" fontId="12" fillId="8" borderId="0" xfId="2" applyFill="1" applyBorder="1" applyAlignment="1" applyProtection="1">
      <alignment horizontal="left" vertical="center" wrapText="1"/>
    </xf>
    <xf numFmtId="0" fontId="6" fillId="7" borderId="31" xfId="0" applyFont="1" applyFill="1" applyBorder="1" applyAlignment="1">
      <alignment horizontal="center" vertical="center" wrapText="1"/>
    </xf>
    <xf numFmtId="0" fontId="12" fillId="2" borderId="0" xfId="2" applyFill="1" applyAlignment="1" applyProtection="1">
      <alignment horizontal="left" wrapText="1"/>
    </xf>
    <xf numFmtId="0" fontId="0" fillId="2" borderId="54" xfId="0" applyFill="1" applyBorder="1"/>
    <xf numFmtId="0" fontId="31" fillId="8" borderId="0" xfId="0" applyFont="1" applyFill="1" applyAlignment="1">
      <alignment vertical="center" wrapText="1"/>
    </xf>
    <xf numFmtId="0" fontId="31" fillId="8" borderId="0" xfId="0" applyFont="1" applyFill="1" applyAlignment="1">
      <alignment horizontal="center" vertical="top" wrapText="1"/>
    </xf>
    <xf numFmtId="0" fontId="96" fillId="8" borderId="0" xfId="0" applyFont="1" applyFill="1"/>
    <xf numFmtId="165" fontId="3" fillId="8" borderId="0" xfId="0" applyNumberFormat="1" applyFont="1" applyFill="1" applyAlignment="1">
      <alignment horizontal="center" vertical="center" wrapText="1"/>
    </xf>
    <xf numFmtId="165" fontId="3" fillId="2" borderId="34" xfId="0" applyNumberFormat="1" applyFont="1" applyFill="1" applyBorder="1" applyAlignment="1">
      <alignment horizontal="center" vertical="center" wrapText="1"/>
    </xf>
    <xf numFmtId="165" fontId="131" fillId="8" borderId="55" xfId="0" applyNumberFormat="1" applyFont="1" applyFill="1" applyBorder="1" applyAlignment="1">
      <alignment horizontal="center"/>
    </xf>
    <xf numFmtId="165" fontId="131" fillId="8" borderId="31" xfId="0" applyNumberFormat="1" applyFont="1" applyFill="1" applyBorder="1" applyAlignment="1">
      <alignment horizontal="center"/>
    </xf>
    <xf numFmtId="165" fontId="131" fillId="8" borderId="2" xfId="0" applyNumberFormat="1" applyFont="1" applyFill="1" applyBorder="1" applyAlignment="1">
      <alignment horizontal="center"/>
    </xf>
    <xf numFmtId="165" fontId="131" fillId="8" borderId="6" xfId="0" applyNumberFormat="1" applyFont="1" applyFill="1" applyBorder="1" applyAlignment="1">
      <alignment horizontal="center"/>
    </xf>
    <xf numFmtId="165" fontId="131" fillId="8" borderId="49" xfId="0" applyNumberFormat="1" applyFont="1" applyFill="1" applyBorder="1" applyAlignment="1">
      <alignment horizontal="center"/>
    </xf>
    <xf numFmtId="165" fontId="131" fillId="8" borderId="50" xfId="0" applyNumberFormat="1" applyFont="1" applyFill="1" applyBorder="1" applyAlignment="1">
      <alignment horizontal="center"/>
    </xf>
    <xf numFmtId="165" fontId="131" fillId="8" borderId="56" xfId="0" applyNumberFormat="1" applyFont="1" applyFill="1" applyBorder="1" applyAlignment="1">
      <alignment horizontal="center"/>
    </xf>
    <xf numFmtId="165" fontId="8" fillId="7" borderId="70" xfId="0" applyNumberFormat="1" applyFont="1" applyFill="1" applyBorder="1" applyAlignment="1">
      <alignment horizontal="center"/>
    </xf>
    <xf numFmtId="0" fontId="88" fillId="7" borderId="64" xfId="0" applyFont="1" applyFill="1" applyBorder="1" applyAlignment="1">
      <alignment horizontal="center" vertical="center" wrapText="1"/>
    </xf>
    <xf numFmtId="0" fontId="88" fillId="7" borderId="25" xfId="0" applyFont="1" applyFill="1" applyBorder="1" applyAlignment="1">
      <alignment horizontal="center" vertical="center" wrapText="1"/>
    </xf>
    <xf numFmtId="165" fontId="8" fillId="7" borderId="33" xfId="12" applyNumberFormat="1" applyFont="1" applyFill="1" applyBorder="1" applyAlignment="1">
      <alignment horizontal="center"/>
    </xf>
    <xf numFmtId="165" fontId="8" fillId="7" borderId="51" xfId="12" applyNumberFormat="1" applyFont="1" applyFill="1" applyBorder="1" applyAlignment="1">
      <alignment horizontal="center"/>
    </xf>
    <xf numFmtId="165" fontId="8" fillId="7" borderId="52" xfId="12" applyNumberFormat="1" applyFont="1" applyFill="1" applyBorder="1" applyAlignment="1">
      <alignment horizontal="center"/>
    </xf>
    <xf numFmtId="165" fontId="8" fillId="7" borderId="45" xfId="12" applyNumberFormat="1" applyFont="1" applyFill="1" applyBorder="1" applyAlignment="1">
      <alignment horizontal="center"/>
    </xf>
    <xf numFmtId="165" fontId="8" fillId="7" borderId="29" xfId="12" applyNumberFormat="1" applyFont="1" applyFill="1" applyBorder="1" applyAlignment="1">
      <alignment horizontal="center"/>
    </xf>
    <xf numFmtId="2" fontId="8" fillId="7" borderId="30" xfId="12" applyNumberFormat="1" applyFont="1" applyFill="1" applyBorder="1" applyAlignment="1">
      <alignment horizontal="center"/>
    </xf>
    <xf numFmtId="0" fontId="6" fillId="9" borderId="5" xfId="0" applyFont="1" applyFill="1" applyBorder="1" applyAlignment="1">
      <alignment horizontal="left" vertical="center" wrapText="1"/>
    </xf>
    <xf numFmtId="0" fontId="11" fillId="9" borderId="9" xfId="0" applyFont="1" applyFill="1" applyBorder="1" applyAlignment="1">
      <alignment horizontal="left" vertical="center" wrapText="1"/>
    </xf>
    <xf numFmtId="2" fontId="20" fillId="2" borderId="35" xfId="0" applyNumberFormat="1" applyFont="1" applyFill="1" applyBorder="1" applyAlignment="1">
      <alignment horizontal="center"/>
    </xf>
    <xf numFmtId="165" fontId="52" fillId="8" borderId="25" xfId="0" applyNumberFormat="1" applyFont="1" applyFill="1" applyBorder="1" applyAlignment="1">
      <alignment horizontal="center" vertical="center"/>
    </xf>
    <xf numFmtId="165" fontId="52" fillId="8" borderId="71" xfId="0" applyNumberFormat="1" applyFont="1" applyFill="1" applyBorder="1" applyAlignment="1">
      <alignment horizontal="center" vertical="center"/>
    </xf>
    <xf numFmtId="165" fontId="52" fillId="8" borderId="16" xfId="0" applyNumberFormat="1" applyFont="1" applyFill="1" applyBorder="1" applyAlignment="1">
      <alignment horizontal="center" vertical="center"/>
    </xf>
    <xf numFmtId="2" fontId="52" fillId="8" borderId="14" xfId="0" applyNumberFormat="1" applyFont="1" applyFill="1" applyBorder="1" applyAlignment="1">
      <alignment horizontal="center" vertical="center"/>
    </xf>
    <xf numFmtId="2" fontId="52" fillId="8" borderId="10" xfId="0" applyNumberFormat="1" applyFont="1" applyFill="1" applyBorder="1" applyAlignment="1">
      <alignment horizontal="center" vertical="center"/>
    </xf>
    <xf numFmtId="2" fontId="52" fillId="8" borderId="11" xfId="0" applyNumberFormat="1" applyFont="1" applyFill="1" applyBorder="1" applyAlignment="1">
      <alignment horizontal="center" vertical="center"/>
    </xf>
    <xf numFmtId="165" fontId="52" fillId="8" borderId="54" xfId="0" applyNumberFormat="1" applyFont="1" applyFill="1" applyBorder="1" applyAlignment="1">
      <alignment horizontal="center" vertical="center"/>
    </xf>
    <xf numFmtId="0" fontId="130" fillId="7" borderId="1" xfId="0" applyFont="1" applyFill="1" applyBorder="1" applyAlignment="1">
      <alignment horizontal="center"/>
    </xf>
    <xf numFmtId="0" fontId="0" fillId="8" borderId="0" xfId="0" applyFill="1" applyAlignment="1">
      <alignment vertical="center"/>
    </xf>
    <xf numFmtId="0" fontId="30" fillId="8" borderId="0" xfId="0" applyFont="1" applyFill="1"/>
    <xf numFmtId="0" fontId="8" fillId="8" borderId="0" xfId="0" applyFont="1" applyFill="1" applyAlignment="1">
      <alignment horizontal="right"/>
    </xf>
    <xf numFmtId="0" fontId="54" fillId="8" borderId="0" xfId="0" applyFont="1" applyFill="1" applyAlignment="1">
      <alignment horizontal="left"/>
    </xf>
    <xf numFmtId="165" fontId="0" fillId="8" borderId="1" xfId="0" applyNumberFormat="1" applyFill="1" applyBorder="1" applyAlignment="1">
      <alignment horizontal="center"/>
    </xf>
    <xf numFmtId="165" fontId="0" fillId="8" borderId="0" xfId="0" applyNumberFormat="1" applyFill="1"/>
    <xf numFmtId="0" fontId="88" fillId="8" borderId="0" xfId="0" applyFont="1" applyFill="1" applyAlignment="1">
      <alignment vertical="center" wrapText="1"/>
    </xf>
    <xf numFmtId="0" fontId="20" fillId="8" borderId="0" xfId="0" applyFont="1" applyFill="1" applyAlignment="1">
      <alignment horizontal="left" wrapText="1"/>
    </xf>
    <xf numFmtId="0" fontId="16" fillId="8" borderId="0" xfId="0" applyFont="1" applyFill="1" applyAlignment="1">
      <alignment horizontal="left" vertical="center"/>
    </xf>
    <xf numFmtId="0" fontId="75" fillId="7" borderId="64" xfId="0" applyFont="1" applyFill="1" applyBorder="1" applyAlignment="1">
      <alignment horizontal="center" vertical="center" wrapText="1"/>
    </xf>
    <xf numFmtId="165" fontId="52" fillId="8" borderId="2" xfId="0" applyNumberFormat="1" applyFont="1" applyFill="1" applyBorder="1" applyAlignment="1">
      <alignment horizontal="center" vertical="center"/>
    </xf>
    <xf numFmtId="0" fontId="26" fillId="8" borderId="55" xfId="0" applyFont="1" applyFill="1" applyBorder="1" applyAlignment="1">
      <alignment horizontal="left" vertical="center" wrapText="1"/>
    </xf>
    <xf numFmtId="0" fontId="26" fillId="8" borderId="7" xfId="0" applyFont="1" applyFill="1" applyBorder="1" applyAlignment="1">
      <alignment horizontal="left" vertical="center" wrapText="1"/>
    </xf>
    <xf numFmtId="0" fontId="26" fillId="8" borderId="63" xfId="0" applyFont="1" applyFill="1" applyBorder="1" applyAlignment="1">
      <alignment vertical="center" wrapText="1"/>
    </xf>
    <xf numFmtId="0" fontId="26" fillId="8" borderId="33" xfId="0" applyFont="1" applyFill="1" applyBorder="1" applyAlignment="1">
      <alignment vertical="center" wrapText="1"/>
    </xf>
    <xf numFmtId="0" fontId="0" fillId="8" borderId="1" xfId="0" applyFill="1" applyBorder="1" applyAlignment="1">
      <alignment horizontal="center" vertical="center"/>
    </xf>
    <xf numFmtId="0" fontId="76" fillId="7" borderId="27" xfId="0" applyFont="1" applyFill="1" applyBorder="1" applyAlignment="1">
      <alignment horizontal="center" vertical="center" wrapText="1"/>
    </xf>
    <xf numFmtId="0" fontId="76" fillId="7" borderId="24" xfId="0" applyFont="1" applyFill="1" applyBorder="1" applyAlignment="1">
      <alignment horizontal="center" vertical="center" wrapText="1"/>
    </xf>
    <xf numFmtId="0" fontId="76" fillId="7" borderId="72" xfId="0" applyFont="1" applyFill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1" fillId="8" borderId="0" xfId="0" applyFont="1" applyFill="1"/>
    <xf numFmtId="0" fontId="16" fillId="7" borderId="1" xfId="0" applyFont="1" applyFill="1" applyBorder="1"/>
    <xf numFmtId="2" fontId="8" fillId="8" borderId="0" xfId="12" applyNumberFormat="1" applyFont="1" applyFill="1" applyAlignment="1">
      <alignment horizontal="center"/>
    </xf>
    <xf numFmtId="165" fontId="8" fillId="8" borderId="0" xfId="12" applyNumberFormat="1" applyFont="1" applyFill="1" applyAlignment="1">
      <alignment horizontal="center" vertical="center"/>
    </xf>
    <xf numFmtId="2" fontId="20" fillId="8" borderId="1" xfId="12" applyNumberFormat="1" applyFont="1" applyFill="1" applyBorder="1" applyAlignment="1">
      <alignment horizontal="center" vertical="center"/>
    </xf>
    <xf numFmtId="165" fontId="20" fillId="8" borderId="0" xfId="12" applyNumberFormat="1" applyFont="1" applyFill="1" applyAlignment="1">
      <alignment horizontal="left" vertical="center"/>
    </xf>
    <xf numFmtId="0" fontId="8" fillId="8" borderId="0" xfId="0" applyFont="1" applyFill="1" applyAlignment="1">
      <alignment wrapText="1"/>
    </xf>
    <xf numFmtId="2" fontId="20" fillId="8" borderId="1" xfId="0" applyNumberFormat="1" applyFont="1" applyFill="1" applyBorder="1" applyAlignment="1">
      <alignment horizontal="center" vertical="center"/>
    </xf>
    <xf numFmtId="0" fontId="20" fillId="8" borderId="0" xfId="0" applyFont="1" applyFill="1" applyAlignment="1">
      <alignment horizontal="left" vertical="center" wrapText="1"/>
    </xf>
    <xf numFmtId="0" fontId="25" fillId="2" borderId="0" xfId="0" applyFont="1" applyFill="1" applyAlignment="1">
      <alignment horizontal="right" vertical="center" wrapText="1"/>
    </xf>
    <xf numFmtId="0" fontId="0" fillId="2" borderId="0" xfId="0" applyFill="1" applyAlignment="1">
      <alignment horizontal="right"/>
    </xf>
    <xf numFmtId="0" fontId="0" fillId="7" borderId="1" xfId="0" applyFill="1" applyBorder="1"/>
    <xf numFmtId="2" fontId="8" fillId="8" borderId="35" xfId="12" applyNumberFormat="1" applyFont="1" applyFill="1" applyBorder="1" applyAlignment="1">
      <alignment horizontal="center"/>
    </xf>
    <xf numFmtId="165" fontId="8" fillId="8" borderId="35" xfId="12" applyNumberFormat="1" applyFont="1" applyFill="1" applyBorder="1" applyAlignment="1">
      <alignment horizontal="center" vertical="center"/>
    </xf>
    <xf numFmtId="0" fontId="20" fillId="7" borderId="0" xfId="0" applyFont="1" applyFill="1" applyAlignment="1">
      <alignment vertical="center"/>
    </xf>
    <xf numFmtId="165" fontId="20" fillId="8" borderId="59" xfId="12" applyNumberFormat="1" applyFont="1" applyFill="1" applyBorder="1" applyAlignment="1">
      <alignment vertical="center"/>
    </xf>
    <xf numFmtId="165" fontId="20" fillId="8" borderId="0" xfId="12" applyNumberFormat="1" applyFont="1" applyFill="1" applyAlignment="1">
      <alignment vertical="center"/>
    </xf>
    <xf numFmtId="2" fontId="20" fillId="8" borderId="1" xfId="0" applyNumberFormat="1" applyFont="1" applyFill="1" applyBorder="1" applyAlignment="1">
      <alignment horizontal="left" vertical="center"/>
    </xf>
    <xf numFmtId="0" fontId="20" fillId="8" borderId="0" xfId="0" applyFont="1" applyFill="1" applyAlignment="1">
      <alignment horizontal="center" vertical="center" wrapText="1"/>
    </xf>
    <xf numFmtId="2" fontId="0" fillId="8" borderId="1" xfId="0" applyNumberFormat="1" applyFill="1" applyBorder="1"/>
    <xf numFmtId="2" fontId="0" fillId="0" borderId="1" xfId="0" applyNumberFormat="1" applyBorder="1"/>
    <xf numFmtId="1" fontId="12" fillId="2" borderId="0" xfId="2" applyNumberFormat="1" applyFill="1" applyBorder="1" applyAlignment="1" applyProtection="1">
      <alignment horizontal="left" wrapText="1"/>
    </xf>
    <xf numFmtId="0" fontId="16" fillId="7" borderId="22" xfId="0" applyFont="1" applyFill="1" applyBorder="1" applyAlignment="1">
      <alignment horizontal="center" vertical="center"/>
    </xf>
    <xf numFmtId="0" fontId="16" fillId="7" borderId="27" xfId="0" applyFont="1" applyFill="1" applyBorder="1" applyAlignment="1">
      <alignment horizontal="center" vertical="center"/>
    </xf>
    <xf numFmtId="0" fontId="16" fillId="7" borderId="24" xfId="0" applyFont="1" applyFill="1" applyBorder="1" applyAlignment="1">
      <alignment horizontal="center" vertical="center"/>
    </xf>
    <xf numFmtId="0" fontId="1" fillId="0" borderId="1" xfId="2" applyFont="1" applyFill="1" applyBorder="1" applyAlignment="1" applyProtection="1">
      <alignment horizontal="left" vertical="center" wrapText="1" indent="3"/>
    </xf>
    <xf numFmtId="0" fontId="0" fillId="0" borderId="1" xfId="0" applyBorder="1" applyAlignment="1">
      <alignment horizontal="left" vertical="center" indent="3"/>
    </xf>
    <xf numFmtId="0" fontId="2" fillId="8" borderId="49" xfId="0" applyFont="1" applyFill="1" applyBorder="1" applyAlignment="1">
      <alignment vertical="top" wrapText="1"/>
    </xf>
    <xf numFmtId="0" fontId="76" fillId="7" borderId="73" xfId="0" applyFont="1" applyFill="1" applyBorder="1" applyAlignment="1">
      <alignment horizontal="center" vertical="center" wrapText="1"/>
    </xf>
    <xf numFmtId="0" fontId="2" fillId="8" borderId="6" xfId="0" applyFont="1" applyFill="1" applyBorder="1"/>
    <xf numFmtId="165" fontId="8" fillId="0" borderId="0" xfId="0" applyNumberFormat="1" applyFont="1"/>
    <xf numFmtId="165" fontId="8" fillId="0" borderId="0" xfId="0" applyNumberFormat="1" applyFont="1" applyAlignment="1">
      <alignment horizontal="center"/>
    </xf>
    <xf numFmtId="165" fontId="0" fillId="0" borderId="0" xfId="0" applyNumberFormat="1" applyAlignment="1">
      <alignment horizontal="center"/>
    </xf>
    <xf numFmtId="0" fontId="0" fillId="0" borderId="104" xfId="0" applyBorder="1"/>
    <xf numFmtId="165" fontId="8" fillId="0" borderId="0" xfId="7" applyNumberFormat="1" applyFont="1"/>
    <xf numFmtId="165" fontId="8" fillId="0" borderId="0" xfId="7" applyNumberFormat="1" applyFont="1" applyAlignment="1">
      <alignment horizontal="center"/>
    </xf>
    <xf numFmtId="165" fontId="14" fillId="0" borderId="0" xfId="7" applyNumberFormat="1" applyAlignment="1">
      <alignment horizontal="center"/>
    </xf>
    <xf numFmtId="165" fontId="8" fillId="9" borderId="23" xfId="7" applyNumberFormat="1" applyFont="1" applyFill="1" applyBorder="1" applyAlignment="1">
      <alignment horizontal="center"/>
    </xf>
    <xf numFmtId="0" fontId="16" fillId="7" borderId="1" xfId="0" applyFont="1" applyFill="1" applyBorder="1" applyAlignment="1">
      <alignment horizontal="center"/>
    </xf>
    <xf numFmtId="0" fontId="16" fillId="12" borderId="0" xfId="0" applyFont="1" applyFill="1"/>
    <xf numFmtId="0" fontId="16" fillId="7" borderId="10" xfId="0" applyFont="1" applyFill="1" applyBorder="1" applyAlignment="1">
      <alignment horizontal="center"/>
    </xf>
    <xf numFmtId="2" fontId="0" fillId="8" borderId="12" xfId="0" applyNumberFormat="1" applyFill="1" applyBorder="1" applyAlignment="1">
      <alignment horizontal="center"/>
    </xf>
    <xf numFmtId="2" fontId="0" fillId="8" borderId="11" xfId="0" applyNumberFormat="1" applyFill="1" applyBorder="1" applyAlignment="1">
      <alignment horizontal="center"/>
    </xf>
    <xf numFmtId="0" fontId="0" fillId="0" borderId="104" xfId="0" applyBorder="1" applyAlignment="1">
      <alignment horizontal="center"/>
    </xf>
    <xf numFmtId="0" fontId="0" fillId="0" borderId="102" xfId="0" applyBorder="1"/>
    <xf numFmtId="0" fontId="0" fillId="0" borderId="100" xfId="0" applyBorder="1"/>
    <xf numFmtId="0" fontId="54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167" fontId="8" fillId="9" borderId="41" xfId="7" applyNumberFormat="1" applyFont="1" applyFill="1" applyBorder="1" applyAlignment="1">
      <alignment horizontal="center"/>
    </xf>
    <xf numFmtId="2" fontId="52" fillId="8" borderId="0" xfId="0" applyNumberFormat="1" applyFont="1" applyFill="1" applyAlignment="1">
      <alignment horizontal="center" vertical="center"/>
    </xf>
    <xf numFmtId="2" fontId="132" fillId="8" borderId="10" xfId="0" applyNumberFormat="1" applyFont="1" applyFill="1" applyBorder="1" applyAlignment="1">
      <alignment horizontal="center" vertical="center"/>
    </xf>
    <xf numFmtId="2" fontId="132" fillId="8" borderId="2" xfId="0" applyNumberFormat="1" applyFont="1" applyFill="1" applyBorder="1" applyAlignment="1">
      <alignment horizontal="center" vertical="center"/>
    </xf>
    <xf numFmtId="2" fontId="3" fillId="2" borderId="14" xfId="0" applyNumberFormat="1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left" vertical="center" wrapText="1"/>
    </xf>
    <xf numFmtId="0" fontId="2" fillId="2" borderId="9" xfId="0" applyFont="1" applyFill="1" applyBorder="1" applyAlignment="1">
      <alignment horizontal="left" vertical="center" wrapText="1"/>
    </xf>
    <xf numFmtId="165" fontId="3" fillId="2" borderId="9" xfId="0" applyNumberFormat="1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left" vertical="center" wrapText="1"/>
    </xf>
    <xf numFmtId="165" fontId="3" fillId="2" borderId="1" xfId="0" applyNumberFormat="1" applyFont="1" applyFill="1" applyBorder="1" applyAlignment="1">
      <alignment horizontal="center" vertical="center" wrapText="1"/>
    </xf>
    <xf numFmtId="165" fontId="3" fillId="2" borderId="12" xfId="0" applyNumberFormat="1" applyFont="1" applyFill="1" applyBorder="1" applyAlignment="1">
      <alignment horizontal="center" vertical="center" wrapText="1"/>
    </xf>
    <xf numFmtId="2" fontId="3" fillId="2" borderId="9" xfId="0" applyNumberFormat="1" applyFont="1" applyFill="1" applyBorder="1" applyAlignment="1">
      <alignment horizontal="center" vertical="center" wrapText="1"/>
    </xf>
    <xf numFmtId="166" fontId="8" fillId="7" borderId="22" xfId="0" applyNumberFormat="1" applyFont="1" applyFill="1" applyBorder="1" applyAlignment="1">
      <alignment horizontal="center"/>
    </xf>
    <xf numFmtId="166" fontId="8" fillId="9" borderId="22" xfId="0" applyNumberFormat="1" applyFont="1" applyFill="1" applyBorder="1" applyAlignment="1">
      <alignment horizontal="center"/>
    </xf>
    <xf numFmtId="0" fontId="135" fillId="2" borderId="0" xfId="0" applyFont="1" applyFill="1" applyAlignment="1">
      <alignment horizontal="left" vertical="top" wrapText="1"/>
    </xf>
    <xf numFmtId="0" fontId="2" fillId="8" borderId="0" xfId="0" applyFont="1" applyFill="1" applyAlignment="1">
      <alignment vertical="top" wrapText="1"/>
    </xf>
    <xf numFmtId="0" fontId="2" fillId="8" borderId="50" xfId="0" applyFont="1" applyFill="1" applyBorder="1"/>
    <xf numFmtId="2" fontId="3" fillId="8" borderId="0" xfId="0" applyNumberFormat="1" applyFont="1" applyFill="1" applyAlignment="1">
      <alignment horizontal="center" vertical="top" wrapText="1"/>
    </xf>
    <xf numFmtId="2" fontId="3" fillId="8" borderId="61" xfId="0" applyNumberFormat="1" applyFont="1" applyFill="1" applyBorder="1" applyAlignment="1">
      <alignment horizontal="center" vertical="top" wrapText="1"/>
    </xf>
    <xf numFmtId="0" fontId="2" fillId="2" borderId="6" xfId="0" applyFont="1" applyFill="1" applyBorder="1" applyAlignment="1">
      <alignment vertical="top" wrapText="1"/>
    </xf>
    <xf numFmtId="2" fontId="3" fillId="8" borderId="74" xfId="0" applyNumberFormat="1" applyFont="1" applyFill="1" applyBorder="1" applyAlignment="1">
      <alignment horizontal="center" vertical="top" wrapText="1"/>
    </xf>
    <xf numFmtId="0" fontId="10" fillId="2" borderId="50" xfId="0" applyFont="1" applyFill="1" applyBorder="1"/>
    <xf numFmtId="0" fontId="20" fillId="8" borderId="0" xfId="0" applyFont="1" applyFill="1" applyAlignment="1">
      <alignment horizontal="left" vertical="center"/>
    </xf>
    <xf numFmtId="2" fontId="20" fillId="8" borderId="0" xfId="12" applyNumberFormat="1" applyFont="1" applyFill="1" applyAlignment="1">
      <alignment horizontal="center" vertical="center"/>
    </xf>
    <xf numFmtId="0" fontId="20" fillId="8" borderId="0" xfId="0" applyFont="1" applyFill="1" applyAlignment="1">
      <alignment horizontal="center" vertical="center"/>
    </xf>
    <xf numFmtId="0" fontId="12" fillId="2" borderId="0" xfId="2" quotePrefix="1" applyFill="1" applyAlignment="1" applyProtection="1"/>
    <xf numFmtId="0" fontId="1" fillId="0" borderId="31" xfId="2" applyFont="1" applyFill="1" applyBorder="1" applyAlignment="1" applyProtection="1">
      <alignment horizontal="left" vertical="center" wrapText="1" indent="3"/>
    </xf>
    <xf numFmtId="0" fontId="0" fillId="0" borderId="31" xfId="2" applyFont="1" applyFill="1" applyBorder="1" applyAlignment="1" applyProtection="1">
      <alignment horizontal="left" vertical="center" wrapText="1" indent="3"/>
    </xf>
    <xf numFmtId="0" fontId="0" fillId="0" borderId="1" xfId="2" applyFont="1" applyFill="1" applyBorder="1" applyAlignment="1" applyProtection="1">
      <alignment horizontal="left" vertical="center" wrapText="1" indent="3"/>
    </xf>
    <xf numFmtId="0" fontId="1" fillId="9" borderId="9" xfId="2" applyFont="1" applyFill="1" applyBorder="1" applyAlignment="1" applyProtection="1">
      <alignment horizontal="left" vertical="center" wrapText="1" indent="3"/>
    </xf>
    <xf numFmtId="0" fontId="136" fillId="12" borderId="6" xfId="0" applyFont="1" applyFill="1" applyBorder="1" applyAlignment="1">
      <alignment horizontal="left" vertical="center" indent="3"/>
    </xf>
    <xf numFmtId="0" fontId="1" fillId="12" borderId="49" xfId="2" applyFont="1" applyFill="1" applyBorder="1" applyAlignment="1" applyProtection="1">
      <alignment horizontal="left" vertical="center" wrapText="1" indent="3"/>
    </xf>
    <xf numFmtId="0" fontId="136" fillId="12" borderId="49" xfId="0" applyFont="1" applyFill="1" applyBorder="1" applyAlignment="1">
      <alignment horizontal="left" vertical="center" indent="3"/>
    </xf>
    <xf numFmtId="0" fontId="1" fillId="12" borderId="50" xfId="2" applyFont="1" applyFill="1" applyBorder="1" applyAlignment="1" applyProtection="1">
      <alignment horizontal="left" vertical="center" wrapText="1" indent="3"/>
    </xf>
    <xf numFmtId="0" fontId="0" fillId="0" borderId="7" xfId="0" applyBorder="1" applyAlignment="1">
      <alignment horizontal="center" vertical="center"/>
    </xf>
    <xf numFmtId="0" fontId="0" fillId="8" borderId="49" xfId="0" applyFill="1" applyBorder="1" applyAlignment="1">
      <alignment horizontal="left" vertical="center" indent="3"/>
    </xf>
    <xf numFmtId="0" fontId="0" fillId="8" borderId="50" xfId="0" applyFill="1" applyBorder="1" applyAlignment="1">
      <alignment horizontal="left" vertical="center" indent="3"/>
    </xf>
    <xf numFmtId="0" fontId="0" fillId="12" borderId="19" xfId="0" applyFill="1" applyBorder="1" applyAlignment="1">
      <alignment horizontal="center" vertical="center"/>
    </xf>
    <xf numFmtId="0" fontId="0" fillId="12" borderId="20" xfId="0" applyFill="1" applyBorder="1" applyAlignment="1">
      <alignment horizontal="center" vertical="center"/>
    </xf>
    <xf numFmtId="0" fontId="0" fillId="12" borderId="21" xfId="0" applyFill="1" applyBorder="1" applyAlignment="1">
      <alignment horizontal="center" vertical="center"/>
    </xf>
    <xf numFmtId="0" fontId="20" fillId="8" borderId="0" xfId="0" applyFont="1" applyFill="1" applyAlignment="1">
      <alignment vertical="center" wrapText="1"/>
    </xf>
    <xf numFmtId="2" fontId="20" fillId="2" borderId="31" xfId="0" applyNumberFormat="1" applyFont="1" applyFill="1" applyBorder="1" applyAlignment="1">
      <alignment horizontal="center" vertical="center"/>
    </xf>
    <xf numFmtId="2" fontId="20" fillId="2" borderId="4" xfId="0" applyNumberFormat="1" applyFont="1" applyFill="1" applyBorder="1" applyAlignment="1">
      <alignment horizontal="center" vertical="center"/>
    </xf>
    <xf numFmtId="2" fontId="20" fillId="2" borderId="0" xfId="0" applyNumberFormat="1" applyFont="1" applyFill="1" applyAlignment="1">
      <alignment vertical="center"/>
    </xf>
    <xf numFmtId="0" fontId="137" fillId="8" borderId="0" xfId="0" applyFont="1" applyFill="1" applyAlignment="1">
      <alignment horizontal="left" vertical="center" wrapText="1"/>
    </xf>
    <xf numFmtId="2" fontId="20" fillId="2" borderId="54" xfId="0" applyNumberFormat="1" applyFont="1" applyFill="1" applyBorder="1" applyAlignment="1">
      <alignment vertical="center"/>
    </xf>
    <xf numFmtId="2" fontId="20" fillId="2" borderId="0" xfId="0" applyNumberFormat="1" applyFont="1" applyFill="1" applyAlignment="1">
      <alignment horizontal="left" vertical="center" wrapText="1"/>
    </xf>
    <xf numFmtId="0" fontId="137" fillId="8" borderId="0" xfId="0" applyFont="1" applyFill="1" applyAlignment="1">
      <alignment vertical="center" wrapText="1"/>
    </xf>
    <xf numFmtId="2" fontId="20" fillId="2" borderId="75" xfId="0" applyNumberFormat="1" applyFont="1" applyFill="1" applyBorder="1" applyAlignment="1">
      <alignment horizontal="center" vertical="center"/>
    </xf>
    <xf numFmtId="2" fontId="20" fillId="2" borderId="76" xfId="0" applyNumberFormat="1" applyFont="1" applyFill="1" applyBorder="1" applyAlignment="1">
      <alignment horizontal="center" vertical="center"/>
    </xf>
    <xf numFmtId="165" fontId="8" fillId="8" borderId="5" xfId="12" applyNumberFormat="1" applyFont="1" applyFill="1" applyBorder="1" applyAlignment="1">
      <alignment horizontal="center" vertical="center"/>
    </xf>
    <xf numFmtId="165" fontId="8" fillId="8" borderId="9" xfId="12" applyNumberFormat="1" applyFont="1" applyFill="1" applyBorder="1" applyAlignment="1">
      <alignment horizontal="center" vertical="center"/>
    </xf>
    <xf numFmtId="165" fontId="8" fillId="8" borderId="14" xfId="12" applyNumberFormat="1" applyFont="1" applyFill="1" applyBorder="1" applyAlignment="1">
      <alignment horizontal="center" vertical="center"/>
    </xf>
    <xf numFmtId="165" fontId="8" fillId="8" borderId="8" xfId="12" applyNumberFormat="1" applyFont="1" applyFill="1" applyBorder="1" applyAlignment="1">
      <alignment horizontal="center" vertical="center"/>
    </xf>
    <xf numFmtId="165" fontId="8" fillId="8" borderId="1" xfId="12" applyNumberFormat="1" applyFont="1" applyFill="1" applyBorder="1" applyAlignment="1">
      <alignment horizontal="center" vertical="center"/>
    </xf>
    <xf numFmtId="165" fontId="8" fillId="8" borderId="10" xfId="12" applyNumberFormat="1" applyFont="1" applyFill="1" applyBorder="1" applyAlignment="1">
      <alignment horizontal="center" vertical="center"/>
    </xf>
    <xf numFmtId="165" fontId="8" fillId="8" borderId="13" xfId="12" applyNumberFormat="1" applyFont="1" applyFill="1" applyBorder="1" applyAlignment="1">
      <alignment horizontal="center" vertical="center"/>
    </xf>
    <xf numFmtId="165" fontId="8" fillId="8" borderId="12" xfId="12" applyNumberFormat="1" applyFont="1" applyFill="1" applyBorder="1" applyAlignment="1">
      <alignment horizontal="center" vertical="center"/>
    </xf>
    <xf numFmtId="165" fontId="8" fillId="8" borderId="11" xfId="12" applyNumberFormat="1" applyFont="1" applyFill="1" applyBorder="1" applyAlignment="1">
      <alignment horizontal="center" vertical="center"/>
    </xf>
    <xf numFmtId="0" fontId="125" fillId="0" borderId="0" xfId="20"/>
    <xf numFmtId="165" fontId="8" fillId="7" borderId="22" xfId="20" applyNumberFormat="1" applyFont="1" applyFill="1" applyBorder="1" applyAlignment="1">
      <alignment horizontal="center" vertical="center"/>
    </xf>
    <xf numFmtId="165" fontId="8" fillId="7" borderId="27" xfId="20" applyNumberFormat="1" applyFont="1" applyFill="1" applyBorder="1" applyAlignment="1">
      <alignment horizontal="center" vertical="center"/>
    </xf>
    <xf numFmtId="165" fontId="8" fillId="7" borderId="24" xfId="20" applyNumberFormat="1" applyFont="1" applyFill="1" applyBorder="1" applyAlignment="1">
      <alignment horizontal="center" vertical="center"/>
    </xf>
    <xf numFmtId="165" fontId="8" fillId="7" borderId="39" xfId="20" applyNumberFormat="1" applyFont="1" applyFill="1" applyBorder="1" applyAlignment="1">
      <alignment horizontal="center" vertical="center"/>
    </xf>
    <xf numFmtId="165" fontId="8" fillId="2" borderId="5" xfId="20" applyNumberFormat="1" applyFont="1" applyFill="1" applyBorder="1" applyAlignment="1">
      <alignment horizontal="center" vertical="center"/>
    </xf>
    <xf numFmtId="165" fontId="8" fillId="7" borderId="37" xfId="20" applyNumberFormat="1" applyFont="1" applyFill="1" applyBorder="1" applyAlignment="1">
      <alignment horizontal="center" vertical="center"/>
    </xf>
    <xf numFmtId="165" fontId="8" fillId="2" borderId="1" xfId="20" applyNumberFormat="1" applyFont="1" applyFill="1" applyBorder="1" applyAlignment="1">
      <alignment horizontal="center" vertical="center"/>
    </xf>
    <xf numFmtId="165" fontId="8" fillId="2" borderId="10" xfId="20" applyNumberFormat="1" applyFont="1" applyFill="1" applyBorder="1" applyAlignment="1">
      <alignment horizontal="center" vertical="center"/>
    </xf>
    <xf numFmtId="165" fontId="8" fillId="7" borderId="38" xfId="20" applyNumberFormat="1" applyFont="1" applyFill="1" applyBorder="1" applyAlignment="1">
      <alignment horizontal="center" vertical="center"/>
    </xf>
    <xf numFmtId="165" fontId="8" fillId="2" borderId="12" xfId="20" applyNumberFormat="1" applyFont="1" applyFill="1" applyBorder="1" applyAlignment="1">
      <alignment horizontal="center" vertical="center"/>
    </xf>
    <xf numFmtId="165" fontId="8" fillId="2" borderId="11" xfId="20" applyNumberFormat="1" applyFont="1" applyFill="1" applyBorder="1" applyAlignment="1">
      <alignment horizontal="center" vertical="center"/>
    </xf>
    <xf numFmtId="165" fontId="8" fillId="7" borderId="15" xfId="20" applyNumberFormat="1" applyFont="1" applyFill="1" applyBorder="1" applyAlignment="1">
      <alignment horizontal="center" vertical="center"/>
    </xf>
    <xf numFmtId="165" fontId="8" fillId="7" borderId="41" xfId="20" applyNumberFormat="1" applyFont="1" applyFill="1" applyBorder="1" applyAlignment="1">
      <alignment horizontal="center" vertical="center"/>
    </xf>
    <xf numFmtId="165" fontId="8" fillId="7" borderId="42" xfId="20" applyNumberFormat="1" applyFont="1" applyFill="1" applyBorder="1" applyAlignment="1">
      <alignment horizontal="center" vertical="center"/>
    </xf>
    <xf numFmtId="165" fontId="1" fillId="7" borderId="22" xfId="0" applyNumberFormat="1" applyFont="1" applyFill="1" applyBorder="1" applyAlignment="1">
      <alignment horizontal="center" vertical="center"/>
    </xf>
    <xf numFmtId="165" fontId="1" fillId="7" borderId="27" xfId="0" applyNumberFormat="1" applyFont="1" applyFill="1" applyBorder="1" applyAlignment="1">
      <alignment horizontal="center" vertical="center"/>
    </xf>
    <xf numFmtId="2" fontId="1" fillId="7" borderId="24" xfId="0" applyNumberFormat="1" applyFont="1" applyFill="1" applyBorder="1" applyAlignment="1">
      <alignment horizontal="center" vertical="center"/>
    </xf>
    <xf numFmtId="165" fontId="1" fillId="7" borderId="39" xfId="0" applyNumberFormat="1" applyFont="1" applyFill="1" applyBorder="1" applyAlignment="1">
      <alignment horizontal="center" vertical="center"/>
    </xf>
    <xf numFmtId="165" fontId="1" fillId="2" borderId="8" xfId="0" applyNumberFormat="1" applyFont="1" applyFill="1" applyBorder="1" applyAlignment="1">
      <alignment horizontal="center" vertical="center"/>
    </xf>
    <xf numFmtId="165" fontId="1" fillId="2" borderId="1" xfId="0" applyNumberFormat="1" applyFont="1" applyFill="1" applyBorder="1" applyAlignment="1">
      <alignment horizontal="center" vertical="center"/>
    </xf>
    <xf numFmtId="165" fontId="1" fillId="2" borderId="10" xfId="0" applyNumberFormat="1" applyFont="1" applyFill="1" applyBorder="1" applyAlignment="1">
      <alignment horizontal="center" vertical="center"/>
    </xf>
    <xf numFmtId="165" fontId="1" fillId="7" borderId="37" xfId="0" applyNumberFormat="1" applyFont="1" applyFill="1" applyBorder="1" applyAlignment="1">
      <alignment horizontal="center" vertical="center"/>
    </xf>
    <xf numFmtId="165" fontId="1" fillId="7" borderId="38" xfId="0" applyNumberFormat="1" applyFont="1" applyFill="1" applyBorder="1" applyAlignment="1">
      <alignment horizontal="center" vertical="center"/>
    </xf>
    <xf numFmtId="165" fontId="1" fillId="2" borderId="13" xfId="0" applyNumberFormat="1" applyFont="1" applyFill="1" applyBorder="1" applyAlignment="1">
      <alignment horizontal="center" vertical="center"/>
    </xf>
    <xf numFmtId="165" fontId="1" fillId="2" borderId="12" xfId="0" applyNumberFormat="1" applyFont="1" applyFill="1" applyBorder="1" applyAlignment="1">
      <alignment horizontal="center" vertical="center"/>
    </xf>
    <xf numFmtId="165" fontId="1" fillId="2" borderId="11" xfId="0" applyNumberFormat="1" applyFont="1" applyFill="1" applyBorder="1" applyAlignment="1">
      <alignment horizontal="center" vertical="center"/>
    </xf>
    <xf numFmtId="165" fontId="1" fillId="7" borderId="17" xfId="0" applyNumberFormat="1" applyFont="1" applyFill="1" applyBorder="1" applyAlignment="1">
      <alignment horizontal="center" vertical="center"/>
    </xf>
    <xf numFmtId="165" fontId="1" fillId="7" borderId="44" xfId="0" applyNumberFormat="1" applyFont="1" applyFill="1" applyBorder="1" applyAlignment="1">
      <alignment horizontal="center" vertical="center"/>
    </xf>
    <xf numFmtId="2" fontId="1" fillId="7" borderId="44" xfId="0" applyNumberFormat="1" applyFont="1" applyFill="1" applyBorder="1" applyAlignment="1">
      <alignment horizontal="center" vertical="center"/>
    </xf>
    <xf numFmtId="165" fontId="1" fillId="8" borderId="0" xfId="0" applyNumberFormat="1" applyFont="1" applyFill="1" applyAlignment="1">
      <alignment horizontal="center" vertical="center"/>
    </xf>
    <xf numFmtId="0" fontId="78" fillId="0" borderId="0" xfId="0" applyFont="1" applyAlignment="1">
      <alignment vertical="center" wrapText="1"/>
    </xf>
    <xf numFmtId="0" fontId="25" fillId="0" borderId="0" xfId="0" applyFont="1" applyAlignment="1">
      <alignment vertical="center" wrapText="1"/>
    </xf>
    <xf numFmtId="0" fontId="25" fillId="0" borderId="0" xfId="0" applyFont="1" applyAlignment="1">
      <alignment horizontal="center" vertical="center" wrapText="1"/>
    </xf>
    <xf numFmtId="165" fontId="8" fillId="0" borderId="0" xfId="12" applyNumberFormat="1" applyFont="1" applyAlignment="1">
      <alignment horizontal="center" vertical="center"/>
    </xf>
    <xf numFmtId="2" fontId="20" fillId="0" borderId="0" xfId="0" applyNumberFormat="1" applyFont="1" applyAlignment="1">
      <alignment horizontal="center" vertical="center"/>
    </xf>
    <xf numFmtId="2" fontId="20" fillId="8" borderId="4" xfId="0" applyNumberFormat="1" applyFont="1" applyFill="1" applyBorder="1" applyAlignment="1">
      <alignment horizontal="center" vertical="center"/>
    </xf>
    <xf numFmtId="165" fontId="1" fillId="2" borderId="20" xfId="0" applyNumberFormat="1" applyFont="1" applyFill="1" applyBorder="1" applyAlignment="1">
      <alignment horizontal="center" vertical="center"/>
    </xf>
    <xf numFmtId="165" fontId="1" fillId="2" borderId="21" xfId="0" applyNumberFormat="1" applyFont="1" applyFill="1" applyBorder="1" applyAlignment="1">
      <alignment horizontal="center" vertical="center"/>
    </xf>
    <xf numFmtId="2" fontId="1" fillId="7" borderId="36" xfId="0" applyNumberFormat="1" applyFont="1" applyFill="1" applyBorder="1" applyAlignment="1">
      <alignment horizontal="center" vertical="center"/>
    </xf>
    <xf numFmtId="0" fontId="138" fillId="8" borderId="1" xfId="0" applyFont="1" applyFill="1" applyBorder="1" applyAlignment="1">
      <alignment horizontal="left" vertical="center" indent="3"/>
    </xf>
    <xf numFmtId="0" fontId="0" fillId="9" borderId="7" xfId="0" applyFill="1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8" borderId="43" xfId="0" applyFill="1" applyBorder="1" applyAlignment="1">
      <alignment horizontal="left" vertical="center" indent="3"/>
    </xf>
    <xf numFmtId="0" fontId="0" fillId="9" borderId="5" xfId="0" applyFill="1" applyBorder="1" applyAlignment="1">
      <alignment horizontal="center" vertical="center"/>
    </xf>
    <xf numFmtId="0" fontId="0" fillId="9" borderId="8" xfId="0" applyFill="1" applyBorder="1" applyAlignment="1">
      <alignment horizontal="center" vertical="center"/>
    </xf>
    <xf numFmtId="0" fontId="0" fillId="9" borderId="17" xfId="0" applyFill="1" applyBorder="1" applyAlignment="1">
      <alignment horizontal="center" vertical="center"/>
    </xf>
    <xf numFmtId="0" fontId="0" fillId="8" borderId="31" xfId="0" applyFill="1" applyBorder="1" applyAlignment="1">
      <alignment horizontal="left" vertical="center" indent="3"/>
    </xf>
    <xf numFmtId="0" fontId="0" fillId="8" borderId="3" xfId="0" applyFill="1" applyBorder="1" applyAlignment="1">
      <alignment horizontal="left" vertical="center" indent="3"/>
    </xf>
    <xf numFmtId="0" fontId="0" fillId="9" borderId="9" xfId="0" applyFill="1" applyBorder="1" applyAlignment="1">
      <alignment horizontal="left" vertical="center" indent="3"/>
    </xf>
    <xf numFmtId="0" fontId="0" fillId="9" borderId="13" xfId="0" applyFill="1" applyBorder="1" applyAlignment="1">
      <alignment horizontal="center" vertical="center"/>
    </xf>
    <xf numFmtId="0" fontId="2" fillId="0" borderId="1" xfId="0" applyFont="1" applyBorder="1" applyAlignment="1">
      <alignment vertical="center" wrapText="1"/>
    </xf>
    <xf numFmtId="165" fontId="20" fillId="0" borderId="1" xfId="0" applyNumberFormat="1" applyFont="1" applyBorder="1" applyAlignment="1">
      <alignment horizontal="center" vertical="center"/>
    </xf>
    <xf numFmtId="9" fontId="20" fillId="13" borderId="0" xfId="0" applyNumberFormat="1" applyFont="1" applyFill="1" applyAlignment="1">
      <alignment horizontal="center"/>
    </xf>
    <xf numFmtId="0" fontId="20" fillId="13" borderId="0" xfId="0" applyFont="1" applyFill="1" applyAlignment="1">
      <alignment horizontal="center"/>
    </xf>
    <xf numFmtId="0" fontId="20" fillId="13" borderId="0" xfId="0" applyFont="1" applyFill="1" applyAlignment="1">
      <alignment vertical="center"/>
    </xf>
    <xf numFmtId="0" fontId="0" fillId="13" borderId="0" xfId="0" applyFill="1"/>
    <xf numFmtId="165" fontId="8" fillId="13" borderId="0" xfId="0" applyNumberFormat="1" applyFont="1" applyFill="1" applyAlignment="1">
      <alignment horizontal="center"/>
    </xf>
    <xf numFmtId="0" fontId="20" fillId="7" borderId="72" xfId="0" applyFont="1" applyFill="1" applyBorder="1" applyAlignment="1">
      <alignment horizontal="center" vertical="center" wrapText="1"/>
    </xf>
    <xf numFmtId="165" fontId="78" fillId="2" borderId="0" xfId="0" applyNumberFormat="1" applyFont="1" applyFill="1" applyAlignment="1">
      <alignment horizontal="center"/>
    </xf>
    <xf numFmtId="1" fontId="78" fillId="2" borderId="0" xfId="0" applyNumberFormat="1" applyFont="1" applyFill="1" applyAlignment="1">
      <alignment horizontal="center" vertical="center" wrapText="1"/>
    </xf>
    <xf numFmtId="0" fontId="20" fillId="7" borderId="27" xfId="0" applyFont="1" applyFill="1" applyBorder="1" applyAlignment="1">
      <alignment horizontal="center" vertical="center" wrapText="1"/>
    </xf>
    <xf numFmtId="165" fontId="8" fillId="7" borderId="77" xfId="0" applyNumberFormat="1" applyFont="1" applyFill="1" applyBorder="1" applyAlignment="1">
      <alignment horizontal="center" vertical="center" textRotation="90"/>
    </xf>
    <xf numFmtId="165" fontId="8" fillId="7" borderId="78" xfId="0" applyNumberFormat="1" applyFont="1" applyFill="1" applyBorder="1" applyAlignment="1">
      <alignment horizontal="center" vertical="center" textRotation="90"/>
    </xf>
    <xf numFmtId="0" fontId="20" fillId="13" borderId="0" xfId="0" applyFont="1" applyFill="1" applyAlignment="1">
      <alignment horizontal="left" vertical="center"/>
    </xf>
    <xf numFmtId="0" fontId="20" fillId="7" borderId="73" xfId="0" applyFont="1" applyFill="1" applyBorder="1" applyAlignment="1">
      <alignment horizontal="center" vertical="center" wrapText="1"/>
    </xf>
    <xf numFmtId="165" fontId="78" fillId="2" borderId="0" xfId="0" applyNumberFormat="1" applyFont="1" applyFill="1" applyAlignment="1">
      <alignment horizontal="center" wrapText="1"/>
    </xf>
    <xf numFmtId="165" fontId="8" fillId="7" borderId="1" xfId="0" applyNumberFormat="1" applyFont="1" applyFill="1" applyBorder="1" applyAlignment="1">
      <alignment horizontal="center"/>
    </xf>
    <xf numFmtId="165" fontId="8" fillId="7" borderId="49" xfId="0" applyNumberFormat="1" applyFont="1" applyFill="1" applyBorder="1" applyAlignment="1">
      <alignment horizontal="center"/>
    </xf>
    <xf numFmtId="2" fontId="127" fillId="0" borderId="105" xfId="0" applyNumberFormat="1" applyFont="1" applyBorder="1" applyAlignment="1">
      <alignment horizontal="right"/>
    </xf>
    <xf numFmtId="2" fontId="127" fillId="0" borderId="106" xfId="0" applyNumberFormat="1" applyFont="1" applyBorder="1" applyAlignment="1">
      <alignment horizontal="right"/>
    </xf>
    <xf numFmtId="165" fontId="8" fillId="7" borderId="68" xfId="0" applyNumberFormat="1" applyFont="1" applyFill="1" applyBorder="1" applyAlignment="1">
      <alignment horizontal="center"/>
    </xf>
    <xf numFmtId="0" fontId="127" fillId="14" borderId="0" xfId="0" applyFont="1" applyFill="1" applyAlignment="1">
      <alignment horizontal="left"/>
    </xf>
    <xf numFmtId="166" fontId="127" fillId="14" borderId="105" xfId="0" applyNumberFormat="1" applyFont="1" applyFill="1" applyBorder="1" applyAlignment="1">
      <alignment horizontal="right"/>
    </xf>
    <xf numFmtId="166" fontId="127" fillId="14" borderId="106" xfId="0" applyNumberFormat="1" applyFont="1" applyFill="1" applyBorder="1" applyAlignment="1">
      <alignment horizontal="right"/>
    </xf>
    <xf numFmtId="166" fontId="127" fillId="14" borderId="1" xfId="0" applyNumberFormat="1" applyFont="1" applyFill="1" applyBorder="1" applyAlignment="1">
      <alignment horizontal="right"/>
    </xf>
    <xf numFmtId="165" fontId="8" fillId="2" borderId="7" xfId="0" applyNumberFormat="1" applyFont="1" applyFill="1" applyBorder="1" applyAlignment="1">
      <alignment horizontal="center" vertical="center" wrapText="1"/>
    </xf>
    <xf numFmtId="165" fontId="8" fillId="2" borderId="43" xfId="0" applyNumberFormat="1" applyFont="1" applyFill="1" applyBorder="1" applyAlignment="1">
      <alignment horizontal="center" vertical="center" wrapText="1"/>
    </xf>
    <xf numFmtId="165" fontId="78" fillId="2" borderId="0" xfId="0" applyNumberFormat="1" applyFont="1" applyFill="1" applyAlignment="1">
      <alignment horizontal="center" vertical="center"/>
    </xf>
    <xf numFmtId="166" fontId="127" fillId="14" borderId="107" xfId="0" applyNumberFormat="1" applyFont="1" applyFill="1" applyBorder="1" applyAlignment="1">
      <alignment horizontal="right"/>
    </xf>
    <xf numFmtId="2" fontId="127" fillId="0" borderId="1" xfId="0" applyNumberFormat="1" applyFont="1" applyBorder="1" applyAlignment="1">
      <alignment horizontal="right"/>
    </xf>
    <xf numFmtId="166" fontId="127" fillId="14" borderId="0" xfId="0" applyNumberFormat="1" applyFont="1" applyFill="1" applyAlignment="1">
      <alignment horizontal="right"/>
    </xf>
    <xf numFmtId="2" fontId="127" fillId="0" borderId="0" xfId="0" applyNumberFormat="1" applyFont="1" applyAlignment="1">
      <alignment horizontal="right"/>
    </xf>
    <xf numFmtId="2" fontId="0" fillId="0" borderId="0" xfId="0" applyNumberFormat="1"/>
    <xf numFmtId="0" fontId="4" fillId="7" borderId="72" xfId="0" applyFont="1" applyFill="1" applyBorder="1" applyAlignment="1">
      <alignment horizontal="center" vertical="center" wrapText="1"/>
    </xf>
    <xf numFmtId="0" fontId="4" fillId="7" borderId="35" xfId="0" applyFont="1" applyFill="1" applyBorder="1" applyAlignment="1">
      <alignment horizontal="center" vertical="center" wrapText="1"/>
    </xf>
    <xf numFmtId="0" fontId="4" fillId="7" borderId="73" xfId="0" applyFont="1" applyFill="1" applyBorder="1" applyAlignment="1">
      <alignment horizontal="center" vertical="center" wrapText="1"/>
    </xf>
    <xf numFmtId="2" fontId="52" fillId="8" borderId="2" xfId="0" applyNumberFormat="1" applyFont="1" applyFill="1" applyBorder="1" applyAlignment="1">
      <alignment horizontal="center" vertical="center"/>
    </xf>
    <xf numFmtId="2" fontId="52" fillId="8" borderId="1" xfId="0" applyNumberFormat="1" applyFont="1" applyFill="1" applyBorder="1" applyAlignment="1">
      <alignment horizontal="center" vertical="center"/>
    </xf>
    <xf numFmtId="0" fontId="20" fillId="7" borderId="79" xfId="0" applyFont="1" applyFill="1" applyBorder="1" applyAlignment="1">
      <alignment horizontal="center" vertical="center" wrapText="1"/>
    </xf>
    <xf numFmtId="0" fontId="20" fillId="8" borderId="85" xfId="0" applyFont="1" applyFill="1" applyBorder="1"/>
    <xf numFmtId="0" fontId="0" fillId="2" borderId="1" xfId="0" applyFill="1" applyBorder="1" applyAlignment="1">
      <alignment horizontal="center"/>
    </xf>
    <xf numFmtId="0" fontId="133" fillId="8" borderId="0" xfId="0" applyFont="1" applyFill="1" applyAlignment="1">
      <alignment horizontal="left" vertical="center" wrapText="1"/>
    </xf>
    <xf numFmtId="0" fontId="0" fillId="2" borderId="68" xfId="0" applyFill="1" applyBorder="1" applyAlignment="1">
      <alignment horizontal="center"/>
    </xf>
    <xf numFmtId="0" fontId="0" fillId="2" borderId="12" xfId="0" applyFill="1" applyBorder="1" applyAlignment="1">
      <alignment horizontal="center"/>
    </xf>
    <xf numFmtId="165" fontId="27" fillId="8" borderId="9" xfId="0" applyNumberFormat="1" applyFont="1" applyFill="1" applyBorder="1" applyAlignment="1">
      <alignment horizontal="center" vertical="center"/>
    </xf>
    <xf numFmtId="0" fontId="20" fillId="7" borderId="46" xfId="0" applyFont="1" applyFill="1" applyBorder="1" applyAlignment="1">
      <alignment horizontal="center" vertical="center" wrapText="1"/>
    </xf>
    <xf numFmtId="165" fontId="27" fillId="8" borderId="43" xfId="0" applyNumberFormat="1" applyFont="1" applyFill="1" applyBorder="1" applyAlignment="1">
      <alignment horizontal="center" vertical="center"/>
    </xf>
    <xf numFmtId="165" fontId="27" fillId="8" borderId="51" xfId="0" applyNumberFormat="1" applyFont="1" applyFill="1" applyBorder="1" applyAlignment="1">
      <alignment horizontal="center" vertical="center"/>
    </xf>
    <xf numFmtId="0" fontId="0" fillId="2" borderId="9" xfId="0" applyFill="1" applyBorder="1" applyAlignment="1">
      <alignment horizontal="center"/>
    </xf>
    <xf numFmtId="2" fontId="52" fillId="8" borderId="51" xfId="0" applyNumberFormat="1" applyFont="1" applyFill="1" applyBorder="1" applyAlignment="1">
      <alignment horizontal="center" vertical="center"/>
    </xf>
    <xf numFmtId="0" fontId="20" fillId="7" borderId="4" xfId="0" applyFont="1" applyFill="1" applyBorder="1" applyAlignment="1">
      <alignment horizontal="center" vertical="center" wrapText="1"/>
    </xf>
    <xf numFmtId="0" fontId="129" fillId="0" borderId="0" xfId="15"/>
    <xf numFmtId="0" fontId="130" fillId="7" borderId="29" xfId="15" applyFont="1" applyFill="1" applyBorder="1" applyAlignment="1">
      <alignment horizontal="center"/>
    </xf>
    <xf numFmtId="2" fontId="0" fillId="8" borderId="1" xfId="0" applyNumberFormat="1" applyFill="1" applyBorder="1" applyAlignment="1">
      <alignment horizontal="center"/>
    </xf>
    <xf numFmtId="0" fontId="130" fillId="7" borderId="32" xfId="15" applyFont="1" applyFill="1" applyBorder="1" applyAlignment="1">
      <alignment horizontal="center"/>
    </xf>
    <xf numFmtId="0" fontId="130" fillId="7" borderId="46" xfId="15" applyFont="1" applyFill="1" applyBorder="1" applyAlignment="1">
      <alignment horizontal="center"/>
    </xf>
    <xf numFmtId="0" fontId="130" fillId="7" borderId="34" xfId="15" applyFont="1" applyFill="1" applyBorder="1" applyAlignment="1">
      <alignment horizontal="center"/>
    </xf>
    <xf numFmtId="0" fontId="130" fillId="7" borderId="19" xfId="15" applyFont="1" applyFill="1" applyBorder="1" applyAlignment="1">
      <alignment horizontal="center"/>
    </xf>
    <xf numFmtId="0" fontId="130" fillId="7" borderId="20" xfId="15" applyFont="1" applyFill="1" applyBorder="1" applyAlignment="1">
      <alignment horizontal="center"/>
    </xf>
    <xf numFmtId="0" fontId="130" fillId="7" borderId="21" xfId="15" applyFont="1" applyFill="1" applyBorder="1" applyAlignment="1">
      <alignment horizontal="center"/>
    </xf>
    <xf numFmtId="165" fontId="6" fillId="0" borderId="90" xfId="0" applyNumberFormat="1" applyFont="1" applyBorder="1" applyAlignment="1">
      <alignment horizontal="center" vertical="center" wrapText="1"/>
    </xf>
    <xf numFmtId="165" fontId="6" fillId="0" borderId="108" xfId="0" applyNumberFormat="1" applyFont="1" applyBorder="1" applyAlignment="1">
      <alignment horizontal="center" vertical="center" wrapText="1"/>
    </xf>
    <xf numFmtId="165" fontId="6" fillId="0" borderId="109" xfId="0" applyNumberFormat="1" applyFont="1" applyBorder="1" applyAlignment="1">
      <alignment horizontal="center" vertical="center" wrapText="1"/>
    </xf>
    <xf numFmtId="0" fontId="20" fillId="2" borderId="57" xfId="0" applyFont="1" applyFill="1" applyBorder="1" applyAlignment="1">
      <alignment horizontal="left"/>
    </xf>
    <xf numFmtId="165" fontId="6" fillId="0" borderId="110" xfId="0" applyNumberFormat="1" applyFont="1" applyBorder="1" applyAlignment="1">
      <alignment horizontal="center" vertical="center" wrapText="1"/>
    </xf>
    <xf numFmtId="165" fontId="6" fillId="0" borderId="111" xfId="0" applyNumberFormat="1" applyFont="1" applyBorder="1" applyAlignment="1">
      <alignment horizontal="center" vertical="center" wrapText="1"/>
    </xf>
    <xf numFmtId="0" fontId="20" fillId="2" borderId="66" xfId="0" applyFont="1" applyFill="1" applyBorder="1"/>
    <xf numFmtId="0" fontId="0" fillId="2" borderId="76" xfId="0" applyFill="1" applyBorder="1"/>
    <xf numFmtId="165" fontId="6" fillId="0" borderId="89" xfId="0" applyNumberFormat="1" applyFont="1" applyBorder="1" applyAlignment="1">
      <alignment horizontal="center" vertical="center" wrapText="1"/>
    </xf>
    <xf numFmtId="165" fontId="129" fillId="8" borderId="3" xfId="15" applyNumberFormat="1" applyFill="1" applyBorder="1" applyAlignment="1">
      <alignment horizontal="center"/>
    </xf>
    <xf numFmtId="165" fontId="129" fillId="8" borderId="5" xfId="15" applyNumberFormat="1" applyFill="1" applyBorder="1" applyAlignment="1">
      <alignment horizontal="center"/>
    </xf>
    <xf numFmtId="165" fontId="129" fillId="8" borderId="6" xfId="15" applyNumberFormat="1" applyFill="1" applyBorder="1" applyAlignment="1">
      <alignment horizontal="center"/>
    </xf>
    <xf numFmtId="165" fontId="129" fillId="8" borderId="15" xfId="15" applyNumberFormat="1" applyFill="1" applyBorder="1" applyAlignment="1">
      <alignment horizontal="center"/>
    </xf>
    <xf numFmtId="165" fontId="129" fillId="8" borderId="7" xfId="15" applyNumberFormat="1" applyFill="1" applyBorder="1" applyAlignment="1">
      <alignment horizontal="center"/>
    </xf>
    <xf numFmtId="165" fontId="129" fillId="8" borderId="16" xfId="15" applyNumberFormat="1" applyFill="1" applyBorder="1" applyAlignment="1">
      <alignment horizontal="center"/>
    </xf>
    <xf numFmtId="165" fontId="129" fillId="8" borderId="17" xfId="15" applyNumberFormat="1" applyFill="1" applyBorder="1" applyAlignment="1">
      <alignment horizontal="center"/>
    </xf>
    <xf numFmtId="165" fontId="129" fillId="8" borderId="18" xfId="15" applyNumberFormat="1" applyFill="1" applyBorder="1" applyAlignment="1">
      <alignment horizontal="center"/>
    </xf>
    <xf numFmtId="165" fontId="129" fillId="8" borderId="47" xfId="15" applyNumberFormat="1" applyFill="1" applyBorder="1" applyAlignment="1">
      <alignment horizontal="center"/>
    </xf>
    <xf numFmtId="0" fontId="130" fillId="7" borderId="45" xfId="15" applyFont="1" applyFill="1" applyBorder="1" applyAlignment="1">
      <alignment horizontal="center"/>
    </xf>
    <xf numFmtId="0" fontId="130" fillId="7" borderId="30" xfId="15" applyFont="1" applyFill="1" applyBorder="1" applyAlignment="1">
      <alignment horizontal="center"/>
    </xf>
    <xf numFmtId="0" fontId="130" fillId="7" borderId="22" xfId="15" applyFont="1" applyFill="1" applyBorder="1" applyAlignment="1">
      <alignment horizontal="center"/>
    </xf>
    <xf numFmtId="0" fontId="130" fillId="7" borderId="27" xfId="15" applyFont="1" applyFill="1" applyBorder="1" applyAlignment="1">
      <alignment horizontal="center"/>
    </xf>
    <xf numFmtId="0" fontId="130" fillId="7" borderId="24" xfId="15" applyFont="1" applyFill="1" applyBorder="1" applyAlignment="1">
      <alignment horizontal="center"/>
    </xf>
    <xf numFmtId="165" fontId="129" fillId="8" borderId="1" xfId="15" applyNumberFormat="1" applyFill="1" applyBorder="1" applyAlignment="1">
      <alignment horizontal="center"/>
    </xf>
    <xf numFmtId="165" fontId="129" fillId="8" borderId="9" xfId="15" applyNumberFormat="1" applyFill="1" applyBorder="1" applyAlignment="1">
      <alignment horizontal="center"/>
    </xf>
    <xf numFmtId="165" fontId="129" fillId="8" borderId="14" xfId="15" applyNumberFormat="1" applyFill="1" applyBorder="1" applyAlignment="1">
      <alignment horizontal="center"/>
    </xf>
    <xf numFmtId="165" fontId="129" fillId="8" borderId="8" xfId="15" applyNumberFormat="1" applyFill="1" applyBorder="1" applyAlignment="1">
      <alignment horizontal="center"/>
    </xf>
    <xf numFmtId="165" fontId="129" fillId="8" borderId="10" xfId="15" applyNumberFormat="1" applyFill="1" applyBorder="1" applyAlignment="1">
      <alignment horizontal="center"/>
    </xf>
    <xf numFmtId="165" fontId="129" fillId="8" borderId="13" xfId="15" applyNumberFormat="1" applyFill="1" applyBorder="1" applyAlignment="1">
      <alignment horizontal="center"/>
    </xf>
    <xf numFmtId="165" fontId="129" fillId="8" borderId="12" xfId="15" applyNumberFormat="1" applyFill="1" applyBorder="1" applyAlignment="1">
      <alignment horizontal="center"/>
    </xf>
    <xf numFmtId="165" fontId="129" fillId="8" borderId="11" xfId="15" applyNumberFormat="1" applyFill="1" applyBorder="1" applyAlignment="1">
      <alignment horizontal="center"/>
    </xf>
    <xf numFmtId="0" fontId="78" fillId="8" borderId="0" xfId="0" applyFont="1" applyFill="1" applyAlignment="1">
      <alignment vertical="center" wrapText="1"/>
    </xf>
    <xf numFmtId="165" fontId="8" fillId="0" borderId="0" xfId="12" applyNumberFormat="1" applyFont="1" applyAlignment="1">
      <alignment horizontal="center"/>
    </xf>
    <xf numFmtId="0" fontId="127" fillId="6" borderId="0" xfId="21" applyFill="1"/>
    <xf numFmtId="166" fontId="127" fillId="6" borderId="1" xfId="21" applyNumberFormat="1" applyFill="1" applyBorder="1" applyAlignment="1">
      <alignment horizontal="right"/>
    </xf>
    <xf numFmtId="165" fontId="8" fillId="7" borderId="19" xfId="12" applyNumberFormat="1" applyFont="1" applyFill="1" applyBorder="1" applyAlignment="1">
      <alignment horizontal="center"/>
    </xf>
    <xf numFmtId="165" fontId="8" fillId="0" borderId="5" xfId="21" applyNumberFormat="1" applyFont="1" applyBorder="1" applyAlignment="1">
      <alignment horizontal="right"/>
    </xf>
    <xf numFmtId="165" fontId="8" fillId="0" borderId="6" xfId="21" applyNumberFormat="1" applyFont="1" applyBorder="1" applyAlignment="1">
      <alignment horizontal="right"/>
    </xf>
    <xf numFmtId="165" fontId="8" fillId="0" borderId="15" xfId="21" applyNumberFormat="1" applyFont="1" applyBorder="1" applyAlignment="1">
      <alignment horizontal="right"/>
    </xf>
    <xf numFmtId="165" fontId="8" fillId="0" borderId="0" xfId="21" applyNumberFormat="1" applyFont="1" applyAlignment="1">
      <alignment horizontal="right"/>
    </xf>
    <xf numFmtId="2" fontId="127" fillId="0" borderId="1" xfId="21" applyNumberFormat="1" applyBorder="1" applyAlignment="1">
      <alignment horizontal="right"/>
    </xf>
    <xf numFmtId="165" fontId="8" fillId="7" borderId="20" xfId="12" applyNumberFormat="1" applyFont="1" applyFill="1" applyBorder="1" applyAlignment="1">
      <alignment horizontal="center"/>
    </xf>
    <xf numFmtId="165" fontId="8" fillId="0" borderId="8" xfId="21" applyNumberFormat="1" applyFont="1" applyBorder="1" applyAlignment="1">
      <alignment horizontal="right"/>
    </xf>
    <xf numFmtId="165" fontId="8" fillId="0" borderId="49" xfId="21" applyNumberFormat="1" applyFont="1" applyBorder="1" applyAlignment="1">
      <alignment horizontal="right"/>
    </xf>
    <xf numFmtId="165" fontId="8" fillId="0" borderId="10" xfId="21" applyNumberFormat="1" applyFont="1" applyBorder="1" applyAlignment="1">
      <alignment horizontal="right"/>
    </xf>
    <xf numFmtId="165" fontId="8" fillId="7" borderId="21" xfId="12" applyNumberFormat="1" applyFont="1" applyFill="1" applyBorder="1" applyAlignment="1">
      <alignment horizontal="center"/>
    </xf>
    <xf numFmtId="165" fontId="8" fillId="0" borderId="13" xfId="21" applyNumberFormat="1" applyFont="1" applyBorder="1" applyAlignment="1">
      <alignment horizontal="right"/>
    </xf>
    <xf numFmtId="165" fontId="8" fillId="0" borderId="12" xfId="21" applyNumberFormat="1" applyFont="1" applyBorder="1" applyAlignment="1">
      <alignment horizontal="right"/>
    </xf>
    <xf numFmtId="165" fontId="8" fillId="0" borderId="11" xfId="21" applyNumberFormat="1" applyFont="1" applyBorder="1" applyAlignment="1">
      <alignment horizontal="right"/>
    </xf>
    <xf numFmtId="165" fontId="8" fillId="0" borderId="0" xfId="0" applyNumberFormat="1" applyFont="1" applyAlignment="1">
      <alignment vertical="center" textRotation="90"/>
    </xf>
    <xf numFmtId="165" fontId="8" fillId="7" borderId="32" xfId="12" applyNumberFormat="1" applyFont="1" applyFill="1" applyBorder="1" applyAlignment="1">
      <alignment horizontal="center"/>
    </xf>
    <xf numFmtId="165" fontId="8" fillId="7" borderId="46" xfId="12" applyNumberFormat="1" applyFont="1" applyFill="1" applyBorder="1" applyAlignment="1">
      <alignment horizontal="center"/>
    </xf>
    <xf numFmtId="165" fontId="8" fillId="7" borderId="34" xfId="12" applyNumberFormat="1" applyFont="1" applyFill="1" applyBorder="1" applyAlignment="1">
      <alignment horizontal="center"/>
    </xf>
    <xf numFmtId="165" fontId="8" fillId="0" borderId="14" xfId="21" applyNumberFormat="1" applyFont="1" applyBorder="1" applyAlignment="1">
      <alignment horizontal="right"/>
    </xf>
    <xf numFmtId="165" fontId="8" fillId="0" borderId="41" xfId="21" applyNumberFormat="1" applyFont="1" applyBorder="1" applyAlignment="1">
      <alignment horizontal="right"/>
    </xf>
    <xf numFmtId="165" fontId="8" fillId="0" borderId="50" xfId="21" applyNumberFormat="1" applyFont="1" applyBorder="1" applyAlignment="1">
      <alignment horizontal="right"/>
    </xf>
    <xf numFmtId="165" fontId="8" fillId="0" borderId="42" xfId="21" applyNumberFormat="1" applyFont="1" applyBorder="1" applyAlignment="1">
      <alignment horizontal="right"/>
    </xf>
    <xf numFmtId="2" fontId="20" fillId="0" borderId="1" xfId="12" applyNumberFormat="1" applyFont="1" applyBorder="1" applyAlignment="1">
      <alignment horizontal="center" vertical="center"/>
    </xf>
    <xf numFmtId="0" fontId="2" fillId="2" borderId="0" xfId="0" applyFont="1" applyFill="1" applyAlignment="1">
      <alignment horizontal="right"/>
    </xf>
    <xf numFmtId="0" fontId="82" fillId="2" borderId="0" xfId="0" applyFont="1" applyFill="1"/>
    <xf numFmtId="0" fontId="127" fillId="6" borderId="0" xfId="22" applyFill="1"/>
    <xf numFmtId="166" fontId="127" fillId="6" borderId="1" xfId="22" applyNumberFormat="1" applyFill="1" applyBorder="1" applyAlignment="1">
      <alignment horizontal="right"/>
    </xf>
    <xf numFmtId="165" fontId="131" fillId="8" borderId="43" xfId="0" applyNumberFormat="1" applyFont="1" applyFill="1" applyBorder="1" applyAlignment="1">
      <alignment horizontal="center"/>
    </xf>
    <xf numFmtId="2" fontId="127" fillId="0" borderId="1" xfId="22" applyNumberFormat="1" applyBorder="1" applyAlignment="1">
      <alignment horizontal="right"/>
    </xf>
    <xf numFmtId="165" fontId="0" fillId="0" borderId="0" xfId="0" applyNumberFormat="1"/>
    <xf numFmtId="0" fontId="21" fillId="13" borderId="10" xfId="0" applyFont="1" applyFill="1" applyBorder="1" applyAlignment="1">
      <alignment horizontal="center" vertical="center" wrapText="1"/>
    </xf>
    <xf numFmtId="165" fontId="0" fillId="0" borderId="1" xfId="0" applyNumberFormat="1" applyBorder="1"/>
    <xf numFmtId="0" fontId="8" fillId="8" borderId="0" xfId="0" applyFont="1" applyFill="1" applyAlignment="1">
      <alignment vertical="top" wrapText="1"/>
    </xf>
    <xf numFmtId="165" fontId="3" fillId="8" borderId="0" xfId="0" applyNumberFormat="1" applyFont="1" applyFill="1" applyAlignment="1">
      <alignment horizontal="center" vertical="top" wrapText="1"/>
    </xf>
    <xf numFmtId="2" fontId="129" fillId="8" borderId="5" xfId="15" applyNumberFormat="1" applyFill="1" applyBorder="1" applyAlignment="1">
      <alignment horizontal="center"/>
    </xf>
    <xf numFmtId="2" fontId="129" fillId="8" borderId="6" xfId="15" applyNumberFormat="1" applyFill="1" applyBorder="1" applyAlignment="1">
      <alignment horizontal="center"/>
    </xf>
    <xf numFmtId="2" fontId="129" fillId="8" borderId="15" xfId="15" applyNumberFormat="1" applyFill="1" applyBorder="1" applyAlignment="1">
      <alignment horizontal="center"/>
    </xf>
    <xf numFmtId="2" fontId="129" fillId="8" borderId="7" xfId="15" applyNumberFormat="1" applyFill="1" applyBorder="1" applyAlignment="1">
      <alignment horizontal="center"/>
    </xf>
    <xf numFmtId="2" fontId="129" fillId="8" borderId="3" xfId="15" applyNumberFormat="1" applyFill="1" applyBorder="1" applyAlignment="1">
      <alignment horizontal="center"/>
    </xf>
    <xf numFmtId="2" fontId="129" fillId="8" borderId="16" xfId="15" applyNumberFormat="1" applyFill="1" applyBorder="1" applyAlignment="1">
      <alignment horizontal="center"/>
    </xf>
    <xf numFmtId="2" fontId="129" fillId="8" borderId="17" xfId="15" applyNumberFormat="1" applyFill="1" applyBorder="1" applyAlignment="1">
      <alignment horizontal="center"/>
    </xf>
    <xf numFmtId="2" fontId="129" fillId="8" borderId="18" xfId="15" applyNumberFormat="1" applyFill="1" applyBorder="1" applyAlignment="1">
      <alignment horizontal="center"/>
    </xf>
    <xf numFmtId="2" fontId="129" fillId="8" borderId="47" xfId="15" applyNumberFormat="1" applyFill="1" applyBorder="1" applyAlignment="1">
      <alignment horizontal="center"/>
    </xf>
    <xf numFmtId="0" fontId="8" fillId="8" borderId="1" xfId="0" applyFont="1" applyFill="1" applyBorder="1" applyAlignment="1">
      <alignment vertical="top" wrapText="1"/>
    </xf>
    <xf numFmtId="165" fontId="3" fillId="8" borderId="1" xfId="0" applyNumberFormat="1" applyFont="1" applyFill="1" applyBorder="1" applyAlignment="1">
      <alignment horizontal="center" vertical="top" wrapText="1"/>
    </xf>
    <xf numFmtId="0" fontId="8" fillId="13" borderId="1" xfId="0" applyFont="1" applyFill="1" applyBorder="1" applyAlignment="1">
      <alignment vertical="top" wrapText="1"/>
    </xf>
    <xf numFmtId="0" fontId="8" fillId="13" borderId="0" xfId="0" applyFont="1" applyFill="1" applyAlignment="1">
      <alignment vertical="top" wrapText="1"/>
    </xf>
    <xf numFmtId="0" fontId="106" fillId="0" borderId="112" xfId="0" applyFont="1" applyBorder="1" applyAlignment="1">
      <alignment horizontal="center"/>
    </xf>
    <xf numFmtId="0" fontId="106" fillId="0" borderId="113" xfId="0" applyFont="1" applyBorder="1" applyAlignment="1">
      <alignment horizontal="center"/>
    </xf>
    <xf numFmtId="0" fontId="106" fillId="0" borderId="114" xfId="0" applyFont="1" applyBorder="1" applyAlignment="1">
      <alignment horizontal="center"/>
    </xf>
    <xf numFmtId="0" fontId="93" fillId="0" borderId="112" xfId="0" applyFont="1" applyBorder="1" applyAlignment="1">
      <alignment horizontal="center"/>
    </xf>
    <xf numFmtId="0" fontId="93" fillId="0" borderId="113" xfId="0" applyFont="1" applyBorder="1" applyAlignment="1">
      <alignment horizontal="center"/>
    </xf>
    <xf numFmtId="0" fontId="93" fillId="0" borderId="114" xfId="0" applyFont="1" applyBorder="1" applyAlignment="1">
      <alignment horizontal="center"/>
    </xf>
    <xf numFmtId="0" fontId="107" fillId="0" borderId="115" xfId="2" applyFont="1" applyBorder="1" applyAlignment="1" applyProtection="1">
      <alignment horizontal="center"/>
    </xf>
    <xf numFmtId="0" fontId="107" fillId="0" borderId="0" xfId="2" applyFont="1" applyBorder="1" applyAlignment="1" applyProtection="1">
      <alignment horizontal="center"/>
    </xf>
    <xf numFmtId="0" fontId="22" fillId="2" borderId="0" xfId="0" applyFont="1" applyFill="1" applyAlignment="1">
      <alignment horizontal="center" vertical="center"/>
    </xf>
    <xf numFmtId="0" fontId="22" fillId="2" borderId="0" xfId="0" applyFont="1" applyFill="1" applyAlignment="1">
      <alignment horizontal="center"/>
    </xf>
    <xf numFmtId="0" fontId="2" fillId="2" borderId="0" xfId="0" applyFont="1" applyFill="1" applyAlignment="1">
      <alignment horizontal="right"/>
    </xf>
    <xf numFmtId="0" fontId="16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12" fillId="2" borderId="0" xfId="2" applyFill="1" applyAlignment="1" applyProtection="1">
      <alignment horizontal="center"/>
    </xf>
    <xf numFmtId="49" fontId="3" fillId="2" borderId="0" xfId="0" applyNumberFormat="1" applyFont="1" applyFill="1" applyAlignment="1">
      <alignment horizontal="center"/>
    </xf>
    <xf numFmtId="0" fontId="0" fillId="2" borderId="0" xfId="0" applyFill="1" applyAlignment="1">
      <alignment horizontal="left" vertical="center" wrapText="1"/>
    </xf>
    <xf numFmtId="0" fontId="0" fillId="2" borderId="0" xfId="0" applyFill="1" applyAlignment="1">
      <alignment horizontal="left" wrapText="1"/>
    </xf>
    <xf numFmtId="0" fontId="2" fillId="2" borderId="29" xfId="0" applyFont="1" applyFill="1" applyBorder="1" applyAlignment="1">
      <alignment horizontal="center" vertical="center" wrapText="1"/>
    </xf>
    <xf numFmtId="0" fontId="2" fillId="8" borderId="37" xfId="0" applyFont="1" applyFill="1" applyBorder="1" applyAlignment="1">
      <alignment horizontal="center" vertical="center" wrapText="1"/>
    </xf>
    <xf numFmtId="0" fontId="2" fillId="8" borderId="49" xfId="0" applyFont="1" applyFill="1" applyBorder="1" applyAlignment="1">
      <alignment horizontal="center" vertical="center" wrapText="1"/>
    </xf>
    <xf numFmtId="0" fontId="2" fillId="2" borderId="30" xfId="0" applyFont="1" applyFill="1" applyBorder="1" applyAlignment="1">
      <alignment horizontal="center" vertical="center" wrapText="1"/>
    </xf>
    <xf numFmtId="0" fontId="2" fillId="2" borderId="38" xfId="0" applyFont="1" applyFill="1" applyBorder="1" applyAlignment="1">
      <alignment horizontal="center" vertical="center" wrapText="1"/>
    </xf>
    <xf numFmtId="0" fontId="2" fillId="2" borderId="50" xfId="0" applyFont="1" applyFill="1" applyBorder="1" applyAlignment="1">
      <alignment horizontal="center" vertical="center" wrapText="1"/>
    </xf>
    <xf numFmtId="0" fontId="2" fillId="2" borderId="45" xfId="0" applyFont="1" applyFill="1" applyBorder="1" applyAlignment="1">
      <alignment horizontal="center" vertical="center"/>
    </xf>
    <xf numFmtId="0" fontId="2" fillId="2" borderId="39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2" fillId="2" borderId="45" xfId="0" applyFont="1" applyFill="1" applyBorder="1" applyAlignment="1">
      <alignment horizontal="center" vertical="center" wrapText="1"/>
    </xf>
    <xf numFmtId="0" fontId="2" fillId="2" borderId="39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31" fillId="7" borderId="64" xfId="0" applyFont="1" applyFill="1" applyBorder="1" applyAlignment="1">
      <alignment horizontal="center" vertical="center" wrapText="1"/>
    </xf>
    <xf numFmtId="0" fontId="31" fillId="7" borderId="35" xfId="0" applyFont="1" applyFill="1" applyBorder="1" applyAlignment="1">
      <alignment horizontal="center" vertical="center" wrapText="1"/>
    </xf>
    <xf numFmtId="0" fontId="31" fillId="7" borderId="25" xfId="0" applyFont="1" applyFill="1" applyBorder="1" applyAlignment="1">
      <alignment horizontal="center" vertical="center" wrapText="1"/>
    </xf>
    <xf numFmtId="0" fontId="133" fillId="2" borderId="1" xfId="0" applyFont="1" applyFill="1" applyBorder="1" applyAlignment="1">
      <alignment horizontal="left" vertical="center" wrapText="1"/>
    </xf>
    <xf numFmtId="165" fontId="78" fillId="2" borderId="0" xfId="0" applyNumberFormat="1" applyFont="1" applyFill="1" applyAlignment="1">
      <alignment horizontal="center"/>
    </xf>
    <xf numFmtId="0" fontId="4" fillId="7" borderId="66" xfId="0" applyFont="1" applyFill="1" applyBorder="1" applyAlignment="1">
      <alignment horizontal="center" vertical="center" wrapText="1"/>
    </xf>
    <xf numFmtId="0" fontId="4" fillId="7" borderId="76" xfId="0" applyFont="1" applyFill="1" applyBorder="1" applyAlignment="1">
      <alignment horizontal="center" vertical="center" wrapText="1"/>
    </xf>
    <xf numFmtId="0" fontId="4" fillId="7" borderId="75" xfId="0" applyFont="1" applyFill="1" applyBorder="1" applyAlignment="1">
      <alignment horizontal="center" vertical="center" wrapText="1"/>
    </xf>
    <xf numFmtId="0" fontId="133" fillId="2" borderId="43" xfId="0" applyFont="1" applyFill="1" applyBorder="1" applyAlignment="1">
      <alignment horizontal="left" vertical="center" wrapText="1"/>
    </xf>
    <xf numFmtId="0" fontId="96" fillId="2" borderId="32" xfId="0" applyFont="1" applyFill="1" applyBorder="1" applyAlignment="1">
      <alignment horizontal="left"/>
    </xf>
    <xf numFmtId="0" fontId="96" fillId="2" borderId="46" xfId="0" applyFont="1" applyFill="1" applyBorder="1" applyAlignment="1">
      <alignment horizontal="left"/>
    </xf>
    <xf numFmtId="0" fontId="20" fillId="8" borderId="0" xfId="0" applyFont="1" applyFill="1" applyAlignment="1">
      <alignment horizontal="center"/>
    </xf>
    <xf numFmtId="0" fontId="20" fillId="2" borderId="35" xfId="0" applyFont="1" applyFill="1" applyBorder="1" applyAlignment="1">
      <alignment horizontal="center"/>
    </xf>
    <xf numFmtId="1" fontId="97" fillId="2" borderId="35" xfId="0" applyNumberFormat="1" applyFont="1" applyFill="1" applyBorder="1" applyAlignment="1">
      <alignment horizontal="center" wrapText="1"/>
    </xf>
    <xf numFmtId="0" fontId="26" fillId="8" borderId="31" xfId="0" applyFont="1" applyFill="1" applyBorder="1" applyAlignment="1">
      <alignment horizontal="left" vertical="center" wrapText="1"/>
    </xf>
    <xf numFmtId="0" fontId="12" fillId="8" borderId="44" xfId="2" applyFill="1" applyBorder="1" applyAlignment="1" applyProtection="1">
      <alignment horizontal="left" vertical="center" wrapText="1"/>
    </xf>
    <xf numFmtId="0" fontId="26" fillId="8" borderId="44" xfId="0" applyFont="1" applyFill="1" applyBorder="1" applyAlignment="1">
      <alignment horizontal="left" vertical="center" wrapText="1"/>
    </xf>
    <xf numFmtId="0" fontId="12" fillId="8" borderId="61" xfId="2" applyFill="1" applyBorder="1" applyAlignment="1" applyProtection="1">
      <alignment horizontal="left" vertical="center" wrapText="1"/>
    </xf>
    <xf numFmtId="0" fontId="26" fillId="2" borderId="65" xfId="0" applyFont="1" applyFill="1" applyBorder="1" applyAlignment="1">
      <alignment horizontal="left" vertical="center" wrapText="1"/>
    </xf>
    <xf numFmtId="0" fontId="26" fillId="2" borderId="3" xfId="0" applyFont="1" applyFill="1" applyBorder="1" applyAlignment="1">
      <alignment horizontal="left" vertical="center" wrapText="1"/>
    </xf>
    <xf numFmtId="165" fontId="78" fillId="2" borderId="35" xfId="0" applyNumberFormat="1" applyFont="1" applyFill="1" applyBorder="1" applyAlignment="1">
      <alignment horizontal="center" wrapText="1"/>
    </xf>
    <xf numFmtId="1" fontId="105" fillId="2" borderId="0" xfId="0" applyNumberFormat="1" applyFont="1" applyFill="1" applyAlignment="1">
      <alignment horizontal="center" vertical="center" wrapText="1"/>
    </xf>
    <xf numFmtId="0" fontId="4" fillId="7" borderId="46" xfId="0" applyFont="1" applyFill="1" applyBorder="1" applyAlignment="1">
      <alignment horizontal="center" vertical="center" wrapText="1"/>
    </xf>
    <xf numFmtId="0" fontId="26" fillId="2" borderId="27" xfId="0" applyFont="1" applyFill="1" applyBorder="1" applyAlignment="1">
      <alignment horizontal="left" vertical="center" wrapText="1"/>
    </xf>
    <xf numFmtId="0" fontId="2" fillId="2" borderId="13" xfId="0" applyFont="1" applyFill="1" applyBorder="1" applyAlignment="1">
      <alignment horizontal="left" vertical="center"/>
    </xf>
    <xf numFmtId="0" fontId="2" fillId="2" borderId="12" xfId="0" applyFont="1" applyFill="1" applyBorder="1" applyAlignment="1">
      <alignment horizontal="left" vertical="center"/>
    </xf>
    <xf numFmtId="0" fontId="2" fillId="2" borderId="50" xfId="0" applyFont="1" applyFill="1" applyBorder="1" applyAlignment="1">
      <alignment horizontal="left" vertical="center"/>
    </xf>
    <xf numFmtId="0" fontId="2" fillId="2" borderId="22" xfId="0" applyFont="1" applyFill="1" applyBorder="1" applyAlignment="1">
      <alignment horizontal="left" vertical="center" wrapText="1"/>
    </xf>
    <xf numFmtId="0" fontId="2" fillId="2" borderId="7" xfId="0" applyFont="1" applyFill="1" applyBorder="1" applyAlignment="1">
      <alignment horizontal="left" vertical="center" wrapText="1"/>
    </xf>
    <xf numFmtId="0" fontId="2" fillId="2" borderId="45" xfId="0" applyFont="1" applyFill="1" applyBorder="1" applyAlignment="1">
      <alignment horizontal="left" vertical="center"/>
    </xf>
    <xf numFmtId="0" fontId="2" fillId="2" borderId="39" xfId="0" applyFont="1" applyFill="1" applyBorder="1" applyAlignment="1">
      <alignment horizontal="left" vertical="center"/>
    </xf>
    <xf numFmtId="0" fontId="2" fillId="2" borderId="6" xfId="0" applyFont="1" applyFill="1" applyBorder="1" applyAlignment="1">
      <alignment horizontal="left" vertical="center"/>
    </xf>
    <xf numFmtId="0" fontId="2" fillId="2" borderId="9" xfId="0" applyFont="1" applyFill="1" applyBorder="1" applyAlignment="1">
      <alignment horizontal="left" vertical="center"/>
    </xf>
    <xf numFmtId="1" fontId="78" fillId="8" borderId="0" xfId="0" applyNumberFormat="1" applyFont="1" applyFill="1" applyAlignment="1">
      <alignment horizontal="center" wrapText="1"/>
    </xf>
    <xf numFmtId="1" fontId="78" fillId="8" borderId="53" xfId="0" applyNumberFormat="1" applyFont="1" applyFill="1" applyBorder="1" applyAlignment="1">
      <alignment horizontal="center" wrapText="1"/>
    </xf>
    <xf numFmtId="0" fontId="26" fillId="8" borderId="8" xfId="0" applyFont="1" applyFill="1" applyBorder="1" applyAlignment="1">
      <alignment horizontal="center" vertical="center" wrapText="1"/>
    </xf>
    <xf numFmtId="0" fontId="26" fillId="8" borderId="13" xfId="0" applyFont="1" applyFill="1" applyBorder="1" applyAlignment="1">
      <alignment horizontal="center" vertical="center" wrapText="1"/>
    </xf>
    <xf numFmtId="165" fontId="52" fillId="8" borderId="24" xfId="0" applyNumberFormat="1" applyFont="1" applyFill="1" applyBorder="1" applyAlignment="1">
      <alignment horizontal="center" vertical="center"/>
    </xf>
    <xf numFmtId="165" fontId="52" fillId="8" borderId="48" xfId="0" applyNumberFormat="1" applyFont="1" applyFill="1" applyBorder="1" applyAlignment="1">
      <alignment horizontal="center" vertical="center"/>
    </xf>
    <xf numFmtId="165" fontId="52" fillId="2" borderId="1" xfId="0" applyNumberFormat="1" applyFont="1" applyFill="1" applyBorder="1" applyAlignment="1">
      <alignment horizontal="center" vertical="center"/>
    </xf>
    <xf numFmtId="165" fontId="52" fillId="8" borderId="10" xfId="0" applyNumberFormat="1" applyFont="1" applyFill="1" applyBorder="1" applyAlignment="1">
      <alignment horizontal="center" vertical="center"/>
    </xf>
    <xf numFmtId="165" fontId="52" fillId="2" borderId="12" xfId="0" applyNumberFormat="1" applyFont="1" applyFill="1" applyBorder="1" applyAlignment="1">
      <alignment horizontal="center" vertical="center"/>
    </xf>
    <xf numFmtId="165" fontId="52" fillId="8" borderId="11" xfId="0" applyNumberFormat="1" applyFont="1" applyFill="1" applyBorder="1" applyAlignment="1">
      <alignment horizontal="center" vertical="center"/>
    </xf>
    <xf numFmtId="0" fontId="75" fillId="7" borderId="64" xfId="0" applyFont="1" applyFill="1" applyBorder="1" applyAlignment="1">
      <alignment horizontal="center" vertical="center" wrapText="1"/>
    </xf>
    <xf numFmtId="0" fontId="75" fillId="7" borderId="25" xfId="0" applyFont="1" applyFill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12" fillId="8" borderId="43" xfId="2" applyFill="1" applyBorder="1" applyAlignment="1" applyProtection="1">
      <alignment horizontal="left" vertical="center" wrapText="1"/>
    </xf>
    <xf numFmtId="0" fontId="26" fillId="8" borderId="43" xfId="0" applyFont="1" applyFill="1" applyBorder="1" applyAlignment="1">
      <alignment horizontal="left" vertical="center" wrapText="1"/>
    </xf>
    <xf numFmtId="0" fontId="20" fillId="7" borderId="72" xfId="0" applyFont="1" applyFill="1" applyBorder="1" applyAlignment="1">
      <alignment horizontal="center" vertical="center" wrapText="1"/>
    </xf>
    <xf numFmtId="0" fontId="20" fillId="7" borderId="25" xfId="0" applyFont="1" applyFill="1" applyBorder="1" applyAlignment="1">
      <alignment horizontal="center" vertical="center" wrapText="1"/>
    </xf>
    <xf numFmtId="0" fontId="4" fillId="7" borderId="72" xfId="0" applyFont="1" applyFill="1" applyBorder="1" applyAlignment="1">
      <alignment horizontal="center" vertical="center" wrapText="1"/>
    </xf>
    <xf numFmtId="0" fontId="4" fillId="7" borderId="35" xfId="0" applyFont="1" applyFill="1" applyBorder="1" applyAlignment="1">
      <alignment horizontal="center" vertical="center" wrapText="1"/>
    </xf>
    <xf numFmtId="0" fontId="4" fillId="7" borderId="73" xfId="0" applyFont="1" applyFill="1" applyBorder="1" applyAlignment="1">
      <alignment horizontal="center" vertical="center" wrapText="1"/>
    </xf>
    <xf numFmtId="0" fontId="31" fillId="7" borderId="66" xfId="0" applyFont="1" applyFill="1" applyBorder="1" applyAlignment="1">
      <alignment horizontal="center" vertical="center" wrapText="1"/>
    </xf>
    <xf numFmtId="0" fontId="31" fillId="7" borderId="76" xfId="0" applyFont="1" applyFill="1" applyBorder="1" applyAlignment="1">
      <alignment horizontal="center" vertical="center" wrapText="1"/>
    </xf>
    <xf numFmtId="0" fontId="31" fillId="7" borderId="75" xfId="0" applyFont="1" applyFill="1" applyBorder="1" applyAlignment="1">
      <alignment horizontal="center" vertical="center" wrapText="1"/>
    </xf>
    <xf numFmtId="0" fontId="68" fillId="7" borderId="66" xfId="0" applyFont="1" applyFill="1" applyBorder="1" applyAlignment="1">
      <alignment horizontal="center" vertical="center" wrapText="1"/>
    </xf>
    <xf numFmtId="0" fontId="68" fillId="7" borderId="76" xfId="0" applyFont="1" applyFill="1" applyBorder="1" applyAlignment="1">
      <alignment horizontal="center" vertical="center" wrapText="1"/>
    </xf>
    <xf numFmtId="0" fontId="68" fillId="7" borderId="75" xfId="0" applyFont="1" applyFill="1" applyBorder="1" applyAlignment="1">
      <alignment horizontal="center" vertical="center" wrapText="1"/>
    </xf>
    <xf numFmtId="1" fontId="54" fillId="2" borderId="0" xfId="0" applyNumberFormat="1" applyFont="1" applyFill="1" applyAlignment="1">
      <alignment horizontal="left" wrapText="1"/>
    </xf>
    <xf numFmtId="0" fontId="2" fillId="2" borderId="0" xfId="0" applyFont="1" applyFill="1" applyAlignment="1">
      <alignment horizontal="left" vertical="center" wrapText="1"/>
    </xf>
    <xf numFmtId="1" fontId="12" fillId="2" borderId="0" xfId="2" applyNumberFormat="1" applyFill="1" applyBorder="1" applyAlignment="1" applyProtection="1">
      <alignment horizontal="left" wrapText="1"/>
    </xf>
    <xf numFmtId="1" fontId="12" fillId="2" borderId="53" xfId="2" applyNumberFormat="1" applyFill="1" applyBorder="1" applyAlignment="1" applyProtection="1">
      <alignment horizontal="left" wrapText="1"/>
    </xf>
    <xf numFmtId="1" fontId="54" fillId="2" borderId="53" xfId="0" applyNumberFormat="1" applyFont="1" applyFill="1" applyBorder="1" applyAlignment="1">
      <alignment horizontal="left" wrapText="1"/>
    </xf>
    <xf numFmtId="1" fontId="78" fillId="2" borderId="0" xfId="0" applyNumberFormat="1" applyFont="1" applyFill="1" applyAlignment="1">
      <alignment horizontal="center" vertical="center" wrapText="1"/>
    </xf>
    <xf numFmtId="49" fontId="20" fillId="2" borderId="0" xfId="0" applyNumberFormat="1" applyFont="1" applyFill="1" applyAlignment="1">
      <alignment horizontal="center" vertical="center" wrapText="1"/>
    </xf>
    <xf numFmtId="1" fontId="12" fillId="2" borderId="0" xfId="2" applyNumberFormat="1" applyFill="1" applyBorder="1" applyAlignment="1" applyProtection="1">
      <alignment horizontal="center" vertical="center" wrapText="1"/>
    </xf>
    <xf numFmtId="0" fontId="58" fillId="2" borderId="29" xfId="0" applyFont="1" applyFill="1" applyBorder="1" applyAlignment="1">
      <alignment horizontal="left" vertical="center" wrapText="1"/>
    </xf>
    <xf numFmtId="0" fontId="58" fillId="2" borderId="37" xfId="0" applyFont="1" applyFill="1" applyBorder="1" applyAlignment="1">
      <alignment horizontal="left" vertical="center" wrapText="1"/>
    </xf>
    <xf numFmtId="0" fontId="58" fillId="2" borderId="49" xfId="0" applyFont="1" applyFill="1" applyBorder="1" applyAlignment="1">
      <alignment horizontal="left" vertical="center" wrapText="1"/>
    </xf>
    <xf numFmtId="0" fontId="31" fillId="7" borderId="58" xfId="0" applyFont="1" applyFill="1" applyBorder="1" applyAlignment="1">
      <alignment horizontal="center" vertical="center" wrapText="1"/>
    </xf>
    <xf numFmtId="2" fontId="3" fillId="2" borderId="1" xfId="0" applyNumberFormat="1" applyFont="1" applyFill="1" applyBorder="1" applyAlignment="1">
      <alignment horizontal="center" vertical="center" wrapText="1"/>
    </xf>
    <xf numFmtId="2" fontId="3" fillId="2" borderId="10" xfId="0" applyNumberFormat="1" applyFont="1" applyFill="1" applyBorder="1" applyAlignment="1">
      <alignment horizontal="center" vertical="center" wrapText="1"/>
    </xf>
    <xf numFmtId="0" fontId="31" fillId="7" borderId="27" xfId="0" applyFont="1" applyFill="1" applyBorder="1" applyAlignment="1">
      <alignment horizontal="center" vertical="center" wrapText="1"/>
    </xf>
    <xf numFmtId="0" fontId="31" fillId="7" borderId="24" xfId="0" applyFont="1" applyFill="1" applyBorder="1" applyAlignment="1">
      <alignment horizontal="center" vertical="center" wrapText="1"/>
    </xf>
    <xf numFmtId="0" fontId="58" fillId="2" borderId="30" xfId="0" applyFont="1" applyFill="1" applyBorder="1" applyAlignment="1">
      <alignment horizontal="left" vertical="center" wrapText="1"/>
    </xf>
    <xf numFmtId="0" fontId="58" fillId="2" borderId="38" xfId="0" applyFont="1" applyFill="1" applyBorder="1" applyAlignment="1">
      <alignment horizontal="left" vertical="center" wrapText="1"/>
    </xf>
    <xf numFmtId="0" fontId="58" fillId="2" borderId="50" xfId="0" applyFont="1" applyFill="1" applyBorder="1" applyAlignment="1">
      <alignment horizontal="left" vertical="center" wrapText="1"/>
    </xf>
    <xf numFmtId="2" fontId="3" fillId="2" borderId="12" xfId="0" applyNumberFormat="1" applyFont="1" applyFill="1" applyBorder="1" applyAlignment="1">
      <alignment horizontal="center" vertical="center" wrapText="1"/>
    </xf>
    <xf numFmtId="2" fontId="3" fillId="2" borderId="11" xfId="0" applyNumberFormat="1" applyFont="1" applyFill="1" applyBorder="1" applyAlignment="1">
      <alignment horizontal="center" vertical="center" wrapText="1"/>
    </xf>
    <xf numFmtId="0" fontId="16" fillId="7" borderId="5" xfId="0" applyFont="1" applyFill="1" applyBorder="1" applyAlignment="1">
      <alignment horizontal="center"/>
    </xf>
    <xf numFmtId="0" fontId="16" fillId="7" borderId="9" xfId="0" applyFont="1" applyFill="1" applyBorder="1" applyAlignment="1">
      <alignment horizontal="center"/>
    </xf>
    <xf numFmtId="0" fontId="16" fillId="7" borderId="14" xfId="0" applyFont="1" applyFill="1" applyBorder="1" applyAlignment="1">
      <alignment horizontal="center"/>
    </xf>
    <xf numFmtId="1" fontId="88" fillId="2" borderId="0" xfId="0" applyNumberFormat="1" applyFont="1" applyFill="1" applyAlignment="1">
      <alignment horizontal="center" wrapText="1"/>
    </xf>
    <xf numFmtId="1" fontId="25" fillId="2" borderId="0" xfId="0" applyNumberFormat="1" applyFont="1" applyFill="1" applyAlignment="1">
      <alignment horizontal="center" wrapText="1"/>
    </xf>
    <xf numFmtId="0" fontId="135" fillId="2" borderId="0" xfId="0" applyFont="1" applyFill="1" applyAlignment="1">
      <alignment horizontal="left" vertical="top" wrapText="1"/>
    </xf>
    <xf numFmtId="0" fontId="31" fillId="7" borderId="8" xfId="0" applyFont="1" applyFill="1" applyBorder="1" applyAlignment="1">
      <alignment horizontal="center" vertical="center" wrapText="1"/>
    </xf>
    <xf numFmtId="0" fontId="31" fillId="7" borderId="13" xfId="0" applyFont="1" applyFill="1" applyBorder="1" applyAlignment="1">
      <alignment horizontal="center" vertical="center" wrapText="1"/>
    </xf>
    <xf numFmtId="1" fontId="54" fillId="8" borderId="0" xfId="0" applyNumberFormat="1" applyFont="1" applyFill="1" applyAlignment="1">
      <alignment horizontal="left" vertical="center" wrapText="1"/>
    </xf>
    <xf numFmtId="1" fontId="12" fillId="8" borderId="0" xfId="2" applyNumberFormat="1" applyFill="1" applyBorder="1" applyAlignment="1" applyProtection="1">
      <alignment horizontal="left" vertical="center" wrapText="1"/>
    </xf>
    <xf numFmtId="1" fontId="78" fillId="8" borderId="0" xfId="0" applyNumberFormat="1" applyFont="1" applyFill="1" applyAlignment="1">
      <alignment horizontal="center" vertical="center" wrapText="1"/>
    </xf>
    <xf numFmtId="0" fontId="20" fillId="7" borderId="27" xfId="0" applyFont="1" applyFill="1" applyBorder="1" applyAlignment="1">
      <alignment horizontal="center" vertical="center" wrapText="1"/>
    </xf>
    <xf numFmtId="0" fontId="20" fillId="7" borderId="24" xfId="0" applyFont="1" applyFill="1" applyBorder="1" applyAlignment="1">
      <alignment horizontal="center" vertical="center" wrapText="1"/>
    </xf>
    <xf numFmtId="0" fontId="20" fillId="7" borderId="43" xfId="0" applyFont="1" applyFill="1" applyBorder="1" applyAlignment="1">
      <alignment horizontal="center" vertical="center" wrapText="1"/>
    </xf>
    <xf numFmtId="0" fontId="20" fillId="7" borderId="48" xfId="0" applyFont="1" applyFill="1" applyBorder="1" applyAlignment="1">
      <alignment horizontal="center" vertical="center" wrapText="1"/>
    </xf>
    <xf numFmtId="0" fontId="20" fillId="7" borderId="5" xfId="0" applyFont="1" applyFill="1" applyBorder="1" applyAlignment="1">
      <alignment horizontal="center" vertical="center" wrapText="1"/>
    </xf>
    <xf numFmtId="0" fontId="20" fillId="7" borderId="9" xfId="0" applyFont="1" applyFill="1" applyBorder="1" applyAlignment="1">
      <alignment horizontal="center" vertical="center" wrapText="1"/>
    </xf>
    <xf numFmtId="0" fontId="20" fillId="7" borderId="8" xfId="0" applyFont="1" applyFill="1" applyBorder="1" applyAlignment="1">
      <alignment horizontal="center" vertical="center" wrapText="1"/>
    </xf>
    <xf numFmtId="0" fontId="20" fillId="7" borderId="1" xfId="0" applyFont="1" applyFill="1" applyBorder="1" applyAlignment="1">
      <alignment horizontal="center" vertical="center" wrapText="1"/>
    </xf>
    <xf numFmtId="0" fontId="88" fillId="2" borderId="0" xfId="0" applyFont="1" applyFill="1" applyAlignment="1">
      <alignment horizontal="center" vertical="center" wrapText="1"/>
    </xf>
    <xf numFmtId="0" fontId="3" fillId="7" borderId="46" xfId="0" applyFont="1" applyFill="1" applyBorder="1" applyAlignment="1">
      <alignment horizontal="center" vertical="center" wrapText="1"/>
    </xf>
    <xf numFmtId="0" fontId="3" fillId="7" borderId="34" xfId="0" applyFont="1" applyFill="1" applyBorder="1" applyAlignment="1">
      <alignment horizontal="center" vertical="center" wrapText="1"/>
    </xf>
    <xf numFmtId="2" fontId="3" fillId="8" borderId="67" xfId="0" applyNumberFormat="1" applyFont="1" applyFill="1" applyBorder="1" applyAlignment="1">
      <alignment horizontal="center" vertical="center" wrapText="1"/>
    </xf>
    <xf numFmtId="2" fontId="0" fillId="8" borderId="15" xfId="0" applyNumberFormat="1" applyFill="1" applyBorder="1"/>
    <xf numFmtId="2" fontId="3" fillId="8" borderId="68" xfId="0" applyNumberFormat="1" applyFont="1" applyFill="1" applyBorder="1" applyAlignment="1">
      <alignment horizontal="center" vertical="center" wrapText="1"/>
    </xf>
    <xf numFmtId="2" fontId="0" fillId="8" borderId="41" xfId="0" applyNumberFormat="1" applyFill="1" applyBorder="1"/>
    <xf numFmtId="0" fontId="89" fillId="2" borderId="22" xfId="0" applyFont="1" applyFill="1" applyBorder="1" applyAlignment="1">
      <alignment horizontal="center" vertical="center" wrapText="1"/>
    </xf>
    <xf numFmtId="0" fontId="89" fillId="2" borderId="33" xfId="0" applyFont="1" applyFill="1" applyBorder="1" applyAlignment="1">
      <alignment horizontal="center" vertical="center" wrapText="1"/>
    </xf>
    <xf numFmtId="0" fontId="89" fillId="2" borderId="17" xfId="0" applyFont="1" applyFill="1" applyBorder="1" applyAlignment="1">
      <alignment horizontal="center" vertical="center" wrapText="1"/>
    </xf>
    <xf numFmtId="2" fontId="3" fillId="8" borderId="69" xfId="0" applyNumberFormat="1" applyFont="1" applyFill="1" applyBorder="1" applyAlignment="1">
      <alignment horizontal="center" vertical="center" wrapText="1"/>
    </xf>
    <xf numFmtId="2" fontId="0" fillId="8" borderId="42" xfId="0" applyNumberFormat="1" applyFill="1" applyBorder="1"/>
    <xf numFmtId="0" fontId="26" fillId="8" borderId="68" xfId="0" applyFont="1" applyFill="1" applyBorder="1" applyAlignment="1">
      <alignment horizontal="left" vertical="center" wrapText="1"/>
    </xf>
    <xf numFmtId="0" fontId="26" fillId="8" borderId="49" xfId="0" applyFont="1" applyFill="1" applyBorder="1" applyAlignment="1">
      <alignment horizontal="left" vertical="center" wrapText="1"/>
    </xf>
    <xf numFmtId="0" fontId="4" fillId="7" borderId="79" xfId="0" applyFont="1" applyFill="1" applyBorder="1" applyAlignment="1">
      <alignment horizontal="center" vertical="center" wrapText="1"/>
    </xf>
    <xf numFmtId="0" fontId="4" fillId="7" borderId="58" xfId="0" applyFont="1" applyFill="1" applyBorder="1" applyAlignment="1">
      <alignment horizontal="center" vertical="center" wrapText="1"/>
    </xf>
    <xf numFmtId="2" fontId="3" fillId="8" borderId="41" xfId="0" applyNumberFormat="1" applyFont="1" applyFill="1" applyBorder="1" applyAlignment="1">
      <alignment horizontal="center" vertical="center" wrapText="1"/>
    </xf>
    <xf numFmtId="0" fontId="26" fillId="8" borderId="9" xfId="0" applyFont="1" applyFill="1" applyBorder="1" applyAlignment="1">
      <alignment horizontal="left" vertical="center" wrapText="1"/>
    </xf>
    <xf numFmtId="0" fontId="26" fillId="8" borderId="1" xfId="0" applyFont="1" applyFill="1" applyBorder="1" applyAlignment="1">
      <alignment horizontal="left" vertical="center" wrapText="1"/>
    </xf>
    <xf numFmtId="0" fontId="26" fillId="8" borderId="12" xfId="0" applyFont="1" applyFill="1" applyBorder="1" applyAlignment="1">
      <alignment horizontal="left" vertical="center" wrapText="1"/>
    </xf>
    <xf numFmtId="0" fontId="3" fillId="7" borderId="35" xfId="0" applyFont="1" applyFill="1" applyBorder="1" applyAlignment="1">
      <alignment horizontal="center" vertical="center"/>
    </xf>
    <xf numFmtId="0" fontId="3" fillId="7" borderId="73" xfId="0" applyFont="1" applyFill="1" applyBorder="1" applyAlignment="1">
      <alignment horizontal="center" vertical="center"/>
    </xf>
    <xf numFmtId="0" fontId="88" fillId="2" borderId="53" xfId="0" applyFont="1" applyFill="1" applyBorder="1" applyAlignment="1">
      <alignment horizontal="center" vertical="center" wrapText="1"/>
    </xf>
    <xf numFmtId="0" fontId="89" fillId="2" borderId="5" xfId="0" applyFont="1" applyFill="1" applyBorder="1" applyAlignment="1">
      <alignment horizontal="center" vertical="center" wrapText="1"/>
    </xf>
    <xf numFmtId="0" fontId="89" fillId="2" borderId="13" xfId="0" applyFont="1" applyFill="1" applyBorder="1" applyAlignment="1">
      <alignment horizontal="center" vertical="center" wrapText="1"/>
    </xf>
    <xf numFmtId="0" fontId="6" fillId="0" borderId="8" xfId="0" applyFont="1" applyBorder="1" applyAlignment="1">
      <alignment horizontal="left" vertical="center"/>
    </xf>
    <xf numFmtId="0" fontId="6" fillId="0" borderId="5" xfId="0" applyFont="1" applyBorder="1" applyAlignment="1">
      <alignment horizontal="left" vertical="center"/>
    </xf>
    <xf numFmtId="2" fontId="3" fillId="2" borderId="14" xfId="0" applyNumberFormat="1" applyFont="1" applyFill="1" applyBorder="1" applyAlignment="1">
      <alignment horizontal="center" vertical="center" wrapText="1"/>
    </xf>
    <xf numFmtId="0" fontId="20" fillId="2" borderId="0" xfId="0" applyFont="1" applyFill="1" applyAlignment="1">
      <alignment horizontal="left"/>
    </xf>
    <xf numFmtId="0" fontId="3" fillId="0" borderId="27" xfId="0" applyFont="1" applyBorder="1" applyAlignment="1">
      <alignment horizontal="left" vertical="center" wrapText="1"/>
    </xf>
    <xf numFmtId="0" fontId="3" fillId="0" borderId="31" xfId="0" applyFont="1" applyBorder="1" applyAlignment="1">
      <alignment horizontal="left" vertical="center" wrapText="1"/>
    </xf>
    <xf numFmtId="2" fontId="3" fillId="2" borderId="2" xfId="0" applyNumberFormat="1" applyFont="1" applyFill="1" applyBorder="1" applyAlignment="1">
      <alignment horizontal="center" vertical="center" wrapText="1"/>
    </xf>
    <xf numFmtId="2" fontId="3" fillId="2" borderId="48" xfId="0" applyNumberFormat="1" applyFont="1" applyFill="1" applyBorder="1" applyAlignment="1">
      <alignment horizontal="center" vertical="center" wrapText="1"/>
    </xf>
    <xf numFmtId="0" fontId="2" fillId="0" borderId="116" xfId="0" applyFont="1" applyBorder="1" applyAlignment="1">
      <alignment horizontal="left" vertical="center" wrapText="1"/>
    </xf>
    <xf numFmtId="0" fontId="6" fillId="7" borderId="32" xfId="0" applyFont="1" applyFill="1" applyBorder="1" applyAlignment="1">
      <alignment horizontal="center" vertical="center" wrapText="1"/>
    </xf>
    <xf numFmtId="0" fontId="6" fillId="7" borderId="46" xfId="0" applyFont="1" applyFill="1" applyBorder="1" applyAlignment="1">
      <alignment horizontal="center" vertical="center" wrapText="1"/>
    </xf>
    <xf numFmtId="0" fontId="20" fillId="2" borderId="29" xfId="0" applyFont="1" applyFill="1" applyBorder="1" applyAlignment="1">
      <alignment horizontal="left" vertical="center"/>
    </xf>
    <xf numFmtId="0" fontId="20" fillId="2" borderId="37" xfId="0" applyFont="1" applyFill="1" applyBorder="1" applyAlignment="1">
      <alignment horizontal="left" vertical="center"/>
    </xf>
    <xf numFmtId="0" fontId="20" fillId="2" borderId="49" xfId="0" applyFont="1" applyFill="1" applyBorder="1" applyAlignment="1">
      <alignment horizontal="left" vertical="center"/>
    </xf>
    <xf numFmtId="0" fontId="20" fillId="2" borderId="29" xfId="0" applyFont="1" applyFill="1" applyBorder="1" applyAlignment="1">
      <alignment horizontal="left" vertical="center" wrapText="1"/>
    </xf>
    <xf numFmtId="0" fontId="20" fillId="2" borderId="37" xfId="0" applyFont="1" applyFill="1" applyBorder="1" applyAlignment="1">
      <alignment horizontal="left" vertical="center" wrapText="1"/>
    </xf>
    <xf numFmtId="0" fontId="20" fillId="2" borderId="49" xfId="0" applyFont="1" applyFill="1" applyBorder="1" applyAlignment="1">
      <alignment horizontal="left" vertical="center" wrapText="1"/>
    </xf>
    <xf numFmtId="165" fontId="52" fillId="8" borderId="2" xfId="0" applyNumberFormat="1" applyFont="1" applyFill="1" applyBorder="1" applyAlignment="1">
      <alignment horizontal="center" vertical="center"/>
    </xf>
    <xf numFmtId="0" fontId="12" fillId="8" borderId="65" xfId="2" applyFill="1" applyBorder="1" applyAlignment="1" applyProtection="1">
      <alignment horizontal="left" vertical="center" wrapText="1"/>
    </xf>
    <xf numFmtId="0" fontId="12" fillId="8" borderId="3" xfId="2" applyFill="1" applyBorder="1" applyAlignment="1" applyProtection="1">
      <alignment horizontal="left" vertical="center" wrapText="1"/>
    </xf>
    <xf numFmtId="0" fontId="133" fillId="8" borderId="68" xfId="0" applyFont="1" applyFill="1" applyBorder="1" applyAlignment="1">
      <alignment horizontal="left" vertical="center" wrapText="1"/>
    </xf>
    <xf numFmtId="0" fontId="133" fillId="8" borderId="37" xfId="0" applyFont="1" applyFill="1" applyBorder="1" applyAlignment="1">
      <alignment horizontal="left" vertical="center" wrapText="1"/>
    </xf>
    <xf numFmtId="0" fontId="133" fillId="8" borderId="49" xfId="0" applyFont="1" applyFill="1" applyBorder="1" applyAlignment="1">
      <alignment horizontal="left" vertical="center" wrapText="1"/>
    </xf>
    <xf numFmtId="165" fontId="78" fillId="2" borderId="53" xfId="0" applyNumberFormat="1" applyFont="1" applyFill="1" applyBorder="1" applyAlignment="1">
      <alignment horizontal="center"/>
    </xf>
    <xf numFmtId="0" fontId="20" fillId="2" borderId="30" xfId="0" applyFont="1" applyFill="1" applyBorder="1" applyAlignment="1">
      <alignment horizontal="left" vertical="center"/>
    </xf>
    <xf numFmtId="0" fontId="20" fillId="2" borderId="38" xfId="0" applyFont="1" applyFill="1" applyBorder="1" applyAlignment="1">
      <alignment horizontal="left" vertical="center"/>
    </xf>
    <xf numFmtId="0" fontId="20" fillId="2" borderId="50" xfId="0" applyFont="1" applyFill="1" applyBorder="1" applyAlignment="1">
      <alignment horizontal="left" vertical="center"/>
    </xf>
    <xf numFmtId="0" fontId="2" fillId="0" borderId="117" xfId="0" applyFont="1" applyBorder="1" applyAlignment="1">
      <alignment horizontal="left" vertical="center" wrapText="1"/>
    </xf>
    <xf numFmtId="1" fontId="105" fillId="2" borderId="0" xfId="0" applyNumberFormat="1" applyFont="1" applyFill="1" applyAlignment="1">
      <alignment horizontal="center" wrapText="1"/>
    </xf>
    <xf numFmtId="165" fontId="52" fillId="8" borderId="71" xfId="0" applyNumberFormat="1" applyFont="1" applyFill="1" applyBorder="1" applyAlignment="1">
      <alignment horizontal="center" vertical="center"/>
    </xf>
    <xf numFmtId="0" fontId="0" fillId="0" borderId="54" xfId="0" applyBorder="1" applyAlignment="1">
      <alignment horizontal="center" vertical="center"/>
    </xf>
    <xf numFmtId="0" fontId="133" fillId="8" borderId="62" xfId="0" applyFont="1" applyFill="1" applyBorder="1" applyAlignment="1">
      <alignment horizontal="left" vertical="center" wrapText="1"/>
    </xf>
    <xf numFmtId="0" fontId="133" fillId="8" borderId="80" xfId="0" applyFont="1" applyFill="1" applyBorder="1" applyAlignment="1">
      <alignment horizontal="left" vertical="center" wrapText="1"/>
    </xf>
    <xf numFmtId="0" fontId="133" fillId="8" borderId="56" xfId="0" applyFont="1" applyFill="1" applyBorder="1" applyAlignment="1">
      <alignment horizontal="left" vertical="center" wrapText="1"/>
    </xf>
    <xf numFmtId="0" fontId="2" fillId="2" borderId="62" xfId="0" applyFont="1" applyFill="1" applyBorder="1" applyAlignment="1">
      <alignment horizontal="left" vertical="center" wrapText="1"/>
    </xf>
    <xf numFmtId="0" fontId="2" fillId="2" borderId="80" xfId="0" applyFont="1" applyFill="1" applyBorder="1" applyAlignment="1">
      <alignment horizontal="left" vertical="center" wrapText="1"/>
    </xf>
    <xf numFmtId="0" fontId="2" fillId="2" borderId="56" xfId="0" applyFont="1" applyFill="1" applyBorder="1" applyAlignment="1">
      <alignment horizontal="left" vertical="center" wrapText="1"/>
    </xf>
    <xf numFmtId="0" fontId="2" fillId="2" borderId="68" xfId="0" applyFont="1" applyFill="1" applyBorder="1" applyAlignment="1">
      <alignment horizontal="left" vertical="center" wrapText="1"/>
    </xf>
    <xf numFmtId="0" fontId="2" fillId="2" borderId="37" xfId="0" applyFont="1" applyFill="1" applyBorder="1" applyAlignment="1">
      <alignment horizontal="left" vertical="center" wrapText="1"/>
    </xf>
    <xf numFmtId="0" fontId="2" fillId="2" borderId="49" xfId="0" applyFont="1" applyFill="1" applyBorder="1" applyAlignment="1">
      <alignment horizontal="left" vertical="center" wrapText="1"/>
    </xf>
    <xf numFmtId="165" fontId="52" fillId="8" borderId="52" xfId="0" applyNumberFormat="1" applyFont="1" applyFill="1" applyBorder="1" applyAlignment="1">
      <alignment horizontal="center" vertical="center"/>
    </xf>
    <xf numFmtId="165" fontId="52" fillId="8" borderId="36" xfId="0" applyNumberFormat="1" applyFont="1" applyFill="1" applyBorder="1" applyAlignment="1">
      <alignment horizontal="center" vertical="center"/>
    </xf>
    <xf numFmtId="0" fontId="12" fillId="8" borderId="74" xfId="2" applyFill="1" applyBorder="1" applyAlignment="1" applyProtection="1">
      <alignment horizontal="left" vertical="center" wrapText="1"/>
    </xf>
    <xf numFmtId="0" fontId="12" fillId="8" borderId="53" xfId="2" applyFill="1" applyBorder="1" applyAlignment="1" applyProtection="1">
      <alignment horizontal="left" vertical="center" wrapText="1"/>
    </xf>
    <xf numFmtId="0" fontId="12" fillId="8" borderId="18" xfId="2" applyFill="1" applyBorder="1" applyAlignment="1" applyProtection="1">
      <alignment horizontal="left" vertical="center" wrapText="1"/>
    </xf>
    <xf numFmtId="0" fontId="133" fillId="2" borderId="62" xfId="0" applyFont="1" applyFill="1" applyBorder="1" applyAlignment="1">
      <alignment horizontal="left" vertical="center" wrapText="1"/>
    </xf>
    <xf numFmtId="0" fontId="133" fillId="2" borderId="80" xfId="0" applyFont="1" applyFill="1" applyBorder="1" applyAlignment="1">
      <alignment horizontal="left" vertical="center" wrapText="1"/>
    </xf>
    <xf numFmtId="0" fontId="133" fillId="2" borderId="56" xfId="0" applyFont="1" applyFill="1" applyBorder="1" applyAlignment="1">
      <alignment horizontal="left" vertical="center" wrapText="1"/>
    </xf>
    <xf numFmtId="0" fontId="26" fillId="8" borderId="55" xfId="0" applyFont="1" applyFill="1" applyBorder="1" applyAlignment="1">
      <alignment horizontal="left" vertical="center" wrapText="1"/>
    </xf>
    <xf numFmtId="0" fontId="26" fillId="2" borderId="33" xfId="0" applyFont="1" applyFill="1" applyBorder="1" applyAlignment="1">
      <alignment horizontal="left" vertical="center" wrapText="1"/>
    </xf>
    <xf numFmtId="0" fontId="26" fillId="8" borderId="7" xfId="0" applyFont="1" applyFill="1" applyBorder="1" applyAlignment="1">
      <alignment horizontal="left" vertical="center" wrapText="1"/>
    </xf>
    <xf numFmtId="0" fontId="117" fillId="2" borderId="61" xfId="2" applyFont="1" applyFill="1" applyBorder="1" applyAlignment="1" applyProtection="1">
      <alignment horizontal="left" vertical="center" wrapText="1"/>
    </xf>
    <xf numFmtId="0" fontId="117" fillId="2" borderId="65" xfId="2" applyFont="1" applyFill="1" applyBorder="1" applyAlignment="1" applyProtection="1">
      <alignment horizontal="left" vertical="center" wrapText="1"/>
    </xf>
    <xf numFmtId="0" fontId="117" fillId="2" borderId="3" xfId="2" applyFont="1" applyFill="1" applyBorder="1" applyAlignment="1" applyProtection="1">
      <alignment horizontal="left" vertical="center" wrapText="1"/>
    </xf>
    <xf numFmtId="0" fontId="16" fillId="0" borderId="5" xfId="0" applyFont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 wrapText="1"/>
    </xf>
    <xf numFmtId="165" fontId="78" fillId="2" borderId="66" xfId="0" applyNumberFormat="1" applyFont="1" applyFill="1" applyBorder="1" applyAlignment="1">
      <alignment horizontal="center" wrapText="1"/>
    </xf>
    <xf numFmtId="165" fontId="78" fillId="2" borderId="76" xfId="0" applyNumberFormat="1" applyFont="1" applyFill="1" applyBorder="1" applyAlignment="1">
      <alignment horizontal="center" wrapText="1"/>
    </xf>
    <xf numFmtId="165" fontId="78" fillId="2" borderId="75" xfId="0" applyNumberFormat="1" applyFont="1" applyFill="1" applyBorder="1" applyAlignment="1">
      <alignment horizontal="center" wrapText="1"/>
    </xf>
    <xf numFmtId="0" fontId="20" fillId="8" borderId="0" xfId="0" applyFont="1" applyFill="1" applyAlignment="1">
      <alignment horizontal="left" wrapText="1"/>
    </xf>
    <xf numFmtId="0" fontId="20" fillId="2" borderId="45" xfId="0" applyFont="1" applyFill="1" applyBorder="1" applyAlignment="1">
      <alignment horizontal="left"/>
    </xf>
    <xf numFmtId="0" fontId="20" fillId="2" borderId="39" xfId="0" applyFont="1" applyFill="1" applyBorder="1" applyAlignment="1">
      <alignment horizontal="left"/>
    </xf>
    <xf numFmtId="0" fontId="20" fillId="2" borderId="6" xfId="0" applyFont="1" applyFill="1" applyBorder="1" applyAlignment="1">
      <alignment horizontal="left"/>
    </xf>
    <xf numFmtId="0" fontId="133" fillId="2" borderId="68" xfId="0" applyFont="1" applyFill="1" applyBorder="1" applyAlignment="1">
      <alignment horizontal="left" vertical="center" wrapText="1"/>
    </xf>
    <xf numFmtId="0" fontId="133" fillId="2" borderId="37" xfId="0" applyFont="1" applyFill="1" applyBorder="1" applyAlignment="1">
      <alignment horizontal="left" vertical="center" wrapText="1"/>
    </xf>
    <xf numFmtId="0" fontId="133" fillId="2" borderId="49" xfId="0" applyFont="1" applyFill="1" applyBorder="1" applyAlignment="1">
      <alignment horizontal="left" vertical="center" wrapText="1"/>
    </xf>
    <xf numFmtId="0" fontId="6" fillId="0" borderId="13" xfId="0" applyFont="1" applyBorder="1" applyAlignment="1">
      <alignment horizontal="left" vertical="center"/>
    </xf>
    <xf numFmtId="0" fontId="133" fillId="2" borderId="72" xfId="0" applyFont="1" applyFill="1" applyBorder="1" applyAlignment="1">
      <alignment horizontal="left" vertical="center" wrapText="1"/>
    </xf>
    <xf numFmtId="0" fontId="133" fillId="2" borderId="35" xfId="0" applyFont="1" applyFill="1" applyBorder="1" applyAlignment="1">
      <alignment horizontal="left" vertical="center" wrapText="1"/>
    </xf>
    <xf numFmtId="0" fontId="133" fillId="2" borderId="73" xfId="0" applyFont="1" applyFill="1" applyBorder="1" applyAlignment="1">
      <alignment horizontal="left" vertical="center" wrapText="1"/>
    </xf>
    <xf numFmtId="0" fontId="20" fillId="2" borderId="29" xfId="0" applyFont="1" applyFill="1" applyBorder="1" applyAlignment="1">
      <alignment horizontal="left"/>
    </xf>
    <xf numFmtId="0" fontId="20" fillId="2" borderId="37" xfId="0" applyFont="1" applyFill="1" applyBorder="1" applyAlignment="1">
      <alignment horizontal="left"/>
    </xf>
    <xf numFmtId="0" fontId="20" fillId="2" borderId="49" xfId="0" applyFont="1" applyFill="1" applyBorder="1" applyAlignment="1">
      <alignment horizontal="left"/>
    </xf>
    <xf numFmtId="0" fontId="6" fillId="9" borderId="64" xfId="0" applyFont="1" applyFill="1" applyBorder="1" applyAlignment="1">
      <alignment horizontal="center" vertical="center" wrapText="1"/>
    </xf>
    <xf numFmtId="0" fontId="6" fillId="9" borderId="35" xfId="0" applyFont="1" applyFill="1" applyBorder="1" applyAlignment="1">
      <alignment horizontal="center" vertical="center" wrapText="1"/>
    </xf>
    <xf numFmtId="0" fontId="6" fillId="9" borderId="25" xfId="0" applyFont="1" applyFill="1" applyBorder="1" applyAlignment="1">
      <alignment horizontal="center" vertical="center" wrapText="1"/>
    </xf>
    <xf numFmtId="165" fontId="52" fillId="8" borderId="25" xfId="0" applyNumberFormat="1" applyFont="1" applyFill="1" applyBorder="1" applyAlignment="1">
      <alignment horizontal="center" vertical="center"/>
    </xf>
    <xf numFmtId="0" fontId="133" fillId="8" borderId="69" xfId="0" applyFont="1" applyFill="1" applyBorder="1" applyAlignment="1">
      <alignment horizontal="left" vertical="center" wrapText="1"/>
    </xf>
    <xf numFmtId="0" fontId="133" fillId="8" borderId="38" xfId="0" applyFont="1" applyFill="1" applyBorder="1" applyAlignment="1">
      <alignment horizontal="left" vertical="center" wrapText="1"/>
    </xf>
    <xf numFmtId="0" fontId="133" fillId="8" borderId="50" xfId="0" applyFont="1" applyFill="1" applyBorder="1" applyAlignment="1">
      <alignment horizontal="left" vertical="center" wrapText="1"/>
    </xf>
    <xf numFmtId="0" fontId="133" fillId="2" borderId="45" xfId="0" applyFont="1" applyFill="1" applyBorder="1" applyAlignment="1">
      <alignment horizontal="left" vertical="center" wrapText="1"/>
    </xf>
    <xf numFmtId="0" fontId="133" fillId="2" borderId="39" xfId="0" applyFont="1" applyFill="1" applyBorder="1" applyAlignment="1">
      <alignment horizontal="left" vertical="center" wrapText="1"/>
    </xf>
    <xf numFmtId="0" fontId="133" fillId="2" borderId="6" xfId="0" applyFont="1" applyFill="1" applyBorder="1" applyAlignment="1">
      <alignment horizontal="left" vertical="center" wrapText="1"/>
    </xf>
    <xf numFmtId="0" fontId="26" fillId="8" borderId="64" xfId="0" applyFont="1" applyFill="1" applyBorder="1" applyAlignment="1">
      <alignment vertical="center" wrapText="1"/>
    </xf>
    <xf numFmtId="0" fontId="0" fillId="0" borderId="57" xfId="0" applyBorder="1" applyAlignment="1">
      <alignment vertical="center" wrapText="1"/>
    </xf>
    <xf numFmtId="0" fontId="26" fillId="8" borderId="63" xfId="0" applyFont="1" applyFill="1" applyBorder="1" applyAlignment="1">
      <alignment vertical="center" wrapText="1"/>
    </xf>
    <xf numFmtId="0" fontId="26" fillId="8" borderId="33" xfId="0" applyFont="1" applyFill="1" applyBorder="1" applyAlignment="1">
      <alignment vertical="center" wrapText="1"/>
    </xf>
    <xf numFmtId="0" fontId="26" fillId="2" borderId="17" xfId="0" applyFont="1" applyFill="1" applyBorder="1" applyAlignment="1">
      <alignment vertical="center" wrapText="1"/>
    </xf>
    <xf numFmtId="0" fontId="133" fillId="2" borderId="13" xfId="0" applyFont="1" applyFill="1" applyBorder="1" applyAlignment="1">
      <alignment horizontal="left" vertical="center" wrapText="1"/>
    </xf>
    <xf numFmtId="0" fontId="133" fillId="2" borderId="12" xfId="0" applyFont="1" applyFill="1" applyBorder="1" applyAlignment="1">
      <alignment horizontal="left" vertical="center" wrapText="1"/>
    </xf>
    <xf numFmtId="0" fontId="133" fillId="2" borderId="8" xfId="0" applyFont="1" applyFill="1" applyBorder="1" applyAlignment="1">
      <alignment horizontal="left" vertical="center" wrapText="1"/>
    </xf>
    <xf numFmtId="0" fontId="133" fillId="2" borderId="29" xfId="0" applyFont="1" applyFill="1" applyBorder="1" applyAlignment="1">
      <alignment horizontal="left" vertical="center" wrapText="1"/>
    </xf>
    <xf numFmtId="0" fontId="133" fillId="8" borderId="1" xfId="0" applyFont="1" applyFill="1" applyBorder="1" applyAlignment="1">
      <alignment horizontal="center" vertical="center" wrapText="1"/>
    </xf>
    <xf numFmtId="0" fontId="26" fillId="8" borderId="1" xfId="0" applyFont="1" applyFill="1" applyBorder="1" applyAlignment="1">
      <alignment horizontal="center" vertical="center" wrapText="1"/>
    </xf>
    <xf numFmtId="165" fontId="52" fillId="8" borderId="1" xfId="0" applyNumberFormat="1" applyFont="1" applyFill="1" applyBorder="1" applyAlignment="1">
      <alignment horizontal="center" vertical="center"/>
    </xf>
    <xf numFmtId="0" fontId="2" fillId="8" borderId="1" xfId="0" applyFont="1" applyFill="1" applyBorder="1" applyAlignment="1">
      <alignment horizontal="center" vertical="center" wrapText="1"/>
    </xf>
    <xf numFmtId="0" fontId="12" fillId="8" borderId="1" xfId="2" applyFill="1" applyBorder="1" applyAlignment="1" applyProtection="1">
      <alignment horizontal="center" vertical="center" wrapText="1"/>
    </xf>
    <xf numFmtId="0" fontId="78" fillId="8" borderId="0" xfId="0" applyFont="1" applyFill="1" applyAlignment="1">
      <alignment horizontal="center" vertical="center" wrapText="1"/>
    </xf>
    <xf numFmtId="0" fontId="0" fillId="8" borderId="0" xfId="0" applyFill="1" applyAlignment="1">
      <alignment horizontal="center"/>
    </xf>
    <xf numFmtId="0" fontId="20" fillId="8" borderId="1" xfId="0" applyFont="1" applyFill="1" applyBorder="1" applyAlignment="1">
      <alignment horizontal="left" vertical="center"/>
    </xf>
    <xf numFmtId="2" fontId="3" fillId="8" borderId="1" xfId="0" applyNumberFormat="1" applyFont="1" applyFill="1" applyBorder="1" applyAlignment="1">
      <alignment horizontal="center"/>
    </xf>
    <xf numFmtId="0" fontId="6" fillId="8" borderId="1" xfId="0" applyFont="1" applyFill="1" applyBorder="1" applyAlignment="1">
      <alignment horizontal="center" vertical="center"/>
    </xf>
    <xf numFmtId="0" fontId="6" fillId="7" borderId="1" xfId="0" applyFont="1" applyFill="1" applyBorder="1" applyAlignment="1">
      <alignment horizontal="center" vertical="center" wrapText="1"/>
    </xf>
    <xf numFmtId="0" fontId="3" fillId="8" borderId="1" xfId="0" applyFont="1" applyFill="1" applyBorder="1" applyAlignment="1">
      <alignment horizontal="center" vertical="center" wrapText="1"/>
    </xf>
    <xf numFmtId="0" fontId="3" fillId="7" borderId="1" xfId="0" applyFont="1" applyFill="1" applyBorder="1" applyAlignment="1">
      <alignment horizontal="center" vertical="center"/>
    </xf>
    <xf numFmtId="0" fontId="133" fillId="8" borderId="68" xfId="0" applyFont="1" applyFill="1" applyBorder="1" applyAlignment="1">
      <alignment horizontal="center" vertical="center" wrapText="1"/>
    </xf>
    <xf numFmtId="0" fontId="133" fillId="8" borderId="37" xfId="0" applyFont="1" applyFill="1" applyBorder="1" applyAlignment="1">
      <alignment horizontal="center" vertical="center" wrapText="1"/>
    </xf>
    <xf numFmtId="0" fontId="133" fillId="8" borderId="49" xfId="0" applyFont="1" applyFill="1" applyBorder="1" applyAlignment="1">
      <alignment horizontal="center" vertical="center" wrapText="1"/>
    </xf>
    <xf numFmtId="0" fontId="12" fillId="8" borderId="68" xfId="2" applyFill="1" applyBorder="1" applyAlignment="1" applyProtection="1">
      <alignment horizontal="center" vertical="center" wrapText="1"/>
    </xf>
    <xf numFmtId="0" fontId="12" fillId="8" borderId="37" xfId="2" applyFill="1" applyBorder="1" applyAlignment="1" applyProtection="1">
      <alignment horizontal="center" vertical="center" wrapText="1"/>
    </xf>
    <xf numFmtId="0" fontId="12" fillId="8" borderId="49" xfId="2" applyFill="1" applyBorder="1" applyAlignment="1" applyProtection="1">
      <alignment horizontal="center" vertical="center" wrapText="1"/>
    </xf>
    <xf numFmtId="165" fontId="52" fillId="8" borderId="62" xfId="0" applyNumberFormat="1" applyFont="1" applyFill="1" applyBorder="1" applyAlignment="1">
      <alignment horizontal="center" vertical="center"/>
    </xf>
    <xf numFmtId="165" fontId="52" fillId="8" borderId="56" xfId="0" applyNumberFormat="1" applyFont="1" applyFill="1" applyBorder="1" applyAlignment="1">
      <alignment horizontal="center" vertical="center"/>
    </xf>
    <xf numFmtId="165" fontId="52" fillId="8" borderId="61" xfId="0" applyNumberFormat="1" applyFont="1" applyFill="1" applyBorder="1" applyAlignment="1">
      <alignment horizontal="center" vertical="center"/>
    </xf>
    <xf numFmtId="165" fontId="52" fillId="8" borderId="3" xfId="0" applyNumberFormat="1" applyFont="1" applyFill="1" applyBorder="1" applyAlignment="1">
      <alignment horizontal="center" vertical="center"/>
    </xf>
    <xf numFmtId="0" fontId="2" fillId="8" borderId="68" xfId="0" applyFont="1" applyFill="1" applyBorder="1" applyAlignment="1">
      <alignment horizontal="center" vertical="center" wrapText="1"/>
    </xf>
    <xf numFmtId="0" fontId="4" fillId="7" borderId="1" xfId="0" applyFont="1" applyFill="1" applyBorder="1" applyAlignment="1">
      <alignment horizontal="center" vertical="center" wrapText="1"/>
    </xf>
    <xf numFmtId="0" fontId="117" fillId="8" borderId="68" xfId="2" applyFont="1" applyFill="1" applyBorder="1" applyAlignment="1" applyProtection="1">
      <alignment horizontal="center" vertical="center" wrapText="1"/>
    </xf>
    <xf numFmtId="0" fontId="117" fillId="8" borderId="37" xfId="2" applyFont="1" applyFill="1" applyBorder="1" applyAlignment="1" applyProtection="1">
      <alignment horizontal="center" vertical="center" wrapText="1"/>
    </xf>
    <xf numFmtId="0" fontId="117" fillId="8" borderId="49" xfId="2" applyFont="1" applyFill="1" applyBorder="1" applyAlignment="1" applyProtection="1">
      <alignment horizontal="center" vertical="center" wrapText="1"/>
    </xf>
    <xf numFmtId="1" fontId="78" fillId="8" borderId="65" xfId="0" applyNumberFormat="1" applyFont="1" applyFill="1" applyBorder="1" applyAlignment="1">
      <alignment horizontal="center" wrapText="1"/>
    </xf>
    <xf numFmtId="0" fontId="3" fillId="7" borderId="1" xfId="0" applyFont="1" applyFill="1" applyBorder="1" applyAlignment="1">
      <alignment horizontal="center" vertical="center" wrapText="1"/>
    </xf>
    <xf numFmtId="165" fontId="52" fillId="8" borderId="68" xfId="0" applyNumberFormat="1" applyFont="1" applyFill="1" applyBorder="1" applyAlignment="1">
      <alignment horizontal="center" vertical="center"/>
    </xf>
    <xf numFmtId="165" fontId="52" fillId="8" borderId="49" xfId="0" applyNumberFormat="1" applyFont="1" applyFill="1" applyBorder="1" applyAlignment="1">
      <alignment horizontal="center" vertical="center"/>
    </xf>
    <xf numFmtId="2" fontId="52" fillId="8" borderId="68" xfId="0" applyNumberFormat="1" applyFont="1" applyFill="1" applyBorder="1" applyAlignment="1">
      <alignment horizontal="center" vertical="center"/>
    </xf>
    <xf numFmtId="2" fontId="52" fillId="8" borderId="49" xfId="0" applyNumberFormat="1" applyFont="1" applyFill="1" applyBorder="1" applyAlignment="1">
      <alignment horizontal="center" vertical="center"/>
    </xf>
    <xf numFmtId="0" fontId="26" fillId="8" borderId="62" xfId="0" applyFont="1" applyFill="1" applyBorder="1" applyAlignment="1">
      <alignment horizontal="center" vertical="center" wrapText="1"/>
    </xf>
    <xf numFmtId="0" fontId="26" fillId="8" borderId="80" xfId="0" applyFont="1" applyFill="1" applyBorder="1" applyAlignment="1">
      <alignment horizontal="center" vertical="center" wrapText="1"/>
    </xf>
    <xf numFmtId="0" fontId="26" fillId="8" borderId="56" xfId="0" applyFont="1" applyFill="1" applyBorder="1" applyAlignment="1">
      <alignment horizontal="center" vertical="center" wrapText="1"/>
    </xf>
    <xf numFmtId="0" fontId="26" fillId="8" borderId="61" xfId="0" applyFont="1" applyFill="1" applyBorder="1" applyAlignment="1">
      <alignment horizontal="center" vertical="center" wrapText="1"/>
    </xf>
    <xf numFmtId="0" fontId="26" fillId="8" borderId="65" xfId="0" applyFont="1" applyFill="1" applyBorder="1" applyAlignment="1">
      <alignment horizontal="center" vertical="center" wrapText="1"/>
    </xf>
    <xf numFmtId="0" fontId="26" fillId="8" borderId="3" xfId="0" applyFont="1" applyFill="1" applyBorder="1" applyAlignment="1">
      <alignment horizontal="center" vertical="center" wrapText="1"/>
    </xf>
    <xf numFmtId="0" fontId="133" fillId="8" borderId="62" xfId="0" applyFont="1" applyFill="1" applyBorder="1" applyAlignment="1">
      <alignment horizontal="center" vertical="center" wrapText="1"/>
    </xf>
    <xf numFmtId="0" fontId="133" fillId="8" borderId="80" xfId="0" applyFont="1" applyFill="1" applyBorder="1" applyAlignment="1">
      <alignment horizontal="center" vertical="center" wrapText="1"/>
    </xf>
    <xf numFmtId="0" fontId="133" fillId="8" borderId="56" xfId="0" applyFont="1" applyFill="1" applyBorder="1" applyAlignment="1">
      <alignment horizontal="center" vertical="center" wrapText="1"/>
    </xf>
    <xf numFmtId="0" fontId="133" fillId="8" borderId="61" xfId="0" applyFont="1" applyFill="1" applyBorder="1" applyAlignment="1">
      <alignment horizontal="center" vertical="center" wrapText="1"/>
    </xf>
    <xf numFmtId="0" fontId="133" fillId="8" borderId="65" xfId="0" applyFont="1" applyFill="1" applyBorder="1" applyAlignment="1">
      <alignment horizontal="center" vertical="center" wrapText="1"/>
    </xf>
    <xf numFmtId="0" fontId="133" fillId="8" borderId="3" xfId="0" applyFont="1" applyFill="1" applyBorder="1" applyAlignment="1">
      <alignment horizontal="center" vertical="center" wrapText="1"/>
    </xf>
    <xf numFmtId="1" fontId="54" fillId="8" borderId="0" xfId="0" applyNumberFormat="1" applyFont="1" applyFill="1" applyAlignment="1">
      <alignment horizontal="center" vertical="center" wrapText="1"/>
    </xf>
    <xf numFmtId="1" fontId="12" fillId="8" borderId="0" xfId="2" applyNumberFormat="1" applyFill="1" applyBorder="1" applyAlignment="1" applyProtection="1">
      <alignment horizontal="center" vertical="center" wrapText="1"/>
    </xf>
    <xf numFmtId="0" fontId="88" fillId="8" borderId="0" xfId="0" applyFont="1" applyFill="1" applyAlignment="1">
      <alignment horizontal="center" wrapText="1"/>
    </xf>
    <xf numFmtId="0" fontId="26" fillId="8" borderId="43" xfId="0" applyFont="1" applyFill="1" applyBorder="1" applyAlignment="1">
      <alignment horizontal="center" vertical="center" wrapText="1"/>
    </xf>
    <xf numFmtId="0" fontId="6" fillId="9" borderId="31" xfId="0" applyFont="1" applyFill="1" applyBorder="1" applyAlignment="1">
      <alignment horizontal="center" vertical="center" wrapText="1"/>
    </xf>
    <xf numFmtId="0" fontId="2" fillId="8" borderId="59" xfId="0" applyFont="1" applyFill="1" applyBorder="1" applyAlignment="1">
      <alignment horizontal="center" vertical="center" wrapText="1"/>
    </xf>
    <xf numFmtId="0" fontId="2" fillId="8" borderId="0" xfId="0" applyFont="1" applyFill="1" applyAlignment="1">
      <alignment horizontal="center" vertical="center" wrapText="1"/>
    </xf>
    <xf numFmtId="0" fontId="2" fillId="8" borderId="60" xfId="0" applyFont="1" applyFill="1" applyBorder="1" applyAlignment="1">
      <alignment horizontal="center" vertical="center" wrapText="1"/>
    </xf>
    <xf numFmtId="0" fontId="2" fillId="8" borderId="61" xfId="0" applyFont="1" applyFill="1" applyBorder="1" applyAlignment="1">
      <alignment horizontal="center" vertical="center" wrapText="1"/>
    </xf>
    <xf numFmtId="0" fontId="2" fillId="8" borderId="65" xfId="0" applyFont="1" applyFill="1" applyBorder="1" applyAlignment="1">
      <alignment horizontal="center" vertical="center" wrapText="1"/>
    </xf>
    <xf numFmtId="0" fontId="2" fillId="8" borderId="3" xfId="0" applyFont="1" applyFill="1" applyBorder="1" applyAlignment="1">
      <alignment horizontal="center" vertical="center" wrapText="1"/>
    </xf>
    <xf numFmtId="2" fontId="3" fillId="8" borderId="1" xfId="0" applyNumberFormat="1" applyFont="1" applyFill="1" applyBorder="1" applyAlignment="1">
      <alignment horizontal="center" vertical="center" wrapText="1"/>
    </xf>
    <xf numFmtId="0" fontId="25" fillId="8" borderId="80" xfId="0" applyFont="1" applyFill="1" applyBorder="1" applyAlignment="1">
      <alignment horizontal="center" wrapText="1"/>
    </xf>
    <xf numFmtId="0" fontId="59" fillId="7" borderId="1" xfId="0" applyFont="1" applyFill="1" applyBorder="1" applyAlignment="1">
      <alignment horizontal="center" vertical="center" wrapText="1"/>
    </xf>
    <xf numFmtId="0" fontId="0" fillId="7" borderId="1" xfId="0" applyFill="1" applyBorder="1" applyAlignment="1">
      <alignment horizontal="center" vertical="center" textRotation="90"/>
    </xf>
    <xf numFmtId="0" fontId="61" fillId="7" borderId="1" xfId="0" applyFont="1" applyFill="1" applyBorder="1" applyAlignment="1">
      <alignment horizontal="center" wrapText="1"/>
    </xf>
    <xf numFmtId="0" fontId="130" fillId="7" borderId="1" xfId="0" applyFont="1" applyFill="1" applyBorder="1" applyAlignment="1">
      <alignment horizontal="center"/>
    </xf>
    <xf numFmtId="0" fontId="20" fillId="2" borderId="80" xfId="0" applyFont="1" applyFill="1" applyBorder="1" applyAlignment="1">
      <alignment horizontal="left" vertical="center" wrapText="1"/>
    </xf>
    <xf numFmtId="1" fontId="105" fillId="8" borderId="0" xfId="0" applyNumberFormat="1" applyFont="1" applyFill="1" applyAlignment="1">
      <alignment horizontal="center" wrapText="1"/>
    </xf>
    <xf numFmtId="165" fontId="78" fillId="8" borderId="65" xfId="0" applyNumberFormat="1" applyFont="1" applyFill="1" applyBorder="1" applyAlignment="1">
      <alignment horizontal="center" vertical="center"/>
    </xf>
    <xf numFmtId="0" fontId="20" fillId="8" borderId="0" xfId="0" applyFont="1" applyFill="1" applyAlignment="1">
      <alignment horizontal="left" vertical="center" wrapText="1"/>
    </xf>
    <xf numFmtId="165" fontId="52" fillId="8" borderId="43" xfId="0" applyNumberFormat="1" applyFont="1" applyFill="1" applyBorder="1" applyAlignment="1">
      <alignment horizontal="center" vertical="center"/>
    </xf>
    <xf numFmtId="0" fontId="2" fillId="8" borderId="62" xfId="0" applyFont="1" applyFill="1" applyBorder="1" applyAlignment="1">
      <alignment horizontal="center" vertical="center" wrapText="1"/>
    </xf>
    <xf numFmtId="0" fontId="2" fillId="8" borderId="80" xfId="0" applyFont="1" applyFill="1" applyBorder="1" applyAlignment="1">
      <alignment horizontal="center" vertical="center" wrapText="1"/>
    </xf>
    <xf numFmtId="0" fontId="2" fillId="8" borderId="56" xfId="0" applyFont="1" applyFill="1" applyBorder="1" applyAlignment="1">
      <alignment horizontal="center" vertical="center" wrapText="1"/>
    </xf>
    <xf numFmtId="165" fontId="6" fillId="8" borderId="1" xfId="0" applyNumberFormat="1" applyFont="1" applyFill="1" applyBorder="1" applyAlignment="1">
      <alignment horizontal="center" vertical="center" wrapText="1"/>
    </xf>
    <xf numFmtId="2" fontId="6" fillId="8" borderId="1" xfId="0" applyNumberFormat="1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left" vertical="center" wrapText="1"/>
    </xf>
    <xf numFmtId="165" fontId="132" fillId="8" borderId="68" xfId="0" applyNumberFormat="1" applyFont="1" applyFill="1" applyBorder="1" applyAlignment="1">
      <alignment horizontal="center" vertical="center"/>
    </xf>
    <xf numFmtId="165" fontId="132" fillId="8" borderId="49" xfId="0" applyNumberFormat="1" applyFont="1" applyFill="1" applyBorder="1" applyAlignment="1">
      <alignment horizontal="center" vertical="center"/>
    </xf>
    <xf numFmtId="2" fontId="52" fillId="8" borderId="1" xfId="0" applyNumberFormat="1" applyFont="1" applyFill="1" applyBorder="1" applyAlignment="1">
      <alignment horizontal="center" vertical="center"/>
    </xf>
    <xf numFmtId="2" fontId="52" fillId="8" borderId="10" xfId="0" applyNumberFormat="1" applyFont="1" applyFill="1" applyBorder="1" applyAlignment="1">
      <alignment horizontal="center" vertical="center"/>
    </xf>
    <xf numFmtId="2" fontId="52" fillId="8" borderId="12" xfId="0" applyNumberFormat="1" applyFont="1" applyFill="1" applyBorder="1" applyAlignment="1">
      <alignment horizontal="center" vertical="center"/>
    </xf>
    <xf numFmtId="2" fontId="52" fillId="8" borderId="11" xfId="0" applyNumberFormat="1" applyFont="1" applyFill="1" applyBorder="1" applyAlignment="1">
      <alignment horizontal="center" vertical="center"/>
    </xf>
    <xf numFmtId="0" fontId="20" fillId="7" borderId="46" xfId="0" applyFont="1" applyFill="1" applyBorder="1" applyAlignment="1">
      <alignment horizontal="center" vertical="center" wrapText="1"/>
    </xf>
    <xf numFmtId="0" fontId="20" fillId="7" borderId="34" xfId="0" applyFont="1" applyFill="1" applyBorder="1" applyAlignment="1">
      <alignment horizontal="center" vertical="center" wrapText="1"/>
    </xf>
    <xf numFmtId="2" fontId="52" fillId="8" borderId="43" xfId="0" applyNumberFormat="1" applyFont="1" applyFill="1" applyBorder="1" applyAlignment="1">
      <alignment horizontal="center" vertical="center"/>
    </xf>
    <xf numFmtId="2" fontId="52" fillId="8" borderId="48" xfId="0" applyNumberFormat="1" applyFont="1" applyFill="1" applyBorder="1" applyAlignment="1">
      <alignment horizontal="center" vertical="center"/>
    </xf>
    <xf numFmtId="0" fontId="4" fillId="7" borderId="32" xfId="0" applyFont="1" applyFill="1" applyBorder="1" applyAlignment="1">
      <alignment horizontal="center" vertical="center" wrapText="1"/>
    </xf>
    <xf numFmtId="0" fontId="133" fillId="2" borderId="7" xfId="0" applyFont="1" applyFill="1" applyBorder="1" applyAlignment="1">
      <alignment horizontal="left" vertical="center" wrapText="1"/>
    </xf>
    <xf numFmtId="0" fontId="92" fillId="2" borderId="19" xfId="0" applyFont="1" applyFill="1" applyBorder="1" applyAlignment="1">
      <alignment horizontal="center" vertical="center" wrapText="1"/>
    </xf>
    <xf numFmtId="0" fontId="93" fillId="0" borderId="20" xfId="0" applyFont="1" applyBorder="1"/>
    <xf numFmtId="0" fontId="93" fillId="0" borderId="21" xfId="0" applyFont="1" applyBorder="1"/>
    <xf numFmtId="0" fontId="95" fillId="2" borderId="23" xfId="0" applyFont="1" applyFill="1" applyBorder="1" applyAlignment="1">
      <alignment horizontal="center" vertical="center" wrapText="1"/>
    </xf>
    <xf numFmtId="0" fontId="95" fillId="0" borderId="77" xfId="0" applyFont="1" applyBorder="1" applyAlignment="1">
      <alignment wrapText="1"/>
    </xf>
    <xf numFmtId="0" fontId="95" fillId="0" borderId="78" xfId="0" applyFont="1" applyBorder="1" applyAlignment="1">
      <alignment wrapText="1"/>
    </xf>
    <xf numFmtId="1" fontId="91" fillId="2" borderId="0" xfId="0" applyNumberFormat="1" applyFont="1" applyFill="1" applyAlignment="1">
      <alignment horizontal="center"/>
    </xf>
    <xf numFmtId="1" fontId="20" fillId="2" borderId="0" xfId="0" applyNumberFormat="1" applyFont="1" applyFill="1" applyAlignment="1">
      <alignment horizontal="center"/>
    </xf>
    <xf numFmtId="0" fontId="6" fillId="7" borderId="66" xfId="0" applyFont="1" applyFill="1" applyBorder="1" applyAlignment="1">
      <alignment horizontal="center"/>
    </xf>
    <xf numFmtId="0" fontId="6" fillId="7" borderId="76" xfId="0" applyFont="1" applyFill="1" applyBorder="1" applyAlignment="1">
      <alignment horizontal="center"/>
    </xf>
    <xf numFmtId="0" fontId="6" fillId="7" borderId="75" xfId="0" applyFont="1" applyFill="1" applyBorder="1" applyAlignment="1">
      <alignment horizontal="center"/>
    </xf>
    <xf numFmtId="165" fontId="6" fillId="9" borderId="66" xfId="0" applyNumberFormat="1" applyFont="1" applyFill="1" applyBorder="1" applyAlignment="1">
      <alignment horizontal="center" vertical="center" wrapText="1"/>
    </xf>
    <xf numFmtId="165" fontId="6" fillId="9" borderId="76" xfId="0" applyNumberFormat="1" applyFont="1" applyFill="1" applyBorder="1" applyAlignment="1">
      <alignment horizontal="center" vertical="center" wrapText="1"/>
    </xf>
    <xf numFmtId="165" fontId="6" fillId="9" borderId="75" xfId="0" applyNumberFormat="1" applyFont="1" applyFill="1" applyBorder="1" applyAlignment="1">
      <alignment horizontal="center" vertical="center" wrapText="1"/>
    </xf>
    <xf numFmtId="0" fontId="20" fillId="7" borderId="63" xfId="0" applyFont="1" applyFill="1" applyBorder="1" applyAlignment="1">
      <alignment horizontal="center" vertical="center" wrapText="1"/>
    </xf>
    <xf numFmtId="0" fontId="20" fillId="7" borderId="80" xfId="0" applyFont="1" applyFill="1" applyBorder="1" applyAlignment="1">
      <alignment horizontal="center" vertical="center" wrapText="1"/>
    </xf>
    <xf numFmtId="0" fontId="20" fillId="7" borderId="71" xfId="0" applyFont="1" applyFill="1" applyBorder="1" applyAlignment="1">
      <alignment horizontal="center" vertical="center" wrapText="1"/>
    </xf>
    <xf numFmtId="0" fontId="90" fillId="7" borderId="45" xfId="0" applyFont="1" applyFill="1" applyBorder="1" applyAlignment="1">
      <alignment horizontal="center" vertical="center" wrapText="1"/>
    </xf>
    <xf numFmtId="0" fontId="90" fillId="7" borderId="39" xfId="0" applyFont="1" applyFill="1" applyBorder="1" applyAlignment="1">
      <alignment horizontal="center" vertical="center" wrapText="1"/>
    </xf>
    <xf numFmtId="0" fontId="90" fillId="7" borderId="15" xfId="0" applyFont="1" applyFill="1" applyBorder="1" applyAlignment="1">
      <alignment horizontal="center" vertical="center" wrapText="1"/>
    </xf>
    <xf numFmtId="165" fontId="6" fillId="9" borderId="12" xfId="0" applyNumberFormat="1" applyFont="1" applyFill="1" applyBorder="1" applyAlignment="1">
      <alignment horizontal="center" vertical="center" wrapText="1"/>
    </xf>
    <xf numFmtId="165" fontId="6" fillId="9" borderId="11" xfId="0" applyNumberFormat="1" applyFont="1" applyFill="1" applyBorder="1" applyAlignment="1">
      <alignment horizontal="center" vertical="center" wrapText="1"/>
    </xf>
    <xf numFmtId="0" fontId="20" fillId="7" borderId="30" xfId="0" applyFont="1" applyFill="1" applyBorder="1" applyAlignment="1">
      <alignment horizontal="center" vertical="center" wrapText="1"/>
    </xf>
    <xf numFmtId="0" fontId="20" fillId="7" borderId="38" xfId="0" applyFont="1" applyFill="1" applyBorder="1" applyAlignment="1">
      <alignment horizontal="center" vertical="center" wrapText="1"/>
    </xf>
    <xf numFmtId="0" fontId="20" fillId="7" borderId="42" xfId="0" applyFont="1" applyFill="1" applyBorder="1" applyAlignment="1">
      <alignment horizontal="center" vertical="center" wrapText="1"/>
    </xf>
    <xf numFmtId="0" fontId="6" fillId="7" borderId="23" xfId="0" applyFont="1" applyFill="1" applyBorder="1" applyAlignment="1">
      <alignment horizontal="center" vertical="center" wrapText="1"/>
    </xf>
    <xf numFmtId="0" fontId="6" fillId="7" borderId="77" xfId="0" applyFont="1" applyFill="1" applyBorder="1" applyAlignment="1">
      <alignment horizontal="center" vertical="center" wrapText="1"/>
    </xf>
    <xf numFmtId="0" fontId="6" fillId="7" borderId="78" xfId="0" applyFont="1" applyFill="1" applyBorder="1" applyAlignment="1">
      <alignment horizontal="center" vertical="center" wrapText="1"/>
    </xf>
    <xf numFmtId="165" fontId="6" fillId="9" borderId="67" xfId="0" applyNumberFormat="1" applyFont="1" applyFill="1" applyBorder="1" applyAlignment="1">
      <alignment horizontal="center" vertical="center" wrapText="1"/>
    </xf>
    <xf numFmtId="165" fontId="6" fillId="9" borderId="39" xfId="0" applyNumberFormat="1" applyFont="1" applyFill="1" applyBorder="1" applyAlignment="1">
      <alignment horizontal="center" vertical="center" wrapText="1"/>
    </xf>
    <xf numFmtId="165" fontId="6" fillId="9" borderId="15" xfId="0" applyNumberFormat="1" applyFont="1" applyFill="1" applyBorder="1" applyAlignment="1">
      <alignment horizontal="center" vertical="center" wrapText="1"/>
    </xf>
    <xf numFmtId="0" fontId="88" fillId="2" borderId="0" xfId="0" applyFont="1" applyFill="1" applyAlignment="1">
      <alignment horizontal="center" vertical="top" wrapText="1"/>
    </xf>
    <xf numFmtId="0" fontId="6" fillId="7" borderId="66" xfId="0" applyFont="1" applyFill="1" applyBorder="1" applyAlignment="1">
      <alignment horizontal="center" vertical="center" wrapText="1"/>
    </xf>
    <xf numFmtId="0" fontId="6" fillId="7" borderId="76" xfId="0" applyFont="1" applyFill="1" applyBorder="1" applyAlignment="1">
      <alignment horizontal="center" vertical="center" wrapText="1"/>
    </xf>
    <xf numFmtId="0" fontId="6" fillId="7" borderId="75" xfId="0" applyFont="1" applyFill="1" applyBorder="1" applyAlignment="1">
      <alignment horizontal="center" vertical="center" wrapText="1"/>
    </xf>
    <xf numFmtId="0" fontId="11" fillId="7" borderId="23" xfId="0" applyFont="1" applyFill="1" applyBorder="1" applyAlignment="1">
      <alignment horizontal="center" vertical="center" wrapText="1"/>
    </xf>
    <xf numFmtId="0" fontId="11" fillId="7" borderId="77" xfId="0" applyFont="1" applyFill="1" applyBorder="1" applyAlignment="1">
      <alignment horizontal="center" vertical="center" wrapText="1"/>
    </xf>
    <xf numFmtId="0" fontId="6" fillId="7" borderId="73" xfId="0" applyFont="1" applyFill="1" applyBorder="1" applyAlignment="1">
      <alignment horizontal="center" vertical="center" wrapText="1"/>
    </xf>
    <xf numFmtId="0" fontId="6" fillId="7" borderId="27" xfId="0" applyFont="1" applyFill="1" applyBorder="1" applyAlignment="1">
      <alignment horizontal="center" vertical="center" wrapText="1"/>
    </xf>
    <xf numFmtId="0" fontId="6" fillId="7" borderId="24" xfId="0" applyFont="1" applyFill="1" applyBorder="1" applyAlignment="1">
      <alignment horizontal="center" vertical="center" wrapText="1"/>
    </xf>
    <xf numFmtId="0" fontId="11" fillId="7" borderId="57" xfId="0" applyFont="1" applyFill="1" applyBorder="1" applyAlignment="1">
      <alignment horizontal="center" vertical="center" wrapText="1"/>
    </xf>
    <xf numFmtId="0" fontId="11" fillId="7" borderId="81" xfId="0" applyFont="1" applyFill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6" fillId="9" borderId="5" xfId="0" applyFont="1" applyFill="1" applyBorder="1" applyAlignment="1">
      <alignment horizontal="left" vertical="center" wrapText="1"/>
    </xf>
    <xf numFmtId="0" fontId="6" fillId="9" borderId="9" xfId="0" applyFont="1" applyFill="1" applyBorder="1" applyAlignment="1">
      <alignment horizontal="left" vertical="center" wrapText="1"/>
    </xf>
    <xf numFmtId="0" fontId="20" fillId="2" borderId="8" xfId="0" applyFont="1" applyFill="1" applyBorder="1" applyAlignment="1">
      <alignment horizontal="left" vertical="center" wrapText="1"/>
    </xf>
    <xf numFmtId="0" fontId="6" fillId="9" borderId="8" xfId="0" applyFont="1" applyFill="1" applyBorder="1" applyAlignment="1">
      <alignment horizontal="left" vertical="center" wrapText="1"/>
    </xf>
    <xf numFmtId="0" fontId="6" fillId="9" borderId="1" xfId="0" applyFont="1" applyFill="1" applyBorder="1" applyAlignment="1">
      <alignment horizontal="left" vertical="center" wrapText="1"/>
    </xf>
    <xf numFmtId="165" fontId="6" fillId="9" borderId="1" xfId="0" applyNumberFormat="1" applyFont="1" applyFill="1" applyBorder="1" applyAlignment="1">
      <alignment horizontal="center" vertical="center" wrapText="1"/>
    </xf>
    <xf numFmtId="165" fontId="6" fillId="9" borderId="10" xfId="0" applyNumberFormat="1" applyFont="1" applyFill="1" applyBorder="1" applyAlignment="1">
      <alignment horizontal="center" vertical="center" wrapText="1"/>
    </xf>
    <xf numFmtId="0" fontId="6" fillId="9" borderId="13" xfId="0" applyFont="1" applyFill="1" applyBorder="1" applyAlignment="1">
      <alignment horizontal="left" vertical="center" wrapText="1"/>
    </xf>
    <xf numFmtId="0" fontId="6" fillId="9" borderId="12" xfId="0" applyFont="1" applyFill="1" applyBorder="1" applyAlignment="1">
      <alignment horizontal="left" vertical="center" wrapText="1"/>
    </xf>
    <xf numFmtId="0" fontId="6" fillId="7" borderId="64" xfId="0" applyFont="1" applyFill="1" applyBorder="1" applyAlignment="1">
      <alignment horizontal="center" vertical="center" wrapText="1"/>
    </xf>
    <xf numFmtId="0" fontId="6" fillId="7" borderId="35" xfId="0" applyFont="1" applyFill="1" applyBorder="1" applyAlignment="1">
      <alignment horizontal="center" vertical="center" wrapText="1"/>
    </xf>
    <xf numFmtId="0" fontId="6" fillId="7" borderId="25" xfId="0" applyFont="1" applyFill="1" applyBorder="1" applyAlignment="1">
      <alignment horizontal="center" vertical="center" wrapText="1"/>
    </xf>
    <xf numFmtId="0" fontId="6" fillId="7" borderId="57" xfId="0" applyFont="1" applyFill="1" applyBorder="1" applyAlignment="1">
      <alignment horizontal="center" vertical="center" wrapText="1"/>
    </xf>
    <xf numFmtId="0" fontId="6" fillId="7" borderId="0" xfId="0" applyFont="1" applyFill="1" applyAlignment="1">
      <alignment horizontal="center" vertical="center" wrapText="1"/>
    </xf>
    <xf numFmtId="0" fontId="6" fillId="7" borderId="54" xfId="0" applyFont="1" applyFill="1" applyBorder="1" applyAlignment="1">
      <alignment horizontal="center" vertical="center" wrapText="1"/>
    </xf>
    <xf numFmtId="165" fontId="6" fillId="9" borderId="9" xfId="0" applyNumberFormat="1" applyFont="1" applyFill="1" applyBorder="1" applyAlignment="1">
      <alignment horizontal="center" vertical="center" wrapText="1"/>
    </xf>
    <xf numFmtId="165" fontId="6" fillId="9" borderId="14" xfId="0" applyNumberFormat="1" applyFont="1" applyFill="1" applyBorder="1" applyAlignment="1">
      <alignment horizontal="center" vertical="center" wrapText="1"/>
    </xf>
    <xf numFmtId="0" fontId="11" fillId="7" borderId="64" xfId="0" applyFont="1" applyFill="1" applyBorder="1" applyAlignment="1">
      <alignment horizontal="center" vertical="center" wrapText="1"/>
    </xf>
    <xf numFmtId="0" fontId="11" fillId="7" borderId="25" xfId="0" applyFont="1" applyFill="1" applyBorder="1" applyAlignment="1">
      <alignment horizontal="center" vertical="center" wrapText="1"/>
    </xf>
    <xf numFmtId="0" fontId="11" fillId="7" borderId="54" xfId="0" applyFont="1" applyFill="1" applyBorder="1" applyAlignment="1">
      <alignment horizontal="center" vertical="center" wrapText="1"/>
    </xf>
    <xf numFmtId="0" fontId="20" fillId="2" borderId="13" xfId="0" applyFont="1" applyFill="1" applyBorder="1" applyAlignment="1">
      <alignment horizontal="left" vertical="center" wrapText="1"/>
    </xf>
    <xf numFmtId="0" fontId="20" fillId="2" borderId="12" xfId="0" applyFont="1" applyFill="1" applyBorder="1" applyAlignment="1">
      <alignment horizontal="left" vertical="center" wrapText="1"/>
    </xf>
    <xf numFmtId="165" fontId="6" fillId="8" borderId="9" xfId="0" applyNumberFormat="1" applyFont="1" applyFill="1" applyBorder="1" applyAlignment="1">
      <alignment horizontal="center" vertical="center" wrapText="1"/>
    </xf>
    <xf numFmtId="2" fontId="6" fillId="8" borderId="12" xfId="0" applyNumberFormat="1" applyFont="1" applyFill="1" applyBorder="1" applyAlignment="1">
      <alignment horizontal="center" vertical="center" wrapText="1"/>
    </xf>
    <xf numFmtId="0" fontId="20" fillId="2" borderId="5" xfId="0" applyFont="1" applyFill="1" applyBorder="1" applyAlignment="1">
      <alignment horizontal="left" vertical="center"/>
    </xf>
    <xf numFmtId="0" fontId="20" fillId="2" borderId="9" xfId="0" applyFont="1" applyFill="1" applyBorder="1" applyAlignment="1">
      <alignment horizontal="left" vertical="center"/>
    </xf>
    <xf numFmtId="0" fontId="2" fillId="2" borderId="65" xfId="0" applyFont="1" applyFill="1" applyBorder="1" applyAlignment="1">
      <alignment horizontal="left" vertical="center" wrapText="1"/>
    </xf>
    <xf numFmtId="0" fontId="2" fillId="2" borderId="3" xfId="0" applyFont="1" applyFill="1" applyBorder="1" applyAlignment="1">
      <alignment horizontal="left" vertical="center" wrapText="1"/>
    </xf>
    <xf numFmtId="0" fontId="26" fillId="2" borderId="5" xfId="0" applyFont="1" applyFill="1" applyBorder="1" applyAlignment="1">
      <alignment horizontal="left" vertical="center" wrapText="1"/>
    </xf>
    <xf numFmtId="0" fontId="26" fillId="8" borderId="8" xfId="0" applyFont="1" applyFill="1" applyBorder="1" applyAlignment="1">
      <alignment horizontal="left" vertical="center" wrapText="1"/>
    </xf>
    <xf numFmtId="0" fontId="2" fillId="2" borderId="27" xfId="0" applyFont="1" applyFill="1" applyBorder="1" applyAlignment="1">
      <alignment horizontal="left" vertical="center" wrapText="1"/>
    </xf>
    <xf numFmtId="165" fontId="52" fillId="8" borderId="14" xfId="0" applyNumberFormat="1" applyFont="1" applyFill="1" applyBorder="1" applyAlignment="1">
      <alignment horizontal="center" vertical="center"/>
    </xf>
    <xf numFmtId="0" fontId="2" fillId="2" borderId="43" xfId="0" applyFont="1" applyFill="1" applyBorder="1" applyAlignment="1">
      <alignment horizontal="left" vertical="center" wrapText="1"/>
    </xf>
    <xf numFmtId="0" fontId="12" fillId="2" borderId="61" xfId="2" applyFill="1" applyBorder="1" applyAlignment="1" applyProtection="1">
      <alignment horizontal="left" vertical="center"/>
    </xf>
    <xf numFmtId="0" fontId="12" fillId="2" borderId="65" xfId="2" applyFill="1" applyBorder="1" applyAlignment="1" applyProtection="1">
      <alignment horizontal="left" vertical="center"/>
    </xf>
    <xf numFmtId="0" fontId="12" fillId="2" borderId="3" xfId="2" applyFill="1" applyBorder="1" applyAlignment="1" applyProtection="1">
      <alignment horizontal="left" vertical="center"/>
    </xf>
    <xf numFmtId="0" fontId="2" fillId="2" borderId="72" xfId="0" applyFont="1" applyFill="1" applyBorder="1" applyAlignment="1">
      <alignment horizontal="left" vertical="center" wrapText="1"/>
    </xf>
    <xf numFmtId="0" fontId="2" fillId="2" borderId="35" xfId="0" applyFont="1" applyFill="1" applyBorder="1" applyAlignment="1">
      <alignment horizontal="left" vertical="center" wrapText="1"/>
    </xf>
    <xf numFmtId="0" fontId="2" fillId="2" borderId="73" xfId="0" applyFont="1" applyFill="1" applyBorder="1" applyAlignment="1">
      <alignment horizontal="left" vertical="center" wrapText="1"/>
    </xf>
    <xf numFmtId="0" fontId="26" fillId="8" borderId="22" xfId="0" applyFont="1" applyFill="1" applyBorder="1" applyAlignment="1">
      <alignment horizontal="left" vertical="center" wrapText="1"/>
    </xf>
    <xf numFmtId="0" fontId="12" fillId="2" borderId="59" xfId="2" applyFill="1" applyBorder="1" applyAlignment="1" applyProtection="1">
      <alignment horizontal="left" vertical="center" wrapText="1"/>
    </xf>
    <xf numFmtId="0" fontId="2" fillId="2" borderId="60" xfId="0" applyFont="1" applyFill="1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60" xfId="0" applyBorder="1" applyAlignment="1">
      <alignment horizontal="left" vertical="center" wrapText="1"/>
    </xf>
    <xf numFmtId="0" fontId="117" fillId="2" borderId="59" xfId="2" applyFont="1" applyFill="1" applyBorder="1" applyAlignment="1" applyProtection="1">
      <alignment horizontal="left" vertical="center" wrapText="1"/>
    </xf>
    <xf numFmtId="0" fontId="60" fillId="0" borderId="0" xfId="0" applyFont="1" applyAlignment="1">
      <alignment horizontal="left" vertical="center" wrapText="1"/>
    </xf>
    <xf numFmtId="0" fontId="60" fillId="0" borderId="60" xfId="0" applyFont="1" applyBorder="1" applyAlignment="1">
      <alignment horizontal="left" vertical="center" wrapText="1"/>
    </xf>
    <xf numFmtId="0" fontId="0" fillId="0" borderId="65" xfId="0" applyBorder="1" applyAlignment="1">
      <alignment horizontal="left" vertical="center" wrapText="1"/>
    </xf>
    <xf numFmtId="0" fontId="0" fillId="0" borderId="3" xfId="0" applyBorder="1" applyAlignment="1">
      <alignment horizontal="left" vertical="center" wrapText="1"/>
    </xf>
    <xf numFmtId="2" fontId="52" fillId="8" borderId="2" xfId="0" applyNumberFormat="1" applyFont="1" applyFill="1" applyBorder="1" applyAlignment="1">
      <alignment horizontal="center" vertical="center"/>
    </xf>
    <xf numFmtId="0" fontId="2" fillId="2" borderId="59" xfId="0" applyFont="1" applyFill="1" applyBorder="1" applyAlignment="1">
      <alignment horizontal="left" vertical="center" wrapText="1"/>
    </xf>
    <xf numFmtId="0" fontId="133" fillId="8" borderId="67" xfId="0" applyFont="1" applyFill="1" applyBorder="1" applyAlignment="1">
      <alignment horizontal="left" vertical="center" wrapText="1"/>
    </xf>
    <xf numFmtId="0" fontId="133" fillId="8" borderId="39" xfId="0" applyFont="1" applyFill="1" applyBorder="1" applyAlignment="1">
      <alignment horizontal="left" vertical="center" wrapText="1"/>
    </xf>
    <xf numFmtId="0" fontId="133" fillId="8" borderId="6" xfId="0" applyFont="1" applyFill="1" applyBorder="1" applyAlignment="1">
      <alignment horizontal="left" vertical="center" wrapText="1"/>
    </xf>
    <xf numFmtId="0" fontId="133" fillId="2" borderId="61" xfId="0" applyFont="1" applyFill="1" applyBorder="1" applyAlignment="1">
      <alignment horizontal="left" vertical="center" wrapText="1"/>
    </xf>
    <xf numFmtId="0" fontId="133" fillId="2" borderId="65" xfId="0" applyFont="1" applyFill="1" applyBorder="1" applyAlignment="1">
      <alignment horizontal="left" vertical="center" wrapText="1"/>
    </xf>
    <xf numFmtId="0" fontId="133" fillId="2" borderId="3" xfId="0" applyFont="1" applyFill="1" applyBorder="1" applyAlignment="1">
      <alignment horizontal="left" vertical="center" wrapText="1"/>
    </xf>
    <xf numFmtId="0" fontId="26" fillId="2" borderId="17" xfId="0" applyFont="1" applyFill="1" applyBorder="1" applyAlignment="1">
      <alignment horizontal="left" vertical="center" wrapText="1"/>
    </xf>
    <xf numFmtId="0" fontId="12" fillId="8" borderId="0" xfId="2" applyFill="1" applyBorder="1" applyAlignment="1" applyProtection="1">
      <alignment horizontal="left" vertical="center" wrapText="1"/>
    </xf>
    <xf numFmtId="0" fontId="12" fillId="8" borderId="60" xfId="2" applyFill="1" applyBorder="1" applyAlignment="1" applyProtection="1">
      <alignment horizontal="left" vertical="center" wrapText="1"/>
    </xf>
    <xf numFmtId="0" fontId="2" fillId="2" borderId="31" xfId="0" applyFont="1" applyFill="1" applyBorder="1" applyAlignment="1">
      <alignment horizontal="left" vertical="center" wrapText="1"/>
    </xf>
    <xf numFmtId="0" fontId="4" fillId="7" borderId="27" xfId="0" applyFont="1" applyFill="1" applyBorder="1" applyAlignment="1">
      <alignment horizontal="center" vertical="center" wrapText="1"/>
    </xf>
    <xf numFmtId="0" fontId="130" fillId="7" borderId="68" xfId="0" applyFont="1" applyFill="1" applyBorder="1" applyAlignment="1">
      <alignment horizontal="center"/>
    </xf>
    <xf numFmtId="0" fontId="130" fillId="7" borderId="37" xfId="0" applyFont="1" applyFill="1" applyBorder="1" applyAlignment="1">
      <alignment horizontal="center"/>
    </xf>
    <xf numFmtId="0" fontId="130" fillId="7" borderId="49" xfId="0" applyFont="1" applyFill="1" applyBorder="1" applyAlignment="1">
      <alignment horizontal="center"/>
    </xf>
    <xf numFmtId="165" fontId="20" fillId="5" borderId="64" xfId="0" applyNumberFormat="1" applyFont="1" applyFill="1" applyBorder="1" applyAlignment="1">
      <alignment horizontal="center" vertical="center" wrapText="1"/>
    </xf>
    <xf numFmtId="165" fontId="20" fillId="5" borderId="35" xfId="0" applyNumberFormat="1" applyFont="1" applyFill="1" applyBorder="1" applyAlignment="1">
      <alignment horizontal="center" vertical="center" wrapText="1"/>
    </xf>
    <xf numFmtId="165" fontId="20" fillId="5" borderId="25" xfId="0" applyNumberFormat="1" applyFont="1" applyFill="1" applyBorder="1" applyAlignment="1">
      <alignment horizontal="center" vertical="center" wrapText="1"/>
    </xf>
    <xf numFmtId="165" fontId="20" fillId="5" borderId="81" xfId="0" applyNumberFormat="1" applyFont="1" applyFill="1" applyBorder="1" applyAlignment="1">
      <alignment horizontal="center" vertical="center" wrapText="1"/>
    </xf>
    <xf numFmtId="165" fontId="20" fillId="5" borderId="53" xfId="0" applyNumberFormat="1" applyFont="1" applyFill="1" applyBorder="1" applyAlignment="1">
      <alignment horizontal="center" vertical="center" wrapText="1"/>
    </xf>
    <xf numFmtId="165" fontId="20" fillId="5" borderId="47" xfId="0" applyNumberFormat="1" applyFont="1" applyFill="1" applyBorder="1" applyAlignment="1">
      <alignment horizontal="center" vertical="center" wrapText="1"/>
    </xf>
    <xf numFmtId="165" fontId="20" fillId="7" borderId="66" xfId="0" applyNumberFormat="1" applyFont="1" applyFill="1" applyBorder="1" applyAlignment="1">
      <alignment horizontal="center" vertical="center"/>
    </xf>
    <xf numFmtId="165" fontId="20" fillId="7" borderId="76" xfId="0" applyNumberFormat="1" applyFont="1" applyFill="1" applyBorder="1" applyAlignment="1">
      <alignment horizontal="center" vertical="center"/>
    </xf>
    <xf numFmtId="165" fontId="20" fillId="7" borderId="75" xfId="0" applyNumberFormat="1" applyFont="1" applyFill="1" applyBorder="1" applyAlignment="1">
      <alignment horizontal="center" vertical="center"/>
    </xf>
    <xf numFmtId="0" fontId="61" fillId="7" borderId="62" xfId="0" applyFont="1" applyFill="1" applyBorder="1" applyAlignment="1">
      <alignment horizontal="center" wrapText="1"/>
    </xf>
    <xf numFmtId="0" fontId="61" fillId="7" borderId="56" xfId="0" applyFont="1" applyFill="1" applyBorder="1" applyAlignment="1">
      <alignment horizontal="center" wrapText="1"/>
    </xf>
    <xf numFmtId="0" fontId="61" fillId="7" borderId="61" xfId="0" applyFont="1" applyFill="1" applyBorder="1" applyAlignment="1">
      <alignment horizontal="center" wrapText="1"/>
    </xf>
    <xf numFmtId="0" fontId="61" fillId="7" borderId="3" xfId="0" applyFont="1" applyFill="1" applyBorder="1" applyAlignment="1">
      <alignment horizontal="center" wrapText="1"/>
    </xf>
    <xf numFmtId="165" fontId="20" fillId="7" borderId="57" xfId="0" applyNumberFormat="1" applyFont="1" applyFill="1" applyBorder="1" applyAlignment="1">
      <alignment horizontal="center" vertical="center" textRotation="90"/>
    </xf>
    <xf numFmtId="165" fontId="20" fillId="7" borderId="54" xfId="0" applyNumberFormat="1" applyFont="1" applyFill="1" applyBorder="1" applyAlignment="1">
      <alignment horizontal="center" vertical="center" textRotation="90"/>
    </xf>
    <xf numFmtId="165" fontId="20" fillId="7" borderId="81" xfId="0" applyNumberFormat="1" applyFont="1" applyFill="1" applyBorder="1" applyAlignment="1">
      <alignment horizontal="center" vertical="center" textRotation="90"/>
    </xf>
    <xf numFmtId="165" fontId="20" fillId="7" borderId="47" xfId="0" applyNumberFormat="1" applyFont="1" applyFill="1" applyBorder="1" applyAlignment="1">
      <alignment horizontal="center" vertical="center" textRotation="90"/>
    </xf>
    <xf numFmtId="0" fontId="0" fillId="7" borderId="31" xfId="0" applyFill="1" applyBorder="1" applyAlignment="1">
      <alignment horizontal="center" vertical="center" textRotation="90"/>
    </xf>
    <xf numFmtId="0" fontId="0" fillId="7" borderId="51" xfId="0" applyFill="1" applyBorder="1" applyAlignment="1">
      <alignment horizontal="center" vertical="center" textRotation="90"/>
    </xf>
    <xf numFmtId="0" fontId="0" fillId="7" borderId="43" xfId="0" applyFill="1" applyBorder="1" applyAlignment="1">
      <alignment horizontal="center" vertical="center" textRotation="90"/>
    </xf>
    <xf numFmtId="165" fontId="20" fillId="5" borderId="64" xfId="0" applyNumberFormat="1" applyFont="1" applyFill="1" applyBorder="1" applyAlignment="1">
      <alignment horizontal="left" vertical="center" wrapText="1"/>
    </xf>
    <xf numFmtId="165" fontId="20" fillId="5" borderId="35" xfId="0" applyNumberFormat="1" applyFont="1" applyFill="1" applyBorder="1" applyAlignment="1">
      <alignment horizontal="left" vertical="center" wrapText="1"/>
    </xf>
    <xf numFmtId="165" fontId="20" fillId="5" borderId="25" xfId="0" applyNumberFormat="1" applyFont="1" applyFill="1" applyBorder="1" applyAlignment="1">
      <alignment horizontal="left" vertical="center" wrapText="1"/>
    </xf>
    <xf numFmtId="165" fontId="20" fillId="5" borderId="81" xfId="0" applyNumberFormat="1" applyFont="1" applyFill="1" applyBorder="1" applyAlignment="1">
      <alignment horizontal="left" vertical="center" wrapText="1"/>
    </xf>
    <xf numFmtId="165" fontId="20" fillId="5" borderId="53" xfId="0" applyNumberFormat="1" applyFont="1" applyFill="1" applyBorder="1" applyAlignment="1">
      <alignment horizontal="left" vertical="center" wrapText="1"/>
    </xf>
    <xf numFmtId="165" fontId="20" fillId="5" borderId="47" xfId="0" applyNumberFormat="1" applyFont="1" applyFill="1" applyBorder="1" applyAlignment="1">
      <alignment horizontal="left" vertical="center" wrapText="1"/>
    </xf>
    <xf numFmtId="165" fontId="3" fillId="5" borderId="64" xfId="0" applyNumberFormat="1" applyFont="1" applyFill="1" applyBorder="1" applyAlignment="1">
      <alignment horizontal="left" vertical="center" wrapText="1"/>
    </xf>
    <xf numFmtId="165" fontId="3" fillId="5" borderId="35" xfId="0" applyNumberFormat="1" applyFont="1" applyFill="1" applyBorder="1" applyAlignment="1">
      <alignment horizontal="left" vertical="center" wrapText="1"/>
    </xf>
    <xf numFmtId="165" fontId="3" fillId="5" borderId="25" xfId="0" applyNumberFormat="1" applyFont="1" applyFill="1" applyBorder="1" applyAlignment="1">
      <alignment horizontal="left" vertical="center" wrapText="1"/>
    </xf>
    <xf numFmtId="165" fontId="3" fillId="5" borderId="81" xfId="0" applyNumberFormat="1" applyFont="1" applyFill="1" applyBorder="1" applyAlignment="1">
      <alignment horizontal="left" vertical="center" wrapText="1"/>
    </xf>
    <xf numFmtId="165" fontId="3" fillId="5" borderId="53" xfId="0" applyNumberFormat="1" applyFont="1" applyFill="1" applyBorder="1" applyAlignment="1">
      <alignment horizontal="left" vertical="center" wrapText="1"/>
    </xf>
    <xf numFmtId="165" fontId="3" fillId="5" borderId="47" xfId="0" applyNumberFormat="1" applyFont="1" applyFill="1" applyBorder="1" applyAlignment="1">
      <alignment horizontal="left" vertical="center" wrapText="1"/>
    </xf>
    <xf numFmtId="0" fontId="111" fillId="7" borderId="64" xfId="0" applyFont="1" applyFill="1" applyBorder="1" applyAlignment="1">
      <alignment horizontal="center" vertical="center" wrapText="1"/>
    </xf>
    <xf numFmtId="0" fontId="111" fillId="7" borderId="35" xfId="0" applyFont="1" applyFill="1" applyBorder="1" applyAlignment="1">
      <alignment horizontal="center" vertical="center" wrapText="1"/>
    </xf>
    <xf numFmtId="0" fontId="111" fillId="7" borderId="25" xfId="0" applyFont="1" applyFill="1" applyBorder="1" applyAlignment="1">
      <alignment horizontal="center" vertical="center" wrapText="1"/>
    </xf>
    <xf numFmtId="0" fontId="80" fillId="0" borderId="5" xfId="0" applyFont="1" applyBorder="1" applyAlignment="1">
      <alignment horizontal="center"/>
    </xf>
    <xf numFmtId="0" fontId="80" fillId="0" borderId="9" xfId="0" applyFont="1" applyBorder="1" applyAlignment="1">
      <alignment horizontal="center"/>
    </xf>
    <xf numFmtId="0" fontId="80" fillId="0" borderId="67" xfId="0" applyFont="1" applyBorder="1" applyAlignment="1">
      <alignment horizontal="center"/>
    </xf>
    <xf numFmtId="0" fontId="80" fillId="0" borderId="8" xfId="0" applyFont="1" applyBorder="1" applyAlignment="1">
      <alignment horizontal="center"/>
    </xf>
    <xf numFmtId="0" fontId="80" fillId="0" borderId="1" xfId="0" applyFont="1" applyBorder="1" applyAlignment="1">
      <alignment horizontal="center"/>
    </xf>
    <xf numFmtId="0" fontId="80" fillId="0" borderId="68" xfId="0" applyFont="1" applyBorder="1" applyAlignment="1">
      <alignment horizontal="center"/>
    </xf>
    <xf numFmtId="0" fontId="111" fillId="9" borderId="5" xfId="0" applyFont="1" applyFill="1" applyBorder="1" applyAlignment="1">
      <alignment horizontal="center" vertical="center"/>
    </xf>
    <xf numFmtId="0" fontId="111" fillId="9" borderId="9" xfId="0" applyFont="1" applyFill="1" applyBorder="1" applyAlignment="1">
      <alignment horizontal="center" vertical="center"/>
    </xf>
    <xf numFmtId="0" fontId="111" fillId="9" borderId="14" xfId="0" applyFont="1" applyFill="1" applyBorder="1" applyAlignment="1">
      <alignment horizontal="center" vertical="center"/>
    </xf>
    <xf numFmtId="0" fontId="111" fillId="8" borderId="5" xfId="0" applyFont="1" applyFill="1" applyBorder="1" applyAlignment="1">
      <alignment horizontal="center" vertical="center"/>
    </xf>
    <xf numFmtId="0" fontId="111" fillId="8" borderId="9" xfId="0" applyFont="1" applyFill="1" applyBorder="1" applyAlignment="1">
      <alignment horizontal="center" vertical="center"/>
    </xf>
    <xf numFmtId="0" fontId="111" fillId="8" borderId="14" xfId="0" applyFont="1" applyFill="1" applyBorder="1" applyAlignment="1">
      <alignment horizontal="center" vertical="center"/>
    </xf>
    <xf numFmtId="0" fontId="111" fillId="9" borderId="8" xfId="0" applyFont="1" applyFill="1" applyBorder="1" applyAlignment="1">
      <alignment horizontal="center" vertical="center"/>
    </xf>
    <xf numFmtId="0" fontId="111" fillId="9" borderId="1" xfId="0" applyFont="1" applyFill="1" applyBorder="1" applyAlignment="1">
      <alignment horizontal="center" vertical="center"/>
    </xf>
    <xf numFmtId="0" fontId="111" fillId="9" borderId="10" xfId="0" applyFont="1" applyFill="1" applyBorder="1" applyAlignment="1">
      <alignment horizontal="center" vertical="center"/>
    </xf>
    <xf numFmtId="0" fontId="111" fillId="8" borderId="8" xfId="0" applyFont="1" applyFill="1" applyBorder="1" applyAlignment="1">
      <alignment horizontal="center" vertical="center"/>
    </xf>
    <xf numFmtId="0" fontId="111" fillId="8" borderId="1" xfId="0" applyFont="1" applyFill="1" applyBorder="1" applyAlignment="1">
      <alignment horizontal="center" vertical="center"/>
    </xf>
    <xf numFmtId="0" fontId="111" fillId="8" borderId="10" xfId="0" applyFont="1" applyFill="1" applyBorder="1" applyAlignment="1">
      <alignment horizontal="center" vertical="center"/>
    </xf>
    <xf numFmtId="0" fontId="111" fillId="0" borderId="8" xfId="0" applyFont="1" applyBorder="1" applyAlignment="1">
      <alignment horizontal="left" vertical="center"/>
    </xf>
    <xf numFmtId="0" fontId="111" fillId="0" borderId="1" xfId="0" applyFont="1" applyBorder="1" applyAlignment="1">
      <alignment horizontal="left" vertical="center"/>
    </xf>
    <xf numFmtId="0" fontId="111" fillId="0" borderId="68" xfId="0" applyFont="1" applyBorder="1" applyAlignment="1">
      <alignment horizontal="left" vertical="center"/>
    </xf>
    <xf numFmtId="0" fontId="20" fillId="2" borderId="64" xfId="0" applyFont="1" applyFill="1" applyBorder="1" applyAlignment="1">
      <alignment horizontal="left"/>
    </xf>
    <xf numFmtId="0" fontId="20" fillId="2" borderId="35" xfId="0" applyFont="1" applyFill="1" applyBorder="1" applyAlignment="1">
      <alignment horizontal="left"/>
    </xf>
    <xf numFmtId="2" fontId="20" fillId="2" borderId="35" xfId="0" applyNumberFormat="1" applyFont="1" applyFill="1" applyBorder="1" applyAlignment="1">
      <alignment horizontal="center" vertical="center"/>
    </xf>
    <xf numFmtId="2" fontId="20" fillId="2" borderId="0" xfId="0" applyNumberFormat="1" applyFont="1" applyFill="1" applyAlignment="1">
      <alignment horizontal="center" vertical="center"/>
    </xf>
    <xf numFmtId="0" fontId="20" fillId="2" borderId="25" xfId="0" applyFont="1" applyFill="1" applyBorder="1" applyAlignment="1">
      <alignment horizontal="center" vertical="center"/>
    </xf>
    <xf numFmtId="0" fontId="20" fillId="2" borderId="54" xfId="0" applyFont="1" applyFill="1" applyBorder="1" applyAlignment="1">
      <alignment horizontal="center" vertical="center"/>
    </xf>
    <xf numFmtId="0" fontId="111" fillId="0" borderId="13" xfId="0" applyFont="1" applyBorder="1" applyAlignment="1">
      <alignment horizontal="left" vertical="center"/>
    </xf>
    <xf numFmtId="0" fontId="111" fillId="0" borderId="12" xfId="0" applyFont="1" applyBorder="1" applyAlignment="1">
      <alignment horizontal="left" vertical="center"/>
    </xf>
    <xf numFmtId="0" fontId="111" fillId="0" borderId="69" xfId="0" applyFont="1" applyBorder="1" applyAlignment="1">
      <alignment horizontal="left" vertical="center"/>
    </xf>
    <xf numFmtId="0" fontId="111" fillId="9" borderId="13" xfId="0" applyFont="1" applyFill="1" applyBorder="1" applyAlignment="1">
      <alignment horizontal="center" vertical="center"/>
    </xf>
    <xf numFmtId="0" fontId="111" fillId="9" borderId="12" xfId="0" applyFont="1" applyFill="1" applyBorder="1" applyAlignment="1">
      <alignment horizontal="center" vertical="center"/>
    </xf>
    <xf numFmtId="0" fontId="111" fillId="9" borderId="11" xfId="0" applyFont="1" applyFill="1" applyBorder="1" applyAlignment="1">
      <alignment horizontal="center" vertical="center"/>
    </xf>
    <xf numFmtId="0" fontId="111" fillId="8" borderId="13" xfId="0" applyFont="1" applyFill="1" applyBorder="1" applyAlignment="1">
      <alignment horizontal="center" vertical="center"/>
    </xf>
    <xf numFmtId="0" fontId="111" fillId="8" borderId="12" xfId="0" applyFont="1" applyFill="1" applyBorder="1" applyAlignment="1">
      <alignment horizontal="center" vertical="center"/>
    </xf>
    <xf numFmtId="165" fontId="111" fillId="8" borderId="12" xfId="0" applyNumberFormat="1" applyFont="1" applyFill="1" applyBorder="1" applyAlignment="1">
      <alignment horizontal="center" vertical="center"/>
    </xf>
    <xf numFmtId="165" fontId="111" fillId="8" borderId="11" xfId="0" applyNumberFormat="1" applyFont="1" applyFill="1" applyBorder="1" applyAlignment="1">
      <alignment horizontal="center" vertical="center"/>
    </xf>
    <xf numFmtId="165" fontId="111" fillId="9" borderId="12" xfId="0" applyNumberFormat="1" applyFont="1" applyFill="1" applyBorder="1" applyAlignment="1">
      <alignment horizontal="center" vertical="center"/>
    </xf>
    <xf numFmtId="165" fontId="111" fillId="9" borderId="11" xfId="0" applyNumberFormat="1" applyFont="1" applyFill="1" applyBorder="1" applyAlignment="1">
      <alignment horizontal="center" vertical="center"/>
    </xf>
    <xf numFmtId="0" fontId="20" fillId="8" borderId="64" xfId="0" applyFont="1" applyFill="1" applyBorder="1" applyAlignment="1">
      <alignment horizontal="left" wrapText="1"/>
    </xf>
    <xf numFmtId="0" fontId="20" fillId="8" borderId="35" xfId="0" applyFont="1" applyFill="1" applyBorder="1" applyAlignment="1">
      <alignment horizontal="left" wrapText="1"/>
    </xf>
    <xf numFmtId="0" fontId="20" fillId="8" borderId="25" xfId="0" applyFont="1" applyFill="1" applyBorder="1" applyAlignment="1">
      <alignment horizontal="left" wrapText="1"/>
    </xf>
    <xf numFmtId="0" fontId="20" fillId="8" borderId="81" xfId="0" applyFont="1" applyFill="1" applyBorder="1" applyAlignment="1">
      <alignment horizontal="left" wrapText="1"/>
    </xf>
    <xf numFmtId="0" fontId="20" fillId="8" borderId="53" xfId="0" applyFont="1" applyFill="1" applyBorder="1" applyAlignment="1">
      <alignment horizontal="left" wrapText="1"/>
    </xf>
    <xf numFmtId="0" fontId="20" fillId="8" borderId="47" xfId="0" applyFont="1" applyFill="1" applyBorder="1" applyAlignment="1">
      <alignment horizontal="left" wrapText="1"/>
    </xf>
    <xf numFmtId="2" fontId="20" fillId="2" borderId="64" xfId="0" applyNumberFormat="1" applyFont="1" applyFill="1" applyBorder="1" applyAlignment="1">
      <alignment horizontal="center" vertical="center"/>
    </xf>
    <xf numFmtId="2" fontId="20" fillId="2" borderId="81" xfId="0" applyNumberFormat="1" applyFont="1" applyFill="1" applyBorder="1" applyAlignment="1">
      <alignment horizontal="center" vertical="center"/>
    </xf>
    <xf numFmtId="0" fontId="20" fillId="2" borderId="47" xfId="0" applyFont="1" applyFill="1" applyBorder="1" applyAlignment="1">
      <alignment horizontal="center" vertical="center"/>
    </xf>
    <xf numFmtId="0" fontId="98" fillId="2" borderId="0" xfId="0" applyFont="1" applyFill="1" applyAlignment="1">
      <alignment horizontal="center" vertical="center"/>
    </xf>
    <xf numFmtId="0" fontId="43" fillId="2" borderId="1" xfId="1" applyFont="1" applyFill="1" applyBorder="1" applyAlignment="1" applyProtection="1">
      <alignment horizontal="left" vertical="center" wrapText="1"/>
      <protection locked="0" hidden="1"/>
    </xf>
    <xf numFmtId="0" fontId="39" fillId="2" borderId="1" xfId="1" applyFont="1" applyFill="1" applyBorder="1" applyAlignment="1" applyProtection="1">
      <alignment horizontal="left" vertical="center" wrapText="1"/>
      <protection locked="0" hidden="1"/>
    </xf>
    <xf numFmtId="9" fontId="39" fillId="2" borderId="1" xfId="1" applyNumberFormat="1" applyFont="1" applyFill="1" applyBorder="1" applyAlignment="1" applyProtection="1">
      <alignment horizontal="center" vertical="center"/>
      <protection locked="0" hidden="1"/>
    </xf>
    <xf numFmtId="0" fontId="39" fillId="2" borderId="1" xfId="0" applyFont="1" applyFill="1" applyBorder="1" applyAlignment="1">
      <alignment horizontal="left" vertical="center" wrapText="1"/>
    </xf>
    <xf numFmtId="0" fontId="3" fillId="2" borderId="0" xfId="0" applyFont="1" applyFill="1" applyAlignment="1">
      <alignment horizontal="center" wrapText="1"/>
    </xf>
    <xf numFmtId="0" fontId="71" fillId="2" borderId="0" xfId="1" applyFont="1" applyFill="1" applyAlignment="1" applyProtection="1">
      <alignment horizontal="left" wrapText="1"/>
      <protection locked="0" hidden="1"/>
    </xf>
    <xf numFmtId="0" fontId="57" fillId="8" borderId="48" xfId="0" applyFont="1" applyFill="1" applyBorder="1" applyAlignment="1">
      <alignment horizontal="center" vertical="center"/>
    </xf>
    <xf numFmtId="0" fontId="57" fillId="8" borderId="10" xfId="0" applyFont="1" applyFill="1" applyBorder="1" applyAlignment="1">
      <alignment horizontal="center" vertical="center"/>
    </xf>
    <xf numFmtId="0" fontId="57" fillId="8" borderId="11" xfId="0" applyFont="1" applyFill="1" applyBorder="1" applyAlignment="1">
      <alignment horizontal="center" vertical="center"/>
    </xf>
    <xf numFmtId="0" fontId="56" fillId="0" borderId="64" xfId="0" applyFont="1" applyBorder="1" applyAlignment="1">
      <alignment horizontal="center" vertical="center"/>
    </xf>
    <xf numFmtId="0" fontId="56" fillId="0" borderId="35" xfId="0" applyFont="1" applyBorder="1" applyAlignment="1">
      <alignment horizontal="center" vertical="center"/>
    </xf>
    <xf numFmtId="0" fontId="56" fillId="0" borderId="25" xfId="0" applyFont="1" applyBorder="1" applyAlignment="1">
      <alignment horizontal="center" vertical="center"/>
    </xf>
    <xf numFmtId="0" fontId="57" fillId="12" borderId="24" xfId="0" applyFont="1" applyFill="1" applyBorder="1" applyAlignment="1">
      <alignment horizontal="center" vertical="center"/>
    </xf>
    <xf numFmtId="0" fontId="57" fillId="12" borderId="52" xfId="0" applyFont="1" applyFill="1" applyBorder="1" applyAlignment="1">
      <alignment horizontal="center" vertical="center"/>
    </xf>
    <xf numFmtId="0" fontId="57" fillId="12" borderId="36" xfId="0" applyFont="1" applyFill="1" applyBorder="1" applyAlignment="1">
      <alignment horizontal="center" vertical="center"/>
    </xf>
    <xf numFmtId="0" fontId="57" fillId="0" borderId="52" xfId="0" applyFont="1" applyBorder="1" applyAlignment="1">
      <alignment horizontal="center" vertical="center"/>
    </xf>
    <xf numFmtId="0" fontId="57" fillId="9" borderId="24" xfId="0" applyFont="1" applyFill="1" applyBorder="1" applyAlignment="1">
      <alignment horizontal="center" vertical="center"/>
    </xf>
    <xf numFmtId="0" fontId="57" fillId="9" borderId="52" xfId="0" applyFont="1" applyFill="1" applyBorder="1" applyAlignment="1">
      <alignment horizontal="center" vertical="center"/>
    </xf>
    <xf numFmtId="0" fontId="57" fillId="9" borderId="36" xfId="0" applyFont="1" applyFill="1" applyBorder="1" applyAlignment="1">
      <alignment horizontal="center" vertical="center"/>
    </xf>
    <xf numFmtId="0" fontId="57" fillId="8" borderId="2" xfId="0" applyFont="1" applyFill="1" applyBorder="1" applyAlignment="1">
      <alignment horizontal="center" vertical="center"/>
    </xf>
    <xf numFmtId="165" fontId="52" fillId="8" borderId="16" xfId="0" applyNumberFormat="1" applyFont="1" applyFill="1" applyBorder="1" applyAlignment="1">
      <alignment horizontal="center" vertical="center"/>
    </xf>
    <xf numFmtId="165" fontId="20" fillId="8" borderId="67" xfId="0" applyNumberFormat="1" applyFont="1" applyFill="1" applyBorder="1" applyAlignment="1">
      <alignment horizontal="center" vertical="center" wrapText="1"/>
    </xf>
    <xf numFmtId="165" fontId="20" fillId="8" borderId="15" xfId="0" applyNumberFormat="1" applyFont="1" applyFill="1" applyBorder="1" applyAlignment="1">
      <alignment horizontal="center" vertical="center" wrapText="1"/>
    </xf>
    <xf numFmtId="0" fontId="26" fillId="8" borderId="57" xfId="0" applyFont="1" applyFill="1" applyBorder="1" applyAlignment="1">
      <alignment horizontal="center" vertical="center" wrapText="1"/>
    </xf>
    <xf numFmtId="0" fontId="26" fillId="2" borderId="60" xfId="0" applyFont="1" applyFill="1" applyBorder="1" applyAlignment="1">
      <alignment horizontal="center" vertical="center" wrapText="1"/>
    </xf>
    <xf numFmtId="0" fontId="26" fillId="8" borderId="81" xfId="0" applyFont="1" applyFill="1" applyBorder="1" applyAlignment="1">
      <alignment horizontal="center" vertical="center" wrapText="1"/>
    </xf>
    <xf numFmtId="0" fontId="26" fillId="2" borderId="18" xfId="0" applyFont="1" applyFill="1" applyBorder="1" applyAlignment="1">
      <alignment horizontal="center" vertical="center" wrapText="1"/>
    </xf>
    <xf numFmtId="0" fontId="26" fillId="8" borderId="22" xfId="0" applyFont="1" applyFill="1" applyBorder="1" applyAlignment="1">
      <alignment horizontal="center" vertical="center" wrapText="1"/>
    </xf>
    <xf numFmtId="0" fontId="26" fillId="2" borderId="27" xfId="0" applyFont="1" applyFill="1" applyBorder="1" applyAlignment="1">
      <alignment horizontal="center" vertical="center" wrapText="1"/>
    </xf>
    <xf numFmtId="0" fontId="26" fillId="8" borderId="63" xfId="0" applyFont="1" applyFill="1" applyBorder="1" applyAlignment="1">
      <alignment horizontal="center" vertical="center" wrapText="1"/>
    </xf>
    <xf numFmtId="0" fontId="26" fillId="2" borderId="28" xfId="0" applyFont="1" applyFill="1" applyBorder="1" applyAlignment="1">
      <alignment horizontal="center" vertical="center" wrapText="1"/>
    </xf>
    <xf numFmtId="0" fontId="3" fillId="7" borderId="32" xfId="0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86" fillId="2" borderId="0" xfId="2" applyFont="1" applyFill="1" applyBorder="1" applyAlignment="1" applyProtection="1">
      <alignment horizontal="left" vertical="center"/>
    </xf>
    <xf numFmtId="165" fontId="8" fillId="7" borderId="66" xfId="0" applyNumberFormat="1" applyFont="1" applyFill="1" applyBorder="1" applyAlignment="1">
      <alignment horizontal="center"/>
    </xf>
    <xf numFmtId="165" fontId="8" fillId="7" borderId="76" xfId="0" applyNumberFormat="1" applyFont="1" applyFill="1" applyBorder="1" applyAlignment="1">
      <alignment horizontal="center"/>
    </xf>
    <xf numFmtId="165" fontId="8" fillId="7" borderId="75" xfId="0" applyNumberFormat="1" applyFont="1" applyFill="1" applyBorder="1" applyAlignment="1">
      <alignment horizontal="center"/>
    </xf>
    <xf numFmtId="165" fontId="8" fillId="7" borderId="23" xfId="0" applyNumberFormat="1" applyFont="1" applyFill="1" applyBorder="1" applyAlignment="1">
      <alignment horizontal="center" vertical="center" textRotation="90"/>
    </xf>
    <xf numFmtId="165" fontId="8" fillId="7" borderId="77" xfId="0" applyNumberFormat="1" applyFont="1" applyFill="1" applyBorder="1" applyAlignment="1">
      <alignment horizontal="center" vertical="center" textRotation="90"/>
    </xf>
    <xf numFmtId="165" fontId="8" fillId="7" borderId="78" xfId="0" applyNumberFormat="1" applyFont="1" applyFill="1" applyBorder="1" applyAlignment="1">
      <alignment horizontal="center" vertical="center" textRotation="90"/>
    </xf>
    <xf numFmtId="0" fontId="8" fillId="8" borderId="0" xfId="0" applyFont="1" applyFill="1" applyAlignment="1">
      <alignment horizontal="left"/>
    </xf>
    <xf numFmtId="0" fontId="25" fillId="2" borderId="0" xfId="0" applyFont="1" applyFill="1" applyAlignment="1">
      <alignment horizontal="center" vertical="center" wrapText="1"/>
    </xf>
    <xf numFmtId="0" fontId="0" fillId="0" borderId="25" xfId="0" applyBorder="1"/>
    <xf numFmtId="0" fontId="0" fillId="0" borderId="81" xfId="0" applyBorder="1"/>
    <xf numFmtId="0" fontId="0" fillId="0" borderId="47" xfId="0" applyBorder="1"/>
    <xf numFmtId="0" fontId="25" fillId="2" borderId="0" xfId="0" applyFont="1" applyFill="1" applyAlignment="1">
      <alignment horizontal="left" vertical="center" wrapText="1"/>
    </xf>
    <xf numFmtId="0" fontId="26" fillId="8" borderId="64" xfId="0" applyFont="1" applyFill="1" applyBorder="1" applyAlignment="1">
      <alignment horizontal="center" vertical="center" wrapText="1"/>
    </xf>
    <xf numFmtId="0" fontId="26" fillId="8" borderId="35" xfId="0" applyFont="1" applyFill="1" applyBorder="1" applyAlignment="1">
      <alignment horizontal="center" vertical="center" wrapText="1"/>
    </xf>
    <xf numFmtId="0" fontId="26" fillId="8" borderId="0" xfId="0" applyFont="1" applyFill="1" applyAlignment="1">
      <alignment horizontal="center" vertical="center" wrapText="1"/>
    </xf>
    <xf numFmtId="2" fontId="52" fillId="2" borderId="35" xfId="0" applyNumberFormat="1" applyFont="1" applyFill="1" applyBorder="1" applyAlignment="1">
      <alignment horizontal="center" vertical="center"/>
    </xf>
    <xf numFmtId="2" fontId="52" fillId="2" borderId="25" xfId="0" applyNumberFormat="1" applyFont="1" applyFill="1" applyBorder="1" applyAlignment="1">
      <alignment horizontal="center" vertical="center"/>
    </xf>
    <xf numFmtId="2" fontId="52" fillId="8" borderId="0" xfId="0" applyNumberFormat="1" applyFont="1" applyFill="1" applyAlignment="1">
      <alignment horizontal="center" vertical="center"/>
    </xf>
    <xf numFmtId="2" fontId="52" fillId="2" borderId="54" xfId="0" applyNumberFormat="1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6" fillId="0" borderId="13" xfId="0" applyFont="1" applyBorder="1" applyAlignment="1">
      <alignment horizontal="center" vertical="center"/>
    </xf>
    <xf numFmtId="0" fontId="16" fillId="0" borderId="12" xfId="0" applyFont="1" applyBorder="1" applyAlignment="1">
      <alignment horizontal="center" vertical="center"/>
    </xf>
    <xf numFmtId="0" fontId="2" fillId="2" borderId="12" xfId="0" applyFont="1" applyFill="1" applyBorder="1" applyAlignment="1">
      <alignment horizontal="left" vertical="center" wrapText="1"/>
    </xf>
    <xf numFmtId="0" fontId="20" fillId="9" borderId="68" xfId="0" applyFont="1" applyFill="1" applyBorder="1" applyAlignment="1">
      <alignment horizontal="center"/>
    </xf>
    <xf numFmtId="0" fontId="20" fillId="9" borderId="37" xfId="0" applyFont="1" applyFill="1" applyBorder="1" applyAlignment="1">
      <alignment horizontal="center"/>
    </xf>
    <xf numFmtId="0" fontId="20" fillId="9" borderId="41" xfId="0" applyFont="1" applyFill="1" applyBorder="1" applyAlignment="1">
      <alignment horizontal="center"/>
    </xf>
    <xf numFmtId="0" fontId="20" fillId="7" borderId="67" xfId="0" applyFont="1" applyFill="1" applyBorder="1" applyAlignment="1">
      <alignment horizontal="center" vertical="center"/>
    </xf>
    <xf numFmtId="0" fontId="20" fillId="7" borderId="39" xfId="0" applyFont="1" applyFill="1" applyBorder="1" applyAlignment="1">
      <alignment horizontal="center" vertical="center"/>
    </xf>
    <xf numFmtId="0" fontId="20" fillId="7" borderId="15" xfId="0" applyFont="1" applyFill="1" applyBorder="1" applyAlignment="1">
      <alignment horizontal="center" vertical="center"/>
    </xf>
    <xf numFmtId="0" fontId="73" fillId="0" borderId="8" xfId="0" applyFont="1" applyBorder="1" applyAlignment="1">
      <alignment horizontal="center" vertical="center" textRotation="90"/>
    </xf>
    <xf numFmtId="0" fontId="26" fillId="8" borderId="12" xfId="0" applyFont="1" applyFill="1" applyBorder="1" applyAlignment="1">
      <alignment horizontal="center" vertical="center" wrapText="1"/>
    </xf>
    <xf numFmtId="1" fontId="103" fillId="2" borderId="0" xfId="0" applyNumberFormat="1" applyFont="1" applyFill="1" applyAlignment="1">
      <alignment horizontal="center" wrapText="1"/>
    </xf>
    <xf numFmtId="0" fontId="20" fillId="2" borderId="59" xfId="0" applyFont="1" applyFill="1" applyBorder="1" applyAlignment="1">
      <alignment horizontal="center" vertical="center" wrapText="1"/>
    </xf>
    <xf numFmtId="0" fontId="20" fillId="8" borderId="0" xfId="0" applyFont="1" applyFill="1" applyAlignment="1">
      <alignment horizontal="center" vertical="center" wrapText="1"/>
    </xf>
    <xf numFmtId="0" fontId="20" fillId="2" borderId="60" xfId="0" applyFont="1" applyFill="1" applyBorder="1" applyAlignment="1">
      <alignment horizontal="center" vertical="center" wrapText="1"/>
    </xf>
    <xf numFmtId="0" fontId="20" fillId="2" borderId="59" xfId="0" applyFont="1" applyFill="1" applyBorder="1" applyAlignment="1">
      <alignment horizontal="left" vertical="center" wrapText="1"/>
    </xf>
    <xf numFmtId="0" fontId="0" fillId="0" borderId="54" xfId="0" applyBorder="1"/>
    <xf numFmtId="0" fontId="8" fillId="8" borderId="0" xfId="0" applyFont="1" applyFill="1" applyAlignment="1">
      <alignment horizontal="left" wrapText="1"/>
    </xf>
    <xf numFmtId="0" fontId="8" fillId="8" borderId="60" xfId="0" applyFont="1" applyFill="1" applyBorder="1" applyAlignment="1">
      <alignment horizontal="left" wrapText="1"/>
    </xf>
    <xf numFmtId="165" fontId="8" fillId="7" borderId="64" xfId="0" applyNumberFormat="1" applyFont="1" applyFill="1" applyBorder="1" applyAlignment="1">
      <alignment horizontal="center"/>
    </xf>
    <xf numFmtId="165" fontId="8" fillId="7" borderId="35" xfId="0" applyNumberFormat="1" applyFont="1" applyFill="1" applyBorder="1" applyAlignment="1">
      <alignment horizontal="center"/>
    </xf>
    <xf numFmtId="165" fontId="8" fillId="7" borderId="25" xfId="0" applyNumberFormat="1" applyFont="1" applyFill="1" applyBorder="1" applyAlignment="1">
      <alignment horizontal="center"/>
    </xf>
    <xf numFmtId="0" fontId="20" fillId="2" borderId="9" xfId="18" applyFont="1" applyFill="1" applyBorder="1" applyAlignment="1">
      <alignment horizontal="center" vertical="center" wrapText="1"/>
    </xf>
    <xf numFmtId="0" fontId="20" fillId="2" borderId="14" xfId="18" applyFont="1" applyFill="1" applyBorder="1" applyAlignment="1">
      <alignment horizontal="center" vertical="center" wrapText="1"/>
    </xf>
    <xf numFmtId="2" fontId="20" fillId="2" borderId="12" xfId="18" applyNumberFormat="1" applyFont="1" applyFill="1" applyBorder="1" applyAlignment="1">
      <alignment horizontal="center" vertical="center"/>
    </xf>
    <xf numFmtId="2" fontId="20" fillId="2" borderId="11" xfId="18" applyNumberFormat="1" applyFont="1" applyFill="1" applyBorder="1" applyAlignment="1">
      <alignment horizontal="center" vertical="center"/>
    </xf>
    <xf numFmtId="0" fontId="20" fillId="7" borderId="64" xfId="18" applyFont="1" applyFill="1" applyBorder="1" applyAlignment="1">
      <alignment horizontal="center" vertical="center"/>
    </xf>
    <xf numFmtId="0" fontId="20" fillId="7" borderId="35" xfId="18" applyFont="1" applyFill="1" applyBorder="1" applyAlignment="1">
      <alignment horizontal="center" vertical="center"/>
    </xf>
    <xf numFmtId="0" fontId="20" fillId="7" borderId="25" xfId="18" applyFont="1" applyFill="1" applyBorder="1" applyAlignment="1">
      <alignment horizontal="center" vertical="center"/>
    </xf>
    <xf numFmtId="2" fontId="20" fillId="2" borderId="13" xfId="18" applyNumberFormat="1" applyFont="1" applyFill="1" applyBorder="1" applyAlignment="1">
      <alignment horizontal="center" vertical="center"/>
    </xf>
    <xf numFmtId="0" fontId="20" fillId="2" borderId="5" xfId="18" applyFont="1" applyFill="1" applyBorder="1" applyAlignment="1">
      <alignment horizontal="center" vertical="center" wrapText="1"/>
    </xf>
    <xf numFmtId="0" fontId="20" fillId="8" borderId="62" xfId="0" applyFont="1" applyFill="1" applyBorder="1" applyAlignment="1">
      <alignment horizontal="left" vertical="center" wrapText="1"/>
    </xf>
    <xf numFmtId="0" fontId="20" fillId="8" borderId="80" xfId="0" applyFont="1" applyFill="1" applyBorder="1" applyAlignment="1">
      <alignment horizontal="left" vertical="center" wrapText="1"/>
    </xf>
    <xf numFmtId="0" fontId="20" fillId="8" borderId="61" xfId="0" applyFont="1" applyFill="1" applyBorder="1" applyAlignment="1">
      <alignment horizontal="left" vertical="center" wrapText="1"/>
    </xf>
    <xf numFmtId="0" fontId="20" fillId="8" borderId="65" xfId="0" applyFont="1" applyFill="1" applyBorder="1" applyAlignment="1">
      <alignment horizontal="left" vertical="center" wrapText="1"/>
    </xf>
    <xf numFmtId="2" fontId="20" fillId="2" borderId="23" xfId="0" applyNumberFormat="1" applyFont="1" applyFill="1" applyBorder="1" applyAlignment="1">
      <alignment horizontal="center" vertical="center"/>
    </xf>
    <xf numFmtId="2" fontId="20" fillId="2" borderId="78" xfId="0" applyNumberFormat="1" applyFont="1" applyFill="1" applyBorder="1" applyAlignment="1">
      <alignment horizontal="center" vertical="center"/>
    </xf>
    <xf numFmtId="2" fontId="20" fillId="2" borderId="62" xfId="0" applyNumberFormat="1" applyFont="1" applyFill="1" applyBorder="1" applyAlignment="1">
      <alignment horizontal="left" vertical="center" wrapText="1"/>
    </xf>
    <xf numFmtId="2" fontId="20" fillId="2" borderId="80" xfId="0" applyNumberFormat="1" applyFont="1" applyFill="1" applyBorder="1" applyAlignment="1">
      <alignment horizontal="left" vertical="center" wrapText="1"/>
    </xf>
    <xf numFmtId="2" fontId="20" fillId="2" borderId="56" xfId="0" applyNumberFormat="1" applyFont="1" applyFill="1" applyBorder="1" applyAlignment="1">
      <alignment horizontal="left" vertical="center" wrapText="1"/>
    </xf>
    <xf numFmtId="2" fontId="20" fillId="2" borderId="61" xfId="0" applyNumberFormat="1" applyFont="1" applyFill="1" applyBorder="1" applyAlignment="1">
      <alignment horizontal="left" vertical="center" wrapText="1"/>
    </xf>
    <xf numFmtId="2" fontId="20" fillId="2" borderId="65" xfId="0" applyNumberFormat="1" applyFont="1" applyFill="1" applyBorder="1" applyAlignment="1">
      <alignment horizontal="left" vertical="center" wrapText="1"/>
    </xf>
    <xf numFmtId="2" fontId="20" fillId="2" borderId="3" xfId="0" applyNumberFormat="1" applyFont="1" applyFill="1" applyBorder="1" applyAlignment="1">
      <alignment horizontal="left" vertical="center" wrapText="1"/>
    </xf>
    <xf numFmtId="2" fontId="20" fillId="2" borderId="25" xfId="0" applyNumberFormat="1" applyFont="1" applyFill="1" applyBorder="1" applyAlignment="1">
      <alignment horizontal="center" vertical="center"/>
    </xf>
    <xf numFmtId="2" fontId="20" fillId="2" borderId="47" xfId="0" applyNumberFormat="1" applyFont="1" applyFill="1" applyBorder="1" applyAlignment="1">
      <alignment horizontal="center" vertical="center"/>
    </xf>
    <xf numFmtId="0" fontId="137" fillId="8" borderId="0" xfId="0" applyFont="1" applyFill="1" applyAlignment="1">
      <alignment horizontal="left" vertical="center" wrapText="1"/>
    </xf>
    <xf numFmtId="0" fontId="54" fillId="2" borderId="82" xfId="0" applyFont="1" applyFill="1" applyBorder="1" applyAlignment="1">
      <alignment horizontal="left"/>
    </xf>
    <xf numFmtId="0" fontId="0" fillId="0" borderId="35" xfId="0" applyBorder="1"/>
    <xf numFmtId="0" fontId="0" fillId="0" borderId="53" xfId="0" applyBorder="1"/>
    <xf numFmtId="0" fontId="32" fillId="2" borderId="6" xfId="0" applyFont="1" applyFill="1" applyBorder="1" applyAlignment="1">
      <alignment horizontal="center" vertical="center" wrapText="1"/>
    </xf>
    <xf numFmtId="0" fontId="32" fillId="2" borderId="9" xfId="0" applyFont="1" applyFill="1" applyBorder="1" applyAlignment="1">
      <alignment horizontal="center" vertical="center" wrapText="1"/>
    </xf>
    <xf numFmtId="0" fontId="32" fillId="2" borderId="14" xfId="0" applyFont="1" applyFill="1" applyBorder="1" applyAlignment="1">
      <alignment horizontal="center" vertical="center" wrapText="1"/>
    </xf>
    <xf numFmtId="0" fontId="32" fillId="2" borderId="49" xfId="0" applyFont="1" applyFill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center" vertical="center" wrapText="1"/>
    </xf>
    <xf numFmtId="0" fontId="32" fillId="2" borderId="10" xfId="0" applyFont="1" applyFill="1" applyBorder="1" applyAlignment="1">
      <alignment horizontal="center" vertical="center" wrapText="1"/>
    </xf>
    <xf numFmtId="2" fontId="20" fillId="2" borderId="13" xfId="0" applyNumberFormat="1" applyFont="1" applyFill="1" applyBorder="1" applyAlignment="1">
      <alignment horizontal="center" vertical="center"/>
    </xf>
    <xf numFmtId="2" fontId="20" fillId="2" borderId="12" xfId="0" applyNumberFormat="1" applyFont="1" applyFill="1" applyBorder="1" applyAlignment="1">
      <alignment horizontal="center" vertical="center"/>
    </xf>
    <xf numFmtId="0" fontId="20" fillId="2" borderId="1" xfId="0" applyFont="1" applyFill="1" applyBorder="1" applyAlignment="1">
      <alignment horizontal="center" vertical="center" wrapText="1"/>
    </xf>
    <xf numFmtId="0" fontId="20" fillId="8" borderId="0" xfId="0" applyFont="1" applyFill="1" applyAlignment="1">
      <alignment horizontal="left"/>
    </xf>
    <xf numFmtId="2" fontId="16" fillId="2" borderId="50" xfId="0" applyNumberFormat="1" applyFont="1" applyFill="1" applyBorder="1" applyAlignment="1">
      <alignment horizontal="center" vertical="center"/>
    </xf>
    <xf numFmtId="2" fontId="16" fillId="2" borderId="12" xfId="0" applyNumberFormat="1" applyFont="1" applyFill="1" applyBorder="1" applyAlignment="1">
      <alignment horizontal="center" vertical="center"/>
    </xf>
    <xf numFmtId="0" fontId="20" fillId="2" borderId="10" xfId="0" applyFont="1" applyFill="1" applyBorder="1" applyAlignment="1">
      <alignment horizontal="center" vertical="center" wrapText="1"/>
    </xf>
    <xf numFmtId="0" fontId="20" fillId="2" borderId="8" xfId="0" applyFont="1" applyFill="1" applyBorder="1" applyAlignment="1">
      <alignment horizontal="center" vertical="center" wrapText="1"/>
    </xf>
    <xf numFmtId="0" fontId="20" fillId="2" borderId="5" xfId="0" applyFont="1" applyFill="1" applyBorder="1" applyAlignment="1">
      <alignment horizontal="center" vertical="center"/>
    </xf>
    <xf numFmtId="0" fontId="20" fillId="2" borderId="9" xfId="0" applyFont="1" applyFill="1" applyBorder="1" applyAlignment="1">
      <alignment horizontal="center" vertical="center"/>
    </xf>
    <xf numFmtId="0" fontId="20" fillId="2" borderId="14" xfId="0" applyFont="1" applyFill="1" applyBorder="1" applyAlignment="1">
      <alignment horizontal="center" vertical="center"/>
    </xf>
    <xf numFmtId="0" fontId="20" fillId="7" borderId="66" xfId="0" applyFont="1" applyFill="1" applyBorder="1" applyAlignment="1">
      <alignment horizontal="center" vertical="center"/>
    </xf>
    <xf numFmtId="0" fontId="20" fillId="7" borderId="76" xfId="0" applyFont="1" applyFill="1" applyBorder="1" applyAlignment="1">
      <alignment horizontal="center" vertical="center"/>
    </xf>
    <xf numFmtId="0" fontId="20" fillId="7" borderId="75" xfId="0" applyFont="1" applyFill="1" applyBorder="1" applyAlignment="1">
      <alignment horizontal="center" vertical="center"/>
    </xf>
    <xf numFmtId="2" fontId="16" fillId="2" borderId="11" xfId="0" applyNumberFormat="1" applyFont="1" applyFill="1" applyBorder="1" applyAlignment="1">
      <alignment horizontal="center" vertical="center"/>
    </xf>
    <xf numFmtId="0" fontId="3" fillId="0" borderId="66" xfId="0" applyFont="1" applyBorder="1" applyAlignment="1">
      <alignment horizontal="center" vertical="center"/>
    </xf>
    <xf numFmtId="0" fontId="3" fillId="0" borderId="76" xfId="0" applyFont="1" applyBorder="1" applyAlignment="1">
      <alignment horizontal="center" vertical="center"/>
    </xf>
    <xf numFmtId="0" fontId="3" fillId="0" borderId="75" xfId="0" applyFont="1" applyBorder="1" applyAlignment="1">
      <alignment horizontal="center" vertical="center"/>
    </xf>
    <xf numFmtId="0" fontId="3" fillId="0" borderId="72" xfId="0" applyFont="1" applyBorder="1" applyAlignment="1">
      <alignment horizontal="left" vertical="center" wrapText="1"/>
    </xf>
    <xf numFmtId="0" fontId="3" fillId="0" borderId="35" xfId="0" applyFont="1" applyBorder="1" applyAlignment="1">
      <alignment horizontal="left" vertical="center" wrapText="1"/>
    </xf>
    <xf numFmtId="0" fontId="3" fillId="0" borderId="73" xfId="0" applyFont="1" applyBorder="1" applyAlignment="1">
      <alignment horizontal="left" vertical="center" wrapText="1"/>
    </xf>
    <xf numFmtId="0" fontId="2" fillId="0" borderId="74" xfId="0" applyFont="1" applyBorder="1" applyAlignment="1">
      <alignment horizontal="left" vertical="center" wrapText="1"/>
    </xf>
    <xf numFmtId="0" fontId="2" fillId="0" borderId="53" xfId="0" applyFont="1" applyBorder="1" applyAlignment="1">
      <alignment horizontal="left" vertical="center" wrapText="1"/>
    </xf>
    <xf numFmtId="0" fontId="2" fillId="0" borderId="18" xfId="0" applyFont="1" applyBorder="1" applyAlignment="1">
      <alignment horizontal="left" vertical="center" wrapText="1"/>
    </xf>
    <xf numFmtId="2" fontId="20" fillId="2" borderId="11" xfId="0" applyNumberFormat="1" applyFont="1" applyFill="1" applyBorder="1" applyAlignment="1">
      <alignment horizontal="center" vertical="center"/>
    </xf>
    <xf numFmtId="2" fontId="20" fillId="2" borderId="68" xfId="0" applyNumberFormat="1" applyFont="1" applyFill="1" applyBorder="1" applyAlignment="1">
      <alignment horizontal="center" vertical="center"/>
    </xf>
    <xf numFmtId="2" fontId="20" fillId="2" borderId="37" xfId="0" applyNumberFormat="1" applyFont="1" applyFill="1" applyBorder="1" applyAlignment="1">
      <alignment horizontal="center" vertical="center"/>
    </xf>
    <xf numFmtId="2" fontId="20" fillId="2" borderId="49" xfId="0" applyNumberFormat="1" applyFont="1" applyFill="1" applyBorder="1" applyAlignment="1">
      <alignment horizontal="center" vertical="center"/>
    </xf>
    <xf numFmtId="0" fontId="20" fillId="2" borderId="35" xfId="0" applyFont="1" applyFill="1" applyBorder="1" applyAlignment="1">
      <alignment horizontal="left" vertical="center" wrapText="1"/>
    </xf>
    <xf numFmtId="0" fontId="3" fillId="7" borderId="66" xfId="0" applyFont="1" applyFill="1" applyBorder="1" applyAlignment="1">
      <alignment horizontal="center" vertical="center" wrapText="1"/>
    </xf>
    <xf numFmtId="0" fontId="3" fillId="7" borderId="76" xfId="0" applyFont="1" applyFill="1" applyBorder="1" applyAlignment="1">
      <alignment horizontal="center" vertical="center" wrapText="1"/>
    </xf>
    <xf numFmtId="0" fontId="3" fillId="7" borderId="58" xfId="0" applyFont="1" applyFill="1" applyBorder="1" applyAlignment="1">
      <alignment horizontal="center" vertical="center" wrapText="1"/>
    </xf>
    <xf numFmtId="0" fontId="20" fillId="7" borderId="79" xfId="0" applyFont="1" applyFill="1" applyBorder="1" applyAlignment="1">
      <alignment horizontal="center" vertical="center" wrapText="1"/>
    </xf>
    <xf numFmtId="0" fontId="20" fillId="7" borderId="75" xfId="0" applyFont="1" applyFill="1" applyBorder="1" applyAlignment="1">
      <alignment horizontal="center" vertical="center" wrapText="1"/>
    </xf>
    <xf numFmtId="1" fontId="103" fillId="2" borderId="0" xfId="0" applyNumberFormat="1" applyFont="1" applyFill="1" applyAlignment="1">
      <alignment horizontal="center" vertical="top" wrapText="1"/>
    </xf>
    <xf numFmtId="165" fontId="78" fillId="2" borderId="0" xfId="0" applyNumberFormat="1" applyFont="1" applyFill="1" applyAlignment="1">
      <alignment horizontal="center" vertical="center" wrapText="1"/>
    </xf>
    <xf numFmtId="2" fontId="20" fillId="2" borderId="12" xfId="0" applyNumberFormat="1" applyFont="1" applyFill="1" applyBorder="1" applyAlignment="1">
      <alignment horizontal="center" vertical="center" wrapText="1"/>
    </xf>
    <xf numFmtId="2" fontId="20" fillId="2" borderId="13" xfId="0" applyNumberFormat="1" applyFont="1" applyFill="1" applyBorder="1" applyAlignment="1">
      <alignment horizontal="center" vertical="center" wrapText="1"/>
    </xf>
    <xf numFmtId="0" fontId="12" fillId="8" borderId="1" xfId="2" applyFill="1" applyBorder="1" applyAlignment="1" applyProtection="1">
      <alignment horizontal="left" vertical="center" wrapText="1"/>
    </xf>
    <xf numFmtId="0" fontId="0" fillId="0" borderId="8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2" fillId="2" borderId="1" xfId="0" applyFont="1" applyFill="1" applyBorder="1" applyAlignment="1">
      <alignment horizontal="left" vertical="center" wrapText="1"/>
    </xf>
    <xf numFmtId="2" fontId="0" fillId="0" borderId="1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0" fontId="26" fillId="8" borderId="5" xfId="0" applyFont="1" applyFill="1" applyBorder="1" applyAlignment="1">
      <alignment horizontal="center" vertical="center" wrapText="1"/>
    </xf>
    <xf numFmtId="0" fontId="26" fillId="8" borderId="9" xfId="0" applyFont="1" applyFill="1" applyBorder="1" applyAlignment="1">
      <alignment horizontal="center" vertical="center" wrapText="1"/>
    </xf>
    <xf numFmtId="2" fontId="52" fillId="8" borderId="9" xfId="0" applyNumberFormat="1" applyFont="1" applyFill="1" applyBorder="1" applyAlignment="1">
      <alignment horizontal="center" vertical="center"/>
    </xf>
    <xf numFmtId="2" fontId="52" fillId="8" borderId="14" xfId="0" applyNumberFormat="1" applyFont="1" applyFill="1" applyBorder="1" applyAlignment="1">
      <alignment horizontal="center" vertical="center"/>
    </xf>
    <xf numFmtId="2" fontId="52" fillId="8" borderId="62" xfId="0" applyNumberFormat="1" applyFont="1" applyFill="1" applyBorder="1" applyAlignment="1">
      <alignment horizontal="center" vertical="center"/>
    </xf>
    <xf numFmtId="2" fontId="52" fillId="8" borderId="71" xfId="0" applyNumberFormat="1" applyFont="1" applyFill="1" applyBorder="1" applyAlignment="1">
      <alignment horizontal="center" vertical="center"/>
    </xf>
    <xf numFmtId="2" fontId="52" fillId="8" borderId="61" xfId="0" applyNumberFormat="1" applyFont="1" applyFill="1" applyBorder="1" applyAlignment="1">
      <alignment horizontal="center" vertical="center"/>
    </xf>
    <xf numFmtId="2" fontId="52" fillId="8" borderId="16" xfId="0" applyNumberFormat="1" applyFont="1" applyFill="1" applyBorder="1" applyAlignment="1">
      <alignment horizontal="center" vertical="center"/>
    </xf>
    <xf numFmtId="0" fontId="12" fillId="2" borderId="1" xfId="2" applyFill="1" applyBorder="1" applyAlignment="1" applyProtection="1">
      <alignment horizontal="left" vertical="center"/>
    </xf>
    <xf numFmtId="0" fontId="2" fillId="2" borderId="1" xfId="0" applyFont="1" applyFill="1" applyBorder="1" applyAlignment="1">
      <alignment horizontal="left" vertical="center"/>
    </xf>
    <xf numFmtId="0" fontId="26" fillId="8" borderId="28" xfId="0" applyFont="1" applyFill="1" applyBorder="1" applyAlignment="1">
      <alignment horizontal="center" vertical="center" wrapText="1"/>
    </xf>
    <xf numFmtId="1" fontId="78" fillId="2" borderId="53" xfId="0" applyNumberFormat="1" applyFont="1" applyFill="1" applyBorder="1" applyAlignment="1">
      <alignment horizontal="center" vertical="center" wrapText="1"/>
    </xf>
    <xf numFmtId="0" fontId="3" fillId="7" borderId="64" xfId="0" applyFont="1" applyFill="1" applyBorder="1" applyAlignment="1">
      <alignment horizontal="center" vertical="center" wrapText="1"/>
    </xf>
    <xf numFmtId="0" fontId="3" fillId="7" borderId="35" xfId="0" applyFont="1" applyFill="1" applyBorder="1" applyAlignment="1">
      <alignment horizontal="center" vertical="center" wrapText="1"/>
    </xf>
    <xf numFmtId="0" fontId="20" fillId="7" borderId="35" xfId="0" applyFont="1" applyFill="1" applyBorder="1" applyAlignment="1">
      <alignment horizontal="center" vertical="center" wrapText="1"/>
    </xf>
    <xf numFmtId="0" fontId="133" fillId="2" borderId="64" xfId="0" applyFont="1" applyFill="1" applyBorder="1" applyAlignment="1">
      <alignment horizontal="center" vertical="center" wrapText="1"/>
    </xf>
    <xf numFmtId="0" fontId="133" fillId="2" borderId="35" xfId="0" applyFont="1" applyFill="1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0" fontId="0" fillId="0" borderId="65" xfId="0" applyBorder="1" applyAlignment="1">
      <alignment horizontal="center" vertical="center" wrapText="1"/>
    </xf>
    <xf numFmtId="2" fontId="52" fillId="8" borderId="72" xfId="0" applyNumberFormat="1" applyFont="1" applyFill="1" applyBorder="1" applyAlignment="1">
      <alignment horizontal="center" vertical="center"/>
    </xf>
    <xf numFmtId="2" fontId="52" fillId="8" borderId="35" xfId="0" applyNumberFormat="1" applyFont="1" applyFill="1" applyBorder="1" applyAlignment="1">
      <alignment horizontal="center" vertical="center"/>
    </xf>
    <xf numFmtId="2" fontId="52" fillId="8" borderId="25" xfId="0" applyNumberFormat="1" applyFont="1" applyFill="1" applyBorder="1" applyAlignment="1">
      <alignment horizontal="center" vertical="center"/>
    </xf>
    <xf numFmtId="2" fontId="0" fillId="0" borderId="61" xfId="0" applyNumberFormat="1" applyBorder="1" applyAlignment="1">
      <alignment horizontal="center" vertical="center"/>
    </xf>
    <xf numFmtId="2" fontId="0" fillId="0" borderId="65" xfId="0" applyNumberFormat="1" applyBorder="1" applyAlignment="1">
      <alignment horizontal="center" vertical="center"/>
    </xf>
    <xf numFmtId="2" fontId="0" fillId="0" borderId="16" xfId="0" applyNumberFormat="1" applyBorder="1" applyAlignment="1">
      <alignment horizontal="center" vertical="center"/>
    </xf>
    <xf numFmtId="0" fontId="133" fillId="2" borderId="0" xfId="0" applyFont="1" applyFill="1" applyAlignment="1">
      <alignment horizontal="left" vertical="center" wrapText="1"/>
    </xf>
    <xf numFmtId="0" fontId="133" fillId="2" borderId="60" xfId="0" applyFont="1" applyFill="1" applyBorder="1" applyAlignment="1">
      <alignment horizontal="left" vertical="center" wrapText="1"/>
    </xf>
    <xf numFmtId="0" fontId="133" fillId="2" borderId="63" xfId="0" applyFont="1" applyFill="1" applyBorder="1" applyAlignment="1">
      <alignment horizontal="center" vertical="center" wrapText="1"/>
    </xf>
    <xf numFmtId="0" fontId="133" fillId="2" borderId="80" xfId="0" applyFont="1" applyFill="1" applyBorder="1" applyAlignment="1">
      <alignment horizontal="center" vertical="center" wrapText="1"/>
    </xf>
    <xf numFmtId="2" fontId="52" fillId="8" borderId="80" xfId="0" applyNumberFormat="1" applyFont="1" applyFill="1" applyBorder="1" applyAlignment="1">
      <alignment horizontal="center" vertical="center"/>
    </xf>
    <xf numFmtId="2" fontId="0" fillId="0" borderId="59" xfId="0" applyNumberFormat="1" applyBorder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2" fontId="0" fillId="0" borderId="54" xfId="0" applyNumberFormat="1" applyBorder="1" applyAlignment="1">
      <alignment horizontal="center" vertical="center"/>
    </xf>
    <xf numFmtId="0" fontId="133" fillId="2" borderId="8" xfId="0" applyFont="1" applyFill="1" applyBorder="1" applyAlignment="1">
      <alignment horizontal="center" vertical="center" wrapText="1"/>
    </xf>
    <xf numFmtId="0" fontId="133" fillId="2" borderId="1" xfId="0" applyFont="1" applyFill="1" applyBorder="1" applyAlignment="1">
      <alignment horizontal="center" vertical="center" wrapText="1"/>
    </xf>
    <xf numFmtId="0" fontId="133" fillId="2" borderId="56" xfId="0" applyFont="1" applyFill="1" applyBorder="1" applyAlignment="1">
      <alignment horizontal="center" vertical="center" wrapText="1"/>
    </xf>
    <xf numFmtId="0" fontId="133" fillId="2" borderId="28" xfId="0" applyFont="1" applyFill="1" applyBorder="1" applyAlignment="1">
      <alignment horizontal="center" vertical="center" wrapText="1"/>
    </xf>
    <xf numFmtId="0" fontId="133" fillId="2" borderId="65" xfId="0" applyFont="1" applyFill="1" applyBorder="1" applyAlignment="1">
      <alignment horizontal="center" vertical="center" wrapText="1"/>
    </xf>
    <xf numFmtId="0" fontId="133" fillId="2" borderId="3" xfId="0" applyFont="1" applyFill="1" applyBorder="1" applyAlignment="1">
      <alignment horizontal="center" vertical="center" wrapText="1"/>
    </xf>
    <xf numFmtId="2" fontId="52" fillId="8" borderId="59" xfId="0" applyNumberFormat="1" applyFont="1" applyFill="1" applyBorder="1" applyAlignment="1">
      <alignment horizontal="center" vertical="center"/>
    </xf>
    <xf numFmtId="2" fontId="52" fillId="8" borderId="54" xfId="0" applyNumberFormat="1" applyFont="1" applyFill="1" applyBorder="1" applyAlignment="1">
      <alignment horizontal="center" vertical="center"/>
    </xf>
    <xf numFmtId="0" fontId="12" fillId="8" borderId="51" xfId="2" applyFill="1" applyBorder="1" applyAlignment="1" applyProtection="1">
      <alignment horizontal="left" vertical="center" wrapText="1"/>
    </xf>
    <xf numFmtId="0" fontId="2" fillId="2" borderId="51" xfId="0" applyFont="1" applyFill="1" applyBorder="1" applyAlignment="1">
      <alignment horizontal="left" vertical="center" wrapText="1"/>
    </xf>
    <xf numFmtId="0" fontId="133" fillId="2" borderId="13" xfId="0" applyFont="1" applyFill="1" applyBorder="1" applyAlignment="1">
      <alignment horizontal="center" vertical="center" wrapText="1"/>
    </xf>
    <xf numFmtId="0" fontId="133" fillId="2" borderId="12" xfId="0" applyFont="1" applyFill="1" applyBorder="1" applyAlignment="1">
      <alignment horizontal="center" vertical="center" wrapText="1"/>
    </xf>
    <xf numFmtId="0" fontId="133" fillId="2" borderId="69" xfId="0" applyFont="1" applyFill="1" applyBorder="1" applyAlignment="1">
      <alignment horizontal="left" vertical="center" wrapText="1"/>
    </xf>
    <xf numFmtId="0" fontId="133" fillId="2" borderId="38" xfId="0" applyFont="1" applyFill="1" applyBorder="1" applyAlignment="1">
      <alignment horizontal="left" vertical="center" wrapText="1"/>
    </xf>
    <xf numFmtId="0" fontId="133" fillId="2" borderId="50" xfId="0" applyFont="1" applyFill="1" applyBorder="1" applyAlignment="1">
      <alignment horizontal="left" vertical="center" wrapText="1"/>
    </xf>
    <xf numFmtId="0" fontId="133" fillId="2" borderId="55" xfId="0" applyFont="1" applyFill="1" applyBorder="1" applyAlignment="1">
      <alignment horizontal="center" vertical="center" wrapText="1"/>
    </xf>
    <xf numFmtId="0" fontId="133" fillId="2" borderId="31" xfId="0" applyFont="1" applyFill="1" applyBorder="1" applyAlignment="1">
      <alignment horizontal="center" vertical="center" wrapText="1"/>
    </xf>
    <xf numFmtId="2" fontId="20" fillId="2" borderId="11" xfId="0" applyNumberFormat="1" applyFont="1" applyFill="1" applyBorder="1" applyAlignment="1">
      <alignment horizontal="center" vertical="center" wrapText="1"/>
    </xf>
    <xf numFmtId="2" fontId="52" fillId="8" borderId="31" xfId="0" applyNumberFormat="1" applyFont="1" applyFill="1" applyBorder="1" applyAlignment="1">
      <alignment horizontal="center" vertical="center"/>
    </xf>
    <xf numFmtId="0" fontId="133" fillId="2" borderId="22" xfId="0" applyFont="1" applyFill="1" applyBorder="1" applyAlignment="1">
      <alignment horizontal="center" vertical="center" wrapText="1"/>
    </xf>
    <xf numFmtId="0" fontId="133" fillId="2" borderId="27" xfId="0" applyFont="1" applyFill="1" applyBorder="1" applyAlignment="1">
      <alignment horizontal="center" vertical="center" wrapText="1"/>
    </xf>
    <xf numFmtId="2" fontId="3" fillId="2" borderId="72" xfId="0" applyNumberFormat="1" applyFont="1" applyFill="1" applyBorder="1" applyAlignment="1">
      <alignment horizontal="center" vertical="center" wrapText="1"/>
    </xf>
    <xf numFmtId="2" fontId="3" fillId="2" borderId="35" xfId="0" applyNumberFormat="1" applyFont="1" applyFill="1" applyBorder="1" applyAlignment="1">
      <alignment horizontal="center" vertical="center" wrapText="1"/>
    </xf>
    <xf numFmtId="2" fontId="3" fillId="2" borderId="25" xfId="0" applyNumberFormat="1" applyFont="1" applyFill="1" applyBorder="1" applyAlignment="1">
      <alignment horizontal="center" vertical="center" wrapText="1"/>
    </xf>
    <xf numFmtId="2" fontId="3" fillId="2" borderId="74" xfId="0" applyNumberFormat="1" applyFont="1" applyFill="1" applyBorder="1" applyAlignment="1">
      <alignment horizontal="center" vertical="center" wrapText="1"/>
    </xf>
    <xf numFmtId="2" fontId="3" fillId="2" borderId="53" xfId="0" applyNumberFormat="1" applyFont="1" applyFill="1" applyBorder="1" applyAlignment="1">
      <alignment horizontal="center" vertical="center" wrapText="1"/>
    </xf>
    <xf numFmtId="2" fontId="3" fillId="2" borderId="47" xfId="0" applyNumberFormat="1" applyFont="1" applyFill="1" applyBorder="1" applyAlignment="1">
      <alignment horizontal="center" vertical="center" wrapText="1"/>
    </xf>
    <xf numFmtId="0" fontId="20" fillId="8" borderId="68" xfId="0" applyFont="1" applyFill="1" applyBorder="1" applyAlignment="1">
      <alignment horizontal="center" vertical="center" wrapText="1"/>
    </xf>
    <xf numFmtId="0" fontId="20" fillId="8" borderId="37" xfId="0" applyFont="1" applyFill="1" applyBorder="1" applyAlignment="1">
      <alignment horizontal="center" vertical="center" wrapText="1"/>
    </xf>
    <xf numFmtId="0" fontId="20" fillId="8" borderId="49" xfId="0" applyFont="1" applyFill="1" applyBorder="1" applyAlignment="1">
      <alignment horizontal="center" vertical="center" wrapText="1"/>
    </xf>
    <xf numFmtId="0" fontId="6" fillId="0" borderId="64" xfId="0" applyFont="1" applyBorder="1" applyAlignment="1">
      <alignment horizontal="center" vertical="center"/>
    </xf>
    <xf numFmtId="0" fontId="6" fillId="0" borderId="35" xfId="0" applyFont="1" applyBorder="1" applyAlignment="1">
      <alignment horizontal="center" vertical="center"/>
    </xf>
    <xf numFmtId="0" fontId="6" fillId="0" borderId="81" xfId="0" applyFont="1" applyBorder="1" applyAlignment="1">
      <alignment horizontal="center" vertical="center"/>
    </xf>
    <xf numFmtId="0" fontId="6" fillId="0" borderId="53" xfId="0" applyFont="1" applyBorder="1" applyAlignment="1">
      <alignment horizontal="center" vertical="center"/>
    </xf>
    <xf numFmtId="0" fontId="59" fillId="0" borderId="66" xfId="0" applyFont="1" applyBorder="1" applyAlignment="1">
      <alignment horizontal="center" vertical="center" wrapText="1"/>
    </xf>
    <xf numFmtId="0" fontId="59" fillId="0" borderId="76" xfId="0" applyFont="1" applyBorder="1" applyAlignment="1">
      <alignment horizontal="center" vertical="center" wrapText="1"/>
    </xf>
    <xf numFmtId="0" fontId="59" fillId="0" borderId="75" xfId="0" applyFont="1" applyBorder="1" applyAlignment="1">
      <alignment horizontal="center" vertical="center" wrapText="1"/>
    </xf>
    <xf numFmtId="0" fontId="20" fillId="7" borderId="66" xfId="0" applyFont="1" applyFill="1" applyBorder="1" applyAlignment="1">
      <alignment horizontal="center" vertical="center" wrapText="1"/>
    </xf>
    <xf numFmtId="0" fontId="20" fillId="7" borderId="76" xfId="0" applyFont="1" applyFill="1" applyBorder="1" applyAlignment="1">
      <alignment horizontal="center" vertical="center" wrapText="1"/>
    </xf>
    <xf numFmtId="0" fontId="133" fillId="2" borderId="5" xfId="0" applyFont="1" applyFill="1" applyBorder="1" applyAlignment="1">
      <alignment horizontal="left" vertical="center" wrapText="1"/>
    </xf>
    <xf numFmtId="0" fontId="133" fillId="2" borderId="9" xfId="0" applyFont="1" applyFill="1" applyBorder="1" applyAlignment="1">
      <alignment horizontal="left" vertical="center" wrapText="1"/>
    </xf>
    <xf numFmtId="0" fontId="4" fillId="7" borderId="22" xfId="0" applyFont="1" applyFill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center" vertical="center" textRotation="90"/>
    </xf>
    <xf numFmtId="0" fontId="25" fillId="8" borderId="0" xfId="0" applyFont="1" applyFill="1" applyAlignment="1">
      <alignment horizontal="center" vertical="center" wrapText="1"/>
    </xf>
    <xf numFmtId="0" fontId="25" fillId="8" borderId="0" xfId="0" applyFont="1" applyFill="1" applyAlignment="1">
      <alignment horizontal="left" vertical="center" wrapText="1"/>
    </xf>
    <xf numFmtId="0" fontId="0" fillId="7" borderId="1" xfId="0" applyFill="1" applyBorder="1" applyAlignment="1">
      <alignment horizontal="center" wrapText="1"/>
    </xf>
    <xf numFmtId="0" fontId="0" fillId="7" borderId="1" xfId="0" applyFill="1" applyBorder="1" applyAlignment="1">
      <alignment horizontal="center"/>
    </xf>
    <xf numFmtId="0" fontId="16" fillId="7" borderId="1" xfId="0" applyFont="1" applyFill="1" applyBorder="1" applyAlignment="1">
      <alignment horizontal="center" wrapText="1"/>
    </xf>
    <xf numFmtId="0" fontId="16" fillId="7" borderId="1" xfId="0" applyFont="1" applyFill="1" applyBorder="1" applyAlignment="1">
      <alignment horizontal="center"/>
    </xf>
    <xf numFmtId="0" fontId="16" fillId="7" borderId="68" xfId="0" applyFont="1" applyFill="1" applyBorder="1" applyAlignment="1">
      <alignment horizontal="center"/>
    </xf>
    <xf numFmtId="0" fontId="16" fillId="7" borderId="37" xfId="0" applyFont="1" applyFill="1" applyBorder="1" applyAlignment="1">
      <alignment horizontal="center"/>
    </xf>
    <xf numFmtId="0" fontId="16" fillId="7" borderId="49" xfId="0" applyFont="1" applyFill="1" applyBorder="1" applyAlignment="1">
      <alignment horizontal="center"/>
    </xf>
    <xf numFmtId="0" fontId="20" fillId="8" borderId="59" xfId="0" applyFont="1" applyFill="1" applyBorder="1" applyAlignment="1">
      <alignment horizontal="center" vertical="center" wrapText="1"/>
    </xf>
    <xf numFmtId="0" fontId="20" fillId="8" borderId="60" xfId="0" applyFont="1" applyFill="1" applyBorder="1" applyAlignment="1">
      <alignment horizontal="center" vertical="center" wrapText="1"/>
    </xf>
    <xf numFmtId="0" fontId="16" fillId="7" borderId="8" xfId="0" applyFont="1" applyFill="1" applyBorder="1" applyAlignment="1">
      <alignment horizontal="center" vertical="center" textRotation="90"/>
    </xf>
    <xf numFmtId="0" fontId="16" fillId="7" borderId="67" xfId="0" applyFont="1" applyFill="1" applyBorder="1" applyAlignment="1">
      <alignment horizontal="center"/>
    </xf>
    <xf numFmtId="0" fontId="16" fillId="7" borderId="39" xfId="0" applyFont="1" applyFill="1" applyBorder="1" applyAlignment="1">
      <alignment horizontal="center"/>
    </xf>
    <xf numFmtId="0" fontId="16" fillId="7" borderId="6" xfId="0" applyFont="1" applyFill="1" applyBorder="1" applyAlignment="1">
      <alignment horizontal="center"/>
    </xf>
    <xf numFmtId="0" fontId="8" fillId="8" borderId="60" xfId="0" applyFont="1" applyFill="1" applyBorder="1" applyAlignment="1">
      <alignment horizontal="left"/>
    </xf>
    <xf numFmtId="0" fontId="16" fillId="7" borderId="5" xfId="0" applyFont="1" applyFill="1" applyBorder="1" applyAlignment="1">
      <alignment horizontal="center" wrapText="1"/>
    </xf>
    <xf numFmtId="0" fontId="16" fillId="7" borderId="8" xfId="0" applyFont="1" applyFill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25" fillId="2" borderId="0" xfId="0" applyFont="1" applyFill="1" applyAlignment="1">
      <alignment horizontal="right" vertical="center" wrapText="1"/>
    </xf>
    <xf numFmtId="0" fontId="0" fillId="0" borderId="1" xfId="0" applyBorder="1" applyAlignment="1">
      <alignment horizontal="center"/>
    </xf>
    <xf numFmtId="0" fontId="20" fillId="8" borderId="0" xfId="0" applyFont="1" applyFill="1" applyAlignment="1">
      <alignment horizontal="left" vertical="center"/>
    </xf>
    <xf numFmtId="0" fontId="20" fillId="8" borderId="59" xfId="0" applyFont="1" applyFill="1" applyBorder="1" applyAlignment="1">
      <alignment horizontal="left" vertical="center" wrapText="1"/>
    </xf>
    <xf numFmtId="0" fontId="20" fillId="8" borderId="60" xfId="0" applyFont="1" applyFill="1" applyBorder="1" applyAlignment="1">
      <alignment horizontal="left" vertical="center" wrapText="1"/>
    </xf>
    <xf numFmtId="2" fontId="0" fillId="8" borderId="1" xfId="0" applyNumberFormat="1" applyFill="1" applyBorder="1" applyAlignment="1">
      <alignment horizontal="center" vertical="center"/>
    </xf>
    <xf numFmtId="2" fontId="0" fillId="8" borderId="10" xfId="0" applyNumberFormat="1" applyFill="1" applyBorder="1" applyAlignment="1">
      <alignment horizontal="center" vertical="center"/>
    </xf>
    <xf numFmtId="0" fontId="0" fillId="0" borderId="5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14" xfId="0" applyBorder="1" applyAlignment="1">
      <alignment horizontal="center" vertical="center"/>
    </xf>
    <xf numFmtId="165" fontId="78" fillId="2" borderId="53" xfId="0" applyNumberFormat="1" applyFont="1" applyFill="1" applyBorder="1" applyAlignment="1">
      <alignment horizontal="center" wrapText="1"/>
    </xf>
    <xf numFmtId="0" fontId="75" fillId="7" borderId="35" xfId="0" applyFont="1" applyFill="1" applyBorder="1" applyAlignment="1">
      <alignment horizontal="center" vertical="center" wrapText="1"/>
    </xf>
    <xf numFmtId="0" fontId="75" fillId="7" borderId="73" xfId="0" applyFont="1" applyFill="1" applyBorder="1" applyAlignment="1">
      <alignment horizontal="center" vertical="center" wrapText="1"/>
    </xf>
    <xf numFmtId="0" fontId="76" fillId="7" borderId="72" xfId="0" applyFont="1" applyFill="1" applyBorder="1" applyAlignment="1">
      <alignment horizontal="center" vertical="center" wrapText="1"/>
    </xf>
    <xf numFmtId="0" fontId="76" fillId="7" borderId="35" xfId="0" applyFont="1" applyFill="1" applyBorder="1" applyAlignment="1">
      <alignment horizontal="center" vertical="center" wrapText="1"/>
    </xf>
    <xf numFmtId="0" fontId="76" fillId="7" borderId="73" xfId="0" applyFont="1" applyFill="1" applyBorder="1" applyAlignment="1">
      <alignment horizontal="center" vertical="center" wrapText="1"/>
    </xf>
    <xf numFmtId="0" fontId="76" fillId="7" borderId="25" xfId="0" applyFont="1" applyFill="1" applyBorder="1" applyAlignment="1">
      <alignment horizontal="center" vertical="center" wrapText="1"/>
    </xf>
    <xf numFmtId="0" fontId="0" fillId="0" borderId="8" xfId="0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0" fillId="0" borderId="10" xfId="0" applyBorder="1" applyAlignment="1">
      <alignment horizontal="center" vertical="center"/>
    </xf>
    <xf numFmtId="0" fontId="0" fillId="0" borderId="13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133" fillId="8" borderId="55" xfId="0" applyFont="1" applyFill="1" applyBorder="1" applyAlignment="1">
      <alignment horizontal="center" vertical="center" wrapText="1"/>
    </xf>
    <xf numFmtId="0" fontId="133" fillId="8" borderId="31" xfId="0" applyFont="1" applyFill="1" applyBorder="1" applyAlignment="1">
      <alignment horizontal="center" vertical="center" wrapText="1"/>
    </xf>
    <xf numFmtId="0" fontId="133" fillId="8" borderId="13" xfId="0" applyFont="1" applyFill="1" applyBorder="1" applyAlignment="1">
      <alignment horizontal="center" vertical="center" wrapText="1"/>
    </xf>
    <xf numFmtId="0" fontId="133" fillId="8" borderId="12" xfId="0" applyFont="1" applyFill="1" applyBorder="1" applyAlignment="1">
      <alignment horizontal="center" vertical="center" wrapText="1"/>
    </xf>
    <xf numFmtId="0" fontId="78" fillId="2" borderId="0" xfId="0" applyFont="1" applyFill="1" applyAlignment="1">
      <alignment horizontal="center"/>
    </xf>
    <xf numFmtId="0" fontId="25" fillId="2" borderId="0" xfId="0" applyFont="1" applyFill="1" applyAlignment="1">
      <alignment horizontal="center"/>
    </xf>
    <xf numFmtId="0" fontId="0" fillId="0" borderId="57" xfId="0" applyBorder="1"/>
    <xf numFmtId="0" fontId="0" fillId="0" borderId="0" xfId="0"/>
    <xf numFmtId="165" fontId="8" fillId="7" borderId="19" xfId="0" applyNumberFormat="1" applyFont="1" applyFill="1" applyBorder="1" applyAlignment="1">
      <alignment horizontal="center" vertical="center" textRotation="90"/>
    </xf>
    <xf numFmtId="165" fontId="8" fillId="7" borderId="20" xfId="0" applyNumberFormat="1" applyFont="1" applyFill="1" applyBorder="1" applyAlignment="1">
      <alignment horizontal="center" vertical="center" textRotation="90"/>
    </xf>
    <xf numFmtId="165" fontId="8" fillId="7" borderId="21" xfId="0" applyNumberFormat="1" applyFont="1" applyFill="1" applyBorder="1" applyAlignment="1">
      <alignment horizontal="center" vertical="center" textRotation="90"/>
    </xf>
    <xf numFmtId="1" fontId="103" fillId="2" borderId="101" xfId="0" applyNumberFormat="1" applyFont="1" applyFill="1" applyBorder="1" applyAlignment="1">
      <alignment horizontal="center" vertical="top" wrapText="1"/>
    </xf>
    <xf numFmtId="0" fontId="12" fillId="8" borderId="68" xfId="2" applyFill="1" applyBorder="1" applyAlignment="1" applyProtection="1">
      <alignment horizontal="center" vertical="center"/>
    </xf>
    <xf numFmtId="0" fontId="12" fillId="8" borderId="37" xfId="2" applyFill="1" applyBorder="1" applyAlignment="1" applyProtection="1">
      <alignment horizontal="center" vertical="center"/>
    </xf>
    <xf numFmtId="0" fontId="12" fillId="8" borderId="49" xfId="2" applyFill="1" applyBorder="1" applyAlignment="1" applyProtection="1">
      <alignment horizontal="center" vertical="center"/>
    </xf>
    <xf numFmtId="165" fontId="8" fillId="7" borderId="32" xfId="0" applyNumberFormat="1" applyFont="1" applyFill="1" applyBorder="1" applyAlignment="1">
      <alignment horizontal="center"/>
    </xf>
    <xf numFmtId="165" fontId="8" fillId="7" borderId="46" xfId="0" applyNumberFormat="1" applyFont="1" applyFill="1" applyBorder="1" applyAlignment="1">
      <alignment horizontal="center"/>
    </xf>
    <xf numFmtId="165" fontId="25" fillId="2" borderId="0" xfId="0" applyNumberFormat="1" applyFont="1" applyFill="1" applyAlignment="1">
      <alignment horizontal="center" vertical="center"/>
    </xf>
    <xf numFmtId="0" fontId="26" fillId="8" borderId="55" xfId="0" applyFont="1" applyFill="1" applyBorder="1" applyAlignment="1">
      <alignment horizontal="center" vertical="center" wrapText="1"/>
    </xf>
    <xf numFmtId="0" fontId="26" fillId="8" borderId="31" xfId="0" applyFont="1" applyFill="1" applyBorder="1" applyAlignment="1">
      <alignment horizontal="center" vertical="center" wrapText="1"/>
    </xf>
    <xf numFmtId="0" fontId="2" fillId="2" borderId="31" xfId="0" applyFont="1" applyFill="1" applyBorder="1" applyAlignment="1">
      <alignment vertical="center" wrapText="1"/>
    </xf>
    <xf numFmtId="0" fontId="2" fillId="2" borderId="1" xfId="0" applyFont="1" applyFill="1" applyBorder="1" applyAlignment="1">
      <alignment vertical="center" wrapText="1"/>
    </xf>
    <xf numFmtId="2" fontId="20" fillId="8" borderId="1" xfId="0" applyNumberFormat="1" applyFont="1" applyFill="1" applyBorder="1" applyAlignment="1">
      <alignment horizontal="center" vertical="center" wrapText="1"/>
    </xf>
    <xf numFmtId="2" fontId="20" fillId="8" borderId="10" xfId="0" applyNumberFormat="1" applyFont="1" applyFill="1" applyBorder="1" applyAlignment="1">
      <alignment horizontal="center" vertical="center" wrapText="1"/>
    </xf>
    <xf numFmtId="1" fontId="78" fillId="2" borderId="76" xfId="0" applyNumberFormat="1" applyFont="1" applyFill="1" applyBorder="1" applyAlignment="1">
      <alignment horizontal="center" vertical="center" wrapText="1"/>
    </xf>
    <xf numFmtId="0" fontId="3" fillId="7" borderId="22" xfId="0" applyFont="1" applyFill="1" applyBorder="1" applyAlignment="1">
      <alignment horizontal="center" vertical="center" wrapText="1"/>
    </xf>
    <xf numFmtId="0" fontId="3" fillId="7" borderId="27" xfId="0" applyFont="1" applyFill="1" applyBorder="1" applyAlignment="1">
      <alignment horizontal="center" vertical="center" wrapText="1"/>
    </xf>
    <xf numFmtId="0" fontId="86" fillId="2" borderId="0" xfId="2" applyFont="1" applyFill="1" applyAlignment="1" applyProtection="1">
      <alignment horizontal="left" vertical="center"/>
    </xf>
    <xf numFmtId="1" fontId="103" fillId="2" borderId="0" xfId="0" applyNumberFormat="1" applyFont="1" applyFill="1" applyAlignment="1">
      <alignment horizontal="center" vertical="center" wrapText="1"/>
    </xf>
    <xf numFmtId="0" fontId="2" fillId="2" borderId="12" xfId="0" applyFont="1" applyFill="1" applyBorder="1" applyAlignment="1">
      <alignment vertical="center" wrapText="1"/>
    </xf>
    <xf numFmtId="165" fontId="20" fillId="5" borderId="54" xfId="0" applyNumberFormat="1" applyFont="1" applyFill="1" applyBorder="1" applyAlignment="1">
      <alignment horizontal="center" vertical="center" wrapText="1"/>
    </xf>
    <xf numFmtId="165" fontId="20" fillId="5" borderId="57" xfId="0" applyNumberFormat="1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left" vertical="center" wrapText="1"/>
    </xf>
    <xf numFmtId="2" fontId="20" fillId="8" borderId="9" xfId="0" applyNumberFormat="1" applyFont="1" applyFill="1" applyBorder="1" applyAlignment="1">
      <alignment horizontal="center" vertical="center" wrapText="1"/>
    </xf>
    <xf numFmtId="2" fontId="20" fillId="8" borderId="14" xfId="0" applyNumberFormat="1" applyFont="1" applyFill="1" applyBorder="1" applyAlignment="1">
      <alignment horizontal="center" vertical="center" wrapText="1"/>
    </xf>
    <xf numFmtId="2" fontId="52" fillId="8" borderId="46" xfId="0" applyNumberFormat="1" applyFont="1" applyFill="1" applyBorder="1" applyAlignment="1">
      <alignment horizontal="center" vertical="center"/>
    </xf>
    <xf numFmtId="2" fontId="52" fillId="8" borderId="34" xfId="0" applyNumberFormat="1" applyFont="1" applyFill="1" applyBorder="1" applyAlignment="1">
      <alignment horizontal="center" vertical="center"/>
    </xf>
    <xf numFmtId="0" fontId="20" fillId="13" borderId="0" xfId="0" applyFont="1" applyFill="1" applyAlignment="1">
      <alignment horizontal="left" vertical="center"/>
    </xf>
    <xf numFmtId="0" fontId="3" fillId="7" borderId="73" xfId="0" applyFont="1" applyFill="1" applyBorder="1" applyAlignment="1">
      <alignment horizontal="center" vertical="center" wrapText="1"/>
    </xf>
    <xf numFmtId="0" fontId="26" fillId="8" borderId="32" xfId="0" applyFont="1" applyFill="1" applyBorder="1" applyAlignment="1">
      <alignment horizontal="center" vertical="center" wrapText="1"/>
    </xf>
    <xf numFmtId="0" fontId="26" fillId="8" borderId="46" xfId="0" applyFont="1" applyFill="1" applyBorder="1" applyAlignment="1">
      <alignment horizontal="center" vertical="center" wrapText="1"/>
    </xf>
    <xf numFmtId="0" fontId="20" fillId="7" borderId="58" xfId="0" applyFont="1" applyFill="1" applyBorder="1" applyAlignment="1">
      <alignment horizontal="center" vertical="center" wrapText="1"/>
    </xf>
    <xf numFmtId="0" fontId="2" fillId="2" borderId="46" xfId="0" applyFont="1" applyFill="1" applyBorder="1" applyAlignment="1">
      <alignment horizontal="left" vertical="center" wrapText="1"/>
    </xf>
    <xf numFmtId="165" fontId="8" fillId="7" borderId="22" xfId="0" applyNumberFormat="1" applyFont="1" applyFill="1" applyBorder="1" applyAlignment="1">
      <alignment horizontal="center" vertical="center" textRotation="90"/>
    </xf>
    <xf numFmtId="165" fontId="8" fillId="7" borderId="33" xfId="0" applyNumberFormat="1" applyFont="1" applyFill="1" applyBorder="1" applyAlignment="1">
      <alignment horizontal="center" vertical="center" textRotation="90"/>
    </xf>
    <xf numFmtId="165" fontId="8" fillId="7" borderId="17" xfId="0" applyNumberFormat="1" applyFont="1" applyFill="1" applyBorder="1" applyAlignment="1">
      <alignment horizontal="center" vertical="center" textRotation="90"/>
    </xf>
    <xf numFmtId="165" fontId="8" fillId="7" borderId="45" xfId="0" applyNumberFormat="1" applyFont="1" applyFill="1" applyBorder="1" applyAlignment="1">
      <alignment horizontal="center" vertical="center" textRotation="90"/>
    </xf>
    <xf numFmtId="165" fontId="8" fillId="7" borderId="29" xfId="0" applyNumberFormat="1" applyFont="1" applyFill="1" applyBorder="1" applyAlignment="1">
      <alignment horizontal="center" vertical="center" textRotation="90"/>
    </xf>
    <xf numFmtId="165" fontId="8" fillId="7" borderId="30" xfId="0" applyNumberFormat="1" applyFont="1" applyFill="1" applyBorder="1" applyAlignment="1">
      <alignment horizontal="center" vertical="center" textRotation="90"/>
    </xf>
    <xf numFmtId="0" fontId="82" fillId="2" borderId="0" xfId="0" applyFont="1" applyFill="1" applyAlignment="1">
      <alignment horizontal="center"/>
    </xf>
    <xf numFmtId="0" fontId="20" fillId="8" borderId="0" xfId="0" applyFont="1" applyFill="1" applyAlignment="1">
      <alignment horizontal="center" vertical="center"/>
    </xf>
    <xf numFmtId="0" fontId="32" fillId="2" borderId="0" xfId="0" applyFont="1" applyFill="1" applyAlignment="1">
      <alignment horizontal="center" vertical="center"/>
    </xf>
    <xf numFmtId="165" fontId="78" fillId="2" borderId="0" xfId="0" applyNumberFormat="1" applyFont="1" applyFill="1" applyAlignment="1">
      <alignment horizontal="center" vertical="center"/>
    </xf>
    <xf numFmtId="165" fontId="8" fillId="7" borderId="57" xfId="0" applyNumberFormat="1" applyFont="1" applyFill="1" applyBorder="1" applyAlignment="1">
      <alignment horizontal="center"/>
    </xf>
    <xf numFmtId="165" fontId="8" fillId="7" borderId="0" xfId="0" applyNumberFormat="1" applyFont="1" applyFill="1" applyAlignment="1">
      <alignment horizontal="center"/>
    </xf>
    <xf numFmtId="165" fontId="8" fillId="7" borderId="64" xfId="0" applyNumberFormat="1" applyFont="1" applyFill="1" applyBorder="1" applyAlignment="1">
      <alignment horizontal="center" vertical="center" textRotation="90"/>
    </xf>
    <xf numFmtId="165" fontId="8" fillId="7" borderId="57" xfId="0" applyNumberFormat="1" applyFont="1" applyFill="1" applyBorder="1" applyAlignment="1">
      <alignment horizontal="center" vertical="center" textRotation="90"/>
    </xf>
    <xf numFmtId="165" fontId="8" fillId="7" borderId="81" xfId="0" applyNumberFormat="1" applyFont="1" applyFill="1" applyBorder="1" applyAlignment="1">
      <alignment horizontal="center" vertical="center" textRotation="90"/>
    </xf>
    <xf numFmtId="0" fontId="25" fillId="2" borderId="53" xfId="0" applyFont="1" applyFill="1" applyBorder="1" applyAlignment="1">
      <alignment horizontal="left" vertical="center" wrapText="1"/>
    </xf>
    <xf numFmtId="1" fontId="54" fillId="2" borderId="53" xfId="0" applyNumberFormat="1" applyFont="1" applyFill="1" applyBorder="1" applyAlignment="1">
      <alignment horizontal="left" vertical="center" wrapText="1"/>
    </xf>
    <xf numFmtId="0" fontId="0" fillId="2" borderId="0" xfId="0" applyFill="1" applyAlignment="1">
      <alignment horizontal="center"/>
    </xf>
    <xf numFmtId="0" fontId="26" fillId="8" borderId="66" xfId="0" applyFont="1" applyFill="1" applyBorder="1" applyAlignment="1">
      <alignment horizontal="center" vertical="center" wrapText="1"/>
    </xf>
    <xf numFmtId="0" fontId="26" fillId="8" borderId="76" xfId="0" applyFont="1" applyFill="1" applyBorder="1" applyAlignment="1">
      <alignment horizontal="center" vertical="center" wrapText="1"/>
    </xf>
    <xf numFmtId="0" fontId="2" fillId="2" borderId="79" xfId="0" applyFont="1" applyFill="1" applyBorder="1" applyAlignment="1">
      <alignment horizontal="left" vertical="center" wrapText="1"/>
    </xf>
    <xf numFmtId="0" fontId="2" fillId="2" borderId="76" xfId="0" applyFont="1" applyFill="1" applyBorder="1" applyAlignment="1">
      <alignment horizontal="left" vertical="center" wrapText="1"/>
    </xf>
    <xf numFmtId="2" fontId="52" fillId="8" borderId="66" xfId="0" applyNumberFormat="1" applyFont="1" applyFill="1" applyBorder="1" applyAlignment="1">
      <alignment horizontal="center" vertical="center"/>
    </xf>
    <xf numFmtId="2" fontId="52" fillId="8" borderId="75" xfId="0" applyNumberFormat="1" applyFont="1" applyFill="1" applyBorder="1" applyAlignment="1">
      <alignment horizontal="center" vertical="center"/>
    </xf>
    <xf numFmtId="0" fontId="8" fillId="2" borderId="0" xfId="0" applyFont="1" applyFill="1" applyAlignment="1">
      <alignment horizontal="center" vertical="center" wrapText="1"/>
    </xf>
    <xf numFmtId="2" fontId="52" fillId="8" borderId="76" xfId="0" applyNumberFormat="1" applyFont="1" applyFill="1" applyBorder="1" applyAlignment="1">
      <alignment horizontal="center" vertical="center"/>
    </xf>
    <xf numFmtId="0" fontId="48" fillId="0" borderId="8" xfId="17" applyFont="1" applyBorder="1" applyAlignment="1">
      <alignment horizontal="left" wrapText="1"/>
    </xf>
    <xf numFmtId="0" fontId="48" fillId="0" borderId="68" xfId="17" applyFont="1" applyBorder="1" applyAlignment="1">
      <alignment horizontal="left" wrapText="1"/>
    </xf>
    <xf numFmtId="0" fontId="0" fillId="0" borderId="12" xfId="0" applyBorder="1" applyAlignment="1">
      <alignment horizontal="center"/>
    </xf>
    <xf numFmtId="0" fontId="48" fillId="0" borderId="29" xfId="17" applyFont="1" applyBorder="1" applyAlignment="1">
      <alignment horizontal="left" wrapText="1"/>
    </xf>
    <xf numFmtId="0" fontId="48" fillId="0" borderId="41" xfId="17" applyFont="1" applyBorder="1" applyAlignment="1">
      <alignment horizontal="left" wrapText="1"/>
    </xf>
    <xf numFmtId="0" fontId="48" fillId="0" borderId="10" xfId="17" applyFont="1" applyBorder="1" applyAlignment="1">
      <alignment horizontal="left" wrapText="1"/>
    </xf>
    <xf numFmtId="0" fontId="54" fillId="2" borderId="0" xfId="0" applyFont="1" applyFill="1" applyAlignment="1">
      <alignment horizontal="center" vertical="center"/>
    </xf>
    <xf numFmtId="0" fontId="88" fillId="2" borderId="0" xfId="0" applyFont="1" applyFill="1" applyAlignment="1">
      <alignment horizontal="center"/>
    </xf>
    <xf numFmtId="0" fontId="77" fillId="0" borderId="0" xfId="0" applyFont="1" applyAlignment="1">
      <alignment horizontal="center"/>
    </xf>
    <xf numFmtId="0" fontId="0" fillId="7" borderId="19" xfId="0" applyFill="1" applyBorder="1" applyAlignment="1">
      <alignment horizontal="center" vertical="center" textRotation="90"/>
    </xf>
    <xf numFmtId="0" fontId="0" fillId="7" borderId="20" xfId="0" applyFill="1" applyBorder="1" applyAlignment="1">
      <alignment horizontal="center" vertical="center" textRotation="90"/>
    </xf>
    <xf numFmtId="0" fontId="0" fillId="7" borderId="21" xfId="0" applyFill="1" applyBorder="1" applyAlignment="1">
      <alignment horizontal="center" vertical="center" textRotation="90"/>
    </xf>
    <xf numFmtId="0" fontId="0" fillId="7" borderId="23" xfId="0" applyFill="1" applyBorder="1" applyAlignment="1">
      <alignment horizontal="center" vertical="center" textRotation="90"/>
    </xf>
    <xf numFmtId="0" fontId="0" fillId="7" borderId="77" xfId="0" applyFill="1" applyBorder="1" applyAlignment="1">
      <alignment horizontal="center" vertical="center" textRotation="90"/>
    </xf>
    <xf numFmtId="0" fontId="0" fillId="7" borderId="78" xfId="0" applyFill="1" applyBorder="1" applyAlignment="1">
      <alignment horizontal="center" vertical="center" textRotation="90"/>
    </xf>
    <xf numFmtId="0" fontId="112" fillId="9" borderId="46" xfId="16" applyFont="1" applyFill="1" applyBorder="1" applyAlignment="1">
      <alignment horizontal="center" vertical="center" wrapText="1"/>
    </xf>
    <xf numFmtId="0" fontId="112" fillId="9" borderId="79" xfId="16" applyFont="1" applyFill="1" applyBorder="1" applyAlignment="1">
      <alignment horizontal="center" vertical="center" wrapText="1"/>
    </xf>
    <xf numFmtId="0" fontId="112" fillId="9" borderId="32" xfId="16" applyFont="1" applyFill="1" applyBorder="1" applyAlignment="1">
      <alignment horizontal="center" vertical="center" wrapText="1"/>
    </xf>
    <xf numFmtId="0" fontId="112" fillId="9" borderId="34" xfId="16" applyFont="1" applyFill="1" applyBorder="1" applyAlignment="1">
      <alignment horizontal="center" vertical="center" wrapText="1"/>
    </xf>
    <xf numFmtId="165" fontId="78" fillId="2" borderId="101" xfId="0" applyNumberFormat="1" applyFont="1" applyFill="1" applyBorder="1" applyAlignment="1">
      <alignment horizontal="center" vertical="center" wrapText="1"/>
    </xf>
    <xf numFmtId="0" fontId="112" fillId="9" borderId="22" xfId="16" applyFont="1" applyFill="1" applyBorder="1" applyAlignment="1">
      <alignment horizontal="center" vertical="center" wrapText="1"/>
    </xf>
    <xf numFmtId="0" fontId="112" fillId="9" borderId="27" xfId="16" applyFont="1" applyFill="1" applyBorder="1" applyAlignment="1">
      <alignment horizontal="center" vertical="center" wrapText="1"/>
    </xf>
    <xf numFmtId="0" fontId="112" fillId="9" borderId="72" xfId="16" applyFont="1" applyFill="1" applyBorder="1" applyAlignment="1">
      <alignment horizontal="center" vertical="center" wrapText="1"/>
    </xf>
    <xf numFmtId="0" fontId="48" fillId="0" borderId="7" xfId="17" applyFont="1" applyBorder="1" applyAlignment="1">
      <alignment horizontal="left" wrapText="1"/>
    </xf>
    <xf numFmtId="0" fontId="48" fillId="0" borderId="48" xfId="17" applyFont="1" applyBorder="1" applyAlignment="1">
      <alignment horizontal="left" wrapText="1"/>
    </xf>
    <xf numFmtId="0" fontId="112" fillId="9" borderId="24" xfId="16" applyFont="1" applyFill="1" applyBorder="1" applyAlignment="1">
      <alignment horizontal="center" vertical="center" wrapText="1"/>
    </xf>
    <xf numFmtId="0" fontId="112" fillId="9" borderId="66" xfId="16" applyFont="1" applyFill="1" applyBorder="1" applyAlignment="1">
      <alignment horizontal="center" vertical="center" wrapText="1"/>
    </xf>
    <xf numFmtId="0" fontId="112" fillId="9" borderId="75" xfId="16" applyFont="1" applyFill="1" applyBorder="1" applyAlignment="1">
      <alignment horizontal="center" vertical="center" wrapText="1"/>
    </xf>
    <xf numFmtId="0" fontId="112" fillId="9" borderId="58" xfId="16" applyFont="1" applyFill="1" applyBorder="1" applyAlignment="1">
      <alignment horizontal="center" vertical="center" wrapText="1"/>
    </xf>
    <xf numFmtId="0" fontId="112" fillId="9" borderId="73" xfId="16" applyFont="1" applyFill="1" applyBorder="1" applyAlignment="1">
      <alignment horizontal="center" vertical="center" wrapText="1"/>
    </xf>
    <xf numFmtId="0" fontId="48" fillId="0" borderId="45" xfId="17" applyFont="1" applyBorder="1" applyAlignment="1">
      <alignment horizontal="left" wrapText="1"/>
    </xf>
    <xf numFmtId="0" fontId="48" fillId="0" borderId="15" xfId="17" applyFont="1" applyBorder="1" applyAlignment="1">
      <alignment horizontal="left" wrapText="1"/>
    </xf>
    <xf numFmtId="0" fontId="139" fillId="0" borderId="12" xfId="0" applyFont="1" applyBorder="1" applyAlignment="1">
      <alignment horizontal="left"/>
    </xf>
    <xf numFmtId="0" fontId="48" fillId="0" borderId="1" xfId="17" applyFont="1" applyBorder="1" applyAlignment="1">
      <alignment horizontal="left" wrapText="1"/>
    </xf>
    <xf numFmtId="0" fontId="14" fillId="9" borderId="23" xfId="7" applyFill="1" applyBorder="1" applyAlignment="1">
      <alignment horizontal="center" vertical="center" textRotation="90"/>
    </xf>
    <xf numFmtId="0" fontId="14" fillId="9" borderId="77" xfId="7" applyFill="1" applyBorder="1" applyAlignment="1">
      <alignment horizontal="center" vertical="center" textRotation="90"/>
    </xf>
    <xf numFmtId="0" fontId="14" fillId="9" borderId="78" xfId="7" applyFill="1" applyBorder="1" applyAlignment="1">
      <alignment horizontal="center" vertical="center" textRotation="90"/>
    </xf>
    <xf numFmtId="165" fontId="20" fillId="5" borderId="64" xfId="7" applyNumberFormat="1" applyFont="1" applyFill="1" applyBorder="1" applyAlignment="1">
      <alignment horizontal="center" vertical="center" wrapText="1"/>
    </xf>
    <xf numFmtId="165" fontId="20" fillId="5" borderId="25" xfId="7" applyNumberFormat="1" applyFont="1" applyFill="1" applyBorder="1" applyAlignment="1">
      <alignment horizontal="center" vertical="center" wrapText="1"/>
    </xf>
    <xf numFmtId="165" fontId="20" fillId="5" borderId="57" xfId="7" applyNumberFormat="1" applyFont="1" applyFill="1" applyBorder="1" applyAlignment="1">
      <alignment horizontal="center" vertical="center" wrapText="1"/>
    </xf>
    <xf numFmtId="165" fontId="20" fillId="5" borderId="54" xfId="7" applyNumberFormat="1" applyFont="1" applyFill="1" applyBorder="1" applyAlignment="1">
      <alignment horizontal="center" vertical="center" wrapText="1"/>
    </xf>
    <xf numFmtId="165" fontId="8" fillId="9" borderId="66" xfId="7" applyNumberFormat="1" applyFont="1" applyFill="1" applyBorder="1" applyAlignment="1">
      <alignment horizontal="center"/>
    </xf>
    <xf numFmtId="165" fontId="8" fillId="9" borderId="76" xfId="7" applyNumberFormat="1" applyFont="1" applyFill="1" applyBorder="1" applyAlignment="1">
      <alignment horizontal="center"/>
    </xf>
    <xf numFmtId="165" fontId="8" fillId="9" borderId="75" xfId="7" applyNumberFormat="1" applyFont="1" applyFill="1" applyBorder="1" applyAlignment="1">
      <alignment horizontal="center"/>
    </xf>
    <xf numFmtId="165" fontId="8" fillId="7" borderId="34" xfId="0" applyNumberFormat="1" applyFont="1" applyFill="1" applyBorder="1" applyAlignment="1">
      <alignment horizontal="center"/>
    </xf>
    <xf numFmtId="0" fontId="88" fillId="9" borderId="8" xfId="0" applyFont="1" applyFill="1" applyBorder="1" applyAlignment="1">
      <alignment horizontal="center" vertical="center"/>
    </xf>
    <xf numFmtId="0" fontId="88" fillId="9" borderId="13" xfId="0" applyFont="1" applyFill="1" applyBorder="1" applyAlignment="1">
      <alignment horizontal="center" vertical="center"/>
    </xf>
    <xf numFmtId="0" fontId="88" fillId="7" borderId="64" xfId="0" applyFont="1" applyFill="1" applyBorder="1" applyAlignment="1">
      <alignment horizontal="center" vertical="center" wrapText="1"/>
    </xf>
    <xf numFmtId="0" fontId="88" fillId="7" borderId="25" xfId="0" applyFont="1" applyFill="1" applyBorder="1" applyAlignment="1">
      <alignment horizontal="center" vertical="center" wrapText="1"/>
    </xf>
    <xf numFmtId="0" fontId="88" fillId="0" borderId="8" xfId="0" applyFont="1" applyBorder="1" applyAlignment="1">
      <alignment horizontal="center" vertical="center"/>
    </xf>
    <xf numFmtId="0" fontId="88" fillId="0" borderId="5" xfId="0" applyFont="1" applyBorder="1" applyAlignment="1">
      <alignment horizontal="center" vertical="center"/>
    </xf>
    <xf numFmtId="0" fontId="88" fillId="9" borderId="55" xfId="0" applyFont="1" applyFill="1" applyBorder="1" applyAlignment="1">
      <alignment horizontal="center" vertical="center"/>
    </xf>
    <xf numFmtId="0" fontId="88" fillId="9" borderId="33" xfId="0" applyFont="1" applyFill="1" applyBorder="1" applyAlignment="1">
      <alignment horizontal="center" vertical="center"/>
    </xf>
    <xf numFmtId="0" fontId="88" fillId="9" borderId="7" xfId="0" applyFont="1" applyFill="1" applyBorder="1" applyAlignment="1">
      <alignment horizontal="center" vertical="center"/>
    </xf>
    <xf numFmtId="165" fontId="20" fillId="2" borderId="0" xfId="0" applyNumberFormat="1" applyFont="1" applyFill="1" applyAlignment="1">
      <alignment horizontal="left" vertical="center" wrapText="1"/>
    </xf>
    <xf numFmtId="1" fontId="54" fillId="8" borderId="53" xfId="0" applyNumberFormat="1" applyFont="1" applyFill="1" applyBorder="1" applyAlignment="1">
      <alignment horizontal="left" vertical="center" wrapText="1"/>
    </xf>
    <xf numFmtId="165" fontId="20" fillId="2" borderId="0" xfId="0" applyNumberFormat="1" applyFont="1" applyFill="1" applyAlignment="1">
      <alignment horizontal="center" vertical="center"/>
    </xf>
    <xf numFmtId="165" fontId="8" fillId="7" borderId="66" xfId="0" applyNumberFormat="1" applyFont="1" applyFill="1" applyBorder="1" applyAlignment="1">
      <alignment horizontal="center" vertical="center"/>
    </xf>
    <xf numFmtId="165" fontId="8" fillId="7" borderId="76" xfId="0" applyNumberFormat="1" applyFont="1" applyFill="1" applyBorder="1" applyAlignment="1">
      <alignment horizontal="center" vertical="center"/>
    </xf>
    <xf numFmtId="165" fontId="8" fillId="7" borderId="75" xfId="0" applyNumberFormat="1" applyFont="1" applyFill="1" applyBorder="1" applyAlignment="1">
      <alignment horizontal="center" vertical="center"/>
    </xf>
    <xf numFmtId="0" fontId="20" fillId="2" borderId="45" xfId="0" applyFont="1" applyFill="1" applyBorder="1" applyAlignment="1">
      <alignment horizontal="center" vertical="center"/>
    </xf>
    <xf numFmtId="0" fontId="20" fillId="2" borderId="39" xfId="0" applyFont="1" applyFill="1" applyBorder="1" applyAlignment="1">
      <alignment horizontal="center" vertical="center"/>
    </xf>
    <xf numFmtId="0" fontId="20" fillId="2" borderId="29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133" fillId="8" borderId="68" xfId="2" applyFont="1" applyFill="1" applyBorder="1" applyAlignment="1" applyProtection="1">
      <alignment horizontal="left" vertical="center" wrapText="1"/>
    </xf>
    <xf numFmtId="0" fontId="133" fillId="8" borderId="37" xfId="2" applyFont="1" applyFill="1" applyBorder="1" applyAlignment="1" applyProtection="1">
      <alignment horizontal="left" vertical="center" wrapText="1"/>
    </xf>
    <xf numFmtId="0" fontId="133" fillId="8" borderId="49" xfId="2" applyFont="1" applyFill="1" applyBorder="1" applyAlignment="1" applyProtection="1">
      <alignment horizontal="left" vertical="center" wrapText="1"/>
    </xf>
    <xf numFmtId="2" fontId="20" fillId="2" borderId="30" xfId="0" applyNumberFormat="1" applyFont="1" applyFill="1" applyBorder="1" applyAlignment="1">
      <alignment horizontal="center" vertical="center"/>
    </xf>
    <xf numFmtId="2" fontId="20" fillId="2" borderId="50" xfId="0" applyNumberFormat="1" applyFont="1" applyFill="1" applyBorder="1" applyAlignment="1">
      <alignment horizontal="center" vertical="center"/>
    </xf>
    <xf numFmtId="165" fontId="20" fillId="5" borderId="0" xfId="0" applyNumberFormat="1" applyFont="1" applyFill="1" applyAlignment="1">
      <alignment horizontal="center" vertical="center" wrapText="1"/>
    </xf>
    <xf numFmtId="165" fontId="0" fillId="7" borderId="19" xfId="0" applyNumberFormat="1" applyFill="1" applyBorder="1" applyAlignment="1">
      <alignment horizontal="center" vertical="center" textRotation="90"/>
    </xf>
    <xf numFmtId="165" fontId="0" fillId="7" borderId="20" xfId="0" applyNumberFormat="1" applyFill="1" applyBorder="1" applyAlignment="1">
      <alignment horizontal="center" vertical="center" textRotation="90"/>
    </xf>
    <xf numFmtId="165" fontId="0" fillId="7" borderId="21" xfId="0" applyNumberFormat="1" applyFill="1" applyBorder="1" applyAlignment="1">
      <alignment horizontal="center" vertical="center" textRotation="90"/>
    </xf>
    <xf numFmtId="165" fontId="0" fillId="7" borderId="32" xfId="0" applyNumberFormat="1" applyFill="1" applyBorder="1" applyAlignment="1">
      <alignment horizontal="center" vertical="center"/>
    </xf>
    <xf numFmtId="165" fontId="0" fillId="7" borderId="46" xfId="0" applyNumberFormat="1" applyFill="1" applyBorder="1" applyAlignment="1">
      <alignment horizontal="center" vertical="center"/>
    </xf>
    <xf numFmtId="165" fontId="16" fillId="2" borderId="5" xfId="0" applyNumberFormat="1" applyFont="1" applyFill="1" applyBorder="1" applyAlignment="1">
      <alignment horizontal="center" vertical="center"/>
    </xf>
    <xf numFmtId="165" fontId="16" fillId="2" borderId="9" xfId="0" applyNumberFormat="1" applyFont="1" applyFill="1" applyBorder="1" applyAlignment="1">
      <alignment horizontal="center" vertical="center"/>
    </xf>
    <xf numFmtId="165" fontId="16" fillId="2" borderId="14" xfId="0" applyNumberFormat="1" applyFont="1" applyFill="1" applyBorder="1" applyAlignment="1">
      <alignment horizontal="center" vertical="center"/>
    </xf>
    <xf numFmtId="2" fontId="16" fillId="2" borderId="8" xfId="0" applyNumberFormat="1" applyFont="1" applyFill="1" applyBorder="1" applyAlignment="1">
      <alignment horizontal="center" vertical="center"/>
    </xf>
    <xf numFmtId="2" fontId="16" fillId="2" borderId="1" xfId="0" applyNumberFormat="1" applyFont="1" applyFill="1" applyBorder="1" applyAlignment="1">
      <alignment horizontal="center" vertical="center"/>
    </xf>
    <xf numFmtId="2" fontId="16" fillId="2" borderId="10" xfId="0" applyNumberFormat="1" applyFont="1" applyFill="1" applyBorder="1" applyAlignment="1">
      <alignment horizontal="center" vertical="center"/>
    </xf>
    <xf numFmtId="2" fontId="16" fillId="2" borderId="13" xfId="0" applyNumberFormat="1" applyFont="1" applyFill="1" applyBorder="1" applyAlignment="1">
      <alignment horizontal="center" vertical="center"/>
    </xf>
    <xf numFmtId="0" fontId="20" fillId="7" borderId="35" xfId="0" applyFont="1" applyFill="1" applyBorder="1" applyAlignment="1">
      <alignment horizontal="center" vertical="center"/>
    </xf>
    <xf numFmtId="0" fontId="20" fillId="7" borderId="25" xfId="0" applyFont="1" applyFill="1" applyBorder="1" applyAlignment="1">
      <alignment horizontal="center" vertical="center"/>
    </xf>
    <xf numFmtId="2" fontId="20" fillId="2" borderId="38" xfId="0" applyNumberFormat="1" applyFont="1" applyFill="1" applyBorder="1" applyAlignment="1">
      <alignment horizontal="center" vertical="center"/>
    </xf>
    <xf numFmtId="0" fontId="20" fillId="8" borderId="54" xfId="0" applyFont="1" applyFill="1" applyBorder="1" applyAlignment="1">
      <alignment horizontal="center" vertical="center" wrapText="1"/>
    </xf>
    <xf numFmtId="165" fontId="8" fillId="8" borderId="0" xfId="0" applyNumberFormat="1" applyFont="1" applyFill="1" applyAlignment="1">
      <alignment horizontal="left" vertical="center" wrapText="1"/>
    </xf>
    <xf numFmtId="165" fontId="8" fillId="7" borderId="19" xfId="20" applyNumberFormat="1" applyFont="1" applyFill="1" applyBorder="1" applyAlignment="1">
      <alignment horizontal="center" vertical="center" textRotation="90"/>
    </xf>
    <xf numFmtId="165" fontId="8" fillId="7" borderId="20" xfId="20" applyNumberFormat="1" applyFont="1" applyFill="1" applyBorder="1" applyAlignment="1">
      <alignment horizontal="center" vertical="center" textRotation="90"/>
    </xf>
    <xf numFmtId="165" fontId="8" fillId="7" borderId="21" xfId="20" applyNumberFormat="1" applyFont="1" applyFill="1" applyBorder="1" applyAlignment="1">
      <alignment horizontal="center" vertical="center" textRotation="90"/>
    </xf>
    <xf numFmtId="165" fontId="20" fillId="5" borderId="64" xfId="20" applyNumberFormat="1" applyFont="1" applyFill="1" applyBorder="1" applyAlignment="1">
      <alignment horizontal="center" vertical="center" wrapText="1"/>
    </xf>
    <xf numFmtId="165" fontId="20" fillId="5" borderId="25" xfId="20" applyNumberFormat="1" applyFont="1" applyFill="1" applyBorder="1" applyAlignment="1">
      <alignment horizontal="center" vertical="center" wrapText="1"/>
    </xf>
    <xf numFmtId="165" fontId="20" fillId="5" borderId="57" xfId="20" applyNumberFormat="1" applyFont="1" applyFill="1" applyBorder="1" applyAlignment="1">
      <alignment horizontal="center" vertical="center" wrapText="1"/>
    </xf>
    <xf numFmtId="165" fontId="20" fillId="5" borderId="54" xfId="20" applyNumberFormat="1" applyFont="1" applyFill="1" applyBorder="1" applyAlignment="1">
      <alignment horizontal="center" vertical="center" wrapText="1"/>
    </xf>
    <xf numFmtId="165" fontId="8" fillId="7" borderId="66" xfId="20" applyNumberFormat="1" applyFont="1" applyFill="1" applyBorder="1" applyAlignment="1">
      <alignment horizontal="center" vertical="center"/>
    </xf>
    <xf numFmtId="165" fontId="8" fillId="7" borderId="76" xfId="20" applyNumberFormat="1" applyFont="1" applyFill="1" applyBorder="1" applyAlignment="1">
      <alignment horizontal="center" vertical="center"/>
    </xf>
    <xf numFmtId="165" fontId="8" fillId="7" borderId="75" xfId="20" applyNumberFormat="1" applyFont="1" applyFill="1" applyBorder="1" applyAlignment="1">
      <alignment horizontal="center" vertical="center"/>
    </xf>
    <xf numFmtId="0" fontId="26" fillId="8" borderId="5" xfId="0" applyFont="1" applyFill="1" applyBorder="1" applyAlignment="1">
      <alignment horizontal="left" vertical="center" wrapText="1"/>
    </xf>
    <xf numFmtId="165" fontId="8" fillId="8" borderId="53" xfId="0" applyNumberFormat="1" applyFont="1" applyFill="1" applyBorder="1" applyAlignment="1">
      <alignment horizontal="left" vertical="center" wrapText="1"/>
    </xf>
    <xf numFmtId="165" fontId="0" fillId="7" borderId="66" xfId="0" applyNumberFormat="1" applyFill="1" applyBorder="1" applyAlignment="1">
      <alignment horizontal="center" vertical="center"/>
    </xf>
    <xf numFmtId="165" fontId="0" fillId="7" borderId="76" xfId="0" applyNumberFormat="1" applyFill="1" applyBorder="1" applyAlignment="1">
      <alignment horizontal="center" vertical="center"/>
    </xf>
    <xf numFmtId="165" fontId="0" fillId="7" borderId="58" xfId="0" applyNumberFormat="1" applyFill="1" applyBorder="1" applyAlignment="1">
      <alignment horizontal="center" vertical="center"/>
    </xf>
    <xf numFmtId="165" fontId="0" fillId="7" borderId="75" xfId="0" applyNumberFormat="1" applyFill="1" applyBorder="1" applyAlignment="1">
      <alignment horizontal="center" vertical="center"/>
    </xf>
    <xf numFmtId="0" fontId="126" fillId="8" borderId="0" xfId="0" applyFont="1" applyFill="1" applyAlignment="1">
      <alignment horizontal="center" vertical="center" wrapText="1"/>
    </xf>
    <xf numFmtId="165" fontId="0" fillId="7" borderId="34" xfId="0" applyNumberFormat="1" applyFill="1" applyBorder="1" applyAlignment="1">
      <alignment horizontal="center" vertical="center"/>
    </xf>
    <xf numFmtId="2" fontId="20" fillId="8" borderId="68" xfId="0" applyNumberFormat="1" applyFont="1" applyFill="1" applyBorder="1" applyAlignment="1">
      <alignment horizontal="center" vertical="center" wrapText="1"/>
    </xf>
    <xf numFmtId="2" fontId="20" fillId="8" borderId="41" xfId="0" applyNumberFormat="1" applyFont="1" applyFill="1" applyBorder="1" applyAlignment="1">
      <alignment horizontal="center" vertical="center" wrapText="1"/>
    </xf>
    <xf numFmtId="165" fontId="78" fillId="2" borderId="0" xfId="0" applyNumberFormat="1" applyFont="1" applyFill="1" applyAlignment="1">
      <alignment horizontal="center" wrapText="1"/>
    </xf>
    <xf numFmtId="0" fontId="75" fillId="7" borderId="45" xfId="0" applyFont="1" applyFill="1" applyBorder="1" applyAlignment="1">
      <alignment horizontal="center" vertical="center" wrapText="1"/>
    </xf>
    <xf numFmtId="0" fontId="75" fillId="7" borderId="39" xfId="0" applyFont="1" applyFill="1" applyBorder="1" applyAlignment="1">
      <alignment horizontal="center" vertical="center" wrapText="1"/>
    </xf>
    <xf numFmtId="0" fontId="75" fillId="7" borderId="6" xfId="0" applyFont="1" applyFill="1" applyBorder="1" applyAlignment="1">
      <alignment horizontal="center" vertical="center" wrapText="1"/>
    </xf>
    <xf numFmtId="0" fontId="76" fillId="7" borderId="67" xfId="0" applyFont="1" applyFill="1" applyBorder="1" applyAlignment="1">
      <alignment horizontal="center" vertical="center" wrapText="1"/>
    </xf>
    <xf numFmtId="0" fontId="76" fillId="7" borderId="6" xfId="0" applyFont="1" applyFill="1" applyBorder="1" applyAlignment="1">
      <alignment horizontal="center" vertical="center" wrapText="1"/>
    </xf>
    <xf numFmtId="0" fontId="76" fillId="7" borderId="15" xfId="0" applyFont="1" applyFill="1" applyBorder="1" applyAlignment="1">
      <alignment horizontal="center" vertical="center" wrapText="1"/>
    </xf>
    <xf numFmtId="2" fontId="20" fillId="8" borderId="12" xfId="0" applyNumberFormat="1" applyFont="1" applyFill="1" applyBorder="1" applyAlignment="1">
      <alignment horizontal="center" vertical="center" wrapText="1"/>
    </xf>
    <xf numFmtId="2" fontId="20" fillId="8" borderId="11" xfId="0" applyNumberFormat="1" applyFont="1" applyFill="1" applyBorder="1" applyAlignment="1">
      <alignment horizontal="center" vertical="center" wrapText="1"/>
    </xf>
    <xf numFmtId="0" fontId="2" fillId="2" borderId="58" xfId="0" applyFont="1" applyFill="1" applyBorder="1" applyAlignment="1">
      <alignment horizontal="left" vertical="center" wrapText="1"/>
    </xf>
    <xf numFmtId="2" fontId="20" fillId="8" borderId="69" xfId="0" applyNumberFormat="1" applyFont="1" applyFill="1" applyBorder="1" applyAlignment="1">
      <alignment horizontal="center" vertical="center" wrapText="1"/>
    </xf>
    <xf numFmtId="2" fontId="20" fillId="8" borderId="42" xfId="0" applyNumberFormat="1" applyFont="1" applyFill="1" applyBorder="1" applyAlignment="1">
      <alignment horizontal="center" vertical="center" wrapText="1"/>
    </xf>
    <xf numFmtId="2" fontId="20" fillId="8" borderId="79" xfId="0" applyNumberFormat="1" applyFont="1" applyFill="1" applyBorder="1" applyAlignment="1">
      <alignment horizontal="center" vertical="center" wrapText="1"/>
    </xf>
    <xf numFmtId="2" fontId="20" fillId="8" borderId="75" xfId="0" applyNumberFormat="1" applyFont="1" applyFill="1" applyBorder="1" applyAlignment="1">
      <alignment horizontal="center" vertical="center" wrapText="1"/>
    </xf>
    <xf numFmtId="0" fontId="2" fillId="2" borderId="69" xfId="0" applyFont="1" applyFill="1" applyBorder="1" applyAlignment="1">
      <alignment horizontal="left" vertical="center" wrapText="1"/>
    </xf>
    <xf numFmtId="0" fontId="2" fillId="2" borderId="38" xfId="0" applyFont="1" applyFill="1" applyBorder="1" applyAlignment="1">
      <alignment horizontal="left" vertical="center" wrapText="1"/>
    </xf>
    <xf numFmtId="0" fontId="2" fillId="2" borderId="50" xfId="0" applyFont="1" applyFill="1" applyBorder="1" applyAlignment="1">
      <alignment horizontal="left" vertical="center" wrapText="1"/>
    </xf>
    <xf numFmtId="165" fontId="8" fillId="7" borderId="35" xfId="0" applyNumberFormat="1" applyFont="1" applyFill="1" applyBorder="1" applyAlignment="1">
      <alignment horizontal="center" vertical="center" textRotation="90"/>
    </xf>
    <xf numFmtId="165" fontId="8" fillId="7" borderId="25" xfId="0" applyNumberFormat="1" applyFont="1" applyFill="1" applyBorder="1" applyAlignment="1">
      <alignment horizontal="center" vertical="center" textRotation="90"/>
    </xf>
    <xf numFmtId="165" fontId="8" fillId="7" borderId="0" xfId="0" applyNumberFormat="1" applyFont="1" applyFill="1" applyAlignment="1">
      <alignment horizontal="center" vertical="center" textRotation="90"/>
    </xf>
    <xf numFmtId="165" fontId="8" fillId="7" borderId="54" xfId="0" applyNumberFormat="1" applyFont="1" applyFill="1" applyBorder="1" applyAlignment="1">
      <alignment horizontal="center" vertical="center" textRotation="90"/>
    </xf>
    <xf numFmtId="165" fontId="8" fillId="7" borderId="53" xfId="0" applyNumberFormat="1" applyFont="1" applyFill="1" applyBorder="1" applyAlignment="1">
      <alignment horizontal="center" vertical="center" textRotation="90"/>
    </xf>
    <xf numFmtId="165" fontId="8" fillId="7" borderId="47" xfId="0" applyNumberFormat="1" applyFont="1" applyFill="1" applyBorder="1" applyAlignment="1">
      <alignment horizontal="center" vertical="center" textRotation="90"/>
    </xf>
    <xf numFmtId="2" fontId="20" fillId="8" borderId="67" xfId="0" applyNumberFormat="1" applyFont="1" applyFill="1" applyBorder="1" applyAlignment="1">
      <alignment horizontal="center" vertical="center" wrapText="1"/>
    </xf>
    <xf numFmtId="2" fontId="20" fillId="8" borderId="15" xfId="0" applyNumberFormat="1" applyFont="1" applyFill="1" applyBorder="1" applyAlignment="1">
      <alignment horizontal="center" vertical="center" wrapText="1"/>
    </xf>
    <xf numFmtId="0" fontId="0" fillId="0" borderId="69" xfId="0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165" fontId="52" fillId="2" borderId="76" xfId="0" applyNumberFormat="1" applyFont="1" applyFill="1" applyBorder="1" applyAlignment="1">
      <alignment horizontal="center" vertical="center"/>
    </xf>
    <xf numFmtId="165" fontId="52" fillId="8" borderId="75" xfId="0" applyNumberFormat="1" applyFont="1" applyFill="1" applyBorder="1" applyAlignment="1">
      <alignment horizontal="center" vertical="center"/>
    </xf>
    <xf numFmtId="0" fontId="26" fillId="8" borderId="66" xfId="0" applyFont="1" applyFill="1" applyBorder="1" applyAlignment="1">
      <alignment horizontal="left" vertical="center" wrapText="1"/>
    </xf>
    <xf numFmtId="0" fontId="26" fillId="8" borderId="76" xfId="0" applyFont="1" applyFill="1" applyBorder="1" applyAlignment="1">
      <alignment horizontal="left" vertical="center" wrapText="1"/>
    </xf>
    <xf numFmtId="0" fontId="0" fillId="0" borderId="30" xfId="0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0" fillId="0" borderId="50" xfId="0" applyBorder="1" applyAlignment="1">
      <alignment horizontal="center" vertical="center" wrapText="1"/>
    </xf>
    <xf numFmtId="0" fontId="8" fillId="2" borderId="69" xfId="0" applyFont="1" applyFill="1" applyBorder="1" applyAlignment="1">
      <alignment horizontal="center" vertical="center"/>
    </xf>
    <xf numFmtId="0" fontId="8" fillId="2" borderId="50" xfId="0" applyFont="1" applyFill="1" applyBorder="1" applyAlignment="1">
      <alignment horizontal="center" vertical="center"/>
    </xf>
    <xf numFmtId="0" fontId="2" fillId="2" borderId="67" xfId="0" applyFont="1" applyFill="1" applyBorder="1" applyAlignment="1">
      <alignment horizontal="left" vertical="center" wrapText="1"/>
    </xf>
    <xf numFmtId="0" fontId="2" fillId="2" borderId="39" xfId="0" applyFont="1" applyFill="1" applyBorder="1" applyAlignment="1">
      <alignment horizontal="left" vertical="center" wrapText="1"/>
    </xf>
    <xf numFmtId="0" fontId="2" fillId="2" borderId="6" xfId="0" applyFont="1" applyFill="1" applyBorder="1" applyAlignment="1">
      <alignment horizontal="left" vertical="center" wrapText="1"/>
    </xf>
    <xf numFmtId="165" fontId="20" fillId="8" borderId="1" xfId="0" applyNumberFormat="1" applyFont="1" applyFill="1" applyBorder="1" applyAlignment="1">
      <alignment horizontal="center" vertical="center" wrapText="1"/>
    </xf>
    <xf numFmtId="165" fontId="20" fillId="8" borderId="10" xfId="0" applyNumberFormat="1" applyFont="1" applyFill="1" applyBorder="1" applyAlignment="1">
      <alignment horizontal="center" vertical="center" wrapText="1"/>
    </xf>
    <xf numFmtId="0" fontId="86" fillId="0" borderId="0" xfId="2" applyFont="1" applyAlignment="1" applyProtection="1">
      <alignment horizontal="left" vertical="center" wrapText="1"/>
    </xf>
    <xf numFmtId="165" fontId="20" fillId="8" borderId="9" xfId="0" applyNumberFormat="1" applyFont="1" applyFill="1" applyBorder="1" applyAlignment="1">
      <alignment horizontal="center" vertical="center" wrapText="1"/>
    </xf>
    <xf numFmtId="165" fontId="20" fillId="8" borderId="14" xfId="0" applyNumberFormat="1" applyFont="1" applyFill="1" applyBorder="1" applyAlignment="1">
      <alignment horizontal="center" vertical="center" wrapText="1"/>
    </xf>
    <xf numFmtId="0" fontId="26" fillId="8" borderId="58" xfId="0" applyFont="1" applyFill="1" applyBorder="1" applyAlignment="1">
      <alignment horizontal="center" vertical="center" wrapText="1"/>
    </xf>
    <xf numFmtId="0" fontId="26" fillId="8" borderId="45" xfId="0" applyFont="1" applyFill="1" applyBorder="1" applyAlignment="1">
      <alignment horizontal="center" vertical="center" wrapText="1"/>
    </xf>
    <xf numFmtId="0" fontId="26" fillId="8" borderId="39" xfId="0" applyFont="1" applyFill="1" applyBorder="1" applyAlignment="1">
      <alignment horizontal="center" vertical="center" wrapText="1"/>
    </xf>
    <xf numFmtId="0" fontId="26" fillId="8" borderId="6" xfId="0" applyFont="1" applyFill="1" applyBorder="1" applyAlignment="1">
      <alignment horizontal="center" vertical="center" wrapText="1"/>
    </xf>
    <xf numFmtId="0" fontId="26" fillId="8" borderId="29" xfId="0" applyFont="1" applyFill="1" applyBorder="1" applyAlignment="1">
      <alignment horizontal="center" vertical="center" wrapText="1"/>
    </xf>
    <xf numFmtId="0" fontId="26" fillId="8" borderId="37" xfId="0" applyFont="1" applyFill="1" applyBorder="1" applyAlignment="1">
      <alignment horizontal="center" vertical="center" wrapText="1"/>
    </xf>
    <xf numFmtId="0" fontId="26" fillId="8" borderId="49" xfId="0" applyFont="1" applyFill="1" applyBorder="1" applyAlignment="1">
      <alignment horizontal="center" vertical="center" wrapText="1"/>
    </xf>
    <xf numFmtId="165" fontId="8" fillId="7" borderId="5" xfId="0" applyNumberFormat="1" applyFont="1" applyFill="1" applyBorder="1" applyAlignment="1">
      <alignment horizontal="center" vertical="center" textRotation="90"/>
    </xf>
    <xf numFmtId="165" fontId="8" fillId="7" borderId="9" xfId="0" applyNumberFormat="1" applyFont="1" applyFill="1" applyBorder="1" applyAlignment="1">
      <alignment horizontal="center" vertical="center" textRotation="90"/>
    </xf>
    <xf numFmtId="165" fontId="8" fillId="7" borderId="14" xfId="0" applyNumberFormat="1" applyFont="1" applyFill="1" applyBorder="1" applyAlignment="1">
      <alignment horizontal="center" vertical="center" textRotation="90"/>
    </xf>
    <xf numFmtId="165" fontId="8" fillId="7" borderId="8" xfId="0" applyNumberFormat="1" applyFont="1" applyFill="1" applyBorder="1" applyAlignment="1">
      <alignment horizontal="center" vertical="center" textRotation="90"/>
    </xf>
    <xf numFmtId="165" fontId="8" fillId="7" borderId="1" xfId="0" applyNumberFormat="1" applyFont="1" applyFill="1" applyBorder="1" applyAlignment="1">
      <alignment horizontal="center" vertical="center" textRotation="90"/>
    </xf>
    <xf numFmtId="165" fontId="8" fillId="7" borderId="10" xfId="0" applyNumberFormat="1" applyFont="1" applyFill="1" applyBorder="1" applyAlignment="1">
      <alignment horizontal="center" vertical="center" textRotation="90"/>
    </xf>
    <xf numFmtId="165" fontId="8" fillId="7" borderId="13" xfId="0" applyNumberFormat="1" applyFont="1" applyFill="1" applyBorder="1" applyAlignment="1">
      <alignment horizontal="center" vertical="center" textRotation="90"/>
    </xf>
    <xf numFmtId="165" fontId="8" fillId="7" borderId="12" xfId="0" applyNumberFormat="1" applyFont="1" applyFill="1" applyBorder="1" applyAlignment="1">
      <alignment horizontal="center" vertical="center" textRotation="90"/>
    </xf>
    <xf numFmtId="165" fontId="8" fillId="7" borderId="11" xfId="0" applyNumberFormat="1" applyFont="1" applyFill="1" applyBorder="1" applyAlignment="1">
      <alignment horizontal="center" vertical="center" textRotation="90"/>
    </xf>
    <xf numFmtId="165" fontId="20" fillId="5" borderId="5" xfId="0" applyNumberFormat="1" applyFont="1" applyFill="1" applyBorder="1" applyAlignment="1">
      <alignment horizontal="center" vertical="center" wrapText="1"/>
    </xf>
    <xf numFmtId="165" fontId="20" fillId="5" borderId="9" xfId="0" applyNumberFormat="1" applyFont="1" applyFill="1" applyBorder="1" applyAlignment="1">
      <alignment horizontal="center" vertical="center" wrapText="1"/>
    </xf>
    <xf numFmtId="165" fontId="20" fillId="5" borderId="14" xfId="0" applyNumberFormat="1" applyFont="1" applyFill="1" applyBorder="1" applyAlignment="1">
      <alignment horizontal="center" vertical="center" wrapText="1"/>
    </xf>
    <xf numFmtId="165" fontId="20" fillId="5" borderId="13" xfId="0" applyNumberFormat="1" applyFont="1" applyFill="1" applyBorder="1" applyAlignment="1">
      <alignment horizontal="center" vertical="center" wrapText="1"/>
    </xf>
    <xf numFmtId="165" fontId="20" fillId="5" borderId="12" xfId="0" applyNumberFormat="1" applyFont="1" applyFill="1" applyBorder="1" applyAlignment="1">
      <alignment horizontal="center" vertical="center" wrapText="1"/>
    </xf>
    <xf numFmtId="165" fontId="20" fillId="5" borderId="11" xfId="0" applyNumberFormat="1" applyFont="1" applyFill="1" applyBorder="1" applyAlignment="1">
      <alignment horizontal="center" vertical="center" wrapText="1"/>
    </xf>
    <xf numFmtId="165" fontId="78" fillId="2" borderId="101" xfId="0" applyNumberFormat="1" applyFont="1" applyFill="1" applyBorder="1" applyAlignment="1">
      <alignment horizontal="center" wrapText="1"/>
    </xf>
    <xf numFmtId="0" fontId="76" fillId="7" borderId="0" xfId="0" applyFont="1" applyFill="1" applyAlignment="1">
      <alignment horizontal="center" vertical="center" wrapText="1"/>
    </xf>
    <xf numFmtId="0" fontId="8" fillId="2" borderId="0" xfId="0" applyFont="1" applyFill="1" applyAlignment="1">
      <alignment horizontal="center" vertical="center"/>
    </xf>
    <xf numFmtId="2" fontId="52" fillId="8" borderId="41" xfId="0" applyNumberFormat="1" applyFont="1" applyFill="1" applyBorder="1" applyAlignment="1">
      <alignment horizontal="center" vertical="center"/>
    </xf>
    <xf numFmtId="2" fontId="52" fillId="8" borderId="69" xfId="0" applyNumberFormat="1" applyFont="1" applyFill="1" applyBorder="1" applyAlignment="1">
      <alignment horizontal="center" vertical="center"/>
    </xf>
    <xf numFmtId="2" fontId="52" fillId="8" borderId="42" xfId="0" applyNumberFormat="1" applyFont="1" applyFill="1" applyBorder="1" applyAlignment="1">
      <alignment horizontal="center" vertical="center"/>
    </xf>
    <xf numFmtId="0" fontId="2" fillId="15" borderId="1" xfId="0" applyFont="1" applyFill="1" applyBorder="1" applyAlignment="1">
      <alignment horizontal="left" vertical="center" wrapText="1"/>
    </xf>
    <xf numFmtId="2" fontId="52" fillId="8" borderId="60" xfId="0" applyNumberFormat="1" applyFont="1" applyFill="1" applyBorder="1" applyAlignment="1">
      <alignment horizontal="center" vertical="center"/>
    </xf>
    <xf numFmtId="0" fontId="133" fillId="2" borderId="5" xfId="0" applyFont="1" applyFill="1" applyBorder="1" applyAlignment="1">
      <alignment horizontal="center" vertical="center" wrapText="1"/>
    </xf>
    <xf numFmtId="0" fontId="133" fillId="2" borderId="9" xfId="0" applyFont="1" applyFill="1" applyBorder="1" applyAlignment="1">
      <alignment horizontal="center" vertical="center" wrapText="1"/>
    </xf>
    <xf numFmtId="2" fontId="52" fillId="8" borderId="67" xfId="0" applyNumberFormat="1" applyFont="1" applyFill="1" applyBorder="1" applyAlignment="1">
      <alignment horizontal="center" vertical="center"/>
    </xf>
    <xf numFmtId="2" fontId="52" fillId="8" borderId="15" xfId="0" applyNumberFormat="1" applyFont="1" applyFill="1" applyBorder="1" applyAlignment="1">
      <alignment horizontal="center" vertical="center"/>
    </xf>
    <xf numFmtId="0" fontId="2" fillId="15" borderId="62" xfId="0" applyFont="1" applyFill="1" applyBorder="1" applyAlignment="1">
      <alignment horizontal="left" vertical="center" wrapText="1"/>
    </xf>
    <xf numFmtId="0" fontId="2" fillId="15" borderId="80" xfId="0" applyFont="1" applyFill="1" applyBorder="1" applyAlignment="1">
      <alignment horizontal="left" vertical="center" wrapText="1"/>
    </xf>
    <xf numFmtId="0" fontId="2" fillId="15" borderId="56" xfId="0" applyFont="1" applyFill="1" applyBorder="1" applyAlignment="1">
      <alignment horizontal="left" vertical="center" wrapText="1"/>
    </xf>
    <xf numFmtId="0" fontId="140" fillId="15" borderId="61" xfId="2" applyFont="1" applyFill="1" applyBorder="1" applyAlignment="1" applyProtection="1">
      <alignment horizontal="left" vertical="center" wrapText="1"/>
    </xf>
    <xf numFmtId="0" fontId="140" fillId="15" borderId="65" xfId="2" applyFont="1" applyFill="1" applyBorder="1" applyAlignment="1" applyProtection="1">
      <alignment horizontal="left" vertical="center" wrapText="1"/>
    </xf>
    <xf numFmtId="0" fontId="140" fillId="15" borderId="3" xfId="2" applyFont="1" applyFill="1" applyBorder="1" applyAlignment="1" applyProtection="1">
      <alignment horizontal="left" vertical="center" wrapText="1"/>
    </xf>
    <xf numFmtId="0" fontId="26" fillId="8" borderId="53" xfId="0" applyFont="1" applyFill="1" applyBorder="1" applyAlignment="1">
      <alignment horizontal="center" vertical="center" wrapText="1"/>
    </xf>
    <xf numFmtId="0" fontId="26" fillId="8" borderId="18" xfId="0" applyFont="1" applyFill="1" applyBorder="1" applyAlignment="1">
      <alignment horizontal="center" vertical="center" wrapText="1"/>
    </xf>
    <xf numFmtId="165" fontId="52" fillId="8" borderId="74" xfId="0" applyNumberFormat="1" applyFont="1" applyFill="1" applyBorder="1" applyAlignment="1">
      <alignment horizontal="center" vertical="center"/>
    </xf>
    <xf numFmtId="165" fontId="52" fillId="8" borderId="47" xfId="0" applyNumberFormat="1" applyFont="1" applyFill="1" applyBorder="1" applyAlignment="1">
      <alignment horizontal="center" vertical="center"/>
    </xf>
    <xf numFmtId="0" fontId="140" fillId="15" borderId="74" xfId="2" applyFont="1" applyFill="1" applyBorder="1" applyAlignment="1" applyProtection="1">
      <alignment horizontal="left" vertical="center" wrapText="1"/>
    </xf>
    <xf numFmtId="0" fontId="140" fillId="15" borderId="53" xfId="2" applyFont="1" applyFill="1" applyBorder="1" applyAlignment="1" applyProtection="1">
      <alignment horizontal="left" vertical="center" wrapText="1"/>
    </xf>
    <xf numFmtId="0" fontId="140" fillId="15" borderId="18" xfId="2" applyFont="1" applyFill="1" applyBorder="1" applyAlignment="1" applyProtection="1">
      <alignment horizontal="left" vertical="center" wrapText="1"/>
    </xf>
    <xf numFmtId="0" fontId="2" fillId="15" borderId="51" xfId="0" applyFont="1" applyFill="1" applyBorder="1" applyAlignment="1">
      <alignment horizontal="left" vertical="center" wrapText="1"/>
    </xf>
    <xf numFmtId="0" fontId="12" fillId="15" borderId="61" xfId="2" applyFill="1" applyBorder="1" applyAlignment="1" applyProtection="1">
      <alignment horizontal="left" vertical="center" wrapText="1"/>
    </xf>
    <xf numFmtId="165" fontId="52" fillId="8" borderId="59" xfId="0" applyNumberFormat="1" applyFont="1" applyFill="1" applyBorder="1" applyAlignment="1">
      <alignment horizontal="center" vertical="center"/>
    </xf>
    <xf numFmtId="165" fontId="52" fillId="8" borderId="54" xfId="0" applyNumberFormat="1" applyFont="1" applyFill="1" applyBorder="1" applyAlignment="1">
      <alignment horizontal="center" vertical="center"/>
    </xf>
    <xf numFmtId="165" fontId="52" fillId="8" borderId="80" xfId="0" applyNumberFormat="1" applyFont="1" applyFill="1" applyBorder="1" applyAlignment="1">
      <alignment horizontal="center" vertical="center"/>
    </xf>
    <xf numFmtId="165" fontId="52" fillId="8" borderId="65" xfId="0" applyNumberFormat="1" applyFont="1" applyFill="1" applyBorder="1" applyAlignment="1">
      <alignment horizontal="center" vertical="center"/>
    </xf>
    <xf numFmtId="0" fontId="2" fillId="15" borderId="65" xfId="0" applyFont="1" applyFill="1" applyBorder="1" applyAlignment="1">
      <alignment horizontal="left" vertical="center" wrapText="1"/>
    </xf>
    <xf numFmtId="0" fontId="2" fillId="15" borderId="3" xfId="0" applyFont="1" applyFill="1" applyBorder="1" applyAlignment="1">
      <alignment horizontal="left" vertical="center" wrapText="1"/>
    </xf>
    <xf numFmtId="0" fontId="2" fillId="15" borderId="72" xfId="0" applyFont="1" applyFill="1" applyBorder="1" applyAlignment="1">
      <alignment horizontal="left" vertical="center" wrapText="1"/>
    </xf>
    <xf numFmtId="0" fontId="2" fillId="15" borderId="35" xfId="0" applyFont="1" applyFill="1" applyBorder="1" applyAlignment="1">
      <alignment horizontal="left" vertical="center" wrapText="1"/>
    </xf>
    <xf numFmtId="0" fontId="2" fillId="15" borderId="73" xfId="0" applyFont="1" applyFill="1" applyBorder="1" applyAlignment="1">
      <alignment horizontal="left" vertical="center" wrapText="1"/>
    </xf>
    <xf numFmtId="165" fontId="52" fillId="8" borderId="35" xfId="0" applyNumberFormat="1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8" borderId="1" xfId="0" applyFill="1" applyBorder="1" applyAlignment="1">
      <alignment horizontal="center" vertical="center"/>
    </xf>
    <xf numFmtId="0" fontId="0" fillId="8" borderId="57" xfId="0" applyFill="1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8" borderId="60" xfId="0" applyFill="1" applyBorder="1" applyAlignment="1">
      <alignment horizontal="center" vertical="center" wrapText="1"/>
    </xf>
    <xf numFmtId="0" fontId="0" fillId="8" borderId="1" xfId="0" applyFill="1" applyBorder="1" applyAlignment="1">
      <alignment horizontal="left" vertical="center" wrapText="1"/>
    </xf>
    <xf numFmtId="0" fontId="0" fillId="8" borderId="10" xfId="0" applyFill="1" applyBorder="1" applyAlignment="1">
      <alignment horizontal="center" vertical="center"/>
    </xf>
    <xf numFmtId="0" fontId="0" fillId="8" borderId="62" xfId="0" applyFill="1" applyBorder="1" applyAlignment="1">
      <alignment horizontal="left" vertical="center" wrapText="1"/>
    </xf>
    <xf numFmtId="0" fontId="0" fillId="8" borderId="80" xfId="0" applyFill="1" applyBorder="1" applyAlignment="1">
      <alignment horizontal="left" vertical="center" wrapText="1"/>
    </xf>
    <xf numFmtId="0" fontId="0" fillId="8" borderId="56" xfId="0" applyFill="1" applyBorder="1" applyAlignment="1">
      <alignment horizontal="left" vertical="center" wrapText="1"/>
    </xf>
    <xf numFmtId="0" fontId="0" fillId="8" borderId="31" xfId="0" applyFill="1" applyBorder="1" applyAlignment="1">
      <alignment horizontal="center" vertical="center"/>
    </xf>
    <xf numFmtId="0" fontId="0" fillId="8" borderId="2" xfId="0" applyFill="1" applyBorder="1" applyAlignment="1">
      <alignment horizontal="center" vertical="center"/>
    </xf>
    <xf numFmtId="0" fontId="0" fillId="8" borderId="62" xfId="0" applyFill="1" applyBorder="1" applyAlignment="1">
      <alignment horizontal="center" vertical="center"/>
    </xf>
    <xf numFmtId="0" fontId="0" fillId="8" borderId="56" xfId="0" applyFill="1" applyBorder="1" applyAlignment="1">
      <alignment horizontal="center" vertical="center"/>
    </xf>
    <xf numFmtId="0" fontId="75" fillId="7" borderId="22" xfId="0" applyFont="1" applyFill="1" applyBorder="1" applyAlignment="1">
      <alignment horizontal="center" vertical="center" wrapText="1"/>
    </xf>
    <xf numFmtId="0" fontId="75" fillId="7" borderId="27" xfId="0" applyFont="1" applyFill="1" applyBorder="1" applyAlignment="1">
      <alignment horizontal="center" vertical="center" wrapText="1"/>
    </xf>
    <xf numFmtId="0" fontId="75" fillId="7" borderId="72" xfId="0" applyFont="1" applyFill="1" applyBorder="1" applyAlignment="1">
      <alignment horizontal="center" vertical="center" wrapText="1"/>
    </xf>
    <xf numFmtId="0" fontId="76" fillId="7" borderId="22" xfId="0" applyFont="1" applyFill="1" applyBorder="1" applyAlignment="1">
      <alignment horizontal="center" vertical="center" wrapText="1"/>
    </xf>
    <xf numFmtId="0" fontId="76" fillId="7" borderId="24" xfId="0" applyFont="1" applyFill="1" applyBorder="1" applyAlignment="1">
      <alignment horizontal="center" vertical="center" wrapText="1"/>
    </xf>
    <xf numFmtId="0" fontId="26" fillId="8" borderId="68" xfId="0" applyFont="1" applyFill="1" applyBorder="1" applyAlignment="1">
      <alignment horizontal="center" vertical="center" wrapText="1"/>
    </xf>
    <xf numFmtId="0" fontId="2" fillId="15" borderId="59" xfId="0" applyFont="1" applyFill="1" applyBorder="1" applyAlignment="1">
      <alignment horizontal="left" vertical="center" wrapText="1"/>
    </xf>
    <xf numFmtId="0" fontId="2" fillId="15" borderId="0" xfId="0" applyFont="1" applyFill="1" applyAlignment="1">
      <alignment horizontal="left" vertical="center" wrapText="1"/>
    </xf>
    <xf numFmtId="0" fontId="2" fillId="15" borderId="60" xfId="0" applyFont="1" applyFill="1" applyBorder="1" applyAlignment="1">
      <alignment horizontal="left" vertical="center" wrapText="1"/>
    </xf>
    <xf numFmtId="0" fontId="12" fillId="15" borderId="59" xfId="2" applyFill="1" applyBorder="1" applyAlignment="1" applyProtection="1">
      <alignment horizontal="left" vertical="center" wrapText="1"/>
    </xf>
    <xf numFmtId="165" fontId="52" fillId="2" borderId="69" xfId="0" applyNumberFormat="1" applyFont="1" applyFill="1" applyBorder="1" applyAlignment="1">
      <alignment horizontal="center" vertical="center"/>
    </xf>
    <xf numFmtId="165" fontId="52" fillId="2" borderId="42" xfId="0" applyNumberFormat="1" applyFont="1" applyFill="1" applyBorder="1" applyAlignment="1">
      <alignment horizontal="center" vertical="center"/>
    </xf>
    <xf numFmtId="0" fontId="94" fillId="9" borderId="81" xfId="0" applyFont="1" applyFill="1" applyBorder="1" applyAlignment="1">
      <alignment horizontal="center" vertical="center" wrapText="1"/>
    </xf>
    <xf numFmtId="0" fontId="94" fillId="9" borderId="53" xfId="0" applyFont="1" applyFill="1" applyBorder="1" applyAlignment="1">
      <alignment horizontal="center" vertical="center" wrapText="1"/>
    </xf>
    <xf numFmtId="0" fontId="94" fillId="9" borderId="47" xfId="0" applyFont="1" applyFill="1" applyBorder="1" applyAlignment="1">
      <alignment horizontal="center" vertical="center" wrapText="1"/>
    </xf>
    <xf numFmtId="165" fontId="52" fillId="8" borderId="9" xfId="0" applyNumberFormat="1" applyFont="1" applyFill="1" applyBorder="1" applyAlignment="1">
      <alignment horizontal="center" vertical="center"/>
    </xf>
    <xf numFmtId="165" fontId="52" fillId="2" borderId="31" xfId="0" applyNumberFormat="1" applyFont="1" applyFill="1" applyBorder="1" applyAlignment="1">
      <alignment horizontal="center" vertical="center"/>
    </xf>
    <xf numFmtId="0" fontId="140" fillId="15" borderId="51" xfId="2" applyFont="1" applyFill="1" applyBorder="1" applyAlignment="1" applyProtection="1">
      <alignment horizontal="left" vertical="center" wrapText="1"/>
    </xf>
    <xf numFmtId="0" fontId="2" fillId="15" borderId="31" xfId="0" applyFont="1" applyFill="1" applyBorder="1" applyAlignment="1">
      <alignment horizontal="left" vertical="center" wrapText="1"/>
    </xf>
    <xf numFmtId="0" fontId="12" fillId="15" borderId="43" xfId="2" applyFill="1" applyBorder="1" applyAlignment="1" applyProtection="1">
      <alignment horizontal="left" vertical="center" wrapText="1"/>
    </xf>
    <xf numFmtId="0" fontId="2" fillId="2" borderId="0" xfId="0" applyFont="1" applyFill="1" applyAlignment="1">
      <alignment horizontal="left" wrapText="1"/>
    </xf>
    <xf numFmtId="0" fontId="6" fillId="2" borderId="0" xfId="0" applyFont="1" applyFill="1" applyAlignment="1">
      <alignment horizontal="center"/>
    </xf>
    <xf numFmtId="0" fontId="94" fillId="9" borderId="22" xfId="0" applyFont="1" applyFill="1" applyBorder="1" applyAlignment="1">
      <alignment horizontal="center" vertical="center" wrapText="1"/>
    </xf>
    <xf numFmtId="0" fontId="94" fillId="9" borderId="27" xfId="0" applyFont="1" applyFill="1" applyBorder="1" applyAlignment="1">
      <alignment horizontal="center" vertical="center" wrapText="1"/>
    </xf>
    <xf numFmtId="0" fontId="94" fillId="9" borderId="24" xfId="0" applyFont="1" applyFill="1" applyBorder="1" applyAlignment="1">
      <alignment horizontal="center" vertical="center" wrapText="1"/>
    </xf>
    <xf numFmtId="0" fontId="140" fillId="15" borderId="43" xfId="2" applyFont="1" applyFill="1" applyBorder="1" applyAlignment="1" applyProtection="1">
      <alignment horizontal="left" vertical="center" wrapText="1"/>
    </xf>
    <xf numFmtId="0" fontId="2" fillId="15" borderId="43" xfId="0" applyFont="1" applyFill="1" applyBorder="1" applyAlignment="1">
      <alignment horizontal="left" vertical="center" wrapText="1"/>
    </xf>
    <xf numFmtId="0" fontId="0" fillId="8" borderId="8" xfId="0" applyFill="1" applyBorder="1" applyAlignment="1">
      <alignment horizontal="center" vertical="center"/>
    </xf>
    <xf numFmtId="2" fontId="10" fillId="2" borderId="1" xfId="0" applyNumberFormat="1" applyFont="1" applyFill="1" applyBorder="1" applyAlignment="1">
      <alignment horizontal="center" vertical="center"/>
    </xf>
    <xf numFmtId="2" fontId="10" fillId="2" borderId="10" xfId="0" applyNumberFormat="1" applyFont="1" applyFill="1" applyBorder="1" applyAlignment="1">
      <alignment horizontal="center" vertical="center"/>
    </xf>
    <xf numFmtId="2" fontId="10" fillId="2" borderId="12" xfId="0" applyNumberFormat="1" applyFont="1" applyFill="1" applyBorder="1" applyAlignment="1">
      <alignment horizontal="center" vertical="center"/>
    </xf>
    <xf numFmtId="2" fontId="10" fillId="2" borderId="11" xfId="0" applyNumberFormat="1" applyFont="1" applyFill="1" applyBorder="1" applyAlignment="1">
      <alignment horizontal="center" vertical="center"/>
    </xf>
    <xf numFmtId="0" fontId="141" fillId="9" borderId="13" xfId="0" applyFont="1" applyFill="1" applyBorder="1" applyAlignment="1">
      <alignment horizontal="center" vertical="center"/>
    </xf>
    <xf numFmtId="0" fontId="141" fillId="9" borderId="11" xfId="0" applyFont="1" applyFill="1" applyBorder="1" applyAlignment="1">
      <alignment horizontal="center" vertical="center"/>
    </xf>
    <xf numFmtId="0" fontId="25" fillId="7" borderId="5" xfId="0" applyFont="1" applyFill="1" applyBorder="1" applyAlignment="1">
      <alignment horizontal="center" vertical="center"/>
    </xf>
    <xf numFmtId="0" fontId="25" fillId="7" borderId="14" xfId="0" applyFont="1" applyFill="1" applyBorder="1" applyAlignment="1">
      <alignment horizontal="center" vertical="center"/>
    </xf>
    <xf numFmtId="0" fontId="22" fillId="2" borderId="118" xfId="0" applyFont="1" applyFill="1" applyBorder="1" applyAlignment="1">
      <alignment horizontal="center" vertical="center" wrapText="1"/>
    </xf>
    <xf numFmtId="0" fontId="22" fillId="2" borderId="0" xfId="0" applyFont="1" applyFill="1" applyAlignment="1">
      <alignment horizontal="center" vertical="center" wrapText="1"/>
    </xf>
    <xf numFmtId="0" fontId="6" fillId="7" borderId="66" xfId="0" applyFont="1" applyFill="1" applyBorder="1" applyAlignment="1">
      <alignment horizontal="center" vertical="center"/>
    </xf>
    <xf numFmtId="0" fontId="6" fillId="7" borderId="58" xfId="0" applyFont="1" applyFill="1" applyBorder="1" applyAlignment="1">
      <alignment horizontal="center" vertical="center"/>
    </xf>
    <xf numFmtId="0" fontId="3" fillId="7" borderId="79" xfId="0" applyFont="1" applyFill="1" applyBorder="1" applyAlignment="1">
      <alignment horizontal="center" vertical="center"/>
    </xf>
    <xf numFmtId="0" fontId="3" fillId="7" borderId="76" xfId="0" applyFont="1" applyFill="1" applyBorder="1" applyAlignment="1">
      <alignment horizontal="center" vertical="center"/>
    </xf>
    <xf numFmtId="0" fontId="3" fillId="7" borderId="58" xfId="0" applyFont="1" applyFill="1" applyBorder="1" applyAlignment="1">
      <alignment horizontal="center" vertical="center"/>
    </xf>
    <xf numFmtId="0" fontId="6" fillId="7" borderId="79" xfId="0" applyFont="1" applyFill="1" applyBorder="1" applyAlignment="1">
      <alignment horizontal="center" vertical="center"/>
    </xf>
    <xf numFmtId="0" fontId="6" fillId="7" borderId="75" xfId="0" applyFont="1" applyFill="1" applyBorder="1" applyAlignment="1">
      <alignment horizontal="center" vertical="center"/>
    </xf>
    <xf numFmtId="0" fontId="6" fillId="0" borderId="45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2" fillId="0" borderId="67" xfId="0" applyFont="1" applyBorder="1" applyAlignment="1">
      <alignment horizontal="left" vertical="center"/>
    </xf>
    <xf numFmtId="0" fontId="2" fillId="0" borderId="39" xfId="0" applyFont="1" applyBorder="1" applyAlignment="1">
      <alignment horizontal="left" vertical="center"/>
    </xf>
    <xf numFmtId="0" fontId="2" fillId="0" borderId="6" xfId="0" applyFont="1" applyBorder="1" applyAlignment="1">
      <alignment horizontal="left" vertical="center"/>
    </xf>
    <xf numFmtId="165" fontId="6" fillId="0" borderId="67" xfId="0" applyNumberFormat="1" applyFont="1" applyBorder="1" applyAlignment="1">
      <alignment horizontal="center" vertical="center"/>
    </xf>
    <xf numFmtId="165" fontId="6" fillId="0" borderId="15" xfId="0" applyNumberFormat="1" applyFont="1" applyBorder="1" applyAlignment="1">
      <alignment horizontal="center" vertical="center"/>
    </xf>
    <xf numFmtId="0" fontId="6" fillId="0" borderId="30" xfId="0" applyFont="1" applyBorder="1" applyAlignment="1">
      <alignment horizontal="center" vertical="center"/>
    </xf>
    <xf numFmtId="0" fontId="6" fillId="0" borderId="50" xfId="0" applyFont="1" applyBorder="1" applyAlignment="1">
      <alignment horizontal="center" vertical="center"/>
    </xf>
    <xf numFmtId="0" fontId="2" fillId="0" borderId="69" xfId="0" applyFont="1" applyBorder="1" applyAlignment="1">
      <alignment horizontal="left" vertical="center" wrapText="1"/>
    </xf>
    <xf numFmtId="0" fontId="2" fillId="0" borderId="38" xfId="0" applyFont="1" applyBorder="1" applyAlignment="1">
      <alignment horizontal="left" vertical="center" wrapText="1"/>
    </xf>
    <xf numFmtId="0" fontId="2" fillId="0" borderId="50" xfId="0" applyFont="1" applyBorder="1" applyAlignment="1">
      <alignment horizontal="left" vertical="center" wrapText="1"/>
    </xf>
    <xf numFmtId="165" fontId="6" fillId="0" borderId="69" xfId="0" applyNumberFormat="1" applyFont="1" applyBorder="1" applyAlignment="1">
      <alignment horizontal="center" vertical="center"/>
    </xf>
    <xf numFmtId="165" fontId="6" fillId="0" borderId="42" xfId="0" applyNumberFormat="1" applyFont="1" applyBorder="1" applyAlignment="1">
      <alignment horizontal="center" vertical="center"/>
    </xf>
    <xf numFmtId="0" fontId="0" fillId="7" borderId="64" xfId="0" applyFill="1" applyBorder="1" applyAlignment="1">
      <alignment horizontal="center"/>
    </xf>
    <xf numFmtId="0" fontId="0" fillId="7" borderId="25" xfId="0" applyFill="1" applyBorder="1" applyAlignment="1">
      <alignment horizontal="center"/>
    </xf>
    <xf numFmtId="0" fontId="0" fillId="7" borderId="81" xfId="0" applyFill="1" applyBorder="1" applyAlignment="1">
      <alignment horizontal="center"/>
    </xf>
    <xf numFmtId="0" fontId="0" fillId="7" borderId="54" xfId="0" applyFill="1" applyBorder="1" applyAlignment="1">
      <alignment horizontal="center"/>
    </xf>
    <xf numFmtId="165" fontId="10" fillId="7" borderId="66" xfId="0" applyNumberFormat="1" applyFont="1" applyFill="1" applyBorder="1" applyAlignment="1">
      <alignment horizontal="center" vertical="center"/>
    </xf>
    <xf numFmtId="165" fontId="10" fillId="7" borderId="76" xfId="0" applyNumberFormat="1" applyFont="1" applyFill="1" applyBorder="1" applyAlignment="1">
      <alignment horizontal="center" vertical="center"/>
    </xf>
    <xf numFmtId="165" fontId="10" fillId="7" borderId="75" xfId="0" applyNumberFormat="1" applyFont="1" applyFill="1" applyBorder="1" applyAlignment="1">
      <alignment horizontal="center" vertical="center"/>
    </xf>
    <xf numFmtId="165" fontId="10" fillId="7" borderId="64" xfId="0" applyNumberFormat="1" applyFont="1" applyFill="1" applyBorder="1" applyAlignment="1">
      <alignment horizontal="center" vertical="center" textRotation="90"/>
    </xf>
    <xf numFmtId="165" fontId="10" fillId="7" borderId="57" xfId="0" applyNumberFormat="1" applyFont="1" applyFill="1" applyBorder="1" applyAlignment="1">
      <alignment horizontal="center" vertical="center" textRotation="90"/>
    </xf>
    <xf numFmtId="165" fontId="10" fillId="7" borderId="81" xfId="0" applyNumberFormat="1" applyFont="1" applyFill="1" applyBorder="1" applyAlignment="1">
      <alignment horizontal="center" vertical="center" textRotation="90"/>
    </xf>
    <xf numFmtId="0" fontId="61" fillId="8" borderId="0" xfId="0" applyFont="1" applyFill="1" applyAlignment="1">
      <alignment horizontal="left" vertical="center"/>
    </xf>
    <xf numFmtId="0" fontId="6" fillId="7" borderId="79" xfId="0" applyFont="1" applyFill="1" applyBorder="1" applyAlignment="1">
      <alignment horizontal="center" vertical="center" wrapText="1"/>
    </xf>
    <xf numFmtId="0" fontId="111" fillId="10" borderId="66" xfId="0" applyFont="1" applyFill="1" applyBorder="1" applyAlignment="1">
      <alignment horizontal="left"/>
    </xf>
    <xf numFmtId="0" fontId="111" fillId="10" borderId="76" xfId="0" applyFont="1" applyFill="1" applyBorder="1" applyAlignment="1">
      <alignment horizontal="left"/>
    </xf>
    <xf numFmtId="0" fontId="111" fillId="10" borderId="75" xfId="0" applyFont="1" applyFill="1" applyBorder="1" applyAlignment="1">
      <alignment horizontal="left"/>
    </xf>
    <xf numFmtId="0" fontId="111" fillId="10" borderId="64" xfId="0" applyFont="1" applyFill="1" applyBorder="1" applyAlignment="1">
      <alignment horizontal="center" vertical="center" wrapText="1"/>
    </xf>
    <xf numFmtId="0" fontId="111" fillId="10" borderId="35" xfId="0" applyFont="1" applyFill="1" applyBorder="1" applyAlignment="1">
      <alignment horizontal="center" vertical="center" wrapText="1"/>
    </xf>
    <xf numFmtId="0" fontId="111" fillId="10" borderId="25" xfId="0" applyFont="1" applyFill="1" applyBorder="1" applyAlignment="1">
      <alignment horizontal="center" vertical="center" wrapText="1"/>
    </xf>
    <xf numFmtId="0" fontId="111" fillId="10" borderId="57" xfId="0" applyFont="1" applyFill="1" applyBorder="1" applyAlignment="1">
      <alignment horizontal="center" vertical="center" wrapText="1"/>
    </xf>
    <xf numFmtId="0" fontId="111" fillId="10" borderId="0" xfId="0" applyFont="1" applyFill="1" applyAlignment="1">
      <alignment horizontal="center" vertical="center" wrapText="1"/>
    </xf>
    <xf numFmtId="0" fontId="111" fillId="10" borderId="54" xfId="0" applyFont="1" applyFill="1" applyBorder="1" applyAlignment="1">
      <alignment horizontal="center" vertical="center" wrapText="1"/>
    </xf>
    <xf numFmtId="0" fontId="80" fillId="2" borderId="9" xfId="0" applyFont="1" applyFill="1" applyBorder="1" applyAlignment="1">
      <alignment horizontal="left" vertical="center" wrapText="1"/>
    </xf>
    <xf numFmtId="0" fontId="80" fillId="2" borderId="14" xfId="0" applyFont="1" applyFill="1" applyBorder="1" applyAlignment="1">
      <alignment horizontal="left" vertical="center" wrapText="1"/>
    </xf>
    <xf numFmtId="0" fontId="80" fillId="2" borderId="1" xfId="0" applyFont="1" applyFill="1" applyBorder="1" applyAlignment="1">
      <alignment horizontal="left" vertical="center" wrapText="1"/>
    </xf>
    <xf numFmtId="0" fontId="80" fillId="2" borderId="10" xfId="0" applyFont="1" applyFill="1" applyBorder="1" applyAlignment="1">
      <alignment horizontal="left" vertical="center" wrapText="1"/>
    </xf>
    <xf numFmtId="0" fontId="80" fillId="10" borderId="5" xfId="0" applyFont="1" applyFill="1" applyBorder="1" applyAlignment="1">
      <alignment horizontal="center"/>
    </xf>
    <xf numFmtId="0" fontId="80" fillId="10" borderId="9" xfId="0" applyFont="1" applyFill="1" applyBorder="1" applyAlignment="1">
      <alignment horizontal="center"/>
    </xf>
    <xf numFmtId="0" fontId="80" fillId="10" borderId="8" xfId="0" applyFont="1" applyFill="1" applyBorder="1" applyAlignment="1">
      <alignment horizontal="center"/>
    </xf>
    <xf numFmtId="0" fontId="80" fillId="10" borderId="1" xfId="0" applyFont="1" applyFill="1" applyBorder="1" applyAlignment="1">
      <alignment horizontal="center"/>
    </xf>
    <xf numFmtId="0" fontId="111" fillId="8" borderId="9" xfId="0" applyFont="1" applyFill="1" applyBorder="1" applyAlignment="1">
      <alignment horizontal="center" vertical="center" wrapText="1"/>
    </xf>
    <xf numFmtId="0" fontId="111" fillId="8" borderId="1" xfId="0" applyFont="1" applyFill="1" applyBorder="1" applyAlignment="1">
      <alignment horizontal="center" vertical="center" wrapText="1"/>
    </xf>
    <xf numFmtId="0" fontId="111" fillId="8" borderId="14" xfId="0" applyFont="1" applyFill="1" applyBorder="1" applyAlignment="1">
      <alignment horizontal="center" vertical="center" wrapText="1"/>
    </xf>
    <xf numFmtId="0" fontId="111" fillId="8" borderId="10" xfId="0" applyFont="1" applyFill="1" applyBorder="1" applyAlignment="1">
      <alignment horizontal="center" vertical="center" wrapText="1"/>
    </xf>
    <xf numFmtId="2" fontId="80" fillId="8" borderId="1" xfId="0" applyNumberFormat="1" applyFont="1" applyFill="1" applyBorder="1" applyAlignment="1">
      <alignment horizontal="center" vertical="center"/>
    </xf>
    <xf numFmtId="2" fontId="80" fillId="8" borderId="12" xfId="0" applyNumberFormat="1" applyFont="1" applyFill="1" applyBorder="1" applyAlignment="1">
      <alignment horizontal="center" vertical="center"/>
    </xf>
    <xf numFmtId="2" fontId="80" fillId="8" borderId="10" xfId="0" applyNumberFormat="1" applyFont="1" applyFill="1" applyBorder="1" applyAlignment="1">
      <alignment horizontal="center" vertical="center"/>
    </xf>
    <xf numFmtId="2" fontId="80" fillId="8" borderId="11" xfId="0" applyNumberFormat="1" applyFont="1" applyFill="1" applyBorder="1" applyAlignment="1">
      <alignment horizontal="center" vertical="center"/>
    </xf>
    <xf numFmtId="0" fontId="80" fillId="2" borderId="12" xfId="0" applyFont="1" applyFill="1" applyBorder="1" applyAlignment="1">
      <alignment horizontal="left" vertical="center" wrapText="1"/>
    </xf>
    <xf numFmtId="0" fontId="80" fillId="2" borderId="11" xfId="0" applyFont="1" applyFill="1" applyBorder="1" applyAlignment="1">
      <alignment horizontal="left" vertical="center" wrapText="1"/>
    </xf>
    <xf numFmtId="0" fontId="80" fillId="8" borderId="1" xfId="0" applyFont="1" applyFill="1" applyBorder="1" applyAlignment="1">
      <alignment horizontal="center" vertical="center"/>
    </xf>
    <xf numFmtId="0" fontId="80" fillId="8" borderId="10" xfId="0" applyFont="1" applyFill="1" applyBorder="1" applyAlignment="1">
      <alignment horizontal="center" vertical="center"/>
    </xf>
    <xf numFmtId="0" fontId="119" fillId="8" borderId="0" xfId="0" applyFont="1" applyFill="1" applyAlignment="1">
      <alignment horizontal="left" vertical="center"/>
    </xf>
    <xf numFmtId="165" fontId="52" fillId="2" borderId="62" xfId="0" applyNumberFormat="1" applyFont="1" applyFill="1" applyBorder="1" applyAlignment="1">
      <alignment horizontal="center" vertical="center"/>
    </xf>
    <xf numFmtId="165" fontId="52" fillId="2" borderId="71" xfId="0" applyNumberFormat="1" applyFont="1" applyFill="1" applyBorder="1" applyAlignment="1">
      <alignment horizontal="center" vertical="center"/>
    </xf>
    <xf numFmtId="165" fontId="52" fillId="2" borderId="61" xfId="0" applyNumberFormat="1" applyFont="1" applyFill="1" applyBorder="1" applyAlignment="1">
      <alignment horizontal="center" vertical="center"/>
    </xf>
    <xf numFmtId="165" fontId="52" fillId="2" borderId="16" xfId="0" applyNumberFormat="1" applyFont="1" applyFill="1" applyBorder="1" applyAlignment="1">
      <alignment horizontal="center" vertical="center"/>
    </xf>
    <xf numFmtId="0" fontId="102" fillId="2" borderId="65" xfId="0" applyFont="1" applyFill="1" applyBorder="1" applyAlignment="1">
      <alignment horizontal="center"/>
    </xf>
    <xf numFmtId="0" fontId="102" fillId="2" borderId="0" xfId="0" applyFont="1" applyFill="1" applyAlignment="1">
      <alignment horizontal="center" vertical="center"/>
    </xf>
    <xf numFmtId="0" fontId="102" fillId="2" borderId="57" xfId="0" applyFont="1" applyFill="1" applyBorder="1" applyAlignment="1">
      <alignment horizontal="center" vertical="center"/>
    </xf>
    <xf numFmtId="0" fontId="102" fillId="2" borderId="54" xfId="0" applyFont="1" applyFill="1" applyBorder="1" applyAlignment="1">
      <alignment horizontal="center" vertical="center"/>
    </xf>
    <xf numFmtId="0" fontId="33" fillId="7" borderId="23" xfId="11" applyFont="1" applyFill="1" applyBorder="1" applyAlignment="1">
      <alignment horizontal="center" vertical="center" wrapText="1"/>
    </xf>
    <xf numFmtId="0" fontId="33" fillId="7" borderId="77" xfId="11" applyFont="1" applyFill="1" applyBorder="1" applyAlignment="1">
      <alignment horizontal="center" vertical="center" wrapText="1"/>
    </xf>
    <xf numFmtId="0" fontId="33" fillId="7" borderId="78" xfId="11" applyFont="1" applyFill="1" applyBorder="1" applyAlignment="1">
      <alignment horizontal="center" vertical="center" wrapText="1"/>
    </xf>
    <xf numFmtId="0" fontId="33" fillId="0" borderId="0" xfId="0" applyFont="1" applyAlignment="1">
      <alignment horizontal="center" vertical="center" wrapText="1"/>
    </xf>
  </cellXfs>
  <cellStyles count="23">
    <cellStyle name="normalni_List1" xfId="1" xr:uid="{9B382BB2-B58F-421A-8CF5-A39ADBE09F0B}"/>
    <cellStyle name="Гиперссылка" xfId="2" builtinId="8"/>
    <cellStyle name="Денежный 2" xfId="3" xr:uid="{044701DC-856C-4808-9E6E-368D801DD488}"/>
    <cellStyle name="Денежный 2 2" xfId="4" xr:uid="{821C9DB5-5DD0-47C3-910F-0434E167A4F4}"/>
    <cellStyle name="Денежный 3" xfId="5" xr:uid="{F4DCCFF8-377C-4C80-9103-D78A74B130B8}"/>
    <cellStyle name="Обычный" xfId="0" builtinId="0"/>
    <cellStyle name="Обычный 10" xfId="6" xr:uid="{0C1836CA-ADFE-4ED3-B84B-F71DE18D6267}"/>
    <cellStyle name="Обычный 2" xfId="7" xr:uid="{BA0EB9BE-6D13-4B01-A24D-27B68920C5C2}"/>
    <cellStyle name="Обычный 2 2" xfId="8" xr:uid="{D3C4689E-38F4-4B6B-BA57-3D6490262910}"/>
    <cellStyle name="Обычный 2 3" xfId="9" xr:uid="{DB05BCAF-674C-4A49-B63F-18108A2F5FC8}"/>
    <cellStyle name="Обычный 2 4" xfId="10" xr:uid="{86F38A12-0A39-4C1F-B329-2C4773C83AB8}"/>
    <cellStyle name="Обычный 3" xfId="11" xr:uid="{150AB549-DD02-4E4E-8761-E6232E5C838C}"/>
    <cellStyle name="Обычный 3 2" xfId="12" xr:uid="{C06F0012-FAA4-4B00-95EB-22C2640DE067}"/>
    <cellStyle name="Обычный 4" xfId="13" xr:uid="{40BAA209-3BE9-4BC7-9A97-BD9E653B56F4}"/>
    <cellStyle name="Обычный 4 2" xfId="14" xr:uid="{E3B5855E-C976-4988-9D3E-2C34A74A56E4}"/>
    <cellStyle name="Обычный 5" xfId="15" xr:uid="{3F38BE46-C2F1-48DF-A013-2AACF88289B1}"/>
    <cellStyle name="Обычный 6" xfId="16" xr:uid="{91E721C9-1AA4-497A-8836-A62742F42147}"/>
    <cellStyle name="Обычный 6 2" xfId="17" xr:uid="{E60676F8-201D-4B4F-8C35-85D23A93553B}"/>
    <cellStyle name="Обычный 7" xfId="18" xr:uid="{7DD17A0E-373C-4360-AB47-C7358F041ACF}"/>
    <cellStyle name="Обычный 8" xfId="19" xr:uid="{ED45B7B7-9101-4D3F-BC11-050648E3A8E6}"/>
    <cellStyle name="Обычный 9" xfId="20" xr:uid="{171BB7E2-C960-46F3-B87D-22662E3831C5}"/>
    <cellStyle name="Обычный_Лист1" xfId="22" xr:uid="{31B49E29-64CB-48C4-8302-DD19682C855D}"/>
    <cellStyle name="Обычный_Рулонные КОМФОРТ" xfId="21" xr:uid="{F4D6ADFB-2EE0-4B36-AF5D-40DE96053903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3DD97"/>
      <rgbColor rgb="0000FF00"/>
      <rgbColor rgb="000000FF"/>
      <rgbColor rgb="00FFFF00"/>
      <rgbColor rgb="0000FF99"/>
      <rgbColor rgb="0000FFFF"/>
      <rgbColor rgb="00800000"/>
      <rgbColor rgb="00008000"/>
      <rgbColor rgb="00FFCC99"/>
      <rgbColor rgb="00F7DFD5"/>
      <rgbColor rgb="00800080"/>
      <rgbColor rgb="00DA7C2E"/>
      <rgbColor rgb="00808080"/>
      <rgbColor rgb="00C0C0C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CFFF"/>
      <rgbColor rgb="0069FFFF"/>
      <rgbColor rgb="00E0FFE0"/>
      <rgbColor rgb="00DD9CB3"/>
      <rgbColor rgb="00B38FEE"/>
      <rgbColor rgb="002A6FF9"/>
      <rgbColor rgb="003FB8CD"/>
      <rgbColor rgb="00488436"/>
      <rgbColor rgb="00AC69D5"/>
      <rgbColor rgb="008E5E42"/>
      <rgbColor rgb="00ADEEA4"/>
      <rgbColor rgb="00F8FA98"/>
      <rgbColor rgb="001D2FBE"/>
      <rgbColor rgb="00286676"/>
      <rgbColor rgb="00004500"/>
      <rgbColor rgb="00F7C19F"/>
      <rgbColor rgb="0022B1DE"/>
      <rgbColor rgb="0085396A"/>
      <rgbColor rgb="004A3285"/>
      <rgbColor rgb="00F3A811"/>
      <rgbColor rgb="00A6CAF0"/>
      <rgbColor rgb="00FF0000"/>
      <rgbColor rgb="00008000"/>
      <rgbColor rgb="00000080"/>
      <rgbColor rgb="00808000"/>
      <rgbColor rgb="00800080"/>
      <rgbColor rgb="00008080"/>
      <rgbColor rgb="00808080"/>
      <rgbColor rgb="00FFFBF0"/>
      <rgbColor rgb="00A0A0A4"/>
      <rgbColor rgb="00313900"/>
      <rgbColor rgb="00E802C7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4" Type="http://schemas.openxmlformats.org/officeDocument/2006/relationships/image" Target="../media/image6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20</xdr:row>
      <xdr:rowOff>80009</xdr:rowOff>
    </xdr:from>
    <xdr:ext cx="4829175" cy="1038322"/>
    <xdr:sp macro="" textlink="">
      <xdr:nvSpPr>
        <xdr:cNvPr id="3" name="Прямоугольник 2">
          <a:extLst>
            <a:ext uri="{FF2B5EF4-FFF2-40B4-BE49-F238E27FC236}">
              <a16:creationId xmlns:a16="http://schemas.microsoft.com/office/drawing/2014/main" id="{68956E29-3D9F-44C3-92DD-41950E8DEF46}"/>
            </a:ext>
          </a:extLst>
        </xdr:cNvPr>
        <xdr:cNvSpPr/>
      </xdr:nvSpPr>
      <xdr:spPr>
        <a:xfrm>
          <a:off x="28575" y="3638549"/>
          <a:ext cx="4829175" cy="1076325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lang="ru-RU" sz="54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  </a:t>
          </a:r>
          <a:r>
            <a:rPr lang="ru-RU" sz="48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  <a:latin typeface="Bookman Old Style" pitchFamily="18" charset="0"/>
            </a:rPr>
            <a:t>ПРАЙС-ЛИСТ</a:t>
          </a:r>
          <a:r>
            <a:rPr lang="ru-RU" sz="4800" b="1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  <a:latin typeface="Bookman Old Style" pitchFamily="18" charset="0"/>
            </a:rPr>
            <a:t> </a:t>
          </a:r>
        </a:p>
      </xdr:txBody>
    </xdr:sp>
    <xdr:clientData/>
  </xdr:oneCellAnchor>
  <xdr:twoCellAnchor editAs="oneCell">
    <xdr:from>
      <xdr:col>3</xdr:col>
      <xdr:colOff>121920</xdr:colOff>
      <xdr:row>3</xdr:row>
      <xdr:rowOff>0</xdr:rowOff>
    </xdr:from>
    <xdr:to>
      <xdr:col>4</xdr:col>
      <xdr:colOff>556260</xdr:colOff>
      <xdr:row>11</xdr:row>
      <xdr:rowOff>129540</xdr:rowOff>
    </xdr:to>
    <xdr:pic>
      <xdr:nvPicPr>
        <xdr:cNvPr id="294856" name="Рисунок 4" descr="Логотип Интерьер Стиль.eps">
          <a:extLst>
            <a:ext uri="{FF2B5EF4-FFF2-40B4-BE49-F238E27FC236}">
              <a16:creationId xmlns:a16="http://schemas.microsoft.com/office/drawing/2014/main" id="{4B23D8FC-5F72-F71C-FBB3-41F68EE07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0720" y="502920"/>
          <a:ext cx="1043940" cy="1470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568036</xdr:colOff>
      <xdr:row>0</xdr:row>
      <xdr:rowOff>83127</xdr:rowOff>
    </xdr:from>
    <xdr:to>
      <xdr:col>10</xdr:col>
      <xdr:colOff>62345</xdr:colOff>
      <xdr:row>4</xdr:row>
      <xdr:rowOff>233115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E8460BF7-35FE-44B6-B6A0-4227B387B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696" y="83127"/>
          <a:ext cx="3510049" cy="76166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</xdr:colOff>
      <xdr:row>0</xdr:row>
      <xdr:rowOff>38100</xdr:rowOff>
    </xdr:from>
    <xdr:to>
      <xdr:col>1</xdr:col>
      <xdr:colOff>304800</xdr:colOff>
      <xdr:row>6</xdr:row>
      <xdr:rowOff>106680</xdr:rowOff>
    </xdr:to>
    <xdr:pic>
      <xdr:nvPicPr>
        <xdr:cNvPr id="225252" name="Рисунок 3" descr="Логотип Интерьер Стиль.eps">
          <a:extLst>
            <a:ext uri="{FF2B5EF4-FFF2-40B4-BE49-F238E27FC236}">
              <a16:creationId xmlns:a16="http://schemas.microsoft.com/office/drawing/2014/main" id="{1BACD278-28B9-DCBB-88FF-7C30D02D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38100"/>
          <a:ext cx="662940" cy="845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</xdr:colOff>
      <xdr:row>0</xdr:row>
      <xdr:rowOff>0</xdr:rowOff>
    </xdr:from>
    <xdr:to>
      <xdr:col>1</xdr:col>
      <xdr:colOff>304800</xdr:colOff>
      <xdr:row>0</xdr:row>
      <xdr:rowOff>22860</xdr:rowOff>
    </xdr:to>
    <xdr:pic>
      <xdr:nvPicPr>
        <xdr:cNvPr id="290801" name="Picture 1" descr="logowhite">
          <a:extLst>
            <a:ext uri="{FF2B5EF4-FFF2-40B4-BE49-F238E27FC236}">
              <a16:creationId xmlns:a16="http://schemas.microsoft.com/office/drawing/2014/main" id="{38F5F5E6-7B29-A343-7003-29B58BE873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" y="0"/>
          <a:ext cx="800100" cy="22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gamma-i.ru/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s://gamma-i.ru/catalog/products/gorizontalnye-zhalyuzi/bambukovye-25-mm/" TargetMode="External"/><Relationship Id="rId2" Type="http://schemas.openxmlformats.org/officeDocument/2006/relationships/hyperlink" Target="https://gamma-i.ru/catalog/products/gorizontalnye-zhalyuzi/derevyannye-25-mm/" TargetMode="External"/><Relationship Id="rId1" Type="http://schemas.openxmlformats.org/officeDocument/2006/relationships/hyperlink" Target="https://gamma-i.ru/catalog/complects/derevo-bambuk/" TargetMode="External"/><Relationship Id="rId4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hyperlink" Target="https://gamma-i.ru/catalog/automation/ustroystva-upravleniya/dekoratio-dc1600/" TargetMode="External"/><Relationship Id="rId13" Type="http://schemas.openxmlformats.org/officeDocument/2006/relationships/hyperlink" Target="https://gamma-i.ru/catalog/automation/ustroystva-upravleniya/somfy-situo-variation-1/" TargetMode="External"/><Relationship Id="rId18" Type="http://schemas.openxmlformats.org/officeDocument/2006/relationships/hyperlink" Target="https://gamma-i.ru/catalog/products/derevo-bambuk-coulisse/derevo-colulisse-tkanevaya-lesenka-veryevochnoe-upravlenie/" TargetMode="External"/><Relationship Id="rId3" Type="http://schemas.openxmlformats.org/officeDocument/2006/relationships/hyperlink" Target="https://gamma-i.ru/catalog/automation/elektroprivody/dekoratio-dm35rvl/" TargetMode="External"/><Relationship Id="rId21" Type="http://schemas.openxmlformats.org/officeDocument/2006/relationships/hyperlink" Target="https://gamma-i.ru/catalog/automation/elektroprivody/dekoratio-ii-am35mel-wifi/" TargetMode="External"/><Relationship Id="rId7" Type="http://schemas.openxmlformats.org/officeDocument/2006/relationships/hyperlink" Target="https://gamma-i.ru/catalog/automation/ustroystva-upravleniya/dekoratio-dc1602/" TargetMode="External"/><Relationship Id="rId12" Type="http://schemas.openxmlformats.org/officeDocument/2006/relationships/hyperlink" Target="https://gamma-i.ru/catalog/automation/ustroystva-upravleniya/somfy-telis-16-rts/" TargetMode="External"/><Relationship Id="rId17" Type="http://schemas.openxmlformats.org/officeDocument/2006/relationships/hyperlink" Target="https://gamma-i.ru/catalog/automation/ustroystva-upravleniya/dekoratio-dc1612/" TargetMode="External"/><Relationship Id="rId2" Type="http://schemas.openxmlformats.org/officeDocument/2006/relationships/hyperlink" Target="https://gamma-i.ru/catalog/automation/elektroprivody/dekoratio-dm35sl/" TargetMode="External"/><Relationship Id="rId16" Type="http://schemas.openxmlformats.org/officeDocument/2006/relationships/hyperlink" Target="https://gamma-i.ru/catalog/automation/ustroystva-upravleniya/dekoratio-dc1610/" TargetMode="External"/><Relationship Id="rId20" Type="http://schemas.openxmlformats.org/officeDocument/2006/relationships/hyperlink" Target="https://gamma-i.ru/catalog/complects/derevo-bambuk-50mm-coulisse/" TargetMode="External"/><Relationship Id="rId1" Type="http://schemas.openxmlformats.org/officeDocument/2006/relationships/hyperlink" Target="https://gamma-i.ru/catalog/automation/elektroprivody/somfy-sonesse-40-rts/" TargetMode="External"/><Relationship Id="rId6" Type="http://schemas.openxmlformats.org/officeDocument/2006/relationships/hyperlink" Target="https://gamma-i.ru/catalog/automation/ustroystva-upravleniya/dekoratio-dc866/" TargetMode="External"/><Relationship Id="rId11" Type="http://schemas.openxmlformats.org/officeDocument/2006/relationships/hyperlink" Target="https://gamma-i.ru/catalog/automation/ustroystva-upravleniya/somfy-situo-5-rts/" TargetMode="External"/><Relationship Id="rId5" Type="http://schemas.openxmlformats.org/officeDocument/2006/relationships/hyperlink" Target="https://gamma-i.ru/catalog/automation/ustroystva-upravleniya/dekoratio-dc1670/" TargetMode="External"/><Relationship Id="rId15" Type="http://schemas.openxmlformats.org/officeDocument/2006/relationships/hyperlink" Target="https://gamma-i.ru/catalog/automation/ustroystva-upravleniya/somfy-smoove-1-rts/" TargetMode="External"/><Relationship Id="rId10" Type="http://schemas.openxmlformats.org/officeDocument/2006/relationships/hyperlink" Target="https://gamma-i.ru/catalog/automation/ustroystva-upravleniya/somfy-situo-1-rts/" TargetMode="External"/><Relationship Id="rId19" Type="http://schemas.openxmlformats.org/officeDocument/2006/relationships/hyperlink" Target="https://gamma-i.ru/catalog/products/derevo-bambuk-coulisse/bambuk-50mm-kollektsiya-coulisse/" TargetMode="External"/><Relationship Id="rId4" Type="http://schemas.openxmlformats.org/officeDocument/2006/relationships/hyperlink" Target="https://gamma-i.ru/catalog/automation/ustroystva-upravleniya/dekoratio-dc1673/" TargetMode="External"/><Relationship Id="rId9" Type="http://schemas.openxmlformats.org/officeDocument/2006/relationships/hyperlink" Target="https://gamma-i.ru/catalog/automation/elektroprivody/somfy-sonesse-40-pa/" TargetMode="External"/><Relationship Id="rId14" Type="http://schemas.openxmlformats.org/officeDocument/2006/relationships/hyperlink" Target="https://gamma-i.ru/catalog/automation/ustroystva-upravleniya/somfy-situo-variation-5/" TargetMode="External"/><Relationship Id="rId22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prokof@nika-decor.ru" TargetMode="External"/><Relationship Id="rId2" Type="http://schemas.openxmlformats.org/officeDocument/2006/relationships/hyperlink" Target="mailto:fidler@nika-decor.ru" TargetMode="External"/><Relationship Id="rId1" Type="http://schemas.openxmlformats.org/officeDocument/2006/relationships/hyperlink" Target="mailto:tseplaeva@nika-decor.ru" TargetMode="Externa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2.bin"/><Relationship Id="rId2" Type="http://schemas.openxmlformats.org/officeDocument/2006/relationships/hyperlink" Target="https://gamma-i.ru/catalog/products/kassetnye-sistemy-na-mansardnye-okna/v-layt/" TargetMode="External"/><Relationship Id="rId1" Type="http://schemas.openxmlformats.org/officeDocument/2006/relationships/hyperlink" Target="https://gamma-i.ru/catalog/complects/lenta-alyuminievaya-16-25-mm/" TargetMode="External"/><Relationship Id="rId5" Type="http://schemas.openxmlformats.org/officeDocument/2006/relationships/comments" Target="../comments4.xml"/><Relationship Id="rId4" Type="http://schemas.openxmlformats.org/officeDocument/2006/relationships/vmlDrawing" Target="../drawings/vmlDrawing4.v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.bin"/><Relationship Id="rId3" Type="http://schemas.openxmlformats.org/officeDocument/2006/relationships/hyperlink" Target="https://gamma-i.ru/catalog/automation/elektroprivody/dekoratio-dm25le/" TargetMode="External"/><Relationship Id="rId7" Type="http://schemas.openxmlformats.org/officeDocument/2006/relationships/hyperlink" Target="https://gamma-i.ru/catalog/automation/ustroystva-upravleniya/dekoratio-dc1670/" TargetMode="External"/><Relationship Id="rId2" Type="http://schemas.openxmlformats.org/officeDocument/2006/relationships/hyperlink" Target="https://gamma-i.ru/catalog/complects/tkan-rulonnaya-/" TargetMode="External"/><Relationship Id="rId1" Type="http://schemas.openxmlformats.org/officeDocument/2006/relationships/hyperlink" Target="https://gamma-i.ru/catalog/products/rulonnye-shtory-svobodnovisyashchie/standart-na-trube-26-mm/" TargetMode="External"/><Relationship Id="rId6" Type="http://schemas.openxmlformats.org/officeDocument/2006/relationships/hyperlink" Target="https://gamma-i.ru/catalog/complects/pulty-upravleniya/dekoratio-dc1673/" TargetMode="External"/><Relationship Id="rId5" Type="http://schemas.openxmlformats.org/officeDocument/2006/relationships/hyperlink" Target="https://gamma-i.ru/catalog/automation/ustroystva-upravleniya/dekoratio-dc1600/" TargetMode="External"/><Relationship Id="rId4" Type="http://schemas.openxmlformats.org/officeDocument/2006/relationships/hyperlink" Target="https://gamma-i.ru/catalog/automation/ustroystva-upravleniya/dekoratio-dc1602/" TargetMode="Externa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6.bin"/><Relationship Id="rId2" Type="http://schemas.openxmlformats.org/officeDocument/2006/relationships/hyperlink" Target="https://gamma-i.ru/catalog/products/rulonnye-shtory-svobodnovisyashchie/klassik-na-trube-28-mm/" TargetMode="External"/><Relationship Id="rId1" Type="http://schemas.openxmlformats.org/officeDocument/2006/relationships/hyperlink" Target="https://gamma-i.ru/catalog/complects/tkan-rulonnaya-/" TargetMode="External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hyperlink" Target="https://gamma-i.ru/catalog/automation/ustroystva-upravleniya/dekoratio-dc866/" TargetMode="External"/><Relationship Id="rId13" Type="http://schemas.openxmlformats.org/officeDocument/2006/relationships/hyperlink" Target="https://gamma-i.ru/catalog/automation/ustroystva-upravleniya/somfy-situo-1-rts/" TargetMode="External"/><Relationship Id="rId18" Type="http://schemas.openxmlformats.org/officeDocument/2006/relationships/hyperlink" Target="https://gamma-i.ru/catalog/automation/ustroystva-upravleniya/somfy-smoove-1-rts/" TargetMode="External"/><Relationship Id="rId3" Type="http://schemas.openxmlformats.org/officeDocument/2006/relationships/hyperlink" Target="https://gamma-i.ru/catalog/automation/elektroprivody/somfy-sonesse-40-pa/" TargetMode="External"/><Relationship Id="rId21" Type="http://schemas.openxmlformats.org/officeDocument/2006/relationships/printerSettings" Target="../printerSettings/printerSettings27.bin"/><Relationship Id="rId7" Type="http://schemas.openxmlformats.org/officeDocument/2006/relationships/hyperlink" Target="https://gamma-i.ru/catalog/automation/ustroystva-upravleniya/dekoratio-dc1670/" TargetMode="External"/><Relationship Id="rId12" Type="http://schemas.openxmlformats.org/officeDocument/2006/relationships/hyperlink" Target="https://gamma-i.ru/catalog/automation/elektroprivody/somfy-sonesse-30-wf/" TargetMode="External"/><Relationship Id="rId17" Type="http://schemas.openxmlformats.org/officeDocument/2006/relationships/hyperlink" Target="https://gamma-i.ru/catalog/automation/ustroystva-upravleniya/somfy-situo-variation-5/" TargetMode="External"/><Relationship Id="rId2" Type="http://schemas.openxmlformats.org/officeDocument/2006/relationships/hyperlink" Target="https://gamma-i.ru/catalog/products/rulonnye-shtory-svobodnovisyashchie/lyuks-na-trube-42-mm/" TargetMode="External"/><Relationship Id="rId16" Type="http://schemas.openxmlformats.org/officeDocument/2006/relationships/hyperlink" Target="https://gamma-i.ru/catalog/automation/ustroystva-upravleniya/somfy-situo-variation-1/" TargetMode="External"/><Relationship Id="rId20" Type="http://schemas.openxmlformats.org/officeDocument/2006/relationships/hyperlink" Target="https://gamma-i.ru/catalog/automation/elektroprivody/dekoratio-ii-am35mel-wifi/" TargetMode="External"/><Relationship Id="rId1" Type="http://schemas.openxmlformats.org/officeDocument/2006/relationships/hyperlink" Target="https://gamma-i.ru/catalog/complects/tkan-rulonnaya-/" TargetMode="External"/><Relationship Id="rId6" Type="http://schemas.openxmlformats.org/officeDocument/2006/relationships/hyperlink" Target="https://gamma-i.ru/catalog/automation/ustroystva-upravleniya/dekoratio-dc1673/" TargetMode="External"/><Relationship Id="rId11" Type="http://schemas.openxmlformats.org/officeDocument/2006/relationships/hyperlink" Target="https://gamma-i.ru/catalog/automation/elektroprivody/somfy-altus-4-16-40/" TargetMode="External"/><Relationship Id="rId5" Type="http://schemas.openxmlformats.org/officeDocument/2006/relationships/hyperlink" Target="https://gamma-i.ru/catalog/automation/elektroprivody/dekoratio-dm35sl/" TargetMode="External"/><Relationship Id="rId15" Type="http://schemas.openxmlformats.org/officeDocument/2006/relationships/hyperlink" Target="https://gamma-i.ru/catalog/automation/ustroystva-upravleniya/somfy-telis-16-rts/" TargetMode="External"/><Relationship Id="rId10" Type="http://schemas.openxmlformats.org/officeDocument/2006/relationships/hyperlink" Target="https://gamma-i.ru/catalog/automation/ustroystva-upravleniya/dekoratio-dc1600/" TargetMode="External"/><Relationship Id="rId19" Type="http://schemas.openxmlformats.org/officeDocument/2006/relationships/hyperlink" Target="https://gamma-i.ru/catalog/automation/elektroprivody/dekoratio-dm35rvl/" TargetMode="External"/><Relationship Id="rId4" Type="http://schemas.openxmlformats.org/officeDocument/2006/relationships/hyperlink" Target="https://gamma-i.ru/catalog/automation/elektroprivody/somfy-sonesse-40-rts/" TargetMode="External"/><Relationship Id="rId9" Type="http://schemas.openxmlformats.org/officeDocument/2006/relationships/hyperlink" Target="https://gamma-i.ru/catalog/automation/ustroystva-upravleniya/dekoratio-dc1602/" TargetMode="External"/><Relationship Id="rId14" Type="http://schemas.openxmlformats.org/officeDocument/2006/relationships/hyperlink" Target="https://gamma-i.ru/catalog/automation/ustroystva-upravleniya/somfy-situo-5-rts/" TargetMode="Externa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8.bin"/><Relationship Id="rId2" Type="http://schemas.openxmlformats.org/officeDocument/2006/relationships/hyperlink" Target="https://gamma-i.ru/catalog/products/rulonnye-shtory-svobodnovisyashchie/kvatro-klassik/" TargetMode="External"/><Relationship Id="rId1" Type="http://schemas.openxmlformats.org/officeDocument/2006/relationships/hyperlink" Target="https://gamma-i.ru/catalog/complects/tkan-rulonnaya-/" TargetMode="External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hyperlink" Target="https://gamma-i.ru/catalog/automation/ustroystva-upravleniya/dekoratio-dc866/" TargetMode="External"/><Relationship Id="rId13" Type="http://schemas.openxmlformats.org/officeDocument/2006/relationships/hyperlink" Target="https://gamma-i.ru/catalog/automation/ustroystva-upravleniya/somfy-situo-1-rts/" TargetMode="External"/><Relationship Id="rId18" Type="http://schemas.openxmlformats.org/officeDocument/2006/relationships/hyperlink" Target="https://gamma-i.ru/catalog/automation/ustroystva-upravleniya/somfy-smoove-1-rts/" TargetMode="External"/><Relationship Id="rId3" Type="http://schemas.openxmlformats.org/officeDocument/2006/relationships/hyperlink" Target="https://gamma-i.ru/catalog/automation/elektroprivody/somfy-sonesse-40-rts/" TargetMode="External"/><Relationship Id="rId21" Type="http://schemas.openxmlformats.org/officeDocument/2006/relationships/hyperlink" Target="https://gamma-i.ru/catalog/products/rulonnye-shtory-svobodnovisyashchie/kvatro-lyuks/" TargetMode="External"/><Relationship Id="rId7" Type="http://schemas.openxmlformats.org/officeDocument/2006/relationships/hyperlink" Target="https://gamma-i.ru/catalog/automation/ustroystva-upravleniya/dekoratio-dc1670/" TargetMode="External"/><Relationship Id="rId12" Type="http://schemas.openxmlformats.org/officeDocument/2006/relationships/hyperlink" Target="https://gamma-i.ru/catalog/automation/elektroprivody/somfy-sonesse-30-wf/" TargetMode="External"/><Relationship Id="rId17" Type="http://schemas.openxmlformats.org/officeDocument/2006/relationships/hyperlink" Target="https://gamma-i.ru/catalog/automation/ustroystva-upravleniya/somfy-situo-variation-5/" TargetMode="External"/><Relationship Id="rId2" Type="http://schemas.openxmlformats.org/officeDocument/2006/relationships/hyperlink" Target="https://gamma-i.ru/catalog/automation/elektroprivody/somfy-sonesse-40-pa/" TargetMode="External"/><Relationship Id="rId16" Type="http://schemas.openxmlformats.org/officeDocument/2006/relationships/hyperlink" Target="https://gamma-i.ru/catalog/automation/ustroystva-upravleniya/somfy-situo-variation-1/" TargetMode="External"/><Relationship Id="rId20" Type="http://schemas.openxmlformats.org/officeDocument/2006/relationships/hyperlink" Target="https://gamma-i.ru/catalog/automation/elektroprivody/dekoratio-ii-am35mel-wifi/" TargetMode="External"/><Relationship Id="rId1" Type="http://schemas.openxmlformats.org/officeDocument/2006/relationships/hyperlink" Target="https://gamma-i.ru/catalog/complects/tkan-rulonnaya-/" TargetMode="External"/><Relationship Id="rId6" Type="http://schemas.openxmlformats.org/officeDocument/2006/relationships/hyperlink" Target="https://gamma-i.ru/catalog/automation/ustroystva-upravleniya/dekoratio-dc1673/" TargetMode="External"/><Relationship Id="rId11" Type="http://schemas.openxmlformats.org/officeDocument/2006/relationships/hyperlink" Target="https://gamma-i.ru/catalog/automation/elektroprivody/somfy-altus-4-16-40/" TargetMode="External"/><Relationship Id="rId5" Type="http://schemas.openxmlformats.org/officeDocument/2006/relationships/hyperlink" Target="https://gamma-i.ru/catalog/automation/elektroprivody/dekoratio-dm35sl/" TargetMode="External"/><Relationship Id="rId15" Type="http://schemas.openxmlformats.org/officeDocument/2006/relationships/hyperlink" Target="https://gamma-i.ru/catalog/automation/ustroystva-upravleniya/somfy-telis-16-rts/" TargetMode="External"/><Relationship Id="rId10" Type="http://schemas.openxmlformats.org/officeDocument/2006/relationships/hyperlink" Target="https://gamma-i.ru/catalog/automation/ustroystva-upravleniya/dekoratio-dc1600/" TargetMode="External"/><Relationship Id="rId19" Type="http://schemas.openxmlformats.org/officeDocument/2006/relationships/hyperlink" Target="https://gamma-i.ru/catalog/automation/elektroprivody/dekoratio-dm35rvl/" TargetMode="External"/><Relationship Id="rId4" Type="http://schemas.openxmlformats.org/officeDocument/2006/relationships/hyperlink" Target="https://gamma-i.ru/catalog/automation/elektroprivody/dekoratio-dm35le/" TargetMode="External"/><Relationship Id="rId9" Type="http://schemas.openxmlformats.org/officeDocument/2006/relationships/hyperlink" Target="https://gamma-i.ru/catalog/automation/ustroystva-upravleniya/dekoratio-dc1602/" TargetMode="External"/><Relationship Id="rId14" Type="http://schemas.openxmlformats.org/officeDocument/2006/relationships/hyperlink" Target="https://gamma-i.ru/catalog/automation/ustroystva-upravleniya/somfy-situo-5-rts/" TargetMode="External"/><Relationship Id="rId22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hyperlink" Target="https://gamma-i.ru/catalog/automation/ustroystva-upravleniya/dekoratio-dc1673/" TargetMode="External"/><Relationship Id="rId13" Type="http://schemas.openxmlformats.org/officeDocument/2006/relationships/hyperlink" Target="https://gamma-i.ru/catalog/automation/ustroystva-upravleniya/somfy-situo-1-rts/" TargetMode="External"/><Relationship Id="rId18" Type="http://schemas.openxmlformats.org/officeDocument/2006/relationships/hyperlink" Target="https://gamma-i.ru/catalog/automation/ustroystva-upravleniya/somfy-smoove-1-rts/" TargetMode="External"/><Relationship Id="rId3" Type="http://schemas.openxmlformats.org/officeDocument/2006/relationships/hyperlink" Target="https://gamma-i.ru/catalog/automation/elektroprivody/somfy-sonesse-40-pa/" TargetMode="External"/><Relationship Id="rId21" Type="http://schemas.openxmlformats.org/officeDocument/2006/relationships/printerSettings" Target="../printerSettings/printerSettings30.bin"/><Relationship Id="rId7" Type="http://schemas.openxmlformats.org/officeDocument/2006/relationships/hyperlink" Target="https://gamma-i.ru/catalog/automation/elektroprivody/somfy-sonesse-30-wf/" TargetMode="External"/><Relationship Id="rId12" Type="http://schemas.openxmlformats.org/officeDocument/2006/relationships/hyperlink" Target="https://gamma-i.ru/catalog/automation/ustroystva-upravleniya/dekoratio-dc1600/" TargetMode="External"/><Relationship Id="rId17" Type="http://schemas.openxmlformats.org/officeDocument/2006/relationships/hyperlink" Target="https://gamma-i.ru/catalog/automation/ustroystva-upravleniya/somfy-situo-variation-5/" TargetMode="External"/><Relationship Id="rId2" Type="http://schemas.openxmlformats.org/officeDocument/2006/relationships/hyperlink" Target="https://gamma-i.ru/catalog/products/rulonnye-shtory-svobodnovisyashchie/grand-na-trube-61-mm/" TargetMode="External"/><Relationship Id="rId16" Type="http://schemas.openxmlformats.org/officeDocument/2006/relationships/hyperlink" Target="https://gamma-i.ru/catalog/automation/ustroystva-upravleniya/somfy-situo-variation-1/" TargetMode="External"/><Relationship Id="rId20" Type="http://schemas.openxmlformats.org/officeDocument/2006/relationships/hyperlink" Target="https://gamma-i.ru/catalog/automation/elektroprivody/dekoratio-ii-am35mel-wifi/" TargetMode="External"/><Relationship Id="rId1" Type="http://schemas.openxmlformats.org/officeDocument/2006/relationships/hyperlink" Target="https://gamma-i.ru/catalog/complects/tkan-rulonnaya-/" TargetMode="External"/><Relationship Id="rId6" Type="http://schemas.openxmlformats.org/officeDocument/2006/relationships/hyperlink" Target="https://gamma-i.ru/catalog/automation/elektroprivody/somfy-altus-4-16-40/" TargetMode="External"/><Relationship Id="rId11" Type="http://schemas.openxmlformats.org/officeDocument/2006/relationships/hyperlink" Target="https://gamma-i.ru/catalog/automation/ustroystva-upravleniya/dekoratio-dc1602/" TargetMode="External"/><Relationship Id="rId5" Type="http://schemas.openxmlformats.org/officeDocument/2006/relationships/hyperlink" Target="https://gamma-i.ru/catalog/automation/elektroprivody/dekoratio-dm35sl/" TargetMode="External"/><Relationship Id="rId15" Type="http://schemas.openxmlformats.org/officeDocument/2006/relationships/hyperlink" Target="https://gamma-i.ru/catalog/automation/ustroystva-upravleniya/somfy-telis-16-rts/" TargetMode="External"/><Relationship Id="rId10" Type="http://schemas.openxmlformats.org/officeDocument/2006/relationships/hyperlink" Target="https://gamma-i.ru/catalog/automation/ustroystva-upravleniya/dekoratio-dc866/" TargetMode="External"/><Relationship Id="rId19" Type="http://schemas.openxmlformats.org/officeDocument/2006/relationships/hyperlink" Target="https://gamma-i.ru/catalog/automation/elektroprivody/dekoratio-dm35rvl/" TargetMode="External"/><Relationship Id="rId4" Type="http://schemas.openxmlformats.org/officeDocument/2006/relationships/hyperlink" Target="https://gamma-i.ru/catalog/automation/elektroprivody/somfy-sonesse-40-rts/" TargetMode="External"/><Relationship Id="rId9" Type="http://schemas.openxmlformats.org/officeDocument/2006/relationships/hyperlink" Target="https://gamma-i.ru/catalog/automation/ustroystva-upravleniya/dekoratio-dc1670/" TargetMode="External"/><Relationship Id="rId14" Type="http://schemas.openxmlformats.org/officeDocument/2006/relationships/hyperlink" Target="https://gamma-i.ru/catalog/automation/ustroystva-upravleniya/somfy-situo-5-rts/" TargetMode="Externa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.bin"/><Relationship Id="rId2" Type="http://schemas.openxmlformats.org/officeDocument/2006/relationships/hyperlink" Target="https://gamma-i.ru/catalog/products/rulonnye-shtory-svobodnovisyashchie/spring/" TargetMode="External"/><Relationship Id="rId1" Type="http://schemas.openxmlformats.org/officeDocument/2006/relationships/hyperlink" Target="https://gamma-i.ru/catalog/complects/tkan-rulonnaya-/" TargetMode="Externa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.bin"/><Relationship Id="rId1" Type="http://schemas.openxmlformats.org/officeDocument/2006/relationships/hyperlink" Target="https://gamma-i.ru/catalog/complects/tkan-rulonnaya-/" TargetMode="Externa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.bin"/><Relationship Id="rId2" Type="http://schemas.openxmlformats.org/officeDocument/2006/relationships/hyperlink" Target="https://gamma-i.ru/catalog/products/rulonnye-shtory-svobodnovisyashchie/mini/" TargetMode="External"/><Relationship Id="rId1" Type="http://schemas.openxmlformats.org/officeDocument/2006/relationships/hyperlink" Target="https://gamma-i.ru/catalog/complects/tkan-rulonnaya-/" TargetMode="Externa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4.bin"/><Relationship Id="rId2" Type="http://schemas.openxmlformats.org/officeDocument/2006/relationships/hyperlink" Target="https://gamma-i.ru/catalog/products/kassetnye-rulonnye-shtory-na-plastikovye-okna/uni-1/" TargetMode="External"/><Relationship Id="rId1" Type="http://schemas.openxmlformats.org/officeDocument/2006/relationships/hyperlink" Target="https://gamma-i.ru/catalog/complects/tkan-rulonnaya-/" TargetMode="External"/><Relationship Id="rId5" Type="http://schemas.openxmlformats.org/officeDocument/2006/relationships/comments" Target="../comments5.xml"/><Relationship Id="rId4" Type="http://schemas.openxmlformats.org/officeDocument/2006/relationships/vmlDrawing" Target="../drawings/vmlDrawing5.v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5.bin"/><Relationship Id="rId2" Type="http://schemas.openxmlformats.org/officeDocument/2006/relationships/hyperlink" Target="https://gamma-i.ru/catalog/products/kassetnye-rulonnye-shtory-na-plastikovye-okna/uni-1/" TargetMode="External"/><Relationship Id="rId1" Type="http://schemas.openxmlformats.org/officeDocument/2006/relationships/hyperlink" Target="https://gamma-i.ru/catalog/complects/tkan-rulonnaya-/" TargetMode="External"/><Relationship Id="rId5" Type="http://schemas.openxmlformats.org/officeDocument/2006/relationships/comments" Target="../comments6.xml"/><Relationship Id="rId4" Type="http://schemas.openxmlformats.org/officeDocument/2006/relationships/vmlDrawing" Target="../drawings/vmlDrawing6.v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hyperlink" Target="https://gamma-i.ru/catalog/products/kassetnye-rulonnye-shtory-na-plastikovye-okna/uni-2-s-pruzhinnym-mekhanizmom/" TargetMode="External"/><Relationship Id="rId2" Type="http://schemas.openxmlformats.org/officeDocument/2006/relationships/hyperlink" Target="https://gamma-i.ru/catalog/products/kassetnye-rulonnye-shtory-na-plastikovye-okna/uni-2/" TargetMode="External"/><Relationship Id="rId1" Type="http://schemas.openxmlformats.org/officeDocument/2006/relationships/hyperlink" Target="https://gamma-i.ru/catalog/complects/tkan-rulonnaya-/" TargetMode="External"/><Relationship Id="rId4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7.bin"/><Relationship Id="rId2" Type="http://schemas.openxmlformats.org/officeDocument/2006/relationships/hyperlink" Target="https://gamma-i.ru/catalog/products/kassetnye-rulonnye-shtory-na-plastikovye-okna/uni-2/" TargetMode="External"/><Relationship Id="rId1" Type="http://schemas.openxmlformats.org/officeDocument/2006/relationships/hyperlink" Target="https://gamma-i.ru/catalog/complects/tkan-rulonnaya-/" TargetMode="Externa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8.bin"/><Relationship Id="rId2" Type="http://schemas.openxmlformats.org/officeDocument/2006/relationships/hyperlink" Target="https://gamma-i.ru/catalog/products/kassetnye-sistemy-na-mansardnye-okna/r-layt/" TargetMode="External"/><Relationship Id="rId1" Type="http://schemas.openxmlformats.org/officeDocument/2006/relationships/hyperlink" Target="https://gamma-i.ru/catalog/complects/tkan-rulonnaya-/" TargetMode="Externa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gamma-i.ru/catalog/complects/tkan-vertikalnaya-89-mm-new/" TargetMode="External"/><Relationship Id="rId13" Type="http://schemas.openxmlformats.org/officeDocument/2006/relationships/hyperlink" Target="https://gamma-i.ru/catalog/automation/elektroprivody/dekoratio-dk30de/" TargetMode="External"/><Relationship Id="rId18" Type="http://schemas.openxmlformats.org/officeDocument/2006/relationships/comments" Target="../comments1.xml"/><Relationship Id="rId3" Type="http://schemas.openxmlformats.org/officeDocument/2006/relationships/hyperlink" Target="https://gamma-i.ru/catalog/complects/plastik-dlya-vertikalnykh-zhalyuzi-89-mm/" TargetMode="External"/><Relationship Id="rId7" Type="http://schemas.openxmlformats.org/officeDocument/2006/relationships/hyperlink" Target="https://gamma-i.ru/catalog/products/vertikalnye-zhalyuzi-89-mm/multifakturnye-zhalyuzi/" TargetMode="External"/><Relationship Id="rId12" Type="http://schemas.openxmlformats.org/officeDocument/2006/relationships/hyperlink" Target="https://gamma-i.ru/catalog/complects/tkan-vertikalnaya-89-mm-new/" TargetMode="External"/><Relationship Id="rId17" Type="http://schemas.openxmlformats.org/officeDocument/2006/relationships/vmlDrawing" Target="../drawings/vmlDrawing1.vml"/><Relationship Id="rId2" Type="http://schemas.openxmlformats.org/officeDocument/2006/relationships/hyperlink" Target="https://gamma-i.ru/catalog/products/vertikalnye-zhalyuzi-89-mm/plastikovye/" TargetMode="External"/><Relationship Id="rId16" Type="http://schemas.openxmlformats.org/officeDocument/2006/relationships/printerSettings" Target="../printerSettings/printerSettings4.bin"/><Relationship Id="rId1" Type="http://schemas.openxmlformats.org/officeDocument/2006/relationships/hyperlink" Target="https://gamma-i.ru/catalog/complects/tkan-vertikalnaya-89-mm-new/" TargetMode="External"/><Relationship Id="rId6" Type="http://schemas.openxmlformats.org/officeDocument/2006/relationships/hyperlink" Target="https://gamma-i.ru/catalog/complects/plastik-dlya-vertikalnykh-zhalyuzi-89-mm/" TargetMode="External"/><Relationship Id="rId11" Type="http://schemas.openxmlformats.org/officeDocument/2006/relationships/hyperlink" Target="https://gamma-i.ru/catalog/automation/ustroystva-upravleniya/dekoratio-dc1662d/" TargetMode="External"/><Relationship Id="rId5" Type="http://schemas.openxmlformats.org/officeDocument/2006/relationships/hyperlink" Target="https://gamma-i.ru/catalog/complects/tkan-vertikalnaya-89-mm-new/" TargetMode="External"/><Relationship Id="rId15" Type="http://schemas.openxmlformats.org/officeDocument/2006/relationships/hyperlink" Target="https://gamma-i.ru/catalog/automation/ustroystva-upravleniya/dekoratio-dc1662d/" TargetMode="External"/><Relationship Id="rId10" Type="http://schemas.openxmlformats.org/officeDocument/2006/relationships/hyperlink" Target="https://gamma-i.ru/catalog/automation/ustroystva-upravleniya/dekoratio-dc1667a/" TargetMode="External"/><Relationship Id="rId4" Type="http://schemas.openxmlformats.org/officeDocument/2006/relationships/hyperlink" Target="https://gamma-i.ru/catalog/products/vertikalnye-zhalyuzi-89-mm/-tkanevye/" TargetMode="External"/><Relationship Id="rId9" Type="http://schemas.openxmlformats.org/officeDocument/2006/relationships/hyperlink" Target="https://gamma-i.ru/catalog/automation/elektroprivody/dekoratio-dk30de/" TargetMode="External"/><Relationship Id="rId14" Type="http://schemas.openxmlformats.org/officeDocument/2006/relationships/hyperlink" Target="https://gamma-i.ru/catalog/automation/ustroystva-upravleniya/dekoratio-dc1667a/" TargetMode="Externa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1.bin"/><Relationship Id="rId1" Type="http://schemas.openxmlformats.org/officeDocument/2006/relationships/hyperlink" Target="https://gamma-i.ru/catalog/complects/tkan-kombo/" TargetMode="Externa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2.bin"/><Relationship Id="rId2" Type="http://schemas.openxmlformats.org/officeDocument/2006/relationships/hyperlink" Target="https://gamma-i.ru/catalog/products/kombo-den-noch-svobodnovisyashchie/v-52-standart-na-trube-25-mm/" TargetMode="External"/><Relationship Id="rId1" Type="http://schemas.openxmlformats.org/officeDocument/2006/relationships/hyperlink" Target="https://gamma-i.ru/catalog/complects/tkan-kombo/" TargetMode="Externa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3.bin"/><Relationship Id="rId2" Type="http://schemas.openxmlformats.org/officeDocument/2006/relationships/hyperlink" Target="https://gamma-i.ru/catalog/products/kombo-den-noch-svobodnovisyashchie/kombo-klassik/" TargetMode="External"/><Relationship Id="rId1" Type="http://schemas.openxmlformats.org/officeDocument/2006/relationships/hyperlink" Target="https://gamma-i.ru/catalog/complects/tkan-kombo/" TargetMode="External"/></Relationships>
</file>

<file path=xl/worksheets/_rels/sheet44.xml.rels><?xml version="1.0" encoding="UTF-8" standalone="yes"?>
<Relationships xmlns="http://schemas.openxmlformats.org/package/2006/relationships"><Relationship Id="rId8" Type="http://schemas.openxmlformats.org/officeDocument/2006/relationships/hyperlink" Target="https://gamma-i.ru/catalog/automation/ustroystva-upravleniya/dekoratio-dc866/" TargetMode="External"/><Relationship Id="rId13" Type="http://schemas.openxmlformats.org/officeDocument/2006/relationships/hyperlink" Target="https://gamma-i.ru/catalog/automation/ustroystva-upravleniya/somfy-situo-1-rts/" TargetMode="External"/><Relationship Id="rId18" Type="http://schemas.openxmlformats.org/officeDocument/2006/relationships/hyperlink" Target="https://gamma-i.ru/catalog/automation/ustroystva-upravleniya/somfy-smoove-1-rts/" TargetMode="External"/><Relationship Id="rId3" Type="http://schemas.openxmlformats.org/officeDocument/2006/relationships/hyperlink" Target="https://gamma-i.ru/catalog/automation/elektroprivody/somfy-sonesse-40-pa/" TargetMode="External"/><Relationship Id="rId21" Type="http://schemas.openxmlformats.org/officeDocument/2006/relationships/printerSettings" Target="../printerSettings/printerSettings44.bin"/><Relationship Id="rId7" Type="http://schemas.openxmlformats.org/officeDocument/2006/relationships/hyperlink" Target="https://gamma-i.ru/catalog/automation/ustroystva-upravleniya/dekoratio-dc1670/" TargetMode="External"/><Relationship Id="rId12" Type="http://schemas.openxmlformats.org/officeDocument/2006/relationships/hyperlink" Target="https://gamma-i.ru/catalog/automation/elektroprivody/somfy-sonesse-30-wf/" TargetMode="External"/><Relationship Id="rId17" Type="http://schemas.openxmlformats.org/officeDocument/2006/relationships/hyperlink" Target="https://gamma-i.ru/catalog/automation/ustroystva-upravleniya/somfy-situo-variation-5/" TargetMode="External"/><Relationship Id="rId2" Type="http://schemas.openxmlformats.org/officeDocument/2006/relationships/hyperlink" Target="https://gamma-i.ru/catalog/products/kombo-den-noch-svobodnovisyashchie/v-52-lyuks-na-trube-42-mm/" TargetMode="External"/><Relationship Id="rId16" Type="http://schemas.openxmlformats.org/officeDocument/2006/relationships/hyperlink" Target="https://gamma-i.ru/catalog/automation/ustroystva-upravleniya/somfy-situo-variation-1/" TargetMode="External"/><Relationship Id="rId20" Type="http://schemas.openxmlformats.org/officeDocument/2006/relationships/hyperlink" Target="https://gamma-i.ru/catalog/automation/elektroprivody/dekoratio-ii-am35mel-wifi/" TargetMode="External"/><Relationship Id="rId1" Type="http://schemas.openxmlformats.org/officeDocument/2006/relationships/hyperlink" Target="https://gamma-i.ru/catalog/complects/tkan-kombo/" TargetMode="External"/><Relationship Id="rId6" Type="http://schemas.openxmlformats.org/officeDocument/2006/relationships/hyperlink" Target="https://gamma-i.ru/catalog/automation/ustroystva-upravleniya/dekoratio-dc1673/" TargetMode="External"/><Relationship Id="rId11" Type="http://schemas.openxmlformats.org/officeDocument/2006/relationships/hyperlink" Target="https://gamma-i.ru/catalog/automation/elektroprivody/somfy-altus-4-16-40/" TargetMode="External"/><Relationship Id="rId5" Type="http://schemas.openxmlformats.org/officeDocument/2006/relationships/hyperlink" Target="https://gamma-i.ru/catalog/automation/elektroprivody/dekoratio-dm35sl/" TargetMode="External"/><Relationship Id="rId15" Type="http://schemas.openxmlformats.org/officeDocument/2006/relationships/hyperlink" Target="https://gamma-i.ru/catalog/automation/ustroystva-upravleniya/somfy-telis-16-rts/" TargetMode="External"/><Relationship Id="rId10" Type="http://schemas.openxmlformats.org/officeDocument/2006/relationships/hyperlink" Target="https://gamma-i.ru/catalog/automation/ustroystva-upravleniya/dekoratio-dc1600/" TargetMode="External"/><Relationship Id="rId19" Type="http://schemas.openxmlformats.org/officeDocument/2006/relationships/hyperlink" Target="https://gamma-i.ru/catalog/automation/elektroprivody/dekoratio-dm35rvl/" TargetMode="External"/><Relationship Id="rId4" Type="http://schemas.openxmlformats.org/officeDocument/2006/relationships/hyperlink" Target="https://gamma-i.ru/catalog/automation/elektroprivody/somfy-sonesse-40-rts/" TargetMode="External"/><Relationship Id="rId9" Type="http://schemas.openxmlformats.org/officeDocument/2006/relationships/hyperlink" Target="https://gamma-i.ru/catalog/automation/ustroystva-upravleniya/dekoratio-dc1602/" TargetMode="External"/><Relationship Id="rId14" Type="http://schemas.openxmlformats.org/officeDocument/2006/relationships/hyperlink" Target="https://gamma-i.ru/catalog/automation/ustroystva-upravleniya/somfy-situo-5-rts/" TargetMode="External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hyperlink" Target="https://gamma-i.ru/catalog/complects/tkan-kombo/" TargetMode="External"/><Relationship Id="rId2" Type="http://schemas.openxmlformats.org/officeDocument/2006/relationships/hyperlink" Target="https://gamma-i.ru/catalog/products/kombo-den-noch-svobodnovisyashchie/kombo-kvatro-klassik/" TargetMode="External"/><Relationship Id="rId1" Type="http://schemas.openxmlformats.org/officeDocument/2006/relationships/hyperlink" Target="https://gamma-i.ru/catalog/complects/tkan-kombo/" TargetMode="External"/><Relationship Id="rId4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8" Type="http://schemas.openxmlformats.org/officeDocument/2006/relationships/hyperlink" Target="https://gamma-i.ru/catalog/automation/ustroystva-upravleniya/dekoratio-dc1602/" TargetMode="External"/><Relationship Id="rId13" Type="http://schemas.openxmlformats.org/officeDocument/2006/relationships/hyperlink" Target="https://gamma-i.ru/catalog/automation/ustroystva-upravleniya/somfy-situo-5-rts/" TargetMode="External"/><Relationship Id="rId18" Type="http://schemas.openxmlformats.org/officeDocument/2006/relationships/hyperlink" Target="https://gamma-i.ru/catalog/automation/elektroprivody/dekoratio-dm35rvl/" TargetMode="External"/><Relationship Id="rId3" Type="http://schemas.openxmlformats.org/officeDocument/2006/relationships/hyperlink" Target="https://gamma-i.ru/catalog/automation/elektroprivody/somfy-sonesse-40-rts/" TargetMode="External"/><Relationship Id="rId21" Type="http://schemas.openxmlformats.org/officeDocument/2006/relationships/hyperlink" Target="https://gamma-i.ru/catalog/products/kombo-den-noch-svobodnovisyashchie/kombo-kvatro-lyuks/" TargetMode="External"/><Relationship Id="rId7" Type="http://schemas.openxmlformats.org/officeDocument/2006/relationships/hyperlink" Target="https://gamma-i.ru/catalog/automation/ustroystva-upravleniya/dekoratio-dc866/" TargetMode="External"/><Relationship Id="rId12" Type="http://schemas.openxmlformats.org/officeDocument/2006/relationships/hyperlink" Target="https://gamma-i.ru/catalog/automation/ustroystva-upravleniya/somfy-situo-1-rts/" TargetMode="External"/><Relationship Id="rId17" Type="http://schemas.openxmlformats.org/officeDocument/2006/relationships/hyperlink" Target="https://gamma-i.ru/catalog/automation/ustroystva-upravleniya/somfy-smoove-1-rts/" TargetMode="External"/><Relationship Id="rId2" Type="http://schemas.openxmlformats.org/officeDocument/2006/relationships/hyperlink" Target="https://gamma-i.ru/catalog/automation/elektroprivody/somfy-sonesse-40-pa/" TargetMode="External"/><Relationship Id="rId16" Type="http://schemas.openxmlformats.org/officeDocument/2006/relationships/hyperlink" Target="https://gamma-i.ru/catalog/automation/ustroystva-upravleniya/somfy-situo-variation-5/" TargetMode="External"/><Relationship Id="rId20" Type="http://schemas.openxmlformats.org/officeDocument/2006/relationships/hyperlink" Target="https://gamma-i.ru/catalog/complects/tkan-kombo/" TargetMode="External"/><Relationship Id="rId1" Type="http://schemas.openxmlformats.org/officeDocument/2006/relationships/hyperlink" Target="https://gamma-i.ru/catalog/complects/tkan-kombo/" TargetMode="External"/><Relationship Id="rId6" Type="http://schemas.openxmlformats.org/officeDocument/2006/relationships/hyperlink" Target="https://gamma-i.ru/catalog/automation/ustroystva-upravleniya/dekoratio-dc1670/" TargetMode="External"/><Relationship Id="rId11" Type="http://schemas.openxmlformats.org/officeDocument/2006/relationships/hyperlink" Target="https://gamma-i.ru/catalog/automation/elektroprivody/somfy-sonesse-30-wf/" TargetMode="External"/><Relationship Id="rId5" Type="http://schemas.openxmlformats.org/officeDocument/2006/relationships/hyperlink" Target="https://gamma-i.ru/catalog/automation/ustroystva-upravleniya/dekoratio-dc1673/" TargetMode="External"/><Relationship Id="rId15" Type="http://schemas.openxmlformats.org/officeDocument/2006/relationships/hyperlink" Target="https://gamma-i.ru/catalog/automation/ustroystva-upravleniya/somfy-situo-variation-1/" TargetMode="External"/><Relationship Id="rId10" Type="http://schemas.openxmlformats.org/officeDocument/2006/relationships/hyperlink" Target="https://gamma-i.ru/catalog/automation/elektroprivody/somfy-altus-4-16-40/" TargetMode="External"/><Relationship Id="rId19" Type="http://schemas.openxmlformats.org/officeDocument/2006/relationships/hyperlink" Target="https://gamma-i.ru/catalog/automation/elektroprivody/dekoratio-ii-am35mel-wifi/" TargetMode="External"/><Relationship Id="rId4" Type="http://schemas.openxmlformats.org/officeDocument/2006/relationships/hyperlink" Target="https://gamma-i.ru/catalog/automation/elektroprivody/dekoratio-dm35sl/" TargetMode="External"/><Relationship Id="rId9" Type="http://schemas.openxmlformats.org/officeDocument/2006/relationships/hyperlink" Target="https://gamma-i.ru/catalog/automation/ustroystva-upravleniya/dekoratio-dc1600/" TargetMode="External"/><Relationship Id="rId14" Type="http://schemas.openxmlformats.org/officeDocument/2006/relationships/hyperlink" Target="https://gamma-i.ru/catalog/automation/ustroystva-upravleniya/somfy-telis-16-rts/" TargetMode="Externa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7.bin"/><Relationship Id="rId2" Type="http://schemas.openxmlformats.org/officeDocument/2006/relationships/hyperlink" Target="https://gamma-i.ru/catalog/products/kombo-den-noch-na-plastikovye-okna/uni-1-kombo/" TargetMode="External"/><Relationship Id="rId1" Type="http://schemas.openxmlformats.org/officeDocument/2006/relationships/hyperlink" Target="https://gamma-i.ru/catalog/complects/tkan-kombo/" TargetMode="External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8.bin"/><Relationship Id="rId2" Type="http://schemas.openxmlformats.org/officeDocument/2006/relationships/hyperlink" Target="https://gamma-i.ru/catalog/products/kombo-den-noch-na-plastikovye-okna/uni-2-kombo/" TargetMode="External"/><Relationship Id="rId1" Type="http://schemas.openxmlformats.org/officeDocument/2006/relationships/hyperlink" Target="https://gamma-i.ru/catalog/complects/tkan-kombo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s://gamma-i.ru/catalog/complects/tkan-vertikalnaya-89-mm-new/" TargetMode="External"/><Relationship Id="rId1" Type="http://schemas.openxmlformats.org/officeDocument/2006/relationships/hyperlink" Target="https://gamma-i.ru/catalog/complects/plastik-dlya-vertikalnykh-zhalyuzi-89-mm/" TargetMode="External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9.bin"/><Relationship Id="rId2" Type="http://schemas.openxmlformats.org/officeDocument/2006/relationships/hyperlink" Target="https://gamma-i.ru/catalog/products/kombo-den-noch-na-plastikovye-okna/uni-2-kombo/" TargetMode="External"/><Relationship Id="rId1" Type="http://schemas.openxmlformats.org/officeDocument/2006/relationships/hyperlink" Target="https://gamma-i.ru/catalog/complects/tkan-kombo/" TargetMode="External"/></Relationships>
</file>

<file path=xl/worksheets/_rels/sheet51.xml.rels><?xml version="1.0" encoding="UTF-8" standalone="yes"?>
<Relationships xmlns="http://schemas.openxmlformats.org/package/2006/relationships"><Relationship Id="rId13" Type="http://schemas.openxmlformats.org/officeDocument/2006/relationships/hyperlink" Target="https://gamma-i.ru/catalog/automation/ustroystva-upravleniya/somfy-situo-5-rts/" TargetMode="External"/><Relationship Id="rId18" Type="http://schemas.openxmlformats.org/officeDocument/2006/relationships/hyperlink" Target="https://gamma-i.ru/catalog/automation/elektroprivody/dekoratio-ii-am35mel-wifi/" TargetMode="External"/><Relationship Id="rId26" Type="http://schemas.openxmlformats.org/officeDocument/2006/relationships/hyperlink" Target="https://gamma-i.ru/catalog/automation/ustroystva-upravleniya/dekoratio-dc1673/" TargetMode="External"/><Relationship Id="rId21" Type="http://schemas.openxmlformats.org/officeDocument/2006/relationships/hyperlink" Target="https://gamma-i.ru/catalog/automation/elektroprivody/dekoratio-dv24af/" TargetMode="External"/><Relationship Id="rId34" Type="http://schemas.openxmlformats.org/officeDocument/2006/relationships/hyperlink" Target="https://gamma-i.ru/catalog/automation/elektroprivody/dekoratio-dm35rvl/" TargetMode="External"/><Relationship Id="rId7" Type="http://schemas.openxmlformats.org/officeDocument/2006/relationships/hyperlink" Target="https://gamma-i.ru/catalog/automation/elektroprivody/somfy-altus-4-16-40/" TargetMode="External"/><Relationship Id="rId12" Type="http://schemas.openxmlformats.org/officeDocument/2006/relationships/hyperlink" Target="https://gamma-i.ru/catalog/automation/ustroystva-upravleniya/somfy-situo-1-rts/" TargetMode="External"/><Relationship Id="rId17" Type="http://schemas.openxmlformats.org/officeDocument/2006/relationships/hyperlink" Target="https://gamma-i.ru/catalog/automation/elektroprivody/dekoratio-dm35rvl/" TargetMode="External"/><Relationship Id="rId25" Type="http://schemas.openxmlformats.org/officeDocument/2006/relationships/hyperlink" Target="https://gamma-i.ru/catalog/automation/elektroprivody/somfy-altus-4-16-40/" TargetMode="External"/><Relationship Id="rId33" Type="http://schemas.openxmlformats.org/officeDocument/2006/relationships/hyperlink" Target="https://gamma-i.ru/catalog/automation/ustroystva-upravleniya/somfy-smoove-1-rts/" TargetMode="External"/><Relationship Id="rId2" Type="http://schemas.openxmlformats.org/officeDocument/2006/relationships/hyperlink" Target="https://gamma-i.ru/catalog/automation/elektroprivody/dekoratio-dv24af/" TargetMode="External"/><Relationship Id="rId16" Type="http://schemas.openxmlformats.org/officeDocument/2006/relationships/hyperlink" Target="https://gamma-i.ru/catalog/products/rimskie-shtory/rimskie-shtory-khl-absolyut/" TargetMode="External"/><Relationship Id="rId20" Type="http://schemas.openxmlformats.org/officeDocument/2006/relationships/hyperlink" Target="https://gamma-i.ru/catalog/automation/elektroprivody/dekoratio-dv24af/" TargetMode="External"/><Relationship Id="rId29" Type="http://schemas.openxmlformats.org/officeDocument/2006/relationships/hyperlink" Target="https://gamma-i.ru/catalog/automation/ustroystva-upravleniya/dekoratio-dc1600/" TargetMode="External"/><Relationship Id="rId1" Type="http://schemas.openxmlformats.org/officeDocument/2006/relationships/hyperlink" Target="https://gamma-i.ru/catalog/products/rimskie-shtory/rimskie-shtory-s-karnizom-kompakt/" TargetMode="External"/><Relationship Id="rId6" Type="http://schemas.openxmlformats.org/officeDocument/2006/relationships/hyperlink" Target="https://gamma-i.ru/catalog/automation/elektroprivody/somfy-sonesse-40-pa/" TargetMode="External"/><Relationship Id="rId11" Type="http://schemas.openxmlformats.org/officeDocument/2006/relationships/hyperlink" Target="https://gamma-i.ru/catalog/automation/ustroystva-upravleniya/dekoratio-dc1600/" TargetMode="External"/><Relationship Id="rId24" Type="http://schemas.openxmlformats.org/officeDocument/2006/relationships/hyperlink" Target="https://gamma-i.ru/catalog/automation/elektroprivody/somfy-sonesse-40-pa/" TargetMode="External"/><Relationship Id="rId32" Type="http://schemas.openxmlformats.org/officeDocument/2006/relationships/hyperlink" Target="https://gamma-i.ru/catalog/automation/ustroystva-upravleniya/somfy-telis-16-rts/" TargetMode="External"/><Relationship Id="rId37" Type="http://schemas.openxmlformats.org/officeDocument/2006/relationships/printerSettings" Target="../printerSettings/printerSettings50.bin"/><Relationship Id="rId5" Type="http://schemas.openxmlformats.org/officeDocument/2006/relationships/hyperlink" Target="https://gamma-i.ru/catalog/complects/vnutrivalnye-35-40-mm/somfy-sonesse-40-rts/" TargetMode="External"/><Relationship Id="rId15" Type="http://schemas.openxmlformats.org/officeDocument/2006/relationships/hyperlink" Target="https://gamma-i.ru/catalog/automation/ustroystva-upravleniya/somfy-smoove-1-rts/" TargetMode="External"/><Relationship Id="rId23" Type="http://schemas.openxmlformats.org/officeDocument/2006/relationships/hyperlink" Target="https://gamma-i.ru/catalog/complects/vnutrivalnye-35-40-mm/somfy-sonesse-40-rts/" TargetMode="External"/><Relationship Id="rId28" Type="http://schemas.openxmlformats.org/officeDocument/2006/relationships/hyperlink" Target="https://gamma-i.ru/catalog/automation/ustroystva-upravleniya/dekoratio-dc1602/" TargetMode="External"/><Relationship Id="rId36" Type="http://schemas.openxmlformats.org/officeDocument/2006/relationships/hyperlink" Target="https://gamma-i.ru/catalog/automation/elektroprivody/dekoratio-ii-am24el/" TargetMode="External"/><Relationship Id="rId10" Type="http://schemas.openxmlformats.org/officeDocument/2006/relationships/hyperlink" Target="https://gamma-i.ru/catalog/automation/ustroystva-upravleniya/dekoratio-dc1602/" TargetMode="External"/><Relationship Id="rId19" Type="http://schemas.openxmlformats.org/officeDocument/2006/relationships/hyperlink" Target="https://gamma-i.ru/catalog/automation/elektroprivody/dekoratio-ii-am24el/" TargetMode="External"/><Relationship Id="rId31" Type="http://schemas.openxmlformats.org/officeDocument/2006/relationships/hyperlink" Target="https://gamma-i.ru/catalog/automation/ustroystva-upravleniya/somfy-situo-5-rts/" TargetMode="External"/><Relationship Id="rId4" Type="http://schemas.openxmlformats.org/officeDocument/2006/relationships/hyperlink" Target="https://gamma-i.ru/catalog/automation/elektroprivody/dekoratio-dm35sl/" TargetMode="External"/><Relationship Id="rId9" Type="http://schemas.openxmlformats.org/officeDocument/2006/relationships/hyperlink" Target="https://gamma-i.ru/catalog/automation/ustroystva-upravleniya/dekoratio-dc1670/" TargetMode="External"/><Relationship Id="rId14" Type="http://schemas.openxmlformats.org/officeDocument/2006/relationships/hyperlink" Target="https://gamma-i.ru/catalog/automation/ustroystva-upravleniya/somfy-telis-16-rts/" TargetMode="External"/><Relationship Id="rId22" Type="http://schemas.openxmlformats.org/officeDocument/2006/relationships/hyperlink" Target="https://gamma-i.ru/catalog/automation/elektroprivody/dekoratio-dm35sl/" TargetMode="External"/><Relationship Id="rId27" Type="http://schemas.openxmlformats.org/officeDocument/2006/relationships/hyperlink" Target="https://gamma-i.ru/catalog/automation/ustroystva-upravleniya/dekoratio-dc1670/" TargetMode="External"/><Relationship Id="rId30" Type="http://schemas.openxmlformats.org/officeDocument/2006/relationships/hyperlink" Target="https://gamma-i.ru/catalog/automation/ustroystva-upravleniya/somfy-situo-1-rts/" TargetMode="External"/><Relationship Id="rId35" Type="http://schemas.openxmlformats.org/officeDocument/2006/relationships/hyperlink" Target="https://gamma-i.ru/catalog/automation/elektroprivody/dekoratio-ii-am35mel-wifi/" TargetMode="External"/><Relationship Id="rId8" Type="http://schemas.openxmlformats.org/officeDocument/2006/relationships/hyperlink" Target="https://gamma-i.ru/catalog/automation/ustroystva-upravleniya/dekoratio-dc1673/" TargetMode="External"/><Relationship Id="rId3" Type="http://schemas.openxmlformats.org/officeDocument/2006/relationships/hyperlink" Target="https://gamma-i.ru/catalog/automation/elektroprivody/dekoratio-dv24af/" TargetMode="Externa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https://gamma-i.ru/catalog/automation/elektroprivody/dekoratio-dv24af/" TargetMode="External"/><Relationship Id="rId13" Type="http://schemas.openxmlformats.org/officeDocument/2006/relationships/hyperlink" Target="https://gamma-i.ru/catalog/automation/ustroystva-upravleniya/somfy-situo-5-rts/" TargetMode="External"/><Relationship Id="rId18" Type="http://schemas.openxmlformats.org/officeDocument/2006/relationships/hyperlink" Target="https://gamma-i.ru/catalog/automation/ustroystva-upravleniya/dekoratio-dc1600/" TargetMode="External"/><Relationship Id="rId3" Type="http://schemas.openxmlformats.org/officeDocument/2006/relationships/hyperlink" Target="https://gamma-i.ru/catalog/products/gorizontalnye-zhalyuzi/alyuminievye-25-mm/" TargetMode="External"/><Relationship Id="rId21" Type="http://schemas.openxmlformats.org/officeDocument/2006/relationships/printerSettings" Target="../printerSettings/printerSettings7.bin"/><Relationship Id="rId7" Type="http://schemas.openxmlformats.org/officeDocument/2006/relationships/hyperlink" Target="https://gamma-i.ru/catalog/automation/ustroystva-upravleniya/dekoratio-dc866/" TargetMode="External"/><Relationship Id="rId12" Type="http://schemas.openxmlformats.org/officeDocument/2006/relationships/hyperlink" Target="https://gamma-i.ru/catalog/automation/ustroystva-upravleniya/somfy-situo-1-rts/" TargetMode="External"/><Relationship Id="rId17" Type="http://schemas.openxmlformats.org/officeDocument/2006/relationships/hyperlink" Target="https://gamma-i.ru/catalog/automation/ustroystva-upravleniya/somfy-smoove-1-rts/" TargetMode="External"/><Relationship Id="rId2" Type="http://schemas.openxmlformats.org/officeDocument/2006/relationships/hyperlink" Target="https://gamma-i.ru/catalog/products/gorizontalnye-zhalyuzi/alyuminievye-16-mm/" TargetMode="External"/><Relationship Id="rId16" Type="http://schemas.openxmlformats.org/officeDocument/2006/relationships/hyperlink" Target="https://gamma-i.ru/catalog/automation/ustroystva-upravleniya/somfy-situo-variation-5/" TargetMode="External"/><Relationship Id="rId20" Type="http://schemas.openxmlformats.org/officeDocument/2006/relationships/hyperlink" Target="https://gamma-i.ru/catalog/automation/ustroystva-upravleniya/dekoratio-dc1612/" TargetMode="External"/><Relationship Id="rId1" Type="http://schemas.openxmlformats.org/officeDocument/2006/relationships/hyperlink" Target="https://gamma-i.ru/catalog/complects/lenta-alyuminievaya-16-25-mm/" TargetMode="External"/><Relationship Id="rId6" Type="http://schemas.openxmlformats.org/officeDocument/2006/relationships/hyperlink" Target="https://gamma-i.ru/catalog/automation/ustroystva-upravleniya/dekoratio-dc1670/" TargetMode="External"/><Relationship Id="rId11" Type="http://schemas.openxmlformats.org/officeDocument/2006/relationships/hyperlink" Target="https://gamma-i.ru/catalog/automation/drugaya-avtomatika/dekoratio-dc943a/" TargetMode="External"/><Relationship Id="rId5" Type="http://schemas.openxmlformats.org/officeDocument/2006/relationships/hyperlink" Target="https://gamma-i.ru/catalog/automation/ustroystva-upravleniya/dekoratio-dc1673/" TargetMode="External"/><Relationship Id="rId15" Type="http://schemas.openxmlformats.org/officeDocument/2006/relationships/hyperlink" Target="https://gamma-i.ru/catalog/automation/ustroystva-upravleniya/somfy-situo-variation-1/" TargetMode="External"/><Relationship Id="rId23" Type="http://schemas.openxmlformats.org/officeDocument/2006/relationships/comments" Target="../comments3.xml"/><Relationship Id="rId10" Type="http://schemas.openxmlformats.org/officeDocument/2006/relationships/hyperlink" Target="https://gamma-i.ru/catalog/automation/elektroprivody/dekoratio-dv24dg/" TargetMode="External"/><Relationship Id="rId19" Type="http://schemas.openxmlformats.org/officeDocument/2006/relationships/hyperlink" Target="https://gamma-i.ru/catalog/automation/ustroystva-upravleniya/dekoratio-dc1610/" TargetMode="External"/><Relationship Id="rId4" Type="http://schemas.openxmlformats.org/officeDocument/2006/relationships/hyperlink" Target="https://gamma-i.ru/catalog/automation/elektroprivody/somfy-lv-lw25/" TargetMode="External"/><Relationship Id="rId9" Type="http://schemas.openxmlformats.org/officeDocument/2006/relationships/hyperlink" Target="https://gamma-i.ru/catalog/automation/elektroprivody/dekoratio-dv24dh/" TargetMode="External"/><Relationship Id="rId14" Type="http://schemas.openxmlformats.org/officeDocument/2006/relationships/hyperlink" Target="https://gamma-i.ru/catalog/automation/ustroystva-upravleniya/somfy-telis-16-rts/" TargetMode="External"/><Relationship Id="rId22" Type="http://schemas.openxmlformats.org/officeDocument/2006/relationships/vmlDrawing" Target="../drawings/vmlDrawing3.v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s://gamma-i.ru/catalog/automation/ustroystva-upravleniya/dekoratio-dc866/" TargetMode="External"/><Relationship Id="rId13" Type="http://schemas.openxmlformats.org/officeDocument/2006/relationships/hyperlink" Target="https://gamma-i.ru/catalog/automation/ustroystva-upravleniya/somfy-telis-16-rts/" TargetMode="External"/><Relationship Id="rId18" Type="http://schemas.openxmlformats.org/officeDocument/2006/relationships/hyperlink" Target="https://gamma-i.ru/catalog/automation/ustroystva-upravleniya/dekoratio-dc1610/" TargetMode="External"/><Relationship Id="rId3" Type="http://schemas.openxmlformats.org/officeDocument/2006/relationships/hyperlink" Target="https://gamma-i.ru/catalog/automation/elektroprivody/dekoratio-dm35rvl/" TargetMode="External"/><Relationship Id="rId21" Type="http://schemas.openxmlformats.org/officeDocument/2006/relationships/printerSettings" Target="../printerSettings/printerSettings8.bin"/><Relationship Id="rId7" Type="http://schemas.openxmlformats.org/officeDocument/2006/relationships/hyperlink" Target="https://gamma-i.ru/catalog/automation/ustroystva-upravleniya/dekoratio-dc1670/" TargetMode="External"/><Relationship Id="rId12" Type="http://schemas.openxmlformats.org/officeDocument/2006/relationships/hyperlink" Target="https://gamma-i.ru/catalog/automation/ustroystva-upravleniya/somfy-situo-5-rts/" TargetMode="External"/><Relationship Id="rId17" Type="http://schemas.openxmlformats.org/officeDocument/2006/relationships/hyperlink" Target="https://gamma-i.ru/catalog/automation/ustroystva-upravleniya/dekoratio-dc1600/" TargetMode="External"/><Relationship Id="rId2" Type="http://schemas.openxmlformats.org/officeDocument/2006/relationships/hyperlink" Target="https://gamma-i.ru/catalog/automation/elektroprivody/dekoratio-dm35sl/" TargetMode="External"/><Relationship Id="rId16" Type="http://schemas.openxmlformats.org/officeDocument/2006/relationships/hyperlink" Target="https://gamma-i.ru/catalog/automation/ustroystva-upravleniya/somfy-smoove-1-rts/" TargetMode="External"/><Relationship Id="rId20" Type="http://schemas.openxmlformats.org/officeDocument/2006/relationships/hyperlink" Target="https://gamma-i.ru/catalog/automation/elektroprivody/dekoratio-ii-am35mel-wifi/" TargetMode="External"/><Relationship Id="rId1" Type="http://schemas.openxmlformats.org/officeDocument/2006/relationships/hyperlink" Target="https://gamma-i.ru/catalog/products/gorizontalnye-zhalyuzi/alyuminievye-50-mm/" TargetMode="External"/><Relationship Id="rId6" Type="http://schemas.openxmlformats.org/officeDocument/2006/relationships/hyperlink" Target="https://gamma-i.ru/catalog/automation/ustroystva-upravleniya/dekoratio-dc1673/" TargetMode="External"/><Relationship Id="rId11" Type="http://schemas.openxmlformats.org/officeDocument/2006/relationships/hyperlink" Target="https://gamma-i.ru/catalog/automation/ustroystva-upravleniya/somfy-situo-1-rts/" TargetMode="External"/><Relationship Id="rId5" Type="http://schemas.openxmlformats.org/officeDocument/2006/relationships/hyperlink" Target="https://gamma-i.ru/catalog/automation/elektroprivody/somfy-sonesse-40-pa/" TargetMode="External"/><Relationship Id="rId15" Type="http://schemas.openxmlformats.org/officeDocument/2006/relationships/hyperlink" Target="https://gamma-i.ru/catalog/automation/ustroystva-upravleniya/somfy-situo-variation-5/" TargetMode="External"/><Relationship Id="rId10" Type="http://schemas.openxmlformats.org/officeDocument/2006/relationships/hyperlink" Target="https://gamma-i.ru/catalog/automation/elektroprivody/somfy-altus-4-16-40/" TargetMode="External"/><Relationship Id="rId19" Type="http://schemas.openxmlformats.org/officeDocument/2006/relationships/hyperlink" Target="https://gamma-i.ru/catalog/automation/ustroystva-upravleniya/dekoratio-dc1612/" TargetMode="External"/><Relationship Id="rId4" Type="http://schemas.openxmlformats.org/officeDocument/2006/relationships/hyperlink" Target="https://gamma-i.ru/catalog/automation/elektroprivody/somfy-sonesse-40-rts/" TargetMode="External"/><Relationship Id="rId9" Type="http://schemas.openxmlformats.org/officeDocument/2006/relationships/hyperlink" Target="https://gamma-i.ru/catalog/automation/ustroystva-upravleniya/dekoratio-dc1602/" TargetMode="External"/><Relationship Id="rId14" Type="http://schemas.openxmlformats.org/officeDocument/2006/relationships/hyperlink" Target="https://gamma-i.ru/catalog/automation/ustroystva-upravleniya/somfy-situo-variation-1/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E2F563-79EF-424A-89DE-1C38FA28EF13}">
  <dimension ref="A1:H43"/>
  <sheetViews>
    <sheetView view="pageBreakPreview" topLeftCell="A16" zoomScaleNormal="100" zoomScaleSheetLayoutView="100" workbookViewId="0">
      <selection sqref="A1:H43"/>
    </sheetView>
  </sheetViews>
  <sheetFormatPr defaultRowHeight="13.2"/>
  <sheetData>
    <row r="1" spans="1:8">
      <c r="A1" s="174"/>
      <c r="B1" s="174"/>
      <c r="C1" s="174"/>
      <c r="D1" s="174"/>
      <c r="E1" s="174"/>
      <c r="F1" s="174"/>
      <c r="G1" s="174"/>
      <c r="H1" s="174"/>
    </row>
    <row r="2" spans="1:8">
      <c r="A2" s="174"/>
      <c r="B2" s="174"/>
      <c r="C2" s="174"/>
      <c r="D2" s="174"/>
      <c r="E2" s="174"/>
      <c r="F2" s="174"/>
      <c r="G2" s="174"/>
      <c r="H2" s="174"/>
    </row>
    <row r="3" spans="1:8">
      <c r="A3" s="174"/>
      <c r="B3" s="174"/>
      <c r="C3" s="174"/>
      <c r="D3" s="174"/>
      <c r="E3" s="174"/>
      <c r="F3" s="174"/>
      <c r="G3" s="174"/>
      <c r="H3" s="174"/>
    </row>
    <row r="4" spans="1:8">
      <c r="A4" s="174"/>
      <c r="B4" s="174"/>
      <c r="C4" s="174"/>
      <c r="D4" s="174"/>
      <c r="E4" s="174"/>
      <c r="F4" s="174"/>
      <c r="G4" s="174"/>
      <c r="H4" s="174"/>
    </row>
    <row r="5" spans="1:8">
      <c r="A5" s="174"/>
      <c r="B5" s="174"/>
      <c r="C5" s="174"/>
      <c r="D5" s="174"/>
      <c r="E5" s="174"/>
      <c r="F5" s="174"/>
      <c r="G5" s="174"/>
      <c r="H5" s="174"/>
    </row>
    <row r="6" spans="1:8">
      <c r="A6" s="174"/>
      <c r="B6" s="174"/>
      <c r="C6" s="174"/>
      <c r="D6" s="174"/>
      <c r="E6" s="174"/>
      <c r="F6" s="174"/>
      <c r="G6" s="174"/>
      <c r="H6" s="174"/>
    </row>
    <row r="7" spans="1:8">
      <c r="A7" s="174"/>
      <c r="B7" s="174"/>
      <c r="C7" s="174"/>
      <c r="D7" s="174"/>
      <c r="E7" s="174"/>
      <c r="F7" s="174"/>
      <c r="G7" s="174"/>
      <c r="H7" s="174"/>
    </row>
    <row r="8" spans="1:8">
      <c r="A8" s="174"/>
      <c r="B8" s="174"/>
      <c r="C8" s="174"/>
      <c r="D8" s="174"/>
      <c r="E8" s="174"/>
      <c r="F8" s="174"/>
      <c r="G8" s="174"/>
      <c r="H8" s="174"/>
    </row>
    <row r="9" spans="1:8">
      <c r="A9" s="174"/>
      <c r="B9" s="174"/>
      <c r="C9" s="174"/>
      <c r="D9" s="174"/>
      <c r="E9" s="174"/>
      <c r="F9" s="174"/>
      <c r="G9" s="174"/>
      <c r="H9" s="174"/>
    </row>
    <row r="10" spans="1:8">
      <c r="A10" s="174"/>
      <c r="B10" s="174"/>
      <c r="C10" s="174"/>
      <c r="D10" s="174"/>
      <c r="E10" s="174"/>
      <c r="F10" s="174"/>
      <c r="G10" s="174"/>
      <c r="H10" s="174"/>
    </row>
    <row r="11" spans="1:8">
      <c r="A11" s="174"/>
      <c r="B11" s="174"/>
      <c r="C11" s="174"/>
      <c r="D11" s="174"/>
      <c r="E11" s="174"/>
      <c r="F11" s="174"/>
      <c r="G11" s="174"/>
      <c r="H11" s="174"/>
    </row>
    <row r="12" spans="1:8">
      <c r="A12" s="174"/>
      <c r="B12" s="174"/>
      <c r="C12" s="174"/>
      <c r="D12" s="174"/>
      <c r="E12" s="174"/>
      <c r="F12" s="174"/>
      <c r="G12" s="174"/>
      <c r="H12" s="174"/>
    </row>
    <row r="13" spans="1:8">
      <c r="A13" s="174"/>
      <c r="B13" s="174"/>
      <c r="C13" s="174"/>
      <c r="D13" s="174"/>
      <c r="E13" s="174"/>
      <c r="F13" s="174"/>
      <c r="G13" s="174"/>
      <c r="H13" s="174"/>
    </row>
    <row r="14" spans="1:8">
      <c r="A14" s="174"/>
      <c r="B14" s="174"/>
      <c r="C14" s="174"/>
      <c r="D14" s="174"/>
      <c r="E14" s="174"/>
      <c r="F14" s="174"/>
      <c r="G14" s="174"/>
      <c r="H14" s="174"/>
    </row>
    <row r="15" spans="1:8">
      <c r="A15" s="174"/>
      <c r="B15" s="174"/>
      <c r="C15" s="174"/>
      <c r="D15" s="174"/>
      <c r="E15" s="174"/>
      <c r="F15" s="174"/>
      <c r="G15" s="174"/>
      <c r="H15" s="174"/>
    </row>
    <row r="16" spans="1:8">
      <c r="A16" s="174"/>
      <c r="B16" s="174"/>
      <c r="C16" s="174"/>
      <c r="D16" s="174"/>
      <c r="E16" s="174"/>
      <c r="F16" s="174"/>
      <c r="G16" s="174"/>
      <c r="H16" s="174"/>
    </row>
    <row r="17" spans="1:8">
      <c r="A17" s="174"/>
      <c r="B17" s="174"/>
      <c r="C17" s="174"/>
      <c r="D17" s="174"/>
      <c r="E17" s="174"/>
      <c r="F17" s="174"/>
      <c r="G17" s="174"/>
      <c r="H17" s="174"/>
    </row>
    <row r="18" spans="1:8">
      <c r="A18" s="174"/>
      <c r="B18" s="174"/>
      <c r="C18" s="174"/>
      <c r="D18" s="174"/>
      <c r="E18" s="174"/>
      <c r="F18" s="174"/>
      <c r="G18" s="174"/>
      <c r="H18" s="174"/>
    </row>
    <row r="19" spans="1:8">
      <c r="A19" s="174"/>
      <c r="B19" s="174"/>
      <c r="C19" s="174"/>
      <c r="D19" s="174"/>
      <c r="E19" s="174"/>
      <c r="F19" s="174"/>
      <c r="G19" s="174"/>
      <c r="H19" s="174"/>
    </row>
    <row r="20" spans="1:8">
      <c r="A20" s="174"/>
      <c r="B20" s="174"/>
      <c r="C20" s="174"/>
      <c r="D20" s="174"/>
      <c r="E20" s="174"/>
      <c r="F20" s="174"/>
      <c r="G20" s="174"/>
      <c r="H20" s="174"/>
    </row>
    <row r="21" spans="1:8">
      <c r="A21" s="174"/>
      <c r="B21" s="174"/>
      <c r="C21" s="174"/>
      <c r="D21" s="174"/>
      <c r="E21" s="174"/>
      <c r="F21" s="174"/>
      <c r="G21" s="174"/>
      <c r="H21" s="174"/>
    </row>
    <row r="22" spans="1:8">
      <c r="A22" s="174"/>
      <c r="B22" s="174"/>
      <c r="C22" s="174"/>
      <c r="D22" s="174"/>
      <c r="E22" s="174"/>
      <c r="F22" s="174"/>
      <c r="G22" s="174"/>
      <c r="H22" s="174"/>
    </row>
    <row r="23" spans="1:8">
      <c r="A23" s="174"/>
      <c r="B23" s="174"/>
      <c r="C23" s="174"/>
      <c r="D23" s="174"/>
      <c r="E23" s="174"/>
      <c r="F23" s="174"/>
      <c r="G23" s="174"/>
      <c r="H23" s="174"/>
    </row>
    <row r="24" spans="1:8">
      <c r="A24" s="174"/>
      <c r="B24" s="174"/>
      <c r="C24" s="174"/>
      <c r="D24" s="174"/>
      <c r="E24" s="174"/>
      <c r="F24" s="174"/>
      <c r="G24" s="174"/>
      <c r="H24" s="174"/>
    </row>
    <row r="25" spans="1:8">
      <c r="A25" s="174"/>
      <c r="B25" s="174"/>
      <c r="C25" s="174"/>
      <c r="D25" s="174"/>
      <c r="E25" s="174"/>
      <c r="F25" s="174"/>
      <c r="G25" s="174"/>
      <c r="H25" s="174"/>
    </row>
    <row r="26" spans="1:8">
      <c r="A26" s="174"/>
      <c r="B26" s="174"/>
      <c r="C26" s="174"/>
      <c r="D26" s="174"/>
      <c r="E26" s="174"/>
      <c r="F26" s="174"/>
      <c r="G26" s="174"/>
      <c r="H26" s="174"/>
    </row>
    <row r="27" spans="1:8">
      <c r="A27" s="102"/>
      <c r="B27" s="102"/>
      <c r="C27" s="102"/>
      <c r="D27" s="102"/>
      <c r="E27" s="102"/>
      <c r="F27" s="102"/>
      <c r="G27" s="102"/>
      <c r="H27" s="102"/>
    </row>
    <row r="28" spans="1:8" ht="30.6">
      <c r="A28" s="971" t="s">
        <v>271</v>
      </c>
      <c r="B28" s="972"/>
      <c r="C28" s="972"/>
      <c r="D28" s="972"/>
      <c r="E28" s="972"/>
      <c r="F28" s="972"/>
      <c r="G28" s="972"/>
      <c r="H28" s="973"/>
    </row>
    <row r="29" spans="1:8">
      <c r="A29" s="102"/>
      <c r="B29" s="102"/>
      <c r="C29" s="102"/>
      <c r="D29" s="102"/>
      <c r="E29" s="102"/>
      <c r="F29" s="102"/>
      <c r="G29" s="102"/>
      <c r="H29" s="102"/>
    </row>
    <row r="30" spans="1:8">
      <c r="A30" s="174"/>
      <c r="B30" s="174"/>
      <c r="C30" s="174"/>
      <c r="D30" s="174"/>
      <c r="E30" s="174"/>
      <c r="F30" s="174"/>
      <c r="G30" s="174"/>
      <c r="H30" s="174"/>
    </row>
    <row r="31" spans="1:8">
      <c r="A31" s="174"/>
      <c r="B31" s="174"/>
      <c r="C31" s="174"/>
      <c r="D31" s="174"/>
      <c r="E31" s="174"/>
      <c r="F31" s="174"/>
      <c r="G31" s="174"/>
      <c r="H31" s="174"/>
    </row>
    <row r="32" spans="1:8">
      <c r="A32" s="174"/>
      <c r="B32" s="174"/>
      <c r="C32" s="174"/>
      <c r="D32" s="174"/>
      <c r="E32" s="174"/>
      <c r="F32" s="174"/>
      <c r="G32" s="174"/>
      <c r="H32" s="174"/>
    </row>
    <row r="33" spans="1:8" ht="35.4">
      <c r="A33" s="974">
        <v>2019</v>
      </c>
      <c r="B33" s="975"/>
      <c r="C33" s="975"/>
      <c r="D33" s="975"/>
      <c r="E33" s="975"/>
      <c r="F33" s="975"/>
      <c r="G33" s="975"/>
      <c r="H33" s="976"/>
    </row>
    <row r="34" spans="1:8">
      <c r="A34" s="174"/>
      <c r="B34" s="174"/>
      <c r="C34" s="174"/>
      <c r="D34" s="174"/>
      <c r="E34" s="174"/>
      <c r="F34" s="174"/>
      <c r="G34" s="174"/>
      <c r="H34" s="174"/>
    </row>
    <row r="35" spans="1:8">
      <c r="A35" s="174"/>
      <c r="B35" s="174"/>
      <c r="C35" s="174"/>
      <c r="D35" s="174"/>
      <c r="E35" s="174"/>
      <c r="F35" s="174"/>
      <c r="G35" s="174"/>
      <c r="H35" s="174"/>
    </row>
    <row r="36" spans="1:8">
      <c r="A36" s="174"/>
      <c r="B36" s="174"/>
      <c r="C36" s="174"/>
      <c r="D36" s="174"/>
      <c r="E36" s="174"/>
      <c r="F36" s="174"/>
      <c r="G36" s="174"/>
      <c r="H36" s="174"/>
    </row>
    <row r="37" spans="1:8">
      <c r="A37" s="174"/>
      <c r="B37" s="174"/>
      <c r="C37" s="174"/>
      <c r="D37" s="174"/>
      <c r="E37" s="174"/>
      <c r="F37" s="174"/>
      <c r="G37" s="174"/>
      <c r="H37" s="174"/>
    </row>
    <row r="38" spans="1:8" ht="12.75" customHeight="1">
      <c r="A38" s="977" t="s">
        <v>272</v>
      </c>
      <c r="B38" s="977"/>
      <c r="C38" s="977"/>
      <c r="D38" s="977"/>
      <c r="E38" s="977"/>
      <c r="F38" s="977"/>
      <c r="G38" s="977"/>
      <c r="H38" s="977"/>
    </row>
    <row r="39" spans="1:8" ht="12.75" customHeight="1">
      <c r="A39" s="978"/>
      <c r="B39" s="978"/>
      <c r="C39" s="978"/>
      <c r="D39" s="978"/>
      <c r="E39" s="978"/>
      <c r="F39" s="978"/>
      <c r="G39" s="978"/>
      <c r="H39" s="978"/>
    </row>
    <row r="40" spans="1:8">
      <c r="A40" s="978"/>
      <c r="B40" s="978"/>
      <c r="C40" s="978"/>
      <c r="D40" s="978"/>
      <c r="E40" s="978"/>
      <c r="F40" s="978"/>
      <c r="G40" s="978"/>
      <c r="H40" s="978"/>
    </row>
    <row r="41" spans="1:8">
      <c r="A41" s="978"/>
      <c r="B41" s="978"/>
      <c r="C41" s="978"/>
      <c r="D41" s="978"/>
      <c r="E41" s="978"/>
      <c r="F41" s="978"/>
      <c r="G41" s="978"/>
      <c r="H41" s="978"/>
    </row>
    <row r="42" spans="1:8">
      <c r="A42" s="978"/>
      <c r="B42" s="978"/>
      <c r="C42" s="978"/>
      <c r="D42" s="978"/>
      <c r="E42" s="978"/>
      <c r="F42" s="978"/>
      <c r="G42" s="978"/>
      <c r="H42" s="978"/>
    </row>
    <row r="43" spans="1:8">
      <c r="A43" s="174"/>
      <c r="B43" s="174"/>
      <c r="C43" s="174"/>
      <c r="D43" s="174"/>
      <c r="E43" s="174"/>
      <c r="F43" s="174"/>
      <c r="G43" s="174"/>
      <c r="H43" s="174"/>
    </row>
  </sheetData>
  <mergeCells count="3">
    <mergeCell ref="A28:H28"/>
    <mergeCell ref="A33:H33"/>
    <mergeCell ref="A38:H42"/>
  </mergeCells>
  <hyperlinks>
    <hyperlink ref="A38" r:id="rId1" xr:uid="{D8F61AB5-27B4-4EF9-BFA4-DC08E5B6AE5F}"/>
  </hyperlinks>
  <pageMargins left="0.24" right="0.19685039370078741" top="0.39370078740157483" bottom="0.35433070866141736" header="0.31496062992125984" footer="0.31496062992125984"/>
  <pageSetup paperSize="9" scale="137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BFE83D-3DC8-4F36-94D0-287A43D09703}">
  <sheetPr codeName="Лист17">
    <tabColor indexed="18"/>
  </sheetPr>
  <dimension ref="A1:E37"/>
  <sheetViews>
    <sheetView view="pageBreakPreview" zoomScaleNormal="100" workbookViewId="0">
      <pane ySplit="3" topLeftCell="A6" activePane="bottomLeft" state="frozen"/>
      <selection activeCell="B73" sqref="B73:D73"/>
      <selection pane="bottomLeft" activeCell="C11" sqref="C11:E11"/>
    </sheetView>
  </sheetViews>
  <sheetFormatPr defaultRowHeight="13.2"/>
  <cols>
    <col min="1" max="1" width="23.5546875" customWidth="1"/>
    <col min="2" max="2" width="37.88671875" customWidth="1"/>
    <col min="3" max="3" width="12.44140625" customWidth="1"/>
    <col min="4" max="4" width="11.5546875" customWidth="1"/>
    <col min="5" max="5" width="11.33203125" customWidth="1"/>
  </cols>
  <sheetData>
    <row r="1" spans="1:5">
      <c r="A1" s="1"/>
      <c r="B1" s="10"/>
      <c r="C1" s="10"/>
      <c r="D1" s="1"/>
      <c r="E1" s="67"/>
    </row>
    <row r="2" spans="1:5" ht="18" customHeight="1">
      <c r="A2" s="1334" t="s">
        <v>821</v>
      </c>
      <c r="B2" s="1334"/>
      <c r="C2" s="1334"/>
      <c r="D2" s="1334"/>
      <c r="E2" s="1334"/>
    </row>
    <row r="3" spans="1:5" ht="23.25" customHeight="1">
      <c r="A3" s="1334"/>
      <c r="B3" s="1334"/>
      <c r="C3" s="1334"/>
      <c r="D3" s="1334"/>
      <c r="E3" s="1334"/>
    </row>
    <row r="4" spans="1:5" ht="26.4">
      <c r="A4" s="442" t="s">
        <v>607</v>
      </c>
      <c r="B4" s="1090" t="s">
        <v>606</v>
      </c>
      <c r="C4" s="1090"/>
      <c r="D4" s="1090"/>
      <c r="E4" s="1090"/>
    </row>
    <row r="5" spans="1:5" ht="26.4">
      <c r="A5" s="442" t="s">
        <v>608</v>
      </c>
      <c r="B5" s="1090" t="s">
        <v>609</v>
      </c>
      <c r="C5" s="1090"/>
      <c r="D5" s="1090"/>
      <c r="E5" s="1090"/>
    </row>
    <row r="6" spans="1:5" ht="27" thickBot="1">
      <c r="A6" s="442" t="s">
        <v>604</v>
      </c>
      <c r="B6" s="1090" t="s">
        <v>605</v>
      </c>
      <c r="C6" s="1090"/>
      <c r="D6" s="1090"/>
      <c r="E6" s="1090"/>
    </row>
    <row r="7" spans="1:5" ht="16.5" customHeight="1" thickBot="1">
      <c r="A7" s="1311" t="s">
        <v>53</v>
      </c>
      <c r="B7" s="1312"/>
      <c r="C7" s="1312"/>
      <c r="D7" s="1312"/>
      <c r="E7" s="1313"/>
    </row>
    <row r="8" spans="1:5" ht="16.5" customHeight="1" thickBot="1">
      <c r="A8" s="1328" t="s">
        <v>87</v>
      </c>
      <c r="B8" s="1338" t="s">
        <v>113</v>
      </c>
      <c r="C8" s="1335" t="s">
        <v>21</v>
      </c>
      <c r="D8" s="1336"/>
      <c r="E8" s="1337"/>
    </row>
    <row r="9" spans="1:5" ht="15" customHeight="1">
      <c r="A9" s="1329"/>
      <c r="B9" s="1339"/>
      <c r="C9" s="1320" t="s">
        <v>51</v>
      </c>
      <c r="D9" s="1321"/>
      <c r="E9" s="1322"/>
    </row>
    <row r="10" spans="1:5" ht="27" customHeight="1" thickBot="1">
      <c r="A10" s="1329"/>
      <c r="B10" s="1339"/>
      <c r="C10" s="1317" t="s">
        <v>54</v>
      </c>
      <c r="D10" s="1318"/>
      <c r="E10" s="1319"/>
    </row>
    <row r="11" spans="1:5" ht="46.8">
      <c r="A11" s="639" t="s">
        <v>979</v>
      </c>
      <c r="B11" s="640" t="s">
        <v>980</v>
      </c>
      <c r="C11" s="1331">
        <f>(78.17*KFC!$B$13+KFC!$C$13)*KFC!$C$5</f>
        <v>78.17</v>
      </c>
      <c r="D11" s="1332"/>
      <c r="E11" s="1333"/>
    </row>
    <row r="12" spans="1:5" ht="24.75" customHeight="1" thickBot="1">
      <c r="A12" s="580" t="s">
        <v>940</v>
      </c>
      <c r="B12" s="577" t="s">
        <v>323</v>
      </c>
      <c r="C12" s="1323">
        <f>(71.59*KFC!$B$13+KFC!$C$13)*KFC!$C$5</f>
        <v>71.59</v>
      </c>
      <c r="D12" s="1323"/>
      <c r="E12" s="1324"/>
    </row>
    <row r="13" spans="1:5" ht="13.8" thickBot="1">
      <c r="A13" s="1"/>
      <c r="C13" s="1"/>
      <c r="D13" s="1"/>
      <c r="E13" s="1"/>
    </row>
    <row r="14" spans="1:5" ht="16.2" thickBot="1">
      <c r="A14" s="1311" t="s">
        <v>52</v>
      </c>
      <c r="B14" s="1312"/>
      <c r="C14" s="1312"/>
      <c r="D14" s="1312"/>
      <c r="E14" s="1313"/>
    </row>
    <row r="15" spans="1:5" ht="16.5" customHeight="1" thickBot="1">
      <c r="A15" s="1328" t="s">
        <v>87</v>
      </c>
      <c r="B15" s="1338" t="s">
        <v>113</v>
      </c>
      <c r="C15" s="1340" t="s">
        <v>21</v>
      </c>
      <c r="D15" s="1341"/>
      <c r="E15" s="1342"/>
    </row>
    <row r="16" spans="1:5" ht="13.8">
      <c r="A16" s="1329"/>
      <c r="B16" s="1343"/>
      <c r="C16" s="1320" t="s">
        <v>51</v>
      </c>
      <c r="D16" s="1321"/>
      <c r="E16" s="1322"/>
    </row>
    <row r="17" spans="1:5" ht="27" customHeight="1" thickBot="1">
      <c r="A17" s="1330"/>
      <c r="B17" s="1344"/>
      <c r="C17" s="1325" t="s">
        <v>54</v>
      </c>
      <c r="D17" s="1326"/>
      <c r="E17" s="1327"/>
    </row>
    <row r="18" spans="1:5" ht="28.5" customHeight="1" thickBot="1">
      <c r="A18" s="578" t="s">
        <v>941</v>
      </c>
      <c r="B18" s="579" t="s">
        <v>49</v>
      </c>
      <c r="C18" s="1314">
        <f>(81.47*KFC!$B$13+KFC!$C$13)*KFC!$C$5</f>
        <v>81.47</v>
      </c>
      <c r="D18" s="1315"/>
      <c r="E18" s="1316"/>
    </row>
    <row r="19" spans="1:5">
      <c r="A19" s="1"/>
      <c r="C19" s="1"/>
      <c r="D19" s="1"/>
      <c r="E19" s="1"/>
    </row>
    <row r="20" spans="1:5" ht="47.4" customHeight="1" thickBot="1">
      <c r="A20" s="1122" t="s">
        <v>822</v>
      </c>
      <c r="B20" s="1122"/>
      <c r="C20" s="1122"/>
      <c r="D20" s="1122"/>
      <c r="E20" s="1122"/>
    </row>
    <row r="21" spans="1:5" ht="28.2" thickBot="1">
      <c r="A21" s="123" t="s">
        <v>123</v>
      </c>
      <c r="B21" s="1120" t="s">
        <v>124</v>
      </c>
      <c r="C21" s="1120"/>
      <c r="D21" s="1121"/>
      <c r="E21" s="122" t="s">
        <v>125</v>
      </c>
    </row>
    <row r="22" spans="1:5" ht="13.8">
      <c r="A22" s="1345" t="s">
        <v>832</v>
      </c>
      <c r="B22" s="1129" t="s">
        <v>838</v>
      </c>
      <c r="C22" s="1129"/>
      <c r="D22" s="1129"/>
      <c r="E22" s="1127">
        <f>(6*KFC!$B$11+KFC!$C$11)*KFC!$C$5</f>
        <v>6</v>
      </c>
    </row>
    <row r="23" spans="1:5" ht="45.6" customHeight="1">
      <c r="A23" s="1346"/>
      <c r="B23" s="1133" t="s">
        <v>834</v>
      </c>
      <c r="C23" s="1133"/>
      <c r="D23" s="1133"/>
      <c r="E23" s="1073"/>
    </row>
    <row r="24" spans="1:5" ht="13.8">
      <c r="A24" s="1346" t="s">
        <v>833</v>
      </c>
      <c r="B24" s="1130" t="s">
        <v>838</v>
      </c>
      <c r="C24" s="1130"/>
      <c r="D24" s="1130"/>
      <c r="E24" s="1073">
        <f>(6*KFC!$B$11+KFC!$C$11)*KFC!$C$5</f>
        <v>6</v>
      </c>
    </row>
    <row r="25" spans="1:5" ht="45.6" customHeight="1">
      <c r="A25" s="1346"/>
      <c r="B25" s="1133" t="s">
        <v>835</v>
      </c>
      <c r="C25" s="1133"/>
      <c r="D25" s="1133"/>
      <c r="E25" s="1073"/>
    </row>
    <row r="26" spans="1:5" ht="33.6" customHeight="1">
      <c r="A26" s="1346" t="s">
        <v>127</v>
      </c>
      <c r="B26" s="1130" t="s">
        <v>839</v>
      </c>
      <c r="C26" s="1130"/>
      <c r="D26" s="1130"/>
      <c r="E26" s="1073">
        <f>(19.1*KFC!$B$11*1.02+KFC!$C$11)*KFC!$C$5</f>
        <v>19.482000000000003</v>
      </c>
    </row>
    <row r="27" spans="1:5" ht="36.6" customHeight="1">
      <c r="A27" s="1346"/>
      <c r="B27" s="1133" t="s">
        <v>836</v>
      </c>
      <c r="C27" s="1133"/>
      <c r="D27" s="1133"/>
      <c r="E27" s="1073"/>
    </row>
    <row r="28" spans="1:5" ht="30" customHeight="1">
      <c r="A28" s="1346" t="s">
        <v>128</v>
      </c>
      <c r="B28" s="1130" t="s">
        <v>840</v>
      </c>
      <c r="C28" s="1130"/>
      <c r="D28" s="1130"/>
      <c r="E28" s="1073">
        <f>(8.2*KFC!$B$11*1.02+KFC!$C$11)*KFC!$C$5</f>
        <v>8.363999999999999</v>
      </c>
    </row>
    <row r="29" spans="1:5" ht="28.2" customHeight="1">
      <c r="A29" s="1346"/>
      <c r="B29" s="1133" t="s">
        <v>837</v>
      </c>
      <c r="C29" s="1133"/>
      <c r="D29" s="1133"/>
      <c r="E29" s="1073"/>
    </row>
    <row r="30" spans="1:5" ht="13.8">
      <c r="A30" s="1346" t="s">
        <v>830</v>
      </c>
      <c r="B30" s="1130" t="s">
        <v>841</v>
      </c>
      <c r="C30" s="1130"/>
      <c r="D30" s="1130"/>
      <c r="E30" s="1073">
        <f>(6*KFC!$B$11+KFC!$C$11)*KFC!$C$5</f>
        <v>6</v>
      </c>
    </row>
    <row r="31" spans="1:5" ht="45.6" customHeight="1">
      <c r="A31" s="1346"/>
      <c r="B31" s="1133" t="s">
        <v>842</v>
      </c>
      <c r="C31" s="1133"/>
      <c r="D31" s="1133"/>
      <c r="E31" s="1073"/>
    </row>
    <row r="32" spans="1:5" ht="13.8">
      <c r="A32" s="1346" t="s">
        <v>831</v>
      </c>
      <c r="B32" s="1130" t="s">
        <v>841</v>
      </c>
      <c r="C32" s="1130"/>
      <c r="D32" s="1130"/>
      <c r="E32" s="1073">
        <f>(6*KFC!$B$11+KFC!$C$11)*KFC!$C$5</f>
        <v>6</v>
      </c>
    </row>
    <row r="33" spans="1:5" ht="45.6" customHeight="1" thickBot="1">
      <c r="A33" s="1347"/>
      <c r="B33" s="1152" t="s">
        <v>843</v>
      </c>
      <c r="C33" s="1152"/>
      <c r="D33" s="1152"/>
      <c r="E33" s="1080"/>
    </row>
    <row r="34" spans="1:5" ht="16.2" customHeight="1">
      <c r="A34" s="1128" t="s">
        <v>823</v>
      </c>
      <c r="B34" s="1128"/>
      <c r="C34" s="1128"/>
      <c r="D34" s="1128"/>
      <c r="E34" s="1128"/>
    </row>
    <row r="35" spans="1:5">
      <c r="A35" s="124" t="s">
        <v>461</v>
      </c>
      <c r="B35" s="5"/>
      <c r="C35" s="5"/>
      <c r="D35" s="5"/>
      <c r="E35" s="1"/>
    </row>
    <row r="36" spans="1:5">
      <c r="A36" s="124" t="s">
        <v>906</v>
      </c>
      <c r="B36" s="5"/>
      <c r="C36" s="5"/>
      <c r="D36" s="5"/>
      <c r="E36" s="1"/>
    </row>
    <row r="37" spans="1:5" ht="85.2" customHeight="1"/>
  </sheetData>
  <mergeCells count="46">
    <mergeCell ref="A32:A33"/>
    <mergeCell ref="B32:D32"/>
    <mergeCell ref="E32:E33"/>
    <mergeCell ref="B33:D33"/>
    <mergeCell ref="A28:A29"/>
    <mergeCell ref="B28:D28"/>
    <mergeCell ref="E28:E29"/>
    <mergeCell ref="B29:D29"/>
    <mergeCell ref="A30:A31"/>
    <mergeCell ref="B30:D30"/>
    <mergeCell ref="B31:D31"/>
    <mergeCell ref="A22:A23"/>
    <mergeCell ref="E22:E23"/>
    <mergeCell ref="A24:A25"/>
    <mergeCell ref="E24:E25"/>
    <mergeCell ref="A26:A27"/>
    <mergeCell ref="E26:E27"/>
    <mergeCell ref="B27:D27"/>
    <mergeCell ref="B25:D25"/>
    <mergeCell ref="B23:D23"/>
    <mergeCell ref="A34:E34"/>
    <mergeCell ref="A2:E3"/>
    <mergeCell ref="C8:E8"/>
    <mergeCell ref="B8:B10"/>
    <mergeCell ref="A8:A10"/>
    <mergeCell ref="C15:E15"/>
    <mergeCell ref="B26:D26"/>
    <mergeCell ref="B22:D22"/>
    <mergeCell ref="A14:E14"/>
    <mergeCell ref="E30:E31"/>
    <mergeCell ref="B4:E4"/>
    <mergeCell ref="B15:B17"/>
    <mergeCell ref="B6:E6"/>
    <mergeCell ref="B5:E5"/>
    <mergeCell ref="B24:D24"/>
    <mergeCell ref="A20:E20"/>
    <mergeCell ref="A7:E7"/>
    <mergeCell ref="C18:E18"/>
    <mergeCell ref="C10:E10"/>
    <mergeCell ref="B21:D21"/>
    <mergeCell ref="C9:E9"/>
    <mergeCell ref="C12:E12"/>
    <mergeCell ref="C16:E16"/>
    <mergeCell ref="C17:E17"/>
    <mergeCell ref="A15:A17"/>
    <mergeCell ref="C11:E11"/>
  </mergeCells>
  <phoneticPr fontId="7" type="noConversion"/>
  <hyperlinks>
    <hyperlink ref="B6" r:id="rId1" xr:uid="{2829779E-57EC-4BF7-83CE-EFCF9FAC0EA5}"/>
    <hyperlink ref="B4" r:id="rId2" xr:uid="{DA9D572C-192F-471E-86F6-24481F00139A}"/>
    <hyperlink ref="B5" r:id="rId3" xr:uid="{4A8E9E6B-0C54-4C22-BE1E-8ED895CEF140}"/>
  </hyperlinks>
  <pageMargins left="0.33" right="0" top="0.43" bottom="0" header="0" footer="0"/>
  <pageSetup paperSize="9" scale="86" orientation="portrait" verticalDpi="200" r:id="rId4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83037A-815D-4720-BA83-97E085A5CC0A}">
  <dimension ref="A1:E130"/>
  <sheetViews>
    <sheetView view="pageBreakPreview" topLeftCell="A84" zoomScaleNormal="100" zoomScaleSheetLayoutView="100" workbookViewId="0">
      <selection activeCell="H89" sqref="H89"/>
    </sheetView>
  </sheetViews>
  <sheetFormatPr defaultRowHeight="13.2"/>
  <cols>
    <col min="1" max="1" width="32.109375" customWidth="1"/>
    <col min="2" max="2" width="42.44140625" customWidth="1"/>
    <col min="3" max="5" width="10.33203125" customWidth="1"/>
  </cols>
  <sheetData>
    <row r="1" spans="1:5">
      <c r="A1" s="1"/>
      <c r="B1" s="10"/>
      <c r="C1" s="10"/>
      <c r="D1" s="1"/>
      <c r="E1" s="67"/>
    </row>
    <row r="2" spans="1:5">
      <c r="A2" s="1334" t="s">
        <v>780</v>
      </c>
      <c r="B2" s="1334"/>
      <c r="C2" s="1334"/>
      <c r="D2" s="1334"/>
      <c r="E2" s="1334"/>
    </row>
    <row r="3" spans="1:5" ht="28.95" customHeight="1">
      <c r="A3" s="1334"/>
      <c r="B3" s="1334"/>
      <c r="C3" s="1334"/>
      <c r="D3" s="1334"/>
      <c r="E3" s="1334"/>
    </row>
    <row r="4" spans="1:5" ht="26.4">
      <c r="A4" s="442" t="s">
        <v>878</v>
      </c>
      <c r="B4" s="1090" t="s">
        <v>875</v>
      </c>
      <c r="C4" s="1090"/>
      <c r="D4" s="1090"/>
      <c r="E4" s="1090"/>
    </row>
    <row r="5" spans="1:5" ht="26.4">
      <c r="A5" s="442" t="s">
        <v>879</v>
      </c>
      <c r="B5" s="1090" t="s">
        <v>876</v>
      </c>
      <c r="C5" s="1090"/>
      <c r="D5" s="1090"/>
      <c r="E5" s="1090"/>
    </row>
    <row r="6" spans="1:5" ht="13.8" thickBot="1">
      <c r="A6" s="442" t="s">
        <v>604</v>
      </c>
      <c r="B6" s="1090" t="s">
        <v>877</v>
      </c>
      <c r="C6" s="1090"/>
      <c r="D6" s="1090"/>
      <c r="E6" s="1090"/>
    </row>
    <row r="7" spans="1:5" ht="16.2" thickBot="1">
      <c r="A7" s="1311" t="s">
        <v>824</v>
      </c>
      <c r="B7" s="1312"/>
      <c r="C7" s="1312"/>
      <c r="D7" s="1312"/>
      <c r="E7" s="1313"/>
    </row>
    <row r="8" spans="1:5" ht="16.2" customHeight="1">
      <c r="A8" s="1365" t="s">
        <v>113</v>
      </c>
      <c r="B8" s="1366"/>
      <c r="C8" s="1357" t="s">
        <v>21</v>
      </c>
      <c r="D8" s="1358"/>
      <c r="E8" s="1359"/>
    </row>
    <row r="9" spans="1:5" ht="27" customHeight="1" thickBot="1">
      <c r="A9" s="1343"/>
      <c r="B9" s="1367"/>
      <c r="C9" s="1360"/>
      <c r="D9" s="1361"/>
      <c r="E9" s="1362"/>
    </row>
    <row r="10" spans="1:5" ht="28.95" customHeight="1">
      <c r="A10" s="1348" t="s">
        <v>826</v>
      </c>
      <c r="B10" s="1349"/>
      <c r="C10" s="1363">
        <f>(91.96*KFC!$B$14+KFC!$C$14)*KFC!$C$5</f>
        <v>91.96</v>
      </c>
      <c r="D10" s="1363"/>
      <c r="E10" s="1364"/>
    </row>
    <row r="11" spans="1:5" ht="28.95" customHeight="1">
      <c r="A11" s="1351" t="s">
        <v>827</v>
      </c>
      <c r="B11" s="1352"/>
      <c r="C11" s="1353">
        <f>(91.96*KFC!$B$14+KFC!$C$14)*KFC!$C$5</f>
        <v>91.96</v>
      </c>
      <c r="D11" s="1353"/>
      <c r="E11" s="1354"/>
    </row>
    <row r="12" spans="1:5" ht="28.95" customHeight="1" thickBot="1">
      <c r="A12" s="1355" t="s">
        <v>323</v>
      </c>
      <c r="B12" s="1356"/>
      <c r="C12" s="1323">
        <f>(81.46*KFC!$B$14+KFC!$C$14)*KFC!$C$5</f>
        <v>81.459999999999994</v>
      </c>
      <c r="D12" s="1323"/>
      <c r="E12" s="1324"/>
    </row>
    <row r="13" spans="1:5" ht="13.8" thickBot="1">
      <c r="A13" s="1"/>
      <c r="C13" s="1"/>
      <c r="D13" s="1"/>
      <c r="E13" s="1"/>
    </row>
    <row r="14" spans="1:5" ht="16.2" thickBot="1">
      <c r="A14" s="1311" t="s">
        <v>825</v>
      </c>
      <c r="B14" s="1312"/>
      <c r="C14" s="1312"/>
      <c r="D14" s="1312"/>
      <c r="E14" s="1313"/>
    </row>
    <row r="15" spans="1:5" ht="16.2" customHeight="1">
      <c r="A15" s="1365" t="s">
        <v>113</v>
      </c>
      <c r="B15" s="1366"/>
      <c r="C15" s="1357" t="s">
        <v>21</v>
      </c>
      <c r="D15" s="1358"/>
      <c r="E15" s="1359"/>
    </row>
    <row r="16" spans="1:5" ht="13.95" customHeight="1">
      <c r="A16" s="1343"/>
      <c r="B16" s="1367"/>
      <c r="C16" s="1360"/>
      <c r="D16" s="1361"/>
      <c r="E16" s="1362"/>
    </row>
    <row r="17" spans="1:5" ht="13.8" thickBot="1">
      <c r="A17" s="1343"/>
      <c r="B17" s="1367"/>
      <c r="C17" s="1360"/>
      <c r="D17" s="1361"/>
      <c r="E17" s="1362"/>
    </row>
    <row r="18" spans="1:5" ht="27" customHeight="1">
      <c r="A18" s="1348" t="s">
        <v>828</v>
      </c>
      <c r="B18" s="1349"/>
      <c r="C18" s="1363">
        <f>(91.96*KFC!$B$14+KFC!$C$14)*KFC!$C$5</f>
        <v>91.96</v>
      </c>
      <c r="D18" s="1363"/>
      <c r="E18" s="1364"/>
    </row>
    <row r="19" spans="1:5" ht="27" customHeight="1">
      <c r="A19" s="1351" t="s">
        <v>829</v>
      </c>
      <c r="B19" s="1352"/>
      <c r="C19" s="1353">
        <f>(91.96*KFC!$B$14+KFC!$C$14)*KFC!$C$5</f>
        <v>91.96</v>
      </c>
      <c r="D19" s="1353"/>
      <c r="E19" s="1354"/>
    </row>
    <row r="20" spans="1:5" ht="27" customHeight="1" thickBot="1">
      <c r="A20" s="1355" t="s">
        <v>49</v>
      </c>
      <c r="B20" s="1356"/>
      <c r="C20" s="1323">
        <f>(90.72*KFC!$B$14+KFC!$C$14)*KFC!$C$5</f>
        <v>90.72</v>
      </c>
      <c r="D20" s="1323"/>
      <c r="E20" s="1324"/>
    </row>
    <row r="21" spans="1:5">
      <c r="A21" s="1128" t="s">
        <v>815</v>
      </c>
      <c r="B21" s="1128"/>
      <c r="C21" s="1128"/>
      <c r="D21" s="1128"/>
      <c r="E21" s="1128"/>
    </row>
    <row r="22" spans="1:5" ht="26.4" customHeight="1">
      <c r="A22" s="1184" t="s">
        <v>298</v>
      </c>
      <c r="B22" s="1184"/>
      <c r="C22" s="1184"/>
      <c r="D22" s="1184"/>
      <c r="E22" s="1184"/>
    </row>
    <row r="23" spans="1:5">
      <c r="A23" s="124" t="s">
        <v>461</v>
      </c>
      <c r="B23" s="5"/>
      <c r="C23" s="5"/>
      <c r="D23" s="5"/>
      <c r="E23" s="1"/>
    </row>
    <row r="24" spans="1:5">
      <c r="A24" s="124" t="s">
        <v>906</v>
      </c>
      <c r="B24" s="5"/>
      <c r="C24" s="5"/>
      <c r="D24" s="5"/>
      <c r="E24" s="1"/>
    </row>
    <row r="25" spans="1:5" ht="24.6" customHeight="1" thickBot="1">
      <c r="A25" s="1122" t="s">
        <v>765</v>
      </c>
      <c r="B25" s="1122"/>
      <c r="C25" s="1122"/>
      <c r="D25" s="1122"/>
      <c r="E25" s="1122"/>
    </row>
    <row r="26" spans="1:5" ht="15.6">
      <c r="A26" s="1372" t="s">
        <v>781</v>
      </c>
      <c r="B26" s="1373"/>
      <c r="C26" s="1370">
        <f>(6.4*KFC!$B$14*1.1+KFC!$C$14)*KFC!$C$5</f>
        <v>7.0400000000000009</v>
      </c>
      <c r="D26" s="1370"/>
      <c r="E26" s="525" t="s">
        <v>782</v>
      </c>
    </row>
    <row r="27" spans="1:5" ht="15.6">
      <c r="A27" s="1350" t="s">
        <v>814</v>
      </c>
      <c r="B27" s="1290"/>
      <c r="C27" s="1288">
        <f>(3.8*KFC!$B$14*1.1+KFC!$C$14)*KFC!$C$5</f>
        <v>4.18</v>
      </c>
      <c r="D27" s="1288"/>
      <c r="E27" s="526" t="s">
        <v>782</v>
      </c>
    </row>
    <row r="28" spans="1:5" ht="15.6">
      <c r="A28" s="1350" t="s">
        <v>809</v>
      </c>
      <c r="B28" s="1290"/>
      <c r="C28" s="1288">
        <f>(10.2*KFC!$B$14*1.1+KFC!$C$14)*KFC!$C$5</f>
        <v>11.22</v>
      </c>
      <c r="D28" s="1288"/>
      <c r="E28" s="526" t="s">
        <v>782</v>
      </c>
    </row>
    <row r="29" spans="1:5" ht="16.2" thickBot="1">
      <c r="A29" s="1368" t="s">
        <v>810</v>
      </c>
      <c r="B29" s="1369"/>
      <c r="C29" s="1371">
        <f>(2.04*KFC!$B$14*1.1+KFC!$C$14)*KFC!$C$5</f>
        <v>2.2440000000000002</v>
      </c>
      <c r="D29" s="1371"/>
      <c r="E29" s="527" t="s">
        <v>783</v>
      </c>
    </row>
    <row r="30" spans="1:5" ht="27" customHeight="1">
      <c r="A30" s="1283" t="s">
        <v>973</v>
      </c>
      <c r="B30" s="1283"/>
      <c r="C30" s="1283"/>
      <c r="D30" s="1283"/>
      <c r="E30" s="1283"/>
    </row>
    <row r="31" spans="1:5">
      <c r="A31" s="1283" t="s">
        <v>811</v>
      </c>
      <c r="B31" s="1283"/>
      <c r="C31" s="1283"/>
      <c r="D31" s="1283"/>
      <c r="E31" s="1283"/>
    </row>
    <row r="32" spans="1:5">
      <c r="A32" s="1"/>
      <c r="C32" s="1"/>
      <c r="D32" s="1"/>
      <c r="E32" s="1"/>
    </row>
    <row r="33" spans="1:5" ht="18.600000000000001" thickBot="1">
      <c r="A33" s="1122" t="s">
        <v>505</v>
      </c>
      <c r="B33" s="1122"/>
      <c r="C33" s="1122"/>
      <c r="D33" s="1122"/>
      <c r="E33" s="1122"/>
    </row>
    <row r="34" spans="1:5" ht="28.2" thickBot="1">
      <c r="A34" s="123" t="s">
        <v>123</v>
      </c>
      <c r="B34" s="1120" t="s">
        <v>124</v>
      </c>
      <c r="C34" s="1120"/>
      <c r="D34" s="1121"/>
      <c r="E34" s="122" t="s">
        <v>125</v>
      </c>
    </row>
    <row r="35" spans="1:5" ht="13.8">
      <c r="A35" s="1345" t="s">
        <v>832</v>
      </c>
      <c r="B35" s="1129" t="s">
        <v>838</v>
      </c>
      <c r="C35" s="1129"/>
      <c r="D35" s="1129"/>
      <c r="E35" s="1127">
        <f>(6.6*KFC!$B$11+KFC!$C$11)*KFC!$C$5</f>
        <v>6.6</v>
      </c>
    </row>
    <row r="36" spans="1:5" ht="46.2" customHeight="1">
      <c r="A36" s="1346"/>
      <c r="B36" s="1133" t="s">
        <v>834</v>
      </c>
      <c r="C36" s="1133"/>
      <c r="D36" s="1133"/>
      <c r="E36" s="1073"/>
    </row>
    <row r="37" spans="1:5" ht="13.8">
      <c r="A37" s="1346" t="s">
        <v>833</v>
      </c>
      <c r="B37" s="1130" t="s">
        <v>838</v>
      </c>
      <c r="C37" s="1130"/>
      <c r="D37" s="1130"/>
      <c r="E37" s="1073">
        <f>(6.6*KFC!$B$11+KFC!$C$11)*KFC!$C$5</f>
        <v>6.6</v>
      </c>
    </row>
    <row r="38" spans="1:5" ht="44.4" customHeight="1">
      <c r="A38" s="1346"/>
      <c r="B38" s="1133" t="s">
        <v>835</v>
      </c>
      <c r="C38" s="1133"/>
      <c r="D38" s="1133"/>
      <c r="E38" s="1073"/>
    </row>
    <row r="39" spans="1:5" ht="13.8">
      <c r="A39" s="1346" t="s">
        <v>830</v>
      </c>
      <c r="B39" s="1130" t="s">
        <v>841</v>
      </c>
      <c r="C39" s="1130"/>
      <c r="D39" s="1130"/>
      <c r="E39" s="1073">
        <f>(6.6*KFC!$B$11+KFC!$C$11)*KFC!$C$5</f>
        <v>6.6</v>
      </c>
    </row>
    <row r="40" spans="1:5" ht="44.4" customHeight="1">
      <c r="A40" s="1346"/>
      <c r="B40" s="1133" t="s">
        <v>842</v>
      </c>
      <c r="C40" s="1133"/>
      <c r="D40" s="1133"/>
      <c r="E40" s="1073"/>
    </row>
    <row r="41" spans="1:5" ht="13.8">
      <c r="A41" s="1346" t="s">
        <v>831</v>
      </c>
      <c r="B41" s="1130" t="s">
        <v>841</v>
      </c>
      <c r="C41" s="1130"/>
      <c r="D41" s="1130"/>
      <c r="E41" s="1073">
        <f>(6.6*KFC!$B$11+KFC!$C$11)*KFC!$C$5</f>
        <v>6.6</v>
      </c>
    </row>
    <row r="42" spans="1:5" ht="45.6" customHeight="1" thickBot="1">
      <c r="A42" s="1347"/>
      <c r="B42" s="1152" t="s">
        <v>843</v>
      </c>
      <c r="C42" s="1152"/>
      <c r="D42" s="1152"/>
      <c r="E42" s="1080"/>
    </row>
    <row r="43" spans="1:5" ht="13.8">
      <c r="A43" s="124"/>
      <c r="B43" s="12"/>
      <c r="C43" s="12"/>
      <c r="D43" s="19"/>
      <c r="E43" s="67"/>
    </row>
    <row r="44" spans="1:5" ht="13.8">
      <c r="A44" s="124"/>
      <c r="B44" s="12"/>
      <c r="C44" s="12"/>
      <c r="D44" s="19"/>
      <c r="E44" s="1"/>
    </row>
    <row r="45" spans="1:5" ht="15.6">
      <c r="A45" s="1065" t="s">
        <v>265</v>
      </c>
      <c r="B45" s="1065"/>
      <c r="C45" s="1065"/>
      <c r="D45" s="1065"/>
      <c r="E45" s="1065"/>
    </row>
    <row r="46" spans="1:5" ht="16.2" thickBot="1">
      <c r="A46" s="1148" t="s">
        <v>675</v>
      </c>
      <c r="B46" s="1148"/>
      <c r="C46" s="1148"/>
      <c r="D46" s="1148"/>
      <c r="E46" s="1148"/>
    </row>
    <row r="47" spans="1:5" ht="27" thickBot="1">
      <c r="A47" s="165" t="s">
        <v>88</v>
      </c>
      <c r="B47" s="1114" t="s">
        <v>87</v>
      </c>
      <c r="C47" s="1006"/>
      <c r="D47" s="1115"/>
      <c r="E47" s="169" t="s">
        <v>24</v>
      </c>
    </row>
    <row r="48" spans="1:5" ht="16.2" thickBot="1">
      <c r="A48" s="1198" t="s">
        <v>258</v>
      </c>
      <c r="B48" s="1199"/>
      <c r="C48" s="1199"/>
      <c r="D48" s="1199"/>
      <c r="E48" s="1200"/>
    </row>
    <row r="49" spans="1:5" ht="13.8">
      <c r="A49" s="1387" t="s">
        <v>884</v>
      </c>
      <c r="B49" s="1384" t="s">
        <v>1003</v>
      </c>
      <c r="C49" s="1385"/>
      <c r="D49" s="1386"/>
      <c r="E49" s="1037">
        <f>(204*KFC!$B$41+KFC!$C$41)*KFC!$C$5</f>
        <v>204</v>
      </c>
    </row>
    <row r="50" spans="1:5" s="669" customFormat="1" ht="15" customHeight="1" thickBot="1">
      <c r="A50" s="1175"/>
      <c r="B50" s="1381" t="s">
        <v>1002</v>
      </c>
      <c r="C50" s="1382"/>
      <c r="D50" s="1383"/>
      <c r="E50" s="1038"/>
    </row>
    <row r="51" spans="1:5" ht="13.8">
      <c r="A51" s="1387" t="s">
        <v>884</v>
      </c>
      <c r="B51" s="1384" t="s">
        <v>912</v>
      </c>
      <c r="C51" s="1385"/>
      <c r="D51" s="1386"/>
      <c r="E51" s="1037">
        <f>(132.3*KFC!$B$41+KFC!$C$41)*KFC!$C$5</f>
        <v>132.30000000000001</v>
      </c>
    </row>
    <row r="52" spans="1:5" ht="13.2" customHeight="1">
      <c r="A52" s="1175"/>
      <c r="B52" s="1017"/>
      <c r="C52" s="1143"/>
      <c r="D52" s="1144"/>
      <c r="E52" s="1038"/>
    </row>
    <row r="53" spans="1:5" ht="13.95" customHeight="1">
      <c r="A53" s="1173" t="s">
        <v>884</v>
      </c>
      <c r="B53" s="1159" t="s">
        <v>913</v>
      </c>
      <c r="C53" s="1160"/>
      <c r="D53" s="1161"/>
      <c r="E53" s="1142">
        <f>(141.8*KFC!$B$41+KFC!$C$41)*KFC!$C$5</f>
        <v>141.80000000000001</v>
      </c>
    </row>
    <row r="54" spans="1:5" ht="13.2" customHeight="1">
      <c r="A54" s="1175"/>
      <c r="B54" s="1017"/>
      <c r="C54" s="1143"/>
      <c r="D54" s="1144"/>
      <c r="E54" s="1038"/>
    </row>
    <row r="55" spans="1:5" ht="13.95" customHeight="1">
      <c r="A55" s="1173" t="s">
        <v>884</v>
      </c>
      <c r="B55" s="1159" t="s">
        <v>914</v>
      </c>
      <c r="C55" s="1160"/>
      <c r="D55" s="1161"/>
      <c r="E55" s="1142">
        <f>(160.3*KFC!$B$41+KFC!$C$41)*KFC!$C$5</f>
        <v>160.30000000000001</v>
      </c>
    </row>
    <row r="56" spans="1:5" ht="13.2" customHeight="1">
      <c r="A56" s="1175"/>
      <c r="B56" s="1017"/>
      <c r="C56" s="1143"/>
      <c r="D56" s="1144"/>
      <c r="E56" s="1038"/>
    </row>
    <row r="57" spans="1:5" ht="31.2" customHeight="1">
      <c r="A57" s="1173" t="s">
        <v>884</v>
      </c>
      <c r="B57" s="1159" t="s">
        <v>915</v>
      </c>
      <c r="C57" s="1160"/>
      <c r="D57" s="1161"/>
      <c r="E57" s="1142">
        <f>(202.6*KFC!$B$41+KFC!$C$41)*KFC!$C$5</f>
        <v>202.6</v>
      </c>
    </row>
    <row r="58" spans="1:5" ht="13.95" customHeight="1" thickBot="1">
      <c r="A58" s="1405"/>
      <c r="B58" s="1167"/>
      <c r="C58" s="1168"/>
      <c r="D58" s="1169"/>
      <c r="E58" s="1166"/>
    </row>
    <row r="59" spans="1:5" ht="13.8">
      <c r="A59" s="1376" t="s">
        <v>89</v>
      </c>
      <c r="B59" s="1378" t="s">
        <v>657</v>
      </c>
      <c r="C59" s="1378"/>
      <c r="D59" s="1378"/>
      <c r="E59" s="1379">
        <f>(398.7*KFC!$B$41+KFC!$C$41)*KFC!$C$5</f>
        <v>398.7</v>
      </c>
    </row>
    <row r="60" spans="1:5" ht="13.8">
      <c r="A60" s="1377"/>
      <c r="B60" s="1047" t="s">
        <v>852</v>
      </c>
      <c r="C60" s="1380"/>
      <c r="D60" s="1380"/>
      <c r="E60" s="1040"/>
    </row>
    <row r="61" spans="1:5" ht="29.4" customHeight="1">
      <c r="A61" s="1377" t="s">
        <v>89</v>
      </c>
      <c r="B61" s="1408" t="s">
        <v>658</v>
      </c>
      <c r="C61" s="1408"/>
      <c r="D61" s="1408"/>
      <c r="E61" s="1040">
        <f>(544.3*KFC!$B$41+KFC!$C$41)*KFC!$C$5</f>
        <v>544.29999999999995</v>
      </c>
    </row>
    <row r="62" spans="1:5" ht="13.8">
      <c r="A62" s="1377"/>
      <c r="B62" s="1047" t="s">
        <v>853</v>
      </c>
      <c r="C62" s="1380"/>
      <c r="D62" s="1380"/>
      <c r="E62" s="1040"/>
    </row>
    <row r="63" spans="1:5" ht="15" customHeight="1">
      <c r="A63" s="1173" t="s">
        <v>90</v>
      </c>
      <c r="B63" s="1159" t="s">
        <v>1038</v>
      </c>
      <c r="C63" s="1160"/>
      <c r="D63" s="1161"/>
      <c r="E63" s="1142">
        <f>(132.3*KFC!$B$41+KFC!$C$41)*KFC!$C$5</f>
        <v>132.30000000000001</v>
      </c>
    </row>
    <row r="64" spans="1:5" ht="13.8">
      <c r="A64" s="1175"/>
      <c r="B64" s="1017" t="s">
        <v>855</v>
      </c>
      <c r="C64" s="1374"/>
      <c r="D64" s="1375"/>
      <c r="E64" s="1038"/>
    </row>
    <row r="65" spans="1:5" ht="31.95" customHeight="1">
      <c r="A65" s="1173" t="s">
        <v>90</v>
      </c>
      <c r="B65" s="1408" t="s">
        <v>1007</v>
      </c>
      <c r="C65" s="1408"/>
      <c r="D65" s="1408"/>
      <c r="E65" s="1142">
        <f>(168.7*KFC!$B$41+KFC!$C$41)*KFC!$C$5</f>
        <v>168.7</v>
      </c>
    </row>
    <row r="66" spans="1:5" ht="13.8">
      <c r="A66" s="1175"/>
      <c r="B66" s="1017" t="s">
        <v>856</v>
      </c>
      <c r="C66" s="1374"/>
      <c r="D66" s="1375"/>
      <c r="E66" s="1038"/>
    </row>
    <row r="67" spans="1:5" ht="13.8">
      <c r="A67" s="529"/>
      <c r="B67" s="466"/>
      <c r="C67" s="60"/>
      <c r="D67" s="60"/>
      <c r="E67" s="528"/>
    </row>
    <row r="68" spans="1:5" ht="32.4" customHeight="1" thickBot="1">
      <c r="A68" s="1034" t="s">
        <v>676</v>
      </c>
      <c r="B68" s="1034"/>
      <c r="C68" s="1034"/>
      <c r="D68" s="1034"/>
      <c r="E68" s="1034"/>
    </row>
    <row r="69" spans="1:5" ht="26.4">
      <c r="A69" s="532" t="s">
        <v>88</v>
      </c>
      <c r="B69" s="1409" t="s">
        <v>87</v>
      </c>
      <c r="C69" s="1409"/>
      <c r="D69" s="1409"/>
      <c r="E69" s="531" t="s">
        <v>24</v>
      </c>
    </row>
    <row r="70" spans="1:5" ht="13.8">
      <c r="A70" s="538" t="s">
        <v>89</v>
      </c>
      <c r="B70" s="1170" t="s">
        <v>644</v>
      </c>
      <c r="C70" s="1171"/>
      <c r="D70" s="1172"/>
      <c r="E70" s="533">
        <f>(44.3*KFC!$B$41*1.6+KFC!$C$41)*KFC!$C$5</f>
        <v>70.88</v>
      </c>
    </row>
    <row r="71" spans="1:5" s="1" customFormat="1" ht="32.4" customHeight="1">
      <c r="A71" s="539"/>
      <c r="B71" s="1388" t="s">
        <v>858</v>
      </c>
      <c r="C71" s="1390"/>
      <c r="D71" s="1391"/>
      <c r="E71" s="536"/>
    </row>
    <row r="72" spans="1:5" ht="13.8">
      <c r="A72" s="538" t="s">
        <v>89</v>
      </c>
      <c r="B72" s="1170" t="s">
        <v>645</v>
      </c>
      <c r="C72" s="1171"/>
      <c r="D72" s="1172"/>
      <c r="E72" s="533">
        <f>(76*KFC!$B$41*1.6+KFC!$C$41)*KFC!$C$5</f>
        <v>121.60000000000001</v>
      </c>
    </row>
    <row r="73" spans="1:5" s="1" customFormat="1" ht="32.4" customHeight="1">
      <c r="A73" s="539"/>
      <c r="B73" s="1388" t="s">
        <v>859</v>
      </c>
      <c r="C73" s="1390"/>
      <c r="D73" s="1391"/>
      <c r="E73" s="536"/>
    </row>
    <row r="74" spans="1:5" ht="13.8">
      <c r="A74" s="540" t="s">
        <v>89</v>
      </c>
      <c r="B74" s="1159" t="s">
        <v>91</v>
      </c>
      <c r="C74" s="1160"/>
      <c r="D74" s="1161"/>
      <c r="E74" s="533">
        <f>(178*KFC!$B$41*1.02*1.6+KFC!$C$41)*KFC!$C$5</f>
        <v>290.49600000000004</v>
      </c>
    </row>
    <row r="75" spans="1:5" s="1" customFormat="1" ht="32.4" customHeight="1">
      <c r="A75" s="539"/>
      <c r="B75" s="1388" t="s">
        <v>860</v>
      </c>
      <c r="C75" s="1390"/>
      <c r="D75" s="1391"/>
      <c r="E75" s="536"/>
    </row>
    <row r="76" spans="1:5" ht="27" customHeight="1">
      <c r="A76" s="540" t="s">
        <v>89</v>
      </c>
      <c r="B76" s="1159" t="s">
        <v>817</v>
      </c>
      <c r="C76" s="1160"/>
      <c r="D76" s="1161"/>
      <c r="E76" s="533">
        <f>(95*KFC!$B$41*1.6+KFC!$C$41)*KFC!$C$5</f>
        <v>152</v>
      </c>
    </row>
    <row r="77" spans="1:5" s="1" customFormat="1" ht="21.75" customHeight="1">
      <c r="A77" s="539"/>
      <c r="B77" s="1392" t="s">
        <v>861</v>
      </c>
      <c r="C77" s="1393"/>
      <c r="D77" s="1394"/>
      <c r="E77" s="536"/>
    </row>
    <row r="78" spans="1:5" ht="26.4" customHeight="1">
      <c r="A78" s="540" t="s">
        <v>89</v>
      </c>
      <c r="B78" s="1159" t="s">
        <v>818</v>
      </c>
      <c r="C78" s="1160"/>
      <c r="D78" s="1161"/>
      <c r="E78" s="533">
        <f>(113.9*KFC!$B$41*1.6+KFC!$C$41)*KFC!$C$5</f>
        <v>182.24</v>
      </c>
    </row>
    <row r="79" spans="1:5" s="1" customFormat="1" ht="30" customHeight="1">
      <c r="A79" s="539"/>
      <c r="B79" s="1392" t="s">
        <v>862</v>
      </c>
      <c r="C79" s="1393"/>
      <c r="D79" s="1394"/>
      <c r="E79" s="536"/>
    </row>
    <row r="80" spans="1:5" ht="13.8">
      <c r="A80" s="540" t="s">
        <v>89</v>
      </c>
      <c r="B80" s="1159" t="s">
        <v>92</v>
      </c>
      <c r="C80" s="1160"/>
      <c r="D80" s="1161"/>
      <c r="E80" s="533">
        <f>(38*KFC!$B$41*1.02*1.6+KFC!$C$41)*KFC!$C$5</f>
        <v>62.015999999999998</v>
      </c>
    </row>
    <row r="81" spans="1:5" s="1" customFormat="1" ht="30" customHeight="1">
      <c r="A81" s="537"/>
      <c r="B81" s="1017" t="s">
        <v>863</v>
      </c>
      <c r="C81" s="1395"/>
      <c r="D81" s="1396"/>
      <c r="E81" s="534"/>
    </row>
    <row r="82" spans="1:5" ht="13.8">
      <c r="A82" s="553" t="s">
        <v>89</v>
      </c>
      <c r="B82" s="1162" t="s">
        <v>93</v>
      </c>
      <c r="C82" s="1163"/>
      <c r="D82" s="1164"/>
      <c r="E82" s="552">
        <f>(140.3*KFC!$B$41*1.02*1.6+KFC!$C$41)*KFC!$C$5</f>
        <v>228.96960000000004</v>
      </c>
    </row>
    <row r="83" spans="1:5" ht="13.8">
      <c r="A83" s="544" t="s">
        <v>90</v>
      </c>
      <c r="B83" s="1402" t="s">
        <v>643</v>
      </c>
      <c r="C83" s="1403"/>
      <c r="D83" s="1404"/>
      <c r="E83" s="551">
        <f>(17.7*KFC!$B$41+KFC!$C$41)*KFC!$C$5</f>
        <v>17.7</v>
      </c>
    </row>
    <row r="84" spans="1:5" ht="13.8">
      <c r="A84" s="1173" t="s">
        <v>90</v>
      </c>
      <c r="B84" s="1159" t="s">
        <v>458</v>
      </c>
      <c r="C84" s="1160"/>
      <c r="D84" s="1161"/>
      <c r="E84" s="1142">
        <f>(31.6*KFC!$B$41+KFC!$C$41)*KFC!$C$5</f>
        <v>31.6</v>
      </c>
    </row>
    <row r="85" spans="1:5">
      <c r="A85" s="1175"/>
      <c r="B85" s="1017" t="s">
        <v>870</v>
      </c>
      <c r="C85" s="1143"/>
      <c r="D85" s="1144"/>
      <c r="E85" s="1038"/>
    </row>
    <row r="86" spans="1:5" ht="13.8">
      <c r="A86" s="1173" t="s">
        <v>90</v>
      </c>
      <c r="B86" s="1159" t="s">
        <v>459</v>
      </c>
      <c r="C86" s="1160"/>
      <c r="D86" s="1161"/>
      <c r="E86" s="1142">
        <f>(40.5*KFC!$B$41+KFC!$C$41)*KFC!$C$5</f>
        <v>40.5</v>
      </c>
    </row>
    <row r="87" spans="1:5">
      <c r="A87" s="1174"/>
      <c r="B87" s="1388" t="s">
        <v>864</v>
      </c>
      <c r="C87" s="1406"/>
      <c r="D87" s="1407"/>
      <c r="E87" s="1165"/>
    </row>
    <row r="88" spans="1:5" ht="13.8">
      <c r="A88" s="538" t="s">
        <v>90</v>
      </c>
      <c r="B88" s="1170" t="s">
        <v>646</v>
      </c>
      <c r="C88" s="1171"/>
      <c r="D88" s="1172"/>
      <c r="E88" s="533">
        <f>(31.6*KFC!$B$41+KFC!$C$41)*KFC!$C$5</f>
        <v>31.6</v>
      </c>
    </row>
    <row r="89" spans="1:5" s="1" customFormat="1" ht="20.25" customHeight="1">
      <c r="A89" s="539"/>
      <c r="B89" s="1388" t="s">
        <v>865</v>
      </c>
      <c r="C89" s="1061"/>
      <c r="D89" s="1389"/>
      <c r="E89" s="536"/>
    </row>
    <row r="90" spans="1:5" ht="13.8">
      <c r="A90" s="538" t="s">
        <v>90</v>
      </c>
      <c r="B90" s="1170" t="s">
        <v>647</v>
      </c>
      <c r="C90" s="1171"/>
      <c r="D90" s="1172"/>
      <c r="E90" s="533">
        <f>(40.5*KFC!$B$41+KFC!$C$41)*KFC!$C$5</f>
        <v>40.5</v>
      </c>
    </row>
    <row r="91" spans="1:5" s="1" customFormat="1" ht="20.25" customHeight="1">
      <c r="A91" s="537"/>
      <c r="B91" s="1017" t="s">
        <v>866</v>
      </c>
      <c r="C91" s="1374"/>
      <c r="D91" s="1375"/>
      <c r="E91" s="534"/>
    </row>
    <row r="92" spans="1:5" ht="13.8">
      <c r="A92" s="1174" t="s">
        <v>90</v>
      </c>
      <c r="B92" s="1398" t="s">
        <v>460</v>
      </c>
      <c r="C92" s="1061"/>
      <c r="D92" s="1389"/>
      <c r="E92" s="1165">
        <f>(31.6*KFC!$B$41+KFC!$C$41)*KFC!$C$5</f>
        <v>31.6</v>
      </c>
    </row>
    <row r="93" spans="1:5">
      <c r="A93" s="1175"/>
      <c r="B93" s="1017" t="s">
        <v>867</v>
      </c>
      <c r="C93" s="1143"/>
      <c r="D93" s="1144"/>
      <c r="E93" s="1038"/>
    </row>
    <row r="94" spans="1:5" ht="13.8">
      <c r="A94" s="1173" t="s">
        <v>90</v>
      </c>
      <c r="B94" s="1159" t="s">
        <v>485</v>
      </c>
      <c r="C94" s="1160"/>
      <c r="D94" s="1161"/>
      <c r="E94" s="1142">
        <f>(40.5*KFC!$B$41+KFC!$C$41)*KFC!$C$5</f>
        <v>40.5</v>
      </c>
    </row>
    <row r="95" spans="1:5">
      <c r="A95" s="1175"/>
      <c r="B95" s="1017" t="s">
        <v>868</v>
      </c>
      <c r="C95" s="1143"/>
      <c r="D95" s="1144"/>
      <c r="E95" s="1038"/>
    </row>
    <row r="96" spans="1:5" ht="13.8">
      <c r="A96" s="460" t="s">
        <v>90</v>
      </c>
      <c r="B96" s="1145" t="s">
        <v>652</v>
      </c>
      <c r="C96" s="1146"/>
      <c r="D96" s="1147"/>
      <c r="E96" s="459">
        <f>(50.6*KFC!$B$41+KFC!$C$41)*KFC!$C$5</f>
        <v>50.6</v>
      </c>
    </row>
    <row r="97" spans="1:5" ht="13.8">
      <c r="A97" s="1173" t="s">
        <v>90</v>
      </c>
      <c r="B97" s="1159" t="s">
        <v>653</v>
      </c>
      <c r="C97" s="1160"/>
      <c r="D97" s="1161"/>
      <c r="E97" s="1397">
        <f>(7.6*KFC!$B$41+KFC!$C$41)*KFC!$C$5</f>
        <v>7.6</v>
      </c>
    </row>
    <row r="98" spans="1:5">
      <c r="A98" s="1175"/>
      <c r="B98" s="1017" t="s">
        <v>869</v>
      </c>
      <c r="C98" s="1143"/>
      <c r="D98" s="1144"/>
      <c r="E98" s="1300"/>
    </row>
    <row r="99" spans="1:5" ht="13.8">
      <c r="A99" s="460" t="s">
        <v>90</v>
      </c>
      <c r="B99" s="1145" t="s">
        <v>654</v>
      </c>
      <c r="C99" s="1146"/>
      <c r="D99" s="1147"/>
      <c r="E99" s="720">
        <f>(2.5*KFC!$B$41+KFC!$C$41)*KFC!$C$5</f>
        <v>2.5</v>
      </c>
    </row>
    <row r="100" spans="1:5" ht="14.4" thickBot="1">
      <c r="A100" s="567" t="s">
        <v>90</v>
      </c>
      <c r="B100" s="1156" t="s">
        <v>655</v>
      </c>
      <c r="C100" s="1157"/>
      <c r="D100" s="1158"/>
      <c r="E100" s="721">
        <f>(38*KFC!$B$41+KFC!$C$41)*KFC!$C$5</f>
        <v>38</v>
      </c>
    </row>
    <row r="101" spans="1:5" ht="13.8">
      <c r="A101" s="568" t="s">
        <v>884</v>
      </c>
      <c r="B101" s="1399" t="s">
        <v>896</v>
      </c>
      <c r="C101" s="1400"/>
      <c r="D101" s="1401"/>
      <c r="E101" s="645">
        <f>(31.65*KFC!$B$41+KFC!$C$41)*KFC!$C$5</f>
        <v>31.65</v>
      </c>
    </row>
    <row r="102" spans="1:5" ht="13.8">
      <c r="A102" s="460" t="s">
        <v>884</v>
      </c>
      <c r="B102" s="1145" t="s">
        <v>897</v>
      </c>
      <c r="C102" s="1146"/>
      <c r="D102" s="1147"/>
      <c r="E102" s="646">
        <f>(37.98*KFC!$B$41+KFC!$C$41)*KFC!$C$5</f>
        <v>37.979999999999997</v>
      </c>
    </row>
    <row r="103" spans="1:5" ht="13.8">
      <c r="A103" s="460" t="s">
        <v>884</v>
      </c>
      <c r="B103" s="1145" t="s">
        <v>898</v>
      </c>
      <c r="C103" s="1146"/>
      <c r="D103" s="1147"/>
      <c r="E103" s="646">
        <f>(44.31*KFC!$B$41+KFC!$C$41)*KFC!$C$5</f>
        <v>44.31</v>
      </c>
    </row>
    <row r="104" spans="1:5" ht="30" customHeight="1">
      <c r="A104" s="460" t="s">
        <v>884</v>
      </c>
      <c r="B104" s="1145" t="s">
        <v>1239</v>
      </c>
      <c r="C104" s="1146"/>
      <c r="D104" s="1147"/>
      <c r="E104" s="646">
        <f>(41.78*KFC!$B$41+KFC!$C$41)*KFC!$C$5</f>
        <v>41.78</v>
      </c>
    </row>
    <row r="105" spans="1:5" ht="13.8">
      <c r="A105" s="460" t="s">
        <v>884</v>
      </c>
      <c r="B105" s="1145" t="s">
        <v>899</v>
      </c>
      <c r="C105" s="1146"/>
      <c r="D105" s="1147"/>
      <c r="E105" s="646">
        <f>(31.65*KFC!$B$41+KFC!$C$41)*KFC!$C$5</f>
        <v>31.65</v>
      </c>
    </row>
    <row r="106" spans="1:5" ht="13.8">
      <c r="A106" s="460" t="s">
        <v>884</v>
      </c>
      <c r="B106" s="1145" t="s">
        <v>900</v>
      </c>
      <c r="C106" s="1146"/>
      <c r="D106" s="1147"/>
      <c r="E106" s="646">
        <f>(37.98*KFC!$B$41+KFC!$C$41)*KFC!$C$5</f>
        <v>37.979999999999997</v>
      </c>
    </row>
    <row r="107" spans="1:5" ht="13.8">
      <c r="A107" s="460" t="s">
        <v>884</v>
      </c>
      <c r="B107" s="1145" t="s">
        <v>901</v>
      </c>
      <c r="C107" s="1146"/>
      <c r="D107" s="1147"/>
      <c r="E107" s="646">
        <f>(75.95*KFC!$B$41+KFC!$C$41)*KFC!$C$5</f>
        <v>75.95</v>
      </c>
    </row>
    <row r="108" spans="1:5" ht="13.8">
      <c r="A108" s="460" t="s">
        <v>884</v>
      </c>
      <c r="B108" s="1145" t="s">
        <v>1054</v>
      </c>
      <c r="C108" s="1146"/>
      <c r="D108" s="1147"/>
      <c r="E108" s="646">
        <f>(76*KFC!$B$41+KFC!$C$41)*KFC!$C$5</f>
        <v>76</v>
      </c>
    </row>
    <row r="109" spans="1:5" ht="14.4" thickBot="1">
      <c r="A109" s="547" t="s">
        <v>884</v>
      </c>
      <c r="B109" s="1202" t="s">
        <v>902</v>
      </c>
      <c r="C109" s="1203"/>
      <c r="D109" s="1204"/>
      <c r="E109" s="647">
        <f>(25.32*KFC!$B$41+KFC!$C$41)*KFC!$C$5</f>
        <v>25.32</v>
      </c>
    </row>
    <row r="110" spans="1:5">
      <c r="A110" s="719"/>
      <c r="B110" s="719"/>
      <c r="C110" s="719"/>
      <c r="D110" s="719"/>
      <c r="E110" s="719"/>
    </row>
    <row r="111" spans="1:5">
      <c r="A111" s="719"/>
      <c r="B111" s="719"/>
      <c r="C111" s="719"/>
      <c r="D111" s="719"/>
      <c r="E111" s="719"/>
    </row>
    <row r="112" spans="1:5">
      <c r="A112" s="719"/>
      <c r="B112" s="719"/>
      <c r="C112" s="719"/>
      <c r="D112" s="719"/>
      <c r="E112" s="719"/>
    </row>
    <row r="113" spans="1:5" ht="13.8">
      <c r="A113" s="870"/>
      <c r="B113" s="870"/>
      <c r="C113" s="870"/>
      <c r="D113" s="870"/>
      <c r="E113" s="719"/>
    </row>
    <row r="114" spans="1:5" ht="13.8">
      <c r="A114" s="870"/>
      <c r="B114" s="870"/>
      <c r="C114" s="870"/>
      <c r="D114" s="870"/>
      <c r="E114" s="719"/>
    </row>
    <row r="115" spans="1:5" ht="13.8">
      <c r="A115" s="870"/>
      <c r="B115" s="870"/>
      <c r="C115" s="870"/>
      <c r="D115" s="870"/>
      <c r="E115" s="719"/>
    </row>
    <row r="116" spans="1:5">
      <c r="A116" s="1"/>
      <c r="B116" s="1"/>
      <c r="C116" s="1"/>
      <c r="D116" s="1"/>
      <c r="E116" s="1"/>
    </row>
    <row r="117" spans="1:5" ht="16.2" thickBot="1">
      <c r="A117" s="1148" t="s">
        <v>1190</v>
      </c>
      <c r="B117" s="1148"/>
      <c r="C117" s="1148"/>
      <c r="D117" s="1148"/>
      <c r="E117" s="1148"/>
    </row>
    <row r="118" spans="1:5" ht="13.8" thickBot="1">
      <c r="A118" s="1"/>
      <c r="B118" s="1"/>
      <c r="C118" s="1"/>
      <c r="D118" s="1"/>
      <c r="E118" s="1"/>
    </row>
    <row r="119" spans="1:5" ht="27" thickBot="1">
      <c r="A119" s="1005" t="s">
        <v>87</v>
      </c>
      <c r="B119" s="1006"/>
      <c r="C119" s="1115"/>
      <c r="D119" s="867" t="s">
        <v>1191</v>
      </c>
      <c r="E119" s="867" t="s">
        <v>1194</v>
      </c>
    </row>
    <row r="120" spans="1:5" ht="13.8">
      <c r="A120" s="1205" t="s">
        <v>1180</v>
      </c>
      <c r="B120" s="1206"/>
      <c r="C120" s="1207"/>
      <c r="D120" s="873" t="s">
        <v>526</v>
      </c>
      <c r="E120" s="865">
        <f>(206.72*KFC!$B$41+KFC!$C$41)</f>
        <v>206.72</v>
      </c>
    </row>
    <row r="121" spans="1:5" ht="13.8">
      <c r="A121" s="1216" t="s">
        <v>1181</v>
      </c>
      <c r="B121" s="1189"/>
      <c r="C121" s="1190"/>
      <c r="D121" s="871" t="s">
        <v>526</v>
      </c>
      <c r="E121" s="866">
        <f>(226.92*KFC!$B$41+KFC!$C$41)</f>
        <v>226.92</v>
      </c>
    </row>
    <row r="122" spans="1:5" ht="13.8">
      <c r="A122" s="1216" t="s">
        <v>1182</v>
      </c>
      <c r="B122" s="1189"/>
      <c r="C122" s="1190"/>
      <c r="D122" s="869" t="s">
        <v>526</v>
      </c>
      <c r="E122" s="866">
        <f>(624.88*KFC!$B$41+KFC!$C$41)</f>
        <v>624.88</v>
      </c>
    </row>
    <row r="123" spans="1:5" ht="13.8">
      <c r="A123" s="1216" t="s">
        <v>1183</v>
      </c>
      <c r="B123" s="1189"/>
      <c r="C123" s="1190"/>
      <c r="D123" s="869" t="s">
        <v>526</v>
      </c>
      <c r="E123" s="866">
        <f>(687.38*KFC!$B$41+KFC!$C$41)</f>
        <v>687.38</v>
      </c>
    </row>
    <row r="124" spans="1:5" ht="13.8">
      <c r="A124" s="1215" t="s">
        <v>1184</v>
      </c>
      <c r="B124" s="1003"/>
      <c r="C124" s="1003"/>
      <c r="D124" s="869" t="s">
        <v>1192</v>
      </c>
      <c r="E124" s="866">
        <f>(97.05*KFC!$B$41+KFC!$C$41)</f>
        <v>97.05</v>
      </c>
    </row>
    <row r="125" spans="1:5" ht="13.8">
      <c r="A125" s="1215" t="s">
        <v>1185</v>
      </c>
      <c r="B125" s="1003"/>
      <c r="C125" s="1003"/>
      <c r="D125" s="869" t="s">
        <v>1192</v>
      </c>
      <c r="E125" s="866">
        <f>(125.45*KFC!$B$41+KFC!$C$41)</f>
        <v>125.45</v>
      </c>
    </row>
    <row r="126" spans="1:5" ht="13.8">
      <c r="A126" s="1215" t="s">
        <v>1186</v>
      </c>
      <c r="B126" s="1003"/>
      <c r="C126" s="1003"/>
      <c r="D126" s="869" t="s">
        <v>1192</v>
      </c>
      <c r="E126" s="866">
        <f>(222.81*KFC!$B$41+KFC!$C$41)</f>
        <v>222.81</v>
      </c>
    </row>
    <row r="127" spans="1:5" ht="13.8">
      <c r="A127" s="1215" t="s">
        <v>1187</v>
      </c>
      <c r="B127" s="1003"/>
      <c r="C127" s="1003"/>
      <c r="D127" s="869" t="s">
        <v>526</v>
      </c>
      <c r="E127" s="866">
        <f>(269.6*KFC!$B$41+KFC!$C$41)</f>
        <v>269.60000000000002</v>
      </c>
    </row>
    <row r="128" spans="1:5" ht="13.8">
      <c r="A128" s="1215" t="s">
        <v>1193</v>
      </c>
      <c r="B128" s="1003"/>
      <c r="C128" s="1003"/>
      <c r="D128" s="869" t="s">
        <v>526</v>
      </c>
      <c r="E128" s="866">
        <f>(402.86*KFC!$B$41+KFC!$C$41)</f>
        <v>402.86</v>
      </c>
    </row>
    <row r="129" spans="1:5" ht="13.8">
      <c r="A129" s="1215" t="s">
        <v>1188</v>
      </c>
      <c r="B129" s="1003"/>
      <c r="C129" s="1003"/>
      <c r="D129" s="869" t="s">
        <v>526</v>
      </c>
      <c r="E129" s="866">
        <f>(132.48*KFC!$B$41+KFC!$C$41)</f>
        <v>132.47999999999999</v>
      </c>
    </row>
    <row r="130" spans="1:5" ht="14.4" thickBot="1">
      <c r="A130" s="1213" t="s">
        <v>1189</v>
      </c>
      <c r="B130" s="1214"/>
      <c r="C130" s="1214"/>
      <c r="D130" s="872" t="s">
        <v>526</v>
      </c>
      <c r="E130" s="866">
        <f>(121.32*KFC!$B$41+KFC!$C$41)</f>
        <v>121.32</v>
      </c>
    </row>
  </sheetData>
  <mergeCells count="158">
    <mergeCell ref="B104:D104"/>
    <mergeCell ref="A129:C129"/>
    <mergeCell ref="A130:C130"/>
    <mergeCell ref="A125:C125"/>
    <mergeCell ref="A126:C126"/>
    <mergeCell ref="A127:C127"/>
    <mergeCell ref="A117:E117"/>
    <mergeCell ref="A119:C119"/>
    <mergeCell ref="A120:C120"/>
    <mergeCell ref="A121:C121"/>
    <mergeCell ref="A122:C122"/>
    <mergeCell ref="A128:C128"/>
    <mergeCell ref="A123:C123"/>
    <mergeCell ref="E86:E87"/>
    <mergeCell ref="A53:A54"/>
    <mergeCell ref="E55:E56"/>
    <mergeCell ref="E57:E58"/>
    <mergeCell ref="B53:D53"/>
    <mergeCell ref="E53:E54"/>
    <mergeCell ref="B54:D54"/>
    <mergeCell ref="A51:A52"/>
    <mergeCell ref="B72:D72"/>
    <mergeCell ref="A65:A66"/>
    <mergeCell ref="B65:D65"/>
    <mergeCell ref="E65:E66"/>
    <mergeCell ref="B66:D66"/>
    <mergeCell ref="E84:E85"/>
    <mergeCell ref="A68:E68"/>
    <mergeCell ref="B69:D69"/>
    <mergeCell ref="B70:D70"/>
    <mergeCell ref="B71:D71"/>
    <mergeCell ref="A61:A62"/>
    <mergeCell ref="B61:D61"/>
    <mergeCell ref="E61:E62"/>
    <mergeCell ref="B62:D62"/>
    <mergeCell ref="A63:A64"/>
    <mergeCell ref="B63:D63"/>
    <mergeCell ref="B99:D99"/>
    <mergeCell ref="A124:C124"/>
    <mergeCell ref="A55:A56"/>
    <mergeCell ref="B55:D55"/>
    <mergeCell ref="B109:D109"/>
    <mergeCell ref="B101:D101"/>
    <mergeCell ref="B102:D102"/>
    <mergeCell ref="B103:D103"/>
    <mergeCell ref="B105:D105"/>
    <mergeCell ref="B106:D106"/>
    <mergeCell ref="B107:D107"/>
    <mergeCell ref="B108:D108"/>
    <mergeCell ref="B56:D56"/>
    <mergeCell ref="B88:D88"/>
    <mergeCell ref="B90:D90"/>
    <mergeCell ref="B83:D83"/>
    <mergeCell ref="B75:D75"/>
    <mergeCell ref="A57:A58"/>
    <mergeCell ref="B57:D57"/>
    <mergeCell ref="B58:D58"/>
    <mergeCell ref="B100:D100"/>
    <mergeCell ref="B96:D96"/>
    <mergeCell ref="B87:D87"/>
    <mergeCell ref="B84:D84"/>
    <mergeCell ref="C8:E9"/>
    <mergeCell ref="C10:E10"/>
    <mergeCell ref="A15:B17"/>
    <mergeCell ref="C19:E19"/>
    <mergeCell ref="A35:A36"/>
    <mergeCell ref="E35:E36"/>
    <mergeCell ref="A37:A38"/>
    <mergeCell ref="B37:D37"/>
    <mergeCell ref="C20:E20"/>
    <mergeCell ref="E92:E93"/>
    <mergeCell ref="B93:D93"/>
    <mergeCell ref="A97:A98"/>
    <mergeCell ref="B97:D97"/>
    <mergeCell ref="E97:E98"/>
    <mergeCell ref="B98:D98"/>
    <mergeCell ref="B94:D94"/>
    <mergeCell ref="E94:E95"/>
    <mergeCell ref="B95:D95"/>
    <mergeCell ref="A94:A95"/>
    <mergeCell ref="A92:A93"/>
    <mergeCell ref="B92:D92"/>
    <mergeCell ref="B89:D89"/>
    <mergeCell ref="B91:D91"/>
    <mergeCell ref="A86:A87"/>
    <mergeCell ref="B86:D86"/>
    <mergeCell ref="B73:D73"/>
    <mergeCell ref="A84:A85"/>
    <mergeCell ref="B77:D77"/>
    <mergeCell ref="B79:D79"/>
    <mergeCell ref="B81:D81"/>
    <mergeCell ref="B82:D82"/>
    <mergeCell ref="B74:D74"/>
    <mergeCell ref="B76:D76"/>
    <mergeCell ref="B78:D78"/>
    <mergeCell ref="B80:D80"/>
    <mergeCell ref="B85:D85"/>
    <mergeCell ref="E63:E64"/>
    <mergeCell ref="B64:D64"/>
    <mergeCell ref="B41:D41"/>
    <mergeCell ref="A59:A60"/>
    <mergeCell ref="B59:D59"/>
    <mergeCell ref="E59:E60"/>
    <mergeCell ref="B60:D60"/>
    <mergeCell ref="A48:E48"/>
    <mergeCell ref="A46:E46"/>
    <mergeCell ref="B47:D47"/>
    <mergeCell ref="E41:E42"/>
    <mergeCell ref="B42:D42"/>
    <mergeCell ref="E49:E50"/>
    <mergeCell ref="B50:D50"/>
    <mergeCell ref="B51:D51"/>
    <mergeCell ref="E51:E52"/>
    <mergeCell ref="B52:D52"/>
    <mergeCell ref="A49:A50"/>
    <mergeCell ref="B49:D49"/>
    <mergeCell ref="B39:D39"/>
    <mergeCell ref="A45:E45"/>
    <mergeCell ref="A29:B29"/>
    <mergeCell ref="C26:D26"/>
    <mergeCell ref="C29:D29"/>
    <mergeCell ref="A25:E25"/>
    <mergeCell ref="B35:D35"/>
    <mergeCell ref="B36:D36"/>
    <mergeCell ref="C28:D28"/>
    <mergeCell ref="A33:E33"/>
    <mergeCell ref="B34:D34"/>
    <mergeCell ref="A26:B26"/>
    <mergeCell ref="E37:E38"/>
    <mergeCell ref="B38:D38"/>
    <mergeCell ref="A39:A40"/>
    <mergeCell ref="E39:E40"/>
    <mergeCell ref="B40:D40"/>
    <mergeCell ref="A41:A42"/>
    <mergeCell ref="A2:E3"/>
    <mergeCell ref="A10:B10"/>
    <mergeCell ref="A18:B18"/>
    <mergeCell ref="A30:E30"/>
    <mergeCell ref="A31:E31"/>
    <mergeCell ref="C27:D27"/>
    <mergeCell ref="A27:B27"/>
    <mergeCell ref="A19:B19"/>
    <mergeCell ref="A28:B28"/>
    <mergeCell ref="A21:E21"/>
    <mergeCell ref="A22:E22"/>
    <mergeCell ref="A11:B11"/>
    <mergeCell ref="C11:E11"/>
    <mergeCell ref="A12:B12"/>
    <mergeCell ref="A20:B20"/>
    <mergeCell ref="C12:E12"/>
    <mergeCell ref="A14:E14"/>
    <mergeCell ref="C15:E17"/>
    <mergeCell ref="C18:E18"/>
    <mergeCell ref="B4:E4"/>
    <mergeCell ref="B5:E5"/>
    <mergeCell ref="B6:E6"/>
    <mergeCell ref="A8:B9"/>
    <mergeCell ref="A7:E7"/>
  </mergeCells>
  <hyperlinks>
    <hyperlink ref="B62" r:id="rId1" xr:uid="{F03B999E-E62C-48B1-A5C4-9D0807F1790A}"/>
    <hyperlink ref="B64" r:id="rId2" xr:uid="{3136DB57-888C-4ECB-9939-CAC6BF49445D}"/>
    <hyperlink ref="B66" r:id="rId3" xr:uid="{EEE86009-92EE-4CDA-976D-0242A5FAC9EE}"/>
    <hyperlink ref="B95" r:id="rId4" xr:uid="{D61970D4-D0A7-4F24-A5D2-874993C830FA}"/>
    <hyperlink ref="B93" r:id="rId5" xr:uid="{59BD5675-27DE-4A7C-85B9-309CB25EFBD1}"/>
    <hyperlink ref="B98" r:id="rId6" xr:uid="{7D83253F-1DE8-42A5-BC85-2A86488F5BFB}"/>
    <hyperlink ref="B87" r:id="rId7" xr:uid="{29193E69-CEB8-4B76-85FE-73BB10FC2721}"/>
    <hyperlink ref="B85" r:id="rId8" xr:uid="{4FA47C62-0834-4CCA-836A-1C3D52733FA7}"/>
    <hyperlink ref="B60" r:id="rId9" xr:uid="{EEE32F7B-2E0E-41B0-B4EF-E3B1C48DF2F1}"/>
    <hyperlink ref="B71" r:id="rId10" xr:uid="{03A87D40-C889-4692-A0EB-80535D280109}"/>
    <hyperlink ref="B73" r:id="rId11" xr:uid="{D3D3C9FC-BCBF-4034-AC25-7022AA7A5439}"/>
    <hyperlink ref="B75" r:id="rId12" xr:uid="{B7FC6360-5CF5-4C45-B815-E8CDFA60CA33}"/>
    <hyperlink ref="B77" r:id="rId13" xr:uid="{90CE95EC-4AD2-4ACD-8527-9E2761F84160}"/>
    <hyperlink ref="B79" r:id="rId14" xr:uid="{F1E62A91-29D6-47E0-ABB3-BA9039A991E9}"/>
    <hyperlink ref="B81" r:id="rId15" xr:uid="{240EB339-6F2F-4496-8443-9A5F75FC448C}"/>
    <hyperlink ref="B89" r:id="rId16" xr:uid="{0B13A9F1-9F4B-4E0C-B878-0D4353A36D29}"/>
    <hyperlink ref="B91" r:id="rId17" xr:uid="{59458A8E-C4D7-47B6-8CEC-1ECAB0ED80C8}"/>
    <hyperlink ref="B4" r:id="rId18" xr:uid="{066BD712-E3F0-4076-B31E-31026528FB4C}"/>
    <hyperlink ref="B5" r:id="rId19" xr:uid="{40EFA593-4C65-4FA0-B74B-3BEE6A20358F}"/>
    <hyperlink ref="B6" r:id="rId20" xr:uid="{DA7FD2ED-4A2C-4A0A-A53E-322134E66A47}"/>
    <hyperlink ref="B50" r:id="rId21" xr:uid="{B1B06886-7FBA-48D6-A49F-61BE847EAFD6}"/>
  </hyperlinks>
  <pageMargins left="0.7" right="0.7" top="0.75" bottom="0.75" header="0.3" footer="0.3"/>
  <pageSetup paperSize="9" scale="66" orientation="portrait" verticalDpi="203" r:id="rId22"/>
  <rowBreaks count="2" manualBreakCount="2">
    <brk id="44" max="16383" man="1"/>
    <brk id="96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BA7820-0658-4AFA-8D28-64526F170584}">
  <sheetPr>
    <tabColor rgb="FFFF0000"/>
  </sheetPr>
  <dimension ref="A1:IU115"/>
  <sheetViews>
    <sheetView view="pageBreakPreview" zoomScale="80" zoomScaleNormal="80" zoomScaleSheetLayoutView="80" workbookViewId="0">
      <selection sqref="A1:IV4"/>
    </sheetView>
  </sheetViews>
  <sheetFormatPr defaultColWidth="9.109375" defaultRowHeight="14.4"/>
  <cols>
    <col min="1" max="1" width="9.109375" style="880"/>
    <col min="2" max="3" width="5.44140625" style="880" bestFit="1" customWidth="1"/>
    <col min="4" max="4" width="6.6640625" style="880" customWidth="1"/>
    <col min="5" max="5" width="7" style="880" customWidth="1"/>
    <col min="6" max="7" width="6.5546875" style="880" customWidth="1"/>
    <col min="8" max="8" width="6.6640625" style="880" customWidth="1"/>
    <col min="9" max="10" width="6.109375" style="880" customWidth="1"/>
    <col min="11" max="11" width="6.6640625" style="880" customWidth="1"/>
    <col min="12" max="12" width="6.33203125" style="880" customWidth="1"/>
    <col min="13" max="13" width="6.109375" style="880" customWidth="1"/>
    <col min="14" max="14" width="6.5546875" style="880" customWidth="1"/>
    <col min="15" max="15" width="6.88671875" style="880" customWidth="1"/>
    <col min="16" max="17" width="6.44140625" style="880" bestFit="1" customWidth="1"/>
    <col min="18" max="18" width="7.88671875" style="880" customWidth="1"/>
    <col min="19" max="19" width="9" style="880" customWidth="1"/>
    <col min="20" max="20" width="7.5546875" style="880" customWidth="1"/>
    <col min="21" max="21" width="7.88671875" style="880" customWidth="1"/>
    <col min="22" max="22" width="8" style="880" customWidth="1"/>
    <col min="23" max="23" width="6.88671875" style="880" customWidth="1"/>
    <col min="24" max="46" width="0" style="880" hidden="1" customWidth="1"/>
    <col min="47" max="16384" width="9.109375" style="880"/>
  </cols>
  <sheetData>
    <row r="1" spans="1:255" ht="15" customHeight="1">
      <c r="A1" s="1033" t="s">
        <v>1201</v>
      </c>
      <c r="B1" s="1033"/>
      <c r="C1" s="1033"/>
      <c r="D1" s="1033"/>
      <c r="E1" s="1033"/>
      <c r="F1" s="1033"/>
      <c r="G1" s="1033"/>
      <c r="H1" s="1033"/>
      <c r="I1" s="1033"/>
      <c r="J1" s="1033"/>
      <c r="K1" s="1033"/>
      <c r="L1" s="1033"/>
      <c r="M1" s="1033"/>
      <c r="N1" s="1033"/>
      <c r="O1" s="1033"/>
      <c r="P1" s="1033"/>
      <c r="Q1" s="1033"/>
      <c r="R1" s="1033"/>
      <c r="S1" s="1033"/>
      <c r="T1" s="1033"/>
      <c r="U1" s="1033"/>
      <c r="V1" s="1033"/>
      <c r="W1" s="1033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  <c r="AZ1" s="16"/>
      <c r="BA1" s="16"/>
      <c r="BB1" s="16"/>
      <c r="BC1" s="16"/>
      <c r="BD1" s="16"/>
      <c r="BE1" s="16"/>
      <c r="BF1" s="16"/>
      <c r="BG1" s="16"/>
      <c r="BH1" s="16"/>
      <c r="BI1" s="16"/>
      <c r="BJ1" s="16"/>
      <c r="BK1" s="16"/>
      <c r="BL1" s="16"/>
      <c r="BM1" s="16"/>
      <c r="BN1" s="16"/>
      <c r="BO1" s="16"/>
      <c r="BP1" s="16"/>
      <c r="BQ1" s="16"/>
      <c r="BR1" s="16"/>
      <c r="BS1" s="16"/>
      <c r="BT1" s="16"/>
      <c r="BU1" s="16"/>
      <c r="BV1" s="16"/>
      <c r="BW1" s="16"/>
      <c r="BX1" s="16"/>
      <c r="BY1" s="16"/>
      <c r="BZ1" s="16"/>
      <c r="CA1" s="16"/>
      <c r="CB1" s="16"/>
      <c r="CC1" s="16"/>
      <c r="CD1" s="16"/>
      <c r="CE1" s="16"/>
      <c r="CF1" s="16"/>
      <c r="CG1" s="16"/>
      <c r="CH1" s="16"/>
      <c r="CI1" s="16"/>
      <c r="CJ1" s="16"/>
      <c r="CK1" s="16"/>
      <c r="CL1" s="16"/>
      <c r="CM1" s="16"/>
      <c r="CN1" s="16"/>
      <c r="CO1" s="16"/>
      <c r="CP1" s="16"/>
      <c r="CQ1" s="16"/>
      <c r="CR1" s="16"/>
      <c r="CS1" s="16"/>
      <c r="CT1" s="16"/>
      <c r="CU1" s="16"/>
      <c r="CV1" s="16"/>
      <c r="CW1" s="16"/>
      <c r="CX1" s="16"/>
      <c r="CY1" s="16"/>
      <c r="CZ1" s="16"/>
      <c r="DA1" s="16"/>
      <c r="DB1" s="16"/>
      <c r="DC1" s="16"/>
      <c r="DD1" s="16"/>
      <c r="DE1" s="16"/>
      <c r="DF1" s="16"/>
      <c r="DG1" s="16"/>
      <c r="DH1" s="16"/>
      <c r="DI1" s="16"/>
      <c r="DJ1" s="16"/>
      <c r="DK1" s="16"/>
      <c r="DL1" s="16"/>
      <c r="DM1" s="16"/>
      <c r="DN1" s="16"/>
      <c r="DO1" s="16"/>
      <c r="DP1" s="16"/>
      <c r="DQ1" s="16"/>
      <c r="DR1" s="16"/>
      <c r="DS1" s="16"/>
      <c r="DT1" s="16"/>
      <c r="DU1" s="16"/>
      <c r="DV1" s="16"/>
      <c r="DW1" s="16"/>
      <c r="DX1" s="16"/>
      <c r="DY1" s="16"/>
      <c r="DZ1" s="16"/>
      <c r="EA1" s="16"/>
      <c r="EB1" s="16"/>
      <c r="EC1" s="16"/>
      <c r="ED1" s="16"/>
      <c r="EE1" s="16"/>
      <c r="EF1" s="16"/>
      <c r="EG1" s="16"/>
      <c r="EH1" s="16"/>
      <c r="EI1" s="16"/>
      <c r="EJ1" s="16"/>
      <c r="EK1" s="16"/>
      <c r="EL1" s="16"/>
      <c r="EM1" s="16"/>
      <c r="EN1" s="16"/>
      <c r="EO1" s="16"/>
      <c r="EP1" s="16"/>
      <c r="EQ1" s="16"/>
      <c r="ER1" s="16"/>
      <c r="ES1" s="16"/>
      <c r="ET1" s="16"/>
      <c r="EU1" s="16"/>
      <c r="EV1" s="16"/>
      <c r="EW1" s="16"/>
      <c r="EX1" s="16"/>
      <c r="EY1" s="16"/>
      <c r="EZ1" s="16"/>
      <c r="FA1" s="16"/>
      <c r="FB1" s="16"/>
      <c r="FC1" s="16"/>
      <c r="FD1" s="16"/>
      <c r="FE1" s="16"/>
      <c r="FF1" s="16"/>
      <c r="FG1" s="16"/>
      <c r="FH1" s="16"/>
      <c r="FI1" s="16"/>
      <c r="FJ1" s="16"/>
      <c r="FK1" s="16"/>
      <c r="FL1" s="16"/>
      <c r="FM1" s="16"/>
      <c r="FN1" s="16"/>
      <c r="FO1" s="16"/>
      <c r="FP1" s="16"/>
      <c r="FQ1" s="16"/>
      <c r="FR1" s="16"/>
      <c r="FS1" s="16"/>
      <c r="FT1" s="16"/>
      <c r="FU1" s="16"/>
      <c r="FV1" s="16"/>
      <c r="FW1" s="16"/>
      <c r="FX1" s="16"/>
      <c r="FY1" s="16"/>
      <c r="FZ1" s="16"/>
      <c r="GA1" s="16"/>
      <c r="GB1" s="16"/>
      <c r="GC1" s="16"/>
      <c r="GD1" s="16"/>
      <c r="GE1" s="16"/>
      <c r="GF1" s="16"/>
      <c r="GG1" s="16"/>
      <c r="GH1" s="16"/>
      <c r="GI1" s="16"/>
      <c r="GJ1" s="16"/>
      <c r="GK1" s="16"/>
      <c r="GL1" s="16"/>
      <c r="GM1" s="16"/>
      <c r="GN1" s="16"/>
      <c r="GO1" s="16"/>
      <c r="GP1" s="16"/>
      <c r="GQ1" s="16"/>
      <c r="GR1" s="16"/>
      <c r="GS1" s="16"/>
      <c r="GT1" s="16"/>
      <c r="GU1" s="16"/>
      <c r="GV1" s="16"/>
      <c r="GW1" s="16"/>
      <c r="GX1" s="16"/>
      <c r="GY1" s="16"/>
      <c r="GZ1" s="16"/>
      <c r="HA1" s="16"/>
      <c r="HB1" s="16"/>
      <c r="HC1" s="16"/>
      <c r="HD1" s="16"/>
      <c r="HE1" s="16"/>
      <c r="HF1" s="16"/>
      <c r="HG1" s="16"/>
      <c r="HH1" s="16"/>
      <c r="HI1" s="16"/>
      <c r="HJ1" s="16"/>
      <c r="HK1" s="16"/>
      <c r="HL1" s="16"/>
      <c r="HM1" s="16"/>
      <c r="HN1" s="16"/>
      <c r="HO1" s="16"/>
      <c r="HP1" s="16"/>
      <c r="HQ1" s="16"/>
      <c r="HR1" s="16"/>
      <c r="HS1" s="16"/>
      <c r="HT1" s="16"/>
      <c r="HU1" s="16"/>
      <c r="HV1" s="16"/>
      <c r="HW1" s="16"/>
      <c r="HX1" s="16"/>
      <c r="HY1" s="16"/>
      <c r="HZ1" s="16"/>
      <c r="IA1" s="16"/>
      <c r="IB1" s="16"/>
      <c r="IC1" s="16"/>
      <c r="ID1" s="16"/>
      <c r="IE1" s="16"/>
      <c r="IF1" s="16"/>
      <c r="IG1" s="16"/>
      <c r="IH1" s="16"/>
      <c r="II1" s="16"/>
      <c r="IJ1" s="16"/>
      <c r="IK1" s="16"/>
      <c r="IL1" s="16"/>
      <c r="IM1" s="16"/>
      <c r="IN1" s="16"/>
      <c r="IO1" s="16"/>
      <c r="IP1" s="16"/>
      <c r="IQ1" s="16"/>
      <c r="IR1" s="16"/>
      <c r="IS1" s="16"/>
      <c r="IT1" s="16"/>
      <c r="IU1" s="16"/>
    </row>
    <row r="2" spans="1:255" ht="15" customHeight="1">
      <c r="A2" s="1033"/>
      <c r="B2" s="1033"/>
      <c r="C2" s="1033"/>
      <c r="D2" s="1033"/>
      <c r="E2" s="1033"/>
      <c r="F2" s="1033"/>
      <c r="G2" s="1033"/>
      <c r="H2" s="1033"/>
      <c r="I2" s="1033"/>
      <c r="J2" s="1033"/>
      <c r="K2" s="1033"/>
      <c r="L2" s="1033"/>
      <c r="M2" s="1033"/>
      <c r="N2" s="1033"/>
      <c r="O2" s="1033"/>
      <c r="P2" s="1033"/>
      <c r="Q2" s="1033"/>
      <c r="R2" s="1033"/>
      <c r="S2" s="1033"/>
      <c r="T2" s="1033"/>
      <c r="U2" s="1033"/>
      <c r="V2" s="1033"/>
      <c r="W2" s="1033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16"/>
      <c r="CS2" s="16"/>
      <c r="CT2" s="16"/>
      <c r="CU2" s="16"/>
      <c r="CV2" s="16"/>
      <c r="CW2" s="16"/>
      <c r="CX2" s="16"/>
      <c r="CY2" s="16"/>
      <c r="CZ2" s="16"/>
      <c r="DA2" s="16"/>
      <c r="DB2" s="16"/>
      <c r="DC2" s="16"/>
      <c r="DD2" s="16"/>
      <c r="DE2" s="16"/>
      <c r="DF2" s="16"/>
      <c r="DG2" s="16"/>
      <c r="DH2" s="16"/>
      <c r="DI2" s="16"/>
      <c r="DJ2" s="16"/>
      <c r="DK2" s="16"/>
      <c r="DL2" s="16"/>
      <c r="DM2" s="16"/>
      <c r="DN2" s="16"/>
      <c r="DO2" s="16"/>
      <c r="DP2" s="16"/>
      <c r="DQ2" s="16"/>
      <c r="DR2" s="16"/>
      <c r="DS2" s="16"/>
      <c r="DT2" s="16"/>
      <c r="DU2" s="16"/>
      <c r="DV2" s="16"/>
      <c r="DW2" s="16"/>
      <c r="DX2" s="16"/>
      <c r="DY2" s="16"/>
      <c r="DZ2" s="16"/>
      <c r="EA2" s="16"/>
      <c r="EB2" s="16"/>
      <c r="EC2" s="16"/>
      <c r="ED2" s="16"/>
      <c r="EE2" s="16"/>
      <c r="EF2" s="16"/>
      <c r="EG2" s="16"/>
      <c r="EH2" s="16"/>
      <c r="EI2" s="16"/>
      <c r="EJ2" s="16"/>
      <c r="EK2" s="16"/>
      <c r="EL2" s="16"/>
      <c r="EM2" s="16"/>
      <c r="EN2" s="16"/>
      <c r="EO2" s="16"/>
      <c r="EP2" s="16"/>
      <c r="EQ2" s="16"/>
      <c r="ER2" s="16"/>
      <c r="ES2" s="16"/>
      <c r="ET2" s="16"/>
      <c r="EU2" s="16"/>
      <c r="EV2" s="16"/>
      <c r="EW2" s="16"/>
      <c r="EX2" s="16"/>
      <c r="EY2" s="16"/>
      <c r="EZ2" s="16"/>
      <c r="FA2" s="16"/>
      <c r="FB2" s="16"/>
      <c r="FC2" s="16"/>
      <c r="FD2" s="16"/>
      <c r="FE2" s="16"/>
      <c r="FF2" s="16"/>
      <c r="FG2" s="16"/>
      <c r="FH2" s="16"/>
      <c r="FI2" s="16"/>
      <c r="FJ2" s="16"/>
      <c r="FK2" s="16"/>
      <c r="FL2" s="16"/>
      <c r="FM2" s="16"/>
      <c r="FN2" s="16"/>
      <c r="FO2" s="16"/>
      <c r="FP2" s="16"/>
      <c r="FQ2" s="16"/>
      <c r="FR2" s="16"/>
      <c r="FS2" s="16"/>
      <c r="FT2" s="16"/>
      <c r="FU2" s="16"/>
      <c r="FV2" s="16"/>
      <c r="FW2" s="16"/>
      <c r="FX2" s="16"/>
      <c r="FY2" s="16"/>
      <c r="FZ2" s="16"/>
      <c r="GA2" s="16"/>
      <c r="GB2" s="16"/>
      <c r="GC2" s="16"/>
      <c r="GD2" s="16"/>
      <c r="GE2" s="16"/>
      <c r="GF2" s="16"/>
      <c r="GG2" s="16"/>
      <c r="GH2" s="16"/>
      <c r="GI2" s="16"/>
      <c r="GJ2" s="16"/>
      <c r="GK2" s="16"/>
      <c r="GL2" s="16"/>
      <c r="GM2" s="16"/>
      <c r="GN2" s="16"/>
      <c r="GO2" s="16"/>
      <c r="GP2" s="16"/>
      <c r="GQ2" s="16"/>
      <c r="GR2" s="16"/>
      <c r="GS2" s="16"/>
      <c r="GT2" s="16"/>
      <c r="GU2" s="16"/>
      <c r="GV2" s="16"/>
      <c r="GW2" s="16"/>
      <c r="GX2" s="16"/>
      <c r="GY2" s="16"/>
      <c r="GZ2" s="16"/>
      <c r="HA2" s="16"/>
      <c r="HB2" s="16"/>
      <c r="HC2" s="16"/>
      <c r="HD2" s="16"/>
      <c r="HE2" s="16"/>
      <c r="HF2" s="16"/>
      <c r="HG2" s="16"/>
      <c r="HH2" s="16"/>
      <c r="HI2" s="16"/>
      <c r="HJ2" s="16"/>
      <c r="HK2" s="16"/>
      <c r="HL2" s="16"/>
      <c r="HM2" s="16"/>
      <c r="HN2" s="16"/>
      <c r="HO2" s="16"/>
      <c r="HP2" s="16"/>
      <c r="HQ2" s="16"/>
      <c r="HR2" s="16"/>
      <c r="HS2" s="16"/>
      <c r="HT2" s="16"/>
      <c r="HU2" s="16"/>
      <c r="HV2" s="16"/>
      <c r="HW2" s="16"/>
      <c r="HX2" s="16"/>
      <c r="HY2" s="16"/>
      <c r="HZ2" s="16"/>
      <c r="IA2" s="16"/>
      <c r="IB2" s="16"/>
      <c r="IC2" s="16"/>
      <c r="ID2" s="16"/>
      <c r="IE2" s="16"/>
      <c r="IF2" s="16"/>
      <c r="IG2" s="16"/>
      <c r="IH2" s="16"/>
      <c r="II2" s="16"/>
      <c r="IJ2" s="16"/>
      <c r="IK2" s="16"/>
      <c r="IL2" s="16"/>
      <c r="IM2" s="16"/>
      <c r="IN2" s="16"/>
      <c r="IO2" s="16"/>
      <c r="IP2" s="16"/>
      <c r="IQ2" s="16"/>
      <c r="IR2" s="16"/>
      <c r="IS2" s="16"/>
      <c r="IT2" s="16"/>
      <c r="IU2" s="16"/>
    </row>
    <row r="3" spans="1:255" ht="15" customHeight="1">
      <c r="A3" s="1033" t="s">
        <v>1199</v>
      </c>
      <c r="B3" s="1033"/>
      <c r="C3" s="1033"/>
      <c r="D3" s="1033"/>
      <c r="E3" s="1033"/>
      <c r="F3" s="1033"/>
      <c r="G3" s="1033"/>
      <c r="H3" s="1033"/>
      <c r="I3" s="1033"/>
      <c r="J3" s="1033"/>
      <c r="K3" s="1033"/>
      <c r="L3" s="1033"/>
      <c r="M3" s="1033"/>
      <c r="N3" s="1033"/>
      <c r="O3" s="1033"/>
      <c r="P3" s="1033"/>
      <c r="Q3" s="1033"/>
      <c r="R3" s="1033"/>
      <c r="S3" s="1033"/>
      <c r="T3" s="1033"/>
      <c r="U3" s="1033"/>
      <c r="V3" s="1033"/>
      <c r="W3" s="1033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/>
      <c r="BC3" s="16"/>
      <c r="BD3" s="16"/>
      <c r="BE3" s="16"/>
      <c r="BF3" s="16"/>
      <c r="BG3" s="16"/>
      <c r="BH3" s="16"/>
      <c r="BI3" s="16"/>
      <c r="BJ3" s="16"/>
      <c r="BK3" s="16"/>
      <c r="BL3" s="16"/>
      <c r="BM3" s="16"/>
      <c r="BN3" s="16"/>
      <c r="BO3" s="16"/>
      <c r="BP3" s="16"/>
      <c r="BQ3" s="16"/>
      <c r="BR3" s="16"/>
      <c r="BS3" s="16"/>
      <c r="BT3" s="16"/>
      <c r="BU3" s="16"/>
      <c r="BV3" s="16"/>
      <c r="BW3" s="16"/>
      <c r="BX3" s="16"/>
      <c r="BY3" s="16"/>
      <c r="BZ3" s="16"/>
      <c r="CA3" s="16"/>
      <c r="CB3" s="16"/>
      <c r="CC3" s="16"/>
      <c r="CD3" s="16"/>
      <c r="CE3" s="16"/>
      <c r="CF3" s="16"/>
      <c r="CG3" s="16"/>
      <c r="CH3" s="16"/>
      <c r="CI3" s="16"/>
      <c r="CJ3" s="16"/>
      <c r="CK3" s="16"/>
      <c r="CL3" s="16"/>
      <c r="CM3" s="16"/>
      <c r="CN3" s="16"/>
      <c r="CO3" s="16"/>
      <c r="CP3" s="16"/>
      <c r="CQ3" s="16"/>
      <c r="CR3" s="16"/>
      <c r="CS3" s="16"/>
      <c r="CT3" s="16"/>
      <c r="CU3" s="16"/>
      <c r="CV3" s="16"/>
      <c r="CW3" s="16"/>
      <c r="CX3" s="16"/>
      <c r="CY3" s="16"/>
      <c r="CZ3" s="16"/>
      <c r="DA3" s="16"/>
      <c r="DB3" s="16"/>
      <c r="DC3" s="16"/>
      <c r="DD3" s="16"/>
      <c r="DE3" s="16"/>
      <c r="DF3" s="16"/>
      <c r="DG3" s="16"/>
      <c r="DH3" s="16"/>
      <c r="DI3" s="16"/>
      <c r="DJ3" s="16"/>
      <c r="DK3" s="16"/>
      <c r="DL3" s="16"/>
      <c r="DM3" s="16"/>
      <c r="DN3" s="16"/>
      <c r="DO3" s="16"/>
      <c r="DP3" s="16"/>
      <c r="DQ3" s="16"/>
      <c r="DR3" s="16"/>
      <c r="DS3" s="16"/>
      <c r="DT3" s="16"/>
      <c r="DU3" s="16"/>
      <c r="DV3" s="16"/>
      <c r="DW3" s="16"/>
      <c r="DX3" s="16"/>
      <c r="DY3" s="16"/>
      <c r="DZ3" s="16"/>
      <c r="EA3" s="16"/>
      <c r="EB3" s="16"/>
      <c r="EC3" s="16"/>
      <c r="ED3" s="16"/>
      <c r="EE3" s="16"/>
      <c r="EF3" s="16"/>
      <c r="EG3" s="16"/>
      <c r="EH3" s="16"/>
      <c r="EI3" s="16"/>
      <c r="EJ3" s="16"/>
      <c r="EK3" s="16"/>
      <c r="EL3" s="16"/>
      <c r="EM3" s="16"/>
      <c r="EN3" s="16"/>
      <c r="EO3" s="16"/>
      <c r="EP3" s="16"/>
      <c r="EQ3" s="16"/>
      <c r="ER3" s="16"/>
      <c r="ES3" s="16"/>
      <c r="ET3" s="16"/>
      <c r="EU3" s="16"/>
      <c r="EV3" s="16"/>
      <c r="EW3" s="16"/>
      <c r="EX3" s="16"/>
      <c r="EY3" s="16"/>
      <c r="EZ3" s="16"/>
      <c r="FA3" s="16"/>
      <c r="FB3" s="16"/>
      <c r="FC3" s="16"/>
      <c r="FD3" s="16"/>
      <c r="FE3" s="16"/>
      <c r="FF3" s="16"/>
      <c r="FG3" s="16"/>
      <c r="FH3" s="16"/>
      <c r="FI3" s="16"/>
      <c r="FJ3" s="16"/>
      <c r="FK3" s="16"/>
      <c r="FL3" s="16"/>
      <c r="FM3" s="16"/>
      <c r="FN3" s="16"/>
      <c r="FO3" s="16"/>
      <c r="FP3" s="16"/>
      <c r="FQ3" s="16"/>
      <c r="FR3" s="16"/>
      <c r="FS3" s="16"/>
      <c r="FT3" s="16"/>
      <c r="FU3" s="16"/>
      <c r="FV3" s="16"/>
      <c r="FW3" s="16"/>
      <c r="FX3" s="16"/>
      <c r="FY3" s="16"/>
      <c r="FZ3" s="16"/>
      <c r="GA3" s="16"/>
      <c r="GB3" s="16"/>
      <c r="GC3" s="16"/>
      <c r="GD3" s="16"/>
      <c r="GE3" s="16"/>
      <c r="GF3" s="16"/>
      <c r="GG3" s="16"/>
      <c r="GH3" s="16"/>
      <c r="GI3" s="16"/>
      <c r="GJ3" s="16"/>
      <c r="GK3" s="16"/>
      <c r="GL3" s="16"/>
      <c r="GM3" s="16"/>
      <c r="GN3" s="16"/>
      <c r="GO3" s="16"/>
      <c r="GP3" s="16"/>
      <c r="GQ3" s="16"/>
      <c r="GR3" s="16"/>
      <c r="GS3" s="16"/>
      <c r="GT3" s="16"/>
      <c r="GU3" s="16"/>
      <c r="GV3" s="16"/>
      <c r="GW3" s="16"/>
      <c r="GX3" s="16"/>
      <c r="GY3" s="16"/>
      <c r="GZ3" s="16"/>
      <c r="HA3" s="16"/>
      <c r="HB3" s="16"/>
      <c r="HC3" s="16"/>
      <c r="HD3" s="16"/>
      <c r="HE3" s="16"/>
      <c r="HF3" s="16"/>
      <c r="HG3" s="16"/>
      <c r="HH3" s="16"/>
      <c r="HI3" s="16"/>
      <c r="HJ3" s="16"/>
      <c r="HK3" s="16"/>
      <c r="HL3" s="16"/>
      <c r="HM3" s="16"/>
      <c r="HN3" s="16"/>
      <c r="HO3" s="16"/>
      <c r="HP3" s="16"/>
      <c r="HQ3" s="16"/>
      <c r="HR3" s="16"/>
      <c r="HS3" s="16"/>
      <c r="HT3" s="16"/>
      <c r="HU3" s="16"/>
      <c r="HV3" s="16"/>
      <c r="HW3" s="16"/>
      <c r="HX3" s="16"/>
      <c r="HY3" s="16"/>
      <c r="HZ3" s="16"/>
      <c r="IA3" s="16"/>
      <c r="IB3" s="16"/>
      <c r="IC3" s="16"/>
      <c r="ID3" s="16"/>
      <c r="IE3" s="16"/>
      <c r="IF3" s="16"/>
      <c r="IG3" s="16"/>
      <c r="IH3" s="16"/>
      <c r="II3" s="16"/>
      <c r="IJ3" s="16"/>
      <c r="IK3" s="16"/>
      <c r="IL3" s="16"/>
      <c r="IM3" s="16"/>
      <c r="IN3" s="16"/>
      <c r="IO3" s="16"/>
      <c r="IP3" s="16"/>
      <c r="IQ3" s="16"/>
      <c r="IR3" s="16"/>
      <c r="IS3" s="16"/>
      <c r="IT3" s="16"/>
      <c r="IU3" s="16"/>
    </row>
    <row r="4" spans="1:255" ht="15" customHeight="1">
      <c r="A4" s="1033"/>
      <c r="B4" s="1033"/>
      <c r="C4" s="1033"/>
      <c r="D4" s="1033"/>
      <c r="E4" s="1033"/>
      <c r="F4" s="1033"/>
      <c r="G4" s="1033"/>
      <c r="H4" s="1033"/>
      <c r="I4" s="1033"/>
      <c r="J4" s="1033"/>
      <c r="K4" s="1033"/>
      <c r="L4" s="1033"/>
      <c r="M4" s="1033"/>
      <c r="N4" s="1033"/>
      <c r="O4" s="1033"/>
      <c r="P4" s="1033"/>
      <c r="Q4" s="1033"/>
      <c r="R4" s="1033"/>
      <c r="S4" s="1033"/>
      <c r="T4" s="1033"/>
      <c r="U4" s="1033"/>
      <c r="V4" s="1033"/>
      <c r="W4" s="1033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6"/>
      <c r="DB4" s="16"/>
      <c r="DC4" s="16"/>
      <c r="DD4" s="16"/>
      <c r="DE4" s="16"/>
      <c r="DF4" s="16"/>
      <c r="DG4" s="16"/>
      <c r="DH4" s="16"/>
      <c r="DI4" s="16"/>
      <c r="DJ4" s="16"/>
      <c r="DK4" s="16"/>
      <c r="DL4" s="16"/>
      <c r="DM4" s="16"/>
      <c r="DN4" s="16"/>
      <c r="DO4" s="16"/>
      <c r="DP4" s="16"/>
      <c r="DQ4" s="16"/>
      <c r="DR4" s="16"/>
      <c r="DS4" s="16"/>
      <c r="DT4" s="16"/>
      <c r="DU4" s="16"/>
      <c r="DV4" s="16"/>
      <c r="DW4" s="16"/>
      <c r="DX4" s="16"/>
      <c r="DY4" s="16"/>
      <c r="DZ4" s="16"/>
      <c r="EA4" s="16"/>
      <c r="EB4" s="16"/>
      <c r="EC4" s="16"/>
      <c r="ED4" s="16"/>
      <c r="EE4" s="16"/>
      <c r="EF4" s="16"/>
      <c r="EG4" s="16"/>
      <c r="EH4" s="16"/>
      <c r="EI4" s="16"/>
      <c r="EJ4" s="16"/>
      <c r="EK4" s="16"/>
      <c r="EL4" s="16"/>
      <c r="EM4" s="16"/>
      <c r="EN4" s="16"/>
      <c r="EO4" s="16"/>
      <c r="EP4" s="16"/>
      <c r="EQ4" s="16"/>
      <c r="ER4" s="16"/>
      <c r="ES4" s="16"/>
      <c r="ET4" s="16"/>
      <c r="EU4" s="16"/>
      <c r="EV4" s="16"/>
      <c r="EW4" s="16"/>
      <c r="EX4" s="16"/>
      <c r="EY4" s="16"/>
      <c r="EZ4" s="16"/>
      <c r="FA4" s="16"/>
      <c r="FB4" s="16"/>
      <c r="FC4" s="16"/>
      <c r="FD4" s="16"/>
      <c r="FE4" s="16"/>
      <c r="FF4" s="16"/>
      <c r="FG4" s="16"/>
      <c r="FH4" s="16"/>
      <c r="FI4" s="16"/>
      <c r="FJ4" s="16"/>
      <c r="FK4" s="16"/>
      <c r="FL4" s="16"/>
      <c r="FM4" s="16"/>
      <c r="FN4" s="16"/>
      <c r="FO4" s="16"/>
      <c r="FP4" s="16"/>
      <c r="FQ4" s="16"/>
      <c r="FR4" s="16"/>
      <c r="FS4" s="16"/>
      <c r="FT4" s="16"/>
      <c r="FU4" s="16"/>
      <c r="FV4" s="16"/>
      <c r="FW4" s="16"/>
      <c r="FX4" s="16"/>
      <c r="FY4" s="16"/>
      <c r="FZ4" s="16"/>
      <c r="GA4" s="16"/>
      <c r="GB4" s="16"/>
      <c r="GC4" s="16"/>
      <c r="GD4" s="16"/>
      <c r="GE4" s="16"/>
      <c r="GF4" s="16"/>
      <c r="GG4" s="16"/>
      <c r="GH4" s="16"/>
      <c r="GI4" s="16"/>
      <c r="GJ4" s="16"/>
      <c r="GK4" s="16"/>
      <c r="GL4" s="16"/>
      <c r="GM4" s="16"/>
      <c r="GN4" s="16"/>
      <c r="GO4" s="16"/>
      <c r="GP4" s="16"/>
      <c r="GQ4" s="16"/>
      <c r="GR4" s="16"/>
      <c r="GS4" s="16"/>
      <c r="GT4" s="16"/>
      <c r="GU4" s="16"/>
      <c r="GV4" s="16"/>
      <c r="GW4" s="16"/>
      <c r="GX4" s="16"/>
      <c r="GY4" s="16"/>
      <c r="GZ4" s="16"/>
      <c r="HA4" s="16"/>
      <c r="HB4" s="16"/>
      <c r="HC4" s="16"/>
      <c r="HD4" s="16"/>
      <c r="HE4" s="16"/>
      <c r="HF4" s="16"/>
      <c r="HG4" s="16"/>
      <c r="HH4" s="16"/>
      <c r="HI4" s="16"/>
      <c r="HJ4" s="16"/>
      <c r="HK4" s="16"/>
      <c r="HL4" s="16"/>
      <c r="HM4" s="16"/>
      <c r="HN4" s="16"/>
      <c r="HO4" s="16"/>
      <c r="HP4" s="16"/>
      <c r="HQ4" s="16"/>
      <c r="HR4" s="16"/>
      <c r="HS4" s="16"/>
      <c r="HT4" s="16"/>
      <c r="HU4" s="16"/>
      <c r="HV4" s="16"/>
      <c r="HW4" s="16"/>
      <c r="HX4" s="16"/>
      <c r="HY4" s="16"/>
      <c r="HZ4" s="16"/>
      <c r="IA4" s="16"/>
      <c r="IB4" s="16"/>
      <c r="IC4" s="16"/>
      <c r="ID4" s="16"/>
      <c r="IE4" s="16"/>
      <c r="IF4" s="16"/>
      <c r="IG4" s="16"/>
      <c r="IH4" s="16"/>
      <c r="II4" s="16"/>
      <c r="IJ4" s="16"/>
      <c r="IK4" s="16"/>
      <c r="IL4" s="16"/>
      <c r="IM4" s="16"/>
      <c r="IN4" s="16"/>
      <c r="IO4" s="16"/>
      <c r="IP4" s="16"/>
      <c r="IQ4" s="16"/>
      <c r="IR4" s="16"/>
      <c r="IS4" s="16"/>
      <c r="IT4" s="16"/>
      <c r="IU4" s="16"/>
    </row>
    <row r="5" spans="1:255" ht="15.75" customHeight="1" thickBot="1">
      <c r="A5" s="1033" t="s">
        <v>1221</v>
      </c>
      <c r="B5" s="1033"/>
      <c r="C5" s="1033"/>
      <c r="D5" s="1033"/>
      <c r="E5" s="1033"/>
      <c r="F5" s="1033"/>
      <c r="G5" s="1033"/>
      <c r="H5" s="1033"/>
      <c r="I5" s="1033"/>
      <c r="J5" s="1033"/>
      <c r="K5" s="1033"/>
      <c r="L5" s="1033"/>
      <c r="M5" s="1033"/>
      <c r="N5" s="1033"/>
      <c r="O5" s="1033"/>
      <c r="P5" s="1033"/>
      <c r="Q5" s="1033"/>
      <c r="R5" s="1033"/>
      <c r="S5" s="1033"/>
      <c r="T5" s="1033"/>
      <c r="U5" s="1033"/>
      <c r="V5" s="1033"/>
      <c r="W5" s="1033"/>
    </row>
    <row r="6" spans="1:255" ht="27.75" customHeight="1" thickBot="1">
      <c r="A6" s="1413"/>
      <c r="B6" s="1414"/>
      <c r="C6" s="1415"/>
      <c r="D6" s="1419" t="s">
        <v>207</v>
      </c>
      <c r="E6" s="1420"/>
      <c r="F6" s="1420"/>
      <c r="G6" s="1420"/>
      <c r="H6" s="1420"/>
      <c r="I6" s="1420"/>
      <c r="J6" s="1420"/>
      <c r="K6" s="1420"/>
      <c r="L6" s="1420"/>
      <c r="M6" s="1420"/>
      <c r="N6" s="1420"/>
      <c r="O6" s="1420"/>
      <c r="P6" s="1420"/>
      <c r="Q6" s="1420"/>
      <c r="R6" s="1420"/>
      <c r="S6" s="1420"/>
      <c r="T6" s="1420"/>
      <c r="U6" s="1420"/>
      <c r="V6" s="1420"/>
      <c r="W6" s="1421"/>
      <c r="Y6" s="1422" t="s">
        <v>1196</v>
      </c>
      <c r="Z6" s="1423"/>
      <c r="AA6" s="1410" t="s">
        <v>356</v>
      </c>
      <c r="AB6" s="1411"/>
      <c r="AC6" s="1411"/>
      <c r="AD6" s="1411"/>
      <c r="AE6" s="1411"/>
      <c r="AF6" s="1411"/>
      <c r="AG6" s="1411"/>
      <c r="AH6" s="1411"/>
      <c r="AI6" s="1411"/>
      <c r="AJ6" s="1411"/>
      <c r="AK6" s="1411"/>
      <c r="AL6" s="1411"/>
      <c r="AM6" s="1411"/>
      <c r="AN6" s="1411"/>
      <c r="AO6" s="1411"/>
      <c r="AP6" s="1411"/>
      <c r="AQ6" s="1411"/>
      <c r="AR6" s="1411"/>
      <c r="AS6" s="1411"/>
      <c r="AT6" s="1412"/>
    </row>
    <row r="7" spans="1:255" ht="14.25" customHeight="1" thickBot="1">
      <c r="A7" s="1416"/>
      <c r="B7" s="1417"/>
      <c r="C7" s="1418"/>
      <c r="D7" s="883">
        <v>0.3</v>
      </c>
      <c r="E7" s="884">
        <v>0.4</v>
      </c>
      <c r="F7" s="884">
        <v>0.5</v>
      </c>
      <c r="G7" s="884">
        <v>0.6</v>
      </c>
      <c r="H7" s="884">
        <v>0.7</v>
      </c>
      <c r="I7" s="884">
        <v>0.8</v>
      </c>
      <c r="J7" s="884">
        <v>0.9</v>
      </c>
      <c r="K7" s="884">
        <v>1</v>
      </c>
      <c r="L7" s="884">
        <v>1.1000000000000001</v>
      </c>
      <c r="M7" s="884">
        <v>1.2</v>
      </c>
      <c r="N7" s="884">
        <v>1.3</v>
      </c>
      <c r="O7" s="884">
        <v>1.4</v>
      </c>
      <c r="P7" s="884">
        <v>1.5</v>
      </c>
      <c r="Q7" s="884">
        <v>1.6</v>
      </c>
      <c r="R7" s="884">
        <v>1.7</v>
      </c>
      <c r="S7" s="884">
        <v>1.8</v>
      </c>
      <c r="T7" s="884">
        <v>1.9</v>
      </c>
      <c r="U7" s="884">
        <v>2</v>
      </c>
      <c r="V7" s="884">
        <v>2.1</v>
      </c>
      <c r="W7" s="885">
        <v>2.2000000000000002</v>
      </c>
      <c r="Y7" s="1424"/>
      <c r="Z7" s="1425"/>
      <c r="AA7" s="649">
        <v>0.3</v>
      </c>
      <c r="AB7" s="649">
        <v>0.4</v>
      </c>
      <c r="AC7" s="649">
        <v>0.5</v>
      </c>
      <c r="AD7" s="649">
        <v>0.6</v>
      </c>
      <c r="AE7" s="649">
        <v>0.7</v>
      </c>
      <c r="AF7" s="649">
        <v>0.8</v>
      </c>
      <c r="AG7" s="649">
        <v>0.9</v>
      </c>
      <c r="AH7" s="649">
        <v>1</v>
      </c>
      <c r="AI7" s="649">
        <v>1.1000000000000001</v>
      </c>
      <c r="AJ7" s="649">
        <v>1.2</v>
      </c>
      <c r="AK7" s="649">
        <v>1.3</v>
      </c>
      <c r="AL7" s="649">
        <v>1.4</v>
      </c>
      <c r="AM7" s="649">
        <v>1.5</v>
      </c>
      <c r="AN7" s="649">
        <v>1.6</v>
      </c>
      <c r="AO7" s="649">
        <v>1.7</v>
      </c>
      <c r="AP7" s="649">
        <v>1.8</v>
      </c>
      <c r="AQ7" s="649">
        <v>1.9</v>
      </c>
      <c r="AR7" s="649">
        <v>2</v>
      </c>
      <c r="AS7" s="649">
        <v>2.1</v>
      </c>
      <c r="AT7" s="649">
        <v>2.2000000000000002</v>
      </c>
    </row>
    <row r="8" spans="1:255" ht="20.25" customHeight="1">
      <c r="A8" s="1426" t="s">
        <v>3</v>
      </c>
      <c r="B8" s="1427"/>
      <c r="C8" s="886">
        <v>0.2</v>
      </c>
      <c r="D8" s="899">
        <f>(AA8*KFC!$B$16+KFC!$C$16)*KFC!$C$5</f>
        <v>22.663157831279999</v>
      </c>
      <c r="E8" s="900">
        <f>(AB8*KFC!$B$16+KFC!$C$16)*KFC!$C$5</f>
        <v>24.467624585230258</v>
      </c>
      <c r="F8" s="900">
        <f>(AC8*KFC!$B$16+KFC!$C$16)*KFC!$C$5</f>
        <v>26.272091339180523</v>
      </c>
      <c r="G8" s="900">
        <f>(AD8*KFC!$B$16+KFC!$C$16)*KFC!$C$5</f>
        <v>28.076558093130785</v>
      </c>
      <c r="H8" s="900">
        <f>(AE8*KFC!$B$16+KFC!$C$16)*KFC!$C$5</f>
        <v>29.881024847081054</v>
      </c>
      <c r="I8" s="900">
        <f>(AF8*KFC!$B$16+KFC!$C$16)*KFC!$C$5</f>
        <v>31.68549160103132</v>
      </c>
      <c r="J8" s="900">
        <f>(AG8*KFC!$B$16+KFC!$C$16)*KFC!$C$5</f>
        <v>33.489958354981582</v>
      </c>
      <c r="K8" s="900">
        <f>(AH8*KFC!$B$16+KFC!$C$16)*KFC!$C$5</f>
        <v>35.294425108931847</v>
      </c>
      <c r="L8" s="900">
        <f>(AI8*KFC!$B$16+KFC!$C$16)*KFC!$C$5</f>
        <v>37.098891862882112</v>
      </c>
      <c r="M8" s="900">
        <f>(AJ8*KFC!$B$16+KFC!$C$16)*KFC!$C$5</f>
        <v>38.903358616832378</v>
      </c>
      <c r="N8" s="900">
        <f>(AK8*KFC!$B$16+KFC!$C$16)*KFC!$C$5</f>
        <v>40.707825370782643</v>
      </c>
      <c r="O8" s="900">
        <f>(AL8*KFC!$B$16+KFC!$C$16)*KFC!$C$5</f>
        <v>42.512292124732909</v>
      </c>
      <c r="P8" s="900">
        <f>(AM8*KFC!$B$16+KFC!$C$16)*KFC!$C$5</f>
        <v>44.316758878683174</v>
      </c>
      <c r="Q8" s="900">
        <f>(AN8*KFC!$B$16+KFC!$C$16)*KFC!$C$5</f>
        <v>46.121225632633433</v>
      </c>
      <c r="R8" s="900">
        <f>(AO8*KFC!$B$16+KFC!$C$16)*KFC!$C$5</f>
        <v>47.925692386583698</v>
      </c>
      <c r="S8" s="900">
        <f>(AP8*KFC!$B$16+KFC!$C$16)*KFC!$C$5</f>
        <v>49.730159140533964</v>
      </c>
      <c r="T8" s="900">
        <f>(AQ8*KFC!$B$16+KFC!$C$16)*KFC!$C$5</f>
        <v>51.534625894484229</v>
      </c>
      <c r="U8" s="900">
        <f>(AR8*KFC!$B$16+KFC!$C$16)*KFC!$C$5</f>
        <v>53.339092648434494</v>
      </c>
      <c r="V8" s="900">
        <f>(AS8*KFC!$B$16+KFC!$C$16)*KFC!$C$5</f>
        <v>55.143559402384753</v>
      </c>
      <c r="W8" s="901">
        <f>(AT8*KFC!$B$16+KFC!$C$16)*KFC!$C$5</f>
        <v>56.948026156335004</v>
      </c>
      <c r="Y8" s="1430" t="s">
        <v>357</v>
      </c>
      <c r="Z8" s="649">
        <v>0.2</v>
      </c>
      <c r="AA8" s="882">
        <v>22.663157831279999</v>
      </c>
      <c r="AB8" s="882">
        <v>24.467624585230258</v>
      </c>
      <c r="AC8" s="882">
        <v>26.272091339180523</v>
      </c>
      <c r="AD8" s="882">
        <v>28.076558093130785</v>
      </c>
      <c r="AE8" s="882">
        <v>29.881024847081054</v>
      </c>
      <c r="AF8" s="882">
        <v>31.68549160103132</v>
      </c>
      <c r="AG8" s="882">
        <v>33.489958354981582</v>
      </c>
      <c r="AH8" s="882">
        <v>35.294425108931847</v>
      </c>
      <c r="AI8" s="882">
        <v>37.098891862882112</v>
      </c>
      <c r="AJ8" s="882">
        <v>38.903358616832378</v>
      </c>
      <c r="AK8" s="882">
        <v>40.707825370782643</v>
      </c>
      <c r="AL8" s="882">
        <v>42.512292124732909</v>
      </c>
      <c r="AM8" s="882">
        <v>44.316758878683174</v>
      </c>
      <c r="AN8" s="882">
        <v>46.121225632633433</v>
      </c>
      <c r="AO8" s="882">
        <v>47.925692386583698</v>
      </c>
      <c r="AP8" s="882">
        <v>49.730159140533964</v>
      </c>
      <c r="AQ8" s="882">
        <v>51.534625894484229</v>
      </c>
      <c r="AR8" s="882">
        <v>53.339092648434494</v>
      </c>
      <c r="AS8" s="882">
        <v>55.143559402384753</v>
      </c>
      <c r="AT8" s="882">
        <v>56.948026156335004</v>
      </c>
    </row>
    <row r="9" spans="1:255" ht="14.4" customHeight="1">
      <c r="A9" s="1426"/>
      <c r="B9" s="1427"/>
      <c r="C9" s="887">
        <v>0.3</v>
      </c>
      <c r="D9" s="902">
        <f>(AA9*KFC!$B$16+KFC!$C$16)*KFC!$C$5</f>
        <v>23.142039408886497</v>
      </c>
      <c r="E9" s="898">
        <f>(AB9*KFC!$B$16+KFC!$C$16)*KFC!$C$5</f>
        <v>25.053348267800761</v>
      </c>
      <c r="F9" s="898">
        <f>(AC9*KFC!$B$16+KFC!$C$16)*KFC!$C$5</f>
        <v>26.964657126715021</v>
      </c>
      <c r="G9" s="898">
        <f>(AD9*KFC!$B$16+KFC!$C$16)*KFC!$C$5</f>
        <v>28.875965985629286</v>
      </c>
      <c r="H9" s="898">
        <f>(AE9*KFC!$B$16+KFC!$C$16)*KFC!$C$5</f>
        <v>30.78727484454355</v>
      </c>
      <c r="I9" s="898">
        <f>(AF9*KFC!$B$16+KFC!$C$16)*KFC!$C$5</f>
        <v>32.698583703457814</v>
      </c>
      <c r="J9" s="898">
        <f>(AG9*KFC!$B$16+KFC!$C$16)*KFC!$C$5</f>
        <v>34.609892562372075</v>
      </c>
      <c r="K9" s="898">
        <f>(AH9*KFC!$B$16+KFC!$C$16)*KFC!$C$5</f>
        <v>36.521201421286342</v>
      </c>
      <c r="L9" s="898">
        <f>(AI9*KFC!$B$16+KFC!$C$16)*KFC!$C$5</f>
        <v>38.43251028020061</v>
      </c>
      <c r="M9" s="898">
        <f>(AJ9*KFC!$B$16+KFC!$C$16)*KFC!$C$5</f>
        <v>40.343819139114878</v>
      </c>
      <c r="N9" s="898">
        <f>(AK9*KFC!$B$16+KFC!$C$16)*KFC!$C$5</f>
        <v>42.255127998029145</v>
      </c>
      <c r="O9" s="898">
        <f>(AL9*KFC!$B$16+KFC!$C$16)*KFC!$C$5</f>
        <v>44.166436856943399</v>
      </c>
      <c r="P9" s="898">
        <f>(AM9*KFC!$B$16+KFC!$C$16)*KFC!$C$5</f>
        <v>46.077745715857681</v>
      </c>
      <c r="Q9" s="898">
        <f>(AN9*KFC!$B$16+KFC!$C$16)*KFC!$C$5</f>
        <v>47.989054574771934</v>
      </c>
      <c r="R9" s="898">
        <f>(AO9*KFC!$B$16+KFC!$C$16)*KFC!$C$5</f>
        <v>49.900363433686202</v>
      </c>
      <c r="S9" s="898">
        <f>(AP9*KFC!$B$16+KFC!$C$16)*KFC!$C$5</f>
        <v>51.81167229260047</v>
      </c>
      <c r="T9" s="898">
        <f>(AQ9*KFC!$B$16+KFC!$C$16)*KFC!$C$5</f>
        <v>53.722981151514738</v>
      </c>
      <c r="U9" s="898">
        <f>(AR9*KFC!$B$16+KFC!$C$16)*KFC!$C$5</f>
        <v>55.634290010429005</v>
      </c>
      <c r="V9" s="898">
        <f>(AS9*KFC!$B$16+KFC!$C$16)*KFC!$C$5</f>
        <v>57.545598869343273</v>
      </c>
      <c r="W9" s="903">
        <f>(AT9*KFC!$B$16+KFC!$C$16)*KFC!$C$5</f>
        <v>59.456907728257505</v>
      </c>
      <c r="Y9" s="1431"/>
      <c r="Z9" s="649">
        <v>0.3</v>
      </c>
      <c r="AA9" s="882">
        <v>23.142039408886497</v>
      </c>
      <c r="AB9" s="882">
        <v>25.053348267800761</v>
      </c>
      <c r="AC9" s="882">
        <v>26.964657126715021</v>
      </c>
      <c r="AD9" s="882">
        <v>28.875965985629286</v>
      </c>
      <c r="AE9" s="882">
        <v>30.78727484454355</v>
      </c>
      <c r="AF9" s="882">
        <v>32.698583703457814</v>
      </c>
      <c r="AG9" s="882">
        <v>34.609892562372075</v>
      </c>
      <c r="AH9" s="882">
        <v>36.521201421286342</v>
      </c>
      <c r="AI9" s="882">
        <v>38.43251028020061</v>
      </c>
      <c r="AJ9" s="882">
        <v>40.343819139114878</v>
      </c>
      <c r="AK9" s="882">
        <v>42.255127998029145</v>
      </c>
      <c r="AL9" s="882">
        <v>44.166436856943399</v>
      </c>
      <c r="AM9" s="882">
        <v>46.077745715857681</v>
      </c>
      <c r="AN9" s="882">
        <v>47.989054574771934</v>
      </c>
      <c r="AO9" s="882">
        <v>49.900363433686202</v>
      </c>
      <c r="AP9" s="882">
        <v>51.81167229260047</v>
      </c>
      <c r="AQ9" s="882">
        <v>53.722981151514738</v>
      </c>
      <c r="AR9" s="882">
        <v>55.634290010429005</v>
      </c>
      <c r="AS9" s="882">
        <v>57.545598869343273</v>
      </c>
      <c r="AT9" s="882">
        <v>59.456907728257505</v>
      </c>
    </row>
    <row r="10" spans="1:255">
      <c r="A10" s="1426"/>
      <c r="B10" s="1427"/>
      <c r="C10" s="887">
        <v>0.4</v>
      </c>
      <c r="D10" s="902">
        <f>(AA10*KFC!$B$16+KFC!$C$16)*KFC!$C$5</f>
        <v>23.62092098649299</v>
      </c>
      <c r="E10" s="898">
        <f>(AB10*KFC!$B$16+KFC!$C$16)*KFC!$C$5</f>
        <v>25.639071950371257</v>
      </c>
      <c r="F10" s="898">
        <f>(AC10*KFC!$B$16+KFC!$C$16)*KFC!$C$5</f>
        <v>27.657222914249523</v>
      </c>
      <c r="G10" s="898">
        <f>(AD10*KFC!$B$16+KFC!$C$16)*KFC!$C$5</f>
        <v>29.67537387812779</v>
      </c>
      <c r="H10" s="898">
        <f>(AE10*KFC!$B$16+KFC!$C$16)*KFC!$C$5</f>
        <v>31.693524842006056</v>
      </c>
      <c r="I10" s="898">
        <f>(AF10*KFC!$B$16+KFC!$C$16)*KFC!$C$5</f>
        <v>33.711675805884319</v>
      </c>
      <c r="J10" s="898">
        <f>(AG10*KFC!$B$16+KFC!$C$16)*KFC!$C$5</f>
        <v>35.729826769762582</v>
      </c>
      <c r="K10" s="898">
        <f>(AH10*KFC!$B$16+KFC!$C$16)*KFC!$C$5</f>
        <v>37.747977733640852</v>
      </c>
      <c r="L10" s="898">
        <f>(AI10*KFC!$B$16+KFC!$C$16)*KFC!$C$5</f>
        <v>39.766128697519115</v>
      </c>
      <c r="M10" s="898">
        <f>(AJ10*KFC!$B$16+KFC!$C$16)*KFC!$C$5</f>
        <v>41.78427966139737</v>
      </c>
      <c r="N10" s="898">
        <f>(AK10*KFC!$B$16+KFC!$C$16)*KFC!$C$5</f>
        <v>43.802430625275633</v>
      </c>
      <c r="O10" s="898">
        <f>(AL10*KFC!$B$16+KFC!$C$16)*KFC!$C$5</f>
        <v>45.820581589153896</v>
      </c>
      <c r="P10" s="898">
        <f>(AM10*KFC!$B$16+KFC!$C$16)*KFC!$C$5</f>
        <v>47.838732553032159</v>
      </c>
      <c r="Q10" s="898">
        <f>(AN10*KFC!$B$16+KFC!$C$16)*KFC!$C$5</f>
        <v>49.856883516910422</v>
      </c>
      <c r="R10" s="898">
        <f>(AO10*KFC!$B$16+KFC!$C$16)*KFC!$C$5</f>
        <v>51.875034480788678</v>
      </c>
      <c r="S10" s="898">
        <f>(AP10*KFC!$B$16+KFC!$C$16)*KFC!$C$5</f>
        <v>53.89318544466694</v>
      </c>
      <c r="T10" s="898">
        <f>(AQ10*KFC!$B$16+KFC!$C$16)*KFC!$C$5</f>
        <v>55.911336408545203</v>
      </c>
      <c r="U10" s="898">
        <f>(AR10*KFC!$B$16+KFC!$C$16)*KFC!$C$5</f>
        <v>57.929487372423466</v>
      </c>
      <c r="V10" s="898">
        <f>(AS10*KFC!$B$16+KFC!$C$16)*KFC!$C$5</f>
        <v>59.947638336301729</v>
      </c>
      <c r="W10" s="903">
        <f>(AT10*KFC!$B$16+KFC!$C$16)*KFC!$C$5</f>
        <v>61.965789300179999</v>
      </c>
      <c r="Y10" s="1431"/>
      <c r="Z10" s="649">
        <v>0.4</v>
      </c>
      <c r="AA10" s="882">
        <v>23.62092098649299</v>
      </c>
      <c r="AB10" s="882">
        <v>25.639071950371257</v>
      </c>
      <c r="AC10" s="882">
        <v>27.657222914249523</v>
      </c>
      <c r="AD10" s="882">
        <v>29.67537387812779</v>
      </c>
      <c r="AE10" s="882">
        <v>31.693524842006056</v>
      </c>
      <c r="AF10" s="882">
        <v>33.711675805884319</v>
      </c>
      <c r="AG10" s="882">
        <v>35.729826769762582</v>
      </c>
      <c r="AH10" s="882">
        <v>37.747977733640852</v>
      </c>
      <c r="AI10" s="882">
        <v>39.766128697519115</v>
      </c>
      <c r="AJ10" s="882">
        <v>41.78427966139737</v>
      </c>
      <c r="AK10" s="882">
        <v>43.802430625275633</v>
      </c>
      <c r="AL10" s="882">
        <v>45.820581589153896</v>
      </c>
      <c r="AM10" s="882">
        <v>47.838732553032159</v>
      </c>
      <c r="AN10" s="882">
        <v>49.856883516910422</v>
      </c>
      <c r="AO10" s="882">
        <v>51.875034480788678</v>
      </c>
      <c r="AP10" s="882">
        <v>53.89318544466694</v>
      </c>
      <c r="AQ10" s="882">
        <v>55.911336408545203</v>
      </c>
      <c r="AR10" s="882">
        <v>57.929487372423466</v>
      </c>
      <c r="AS10" s="882">
        <v>59.947638336301729</v>
      </c>
      <c r="AT10" s="882">
        <v>61.965789300179999</v>
      </c>
    </row>
    <row r="11" spans="1:255">
      <c r="A11" s="1426"/>
      <c r="B11" s="1427"/>
      <c r="C11" s="887">
        <v>0.5</v>
      </c>
      <c r="D11" s="902">
        <f>(AA11*KFC!$B$16+KFC!$C$16)*KFC!$C$5</f>
        <v>24.099802564099495</v>
      </c>
      <c r="E11" s="898">
        <f>(AB11*KFC!$B$16+KFC!$C$16)*KFC!$C$5</f>
        <v>26.224795632941756</v>
      </c>
      <c r="F11" s="898">
        <f>(AC11*KFC!$B$16+KFC!$C$16)*KFC!$C$5</f>
        <v>28.349788701784021</v>
      </c>
      <c r="G11" s="898">
        <f>(AD11*KFC!$B$16+KFC!$C$16)*KFC!$C$5</f>
        <v>30.474781770626279</v>
      </c>
      <c r="H11" s="898">
        <f>(AE11*KFC!$B$16+KFC!$C$16)*KFC!$C$5</f>
        <v>32.599774839468544</v>
      </c>
      <c r="I11" s="898">
        <f>(AF11*KFC!$B$16+KFC!$C$16)*KFC!$C$5</f>
        <v>34.72476790831081</v>
      </c>
      <c r="J11" s="898">
        <f>(AG11*KFC!$B$16+KFC!$C$16)*KFC!$C$5</f>
        <v>36.849760977153075</v>
      </c>
      <c r="K11" s="898">
        <f>(AH11*KFC!$B$16+KFC!$C$16)*KFC!$C$5</f>
        <v>38.974754045995333</v>
      </c>
      <c r="L11" s="898">
        <f>(AI11*KFC!$B$16+KFC!$C$16)*KFC!$C$5</f>
        <v>41.099747114837598</v>
      </c>
      <c r="M11" s="898">
        <f>(AJ11*KFC!$B$16+KFC!$C$16)*KFC!$C$5</f>
        <v>43.224740183679863</v>
      </c>
      <c r="N11" s="898">
        <f>(AK11*KFC!$B$16+KFC!$C$16)*KFC!$C$5</f>
        <v>45.349733252522128</v>
      </c>
      <c r="O11" s="898">
        <f>(AL11*KFC!$B$16+KFC!$C$16)*KFC!$C$5</f>
        <v>47.474726321364393</v>
      </c>
      <c r="P11" s="898">
        <f>(AM11*KFC!$B$16+KFC!$C$16)*KFC!$C$5</f>
        <v>49.599719390206658</v>
      </c>
      <c r="Q11" s="898">
        <f>(AN11*KFC!$B$16+KFC!$C$16)*KFC!$C$5</f>
        <v>51.724712459048924</v>
      </c>
      <c r="R11" s="898">
        <f>(AO11*KFC!$B$16+KFC!$C$16)*KFC!$C$5</f>
        <v>53.849705527891174</v>
      </c>
      <c r="S11" s="898">
        <f>(AP11*KFC!$B$16+KFC!$C$16)*KFC!$C$5</f>
        <v>55.97469859673344</v>
      </c>
      <c r="T11" s="898">
        <f>(AQ11*KFC!$B$16+KFC!$C$16)*KFC!$C$5</f>
        <v>58.099691665575705</v>
      </c>
      <c r="U11" s="898">
        <f>(AR11*KFC!$B$16+KFC!$C$16)*KFC!$C$5</f>
        <v>60.22468473441797</v>
      </c>
      <c r="V11" s="898">
        <f>(AS11*KFC!$B$16+KFC!$C$16)*KFC!$C$5</f>
        <v>62.349677803260235</v>
      </c>
      <c r="W11" s="903">
        <f>(AT11*KFC!$B$16+KFC!$C$16)*KFC!$C$5</f>
        <v>64.474670872102507</v>
      </c>
      <c r="Y11" s="1431"/>
      <c r="Z11" s="649">
        <v>0.5</v>
      </c>
      <c r="AA11" s="882">
        <v>24.099802564099495</v>
      </c>
      <c r="AB11" s="882">
        <v>26.224795632941756</v>
      </c>
      <c r="AC11" s="882">
        <v>28.349788701784021</v>
      </c>
      <c r="AD11" s="882">
        <v>30.474781770626279</v>
      </c>
      <c r="AE11" s="882">
        <v>32.599774839468544</v>
      </c>
      <c r="AF11" s="882">
        <v>34.72476790831081</v>
      </c>
      <c r="AG11" s="882">
        <v>36.849760977153075</v>
      </c>
      <c r="AH11" s="882">
        <v>38.974754045995333</v>
      </c>
      <c r="AI11" s="882">
        <v>41.099747114837598</v>
      </c>
      <c r="AJ11" s="882">
        <v>43.224740183679863</v>
      </c>
      <c r="AK11" s="882">
        <v>45.349733252522128</v>
      </c>
      <c r="AL11" s="882">
        <v>47.474726321364393</v>
      </c>
      <c r="AM11" s="882">
        <v>49.599719390206658</v>
      </c>
      <c r="AN11" s="882">
        <v>51.724712459048924</v>
      </c>
      <c r="AO11" s="882">
        <v>53.849705527891174</v>
      </c>
      <c r="AP11" s="882">
        <v>55.97469859673344</v>
      </c>
      <c r="AQ11" s="882">
        <v>58.099691665575705</v>
      </c>
      <c r="AR11" s="882">
        <v>60.22468473441797</v>
      </c>
      <c r="AS11" s="882">
        <v>62.349677803260235</v>
      </c>
      <c r="AT11" s="882">
        <v>64.474670872102507</v>
      </c>
    </row>
    <row r="12" spans="1:255">
      <c r="A12" s="1426"/>
      <c r="B12" s="1427"/>
      <c r="C12" s="887">
        <v>0.6</v>
      </c>
      <c r="D12" s="902">
        <f>(AA12*KFC!$B$16+KFC!$C$16)*KFC!$C$5</f>
        <v>24.578684141705995</v>
      </c>
      <c r="E12" s="898">
        <f>(AB12*KFC!$B$16+KFC!$C$16)*KFC!$C$5</f>
        <v>26.810519315512259</v>
      </c>
      <c r="F12" s="898">
        <f>(AC12*KFC!$B$16+KFC!$C$16)*KFC!$C$5</f>
        <v>29.042354489318519</v>
      </c>
      <c r="G12" s="898">
        <f>(AD12*KFC!$B$16+KFC!$C$16)*KFC!$C$5</f>
        <v>31.27418966312479</v>
      </c>
      <c r="H12" s="898">
        <f>(AE12*KFC!$B$16+KFC!$C$16)*KFC!$C$5</f>
        <v>33.506024836931054</v>
      </c>
      <c r="I12" s="898">
        <f>(AF12*KFC!$B$16+KFC!$C$16)*KFC!$C$5</f>
        <v>35.737860010737322</v>
      </c>
      <c r="J12" s="898">
        <f>(AG12*KFC!$B$16+KFC!$C$16)*KFC!$C$5</f>
        <v>37.969695184543582</v>
      </c>
      <c r="K12" s="898">
        <f>(AH12*KFC!$B$16+KFC!$C$16)*KFC!$C$5</f>
        <v>40.201530358349842</v>
      </c>
      <c r="L12" s="898">
        <f>(AI12*KFC!$B$16+KFC!$C$16)*KFC!$C$5</f>
        <v>42.43336553215611</v>
      </c>
      <c r="M12" s="898">
        <f>(AJ12*KFC!$B$16+KFC!$C$16)*KFC!$C$5</f>
        <v>44.665200705962377</v>
      </c>
      <c r="N12" s="898">
        <f>(AK12*KFC!$B$16+KFC!$C$16)*KFC!$C$5</f>
        <v>46.897035879768644</v>
      </c>
      <c r="O12" s="898">
        <f>(AL12*KFC!$B$16+KFC!$C$16)*KFC!$C$5</f>
        <v>49.128871053574905</v>
      </c>
      <c r="P12" s="898">
        <f>(AM12*KFC!$B$16+KFC!$C$16)*KFC!$C$5</f>
        <v>51.360706227381172</v>
      </c>
      <c r="Q12" s="898">
        <f>(AN12*KFC!$B$16+KFC!$C$16)*KFC!$C$5</f>
        <v>53.592541401187439</v>
      </c>
      <c r="R12" s="898">
        <f>(AO12*KFC!$B$16+KFC!$C$16)*KFC!$C$5</f>
        <v>55.8243765749937</v>
      </c>
      <c r="S12" s="898">
        <f>(AP12*KFC!$B$16+KFC!$C$16)*KFC!$C$5</f>
        <v>58.05621174879996</v>
      </c>
      <c r="T12" s="898">
        <f>(AQ12*KFC!$B$16+KFC!$C$16)*KFC!$C$5</f>
        <v>60.288046922606235</v>
      </c>
      <c r="U12" s="898">
        <f>(AR12*KFC!$B$16+KFC!$C$16)*KFC!$C$5</f>
        <v>62.519882096412495</v>
      </c>
      <c r="V12" s="898">
        <f>(AS12*KFC!$B$16+KFC!$C$16)*KFC!$C$5</f>
        <v>64.751717270218762</v>
      </c>
      <c r="W12" s="903">
        <f>(AT12*KFC!$B$16+KFC!$C$16)*KFC!$C$5</f>
        <v>66.983552444024994</v>
      </c>
      <c r="Y12" s="1431"/>
      <c r="Z12" s="649">
        <v>0.6</v>
      </c>
      <c r="AA12" s="882">
        <v>24.578684141705995</v>
      </c>
      <c r="AB12" s="882">
        <v>26.810519315512259</v>
      </c>
      <c r="AC12" s="882">
        <v>29.042354489318519</v>
      </c>
      <c r="AD12" s="882">
        <v>31.27418966312479</v>
      </c>
      <c r="AE12" s="882">
        <v>33.506024836931054</v>
      </c>
      <c r="AF12" s="882">
        <v>35.737860010737322</v>
      </c>
      <c r="AG12" s="882">
        <v>37.969695184543582</v>
      </c>
      <c r="AH12" s="882">
        <v>40.201530358349842</v>
      </c>
      <c r="AI12" s="882">
        <v>42.43336553215611</v>
      </c>
      <c r="AJ12" s="882">
        <v>44.665200705962377</v>
      </c>
      <c r="AK12" s="882">
        <v>46.897035879768644</v>
      </c>
      <c r="AL12" s="882">
        <v>49.128871053574905</v>
      </c>
      <c r="AM12" s="882">
        <v>51.360706227381172</v>
      </c>
      <c r="AN12" s="882">
        <v>53.592541401187439</v>
      </c>
      <c r="AO12" s="882">
        <v>55.8243765749937</v>
      </c>
      <c r="AP12" s="882">
        <v>58.05621174879996</v>
      </c>
      <c r="AQ12" s="882">
        <v>60.288046922606235</v>
      </c>
      <c r="AR12" s="882">
        <v>62.519882096412495</v>
      </c>
      <c r="AS12" s="882">
        <v>64.751717270218762</v>
      </c>
      <c r="AT12" s="882">
        <v>66.983552444024994</v>
      </c>
    </row>
    <row r="13" spans="1:255">
      <c r="A13" s="1426"/>
      <c r="B13" s="1427"/>
      <c r="C13" s="887">
        <v>0.7</v>
      </c>
      <c r="D13" s="902">
        <f>(AA13*KFC!$B$16+KFC!$C$16)*KFC!$C$5</f>
        <v>25.057565719312493</v>
      </c>
      <c r="E13" s="898">
        <f>(AB13*KFC!$B$16+KFC!$C$16)*KFC!$C$5</f>
        <v>27.396242998082755</v>
      </c>
      <c r="F13" s="898">
        <f>(AC13*KFC!$B$16+KFC!$C$16)*KFC!$C$5</f>
        <v>29.734920276853018</v>
      </c>
      <c r="G13" s="898">
        <f>(AD13*KFC!$B$16+KFC!$C$16)*KFC!$C$5</f>
        <v>32.07359755562328</v>
      </c>
      <c r="H13" s="898">
        <f>(AE13*KFC!$B$16+KFC!$C$16)*KFC!$C$5</f>
        <v>34.412274834393543</v>
      </c>
      <c r="I13" s="898">
        <f>(AF13*KFC!$B$16+KFC!$C$16)*KFC!$C$5</f>
        <v>36.750952113163812</v>
      </c>
      <c r="J13" s="898">
        <f>(AG13*KFC!$B$16+KFC!$C$16)*KFC!$C$5</f>
        <v>39.089629391934075</v>
      </c>
      <c r="K13" s="898">
        <f>(AH13*KFC!$B$16+KFC!$C$16)*KFC!$C$5</f>
        <v>41.42830667070433</v>
      </c>
      <c r="L13" s="898">
        <f>(AI13*KFC!$B$16+KFC!$C$16)*KFC!$C$5</f>
        <v>43.766983949474593</v>
      </c>
      <c r="M13" s="898">
        <f>(AJ13*KFC!$B$16+KFC!$C$16)*KFC!$C$5</f>
        <v>46.105661228244855</v>
      </c>
      <c r="N13" s="898">
        <f>(AK13*KFC!$B$16+KFC!$C$16)*KFC!$C$5</f>
        <v>48.444338507015104</v>
      </c>
      <c r="O13" s="898">
        <f>(AL13*KFC!$B$16+KFC!$C$16)*KFC!$C$5</f>
        <v>50.783015785785366</v>
      </c>
      <c r="P13" s="898">
        <f>(AM13*KFC!$B$16+KFC!$C$16)*KFC!$C$5</f>
        <v>53.121693064555629</v>
      </c>
      <c r="Q13" s="898">
        <f>(AN13*KFC!$B$16+KFC!$C$16)*KFC!$C$5</f>
        <v>55.460370343325891</v>
      </c>
      <c r="R13" s="898">
        <f>(AO13*KFC!$B$16+KFC!$C$16)*KFC!$C$5</f>
        <v>57.799047622096154</v>
      </c>
      <c r="S13" s="898">
        <f>(AP13*KFC!$B$16+KFC!$C$16)*KFC!$C$5</f>
        <v>60.137724900866409</v>
      </c>
      <c r="T13" s="898">
        <f>(AQ13*KFC!$B$16+KFC!$C$16)*KFC!$C$5</f>
        <v>62.476402179636672</v>
      </c>
      <c r="U13" s="898">
        <f>(AR13*KFC!$B$16+KFC!$C$16)*KFC!$C$5</f>
        <v>64.815079458406927</v>
      </c>
      <c r="V13" s="898">
        <f>(AS13*KFC!$B$16+KFC!$C$16)*KFC!$C$5</f>
        <v>67.15375673717719</v>
      </c>
      <c r="W13" s="903">
        <f>(AT13*KFC!$B$16+KFC!$C$16)*KFC!$C$5</f>
        <v>69.492434015947495</v>
      </c>
      <c r="Y13" s="1431"/>
      <c r="Z13" s="649">
        <v>0.7</v>
      </c>
      <c r="AA13" s="882">
        <v>25.057565719312493</v>
      </c>
      <c r="AB13" s="882">
        <v>27.396242998082755</v>
      </c>
      <c r="AC13" s="882">
        <v>29.734920276853018</v>
      </c>
      <c r="AD13" s="882">
        <v>32.07359755562328</v>
      </c>
      <c r="AE13" s="882">
        <v>34.412274834393543</v>
      </c>
      <c r="AF13" s="882">
        <v>36.750952113163812</v>
      </c>
      <c r="AG13" s="882">
        <v>39.089629391934075</v>
      </c>
      <c r="AH13" s="882">
        <v>41.42830667070433</v>
      </c>
      <c r="AI13" s="882">
        <v>43.766983949474593</v>
      </c>
      <c r="AJ13" s="882">
        <v>46.105661228244855</v>
      </c>
      <c r="AK13" s="882">
        <v>48.444338507015104</v>
      </c>
      <c r="AL13" s="882">
        <v>50.783015785785366</v>
      </c>
      <c r="AM13" s="882">
        <v>53.121693064555629</v>
      </c>
      <c r="AN13" s="882">
        <v>55.460370343325891</v>
      </c>
      <c r="AO13" s="882">
        <v>57.799047622096154</v>
      </c>
      <c r="AP13" s="882">
        <v>60.137724900866409</v>
      </c>
      <c r="AQ13" s="882">
        <v>62.476402179636672</v>
      </c>
      <c r="AR13" s="882">
        <v>64.815079458406927</v>
      </c>
      <c r="AS13" s="882">
        <v>67.15375673717719</v>
      </c>
      <c r="AT13" s="882">
        <v>69.492434015947495</v>
      </c>
    </row>
    <row r="14" spans="1:255">
      <c r="A14" s="1426"/>
      <c r="B14" s="1427"/>
      <c r="C14" s="887">
        <v>0.8</v>
      </c>
      <c r="D14" s="902">
        <f>(AA14*KFC!$B$16+KFC!$C$16)*KFC!$C$5</f>
        <v>25.53644729691899</v>
      </c>
      <c r="E14" s="898">
        <f>(AB14*KFC!$B$16+KFC!$C$16)*KFC!$C$5</f>
        <v>27.981966680653251</v>
      </c>
      <c r="F14" s="898">
        <f>(AC14*KFC!$B$16+KFC!$C$16)*KFC!$C$5</f>
        <v>30.427486064387512</v>
      </c>
      <c r="G14" s="898">
        <f>(AD14*KFC!$B$16+KFC!$C$16)*KFC!$C$5</f>
        <v>32.873005448121773</v>
      </c>
      <c r="H14" s="898">
        <f>(AE14*KFC!$B$16+KFC!$C$16)*KFC!$C$5</f>
        <v>35.318524831856038</v>
      </c>
      <c r="I14" s="898">
        <f>(AF14*KFC!$B$16+KFC!$C$16)*KFC!$C$5</f>
        <v>37.764044215590303</v>
      </c>
      <c r="J14" s="898">
        <f>(AG14*KFC!$B$16+KFC!$C$16)*KFC!$C$5</f>
        <v>40.209563599324561</v>
      </c>
      <c r="K14" s="898">
        <f>(AH14*KFC!$B$16+KFC!$C$16)*KFC!$C$5</f>
        <v>42.655082983058826</v>
      </c>
      <c r="L14" s="898">
        <f>(AI14*KFC!$B$16+KFC!$C$16)*KFC!$C$5</f>
        <v>45.100602366793083</v>
      </c>
      <c r="M14" s="898">
        <f>(AJ14*KFC!$B$16+KFC!$C$16)*KFC!$C$5</f>
        <v>47.546121750527348</v>
      </c>
      <c r="N14" s="898">
        <f>(AK14*KFC!$B$16+KFC!$C$16)*KFC!$C$5</f>
        <v>49.99164113426162</v>
      </c>
      <c r="O14" s="898">
        <f>(AL14*KFC!$B$16+KFC!$C$16)*KFC!$C$5</f>
        <v>52.437160517995871</v>
      </c>
      <c r="P14" s="898">
        <f>(AM14*KFC!$B$16+KFC!$C$16)*KFC!$C$5</f>
        <v>54.882679901730135</v>
      </c>
      <c r="Q14" s="898">
        <f>(AN14*KFC!$B$16+KFC!$C$16)*KFC!$C$5</f>
        <v>57.328199285464393</v>
      </c>
      <c r="R14" s="898">
        <f>(AO14*KFC!$B$16+KFC!$C$16)*KFC!$C$5</f>
        <v>59.773718669198658</v>
      </c>
      <c r="S14" s="898">
        <f>(AP14*KFC!$B$16+KFC!$C$16)*KFC!$C$5</f>
        <v>62.219238052932916</v>
      </c>
      <c r="T14" s="898">
        <f>(AQ14*KFC!$B$16+KFC!$C$16)*KFC!$C$5</f>
        <v>64.664757436667188</v>
      </c>
      <c r="U14" s="898">
        <f>(AR14*KFC!$B$16+KFC!$C$16)*KFC!$C$5</f>
        <v>67.110276820401452</v>
      </c>
      <c r="V14" s="898">
        <f>(AS14*KFC!$B$16+KFC!$C$16)*KFC!$C$5</f>
        <v>69.555796204135717</v>
      </c>
      <c r="W14" s="903">
        <f>(AT14*KFC!$B$16+KFC!$C$16)*KFC!$C$5</f>
        <v>72.001315587869996</v>
      </c>
      <c r="Y14" s="1431"/>
      <c r="Z14" s="649">
        <v>0.8</v>
      </c>
      <c r="AA14" s="882">
        <v>25.53644729691899</v>
      </c>
      <c r="AB14" s="882">
        <v>27.981966680653251</v>
      </c>
      <c r="AC14" s="882">
        <v>30.427486064387512</v>
      </c>
      <c r="AD14" s="882">
        <v>32.873005448121773</v>
      </c>
      <c r="AE14" s="882">
        <v>35.318524831856038</v>
      </c>
      <c r="AF14" s="882">
        <v>37.764044215590303</v>
      </c>
      <c r="AG14" s="882">
        <v>40.209563599324561</v>
      </c>
      <c r="AH14" s="882">
        <v>42.655082983058826</v>
      </c>
      <c r="AI14" s="882">
        <v>45.100602366793083</v>
      </c>
      <c r="AJ14" s="882">
        <v>47.546121750527348</v>
      </c>
      <c r="AK14" s="882">
        <v>49.99164113426162</v>
      </c>
      <c r="AL14" s="882">
        <v>52.437160517995871</v>
      </c>
      <c r="AM14" s="882">
        <v>54.882679901730135</v>
      </c>
      <c r="AN14" s="882">
        <v>57.328199285464393</v>
      </c>
      <c r="AO14" s="882">
        <v>59.773718669198658</v>
      </c>
      <c r="AP14" s="882">
        <v>62.219238052932916</v>
      </c>
      <c r="AQ14" s="882">
        <v>64.664757436667188</v>
      </c>
      <c r="AR14" s="882">
        <v>67.110276820401452</v>
      </c>
      <c r="AS14" s="882">
        <v>69.555796204135717</v>
      </c>
      <c r="AT14" s="882">
        <v>72.001315587869996</v>
      </c>
    </row>
    <row r="15" spans="1:255">
      <c r="A15" s="1426"/>
      <c r="B15" s="1427"/>
      <c r="C15" s="887">
        <v>0.9</v>
      </c>
      <c r="D15" s="902">
        <f>(AA15*KFC!$B$16+KFC!$C$16)*KFC!$C$5</f>
        <v>26.01532887452549</v>
      </c>
      <c r="E15" s="898">
        <f>(AB15*KFC!$B$16+KFC!$C$16)*KFC!$C$5</f>
        <v>28.567690363223754</v>
      </c>
      <c r="F15" s="898">
        <f>(AC15*KFC!$B$16+KFC!$C$16)*KFC!$C$5</f>
        <v>31.120051851922018</v>
      </c>
      <c r="G15" s="898">
        <f>(AD15*KFC!$B$16+KFC!$C$16)*KFC!$C$5</f>
        <v>33.672413340620281</v>
      </c>
      <c r="H15" s="898">
        <f>(AE15*KFC!$B$16+KFC!$C$16)*KFC!$C$5</f>
        <v>36.224774829318541</v>
      </c>
      <c r="I15" s="898">
        <f>(AF15*KFC!$B$16+KFC!$C$16)*KFC!$C$5</f>
        <v>38.777136318016808</v>
      </c>
      <c r="J15" s="898">
        <f>(AG15*KFC!$B$16+KFC!$C$16)*KFC!$C$5</f>
        <v>41.329497806715068</v>
      </c>
      <c r="K15" s="898">
        <f>(AH15*KFC!$B$16+KFC!$C$16)*KFC!$C$5</f>
        <v>43.881859295413335</v>
      </c>
      <c r="L15" s="898">
        <f>(AI15*KFC!$B$16+KFC!$C$16)*KFC!$C$5</f>
        <v>46.434220784111595</v>
      </c>
      <c r="M15" s="898">
        <f>(AJ15*KFC!$B$16+KFC!$C$16)*KFC!$C$5</f>
        <v>48.986582272809869</v>
      </c>
      <c r="N15" s="898">
        <f>(AK15*KFC!$B$16+KFC!$C$16)*KFC!$C$5</f>
        <v>51.538943761508129</v>
      </c>
      <c r="O15" s="898">
        <f>(AL15*KFC!$B$16+KFC!$C$16)*KFC!$C$5</f>
        <v>54.091305250206389</v>
      </c>
      <c r="P15" s="898">
        <f>(AM15*KFC!$B$16+KFC!$C$16)*KFC!$C$5</f>
        <v>56.643666738904649</v>
      </c>
      <c r="Q15" s="898">
        <f>(AN15*KFC!$B$16+KFC!$C$16)*KFC!$C$5</f>
        <v>59.196028227602916</v>
      </c>
      <c r="R15" s="898">
        <f>(AO15*KFC!$B$16+KFC!$C$16)*KFC!$C$5</f>
        <v>61.748389716301176</v>
      </c>
      <c r="S15" s="898">
        <f>(AP15*KFC!$B$16+KFC!$C$16)*KFC!$C$5</f>
        <v>64.300751204999443</v>
      </c>
      <c r="T15" s="898">
        <f>(AQ15*KFC!$B$16+KFC!$C$16)*KFC!$C$5</f>
        <v>66.85311269369771</v>
      </c>
      <c r="U15" s="898">
        <f>(AR15*KFC!$B$16+KFC!$C$16)*KFC!$C$5</f>
        <v>69.405474182395977</v>
      </c>
      <c r="V15" s="898">
        <f>(AS15*KFC!$B$16+KFC!$C$16)*KFC!$C$5</f>
        <v>71.95783567109423</v>
      </c>
      <c r="W15" s="903">
        <f>(AT15*KFC!$B$16+KFC!$C$16)*KFC!$C$5</f>
        <v>74.510197159792483</v>
      </c>
      <c r="Y15" s="1431"/>
      <c r="Z15" s="649">
        <v>0.9</v>
      </c>
      <c r="AA15" s="882">
        <v>26.01532887452549</v>
      </c>
      <c r="AB15" s="882">
        <v>28.567690363223754</v>
      </c>
      <c r="AC15" s="882">
        <v>31.120051851922018</v>
      </c>
      <c r="AD15" s="882">
        <v>33.672413340620281</v>
      </c>
      <c r="AE15" s="882">
        <v>36.224774829318541</v>
      </c>
      <c r="AF15" s="882">
        <v>38.777136318016808</v>
      </c>
      <c r="AG15" s="882">
        <v>41.329497806715068</v>
      </c>
      <c r="AH15" s="882">
        <v>43.881859295413335</v>
      </c>
      <c r="AI15" s="882">
        <v>46.434220784111595</v>
      </c>
      <c r="AJ15" s="882">
        <v>48.986582272809869</v>
      </c>
      <c r="AK15" s="882">
        <v>51.538943761508129</v>
      </c>
      <c r="AL15" s="882">
        <v>54.091305250206389</v>
      </c>
      <c r="AM15" s="882">
        <v>56.643666738904649</v>
      </c>
      <c r="AN15" s="882">
        <v>59.196028227602916</v>
      </c>
      <c r="AO15" s="882">
        <v>61.748389716301176</v>
      </c>
      <c r="AP15" s="882">
        <v>64.300751204999443</v>
      </c>
      <c r="AQ15" s="882">
        <v>66.85311269369771</v>
      </c>
      <c r="AR15" s="882">
        <v>69.405474182395977</v>
      </c>
      <c r="AS15" s="882">
        <v>71.95783567109423</v>
      </c>
      <c r="AT15" s="882">
        <v>74.510197159792483</v>
      </c>
    </row>
    <row r="16" spans="1:255">
      <c r="A16" s="1426"/>
      <c r="B16" s="1427"/>
      <c r="C16" s="887">
        <v>1</v>
      </c>
      <c r="D16" s="902">
        <f>(AA16*KFC!$B$16+KFC!$C$16)*KFC!$C$5</f>
        <v>26.494210452131988</v>
      </c>
      <c r="E16" s="898">
        <f>(AB16*KFC!$B$16+KFC!$C$16)*KFC!$C$5</f>
        <v>29.153414045794246</v>
      </c>
      <c r="F16" s="898">
        <f>(AC16*KFC!$B$16+KFC!$C$16)*KFC!$C$5</f>
        <v>31.812617639456512</v>
      </c>
      <c r="G16" s="898">
        <f>(AD16*KFC!$B$16+KFC!$C$16)*KFC!$C$5</f>
        <v>34.471821233118774</v>
      </c>
      <c r="H16" s="898">
        <f>(AE16*KFC!$B$16+KFC!$C$16)*KFC!$C$5</f>
        <v>37.131024826781037</v>
      </c>
      <c r="I16" s="898">
        <f>(AF16*KFC!$B$16+KFC!$C$16)*KFC!$C$5</f>
        <v>39.790228420443306</v>
      </c>
      <c r="J16" s="898">
        <f>(AG16*KFC!$B$16+KFC!$C$16)*KFC!$C$5</f>
        <v>42.449432014105575</v>
      </c>
      <c r="K16" s="898">
        <f>(AH16*KFC!$B$16+KFC!$C$16)*KFC!$C$5</f>
        <v>45.108635607767837</v>
      </c>
      <c r="L16" s="898">
        <f>(AI16*KFC!$B$16+KFC!$C$16)*KFC!$C$5</f>
        <v>47.7678392014301</v>
      </c>
      <c r="M16" s="898">
        <f>(AJ16*KFC!$B$16+KFC!$C$16)*KFC!$C$5</f>
        <v>50.427042795092376</v>
      </c>
      <c r="N16" s="898">
        <f>(AK16*KFC!$B$16+KFC!$C$16)*KFC!$C$5</f>
        <v>53.086246388754638</v>
      </c>
      <c r="O16" s="898">
        <f>(AL16*KFC!$B$16+KFC!$C$16)*KFC!$C$5</f>
        <v>55.745449982416901</v>
      </c>
      <c r="P16" s="898">
        <f>(AM16*KFC!$B$16+KFC!$C$16)*KFC!$C$5</f>
        <v>58.404653576079163</v>
      </c>
      <c r="Q16" s="898">
        <f>(AN16*KFC!$B$16+KFC!$C$16)*KFC!$C$5</f>
        <v>61.063857169741425</v>
      </c>
      <c r="R16" s="898">
        <f>(AO16*KFC!$B$16+KFC!$C$16)*KFC!$C$5</f>
        <v>63.723060763403701</v>
      </c>
      <c r="S16" s="898">
        <f>(AP16*KFC!$B$16+KFC!$C$16)*KFC!$C$5</f>
        <v>66.382264357065949</v>
      </c>
      <c r="T16" s="898">
        <f>(AQ16*KFC!$B$16+KFC!$C$16)*KFC!$C$5</f>
        <v>69.041467950728219</v>
      </c>
      <c r="U16" s="898">
        <f>(AR16*KFC!$B$16+KFC!$C$16)*KFC!$C$5</f>
        <v>71.700671544390474</v>
      </c>
      <c r="V16" s="898">
        <f>(AS16*KFC!$B$16+KFC!$C$16)*KFC!$C$5</f>
        <v>74.359875138052729</v>
      </c>
      <c r="W16" s="903">
        <f>(AT16*KFC!$B$16+KFC!$C$16)*KFC!$C$5</f>
        <v>77.019078731714984</v>
      </c>
      <c r="Y16" s="1431"/>
      <c r="Z16" s="649">
        <v>1</v>
      </c>
      <c r="AA16" s="882">
        <v>26.494210452131988</v>
      </c>
      <c r="AB16" s="882">
        <v>29.153414045794246</v>
      </c>
      <c r="AC16" s="882">
        <v>31.812617639456512</v>
      </c>
      <c r="AD16" s="882">
        <v>34.471821233118774</v>
      </c>
      <c r="AE16" s="882">
        <v>37.131024826781037</v>
      </c>
      <c r="AF16" s="882">
        <v>39.790228420443306</v>
      </c>
      <c r="AG16" s="882">
        <v>42.449432014105575</v>
      </c>
      <c r="AH16" s="882">
        <v>45.108635607767837</v>
      </c>
      <c r="AI16" s="882">
        <v>47.7678392014301</v>
      </c>
      <c r="AJ16" s="882">
        <v>50.427042795092376</v>
      </c>
      <c r="AK16" s="882">
        <v>53.086246388754638</v>
      </c>
      <c r="AL16" s="882">
        <v>55.745449982416901</v>
      </c>
      <c r="AM16" s="882">
        <v>58.404653576079163</v>
      </c>
      <c r="AN16" s="882">
        <v>61.063857169741425</v>
      </c>
      <c r="AO16" s="882">
        <v>63.723060763403701</v>
      </c>
      <c r="AP16" s="882">
        <v>66.382264357065949</v>
      </c>
      <c r="AQ16" s="882">
        <v>69.041467950728219</v>
      </c>
      <c r="AR16" s="882">
        <v>71.700671544390474</v>
      </c>
      <c r="AS16" s="882">
        <v>74.359875138052729</v>
      </c>
      <c r="AT16" s="882">
        <v>77.019078731714984</v>
      </c>
    </row>
    <row r="17" spans="1:46">
      <c r="A17" s="1426"/>
      <c r="B17" s="1427"/>
      <c r="C17" s="887">
        <v>1.1000000000000001</v>
      </c>
      <c r="D17" s="902">
        <f>(AA17*KFC!$B$16+KFC!$C$16)*KFC!$C$5</f>
        <v>26.973092029738488</v>
      </c>
      <c r="E17" s="898">
        <f>(AB17*KFC!$B$16+KFC!$C$16)*KFC!$C$5</f>
        <v>29.739137728364753</v>
      </c>
      <c r="F17" s="898">
        <f>(AC17*KFC!$B$16+KFC!$C$16)*KFC!$C$5</f>
        <v>32.505183426991017</v>
      </c>
      <c r="G17" s="898">
        <f>(AD17*KFC!$B$16+KFC!$C$16)*KFC!$C$5</f>
        <v>35.271229125617282</v>
      </c>
      <c r="H17" s="898">
        <f>(AE17*KFC!$B$16+KFC!$C$16)*KFC!$C$5</f>
        <v>38.037274824243546</v>
      </c>
      <c r="I17" s="898">
        <f>(AF17*KFC!$B$16+KFC!$C$16)*KFC!$C$5</f>
        <v>40.803320522869804</v>
      </c>
      <c r="J17" s="898">
        <f>(AG17*KFC!$B$16+KFC!$C$16)*KFC!$C$5</f>
        <v>43.569366221496061</v>
      </c>
      <c r="K17" s="898">
        <f>(AH17*KFC!$B$16+KFC!$C$16)*KFC!$C$5</f>
        <v>46.335411920122326</v>
      </c>
      <c r="L17" s="898">
        <f>(AI17*KFC!$B$16+KFC!$C$16)*KFC!$C$5</f>
        <v>49.101457618748583</v>
      </c>
      <c r="M17" s="898">
        <f>(AJ17*KFC!$B$16+KFC!$C$16)*KFC!$C$5</f>
        <v>51.86750331737484</v>
      </c>
      <c r="N17" s="898">
        <f>(AK17*KFC!$B$16+KFC!$C$16)*KFC!$C$5</f>
        <v>54.633549016001105</v>
      </c>
      <c r="O17" s="898">
        <f>(AL17*KFC!$B$16+KFC!$C$16)*KFC!$C$5</f>
        <v>57.399594714627362</v>
      </c>
      <c r="P17" s="898">
        <f>(AM17*KFC!$B$16+KFC!$C$16)*KFC!$C$5</f>
        <v>60.16564041325362</v>
      </c>
      <c r="Q17" s="898">
        <f>(AN17*KFC!$B$16+KFC!$C$16)*KFC!$C$5</f>
        <v>62.931686111879891</v>
      </c>
      <c r="R17" s="898">
        <f>(AO17*KFC!$B$16+KFC!$C$16)*KFC!$C$5</f>
        <v>65.697731810506141</v>
      </c>
      <c r="S17" s="898">
        <f>(AP17*KFC!$B$16+KFC!$C$16)*KFC!$C$5</f>
        <v>68.463777509132399</v>
      </c>
      <c r="T17" s="898">
        <f>(AQ17*KFC!$B$16+KFC!$C$16)*KFC!$C$5</f>
        <v>71.22982320775867</v>
      </c>
      <c r="U17" s="898">
        <f>(AR17*KFC!$B$16+KFC!$C$16)*KFC!$C$5</f>
        <v>73.995868906384942</v>
      </c>
      <c r="V17" s="898">
        <f>(AS17*KFC!$B$16+KFC!$C$16)*KFC!$C$5</f>
        <v>76.761914605011199</v>
      </c>
      <c r="W17" s="903">
        <f>(AT17*KFC!$B$16+KFC!$C$16)*KFC!$C$5</f>
        <v>79.527960303637471</v>
      </c>
      <c r="Y17" s="1431"/>
      <c r="Z17" s="649">
        <v>1.1000000000000001</v>
      </c>
      <c r="AA17" s="882">
        <v>26.973092029738488</v>
      </c>
      <c r="AB17" s="882">
        <v>29.739137728364753</v>
      </c>
      <c r="AC17" s="882">
        <v>32.505183426991017</v>
      </c>
      <c r="AD17" s="882">
        <v>35.271229125617282</v>
      </c>
      <c r="AE17" s="882">
        <v>38.037274824243546</v>
      </c>
      <c r="AF17" s="882">
        <v>40.803320522869804</v>
      </c>
      <c r="AG17" s="882">
        <v>43.569366221496061</v>
      </c>
      <c r="AH17" s="882">
        <v>46.335411920122326</v>
      </c>
      <c r="AI17" s="882">
        <v>49.101457618748583</v>
      </c>
      <c r="AJ17" s="882">
        <v>51.86750331737484</v>
      </c>
      <c r="AK17" s="882">
        <v>54.633549016001105</v>
      </c>
      <c r="AL17" s="882">
        <v>57.399594714627362</v>
      </c>
      <c r="AM17" s="882">
        <v>60.16564041325362</v>
      </c>
      <c r="AN17" s="882">
        <v>62.931686111879891</v>
      </c>
      <c r="AO17" s="882">
        <v>65.697731810506141</v>
      </c>
      <c r="AP17" s="882">
        <v>68.463777509132399</v>
      </c>
      <c r="AQ17" s="882">
        <v>71.22982320775867</v>
      </c>
      <c r="AR17" s="882">
        <v>73.995868906384942</v>
      </c>
      <c r="AS17" s="882">
        <v>76.761914605011199</v>
      </c>
      <c r="AT17" s="882">
        <v>79.527960303637471</v>
      </c>
    </row>
    <row r="18" spans="1:46">
      <c r="A18" s="1426"/>
      <c r="B18" s="1427"/>
      <c r="C18" s="887">
        <v>1.2</v>
      </c>
      <c r="D18" s="902">
        <f>(AA18*KFC!$B$16+KFC!$C$16)*KFC!$C$5</f>
        <v>27.451973607344986</v>
      </c>
      <c r="E18" s="898">
        <f>(AB18*KFC!$B$16+KFC!$C$16)*KFC!$C$5</f>
        <v>30.324861410935249</v>
      </c>
      <c r="F18" s="898">
        <f>(AC18*KFC!$B$16+KFC!$C$16)*KFC!$C$5</f>
        <v>33.197749214525516</v>
      </c>
      <c r="G18" s="898">
        <f>(AD18*KFC!$B$16+KFC!$C$16)*KFC!$C$5</f>
        <v>36.070637018115775</v>
      </c>
      <c r="H18" s="898">
        <f>(AE18*KFC!$B$16+KFC!$C$16)*KFC!$C$5</f>
        <v>38.943524821706042</v>
      </c>
      <c r="I18" s="898">
        <f>(AF18*KFC!$B$16+KFC!$C$16)*KFC!$C$5</f>
        <v>41.816412625296302</v>
      </c>
      <c r="J18" s="898">
        <f>(AG18*KFC!$B$16+KFC!$C$16)*KFC!$C$5</f>
        <v>44.689300428886568</v>
      </c>
      <c r="K18" s="898">
        <f>(AH18*KFC!$B$16+KFC!$C$16)*KFC!$C$5</f>
        <v>47.562188232476828</v>
      </c>
      <c r="L18" s="898">
        <f>(AI18*KFC!$B$16+KFC!$C$16)*KFC!$C$5</f>
        <v>50.435076036067088</v>
      </c>
      <c r="M18" s="898">
        <f>(AJ18*KFC!$B$16+KFC!$C$16)*KFC!$C$5</f>
        <v>53.307963839657347</v>
      </c>
      <c r="N18" s="898">
        <f>(AK18*KFC!$B$16+KFC!$C$16)*KFC!$C$5</f>
        <v>56.180851643247607</v>
      </c>
      <c r="O18" s="898">
        <f>(AL18*KFC!$B$16+KFC!$C$16)*KFC!$C$5</f>
        <v>59.053739446837866</v>
      </c>
      <c r="P18" s="898">
        <f>(AM18*KFC!$B$16+KFC!$C$16)*KFC!$C$5</f>
        <v>61.92662725042814</v>
      </c>
      <c r="Q18" s="898">
        <f>(AN18*KFC!$B$16+KFC!$C$16)*KFC!$C$5</f>
        <v>64.7995150540184</v>
      </c>
      <c r="R18" s="898">
        <f>(AO18*KFC!$B$16+KFC!$C$16)*KFC!$C$5</f>
        <v>67.67240285760866</v>
      </c>
      <c r="S18" s="898">
        <f>(AP18*KFC!$B$16+KFC!$C$16)*KFC!$C$5</f>
        <v>70.545290661198919</v>
      </c>
      <c r="T18" s="898">
        <f>(AQ18*KFC!$B$16+KFC!$C$16)*KFC!$C$5</f>
        <v>73.418178464789179</v>
      </c>
      <c r="U18" s="898">
        <f>(AR18*KFC!$B$16+KFC!$C$16)*KFC!$C$5</f>
        <v>76.291066268379453</v>
      </c>
      <c r="V18" s="898">
        <f>(AS18*KFC!$B$16+KFC!$C$16)*KFC!$C$5</f>
        <v>79.163954071969712</v>
      </c>
      <c r="W18" s="903">
        <f>(AT18*KFC!$B$16+KFC!$C$16)*KFC!$C$5</f>
        <v>82.036841875559972</v>
      </c>
      <c r="Y18" s="1431"/>
      <c r="Z18" s="649">
        <v>1.2</v>
      </c>
      <c r="AA18" s="882">
        <v>27.451973607344986</v>
      </c>
      <c r="AB18" s="882">
        <v>30.324861410935249</v>
      </c>
      <c r="AC18" s="882">
        <v>33.197749214525516</v>
      </c>
      <c r="AD18" s="882">
        <v>36.070637018115775</v>
      </c>
      <c r="AE18" s="882">
        <v>38.943524821706042</v>
      </c>
      <c r="AF18" s="882">
        <v>41.816412625296302</v>
      </c>
      <c r="AG18" s="882">
        <v>44.689300428886568</v>
      </c>
      <c r="AH18" s="882">
        <v>47.562188232476828</v>
      </c>
      <c r="AI18" s="882">
        <v>50.435076036067088</v>
      </c>
      <c r="AJ18" s="882">
        <v>53.307963839657347</v>
      </c>
      <c r="AK18" s="882">
        <v>56.180851643247607</v>
      </c>
      <c r="AL18" s="882">
        <v>59.053739446837866</v>
      </c>
      <c r="AM18" s="882">
        <v>61.92662725042814</v>
      </c>
      <c r="AN18" s="882">
        <v>64.7995150540184</v>
      </c>
      <c r="AO18" s="882">
        <v>67.67240285760866</v>
      </c>
      <c r="AP18" s="882">
        <v>70.545290661198919</v>
      </c>
      <c r="AQ18" s="882">
        <v>73.418178464789179</v>
      </c>
      <c r="AR18" s="882">
        <v>76.291066268379453</v>
      </c>
      <c r="AS18" s="882">
        <v>79.163954071969712</v>
      </c>
      <c r="AT18" s="882">
        <v>82.036841875559972</v>
      </c>
    </row>
    <row r="19" spans="1:46">
      <c r="A19" s="1426"/>
      <c r="B19" s="1427"/>
      <c r="C19" s="887">
        <v>1.3</v>
      </c>
      <c r="D19" s="902">
        <f>(AA19*KFC!$B$16+KFC!$C$16)*KFC!$C$5</f>
        <v>27.930855184951486</v>
      </c>
      <c r="E19" s="898">
        <f>(AB19*KFC!$B$16+KFC!$C$16)*KFC!$C$5</f>
        <v>30.910585093505748</v>
      </c>
      <c r="F19" s="898">
        <f>(AC19*KFC!$B$16+KFC!$C$16)*KFC!$C$5</f>
        <v>33.890315002060014</v>
      </c>
      <c r="G19" s="898">
        <f>(AD19*KFC!$B$16+KFC!$C$16)*KFC!$C$5</f>
        <v>36.870044910614276</v>
      </c>
      <c r="H19" s="898">
        <f>(AE19*KFC!$B$16+KFC!$C$16)*KFC!$C$5</f>
        <v>39.849774819168545</v>
      </c>
      <c r="I19" s="898">
        <f>(AF19*KFC!$B$16+KFC!$C$16)*KFC!$C$5</f>
        <v>42.829504727722806</v>
      </c>
      <c r="J19" s="898">
        <f>(AG19*KFC!$B$16+KFC!$C$16)*KFC!$C$5</f>
        <v>45.809234636277068</v>
      </c>
      <c r="K19" s="898">
        <f>(AH19*KFC!$B$16+KFC!$C$16)*KFC!$C$5</f>
        <v>48.788964544831337</v>
      </c>
      <c r="L19" s="898">
        <f>(AI19*KFC!$B$16+KFC!$C$16)*KFC!$C$5</f>
        <v>51.768694453385599</v>
      </c>
      <c r="M19" s="898">
        <f>(AJ19*KFC!$B$16+KFC!$C$16)*KFC!$C$5</f>
        <v>54.748424361939854</v>
      </c>
      <c r="N19" s="898">
        <f>(AK19*KFC!$B$16+KFC!$C$16)*KFC!$C$5</f>
        <v>57.72815427049413</v>
      </c>
      <c r="O19" s="898">
        <f>(AL19*KFC!$B$16+KFC!$C$16)*KFC!$C$5</f>
        <v>60.707884179048385</v>
      </c>
      <c r="P19" s="898">
        <f>(AM19*KFC!$B$16+KFC!$C$16)*KFC!$C$5</f>
        <v>63.687614087602654</v>
      </c>
      <c r="Q19" s="898">
        <f>(AN19*KFC!$B$16+KFC!$C$16)*KFC!$C$5</f>
        <v>66.667343996156916</v>
      </c>
      <c r="R19" s="898">
        <f>(AO19*KFC!$B$16+KFC!$C$16)*KFC!$C$5</f>
        <v>69.647073904711164</v>
      </c>
      <c r="S19" s="898">
        <f>(AP19*KFC!$B$16+KFC!$C$16)*KFC!$C$5</f>
        <v>72.626803813265425</v>
      </c>
      <c r="T19" s="898">
        <f>(AQ19*KFC!$B$16+KFC!$C$16)*KFC!$C$5</f>
        <v>75.606533721819687</v>
      </c>
      <c r="U19" s="898">
        <f>(AR19*KFC!$B$16+KFC!$C$16)*KFC!$C$5</f>
        <v>78.586263630373935</v>
      </c>
      <c r="V19" s="898">
        <f>(AS19*KFC!$B$16+KFC!$C$16)*KFC!$C$5</f>
        <v>81.565993538928197</v>
      </c>
      <c r="W19" s="903">
        <f>(AT19*KFC!$B$16+KFC!$C$16)*KFC!$C$5</f>
        <v>84.545723447482459</v>
      </c>
      <c r="Y19" s="1431"/>
      <c r="Z19" s="649">
        <v>1.3</v>
      </c>
      <c r="AA19" s="882">
        <v>27.930855184951486</v>
      </c>
      <c r="AB19" s="882">
        <v>30.910585093505748</v>
      </c>
      <c r="AC19" s="882">
        <v>33.890315002060014</v>
      </c>
      <c r="AD19" s="882">
        <v>36.870044910614276</v>
      </c>
      <c r="AE19" s="882">
        <v>39.849774819168545</v>
      </c>
      <c r="AF19" s="882">
        <v>42.829504727722806</v>
      </c>
      <c r="AG19" s="882">
        <v>45.809234636277068</v>
      </c>
      <c r="AH19" s="882">
        <v>48.788964544831337</v>
      </c>
      <c r="AI19" s="882">
        <v>51.768694453385599</v>
      </c>
      <c r="AJ19" s="882">
        <v>54.748424361939854</v>
      </c>
      <c r="AK19" s="882">
        <v>57.72815427049413</v>
      </c>
      <c r="AL19" s="882">
        <v>60.707884179048385</v>
      </c>
      <c r="AM19" s="882">
        <v>63.687614087602654</v>
      </c>
      <c r="AN19" s="882">
        <v>66.667343996156916</v>
      </c>
      <c r="AO19" s="882">
        <v>69.647073904711164</v>
      </c>
      <c r="AP19" s="882">
        <v>72.626803813265425</v>
      </c>
      <c r="AQ19" s="882">
        <v>75.606533721819687</v>
      </c>
      <c r="AR19" s="882">
        <v>78.586263630373935</v>
      </c>
      <c r="AS19" s="882">
        <v>81.565993538928197</v>
      </c>
      <c r="AT19" s="882">
        <v>84.545723447482459</v>
      </c>
    </row>
    <row r="20" spans="1:46">
      <c r="A20" s="1426"/>
      <c r="B20" s="1427"/>
      <c r="C20" s="887">
        <v>1.4</v>
      </c>
      <c r="D20" s="902">
        <f>(AA20*KFC!$B$16+KFC!$C$16)*KFC!$C$5</f>
        <v>28.409736762557984</v>
      </c>
      <c r="E20" s="898">
        <f>(AB20*KFC!$B$16+KFC!$C$16)*KFC!$C$5</f>
        <v>31.496308776076248</v>
      </c>
      <c r="F20" s="898">
        <f>(AC20*KFC!$B$16+KFC!$C$16)*KFC!$C$5</f>
        <v>34.582880789594512</v>
      </c>
      <c r="G20" s="898">
        <f>(AD20*KFC!$B$16+KFC!$C$16)*KFC!$C$5</f>
        <v>37.669452803112776</v>
      </c>
      <c r="H20" s="898">
        <f>(AE20*KFC!$B$16+KFC!$C$16)*KFC!$C$5</f>
        <v>40.756024816631033</v>
      </c>
      <c r="I20" s="898">
        <f>(AF20*KFC!$B$16+KFC!$C$16)*KFC!$C$5</f>
        <v>43.84259683014929</v>
      </c>
      <c r="J20" s="898">
        <f>(AG20*KFC!$B$16+KFC!$C$16)*KFC!$C$5</f>
        <v>46.929168843667554</v>
      </c>
      <c r="K20" s="898">
        <f>(AH20*KFC!$B$16+KFC!$C$16)*KFC!$C$5</f>
        <v>50.015740857185826</v>
      </c>
      <c r="L20" s="898">
        <f>(AI20*KFC!$B$16+KFC!$C$16)*KFC!$C$5</f>
        <v>53.10231287070409</v>
      </c>
      <c r="M20" s="898">
        <f>(AJ20*KFC!$B$16+KFC!$C$16)*KFC!$C$5</f>
        <v>56.188884884222361</v>
      </c>
      <c r="N20" s="898">
        <f>(AK20*KFC!$B$16+KFC!$C$16)*KFC!$C$5</f>
        <v>59.275456897740625</v>
      </c>
      <c r="O20" s="898">
        <f>(AL20*KFC!$B$16+KFC!$C$16)*KFC!$C$5</f>
        <v>62.362028911258896</v>
      </c>
      <c r="P20" s="898">
        <f>(AM20*KFC!$B$16+KFC!$C$16)*KFC!$C$5</f>
        <v>65.448600924777153</v>
      </c>
      <c r="Q20" s="898">
        <f>(AN20*KFC!$B$16+KFC!$C$16)*KFC!$C$5</f>
        <v>68.535172938295418</v>
      </c>
      <c r="R20" s="898">
        <f>(AO20*KFC!$B$16+KFC!$C$16)*KFC!$C$5</f>
        <v>71.621744951813682</v>
      </c>
      <c r="S20" s="898">
        <f>(AP20*KFC!$B$16+KFC!$C$16)*KFC!$C$5</f>
        <v>74.708316965331946</v>
      </c>
      <c r="T20" s="898">
        <f>(AQ20*KFC!$B$16+KFC!$C$16)*KFC!$C$5</f>
        <v>77.79488897885021</v>
      </c>
      <c r="U20" s="898">
        <f>(AR20*KFC!$B$16+KFC!$C$16)*KFC!$C$5</f>
        <v>80.881460992368488</v>
      </c>
      <c r="V20" s="898">
        <f>(AS20*KFC!$B$16+KFC!$C$16)*KFC!$C$5</f>
        <v>83.968033005886753</v>
      </c>
      <c r="W20" s="903">
        <f>(AT20*KFC!$B$16+KFC!$C$16)*KFC!$C$5</f>
        <v>87.05460501940496</v>
      </c>
      <c r="Y20" s="1431"/>
      <c r="Z20" s="649">
        <v>1.4</v>
      </c>
      <c r="AA20" s="882">
        <v>28.409736762557984</v>
      </c>
      <c r="AB20" s="882">
        <v>31.496308776076248</v>
      </c>
      <c r="AC20" s="882">
        <v>34.582880789594512</v>
      </c>
      <c r="AD20" s="882">
        <v>37.669452803112776</v>
      </c>
      <c r="AE20" s="882">
        <v>40.756024816631033</v>
      </c>
      <c r="AF20" s="882">
        <v>43.84259683014929</v>
      </c>
      <c r="AG20" s="882">
        <v>46.929168843667554</v>
      </c>
      <c r="AH20" s="882">
        <v>50.015740857185826</v>
      </c>
      <c r="AI20" s="882">
        <v>53.10231287070409</v>
      </c>
      <c r="AJ20" s="882">
        <v>56.188884884222361</v>
      </c>
      <c r="AK20" s="882">
        <v>59.275456897740625</v>
      </c>
      <c r="AL20" s="882">
        <v>62.362028911258896</v>
      </c>
      <c r="AM20" s="882">
        <v>65.448600924777153</v>
      </c>
      <c r="AN20" s="882">
        <v>68.535172938295418</v>
      </c>
      <c r="AO20" s="882">
        <v>71.621744951813682</v>
      </c>
      <c r="AP20" s="882">
        <v>74.708316965331946</v>
      </c>
      <c r="AQ20" s="882">
        <v>77.79488897885021</v>
      </c>
      <c r="AR20" s="882">
        <v>80.881460992368488</v>
      </c>
      <c r="AS20" s="882">
        <v>83.968033005886753</v>
      </c>
      <c r="AT20" s="882">
        <v>87.05460501940496</v>
      </c>
    </row>
    <row r="21" spans="1:46">
      <c r="A21" s="1426"/>
      <c r="B21" s="1427"/>
      <c r="C21" s="887">
        <v>1.5</v>
      </c>
      <c r="D21" s="902">
        <f>(AA21*KFC!$B$16+KFC!$C$16)*KFC!$C$5</f>
        <v>28.888618340164484</v>
      </c>
      <c r="E21" s="898">
        <f>(AB21*KFC!$B$16+KFC!$C$16)*KFC!$C$5</f>
        <v>32.082032458646744</v>
      </c>
      <c r="F21" s="898">
        <f>(AC21*KFC!$B$16+KFC!$C$16)*KFC!$C$5</f>
        <v>35.275446577129003</v>
      </c>
      <c r="G21" s="898">
        <f>(AD21*KFC!$B$16+KFC!$C$16)*KFC!$C$5</f>
        <v>38.468860695611269</v>
      </c>
      <c r="H21" s="898">
        <f>(AE21*KFC!$B$16+KFC!$C$16)*KFC!$C$5</f>
        <v>41.662274814093522</v>
      </c>
      <c r="I21" s="898">
        <f>(AF21*KFC!$B$16+KFC!$C$16)*KFC!$C$5</f>
        <v>44.855688932575781</v>
      </c>
      <c r="J21" s="898">
        <f>(AG21*KFC!$B$16+KFC!$C$16)*KFC!$C$5</f>
        <v>48.04910305105804</v>
      </c>
      <c r="K21" s="898">
        <f>(AH21*KFC!$B$16+KFC!$C$16)*KFC!$C$5</f>
        <v>51.242517169540307</v>
      </c>
      <c r="L21" s="898">
        <f>(AI21*KFC!$B$16+KFC!$C$16)*KFC!$C$5</f>
        <v>54.435931288022566</v>
      </c>
      <c r="M21" s="898">
        <f>(AJ21*KFC!$B$16+KFC!$C$16)*KFC!$C$5</f>
        <v>57.629345406504825</v>
      </c>
      <c r="N21" s="898">
        <f>(AK21*KFC!$B$16+KFC!$C$16)*KFC!$C$5</f>
        <v>60.822759524987092</v>
      </c>
      <c r="O21" s="898">
        <f>(AL21*KFC!$B$16+KFC!$C$16)*KFC!$C$5</f>
        <v>64.016173643469358</v>
      </c>
      <c r="P21" s="898">
        <f>(AM21*KFC!$B$16+KFC!$C$16)*KFC!$C$5</f>
        <v>67.20958776195161</v>
      </c>
      <c r="Q21" s="898">
        <f>(AN21*KFC!$B$16+KFC!$C$16)*KFC!$C$5</f>
        <v>70.403001880433877</v>
      </c>
      <c r="R21" s="898">
        <f>(AO21*KFC!$B$16+KFC!$C$16)*KFC!$C$5</f>
        <v>73.596415998916143</v>
      </c>
      <c r="S21" s="898">
        <f>(AP21*KFC!$B$16+KFC!$C$16)*KFC!$C$5</f>
        <v>76.789830117398395</v>
      </c>
      <c r="T21" s="898">
        <f>(AQ21*KFC!$B$16+KFC!$C$16)*KFC!$C$5</f>
        <v>79.983244235880662</v>
      </c>
      <c r="U21" s="898">
        <f>(AR21*KFC!$B$16+KFC!$C$16)*KFC!$C$5</f>
        <v>83.176658354362928</v>
      </c>
      <c r="V21" s="898">
        <f>(AS21*KFC!$B$16+KFC!$C$16)*KFC!$C$5</f>
        <v>86.37007247284518</v>
      </c>
      <c r="W21" s="903">
        <f>(AT21*KFC!$B$16+KFC!$C$16)*KFC!$C$5</f>
        <v>89.563486591327461</v>
      </c>
      <c r="Y21" s="1431"/>
      <c r="Z21" s="649">
        <v>1.5</v>
      </c>
      <c r="AA21" s="882">
        <v>28.888618340164484</v>
      </c>
      <c r="AB21" s="882">
        <v>32.082032458646744</v>
      </c>
      <c r="AC21" s="882">
        <v>35.275446577129003</v>
      </c>
      <c r="AD21" s="882">
        <v>38.468860695611269</v>
      </c>
      <c r="AE21" s="882">
        <v>41.662274814093522</v>
      </c>
      <c r="AF21" s="882">
        <v>44.855688932575781</v>
      </c>
      <c r="AG21" s="882">
        <v>48.04910305105804</v>
      </c>
      <c r="AH21" s="882">
        <v>51.242517169540307</v>
      </c>
      <c r="AI21" s="882">
        <v>54.435931288022566</v>
      </c>
      <c r="AJ21" s="882">
        <v>57.629345406504825</v>
      </c>
      <c r="AK21" s="882">
        <v>60.822759524987092</v>
      </c>
      <c r="AL21" s="882">
        <v>64.016173643469358</v>
      </c>
      <c r="AM21" s="882">
        <v>67.20958776195161</v>
      </c>
      <c r="AN21" s="882">
        <v>70.403001880433877</v>
      </c>
      <c r="AO21" s="882">
        <v>73.596415998916143</v>
      </c>
      <c r="AP21" s="882">
        <v>76.789830117398395</v>
      </c>
      <c r="AQ21" s="882">
        <v>79.983244235880662</v>
      </c>
      <c r="AR21" s="882">
        <v>83.176658354362928</v>
      </c>
      <c r="AS21" s="882">
        <v>86.37007247284518</v>
      </c>
      <c r="AT21" s="882">
        <v>89.563486591327461</v>
      </c>
    </row>
    <row r="22" spans="1:46">
      <c r="A22" s="1426"/>
      <c r="B22" s="1427"/>
      <c r="C22" s="887">
        <v>1.6</v>
      </c>
      <c r="D22" s="902">
        <f>(AA22*KFC!$B$16+KFC!$C$16)*KFC!$C$5</f>
        <v>29.367499917770981</v>
      </c>
      <c r="E22" s="898">
        <f>(AB22*KFC!$B$16+KFC!$C$16)*KFC!$C$5</f>
        <v>32.667756141217239</v>
      </c>
      <c r="F22" s="898">
        <f>(AC22*KFC!$B$16+KFC!$C$16)*KFC!$C$5</f>
        <v>35.968012364663501</v>
      </c>
      <c r="G22" s="898">
        <f>(AD22*KFC!$B$16+KFC!$C$16)*KFC!$C$5</f>
        <v>39.268268588109763</v>
      </c>
      <c r="H22" s="898">
        <f>(AE22*KFC!$B$16+KFC!$C$16)*KFC!$C$5</f>
        <v>42.568524811556031</v>
      </c>
      <c r="I22" s="898">
        <f>(AF22*KFC!$B$16+KFC!$C$16)*KFC!$C$5</f>
        <v>45.868781035002293</v>
      </c>
      <c r="J22" s="898">
        <f>(AG22*KFC!$B$16+KFC!$C$16)*KFC!$C$5</f>
        <v>49.169037258448547</v>
      </c>
      <c r="K22" s="898">
        <f>(AH22*KFC!$B$16+KFC!$C$16)*KFC!$C$5</f>
        <v>52.469293481894816</v>
      </c>
      <c r="L22" s="898">
        <f>(AI22*KFC!$B$16+KFC!$C$16)*KFC!$C$5</f>
        <v>55.769549705341078</v>
      </c>
      <c r="M22" s="898">
        <f>(AJ22*KFC!$B$16+KFC!$C$16)*KFC!$C$5</f>
        <v>59.069805928787346</v>
      </c>
      <c r="N22" s="898">
        <f>(AK22*KFC!$B$16+KFC!$C$16)*KFC!$C$5</f>
        <v>62.370062152233608</v>
      </c>
      <c r="O22" s="898">
        <f>(AL22*KFC!$B$16+KFC!$C$16)*KFC!$C$5</f>
        <v>65.670318375679869</v>
      </c>
      <c r="P22" s="898">
        <f>(AM22*KFC!$B$16+KFC!$C$16)*KFC!$C$5</f>
        <v>68.970574599126124</v>
      </c>
      <c r="Q22" s="898">
        <f>(AN22*KFC!$B$16+KFC!$C$16)*KFC!$C$5</f>
        <v>72.270830822572378</v>
      </c>
      <c r="R22" s="898">
        <f>(AO22*KFC!$B$16+KFC!$C$16)*KFC!$C$5</f>
        <v>75.571087046018633</v>
      </c>
      <c r="S22" s="898">
        <f>(AP22*KFC!$B$16+KFC!$C$16)*KFC!$C$5</f>
        <v>78.871343269464887</v>
      </c>
      <c r="T22" s="898">
        <f>(AQ22*KFC!$B$16+KFC!$C$16)*KFC!$C$5</f>
        <v>82.171599492911142</v>
      </c>
      <c r="U22" s="898">
        <f>(AR22*KFC!$B$16+KFC!$C$16)*KFC!$C$5</f>
        <v>85.471855716357396</v>
      </c>
      <c r="V22" s="898">
        <f>(AS22*KFC!$B$16+KFC!$C$16)*KFC!$C$5</f>
        <v>88.772111939803651</v>
      </c>
      <c r="W22" s="903">
        <f>(AT22*KFC!$B$16+KFC!$C$16)*KFC!$C$5</f>
        <v>92.072368163249948</v>
      </c>
      <c r="Y22" s="1431"/>
      <c r="Z22" s="649">
        <v>1.6</v>
      </c>
      <c r="AA22" s="882">
        <v>29.367499917770981</v>
      </c>
      <c r="AB22" s="882">
        <v>32.667756141217239</v>
      </c>
      <c r="AC22" s="882">
        <v>35.968012364663501</v>
      </c>
      <c r="AD22" s="882">
        <v>39.268268588109763</v>
      </c>
      <c r="AE22" s="882">
        <v>42.568524811556031</v>
      </c>
      <c r="AF22" s="882">
        <v>45.868781035002293</v>
      </c>
      <c r="AG22" s="882">
        <v>49.169037258448547</v>
      </c>
      <c r="AH22" s="882">
        <v>52.469293481894816</v>
      </c>
      <c r="AI22" s="882">
        <v>55.769549705341078</v>
      </c>
      <c r="AJ22" s="882">
        <v>59.069805928787346</v>
      </c>
      <c r="AK22" s="882">
        <v>62.370062152233608</v>
      </c>
      <c r="AL22" s="882">
        <v>65.670318375679869</v>
      </c>
      <c r="AM22" s="882">
        <v>68.970574599126124</v>
      </c>
      <c r="AN22" s="882">
        <v>72.270830822572378</v>
      </c>
      <c r="AO22" s="882">
        <v>75.571087046018633</v>
      </c>
      <c r="AP22" s="882">
        <v>78.871343269464887</v>
      </c>
      <c r="AQ22" s="882">
        <v>82.171599492911142</v>
      </c>
      <c r="AR22" s="882">
        <v>85.471855716357396</v>
      </c>
      <c r="AS22" s="882">
        <v>88.772111939803651</v>
      </c>
      <c r="AT22" s="882">
        <v>92.072368163249948</v>
      </c>
    </row>
    <row r="23" spans="1:46">
      <c r="A23" s="1426"/>
      <c r="B23" s="1427"/>
      <c r="C23" s="887">
        <v>1.7</v>
      </c>
      <c r="D23" s="902">
        <f>(AA23*KFC!$B$16+KFC!$C$16)*KFC!$C$5</f>
        <v>29.846381495377482</v>
      </c>
      <c r="E23" s="898">
        <f>(AB23*KFC!$B$16+KFC!$C$16)*KFC!$C$5</f>
        <v>33.253479823787742</v>
      </c>
      <c r="F23" s="898">
        <f>(AC23*KFC!$B$16+KFC!$C$16)*KFC!$C$5</f>
        <v>36.660578152197999</v>
      </c>
      <c r="G23" s="898">
        <f>(AD23*KFC!$B$16+KFC!$C$16)*KFC!$C$5</f>
        <v>40.06767648060827</v>
      </c>
      <c r="H23" s="898">
        <f>(AE23*KFC!$B$16+KFC!$C$16)*KFC!$C$5</f>
        <v>43.474774809018534</v>
      </c>
      <c r="I23" s="898">
        <f>(AF23*KFC!$B$16+KFC!$C$16)*KFC!$C$5</f>
        <v>46.881873137428798</v>
      </c>
      <c r="J23" s="898">
        <f>(AG23*KFC!$B$16+KFC!$C$16)*KFC!$C$5</f>
        <v>50.288971465839062</v>
      </c>
      <c r="K23" s="898">
        <f>(AH23*KFC!$B$16+KFC!$C$16)*KFC!$C$5</f>
        <v>53.696069794249325</v>
      </c>
      <c r="L23" s="898">
        <f>(AI23*KFC!$B$16+KFC!$C$16)*KFC!$C$5</f>
        <v>57.103168122659589</v>
      </c>
      <c r="M23" s="898">
        <f>(AJ23*KFC!$B$16+KFC!$C$16)*KFC!$C$5</f>
        <v>60.510266451069853</v>
      </c>
      <c r="N23" s="898">
        <f>(AK23*KFC!$B$16+KFC!$C$16)*KFC!$C$5</f>
        <v>63.91736477948011</v>
      </c>
      <c r="O23" s="898">
        <f>(AL23*KFC!$B$16+KFC!$C$16)*KFC!$C$5</f>
        <v>67.324463107890381</v>
      </c>
      <c r="P23" s="898">
        <f>(AM23*KFC!$B$16+KFC!$C$16)*KFC!$C$5</f>
        <v>70.731561436300638</v>
      </c>
      <c r="Q23" s="898">
        <f>(AN23*KFC!$B$16+KFC!$C$16)*KFC!$C$5</f>
        <v>74.138659764710894</v>
      </c>
      <c r="R23" s="898">
        <f>(AO23*KFC!$B$16+KFC!$C$16)*KFC!$C$5</f>
        <v>77.545758093121165</v>
      </c>
      <c r="S23" s="898">
        <f>(AP23*KFC!$B$16+KFC!$C$16)*KFC!$C$5</f>
        <v>80.952856421531436</v>
      </c>
      <c r="T23" s="898">
        <f>(AQ23*KFC!$B$16+KFC!$C$16)*KFC!$C$5</f>
        <v>84.359954749941707</v>
      </c>
      <c r="U23" s="898">
        <f>(AR23*KFC!$B$16+KFC!$C$16)*KFC!$C$5</f>
        <v>87.767053078351964</v>
      </c>
      <c r="V23" s="898">
        <f>(AS23*KFC!$B$16+KFC!$C$16)*KFC!$C$5</f>
        <v>91.174151406762221</v>
      </c>
      <c r="W23" s="903">
        <f>(AT23*KFC!$B$16+KFC!$C$16)*KFC!$C$5</f>
        <v>94.581249735172449</v>
      </c>
      <c r="Y23" s="1431"/>
      <c r="Z23" s="649">
        <v>1.7</v>
      </c>
      <c r="AA23" s="882">
        <v>29.846381495377482</v>
      </c>
      <c r="AB23" s="882">
        <v>33.253479823787742</v>
      </c>
      <c r="AC23" s="882">
        <v>36.660578152197999</v>
      </c>
      <c r="AD23" s="882">
        <v>40.06767648060827</v>
      </c>
      <c r="AE23" s="882">
        <v>43.474774809018534</v>
      </c>
      <c r="AF23" s="882">
        <v>46.881873137428798</v>
      </c>
      <c r="AG23" s="882">
        <v>50.288971465839062</v>
      </c>
      <c r="AH23" s="882">
        <v>53.696069794249325</v>
      </c>
      <c r="AI23" s="882">
        <v>57.103168122659589</v>
      </c>
      <c r="AJ23" s="882">
        <v>60.510266451069853</v>
      </c>
      <c r="AK23" s="882">
        <v>63.91736477948011</v>
      </c>
      <c r="AL23" s="882">
        <v>67.324463107890381</v>
      </c>
      <c r="AM23" s="882">
        <v>70.731561436300638</v>
      </c>
      <c r="AN23" s="882">
        <v>74.138659764710894</v>
      </c>
      <c r="AO23" s="882">
        <v>77.545758093121165</v>
      </c>
      <c r="AP23" s="882">
        <v>80.952856421531436</v>
      </c>
      <c r="AQ23" s="882">
        <v>84.359954749941707</v>
      </c>
      <c r="AR23" s="882">
        <v>87.767053078351964</v>
      </c>
      <c r="AS23" s="882">
        <v>91.174151406762221</v>
      </c>
      <c r="AT23" s="882">
        <v>94.581249735172449</v>
      </c>
    </row>
    <row r="24" spans="1:46">
      <c r="A24" s="1426"/>
      <c r="B24" s="1427"/>
      <c r="C24" s="887">
        <v>1.8</v>
      </c>
      <c r="D24" s="902">
        <f>(AA24*KFC!$B$16+KFC!$C$16)*KFC!$C$5</f>
        <v>30.325263072983979</v>
      </c>
      <c r="E24" s="898">
        <f>(AB24*KFC!$B$16+KFC!$C$16)*KFC!$C$5</f>
        <v>33.839203506358238</v>
      </c>
      <c r="F24" s="898">
        <f>(AC24*KFC!$B$16+KFC!$C$16)*KFC!$C$5</f>
        <v>37.353143939732497</v>
      </c>
      <c r="G24" s="898">
        <f>(AD24*KFC!$B$16+KFC!$C$16)*KFC!$C$5</f>
        <v>40.867084373106763</v>
      </c>
      <c r="H24" s="898">
        <f>(AE24*KFC!$B$16+KFC!$C$16)*KFC!$C$5</f>
        <v>44.381024806481015</v>
      </c>
      <c r="I24" s="898">
        <f>(AF24*KFC!$B$16+KFC!$C$16)*KFC!$C$5</f>
        <v>47.894965239855281</v>
      </c>
      <c r="J24" s="898">
        <f>(AG24*KFC!$B$16+KFC!$C$16)*KFC!$C$5</f>
        <v>51.40890567322954</v>
      </c>
      <c r="K24" s="898">
        <f>(AH24*KFC!$B$16+KFC!$C$16)*KFC!$C$5</f>
        <v>54.922846106603792</v>
      </c>
      <c r="L24" s="898">
        <f>(AI24*KFC!$B$16+KFC!$C$16)*KFC!$C$5</f>
        <v>58.436786539978058</v>
      </c>
      <c r="M24" s="898">
        <f>(AJ24*KFC!$B$16+KFC!$C$16)*KFC!$C$5</f>
        <v>61.950726973352317</v>
      </c>
      <c r="N24" s="898">
        <f>(AK24*KFC!$B$16+KFC!$C$16)*KFC!$C$5</f>
        <v>65.464667406726576</v>
      </c>
      <c r="O24" s="898">
        <f>(AL24*KFC!$B$16+KFC!$C$16)*KFC!$C$5</f>
        <v>68.97860784010085</v>
      </c>
      <c r="P24" s="898">
        <f>(AM24*KFC!$B$16+KFC!$C$16)*KFC!$C$5</f>
        <v>72.492548273475094</v>
      </c>
      <c r="Q24" s="898">
        <f>(AN24*KFC!$B$16+KFC!$C$16)*KFC!$C$5</f>
        <v>76.006488706849353</v>
      </c>
      <c r="R24" s="898">
        <f>(AO24*KFC!$B$16+KFC!$C$16)*KFC!$C$5</f>
        <v>79.520429140223627</v>
      </c>
      <c r="S24" s="898">
        <f>(AP24*KFC!$B$16+KFC!$C$16)*KFC!$C$5</f>
        <v>83.034369573597871</v>
      </c>
      <c r="T24" s="898">
        <f>(AQ24*KFC!$B$16+KFC!$C$16)*KFC!$C$5</f>
        <v>86.54831000697213</v>
      </c>
      <c r="U24" s="898">
        <f>(AR24*KFC!$B$16+KFC!$C$16)*KFC!$C$5</f>
        <v>90.062250440346389</v>
      </c>
      <c r="V24" s="898">
        <f>(AS24*KFC!$B$16+KFC!$C$16)*KFC!$C$5</f>
        <v>93.576190873720648</v>
      </c>
      <c r="W24" s="903">
        <f>(AT24*KFC!$B$16+KFC!$C$16)*KFC!$C$5</f>
        <v>97.09013130709495</v>
      </c>
      <c r="Y24" s="1431"/>
      <c r="Z24" s="649">
        <v>1.8</v>
      </c>
      <c r="AA24" s="882">
        <v>30.325263072983979</v>
      </c>
      <c r="AB24" s="882">
        <v>33.839203506358238</v>
      </c>
      <c r="AC24" s="882">
        <v>37.353143939732497</v>
      </c>
      <c r="AD24" s="882">
        <v>40.867084373106763</v>
      </c>
      <c r="AE24" s="882">
        <v>44.381024806481015</v>
      </c>
      <c r="AF24" s="882">
        <v>47.894965239855281</v>
      </c>
      <c r="AG24" s="882">
        <v>51.40890567322954</v>
      </c>
      <c r="AH24" s="882">
        <v>54.922846106603792</v>
      </c>
      <c r="AI24" s="882">
        <v>58.436786539978058</v>
      </c>
      <c r="AJ24" s="882">
        <v>61.950726973352317</v>
      </c>
      <c r="AK24" s="882">
        <v>65.464667406726576</v>
      </c>
      <c r="AL24" s="882">
        <v>68.97860784010085</v>
      </c>
      <c r="AM24" s="882">
        <v>72.492548273475094</v>
      </c>
      <c r="AN24" s="882">
        <v>76.006488706849353</v>
      </c>
      <c r="AO24" s="882">
        <v>79.520429140223627</v>
      </c>
      <c r="AP24" s="882">
        <v>83.034369573597871</v>
      </c>
      <c r="AQ24" s="882">
        <v>86.54831000697213</v>
      </c>
      <c r="AR24" s="882">
        <v>90.062250440346389</v>
      </c>
      <c r="AS24" s="882">
        <v>93.576190873720648</v>
      </c>
      <c r="AT24" s="882">
        <v>97.09013130709495</v>
      </c>
    </row>
    <row r="25" spans="1:46">
      <c r="A25" s="1426"/>
      <c r="B25" s="1427"/>
      <c r="C25" s="887">
        <v>1.9</v>
      </c>
      <c r="D25" s="902">
        <f>(AA25*KFC!$B$16+KFC!$C$16)*KFC!$C$5</f>
        <v>30.804144650590477</v>
      </c>
      <c r="E25" s="898">
        <f>(AB25*KFC!$B$16+KFC!$C$16)*KFC!$C$5</f>
        <v>34.424927188928741</v>
      </c>
      <c r="F25" s="898">
        <f>(AC25*KFC!$B$16+KFC!$C$16)*KFC!$C$5</f>
        <v>38.045709727267003</v>
      </c>
      <c r="G25" s="898">
        <f>(AD25*KFC!$B$16+KFC!$C$16)*KFC!$C$5</f>
        <v>41.666492265605264</v>
      </c>
      <c r="H25" s="898">
        <f>(AE25*KFC!$B$16+KFC!$C$16)*KFC!$C$5</f>
        <v>45.287274803943525</v>
      </c>
      <c r="I25" s="898">
        <f>(AF25*KFC!$B$16+KFC!$C$16)*KFC!$C$5</f>
        <v>48.908057342281779</v>
      </c>
      <c r="J25" s="898">
        <f>(AG25*KFC!$B$16+KFC!$C$16)*KFC!$C$5</f>
        <v>52.528839880620048</v>
      </c>
      <c r="K25" s="898">
        <f>(AH25*KFC!$B$16+KFC!$C$16)*KFC!$C$5</f>
        <v>56.149622418958302</v>
      </c>
      <c r="L25" s="898">
        <f>(AI25*KFC!$B$16+KFC!$C$16)*KFC!$C$5</f>
        <v>59.77040495729657</v>
      </c>
      <c r="M25" s="898">
        <f>(AJ25*KFC!$B$16+KFC!$C$16)*KFC!$C$5</f>
        <v>63.391187495634831</v>
      </c>
      <c r="N25" s="898">
        <f>(AK25*KFC!$B$16+KFC!$C$16)*KFC!$C$5</f>
        <v>67.011970033973085</v>
      </c>
      <c r="O25" s="898">
        <f>(AL25*KFC!$B$16+KFC!$C$16)*KFC!$C$5</f>
        <v>70.632752572311333</v>
      </c>
      <c r="P25" s="898">
        <f>(AM25*KFC!$B$16+KFC!$C$16)*KFC!$C$5</f>
        <v>74.25353511064958</v>
      </c>
      <c r="Q25" s="898">
        <f>(AN25*KFC!$B$16+KFC!$C$16)*KFC!$C$5</f>
        <v>77.874317648987841</v>
      </c>
      <c r="R25" s="898">
        <f>(AO25*KFC!$B$16+KFC!$C$16)*KFC!$C$5</f>
        <v>81.495100187326102</v>
      </c>
      <c r="S25" s="898">
        <f>(AP25*KFC!$B$16+KFC!$C$16)*KFC!$C$5</f>
        <v>85.115882725664349</v>
      </c>
      <c r="T25" s="898">
        <f>(AQ25*KFC!$B$16+KFC!$C$16)*KFC!$C$5</f>
        <v>88.73666526400261</v>
      </c>
      <c r="U25" s="898">
        <f>(AR25*KFC!$B$16+KFC!$C$16)*KFC!$C$5</f>
        <v>92.357447802340857</v>
      </c>
      <c r="V25" s="898">
        <f>(AS25*KFC!$B$16+KFC!$C$16)*KFC!$C$5</f>
        <v>95.978230340679104</v>
      </c>
      <c r="W25" s="903">
        <f>(AT25*KFC!$B$16+KFC!$C$16)*KFC!$C$5</f>
        <v>99.599012879017437</v>
      </c>
      <c r="Y25" s="1431"/>
      <c r="Z25" s="649">
        <v>1.9</v>
      </c>
      <c r="AA25" s="882">
        <v>30.804144650590477</v>
      </c>
      <c r="AB25" s="882">
        <v>34.424927188928741</v>
      </c>
      <c r="AC25" s="882">
        <v>38.045709727267003</v>
      </c>
      <c r="AD25" s="882">
        <v>41.666492265605264</v>
      </c>
      <c r="AE25" s="882">
        <v>45.287274803943525</v>
      </c>
      <c r="AF25" s="882">
        <v>48.908057342281779</v>
      </c>
      <c r="AG25" s="882">
        <v>52.528839880620048</v>
      </c>
      <c r="AH25" s="882">
        <v>56.149622418958302</v>
      </c>
      <c r="AI25" s="882">
        <v>59.77040495729657</v>
      </c>
      <c r="AJ25" s="882">
        <v>63.391187495634831</v>
      </c>
      <c r="AK25" s="882">
        <v>67.011970033973085</v>
      </c>
      <c r="AL25" s="882">
        <v>70.632752572311333</v>
      </c>
      <c r="AM25" s="882">
        <v>74.25353511064958</v>
      </c>
      <c r="AN25" s="882">
        <v>77.874317648987841</v>
      </c>
      <c r="AO25" s="882">
        <v>81.495100187326102</v>
      </c>
      <c r="AP25" s="882">
        <v>85.115882725664349</v>
      </c>
      <c r="AQ25" s="882">
        <v>88.73666526400261</v>
      </c>
      <c r="AR25" s="882">
        <v>92.357447802340857</v>
      </c>
      <c r="AS25" s="882">
        <v>95.978230340679104</v>
      </c>
      <c r="AT25" s="882">
        <v>99.599012879017437</v>
      </c>
    </row>
    <row r="26" spans="1:46">
      <c r="A26" s="1426"/>
      <c r="B26" s="1427"/>
      <c r="C26" s="887">
        <v>2</v>
      </c>
      <c r="D26" s="902">
        <f>(AA26*KFC!$B$16+KFC!$C$16)*KFC!$C$5</f>
        <v>31.283026228196977</v>
      </c>
      <c r="E26" s="898">
        <f>(AB26*KFC!$B$16+KFC!$C$16)*KFC!$C$5</f>
        <v>35.010650871499237</v>
      </c>
      <c r="F26" s="898">
        <f>(AC26*KFC!$B$16+KFC!$C$16)*KFC!$C$5</f>
        <v>38.738275514801501</v>
      </c>
      <c r="G26" s="898">
        <f>(AD26*KFC!$B$16+KFC!$C$16)*KFC!$C$5</f>
        <v>42.465900158103764</v>
      </c>
      <c r="H26" s="898">
        <f>(AE26*KFC!$B$16+KFC!$C$16)*KFC!$C$5</f>
        <v>46.193524801406021</v>
      </c>
      <c r="I26" s="898">
        <f>(AF26*KFC!$B$16+KFC!$C$16)*KFC!$C$5</f>
        <v>49.921149444708291</v>
      </c>
      <c r="J26" s="898">
        <f>(AG26*KFC!$B$16+KFC!$C$16)*KFC!$C$5</f>
        <v>53.648774088010555</v>
      </c>
      <c r="K26" s="898">
        <f>(AH26*KFC!$B$16+KFC!$C$16)*KFC!$C$5</f>
        <v>57.376398731312818</v>
      </c>
      <c r="L26" s="898">
        <f>(AI26*KFC!$B$16+KFC!$C$16)*KFC!$C$5</f>
        <v>61.104023374615075</v>
      </c>
      <c r="M26" s="898">
        <f>(AJ26*KFC!$B$16+KFC!$C$16)*KFC!$C$5</f>
        <v>64.831648017917345</v>
      </c>
      <c r="N26" s="898">
        <f>(AK26*KFC!$B$16+KFC!$C$16)*KFC!$C$5</f>
        <v>68.559272661219595</v>
      </c>
      <c r="O26" s="898">
        <f>(AL26*KFC!$B$16+KFC!$C$16)*KFC!$C$5</f>
        <v>72.286897304521858</v>
      </c>
      <c r="P26" s="898">
        <f>(AM26*KFC!$B$16+KFC!$C$16)*KFC!$C$5</f>
        <v>76.014521947824122</v>
      </c>
      <c r="Q26" s="898">
        <f>(AN26*KFC!$B$16+KFC!$C$16)*KFC!$C$5</f>
        <v>79.742146591126385</v>
      </c>
      <c r="R26" s="898">
        <f>(AO26*KFC!$B$16+KFC!$C$16)*KFC!$C$5</f>
        <v>83.469771234428649</v>
      </c>
      <c r="S26" s="898">
        <f>(AP26*KFC!$B$16+KFC!$C$16)*KFC!$C$5</f>
        <v>87.197395877730926</v>
      </c>
      <c r="T26" s="898">
        <f>(AQ26*KFC!$B$16+KFC!$C$16)*KFC!$C$5</f>
        <v>90.925020521033176</v>
      </c>
      <c r="U26" s="898">
        <f>(AR26*KFC!$B$16+KFC!$C$16)*KFC!$C$5</f>
        <v>94.652645164335425</v>
      </c>
      <c r="V26" s="898">
        <f>(AS26*KFC!$B$16+KFC!$C$16)*KFC!$C$5</f>
        <v>98.380269807637703</v>
      </c>
      <c r="W26" s="903">
        <f>(AT26*KFC!$B$16+KFC!$C$16)*KFC!$C$5</f>
        <v>102.10789445093992</v>
      </c>
      <c r="Y26" s="1431"/>
      <c r="Z26" s="649">
        <v>2</v>
      </c>
      <c r="AA26" s="882">
        <v>31.283026228196977</v>
      </c>
      <c r="AB26" s="882">
        <v>35.010650871499237</v>
      </c>
      <c r="AC26" s="882">
        <v>38.738275514801501</v>
      </c>
      <c r="AD26" s="882">
        <v>42.465900158103764</v>
      </c>
      <c r="AE26" s="882">
        <v>46.193524801406021</v>
      </c>
      <c r="AF26" s="882">
        <v>49.921149444708291</v>
      </c>
      <c r="AG26" s="882">
        <v>53.648774088010555</v>
      </c>
      <c r="AH26" s="882">
        <v>57.376398731312818</v>
      </c>
      <c r="AI26" s="882">
        <v>61.104023374615075</v>
      </c>
      <c r="AJ26" s="882">
        <v>64.831648017917345</v>
      </c>
      <c r="AK26" s="882">
        <v>68.559272661219595</v>
      </c>
      <c r="AL26" s="882">
        <v>72.286897304521858</v>
      </c>
      <c r="AM26" s="882">
        <v>76.014521947824122</v>
      </c>
      <c r="AN26" s="882">
        <v>79.742146591126385</v>
      </c>
      <c r="AO26" s="882">
        <v>83.469771234428649</v>
      </c>
      <c r="AP26" s="882">
        <v>87.197395877730926</v>
      </c>
      <c r="AQ26" s="882">
        <v>90.925020521033176</v>
      </c>
      <c r="AR26" s="882">
        <v>94.652645164335425</v>
      </c>
      <c r="AS26" s="882">
        <v>98.380269807637703</v>
      </c>
      <c r="AT26" s="882">
        <v>102.10789445093992</v>
      </c>
    </row>
    <row r="27" spans="1:46">
      <c r="A27" s="1426"/>
      <c r="B27" s="1427"/>
      <c r="C27" s="887">
        <v>2.1</v>
      </c>
      <c r="D27" s="902">
        <f>(AA27*KFC!$B$16+KFC!$C$16)*KFC!$C$5</f>
        <v>31.761907805803475</v>
      </c>
      <c r="E27" s="898">
        <f>(AB27*KFC!$B$16+KFC!$C$16)*KFC!$C$5</f>
        <v>35.59637455406974</v>
      </c>
      <c r="F27" s="898">
        <f>(AC27*KFC!$B$16+KFC!$C$16)*KFC!$C$5</f>
        <v>39.430841302335999</v>
      </c>
      <c r="G27" s="898">
        <f>(AD27*KFC!$B$16+KFC!$C$16)*KFC!$C$5</f>
        <v>43.265308050602258</v>
      </c>
      <c r="H27" s="898">
        <f>(AE27*KFC!$B$16+KFC!$C$16)*KFC!$C$5</f>
        <v>47.099774798868509</v>
      </c>
      <c r="I27" s="898">
        <f>(AF27*KFC!$B$16+KFC!$C$16)*KFC!$C$5</f>
        <v>50.934241547134775</v>
      </c>
      <c r="J27" s="898">
        <f>(AG27*KFC!$B$16+KFC!$C$16)*KFC!$C$5</f>
        <v>54.768708295401026</v>
      </c>
      <c r="K27" s="898">
        <f>(AH27*KFC!$B$16+KFC!$C$16)*KFC!$C$5</f>
        <v>58.603175043667285</v>
      </c>
      <c r="L27" s="898">
        <f>(AI27*KFC!$B$16+KFC!$C$16)*KFC!$C$5</f>
        <v>62.437641791933544</v>
      </c>
      <c r="M27" s="898">
        <f>(AJ27*KFC!$B$16+KFC!$C$16)*KFC!$C$5</f>
        <v>66.27210854019981</v>
      </c>
      <c r="N27" s="898">
        <f>(AK27*KFC!$B$16+KFC!$C$16)*KFC!$C$5</f>
        <v>70.106575288466061</v>
      </c>
      <c r="O27" s="898">
        <f>(AL27*KFC!$B$16+KFC!$C$16)*KFC!$C$5</f>
        <v>73.941042036732327</v>
      </c>
      <c r="P27" s="898">
        <f>(AM27*KFC!$B$16+KFC!$C$16)*KFC!$C$5</f>
        <v>77.775508784998578</v>
      </c>
      <c r="Q27" s="898">
        <f>(AN27*KFC!$B$16+KFC!$C$16)*KFC!$C$5</f>
        <v>81.609975533264844</v>
      </c>
      <c r="R27" s="898">
        <f>(AO27*KFC!$B$16+KFC!$C$16)*KFC!$C$5</f>
        <v>85.44444228153111</v>
      </c>
      <c r="S27" s="898">
        <f>(AP27*KFC!$B$16+KFC!$C$16)*KFC!$C$5</f>
        <v>89.278909029797347</v>
      </c>
      <c r="T27" s="898">
        <f>(AQ27*KFC!$B$16+KFC!$C$16)*KFC!$C$5</f>
        <v>93.113375778063613</v>
      </c>
      <c r="U27" s="898">
        <f>(AR27*KFC!$B$16+KFC!$C$16)*KFC!$C$5</f>
        <v>96.947842526329879</v>
      </c>
      <c r="V27" s="898">
        <f>(AS27*KFC!$B$16+KFC!$C$16)*KFC!$C$5</f>
        <v>100.78230927459613</v>
      </c>
      <c r="W27" s="903">
        <f>(AT27*KFC!$B$16+KFC!$C$16)*KFC!$C$5</f>
        <v>104.61677602286242</v>
      </c>
      <c r="Y27" s="1431"/>
      <c r="Z27" s="649">
        <v>2.1</v>
      </c>
      <c r="AA27" s="882">
        <v>31.761907805803475</v>
      </c>
      <c r="AB27" s="882">
        <v>35.59637455406974</v>
      </c>
      <c r="AC27" s="882">
        <v>39.430841302335999</v>
      </c>
      <c r="AD27" s="882">
        <v>43.265308050602258</v>
      </c>
      <c r="AE27" s="882">
        <v>47.099774798868509</v>
      </c>
      <c r="AF27" s="882">
        <v>50.934241547134775</v>
      </c>
      <c r="AG27" s="882">
        <v>54.768708295401026</v>
      </c>
      <c r="AH27" s="882">
        <v>58.603175043667285</v>
      </c>
      <c r="AI27" s="882">
        <v>62.437641791933544</v>
      </c>
      <c r="AJ27" s="882">
        <v>66.27210854019981</v>
      </c>
      <c r="AK27" s="882">
        <v>70.106575288466061</v>
      </c>
      <c r="AL27" s="882">
        <v>73.941042036732327</v>
      </c>
      <c r="AM27" s="882">
        <v>77.775508784998578</v>
      </c>
      <c r="AN27" s="882">
        <v>81.609975533264844</v>
      </c>
      <c r="AO27" s="882">
        <v>85.44444228153111</v>
      </c>
      <c r="AP27" s="882">
        <v>89.278909029797347</v>
      </c>
      <c r="AQ27" s="882">
        <v>93.113375778063613</v>
      </c>
      <c r="AR27" s="882">
        <v>96.947842526329879</v>
      </c>
      <c r="AS27" s="882">
        <v>100.78230927459613</v>
      </c>
      <c r="AT27" s="882">
        <v>104.61677602286242</v>
      </c>
    </row>
    <row r="28" spans="1:46" ht="15" thickBot="1">
      <c r="A28" s="1428"/>
      <c r="B28" s="1429"/>
      <c r="C28" s="888">
        <v>2.2000000000000002</v>
      </c>
      <c r="D28" s="904">
        <f>(AA28*KFC!$B$16+KFC!$C$16)*KFC!$C$5</f>
        <v>32.240789383409997</v>
      </c>
      <c r="E28" s="905">
        <f>(AB28*KFC!$B$16+KFC!$C$16)*KFC!$C$5</f>
        <v>36.182098236640265</v>
      </c>
      <c r="F28" s="905">
        <f>(AC28*KFC!$B$16+KFC!$C$16)*KFC!$C$5</f>
        <v>40.123407089870533</v>
      </c>
      <c r="G28" s="905">
        <f>(AD28*KFC!$B$16+KFC!$C$16)*KFC!$C$5</f>
        <v>44.064715943100801</v>
      </c>
      <c r="H28" s="905">
        <f>(AE28*KFC!$B$16+KFC!$C$16)*KFC!$C$5</f>
        <v>48.006024796331069</v>
      </c>
      <c r="I28" s="905">
        <f>(AF28*KFC!$B$16+KFC!$C$16)*KFC!$C$5</f>
        <v>51.94733364956133</v>
      </c>
      <c r="J28" s="905">
        <f>(AG28*KFC!$B$16+KFC!$C$16)*KFC!$C$5</f>
        <v>55.888642502791598</v>
      </c>
      <c r="K28" s="905">
        <f>(AH28*KFC!$B$16+KFC!$C$16)*KFC!$C$5</f>
        <v>59.829951356021866</v>
      </c>
      <c r="L28" s="905">
        <f>(AI28*KFC!$B$16+KFC!$C$16)*KFC!$C$5</f>
        <v>63.771260209252134</v>
      </c>
      <c r="M28" s="905">
        <f>(AJ28*KFC!$B$16+KFC!$C$16)*KFC!$C$5</f>
        <v>67.712569062482402</v>
      </c>
      <c r="N28" s="905">
        <f>(AK28*KFC!$B$16+KFC!$C$16)*KFC!$C$5</f>
        <v>71.65387791571267</v>
      </c>
      <c r="O28" s="905">
        <f>(AL28*KFC!$B$16+KFC!$C$16)*KFC!$C$5</f>
        <v>75.595186768942924</v>
      </c>
      <c r="P28" s="905">
        <f>(AM28*KFC!$B$16+KFC!$C$16)*KFC!$C$5</f>
        <v>79.536495622173206</v>
      </c>
      <c r="Q28" s="905">
        <f>(AN28*KFC!$B$16+KFC!$C$16)*KFC!$C$5</f>
        <v>83.47780447540346</v>
      </c>
      <c r="R28" s="905">
        <f>(AO28*KFC!$B$16+KFC!$C$16)*KFC!$C$5</f>
        <v>87.419113328633728</v>
      </c>
      <c r="S28" s="905">
        <f>(AP28*KFC!$B$16+KFC!$C$16)*KFC!$C$5</f>
        <v>91.360422181863996</v>
      </c>
      <c r="T28" s="905">
        <f>(AQ28*KFC!$B$16+KFC!$C$16)*KFC!$C$5</f>
        <v>95.301731035094249</v>
      </c>
      <c r="U28" s="905">
        <f>(AR28*KFC!$B$16+KFC!$C$16)*KFC!$C$5</f>
        <v>99.243039888324532</v>
      </c>
      <c r="V28" s="905">
        <f>(AS28*KFC!$B$16+KFC!$C$16)*KFC!$C$5</f>
        <v>103.1843487415548</v>
      </c>
      <c r="W28" s="906">
        <f>(AT28*KFC!$B$16+KFC!$C$16)*KFC!$C$5</f>
        <v>107.125657594785</v>
      </c>
      <c r="Y28" s="1432"/>
      <c r="Z28" s="649">
        <v>2.2000000000000002</v>
      </c>
      <c r="AA28" s="882">
        <v>32.240789383409997</v>
      </c>
      <c r="AB28" s="882">
        <v>36.182098236640265</v>
      </c>
      <c r="AC28" s="882">
        <v>40.123407089870533</v>
      </c>
      <c r="AD28" s="882">
        <v>44.064715943100801</v>
      </c>
      <c r="AE28" s="882">
        <v>48.006024796331069</v>
      </c>
      <c r="AF28" s="882">
        <v>51.94733364956133</v>
      </c>
      <c r="AG28" s="882">
        <v>55.888642502791598</v>
      </c>
      <c r="AH28" s="882">
        <v>59.829951356021866</v>
      </c>
      <c r="AI28" s="882">
        <v>63.771260209252134</v>
      </c>
      <c r="AJ28" s="882">
        <v>67.712569062482402</v>
      </c>
      <c r="AK28" s="882">
        <v>71.65387791571267</v>
      </c>
      <c r="AL28" s="882">
        <v>75.595186768942924</v>
      </c>
      <c r="AM28" s="882">
        <v>79.536495622173206</v>
      </c>
      <c r="AN28" s="882">
        <v>83.47780447540346</v>
      </c>
      <c r="AO28" s="882">
        <v>87.419113328633728</v>
      </c>
      <c r="AP28" s="882">
        <v>91.360422181863996</v>
      </c>
      <c r="AQ28" s="882">
        <v>95.301731035094249</v>
      </c>
      <c r="AR28" s="882">
        <v>99.243039888324532</v>
      </c>
      <c r="AS28" s="882">
        <v>103.1843487415548</v>
      </c>
      <c r="AT28" s="882">
        <v>107.125657594785</v>
      </c>
    </row>
    <row r="29" spans="1:46">
      <c r="A29" s="16"/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</row>
    <row r="30" spans="1:46" ht="35.25" customHeight="1" thickBot="1">
      <c r="A30" s="1033" t="s">
        <v>1222</v>
      </c>
      <c r="B30" s="1033"/>
      <c r="C30" s="1033"/>
      <c r="D30" s="1033"/>
      <c r="E30" s="1033"/>
      <c r="F30" s="1033"/>
      <c r="G30" s="1033"/>
      <c r="H30" s="1033"/>
      <c r="I30" s="1033"/>
      <c r="J30" s="1033"/>
      <c r="K30" s="1033"/>
      <c r="L30" s="1033"/>
      <c r="M30" s="1033"/>
      <c r="N30" s="1033"/>
      <c r="O30" s="1033"/>
      <c r="P30" s="1033"/>
      <c r="Q30" s="1033"/>
      <c r="R30" s="1033"/>
      <c r="S30" s="1033"/>
      <c r="T30" s="1033"/>
      <c r="U30" s="1033"/>
      <c r="V30" s="1033"/>
      <c r="W30" s="1033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</row>
    <row r="31" spans="1:46" ht="28.5" customHeight="1" thickBot="1">
      <c r="A31" s="1433"/>
      <c r="B31" s="1434"/>
      <c r="C31" s="1435"/>
      <c r="D31" s="1419" t="s">
        <v>207</v>
      </c>
      <c r="E31" s="1420"/>
      <c r="F31" s="1420"/>
      <c r="G31" s="1420"/>
      <c r="H31" s="1420"/>
      <c r="I31" s="1420"/>
      <c r="J31" s="1420"/>
      <c r="K31" s="1420"/>
      <c r="L31" s="1420"/>
      <c r="M31" s="1420"/>
      <c r="N31" s="1420"/>
      <c r="O31" s="1420"/>
      <c r="P31" s="1420"/>
      <c r="Q31" s="1420"/>
      <c r="R31" s="1420"/>
      <c r="S31" s="1420"/>
      <c r="T31" s="1420"/>
      <c r="U31" s="1420"/>
      <c r="V31" s="1420"/>
      <c r="W31" s="1421"/>
      <c r="Y31" s="1422" t="s">
        <v>1197</v>
      </c>
      <c r="Z31" s="1423"/>
      <c r="AA31" s="1410" t="s">
        <v>356</v>
      </c>
      <c r="AB31" s="1411"/>
      <c r="AC31" s="1411"/>
      <c r="AD31" s="1411"/>
      <c r="AE31" s="1411"/>
      <c r="AF31" s="1411"/>
      <c r="AG31" s="1411"/>
      <c r="AH31" s="1411"/>
      <c r="AI31" s="1411"/>
      <c r="AJ31" s="1411"/>
      <c r="AK31" s="1411"/>
      <c r="AL31" s="1411"/>
      <c r="AM31" s="1411"/>
      <c r="AN31" s="1411"/>
      <c r="AO31" s="1411"/>
      <c r="AP31" s="1411"/>
      <c r="AQ31" s="1411"/>
      <c r="AR31" s="1411"/>
      <c r="AS31" s="1411"/>
      <c r="AT31" s="1412"/>
    </row>
    <row r="32" spans="1:46" ht="14.25" customHeight="1" thickBot="1">
      <c r="A32" s="1436"/>
      <c r="B32" s="1437"/>
      <c r="C32" s="1438"/>
      <c r="D32" s="883">
        <v>0.3</v>
      </c>
      <c r="E32" s="884">
        <v>0.4</v>
      </c>
      <c r="F32" s="884">
        <v>0.5</v>
      </c>
      <c r="G32" s="884">
        <v>0.6</v>
      </c>
      <c r="H32" s="884">
        <v>0.7</v>
      </c>
      <c r="I32" s="884">
        <v>0.8</v>
      </c>
      <c r="J32" s="884">
        <v>0.9</v>
      </c>
      <c r="K32" s="884">
        <v>1</v>
      </c>
      <c r="L32" s="884">
        <v>1.1000000000000001</v>
      </c>
      <c r="M32" s="884">
        <v>1.2</v>
      </c>
      <c r="N32" s="884">
        <v>1.3</v>
      </c>
      <c r="O32" s="884">
        <v>1.4</v>
      </c>
      <c r="P32" s="884">
        <v>1.5</v>
      </c>
      <c r="Q32" s="884">
        <v>1.6</v>
      </c>
      <c r="R32" s="884">
        <v>1.7</v>
      </c>
      <c r="S32" s="884">
        <v>1.8</v>
      </c>
      <c r="T32" s="884">
        <v>1.9</v>
      </c>
      <c r="U32" s="884">
        <v>2</v>
      </c>
      <c r="V32" s="884">
        <v>2.1</v>
      </c>
      <c r="W32" s="885">
        <v>2.2000000000000002</v>
      </c>
      <c r="Y32" s="1424"/>
      <c r="Z32" s="1425"/>
      <c r="AA32" s="649">
        <v>0.3</v>
      </c>
      <c r="AB32" s="649">
        <v>0.4</v>
      </c>
      <c r="AC32" s="649">
        <v>0.5</v>
      </c>
      <c r="AD32" s="649">
        <v>0.6</v>
      </c>
      <c r="AE32" s="649">
        <v>0.7</v>
      </c>
      <c r="AF32" s="649">
        <v>0.8</v>
      </c>
      <c r="AG32" s="649">
        <v>0.9</v>
      </c>
      <c r="AH32" s="649">
        <v>1</v>
      </c>
      <c r="AI32" s="649">
        <v>1.1000000000000001</v>
      </c>
      <c r="AJ32" s="649">
        <v>1.2</v>
      </c>
      <c r="AK32" s="649">
        <v>1.3</v>
      </c>
      <c r="AL32" s="649">
        <v>1.4</v>
      </c>
      <c r="AM32" s="649">
        <v>1.5</v>
      </c>
      <c r="AN32" s="649">
        <v>1.6</v>
      </c>
      <c r="AO32" s="649">
        <v>1.7</v>
      </c>
      <c r="AP32" s="649">
        <v>1.8</v>
      </c>
      <c r="AQ32" s="649">
        <v>1.9</v>
      </c>
      <c r="AR32" s="649">
        <v>2</v>
      </c>
      <c r="AS32" s="649">
        <v>2.1</v>
      </c>
      <c r="AT32" s="649">
        <v>2.2000000000000002</v>
      </c>
    </row>
    <row r="33" spans="1:46" ht="15" customHeight="1">
      <c r="A33" s="1426" t="s">
        <v>3</v>
      </c>
      <c r="B33" s="1427"/>
      <c r="C33" s="886">
        <v>0.2</v>
      </c>
      <c r="D33" s="899">
        <f>(AA33*KFC!$B$16+KFC!$C$16)*KFC!$C$5</f>
        <v>22.682236778595001</v>
      </c>
      <c r="E33" s="900">
        <f>(AB33*KFC!$B$16+KFC!$C$16)*KFC!$C$5</f>
        <v>24.493732618398159</v>
      </c>
      <c r="F33" s="900">
        <f>(AC33*KFC!$B$16+KFC!$C$16)*KFC!$C$5</f>
        <v>26.305228458201316</v>
      </c>
      <c r="G33" s="900">
        <f>(AD33*KFC!$B$16+KFC!$C$16)*KFC!$C$5</f>
        <v>28.11672429800447</v>
      </c>
      <c r="H33" s="900">
        <f>(AE33*KFC!$B$16+KFC!$C$16)*KFC!$C$5</f>
        <v>29.928220137807628</v>
      </c>
      <c r="I33" s="900">
        <f>(AF33*KFC!$B$16+KFC!$C$16)*KFC!$C$5</f>
        <v>31.739715977610786</v>
      </c>
      <c r="J33" s="900">
        <f>(AG33*KFC!$B$16+KFC!$C$16)*KFC!$C$5</f>
        <v>33.551211817413943</v>
      </c>
      <c r="K33" s="900">
        <f>(AH33*KFC!$B$16+KFC!$C$16)*KFC!$C$5</f>
        <v>35.362707657217101</v>
      </c>
      <c r="L33" s="900">
        <f>(AI33*KFC!$B$16+KFC!$C$16)*KFC!$C$5</f>
        <v>37.174203497020258</v>
      </c>
      <c r="M33" s="900">
        <f>(AJ33*KFC!$B$16+KFC!$C$16)*KFC!$C$5</f>
        <v>38.985699336823416</v>
      </c>
      <c r="N33" s="900">
        <f>(AK33*KFC!$B$16+KFC!$C$16)*KFC!$C$5</f>
        <v>40.79719517662658</v>
      </c>
      <c r="O33" s="900">
        <f>(AL33*KFC!$B$16+KFC!$C$16)*KFC!$C$5</f>
        <v>42.608691016429738</v>
      </c>
      <c r="P33" s="900">
        <f>(AM33*KFC!$B$16+KFC!$C$16)*KFC!$C$5</f>
        <v>44.420186856232903</v>
      </c>
      <c r="Q33" s="900">
        <f>(AN33*KFC!$B$16+KFC!$C$16)*KFC!$C$5</f>
        <v>46.231682696036067</v>
      </c>
      <c r="R33" s="900">
        <f>(AO33*KFC!$B$16+KFC!$C$16)*KFC!$C$5</f>
        <v>48.043178535839218</v>
      </c>
      <c r="S33" s="900">
        <f>(AP33*KFC!$B$16+KFC!$C$16)*KFC!$C$5</f>
        <v>49.854674375642382</v>
      </c>
      <c r="T33" s="900">
        <f>(AQ33*KFC!$B$16+KFC!$C$16)*KFC!$C$5</f>
        <v>51.66617021544554</v>
      </c>
      <c r="U33" s="900">
        <f>(AR33*KFC!$B$16+KFC!$C$16)*KFC!$C$5</f>
        <v>53.477666055248704</v>
      </c>
      <c r="V33" s="900">
        <f>(AS33*KFC!$B$16+KFC!$C$16)*KFC!$C$5</f>
        <v>55.289161895051855</v>
      </c>
      <c r="W33" s="901">
        <f>(AT33*KFC!$B$16+KFC!$C$16)*KFC!$C$5</f>
        <v>57.100657734854998</v>
      </c>
      <c r="Y33" s="1430" t="s">
        <v>357</v>
      </c>
      <c r="Z33" s="649">
        <v>0.2</v>
      </c>
      <c r="AA33" s="882">
        <v>22.682236778595001</v>
      </c>
      <c r="AB33" s="882">
        <v>24.493732618398159</v>
      </c>
      <c r="AC33" s="882">
        <v>26.305228458201316</v>
      </c>
      <c r="AD33" s="882">
        <v>28.11672429800447</v>
      </c>
      <c r="AE33" s="882">
        <v>29.928220137807628</v>
      </c>
      <c r="AF33" s="882">
        <v>31.739715977610786</v>
      </c>
      <c r="AG33" s="882">
        <v>33.551211817413943</v>
      </c>
      <c r="AH33" s="882">
        <v>35.362707657217101</v>
      </c>
      <c r="AI33" s="882">
        <v>37.174203497020258</v>
      </c>
      <c r="AJ33" s="882">
        <v>38.985699336823416</v>
      </c>
      <c r="AK33" s="882">
        <v>40.79719517662658</v>
      </c>
      <c r="AL33" s="882">
        <v>42.608691016429738</v>
      </c>
      <c r="AM33" s="882">
        <v>44.420186856232903</v>
      </c>
      <c r="AN33" s="882">
        <v>46.231682696036067</v>
      </c>
      <c r="AO33" s="882">
        <v>48.043178535839218</v>
      </c>
      <c r="AP33" s="882">
        <v>49.854674375642382</v>
      </c>
      <c r="AQ33" s="882">
        <v>51.66617021544554</v>
      </c>
      <c r="AR33" s="882">
        <v>53.477666055248704</v>
      </c>
      <c r="AS33" s="882">
        <v>55.289161895051855</v>
      </c>
      <c r="AT33" s="882">
        <v>57.100657734854998</v>
      </c>
    </row>
    <row r="34" spans="1:46" ht="14.4" customHeight="1">
      <c r="A34" s="1426"/>
      <c r="B34" s="1427"/>
      <c r="C34" s="887">
        <v>0.3</v>
      </c>
      <c r="D34" s="902">
        <f>(AA34*KFC!$B$16+KFC!$C$16)*KFC!$C$5</f>
        <v>23.171611777224751</v>
      </c>
      <c r="E34" s="898">
        <f>(AB34*KFC!$B$16+KFC!$C$16)*KFC!$C$5</f>
        <v>25.09351447267445</v>
      </c>
      <c r="F34" s="898">
        <f>(AC34*KFC!$B$16+KFC!$C$16)*KFC!$C$5</f>
        <v>27.015417168124145</v>
      </c>
      <c r="G34" s="898">
        <f>(AD34*KFC!$B$16+KFC!$C$16)*KFC!$C$5</f>
        <v>28.93731986357384</v>
      </c>
      <c r="H34" s="898">
        <f>(AE34*KFC!$B$16+KFC!$C$16)*KFC!$C$5</f>
        <v>30.859222559023539</v>
      </c>
      <c r="I34" s="898">
        <f>(AF34*KFC!$B$16+KFC!$C$16)*KFC!$C$5</f>
        <v>32.781125254473238</v>
      </c>
      <c r="J34" s="898">
        <f>(AG34*KFC!$B$16+KFC!$C$16)*KFC!$C$5</f>
        <v>34.703027949922934</v>
      </c>
      <c r="K34" s="898">
        <f>(AH34*KFC!$B$16+KFC!$C$16)*KFC!$C$5</f>
        <v>36.624930645372629</v>
      </c>
      <c r="L34" s="898">
        <f>(AI34*KFC!$B$16+KFC!$C$16)*KFC!$C$5</f>
        <v>38.546833340822332</v>
      </c>
      <c r="M34" s="898">
        <f>(AJ34*KFC!$B$16+KFC!$C$16)*KFC!$C$5</f>
        <v>40.468736036272034</v>
      </c>
      <c r="N34" s="898">
        <f>(AK34*KFC!$B$16+KFC!$C$16)*KFC!$C$5</f>
        <v>42.390638731721737</v>
      </c>
      <c r="O34" s="898">
        <f>(AL34*KFC!$B$16+KFC!$C$16)*KFC!$C$5</f>
        <v>44.312541427171432</v>
      </c>
      <c r="P34" s="898">
        <f>(AM34*KFC!$B$16+KFC!$C$16)*KFC!$C$5</f>
        <v>46.234444122621134</v>
      </c>
      <c r="Q34" s="898">
        <f>(AN34*KFC!$B$16+KFC!$C$16)*KFC!$C$5</f>
        <v>48.156346818070837</v>
      </c>
      <c r="R34" s="898">
        <f>(AO34*KFC!$B$16+KFC!$C$16)*KFC!$C$5</f>
        <v>50.078249513520532</v>
      </c>
      <c r="S34" s="898">
        <f>(AP34*KFC!$B$16+KFC!$C$16)*KFC!$C$5</f>
        <v>52.000152208970235</v>
      </c>
      <c r="T34" s="898">
        <f>(AQ34*KFC!$B$16+KFC!$C$16)*KFC!$C$5</f>
        <v>53.922054904419937</v>
      </c>
      <c r="U34" s="898">
        <f>(AR34*KFC!$B$16+KFC!$C$16)*KFC!$C$5</f>
        <v>55.84395759986964</v>
      </c>
      <c r="V34" s="898">
        <f>(AS34*KFC!$B$16+KFC!$C$16)*KFC!$C$5</f>
        <v>57.765860295319335</v>
      </c>
      <c r="W34" s="903">
        <f>(AT34*KFC!$B$16+KFC!$C$16)*KFC!$C$5</f>
        <v>59.687762990769002</v>
      </c>
      <c r="Y34" s="1431"/>
      <c r="Z34" s="649">
        <v>0.3</v>
      </c>
      <c r="AA34" s="882">
        <v>23.171611777224751</v>
      </c>
      <c r="AB34" s="882">
        <v>25.09351447267445</v>
      </c>
      <c r="AC34" s="882">
        <v>27.015417168124145</v>
      </c>
      <c r="AD34" s="882">
        <v>28.93731986357384</v>
      </c>
      <c r="AE34" s="882">
        <v>30.859222559023539</v>
      </c>
      <c r="AF34" s="882">
        <v>32.781125254473238</v>
      </c>
      <c r="AG34" s="882">
        <v>34.703027949922934</v>
      </c>
      <c r="AH34" s="882">
        <v>36.624930645372629</v>
      </c>
      <c r="AI34" s="882">
        <v>38.546833340822332</v>
      </c>
      <c r="AJ34" s="882">
        <v>40.468736036272034</v>
      </c>
      <c r="AK34" s="882">
        <v>42.390638731721737</v>
      </c>
      <c r="AL34" s="882">
        <v>44.312541427171432</v>
      </c>
      <c r="AM34" s="882">
        <v>46.234444122621134</v>
      </c>
      <c r="AN34" s="882">
        <v>48.156346818070837</v>
      </c>
      <c r="AO34" s="882">
        <v>50.078249513520532</v>
      </c>
      <c r="AP34" s="882">
        <v>52.000152208970235</v>
      </c>
      <c r="AQ34" s="882">
        <v>53.922054904419937</v>
      </c>
      <c r="AR34" s="882">
        <v>55.84395759986964</v>
      </c>
      <c r="AS34" s="882">
        <v>57.765860295319335</v>
      </c>
      <c r="AT34" s="882">
        <v>59.687762990769002</v>
      </c>
    </row>
    <row r="35" spans="1:46">
      <c r="A35" s="1426"/>
      <c r="B35" s="1427"/>
      <c r="C35" s="887">
        <v>0.4</v>
      </c>
      <c r="D35" s="902">
        <f>(AA35*KFC!$B$16+KFC!$C$16)*KFC!$C$5</f>
        <v>23.6609867758545</v>
      </c>
      <c r="E35" s="898">
        <f>(AB35*KFC!$B$16+KFC!$C$16)*KFC!$C$5</f>
        <v>25.693296326950737</v>
      </c>
      <c r="F35" s="898">
        <f>(AC35*KFC!$B$16+KFC!$C$16)*KFC!$C$5</f>
        <v>27.72560587804697</v>
      </c>
      <c r="G35" s="898">
        <f>(AD35*KFC!$B$16+KFC!$C$16)*KFC!$C$5</f>
        <v>29.75791542914321</v>
      </c>
      <c r="H35" s="898">
        <f>(AE35*KFC!$B$16+KFC!$C$16)*KFC!$C$5</f>
        <v>31.790224980239447</v>
      </c>
      <c r="I35" s="898">
        <f>(AF35*KFC!$B$16+KFC!$C$16)*KFC!$C$5</f>
        <v>33.822534531335684</v>
      </c>
      <c r="J35" s="898">
        <f>(AG35*KFC!$B$16+KFC!$C$16)*KFC!$C$5</f>
        <v>35.854844082431924</v>
      </c>
      <c r="K35" s="898">
        <f>(AH35*KFC!$B$16+KFC!$C$16)*KFC!$C$5</f>
        <v>37.887153633528158</v>
      </c>
      <c r="L35" s="898">
        <f>(AI35*KFC!$B$16+KFC!$C$16)*KFC!$C$5</f>
        <v>39.919463184624391</v>
      </c>
      <c r="M35" s="898">
        <f>(AJ35*KFC!$B$16+KFC!$C$16)*KFC!$C$5</f>
        <v>41.951772735720631</v>
      </c>
      <c r="N35" s="898">
        <f>(AK35*KFC!$B$16+KFC!$C$16)*KFC!$C$5</f>
        <v>43.984082286816864</v>
      </c>
      <c r="O35" s="898">
        <f>(AL35*KFC!$B$16+KFC!$C$16)*KFC!$C$5</f>
        <v>46.016391837913091</v>
      </c>
      <c r="P35" s="898">
        <f>(AM35*KFC!$B$16+KFC!$C$16)*KFC!$C$5</f>
        <v>48.048701389009331</v>
      </c>
      <c r="Q35" s="898">
        <f>(AN35*KFC!$B$16+KFC!$C$16)*KFC!$C$5</f>
        <v>50.081010940105571</v>
      </c>
      <c r="R35" s="898">
        <f>(AO35*KFC!$B$16+KFC!$C$16)*KFC!$C$5</f>
        <v>52.113320491201797</v>
      </c>
      <c r="S35" s="898">
        <f>(AP35*KFC!$B$16+KFC!$C$16)*KFC!$C$5</f>
        <v>54.145630042298031</v>
      </c>
      <c r="T35" s="898">
        <f>(AQ35*KFC!$B$16+KFC!$C$16)*KFC!$C$5</f>
        <v>56.177939593394264</v>
      </c>
      <c r="U35" s="898">
        <f>(AR35*KFC!$B$16+KFC!$C$16)*KFC!$C$5</f>
        <v>58.210249144490497</v>
      </c>
      <c r="V35" s="898">
        <f>(AS35*KFC!$B$16+KFC!$C$16)*KFC!$C$5</f>
        <v>60.242558695586737</v>
      </c>
      <c r="W35" s="903">
        <f>(AT35*KFC!$B$16+KFC!$C$16)*KFC!$C$5</f>
        <v>62.274868246682999</v>
      </c>
      <c r="Y35" s="1431"/>
      <c r="Z35" s="649">
        <v>0.4</v>
      </c>
      <c r="AA35" s="882">
        <v>23.6609867758545</v>
      </c>
      <c r="AB35" s="882">
        <v>25.693296326950737</v>
      </c>
      <c r="AC35" s="882">
        <v>27.72560587804697</v>
      </c>
      <c r="AD35" s="882">
        <v>29.75791542914321</v>
      </c>
      <c r="AE35" s="882">
        <v>31.790224980239447</v>
      </c>
      <c r="AF35" s="882">
        <v>33.822534531335684</v>
      </c>
      <c r="AG35" s="882">
        <v>35.854844082431924</v>
      </c>
      <c r="AH35" s="882">
        <v>37.887153633528158</v>
      </c>
      <c r="AI35" s="882">
        <v>39.919463184624391</v>
      </c>
      <c r="AJ35" s="882">
        <v>41.951772735720631</v>
      </c>
      <c r="AK35" s="882">
        <v>43.984082286816864</v>
      </c>
      <c r="AL35" s="882">
        <v>46.016391837913091</v>
      </c>
      <c r="AM35" s="882">
        <v>48.048701389009331</v>
      </c>
      <c r="AN35" s="882">
        <v>50.081010940105571</v>
      </c>
      <c r="AO35" s="882">
        <v>52.113320491201797</v>
      </c>
      <c r="AP35" s="882">
        <v>54.145630042298031</v>
      </c>
      <c r="AQ35" s="882">
        <v>56.177939593394264</v>
      </c>
      <c r="AR35" s="882">
        <v>58.210249144490497</v>
      </c>
      <c r="AS35" s="882">
        <v>60.242558695586737</v>
      </c>
      <c r="AT35" s="882">
        <v>62.274868246682999</v>
      </c>
    </row>
    <row r="36" spans="1:46">
      <c r="A36" s="1426"/>
      <c r="B36" s="1427"/>
      <c r="C36" s="887">
        <v>0.5</v>
      </c>
      <c r="D36" s="902">
        <f>(AA36*KFC!$B$16+KFC!$C$16)*KFC!$C$5</f>
        <v>24.150361774484249</v>
      </c>
      <c r="E36" s="898">
        <f>(AB36*KFC!$B$16+KFC!$C$16)*KFC!$C$5</f>
        <v>26.293078181227028</v>
      </c>
      <c r="F36" s="898">
        <f>(AC36*KFC!$B$16+KFC!$C$16)*KFC!$C$5</f>
        <v>28.435794587969802</v>
      </c>
      <c r="G36" s="898">
        <f>(AD36*KFC!$B$16+KFC!$C$16)*KFC!$C$5</f>
        <v>30.57851099471258</v>
      </c>
      <c r="H36" s="898">
        <f>(AE36*KFC!$B$16+KFC!$C$16)*KFC!$C$5</f>
        <v>32.721227401455359</v>
      </c>
      <c r="I36" s="898">
        <f>(AF36*KFC!$B$16+KFC!$C$16)*KFC!$C$5</f>
        <v>34.863943808198137</v>
      </c>
      <c r="J36" s="898">
        <f>(AG36*KFC!$B$16+KFC!$C$16)*KFC!$C$5</f>
        <v>37.006660214940908</v>
      </c>
      <c r="K36" s="898">
        <f>(AH36*KFC!$B$16+KFC!$C$16)*KFC!$C$5</f>
        <v>39.149376621683686</v>
      </c>
      <c r="L36" s="898">
        <f>(AI36*KFC!$B$16+KFC!$C$16)*KFC!$C$5</f>
        <v>41.292093028426457</v>
      </c>
      <c r="M36" s="898">
        <f>(AJ36*KFC!$B$16+KFC!$C$16)*KFC!$C$5</f>
        <v>43.434809435169235</v>
      </c>
      <c r="N36" s="898">
        <f>(AK36*KFC!$B$16+KFC!$C$16)*KFC!$C$5</f>
        <v>45.577525841911999</v>
      </c>
      <c r="O36" s="898">
        <f>(AL36*KFC!$B$16+KFC!$C$16)*KFC!$C$5</f>
        <v>47.720242248654777</v>
      </c>
      <c r="P36" s="898">
        <f>(AM36*KFC!$B$16+KFC!$C$16)*KFC!$C$5</f>
        <v>49.862958655397556</v>
      </c>
      <c r="Q36" s="898">
        <f>(AN36*KFC!$B$16+KFC!$C$16)*KFC!$C$5</f>
        <v>52.00567506214032</v>
      </c>
      <c r="R36" s="898">
        <f>(AO36*KFC!$B$16+KFC!$C$16)*KFC!$C$5</f>
        <v>54.148391468883098</v>
      </c>
      <c r="S36" s="898">
        <f>(AP36*KFC!$B$16+KFC!$C$16)*KFC!$C$5</f>
        <v>56.291107875625876</v>
      </c>
      <c r="T36" s="898">
        <f>(AQ36*KFC!$B$16+KFC!$C$16)*KFC!$C$5</f>
        <v>58.43382428236864</v>
      </c>
      <c r="U36" s="898">
        <f>(AR36*KFC!$B$16+KFC!$C$16)*KFC!$C$5</f>
        <v>60.576540689111418</v>
      </c>
      <c r="V36" s="898">
        <f>(AS36*KFC!$B$16+KFC!$C$16)*KFC!$C$5</f>
        <v>62.719257095854196</v>
      </c>
      <c r="W36" s="903">
        <f>(AT36*KFC!$B$16+KFC!$C$16)*KFC!$C$5</f>
        <v>64.861973502596996</v>
      </c>
      <c r="Y36" s="1431"/>
      <c r="Z36" s="649">
        <v>0.5</v>
      </c>
      <c r="AA36" s="882">
        <v>24.150361774484249</v>
      </c>
      <c r="AB36" s="882">
        <v>26.293078181227028</v>
      </c>
      <c r="AC36" s="882">
        <v>28.435794587969802</v>
      </c>
      <c r="AD36" s="882">
        <v>30.57851099471258</v>
      </c>
      <c r="AE36" s="882">
        <v>32.721227401455359</v>
      </c>
      <c r="AF36" s="882">
        <v>34.863943808198137</v>
      </c>
      <c r="AG36" s="882">
        <v>37.006660214940908</v>
      </c>
      <c r="AH36" s="882">
        <v>39.149376621683686</v>
      </c>
      <c r="AI36" s="882">
        <v>41.292093028426457</v>
      </c>
      <c r="AJ36" s="882">
        <v>43.434809435169235</v>
      </c>
      <c r="AK36" s="882">
        <v>45.577525841911999</v>
      </c>
      <c r="AL36" s="882">
        <v>47.720242248654777</v>
      </c>
      <c r="AM36" s="882">
        <v>49.862958655397556</v>
      </c>
      <c r="AN36" s="882">
        <v>52.00567506214032</v>
      </c>
      <c r="AO36" s="882">
        <v>54.148391468883098</v>
      </c>
      <c r="AP36" s="882">
        <v>56.291107875625876</v>
      </c>
      <c r="AQ36" s="882">
        <v>58.43382428236864</v>
      </c>
      <c r="AR36" s="882">
        <v>60.576540689111418</v>
      </c>
      <c r="AS36" s="882">
        <v>62.719257095854196</v>
      </c>
      <c r="AT36" s="882">
        <v>64.861973502596996</v>
      </c>
    </row>
    <row r="37" spans="1:46">
      <c r="A37" s="1426"/>
      <c r="B37" s="1427"/>
      <c r="C37" s="887">
        <v>0.6</v>
      </c>
      <c r="D37" s="902">
        <f>(AA37*KFC!$B$16+KFC!$C$16)*KFC!$C$5</f>
        <v>24.639736773113995</v>
      </c>
      <c r="E37" s="898">
        <f>(AB37*KFC!$B$16+KFC!$C$16)*KFC!$C$5</f>
        <v>26.892860035503311</v>
      </c>
      <c r="F37" s="898">
        <f>(AC37*KFC!$B$16+KFC!$C$16)*KFC!$C$5</f>
        <v>29.145983297892631</v>
      </c>
      <c r="G37" s="898">
        <f>(AD37*KFC!$B$16+KFC!$C$16)*KFC!$C$5</f>
        <v>31.399106560281947</v>
      </c>
      <c r="H37" s="898">
        <f>(AE37*KFC!$B$16+KFC!$C$16)*KFC!$C$5</f>
        <v>33.652229822671266</v>
      </c>
      <c r="I37" s="898">
        <f>(AF37*KFC!$B$16+KFC!$C$16)*KFC!$C$5</f>
        <v>35.905353085060575</v>
      </c>
      <c r="J37" s="898">
        <f>(AG37*KFC!$B$16+KFC!$C$16)*KFC!$C$5</f>
        <v>38.158476347449891</v>
      </c>
      <c r="K37" s="898">
        <f>(AH37*KFC!$B$16+KFC!$C$16)*KFC!$C$5</f>
        <v>40.4115996098392</v>
      </c>
      <c r="L37" s="898">
        <f>(AI37*KFC!$B$16+KFC!$C$16)*KFC!$C$5</f>
        <v>42.664722872228516</v>
      </c>
      <c r="M37" s="898">
        <f>(AJ37*KFC!$B$16+KFC!$C$16)*KFC!$C$5</f>
        <v>44.917846134617832</v>
      </c>
      <c r="N37" s="898">
        <f>(AK37*KFC!$B$16+KFC!$C$16)*KFC!$C$5</f>
        <v>47.170969397007148</v>
      </c>
      <c r="O37" s="898">
        <f>(AL37*KFC!$B$16+KFC!$C$16)*KFC!$C$5</f>
        <v>49.424092659396464</v>
      </c>
      <c r="P37" s="898">
        <f>(AM37*KFC!$B$16+KFC!$C$16)*KFC!$C$5</f>
        <v>51.67721592178578</v>
      </c>
      <c r="Q37" s="898">
        <f>(AN37*KFC!$B$16+KFC!$C$16)*KFC!$C$5</f>
        <v>53.930339184175097</v>
      </c>
      <c r="R37" s="898">
        <f>(AO37*KFC!$B$16+KFC!$C$16)*KFC!$C$5</f>
        <v>56.183462446564398</v>
      </c>
      <c r="S37" s="898">
        <f>(AP37*KFC!$B$16+KFC!$C$16)*KFC!$C$5</f>
        <v>58.436585708953714</v>
      </c>
      <c r="T37" s="898">
        <f>(AQ37*KFC!$B$16+KFC!$C$16)*KFC!$C$5</f>
        <v>60.68970897134303</v>
      </c>
      <c r="U37" s="898">
        <f>(AR37*KFC!$B$16+KFC!$C$16)*KFC!$C$5</f>
        <v>62.942832233732346</v>
      </c>
      <c r="V37" s="898">
        <f>(AS37*KFC!$B$16+KFC!$C$16)*KFC!$C$5</f>
        <v>65.195955496121655</v>
      </c>
      <c r="W37" s="903">
        <f>(AT37*KFC!$B$16+KFC!$C$16)*KFC!$C$5</f>
        <v>67.449078758511007</v>
      </c>
      <c r="Y37" s="1431"/>
      <c r="Z37" s="649">
        <v>0.6</v>
      </c>
      <c r="AA37" s="882">
        <v>24.639736773113995</v>
      </c>
      <c r="AB37" s="882">
        <v>26.892860035503311</v>
      </c>
      <c r="AC37" s="882">
        <v>29.145983297892631</v>
      </c>
      <c r="AD37" s="882">
        <v>31.399106560281947</v>
      </c>
      <c r="AE37" s="882">
        <v>33.652229822671266</v>
      </c>
      <c r="AF37" s="882">
        <v>35.905353085060575</v>
      </c>
      <c r="AG37" s="882">
        <v>38.158476347449891</v>
      </c>
      <c r="AH37" s="882">
        <v>40.4115996098392</v>
      </c>
      <c r="AI37" s="882">
        <v>42.664722872228516</v>
      </c>
      <c r="AJ37" s="882">
        <v>44.917846134617832</v>
      </c>
      <c r="AK37" s="882">
        <v>47.170969397007148</v>
      </c>
      <c r="AL37" s="882">
        <v>49.424092659396464</v>
      </c>
      <c r="AM37" s="882">
        <v>51.67721592178578</v>
      </c>
      <c r="AN37" s="882">
        <v>53.930339184175097</v>
      </c>
      <c r="AO37" s="882">
        <v>56.183462446564398</v>
      </c>
      <c r="AP37" s="882">
        <v>58.436585708953714</v>
      </c>
      <c r="AQ37" s="882">
        <v>60.68970897134303</v>
      </c>
      <c r="AR37" s="882">
        <v>62.942832233732346</v>
      </c>
      <c r="AS37" s="882">
        <v>65.195955496121655</v>
      </c>
      <c r="AT37" s="882">
        <v>67.449078758511007</v>
      </c>
    </row>
    <row r="38" spans="1:46">
      <c r="A38" s="1426"/>
      <c r="B38" s="1427"/>
      <c r="C38" s="887">
        <v>0.7</v>
      </c>
      <c r="D38" s="902">
        <f>(AA38*KFC!$B$16+KFC!$C$16)*KFC!$C$5</f>
        <v>25.129111771743744</v>
      </c>
      <c r="E38" s="898">
        <f>(AB38*KFC!$B$16+KFC!$C$16)*KFC!$C$5</f>
        <v>27.492641889779602</v>
      </c>
      <c r="F38" s="898">
        <f>(AC38*KFC!$B$16+KFC!$C$16)*KFC!$C$5</f>
        <v>29.856172007815459</v>
      </c>
      <c r="G38" s="898">
        <f>(AD38*KFC!$B$16+KFC!$C$16)*KFC!$C$5</f>
        <v>32.21970212585132</v>
      </c>
      <c r="H38" s="898">
        <f>(AE38*KFC!$B$16+KFC!$C$16)*KFC!$C$5</f>
        <v>34.583232243887174</v>
      </c>
      <c r="I38" s="898">
        <f>(AF38*KFC!$B$16+KFC!$C$16)*KFC!$C$5</f>
        <v>36.946762361923028</v>
      </c>
      <c r="J38" s="898">
        <f>(AG38*KFC!$B$16+KFC!$C$16)*KFC!$C$5</f>
        <v>39.310292479958882</v>
      </c>
      <c r="K38" s="898">
        <f>(AH38*KFC!$B$16+KFC!$C$16)*KFC!$C$5</f>
        <v>41.673822597994736</v>
      </c>
      <c r="L38" s="898">
        <f>(AI38*KFC!$B$16+KFC!$C$16)*KFC!$C$5</f>
        <v>44.03735271603059</v>
      </c>
      <c r="M38" s="898">
        <f>(AJ38*KFC!$B$16+KFC!$C$16)*KFC!$C$5</f>
        <v>46.400882834066444</v>
      </c>
      <c r="N38" s="898">
        <f>(AK38*KFC!$B$16+KFC!$C$16)*KFC!$C$5</f>
        <v>48.764412952102298</v>
      </c>
      <c r="O38" s="898">
        <f>(AL38*KFC!$B$16+KFC!$C$16)*KFC!$C$5</f>
        <v>51.127943070138151</v>
      </c>
      <c r="P38" s="898">
        <f>(AM38*KFC!$B$16+KFC!$C$16)*KFC!$C$5</f>
        <v>53.491473188173998</v>
      </c>
      <c r="Q38" s="898">
        <f>(AN38*KFC!$B$16+KFC!$C$16)*KFC!$C$5</f>
        <v>55.855003306209866</v>
      </c>
      <c r="R38" s="898">
        <f>(AO38*KFC!$B$16+KFC!$C$16)*KFC!$C$5</f>
        <v>58.218533424245706</v>
      </c>
      <c r="S38" s="898">
        <f>(AP38*KFC!$B$16+KFC!$C$16)*KFC!$C$5</f>
        <v>60.582063542281574</v>
      </c>
      <c r="T38" s="898">
        <f>(AQ38*KFC!$B$16+KFC!$C$16)*KFC!$C$5</f>
        <v>62.945593660317414</v>
      </c>
      <c r="U38" s="898">
        <f>(AR38*KFC!$B$16+KFC!$C$16)*KFC!$C$5</f>
        <v>65.309123778353282</v>
      </c>
      <c r="V38" s="898">
        <f>(AS38*KFC!$B$16+KFC!$C$16)*KFC!$C$5</f>
        <v>67.672653896389136</v>
      </c>
      <c r="W38" s="903">
        <f>(AT38*KFC!$B$16+KFC!$C$16)*KFC!$C$5</f>
        <v>70.036184014425018</v>
      </c>
      <c r="Y38" s="1431"/>
      <c r="Z38" s="649">
        <v>0.7</v>
      </c>
      <c r="AA38" s="882">
        <v>25.129111771743744</v>
      </c>
      <c r="AB38" s="882">
        <v>27.492641889779602</v>
      </c>
      <c r="AC38" s="882">
        <v>29.856172007815459</v>
      </c>
      <c r="AD38" s="882">
        <v>32.21970212585132</v>
      </c>
      <c r="AE38" s="882">
        <v>34.583232243887174</v>
      </c>
      <c r="AF38" s="882">
        <v>36.946762361923028</v>
      </c>
      <c r="AG38" s="882">
        <v>39.310292479958882</v>
      </c>
      <c r="AH38" s="882">
        <v>41.673822597994736</v>
      </c>
      <c r="AI38" s="882">
        <v>44.03735271603059</v>
      </c>
      <c r="AJ38" s="882">
        <v>46.400882834066444</v>
      </c>
      <c r="AK38" s="882">
        <v>48.764412952102298</v>
      </c>
      <c r="AL38" s="882">
        <v>51.127943070138151</v>
      </c>
      <c r="AM38" s="882">
        <v>53.491473188173998</v>
      </c>
      <c r="AN38" s="882">
        <v>55.855003306209866</v>
      </c>
      <c r="AO38" s="882">
        <v>58.218533424245706</v>
      </c>
      <c r="AP38" s="882">
        <v>60.582063542281574</v>
      </c>
      <c r="AQ38" s="882">
        <v>62.945593660317414</v>
      </c>
      <c r="AR38" s="882">
        <v>65.309123778353282</v>
      </c>
      <c r="AS38" s="882">
        <v>67.672653896389136</v>
      </c>
      <c r="AT38" s="882">
        <v>70.036184014425018</v>
      </c>
    </row>
    <row r="39" spans="1:46">
      <c r="A39" s="1426"/>
      <c r="B39" s="1427"/>
      <c r="C39" s="887">
        <v>0.8</v>
      </c>
      <c r="D39" s="902">
        <f>(AA39*KFC!$B$16+KFC!$C$16)*KFC!$C$5</f>
        <v>25.61848677037349</v>
      </c>
      <c r="E39" s="898">
        <f>(AB39*KFC!$B$16+KFC!$C$16)*KFC!$C$5</f>
        <v>28.092423744055889</v>
      </c>
      <c r="F39" s="898">
        <f>(AC39*KFC!$B$16+KFC!$C$16)*KFC!$C$5</f>
        <v>30.566360717738288</v>
      </c>
      <c r="G39" s="898">
        <f>(AD39*KFC!$B$16+KFC!$C$16)*KFC!$C$5</f>
        <v>33.040297691420683</v>
      </c>
      <c r="H39" s="898">
        <f>(AE39*KFC!$B$16+KFC!$C$16)*KFC!$C$5</f>
        <v>35.514234665103082</v>
      </c>
      <c r="I39" s="898">
        <f>(AF39*KFC!$B$16+KFC!$C$16)*KFC!$C$5</f>
        <v>37.988171638785474</v>
      </c>
      <c r="J39" s="898">
        <f>(AG39*KFC!$B$16+KFC!$C$16)*KFC!$C$5</f>
        <v>40.462108612467865</v>
      </c>
      <c r="K39" s="898">
        <f>(AH39*KFC!$B$16+KFC!$C$16)*KFC!$C$5</f>
        <v>42.936045586150264</v>
      </c>
      <c r="L39" s="898">
        <f>(AI39*KFC!$B$16+KFC!$C$16)*KFC!$C$5</f>
        <v>45.409982559832656</v>
      </c>
      <c r="M39" s="898">
        <f>(AJ39*KFC!$B$16+KFC!$C$16)*KFC!$C$5</f>
        <v>47.883919533515048</v>
      </c>
      <c r="N39" s="898">
        <f>(AK39*KFC!$B$16+KFC!$C$16)*KFC!$C$5</f>
        <v>50.357856507197454</v>
      </c>
      <c r="O39" s="898">
        <f>(AL39*KFC!$B$16+KFC!$C$16)*KFC!$C$5</f>
        <v>52.831793480879831</v>
      </c>
      <c r="P39" s="898">
        <f>(AM39*KFC!$B$16+KFC!$C$16)*KFC!$C$5</f>
        <v>55.305730454562237</v>
      </c>
      <c r="Q39" s="898">
        <f>(AN39*KFC!$B$16+KFC!$C$16)*KFC!$C$5</f>
        <v>57.779667428244629</v>
      </c>
      <c r="R39" s="898">
        <f>(AO39*KFC!$B$16+KFC!$C$16)*KFC!$C$5</f>
        <v>60.253604401927021</v>
      </c>
      <c r="S39" s="898">
        <f>(AP39*KFC!$B$16+KFC!$C$16)*KFC!$C$5</f>
        <v>62.727541375609412</v>
      </c>
      <c r="T39" s="898">
        <f>(AQ39*KFC!$B$16+KFC!$C$16)*KFC!$C$5</f>
        <v>65.201478349291804</v>
      </c>
      <c r="U39" s="898">
        <f>(AR39*KFC!$B$16+KFC!$C$16)*KFC!$C$5</f>
        <v>67.675415322974203</v>
      </c>
      <c r="V39" s="898">
        <f>(AS39*KFC!$B$16+KFC!$C$16)*KFC!$C$5</f>
        <v>70.149352296656588</v>
      </c>
      <c r="W39" s="903">
        <f>(AT39*KFC!$B$16+KFC!$C$16)*KFC!$C$5</f>
        <v>72.623289270339015</v>
      </c>
      <c r="Y39" s="1431"/>
      <c r="Z39" s="649">
        <v>0.8</v>
      </c>
      <c r="AA39" s="882">
        <v>25.61848677037349</v>
      </c>
      <c r="AB39" s="882">
        <v>28.092423744055889</v>
      </c>
      <c r="AC39" s="882">
        <v>30.566360717738288</v>
      </c>
      <c r="AD39" s="882">
        <v>33.040297691420683</v>
      </c>
      <c r="AE39" s="882">
        <v>35.514234665103082</v>
      </c>
      <c r="AF39" s="882">
        <v>37.988171638785474</v>
      </c>
      <c r="AG39" s="882">
        <v>40.462108612467865</v>
      </c>
      <c r="AH39" s="882">
        <v>42.936045586150264</v>
      </c>
      <c r="AI39" s="882">
        <v>45.409982559832656</v>
      </c>
      <c r="AJ39" s="882">
        <v>47.883919533515048</v>
      </c>
      <c r="AK39" s="882">
        <v>50.357856507197454</v>
      </c>
      <c r="AL39" s="882">
        <v>52.831793480879831</v>
      </c>
      <c r="AM39" s="882">
        <v>55.305730454562237</v>
      </c>
      <c r="AN39" s="882">
        <v>57.779667428244629</v>
      </c>
      <c r="AO39" s="882">
        <v>60.253604401927021</v>
      </c>
      <c r="AP39" s="882">
        <v>62.727541375609412</v>
      </c>
      <c r="AQ39" s="882">
        <v>65.201478349291804</v>
      </c>
      <c r="AR39" s="882">
        <v>67.675415322974203</v>
      </c>
      <c r="AS39" s="882">
        <v>70.149352296656588</v>
      </c>
      <c r="AT39" s="882">
        <v>72.623289270339015</v>
      </c>
    </row>
    <row r="40" spans="1:46">
      <c r="A40" s="1426"/>
      <c r="B40" s="1427"/>
      <c r="C40" s="887">
        <v>0.9</v>
      </c>
      <c r="D40" s="902">
        <f>(AA40*KFC!$B$16+KFC!$C$16)*KFC!$C$5</f>
        <v>26.10786176900324</v>
      </c>
      <c r="E40" s="898">
        <f>(AB40*KFC!$B$16+KFC!$C$16)*KFC!$C$5</f>
        <v>28.692205598332176</v>
      </c>
      <c r="F40" s="898">
        <f>(AC40*KFC!$B$16+KFC!$C$16)*KFC!$C$5</f>
        <v>31.276549427661109</v>
      </c>
      <c r="G40" s="898">
        <f>(AD40*KFC!$B$16+KFC!$C$16)*KFC!$C$5</f>
        <v>33.860893256990046</v>
      </c>
      <c r="H40" s="898">
        <f>(AE40*KFC!$B$16+KFC!$C$16)*KFC!$C$5</f>
        <v>36.445237086318976</v>
      </c>
      <c r="I40" s="898">
        <f>(AF40*KFC!$B$16+KFC!$C$16)*KFC!$C$5</f>
        <v>39.029580915647912</v>
      </c>
      <c r="J40" s="898">
        <f>(AG40*KFC!$B$16+KFC!$C$16)*KFC!$C$5</f>
        <v>41.613924744976842</v>
      </c>
      <c r="K40" s="898">
        <f>(AH40*KFC!$B$16+KFC!$C$16)*KFC!$C$5</f>
        <v>44.198268574305779</v>
      </c>
      <c r="L40" s="898">
        <f>(AI40*KFC!$B$16+KFC!$C$16)*KFC!$C$5</f>
        <v>46.782612403634708</v>
      </c>
      <c r="M40" s="898">
        <f>(AJ40*KFC!$B$16+KFC!$C$16)*KFC!$C$5</f>
        <v>49.366956232963652</v>
      </c>
      <c r="N40" s="898">
        <f>(AK40*KFC!$B$16+KFC!$C$16)*KFC!$C$5</f>
        <v>51.951300062292582</v>
      </c>
      <c r="O40" s="898">
        <f>(AL40*KFC!$B$16+KFC!$C$16)*KFC!$C$5</f>
        <v>54.535643891621511</v>
      </c>
      <c r="P40" s="898">
        <f>(AM40*KFC!$B$16+KFC!$C$16)*KFC!$C$5</f>
        <v>57.119987720950448</v>
      </c>
      <c r="Q40" s="898">
        <f>(AN40*KFC!$B$16+KFC!$C$16)*KFC!$C$5</f>
        <v>59.704331550279392</v>
      </c>
      <c r="R40" s="898">
        <f>(AO40*KFC!$B$16+KFC!$C$16)*KFC!$C$5</f>
        <v>62.288675379608321</v>
      </c>
      <c r="S40" s="898">
        <f>(AP40*KFC!$B$16+KFC!$C$16)*KFC!$C$5</f>
        <v>64.873019208937251</v>
      </c>
      <c r="T40" s="898">
        <f>(AQ40*KFC!$B$16+KFC!$C$16)*KFC!$C$5</f>
        <v>67.45736303826618</v>
      </c>
      <c r="U40" s="898">
        <f>(AR40*KFC!$B$16+KFC!$C$16)*KFC!$C$5</f>
        <v>70.041706867595124</v>
      </c>
      <c r="V40" s="898">
        <f>(AS40*KFC!$B$16+KFC!$C$16)*KFC!$C$5</f>
        <v>72.626050696924054</v>
      </c>
      <c r="W40" s="903">
        <f>(AT40*KFC!$B$16+KFC!$C$16)*KFC!$C$5</f>
        <v>75.210394526253026</v>
      </c>
      <c r="Y40" s="1431"/>
      <c r="Z40" s="649">
        <v>0.9</v>
      </c>
      <c r="AA40" s="882">
        <v>26.10786176900324</v>
      </c>
      <c r="AB40" s="882">
        <v>28.692205598332176</v>
      </c>
      <c r="AC40" s="882">
        <v>31.276549427661109</v>
      </c>
      <c r="AD40" s="882">
        <v>33.860893256990046</v>
      </c>
      <c r="AE40" s="882">
        <v>36.445237086318976</v>
      </c>
      <c r="AF40" s="882">
        <v>39.029580915647912</v>
      </c>
      <c r="AG40" s="882">
        <v>41.613924744976842</v>
      </c>
      <c r="AH40" s="882">
        <v>44.198268574305779</v>
      </c>
      <c r="AI40" s="882">
        <v>46.782612403634708</v>
      </c>
      <c r="AJ40" s="882">
        <v>49.366956232963652</v>
      </c>
      <c r="AK40" s="882">
        <v>51.951300062292582</v>
      </c>
      <c r="AL40" s="882">
        <v>54.535643891621511</v>
      </c>
      <c r="AM40" s="882">
        <v>57.119987720950448</v>
      </c>
      <c r="AN40" s="882">
        <v>59.704331550279392</v>
      </c>
      <c r="AO40" s="882">
        <v>62.288675379608321</v>
      </c>
      <c r="AP40" s="882">
        <v>64.873019208937251</v>
      </c>
      <c r="AQ40" s="882">
        <v>67.45736303826618</v>
      </c>
      <c r="AR40" s="882">
        <v>70.041706867595124</v>
      </c>
      <c r="AS40" s="882">
        <v>72.626050696924054</v>
      </c>
      <c r="AT40" s="882">
        <v>75.210394526253026</v>
      </c>
    </row>
    <row r="41" spans="1:46">
      <c r="A41" s="1426"/>
      <c r="B41" s="1427"/>
      <c r="C41" s="887">
        <v>1</v>
      </c>
      <c r="D41" s="902">
        <f>(AA41*KFC!$B$16+KFC!$C$16)*KFC!$C$5</f>
        <v>26.597236767632989</v>
      </c>
      <c r="E41" s="898">
        <f>(AB41*KFC!$B$16+KFC!$C$16)*KFC!$C$5</f>
        <v>29.291987452608463</v>
      </c>
      <c r="F41" s="898">
        <f>(AC41*KFC!$B$16+KFC!$C$16)*KFC!$C$5</f>
        <v>31.986738137583938</v>
      </c>
      <c r="G41" s="898">
        <f>(AD41*KFC!$B$16+KFC!$C$16)*KFC!$C$5</f>
        <v>34.681488822559409</v>
      </c>
      <c r="H41" s="898">
        <f>(AE41*KFC!$B$16+KFC!$C$16)*KFC!$C$5</f>
        <v>37.376239507534883</v>
      </c>
      <c r="I41" s="898">
        <f>(AF41*KFC!$B$16+KFC!$C$16)*KFC!$C$5</f>
        <v>40.070990192510358</v>
      </c>
      <c r="J41" s="898">
        <f>(AG41*KFC!$B$16+KFC!$C$16)*KFC!$C$5</f>
        <v>42.76574087748584</v>
      </c>
      <c r="K41" s="898">
        <f>(AH41*KFC!$B$16+KFC!$C$16)*KFC!$C$5</f>
        <v>45.460491562461307</v>
      </c>
      <c r="L41" s="898">
        <f>(AI41*KFC!$B$16+KFC!$C$16)*KFC!$C$5</f>
        <v>48.155242247436782</v>
      </c>
      <c r="M41" s="898">
        <f>(AJ41*KFC!$B$16+KFC!$C$16)*KFC!$C$5</f>
        <v>50.849992932412249</v>
      </c>
      <c r="N41" s="898">
        <f>(AK41*KFC!$B$16+KFC!$C$16)*KFC!$C$5</f>
        <v>53.544743617387731</v>
      </c>
      <c r="O41" s="898">
        <f>(AL41*KFC!$B$16+KFC!$C$16)*KFC!$C$5</f>
        <v>56.239494302363205</v>
      </c>
      <c r="P41" s="898">
        <f>(AM41*KFC!$B$16+KFC!$C$16)*KFC!$C$5</f>
        <v>58.93424498733868</v>
      </c>
      <c r="Q41" s="898">
        <f>(AN41*KFC!$B$16+KFC!$C$16)*KFC!$C$5</f>
        <v>61.628995672314147</v>
      </c>
      <c r="R41" s="898">
        <f>(AO41*KFC!$B$16+KFC!$C$16)*KFC!$C$5</f>
        <v>64.323746357289622</v>
      </c>
      <c r="S41" s="898">
        <f>(AP41*KFC!$B$16+KFC!$C$16)*KFC!$C$5</f>
        <v>67.018497042265096</v>
      </c>
      <c r="T41" s="898">
        <f>(AQ41*KFC!$B$16+KFC!$C$16)*KFC!$C$5</f>
        <v>69.713247727240571</v>
      </c>
      <c r="U41" s="898">
        <f>(AR41*KFC!$B$16+KFC!$C$16)*KFC!$C$5</f>
        <v>72.407998412216045</v>
      </c>
      <c r="V41" s="898">
        <f>(AS41*KFC!$B$16+KFC!$C$16)*KFC!$C$5</f>
        <v>75.10274909719152</v>
      </c>
      <c r="W41" s="903">
        <f>(AT41*KFC!$B$16+KFC!$C$16)*KFC!$C$5</f>
        <v>77.797499782167023</v>
      </c>
      <c r="Y41" s="1431"/>
      <c r="Z41" s="649">
        <v>1</v>
      </c>
      <c r="AA41" s="882">
        <v>26.597236767632989</v>
      </c>
      <c r="AB41" s="882">
        <v>29.291987452608463</v>
      </c>
      <c r="AC41" s="882">
        <v>31.986738137583938</v>
      </c>
      <c r="AD41" s="882">
        <v>34.681488822559409</v>
      </c>
      <c r="AE41" s="882">
        <v>37.376239507534883</v>
      </c>
      <c r="AF41" s="882">
        <v>40.070990192510358</v>
      </c>
      <c r="AG41" s="882">
        <v>42.76574087748584</v>
      </c>
      <c r="AH41" s="882">
        <v>45.460491562461307</v>
      </c>
      <c r="AI41" s="882">
        <v>48.155242247436782</v>
      </c>
      <c r="AJ41" s="882">
        <v>50.849992932412249</v>
      </c>
      <c r="AK41" s="882">
        <v>53.544743617387731</v>
      </c>
      <c r="AL41" s="882">
        <v>56.239494302363205</v>
      </c>
      <c r="AM41" s="882">
        <v>58.93424498733868</v>
      </c>
      <c r="AN41" s="882">
        <v>61.628995672314147</v>
      </c>
      <c r="AO41" s="882">
        <v>64.323746357289622</v>
      </c>
      <c r="AP41" s="882">
        <v>67.018497042265096</v>
      </c>
      <c r="AQ41" s="882">
        <v>69.713247727240571</v>
      </c>
      <c r="AR41" s="882">
        <v>72.407998412216045</v>
      </c>
      <c r="AS41" s="882">
        <v>75.10274909719152</v>
      </c>
      <c r="AT41" s="882">
        <v>77.797499782167023</v>
      </c>
    </row>
    <row r="42" spans="1:46">
      <c r="A42" s="1426"/>
      <c r="B42" s="1427"/>
      <c r="C42" s="887">
        <v>1.1000000000000001</v>
      </c>
      <c r="D42" s="902">
        <f>(AA42*KFC!$B$16+KFC!$C$16)*KFC!$C$5</f>
        <v>27.086611766262738</v>
      </c>
      <c r="E42" s="898">
        <f>(AB42*KFC!$B$16+KFC!$C$16)*KFC!$C$5</f>
        <v>29.891769306884751</v>
      </c>
      <c r="F42" s="898">
        <f>(AC42*KFC!$B$16+KFC!$C$16)*KFC!$C$5</f>
        <v>32.696926847506766</v>
      </c>
      <c r="G42" s="898">
        <f>(AD42*KFC!$B$16+KFC!$C$16)*KFC!$C$5</f>
        <v>35.502084388128779</v>
      </c>
      <c r="H42" s="898">
        <f>(AE42*KFC!$B$16+KFC!$C$16)*KFC!$C$5</f>
        <v>38.307241928750791</v>
      </c>
      <c r="I42" s="898">
        <f>(AF42*KFC!$B$16+KFC!$C$16)*KFC!$C$5</f>
        <v>41.112399469372804</v>
      </c>
      <c r="J42" s="898">
        <f>(AG42*KFC!$B$16+KFC!$C$16)*KFC!$C$5</f>
        <v>43.917557009994823</v>
      </c>
      <c r="K42" s="898">
        <f>(AH42*KFC!$B$16+KFC!$C$16)*KFC!$C$5</f>
        <v>46.722714550616836</v>
      </c>
      <c r="L42" s="898">
        <f>(AI42*KFC!$B$16+KFC!$C$16)*KFC!$C$5</f>
        <v>49.527872091238855</v>
      </c>
      <c r="M42" s="898">
        <f>(AJ42*KFC!$B$16+KFC!$C$16)*KFC!$C$5</f>
        <v>52.333029631860867</v>
      </c>
      <c r="N42" s="898">
        <f>(AK42*KFC!$B$16+KFC!$C$16)*KFC!$C$5</f>
        <v>55.138187172482873</v>
      </c>
      <c r="O42" s="898">
        <f>(AL42*KFC!$B$16+KFC!$C$16)*KFC!$C$5</f>
        <v>57.943344713104892</v>
      </c>
      <c r="P42" s="898">
        <f>(AM42*KFC!$B$16+KFC!$C$16)*KFC!$C$5</f>
        <v>60.748502253726905</v>
      </c>
      <c r="Q42" s="898">
        <f>(AN42*KFC!$B$16+KFC!$C$16)*KFC!$C$5</f>
        <v>63.553659794348924</v>
      </c>
      <c r="R42" s="898">
        <f>(AO42*KFC!$B$16+KFC!$C$16)*KFC!$C$5</f>
        <v>66.358817334970936</v>
      </c>
      <c r="S42" s="898">
        <f>(AP42*KFC!$B$16+KFC!$C$16)*KFC!$C$5</f>
        <v>69.163974875592956</v>
      </c>
      <c r="T42" s="898">
        <f>(AQ42*KFC!$B$16+KFC!$C$16)*KFC!$C$5</f>
        <v>71.969132416214975</v>
      </c>
      <c r="U42" s="898">
        <f>(AR42*KFC!$B$16+KFC!$C$16)*KFC!$C$5</f>
        <v>74.774289956836981</v>
      </c>
      <c r="V42" s="898">
        <f>(AS42*KFC!$B$16+KFC!$C$16)*KFC!$C$5</f>
        <v>77.579447497459</v>
      </c>
      <c r="W42" s="903">
        <f>(AT42*KFC!$B$16+KFC!$C$16)*KFC!$C$5</f>
        <v>80.38460503808102</v>
      </c>
      <c r="Y42" s="1431"/>
      <c r="Z42" s="649">
        <v>1.1000000000000001</v>
      </c>
      <c r="AA42" s="882">
        <v>27.086611766262738</v>
      </c>
      <c r="AB42" s="882">
        <v>29.891769306884751</v>
      </c>
      <c r="AC42" s="882">
        <v>32.696926847506766</v>
      </c>
      <c r="AD42" s="882">
        <v>35.502084388128779</v>
      </c>
      <c r="AE42" s="882">
        <v>38.307241928750791</v>
      </c>
      <c r="AF42" s="882">
        <v>41.112399469372804</v>
      </c>
      <c r="AG42" s="882">
        <v>43.917557009994823</v>
      </c>
      <c r="AH42" s="882">
        <v>46.722714550616836</v>
      </c>
      <c r="AI42" s="882">
        <v>49.527872091238855</v>
      </c>
      <c r="AJ42" s="882">
        <v>52.333029631860867</v>
      </c>
      <c r="AK42" s="882">
        <v>55.138187172482873</v>
      </c>
      <c r="AL42" s="882">
        <v>57.943344713104892</v>
      </c>
      <c r="AM42" s="882">
        <v>60.748502253726905</v>
      </c>
      <c r="AN42" s="882">
        <v>63.553659794348924</v>
      </c>
      <c r="AO42" s="882">
        <v>66.358817334970936</v>
      </c>
      <c r="AP42" s="882">
        <v>69.163974875592956</v>
      </c>
      <c r="AQ42" s="882">
        <v>71.969132416214975</v>
      </c>
      <c r="AR42" s="882">
        <v>74.774289956836981</v>
      </c>
      <c r="AS42" s="882">
        <v>77.579447497459</v>
      </c>
      <c r="AT42" s="882">
        <v>80.38460503808102</v>
      </c>
    </row>
    <row r="43" spans="1:46">
      <c r="A43" s="1426"/>
      <c r="B43" s="1427"/>
      <c r="C43" s="887">
        <v>1.2</v>
      </c>
      <c r="D43" s="902">
        <f>(AA43*KFC!$B$16+KFC!$C$16)*KFC!$C$5</f>
        <v>27.575986764892484</v>
      </c>
      <c r="E43" s="898">
        <f>(AB43*KFC!$B$16+KFC!$C$16)*KFC!$C$5</f>
        <v>30.491551161161038</v>
      </c>
      <c r="F43" s="898">
        <f>(AC43*KFC!$B$16+KFC!$C$16)*KFC!$C$5</f>
        <v>33.407115557429591</v>
      </c>
      <c r="G43" s="898">
        <f>(AD43*KFC!$B$16+KFC!$C$16)*KFC!$C$5</f>
        <v>36.322679953698149</v>
      </c>
      <c r="H43" s="898">
        <f>(AE43*KFC!$B$16+KFC!$C$16)*KFC!$C$5</f>
        <v>39.238244349966699</v>
      </c>
      <c r="I43" s="898">
        <f>(AF43*KFC!$B$16+KFC!$C$16)*KFC!$C$5</f>
        <v>42.153808746235256</v>
      </c>
      <c r="J43" s="898">
        <f>(AG43*KFC!$B$16+KFC!$C$16)*KFC!$C$5</f>
        <v>45.069373142503807</v>
      </c>
      <c r="K43" s="898">
        <f>(AH43*KFC!$B$16+KFC!$C$16)*KFC!$C$5</f>
        <v>47.984937538772364</v>
      </c>
      <c r="L43" s="898">
        <f>(AI43*KFC!$B$16+KFC!$C$16)*KFC!$C$5</f>
        <v>50.900501935040914</v>
      </c>
      <c r="M43" s="898">
        <f>(AJ43*KFC!$B$16+KFC!$C$16)*KFC!$C$5</f>
        <v>53.816066331309472</v>
      </c>
      <c r="N43" s="898">
        <f>(AK43*KFC!$B$16+KFC!$C$16)*KFC!$C$5</f>
        <v>56.731630727578022</v>
      </c>
      <c r="O43" s="898">
        <f>(AL43*KFC!$B$16+KFC!$C$16)*KFC!$C$5</f>
        <v>59.647195123846579</v>
      </c>
      <c r="P43" s="898">
        <f>(AM43*KFC!$B$16+KFC!$C$16)*KFC!$C$5</f>
        <v>62.562759520115137</v>
      </c>
      <c r="Q43" s="898">
        <f>(AN43*KFC!$B$16+KFC!$C$16)*KFC!$C$5</f>
        <v>65.478323916383687</v>
      </c>
      <c r="R43" s="898">
        <f>(AO43*KFC!$B$16+KFC!$C$16)*KFC!$C$5</f>
        <v>68.393888312652251</v>
      </c>
      <c r="S43" s="898">
        <f>(AP43*KFC!$B$16+KFC!$C$16)*KFC!$C$5</f>
        <v>71.309452708920787</v>
      </c>
      <c r="T43" s="898">
        <f>(AQ43*KFC!$B$16+KFC!$C$16)*KFC!$C$5</f>
        <v>74.225017105189352</v>
      </c>
      <c r="U43" s="898">
        <f>(AR43*KFC!$B$16+KFC!$C$16)*KFC!$C$5</f>
        <v>77.140581501457902</v>
      </c>
      <c r="V43" s="898">
        <f>(AS43*KFC!$B$16+KFC!$C$16)*KFC!$C$5</f>
        <v>80.056145897726466</v>
      </c>
      <c r="W43" s="903">
        <f>(AT43*KFC!$B$16+KFC!$C$16)*KFC!$C$5</f>
        <v>82.971710293995031</v>
      </c>
      <c r="Y43" s="1431"/>
      <c r="Z43" s="649">
        <v>1.2</v>
      </c>
      <c r="AA43" s="882">
        <v>27.575986764892484</v>
      </c>
      <c r="AB43" s="882">
        <v>30.491551161161038</v>
      </c>
      <c r="AC43" s="882">
        <v>33.407115557429591</v>
      </c>
      <c r="AD43" s="882">
        <v>36.322679953698149</v>
      </c>
      <c r="AE43" s="882">
        <v>39.238244349966699</v>
      </c>
      <c r="AF43" s="882">
        <v>42.153808746235256</v>
      </c>
      <c r="AG43" s="882">
        <v>45.069373142503807</v>
      </c>
      <c r="AH43" s="882">
        <v>47.984937538772364</v>
      </c>
      <c r="AI43" s="882">
        <v>50.900501935040914</v>
      </c>
      <c r="AJ43" s="882">
        <v>53.816066331309472</v>
      </c>
      <c r="AK43" s="882">
        <v>56.731630727578022</v>
      </c>
      <c r="AL43" s="882">
        <v>59.647195123846579</v>
      </c>
      <c r="AM43" s="882">
        <v>62.562759520115137</v>
      </c>
      <c r="AN43" s="882">
        <v>65.478323916383687</v>
      </c>
      <c r="AO43" s="882">
        <v>68.393888312652251</v>
      </c>
      <c r="AP43" s="882">
        <v>71.309452708920787</v>
      </c>
      <c r="AQ43" s="882">
        <v>74.225017105189352</v>
      </c>
      <c r="AR43" s="882">
        <v>77.140581501457902</v>
      </c>
      <c r="AS43" s="882">
        <v>80.056145897726466</v>
      </c>
      <c r="AT43" s="882">
        <v>82.971710293995031</v>
      </c>
    </row>
    <row r="44" spans="1:46">
      <c r="A44" s="1426"/>
      <c r="B44" s="1427"/>
      <c r="C44" s="887">
        <v>1.3</v>
      </c>
      <c r="D44" s="902">
        <f>(AA44*KFC!$B$16+KFC!$C$16)*KFC!$C$5</f>
        <v>28.065361763522233</v>
      </c>
      <c r="E44" s="898">
        <f>(AB44*KFC!$B$16+KFC!$C$16)*KFC!$C$5</f>
        <v>31.091333015437328</v>
      </c>
      <c r="F44" s="898">
        <f>(AC44*KFC!$B$16+KFC!$C$16)*KFC!$C$5</f>
        <v>34.117304267352424</v>
      </c>
      <c r="G44" s="898">
        <f>(AD44*KFC!$B$16+KFC!$C$16)*KFC!$C$5</f>
        <v>37.143275519267519</v>
      </c>
      <c r="H44" s="898">
        <f>(AE44*KFC!$B$16+KFC!$C$16)*KFC!$C$5</f>
        <v>40.169246771182607</v>
      </c>
      <c r="I44" s="898">
        <f>(AF44*KFC!$B$16+KFC!$C$16)*KFC!$C$5</f>
        <v>43.195218023097702</v>
      </c>
      <c r="J44" s="898">
        <f>(AG44*KFC!$B$16+KFC!$C$16)*KFC!$C$5</f>
        <v>46.221189275012804</v>
      </c>
      <c r="K44" s="898">
        <f>(AH44*KFC!$B$16+KFC!$C$16)*KFC!$C$5</f>
        <v>49.247160526927892</v>
      </c>
      <c r="L44" s="898">
        <f>(AI44*KFC!$B$16+KFC!$C$16)*KFC!$C$5</f>
        <v>52.273131778842988</v>
      </c>
      <c r="M44" s="898">
        <f>(AJ44*KFC!$B$16+KFC!$C$16)*KFC!$C$5</f>
        <v>55.29910303075809</v>
      </c>
      <c r="N44" s="898">
        <f>(AK44*KFC!$B$16+KFC!$C$16)*KFC!$C$5</f>
        <v>58.325074282673178</v>
      </c>
      <c r="O44" s="898">
        <f>(AL44*KFC!$B$16+KFC!$C$16)*KFC!$C$5</f>
        <v>61.351045534588273</v>
      </c>
      <c r="P44" s="898">
        <f>(AM44*KFC!$B$16+KFC!$C$16)*KFC!$C$5</f>
        <v>64.377016786503361</v>
      </c>
      <c r="Q44" s="898">
        <f>(AN44*KFC!$B$16+KFC!$C$16)*KFC!$C$5</f>
        <v>67.402988038418471</v>
      </c>
      <c r="R44" s="898">
        <f>(AO44*KFC!$B$16+KFC!$C$16)*KFC!$C$5</f>
        <v>70.428959290333552</v>
      </c>
      <c r="S44" s="898">
        <f>(AP44*KFC!$B$16+KFC!$C$16)*KFC!$C$5</f>
        <v>73.454930542248661</v>
      </c>
      <c r="T44" s="898">
        <f>(AQ44*KFC!$B$16+KFC!$C$16)*KFC!$C$5</f>
        <v>76.480901794163756</v>
      </c>
      <c r="U44" s="898">
        <f>(AR44*KFC!$B$16+KFC!$C$16)*KFC!$C$5</f>
        <v>79.506873046078837</v>
      </c>
      <c r="V44" s="898">
        <f>(AS44*KFC!$B$16+KFC!$C$16)*KFC!$C$5</f>
        <v>82.532844297993933</v>
      </c>
      <c r="W44" s="903">
        <f>(AT44*KFC!$B$16+KFC!$C$16)*KFC!$C$5</f>
        <v>85.558815549909028</v>
      </c>
      <c r="Y44" s="1431"/>
      <c r="Z44" s="649">
        <v>1.3</v>
      </c>
      <c r="AA44" s="882">
        <v>28.065361763522233</v>
      </c>
      <c r="AB44" s="882">
        <v>31.091333015437328</v>
      </c>
      <c r="AC44" s="882">
        <v>34.117304267352424</v>
      </c>
      <c r="AD44" s="882">
        <v>37.143275519267519</v>
      </c>
      <c r="AE44" s="882">
        <v>40.169246771182607</v>
      </c>
      <c r="AF44" s="882">
        <v>43.195218023097702</v>
      </c>
      <c r="AG44" s="882">
        <v>46.221189275012804</v>
      </c>
      <c r="AH44" s="882">
        <v>49.247160526927892</v>
      </c>
      <c r="AI44" s="882">
        <v>52.273131778842988</v>
      </c>
      <c r="AJ44" s="882">
        <v>55.29910303075809</v>
      </c>
      <c r="AK44" s="882">
        <v>58.325074282673178</v>
      </c>
      <c r="AL44" s="882">
        <v>61.351045534588273</v>
      </c>
      <c r="AM44" s="882">
        <v>64.377016786503361</v>
      </c>
      <c r="AN44" s="882">
        <v>67.402988038418471</v>
      </c>
      <c r="AO44" s="882">
        <v>70.428959290333552</v>
      </c>
      <c r="AP44" s="882">
        <v>73.454930542248661</v>
      </c>
      <c r="AQ44" s="882">
        <v>76.480901794163756</v>
      </c>
      <c r="AR44" s="882">
        <v>79.506873046078837</v>
      </c>
      <c r="AS44" s="882">
        <v>82.532844297993933</v>
      </c>
      <c r="AT44" s="882">
        <v>85.558815549909028</v>
      </c>
    </row>
    <row r="45" spans="1:46">
      <c r="A45" s="1426"/>
      <c r="B45" s="1427"/>
      <c r="C45" s="887">
        <v>1.4</v>
      </c>
      <c r="D45" s="902">
        <f>(AA45*KFC!$B$16+KFC!$C$16)*KFC!$C$5</f>
        <v>28.554736762151979</v>
      </c>
      <c r="E45" s="898">
        <f>(AB45*KFC!$B$16+KFC!$C$16)*KFC!$C$5</f>
        <v>31.691114869713619</v>
      </c>
      <c r="F45" s="898">
        <f>(AC45*KFC!$B$16+KFC!$C$16)*KFC!$C$5</f>
        <v>34.827492977275256</v>
      </c>
      <c r="G45" s="898">
        <f>(AD45*KFC!$B$16+KFC!$C$16)*KFC!$C$5</f>
        <v>37.963871084836889</v>
      </c>
      <c r="H45" s="898">
        <f>(AE45*KFC!$B$16+KFC!$C$16)*KFC!$C$5</f>
        <v>41.100249192398515</v>
      </c>
      <c r="I45" s="898">
        <f>(AF45*KFC!$B$16+KFC!$C$16)*KFC!$C$5</f>
        <v>44.236627299960155</v>
      </c>
      <c r="J45" s="898">
        <f>(AG45*KFC!$B$16+KFC!$C$16)*KFC!$C$5</f>
        <v>47.373005407521788</v>
      </c>
      <c r="K45" s="898">
        <f>(AH45*KFC!$B$16+KFC!$C$16)*KFC!$C$5</f>
        <v>50.509383515083414</v>
      </c>
      <c r="L45" s="898">
        <f>(AI45*KFC!$B$16+KFC!$C$16)*KFC!$C$5</f>
        <v>53.645761622645054</v>
      </c>
      <c r="M45" s="898">
        <f>(AJ45*KFC!$B$16+KFC!$C$16)*KFC!$C$5</f>
        <v>56.782139730206687</v>
      </c>
      <c r="N45" s="898">
        <f>(AK45*KFC!$B$16+KFC!$C$16)*KFC!$C$5</f>
        <v>59.918517837768327</v>
      </c>
      <c r="O45" s="898">
        <f>(AL45*KFC!$B$16+KFC!$C$16)*KFC!$C$5</f>
        <v>63.054895945329967</v>
      </c>
      <c r="P45" s="898">
        <f>(AM45*KFC!$B$16+KFC!$C$16)*KFC!$C$5</f>
        <v>66.1912740528916</v>
      </c>
      <c r="Q45" s="898">
        <f>(AN45*KFC!$B$16+KFC!$C$16)*KFC!$C$5</f>
        <v>69.327652160453226</v>
      </c>
      <c r="R45" s="898">
        <f>(AO45*KFC!$B$16+KFC!$C$16)*KFC!$C$5</f>
        <v>72.464030268014852</v>
      </c>
      <c r="S45" s="898">
        <f>(AP45*KFC!$B$16+KFC!$C$16)*KFC!$C$5</f>
        <v>75.600408375576492</v>
      </c>
      <c r="T45" s="898">
        <f>(AQ45*KFC!$B$16+KFC!$C$16)*KFC!$C$5</f>
        <v>78.736786483138133</v>
      </c>
      <c r="U45" s="898">
        <f>(AR45*KFC!$B$16+KFC!$C$16)*KFC!$C$5</f>
        <v>81.873164590699773</v>
      </c>
      <c r="V45" s="898">
        <f>(AS45*KFC!$B$16+KFC!$C$16)*KFC!$C$5</f>
        <v>85.009542698261399</v>
      </c>
      <c r="W45" s="903">
        <f>(AT45*KFC!$B$16+KFC!$C$16)*KFC!$C$5</f>
        <v>88.145920805823039</v>
      </c>
      <c r="Y45" s="1431"/>
      <c r="Z45" s="649">
        <v>1.4</v>
      </c>
      <c r="AA45" s="882">
        <v>28.554736762151979</v>
      </c>
      <c r="AB45" s="882">
        <v>31.691114869713619</v>
      </c>
      <c r="AC45" s="882">
        <v>34.827492977275256</v>
      </c>
      <c r="AD45" s="882">
        <v>37.963871084836889</v>
      </c>
      <c r="AE45" s="882">
        <v>41.100249192398515</v>
      </c>
      <c r="AF45" s="882">
        <v>44.236627299960155</v>
      </c>
      <c r="AG45" s="882">
        <v>47.373005407521788</v>
      </c>
      <c r="AH45" s="882">
        <v>50.509383515083414</v>
      </c>
      <c r="AI45" s="882">
        <v>53.645761622645054</v>
      </c>
      <c r="AJ45" s="882">
        <v>56.782139730206687</v>
      </c>
      <c r="AK45" s="882">
        <v>59.918517837768327</v>
      </c>
      <c r="AL45" s="882">
        <v>63.054895945329967</v>
      </c>
      <c r="AM45" s="882">
        <v>66.1912740528916</v>
      </c>
      <c r="AN45" s="882">
        <v>69.327652160453226</v>
      </c>
      <c r="AO45" s="882">
        <v>72.464030268014852</v>
      </c>
      <c r="AP45" s="882">
        <v>75.600408375576492</v>
      </c>
      <c r="AQ45" s="882">
        <v>78.736786483138133</v>
      </c>
      <c r="AR45" s="882">
        <v>81.873164590699773</v>
      </c>
      <c r="AS45" s="882">
        <v>85.009542698261399</v>
      </c>
      <c r="AT45" s="882">
        <v>88.145920805823039</v>
      </c>
    </row>
    <row r="46" spans="1:46">
      <c r="A46" s="1426"/>
      <c r="B46" s="1427"/>
      <c r="C46" s="887">
        <v>1.5</v>
      </c>
      <c r="D46" s="902">
        <f>(AA46*KFC!$B$16+KFC!$C$16)*KFC!$C$5</f>
        <v>29.044111760781728</v>
      </c>
      <c r="E46" s="898">
        <f>(AB46*KFC!$B$16+KFC!$C$16)*KFC!$C$5</f>
        <v>32.290896723989903</v>
      </c>
      <c r="F46" s="898">
        <f>(AC46*KFC!$B$16+KFC!$C$16)*KFC!$C$5</f>
        <v>35.537681687198081</v>
      </c>
      <c r="G46" s="898">
        <f>(AD46*KFC!$B$16+KFC!$C$16)*KFC!$C$5</f>
        <v>38.784466650406252</v>
      </c>
      <c r="H46" s="898">
        <f>(AE46*KFC!$B$16+KFC!$C$16)*KFC!$C$5</f>
        <v>42.03125161361443</v>
      </c>
      <c r="I46" s="898">
        <f>(AF46*KFC!$B$16+KFC!$C$16)*KFC!$C$5</f>
        <v>45.278036576822601</v>
      </c>
      <c r="J46" s="898">
        <f>(AG46*KFC!$B$16+KFC!$C$16)*KFC!$C$5</f>
        <v>48.524821540030779</v>
      </c>
      <c r="K46" s="898">
        <f>(AH46*KFC!$B$16+KFC!$C$16)*KFC!$C$5</f>
        <v>51.771606503238949</v>
      </c>
      <c r="L46" s="898">
        <f>(AI46*KFC!$B$16+KFC!$C$16)*KFC!$C$5</f>
        <v>55.018391466447127</v>
      </c>
      <c r="M46" s="898">
        <f>(AJ46*KFC!$B$16+KFC!$C$16)*KFC!$C$5</f>
        <v>58.265176429655298</v>
      </c>
      <c r="N46" s="898">
        <f>(AK46*KFC!$B$16+KFC!$C$16)*KFC!$C$5</f>
        <v>61.511961392863476</v>
      </c>
      <c r="O46" s="898">
        <f>(AL46*KFC!$B$16+KFC!$C$16)*KFC!$C$5</f>
        <v>64.758746356071654</v>
      </c>
      <c r="P46" s="898">
        <f>(AM46*KFC!$B$16+KFC!$C$16)*KFC!$C$5</f>
        <v>68.005531319279825</v>
      </c>
      <c r="Q46" s="898">
        <f>(AN46*KFC!$B$16+KFC!$C$16)*KFC!$C$5</f>
        <v>71.252316282487982</v>
      </c>
      <c r="R46" s="898">
        <f>(AO46*KFC!$B$16+KFC!$C$16)*KFC!$C$5</f>
        <v>74.499101245696167</v>
      </c>
      <c r="S46" s="898">
        <f>(AP46*KFC!$B$16+KFC!$C$16)*KFC!$C$5</f>
        <v>77.745886208904338</v>
      </c>
      <c r="T46" s="898">
        <f>(AQ46*KFC!$B$16+KFC!$C$16)*KFC!$C$5</f>
        <v>80.992671172112509</v>
      </c>
      <c r="U46" s="898">
        <f>(AR46*KFC!$B$16+KFC!$C$16)*KFC!$C$5</f>
        <v>84.239456135320694</v>
      </c>
      <c r="V46" s="898">
        <f>(AS46*KFC!$B$16+KFC!$C$16)*KFC!$C$5</f>
        <v>87.486241098528865</v>
      </c>
      <c r="W46" s="903">
        <f>(AT46*KFC!$B$16+KFC!$C$16)*KFC!$C$5</f>
        <v>90.733026061737021</v>
      </c>
      <c r="Y46" s="1431"/>
      <c r="Z46" s="649">
        <v>1.5</v>
      </c>
      <c r="AA46" s="882">
        <v>29.044111760781728</v>
      </c>
      <c r="AB46" s="882">
        <v>32.290896723989903</v>
      </c>
      <c r="AC46" s="882">
        <v>35.537681687198081</v>
      </c>
      <c r="AD46" s="882">
        <v>38.784466650406252</v>
      </c>
      <c r="AE46" s="882">
        <v>42.03125161361443</v>
      </c>
      <c r="AF46" s="882">
        <v>45.278036576822601</v>
      </c>
      <c r="AG46" s="882">
        <v>48.524821540030779</v>
      </c>
      <c r="AH46" s="882">
        <v>51.771606503238949</v>
      </c>
      <c r="AI46" s="882">
        <v>55.018391466447127</v>
      </c>
      <c r="AJ46" s="882">
        <v>58.265176429655298</v>
      </c>
      <c r="AK46" s="882">
        <v>61.511961392863476</v>
      </c>
      <c r="AL46" s="882">
        <v>64.758746356071654</v>
      </c>
      <c r="AM46" s="882">
        <v>68.005531319279825</v>
      </c>
      <c r="AN46" s="882">
        <v>71.252316282487982</v>
      </c>
      <c r="AO46" s="882">
        <v>74.499101245696167</v>
      </c>
      <c r="AP46" s="882">
        <v>77.745886208904338</v>
      </c>
      <c r="AQ46" s="882">
        <v>80.992671172112509</v>
      </c>
      <c r="AR46" s="882">
        <v>84.239456135320694</v>
      </c>
      <c r="AS46" s="882">
        <v>87.486241098528865</v>
      </c>
      <c r="AT46" s="882">
        <v>90.733026061737021</v>
      </c>
    </row>
    <row r="47" spans="1:46">
      <c r="A47" s="1426"/>
      <c r="B47" s="1427"/>
      <c r="C47" s="887">
        <v>1.6</v>
      </c>
      <c r="D47" s="902">
        <f>(AA47*KFC!$B$16+KFC!$C$16)*KFC!$C$5</f>
        <v>29.533486759411478</v>
      </c>
      <c r="E47" s="898">
        <f>(AB47*KFC!$B$16+KFC!$C$16)*KFC!$C$5</f>
        <v>32.89067857826619</v>
      </c>
      <c r="F47" s="898">
        <f>(AC47*KFC!$B$16+KFC!$C$16)*KFC!$C$5</f>
        <v>36.247870397120906</v>
      </c>
      <c r="G47" s="898">
        <f>(AD47*KFC!$B$16+KFC!$C$16)*KFC!$C$5</f>
        <v>39.605062215975622</v>
      </c>
      <c r="H47" s="898">
        <f>(AE47*KFC!$B$16+KFC!$C$16)*KFC!$C$5</f>
        <v>42.962254034830337</v>
      </c>
      <c r="I47" s="898">
        <f>(AF47*KFC!$B$16+KFC!$C$16)*KFC!$C$5</f>
        <v>46.319445853685053</v>
      </c>
      <c r="J47" s="898">
        <f>(AG47*KFC!$B$16+KFC!$C$16)*KFC!$C$5</f>
        <v>49.676637672539769</v>
      </c>
      <c r="K47" s="898">
        <f>(AH47*KFC!$B$16+KFC!$C$16)*KFC!$C$5</f>
        <v>53.033829491394485</v>
      </c>
      <c r="L47" s="898">
        <f>(AI47*KFC!$B$16+KFC!$C$16)*KFC!$C$5</f>
        <v>56.391021310249187</v>
      </c>
      <c r="M47" s="898">
        <f>(AJ47*KFC!$B$16+KFC!$C$16)*KFC!$C$5</f>
        <v>59.748213129103902</v>
      </c>
      <c r="N47" s="898">
        <f>(AK47*KFC!$B$16+KFC!$C$16)*KFC!$C$5</f>
        <v>63.105404947958618</v>
      </c>
      <c r="O47" s="898">
        <f>(AL47*KFC!$B$16+KFC!$C$16)*KFC!$C$5</f>
        <v>66.462596766813334</v>
      </c>
      <c r="P47" s="898">
        <f>(AM47*KFC!$B$16+KFC!$C$16)*KFC!$C$5</f>
        <v>69.81978858566805</v>
      </c>
      <c r="Q47" s="898">
        <f>(AN47*KFC!$B$16+KFC!$C$16)*KFC!$C$5</f>
        <v>73.176980404522766</v>
      </c>
      <c r="R47" s="898">
        <f>(AO47*KFC!$B$16+KFC!$C$16)*KFC!$C$5</f>
        <v>76.534172223377482</v>
      </c>
      <c r="S47" s="898">
        <f>(AP47*KFC!$B$16+KFC!$C$16)*KFC!$C$5</f>
        <v>79.891364042232198</v>
      </c>
      <c r="T47" s="898">
        <f>(AQ47*KFC!$B$16+KFC!$C$16)*KFC!$C$5</f>
        <v>83.248555861086913</v>
      </c>
      <c r="U47" s="898">
        <f>(AR47*KFC!$B$16+KFC!$C$16)*KFC!$C$5</f>
        <v>86.605747679941629</v>
      </c>
      <c r="V47" s="898">
        <f>(AS47*KFC!$B$16+KFC!$C$16)*KFC!$C$5</f>
        <v>89.962939498796345</v>
      </c>
      <c r="W47" s="903">
        <f>(AT47*KFC!$B$16+KFC!$C$16)*KFC!$C$5</f>
        <v>93.320131317651047</v>
      </c>
      <c r="Y47" s="1431"/>
      <c r="Z47" s="649">
        <v>1.6</v>
      </c>
      <c r="AA47" s="882">
        <v>29.533486759411478</v>
      </c>
      <c r="AB47" s="882">
        <v>32.89067857826619</v>
      </c>
      <c r="AC47" s="882">
        <v>36.247870397120906</v>
      </c>
      <c r="AD47" s="882">
        <v>39.605062215975622</v>
      </c>
      <c r="AE47" s="882">
        <v>42.962254034830337</v>
      </c>
      <c r="AF47" s="882">
        <v>46.319445853685053</v>
      </c>
      <c r="AG47" s="882">
        <v>49.676637672539769</v>
      </c>
      <c r="AH47" s="882">
        <v>53.033829491394485</v>
      </c>
      <c r="AI47" s="882">
        <v>56.391021310249187</v>
      </c>
      <c r="AJ47" s="882">
        <v>59.748213129103902</v>
      </c>
      <c r="AK47" s="882">
        <v>63.105404947958618</v>
      </c>
      <c r="AL47" s="882">
        <v>66.462596766813334</v>
      </c>
      <c r="AM47" s="882">
        <v>69.81978858566805</v>
      </c>
      <c r="AN47" s="882">
        <v>73.176980404522766</v>
      </c>
      <c r="AO47" s="882">
        <v>76.534172223377482</v>
      </c>
      <c r="AP47" s="882">
        <v>79.891364042232198</v>
      </c>
      <c r="AQ47" s="882">
        <v>83.248555861086913</v>
      </c>
      <c r="AR47" s="882">
        <v>86.605747679941629</v>
      </c>
      <c r="AS47" s="882">
        <v>89.962939498796345</v>
      </c>
      <c r="AT47" s="882">
        <v>93.320131317651047</v>
      </c>
    </row>
    <row r="48" spans="1:46">
      <c r="A48" s="1426"/>
      <c r="B48" s="1427"/>
      <c r="C48" s="887">
        <v>1.7</v>
      </c>
      <c r="D48" s="902">
        <f>(AA48*KFC!$B$16+KFC!$C$16)*KFC!$C$5</f>
        <v>30.022861758041227</v>
      </c>
      <c r="E48" s="898">
        <f>(AB48*KFC!$B$16+KFC!$C$16)*KFC!$C$5</f>
        <v>33.490460432542484</v>
      </c>
      <c r="F48" s="898">
        <f>(AC48*KFC!$B$16+KFC!$C$16)*KFC!$C$5</f>
        <v>36.958059107043738</v>
      </c>
      <c r="G48" s="898">
        <f>(AD48*KFC!$B$16+KFC!$C$16)*KFC!$C$5</f>
        <v>40.425657781544992</v>
      </c>
      <c r="H48" s="898">
        <f>(AE48*KFC!$B$16+KFC!$C$16)*KFC!$C$5</f>
        <v>43.893256456046245</v>
      </c>
      <c r="I48" s="898">
        <f>(AF48*KFC!$B$16+KFC!$C$16)*KFC!$C$5</f>
        <v>47.360855130547499</v>
      </c>
      <c r="J48" s="898">
        <f>(AG48*KFC!$B$16+KFC!$C$16)*KFC!$C$5</f>
        <v>50.828453805048753</v>
      </c>
      <c r="K48" s="898">
        <f>(AH48*KFC!$B$16+KFC!$C$16)*KFC!$C$5</f>
        <v>54.296052479550006</v>
      </c>
      <c r="L48" s="898">
        <f>(AI48*KFC!$B$16+KFC!$C$16)*KFC!$C$5</f>
        <v>57.76365115405126</v>
      </c>
      <c r="M48" s="898">
        <f>(AJ48*KFC!$B$16+KFC!$C$16)*KFC!$C$5</f>
        <v>61.231249828552514</v>
      </c>
      <c r="N48" s="898">
        <f>(AK48*KFC!$B$16+KFC!$C$16)*KFC!$C$5</f>
        <v>64.698848503053767</v>
      </c>
      <c r="O48" s="898">
        <f>(AL48*KFC!$B$16+KFC!$C$16)*KFC!$C$5</f>
        <v>68.166447177555028</v>
      </c>
      <c r="P48" s="898">
        <f>(AM48*KFC!$B$16+KFC!$C$16)*KFC!$C$5</f>
        <v>71.634045852056275</v>
      </c>
      <c r="Q48" s="898">
        <f>(AN48*KFC!$B$16+KFC!$C$16)*KFC!$C$5</f>
        <v>75.101644526557536</v>
      </c>
      <c r="R48" s="898">
        <f>(AO48*KFC!$B$16+KFC!$C$16)*KFC!$C$5</f>
        <v>78.569243201058782</v>
      </c>
      <c r="S48" s="898">
        <f>(AP48*KFC!$B$16+KFC!$C$16)*KFC!$C$5</f>
        <v>82.036841875560043</v>
      </c>
      <c r="T48" s="898">
        <f>(AQ48*KFC!$B$16+KFC!$C$16)*KFC!$C$5</f>
        <v>85.50444055006129</v>
      </c>
      <c r="U48" s="898">
        <f>(AR48*KFC!$B$16+KFC!$C$16)*KFC!$C$5</f>
        <v>88.972039224562536</v>
      </c>
      <c r="V48" s="898">
        <f>(AS48*KFC!$B$16+KFC!$C$16)*KFC!$C$5</f>
        <v>92.439637899063797</v>
      </c>
      <c r="W48" s="903">
        <f>(AT48*KFC!$B$16+KFC!$C$16)*KFC!$C$5</f>
        <v>95.907236573565044</v>
      </c>
      <c r="Y48" s="1431"/>
      <c r="Z48" s="649">
        <v>1.7</v>
      </c>
      <c r="AA48" s="882">
        <v>30.022861758041227</v>
      </c>
      <c r="AB48" s="882">
        <v>33.490460432542484</v>
      </c>
      <c r="AC48" s="882">
        <v>36.958059107043738</v>
      </c>
      <c r="AD48" s="882">
        <v>40.425657781544992</v>
      </c>
      <c r="AE48" s="882">
        <v>43.893256456046245</v>
      </c>
      <c r="AF48" s="882">
        <v>47.360855130547499</v>
      </c>
      <c r="AG48" s="882">
        <v>50.828453805048753</v>
      </c>
      <c r="AH48" s="882">
        <v>54.296052479550006</v>
      </c>
      <c r="AI48" s="882">
        <v>57.76365115405126</v>
      </c>
      <c r="AJ48" s="882">
        <v>61.231249828552514</v>
      </c>
      <c r="AK48" s="882">
        <v>64.698848503053767</v>
      </c>
      <c r="AL48" s="882">
        <v>68.166447177555028</v>
      </c>
      <c r="AM48" s="882">
        <v>71.634045852056275</v>
      </c>
      <c r="AN48" s="882">
        <v>75.101644526557536</v>
      </c>
      <c r="AO48" s="882">
        <v>78.569243201058782</v>
      </c>
      <c r="AP48" s="882">
        <v>82.036841875560043</v>
      </c>
      <c r="AQ48" s="882">
        <v>85.50444055006129</v>
      </c>
      <c r="AR48" s="882">
        <v>88.972039224562536</v>
      </c>
      <c r="AS48" s="882">
        <v>92.439637899063797</v>
      </c>
      <c r="AT48" s="882">
        <v>95.907236573565044</v>
      </c>
    </row>
    <row r="49" spans="1:46">
      <c r="A49" s="1426"/>
      <c r="B49" s="1427"/>
      <c r="C49" s="887">
        <v>1.8</v>
      </c>
      <c r="D49" s="902">
        <f>(AA49*KFC!$B$16+KFC!$C$16)*KFC!$C$5</f>
        <v>30.512236756670973</v>
      </c>
      <c r="E49" s="898">
        <f>(AB49*KFC!$B$16+KFC!$C$16)*KFC!$C$5</f>
        <v>34.090242286818764</v>
      </c>
      <c r="F49" s="898">
        <f>(AC49*KFC!$B$16+KFC!$C$16)*KFC!$C$5</f>
        <v>37.668247816966563</v>
      </c>
      <c r="G49" s="898">
        <f>(AD49*KFC!$B$16+KFC!$C$16)*KFC!$C$5</f>
        <v>41.246253347114362</v>
      </c>
      <c r="H49" s="898">
        <f>(AE49*KFC!$B$16+KFC!$C$16)*KFC!$C$5</f>
        <v>44.824258877262153</v>
      </c>
      <c r="I49" s="898">
        <f>(AF49*KFC!$B$16+KFC!$C$16)*KFC!$C$5</f>
        <v>48.402264407409945</v>
      </c>
      <c r="J49" s="898">
        <f>(AG49*KFC!$B$16+KFC!$C$16)*KFC!$C$5</f>
        <v>51.980269937557736</v>
      </c>
      <c r="K49" s="898">
        <f>(AH49*KFC!$B$16+KFC!$C$16)*KFC!$C$5</f>
        <v>55.558275467705542</v>
      </c>
      <c r="L49" s="898">
        <f>(AI49*KFC!$B$16+KFC!$C$16)*KFC!$C$5</f>
        <v>59.136280997853333</v>
      </c>
      <c r="M49" s="898">
        <f>(AJ49*KFC!$B$16+KFC!$C$16)*KFC!$C$5</f>
        <v>62.714286528001125</v>
      </c>
      <c r="N49" s="898">
        <f>(AK49*KFC!$B$16+KFC!$C$16)*KFC!$C$5</f>
        <v>66.292292058148931</v>
      </c>
      <c r="O49" s="898">
        <f>(AL49*KFC!$B$16+KFC!$C$16)*KFC!$C$5</f>
        <v>69.870297588296722</v>
      </c>
      <c r="P49" s="898">
        <f>(AM49*KFC!$B$16+KFC!$C$16)*KFC!$C$5</f>
        <v>73.448303118444514</v>
      </c>
      <c r="Q49" s="898">
        <f>(AN49*KFC!$B$16+KFC!$C$16)*KFC!$C$5</f>
        <v>77.026308648592305</v>
      </c>
      <c r="R49" s="898">
        <f>(AO49*KFC!$B$16+KFC!$C$16)*KFC!$C$5</f>
        <v>80.604314178740097</v>
      </c>
      <c r="S49" s="898">
        <f>(AP49*KFC!$B$16+KFC!$C$16)*KFC!$C$5</f>
        <v>84.182319708887903</v>
      </c>
      <c r="T49" s="898">
        <f>(AQ49*KFC!$B$16+KFC!$C$16)*KFC!$C$5</f>
        <v>87.76032523903568</v>
      </c>
      <c r="U49" s="898">
        <f>(AR49*KFC!$B$16+KFC!$C$16)*KFC!$C$5</f>
        <v>91.338330769183486</v>
      </c>
      <c r="V49" s="898">
        <f>(AS49*KFC!$B$16+KFC!$C$16)*KFC!$C$5</f>
        <v>94.916336299331277</v>
      </c>
      <c r="W49" s="903">
        <f>(AT49*KFC!$B$16+KFC!$C$16)*KFC!$C$5</f>
        <v>98.49434182947904</v>
      </c>
      <c r="Y49" s="1431"/>
      <c r="Z49" s="649">
        <v>1.8</v>
      </c>
      <c r="AA49" s="882">
        <v>30.512236756670973</v>
      </c>
      <c r="AB49" s="882">
        <v>34.090242286818764</v>
      </c>
      <c r="AC49" s="882">
        <v>37.668247816966563</v>
      </c>
      <c r="AD49" s="882">
        <v>41.246253347114362</v>
      </c>
      <c r="AE49" s="882">
        <v>44.824258877262153</v>
      </c>
      <c r="AF49" s="882">
        <v>48.402264407409945</v>
      </c>
      <c r="AG49" s="882">
        <v>51.980269937557736</v>
      </c>
      <c r="AH49" s="882">
        <v>55.558275467705542</v>
      </c>
      <c r="AI49" s="882">
        <v>59.136280997853333</v>
      </c>
      <c r="AJ49" s="882">
        <v>62.714286528001125</v>
      </c>
      <c r="AK49" s="882">
        <v>66.292292058148931</v>
      </c>
      <c r="AL49" s="882">
        <v>69.870297588296722</v>
      </c>
      <c r="AM49" s="882">
        <v>73.448303118444514</v>
      </c>
      <c r="AN49" s="882">
        <v>77.026308648592305</v>
      </c>
      <c r="AO49" s="882">
        <v>80.604314178740097</v>
      </c>
      <c r="AP49" s="882">
        <v>84.182319708887903</v>
      </c>
      <c r="AQ49" s="882">
        <v>87.76032523903568</v>
      </c>
      <c r="AR49" s="882">
        <v>91.338330769183486</v>
      </c>
      <c r="AS49" s="882">
        <v>94.916336299331277</v>
      </c>
      <c r="AT49" s="882">
        <v>98.49434182947904</v>
      </c>
    </row>
    <row r="50" spans="1:46">
      <c r="A50" s="1426"/>
      <c r="B50" s="1427"/>
      <c r="C50" s="887">
        <v>1.9</v>
      </c>
      <c r="D50" s="902">
        <f>(AA50*KFC!$B$16+KFC!$C$16)*KFC!$C$5</f>
        <v>31.001611755300718</v>
      </c>
      <c r="E50" s="898">
        <f>(AB50*KFC!$B$16+KFC!$C$16)*KFC!$C$5</f>
        <v>34.690024141095051</v>
      </c>
      <c r="F50" s="898">
        <f>(AC50*KFC!$B$16+KFC!$C$16)*KFC!$C$5</f>
        <v>38.378436526889388</v>
      </c>
      <c r="G50" s="898">
        <f>(AD50*KFC!$B$16+KFC!$C$16)*KFC!$C$5</f>
        <v>42.066848912683724</v>
      </c>
      <c r="H50" s="898">
        <f>(AE50*KFC!$B$16+KFC!$C$16)*KFC!$C$5</f>
        <v>45.755261298478054</v>
      </c>
      <c r="I50" s="898">
        <f>(AF50*KFC!$B$16+KFC!$C$16)*KFC!$C$5</f>
        <v>49.443673684272383</v>
      </c>
      <c r="J50" s="898">
        <f>(AG50*KFC!$B$16+KFC!$C$16)*KFC!$C$5</f>
        <v>53.13208607006672</v>
      </c>
      <c r="K50" s="898">
        <f>(AH50*KFC!$B$16+KFC!$C$16)*KFC!$C$5</f>
        <v>56.820498455861063</v>
      </c>
      <c r="L50" s="898">
        <f>(AI50*KFC!$B$16+KFC!$C$16)*KFC!$C$5</f>
        <v>60.508910841655393</v>
      </c>
      <c r="M50" s="898">
        <f>(AJ50*KFC!$B$16+KFC!$C$16)*KFC!$C$5</f>
        <v>64.197323227449729</v>
      </c>
      <c r="N50" s="898">
        <f>(AK50*KFC!$B$16+KFC!$C$16)*KFC!$C$5</f>
        <v>67.885735613244066</v>
      </c>
      <c r="O50" s="898">
        <f>(AL50*KFC!$B$16+KFC!$C$16)*KFC!$C$5</f>
        <v>71.574147999038388</v>
      </c>
      <c r="P50" s="898">
        <f>(AM50*KFC!$B$16+KFC!$C$16)*KFC!$C$5</f>
        <v>75.262560384832739</v>
      </c>
      <c r="Q50" s="898">
        <f>(AN50*KFC!$B$16+KFC!$C$16)*KFC!$C$5</f>
        <v>78.950972770627061</v>
      </c>
      <c r="R50" s="898">
        <f>(AO50*KFC!$B$16+KFC!$C$16)*KFC!$C$5</f>
        <v>82.639385156421397</v>
      </c>
      <c r="S50" s="898">
        <f>(AP50*KFC!$B$16+KFC!$C$16)*KFC!$C$5</f>
        <v>86.327797542215748</v>
      </c>
      <c r="T50" s="898">
        <f>(AQ50*KFC!$B$16+KFC!$C$16)*KFC!$C$5</f>
        <v>90.01620992801007</v>
      </c>
      <c r="U50" s="898">
        <f>(AR50*KFC!$B$16+KFC!$C$16)*KFC!$C$5</f>
        <v>93.704622313804407</v>
      </c>
      <c r="V50" s="898">
        <f>(AS50*KFC!$B$16+KFC!$C$16)*KFC!$C$5</f>
        <v>97.393034699598743</v>
      </c>
      <c r="W50" s="903">
        <f>(AT50*KFC!$B$16+KFC!$C$16)*KFC!$C$5</f>
        <v>101.08144708539305</v>
      </c>
      <c r="Y50" s="1431"/>
      <c r="Z50" s="649">
        <v>1.9</v>
      </c>
      <c r="AA50" s="882">
        <v>31.001611755300718</v>
      </c>
      <c r="AB50" s="882">
        <v>34.690024141095051</v>
      </c>
      <c r="AC50" s="882">
        <v>38.378436526889388</v>
      </c>
      <c r="AD50" s="882">
        <v>42.066848912683724</v>
      </c>
      <c r="AE50" s="882">
        <v>45.755261298478054</v>
      </c>
      <c r="AF50" s="882">
        <v>49.443673684272383</v>
      </c>
      <c r="AG50" s="882">
        <v>53.13208607006672</v>
      </c>
      <c r="AH50" s="882">
        <v>56.820498455861063</v>
      </c>
      <c r="AI50" s="882">
        <v>60.508910841655393</v>
      </c>
      <c r="AJ50" s="882">
        <v>64.197323227449729</v>
      </c>
      <c r="AK50" s="882">
        <v>67.885735613244066</v>
      </c>
      <c r="AL50" s="882">
        <v>71.574147999038388</v>
      </c>
      <c r="AM50" s="882">
        <v>75.262560384832739</v>
      </c>
      <c r="AN50" s="882">
        <v>78.950972770627061</v>
      </c>
      <c r="AO50" s="882">
        <v>82.639385156421397</v>
      </c>
      <c r="AP50" s="882">
        <v>86.327797542215748</v>
      </c>
      <c r="AQ50" s="882">
        <v>90.01620992801007</v>
      </c>
      <c r="AR50" s="882">
        <v>93.704622313804407</v>
      </c>
      <c r="AS50" s="882">
        <v>97.393034699598743</v>
      </c>
      <c r="AT50" s="882">
        <v>101.08144708539305</v>
      </c>
    </row>
    <row r="51" spans="1:46">
      <c r="A51" s="1426"/>
      <c r="B51" s="1427"/>
      <c r="C51" s="887">
        <v>2</v>
      </c>
      <c r="D51" s="902">
        <f>(AA51*KFC!$B$16+KFC!$C$16)*KFC!$C$5</f>
        <v>31.490986753930471</v>
      </c>
      <c r="E51" s="898">
        <f>(AB51*KFC!$B$16+KFC!$C$16)*KFC!$C$5</f>
        <v>35.289805995371339</v>
      </c>
      <c r="F51" s="898">
        <f>(AC51*KFC!$B$16+KFC!$C$16)*KFC!$C$5</f>
        <v>39.088625236812213</v>
      </c>
      <c r="G51" s="898">
        <f>(AD51*KFC!$B$16+KFC!$C$16)*KFC!$C$5</f>
        <v>42.887444478253094</v>
      </c>
      <c r="H51" s="898">
        <f>(AE51*KFC!$B$16+KFC!$C$16)*KFC!$C$5</f>
        <v>46.686263719693962</v>
      </c>
      <c r="I51" s="898">
        <f>(AF51*KFC!$B$16+KFC!$C$16)*KFC!$C$5</f>
        <v>50.485082961134836</v>
      </c>
      <c r="J51" s="898">
        <f>(AG51*KFC!$B$16+KFC!$C$16)*KFC!$C$5</f>
        <v>54.28390220257571</v>
      </c>
      <c r="K51" s="898">
        <f>(AH51*KFC!$B$16+KFC!$C$16)*KFC!$C$5</f>
        <v>58.082721444016585</v>
      </c>
      <c r="L51" s="898">
        <f>(AI51*KFC!$B$16+KFC!$C$16)*KFC!$C$5</f>
        <v>61.881540685457466</v>
      </c>
      <c r="M51" s="898">
        <f>(AJ51*KFC!$B$16+KFC!$C$16)*KFC!$C$5</f>
        <v>65.680359926898348</v>
      </c>
      <c r="N51" s="898">
        <f>(AK51*KFC!$B$16+KFC!$C$16)*KFC!$C$5</f>
        <v>69.479179168339201</v>
      </c>
      <c r="O51" s="898">
        <f>(AL51*KFC!$B$16+KFC!$C$16)*KFC!$C$5</f>
        <v>73.277998409780082</v>
      </c>
      <c r="P51" s="898">
        <f>(AM51*KFC!$B$16+KFC!$C$16)*KFC!$C$5</f>
        <v>77.076817651220964</v>
      </c>
      <c r="Q51" s="898">
        <f>(AN51*KFC!$B$16+KFC!$C$16)*KFC!$C$5</f>
        <v>80.875636892661831</v>
      </c>
      <c r="R51" s="898">
        <f>(AO51*KFC!$B$16+KFC!$C$16)*KFC!$C$5</f>
        <v>84.674456134102698</v>
      </c>
      <c r="S51" s="898">
        <f>(AP51*KFC!$B$16+KFC!$C$16)*KFC!$C$5</f>
        <v>88.473275375543579</v>
      </c>
      <c r="T51" s="898">
        <f>(AQ51*KFC!$B$16+KFC!$C$16)*KFC!$C$5</f>
        <v>92.272094616984447</v>
      </c>
      <c r="U51" s="898">
        <f>(AR51*KFC!$B$16+KFC!$C$16)*KFC!$C$5</f>
        <v>96.070913858425328</v>
      </c>
      <c r="V51" s="898">
        <f>(AS51*KFC!$B$16+KFC!$C$16)*KFC!$C$5</f>
        <v>99.86973309986621</v>
      </c>
      <c r="W51" s="903">
        <f>(AT51*KFC!$B$16+KFC!$C$16)*KFC!$C$5</f>
        <v>103.66855234130705</v>
      </c>
      <c r="Y51" s="1431"/>
      <c r="Z51" s="649">
        <v>2</v>
      </c>
      <c r="AA51" s="882">
        <v>31.490986753930471</v>
      </c>
      <c r="AB51" s="882">
        <v>35.289805995371339</v>
      </c>
      <c r="AC51" s="882">
        <v>39.088625236812213</v>
      </c>
      <c r="AD51" s="882">
        <v>42.887444478253094</v>
      </c>
      <c r="AE51" s="882">
        <v>46.686263719693962</v>
      </c>
      <c r="AF51" s="882">
        <v>50.485082961134836</v>
      </c>
      <c r="AG51" s="882">
        <v>54.28390220257571</v>
      </c>
      <c r="AH51" s="882">
        <v>58.082721444016585</v>
      </c>
      <c r="AI51" s="882">
        <v>61.881540685457466</v>
      </c>
      <c r="AJ51" s="882">
        <v>65.680359926898348</v>
      </c>
      <c r="AK51" s="882">
        <v>69.479179168339201</v>
      </c>
      <c r="AL51" s="882">
        <v>73.277998409780082</v>
      </c>
      <c r="AM51" s="882">
        <v>77.076817651220964</v>
      </c>
      <c r="AN51" s="882">
        <v>80.875636892661831</v>
      </c>
      <c r="AO51" s="882">
        <v>84.674456134102698</v>
      </c>
      <c r="AP51" s="882">
        <v>88.473275375543579</v>
      </c>
      <c r="AQ51" s="882">
        <v>92.272094616984447</v>
      </c>
      <c r="AR51" s="882">
        <v>96.070913858425328</v>
      </c>
      <c r="AS51" s="882">
        <v>99.86973309986621</v>
      </c>
      <c r="AT51" s="882">
        <v>103.66855234130705</v>
      </c>
    </row>
    <row r="52" spans="1:46">
      <c r="A52" s="1426"/>
      <c r="B52" s="1427"/>
      <c r="C52" s="887">
        <v>2.1</v>
      </c>
      <c r="D52" s="902">
        <f>(AA52*KFC!$B$16+KFC!$C$16)*KFC!$C$5</f>
        <v>31.980361752560217</v>
      </c>
      <c r="E52" s="898">
        <f>(AB52*KFC!$B$16+KFC!$C$16)*KFC!$C$5</f>
        <v>35.889587849647633</v>
      </c>
      <c r="F52" s="898">
        <f>(AC52*KFC!$B$16+KFC!$C$16)*KFC!$C$5</f>
        <v>39.798813946735045</v>
      </c>
      <c r="G52" s="898">
        <f>(AD52*KFC!$B$16+KFC!$C$16)*KFC!$C$5</f>
        <v>43.708040043822464</v>
      </c>
      <c r="H52" s="898">
        <f>(AE52*KFC!$B$16+KFC!$C$16)*KFC!$C$5</f>
        <v>47.617266140909877</v>
      </c>
      <c r="I52" s="898">
        <f>(AF52*KFC!$B$16+KFC!$C$16)*KFC!$C$5</f>
        <v>51.526492237997296</v>
      </c>
      <c r="J52" s="898">
        <f>(AG52*KFC!$B$16+KFC!$C$16)*KFC!$C$5</f>
        <v>55.435718335084708</v>
      </c>
      <c r="K52" s="898">
        <f>(AH52*KFC!$B$16+KFC!$C$16)*KFC!$C$5</f>
        <v>59.344944432172127</v>
      </c>
      <c r="L52" s="898">
        <f>(AI52*KFC!$B$16+KFC!$C$16)*KFC!$C$5</f>
        <v>63.254170529259532</v>
      </c>
      <c r="M52" s="898">
        <f>(AJ52*KFC!$B$16+KFC!$C$16)*KFC!$C$5</f>
        <v>67.163396626346938</v>
      </c>
      <c r="N52" s="898">
        <f>(AK52*KFC!$B$16+KFC!$C$16)*KFC!$C$5</f>
        <v>71.072622723434364</v>
      </c>
      <c r="O52" s="898">
        <f>(AL52*KFC!$B$16+KFC!$C$16)*KFC!$C$5</f>
        <v>74.981848820521776</v>
      </c>
      <c r="P52" s="898">
        <f>(AM52*KFC!$B$16+KFC!$C$16)*KFC!$C$5</f>
        <v>78.891074917609188</v>
      </c>
      <c r="Q52" s="898">
        <f>(AN52*KFC!$B$16+KFC!$C$16)*KFC!$C$5</f>
        <v>82.800301014696601</v>
      </c>
      <c r="R52" s="898">
        <f>(AO52*KFC!$B$16+KFC!$C$16)*KFC!$C$5</f>
        <v>86.709527111784027</v>
      </c>
      <c r="S52" s="898">
        <f>(AP52*KFC!$B$16+KFC!$C$16)*KFC!$C$5</f>
        <v>90.618753208871439</v>
      </c>
      <c r="T52" s="898">
        <f>(AQ52*KFC!$B$16+KFC!$C$16)*KFC!$C$5</f>
        <v>94.527979305958851</v>
      </c>
      <c r="U52" s="898">
        <f>(AR52*KFC!$B$16+KFC!$C$16)*KFC!$C$5</f>
        <v>98.437205403046278</v>
      </c>
      <c r="V52" s="898">
        <f>(AS52*KFC!$B$16+KFC!$C$16)*KFC!$C$5</f>
        <v>102.34643150013369</v>
      </c>
      <c r="W52" s="903">
        <f>(AT52*KFC!$B$16+KFC!$C$16)*KFC!$C$5</f>
        <v>106.25565759722107</v>
      </c>
      <c r="Y52" s="1431"/>
      <c r="Z52" s="649">
        <v>2.1</v>
      </c>
      <c r="AA52" s="882">
        <v>31.980361752560217</v>
      </c>
      <c r="AB52" s="882">
        <v>35.889587849647633</v>
      </c>
      <c r="AC52" s="882">
        <v>39.798813946735045</v>
      </c>
      <c r="AD52" s="882">
        <v>43.708040043822464</v>
      </c>
      <c r="AE52" s="882">
        <v>47.617266140909877</v>
      </c>
      <c r="AF52" s="882">
        <v>51.526492237997296</v>
      </c>
      <c r="AG52" s="882">
        <v>55.435718335084708</v>
      </c>
      <c r="AH52" s="882">
        <v>59.344944432172127</v>
      </c>
      <c r="AI52" s="882">
        <v>63.254170529259532</v>
      </c>
      <c r="AJ52" s="882">
        <v>67.163396626346938</v>
      </c>
      <c r="AK52" s="882">
        <v>71.072622723434364</v>
      </c>
      <c r="AL52" s="882">
        <v>74.981848820521776</v>
      </c>
      <c r="AM52" s="882">
        <v>78.891074917609188</v>
      </c>
      <c r="AN52" s="882">
        <v>82.800301014696601</v>
      </c>
      <c r="AO52" s="882">
        <v>86.709527111784027</v>
      </c>
      <c r="AP52" s="882">
        <v>90.618753208871439</v>
      </c>
      <c r="AQ52" s="882">
        <v>94.527979305958851</v>
      </c>
      <c r="AR52" s="882">
        <v>98.437205403046278</v>
      </c>
      <c r="AS52" s="882">
        <v>102.34643150013369</v>
      </c>
      <c r="AT52" s="882">
        <v>106.25565759722107</v>
      </c>
    </row>
    <row r="53" spans="1:46" ht="15" thickBot="1">
      <c r="A53" s="1428"/>
      <c r="B53" s="1429"/>
      <c r="C53" s="888">
        <v>2.2000000000000002</v>
      </c>
      <c r="D53" s="904">
        <f>(AA53*KFC!$B$16+KFC!$C$16)*KFC!$C$5</f>
        <v>32.469736751189998</v>
      </c>
      <c r="E53" s="905">
        <f>(AB53*KFC!$B$16+KFC!$C$16)*KFC!$C$5</f>
        <v>36.489369703923941</v>
      </c>
      <c r="F53" s="905">
        <f>(AC53*KFC!$B$16+KFC!$C$16)*KFC!$C$5</f>
        <v>40.509002656657884</v>
      </c>
      <c r="G53" s="905">
        <f>(AD53*KFC!$B$16+KFC!$C$16)*KFC!$C$5</f>
        <v>44.528635609391841</v>
      </c>
      <c r="H53" s="905">
        <f>(AE53*KFC!$B$16+KFC!$C$16)*KFC!$C$5</f>
        <v>48.548268562125784</v>
      </c>
      <c r="I53" s="905">
        <f>(AF53*KFC!$B$16+KFC!$C$16)*KFC!$C$5</f>
        <v>52.567901514859741</v>
      </c>
      <c r="J53" s="905">
        <f>(AG53*KFC!$B$16+KFC!$C$16)*KFC!$C$5</f>
        <v>56.587534467593677</v>
      </c>
      <c r="K53" s="905">
        <f>(AH53*KFC!$B$16+KFC!$C$16)*KFC!$C$5</f>
        <v>60.607167420327634</v>
      </c>
      <c r="L53" s="905">
        <f>(AI53*KFC!$B$16+KFC!$C$16)*KFC!$C$5</f>
        <v>64.626800373061585</v>
      </c>
      <c r="M53" s="905">
        <f>(AJ53*KFC!$B$16+KFC!$C$16)*KFC!$C$5</f>
        <v>68.646433325795527</v>
      </c>
      <c r="N53" s="905">
        <f>(AK53*KFC!$B$16+KFC!$C$16)*KFC!$C$5</f>
        <v>72.666066278529456</v>
      </c>
      <c r="O53" s="905">
        <f>(AL53*KFC!$B$16+KFC!$C$16)*KFC!$C$5</f>
        <v>76.685699231263399</v>
      </c>
      <c r="P53" s="905">
        <f>(AM53*KFC!$B$16+KFC!$C$16)*KFC!$C$5</f>
        <v>80.705332183997342</v>
      </c>
      <c r="Q53" s="905">
        <f>(AN53*KFC!$B$16+KFC!$C$16)*KFC!$C$5</f>
        <v>84.724965136731285</v>
      </c>
      <c r="R53" s="905">
        <f>(AO53*KFC!$B$16+KFC!$C$16)*KFC!$C$5</f>
        <v>88.744598089465242</v>
      </c>
      <c r="S53" s="905">
        <f>(AP53*KFC!$B$16+KFC!$C$16)*KFC!$C$5</f>
        <v>92.764231042199157</v>
      </c>
      <c r="T53" s="905">
        <f>(AQ53*KFC!$B$16+KFC!$C$16)*KFC!$C$5</f>
        <v>96.783863994933114</v>
      </c>
      <c r="U53" s="905">
        <f>(AR53*KFC!$B$16+KFC!$C$16)*KFC!$C$5</f>
        <v>100.80349694766707</v>
      </c>
      <c r="V53" s="905">
        <f>(AS53*KFC!$B$16+KFC!$C$16)*KFC!$C$5</f>
        <v>104.82312990040099</v>
      </c>
      <c r="W53" s="906">
        <f>(AT53*KFC!$B$16+KFC!$C$16)*KFC!$C$5</f>
        <v>108.842762853135</v>
      </c>
      <c r="Y53" s="1432"/>
      <c r="Z53" s="649">
        <v>2.2000000000000002</v>
      </c>
      <c r="AA53" s="882">
        <v>32.469736751189998</v>
      </c>
      <c r="AB53" s="882">
        <v>36.489369703923941</v>
      </c>
      <c r="AC53" s="882">
        <v>40.509002656657884</v>
      </c>
      <c r="AD53" s="882">
        <v>44.528635609391841</v>
      </c>
      <c r="AE53" s="882">
        <v>48.548268562125784</v>
      </c>
      <c r="AF53" s="882">
        <v>52.567901514859741</v>
      </c>
      <c r="AG53" s="882">
        <v>56.587534467593677</v>
      </c>
      <c r="AH53" s="882">
        <v>60.607167420327634</v>
      </c>
      <c r="AI53" s="882">
        <v>64.626800373061585</v>
      </c>
      <c r="AJ53" s="882">
        <v>68.646433325795527</v>
      </c>
      <c r="AK53" s="882">
        <v>72.666066278529456</v>
      </c>
      <c r="AL53" s="882">
        <v>76.685699231263399</v>
      </c>
      <c r="AM53" s="882">
        <v>80.705332183997342</v>
      </c>
      <c r="AN53" s="882">
        <v>84.724965136731285</v>
      </c>
      <c r="AO53" s="882">
        <v>88.744598089465242</v>
      </c>
      <c r="AP53" s="882">
        <v>92.764231042199157</v>
      </c>
      <c r="AQ53" s="882">
        <v>96.783863994933114</v>
      </c>
      <c r="AR53" s="882">
        <v>100.80349694766707</v>
      </c>
      <c r="AS53" s="882">
        <v>104.82312990040099</v>
      </c>
      <c r="AT53" s="882">
        <v>108.842762853135</v>
      </c>
    </row>
    <row r="54" spans="1:46">
      <c r="A54" s="16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</row>
    <row r="55" spans="1:46" ht="16.2" thickBot="1">
      <c r="A55" s="1033" t="s">
        <v>1223</v>
      </c>
      <c r="B55" s="1033"/>
      <c r="C55" s="1033"/>
      <c r="D55" s="1033"/>
      <c r="E55" s="1033"/>
      <c r="F55" s="1033"/>
      <c r="G55" s="1033"/>
      <c r="H55" s="1033"/>
      <c r="I55" s="1033"/>
      <c r="J55" s="1033"/>
      <c r="K55" s="1033"/>
      <c r="L55" s="1033"/>
      <c r="M55" s="1033"/>
      <c r="N55" s="1033"/>
      <c r="O55" s="1033"/>
      <c r="P55" s="1033"/>
      <c r="Q55" s="1033"/>
      <c r="R55" s="1033"/>
      <c r="S55" s="1033"/>
      <c r="T55" s="1033"/>
      <c r="U55" s="1033"/>
      <c r="V55" s="1033"/>
      <c r="W55" s="1033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</row>
    <row r="56" spans="1:46" ht="33" customHeight="1" thickBot="1">
      <c r="A56" s="1439"/>
      <c r="B56" s="1440"/>
      <c r="C56" s="1441"/>
      <c r="D56" s="1419" t="s">
        <v>207</v>
      </c>
      <c r="E56" s="1420"/>
      <c r="F56" s="1420"/>
      <c r="G56" s="1420"/>
      <c r="H56" s="1420"/>
      <c r="I56" s="1420"/>
      <c r="J56" s="1420"/>
      <c r="K56" s="1420"/>
      <c r="L56" s="1420"/>
      <c r="M56" s="1420"/>
      <c r="N56" s="1420"/>
      <c r="O56" s="1420"/>
      <c r="P56" s="1420"/>
      <c r="Q56" s="1420"/>
      <c r="R56" s="1420"/>
      <c r="S56" s="1420"/>
      <c r="T56" s="1420"/>
      <c r="U56" s="1420"/>
      <c r="V56" s="1420"/>
      <c r="W56" s="1421"/>
      <c r="Y56" s="1278" t="s">
        <v>1202</v>
      </c>
      <c r="Z56" s="1278"/>
      <c r="AA56" s="1279" t="s">
        <v>356</v>
      </c>
      <c r="AB56" s="1279"/>
      <c r="AC56" s="1279"/>
      <c r="AD56" s="1279"/>
      <c r="AE56" s="1279"/>
      <c r="AF56" s="1279"/>
      <c r="AG56" s="1279"/>
      <c r="AH56" s="1279"/>
      <c r="AI56" s="1279"/>
      <c r="AJ56" s="1279"/>
      <c r="AK56" s="1279"/>
      <c r="AL56" s="1279"/>
      <c r="AM56" s="1279"/>
      <c r="AN56" s="1279"/>
      <c r="AO56" s="1279"/>
      <c r="AP56" s="1279"/>
      <c r="AQ56" s="1279"/>
      <c r="AR56" s="1279"/>
      <c r="AS56" s="1279"/>
      <c r="AT56" s="1279"/>
    </row>
    <row r="57" spans="1:46" ht="15" thickBot="1">
      <c r="A57" s="1442"/>
      <c r="B57" s="1443"/>
      <c r="C57" s="1444"/>
      <c r="D57" s="883">
        <v>0.3</v>
      </c>
      <c r="E57" s="884">
        <v>0.4</v>
      </c>
      <c r="F57" s="884">
        <v>0.5</v>
      </c>
      <c r="G57" s="884">
        <v>0.6</v>
      </c>
      <c r="H57" s="884">
        <v>0.7</v>
      </c>
      <c r="I57" s="884">
        <v>0.8</v>
      </c>
      <c r="J57" s="884">
        <v>0.9</v>
      </c>
      <c r="K57" s="884">
        <v>1</v>
      </c>
      <c r="L57" s="884">
        <v>1.1000000000000001</v>
      </c>
      <c r="M57" s="884">
        <v>1.2</v>
      </c>
      <c r="N57" s="884">
        <v>1.3</v>
      </c>
      <c r="O57" s="884">
        <v>1.4</v>
      </c>
      <c r="P57" s="884">
        <v>1.5</v>
      </c>
      <c r="Q57" s="884">
        <v>1.6</v>
      </c>
      <c r="R57" s="884">
        <v>1.7</v>
      </c>
      <c r="S57" s="884">
        <v>1.8</v>
      </c>
      <c r="T57" s="884">
        <v>1.9</v>
      </c>
      <c r="U57" s="884">
        <v>2</v>
      </c>
      <c r="V57" s="884">
        <v>2.1</v>
      </c>
      <c r="W57" s="885">
        <v>2.2000000000000002</v>
      </c>
      <c r="Y57" s="1278"/>
      <c r="Z57" s="1278"/>
      <c r="AA57" s="649">
        <v>0.3</v>
      </c>
      <c r="AB57" s="649">
        <v>0.4</v>
      </c>
      <c r="AC57" s="649">
        <v>0.5</v>
      </c>
      <c r="AD57" s="649">
        <v>0.6</v>
      </c>
      <c r="AE57" s="649">
        <v>0.7</v>
      </c>
      <c r="AF57" s="649">
        <v>0.8</v>
      </c>
      <c r="AG57" s="649">
        <v>0.9</v>
      </c>
      <c r="AH57" s="649">
        <v>1</v>
      </c>
      <c r="AI57" s="649">
        <v>1.1000000000000001</v>
      </c>
      <c r="AJ57" s="649">
        <v>1.2</v>
      </c>
      <c r="AK57" s="649">
        <v>1.3</v>
      </c>
      <c r="AL57" s="649">
        <v>1.4</v>
      </c>
      <c r="AM57" s="649">
        <v>1.5</v>
      </c>
      <c r="AN57" s="649">
        <v>1.6</v>
      </c>
      <c r="AO57" s="649">
        <v>1.7</v>
      </c>
      <c r="AP57" s="649">
        <v>1.8</v>
      </c>
      <c r="AQ57" s="649">
        <v>1.9</v>
      </c>
      <c r="AR57" s="649">
        <v>2</v>
      </c>
      <c r="AS57" s="649">
        <v>2.1</v>
      </c>
      <c r="AT57" s="649">
        <v>2.2000000000000002</v>
      </c>
    </row>
    <row r="58" spans="1:46" ht="15" customHeight="1">
      <c r="A58" s="1426" t="s">
        <v>3</v>
      </c>
      <c r="B58" s="1427"/>
      <c r="C58" s="886">
        <v>0.2</v>
      </c>
      <c r="D58" s="899">
        <f>(AA58*KFC!$B$16+KFC!$C$16)*KFC!$C$5</f>
        <v>22.777631515169997</v>
      </c>
      <c r="E58" s="900">
        <f>(AB58*KFC!$B$16+KFC!$C$16)*KFC!$C$5</f>
        <v>24.616239543262893</v>
      </c>
      <c r="F58" s="900">
        <f>(AC58*KFC!$B$16+KFC!$C$16)*KFC!$C$5</f>
        <v>26.454847571355785</v>
      </c>
      <c r="G58" s="900">
        <f>(AD58*KFC!$B$16+KFC!$C$16)*KFC!$C$5</f>
        <v>28.293455599448677</v>
      </c>
      <c r="H58" s="900">
        <f>(AE58*KFC!$B$16+KFC!$C$16)*KFC!$C$5</f>
        <v>30.132063627541569</v>
      </c>
      <c r="I58" s="900">
        <f>(AF58*KFC!$B$16+KFC!$C$16)*KFC!$C$5</f>
        <v>31.970671655634465</v>
      </c>
      <c r="J58" s="900">
        <f>(AG58*KFC!$B$16+KFC!$C$16)*KFC!$C$5</f>
        <v>33.809279683727361</v>
      </c>
      <c r="K58" s="900">
        <f>(AH58*KFC!$B$16+KFC!$C$16)*KFC!$C$5</f>
        <v>35.647887711820253</v>
      </c>
      <c r="L58" s="900">
        <f>(AI58*KFC!$B$16+KFC!$C$16)*KFC!$C$5</f>
        <v>37.486495739913153</v>
      </c>
      <c r="M58" s="900">
        <f>(AJ58*KFC!$B$16+KFC!$C$16)*KFC!$C$5</f>
        <v>39.325103768006045</v>
      </c>
      <c r="N58" s="900">
        <f>(AK58*KFC!$B$16+KFC!$C$16)*KFC!$C$5</f>
        <v>41.163711796098937</v>
      </c>
      <c r="O58" s="900">
        <f>(AL58*KFC!$B$16+KFC!$C$16)*KFC!$C$5</f>
        <v>43.002319824191837</v>
      </c>
      <c r="P58" s="900">
        <f>(AM58*KFC!$B$16+KFC!$C$16)*KFC!$C$5</f>
        <v>44.840927852284743</v>
      </c>
      <c r="Q58" s="900">
        <f>(AN58*KFC!$B$16+KFC!$C$16)*KFC!$C$5</f>
        <v>46.679535880377635</v>
      </c>
      <c r="R58" s="900">
        <f>(AO58*KFC!$B$16+KFC!$C$16)*KFC!$C$5</f>
        <v>48.518143908470527</v>
      </c>
      <c r="S58" s="900">
        <f>(AP58*KFC!$B$16+KFC!$C$16)*KFC!$C$5</f>
        <v>50.356751936563427</v>
      </c>
      <c r="T58" s="900">
        <f>(AQ58*KFC!$B$16+KFC!$C$16)*KFC!$C$5</f>
        <v>52.195359964656319</v>
      </c>
      <c r="U58" s="900">
        <f>(AR58*KFC!$B$16+KFC!$C$16)*KFC!$C$5</f>
        <v>54.033967992749226</v>
      </c>
      <c r="V58" s="900">
        <f>(AS58*KFC!$B$16+KFC!$C$16)*KFC!$C$5</f>
        <v>55.872576020842118</v>
      </c>
      <c r="W58" s="901">
        <f>(AT58*KFC!$B$16+KFC!$C$16)*KFC!$C$5</f>
        <v>57.711184048934996</v>
      </c>
      <c r="Y58" s="1277" t="s">
        <v>357</v>
      </c>
      <c r="Z58" s="649">
        <v>0.2</v>
      </c>
      <c r="AA58" s="882">
        <v>22.777631515169997</v>
      </c>
      <c r="AB58" s="882">
        <v>24.616239543262893</v>
      </c>
      <c r="AC58" s="882">
        <v>26.454847571355785</v>
      </c>
      <c r="AD58" s="882">
        <v>28.293455599448677</v>
      </c>
      <c r="AE58" s="882">
        <v>30.132063627541569</v>
      </c>
      <c r="AF58" s="882">
        <v>31.970671655634465</v>
      </c>
      <c r="AG58" s="882">
        <v>33.809279683727361</v>
      </c>
      <c r="AH58" s="882">
        <v>35.647887711820253</v>
      </c>
      <c r="AI58" s="882">
        <v>37.486495739913153</v>
      </c>
      <c r="AJ58" s="882">
        <v>39.325103768006045</v>
      </c>
      <c r="AK58" s="882">
        <v>41.163711796098937</v>
      </c>
      <c r="AL58" s="882">
        <v>43.002319824191837</v>
      </c>
      <c r="AM58" s="882">
        <v>44.840927852284743</v>
      </c>
      <c r="AN58" s="882">
        <v>46.679535880377635</v>
      </c>
      <c r="AO58" s="882">
        <v>48.518143908470527</v>
      </c>
      <c r="AP58" s="882">
        <v>50.356751936563427</v>
      </c>
      <c r="AQ58" s="882">
        <v>52.195359964656319</v>
      </c>
      <c r="AR58" s="882">
        <v>54.033967992749226</v>
      </c>
      <c r="AS58" s="882">
        <v>55.872576020842118</v>
      </c>
      <c r="AT58" s="882">
        <v>57.711184048934996</v>
      </c>
    </row>
    <row r="59" spans="1:46">
      <c r="A59" s="1426"/>
      <c r="B59" s="1427"/>
      <c r="C59" s="887">
        <v>0.3</v>
      </c>
      <c r="D59" s="902">
        <f>(AA59*KFC!$B$16+KFC!$C$16)*KFC!$C$5</f>
        <v>23.308980197892744</v>
      </c>
      <c r="E59" s="898">
        <f>(AB59*KFC!$B$16+KFC!$C$16)*KFC!$C$5</f>
        <v>25.272254084362334</v>
      </c>
      <c r="F59" s="898">
        <f>(AC59*KFC!$B$16+KFC!$C$16)*KFC!$C$5</f>
        <v>27.235527970831928</v>
      </c>
      <c r="G59" s="898">
        <f>(AD59*KFC!$B$16+KFC!$C$16)*KFC!$C$5</f>
        <v>29.198801857301515</v>
      </c>
      <c r="H59" s="898">
        <f>(AE59*KFC!$B$16+KFC!$C$16)*KFC!$C$5</f>
        <v>31.162075743771108</v>
      </c>
      <c r="I59" s="898">
        <f>(AF59*KFC!$B$16+KFC!$C$16)*KFC!$C$5</f>
        <v>33.125349630240699</v>
      </c>
      <c r="J59" s="898">
        <f>(AG59*KFC!$B$16+KFC!$C$16)*KFC!$C$5</f>
        <v>35.088623516710285</v>
      </c>
      <c r="K59" s="898">
        <f>(AH59*KFC!$B$16+KFC!$C$16)*KFC!$C$5</f>
        <v>37.051897403179879</v>
      </c>
      <c r="L59" s="898">
        <f>(AI59*KFC!$B$16+KFC!$C$16)*KFC!$C$5</f>
        <v>39.015171289649473</v>
      </c>
      <c r="M59" s="898">
        <f>(AJ59*KFC!$B$16+KFC!$C$16)*KFC!$C$5</f>
        <v>40.978445176119067</v>
      </c>
      <c r="N59" s="898">
        <f>(AK59*KFC!$B$16+KFC!$C$16)*KFC!$C$5</f>
        <v>42.941719062588653</v>
      </c>
      <c r="O59" s="898">
        <f>(AL59*KFC!$B$16+KFC!$C$16)*KFC!$C$5</f>
        <v>44.90499294905824</v>
      </c>
      <c r="P59" s="898">
        <f>(AM59*KFC!$B$16+KFC!$C$16)*KFC!$C$5</f>
        <v>46.868266835527827</v>
      </c>
      <c r="Q59" s="898">
        <f>(AN59*KFC!$B$16+KFC!$C$16)*KFC!$C$5</f>
        <v>48.83154072199742</v>
      </c>
      <c r="R59" s="898">
        <f>(AO59*KFC!$B$16+KFC!$C$16)*KFC!$C$5</f>
        <v>50.794814608467014</v>
      </c>
      <c r="S59" s="898">
        <f>(AP59*KFC!$B$16+KFC!$C$16)*KFC!$C$5</f>
        <v>52.758088494936608</v>
      </c>
      <c r="T59" s="898">
        <f>(AQ59*KFC!$B$16+KFC!$C$16)*KFC!$C$5</f>
        <v>54.721362381406195</v>
      </c>
      <c r="U59" s="898">
        <f>(AR59*KFC!$B$16+KFC!$C$16)*KFC!$C$5</f>
        <v>56.684636267875781</v>
      </c>
      <c r="V59" s="898">
        <f>(AS59*KFC!$B$16+KFC!$C$16)*KFC!$C$5</f>
        <v>58.647910154345375</v>
      </c>
      <c r="W59" s="903">
        <f>(AT59*KFC!$B$16+KFC!$C$16)*KFC!$C$5</f>
        <v>60.61118404081499</v>
      </c>
      <c r="Y59" s="1277"/>
      <c r="Z59" s="649">
        <v>0.3</v>
      </c>
      <c r="AA59" s="882">
        <v>23.308980197892744</v>
      </c>
      <c r="AB59" s="882">
        <v>25.272254084362334</v>
      </c>
      <c r="AC59" s="882">
        <v>27.235527970831928</v>
      </c>
      <c r="AD59" s="882">
        <v>29.198801857301515</v>
      </c>
      <c r="AE59" s="882">
        <v>31.162075743771108</v>
      </c>
      <c r="AF59" s="882">
        <v>33.125349630240699</v>
      </c>
      <c r="AG59" s="882">
        <v>35.088623516710285</v>
      </c>
      <c r="AH59" s="882">
        <v>37.051897403179879</v>
      </c>
      <c r="AI59" s="882">
        <v>39.015171289649473</v>
      </c>
      <c r="AJ59" s="882">
        <v>40.978445176119067</v>
      </c>
      <c r="AK59" s="882">
        <v>42.941719062588653</v>
      </c>
      <c r="AL59" s="882">
        <v>44.90499294905824</v>
      </c>
      <c r="AM59" s="882">
        <v>46.868266835527827</v>
      </c>
      <c r="AN59" s="882">
        <v>48.83154072199742</v>
      </c>
      <c r="AO59" s="882">
        <v>50.794814608467014</v>
      </c>
      <c r="AP59" s="882">
        <v>52.758088494936608</v>
      </c>
      <c r="AQ59" s="882">
        <v>54.721362381406195</v>
      </c>
      <c r="AR59" s="882">
        <v>56.684636267875781</v>
      </c>
      <c r="AS59" s="882">
        <v>58.647910154345375</v>
      </c>
      <c r="AT59" s="882">
        <v>60.61118404081499</v>
      </c>
    </row>
    <row r="60" spans="1:46">
      <c r="A60" s="1426"/>
      <c r="B60" s="1427"/>
      <c r="C60" s="887">
        <v>0.4</v>
      </c>
      <c r="D60" s="902">
        <f>(AA60*KFC!$B$16+KFC!$C$16)*KFC!$C$5</f>
        <v>23.840328880615491</v>
      </c>
      <c r="E60" s="898">
        <f>(AB60*KFC!$B$16+KFC!$C$16)*KFC!$C$5</f>
        <v>25.928268625461786</v>
      </c>
      <c r="F60" s="898">
        <f>(AC60*KFC!$B$16+KFC!$C$16)*KFC!$C$5</f>
        <v>28.016208370308075</v>
      </c>
      <c r="G60" s="898">
        <f>(AD60*KFC!$B$16+KFC!$C$16)*KFC!$C$5</f>
        <v>30.104148115154366</v>
      </c>
      <c r="H60" s="898">
        <f>(AE60*KFC!$B$16+KFC!$C$16)*KFC!$C$5</f>
        <v>32.192087860000662</v>
      </c>
      <c r="I60" s="898">
        <f>(AF60*KFC!$B$16+KFC!$C$16)*KFC!$C$5</f>
        <v>34.280027604846943</v>
      </c>
      <c r="J60" s="898">
        <f>(AG60*KFC!$B$16+KFC!$C$16)*KFC!$C$5</f>
        <v>36.367967349693238</v>
      </c>
      <c r="K60" s="898">
        <f>(AH60*KFC!$B$16+KFC!$C$16)*KFC!$C$5</f>
        <v>38.455907094539526</v>
      </c>
      <c r="L60" s="898">
        <f>(AI60*KFC!$B$16+KFC!$C$16)*KFC!$C$5</f>
        <v>40.543846839385822</v>
      </c>
      <c r="M60" s="898">
        <f>(AJ60*KFC!$B$16+KFC!$C$16)*KFC!$C$5</f>
        <v>42.63178658423211</v>
      </c>
      <c r="N60" s="898">
        <f>(AK60*KFC!$B$16+KFC!$C$16)*KFC!$C$5</f>
        <v>44.719726329078398</v>
      </c>
      <c r="O60" s="898">
        <f>(AL60*KFC!$B$16+KFC!$C$16)*KFC!$C$5</f>
        <v>46.807666073924679</v>
      </c>
      <c r="P60" s="898">
        <f>(AM60*KFC!$B$16+KFC!$C$16)*KFC!$C$5</f>
        <v>48.895605818770974</v>
      </c>
      <c r="Q60" s="898">
        <f>(AN60*KFC!$B$16+KFC!$C$16)*KFC!$C$5</f>
        <v>50.98354556361727</v>
      </c>
      <c r="R60" s="898">
        <f>(AO60*KFC!$B$16+KFC!$C$16)*KFC!$C$5</f>
        <v>53.071485308463565</v>
      </c>
      <c r="S60" s="898">
        <f>(AP60*KFC!$B$16+KFC!$C$16)*KFC!$C$5</f>
        <v>55.159425053309853</v>
      </c>
      <c r="T60" s="898">
        <f>(AQ60*KFC!$B$16+KFC!$C$16)*KFC!$C$5</f>
        <v>57.247364798156141</v>
      </c>
      <c r="U60" s="898">
        <f>(AR60*KFC!$B$16+KFC!$C$16)*KFC!$C$5</f>
        <v>59.33530454300243</v>
      </c>
      <c r="V60" s="898">
        <f>(AS60*KFC!$B$16+KFC!$C$16)*KFC!$C$5</f>
        <v>61.423244287848725</v>
      </c>
      <c r="W60" s="903">
        <f>(AT60*KFC!$B$16+KFC!$C$16)*KFC!$C$5</f>
        <v>63.511184032694992</v>
      </c>
      <c r="Y60" s="1277"/>
      <c r="Z60" s="649">
        <v>0.4</v>
      </c>
      <c r="AA60" s="882">
        <v>23.840328880615491</v>
      </c>
      <c r="AB60" s="882">
        <v>25.928268625461786</v>
      </c>
      <c r="AC60" s="882">
        <v>28.016208370308075</v>
      </c>
      <c r="AD60" s="882">
        <v>30.104148115154366</v>
      </c>
      <c r="AE60" s="882">
        <v>32.192087860000662</v>
      </c>
      <c r="AF60" s="882">
        <v>34.280027604846943</v>
      </c>
      <c r="AG60" s="882">
        <v>36.367967349693238</v>
      </c>
      <c r="AH60" s="882">
        <v>38.455907094539526</v>
      </c>
      <c r="AI60" s="882">
        <v>40.543846839385822</v>
      </c>
      <c r="AJ60" s="882">
        <v>42.63178658423211</v>
      </c>
      <c r="AK60" s="882">
        <v>44.719726329078398</v>
      </c>
      <c r="AL60" s="882">
        <v>46.807666073924679</v>
      </c>
      <c r="AM60" s="882">
        <v>48.895605818770974</v>
      </c>
      <c r="AN60" s="882">
        <v>50.98354556361727</v>
      </c>
      <c r="AO60" s="882">
        <v>53.071485308463565</v>
      </c>
      <c r="AP60" s="882">
        <v>55.159425053309853</v>
      </c>
      <c r="AQ60" s="882">
        <v>57.247364798156141</v>
      </c>
      <c r="AR60" s="882">
        <v>59.33530454300243</v>
      </c>
      <c r="AS60" s="882">
        <v>61.423244287848725</v>
      </c>
      <c r="AT60" s="882">
        <v>63.511184032694992</v>
      </c>
    </row>
    <row r="61" spans="1:46">
      <c r="A61" s="1426"/>
      <c r="B61" s="1427"/>
      <c r="C61" s="887">
        <v>0.5</v>
      </c>
      <c r="D61" s="902">
        <f>(AA61*KFC!$B$16+KFC!$C$16)*KFC!$C$5</f>
        <v>24.371677563338242</v>
      </c>
      <c r="E61" s="898">
        <f>(AB61*KFC!$B$16+KFC!$C$16)*KFC!$C$5</f>
        <v>26.584283166561228</v>
      </c>
      <c r="F61" s="898">
        <f>(AC61*KFC!$B$16+KFC!$C$16)*KFC!$C$5</f>
        <v>28.796888769784221</v>
      </c>
      <c r="G61" s="898">
        <f>(AD61*KFC!$B$16+KFC!$C$16)*KFC!$C$5</f>
        <v>31.009494373007204</v>
      </c>
      <c r="H61" s="898">
        <f>(AE61*KFC!$B$16+KFC!$C$16)*KFC!$C$5</f>
        <v>33.22209997623019</v>
      </c>
      <c r="I61" s="898">
        <f>(AF61*KFC!$B$16+KFC!$C$16)*KFC!$C$5</f>
        <v>35.43470557945318</v>
      </c>
      <c r="J61" s="898">
        <f>(AG61*KFC!$B$16+KFC!$C$16)*KFC!$C$5</f>
        <v>37.647311182676169</v>
      </c>
      <c r="K61" s="898">
        <f>(AH61*KFC!$B$16+KFC!$C$16)*KFC!$C$5</f>
        <v>39.859916785899159</v>
      </c>
      <c r="L61" s="898">
        <f>(AI61*KFC!$B$16+KFC!$C$16)*KFC!$C$5</f>
        <v>42.072522389122156</v>
      </c>
      <c r="M61" s="898">
        <f>(AJ61*KFC!$B$16+KFC!$C$16)*KFC!$C$5</f>
        <v>44.285127992345146</v>
      </c>
      <c r="N61" s="898">
        <f>(AK61*KFC!$B$16+KFC!$C$16)*KFC!$C$5</f>
        <v>46.497733595568135</v>
      </c>
      <c r="O61" s="898">
        <f>(AL61*KFC!$B$16+KFC!$C$16)*KFC!$C$5</f>
        <v>48.710339198791125</v>
      </c>
      <c r="P61" s="898">
        <f>(AM61*KFC!$B$16+KFC!$C$16)*KFC!$C$5</f>
        <v>50.922944802014115</v>
      </c>
      <c r="Q61" s="898">
        <f>(AN61*KFC!$B$16+KFC!$C$16)*KFC!$C$5</f>
        <v>53.135550405237105</v>
      </c>
      <c r="R61" s="898">
        <f>(AO61*KFC!$B$16+KFC!$C$16)*KFC!$C$5</f>
        <v>55.348156008460094</v>
      </c>
      <c r="S61" s="898">
        <f>(AP61*KFC!$B$16+KFC!$C$16)*KFC!$C$5</f>
        <v>57.560761611683084</v>
      </c>
      <c r="T61" s="898">
        <f>(AQ61*KFC!$B$16+KFC!$C$16)*KFC!$C$5</f>
        <v>59.773367214906074</v>
      </c>
      <c r="U61" s="898">
        <f>(AR61*KFC!$B$16+KFC!$C$16)*KFC!$C$5</f>
        <v>61.985972818129063</v>
      </c>
      <c r="V61" s="898">
        <f>(AS61*KFC!$B$16+KFC!$C$16)*KFC!$C$5</f>
        <v>64.198578421352053</v>
      </c>
      <c r="W61" s="903">
        <f>(AT61*KFC!$B$16+KFC!$C$16)*KFC!$C$5</f>
        <v>66.411184024574993</v>
      </c>
      <c r="Y61" s="1277"/>
      <c r="Z61" s="649">
        <v>0.5</v>
      </c>
      <c r="AA61" s="882">
        <v>24.371677563338242</v>
      </c>
      <c r="AB61" s="882">
        <v>26.584283166561228</v>
      </c>
      <c r="AC61" s="882">
        <v>28.796888769784221</v>
      </c>
      <c r="AD61" s="882">
        <v>31.009494373007204</v>
      </c>
      <c r="AE61" s="882">
        <v>33.22209997623019</v>
      </c>
      <c r="AF61" s="882">
        <v>35.43470557945318</v>
      </c>
      <c r="AG61" s="882">
        <v>37.647311182676169</v>
      </c>
      <c r="AH61" s="882">
        <v>39.859916785899159</v>
      </c>
      <c r="AI61" s="882">
        <v>42.072522389122156</v>
      </c>
      <c r="AJ61" s="882">
        <v>44.285127992345146</v>
      </c>
      <c r="AK61" s="882">
        <v>46.497733595568135</v>
      </c>
      <c r="AL61" s="882">
        <v>48.710339198791125</v>
      </c>
      <c r="AM61" s="882">
        <v>50.922944802014115</v>
      </c>
      <c r="AN61" s="882">
        <v>53.135550405237105</v>
      </c>
      <c r="AO61" s="882">
        <v>55.348156008460094</v>
      </c>
      <c r="AP61" s="882">
        <v>57.560761611683084</v>
      </c>
      <c r="AQ61" s="882">
        <v>59.773367214906074</v>
      </c>
      <c r="AR61" s="882">
        <v>61.985972818129063</v>
      </c>
      <c r="AS61" s="882">
        <v>64.198578421352053</v>
      </c>
      <c r="AT61" s="882">
        <v>66.411184024574993</v>
      </c>
    </row>
    <row r="62" spans="1:46">
      <c r="A62" s="1426"/>
      <c r="B62" s="1427"/>
      <c r="C62" s="887">
        <v>0.6</v>
      </c>
      <c r="D62" s="902">
        <f>(AA62*KFC!$B$16+KFC!$C$16)*KFC!$C$5</f>
        <v>24.903026246060989</v>
      </c>
      <c r="E62" s="898">
        <f>(AB62*KFC!$B$16+KFC!$C$16)*KFC!$C$5</f>
        <v>27.240297707660677</v>
      </c>
      <c r="F62" s="898">
        <f>(AC62*KFC!$B$16+KFC!$C$16)*KFC!$C$5</f>
        <v>29.577569169260357</v>
      </c>
      <c r="G62" s="898">
        <f>(AD62*KFC!$B$16+KFC!$C$16)*KFC!$C$5</f>
        <v>31.914840630860045</v>
      </c>
      <c r="H62" s="898">
        <f>(AE62*KFC!$B$16+KFC!$C$16)*KFC!$C$5</f>
        <v>34.252112092459726</v>
      </c>
      <c r="I62" s="898">
        <f>(AF62*KFC!$B$16+KFC!$C$16)*KFC!$C$5</f>
        <v>36.58938355405941</v>
      </c>
      <c r="J62" s="898">
        <f>(AG62*KFC!$B$16+KFC!$C$16)*KFC!$C$5</f>
        <v>38.926655015659094</v>
      </c>
      <c r="K62" s="898">
        <f>(AH62*KFC!$B$16+KFC!$C$16)*KFC!$C$5</f>
        <v>41.263926477258778</v>
      </c>
      <c r="L62" s="898">
        <f>(AI62*KFC!$B$16+KFC!$C$16)*KFC!$C$5</f>
        <v>43.601197938858462</v>
      </c>
      <c r="M62" s="898">
        <f>(AJ62*KFC!$B$16+KFC!$C$16)*KFC!$C$5</f>
        <v>45.938469400458146</v>
      </c>
      <c r="N62" s="898">
        <f>(AK62*KFC!$B$16+KFC!$C$16)*KFC!$C$5</f>
        <v>48.27574086205783</v>
      </c>
      <c r="O62" s="898">
        <f>(AL62*KFC!$B$16+KFC!$C$16)*KFC!$C$5</f>
        <v>50.613012323657507</v>
      </c>
      <c r="P62" s="898">
        <f>(AM62*KFC!$B$16+KFC!$C$16)*KFC!$C$5</f>
        <v>52.950283785257199</v>
      </c>
      <c r="Q62" s="898">
        <f>(AN62*KFC!$B$16+KFC!$C$16)*KFC!$C$5</f>
        <v>55.287555246856883</v>
      </c>
      <c r="R62" s="898">
        <f>(AO62*KFC!$B$16+KFC!$C$16)*KFC!$C$5</f>
        <v>57.624826708456567</v>
      </c>
      <c r="S62" s="898">
        <f>(AP62*KFC!$B$16+KFC!$C$16)*KFC!$C$5</f>
        <v>59.962098170056244</v>
      </c>
      <c r="T62" s="898">
        <f>(AQ62*KFC!$B$16+KFC!$C$16)*KFC!$C$5</f>
        <v>62.299369631655935</v>
      </c>
      <c r="U62" s="898">
        <f>(AR62*KFC!$B$16+KFC!$C$16)*KFC!$C$5</f>
        <v>64.636641093255619</v>
      </c>
      <c r="V62" s="898">
        <f>(AS62*KFC!$B$16+KFC!$C$16)*KFC!$C$5</f>
        <v>66.973912554855289</v>
      </c>
      <c r="W62" s="903">
        <f>(AT62*KFC!$B$16+KFC!$C$16)*KFC!$C$5</f>
        <v>69.311184016455002</v>
      </c>
      <c r="Y62" s="1277"/>
      <c r="Z62" s="649">
        <v>0.6</v>
      </c>
      <c r="AA62" s="882">
        <v>24.903026246060989</v>
      </c>
      <c r="AB62" s="882">
        <v>27.240297707660677</v>
      </c>
      <c r="AC62" s="882">
        <v>29.577569169260357</v>
      </c>
      <c r="AD62" s="882">
        <v>31.914840630860045</v>
      </c>
      <c r="AE62" s="882">
        <v>34.252112092459726</v>
      </c>
      <c r="AF62" s="882">
        <v>36.58938355405941</v>
      </c>
      <c r="AG62" s="882">
        <v>38.926655015659094</v>
      </c>
      <c r="AH62" s="882">
        <v>41.263926477258778</v>
      </c>
      <c r="AI62" s="882">
        <v>43.601197938858462</v>
      </c>
      <c r="AJ62" s="882">
        <v>45.938469400458146</v>
      </c>
      <c r="AK62" s="882">
        <v>48.27574086205783</v>
      </c>
      <c r="AL62" s="882">
        <v>50.613012323657507</v>
      </c>
      <c r="AM62" s="882">
        <v>52.950283785257199</v>
      </c>
      <c r="AN62" s="882">
        <v>55.287555246856883</v>
      </c>
      <c r="AO62" s="882">
        <v>57.624826708456567</v>
      </c>
      <c r="AP62" s="882">
        <v>59.962098170056244</v>
      </c>
      <c r="AQ62" s="882">
        <v>62.299369631655935</v>
      </c>
      <c r="AR62" s="882">
        <v>64.636641093255619</v>
      </c>
      <c r="AS62" s="882">
        <v>66.973912554855289</v>
      </c>
      <c r="AT62" s="882">
        <v>69.311184016455002</v>
      </c>
    </row>
    <row r="63" spans="1:46">
      <c r="A63" s="1426"/>
      <c r="B63" s="1427"/>
      <c r="C63" s="887">
        <v>0.7</v>
      </c>
      <c r="D63" s="902">
        <f>(AA63*KFC!$B$16+KFC!$C$16)*KFC!$C$5</f>
        <v>25.434374928783743</v>
      </c>
      <c r="E63" s="898">
        <f>(AB63*KFC!$B$16+KFC!$C$16)*KFC!$C$5</f>
        <v>27.896312248760125</v>
      </c>
      <c r="F63" s="898">
        <f>(AC63*KFC!$B$16+KFC!$C$16)*KFC!$C$5</f>
        <v>30.358249568736507</v>
      </c>
      <c r="G63" s="898">
        <f>(AD63*KFC!$B$16+KFC!$C$16)*KFC!$C$5</f>
        <v>32.82018688871289</v>
      </c>
      <c r="H63" s="898">
        <f>(AE63*KFC!$B$16+KFC!$C$16)*KFC!$C$5</f>
        <v>35.282124208689275</v>
      </c>
      <c r="I63" s="898">
        <f>(AF63*KFC!$B$16+KFC!$C$16)*KFC!$C$5</f>
        <v>37.744061528665654</v>
      </c>
      <c r="J63" s="898">
        <f>(AG63*KFC!$B$16+KFC!$C$16)*KFC!$C$5</f>
        <v>40.205998848642039</v>
      </c>
      <c r="K63" s="898">
        <f>(AH63*KFC!$B$16+KFC!$C$16)*KFC!$C$5</f>
        <v>42.667936168618418</v>
      </c>
      <c r="L63" s="898">
        <f>(AI63*KFC!$B$16+KFC!$C$16)*KFC!$C$5</f>
        <v>45.129873488594804</v>
      </c>
      <c r="M63" s="898">
        <f>(AJ63*KFC!$B$16+KFC!$C$16)*KFC!$C$5</f>
        <v>47.591810808571196</v>
      </c>
      <c r="N63" s="898">
        <f>(AK63*KFC!$B$16+KFC!$C$16)*KFC!$C$5</f>
        <v>50.053748128547568</v>
      </c>
      <c r="O63" s="898">
        <f>(AL63*KFC!$B$16+KFC!$C$16)*KFC!$C$5</f>
        <v>52.515685448523961</v>
      </c>
      <c r="P63" s="898">
        <f>(AM63*KFC!$B$16+KFC!$C$16)*KFC!$C$5</f>
        <v>54.977622768500339</v>
      </c>
      <c r="Q63" s="898">
        <f>(AN63*KFC!$B$16+KFC!$C$16)*KFC!$C$5</f>
        <v>57.439560088476725</v>
      </c>
      <c r="R63" s="898">
        <f>(AO63*KFC!$B$16+KFC!$C$16)*KFC!$C$5</f>
        <v>59.90149740845311</v>
      </c>
      <c r="S63" s="898">
        <f>(AP63*KFC!$B$16+KFC!$C$16)*KFC!$C$5</f>
        <v>62.363434728429489</v>
      </c>
      <c r="T63" s="898">
        <f>(AQ63*KFC!$B$16+KFC!$C$16)*KFC!$C$5</f>
        <v>64.825372048405882</v>
      </c>
      <c r="U63" s="898">
        <f>(AR63*KFC!$B$16+KFC!$C$16)*KFC!$C$5</f>
        <v>67.287309368382267</v>
      </c>
      <c r="V63" s="898">
        <f>(AS63*KFC!$B$16+KFC!$C$16)*KFC!$C$5</f>
        <v>69.749246688358639</v>
      </c>
      <c r="W63" s="903">
        <f>(AT63*KFC!$B$16+KFC!$C$16)*KFC!$C$5</f>
        <v>72.211184008334996</v>
      </c>
      <c r="Y63" s="1277"/>
      <c r="Z63" s="649">
        <v>0.7</v>
      </c>
      <c r="AA63" s="882">
        <v>25.434374928783743</v>
      </c>
      <c r="AB63" s="882">
        <v>27.896312248760125</v>
      </c>
      <c r="AC63" s="882">
        <v>30.358249568736507</v>
      </c>
      <c r="AD63" s="882">
        <v>32.82018688871289</v>
      </c>
      <c r="AE63" s="882">
        <v>35.282124208689275</v>
      </c>
      <c r="AF63" s="882">
        <v>37.744061528665654</v>
      </c>
      <c r="AG63" s="882">
        <v>40.205998848642039</v>
      </c>
      <c r="AH63" s="882">
        <v>42.667936168618418</v>
      </c>
      <c r="AI63" s="882">
        <v>45.129873488594804</v>
      </c>
      <c r="AJ63" s="882">
        <v>47.591810808571196</v>
      </c>
      <c r="AK63" s="882">
        <v>50.053748128547568</v>
      </c>
      <c r="AL63" s="882">
        <v>52.515685448523961</v>
      </c>
      <c r="AM63" s="882">
        <v>54.977622768500339</v>
      </c>
      <c r="AN63" s="882">
        <v>57.439560088476725</v>
      </c>
      <c r="AO63" s="882">
        <v>59.90149740845311</v>
      </c>
      <c r="AP63" s="882">
        <v>62.363434728429489</v>
      </c>
      <c r="AQ63" s="882">
        <v>64.825372048405882</v>
      </c>
      <c r="AR63" s="882">
        <v>67.287309368382267</v>
      </c>
      <c r="AS63" s="882">
        <v>69.749246688358639</v>
      </c>
      <c r="AT63" s="882">
        <v>72.211184008334996</v>
      </c>
    </row>
    <row r="64" spans="1:46">
      <c r="A64" s="1426"/>
      <c r="B64" s="1427"/>
      <c r="C64" s="887">
        <v>0.8</v>
      </c>
      <c r="D64" s="902">
        <f>(AA64*KFC!$B$16+KFC!$C$16)*KFC!$C$5</f>
        <v>25.96572361150649</v>
      </c>
      <c r="E64" s="898">
        <f>(AB64*KFC!$B$16+KFC!$C$16)*KFC!$C$5</f>
        <v>28.552326789859571</v>
      </c>
      <c r="F64" s="898">
        <f>(AC64*KFC!$B$16+KFC!$C$16)*KFC!$C$5</f>
        <v>31.138929968212651</v>
      </c>
      <c r="G64" s="898">
        <f>(AD64*KFC!$B$16+KFC!$C$16)*KFC!$C$5</f>
        <v>33.725533146565738</v>
      </c>
      <c r="H64" s="898">
        <f>(AE64*KFC!$B$16+KFC!$C$16)*KFC!$C$5</f>
        <v>36.312136324918811</v>
      </c>
      <c r="I64" s="898">
        <f>(AF64*KFC!$B$16+KFC!$C$16)*KFC!$C$5</f>
        <v>38.898739503271884</v>
      </c>
      <c r="J64" s="898">
        <f>(AG64*KFC!$B$16+KFC!$C$16)*KFC!$C$5</f>
        <v>41.485342681624964</v>
      </c>
      <c r="K64" s="898">
        <f>(AH64*KFC!$B$16+KFC!$C$16)*KFC!$C$5</f>
        <v>44.071945859978037</v>
      </c>
      <c r="L64" s="898">
        <f>(AI64*KFC!$B$16+KFC!$C$16)*KFC!$C$5</f>
        <v>46.658549038331117</v>
      </c>
      <c r="M64" s="898">
        <f>(AJ64*KFC!$B$16+KFC!$C$16)*KFC!$C$5</f>
        <v>49.245152216684197</v>
      </c>
      <c r="N64" s="898">
        <f>(AK64*KFC!$B$16+KFC!$C$16)*KFC!$C$5</f>
        <v>51.831755395037277</v>
      </c>
      <c r="O64" s="898">
        <f>(AL64*KFC!$B$16+KFC!$C$16)*KFC!$C$5</f>
        <v>54.418358573390357</v>
      </c>
      <c r="P64" s="898">
        <f>(AM64*KFC!$B$16+KFC!$C$16)*KFC!$C$5</f>
        <v>57.00496175174343</v>
      </c>
      <c r="Q64" s="898">
        <f>(AN64*KFC!$B$16+KFC!$C$16)*KFC!$C$5</f>
        <v>59.591564930096503</v>
      </c>
      <c r="R64" s="898">
        <f>(AO64*KFC!$B$16+KFC!$C$16)*KFC!$C$5</f>
        <v>62.178168108449583</v>
      </c>
      <c r="S64" s="898">
        <f>(AP64*KFC!$B$16+KFC!$C$16)*KFC!$C$5</f>
        <v>64.764771286802656</v>
      </c>
      <c r="T64" s="898">
        <f>(AQ64*KFC!$B$16+KFC!$C$16)*KFC!$C$5</f>
        <v>67.351374465155743</v>
      </c>
      <c r="U64" s="898">
        <f>(AR64*KFC!$B$16+KFC!$C$16)*KFC!$C$5</f>
        <v>69.93797764350883</v>
      </c>
      <c r="V64" s="898">
        <f>(AS64*KFC!$B$16+KFC!$C$16)*KFC!$C$5</f>
        <v>72.524580821861903</v>
      </c>
      <c r="W64" s="903">
        <f>(AT64*KFC!$B$16+KFC!$C$16)*KFC!$C$5</f>
        <v>75.111184000215005</v>
      </c>
      <c r="Y64" s="1277"/>
      <c r="Z64" s="649">
        <v>0.8</v>
      </c>
      <c r="AA64" s="882">
        <v>25.96572361150649</v>
      </c>
      <c r="AB64" s="882">
        <v>28.552326789859571</v>
      </c>
      <c r="AC64" s="882">
        <v>31.138929968212651</v>
      </c>
      <c r="AD64" s="882">
        <v>33.725533146565738</v>
      </c>
      <c r="AE64" s="882">
        <v>36.312136324918811</v>
      </c>
      <c r="AF64" s="882">
        <v>38.898739503271884</v>
      </c>
      <c r="AG64" s="882">
        <v>41.485342681624964</v>
      </c>
      <c r="AH64" s="882">
        <v>44.071945859978037</v>
      </c>
      <c r="AI64" s="882">
        <v>46.658549038331117</v>
      </c>
      <c r="AJ64" s="882">
        <v>49.245152216684197</v>
      </c>
      <c r="AK64" s="882">
        <v>51.831755395037277</v>
      </c>
      <c r="AL64" s="882">
        <v>54.418358573390357</v>
      </c>
      <c r="AM64" s="882">
        <v>57.00496175174343</v>
      </c>
      <c r="AN64" s="882">
        <v>59.591564930096503</v>
      </c>
      <c r="AO64" s="882">
        <v>62.178168108449583</v>
      </c>
      <c r="AP64" s="882">
        <v>64.764771286802656</v>
      </c>
      <c r="AQ64" s="882">
        <v>67.351374465155743</v>
      </c>
      <c r="AR64" s="882">
        <v>69.93797764350883</v>
      </c>
      <c r="AS64" s="882">
        <v>72.524580821861903</v>
      </c>
      <c r="AT64" s="882">
        <v>75.111184000215005</v>
      </c>
    </row>
    <row r="65" spans="1:46">
      <c r="A65" s="1426"/>
      <c r="B65" s="1427"/>
      <c r="C65" s="887">
        <v>0.9</v>
      </c>
      <c r="D65" s="902">
        <f>(AA65*KFC!$B$16+KFC!$C$16)*KFC!$C$5</f>
        <v>26.497072294229234</v>
      </c>
      <c r="E65" s="898">
        <f>(AB65*KFC!$B$16+KFC!$C$16)*KFC!$C$5</f>
        <v>29.208341330959016</v>
      </c>
      <c r="F65" s="898">
        <f>(AC65*KFC!$B$16+KFC!$C$16)*KFC!$C$5</f>
        <v>31.919610367688794</v>
      </c>
      <c r="G65" s="898">
        <f>(AD65*KFC!$B$16+KFC!$C$16)*KFC!$C$5</f>
        <v>34.630879404418572</v>
      </c>
      <c r="H65" s="898">
        <f>(AE65*KFC!$B$16+KFC!$C$16)*KFC!$C$5</f>
        <v>37.342148441148346</v>
      </c>
      <c r="I65" s="898">
        <f>(AF65*KFC!$B$16+KFC!$C$16)*KFC!$C$5</f>
        <v>40.053417477878128</v>
      </c>
      <c r="J65" s="898">
        <f>(AG65*KFC!$B$16+KFC!$C$16)*KFC!$C$5</f>
        <v>42.764686514607902</v>
      </c>
      <c r="K65" s="898">
        <f>(AH65*KFC!$B$16+KFC!$C$16)*KFC!$C$5</f>
        <v>45.475955551337677</v>
      </c>
      <c r="L65" s="898">
        <f>(AI65*KFC!$B$16+KFC!$C$16)*KFC!$C$5</f>
        <v>48.187224588067451</v>
      </c>
      <c r="M65" s="898">
        <f>(AJ65*KFC!$B$16+KFC!$C$16)*KFC!$C$5</f>
        <v>50.89849362479724</v>
      </c>
      <c r="N65" s="898">
        <f>(AK65*KFC!$B$16+KFC!$C$16)*KFC!$C$5</f>
        <v>53.609762661527014</v>
      </c>
      <c r="O65" s="898">
        <f>(AL65*KFC!$B$16+KFC!$C$16)*KFC!$C$5</f>
        <v>56.321031698256789</v>
      </c>
      <c r="P65" s="898">
        <f>(AM65*KFC!$B$16+KFC!$C$16)*KFC!$C$5</f>
        <v>59.03230073498657</v>
      </c>
      <c r="Q65" s="898">
        <f>(AN65*KFC!$B$16+KFC!$C$16)*KFC!$C$5</f>
        <v>61.743569771716345</v>
      </c>
      <c r="R65" s="898">
        <f>(AO65*KFC!$B$16+KFC!$C$16)*KFC!$C$5</f>
        <v>64.454838808446127</v>
      </c>
      <c r="S65" s="898">
        <f>(AP65*KFC!$B$16+KFC!$C$16)*KFC!$C$5</f>
        <v>67.166107845175901</v>
      </c>
      <c r="T65" s="898">
        <f>(AQ65*KFC!$B$16+KFC!$C$16)*KFC!$C$5</f>
        <v>69.877376881905676</v>
      </c>
      <c r="U65" s="898">
        <f>(AR65*KFC!$B$16+KFC!$C$16)*KFC!$C$5</f>
        <v>72.588645918635464</v>
      </c>
      <c r="V65" s="898">
        <f>(AS65*KFC!$B$16+KFC!$C$16)*KFC!$C$5</f>
        <v>75.299914955365239</v>
      </c>
      <c r="W65" s="903">
        <f>(AT65*KFC!$B$16+KFC!$C$16)*KFC!$C$5</f>
        <v>78.011183992095013</v>
      </c>
      <c r="Y65" s="1277"/>
      <c r="Z65" s="649">
        <v>0.9</v>
      </c>
      <c r="AA65" s="882">
        <v>26.497072294229234</v>
      </c>
      <c r="AB65" s="882">
        <v>29.208341330959016</v>
      </c>
      <c r="AC65" s="882">
        <v>31.919610367688794</v>
      </c>
      <c r="AD65" s="882">
        <v>34.630879404418572</v>
      </c>
      <c r="AE65" s="882">
        <v>37.342148441148346</v>
      </c>
      <c r="AF65" s="882">
        <v>40.053417477878128</v>
      </c>
      <c r="AG65" s="882">
        <v>42.764686514607902</v>
      </c>
      <c r="AH65" s="882">
        <v>45.475955551337677</v>
      </c>
      <c r="AI65" s="882">
        <v>48.187224588067451</v>
      </c>
      <c r="AJ65" s="882">
        <v>50.89849362479724</v>
      </c>
      <c r="AK65" s="882">
        <v>53.609762661527014</v>
      </c>
      <c r="AL65" s="882">
        <v>56.321031698256789</v>
      </c>
      <c r="AM65" s="882">
        <v>59.03230073498657</v>
      </c>
      <c r="AN65" s="882">
        <v>61.743569771716345</v>
      </c>
      <c r="AO65" s="882">
        <v>64.454838808446127</v>
      </c>
      <c r="AP65" s="882">
        <v>67.166107845175901</v>
      </c>
      <c r="AQ65" s="882">
        <v>69.877376881905676</v>
      </c>
      <c r="AR65" s="882">
        <v>72.588645918635464</v>
      </c>
      <c r="AS65" s="882">
        <v>75.299914955365239</v>
      </c>
      <c r="AT65" s="882">
        <v>78.011183992095013</v>
      </c>
    </row>
    <row r="66" spans="1:46">
      <c r="A66" s="1426"/>
      <c r="B66" s="1427"/>
      <c r="C66" s="887">
        <v>1</v>
      </c>
      <c r="D66" s="902">
        <f>(AA66*KFC!$B$16+KFC!$C$16)*KFC!$C$5</f>
        <v>27.028420976951988</v>
      </c>
      <c r="E66" s="898">
        <f>(AB66*KFC!$B$16+KFC!$C$16)*KFC!$C$5</f>
        <v>29.864355872058464</v>
      </c>
      <c r="F66" s="898">
        <f>(AC66*KFC!$B$16+KFC!$C$16)*KFC!$C$5</f>
        <v>32.700290767164944</v>
      </c>
      <c r="G66" s="898">
        <f>(AD66*KFC!$B$16+KFC!$C$16)*KFC!$C$5</f>
        <v>35.53622566227142</v>
      </c>
      <c r="H66" s="898">
        <f>(AE66*KFC!$B$16+KFC!$C$16)*KFC!$C$5</f>
        <v>38.372160557377896</v>
      </c>
      <c r="I66" s="898">
        <f>(AF66*KFC!$B$16+KFC!$C$16)*KFC!$C$5</f>
        <v>41.208095452484372</v>
      </c>
      <c r="J66" s="898">
        <f>(AG66*KFC!$B$16+KFC!$C$16)*KFC!$C$5</f>
        <v>44.044030347590848</v>
      </c>
      <c r="K66" s="898">
        <f>(AH66*KFC!$B$16+KFC!$C$16)*KFC!$C$5</f>
        <v>46.879965242697324</v>
      </c>
      <c r="L66" s="898">
        <f>(AI66*KFC!$B$16+KFC!$C$16)*KFC!$C$5</f>
        <v>49.715900137803807</v>
      </c>
      <c r="M66" s="898">
        <f>(AJ66*KFC!$B$16+KFC!$C$16)*KFC!$C$5</f>
        <v>52.551835032910276</v>
      </c>
      <c r="N66" s="898">
        <f>(AK66*KFC!$B$16+KFC!$C$16)*KFC!$C$5</f>
        <v>55.387769928016759</v>
      </c>
      <c r="O66" s="898">
        <f>(AL66*KFC!$B$16+KFC!$C$16)*KFC!$C$5</f>
        <v>58.223704823123235</v>
      </c>
      <c r="P66" s="898">
        <f>(AM66*KFC!$B$16+KFC!$C$16)*KFC!$C$5</f>
        <v>61.059639718229704</v>
      </c>
      <c r="Q66" s="898">
        <f>(AN66*KFC!$B$16+KFC!$C$16)*KFC!$C$5</f>
        <v>63.895574613336187</v>
      </c>
      <c r="R66" s="898">
        <f>(AO66*KFC!$B$16+KFC!$C$16)*KFC!$C$5</f>
        <v>66.73150950844267</v>
      </c>
      <c r="S66" s="898">
        <f>(AP66*KFC!$B$16+KFC!$C$16)*KFC!$C$5</f>
        <v>69.567444403549132</v>
      </c>
      <c r="T66" s="898">
        <f>(AQ66*KFC!$B$16+KFC!$C$16)*KFC!$C$5</f>
        <v>72.403379298655608</v>
      </c>
      <c r="U66" s="898">
        <f>(AR66*KFC!$B$16+KFC!$C$16)*KFC!$C$5</f>
        <v>75.239314193762084</v>
      </c>
      <c r="V66" s="898">
        <f>(AS66*KFC!$B$16+KFC!$C$16)*KFC!$C$5</f>
        <v>78.075249088868546</v>
      </c>
      <c r="W66" s="903">
        <f>(AT66*KFC!$B$16+KFC!$C$16)*KFC!$C$5</f>
        <v>80.911183983975022</v>
      </c>
      <c r="Y66" s="1277"/>
      <c r="Z66" s="649">
        <v>1</v>
      </c>
      <c r="AA66" s="882">
        <v>27.028420976951988</v>
      </c>
      <c r="AB66" s="882">
        <v>29.864355872058464</v>
      </c>
      <c r="AC66" s="882">
        <v>32.700290767164944</v>
      </c>
      <c r="AD66" s="882">
        <v>35.53622566227142</v>
      </c>
      <c r="AE66" s="882">
        <v>38.372160557377896</v>
      </c>
      <c r="AF66" s="882">
        <v>41.208095452484372</v>
      </c>
      <c r="AG66" s="882">
        <v>44.044030347590848</v>
      </c>
      <c r="AH66" s="882">
        <v>46.879965242697324</v>
      </c>
      <c r="AI66" s="882">
        <v>49.715900137803807</v>
      </c>
      <c r="AJ66" s="882">
        <v>52.551835032910276</v>
      </c>
      <c r="AK66" s="882">
        <v>55.387769928016759</v>
      </c>
      <c r="AL66" s="882">
        <v>58.223704823123235</v>
      </c>
      <c r="AM66" s="882">
        <v>61.059639718229704</v>
      </c>
      <c r="AN66" s="882">
        <v>63.895574613336187</v>
      </c>
      <c r="AO66" s="882">
        <v>66.73150950844267</v>
      </c>
      <c r="AP66" s="882">
        <v>69.567444403549132</v>
      </c>
      <c r="AQ66" s="882">
        <v>72.403379298655608</v>
      </c>
      <c r="AR66" s="882">
        <v>75.239314193762084</v>
      </c>
      <c r="AS66" s="882">
        <v>78.075249088868546</v>
      </c>
      <c r="AT66" s="882">
        <v>80.911183983975022</v>
      </c>
    </row>
    <row r="67" spans="1:46">
      <c r="A67" s="1426"/>
      <c r="B67" s="1427"/>
      <c r="C67" s="887">
        <v>1.1000000000000001</v>
      </c>
      <c r="D67" s="902">
        <f>(AA67*KFC!$B$16+KFC!$C$16)*KFC!$C$5</f>
        <v>27.559769659674735</v>
      </c>
      <c r="E67" s="898">
        <f>(AB67*KFC!$B$16+KFC!$C$16)*KFC!$C$5</f>
        <v>30.520370413157909</v>
      </c>
      <c r="F67" s="898">
        <f>(AC67*KFC!$B$16+KFC!$C$16)*KFC!$C$5</f>
        <v>33.480971166641083</v>
      </c>
      <c r="G67" s="898">
        <f>(AD67*KFC!$B$16+KFC!$C$16)*KFC!$C$5</f>
        <v>36.441571920124261</v>
      </c>
      <c r="H67" s="898">
        <f>(AE67*KFC!$B$16+KFC!$C$16)*KFC!$C$5</f>
        <v>39.402172673607424</v>
      </c>
      <c r="I67" s="898">
        <f>(AF67*KFC!$B$16+KFC!$C$16)*KFC!$C$5</f>
        <v>42.362773427090602</v>
      </c>
      <c r="J67" s="898">
        <f>(AG67*KFC!$B$16+KFC!$C$16)*KFC!$C$5</f>
        <v>45.323374180573765</v>
      </c>
      <c r="K67" s="898">
        <f>(AH67*KFC!$B$16+KFC!$C$16)*KFC!$C$5</f>
        <v>48.283974934056936</v>
      </c>
      <c r="L67" s="898">
        <f>(AI67*KFC!$B$16+KFC!$C$16)*KFC!$C$5</f>
        <v>51.244575687540113</v>
      </c>
      <c r="M67" s="898">
        <f>(AJ67*KFC!$B$16+KFC!$C$16)*KFC!$C$5</f>
        <v>54.205176441023276</v>
      </c>
      <c r="N67" s="898">
        <f>(AK67*KFC!$B$16+KFC!$C$16)*KFC!$C$5</f>
        <v>57.165777194506447</v>
      </c>
      <c r="O67" s="898">
        <f>(AL67*KFC!$B$16+KFC!$C$16)*KFC!$C$5</f>
        <v>60.126377947989624</v>
      </c>
      <c r="P67" s="898">
        <f>(AM67*KFC!$B$16+KFC!$C$16)*KFC!$C$5</f>
        <v>63.086978701472788</v>
      </c>
      <c r="Q67" s="898">
        <f>(AN67*KFC!$B$16+KFC!$C$16)*KFC!$C$5</f>
        <v>66.047579454955951</v>
      </c>
      <c r="R67" s="898">
        <f>(AO67*KFC!$B$16+KFC!$C$16)*KFC!$C$5</f>
        <v>69.008180208439143</v>
      </c>
      <c r="S67" s="898">
        <f>(AP67*KFC!$B$16+KFC!$C$16)*KFC!$C$5</f>
        <v>71.96878096192232</v>
      </c>
      <c r="T67" s="898">
        <f>(AQ67*KFC!$B$16+KFC!$C$16)*KFC!$C$5</f>
        <v>74.929381715405498</v>
      </c>
      <c r="U67" s="898">
        <f>(AR67*KFC!$B$16+KFC!$C$16)*KFC!$C$5</f>
        <v>77.889982468888675</v>
      </c>
      <c r="V67" s="898">
        <f>(AS67*KFC!$B$16+KFC!$C$16)*KFC!$C$5</f>
        <v>80.850583222371853</v>
      </c>
      <c r="W67" s="903">
        <f>(AT67*KFC!$B$16+KFC!$C$16)*KFC!$C$5</f>
        <v>83.81118397585503</v>
      </c>
      <c r="Y67" s="1277"/>
      <c r="Z67" s="649">
        <v>1.1000000000000001</v>
      </c>
      <c r="AA67" s="882">
        <v>27.559769659674735</v>
      </c>
      <c r="AB67" s="882">
        <v>30.520370413157909</v>
      </c>
      <c r="AC67" s="882">
        <v>33.480971166641083</v>
      </c>
      <c r="AD67" s="882">
        <v>36.441571920124261</v>
      </c>
      <c r="AE67" s="882">
        <v>39.402172673607424</v>
      </c>
      <c r="AF67" s="882">
        <v>42.362773427090602</v>
      </c>
      <c r="AG67" s="882">
        <v>45.323374180573765</v>
      </c>
      <c r="AH67" s="882">
        <v>48.283974934056936</v>
      </c>
      <c r="AI67" s="882">
        <v>51.244575687540113</v>
      </c>
      <c r="AJ67" s="882">
        <v>54.205176441023276</v>
      </c>
      <c r="AK67" s="882">
        <v>57.165777194506447</v>
      </c>
      <c r="AL67" s="882">
        <v>60.126377947989624</v>
      </c>
      <c r="AM67" s="882">
        <v>63.086978701472788</v>
      </c>
      <c r="AN67" s="882">
        <v>66.047579454955951</v>
      </c>
      <c r="AO67" s="882">
        <v>69.008180208439143</v>
      </c>
      <c r="AP67" s="882">
        <v>71.96878096192232</v>
      </c>
      <c r="AQ67" s="882">
        <v>74.929381715405498</v>
      </c>
      <c r="AR67" s="882">
        <v>77.889982468888675</v>
      </c>
      <c r="AS67" s="882">
        <v>80.850583222371853</v>
      </c>
      <c r="AT67" s="882">
        <v>83.81118397585503</v>
      </c>
    </row>
    <row r="68" spans="1:46">
      <c r="A68" s="1426"/>
      <c r="B68" s="1427"/>
      <c r="C68" s="887">
        <v>1.2</v>
      </c>
      <c r="D68" s="902">
        <f>(AA68*KFC!$B$16+KFC!$C$16)*KFC!$C$5</f>
        <v>28.091118342397486</v>
      </c>
      <c r="E68" s="898">
        <f>(AB68*KFC!$B$16+KFC!$C$16)*KFC!$C$5</f>
        <v>31.176384954257358</v>
      </c>
      <c r="F68" s="898">
        <f>(AC68*KFC!$B$16+KFC!$C$16)*KFC!$C$5</f>
        <v>34.261651566117223</v>
      </c>
      <c r="G68" s="898">
        <f>(AD68*KFC!$B$16+KFC!$C$16)*KFC!$C$5</f>
        <v>37.346918177977095</v>
      </c>
      <c r="H68" s="898">
        <f>(AE68*KFC!$B$16+KFC!$C$16)*KFC!$C$5</f>
        <v>40.432184789836967</v>
      </c>
      <c r="I68" s="898">
        <f>(AF68*KFC!$B$16+KFC!$C$16)*KFC!$C$5</f>
        <v>43.517451401696839</v>
      </c>
      <c r="J68" s="898">
        <f>(AG68*KFC!$B$16+KFC!$C$16)*KFC!$C$5</f>
        <v>46.602718013556711</v>
      </c>
      <c r="K68" s="898">
        <f>(AH68*KFC!$B$16+KFC!$C$16)*KFC!$C$5</f>
        <v>49.687984625416576</v>
      </c>
      <c r="L68" s="898">
        <f>(AI68*KFC!$B$16+KFC!$C$16)*KFC!$C$5</f>
        <v>52.773251237276448</v>
      </c>
      <c r="M68" s="898">
        <f>(AJ68*KFC!$B$16+KFC!$C$16)*KFC!$C$5</f>
        <v>55.858517849136319</v>
      </c>
      <c r="N68" s="898">
        <f>(AK68*KFC!$B$16+KFC!$C$16)*KFC!$C$5</f>
        <v>58.943784460996191</v>
      </c>
      <c r="O68" s="898">
        <f>(AL68*KFC!$B$16+KFC!$C$16)*KFC!$C$5</f>
        <v>62.029051072856063</v>
      </c>
      <c r="P68" s="898">
        <f>(AM68*KFC!$B$16+KFC!$C$16)*KFC!$C$5</f>
        <v>65.114317684715928</v>
      </c>
      <c r="Q68" s="898">
        <f>(AN68*KFC!$B$16+KFC!$C$16)*KFC!$C$5</f>
        <v>68.199584296575807</v>
      </c>
      <c r="R68" s="898">
        <f>(AO68*KFC!$B$16+KFC!$C$16)*KFC!$C$5</f>
        <v>71.284850908435672</v>
      </c>
      <c r="S68" s="898">
        <f>(AP68*KFC!$B$16+KFC!$C$16)*KFC!$C$5</f>
        <v>74.370117520295551</v>
      </c>
      <c r="T68" s="898">
        <f>(AQ68*KFC!$B$16+KFC!$C$16)*KFC!$C$5</f>
        <v>77.455384132155416</v>
      </c>
      <c r="U68" s="898">
        <f>(AR68*KFC!$B$16+KFC!$C$16)*KFC!$C$5</f>
        <v>80.540650744015281</v>
      </c>
      <c r="V68" s="898">
        <f>(AS68*KFC!$B$16+KFC!$C$16)*KFC!$C$5</f>
        <v>83.62591735587516</v>
      </c>
      <c r="W68" s="903">
        <f>(AT68*KFC!$B$16+KFC!$C$16)*KFC!$C$5</f>
        <v>86.711183967735025</v>
      </c>
      <c r="Y68" s="1277"/>
      <c r="Z68" s="649">
        <v>1.2</v>
      </c>
      <c r="AA68" s="882">
        <v>28.091118342397486</v>
      </c>
      <c r="AB68" s="882">
        <v>31.176384954257358</v>
      </c>
      <c r="AC68" s="882">
        <v>34.261651566117223</v>
      </c>
      <c r="AD68" s="882">
        <v>37.346918177977095</v>
      </c>
      <c r="AE68" s="882">
        <v>40.432184789836967</v>
      </c>
      <c r="AF68" s="882">
        <v>43.517451401696839</v>
      </c>
      <c r="AG68" s="882">
        <v>46.602718013556711</v>
      </c>
      <c r="AH68" s="882">
        <v>49.687984625416576</v>
      </c>
      <c r="AI68" s="882">
        <v>52.773251237276448</v>
      </c>
      <c r="AJ68" s="882">
        <v>55.858517849136319</v>
      </c>
      <c r="AK68" s="882">
        <v>58.943784460996191</v>
      </c>
      <c r="AL68" s="882">
        <v>62.029051072856063</v>
      </c>
      <c r="AM68" s="882">
        <v>65.114317684715928</v>
      </c>
      <c r="AN68" s="882">
        <v>68.199584296575807</v>
      </c>
      <c r="AO68" s="882">
        <v>71.284850908435672</v>
      </c>
      <c r="AP68" s="882">
        <v>74.370117520295551</v>
      </c>
      <c r="AQ68" s="882">
        <v>77.455384132155416</v>
      </c>
      <c r="AR68" s="882">
        <v>80.540650744015281</v>
      </c>
      <c r="AS68" s="882">
        <v>83.62591735587516</v>
      </c>
      <c r="AT68" s="882">
        <v>86.711183967735025</v>
      </c>
    </row>
    <row r="69" spans="1:46">
      <c r="A69" s="1426"/>
      <c r="B69" s="1427"/>
      <c r="C69" s="887">
        <v>1.3</v>
      </c>
      <c r="D69" s="902">
        <f>(AA69*KFC!$B$16+KFC!$C$16)*KFC!$C$5</f>
        <v>28.622467025120233</v>
      </c>
      <c r="E69" s="898">
        <f>(AB69*KFC!$B$16+KFC!$C$16)*KFC!$C$5</f>
        <v>31.8323994953568</v>
      </c>
      <c r="F69" s="898">
        <f>(AC69*KFC!$B$16+KFC!$C$16)*KFC!$C$5</f>
        <v>35.04233196559337</v>
      </c>
      <c r="G69" s="898">
        <f>(AD69*KFC!$B$16+KFC!$C$16)*KFC!$C$5</f>
        <v>38.252264435829943</v>
      </c>
      <c r="H69" s="898">
        <f>(AE69*KFC!$B$16+KFC!$C$16)*KFC!$C$5</f>
        <v>41.462196906066509</v>
      </c>
      <c r="I69" s="898">
        <f>(AF69*KFC!$B$16+KFC!$C$16)*KFC!$C$5</f>
        <v>44.672129376303083</v>
      </c>
      <c r="J69" s="898">
        <f>(AG69*KFC!$B$16+KFC!$C$16)*KFC!$C$5</f>
        <v>47.882061846539649</v>
      </c>
      <c r="K69" s="898">
        <f>(AH69*KFC!$B$16+KFC!$C$16)*KFC!$C$5</f>
        <v>51.09199431677623</v>
      </c>
      <c r="L69" s="898">
        <f>(AI69*KFC!$B$16+KFC!$C$16)*KFC!$C$5</f>
        <v>54.301926787012789</v>
      </c>
      <c r="M69" s="898">
        <f>(AJ69*KFC!$B$16+KFC!$C$16)*KFC!$C$5</f>
        <v>57.51185925724937</v>
      </c>
      <c r="N69" s="898">
        <f>(AK69*KFC!$B$16+KFC!$C$16)*KFC!$C$5</f>
        <v>60.721791727485936</v>
      </c>
      <c r="O69" s="898">
        <f>(AL69*KFC!$B$16+KFC!$C$16)*KFC!$C$5</f>
        <v>63.931724197722502</v>
      </c>
      <c r="P69" s="898">
        <f>(AM69*KFC!$B$16+KFC!$C$16)*KFC!$C$5</f>
        <v>67.141656667959069</v>
      </c>
      <c r="Q69" s="898">
        <f>(AN69*KFC!$B$16+KFC!$C$16)*KFC!$C$5</f>
        <v>70.351589138195635</v>
      </c>
      <c r="R69" s="898">
        <f>(AO69*KFC!$B$16+KFC!$C$16)*KFC!$C$5</f>
        <v>73.561521608432201</v>
      </c>
      <c r="S69" s="898">
        <f>(AP69*KFC!$B$16+KFC!$C$16)*KFC!$C$5</f>
        <v>76.771454078668768</v>
      </c>
      <c r="T69" s="898">
        <f>(AQ69*KFC!$B$16+KFC!$C$16)*KFC!$C$5</f>
        <v>79.981386548905334</v>
      </c>
      <c r="U69" s="898">
        <f>(AR69*KFC!$B$16+KFC!$C$16)*KFC!$C$5</f>
        <v>83.191319019141901</v>
      </c>
      <c r="V69" s="898">
        <f>(AS69*KFC!$B$16+KFC!$C$16)*KFC!$C$5</f>
        <v>86.401251489378453</v>
      </c>
      <c r="W69" s="903">
        <f>(AT69*KFC!$B$16+KFC!$C$16)*KFC!$C$5</f>
        <v>89.611183959615033</v>
      </c>
      <c r="Y69" s="1277"/>
      <c r="Z69" s="649">
        <v>1.3</v>
      </c>
      <c r="AA69" s="882">
        <v>28.622467025120233</v>
      </c>
      <c r="AB69" s="882">
        <v>31.8323994953568</v>
      </c>
      <c r="AC69" s="882">
        <v>35.04233196559337</v>
      </c>
      <c r="AD69" s="882">
        <v>38.252264435829943</v>
      </c>
      <c r="AE69" s="882">
        <v>41.462196906066509</v>
      </c>
      <c r="AF69" s="882">
        <v>44.672129376303083</v>
      </c>
      <c r="AG69" s="882">
        <v>47.882061846539649</v>
      </c>
      <c r="AH69" s="882">
        <v>51.09199431677623</v>
      </c>
      <c r="AI69" s="882">
        <v>54.301926787012789</v>
      </c>
      <c r="AJ69" s="882">
        <v>57.51185925724937</v>
      </c>
      <c r="AK69" s="882">
        <v>60.721791727485936</v>
      </c>
      <c r="AL69" s="882">
        <v>63.931724197722502</v>
      </c>
      <c r="AM69" s="882">
        <v>67.141656667959069</v>
      </c>
      <c r="AN69" s="882">
        <v>70.351589138195635</v>
      </c>
      <c r="AO69" s="882">
        <v>73.561521608432201</v>
      </c>
      <c r="AP69" s="882">
        <v>76.771454078668768</v>
      </c>
      <c r="AQ69" s="882">
        <v>79.981386548905334</v>
      </c>
      <c r="AR69" s="882">
        <v>83.191319019141901</v>
      </c>
      <c r="AS69" s="882">
        <v>86.401251489378453</v>
      </c>
      <c r="AT69" s="882">
        <v>89.611183959615033</v>
      </c>
    </row>
    <row r="70" spans="1:46">
      <c r="A70" s="1426"/>
      <c r="B70" s="1427"/>
      <c r="C70" s="887">
        <v>1.4</v>
      </c>
      <c r="D70" s="902">
        <f>(AA70*KFC!$B$16+KFC!$C$16)*KFC!$C$5</f>
        <v>29.15381570784298</v>
      </c>
      <c r="E70" s="898">
        <f>(AB70*KFC!$B$16+KFC!$C$16)*KFC!$C$5</f>
        <v>32.488414036456248</v>
      </c>
      <c r="F70" s="898">
        <f>(AC70*KFC!$B$16+KFC!$C$16)*KFC!$C$5</f>
        <v>35.823012365069516</v>
      </c>
      <c r="G70" s="898">
        <f>(AD70*KFC!$B$16+KFC!$C$16)*KFC!$C$5</f>
        <v>39.157610693682784</v>
      </c>
      <c r="H70" s="898">
        <f>(AE70*KFC!$B$16+KFC!$C$16)*KFC!$C$5</f>
        <v>42.492209022296045</v>
      </c>
      <c r="I70" s="898">
        <f>(AF70*KFC!$B$16+KFC!$C$16)*KFC!$C$5</f>
        <v>45.826807350909306</v>
      </c>
      <c r="J70" s="898">
        <f>(AG70*KFC!$B$16+KFC!$C$16)*KFC!$C$5</f>
        <v>49.161405679522574</v>
      </c>
      <c r="K70" s="898">
        <f>(AH70*KFC!$B$16+KFC!$C$16)*KFC!$C$5</f>
        <v>52.496004008135834</v>
      </c>
      <c r="L70" s="898">
        <f>(AI70*KFC!$B$16+KFC!$C$16)*KFC!$C$5</f>
        <v>55.830602336749102</v>
      </c>
      <c r="M70" s="898">
        <f>(AJ70*KFC!$B$16+KFC!$C$16)*KFC!$C$5</f>
        <v>59.165200665362363</v>
      </c>
      <c r="N70" s="898">
        <f>(AK70*KFC!$B$16+KFC!$C$16)*KFC!$C$5</f>
        <v>62.499798993975624</v>
      </c>
      <c r="O70" s="898">
        <f>(AL70*KFC!$B$16+KFC!$C$16)*KFC!$C$5</f>
        <v>65.834397322588885</v>
      </c>
      <c r="P70" s="898">
        <f>(AM70*KFC!$B$16+KFC!$C$16)*KFC!$C$5</f>
        <v>69.168995651202167</v>
      </c>
      <c r="Q70" s="898">
        <f>(AN70*KFC!$B$16+KFC!$C$16)*KFC!$C$5</f>
        <v>72.503593979815435</v>
      </c>
      <c r="R70" s="898">
        <f>(AO70*KFC!$B$16+KFC!$C$16)*KFC!$C$5</f>
        <v>75.838192308428702</v>
      </c>
      <c r="S70" s="898">
        <f>(AP70*KFC!$B$16+KFC!$C$16)*KFC!$C$5</f>
        <v>79.17279063704197</v>
      </c>
      <c r="T70" s="898">
        <f>(AQ70*KFC!$B$16+KFC!$C$16)*KFC!$C$5</f>
        <v>82.507388965655238</v>
      </c>
      <c r="U70" s="898">
        <f>(AR70*KFC!$B$16+KFC!$C$16)*KFC!$C$5</f>
        <v>85.84198729426852</v>
      </c>
      <c r="V70" s="898">
        <f>(AS70*KFC!$B$16+KFC!$C$16)*KFC!$C$5</f>
        <v>89.176585622881788</v>
      </c>
      <c r="W70" s="903">
        <f>(AT70*KFC!$B$16+KFC!$C$16)*KFC!$C$5</f>
        <v>92.511183951495042</v>
      </c>
      <c r="Y70" s="1277"/>
      <c r="Z70" s="649">
        <v>1.4</v>
      </c>
      <c r="AA70" s="882">
        <v>29.15381570784298</v>
      </c>
      <c r="AB70" s="882">
        <v>32.488414036456248</v>
      </c>
      <c r="AC70" s="882">
        <v>35.823012365069516</v>
      </c>
      <c r="AD70" s="882">
        <v>39.157610693682784</v>
      </c>
      <c r="AE70" s="882">
        <v>42.492209022296045</v>
      </c>
      <c r="AF70" s="882">
        <v>45.826807350909306</v>
      </c>
      <c r="AG70" s="882">
        <v>49.161405679522574</v>
      </c>
      <c r="AH70" s="882">
        <v>52.496004008135834</v>
      </c>
      <c r="AI70" s="882">
        <v>55.830602336749102</v>
      </c>
      <c r="AJ70" s="882">
        <v>59.165200665362363</v>
      </c>
      <c r="AK70" s="882">
        <v>62.499798993975624</v>
      </c>
      <c r="AL70" s="882">
        <v>65.834397322588885</v>
      </c>
      <c r="AM70" s="882">
        <v>69.168995651202167</v>
      </c>
      <c r="AN70" s="882">
        <v>72.503593979815435</v>
      </c>
      <c r="AO70" s="882">
        <v>75.838192308428702</v>
      </c>
      <c r="AP70" s="882">
        <v>79.17279063704197</v>
      </c>
      <c r="AQ70" s="882">
        <v>82.507388965655238</v>
      </c>
      <c r="AR70" s="882">
        <v>85.84198729426852</v>
      </c>
      <c r="AS70" s="882">
        <v>89.176585622881788</v>
      </c>
      <c r="AT70" s="882">
        <v>92.511183951495042</v>
      </c>
    </row>
    <row r="71" spans="1:46">
      <c r="A71" s="1426"/>
      <c r="B71" s="1427"/>
      <c r="C71" s="887">
        <v>1.5</v>
      </c>
      <c r="D71" s="902">
        <f>(AA71*KFC!$B$16+KFC!$C$16)*KFC!$C$5</f>
        <v>29.685164390565731</v>
      </c>
      <c r="E71" s="898">
        <f>(AB71*KFC!$B$16+KFC!$C$16)*KFC!$C$5</f>
        <v>33.144428577555693</v>
      </c>
      <c r="F71" s="898">
        <f>(AC71*KFC!$B$16+KFC!$C$16)*KFC!$C$5</f>
        <v>36.603692764545663</v>
      </c>
      <c r="G71" s="898">
        <f>(AD71*KFC!$B$16+KFC!$C$16)*KFC!$C$5</f>
        <v>40.062956951535625</v>
      </c>
      <c r="H71" s="898">
        <f>(AE71*KFC!$B$16+KFC!$C$16)*KFC!$C$5</f>
        <v>43.522221138525587</v>
      </c>
      <c r="I71" s="898">
        <f>(AF71*KFC!$B$16+KFC!$C$16)*KFC!$C$5</f>
        <v>46.98148532551555</v>
      </c>
      <c r="J71" s="898">
        <f>(AG71*KFC!$B$16+KFC!$C$16)*KFC!$C$5</f>
        <v>50.440749512505519</v>
      </c>
      <c r="K71" s="898">
        <f>(AH71*KFC!$B$16+KFC!$C$16)*KFC!$C$5</f>
        <v>53.900013699495481</v>
      </c>
      <c r="L71" s="898">
        <f>(AI71*KFC!$B$16+KFC!$C$16)*KFC!$C$5</f>
        <v>57.359277886485437</v>
      </c>
      <c r="M71" s="898">
        <f>(AJ71*KFC!$B$16+KFC!$C$16)*KFC!$C$5</f>
        <v>60.818542073475406</v>
      </c>
      <c r="N71" s="898">
        <f>(AK71*KFC!$B$16+KFC!$C$16)*KFC!$C$5</f>
        <v>64.277806260465368</v>
      </c>
      <c r="O71" s="898">
        <f>(AL71*KFC!$B$16+KFC!$C$16)*KFC!$C$5</f>
        <v>67.737070447455338</v>
      </c>
      <c r="P71" s="898">
        <f>(AM71*KFC!$B$16+KFC!$C$16)*KFC!$C$5</f>
        <v>71.196334634445307</v>
      </c>
      <c r="Q71" s="898">
        <f>(AN71*KFC!$B$16+KFC!$C$16)*KFC!$C$5</f>
        <v>74.655598821435277</v>
      </c>
      <c r="R71" s="898">
        <f>(AO71*KFC!$B$16+KFC!$C$16)*KFC!$C$5</f>
        <v>78.114863008425232</v>
      </c>
      <c r="S71" s="898">
        <f>(AP71*KFC!$B$16+KFC!$C$16)*KFC!$C$5</f>
        <v>81.574127195415187</v>
      </c>
      <c r="T71" s="898">
        <f>(AQ71*KFC!$B$16+KFC!$C$16)*KFC!$C$5</f>
        <v>85.033391382405156</v>
      </c>
      <c r="U71" s="898">
        <f>(AR71*KFC!$B$16+KFC!$C$16)*KFC!$C$5</f>
        <v>88.492655569395112</v>
      </c>
      <c r="V71" s="898">
        <f>(AS71*KFC!$B$16+KFC!$C$16)*KFC!$C$5</f>
        <v>91.951919756385081</v>
      </c>
      <c r="W71" s="903">
        <f>(AT71*KFC!$B$16+KFC!$C$16)*KFC!$C$5</f>
        <v>95.41118394337505</v>
      </c>
      <c r="Y71" s="1277"/>
      <c r="Z71" s="649">
        <v>1.5</v>
      </c>
      <c r="AA71" s="882">
        <v>29.685164390565731</v>
      </c>
      <c r="AB71" s="882">
        <v>33.144428577555693</v>
      </c>
      <c r="AC71" s="882">
        <v>36.603692764545663</v>
      </c>
      <c r="AD71" s="882">
        <v>40.062956951535625</v>
      </c>
      <c r="AE71" s="882">
        <v>43.522221138525587</v>
      </c>
      <c r="AF71" s="882">
        <v>46.98148532551555</v>
      </c>
      <c r="AG71" s="882">
        <v>50.440749512505519</v>
      </c>
      <c r="AH71" s="882">
        <v>53.900013699495481</v>
      </c>
      <c r="AI71" s="882">
        <v>57.359277886485437</v>
      </c>
      <c r="AJ71" s="882">
        <v>60.818542073475406</v>
      </c>
      <c r="AK71" s="882">
        <v>64.277806260465368</v>
      </c>
      <c r="AL71" s="882">
        <v>67.737070447455338</v>
      </c>
      <c r="AM71" s="882">
        <v>71.196334634445307</v>
      </c>
      <c r="AN71" s="882">
        <v>74.655598821435277</v>
      </c>
      <c r="AO71" s="882">
        <v>78.114863008425232</v>
      </c>
      <c r="AP71" s="882">
        <v>81.574127195415187</v>
      </c>
      <c r="AQ71" s="882">
        <v>85.033391382405156</v>
      </c>
      <c r="AR71" s="882">
        <v>88.492655569395112</v>
      </c>
      <c r="AS71" s="882">
        <v>91.951919756385081</v>
      </c>
      <c r="AT71" s="882">
        <v>95.41118394337505</v>
      </c>
    </row>
    <row r="72" spans="1:46">
      <c r="A72" s="1426"/>
      <c r="B72" s="1427"/>
      <c r="C72" s="887">
        <v>1.6</v>
      </c>
      <c r="D72" s="902">
        <f>(AA72*KFC!$B$16+KFC!$C$16)*KFC!$C$5</f>
        <v>30.216513073288478</v>
      </c>
      <c r="E72" s="898">
        <f>(AB72*KFC!$B$16+KFC!$C$16)*KFC!$C$5</f>
        <v>33.800443118655146</v>
      </c>
      <c r="F72" s="898">
        <f>(AC72*KFC!$B$16+KFC!$C$16)*KFC!$C$5</f>
        <v>37.384373164021802</v>
      </c>
      <c r="G72" s="898">
        <f>(AD72*KFC!$B$16+KFC!$C$16)*KFC!$C$5</f>
        <v>40.968303209388473</v>
      </c>
      <c r="H72" s="898">
        <f>(AE72*KFC!$B$16+KFC!$C$16)*KFC!$C$5</f>
        <v>44.55223325475513</v>
      </c>
      <c r="I72" s="898">
        <f>(AF72*KFC!$B$16+KFC!$C$16)*KFC!$C$5</f>
        <v>48.136163300121794</v>
      </c>
      <c r="J72" s="898">
        <f>(AG72*KFC!$B$16+KFC!$C$16)*KFC!$C$5</f>
        <v>51.720093345488458</v>
      </c>
      <c r="K72" s="898">
        <f>(AH72*KFC!$B$16+KFC!$C$16)*KFC!$C$5</f>
        <v>55.304023390855129</v>
      </c>
      <c r="L72" s="898">
        <f>(AI72*KFC!$B$16+KFC!$C$16)*KFC!$C$5</f>
        <v>58.887953436221792</v>
      </c>
      <c r="M72" s="898">
        <f>(AJ72*KFC!$B$16+KFC!$C$16)*KFC!$C$5</f>
        <v>62.471883481588456</v>
      </c>
      <c r="N72" s="898">
        <f>(AK72*KFC!$B$16+KFC!$C$16)*KFC!$C$5</f>
        <v>66.05581352695512</v>
      </c>
      <c r="O72" s="898">
        <f>(AL72*KFC!$B$16+KFC!$C$16)*KFC!$C$5</f>
        <v>69.639743572321777</v>
      </c>
      <c r="P72" s="898">
        <f>(AM72*KFC!$B$16+KFC!$C$16)*KFC!$C$5</f>
        <v>73.223673617688434</v>
      </c>
      <c r="Q72" s="898">
        <f>(AN72*KFC!$B$16+KFC!$C$16)*KFC!$C$5</f>
        <v>76.807603663055104</v>
      </c>
      <c r="R72" s="898">
        <f>(AO72*KFC!$B$16+KFC!$C$16)*KFC!$C$5</f>
        <v>80.391533708421747</v>
      </c>
      <c r="S72" s="898">
        <f>(AP72*KFC!$B$16+KFC!$C$16)*KFC!$C$5</f>
        <v>83.975463753788418</v>
      </c>
      <c r="T72" s="898">
        <f>(AQ72*KFC!$B$16+KFC!$C$16)*KFC!$C$5</f>
        <v>87.55939379915506</v>
      </c>
      <c r="U72" s="898">
        <f>(AR72*KFC!$B$16+KFC!$C$16)*KFC!$C$5</f>
        <v>91.143323844521731</v>
      </c>
      <c r="V72" s="898">
        <f>(AS72*KFC!$B$16+KFC!$C$16)*KFC!$C$5</f>
        <v>94.727253889888374</v>
      </c>
      <c r="W72" s="903">
        <f>(AT72*KFC!$B$16+KFC!$C$16)*KFC!$C$5</f>
        <v>98.311183935255059</v>
      </c>
      <c r="Y72" s="1277"/>
      <c r="Z72" s="649">
        <v>1.6</v>
      </c>
      <c r="AA72" s="882">
        <v>30.216513073288478</v>
      </c>
      <c r="AB72" s="882">
        <v>33.800443118655146</v>
      </c>
      <c r="AC72" s="882">
        <v>37.384373164021802</v>
      </c>
      <c r="AD72" s="882">
        <v>40.968303209388473</v>
      </c>
      <c r="AE72" s="882">
        <v>44.55223325475513</v>
      </c>
      <c r="AF72" s="882">
        <v>48.136163300121794</v>
      </c>
      <c r="AG72" s="882">
        <v>51.720093345488458</v>
      </c>
      <c r="AH72" s="882">
        <v>55.304023390855129</v>
      </c>
      <c r="AI72" s="882">
        <v>58.887953436221792</v>
      </c>
      <c r="AJ72" s="882">
        <v>62.471883481588456</v>
      </c>
      <c r="AK72" s="882">
        <v>66.05581352695512</v>
      </c>
      <c r="AL72" s="882">
        <v>69.639743572321777</v>
      </c>
      <c r="AM72" s="882">
        <v>73.223673617688434</v>
      </c>
      <c r="AN72" s="882">
        <v>76.807603663055104</v>
      </c>
      <c r="AO72" s="882">
        <v>80.391533708421747</v>
      </c>
      <c r="AP72" s="882">
        <v>83.975463753788418</v>
      </c>
      <c r="AQ72" s="882">
        <v>87.55939379915506</v>
      </c>
      <c r="AR72" s="882">
        <v>91.143323844521731</v>
      </c>
      <c r="AS72" s="882">
        <v>94.727253889888374</v>
      </c>
      <c r="AT72" s="882">
        <v>98.311183935255059</v>
      </c>
    </row>
    <row r="73" spans="1:46">
      <c r="A73" s="1426"/>
      <c r="B73" s="1427"/>
      <c r="C73" s="887">
        <v>1.7</v>
      </c>
      <c r="D73" s="902">
        <f>(AA73*KFC!$B$16+KFC!$C$16)*KFC!$C$5</f>
        <v>30.747861756011229</v>
      </c>
      <c r="E73" s="898">
        <f>(AB73*KFC!$B$16+KFC!$C$16)*KFC!$C$5</f>
        <v>34.456457659754584</v>
      </c>
      <c r="F73" s="898">
        <f>(AC73*KFC!$B$16+KFC!$C$16)*KFC!$C$5</f>
        <v>38.165053563497942</v>
      </c>
      <c r="G73" s="898">
        <f>(AD73*KFC!$B$16+KFC!$C$16)*KFC!$C$5</f>
        <v>41.8736494672413</v>
      </c>
      <c r="H73" s="898">
        <f>(AE73*KFC!$B$16+KFC!$C$16)*KFC!$C$5</f>
        <v>45.582245370984658</v>
      </c>
      <c r="I73" s="898">
        <f>(AF73*KFC!$B$16+KFC!$C$16)*KFC!$C$5</f>
        <v>49.290841274728024</v>
      </c>
      <c r="J73" s="898">
        <f>(AG73*KFC!$B$16+KFC!$C$16)*KFC!$C$5</f>
        <v>52.999437178471375</v>
      </c>
      <c r="K73" s="898">
        <f>(AH73*KFC!$B$16+KFC!$C$16)*KFC!$C$5</f>
        <v>56.708033082214726</v>
      </c>
      <c r="L73" s="898">
        <f>(AI73*KFC!$B$16+KFC!$C$16)*KFC!$C$5</f>
        <v>60.416628985958091</v>
      </c>
      <c r="M73" s="898">
        <f>(AJ73*KFC!$B$16+KFC!$C$16)*KFC!$C$5</f>
        <v>64.125224889701457</v>
      </c>
      <c r="N73" s="898">
        <f>(AK73*KFC!$B$16+KFC!$C$16)*KFC!$C$5</f>
        <v>67.833820793444815</v>
      </c>
      <c r="O73" s="898">
        <f>(AL73*KFC!$B$16+KFC!$C$16)*KFC!$C$5</f>
        <v>71.542416697188173</v>
      </c>
      <c r="P73" s="898">
        <f>(AM73*KFC!$B$16+KFC!$C$16)*KFC!$C$5</f>
        <v>75.251012600931531</v>
      </c>
      <c r="Q73" s="898">
        <f>(AN73*KFC!$B$16+KFC!$C$16)*KFC!$C$5</f>
        <v>78.959608504674904</v>
      </c>
      <c r="R73" s="898">
        <f>(AO73*KFC!$B$16+KFC!$C$16)*KFC!$C$5</f>
        <v>82.668204408418262</v>
      </c>
      <c r="S73" s="898">
        <f>(AP73*KFC!$B$16+KFC!$C$16)*KFC!$C$5</f>
        <v>86.37680031216162</v>
      </c>
      <c r="T73" s="898">
        <f>(AQ73*KFC!$B$16+KFC!$C$16)*KFC!$C$5</f>
        <v>90.085396215904993</v>
      </c>
      <c r="U73" s="898">
        <f>(AR73*KFC!$B$16+KFC!$C$16)*KFC!$C$5</f>
        <v>93.793992119648351</v>
      </c>
      <c r="V73" s="898">
        <f>(AS73*KFC!$B$16+KFC!$C$16)*KFC!$C$5</f>
        <v>97.502588023391723</v>
      </c>
      <c r="W73" s="903">
        <f>(AT73*KFC!$B$16+KFC!$C$16)*KFC!$C$5</f>
        <v>101.21118392713505</v>
      </c>
      <c r="Y73" s="1277"/>
      <c r="Z73" s="649">
        <v>1.7</v>
      </c>
      <c r="AA73" s="882">
        <v>30.747861756011229</v>
      </c>
      <c r="AB73" s="882">
        <v>34.456457659754584</v>
      </c>
      <c r="AC73" s="882">
        <v>38.165053563497942</v>
      </c>
      <c r="AD73" s="882">
        <v>41.8736494672413</v>
      </c>
      <c r="AE73" s="882">
        <v>45.582245370984658</v>
      </c>
      <c r="AF73" s="882">
        <v>49.290841274728024</v>
      </c>
      <c r="AG73" s="882">
        <v>52.999437178471375</v>
      </c>
      <c r="AH73" s="882">
        <v>56.708033082214726</v>
      </c>
      <c r="AI73" s="882">
        <v>60.416628985958091</v>
      </c>
      <c r="AJ73" s="882">
        <v>64.125224889701457</v>
      </c>
      <c r="AK73" s="882">
        <v>67.833820793444815</v>
      </c>
      <c r="AL73" s="882">
        <v>71.542416697188173</v>
      </c>
      <c r="AM73" s="882">
        <v>75.251012600931531</v>
      </c>
      <c r="AN73" s="882">
        <v>78.959608504674904</v>
      </c>
      <c r="AO73" s="882">
        <v>82.668204408418262</v>
      </c>
      <c r="AP73" s="882">
        <v>86.37680031216162</v>
      </c>
      <c r="AQ73" s="882">
        <v>90.085396215904993</v>
      </c>
      <c r="AR73" s="882">
        <v>93.793992119648351</v>
      </c>
      <c r="AS73" s="882">
        <v>97.502588023391723</v>
      </c>
      <c r="AT73" s="882">
        <v>101.21118392713505</v>
      </c>
    </row>
    <row r="74" spans="1:46">
      <c r="A74" s="1426"/>
      <c r="B74" s="1427"/>
      <c r="C74" s="887">
        <v>1.8</v>
      </c>
      <c r="D74" s="902">
        <f>(AA74*KFC!$B$16+KFC!$C$16)*KFC!$C$5</f>
        <v>31.279210438733976</v>
      </c>
      <c r="E74" s="898">
        <f>(AB74*KFC!$B$16+KFC!$C$16)*KFC!$C$5</f>
        <v>35.112472200854036</v>
      </c>
      <c r="F74" s="898">
        <f>(AC74*KFC!$B$16+KFC!$C$16)*KFC!$C$5</f>
        <v>38.945733962974096</v>
      </c>
      <c r="G74" s="898">
        <f>(AD74*KFC!$B$16+KFC!$C$16)*KFC!$C$5</f>
        <v>42.778995725094148</v>
      </c>
      <c r="H74" s="898">
        <f>(AE74*KFC!$B$16+KFC!$C$16)*KFC!$C$5</f>
        <v>46.612257487214208</v>
      </c>
      <c r="I74" s="898">
        <f>(AF74*KFC!$B$16+KFC!$C$16)*KFC!$C$5</f>
        <v>50.445519249334268</v>
      </c>
      <c r="J74" s="898">
        <f>(AG74*KFC!$B$16+KFC!$C$16)*KFC!$C$5</f>
        <v>54.278781011454313</v>
      </c>
      <c r="K74" s="898">
        <f>(AH74*KFC!$B$16+KFC!$C$16)*KFC!$C$5</f>
        <v>58.112042773574373</v>
      </c>
      <c r="L74" s="898">
        <f>(AI74*KFC!$B$16+KFC!$C$16)*KFC!$C$5</f>
        <v>61.945304535694433</v>
      </c>
      <c r="M74" s="898">
        <f>(AJ74*KFC!$B$16+KFC!$C$16)*KFC!$C$5</f>
        <v>65.778566297814493</v>
      </c>
      <c r="N74" s="898">
        <f>(AK74*KFC!$B$16+KFC!$C$16)*KFC!$C$5</f>
        <v>69.611828059934552</v>
      </c>
      <c r="O74" s="898">
        <f>(AL74*KFC!$B$16+KFC!$C$16)*KFC!$C$5</f>
        <v>73.445089822054612</v>
      </c>
      <c r="P74" s="898">
        <f>(AM74*KFC!$B$16+KFC!$C$16)*KFC!$C$5</f>
        <v>77.278351584174658</v>
      </c>
      <c r="Q74" s="898">
        <f>(AN74*KFC!$B$16+KFC!$C$16)*KFC!$C$5</f>
        <v>81.111613346294718</v>
      </c>
      <c r="R74" s="898">
        <f>(AO74*KFC!$B$16+KFC!$C$16)*KFC!$C$5</f>
        <v>84.944875108414777</v>
      </c>
      <c r="S74" s="898">
        <f>(AP74*KFC!$B$16+KFC!$C$16)*KFC!$C$5</f>
        <v>88.778136870534837</v>
      </c>
      <c r="T74" s="898">
        <f>(AQ74*KFC!$B$16+KFC!$C$16)*KFC!$C$5</f>
        <v>92.611398632654883</v>
      </c>
      <c r="U74" s="898">
        <f>(AR74*KFC!$B$16+KFC!$C$16)*KFC!$C$5</f>
        <v>96.444660394774942</v>
      </c>
      <c r="V74" s="898">
        <f>(AS74*KFC!$B$16+KFC!$C$16)*KFC!$C$5</f>
        <v>100.277922156895</v>
      </c>
      <c r="W74" s="903">
        <f>(AT74*KFC!$B$16+KFC!$C$16)*KFC!$C$5</f>
        <v>104.11118391901506</v>
      </c>
      <c r="Y74" s="1277"/>
      <c r="Z74" s="649">
        <v>1.8</v>
      </c>
      <c r="AA74" s="882">
        <v>31.279210438733976</v>
      </c>
      <c r="AB74" s="882">
        <v>35.112472200854036</v>
      </c>
      <c r="AC74" s="882">
        <v>38.945733962974096</v>
      </c>
      <c r="AD74" s="882">
        <v>42.778995725094148</v>
      </c>
      <c r="AE74" s="882">
        <v>46.612257487214208</v>
      </c>
      <c r="AF74" s="882">
        <v>50.445519249334268</v>
      </c>
      <c r="AG74" s="882">
        <v>54.278781011454313</v>
      </c>
      <c r="AH74" s="882">
        <v>58.112042773574373</v>
      </c>
      <c r="AI74" s="882">
        <v>61.945304535694433</v>
      </c>
      <c r="AJ74" s="882">
        <v>65.778566297814493</v>
      </c>
      <c r="AK74" s="882">
        <v>69.611828059934552</v>
      </c>
      <c r="AL74" s="882">
        <v>73.445089822054612</v>
      </c>
      <c r="AM74" s="882">
        <v>77.278351584174658</v>
      </c>
      <c r="AN74" s="882">
        <v>81.111613346294718</v>
      </c>
      <c r="AO74" s="882">
        <v>84.944875108414777</v>
      </c>
      <c r="AP74" s="882">
        <v>88.778136870534837</v>
      </c>
      <c r="AQ74" s="882">
        <v>92.611398632654883</v>
      </c>
      <c r="AR74" s="882">
        <v>96.444660394774942</v>
      </c>
      <c r="AS74" s="882">
        <v>100.277922156895</v>
      </c>
      <c r="AT74" s="882">
        <v>104.11118391901506</v>
      </c>
    </row>
    <row r="75" spans="1:46">
      <c r="A75" s="1426"/>
      <c r="B75" s="1427"/>
      <c r="C75" s="887">
        <v>1.9</v>
      </c>
      <c r="D75" s="902">
        <f>(AA75*KFC!$B$16+KFC!$C$16)*KFC!$C$5</f>
        <v>31.810559121456723</v>
      </c>
      <c r="E75" s="898">
        <f>(AB75*KFC!$B$16+KFC!$C$16)*KFC!$C$5</f>
        <v>35.768486741953481</v>
      </c>
      <c r="F75" s="898">
        <f>(AC75*KFC!$B$16+KFC!$C$16)*KFC!$C$5</f>
        <v>39.726414362450235</v>
      </c>
      <c r="G75" s="898">
        <f>(AD75*KFC!$B$16+KFC!$C$16)*KFC!$C$5</f>
        <v>43.684341982946997</v>
      </c>
      <c r="H75" s="898">
        <f>(AE75*KFC!$B$16+KFC!$C$16)*KFC!$C$5</f>
        <v>47.642269603443751</v>
      </c>
      <c r="I75" s="898">
        <f>(AF75*KFC!$B$16+KFC!$C$16)*KFC!$C$5</f>
        <v>51.600197223940505</v>
      </c>
      <c r="J75" s="898">
        <f>(AG75*KFC!$B$16+KFC!$C$16)*KFC!$C$5</f>
        <v>55.558124844437266</v>
      </c>
      <c r="K75" s="898">
        <f>(AH75*KFC!$B$16+KFC!$C$16)*KFC!$C$5</f>
        <v>59.51605246493402</v>
      </c>
      <c r="L75" s="898">
        <f>(AI75*KFC!$B$16+KFC!$C$16)*KFC!$C$5</f>
        <v>63.473980085430775</v>
      </c>
      <c r="M75" s="898">
        <f>(AJ75*KFC!$B$16+KFC!$C$16)*KFC!$C$5</f>
        <v>67.431907705927543</v>
      </c>
      <c r="N75" s="898">
        <f>(AK75*KFC!$B$16+KFC!$C$16)*KFC!$C$5</f>
        <v>71.38983532642429</v>
      </c>
      <c r="O75" s="898">
        <f>(AL75*KFC!$B$16+KFC!$C$16)*KFC!$C$5</f>
        <v>75.347762946921037</v>
      </c>
      <c r="P75" s="898">
        <f>(AM75*KFC!$B$16+KFC!$C$16)*KFC!$C$5</f>
        <v>79.305690567417798</v>
      </c>
      <c r="Q75" s="898">
        <f>(AN75*KFC!$B$16+KFC!$C$16)*KFC!$C$5</f>
        <v>83.263618187914545</v>
      </c>
      <c r="R75" s="898">
        <f>(AO75*KFC!$B$16+KFC!$C$16)*KFC!$C$5</f>
        <v>87.221545808411278</v>
      </c>
      <c r="S75" s="898">
        <f>(AP75*KFC!$B$16+KFC!$C$16)*KFC!$C$5</f>
        <v>91.17947342890804</v>
      </c>
      <c r="T75" s="898">
        <f>(AQ75*KFC!$B$16+KFC!$C$16)*KFC!$C$5</f>
        <v>95.137401049404787</v>
      </c>
      <c r="U75" s="898">
        <f>(AR75*KFC!$B$16+KFC!$C$16)*KFC!$C$5</f>
        <v>99.095328669901548</v>
      </c>
      <c r="V75" s="898">
        <f>(AS75*KFC!$B$16+KFC!$C$16)*KFC!$C$5</f>
        <v>103.05325629039829</v>
      </c>
      <c r="W75" s="903">
        <f>(AT75*KFC!$B$16+KFC!$C$16)*KFC!$C$5</f>
        <v>107.01118391089507</v>
      </c>
      <c r="Y75" s="1277"/>
      <c r="Z75" s="649">
        <v>1.9</v>
      </c>
      <c r="AA75" s="882">
        <v>31.810559121456723</v>
      </c>
      <c r="AB75" s="882">
        <v>35.768486741953481</v>
      </c>
      <c r="AC75" s="882">
        <v>39.726414362450235</v>
      </c>
      <c r="AD75" s="882">
        <v>43.684341982946997</v>
      </c>
      <c r="AE75" s="882">
        <v>47.642269603443751</v>
      </c>
      <c r="AF75" s="882">
        <v>51.600197223940505</v>
      </c>
      <c r="AG75" s="882">
        <v>55.558124844437266</v>
      </c>
      <c r="AH75" s="882">
        <v>59.51605246493402</v>
      </c>
      <c r="AI75" s="882">
        <v>63.473980085430775</v>
      </c>
      <c r="AJ75" s="882">
        <v>67.431907705927543</v>
      </c>
      <c r="AK75" s="882">
        <v>71.38983532642429</v>
      </c>
      <c r="AL75" s="882">
        <v>75.347762946921037</v>
      </c>
      <c r="AM75" s="882">
        <v>79.305690567417798</v>
      </c>
      <c r="AN75" s="882">
        <v>83.263618187914545</v>
      </c>
      <c r="AO75" s="882">
        <v>87.221545808411278</v>
      </c>
      <c r="AP75" s="882">
        <v>91.17947342890804</v>
      </c>
      <c r="AQ75" s="882">
        <v>95.137401049404787</v>
      </c>
      <c r="AR75" s="882">
        <v>99.095328669901548</v>
      </c>
      <c r="AS75" s="882">
        <v>103.05325629039829</v>
      </c>
      <c r="AT75" s="882">
        <v>107.01118391089507</v>
      </c>
    </row>
    <row r="76" spans="1:46">
      <c r="A76" s="1426"/>
      <c r="B76" s="1427"/>
      <c r="C76" s="887">
        <v>2</v>
      </c>
      <c r="D76" s="902">
        <f>(AA76*KFC!$B$16+KFC!$C$16)*KFC!$C$5</f>
        <v>32.341907804179471</v>
      </c>
      <c r="E76" s="898">
        <f>(AB76*KFC!$B$16+KFC!$C$16)*KFC!$C$5</f>
        <v>36.424501283052919</v>
      </c>
      <c r="F76" s="898">
        <f>(AC76*KFC!$B$16+KFC!$C$16)*KFC!$C$5</f>
        <v>40.507094761926368</v>
      </c>
      <c r="G76" s="898">
        <f>(AD76*KFC!$B$16+KFC!$C$16)*KFC!$C$5</f>
        <v>44.589688240799823</v>
      </c>
      <c r="H76" s="898">
        <f>(AE76*KFC!$B$16+KFC!$C$16)*KFC!$C$5</f>
        <v>48.672281719673272</v>
      </c>
      <c r="I76" s="898">
        <f>(AF76*KFC!$B$16+KFC!$C$16)*KFC!$C$5</f>
        <v>52.754875198546721</v>
      </c>
      <c r="J76" s="898">
        <f>(AG76*KFC!$B$16+KFC!$C$16)*KFC!$C$5</f>
        <v>56.837468677420169</v>
      </c>
      <c r="K76" s="898">
        <f>(AH76*KFC!$B$16+KFC!$C$16)*KFC!$C$5</f>
        <v>60.920062156293625</v>
      </c>
      <c r="L76" s="898">
        <f>(AI76*KFC!$B$16+KFC!$C$16)*KFC!$C$5</f>
        <v>65.002655635167073</v>
      </c>
      <c r="M76" s="898">
        <f>(AJ76*KFC!$B$16+KFC!$C$16)*KFC!$C$5</f>
        <v>69.085249114040522</v>
      </c>
      <c r="N76" s="898">
        <f>(AK76*KFC!$B$16+KFC!$C$16)*KFC!$C$5</f>
        <v>73.167842592913999</v>
      </c>
      <c r="O76" s="898">
        <f>(AL76*KFC!$B$16+KFC!$C$16)*KFC!$C$5</f>
        <v>77.250436071787448</v>
      </c>
      <c r="P76" s="898">
        <f>(AM76*KFC!$B$16+KFC!$C$16)*KFC!$C$5</f>
        <v>81.333029550660896</v>
      </c>
      <c r="Q76" s="898">
        <f>(AN76*KFC!$B$16+KFC!$C$16)*KFC!$C$5</f>
        <v>85.415623029534359</v>
      </c>
      <c r="R76" s="898">
        <f>(AO76*KFC!$B$16+KFC!$C$16)*KFC!$C$5</f>
        <v>89.498216508407808</v>
      </c>
      <c r="S76" s="898">
        <f>(AP76*KFC!$B$16+KFC!$C$16)*KFC!$C$5</f>
        <v>93.58080998728127</v>
      </c>
      <c r="T76" s="898">
        <f>(AQ76*KFC!$B$16+KFC!$C$16)*KFC!$C$5</f>
        <v>97.663403466154733</v>
      </c>
      <c r="U76" s="898">
        <f>(AR76*KFC!$B$16+KFC!$C$16)*KFC!$C$5</f>
        <v>101.7459969450282</v>
      </c>
      <c r="V76" s="898">
        <f>(AS76*KFC!$B$16+KFC!$C$16)*KFC!$C$5</f>
        <v>105.82859042390166</v>
      </c>
      <c r="W76" s="903">
        <f>(AT76*KFC!$B$16+KFC!$C$16)*KFC!$C$5</f>
        <v>109.91118390277506</v>
      </c>
      <c r="Y76" s="1277"/>
      <c r="Z76" s="649">
        <v>2</v>
      </c>
      <c r="AA76" s="882">
        <v>32.341907804179471</v>
      </c>
      <c r="AB76" s="882">
        <v>36.424501283052919</v>
      </c>
      <c r="AC76" s="882">
        <v>40.507094761926368</v>
      </c>
      <c r="AD76" s="882">
        <v>44.589688240799823</v>
      </c>
      <c r="AE76" s="882">
        <v>48.672281719673272</v>
      </c>
      <c r="AF76" s="882">
        <v>52.754875198546721</v>
      </c>
      <c r="AG76" s="882">
        <v>56.837468677420169</v>
      </c>
      <c r="AH76" s="882">
        <v>60.920062156293625</v>
      </c>
      <c r="AI76" s="882">
        <v>65.002655635167073</v>
      </c>
      <c r="AJ76" s="882">
        <v>69.085249114040522</v>
      </c>
      <c r="AK76" s="882">
        <v>73.167842592913999</v>
      </c>
      <c r="AL76" s="882">
        <v>77.250436071787448</v>
      </c>
      <c r="AM76" s="882">
        <v>81.333029550660896</v>
      </c>
      <c r="AN76" s="882">
        <v>85.415623029534359</v>
      </c>
      <c r="AO76" s="882">
        <v>89.498216508407808</v>
      </c>
      <c r="AP76" s="882">
        <v>93.58080998728127</v>
      </c>
      <c r="AQ76" s="882">
        <v>97.663403466154733</v>
      </c>
      <c r="AR76" s="882">
        <v>101.7459969450282</v>
      </c>
      <c r="AS76" s="882">
        <v>105.82859042390166</v>
      </c>
      <c r="AT76" s="882">
        <v>109.91118390277506</v>
      </c>
    </row>
    <row r="77" spans="1:46">
      <c r="A77" s="1426"/>
      <c r="B77" s="1427"/>
      <c r="C77" s="887">
        <v>2.1</v>
      </c>
      <c r="D77" s="902">
        <f>(AA77*KFC!$B$16+KFC!$C$16)*KFC!$C$5</f>
        <v>32.873256486902221</v>
      </c>
      <c r="E77" s="898">
        <f>(AB77*KFC!$B$16+KFC!$C$16)*KFC!$C$5</f>
        <v>37.080515824152371</v>
      </c>
      <c r="F77" s="898">
        <f>(AC77*KFC!$B$16+KFC!$C$16)*KFC!$C$5</f>
        <v>41.287775161402521</v>
      </c>
      <c r="G77" s="898">
        <f>(AD77*KFC!$B$16+KFC!$C$16)*KFC!$C$5</f>
        <v>45.495034498652679</v>
      </c>
      <c r="H77" s="898">
        <f>(AE77*KFC!$B$16+KFC!$C$16)*KFC!$C$5</f>
        <v>49.702293835902822</v>
      </c>
      <c r="I77" s="898">
        <f>(AF77*KFC!$B$16+KFC!$C$16)*KFC!$C$5</f>
        <v>53.909553173152972</v>
      </c>
      <c r="J77" s="898">
        <f>(AG77*KFC!$B$16+KFC!$C$16)*KFC!$C$5</f>
        <v>58.116812510403122</v>
      </c>
      <c r="K77" s="898">
        <f>(AH77*KFC!$B$16+KFC!$C$16)*KFC!$C$5</f>
        <v>62.324071847653279</v>
      </c>
      <c r="L77" s="898">
        <f>(AI77*KFC!$B$16+KFC!$C$16)*KFC!$C$5</f>
        <v>66.531331184903422</v>
      </c>
      <c r="M77" s="898">
        <f>(AJ77*KFC!$B$16+KFC!$C$16)*KFC!$C$5</f>
        <v>70.738590522153572</v>
      </c>
      <c r="N77" s="898">
        <f>(AK77*KFC!$B$16+KFC!$C$16)*KFC!$C$5</f>
        <v>74.945849859403722</v>
      </c>
      <c r="O77" s="898">
        <f>(AL77*KFC!$B$16+KFC!$C$16)*KFC!$C$5</f>
        <v>79.153109196653872</v>
      </c>
      <c r="P77" s="898">
        <f>(AM77*KFC!$B$16+KFC!$C$16)*KFC!$C$5</f>
        <v>83.360368533904037</v>
      </c>
      <c r="Q77" s="898">
        <f>(AN77*KFC!$B$16+KFC!$C$16)*KFC!$C$5</f>
        <v>87.567627871154173</v>
      </c>
      <c r="R77" s="898">
        <f>(AO77*KFC!$B$16+KFC!$C$16)*KFC!$C$5</f>
        <v>91.774887208404323</v>
      </c>
      <c r="S77" s="898">
        <f>(AP77*KFC!$B$16+KFC!$C$16)*KFC!$C$5</f>
        <v>95.982146545654487</v>
      </c>
      <c r="T77" s="898">
        <f>(AQ77*KFC!$B$16+KFC!$C$16)*KFC!$C$5</f>
        <v>100.18940588290464</v>
      </c>
      <c r="U77" s="898">
        <f>(AR77*KFC!$B$16+KFC!$C$16)*KFC!$C$5</f>
        <v>104.39666522015479</v>
      </c>
      <c r="V77" s="898">
        <f>(AS77*KFC!$B$16+KFC!$C$16)*KFC!$C$5</f>
        <v>108.60392455740492</v>
      </c>
      <c r="W77" s="903">
        <f>(AT77*KFC!$B$16+KFC!$C$16)*KFC!$C$5</f>
        <v>112.81118389465507</v>
      </c>
      <c r="Y77" s="1277"/>
      <c r="Z77" s="649">
        <v>2.1</v>
      </c>
      <c r="AA77" s="882">
        <v>32.873256486902221</v>
      </c>
      <c r="AB77" s="882">
        <v>37.080515824152371</v>
      </c>
      <c r="AC77" s="882">
        <v>41.287775161402521</v>
      </c>
      <c r="AD77" s="882">
        <v>45.495034498652679</v>
      </c>
      <c r="AE77" s="882">
        <v>49.702293835902822</v>
      </c>
      <c r="AF77" s="882">
        <v>53.909553173152972</v>
      </c>
      <c r="AG77" s="882">
        <v>58.116812510403122</v>
      </c>
      <c r="AH77" s="882">
        <v>62.324071847653279</v>
      </c>
      <c r="AI77" s="882">
        <v>66.531331184903422</v>
      </c>
      <c r="AJ77" s="882">
        <v>70.738590522153572</v>
      </c>
      <c r="AK77" s="882">
        <v>74.945849859403722</v>
      </c>
      <c r="AL77" s="882">
        <v>79.153109196653872</v>
      </c>
      <c r="AM77" s="882">
        <v>83.360368533904037</v>
      </c>
      <c r="AN77" s="882">
        <v>87.567627871154173</v>
      </c>
      <c r="AO77" s="882">
        <v>91.774887208404323</v>
      </c>
      <c r="AP77" s="882">
        <v>95.982146545654487</v>
      </c>
      <c r="AQ77" s="882">
        <v>100.18940588290464</v>
      </c>
      <c r="AR77" s="882">
        <v>104.39666522015479</v>
      </c>
      <c r="AS77" s="882">
        <v>108.60392455740492</v>
      </c>
      <c r="AT77" s="882">
        <v>112.81118389465507</v>
      </c>
    </row>
    <row r="78" spans="1:46" ht="15" thickBot="1">
      <c r="A78" s="1428"/>
      <c r="B78" s="1429"/>
      <c r="C78" s="888">
        <v>2.2000000000000002</v>
      </c>
      <c r="D78" s="904">
        <f>(AA78*KFC!$B$16+KFC!$C$16)*KFC!$C$5</f>
        <v>33.404605169624993</v>
      </c>
      <c r="E78" s="905">
        <f>(AB78*KFC!$B$16+KFC!$C$16)*KFC!$C$5</f>
        <v>37.736530365251845</v>
      </c>
      <c r="F78" s="905">
        <f>(AC78*KFC!$B$16+KFC!$C$16)*KFC!$C$5</f>
        <v>42.068455560878689</v>
      </c>
      <c r="G78" s="905">
        <f>(AD78*KFC!$B$16+KFC!$C$16)*KFC!$C$5</f>
        <v>46.400380756505527</v>
      </c>
      <c r="H78" s="905">
        <f>(AE78*KFC!$B$16+KFC!$C$16)*KFC!$C$5</f>
        <v>50.732305952132371</v>
      </c>
      <c r="I78" s="905">
        <f>(AF78*KFC!$B$16+KFC!$C$16)*KFC!$C$5</f>
        <v>55.064231147759216</v>
      </c>
      <c r="J78" s="905">
        <f>(AG78*KFC!$B$16+KFC!$C$16)*KFC!$C$5</f>
        <v>59.39615634338606</v>
      </c>
      <c r="K78" s="905">
        <f>(AH78*KFC!$B$16+KFC!$C$16)*KFC!$C$5</f>
        <v>63.728081539012898</v>
      </c>
      <c r="L78" s="905">
        <f>(AI78*KFC!$B$16+KFC!$C$16)*KFC!$C$5</f>
        <v>68.060006734639757</v>
      </c>
      <c r="M78" s="905">
        <f>(AJ78*KFC!$B$16+KFC!$C$16)*KFC!$C$5</f>
        <v>72.391931930266594</v>
      </c>
      <c r="N78" s="905">
        <f>(AK78*KFC!$B$16+KFC!$C$16)*KFC!$C$5</f>
        <v>76.723857125893431</v>
      </c>
      <c r="O78" s="905">
        <f>(AL78*KFC!$B$16+KFC!$C$16)*KFC!$C$5</f>
        <v>81.055782321520283</v>
      </c>
      <c r="P78" s="905">
        <f>(AM78*KFC!$B$16+KFC!$C$16)*KFC!$C$5</f>
        <v>85.387707517147135</v>
      </c>
      <c r="Q78" s="905">
        <f>(AN78*KFC!$B$16+KFC!$C$16)*KFC!$C$5</f>
        <v>89.719632712773972</v>
      </c>
      <c r="R78" s="905">
        <f>(AO78*KFC!$B$16+KFC!$C$16)*KFC!$C$5</f>
        <v>94.05155790840081</v>
      </c>
      <c r="S78" s="905">
        <f>(AP78*KFC!$B$16+KFC!$C$16)*KFC!$C$5</f>
        <v>98.383483104027661</v>
      </c>
      <c r="T78" s="905">
        <f>(AQ78*KFC!$B$16+KFC!$C$16)*KFC!$C$5</f>
        <v>102.7154082996545</v>
      </c>
      <c r="U78" s="905">
        <f>(AR78*KFC!$B$16+KFC!$C$16)*KFC!$C$5</f>
        <v>107.04733349528135</v>
      </c>
      <c r="V78" s="905">
        <f>(AS78*KFC!$B$16+KFC!$C$16)*KFC!$C$5</f>
        <v>111.37925869090819</v>
      </c>
      <c r="W78" s="906">
        <f>(AT78*KFC!$B$16+KFC!$C$16)*KFC!$C$5</f>
        <v>115.711183886535</v>
      </c>
      <c r="Y78" s="1277"/>
      <c r="Z78" s="649">
        <v>2.2000000000000002</v>
      </c>
      <c r="AA78" s="882">
        <v>33.404605169624993</v>
      </c>
      <c r="AB78" s="882">
        <v>37.736530365251845</v>
      </c>
      <c r="AC78" s="882">
        <v>42.068455560878689</v>
      </c>
      <c r="AD78" s="882">
        <v>46.400380756505527</v>
      </c>
      <c r="AE78" s="882">
        <v>50.732305952132371</v>
      </c>
      <c r="AF78" s="882">
        <v>55.064231147759216</v>
      </c>
      <c r="AG78" s="882">
        <v>59.39615634338606</v>
      </c>
      <c r="AH78" s="882">
        <v>63.728081539012898</v>
      </c>
      <c r="AI78" s="882">
        <v>68.060006734639757</v>
      </c>
      <c r="AJ78" s="882">
        <v>72.391931930266594</v>
      </c>
      <c r="AK78" s="882">
        <v>76.723857125893431</v>
      </c>
      <c r="AL78" s="882">
        <v>81.055782321520283</v>
      </c>
      <c r="AM78" s="882">
        <v>85.387707517147135</v>
      </c>
      <c r="AN78" s="882">
        <v>89.719632712773972</v>
      </c>
      <c r="AO78" s="882">
        <v>94.05155790840081</v>
      </c>
      <c r="AP78" s="882">
        <v>98.383483104027661</v>
      </c>
      <c r="AQ78" s="882">
        <v>102.7154082996545</v>
      </c>
      <c r="AR78" s="882">
        <v>107.04733349528135</v>
      </c>
      <c r="AS78" s="882">
        <v>111.37925869090819</v>
      </c>
      <c r="AT78" s="882">
        <v>115.711183886535</v>
      </c>
    </row>
    <row r="79" spans="1:46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</row>
    <row r="80" spans="1:46" ht="42.75" customHeight="1" thickBot="1">
      <c r="A80" s="1033" t="s">
        <v>1224</v>
      </c>
      <c r="B80" s="1033"/>
      <c r="C80" s="1033"/>
      <c r="D80" s="1033"/>
      <c r="E80" s="1033"/>
      <c r="F80" s="1033"/>
      <c r="G80" s="1033"/>
      <c r="H80" s="1033"/>
      <c r="I80" s="1033"/>
      <c r="J80" s="1033"/>
      <c r="K80" s="1033"/>
      <c r="L80" s="1033"/>
      <c r="M80" s="1033"/>
      <c r="N80" s="1033"/>
      <c r="O80" s="1033"/>
      <c r="P80" s="1033"/>
      <c r="Q80" s="1033"/>
      <c r="R80" s="1033"/>
      <c r="S80" s="1033"/>
      <c r="T80" s="1033"/>
      <c r="U80" s="1033"/>
      <c r="V80" s="1033"/>
      <c r="W80" s="1033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</row>
    <row r="81" spans="1:46" ht="35.25" customHeight="1" thickBot="1">
      <c r="A81" s="1439"/>
      <c r="B81" s="1440"/>
      <c r="C81" s="1441"/>
      <c r="D81" s="1419" t="s">
        <v>207</v>
      </c>
      <c r="E81" s="1420"/>
      <c r="F81" s="1420"/>
      <c r="G81" s="1420"/>
      <c r="H81" s="1420"/>
      <c r="I81" s="1420"/>
      <c r="J81" s="1420"/>
      <c r="K81" s="1420"/>
      <c r="L81" s="1420"/>
      <c r="M81" s="1420"/>
      <c r="N81" s="1420"/>
      <c r="O81" s="1420"/>
      <c r="P81" s="1420"/>
      <c r="Q81" s="1420"/>
      <c r="R81" s="1420"/>
      <c r="S81" s="1420"/>
      <c r="T81" s="1420"/>
      <c r="U81" s="1420"/>
      <c r="V81" s="1420"/>
      <c r="W81" s="1421"/>
      <c r="Y81" s="1422" t="s">
        <v>1198</v>
      </c>
      <c r="Z81" s="1423"/>
      <c r="AA81" s="1410" t="s">
        <v>356</v>
      </c>
      <c r="AB81" s="1411"/>
      <c r="AC81" s="1411"/>
      <c r="AD81" s="1411"/>
      <c r="AE81" s="1411"/>
      <c r="AF81" s="1411"/>
      <c r="AG81" s="1411"/>
      <c r="AH81" s="1411"/>
      <c r="AI81" s="1411"/>
      <c r="AJ81" s="1411"/>
      <c r="AK81" s="1411"/>
      <c r="AL81" s="1411"/>
      <c r="AM81" s="1411"/>
      <c r="AN81" s="1411"/>
      <c r="AO81" s="1411"/>
      <c r="AP81" s="1411"/>
      <c r="AQ81" s="1411"/>
      <c r="AR81" s="1411"/>
      <c r="AS81" s="1411"/>
      <c r="AT81" s="1412"/>
    </row>
    <row r="82" spans="1:46" ht="14.4" customHeight="1" thickBot="1">
      <c r="A82" s="1442"/>
      <c r="B82" s="1443"/>
      <c r="C82" s="1444"/>
      <c r="D82" s="883">
        <v>0.3</v>
      </c>
      <c r="E82" s="884">
        <v>0.4</v>
      </c>
      <c r="F82" s="884">
        <v>0.5</v>
      </c>
      <c r="G82" s="884">
        <v>0.6</v>
      </c>
      <c r="H82" s="884">
        <v>0.7</v>
      </c>
      <c r="I82" s="884">
        <v>0.8</v>
      </c>
      <c r="J82" s="884">
        <v>0.9</v>
      </c>
      <c r="K82" s="884">
        <v>1</v>
      </c>
      <c r="L82" s="884">
        <v>1.1000000000000001</v>
      </c>
      <c r="M82" s="884">
        <v>1.2</v>
      </c>
      <c r="N82" s="884">
        <v>1.3</v>
      </c>
      <c r="O82" s="884">
        <v>1.4</v>
      </c>
      <c r="P82" s="884">
        <v>1.5</v>
      </c>
      <c r="Q82" s="884">
        <v>1.6</v>
      </c>
      <c r="R82" s="884">
        <v>1.7</v>
      </c>
      <c r="S82" s="884">
        <v>1.8</v>
      </c>
      <c r="T82" s="884">
        <v>1.9</v>
      </c>
      <c r="U82" s="884">
        <v>2</v>
      </c>
      <c r="V82" s="884">
        <v>2.1</v>
      </c>
      <c r="W82" s="885">
        <v>2.2000000000000002</v>
      </c>
      <c r="Y82" s="1424"/>
      <c r="Z82" s="1425"/>
      <c r="AA82" s="649">
        <v>0.3</v>
      </c>
      <c r="AB82" s="649">
        <v>0.4</v>
      </c>
      <c r="AC82" s="649">
        <v>0.5</v>
      </c>
      <c r="AD82" s="649">
        <v>0.6</v>
      </c>
      <c r="AE82" s="649">
        <v>0.7</v>
      </c>
      <c r="AF82" s="649">
        <v>0.8</v>
      </c>
      <c r="AG82" s="649">
        <v>0.9</v>
      </c>
      <c r="AH82" s="649">
        <v>1</v>
      </c>
      <c r="AI82" s="649">
        <v>1.1000000000000001</v>
      </c>
      <c r="AJ82" s="649">
        <v>1.2</v>
      </c>
      <c r="AK82" s="649">
        <v>1.3</v>
      </c>
      <c r="AL82" s="649">
        <v>1.4</v>
      </c>
      <c r="AM82" s="649">
        <v>1.5</v>
      </c>
      <c r="AN82" s="649">
        <v>1.6</v>
      </c>
      <c r="AO82" s="649">
        <v>1.7</v>
      </c>
      <c r="AP82" s="649">
        <v>1.8</v>
      </c>
      <c r="AQ82" s="649">
        <v>1.9</v>
      </c>
      <c r="AR82" s="649">
        <v>2</v>
      </c>
      <c r="AS82" s="649">
        <v>2.1</v>
      </c>
      <c r="AT82" s="649">
        <v>2.2000000000000002</v>
      </c>
    </row>
    <row r="83" spans="1:46">
      <c r="A83" s="1426" t="s">
        <v>3</v>
      </c>
      <c r="B83" s="1427"/>
      <c r="C83" s="886">
        <v>0.2</v>
      </c>
      <c r="D83" s="899">
        <f>(AA83*KFC!$B$16+KFC!$C$16)*KFC!$C$5</f>
        <v>22.873026251744999</v>
      </c>
      <c r="E83" s="900">
        <f>(AB83*KFC!$B$16+KFC!$C$16)*KFC!$C$5</f>
        <v>24.747783864224211</v>
      </c>
      <c r="F83" s="900">
        <f>(AC83*KFC!$B$16+KFC!$C$16)*KFC!$C$5</f>
        <v>26.622541476703418</v>
      </c>
      <c r="G83" s="900">
        <f>(AD83*KFC!$B$16+KFC!$C$16)*KFC!$C$5</f>
        <v>28.497299089182626</v>
      </c>
      <c r="H83" s="900">
        <f>(AE83*KFC!$B$16+KFC!$C$16)*KFC!$C$5</f>
        <v>30.372056701661837</v>
      </c>
      <c r="I83" s="900">
        <f>(AF83*KFC!$B$16+KFC!$C$16)*KFC!$C$5</f>
        <v>32.246814314141048</v>
      </c>
      <c r="J83" s="900">
        <f>(AG83*KFC!$B$16+KFC!$C$16)*KFC!$C$5</f>
        <v>34.121571926620256</v>
      </c>
      <c r="K83" s="900">
        <f>(AH83*KFC!$B$16+KFC!$C$16)*KFC!$C$5</f>
        <v>35.996329539099463</v>
      </c>
      <c r="L83" s="900">
        <f>(AI83*KFC!$B$16+KFC!$C$16)*KFC!$C$5</f>
        <v>37.871087151578678</v>
      </c>
      <c r="M83" s="900">
        <f>(AJ83*KFC!$B$16+KFC!$C$16)*KFC!$C$5</f>
        <v>39.745844764057892</v>
      </c>
      <c r="N83" s="900">
        <f>(AK83*KFC!$B$16+KFC!$C$16)*KFC!$C$5</f>
        <v>41.620602376537107</v>
      </c>
      <c r="O83" s="900">
        <f>(AL83*KFC!$B$16+KFC!$C$16)*KFC!$C$5</f>
        <v>43.495359989016315</v>
      </c>
      <c r="P83" s="900">
        <f>(AM83*KFC!$B$16+KFC!$C$16)*KFC!$C$5</f>
        <v>45.370117601495529</v>
      </c>
      <c r="Q83" s="900">
        <f>(AN83*KFC!$B$16+KFC!$C$16)*KFC!$C$5</f>
        <v>47.244875213974744</v>
      </c>
      <c r="R83" s="900">
        <f>(AO83*KFC!$B$16+KFC!$C$16)*KFC!$C$5</f>
        <v>49.119632826453959</v>
      </c>
      <c r="S83" s="900">
        <f>(AP83*KFC!$B$16+KFC!$C$16)*KFC!$C$5</f>
        <v>50.994390438933173</v>
      </c>
      <c r="T83" s="900">
        <f>(AQ83*KFC!$B$16+KFC!$C$16)*KFC!$C$5</f>
        <v>52.869148051412381</v>
      </c>
      <c r="U83" s="900">
        <f>(AR83*KFC!$B$16+KFC!$C$16)*KFC!$C$5</f>
        <v>54.743905663891596</v>
      </c>
      <c r="V83" s="900">
        <f>(AS83*KFC!$B$16+KFC!$C$16)*KFC!$C$5</f>
        <v>56.618663276370803</v>
      </c>
      <c r="W83" s="901">
        <f>(AT83*KFC!$B$16+KFC!$C$16)*KFC!$C$5</f>
        <v>58.493420888849997</v>
      </c>
      <c r="Y83" s="1430" t="s">
        <v>357</v>
      </c>
      <c r="Z83" s="649">
        <v>0.2</v>
      </c>
      <c r="AA83" s="882">
        <v>22.873026251744999</v>
      </c>
      <c r="AB83" s="882">
        <v>24.747783864224211</v>
      </c>
      <c r="AC83" s="882">
        <v>26.622541476703418</v>
      </c>
      <c r="AD83" s="882">
        <v>28.497299089182626</v>
      </c>
      <c r="AE83" s="882">
        <v>30.372056701661837</v>
      </c>
      <c r="AF83" s="882">
        <v>32.246814314141048</v>
      </c>
      <c r="AG83" s="882">
        <v>34.121571926620256</v>
      </c>
      <c r="AH83" s="882">
        <v>35.996329539099463</v>
      </c>
      <c r="AI83" s="882">
        <v>37.871087151578678</v>
      </c>
      <c r="AJ83" s="882">
        <v>39.745844764057892</v>
      </c>
      <c r="AK83" s="882">
        <v>41.620602376537107</v>
      </c>
      <c r="AL83" s="882">
        <v>43.495359989016315</v>
      </c>
      <c r="AM83" s="882">
        <v>45.370117601495529</v>
      </c>
      <c r="AN83" s="882">
        <v>47.244875213974744</v>
      </c>
      <c r="AO83" s="882">
        <v>49.119632826453959</v>
      </c>
      <c r="AP83" s="882">
        <v>50.994390438933173</v>
      </c>
      <c r="AQ83" s="882">
        <v>52.869148051412381</v>
      </c>
      <c r="AR83" s="882">
        <v>54.743905663891596</v>
      </c>
      <c r="AS83" s="882">
        <v>56.618663276370803</v>
      </c>
      <c r="AT83" s="882">
        <v>58.493420888849997</v>
      </c>
    </row>
    <row r="84" spans="1:46" ht="14.4" customHeight="1">
      <c r="A84" s="1426"/>
      <c r="B84" s="1427"/>
      <c r="C84" s="887">
        <v>0.3</v>
      </c>
      <c r="D84" s="902">
        <f>(AA84*KFC!$B$16+KFC!$C$16)*KFC!$C$5</f>
        <v>23.458749934315502</v>
      </c>
      <c r="E84" s="898">
        <f>(AB84*KFC!$B$16+KFC!$C$16)*KFC!$C$5</f>
        <v>25.475846535315831</v>
      </c>
      <c r="F84" s="898">
        <f>(AC84*KFC!$B$16+KFC!$C$16)*KFC!$C$5</f>
        <v>27.492943136316157</v>
      </c>
      <c r="G84" s="898">
        <f>(AD84*KFC!$B$16+KFC!$C$16)*KFC!$C$5</f>
        <v>29.51003973731649</v>
      </c>
      <c r="H84" s="898">
        <f>(AE84*KFC!$B$16+KFC!$C$16)*KFC!$C$5</f>
        <v>31.527136338316815</v>
      </c>
      <c r="I84" s="898">
        <f>(AF84*KFC!$B$16+KFC!$C$16)*KFC!$C$5</f>
        <v>33.544232939317148</v>
      </c>
      <c r="J84" s="898">
        <f>(AG84*KFC!$B$16+KFC!$C$16)*KFC!$C$5</f>
        <v>35.561329540317473</v>
      </c>
      <c r="K84" s="898">
        <f>(AH84*KFC!$B$16+KFC!$C$16)*KFC!$C$5</f>
        <v>37.578426141317806</v>
      </c>
      <c r="L84" s="898">
        <f>(AI84*KFC!$B$16+KFC!$C$16)*KFC!$C$5</f>
        <v>39.595522742318131</v>
      </c>
      <c r="M84" s="898">
        <f>(AJ84*KFC!$B$16+KFC!$C$16)*KFC!$C$5</f>
        <v>41.612619343318457</v>
      </c>
      <c r="N84" s="898">
        <f>(AK84*KFC!$B$16+KFC!$C$16)*KFC!$C$5</f>
        <v>43.629715944318782</v>
      </c>
      <c r="O84" s="898">
        <f>(AL84*KFC!$B$16+KFC!$C$16)*KFC!$C$5</f>
        <v>45.646812545319101</v>
      </c>
      <c r="P84" s="898">
        <f>(AM84*KFC!$B$16+KFC!$C$16)*KFC!$C$5</f>
        <v>47.66390914631944</v>
      </c>
      <c r="Q84" s="898">
        <f>(AN84*KFC!$B$16+KFC!$C$16)*KFC!$C$5</f>
        <v>49.681005747319759</v>
      </c>
      <c r="R84" s="898">
        <f>(AO84*KFC!$B$16+KFC!$C$16)*KFC!$C$5</f>
        <v>51.698102348320084</v>
      </c>
      <c r="S84" s="898">
        <f>(AP84*KFC!$B$16+KFC!$C$16)*KFC!$C$5</f>
        <v>53.71519894932041</v>
      </c>
      <c r="T84" s="898">
        <f>(AQ84*KFC!$B$16+KFC!$C$16)*KFC!$C$5</f>
        <v>55.732295550320735</v>
      </c>
      <c r="U84" s="898">
        <f>(AR84*KFC!$B$16+KFC!$C$16)*KFC!$C$5</f>
        <v>57.749392151321068</v>
      </c>
      <c r="V84" s="898">
        <f>(AS84*KFC!$B$16+KFC!$C$16)*KFC!$C$5</f>
        <v>59.766488752321386</v>
      </c>
      <c r="W84" s="903">
        <f>(AT84*KFC!$B$16+KFC!$C$16)*KFC!$C$5</f>
        <v>61.78358535332174</v>
      </c>
      <c r="Y84" s="1431"/>
      <c r="Z84" s="649">
        <v>0.3</v>
      </c>
      <c r="AA84" s="882">
        <v>23.458749934315502</v>
      </c>
      <c r="AB84" s="882">
        <v>25.475846535315831</v>
      </c>
      <c r="AC84" s="882">
        <v>27.492943136316157</v>
      </c>
      <c r="AD84" s="882">
        <v>29.51003973731649</v>
      </c>
      <c r="AE84" s="882">
        <v>31.527136338316815</v>
      </c>
      <c r="AF84" s="882">
        <v>33.544232939317148</v>
      </c>
      <c r="AG84" s="882">
        <v>35.561329540317473</v>
      </c>
      <c r="AH84" s="882">
        <v>37.578426141317806</v>
      </c>
      <c r="AI84" s="882">
        <v>39.595522742318131</v>
      </c>
      <c r="AJ84" s="882">
        <v>41.612619343318457</v>
      </c>
      <c r="AK84" s="882">
        <v>43.629715944318782</v>
      </c>
      <c r="AL84" s="882">
        <v>45.646812545319101</v>
      </c>
      <c r="AM84" s="882">
        <v>47.66390914631944</v>
      </c>
      <c r="AN84" s="882">
        <v>49.681005747319759</v>
      </c>
      <c r="AO84" s="882">
        <v>51.698102348320084</v>
      </c>
      <c r="AP84" s="882">
        <v>53.71519894932041</v>
      </c>
      <c r="AQ84" s="882">
        <v>55.732295550320735</v>
      </c>
      <c r="AR84" s="882">
        <v>57.749392151321068</v>
      </c>
      <c r="AS84" s="882">
        <v>59.766488752321386</v>
      </c>
      <c r="AT84" s="882">
        <v>61.78358535332174</v>
      </c>
    </row>
    <row r="85" spans="1:46">
      <c r="A85" s="1426"/>
      <c r="B85" s="1427"/>
      <c r="C85" s="887">
        <v>0.4</v>
      </c>
      <c r="D85" s="902">
        <f>(AA85*KFC!$B$16+KFC!$C$16)*KFC!$C$5</f>
        <v>24.044473616886002</v>
      </c>
      <c r="E85" s="898">
        <f>(AB85*KFC!$B$16+KFC!$C$16)*KFC!$C$5</f>
        <v>26.203909206407445</v>
      </c>
      <c r="F85" s="898">
        <f>(AC85*KFC!$B$16+KFC!$C$16)*KFC!$C$5</f>
        <v>28.363344795928889</v>
      </c>
      <c r="G85" s="898">
        <f>(AD85*KFC!$B$16+KFC!$C$16)*KFC!$C$5</f>
        <v>30.522780385450339</v>
      </c>
      <c r="H85" s="898">
        <f>(AE85*KFC!$B$16+KFC!$C$16)*KFC!$C$5</f>
        <v>32.682215974971783</v>
      </c>
      <c r="I85" s="898">
        <f>(AF85*KFC!$B$16+KFC!$C$16)*KFC!$C$5</f>
        <v>34.841651564493233</v>
      </c>
      <c r="J85" s="898">
        <f>(AG85*KFC!$B$16+KFC!$C$16)*KFC!$C$5</f>
        <v>37.001087154014677</v>
      </c>
      <c r="K85" s="898">
        <f>(AH85*KFC!$B$16+KFC!$C$16)*KFC!$C$5</f>
        <v>39.16052274353612</v>
      </c>
      <c r="L85" s="898">
        <f>(AI85*KFC!$B$16+KFC!$C$16)*KFC!$C$5</f>
        <v>41.319958333057571</v>
      </c>
      <c r="M85" s="898">
        <f>(AJ85*KFC!$B$16+KFC!$C$16)*KFC!$C$5</f>
        <v>43.479393922579014</v>
      </c>
      <c r="N85" s="898">
        <f>(AK85*KFC!$B$16+KFC!$C$16)*KFC!$C$5</f>
        <v>45.638829512100457</v>
      </c>
      <c r="O85" s="898">
        <f>(AL85*KFC!$B$16+KFC!$C$16)*KFC!$C$5</f>
        <v>47.798265101621901</v>
      </c>
      <c r="P85" s="898">
        <f>(AM85*KFC!$B$16+KFC!$C$16)*KFC!$C$5</f>
        <v>49.957700691143351</v>
      </c>
      <c r="Q85" s="898">
        <f>(AN85*KFC!$B$16+KFC!$C$16)*KFC!$C$5</f>
        <v>52.117136280664795</v>
      </c>
      <c r="R85" s="898">
        <f>(AO85*KFC!$B$16+KFC!$C$16)*KFC!$C$5</f>
        <v>54.276571870186238</v>
      </c>
      <c r="S85" s="898">
        <f>(AP85*KFC!$B$16+KFC!$C$16)*KFC!$C$5</f>
        <v>56.436007459707682</v>
      </c>
      <c r="T85" s="898">
        <f>(AQ85*KFC!$B$16+KFC!$C$16)*KFC!$C$5</f>
        <v>58.595443049229132</v>
      </c>
      <c r="U85" s="898">
        <f>(AR85*KFC!$B$16+KFC!$C$16)*KFC!$C$5</f>
        <v>60.754878638750576</v>
      </c>
      <c r="V85" s="898">
        <f>(AS85*KFC!$B$16+KFC!$C$16)*KFC!$C$5</f>
        <v>62.914314228272019</v>
      </c>
      <c r="W85" s="903">
        <f>(AT85*KFC!$B$16+KFC!$C$16)*KFC!$C$5</f>
        <v>65.073749817793498</v>
      </c>
      <c r="Y85" s="1431"/>
      <c r="Z85" s="649">
        <v>0.4</v>
      </c>
      <c r="AA85" s="882">
        <v>24.044473616886002</v>
      </c>
      <c r="AB85" s="882">
        <v>26.203909206407445</v>
      </c>
      <c r="AC85" s="882">
        <v>28.363344795928889</v>
      </c>
      <c r="AD85" s="882">
        <v>30.522780385450339</v>
      </c>
      <c r="AE85" s="882">
        <v>32.682215974971783</v>
      </c>
      <c r="AF85" s="882">
        <v>34.841651564493233</v>
      </c>
      <c r="AG85" s="882">
        <v>37.001087154014677</v>
      </c>
      <c r="AH85" s="882">
        <v>39.16052274353612</v>
      </c>
      <c r="AI85" s="882">
        <v>41.319958333057571</v>
      </c>
      <c r="AJ85" s="882">
        <v>43.479393922579014</v>
      </c>
      <c r="AK85" s="882">
        <v>45.638829512100457</v>
      </c>
      <c r="AL85" s="882">
        <v>47.798265101621901</v>
      </c>
      <c r="AM85" s="882">
        <v>49.957700691143351</v>
      </c>
      <c r="AN85" s="882">
        <v>52.117136280664795</v>
      </c>
      <c r="AO85" s="882">
        <v>54.276571870186238</v>
      </c>
      <c r="AP85" s="882">
        <v>56.436007459707682</v>
      </c>
      <c r="AQ85" s="882">
        <v>58.595443049229132</v>
      </c>
      <c r="AR85" s="882">
        <v>60.754878638750576</v>
      </c>
      <c r="AS85" s="882">
        <v>62.914314228272019</v>
      </c>
      <c r="AT85" s="882">
        <v>65.073749817793498</v>
      </c>
    </row>
    <row r="86" spans="1:46">
      <c r="A86" s="1426"/>
      <c r="B86" s="1427"/>
      <c r="C86" s="887">
        <v>0.5</v>
      </c>
      <c r="D86" s="902">
        <f>(AA86*KFC!$B$16+KFC!$C$16)*KFC!$C$5</f>
        <v>24.630197299456501</v>
      </c>
      <c r="E86" s="898">
        <f>(AB86*KFC!$B$16+KFC!$C$16)*KFC!$C$5</f>
        <v>26.931971877499066</v>
      </c>
      <c r="F86" s="898">
        <f>(AC86*KFC!$B$16+KFC!$C$16)*KFC!$C$5</f>
        <v>29.233746455541631</v>
      </c>
      <c r="G86" s="898">
        <f>(AD86*KFC!$B$16+KFC!$C$16)*KFC!$C$5</f>
        <v>31.535521033584196</v>
      </c>
      <c r="H86" s="898">
        <f>(AE86*KFC!$B$16+KFC!$C$16)*KFC!$C$5</f>
        <v>33.837295611626764</v>
      </c>
      <c r="I86" s="898">
        <f>(AF86*KFC!$B$16+KFC!$C$16)*KFC!$C$5</f>
        <v>36.139070189669326</v>
      </c>
      <c r="J86" s="898">
        <f>(AG86*KFC!$B$16+KFC!$C$16)*KFC!$C$5</f>
        <v>38.440844767711894</v>
      </c>
      <c r="K86" s="898">
        <f>(AH86*KFC!$B$16+KFC!$C$16)*KFC!$C$5</f>
        <v>40.742619345754456</v>
      </c>
      <c r="L86" s="898">
        <f>(AI86*KFC!$B$16+KFC!$C$16)*KFC!$C$5</f>
        <v>43.044393923797031</v>
      </c>
      <c r="M86" s="898">
        <f>(AJ86*KFC!$B$16+KFC!$C$16)*KFC!$C$5</f>
        <v>45.346168501839593</v>
      </c>
      <c r="N86" s="898">
        <f>(AK86*KFC!$B$16+KFC!$C$16)*KFC!$C$5</f>
        <v>47.647943079882154</v>
      </c>
      <c r="O86" s="898">
        <f>(AL86*KFC!$B$16+KFC!$C$16)*KFC!$C$5</f>
        <v>49.949717657924722</v>
      </c>
      <c r="P86" s="898">
        <f>(AM86*KFC!$B$16+KFC!$C$16)*KFC!$C$5</f>
        <v>52.251492235967277</v>
      </c>
      <c r="Q86" s="898">
        <f>(AN86*KFC!$B$16+KFC!$C$16)*KFC!$C$5</f>
        <v>54.553266814009852</v>
      </c>
      <c r="R86" s="898">
        <f>(AO86*KFC!$B$16+KFC!$C$16)*KFC!$C$5</f>
        <v>56.855041392052421</v>
      </c>
      <c r="S86" s="898">
        <f>(AP86*KFC!$B$16+KFC!$C$16)*KFC!$C$5</f>
        <v>59.156815970094975</v>
      </c>
      <c r="T86" s="898">
        <f>(AQ86*KFC!$B$16+KFC!$C$16)*KFC!$C$5</f>
        <v>61.458590548137551</v>
      </c>
      <c r="U86" s="898">
        <f>(AR86*KFC!$B$16+KFC!$C$16)*KFC!$C$5</f>
        <v>63.760365126180112</v>
      </c>
      <c r="V86" s="898">
        <f>(AS86*KFC!$B$16+KFC!$C$16)*KFC!$C$5</f>
        <v>66.062139704222673</v>
      </c>
      <c r="W86" s="903">
        <f>(AT86*KFC!$B$16+KFC!$C$16)*KFC!$C$5</f>
        <v>68.363914282265242</v>
      </c>
      <c r="Y86" s="1431"/>
      <c r="Z86" s="649">
        <v>0.5</v>
      </c>
      <c r="AA86" s="882">
        <v>24.630197299456501</v>
      </c>
      <c r="AB86" s="882">
        <v>26.931971877499066</v>
      </c>
      <c r="AC86" s="882">
        <v>29.233746455541631</v>
      </c>
      <c r="AD86" s="882">
        <v>31.535521033584196</v>
      </c>
      <c r="AE86" s="882">
        <v>33.837295611626764</v>
      </c>
      <c r="AF86" s="882">
        <v>36.139070189669326</v>
      </c>
      <c r="AG86" s="882">
        <v>38.440844767711894</v>
      </c>
      <c r="AH86" s="882">
        <v>40.742619345754456</v>
      </c>
      <c r="AI86" s="882">
        <v>43.044393923797031</v>
      </c>
      <c r="AJ86" s="882">
        <v>45.346168501839593</v>
      </c>
      <c r="AK86" s="882">
        <v>47.647943079882154</v>
      </c>
      <c r="AL86" s="882">
        <v>49.949717657924722</v>
      </c>
      <c r="AM86" s="882">
        <v>52.251492235967277</v>
      </c>
      <c r="AN86" s="882">
        <v>54.553266814009852</v>
      </c>
      <c r="AO86" s="882">
        <v>56.855041392052421</v>
      </c>
      <c r="AP86" s="882">
        <v>59.156815970094975</v>
      </c>
      <c r="AQ86" s="882">
        <v>61.458590548137551</v>
      </c>
      <c r="AR86" s="882">
        <v>63.760365126180112</v>
      </c>
      <c r="AS86" s="882">
        <v>66.062139704222673</v>
      </c>
      <c r="AT86" s="882">
        <v>68.363914282265242</v>
      </c>
    </row>
    <row r="87" spans="1:46">
      <c r="A87" s="1426"/>
      <c r="B87" s="1427"/>
      <c r="C87" s="887">
        <v>0.6</v>
      </c>
      <c r="D87" s="902">
        <f>(AA87*KFC!$B$16+KFC!$C$16)*KFC!$C$5</f>
        <v>25.215920982027004</v>
      </c>
      <c r="E87" s="898">
        <f>(AB87*KFC!$B$16+KFC!$C$16)*KFC!$C$5</f>
        <v>27.660034548590684</v>
      </c>
      <c r="F87" s="898">
        <f>(AC87*KFC!$B$16+KFC!$C$16)*KFC!$C$5</f>
        <v>30.104148115154366</v>
      </c>
      <c r="G87" s="898">
        <f>(AD87*KFC!$B$16+KFC!$C$16)*KFC!$C$5</f>
        <v>32.548261681718046</v>
      </c>
      <c r="H87" s="898">
        <f>(AE87*KFC!$B$16+KFC!$C$16)*KFC!$C$5</f>
        <v>34.992375248281725</v>
      </c>
      <c r="I87" s="898">
        <f>(AF87*KFC!$B$16+KFC!$C$16)*KFC!$C$5</f>
        <v>37.436488814845418</v>
      </c>
      <c r="J87" s="898">
        <f>(AG87*KFC!$B$16+KFC!$C$16)*KFC!$C$5</f>
        <v>39.880602381409105</v>
      </c>
      <c r="K87" s="898">
        <f>(AH87*KFC!$B$16+KFC!$C$16)*KFC!$C$5</f>
        <v>42.324715947972784</v>
      </c>
      <c r="L87" s="898">
        <f>(AI87*KFC!$B$16+KFC!$C$16)*KFC!$C$5</f>
        <v>44.768829514536471</v>
      </c>
      <c r="M87" s="898">
        <f>(AJ87*KFC!$B$16+KFC!$C$16)*KFC!$C$5</f>
        <v>47.212943081100157</v>
      </c>
      <c r="N87" s="898">
        <f>(AK87*KFC!$B$16+KFC!$C$16)*KFC!$C$5</f>
        <v>49.65705664766385</v>
      </c>
      <c r="O87" s="898">
        <f>(AL87*KFC!$B$16+KFC!$C$16)*KFC!$C$5</f>
        <v>52.10117021422753</v>
      </c>
      <c r="P87" s="898">
        <f>(AM87*KFC!$B$16+KFC!$C$16)*KFC!$C$5</f>
        <v>54.545283780791209</v>
      </c>
      <c r="Q87" s="898">
        <f>(AN87*KFC!$B$16+KFC!$C$16)*KFC!$C$5</f>
        <v>56.989397347354895</v>
      </c>
      <c r="R87" s="898">
        <f>(AO87*KFC!$B$16+KFC!$C$16)*KFC!$C$5</f>
        <v>59.433510913918589</v>
      </c>
      <c r="S87" s="898">
        <f>(AP87*KFC!$B$16+KFC!$C$16)*KFC!$C$5</f>
        <v>61.877624480482268</v>
      </c>
      <c r="T87" s="898">
        <f>(AQ87*KFC!$B$16+KFC!$C$16)*KFC!$C$5</f>
        <v>64.321738047045955</v>
      </c>
      <c r="U87" s="898">
        <f>(AR87*KFC!$B$16+KFC!$C$16)*KFC!$C$5</f>
        <v>66.765851613609641</v>
      </c>
      <c r="V87" s="898">
        <f>(AS87*KFC!$B$16+KFC!$C$16)*KFC!$C$5</f>
        <v>69.209965180173313</v>
      </c>
      <c r="W87" s="903">
        <f>(AT87*KFC!$B$16+KFC!$C$16)*KFC!$C$5</f>
        <v>71.654078746736985</v>
      </c>
      <c r="Y87" s="1431"/>
      <c r="Z87" s="649">
        <v>0.6</v>
      </c>
      <c r="AA87" s="882">
        <v>25.215920982027004</v>
      </c>
      <c r="AB87" s="882">
        <v>27.660034548590684</v>
      </c>
      <c r="AC87" s="882">
        <v>30.104148115154366</v>
      </c>
      <c r="AD87" s="882">
        <v>32.548261681718046</v>
      </c>
      <c r="AE87" s="882">
        <v>34.992375248281725</v>
      </c>
      <c r="AF87" s="882">
        <v>37.436488814845418</v>
      </c>
      <c r="AG87" s="882">
        <v>39.880602381409105</v>
      </c>
      <c r="AH87" s="882">
        <v>42.324715947972784</v>
      </c>
      <c r="AI87" s="882">
        <v>44.768829514536471</v>
      </c>
      <c r="AJ87" s="882">
        <v>47.212943081100157</v>
      </c>
      <c r="AK87" s="882">
        <v>49.65705664766385</v>
      </c>
      <c r="AL87" s="882">
        <v>52.10117021422753</v>
      </c>
      <c r="AM87" s="882">
        <v>54.545283780791209</v>
      </c>
      <c r="AN87" s="882">
        <v>56.989397347354895</v>
      </c>
      <c r="AO87" s="882">
        <v>59.433510913918589</v>
      </c>
      <c r="AP87" s="882">
        <v>61.877624480482268</v>
      </c>
      <c r="AQ87" s="882">
        <v>64.321738047045955</v>
      </c>
      <c r="AR87" s="882">
        <v>66.765851613609641</v>
      </c>
      <c r="AS87" s="882">
        <v>69.209965180173313</v>
      </c>
      <c r="AT87" s="882">
        <v>71.654078746736985</v>
      </c>
    </row>
    <row r="88" spans="1:46">
      <c r="A88" s="1426"/>
      <c r="B88" s="1427"/>
      <c r="C88" s="887">
        <v>0.7</v>
      </c>
      <c r="D88" s="902">
        <f>(AA88*KFC!$B$16+KFC!$C$16)*KFC!$C$5</f>
        <v>25.801644664597504</v>
      </c>
      <c r="E88" s="898">
        <f>(AB88*KFC!$B$16+KFC!$C$16)*KFC!$C$5</f>
        <v>28.388097219682304</v>
      </c>
      <c r="F88" s="898">
        <f>(AC88*KFC!$B$16+KFC!$C$16)*KFC!$C$5</f>
        <v>30.974549774767109</v>
      </c>
      <c r="G88" s="898">
        <f>(AD88*KFC!$B$16+KFC!$C$16)*KFC!$C$5</f>
        <v>33.56100232985191</v>
      </c>
      <c r="H88" s="898">
        <f>(AE88*KFC!$B$16+KFC!$C$16)*KFC!$C$5</f>
        <v>36.147454884936707</v>
      </c>
      <c r="I88" s="898">
        <f>(AF88*KFC!$B$16+KFC!$C$16)*KFC!$C$5</f>
        <v>38.733907440021511</v>
      </c>
      <c r="J88" s="898">
        <f>(AG88*KFC!$B$16+KFC!$C$16)*KFC!$C$5</f>
        <v>41.320359995106323</v>
      </c>
      <c r="K88" s="898">
        <f>(AH88*KFC!$B$16+KFC!$C$16)*KFC!$C$5</f>
        <v>43.90681255019112</v>
      </c>
      <c r="L88" s="898">
        <f>(AI88*KFC!$B$16+KFC!$C$16)*KFC!$C$5</f>
        <v>46.493265105275924</v>
      </c>
      <c r="M88" s="898">
        <f>(AJ88*KFC!$B$16+KFC!$C$16)*KFC!$C$5</f>
        <v>49.079717660360735</v>
      </c>
      <c r="N88" s="898">
        <f>(AK88*KFC!$B$16+KFC!$C$16)*KFC!$C$5</f>
        <v>51.66617021544554</v>
      </c>
      <c r="O88" s="898">
        <f>(AL88*KFC!$B$16+KFC!$C$16)*KFC!$C$5</f>
        <v>54.252622770530337</v>
      </c>
      <c r="P88" s="898">
        <f>(AM88*KFC!$B$16+KFC!$C$16)*KFC!$C$5</f>
        <v>56.839075325615148</v>
      </c>
      <c r="Q88" s="898">
        <f>(AN88*KFC!$B$16+KFC!$C$16)*KFC!$C$5</f>
        <v>59.425527880699953</v>
      </c>
      <c r="R88" s="898">
        <f>(AO88*KFC!$B$16+KFC!$C$16)*KFC!$C$5</f>
        <v>62.011980435784764</v>
      </c>
      <c r="S88" s="898">
        <f>(AP88*KFC!$B$16+KFC!$C$16)*KFC!$C$5</f>
        <v>64.598432990869554</v>
      </c>
      <c r="T88" s="898">
        <f>(AQ88*KFC!$B$16+KFC!$C$16)*KFC!$C$5</f>
        <v>67.184885545954373</v>
      </c>
      <c r="U88" s="898">
        <f>(AR88*KFC!$B$16+KFC!$C$16)*KFC!$C$5</f>
        <v>69.771338101039177</v>
      </c>
      <c r="V88" s="898">
        <f>(AS88*KFC!$B$16+KFC!$C$16)*KFC!$C$5</f>
        <v>72.357790656123981</v>
      </c>
      <c r="W88" s="903">
        <f>(AT88*KFC!$B$16+KFC!$C$16)*KFC!$C$5</f>
        <v>74.944243211208729</v>
      </c>
      <c r="Y88" s="1431"/>
      <c r="Z88" s="649">
        <v>0.7</v>
      </c>
      <c r="AA88" s="882">
        <v>25.801644664597504</v>
      </c>
      <c r="AB88" s="882">
        <v>28.388097219682304</v>
      </c>
      <c r="AC88" s="882">
        <v>30.974549774767109</v>
      </c>
      <c r="AD88" s="882">
        <v>33.56100232985191</v>
      </c>
      <c r="AE88" s="882">
        <v>36.147454884936707</v>
      </c>
      <c r="AF88" s="882">
        <v>38.733907440021511</v>
      </c>
      <c r="AG88" s="882">
        <v>41.320359995106323</v>
      </c>
      <c r="AH88" s="882">
        <v>43.90681255019112</v>
      </c>
      <c r="AI88" s="882">
        <v>46.493265105275924</v>
      </c>
      <c r="AJ88" s="882">
        <v>49.079717660360735</v>
      </c>
      <c r="AK88" s="882">
        <v>51.66617021544554</v>
      </c>
      <c r="AL88" s="882">
        <v>54.252622770530337</v>
      </c>
      <c r="AM88" s="882">
        <v>56.839075325615148</v>
      </c>
      <c r="AN88" s="882">
        <v>59.425527880699953</v>
      </c>
      <c r="AO88" s="882">
        <v>62.011980435784764</v>
      </c>
      <c r="AP88" s="882">
        <v>64.598432990869554</v>
      </c>
      <c r="AQ88" s="882">
        <v>67.184885545954373</v>
      </c>
      <c r="AR88" s="882">
        <v>69.771338101039177</v>
      </c>
      <c r="AS88" s="882">
        <v>72.357790656123981</v>
      </c>
      <c r="AT88" s="882">
        <v>74.944243211208729</v>
      </c>
    </row>
    <row r="89" spans="1:46">
      <c r="A89" s="1426"/>
      <c r="B89" s="1427"/>
      <c r="C89" s="887">
        <v>0.8</v>
      </c>
      <c r="D89" s="902">
        <f>(AA89*KFC!$B$16+KFC!$C$16)*KFC!$C$5</f>
        <v>26.387368347168003</v>
      </c>
      <c r="E89" s="898">
        <f>(AB89*KFC!$B$16+KFC!$C$16)*KFC!$C$5</f>
        <v>29.116159890773922</v>
      </c>
      <c r="F89" s="898">
        <f>(AC89*KFC!$B$16+KFC!$C$16)*KFC!$C$5</f>
        <v>31.844951434379841</v>
      </c>
      <c r="G89" s="898">
        <f>(AD89*KFC!$B$16+KFC!$C$16)*KFC!$C$5</f>
        <v>34.573742977985759</v>
      </c>
      <c r="H89" s="898">
        <f>(AE89*KFC!$B$16+KFC!$C$16)*KFC!$C$5</f>
        <v>37.302534521591681</v>
      </c>
      <c r="I89" s="898">
        <f>(AF89*KFC!$B$16+KFC!$C$16)*KFC!$C$5</f>
        <v>40.031326065197597</v>
      </c>
      <c r="J89" s="898">
        <f>(AG89*KFC!$B$16+KFC!$C$16)*KFC!$C$5</f>
        <v>42.760117608803512</v>
      </c>
      <c r="K89" s="898">
        <f>(AH89*KFC!$B$16+KFC!$C$16)*KFC!$C$5</f>
        <v>45.488909152409434</v>
      </c>
      <c r="L89" s="898">
        <f>(AI89*KFC!$B$16+KFC!$C$16)*KFC!$C$5</f>
        <v>48.217700696015349</v>
      </c>
      <c r="M89" s="898">
        <f>(AJ89*KFC!$B$16+KFC!$C$16)*KFC!$C$5</f>
        <v>50.946492239621271</v>
      </c>
      <c r="N89" s="898">
        <f>(AK89*KFC!$B$16+KFC!$C$16)*KFC!$C$5</f>
        <v>53.675283783227187</v>
      </c>
      <c r="O89" s="898">
        <f>(AL89*KFC!$B$16+KFC!$C$16)*KFC!$C$5</f>
        <v>56.404075326833102</v>
      </c>
      <c r="P89" s="898">
        <f>(AM89*KFC!$B$16+KFC!$C$16)*KFC!$C$5</f>
        <v>59.132866870439024</v>
      </c>
      <c r="Q89" s="898">
        <f>(AN89*KFC!$B$16+KFC!$C$16)*KFC!$C$5</f>
        <v>61.861658414044946</v>
      </c>
      <c r="R89" s="898">
        <f>(AO89*KFC!$B$16+KFC!$C$16)*KFC!$C$5</f>
        <v>64.590449957650861</v>
      </c>
      <c r="S89" s="898">
        <f>(AP89*KFC!$B$16+KFC!$C$16)*KFC!$C$5</f>
        <v>67.319241501256784</v>
      </c>
      <c r="T89" s="898">
        <f>(AQ89*KFC!$B$16+KFC!$C$16)*KFC!$C$5</f>
        <v>70.048033044862692</v>
      </c>
      <c r="U89" s="898">
        <f>(AR89*KFC!$B$16+KFC!$C$16)*KFC!$C$5</f>
        <v>72.776824588468614</v>
      </c>
      <c r="V89" s="898">
        <f>(AS89*KFC!$B$16+KFC!$C$16)*KFC!$C$5</f>
        <v>75.505616132074536</v>
      </c>
      <c r="W89" s="903">
        <f>(AT89*KFC!$B$16+KFC!$C$16)*KFC!$C$5</f>
        <v>78.234407675680487</v>
      </c>
      <c r="Y89" s="1431"/>
      <c r="Z89" s="649">
        <v>0.8</v>
      </c>
      <c r="AA89" s="882">
        <v>26.387368347168003</v>
      </c>
      <c r="AB89" s="882">
        <v>29.116159890773922</v>
      </c>
      <c r="AC89" s="882">
        <v>31.844951434379841</v>
      </c>
      <c r="AD89" s="882">
        <v>34.573742977985759</v>
      </c>
      <c r="AE89" s="882">
        <v>37.302534521591681</v>
      </c>
      <c r="AF89" s="882">
        <v>40.031326065197597</v>
      </c>
      <c r="AG89" s="882">
        <v>42.760117608803512</v>
      </c>
      <c r="AH89" s="882">
        <v>45.488909152409434</v>
      </c>
      <c r="AI89" s="882">
        <v>48.217700696015349</v>
      </c>
      <c r="AJ89" s="882">
        <v>50.946492239621271</v>
      </c>
      <c r="AK89" s="882">
        <v>53.675283783227187</v>
      </c>
      <c r="AL89" s="882">
        <v>56.404075326833102</v>
      </c>
      <c r="AM89" s="882">
        <v>59.132866870439024</v>
      </c>
      <c r="AN89" s="882">
        <v>61.861658414044946</v>
      </c>
      <c r="AO89" s="882">
        <v>64.590449957650861</v>
      </c>
      <c r="AP89" s="882">
        <v>67.319241501256784</v>
      </c>
      <c r="AQ89" s="882">
        <v>70.048033044862692</v>
      </c>
      <c r="AR89" s="882">
        <v>72.776824588468614</v>
      </c>
      <c r="AS89" s="882">
        <v>75.505616132074536</v>
      </c>
      <c r="AT89" s="882">
        <v>78.234407675680487</v>
      </c>
    </row>
    <row r="90" spans="1:46">
      <c r="A90" s="1426"/>
      <c r="B90" s="1427"/>
      <c r="C90" s="887">
        <v>0.9</v>
      </c>
      <c r="D90" s="902">
        <f>(AA90*KFC!$B$16+KFC!$C$16)*KFC!$C$5</f>
        <v>26.973092029738506</v>
      </c>
      <c r="E90" s="898">
        <f>(AB90*KFC!$B$16+KFC!$C$16)*KFC!$C$5</f>
        <v>29.844222561865539</v>
      </c>
      <c r="F90" s="898">
        <f>(AC90*KFC!$B$16+KFC!$C$16)*KFC!$C$5</f>
        <v>32.715353093992576</v>
      </c>
      <c r="G90" s="898">
        <f>(AD90*KFC!$B$16+KFC!$C$16)*KFC!$C$5</f>
        <v>35.586483626119616</v>
      </c>
      <c r="H90" s="898">
        <f>(AE90*KFC!$B$16+KFC!$C$16)*KFC!$C$5</f>
        <v>38.457614158246649</v>
      </c>
      <c r="I90" s="898">
        <f>(AF90*KFC!$B$16+KFC!$C$16)*KFC!$C$5</f>
        <v>41.328744690373696</v>
      </c>
      <c r="J90" s="898">
        <f>(AG90*KFC!$B$16+KFC!$C$16)*KFC!$C$5</f>
        <v>44.199875222500729</v>
      </c>
      <c r="K90" s="898">
        <f>(AH90*KFC!$B$16+KFC!$C$16)*KFC!$C$5</f>
        <v>47.07100575462777</v>
      </c>
      <c r="L90" s="898">
        <f>(AI90*KFC!$B$16+KFC!$C$16)*KFC!$C$5</f>
        <v>49.942136286754803</v>
      </c>
      <c r="M90" s="898">
        <f>(AJ90*KFC!$B$16+KFC!$C$16)*KFC!$C$5</f>
        <v>52.81326681888185</v>
      </c>
      <c r="N90" s="898">
        <f>(AK90*KFC!$B$16+KFC!$C$16)*KFC!$C$5</f>
        <v>55.684397351008883</v>
      </c>
      <c r="O90" s="898">
        <f>(AL90*KFC!$B$16+KFC!$C$16)*KFC!$C$5</f>
        <v>58.555527883135916</v>
      </c>
      <c r="P90" s="898">
        <f>(AM90*KFC!$B$16+KFC!$C$16)*KFC!$C$5</f>
        <v>61.426658415262956</v>
      </c>
      <c r="Q90" s="898">
        <f>(AN90*KFC!$B$16+KFC!$C$16)*KFC!$C$5</f>
        <v>64.297788947390004</v>
      </c>
      <c r="R90" s="898">
        <f>(AO90*KFC!$B$16+KFC!$C$16)*KFC!$C$5</f>
        <v>67.168919479517029</v>
      </c>
      <c r="S90" s="898">
        <f>(AP90*KFC!$B$16+KFC!$C$16)*KFC!$C$5</f>
        <v>70.040050011644055</v>
      </c>
      <c r="T90" s="898">
        <f>(AQ90*KFC!$B$16+KFC!$C$16)*KFC!$C$5</f>
        <v>72.911180543771096</v>
      </c>
      <c r="U90" s="898">
        <f>(AR90*KFC!$B$16+KFC!$C$16)*KFC!$C$5</f>
        <v>75.782311075898122</v>
      </c>
      <c r="V90" s="898">
        <f>(AS90*KFC!$B$16+KFC!$C$16)*KFC!$C$5</f>
        <v>78.653441608025162</v>
      </c>
      <c r="W90" s="903">
        <f>(AT90*KFC!$B$16+KFC!$C$16)*KFC!$C$5</f>
        <v>81.52457214015223</v>
      </c>
      <c r="Y90" s="1431"/>
      <c r="Z90" s="649">
        <v>0.9</v>
      </c>
      <c r="AA90" s="882">
        <v>26.973092029738506</v>
      </c>
      <c r="AB90" s="882">
        <v>29.844222561865539</v>
      </c>
      <c r="AC90" s="882">
        <v>32.715353093992576</v>
      </c>
      <c r="AD90" s="882">
        <v>35.586483626119616</v>
      </c>
      <c r="AE90" s="882">
        <v>38.457614158246649</v>
      </c>
      <c r="AF90" s="882">
        <v>41.328744690373696</v>
      </c>
      <c r="AG90" s="882">
        <v>44.199875222500729</v>
      </c>
      <c r="AH90" s="882">
        <v>47.07100575462777</v>
      </c>
      <c r="AI90" s="882">
        <v>49.942136286754803</v>
      </c>
      <c r="AJ90" s="882">
        <v>52.81326681888185</v>
      </c>
      <c r="AK90" s="882">
        <v>55.684397351008883</v>
      </c>
      <c r="AL90" s="882">
        <v>58.555527883135916</v>
      </c>
      <c r="AM90" s="882">
        <v>61.426658415262956</v>
      </c>
      <c r="AN90" s="882">
        <v>64.297788947390004</v>
      </c>
      <c r="AO90" s="882">
        <v>67.168919479517029</v>
      </c>
      <c r="AP90" s="882">
        <v>70.040050011644055</v>
      </c>
      <c r="AQ90" s="882">
        <v>72.911180543771096</v>
      </c>
      <c r="AR90" s="882">
        <v>75.782311075898122</v>
      </c>
      <c r="AS90" s="882">
        <v>78.653441608025162</v>
      </c>
      <c r="AT90" s="882">
        <v>81.52457214015223</v>
      </c>
    </row>
    <row r="91" spans="1:46">
      <c r="A91" s="1426"/>
      <c r="B91" s="1427"/>
      <c r="C91" s="887">
        <v>1</v>
      </c>
      <c r="D91" s="902">
        <f>(AA91*KFC!$B$16+KFC!$C$16)*KFC!$C$5</f>
        <v>27.558815712309006</v>
      </c>
      <c r="E91" s="898">
        <f>(AB91*KFC!$B$16+KFC!$C$16)*KFC!$C$5</f>
        <v>30.572285232957164</v>
      </c>
      <c r="F91" s="898">
        <f>(AC91*KFC!$B$16+KFC!$C$16)*KFC!$C$5</f>
        <v>33.585754753605322</v>
      </c>
      <c r="G91" s="898">
        <f>(AD91*KFC!$B$16+KFC!$C$16)*KFC!$C$5</f>
        <v>36.59922427425348</v>
      </c>
      <c r="H91" s="898">
        <f>(AE91*KFC!$B$16+KFC!$C$16)*KFC!$C$5</f>
        <v>39.612693794901638</v>
      </c>
      <c r="I91" s="898">
        <f>(AF91*KFC!$B$16+KFC!$C$16)*KFC!$C$5</f>
        <v>42.626163315549789</v>
      </c>
      <c r="J91" s="898">
        <f>(AG91*KFC!$B$16+KFC!$C$16)*KFC!$C$5</f>
        <v>45.639632836197954</v>
      </c>
      <c r="K91" s="898">
        <f>(AH91*KFC!$B$16+KFC!$C$16)*KFC!$C$5</f>
        <v>48.653102356846112</v>
      </c>
      <c r="L91" s="898">
        <f>(AI91*KFC!$B$16+KFC!$C$16)*KFC!$C$5</f>
        <v>51.66657187749427</v>
      </c>
      <c r="M91" s="898">
        <f>(AJ91*KFC!$B$16+KFC!$C$16)*KFC!$C$5</f>
        <v>54.680041398142436</v>
      </c>
      <c r="N91" s="898">
        <f>(AK91*KFC!$B$16+KFC!$C$16)*KFC!$C$5</f>
        <v>57.693510918790587</v>
      </c>
      <c r="O91" s="898">
        <f>(AL91*KFC!$B$16+KFC!$C$16)*KFC!$C$5</f>
        <v>60.706980439438738</v>
      </c>
      <c r="P91" s="898">
        <f>(AM91*KFC!$B$16+KFC!$C$16)*KFC!$C$5</f>
        <v>63.720449960086896</v>
      </c>
      <c r="Q91" s="898">
        <f>(AN91*KFC!$B$16+KFC!$C$16)*KFC!$C$5</f>
        <v>66.733919480735054</v>
      </c>
      <c r="R91" s="898">
        <f>(AO91*KFC!$B$16+KFC!$C$16)*KFC!$C$5</f>
        <v>69.747389001383212</v>
      </c>
      <c r="S91" s="898">
        <f>(AP91*KFC!$B$16+KFC!$C$16)*KFC!$C$5</f>
        <v>72.76085852203137</v>
      </c>
      <c r="T91" s="898">
        <f>(AQ91*KFC!$B$16+KFC!$C$16)*KFC!$C$5</f>
        <v>75.774328042679528</v>
      </c>
      <c r="U91" s="898">
        <f>(AR91*KFC!$B$16+KFC!$C$16)*KFC!$C$5</f>
        <v>78.787797563327686</v>
      </c>
      <c r="V91" s="898">
        <f>(AS91*KFC!$B$16+KFC!$C$16)*KFC!$C$5</f>
        <v>81.801267083975844</v>
      </c>
      <c r="W91" s="903">
        <f>(AT91*KFC!$B$16+KFC!$C$16)*KFC!$C$5</f>
        <v>84.814736604623974</v>
      </c>
      <c r="Y91" s="1431"/>
      <c r="Z91" s="649">
        <v>1</v>
      </c>
      <c r="AA91" s="882">
        <v>27.558815712309006</v>
      </c>
      <c r="AB91" s="882">
        <v>30.572285232957164</v>
      </c>
      <c r="AC91" s="882">
        <v>33.585754753605322</v>
      </c>
      <c r="AD91" s="882">
        <v>36.59922427425348</v>
      </c>
      <c r="AE91" s="882">
        <v>39.612693794901638</v>
      </c>
      <c r="AF91" s="882">
        <v>42.626163315549789</v>
      </c>
      <c r="AG91" s="882">
        <v>45.639632836197954</v>
      </c>
      <c r="AH91" s="882">
        <v>48.653102356846112</v>
      </c>
      <c r="AI91" s="882">
        <v>51.66657187749427</v>
      </c>
      <c r="AJ91" s="882">
        <v>54.680041398142436</v>
      </c>
      <c r="AK91" s="882">
        <v>57.693510918790587</v>
      </c>
      <c r="AL91" s="882">
        <v>60.706980439438738</v>
      </c>
      <c r="AM91" s="882">
        <v>63.720449960086896</v>
      </c>
      <c r="AN91" s="882">
        <v>66.733919480735054</v>
      </c>
      <c r="AO91" s="882">
        <v>69.747389001383212</v>
      </c>
      <c r="AP91" s="882">
        <v>72.76085852203137</v>
      </c>
      <c r="AQ91" s="882">
        <v>75.774328042679528</v>
      </c>
      <c r="AR91" s="882">
        <v>78.787797563327686</v>
      </c>
      <c r="AS91" s="882">
        <v>81.801267083975844</v>
      </c>
      <c r="AT91" s="882">
        <v>84.814736604623974</v>
      </c>
    </row>
    <row r="92" spans="1:46">
      <c r="A92" s="1426"/>
      <c r="B92" s="1427"/>
      <c r="C92" s="887">
        <v>1.1000000000000001</v>
      </c>
      <c r="D92" s="902">
        <f>(AA92*KFC!$B$16+KFC!$C$16)*KFC!$C$5</f>
        <v>28.144539394879505</v>
      </c>
      <c r="E92" s="898">
        <f>(AB92*KFC!$B$16+KFC!$C$16)*KFC!$C$5</f>
        <v>31.300347904048781</v>
      </c>
      <c r="F92" s="898">
        <f>(AC92*KFC!$B$16+KFC!$C$16)*KFC!$C$5</f>
        <v>34.456156413218054</v>
      </c>
      <c r="G92" s="898">
        <f>(AD92*KFC!$B$16+KFC!$C$16)*KFC!$C$5</f>
        <v>37.61196492238733</v>
      </c>
      <c r="H92" s="898">
        <f>(AE92*KFC!$B$16+KFC!$C$16)*KFC!$C$5</f>
        <v>40.767773431556598</v>
      </c>
      <c r="I92" s="898">
        <f>(AF92*KFC!$B$16+KFC!$C$16)*KFC!$C$5</f>
        <v>43.923581940725867</v>
      </c>
      <c r="J92" s="898">
        <f>(AG92*KFC!$B$16+KFC!$C$16)*KFC!$C$5</f>
        <v>47.079390449895143</v>
      </c>
      <c r="K92" s="898">
        <f>(AH92*KFC!$B$16+KFC!$C$16)*KFC!$C$5</f>
        <v>50.235198959064412</v>
      </c>
      <c r="L92" s="898">
        <f>(AI92*KFC!$B$16+KFC!$C$16)*KFC!$C$5</f>
        <v>53.391007468233688</v>
      </c>
      <c r="M92" s="898">
        <f>(AJ92*KFC!$B$16+KFC!$C$16)*KFC!$C$5</f>
        <v>56.546815977402957</v>
      </c>
      <c r="N92" s="898">
        <f>(AK92*KFC!$B$16+KFC!$C$16)*KFC!$C$5</f>
        <v>59.702624486572233</v>
      </c>
      <c r="O92" s="898">
        <f>(AL92*KFC!$B$16+KFC!$C$16)*KFC!$C$5</f>
        <v>62.858432995741502</v>
      </c>
      <c r="P92" s="898">
        <f>(AM92*KFC!$B$16+KFC!$C$16)*KFC!$C$5</f>
        <v>66.014241504910771</v>
      </c>
      <c r="Q92" s="898">
        <f>(AN92*KFC!$B$16+KFC!$C$16)*KFC!$C$5</f>
        <v>69.170050014080047</v>
      </c>
      <c r="R92" s="898">
        <f>(AO92*KFC!$B$16+KFC!$C$16)*KFC!$C$5</f>
        <v>72.325858523249323</v>
      </c>
      <c r="S92" s="898">
        <f>(AP92*KFC!$B$16+KFC!$C$16)*KFC!$C$5</f>
        <v>75.481667032418585</v>
      </c>
      <c r="T92" s="898">
        <f>(AQ92*KFC!$B$16+KFC!$C$16)*KFC!$C$5</f>
        <v>78.637475541587861</v>
      </c>
      <c r="U92" s="898">
        <f>(AR92*KFC!$B$16+KFC!$C$16)*KFC!$C$5</f>
        <v>81.793284050757123</v>
      </c>
      <c r="V92" s="898">
        <f>(AS92*KFC!$B$16+KFC!$C$16)*KFC!$C$5</f>
        <v>84.949092559926399</v>
      </c>
      <c r="W92" s="903">
        <f>(AT92*KFC!$B$16+KFC!$C$16)*KFC!$C$5</f>
        <v>88.104901069095732</v>
      </c>
      <c r="Y92" s="1431"/>
      <c r="Z92" s="649">
        <v>1.1000000000000001</v>
      </c>
      <c r="AA92" s="882">
        <v>28.144539394879505</v>
      </c>
      <c r="AB92" s="882">
        <v>31.300347904048781</v>
      </c>
      <c r="AC92" s="882">
        <v>34.456156413218054</v>
      </c>
      <c r="AD92" s="882">
        <v>37.61196492238733</v>
      </c>
      <c r="AE92" s="882">
        <v>40.767773431556598</v>
      </c>
      <c r="AF92" s="882">
        <v>43.923581940725867</v>
      </c>
      <c r="AG92" s="882">
        <v>47.079390449895143</v>
      </c>
      <c r="AH92" s="882">
        <v>50.235198959064412</v>
      </c>
      <c r="AI92" s="882">
        <v>53.391007468233688</v>
      </c>
      <c r="AJ92" s="882">
        <v>56.546815977402957</v>
      </c>
      <c r="AK92" s="882">
        <v>59.702624486572233</v>
      </c>
      <c r="AL92" s="882">
        <v>62.858432995741502</v>
      </c>
      <c r="AM92" s="882">
        <v>66.014241504910771</v>
      </c>
      <c r="AN92" s="882">
        <v>69.170050014080047</v>
      </c>
      <c r="AO92" s="882">
        <v>72.325858523249323</v>
      </c>
      <c r="AP92" s="882">
        <v>75.481667032418585</v>
      </c>
      <c r="AQ92" s="882">
        <v>78.637475541587861</v>
      </c>
      <c r="AR92" s="882">
        <v>81.793284050757123</v>
      </c>
      <c r="AS92" s="882">
        <v>84.949092559926399</v>
      </c>
      <c r="AT92" s="882">
        <v>88.104901069095732</v>
      </c>
    </row>
    <row r="93" spans="1:46">
      <c r="A93" s="1426"/>
      <c r="B93" s="1427"/>
      <c r="C93" s="887">
        <v>1.2</v>
      </c>
      <c r="D93" s="902">
        <f>(AA93*KFC!$B$16+KFC!$C$16)*KFC!$C$5</f>
        <v>28.730263077450008</v>
      </c>
      <c r="E93" s="898">
        <f>(AB93*KFC!$B$16+KFC!$C$16)*KFC!$C$5</f>
        <v>32.028410575140398</v>
      </c>
      <c r="F93" s="898">
        <f>(AC93*KFC!$B$16+KFC!$C$16)*KFC!$C$5</f>
        <v>35.326558072830785</v>
      </c>
      <c r="G93" s="898">
        <f>(AD93*KFC!$B$16+KFC!$C$16)*KFC!$C$5</f>
        <v>38.624705570521179</v>
      </c>
      <c r="H93" s="898">
        <f>(AE93*KFC!$B$16+KFC!$C$16)*KFC!$C$5</f>
        <v>41.922853068211573</v>
      </c>
      <c r="I93" s="898">
        <f>(AF93*KFC!$B$16+KFC!$C$16)*KFC!$C$5</f>
        <v>45.22100056590196</v>
      </c>
      <c r="J93" s="898">
        <f>(AG93*KFC!$B$16+KFC!$C$16)*KFC!$C$5</f>
        <v>48.519148063592347</v>
      </c>
      <c r="K93" s="898">
        <f>(AH93*KFC!$B$16+KFC!$C$16)*KFC!$C$5</f>
        <v>51.817295561282748</v>
      </c>
      <c r="L93" s="898">
        <f>(AI93*KFC!$B$16+KFC!$C$16)*KFC!$C$5</f>
        <v>55.115443058973135</v>
      </c>
      <c r="M93" s="898">
        <f>(AJ93*KFC!$B$16+KFC!$C$16)*KFC!$C$5</f>
        <v>58.413590556663529</v>
      </c>
      <c r="N93" s="898">
        <f>(AK93*KFC!$B$16+KFC!$C$16)*KFC!$C$5</f>
        <v>61.711738054353916</v>
      </c>
      <c r="O93" s="898">
        <f>(AL93*KFC!$B$16+KFC!$C$16)*KFC!$C$5</f>
        <v>65.00988555204431</v>
      </c>
      <c r="P93" s="898">
        <f>(AM93*KFC!$B$16+KFC!$C$16)*KFC!$C$5</f>
        <v>68.308033049734703</v>
      </c>
      <c r="Q93" s="898">
        <f>(AN93*KFC!$B$16+KFC!$C$16)*KFC!$C$5</f>
        <v>71.606180547425097</v>
      </c>
      <c r="R93" s="898">
        <f>(AO93*KFC!$B$16+KFC!$C$16)*KFC!$C$5</f>
        <v>74.904328045115491</v>
      </c>
      <c r="S93" s="898">
        <f>(AP93*KFC!$B$16+KFC!$C$16)*KFC!$C$5</f>
        <v>78.202475542805885</v>
      </c>
      <c r="T93" s="898">
        <f>(AQ93*KFC!$B$16+KFC!$C$16)*KFC!$C$5</f>
        <v>81.500623040496293</v>
      </c>
      <c r="U93" s="898">
        <f>(AR93*KFC!$B$16+KFC!$C$16)*KFC!$C$5</f>
        <v>84.798770538186687</v>
      </c>
      <c r="V93" s="898">
        <f>(AS93*KFC!$B$16+KFC!$C$16)*KFC!$C$5</f>
        <v>88.096918035877096</v>
      </c>
      <c r="W93" s="903">
        <f>(AT93*KFC!$B$16+KFC!$C$16)*KFC!$C$5</f>
        <v>91.395065533567475</v>
      </c>
      <c r="Y93" s="1431"/>
      <c r="Z93" s="649">
        <v>1.2</v>
      </c>
      <c r="AA93" s="882">
        <v>28.730263077450008</v>
      </c>
      <c r="AB93" s="882">
        <v>32.028410575140398</v>
      </c>
      <c r="AC93" s="882">
        <v>35.326558072830785</v>
      </c>
      <c r="AD93" s="882">
        <v>38.624705570521179</v>
      </c>
      <c r="AE93" s="882">
        <v>41.922853068211573</v>
      </c>
      <c r="AF93" s="882">
        <v>45.22100056590196</v>
      </c>
      <c r="AG93" s="882">
        <v>48.519148063592347</v>
      </c>
      <c r="AH93" s="882">
        <v>51.817295561282748</v>
      </c>
      <c r="AI93" s="882">
        <v>55.115443058973135</v>
      </c>
      <c r="AJ93" s="882">
        <v>58.413590556663529</v>
      </c>
      <c r="AK93" s="882">
        <v>61.711738054353916</v>
      </c>
      <c r="AL93" s="882">
        <v>65.00988555204431</v>
      </c>
      <c r="AM93" s="882">
        <v>68.308033049734703</v>
      </c>
      <c r="AN93" s="882">
        <v>71.606180547425097</v>
      </c>
      <c r="AO93" s="882">
        <v>74.904328045115491</v>
      </c>
      <c r="AP93" s="882">
        <v>78.202475542805885</v>
      </c>
      <c r="AQ93" s="882">
        <v>81.500623040496293</v>
      </c>
      <c r="AR93" s="882">
        <v>84.798770538186687</v>
      </c>
      <c r="AS93" s="882">
        <v>88.096918035877096</v>
      </c>
      <c r="AT93" s="882">
        <v>91.395065533567475</v>
      </c>
    </row>
    <row r="94" spans="1:46">
      <c r="A94" s="1426"/>
      <c r="B94" s="1427"/>
      <c r="C94" s="887">
        <v>1.3</v>
      </c>
      <c r="D94" s="902">
        <f>(AA94*KFC!$B$16+KFC!$C$16)*KFC!$C$5</f>
        <v>29.315986760020508</v>
      </c>
      <c r="E94" s="898">
        <f>(AB94*KFC!$B$16+KFC!$C$16)*KFC!$C$5</f>
        <v>32.756473246232019</v>
      </c>
      <c r="F94" s="898">
        <f>(AC94*KFC!$B$16+KFC!$C$16)*KFC!$C$5</f>
        <v>36.196959732443531</v>
      </c>
      <c r="G94" s="898">
        <f>(AD94*KFC!$B$16+KFC!$C$16)*KFC!$C$5</f>
        <v>39.637446218655043</v>
      </c>
      <c r="H94" s="898">
        <f>(AE94*KFC!$B$16+KFC!$C$16)*KFC!$C$5</f>
        <v>43.077932704866555</v>
      </c>
      <c r="I94" s="898">
        <f>(AF94*KFC!$B$16+KFC!$C$16)*KFC!$C$5</f>
        <v>46.518419191078067</v>
      </c>
      <c r="J94" s="898">
        <f>(AG94*KFC!$B$16+KFC!$C$16)*KFC!$C$5</f>
        <v>49.958905677289572</v>
      </c>
      <c r="K94" s="898">
        <f>(AH94*KFC!$B$16+KFC!$C$16)*KFC!$C$5</f>
        <v>53.399392163501091</v>
      </c>
      <c r="L94" s="898">
        <f>(AI94*KFC!$B$16+KFC!$C$16)*KFC!$C$5</f>
        <v>56.839878649712603</v>
      </c>
      <c r="M94" s="898">
        <f>(AJ94*KFC!$B$16+KFC!$C$16)*KFC!$C$5</f>
        <v>60.280365135924114</v>
      </c>
      <c r="N94" s="898">
        <f>(AK94*KFC!$B$16+KFC!$C$16)*KFC!$C$5</f>
        <v>63.720851622135619</v>
      </c>
      <c r="O94" s="898">
        <f>(AL94*KFC!$B$16+KFC!$C$16)*KFC!$C$5</f>
        <v>67.161338108347124</v>
      </c>
      <c r="P94" s="898">
        <f>(AM94*KFC!$B$16+KFC!$C$16)*KFC!$C$5</f>
        <v>70.601824594558636</v>
      </c>
      <c r="Q94" s="898">
        <f>(AN94*KFC!$B$16+KFC!$C$16)*KFC!$C$5</f>
        <v>74.042311080770162</v>
      </c>
      <c r="R94" s="898">
        <f>(AO94*KFC!$B$16+KFC!$C$16)*KFC!$C$5</f>
        <v>77.482797566981674</v>
      </c>
      <c r="S94" s="898">
        <f>(AP94*KFC!$B$16+KFC!$C$16)*KFC!$C$5</f>
        <v>80.923284053193171</v>
      </c>
      <c r="T94" s="898">
        <f>(AQ94*KFC!$B$16+KFC!$C$16)*KFC!$C$5</f>
        <v>84.363770539404683</v>
      </c>
      <c r="U94" s="898">
        <f>(AR94*KFC!$B$16+KFC!$C$16)*KFC!$C$5</f>
        <v>87.804257025616195</v>
      </c>
      <c r="V94" s="898">
        <f>(AS94*KFC!$B$16+KFC!$C$16)*KFC!$C$5</f>
        <v>91.244743511827707</v>
      </c>
      <c r="W94" s="903">
        <f>(AT94*KFC!$B$16+KFC!$C$16)*KFC!$C$5</f>
        <v>94.685229998039219</v>
      </c>
      <c r="Y94" s="1431"/>
      <c r="Z94" s="649">
        <v>1.3</v>
      </c>
      <c r="AA94" s="882">
        <v>29.315986760020508</v>
      </c>
      <c r="AB94" s="882">
        <v>32.756473246232019</v>
      </c>
      <c r="AC94" s="882">
        <v>36.196959732443531</v>
      </c>
      <c r="AD94" s="882">
        <v>39.637446218655043</v>
      </c>
      <c r="AE94" s="882">
        <v>43.077932704866555</v>
      </c>
      <c r="AF94" s="882">
        <v>46.518419191078067</v>
      </c>
      <c r="AG94" s="882">
        <v>49.958905677289572</v>
      </c>
      <c r="AH94" s="882">
        <v>53.399392163501091</v>
      </c>
      <c r="AI94" s="882">
        <v>56.839878649712603</v>
      </c>
      <c r="AJ94" s="882">
        <v>60.280365135924114</v>
      </c>
      <c r="AK94" s="882">
        <v>63.720851622135619</v>
      </c>
      <c r="AL94" s="882">
        <v>67.161338108347124</v>
      </c>
      <c r="AM94" s="882">
        <v>70.601824594558636</v>
      </c>
      <c r="AN94" s="882">
        <v>74.042311080770162</v>
      </c>
      <c r="AO94" s="882">
        <v>77.482797566981674</v>
      </c>
      <c r="AP94" s="882">
        <v>80.923284053193171</v>
      </c>
      <c r="AQ94" s="882">
        <v>84.363770539404683</v>
      </c>
      <c r="AR94" s="882">
        <v>87.804257025616195</v>
      </c>
      <c r="AS94" s="882">
        <v>91.244743511827707</v>
      </c>
      <c r="AT94" s="882">
        <v>94.685229998039219</v>
      </c>
    </row>
    <row r="95" spans="1:46">
      <c r="A95" s="1426"/>
      <c r="B95" s="1427"/>
      <c r="C95" s="887">
        <v>1.4</v>
      </c>
      <c r="D95" s="902">
        <f>(AA95*KFC!$B$16+KFC!$C$16)*KFC!$C$5</f>
        <v>29.901710442591007</v>
      </c>
      <c r="E95" s="898">
        <f>(AB95*KFC!$B$16+KFC!$C$16)*KFC!$C$5</f>
        <v>33.48453591732364</v>
      </c>
      <c r="F95" s="898">
        <f>(AC95*KFC!$B$16+KFC!$C$16)*KFC!$C$5</f>
        <v>37.06736139205627</v>
      </c>
      <c r="G95" s="898">
        <f>(AD95*KFC!$B$16+KFC!$C$16)*KFC!$C$5</f>
        <v>40.6501868667889</v>
      </c>
      <c r="H95" s="898">
        <f>(AE95*KFC!$B$16+KFC!$C$16)*KFC!$C$5</f>
        <v>44.23301234152153</v>
      </c>
      <c r="I95" s="898">
        <f>(AF95*KFC!$B$16+KFC!$C$16)*KFC!$C$5</f>
        <v>47.815837816254167</v>
      </c>
      <c r="J95" s="898">
        <f>(AG95*KFC!$B$16+KFC!$C$16)*KFC!$C$5</f>
        <v>51.398663290986796</v>
      </c>
      <c r="K95" s="898">
        <f>(AH95*KFC!$B$16+KFC!$C$16)*KFC!$C$5</f>
        <v>54.981488765719426</v>
      </c>
      <c r="L95" s="898">
        <f>(AI95*KFC!$B$16+KFC!$C$16)*KFC!$C$5</f>
        <v>58.564314240452063</v>
      </c>
      <c r="M95" s="898">
        <f>(AJ95*KFC!$B$16+KFC!$C$16)*KFC!$C$5</f>
        <v>62.147139715184686</v>
      </c>
      <c r="N95" s="898">
        <f>(AK95*KFC!$B$16+KFC!$C$16)*KFC!$C$5</f>
        <v>65.729965189917309</v>
      </c>
      <c r="O95" s="898">
        <f>(AL95*KFC!$B$16+KFC!$C$16)*KFC!$C$5</f>
        <v>69.312790664649953</v>
      </c>
      <c r="P95" s="898">
        <f>(AM95*KFC!$B$16+KFC!$C$16)*KFC!$C$5</f>
        <v>72.895616139382568</v>
      </c>
      <c r="Q95" s="898">
        <f>(AN95*KFC!$B$16+KFC!$C$16)*KFC!$C$5</f>
        <v>76.478441614115198</v>
      </c>
      <c r="R95" s="898">
        <f>(AO95*KFC!$B$16+KFC!$C$16)*KFC!$C$5</f>
        <v>80.061267088847814</v>
      </c>
      <c r="S95" s="898">
        <f>(AP95*KFC!$B$16+KFC!$C$16)*KFC!$C$5</f>
        <v>83.644092563580443</v>
      </c>
      <c r="T95" s="898">
        <f>(AQ95*KFC!$B$16+KFC!$C$16)*KFC!$C$5</f>
        <v>87.226918038313073</v>
      </c>
      <c r="U95" s="898">
        <f>(AR95*KFC!$B$16+KFC!$C$16)*KFC!$C$5</f>
        <v>90.809743513045703</v>
      </c>
      <c r="V95" s="898">
        <f>(AS95*KFC!$B$16+KFC!$C$16)*KFC!$C$5</f>
        <v>94.392568987778319</v>
      </c>
      <c r="W95" s="903">
        <f>(AT95*KFC!$B$16+KFC!$C$16)*KFC!$C$5</f>
        <v>97.975394462510963</v>
      </c>
      <c r="Y95" s="1431"/>
      <c r="Z95" s="649">
        <v>1.4</v>
      </c>
      <c r="AA95" s="882">
        <v>29.901710442591007</v>
      </c>
      <c r="AB95" s="882">
        <v>33.48453591732364</v>
      </c>
      <c r="AC95" s="882">
        <v>37.06736139205627</v>
      </c>
      <c r="AD95" s="882">
        <v>40.6501868667889</v>
      </c>
      <c r="AE95" s="882">
        <v>44.23301234152153</v>
      </c>
      <c r="AF95" s="882">
        <v>47.815837816254167</v>
      </c>
      <c r="AG95" s="882">
        <v>51.398663290986796</v>
      </c>
      <c r="AH95" s="882">
        <v>54.981488765719426</v>
      </c>
      <c r="AI95" s="882">
        <v>58.564314240452063</v>
      </c>
      <c r="AJ95" s="882">
        <v>62.147139715184686</v>
      </c>
      <c r="AK95" s="882">
        <v>65.729965189917309</v>
      </c>
      <c r="AL95" s="882">
        <v>69.312790664649953</v>
      </c>
      <c r="AM95" s="882">
        <v>72.895616139382568</v>
      </c>
      <c r="AN95" s="882">
        <v>76.478441614115198</v>
      </c>
      <c r="AO95" s="882">
        <v>80.061267088847814</v>
      </c>
      <c r="AP95" s="882">
        <v>83.644092563580443</v>
      </c>
      <c r="AQ95" s="882">
        <v>87.226918038313073</v>
      </c>
      <c r="AR95" s="882">
        <v>90.809743513045703</v>
      </c>
      <c r="AS95" s="882">
        <v>94.392568987778319</v>
      </c>
      <c r="AT95" s="882">
        <v>97.975394462510963</v>
      </c>
    </row>
    <row r="96" spans="1:46">
      <c r="A96" s="1426"/>
      <c r="B96" s="1427"/>
      <c r="C96" s="887">
        <v>1.5</v>
      </c>
      <c r="D96" s="902">
        <f>(AA96*KFC!$B$16+KFC!$C$16)*KFC!$C$5</f>
        <v>30.48743412516151</v>
      </c>
      <c r="E96" s="898">
        <f>(AB96*KFC!$B$16+KFC!$C$16)*KFC!$C$5</f>
        <v>34.212598588415254</v>
      </c>
      <c r="F96" s="898">
        <f>(AC96*KFC!$B$16+KFC!$C$16)*KFC!$C$5</f>
        <v>37.937763051669009</v>
      </c>
      <c r="G96" s="898">
        <f>(AD96*KFC!$B$16+KFC!$C$16)*KFC!$C$5</f>
        <v>41.662927514922757</v>
      </c>
      <c r="H96" s="898">
        <f>(AE96*KFC!$B$16+KFC!$C$16)*KFC!$C$5</f>
        <v>45.388091978176512</v>
      </c>
      <c r="I96" s="898">
        <f>(AF96*KFC!$B$16+KFC!$C$16)*KFC!$C$5</f>
        <v>49.113256441430259</v>
      </c>
      <c r="J96" s="898">
        <f>(AG96*KFC!$B$16+KFC!$C$16)*KFC!$C$5</f>
        <v>52.838420904684007</v>
      </c>
      <c r="K96" s="898">
        <f>(AH96*KFC!$B$16+KFC!$C$16)*KFC!$C$5</f>
        <v>56.563585367937762</v>
      </c>
      <c r="L96" s="898">
        <f>(AI96*KFC!$B$16+KFC!$C$16)*KFC!$C$5</f>
        <v>60.28874983119151</v>
      </c>
      <c r="M96" s="898">
        <f>(AJ96*KFC!$B$16+KFC!$C$16)*KFC!$C$5</f>
        <v>64.013914294445257</v>
      </c>
      <c r="N96" s="898">
        <f>(AK96*KFC!$B$16+KFC!$C$16)*KFC!$C$5</f>
        <v>67.739078757699005</v>
      </c>
      <c r="O96" s="898">
        <f>(AL96*KFC!$B$16+KFC!$C$16)*KFC!$C$5</f>
        <v>71.464243220952753</v>
      </c>
      <c r="P96" s="898">
        <f>(AM96*KFC!$B$16+KFC!$C$16)*KFC!$C$5</f>
        <v>75.189407684206515</v>
      </c>
      <c r="Q96" s="898">
        <f>(AN96*KFC!$B$16+KFC!$C$16)*KFC!$C$5</f>
        <v>78.914572147460262</v>
      </c>
      <c r="R96" s="898">
        <f>(AO96*KFC!$B$16+KFC!$C$16)*KFC!$C$5</f>
        <v>82.639736610714024</v>
      </c>
      <c r="S96" s="898">
        <f>(AP96*KFC!$B$16+KFC!$C$16)*KFC!$C$5</f>
        <v>86.364901073967772</v>
      </c>
      <c r="T96" s="898">
        <f>(AQ96*KFC!$B$16+KFC!$C$16)*KFC!$C$5</f>
        <v>90.09006553722152</v>
      </c>
      <c r="U96" s="898">
        <f>(AR96*KFC!$B$16+KFC!$C$16)*KFC!$C$5</f>
        <v>93.815230000475268</v>
      </c>
      <c r="V96" s="898">
        <f>(AS96*KFC!$B$16+KFC!$C$16)*KFC!$C$5</f>
        <v>97.540394463729015</v>
      </c>
      <c r="W96" s="903">
        <f>(AT96*KFC!$B$16+KFC!$C$16)*KFC!$C$5</f>
        <v>101.26555892698271</v>
      </c>
      <c r="Y96" s="1431"/>
      <c r="Z96" s="649">
        <v>1.5</v>
      </c>
      <c r="AA96" s="882">
        <v>30.48743412516151</v>
      </c>
      <c r="AB96" s="882">
        <v>34.212598588415254</v>
      </c>
      <c r="AC96" s="882">
        <v>37.937763051669009</v>
      </c>
      <c r="AD96" s="882">
        <v>41.662927514922757</v>
      </c>
      <c r="AE96" s="882">
        <v>45.388091978176512</v>
      </c>
      <c r="AF96" s="882">
        <v>49.113256441430259</v>
      </c>
      <c r="AG96" s="882">
        <v>52.838420904684007</v>
      </c>
      <c r="AH96" s="882">
        <v>56.563585367937762</v>
      </c>
      <c r="AI96" s="882">
        <v>60.28874983119151</v>
      </c>
      <c r="AJ96" s="882">
        <v>64.013914294445257</v>
      </c>
      <c r="AK96" s="882">
        <v>67.739078757699005</v>
      </c>
      <c r="AL96" s="882">
        <v>71.464243220952753</v>
      </c>
      <c r="AM96" s="882">
        <v>75.189407684206515</v>
      </c>
      <c r="AN96" s="882">
        <v>78.914572147460262</v>
      </c>
      <c r="AO96" s="882">
        <v>82.639736610714024</v>
      </c>
      <c r="AP96" s="882">
        <v>86.364901073967772</v>
      </c>
      <c r="AQ96" s="882">
        <v>90.09006553722152</v>
      </c>
      <c r="AR96" s="882">
        <v>93.815230000475268</v>
      </c>
      <c r="AS96" s="882">
        <v>97.540394463729015</v>
      </c>
      <c r="AT96" s="882">
        <v>101.26555892698271</v>
      </c>
    </row>
    <row r="97" spans="1:46">
      <c r="A97" s="1426"/>
      <c r="B97" s="1427"/>
      <c r="C97" s="887">
        <v>1.6</v>
      </c>
      <c r="D97" s="902">
        <f>(AA97*KFC!$B$16+KFC!$C$16)*KFC!$C$5</f>
        <v>31.073157807732009</v>
      </c>
      <c r="E97" s="898">
        <f>(AB97*KFC!$B$16+KFC!$C$16)*KFC!$C$5</f>
        <v>34.940661259506875</v>
      </c>
      <c r="F97" s="898">
        <f>(AC97*KFC!$B$16+KFC!$C$16)*KFC!$C$5</f>
        <v>38.808164711281741</v>
      </c>
      <c r="G97" s="898">
        <f>(AD97*KFC!$B$16+KFC!$C$16)*KFC!$C$5</f>
        <v>42.675668163056613</v>
      </c>
      <c r="H97" s="898">
        <f>(AE97*KFC!$B$16+KFC!$C$16)*KFC!$C$5</f>
        <v>46.543171614831472</v>
      </c>
      <c r="I97" s="898">
        <f>(AF97*KFC!$B$16+KFC!$C$16)*KFC!$C$5</f>
        <v>50.410675066606338</v>
      </c>
      <c r="J97" s="898">
        <f>(AG97*KFC!$B$16+KFC!$C$16)*KFC!$C$5</f>
        <v>54.278178518381203</v>
      </c>
      <c r="K97" s="898">
        <f>(AH97*KFC!$B$16+KFC!$C$16)*KFC!$C$5</f>
        <v>58.145681970156062</v>
      </c>
      <c r="L97" s="898">
        <f>(AI97*KFC!$B$16+KFC!$C$16)*KFC!$C$5</f>
        <v>62.013185421930928</v>
      </c>
      <c r="M97" s="898">
        <f>(AJ97*KFC!$B$16+KFC!$C$16)*KFC!$C$5</f>
        <v>65.880688873705793</v>
      </c>
      <c r="N97" s="898">
        <f>(AK97*KFC!$B$16+KFC!$C$16)*KFC!$C$5</f>
        <v>69.748192325480659</v>
      </c>
      <c r="O97" s="898">
        <f>(AL97*KFC!$B$16+KFC!$C$16)*KFC!$C$5</f>
        <v>73.615695777255524</v>
      </c>
      <c r="P97" s="898">
        <f>(AM97*KFC!$B$16+KFC!$C$16)*KFC!$C$5</f>
        <v>77.48319922903039</v>
      </c>
      <c r="Q97" s="898">
        <f>(AN97*KFC!$B$16+KFC!$C$16)*KFC!$C$5</f>
        <v>81.350702680805256</v>
      </c>
      <c r="R97" s="898">
        <f>(AO97*KFC!$B$16+KFC!$C$16)*KFC!$C$5</f>
        <v>85.218206132580121</v>
      </c>
      <c r="S97" s="898">
        <f>(AP97*KFC!$B$16+KFC!$C$16)*KFC!$C$5</f>
        <v>89.085709584354987</v>
      </c>
      <c r="T97" s="898">
        <f>(AQ97*KFC!$B$16+KFC!$C$16)*KFC!$C$5</f>
        <v>92.953213036129839</v>
      </c>
      <c r="U97" s="898">
        <f>(AR97*KFC!$B$16+KFC!$C$16)*KFC!$C$5</f>
        <v>96.820716487904718</v>
      </c>
      <c r="V97" s="898">
        <f>(AS97*KFC!$B$16+KFC!$C$16)*KFC!$C$5</f>
        <v>100.68821993967956</v>
      </c>
      <c r="W97" s="903">
        <f>(AT97*KFC!$B$16+KFC!$C$16)*KFC!$C$5</f>
        <v>104.55572339145448</v>
      </c>
      <c r="Y97" s="1431"/>
      <c r="Z97" s="649">
        <v>1.6</v>
      </c>
      <c r="AA97" s="882">
        <v>31.073157807732009</v>
      </c>
      <c r="AB97" s="882">
        <v>34.940661259506875</v>
      </c>
      <c r="AC97" s="882">
        <v>38.808164711281741</v>
      </c>
      <c r="AD97" s="882">
        <v>42.675668163056613</v>
      </c>
      <c r="AE97" s="882">
        <v>46.543171614831472</v>
      </c>
      <c r="AF97" s="882">
        <v>50.410675066606338</v>
      </c>
      <c r="AG97" s="882">
        <v>54.278178518381203</v>
      </c>
      <c r="AH97" s="882">
        <v>58.145681970156062</v>
      </c>
      <c r="AI97" s="882">
        <v>62.013185421930928</v>
      </c>
      <c r="AJ97" s="882">
        <v>65.880688873705793</v>
      </c>
      <c r="AK97" s="882">
        <v>69.748192325480659</v>
      </c>
      <c r="AL97" s="882">
        <v>73.615695777255524</v>
      </c>
      <c r="AM97" s="882">
        <v>77.48319922903039</v>
      </c>
      <c r="AN97" s="882">
        <v>81.350702680805256</v>
      </c>
      <c r="AO97" s="882">
        <v>85.218206132580121</v>
      </c>
      <c r="AP97" s="882">
        <v>89.085709584354987</v>
      </c>
      <c r="AQ97" s="882">
        <v>92.953213036129839</v>
      </c>
      <c r="AR97" s="882">
        <v>96.820716487904718</v>
      </c>
      <c r="AS97" s="882">
        <v>100.68821993967956</v>
      </c>
      <c r="AT97" s="882">
        <v>104.55572339145448</v>
      </c>
    </row>
    <row r="98" spans="1:46">
      <c r="A98" s="1426"/>
      <c r="B98" s="1427"/>
      <c r="C98" s="887">
        <v>1.7</v>
      </c>
      <c r="D98" s="902">
        <f>(AA98*KFC!$B$16+KFC!$C$16)*KFC!$C$5</f>
        <v>31.658881490302509</v>
      </c>
      <c r="E98" s="898">
        <f>(AB98*KFC!$B$16+KFC!$C$16)*KFC!$C$5</f>
        <v>35.668723930598489</v>
      </c>
      <c r="F98" s="898">
        <f>(AC98*KFC!$B$16+KFC!$C$16)*KFC!$C$5</f>
        <v>39.67856637089448</v>
      </c>
      <c r="G98" s="898">
        <f>(AD98*KFC!$B$16+KFC!$C$16)*KFC!$C$5</f>
        <v>43.688408811190463</v>
      </c>
      <c r="H98" s="898">
        <f>(AE98*KFC!$B$16+KFC!$C$16)*KFC!$C$5</f>
        <v>47.698251251486447</v>
      </c>
      <c r="I98" s="898">
        <f>(AF98*KFC!$B$16+KFC!$C$16)*KFC!$C$5</f>
        <v>51.70809369178243</v>
      </c>
      <c r="J98" s="898">
        <f>(AG98*KFC!$B$16+KFC!$C$16)*KFC!$C$5</f>
        <v>55.717936132078421</v>
      </c>
      <c r="K98" s="898">
        <f>(AH98*KFC!$B$16+KFC!$C$16)*KFC!$C$5</f>
        <v>59.727778572374397</v>
      </c>
      <c r="L98" s="898">
        <f>(AI98*KFC!$B$16+KFC!$C$16)*KFC!$C$5</f>
        <v>63.737621012670381</v>
      </c>
      <c r="M98" s="898">
        <f>(AJ98*KFC!$B$16+KFC!$C$16)*KFC!$C$5</f>
        <v>67.747463452966358</v>
      </c>
      <c r="N98" s="898">
        <f>(AK98*KFC!$B$16+KFC!$C$16)*KFC!$C$5</f>
        <v>71.757305893262327</v>
      </c>
      <c r="O98" s="898">
        <f>(AL98*KFC!$B$16+KFC!$C$16)*KFC!$C$5</f>
        <v>75.76714833355831</v>
      </c>
      <c r="P98" s="898">
        <f>(AM98*KFC!$B$16+KFC!$C$16)*KFC!$C$5</f>
        <v>79.77699077385428</v>
      </c>
      <c r="Q98" s="898">
        <f>(AN98*KFC!$B$16+KFC!$C$16)*KFC!$C$5</f>
        <v>83.786833214150263</v>
      </c>
      <c r="R98" s="898">
        <f>(AO98*KFC!$B$16+KFC!$C$16)*KFC!$C$5</f>
        <v>87.796675654446233</v>
      </c>
      <c r="S98" s="898">
        <f>(AP98*KFC!$B$16+KFC!$C$16)*KFC!$C$5</f>
        <v>91.806518094742216</v>
      </c>
      <c r="T98" s="898">
        <f>(AQ98*KFC!$B$16+KFC!$C$16)*KFC!$C$5</f>
        <v>95.8163605350382</v>
      </c>
      <c r="U98" s="898">
        <f>(AR98*KFC!$B$16+KFC!$C$16)*KFC!$C$5</f>
        <v>99.826202975334169</v>
      </c>
      <c r="V98" s="898">
        <f>(AS98*KFC!$B$16+KFC!$C$16)*KFC!$C$5</f>
        <v>103.83604541563014</v>
      </c>
      <c r="W98" s="903">
        <f>(AT98*KFC!$B$16+KFC!$C$16)*KFC!$C$5</f>
        <v>107.84588785592622</v>
      </c>
      <c r="Y98" s="1431"/>
      <c r="Z98" s="649">
        <v>1.7</v>
      </c>
      <c r="AA98" s="882">
        <v>31.658881490302509</v>
      </c>
      <c r="AB98" s="882">
        <v>35.668723930598489</v>
      </c>
      <c r="AC98" s="882">
        <v>39.67856637089448</v>
      </c>
      <c r="AD98" s="882">
        <v>43.688408811190463</v>
      </c>
      <c r="AE98" s="882">
        <v>47.698251251486447</v>
      </c>
      <c r="AF98" s="882">
        <v>51.70809369178243</v>
      </c>
      <c r="AG98" s="882">
        <v>55.717936132078421</v>
      </c>
      <c r="AH98" s="882">
        <v>59.727778572374397</v>
      </c>
      <c r="AI98" s="882">
        <v>63.737621012670381</v>
      </c>
      <c r="AJ98" s="882">
        <v>67.747463452966358</v>
      </c>
      <c r="AK98" s="882">
        <v>71.757305893262327</v>
      </c>
      <c r="AL98" s="882">
        <v>75.76714833355831</v>
      </c>
      <c r="AM98" s="882">
        <v>79.77699077385428</v>
      </c>
      <c r="AN98" s="882">
        <v>83.786833214150263</v>
      </c>
      <c r="AO98" s="882">
        <v>87.796675654446233</v>
      </c>
      <c r="AP98" s="882">
        <v>91.806518094742216</v>
      </c>
      <c r="AQ98" s="882">
        <v>95.8163605350382</v>
      </c>
      <c r="AR98" s="882">
        <v>99.826202975334169</v>
      </c>
      <c r="AS98" s="882">
        <v>103.83604541563014</v>
      </c>
      <c r="AT98" s="882">
        <v>107.84588785592622</v>
      </c>
    </row>
    <row r="99" spans="1:46">
      <c r="A99" s="1426"/>
      <c r="B99" s="1427"/>
      <c r="C99" s="887">
        <v>1.8</v>
      </c>
      <c r="D99" s="902">
        <f>(AA99*KFC!$B$16+KFC!$C$16)*KFC!$C$5</f>
        <v>32.244605172873015</v>
      </c>
      <c r="E99" s="898">
        <f>(AB99*KFC!$B$16+KFC!$C$16)*KFC!$C$5</f>
        <v>36.396786601690117</v>
      </c>
      <c r="F99" s="898">
        <f>(AC99*KFC!$B$16+KFC!$C$16)*KFC!$C$5</f>
        <v>40.548968030507218</v>
      </c>
      <c r="G99" s="898">
        <f>(AD99*KFC!$B$16+KFC!$C$16)*KFC!$C$5</f>
        <v>44.70114945932432</v>
      </c>
      <c r="H99" s="898">
        <f>(AE99*KFC!$B$16+KFC!$C$16)*KFC!$C$5</f>
        <v>48.853330888141429</v>
      </c>
      <c r="I99" s="898">
        <f>(AF99*KFC!$B$16+KFC!$C$16)*KFC!$C$5</f>
        <v>53.00551231695853</v>
      </c>
      <c r="J99" s="898">
        <f>(AG99*KFC!$B$16+KFC!$C$16)*KFC!$C$5</f>
        <v>57.157693745775632</v>
      </c>
      <c r="K99" s="898">
        <f>(AH99*KFC!$B$16+KFC!$C$16)*KFC!$C$5</f>
        <v>61.309875174592733</v>
      </c>
      <c r="L99" s="898">
        <f>(AI99*KFC!$B$16+KFC!$C$16)*KFC!$C$5</f>
        <v>65.462056603409835</v>
      </c>
      <c r="M99" s="898">
        <f>(AJ99*KFC!$B$16+KFC!$C$16)*KFC!$C$5</f>
        <v>69.614238032226936</v>
      </c>
      <c r="N99" s="898">
        <f>(AK99*KFC!$B$16+KFC!$C$16)*KFC!$C$5</f>
        <v>73.766419461044038</v>
      </c>
      <c r="O99" s="898">
        <f>(AL99*KFC!$B$16+KFC!$C$16)*KFC!$C$5</f>
        <v>77.918600889861139</v>
      </c>
      <c r="P99" s="898">
        <f>(AM99*KFC!$B$16+KFC!$C$16)*KFC!$C$5</f>
        <v>82.070782318678255</v>
      </c>
      <c r="Q99" s="898">
        <f>(AN99*KFC!$B$16+KFC!$C$16)*KFC!$C$5</f>
        <v>86.222963747495371</v>
      </c>
      <c r="R99" s="898">
        <f>(AO99*KFC!$B$16+KFC!$C$16)*KFC!$C$5</f>
        <v>90.375145176312458</v>
      </c>
      <c r="S99" s="898">
        <f>(AP99*KFC!$B$16+KFC!$C$16)*KFC!$C$5</f>
        <v>94.527326605129545</v>
      </c>
      <c r="T99" s="898">
        <f>(AQ99*KFC!$B$16+KFC!$C$16)*KFC!$C$5</f>
        <v>98.679508033946661</v>
      </c>
      <c r="U99" s="898">
        <f>(AR99*KFC!$B$16+KFC!$C$16)*KFC!$C$5</f>
        <v>102.83168946276378</v>
      </c>
      <c r="V99" s="898">
        <f>(AS99*KFC!$B$16+KFC!$C$16)*KFC!$C$5</f>
        <v>106.98387089158086</v>
      </c>
      <c r="W99" s="903">
        <f>(AT99*KFC!$B$16+KFC!$C$16)*KFC!$C$5</f>
        <v>111.13605232039797</v>
      </c>
      <c r="Y99" s="1431"/>
      <c r="Z99" s="649">
        <v>1.8</v>
      </c>
      <c r="AA99" s="882">
        <v>32.244605172873015</v>
      </c>
      <c r="AB99" s="882">
        <v>36.396786601690117</v>
      </c>
      <c r="AC99" s="882">
        <v>40.548968030507218</v>
      </c>
      <c r="AD99" s="882">
        <v>44.70114945932432</v>
      </c>
      <c r="AE99" s="882">
        <v>48.853330888141429</v>
      </c>
      <c r="AF99" s="882">
        <v>53.00551231695853</v>
      </c>
      <c r="AG99" s="882">
        <v>57.157693745775632</v>
      </c>
      <c r="AH99" s="882">
        <v>61.309875174592733</v>
      </c>
      <c r="AI99" s="882">
        <v>65.462056603409835</v>
      </c>
      <c r="AJ99" s="882">
        <v>69.614238032226936</v>
      </c>
      <c r="AK99" s="882">
        <v>73.766419461044038</v>
      </c>
      <c r="AL99" s="882">
        <v>77.918600889861139</v>
      </c>
      <c r="AM99" s="882">
        <v>82.070782318678255</v>
      </c>
      <c r="AN99" s="882">
        <v>86.222963747495371</v>
      </c>
      <c r="AO99" s="882">
        <v>90.375145176312458</v>
      </c>
      <c r="AP99" s="882">
        <v>94.527326605129545</v>
      </c>
      <c r="AQ99" s="882">
        <v>98.679508033946661</v>
      </c>
      <c r="AR99" s="882">
        <v>102.83168946276378</v>
      </c>
      <c r="AS99" s="882">
        <v>106.98387089158086</v>
      </c>
      <c r="AT99" s="882">
        <v>111.13605232039797</v>
      </c>
    </row>
    <row r="100" spans="1:46">
      <c r="A100" s="1426"/>
      <c r="B100" s="1427"/>
      <c r="C100" s="887">
        <v>1.9</v>
      </c>
      <c r="D100" s="902">
        <f>(AA100*KFC!$B$16+KFC!$C$16)*KFC!$C$5</f>
        <v>32.830328855443511</v>
      </c>
      <c r="E100" s="898">
        <f>(AB100*KFC!$B$16+KFC!$C$16)*KFC!$C$5</f>
        <v>37.124849272781731</v>
      </c>
      <c r="F100" s="898">
        <f>(AC100*KFC!$B$16+KFC!$C$16)*KFC!$C$5</f>
        <v>41.41936969011995</v>
      </c>
      <c r="G100" s="898">
        <f>(AD100*KFC!$B$16+KFC!$C$16)*KFC!$C$5</f>
        <v>45.71389010745817</v>
      </c>
      <c r="H100" s="898">
        <f>(AE100*KFC!$B$16+KFC!$C$16)*KFC!$C$5</f>
        <v>50.008410524796403</v>
      </c>
      <c r="I100" s="898">
        <f>(AF100*KFC!$B$16+KFC!$C$16)*KFC!$C$5</f>
        <v>54.302930942134623</v>
      </c>
      <c r="J100" s="898">
        <f>(AG100*KFC!$B$16+KFC!$C$16)*KFC!$C$5</f>
        <v>58.597451359472842</v>
      </c>
      <c r="K100" s="898">
        <f>(AH100*KFC!$B$16+KFC!$C$16)*KFC!$C$5</f>
        <v>62.891971776811076</v>
      </c>
      <c r="L100" s="898">
        <f>(AI100*KFC!$B$16+KFC!$C$16)*KFC!$C$5</f>
        <v>67.186492194149295</v>
      </c>
      <c r="M100" s="898">
        <f>(AJ100*KFC!$B$16+KFC!$C$16)*KFC!$C$5</f>
        <v>71.481012611487515</v>
      </c>
      <c r="N100" s="898">
        <f>(AK100*KFC!$B$16+KFC!$C$16)*KFC!$C$5</f>
        <v>75.775533028825734</v>
      </c>
      <c r="O100" s="898">
        <f>(AL100*KFC!$B$16+KFC!$C$16)*KFC!$C$5</f>
        <v>80.070053446163939</v>
      </c>
      <c r="P100" s="898">
        <f>(AM100*KFC!$B$16+KFC!$C$16)*KFC!$C$5</f>
        <v>84.364573863502159</v>
      </c>
      <c r="Q100" s="898">
        <f>(AN100*KFC!$B$16+KFC!$C$16)*KFC!$C$5</f>
        <v>88.659094280840378</v>
      </c>
      <c r="R100" s="898">
        <f>(AO100*KFC!$B$16+KFC!$C$16)*KFC!$C$5</f>
        <v>92.953614698178598</v>
      </c>
      <c r="S100" s="898">
        <f>(AP100*KFC!$B$16+KFC!$C$16)*KFC!$C$5</f>
        <v>97.248135115516803</v>
      </c>
      <c r="T100" s="898">
        <f>(AQ100*KFC!$B$16+KFC!$C$16)*KFC!$C$5</f>
        <v>101.54265553285502</v>
      </c>
      <c r="U100" s="898">
        <f>(AR100*KFC!$B$16+KFC!$C$16)*KFC!$C$5</f>
        <v>105.83717595019324</v>
      </c>
      <c r="V100" s="898">
        <f>(AS100*KFC!$B$16+KFC!$C$16)*KFC!$C$5</f>
        <v>110.13169636753148</v>
      </c>
      <c r="W100" s="903">
        <f>(AT100*KFC!$B$16+KFC!$C$16)*KFC!$C$5</f>
        <v>114.42621678486971</v>
      </c>
      <c r="Y100" s="1431"/>
      <c r="Z100" s="649">
        <v>1.9</v>
      </c>
      <c r="AA100" s="882">
        <v>32.830328855443511</v>
      </c>
      <c r="AB100" s="882">
        <v>37.124849272781731</v>
      </c>
      <c r="AC100" s="882">
        <v>41.41936969011995</v>
      </c>
      <c r="AD100" s="882">
        <v>45.71389010745817</v>
      </c>
      <c r="AE100" s="882">
        <v>50.008410524796403</v>
      </c>
      <c r="AF100" s="882">
        <v>54.302930942134623</v>
      </c>
      <c r="AG100" s="882">
        <v>58.597451359472842</v>
      </c>
      <c r="AH100" s="882">
        <v>62.891971776811076</v>
      </c>
      <c r="AI100" s="882">
        <v>67.186492194149295</v>
      </c>
      <c r="AJ100" s="882">
        <v>71.481012611487515</v>
      </c>
      <c r="AK100" s="882">
        <v>75.775533028825734</v>
      </c>
      <c r="AL100" s="882">
        <v>80.070053446163939</v>
      </c>
      <c r="AM100" s="882">
        <v>84.364573863502159</v>
      </c>
      <c r="AN100" s="882">
        <v>88.659094280840378</v>
      </c>
      <c r="AO100" s="882">
        <v>92.953614698178598</v>
      </c>
      <c r="AP100" s="882">
        <v>97.248135115516803</v>
      </c>
      <c r="AQ100" s="882">
        <v>101.54265553285502</v>
      </c>
      <c r="AR100" s="882">
        <v>105.83717595019324</v>
      </c>
      <c r="AS100" s="882">
        <v>110.13169636753148</v>
      </c>
      <c r="AT100" s="882">
        <v>114.42621678486971</v>
      </c>
    </row>
    <row r="101" spans="1:46">
      <c r="A101" s="1426"/>
      <c r="B101" s="1427"/>
      <c r="C101" s="887">
        <v>2</v>
      </c>
      <c r="D101" s="902">
        <f>(AA101*KFC!$B$16+KFC!$C$16)*KFC!$C$5</f>
        <v>33.416052538014014</v>
      </c>
      <c r="E101" s="898">
        <f>(AB101*KFC!$B$16+KFC!$C$16)*KFC!$C$5</f>
        <v>37.852911943873345</v>
      </c>
      <c r="F101" s="898">
        <f>(AC101*KFC!$B$16+KFC!$C$16)*KFC!$C$5</f>
        <v>42.289771349732682</v>
      </c>
      <c r="G101" s="898">
        <f>(AD101*KFC!$B$16+KFC!$C$16)*KFC!$C$5</f>
        <v>46.726630755592026</v>
      </c>
      <c r="H101" s="898">
        <f>(AE101*KFC!$B$16+KFC!$C$16)*KFC!$C$5</f>
        <v>51.163490161451364</v>
      </c>
      <c r="I101" s="898">
        <f>(AF101*KFC!$B$16+KFC!$C$16)*KFC!$C$5</f>
        <v>55.600349567310694</v>
      </c>
      <c r="J101" s="898">
        <f>(AG101*KFC!$B$16+KFC!$C$16)*KFC!$C$5</f>
        <v>60.037208973170031</v>
      </c>
      <c r="K101" s="898">
        <f>(AH101*KFC!$B$16+KFC!$C$16)*KFC!$C$5</f>
        <v>64.474068379029376</v>
      </c>
      <c r="L101" s="898">
        <f>(AI101*KFC!$B$16+KFC!$C$16)*KFC!$C$5</f>
        <v>68.910927784888699</v>
      </c>
      <c r="M101" s="898">
        <f>(AJ101*KFC!$B$16+KFC!$C$16)*KFC!$C$5</f>
        <v>73.347787190748051</v>
      </c>
      <c r="N101" s="898">
        <f>(AK101*KFC!$B$16+KFC!$C$16)*KFC!$C$5</f>
        <v>77.784646596607402</v>
      </c>
      <c r="O101" s="898">
        <f>(AL101*KFC!$B$16+KFC!$C$16)*KFC!$C$5</f>
        <v>82.221506002466739</v>
      </c>
      <c r="P101" s="898">
        <f>(AM101*KFC!$B$16+KFC!$C$16)*KFC!$C$5</f>
        <v>86.658365408326077</v>
      </c>
      <c r="Q101" s="898">
        <f>(AN101*KFC!$B$16+KFC!$C$16)*KFC!$C$5</f>
        <v>91.095224814185414</v>
      </c>
      <c r="R101" s="898">
        <f>(AO101*KFC!$B$16+KFC!$C$16)*KFC!$C$5</f>
        <v>95.532084220044766</v>
      </c>
      <c r="S101" s="898">
        <f>(AP101*KFC!$B$16+KFC!$C$16)*KFC!$C$5</f>
        <v>99.968943625904117</v>
      </c>
      <c r="T101" s="898">
        <f>(AQ101*KFC!$B$16+KFC!$C$16)*KFC!$C$5</f>
        <v>104.40580303176344</v>
      </c>
      <c r="U101" s="898">
        <f>(AR101*KFC!$B$16+KFC!$C$16)*KFC!$C$5</f>
        <v>108.84266243762279</v>
      </c>
      <c r="V101" s="898">
        <f>(AS101*KFC!$B$16+KFC!$C$16)*KFC!$C$5</f>
        <v>113.27952184348214</v>
      </c>
      <c r="W101" s="903">
        <f>(AT101*KFC!$B$16+KFC!$C$16)*KFC!$C$5</f>
        <v>117.71638124934145</v>
      </c>
      <c r="Y101" s="1431"/>
      <c r="Z101" s="649">
        <v>2</v>
      </c>
      <c r="AA101" s="882">
        <v>33.416052538014014</v>
      </c>
      <c r="AB101" s="882">
        <v>37.852911943873345</v>
      </c>
      <c r="AC101" s="882">
        <v>42.289771349732682</v>
      </c>
      <c r="AD101" s="882">
        <v>46.726630755592026</v>
      </c>
      <c r="AE101" s="882">
        <v>51.163490161451364</v>
      </c>
      <c r="AF101" s="882">
        <v>55.600349567310694</v>
      </c>
      <c r="AG101" s="882">
        <v>60.037208973170031</v>
      </c>
      <c r="AH101" s="882">
        <v>64.474068379029376</v>
      </c>
      <c r="AI101" s="882">
        <v>68.910927784888699</v>
      </c>
      <c r="AJ101" s="882">
        <v>73.347787190748051</v>
      </c>
      <c r="AK101" s="882">
        <v>77.784646596607402</v>
      </c>
      <c r="AL101" s="882">
        <v>82.221506002466739</v>
      </c>
      <c r="AM101" s="882">
        <v>86.658365408326077</v>
      </c>
      <c r="AN101" s="882">
        <v>91.095224814185414</v>
      </c>
      <c r="AO101" s="882">
        <v>95.532084220044766</v>
      </c>
      <c r="AP101" s="882">
        <v>99.968943625904117</v>
      </c>
      <c r="AQ101" s="882">
        <v>104.40580303176344</v>
      </c>
      <c r="AR101" s="882">
        <v>108.84266243762279</v>
      </c>
      <c r="AS101" s="882">
        <v>113.27952184348214</v>
      </c>
      <c r="AT101" s="882">
        <v>117.71638124934145</v>
      </c>
    </row>
    <row r="102" spans="1:46">
      <c r="A102" s="1426"/>
      <c r="B102" s="1427"/>
      <c r="C102" s="887">
        <v>2.1</v>
      </c>
      <c r="D102" s="902">
        <f>(AA102*KFC!$B$16+KFC!$C$16)*KFC!$C$5</f>
        <v>34.001776220584517</v>
      </c>
      <c r="E102" s="898">
        <f>(AB102*KFC!$B$16+KFC!$C$16)*KFC!$C$5</f>
        <v>38.580974614964973</v>
      </c>
      <c r="F102" s="898">
        <f>(AC102*KFC!$B$16+KFC!$C$16)*KFC!$C$5</f>
        <v>43.160173009345428</v>
      </c>
      <c r="G102" s="898">
        <f>(AD102*KFC!$B$16+KFC!$C$16)*KFC!$C$5</f>
        <v>47.739371403725883</v>
      </c>
      <c r="H102" s="898">
        <f>(AE102*KFC!$B$16+KFC!$C$16)*KFC!$C$5</f>
        <v>52.318569798106338</v>
      </c>
      <c r="I102" s="898">
        <f>(AF102*KFC!$B$16+KFC!$C$16)*KFC!$C$5</f>
        <v>56.897768192486794</v>
      </c>
      <c r="J102" s="898">
        <f>(AG102*KFC!$B$16+KFC!$C$16)*KFC!$C$5</f>
        <v>61.476966586867256</v>
      </c>
      <c r="K102" s="898">
        <f>(AH102*KFC!$B$16+KFC!$C$16)*KFC!$C$5</f>
        <v>66.056164981247704</v>
      </c>
      <c r="L102" s="898">
        <f>(AI102*KFC!$B$16+KFC!$C$16)*KFC!$C$5</f>
        <v>70.63536337562816</v>
      </c>
      <c r="M102" s="898">
        <f>(AJ102*KFC!$B$16+KFC!$C$16)*KFC!$C$5</f>
        <v>75.214561770008629</v>
      </c>
      <c r="N102" s="898">
        <f>(AK102*KFC!$B$16+KFC!$C$16)*KFC!$C$5</f>
        <v>79.793760164389084</v>
      </c>
      <c r="O102" s="898">
        <f>(AL102*KFC!$B$16+KFC!$C$16)*KFC!$C$5</f>
        <v>84.372958558769525</v>
      </c>
      <c r="P102" s="898">
        <f>(AM102*KFC!$B$16+KFC!$C$16)*KFC!$C$5</f>
        <v>88.952156953149981</v>
      </c>
      <c r="Q102" s="898">
        <f>(AN102*KFC!$B$16+KFC!$C$16)*KFC!$C$5</f>
        <v>93.531355347530436</v>
      </c>
      <c r="R102" s="898">
        <f>(AO102*KFC!$B$16+KFC!$C$16)*KFC!$C$5</f>
        <v>98.110553741910891</v>
      </c>
      <c r="S102" s="898">
        <f>(AP102*KFC!$B$16+KFC!$C$16)*KFC!$C$5</f>
        <v>102.68975213629135</v>
      </c>
      <c r="T102" s="898">
        <f>(AQ102*KFC!$B$16+KFC!$C$16)*KFC!$C$5</f>
        <v>107.26895053067182</v>
      </c>
      <c r="U102" s="898">
        <f>(AR102*KFC!$B$16+KFC!$C$16)*KFC!$C$5</f>
        <v>111.84814892505227</v>
      </c>
      <c r="V102" s="898">
        <f>(AS102*KFC!$B$16+KFC!$C$16)*KFC!$C$5</f>
        <v>116.42734731943273</v>
      </c>
      <c r="W102" s="903">
        <f>(AT102*KFC!$B$16+KFC!$C$16)*KFC!$C$5</f>
        <v>121.00654571381321</v>
      </c>
      <c r="Y102" s="1431"/>
      <c r="Z102" s="649">
        <v>2.1</v>
      </c>
      <c r="AA102" s="882">
        <v>34.001776220584517</v>
      </c>
      <c r="AB102" s="882">
        <v>38.580974614964973</v>
      </c>
      <c r="AC102" s="882">
        <v>43.160173009345428</v>
      </c>
      <c r="AD102" s="882">
        <v>47.739371403725883</v>
      </c>
      <c r="AE102" s="882">
        <v>52.318569798106338</v>
      </c>
      <c r="AF102" s="882">
        <v>56.897768192486794</v>
      </c>
      <c r="AG102" s="882">
        <v>61.476966586867256</v>
      </c>
      <c r="AH102" s="882">
        <v>66.056164981247704</v>
      </c>
      <c r="AI102" s="882">
        <v>70.63536337562816</v>
      </c>
      <c r="AJ102" s="882">
        <v>75.214561770008629</v>
      </c>
      <c r="AK102" s="882">
        <v>79.793760164389084</v>
      </c>
      <c r="AL102" s="882">
        <v>84.372958558769525</v>
      </c>
      <c r="AM102" s="882">
        <v>88.952156953149981</v>
      </c>
      <c r="AN102" s="882">
        <v>93.531355347530436</v>
      </c>
      <c r="AO102" s="882">
        <v>98.110553741910891</v>
      </c>
      <c r="AP102" s="882">
        <v>102.68975213629135</v>
      </c>
      <c r="AQ102" s="882">
        <v>107.26895053067182</v>
      </c>
      <c r="AR102" s="882">
        <v>111.84814892505227</v>
      </c>
      <c r="AS102" s="882">
        <v>116.42734731943273</v>
      </c>
      <c r="AT102" s="882">
        <v>121.00654571381321</v>
      </c>
    </row>
    <row r="103" spans="1:46" ht="15" thickBot="1">
      <c r="A103" s="1428"/>
      <c r="B103" s="1429"/>
      <c r="C103" s="888">
        <v>2.2000000000000002</v>
      </c>
      <c r="D103" s="904">
        <f>(AA103*KFC!$B$16+KFC!$C$16)*KFC!$C$5</f>
        <v>34.587499903154999</v>
      </c>
      <c r="E103" s="905">
        <f>(AB103*KFC!$B$16+KFC!$C$16)*KFC!$C$5</f>
        <v>39.309037286056579</v>
      </c>
      <c r="F103" s="905">
        <f>(AC103*KFC!$B$16+KFC!$C$16)*KFC!$C$5</f>
        <v>44.030574668958153</v>
      </c>
      <c r="G103" s="905">
        <f>(AD103*KFC!$B$16+KFC!$C$16)*KFC!$C$5</f>
        <v>48.752112051859733</v>
      </c>
      <c r="H103" s="905">
        <f>(AE103*KFC!$B$16+KFC!$C$16)*KFC!$C$5</f>
        <v>53.473649434761299</v>
      </c>
      <c r="I103" s="905">
        <f>(AF103*KFC!$B$16+KFC!$C$16)*KFC!$C$5</f>
        <v>58.195186817662886</v>
      </c>
      <c r="J103" s="905">
        <f>(AG103*KFC!$B$16+KFC!$C$16)*KFC!$C$5</f>
        <v>62.91672420056446</v>
      </c>
      <c r="K103" s="905">
        <f>(AH103*KFC!$B$16+KFC!$C$16)*KFC!$C$5</f>
        <v>67.638261583466033</v>
      </c>
      <c r="L103" s="905">
        <f>(AI103*KFC!$B$16+KFC!$C$16)*KFC!$C$5</f>
        <v>72.35979896636762</v>
      </c>
      <c r="M103" s="905">
        <f>(AJ103*KFC!$B$16+KFC!$C$16)*KFC!$C$5</f>
        <v>77.081336349269193</v>
      </c>
      <c r="N103" s="905">
        <f>(AK103*KFC!$B$16+KFC!$C$16)*KFC!$C$5</f>
        <v>81.802873732170781</v>
      </c>
      <c r="O103" s="905">
        <f>(AL103*KFC!$B$16+KFC!$C$16)*KFC!$C$5</f>
        <v>86.524411115072368</v>
      </c>
      <c r="P103" s="905">
        <f>(AM103*KFC!$B$16+KFC!$C$16)*KFC!$C$5</f>
        <v>91.245948497973956</v>
      </c>
      <c r="Q103" s="905">
        <f>(AN103*KFC!$B$16+KFC!$C$16)*KFC!$C$5</f>
        <v>95.967485880875529</v>
      </c>
      <c r="R103" s="905">
        <f>(AO103*KFC!$B$16+KFC!$C$16)*KFC!$C$5</f>
        <v>100.68902326377712</v>
      </c>
      <c r="S103" s="905">
        <f>(AP103*KFC!$B$16+KFC!$C$16)*KFC!$C$5</f>
        <v>105.4105606466787</v>
      </c>
      <c r="T103" s="905">
        <f>(AQ103*KFC!$B$16+KFC!$C$16)*KFC!$C$5</f>
        <v>110.13209802958029</v>
      </c>
      <c r="U103" s="905">
        <f>(AR103*KFC!$B$16+KFC!$C$16)*KFC!$C$5</f>
        <v>114.85363541248186</v>
      </c>
      <c r="V103" s="905">
        <f>(AS103*KFC!$B$16+KFC!$C$16)*KFC!$C$5</f>
        <v>119.57517279538345</v>
      </c>
      <c r="W103" s="906">
        <f>(AT103*KFC!$B$16+KFC!$C$16)*KFC!$C$5</f>
        <v>124.296710178285</v>
      </c>
      <c r="Y103" s="1432"/>
      <c r="Z103" s="649">
        <v>2.2000000000000002</v>
      </c>
      <c r="AA103" s="882">
        <v>34.587499903154999</v>
      </c>
      <c r="AB103" s="882">
        <v>39.309037286056579</v>
      </c>
      <c r="AC103" s="882">
        <v>44.030574668958153</v>
      </c>
      <c r="AD103" s="882">
        <v>48.752112051859733</v>
      </c>
      <c r="AE103" s="882">
        <v>53.473649434761299</v>
      </c>
      <c r="AF103" s="882">
        <v>58.195186817662886</v>
      </c>
      <c r="AG103" s="882">
        <v>62.91672420056446</v>
      </c>
      <c r="AH103" s="882">
        <v>67.638261583466033</v>
      </c>
      <c r="AI103" s="882">
        <v>72.35979896636762</v>
      </c>
      <c r="AJ103" s="882">
        <v>77.081336349269193</v>
      </c>
      <c r="AK103" s="882">
        <v>81.802873732170781</v>
      </c>
      <c r="AL103" s="882">
        <v>86.524411115072368</v>
      </c>
      <c r="AM103" s="882">
        <v>91.245948497973956</v>
      </c>
      <c r="AN103" s="882">
        <v>95.967485880875529</v>
      </c>
      <c r="AO103" s="882">
        <v>100.68902326377712</v>
      </c>
      <c r="AP103" s="882">
        <v>105.4105606466787</v>
      </c>
      <c r="AQ103" s="882">
        <v>110.13209802958029</v>
      </c>
      <c r="AR103" s="882">
        <v>114.85363541248186</v>
      </c>
      <c r="AS103" s="882">
        <v>119.57517279538345</v>
      </c>
      <c r="AT103" s="882">
        <v>124.296710178285</v>
      </c>
    </row>
    <row r="104" spans="1:46" ht="16.2" thickBot="1">
      <c r="A104" s="380"/>
      <c r="B104" s="380"/>
      <c r="C104" s="380"/>
      <c r="D104" s="380"/>
      <c r="E104" s="380"/>
      <c r="F104" s="380"/>
      <c r="G104" s="380"/>
      <c r="H104" s="380"/>
      <c r="I104" s="380"/>
      <c r="J104" s="380"/>
      <c r="K104" s="380"/>
      <c r="L104" s="380"/>
      <c r="M104" s="380"/>
      <c r="N104" s="380"/>
      <c r="O104" s="380"/>
      <c r="P104" s="380"/>
      <c r="Q104" s="380"/>
      <c r="R104" s="380"/>
      <c r="S104" s="380"/>
      <c r="T104" s="380"/>
      <c r="U104" s="380"/>
      <c r="V104" s="380"/>
      <c r="W104" s="380"/>
    </row>
    <row r="105" spans="1:46" ht="16.5" customHeight="1" thickBot="1">
      <c r="A105" s="1445" t="s">
        <v>448</v>
      </c>
      <c r="B105" s="1446"/>
      <c r="C105" s="1446"/>
      <c r="D105" s="1446"/>
      <c r="E105" s="1446"/>
      <c r="F105" s="1446"/>
      <c r="G105" s="1446"/>
      <c r="H105" s="1446"/>
      <c r="I105" s="1446"/>
      <c r="J105" s="1446"/>
      <c r="K105" s="1446"/>
      <c r="L105" s="1446"/>
      <c r="M105" s="1446"/>
      <c r="N105" s="1446"/>
      <c r="O105" s="1446"/>
      <c r="P105" s="1446"/>
      <c r="Q105" s="1446"/>
      <c r="R105" s="1446"/>
      <c r="S105" s="1446"/>
      <c r="T105" s="1446"/>
      <c r="U105" s="1446"/>
      <c r="V105" s="1446"/>
      <c r="W105" s="1447"/>
    </row>
    <row r="106" spans="1:46" ht="15.6">
      <c r="A106" s="1448"/>
      <c r="B106" s="1449"/>
      <c r="C106" s="1449"/>
      <c r="D106" s="1449"/>
      <c r="E106" s="1449"/>
      <c r="F106" s="1449"/>
      <c r="G106" s="1449"/>
      <c r="H106" s="1449"/>
      <c r="I106" s="1449"/>
      <c r="J106" s="1449"/>
      <c r="K106" s="1450"/>
      <c r="L106" s="1454" t="s">
        <v>449</v>
      </c>
      <c r="M106" s="1455"/>
      <c r="N106" s="1455"/>
      <c r="O106" s="1456"/>
      <c r="P106" s="1457" t="s">
        <v>450</v>
      </c>
      <c r="Q106" s="1458"/>
      <c r="R106" s="1458"/>
      <c r="S106" s="1459"/>
      <c r="T106" s="1454" t="s">
        <v>451</v>
      </c>
      <c r="U106" s="1455"/>
      <c r="V106" s="1455"/>
      <c r="W106" s="1456"/>
    </row>
    <row r="107" spans="1:46" ht="15.6">
      <c r="A107" s="1451"/>
      <c r="B107" s="1452"/>
      <c r="C107" s="1452"/>
      <c r="D107" s="1452"/>
      <c r="E107" s="1452"/>
      <c r="F107" s="1452"/>
      <c r="G107" s="1452"/>
      <c r="H107" s="1452"/>
      <c r="I107" s="1452"/>
      <c r="J107" s="1452"/>
      <c r="K107" s="1453"/>
      <c r="L107" s="1460" t="s">
        <v>452</v>
      </c>
      <c r="M107" s="1461"/>
      <c r="N107" s="1461" t="s">
        <v>453</v>
      </c>
      <c r="O107" s="1462"/>
      <c r="P107" s="1463" t="s">
        <v>452</v>
      </c>
      <c r="Q107" s="1464"/>
      <c r="R107" s="1464" t="s">
        <v>453</v>
      </c>
      <c r="S107" s="1465"/>
      <c r="T107" s="1460" t="s">
        <v>452</v>
      </c>
      <c r="U107" s="1461"/>
      <c r="V107" s="1461" t="s">
        <v>453</v>
      </c>
      <c r="W107" s="1462"/>
    </row>
    <row r="108" spans="1:46" ht="15.6">
      <c r="A108" s="1466" t="s">
        <v>454</v>
      </c>
      <c r="B108" s="1467"/>
      <c r="C108" s="1467"/>
      <c r="D108" s="1467"/>
      <c r="E108" s="1467"/>
      <c r="F108" s="1467"/>
      <c r="G108" s="1467"/>
      <c r="H108" s="1467"/>
      <c r="I108" s="1467"/>
      <c r="J108" s="1467"/>
      <c r="K108" s="1468"/>
      <c r="L108" s="1460">
        <v>23</v>
      </c>
      <c r="M108" s="1461"/>
      <c r="N108" s="1461">
        <v>23</v>
      </c>
      <c r="O108" s="1462"/>
      <c r="P108" s="1463">
        <v>23</v>
      </c>
      <c r="Q108" s="1464"/>
      <c r="R108" s="1464">
        <v>23</v>
      </c>
      <c r="S108" s="1465"/>
      <c r="T108" s="1460">
        <v>23</v>
      </c>
      <c r="U108" s="1461"/>
      <c r="V108" s="1461">
        <v>23</v>
      </c>
      <c r="W108" s="1462"/>
    </row>
    <row r="109" spans="1:46" ht="15.6">
      <c r="A109" s="1466" t="s">
        <v>455</v>
      </c>
      <c r="B109" s="1467"/>
      <c r="C109" s="1467"/>
      <c r="D109" s="1467"/>
      <c r="E109" s="1467"/>
      <c r="F109" s="1467"/>
      <c r="G109" s="1467"/>
      <c r="H109" s="1467"/>
      <c r="I109" s="1467"/>
      <c r="J109" s="1467"/>
      <c r="K109" s="1468"/>
      <c r="L109" s="1460">
        <v>240</v>
      </c>
      <c r="M109" s="1461"/>
      <c r="N109" s="1461">
        <v>170</v>
      </c>
      <c r="O109" s="1462"/>
      <c r="P109" s="1463">
        <v>200</v>
      </c>
      <c r="Q109" s="1464"/>
      <c r="R109" s="1464">
        <v>170</v>
      </c>
      <c r="S109" s="1465"/>
      <c r="T109" s="1460">
        <v>200</v>
      </c>
      <c r="U109" s="1461"/>
      <c r="V109" s="1461">
        <v>170</v>
      </c>
      <c r="W109" s="1462"/>
    </row>
    <row r="110" spans="1:46" ht="18" thickBot="1">
      <c r="A110" s="1475" t="s">
        <v>456</v>
      </c>
      <c r="B110" s="1476"/>
      <c r="C110" s="1476"/>
      <c r="D110" s="1476"/>
      <c r="E110" s="1476"/>
      <c r="F110" s="1476"/>
      <c r="G110" s="1476"/>
      <c r="H110" s="1476"/>
      <c r="I110" s="1476"/>
      <c r="J110" s="1476"/>
      <c r="K110" s="1477"/>
      <c r="L110" s="1478">
        <v>2.5</v>
      </c>
      <c r="M110" s="1479"/>
      <c r="N110" s="1479">
        <v>2.5</v>
      </c>
      <c r="O110" s="1480"/>
      <c r="P110" s="1481">
        <v>2.5</v>
      </c>
      <c r="Q110" s="1482"/>
      <c r="R110" s="1483">
        <v>2</v>
      </c>
      <c r="S110" s="1484"/>
      <c r="T110" s="1478">
        <v>2.5</v>
      </c>
      <c r="U110" s="1479"/>
      <c r="V110" s="1485">
        <v>2</v>
      </c>
      <c r="W110" s="1486"/>
    </row>
    <row r="111" spans="1:46" ht="16.2" thickBot="1">
      <c r="A111" s="6"/>
      <c r="B111" s="1"/>
      <c r="C111" s="379"/>
      <c r="D111" s="381"/>
      <c r="E111" s="381"/>
      <c r="F111" s="381"/>
      <c r="G111" s="381"/>
      <c r="H111" s="381"/>
      <c r="I111" s="380"/>
      <c r="J111" s="380"/>
      <c r="K111" s="380"/>
      <c r="L111" s="380"/>
      <c r="M111" s="380"/>
      <c r="N111" s="380"/>
      <c r="O111" s="380"/>
      <c r="P111" s="380"/>
      <c r="Q111" s="380"/>
      <c r="R111" s="380"/>
      <c r="S111" s="380"/>
      <c r="T111" s="380"/>
      <c r="U111" s="380"/>
      <c r="V111" s="380"/>
      <c r="W111" s="380"/>
    </row>
    <row r="112" spans="1:46" ht="16.2" thickBot="1">
      <c r="A112" s="6" t="s">
        <v>44</v>
      </c>
      <c r="B112" s="1"/>
      <c r="C112" s="379"/>
      <c r="D112" s="382"/>
      <c r="E112" s="382"/>
      <c r="F112" s="382"/>
      <c r="G112" s="382"/>
      <c r="H112" s="382"/>
      <c r="I112" s="382"/>
      <c r="J112" s="380"/>
      <c r="K112" s="380"/>
      <c r="L112" s="380"/>
      <c r="M112" s="380"/>
      <c r="N112" s="380"/>
      <c r="O112" s="380"/>
      <c r="P112" s="380"/>
      <c r="Q112" s="380"/>
      <c r="R112" s="380"/>
      <c r="S112" s="380"/>
      <c r="T112" s="380"/>
      <c r="U112" s="380"/>
      <c r="V112" s="380"/>
      <c r="W112" s="380"/>
    </row>
    <row r="113" spans="1:23" ht="16.2" thickBot="1">
      <c r="A113" s="1469" t="s">
        <v>386</v>
      </c>
      <c r="B113" s="1470"/>
      <c r="C113" s="1470"/>
      <c r="D113" s="889"/>
      <c r="E113" s="889"/>
      <c r="F113" s="891"/>
      <c r="G113" s="890"/>
      <c r="H113" s="1471">
        <f>(2.65*KFC!$B$16+KFC!$C$16)*KFC!$C$5</f>
        <v>2.65</v>
      </c>
      <c r="I113" s="1473" t="s">
        <v>409</v>
      </c>
      <c r="J113" s="380"/>
      <c r="K113" s="380"/>
      <c r="L113" s="380"/>
      <c r="M113" s="380"/>
      <c r="N113" s="380"/>
      <c r="O113" s="380"/>
      <c r="P113" s="380"/>
      <c r="Q113" s="380"/>
      <c r="R113" s="380"/>
      <c r="S113" s="380"/>
      <c r="T113" s="380"/>
      <c r="U113" s="380"/>
      <c r="V113" s="380"/>
      <c r="W113" s="380"/>
    </row>
    <row r="114" spans="1:23" ht="20.25" customHeight="1" thickBot="1">
      <c r="A114" s="892" t="s">
        <v>1059</v>
      </c>
      <c r="B114" s="6"/>
      <c r="C114" s="6"/>
      <c r="F114" s="893"/>
      <c r="G114" s="894"/>
      <c r="H114" s="1472"/>
      <c r="I114" s="1474"/>
      <c r="J114" s="382"/>
      <c r="K114" s="382"/>
      <c r="L114" s="382"/>
      <c r="M114" s="382"/>
      <c r="N114" s="380"/>
      <c r="O114" s="380"/>
      <c r="P114" s="380"/>
      <c r="Q114" s="380"/>
      <c r="R114" s="380"/>
      <c r="S114" s="380"/>
      <c r="T114" s="380"/>
      <c r="U114" s="380"/>
      <c r="V114" s="380"/>
      <c r="W114" s="380"/>
    </row>
    <row r="115" spans="1:23" ht="16.2" thickBot="1">
      <c r="A115" s="895" t="s">
        <v>228</v>
      </c>
      <c r="B115" s="896"/>
      <c r="C115" s="896"/>
      <c r="D115" s="896"/>
      <c r="E115" s="896"/>
      <c r="F115" s="896"/>
      <c r="G115" s="896"/>
      <c r="H115" s="896"/>
      <c r="I115" s="897"/>
      <c r="J115" s="897"/>
      <c r="K115" s="897"/>
      <c r="L115" s="897"/>
      <c r="M115" s="897"/>
      <c r="N115" s="380"/>
      <c r="O115" s="380"/>
      <c r="P115" s="380"/>
      <c r="Q115" s="380"/>
      <c r="R115" s="380"/>
      <c r="S115" s="380"/>
      <c r="T115" s="380"/>
      <c r="U115" s="380"/>
      <c r="V115" s="380"/>
      <c r="W115" s="380"/>
    </row>
  </sheetData>
  <mergeCells count="65">
    <mergeCell ref="A113:C113"/>
    <mergeCell ref="H113:H114"/>
    <mergeCell ref="I113:I114"/>
    <mergeCell ref="V109:W109"/>
    <mergeCell ref="A110:K110"/>
    <mergeCell ref="L110:M110"/>
    <mergeCell ref="N110:O110"/>
    <mergeCell ref="P110:Q110"/>
    <mergeCell ref="R110:S110"/>
    <mergeCell ref="T110:U110"/>
    <mergeCell ref="V110:W110"/>
    <mergeCell ref="A109:K109"/>
    <mergeCell ref="L109:M109"/>
    <mergeCell ref="N109:O109"/>
    <mergeCell ref="P109:Q109"/>
    <mergeCell ref="R109:S109"/>
    <mergeCell ref="T109:U109"/>
    <mergeCell ref="R107:S107"/>
    <mergeCell ref="T107:U107"/>
    <mergeCell ref="V107:W107"/>
    <mergeCell ref="A108:K108"/>
    <mergeCell ref="L108:M108"/>
    <mergeCell ref="N108:O108"/>
    <mergeCell ref="P108:Q108"/>
    <mergeCell ref="R108:S108"/>
    <mergeCell ref="T108:U108"/>
    <mergeCell ref="V108:W108"/>
    <mergeCell ref="A83:B103"/>
    <mergeCell ref="Y83:Y103"/>
    <mergeCell ref="A105:W105"/>
    <mergeCell ref="A106:K107"/>
    <mergeCell ref="L106:O106"/>
    <mergeCell ref="P106:S106"/>
    <mergeCell ref="T106:W106"/>
    <mergeCell ref="L107:M107"/>
    <mergeCell ref="N107:O107"/>
    <mergeCell ref="P107:Q107"/>
    <mergeCell ref="AA81:AT81"/>
    <mergeCell ref="A80:W80"/>
    <mergeCell ref="A33:B53"/>
    <mergeCell ref="Y33:Y53"/>
    <mergeCell ref="A56:C57"/>
    <mergeCell ref="D56:W56"/>
    <mergeCell ref="Y56:Z57"/>
    <mergeCell ref="AA56:AT56"/>
    <mergeCell ref="A55:W55"/>
    <mergeCell ref="A58:B78"/>
    <mergeCell ref="Y58:Y78"/>
    <mergeCell ref="A81:C82"/>
    <mergeCell ref="D81:W81"/>
    <mergeCell ref="Y81:Z82"/>
    <mergeCell ref="AA31:AT31"/>
    <mergeCell ref="A30:W30"/>
    <mergeCell ref="A1:W2"/>
    <mergeCell ref="A3:W4"/>
    <mergeCell ref="A6:C7"/>
    <mergeCell ref="D6:W6"/>
    <mergeCell ref="Y6:Z7"/>
    <mergeCell ref="AA6:AT6"/>
    <mergeCell ref="A5:W5"/>
    <mergeCell ref="A8:B28"/>
    <mergeCell ref="Y8:Y28"/>
    <mergeCell ref="A31:C32"/>
    <mergeCell ref="D31:W31"/>
    <mergeCell ref="Y31:Z32"/>
  </mergeCells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28" max="45" man="1"/>
    <brk id="53" max="45" man="1"/>
    <brk id="78" max="45" man="1"/>
  </rowBreaks>
  <colBreaks count="1" manualBreakCount="1">
    <brk id="46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5E5C06-DC53-475C-874E-114F4E753B51}">
  <sheetPr>
    <tabColor rgb="FFFF0000"/>
  </sheetPr>
  <dimension ref="A1:IU115"/>
  <sheetViews>
    <sheetView view="pageBreakPreview" zoomScale="80" zoomScaleNormal="80" zoomScaleSheetLayoutView="80" workbookViewId="0">
      <selection activeCell="D8" sqref="D8"/>
    </sheetView>
  </sheetViews>
  <sheetFormatPr defaultColWidth="9.109375" defaultRowHeight="14.4"/>
  <cols>
    <col min="1" max="1" width="9.109375" style="880"/>
    <col min="2" max="3" width="5.44140625" style="880" bestFit="1" customWidth="1"/>
    <col min="4" max="4" width="6.6640625" style="880" customWidth="1"/>
    <col min="5" max="5" width="7" style="880" customWidth="1"/>
    <col min="6" max="7" width="6.5546875" style="880" customWidth="1"/>
    <col min="8" max="8" width="6.6640625" style="880" customWidth="1"/>
    <col min="9" max="10" width="6.109375" style="880" customWidth="1"/>
    <col min="11" max="11" width="6.6640625" style="880" customWidth="1"/>
    <col min="12" max="12" width="6.33203125" style="880" customWidth="1"/>
    <col min="13" max="13" width="6.109375" style="880" customWidth="1"/>
    <col min="14" max="14" width="6.5546875" style="880" customWidth="1"/>
    <col min="15" max="15" width="6.88671875" style="880" customWidth="1"/>
    <col min="16" max="17" width="6.44140625" style="880" bestFit="1" customWidth="1"/>
    <col min="18" max="18" width="7.88671875" style="880" customWidth="1"/>
    <col min="19" max="19" width="9" style="880" customWidth="1"/>
    <col min="20" max="20" width="7.5546875" style="880" customWidth="1"/>
    <col min="21" max="21" width="7.88671875" style="880" customWidth="1"/>
    <col min="22" max="22" width="8" style="880" customWidth="1"/>
    <col min="23" max="23" width="6.88671875" style="880" customWidth="1"/>
    <col min="24" max="46" width="9.109375" style="880" hidden="1" customWidth="1"/>
    <col min="47" max="16384" width="9.109375" style="880"/>
  </cols>
  <sheetData>
    <row r="1" spans="1:255" ht="15" customHeight="1">
      <c r="A1" s="1033" t="s">
        <v>1201</v>
      </c>
      <c r="B1" s="1033"/>
      <c r="C1" s="1033"/>
      <c r="D1" s="1033"/>
      <c r="E1" s="1033"/>
      <c r="F1" s="1033"/>
      <c r="G1" s="1033"/>
      <c r="H1" s="1033"/>
      <c r="I1" s="1033"/>
      <c r="J1" s="1033"/>
      <c r="K1" s="1033"/>
      <c r="L1" s="1033"/>
      <c r="M1" s="1033"/>
      <c r="N1" s="1033"/>
      <c r="O1" s="1033"/>
      <c r="P1" s="1033"/>
      <c r="Q1" s="1033"/>
      <c r="R1" s="1033"/>
      <c r="S1" s="1033"/>
      <c r="T1" s="1033"/>
      <c r="U1" s="1033"/>
      <c r="V1" s="1033"/>
      <c r="W1" s="1033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  <c r="AZ1" s="16"/>
      <c r="BA1" s="16"/>
      <c r="BB1" s="16"/>
      <c r="BC1" s="16"/>
      <c r="BD1" s="16"/>
      <c r="BE1" s="16"/>
      <c r="BF1" s="16"/>
      <c r="BG1" s="16"/>
      <c r="BH1" s="16"/>
      <c r="BI1" s="16"/>
      <c r="BJ1" s="16"/>
      <c r="BK1" s="16"/>
      <c r="BL1" s="16"/>
      <c r="BM1" s="16"/>
      <c r="BN1" s="16"/>
      <c r="BO1" s="16"/>
      <c r="BP1" s="16"/>
      <c r="BQ1" s="16"/>
      <c r="BR1" s="16"/>
      <c r="BS1" s="16"/>
      <c r="BT1" s="16"/>
      <c r="BU1" s="16"/>
      <c r="BV1" s="16"/>
      <c r="BW1" s="16"/>
      <c r="BX1" s="16"/>
      <c r="BY1" s="16"/>
      <c r="BZ1" s="16"/>
      <c r="CA1" s="16"/>
      <c r="CB1" s="16"/>
      <c r="CC1" s="16"/>
      <c r="CD1" s="16"/>
      <c r="CE1" s="16"/>
      <c r="CF1" s="16"/>
      <c r="CG1" s="16"/>
      <c r="CH1" s="16"/>
      <c r="CI1" s="16"/>
      <c r="CJ1" s="16"/>
      <c r="CK1" s="16"/>
      <c r="CL1" s="16"/>
      <c r="CM1" s="16"/>
      <c r="CN1" s="16"/>
      <c r="CO1" s="16"/>
      <c r="CP1" s="16"/>
      <c r="CQ1" s="16"/>
      <c r="CR1" s="16"/>
      <c r="CS1" s="16"/>
      <c r="CT1" s="16"/>
      <c r="CU1" s="16"/>
      <c r="CV1" s="16"/>
      <c r="CW1" s="16"/>
      <c r="CX1" s="16"/>
      <c r="CY1" s="16"/>
      <c r="CZ1" s="16"/>
      <c r="DA1" s="16"/>
      <c r="DB1" s="16"/>
      <c r="DC1" s="16"/>
      <c r="DD1" s="16"/>
      <c r="DE1" s="16"/>
      <c r="DF1" s="16"/>
      <c r="DG1" s="16"/>
      <c r="DH1" s="16"/>
      <c r="DI1" s="16"/>
      <c r="DJ1" s="16"/>
      <c r="DK1" s="16"/>
      <c r="DL1" s="16"/>
      <c r="DM1" s="16"/>
      <c r="DN1" s="16"/>
      <c r="DO1" s="16"/>
      <c r="DP1" s="16"/>
      <c r="DQ1" s="16"/>
      <c r="DR1" s="16"/>
      <c r="DS1" s="16"/>
      <c r="DT1" s="16"/>
      <c r="DU1" s="16"/>
      <c r="DV1" s="16"/>
      <c r="DW1" s="16"/>
      <c r="DX1" s="16"/>
      <c r="DY1" s="16"/>
      <c r="DZ1" s="16"/>
      <c r="EA1" s="16"/>
      <c r="EB1" s="16"/>
      <c r="EC1" s="16"/>
      <c r="ED1" s="16"/>
      <c r="EE1" s="16"/>
      <c r="EF1" s="16"/>
      <c r="EG1" s="16"/>
      <c r="EH1" s="16"/>
      <c r="EI1" s="16"/>
      <c r="EJ1" s="16"/>
      <c r="EK1" s="16"/>
      <c r="EL1" s="16"/>
      <c r="EM1" s="16"/>
      <c r="EN1" s="16"/>
      <c r="EO1" s="16"/>
      <c r="EP1" s="16"/>
      <c r="EQ1" s="16"/>
      <c r="ER1" s="16"/>
      <c r="ES1" s="16"/>
      <c r="ET1" s="16"/>
      <c r="EU1" s="16"/>
      <c r="EV1" s="16"/>
      <c r="EW1" s="16"/>
      <c r="EX1" s="16"/>
      <c r="EY1" s="16"/>
      <c r="EZ1" s="16"/>
      <c r="FA1" s="16"/>
      <c r="FB1" s="16"/>
      <c r="FC1" s="16"/>
      <c r="FD1" s="16"/>
      <c r="FE1" s="16"/>
      <c r="FF1" s="16"/>
      <c r="FG1" s="16"/>
      <c r="FH1" s="16"/>
      <c r="FI1" s="16"/>
      <c r="FJ1" s="16"/>
      <c r="FK1" s="16"/>
      <c r="FL1" s="16"/>
      <c r="FM1" s="16"/>
      <c r="FN1" s="16"/>
      <c r="FO1" s="16"/>
      <c r="FP1" s="16"/>
      <c r="FQ1" s="16"/>
      <c r="FR1" s="16"/>
      <c r="FS1" s="16"/>
      <c r="FT1" s="16"/>
      <c r="FU1" s="16"/>
      <c r="FV1" s="16"/>
      <c r="FW1" s="16"/>
      <c r="FX1" s="16"/>
      <c r="FY1" s="16"/>
      <c r="FZ1" s="16"/>
      <c r="GA1" s="16"/>
      <c r="GB1" s="16"/>
      <c r="GC1" s="16"/>
      <c r="GD1" s="16"/>
      <c r="GE1" s="16"/>
      <c r="GF1" s="16"/>
      <c r="GG1" s="16"/>
      <c r="GH1" s="16"/>
      <c r="GI1" s="16"/>
      <c r="GJ1" s="16"/>
      <c r="GK1" s="16"/>
      <c r="GL1" s="16"/>
      <c r="GM1" s="16"/>
      <c r="GN1" s="16"/>
      <c r="GO1" s="16"/>
      <c r="GP1" s="16"/>
      <c r="GQ1" s="16"/>
      <c r="GR1" s="16"/>
      <c r="GS1" s="16"/>
      <c r="GT1" s="16"/>
      <c r="GU1" s="16"/>
      <c r="GV1" s="16"/>
      <c r="GW1" s="16"/>
      <c r="GX1" s="16"/>
      <c r="GY1" s="16"/>
      <c r="GZ1" s="16"/>
      <c r="HA1" s="16"/>
      <c r="HB1" s="16"/>
      <c r="HC1" s="16"/>
      <c r="HD1" s="16"/>
      <c r="HE1" s="16"/>
      <c r="HF1" s="16"/>
      <c r="HG1" s="16"/>
      <c r="HH1" s="16"/>
      <c r="HI1" s="16"/>
      <c r="HJ1" s="16"/>
      <c r="HK1" s="16"/>
      <c r="HL1" s="16"/>
      <c r="HM1" s="16"/>
      <c r="HN1" s="16"/>
      <c r="HO1" s="16"/>
      <c r="HP1" s="16"/>
      <c r="HQ1" s="16"/>
      <c r="HR1" s="16"/>
      <c r="HS1" s="16"/>
      <c r="HT1" s="16"/>
      <c r="HU1" s="16"/>
      <c r="HV1" s="16"/>
      <c r="HW1" s="16"/>
      <c r="HX1" s="16"/>
      <c r="HY1" s="16"/>
      <c r="HZ1" s="16"/>
      <c r="IA1" s="16"/>
      <c r="IB1" s="16"/>
      <c r="IC1" s="16"/>
      <c r="ID1" s="16"/>
      <c r="IE1" s="16"/>
      <c r="IF1" s="16"/>
      <c r="IG1" s="16"/>
      <c r="IH1" s="16"/>
      <c r="II1" s="16"/>
      <c r="IJ1" s="16"/>
      <c r="IK1" s="16"/>
      <c r="IL1" s="16"/>
      <c r="IM1" s="16"/>
      <c r="IN1" s="16"/>
      <c r="IO1" s="16"/>
      <c r="IP1" s="16"/>
      <c r="IQ1" s="16"/>
      <c r="IR1" s="16"/>
      <c r="IS1" s="16"/>
      <c r="IT1" s="16"/>
      <c r="IU1" s="16"/>
    </row>
    <row r="2" spans="1:255" ht="15" customHeight="1">
      <c r="A2" s="1033"/>
      <c r="B2" s="1033"/>
      <c r="C2" s="1033"/>
      <c r="D2" s="1033"/>
      <c r="E2" s="1033"/>
      <c r="F2" s="1033"/>
      <c r="G2" s="1033"/>
      <c r="H2" s="1033"/>
      <c r="I2" s="1033"/>
      <c r="J2" s="1033"/>
      <c r="K2" s="1033"/>
      <c r="L2" s="1033"/>
      <c r="M2" s="1033"/>
      <c r="N2" s="1033"/>
      <c r="O2" s="1033"/>
      <c r="P2" s="1033"/>
      <c r="Q2" s="1033"/>
      <c r="R2" s="1033"/>
      <c r="S2" s="1033"/>
      <c r="T2" s="1033"/>
      <c r="U2" s="1033"/>
      <c r="V2" s="1033"/>
      <c r="W2" s="1033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16"/>
      <c r="CS2" s="16"/>
      <c r="CT2" s="16"/>
      <c r="CU2" s="16"/>
      <c r="CV2" s="16"/>
      <c r="CW2" s="16"/>
      <c r="CX2" s="16"/>
      <c r="CY2" s="16"/>
      <c r="CZ2" s="16"/>
      <c r="DA2" s="16"/>
      <c r="DB2" s="16"/>
      <c r="DC2" s="16"/>
      <c r="DD2" s="16"/>
      <c r="DE2" s="16"/>
      <c r="DF2" s="16"/>
      <c r="DG2" s="16"/>
      <c r="DH2" s="16"/>
      <c r="DI2" s="16"/>
      <c r="DJ2" s="16"/>
      <c r="DK2" s="16"/>
      <c r="DL2" s="16"/>
      <c r="DM2" s="16"/>
      <c r="DN2" s="16"/>
      <c r="DO2" s="16"/>
      <c r="DP2" s="16"/>
      <c r="DQ2" s="16"/>
      <c r="DR2" s="16"/>
      <c r="DS2" s="16"/>
      <c r="DT2" s="16"/>
      <c r="DU2" s="16"/>
      <c r="DV2" s="16"/>
      <c r="DW2" s="16"/>
      <c r="DX2" s="16"/>
      <c r="DY2" s="16"/>
      <c r="DZ2" s="16"/>
      <c r="EA2" s="16"/>
      <c r="EB2" s="16"/>
      <c r="EC2" s="16"/>
      <c r="ED2" s="16"/>
      <c r="EE2" s="16"/>
      <c r="EF2" s="16"/>
      <c r="EG2" s="16"/>
      <c r="EH2" s="16"/>
      <c r="EI2" s="16"/>
      <c r="EJ2" s="16"/>
      <c r="EK2" s="16"/>
      <c r="EL2" s="16"/>
      <c r="EM2" s="16"/>
      <c r="EN2" s="16"/>
      <c r="EO2" s="16"/>
      <c r="EP2" s="16"/>
      <c r="EQ2" s="16"/>
      <c r="ER2" s="16"/>
      <c r="ES2" s="16"/>
      <c r="ET2" s="16"/>
      <c r="EU2" s="16"/>
      <c r="EV2" s="16"/>
      <c r="EW2" s="16"/>
      <c r="EX2" s="16"/>
      <c r="EY2" s="16"/>
      <c r="EZ2" s="16"/>
      <c r="FA2" s="16"/>
      <c r="FB2" s="16"/>
      <c r="FC2" s="16"/>
      <c r="FD2" s="16"/>
      <c r="FE2" s="16"/>
      <c r="FF2" s="16"/>
      <c r="FG2" s="16"/>
      <c r="FH2" s="16"/>
      <c r="FI2" s="16"/>
      <c r="FJ2" s="16"/>
      <c r="FK2" s="16"/>
      <c r="FL2" s="16"/>
      <c r="FM2" s="16"/>
      <c r="FN2" s="16"/>
      <c r="FO2" s="16"/>
      <c r="FP2" s="16"/>
      <c r="FQ2" s="16"/>
      <c r="FR2" s="16"/>
      <c r="FS2" s="16"/>
      <c r="FT2" s="16"/>
      <c r="FU2" s="16"/>
      <c r="FV2" s="16"/>
      <c r="FW2" s="16"/>
      <c r="FX2" s="16"/>
      <c r="FY2" s="16"/>
      <c r="FZ2" s="16"/>
      <c r="GA2" s="16"/>
      <c r="GB2" s="16"/>
      <c r="GC2" s="16"/>
      <c r="GD2" s="16"/>
      <c r="GE2" s="16"/>
      <c r="GF2" s="16"/>
      <c r="GG2" s="16"/>
      <c r="GH2" s="16"/>
      <c r="GI2" s="16"/>
      <c r="GJ2" s="16"/>
      <c r="GK2" s="16"/>
      <c r="GL2" s="16"/>
      <c r="GM2" s="16"/>
      <c r="GN2" s="16"/>
      <c r="GO2" s="16"/>
      <c r="GP2" s="16"/>
      <c r="GQ2" s="16"/>
      <c r="GR2" s="16"/>
      <c r="GS2" s="16"/>
      <c r="GT2" s="16"/>
      <c r="GU2" s="16"/>
      <c r="GV2" s="16"/>
      <c r="GW2" s="16"/>
      <c r="GX2" s="16"/>
      <c r="GY2" s="16"/>
      <c r="GZ2" s="16"/>
      <c r="HA2" s="16"/>
      <c r="HB2" s="16"/>
      <c r="HC2" s="16"/>
      <c r="HD2" s="16"/>
      <c r="HE2" s="16"/>
      <c r="HF2" s="16"/>
      <c r="HG2" s="16"/>
      <c r="HH2" s="16"/>
      <c r="HI2" s="16"/>
      <c r="HJ2" s="16"/>
      <c r="HK2" s="16"/>
      <c r="HL2" s="16"/>
      <c r="HM2" s="16"/>
      <c r="HN2" s="16"/>
      <c r="HO2" s="16"/>
      <c r="HP2" s="16"/>
      <c r="HQ2" s="16"/>
      <c r="HR2" s="16"/>
      <c r="HS2" s="16"/>
      <c r="HT2" s="16"/>
      <c r="HU2" s="16"/>
      <c r="HV2" s="16"/>
      <c r="HW2" s="16"/>
      <c r="HX2" s="16"/>
      <c r="HY2" s="16"/>
      <c r="HZ2" s="16"/>
      <c r="IA2" s="16"/>
      <c r="IB2" s="16"/>
      <c r="IC2" s="16"/>
      <c r="ID2" s="16"/>
      <c r="IE2" s="16"/>
      <c r="IF2" s="16"/>
      <c r="IG2" s="16"/>
      <c r="IH2" s="16"/>
      <c r="II2" s="16"/>
      <c r="IJ2" s="16"/>
      <c r="IK2" s="16"/>
      <c r="IL2" s="16"/>
      <c r="IM2" s="16"/>
      <c r="IN2" s="16"/>
      <c r="IO2" s="16"/>
      <c r="IP2" s="16"/>
      <c r="IQ2" s="16"/>
      <c r="IR2" s="16"/>
      <c r="IS2" s="16"/>
      <c r="IT2" s="16"/>
      <c r="IU2" s="16"/>
    </row>
    <row r="3" spans="1:255" ht="15" customHeight="1">
      <c r="A3" s="1033" t="s">
        <v>1205</v>
      </c>
      <c r="B3" s="1033"/>
      <c r="C3" s="1033"/>
      <c r="D3" s="1033"/>
      <c r="E3" s="1033"/>
      <c r="F3" s="1033"/>
      <c r="G3" s="1033"/>
      <c r="H3" s="1033"/>
      <c r="I3" s="1033"/>
      <c r="J3" s="1033"/>
      <c r="K3" s="1033"/>
      <c r="L3" s="1033"/>
      <c r="M3" s="1033"/>
      <c r="N3" s="1033"/>
      <c r="O3" s="1033"/>
      <c r="P3" s="1033"/>
      <c r="Q3" s="1033"/>
      <c r="R3" s="1033"/>
      <c r="S3" s="1033"/>
      <c r="T3" s="1033"/>
      <c r="U3" s="1033"/>
      <c r="V3" s="1033"/>
      <c r="W3" s="1033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/>
      <c r="BC3" s="16"/>
      <c r="BD3" s="16"/>
      <c r="BE3" s="16"/>
      <c r="BF3" s="16"/>
      <c r="BG3" s="16"/>
      <c r="BH3" s="16"/>
      <c r="BI3" s="16"/>
      <c r="BJ3" s="16"/>
      <c r="BK3" s="16"/>
      <c r="BL3" s="16"/>
      <c r="BM3" s="16"/>
      <c r="BN3" s="16"/>
      <c r="BO3" s="16"/>
      <c r="BP3" s="16"/>
      <c r="BQ3" s="16"/>
      <c r="BR3" s="16"/>
      <c r="BS3" s="16"/>
      <c r="BT3" s="16"/>
      <c r="BU3" s="16"/>
      <c r="BV3" s="16"/>
      <c r="BW3" s="16"/>
      <c r="BX3" s="16"/>
      <c r="BY3" s="16"/>
      <c r="BZ3" s="16"/>
      <c r="CA3" s="16"/>
      <c r="CB3" s="16"/>
      <c r="CC3" s="16"/>
      <c r="CD3" s="16"/>
      <c r="CE3" s="16"/>
      <c r="CF3" s="16"/>
      <c r="CG3" s="16"/>
      <c r="CH3" s="16"/>
      <c r="CI3" s="16"/>
      <c r="CJ3" s="16"/>
      <c r="CK3" s="16"/>
      <c r="CL3" s="16"/>
      <c r="CM3" s="16"/>
      <c r="CN3" s="16"/>
      <c r="CO3" s="16"/>
      <c r="CP3" s="16"/>
      <c r="CQ3" s="16"/>
      <c r="CR3" s="16"/>
      <c r="CS3" s="16"/>
      <c r="CT3" s="16"/>
      <c r="CU3" s="16"/>
      <c r="CV3" s="16"/>
      <c r="CW3" s="16"/>
      <c r="CX3" s="16"/>
      <c r="CY3" s="16"/>
      <c r="CZ3" s="16"/>
      <c r="DA3" s="16"/>
      <c r="DB3" s="16"/>
      <c r="DC3" s="16"/>
      <c r="DD3" s="16"/>
      <c r="DE3" s="16"/>
      <c r="DF3" s="16"/>
      <c r="DG3" s="16"/>
      <c r="DH3" s="16"/>
      <c r="DI3" s="16"/>
      <c r="DJ3" s="16"/>
      <c r="DK3" s="16"/>
      <c r="DL3" s="16"/>
      <c r="DM3" s="16"/>
      <c r="DN3" s="16"/>
      <c r="DO3" s="16"/>
      <c r="DP3" s="16"/>
      <c r="DQ3" s="16"/>
      <c r="DR3" s="16"/>
      <c r="DS3" s="16"/>
      <c r="DT3" s="16"/>
      <c r="DU3" s="16"/>
      <c r="DV3" s="16"/>
      <c r="DW3" s="16"/>
      <c r="DX3" s="16"/>
      <c r="DY3" s="16"/>
      <c r="DZ3" s="16"/>
      <c r="EA3" s="16"/>
      <c r="EB3" s="16"/>
      <c r="EC3" s="16"/>
      <c r="ED3" s="16"/>
      <c r="EE3" s="16"/>
      <c r="EF3" s="16"/>
      <c r="EG3" s="16"/>
      <c r="EH3" s="16"/>
      <c r="EI3" s="16"/>
      <c r="EJ3" s="16"/>
      <c r="EK3" s="16"/>
      <c r="EL3" s="16"/>
      <c r="EM3" s="16"/>
      <c r="EN3" s="16"/>
      <c r="EO3" s="16"/>
      <c r="EP3" s="16"/>
      <c r="EQ3" s="16"/>
      <c r="ER3" s="16"/>
      <c r="ES3" s="16"/>
      <c r="ET3" s="16"/>
      <c r="EU3" s="16"/>
      <c r="EV3" s="16"/>
      <c r="EW3" s="16"/>
      <c r="EX3" s="16"/>
      <c r="EY3" s="16"/>
      <c r="EZ3" s="16"/>
      <c r="FA3" s="16"/>
      <c r="FB3" s="16"/>
      <c r="FC3" s="16"/>
      <c r="FD3" s="16"/>
      <c r="FE3" s="16"/>
      <c r="FF3" s="16"/>
      <c r="FG3" s="16"/>
      <c r="FH3" s="16"/>
      <c r="FI3" s="16"/>
      <c r="FJ3" s="16"/>
      <c r="FK3" s="16"/>
      <c r="FL3" s="16"/>
      <c r="FM3" s="16"/>
      <c r="FN3" s="16"/>
      <c r="FO3" s="16"/>
      <c r="FP3" s="16"/>
      <c r="FQ3" s="16"/>
      <c r="FR3" s="16"/>
      <c r="FS3" s="16"/>
      <c r="FT3" s="16"/>
      <c r="FU3" s="16"/>
      <c r="FV3" s="16"/>
      <c r="FW3" s="16"/>
      <c r="FX3" s="16"/>
      <c r="FY3" s="16"/>
      <c r="FZ3" s="16"/>
      <c r="GA3" s="16"/>
      <c r="GB3" s="16"/>
      <c r="GC3" s="16"/>
      <c r="GD3" s="16"/>
      <c r="GE3" s="16"/>
      <c r="GF3" s="16"/>
      <c r="GG3" s="16"/>
      <c r="GH3" s="16"/>
      <c r="GI3" s="16"/>
      <c r="GJ3" s="16"/>
      <c r="GK3" s="16"/>
      <c r="GL3" s="16"/>
      <c r="GM3" s="16"/>
      <c r="GN3" s="16"/>
      <c r="GO3" s="16"/>
      <c r="GP3" s="16"/>
      <c r="GQ3" s="16"/>
      <c r="GR3" s="16"/>
      <c r="GS3" s="16"/>
      <c r="GT3" s="16"/>
      <c r="GU3" s="16"/>
      <c r="GV3" s="16"/>
      <c r="GW3" s="16"/>
      <c r="GX3" s="16"/>
      <c r="GY3" s="16"/>
      <c r="GZ3" s="16"/>
      <c r="HA3" s="16"/>
      <c r="HB3" s="16"/>
      <c r="HC3" s="16"/>
      <c r="HD3" s="16"/>
      <c r="HE3" s="16"/>
      <c r="HF3" s="16"/>
      <c r="HG3" s="16"/>
      <c r="HH3" s="16"/>
      <c r="HI3" s="16"/>
      <c r="HJ3" s="16"/>
      <c r="HK3" s="16"/>
      <c r="HL3" s="16"/>
      <c r="HM3" s="16"/>
      <c r="HN3" s="16"/>
      <c r="HO3" s="16"/>
      <c r="HP3" s="16"/>
      <c r="HQ3" s="16"/>
      <c r="HR3" s="16"/>
      <c r="HS3" s="16"/>
      <c r="HT3" s="16"/>
      <c r="HU3" s="16"/>
      <c r="HV3" s="16"/>
      <c r="HW3" s="16"/>
      <c r="HX3" s="16"/>
      <c r="HY3" s="16"/>
      <c r="HZ3" s="16"/>
      <c r="IA3" s="16"/>
      <c r="IB3" s="16"/>
      <c r="IC3" s="16"/>
      <c r="ID3" s="16"/>
      <c r="IE3" s="16"/>
      <c r="IF3" s="16"/>
      <c r="IG3" s="16"/>
      <c r="IH3" s="16"/>
      <c r="II3" s="16"/>
      <c r="IJ3" s="16"/>
      <c r="IK3" s="16"/>
      <c r="IL3" s="16"/>
      <c r="IM3" s="16"/>
      <c r="IN3" s="16"/>
      <c r="IO3" s="16"/>
      <c r="IP3" s="16"/>
      <c r="IQ3" s="16"/>
      <c r="IR3" s="16"/>
      <c r="IS3" s="16"/>
      <c r="IT3" s="16"/>
      <c r="IU3" s="16"/>
    </row>
    <row r="4" spans="1:255" ht="15" customHeight="1">
      <c r="A4" s="1033"/>
      <c r="B4" s="1033"/>
      <c r="C4" s="1033"/>
      <c r="D4" s="1033"/>
      <c r="E4" s="1033"/>
      <c r="F4" s="1033"/>
      <c r="G4" s="1033"/>
      <c r="H4" s="1033"/>
      <c r="I4" s="1033"/>
      <c r="J4" s="1033"/>
      <c r="K4" s="1033"/>
      <c r="L4" s="1033"/>
      <c r="M4" s="1033"/>
      <c r="N4" s="1033"/>
      <c r="O4" s="1033"/>
      <c r="P4" s="1033"/>
      <c r="Q4" s="1033"/>
      <c r="R4" s="1033"/>
      <c r="S4" s="1033"/>
      <c r="T4" s="1033"/>
      <c r="U4" s="1033"/>
      <c r="V4" s="1033"/>
      <c r="W4" s="1033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6"/>
      <c r="DB4" s="16"/>
      <c r="DC4" s="16"/>
      <c r="DD4" s="16"/>
      <c r="DE4" s="16"/>
      <c r="DF4" s="16"/>
      <c r="DG4" s="16"/>
      <c r="DH4" s="16"/>
      <c r="DI4" s="16"/>
      <c r="DJ4" s="16"/>
      <c r="DK4" s="16"/>
      <c r="DL4" s="16"/>
      <c r="DM4" s="16"/>
      <c r="DN4" s="16"/>
      <c r="DO4" s="16"/>
      <c r="DP4" s="16"/>
      <c r="DQ4" s="16"/>
      <c r="DR4" s="16"/>
      <c r="DS4" s="16"/>
      <c r="DT4" s="16"/>
      <c r="DU4" s="16"/>
      <c r="DV4" s="16"/>
      <c r="DW4" s="16"/>
      <c r="DX4" s="16"/>
      <c r="DY4" s="16"/>
      <c r="DZ4" s="16"/>
      <c r="EA4" s="16"/>
      <c r="EB4" s="16"/>
      <c r="EC4" s="16"/>
      <c r="ED4" s="16"/>
      <c r="EE4" s="16"/>
      <c r="EF4" s="16"/>
      <c r="EG4" s="16"/>
      <c r="EH4" s="16"/>
      <c r="EI4" s="16"/>
      <c r="EJ4" s="16"/>
      <c r="EK4" s="16"/>
      <c r="EL4" s="16"/>
      <c r="EM4" s="16"/>
      <c r="EN4" s="16"/>
      <c r="EO4" s="16"/>
      <c r="EP4" s="16"/>
      <c r="EQ4" s="16"/>
      <c r="ER4" s="16"/>
      <c r="ES4" s="16"/>
      <c r="ET4" s="16"/>
      <c r="EU4" s="16"/>
      <c r="EV4" s="16"/>
      <c r="EW4" s="16"/>
      <c r="EX4" s="16"/>
      <c r="EY4" s="16"/>
      <c r="EZ4" s="16"/>
      <c r="FA4" s="16"/>
      <c r="FB4" s="16"/>
      <c r="FC4" s="16"/>
      <c r="FD4" s="16"/>
      <c r="FE4" s="16"/>
      <c r="FF4" s="16"/>
      <c r="FG4" s="16"/>
      <c r="FH4" s="16"/>
      <c r="FI4" s="16"/>
      <c r="FJ4" s="16"/>
      <c r="FK4" s="16"/>
      <c r="FL4" s="16"/>
      <c r="FM4" s="16"/>
      <c r="FN4" s="16"/>
      <c r="FO4" s="16"/>
      <c r="FP4" s="16"/>
      <c r="FQ4" s="16"/>
      <c r="FR4" s="16"/>
      <c r="FS4" s="16"/>
      <c r="FT4" s="16"/>
      <c r="FU4" s="16"/>
      <c r="FV4" s="16"/>
      <c r="FW4" s="16"/>
      <c r="FX4" s="16"/>
      <c r="FY4" s="16"/>
      <c r="FZ4" s="16"/>
      <c r="GA4" s="16"/>
      <c r="GB4" s="16"/>
      <c r="GC4" s="16"/>
      <c r="GD4" s="16"/>
      <c r="GE4" s="16"/>
      <c r="GF4" s="16"/>
      <c r="GG4" s="16"/>
      <c r="GH4" s="16"/>
      <c r="GI4" s="16"/>
      <c r="GJ4" s="16"/>
      <c r="GK4" s="16"/>
      <c r="GL4" s="16"/>
      <c r="GM4" s="16"/>
      <c r="GN4" s="16"/>
      <c r="GO4" s="16"/>
      <c r="GP4" s="16"/>
      <c r="GQ4" s="16"/>
      <c r="GR4" s="16"/>
      <c r="GS4" s="16"/>
      <c r="GT4" s="16"/>
      <c r="GU4" s="16"/>
      <c r="GV4" s="16"/>
      <c r="GW4" s="16"/>
      <c r="GX4" s="16"/>
      <c r="GY4" s="16"/>
      <c r="GZ4" s="16"/>
      <c r="HA4" s="16"/>
      <c r="HB4" s="16"/>
      <c r="HC4" s="16"/>
      <c r="HD4" s="16"/>
      <c r="HE4" s="16"/>
      <c r="HF4" s="16"/>
      <c r="HG4" s="16"/>
      <c r="HH4" s="16"/>
      <c r="HI4" s="16"/>
      <c r="HJ4" s="16"/>
      <c r="HK4" s="16"/>
      <c r="HL4" s="16"/>
      <c r="HM4" s="16"/>
      <c r="HN4" s="16"/>
      <c r="HO4" s="16"/>
      <c r="HP4" s="16"/>
      <c r="HQ4" s="16"/>
      <c r="HR4" s="16"/>
      <c r="HS4" s="16"/>
      <c r="HT4" s="16"/>
      <c r="HU4" s="16"/>
      <c r="HV4" s="16"/>
      <c r="HW4" s="16"/>
      <c r="HX4" s="16"/>
      <c r="HY4" s="16"/>
      <c r="HZ4" s="16"/>
      <c r="IA4" s="16"/>
      <c r="IB4" s="16"/>
      <c r="IC4" s="16"/>
      <c r="ID4" s="16"/>
      <c r="IE4" s="16"/>
      <c r="IF4" s="16"/>
      <c r="IG4" s="16"/>
      <c r="IH4" s="16"/>
      <c r="II4" s="16"/>
      <c r="IJ4" s="16"/>
      <c r="IK4" s="16"/>
      <c r="IL4" s="16"/>
      <c r="IM4" s="16"/>
      <c r="IN4" s="16"/>
      <c r="IO4" s="16"/>
      <c r="IP4" s="16"/>
      <c r="IQ4" s="16"/>
      <c r="IR4" s="16"/>
      <c r="IS4" s="16"/>
      <c r="IT4" s="16"/>
      <c r="IU4" s="16"/>
    </row>
    <row r="5" spans="1:255" ht="16.2" thickBot="1">
      <c r="A5" s="1033" t="s">
        <v>1221</v>
      </c>
      <c r="B5" s="1033"/>
      <c r="C5" s="1033"/>
      <c r="D5" s="1033"/>
      <c r="E5" s="1033"/>
      <c r="F5" s="1033"/>
      <c r="G5" s="1033"/>
      <c r="H5" s="1033"/>
      <c r="I5" s="1033"/>
      <c r="J5" s="1033"/>
      <c r="K5" s="1033"/>
      <c r="L5" s="1033"/>
      <c r="M5" s="1033"/>
      <c r="N5" s="1033"/>
      <c r="O5" s="1033"/>
      <c r="P5" s="1033"/>
      <c r="Q5" s="1033"/>
      <c r="R5" s="1033"/>
      <c r="S5" s="1033"/>
      <c r="T5" s="1033"/>
      <c r="U5" s="1033"/>
      <c r="V5" s="1033"/>
      <c r="W5" s="1033"/>
    </row>
    <row r="6" spans="1:255" ht="40.5" customHeight="1" thickBot="1">
      <c r="A6" s="1413"/>
      <c r="B6" s="1414"/>
      <c r="C6" s="1415"/>
      <c r="D6" s="1419" t="s">
        <v>207</v>
      </c>
      <c r="E6" s="1420"/>
      <c r="F6" s="1420"/>
      <c r="G6" s="1420"/>
      <c r="H6" s="1420"/>
      <c r="I6" s="1420"/>
      <c r="J6" s="1420"/>
      <c r="K6" s="1420"/>
      <c r="L6" s="1420"/>
      <c r="M6" s="1420"/>
      <c r="N6" s="1420"/>
      <c r="O6" s="1420"/>
      <c r="P6" s="1420"/>
      <c r="Q6" s="1420"/>
      <c r="R6" s="1420"/>
      <c r="S6" s="1420"/>
      <c r="T6" s="1420"/>
      <c r="U6" s="1420"/>
      <c r="V6" s="1420"/>
      <c r="W6" s="1421"/>
      <c r="Y6" s="1422" t="s">
        <v>1196</v>
      </c>
      <c r="Z6" s="1423"/>
      <c r="AA6" s="1410" t="s">
        <v>356</v>
      </c>
      <c r="AB6" s="1411"/>
      <c r="AC6" s="1411"/>
      <c r="AD6" s="1411"/>
      <c r="AE6" s="1411"/>
      <c r="AF6" s="1411"/>
      <c r="AG6" s="1411"/>
      <c r="AH6" s="1411"/>
      <c r="AI6" s="1411"/>
      <c r="AJ6" s="1411"/>
      <c r="AK6" s="1411"/>
      <c r="AL6" s="1411"/>
      <c r="AM6" s="1411"/>
      <c r="AN6" s="1411"/>
      <c r="AO6" s="1411"/>
      <c r="AP6" s="1411"/>
      <c r="AQ6" s="1411"/>
      <c r="AR6" s="1411"/>
      <c r="AS6" s="1411"/>
      <c r="AT6" s="1412"/>
    </row>
    <row r="7" spans="1:255" ht="14.25" customHeight="1" thickBot="1">
      <c r="A7" s="1416"/>
      <c r="B7" s="1417"/>
      <c r="C7" s="1418"/>
      <c r="D7" s="883">
        <v>0.3</v>
      </c>
      <c r="E7" s="884">
        <v>0.4</v>
      </c>
      <c r="F7" s="884">
        <v>0.5</v>
      </c>
      <c r="G7" s="884">
        <v>0.6</v>
      </c>
      <c r="H7" s="884">
        <v>0.7</v>
      </c>
      <c r="I7" s="884">
        <v>0.8</v>
      </c>
      <c r="J7" s="884">
        <v>0.9</v>
      </c>
      <c r="K7" s="884">
        <v>1</v>
      </c>
      <c r="L7" s="884">
        <v>1.1000000000000001</v>
      </c>
      <c r="M7" s="884">
        <v>1.2</v>
      </c>
      <c r="N7" s="884">
        <v>1.3</v>
      </c>
      <c r="O7" s="884">
        <v>1.4</v>
      </c>
      <c r="P7" s="884">
        <v>1.5</v>
      </c>
      <c r="Q7" s="884">
        <v>1.6</v>
      </c>
      <c r="R7" s="884">
        <v>1.7</v>
      </c>
      <c r="S7" s="884">
        <v>1.8</v>
      </c>
      <c r="T7" s="884">
        <v>1.9</v>
      </c>
      <c r="U7" s="884">
        <v>2</v>
      </c>
      <c r="V7" s="884">
        <v>2.1</v>
      </c>
      <c r="W7" s="885">
        <v>2.2000000000000002</v>
      </c>
      <c r="Y7" s="1424"/>
      <c r="Z7" s="1425"/>
      <c r="AA7" s="649">
        <v>0.3</v>
      </c>
      <c r="AB7" s="649">
        <v>0.4</v>
      </c>
      <c r="AC7" s="649">
        <v>0.5</v>
      </c>
      <c r="AD7" s="649">
        <v>0.6</v>
      </c>
      <c r="AE7" s="649">
        <v>0.7</v>
      </c>
      <c r="AF7" s="649">
        <v>0.8</v>
      </c>
      <c r="AG7" s="649">
        <v>0.9</v>
      </c>
      <c r="AH7" s="649">
        <v>1</v>
      </c>
      <c r="AI7" s="649">
        <v>1.1000000000000001</v>
      </c>
      <c r="AJ7" s="649">
        <v>1.2</v>
      </c>
      <c r="AK7" s="649">
        <v>1.3</v>
      </c>
      <c r="AL7" s="649">
        <v>1.4</v>
      </c>
      <c r="AM7" s="649">
        <v>1.5</v>
      </c>
      <c r="AN7" s="649">
        <v>1.6</v>
      </c>
      <c r="AO7" s="649">
        <v>1.7</v>
      </c>
      <c r="AP7" s="649">
        <v>1.8</v>
      </c>
      <c r="AQ7" s="649">
        <v>1.9</v>
      </c>
      <c r="AR7" s="649">
        <v>2</v>
      </c>
      <c r="AS7" s="649">
        <v>2.1</v>
      </c>
      <c r="AT7" s="649">
        <v>2.2000000000000002</v>
      </c>
    </row>
    <row r="8" spans="1:255" ht="20.25" customHeight="1">
      <c r="A8" s="1426" t="s">
        <v>3</v>
      </c>
      <c r="B8" s="1427"/>
      <c r="C8" s="886">
        <v>0.2</v>
      </c>
      <c r="D8" s="899">
        <f>(AA8*KFC!$B$16+KFC!$C$16)*KFC!$C$5</f>
        <v>25.8684209802</v>
      </c>
      <c r="E8" s="900">
        <f>(AB8*KFC!$B$16+KFC!$C$16)*KFC!$C$5</f>
        <v>28.393871111632894</v>
      </c>
      <c r="F8" s="900">
        <f>(AC8*KFC!$B$16+KFC!$C$16)*KFC!$C$5</f>
        <v>30.919321243065795</v>
      </c>
      <c r="G8" s="900">
        <f>(AD8*KFC!$B$16+KFC!$C$16)*KFC!$C$5</f>
        <v>33.444771374498686</v>
      </c>
      <c r="H8" s="900">
        <f>(AE8*KFC!$B$16+KFC!$C$16)*KFC!$C$5</f>
        <v>35.970221505931583</v>
      </c>
      <c r="I8" s="900">
        <f>(AF8*KFC!$B$16+KFC!$C$16)*KFC!$C$5</f>
        <v>38.495671637364481</v>
      </c>
      <c r="J8" s="900">
        <f>(AG8*KFC!$B$16+KFC!$C$16)*KFC!$C$5</f>
        <v>41.021121768797379</v>
      </c>
      <c r="K8" s="900">
        <f>(AH8*KFC!$B$16+KFC!$C$16)*KFC!$C$5</f>
        <v>43.546571900230269</v>
      </c>
      <c r="L8" s="900">
        <f>(AI8*KFC!$B$16+KFC!$C$16)*KFC!$C$5</f>
        <v>46.072022031663167</v>
      </c>
      <c r="M8" s="900">
        <f>(AJ8*KFC!$B$16+KFC!$C$16)*KFC!$C$5</f>
        <v>48.597472163096064</v>
      </c>
      <c r="N8" s="900">
        <f>(AK8*KFC!$B$16+KFC!$C$16)*KFC!$C$5</f>
        <v>51.122922294528955</v>
      </c>
      <c r="O8" s="900">
        <f>(AL8*KFC!$B$16+KFC!$C$16)*KFC!$C$5</f>
        <v>53.64837242596186</v>
      </c>
      <c r="P8" s="900">
        <f>(AM8*KFC!$B$16+KFC!$C$16)*KFC!$C$5</f>
        <v>56.17382255739475</v>
      </c>
      <c r="Q8" s="900">
        <f>(AN8*KFC!$B$16+KFC!$C$16)*KFC!$C$5</f>
        <v>58.699272688827648</v>
      </c>
      <c r="R8" s="900">
        <f>(AO8*KFC!$B$16+KFC!$C$16)*KFC!$C$5</f>
        <v>61.224722820260538</v>
      </c>
      <c r="S8" s="900">
        <f>(AP8*KFC!$B$16+KFC!$C$16)*KFC!$C$5</f>
        <v>63.750172951693436</v>
      </c>
      <c r="T8" s="900">
        <f>(AQ8*KFC!$B$16+KFC!$C$16)*KFC!$C$5</f>
        <v>66.275623083126334</v>
      </c>
      <c r="U8" s="900">
        <f>(AR8*KFC!$B$16+KFC!$C$16)*KFC!$C$5</f>
        <v>68.801073214559224</v>
      </c>
      <c r="V8" s="900">
        <f>(AS8*KFC!$B$16+KFC!$C$16)*KFC!$C$5</f>
        <v>71.326523345992115</v>
      </c>
      <c r="W8" s="901">
        <f>(AT8*KFC!$B$16+KFC!$C$16)*KFC!$C$5</f>
        <v>73.851973477425005</v>
      </c>
      <c r="Y8" s="1430" t="s">
        <v>357</v>
      </c>
      <c r="Z8" s="649">
        <v>0.2</v>
      </c>
      <c r="AA8" s="882">
        <v>25.8684209802</v>
      </c>
      <c r="AB8" s="882">
        <v>28.393871111632894</v>
      </c>
      <c r="AC8" s="882">
        <v>30.919321243065795</v>
      </c>
      <c r="AD8" s="882">
        <v>33.444771374498686</v>
      </c>
      <c r="AE8" s="882">
        <v>35.970221505931583</v>
      </c>
      <c r="AF8" s="882">
        <v>38.495671637364481</v>
      </c>
      <c r="AG8" s="882">
        <v>41.021121768797379</v>
      </c>
      <c r="AH8" s="882">
        <v>43.546571900230269</v>
      </c>
      <c r="AI8" s="882">
        <v>46.072022031663167</v>
      </c>
      <c r="AJ8" s="882">
        <v>48.597472163096064</v>
      </c>
      <c r="AK8" s="882">
        <v>51.122922294528955</v>
      </c>
      <c r="AL8" s="882">
        <v>53.64837242596186</v>
      </c>
      <c r="AM8" s="882">
        <v>56.17382255739475</v>
      </c>
      <c r="AN8" s="882">
        <v>58.699272688827648</v>
      </c>
      <c r="AO8" s="882">
        <v>61.224722820260538</v>
      </c>
      <c r="AP8" s="882">
        <v>63.750172951693436</v>
      </c>
      <c r="AQ8" s="882">
        <v>66.275623083126334</v>
      </c>
      <c r="AR8" s="882">
        <v>68.801073214559224</v>
      </c>
      <c r="AS8" s="882">
        <v>71.326523345992115</v>
      </c>
      <c r="AT8" s="882">
        <v>73.851973477425005</v>
      </c>
    </row>
    <row r="9" spans="1:255" ht="14.4" customHeight="1">
      <c r="A9" s="1426"/>
      <c r="B9" s="1427"/>
      <c r="C9" s="887">
        <v>0.3</v>
      </c>
      <c r="D9" s="902">
        <f>(AA9*KFC!$B$16+KFC!$C$16)*KFC!$C$5</f>
        <v>26.440789399650001</v>
      </c>
      <c r="E9" s="898">
        <f>(AB9*KFC!$B$16+KFC!$C$16)*KFC!$C$5</f>
        <v>29.076395347948974</v>
      </c>
      <c r="F9" s="898">
        <f>(AC9*KFC!$B$16+KFC!$C$16)*KFC!$C$5</f>
        <v>31.712001296247948</v>
      </c>
      <c r="G9" s="898">
        <f>(AD9*KFC!$B$16+KFC!$C$16)*KFC!$C$5</f>
        <v>34.347607244546921</v>
      </c>
      <c r="H9" s="898">
        <f>(AE9*KFC!$B$16+KFC!$C$16)*KFC!$C$5</f>
        <v>36.983213192845895</v>
      </c>
      <c r="I9" s="898">
        <f>(AF9*KFC!$B$16+KFC!$C$16)*KFC!$C$5</f>
        <v>39.618819141144868</v>
      </c>
      <c r="J9" s="898">
        <f>(AG9*KFC!$B$16+KFC!$C$16)*KFC!$C$5</f>
        <v>42.254425089443842</v>
      </c>
      <c r="K9" s="898">
        <f>(AH9*KFC!$B$16+KFC!$C$16)*KFC!$C$5</f>
        <v>44.890031037742816</v>
      </c>
      <c r="L9" s="898">
        <f>(AI9*KFC!$B$16+KFC!$C$16)*KFC!$C$5</f>
        <v>47.525636986041796</v>
      </c>
      <c r="M9" s="898">
        <f>(AJ9*KFC!$B$16+KFC!$C$16)*KFC!$C$5</f>
        <v>50.161242934340777</v>
      </c>
      <c r="N9" s="898">
        <f>(AK9*KFC!$B$16+KFC!$C$16)*KFC!$C$5</f>
        <v>52.79684888263975</v>
      </c>
      <c r="O9" s="898">
        <f>(AL9*KFC!$B$16+KFC!$C$16)*KFC!$C$5</f>
        <v>55.432454830938731</v>
      </c>
      <c r="P9" s="898">
        <f>(AM9*KFC!$B$16+KFC!$C$16)*KFC!$C$5</f>
        <v>58.068060779237705</v>
      </c>
      <c r="Q9" s="898">
        <f>(AN9*KFC!$B$16+KFC!$C$16)*KFC!$C$5</f>
        <v>60.703666727536685</v>
      </c>
      <c r="R9" s="898">
        <f>(AO9*KFC!$B$16+KFC!$C$16)*KFC!$C$5</f>
        <v>63.339272675835659</v>
      </c>
      <c r="S9" s="898">
        <f>(AP9*KFC!$B$16+KFC!$C$16)*KFC!$C$5</f>
        <v>65.974878624134632</v>
      </c>
      <c r="T9" s="898">
        <f>(AQ9*KFC!$B$16+KFC!$C$16)*KFC!$C$5</f>
        <v>68.61048457243362</v>
      </c>
      <c r="U9" s="898">
        <f>(AR9*KFC!$B$16+KFC!$C$16)*KFC!$C$5</f>
        <v>71.246090520732579</v>
      </c>
      <c r="V9" s="898">
        <f>(AS9*KFC!$B$16+KFC!$C$16)*KFC!$C$5</f>
        <v>73.881696469031553</v>
      </c>
      <c r="W9" s="903">
        <f>(AT9*KFC!$B$16+KFC!$C$16)*KFC!$C$5</f>
        <v>76.517302417330484</v>
      </c>
      <c r="Y9" s="1431"/>
      <c r="Z9" s="649">
        <v>0.3</v>
      </c>
      <c r="AA9" s="882">
        <v>26.440789399650001</v>
      </c>
      <c r="AB9" s="882">
        <v>29.076395347948974</v>
      </c>
      <c r="AC9" s="882">
        <v>31.712001296247948</v>
      </c>
      <c r="AD9" s="882">
        <v>34.347607244546921</v>
      </c>
      <c r="AE9" s="882">
        <v>36.983213192845895</v>
      </c>
      <c r="AF9" s="882">
        <v>39.618819141144868</v>
      </c>
      <c r="AG9" s="882">
        <v>42.254425089443842</v>
      </c>
      <c r="AH9" s="882">
        <v>44.890031037742816</v>
      </c>
      <c r="AI9" s="882">
        <v>47.525636986041796</v>
      </c>
      <c r="AJ9" s="882">
        <v>50.161242934340777</v>
      </c>
      <c r="AK9" s="882">
        <v>52.79684888263975</v>
      </c>
      <c r="AL9" s="882">
        <v>55.432454830938731</v>
      </c>
      <c r="AM9" s="882">
        <v>58.068060779237705</v>
      </c>
      <c r="AN9" s="882">
        <v>60.703666727536685</v>
      </c>
      <c r="AO9" s="882">
        <v>63.339272675835659</v>
      </c>
      <c r="AP9" s="882">
        <v>65.974878624134632</v>
      </c>
      <c r="AQ9" s="882">
        <v>68.61048457243362</v>
      </c>
      <c r="AR9" s="882">
        <v>71.246090520732579</v>
      </c>
      <c r="AS9" s="882">
        <v>73.881696469031553</v>
      </c>
      <c r="AT9" s="882">
        <v>76.517302417330484</v>
      </c>
    </row>
    <row r="10" spans="1:255">
      <c r="A10" s="1426"/>
      <c r="B10" s="1427"/>
      <c r="C10" s="887">
        <v>0.4</v>
      </c>
      <c r="D10" s="902">
        <f>(AA10*KFC!$B$16+KFC!$C$16)*KFC!$C$5</f>
        <v>27.013157819099998</v>
      </c>
      <c r="E10" s="898">
        <f>(AB10*KFC!$B$16+KFC!$C$16)*KFC!$C$5</f>
        <v>29.758919584265055</v>
      </c>
      <c r="F10" s="898">
        <f>(AC10*KFC!$B$16+KFC!$C$16)*KFC!$C$5</f>
        <v>32.504681349430108</v>
      </c>
      <c r="G10" s="898">
        <f>(AD10*KFC!$B$16+KFC!$C$16)*KFC!$C$5</f>
        <v>35.250443114595164</v>
      </c>
      <c r="H10" s="898">
        <f>(AE10*KFC!$B$16+KFC!$C$16)*KFC!$C$5</f>
        <v>37.996204879760221</v>
      </c>
      <c r="I10" s="898">
        <f>(AF10*KFC!$B$16+KFC!$C$16)*KFC!$C$5</f>
        <v>40.741966644925263</v>
      </c>
      <c r="J10" s="898">
        <f>(AG10*KFC!$B$16+KFC!$C$16)*KFC!$C$5</f>
        <v>43.48772841009032</v>
      </c>
      <c r="K10" s="898">
        <f>(AH10*KFC!$B$16+KFC!$C$16)*KFC!$C$5</f>
        <v>46.233490175255362</v>
      </c>
      <c r="L10" s="898">
        <f>(AI10*KFC!$B$16+KFC!$C$16)*KFC!$C$5</f>
        <v>48.979251940420419</v>
      </c>
      <c r="M10" s="898">
        <f>(AJ10*KFC!$B$16+KFC!$C$16)*KFC!$C$5</f>
        <v>51.725013705585461</v>
      </c>
      <c r="N10" s="898">
        <f>(AK10*KFC!$B$16+KFC!$C$16)*KFC!$C$5</f>
        <v>54.470775470750517</v>
      </c>
      <c r="O10" s="898">
        <f>(AL10*KFC!$B$16+KFC!$C$16)*KFC!$C$5</f>
        <v>57.21653723591556</v>
      </c>
      <c r="P10" s="898">
        <f>(AM10*KFC!$B$16+KFC!$C$16)*KFC!$C$5</f>
        <v>59.962299001080616</v>
      </c>
      <c r="Q10" s="898">
        <f>(AN10*KFC!$B$16+KFC!$C$16)*KFC!$C$5</f>
        <v>62.708060766245659</v>
      </c>
      <c r="R10" s="898">
        <f>(AO10*KFC!$B$16+KFC!$C$16)*KFC!$C$5</f>
        <v>65.453822531410722</v>
      </c>
      <c r="S10" s="898">
        <f>(AP10*KFC!$B$16+KFC!$C$16)*KFC!$C$5</f>
        <v>68.199584296575765</v>
      </c>
      <c r="T10" s="898">
        <f>(AQ10*KFC!$B$16+KFC!$C$16)*KFC!$C$5</f>
        <v>70.945346061740821</v>
      </c>
      <c r="U10" s="898">
        <f>(AR10*KFC!$B$16+KFC!$C$16)*KFC!$C$5</f>
        <v>73.691107826905878</v>
      </c>
      <c r="V10" s="898">
        <f>(AS10*KFC!$B$16+KFC!$C$16)*KFC!$C$5</f>
        <v>76.436869592070948</v>
      </c>
      <c r="W10" s="903">
        <f>(AT10*KFC!$B$16+KFC!$C$16)*KFC!$C$5</f>
        <v>79.182631357235991</v>
      </c>
      <c r="Y10" s="1431"/>
      <c r="Z10" s="649">
        <v>0.4</v>
      </c>
      <c r="AA10" s="882">
        <v>27.013157819099998</v>
      </c>
      <c r="AB10" s="882">
        <v>29.758919584265055</v>
      </c>
      <c r="AC10" s="882">
        <v>32.504681349430108</v>
      </c>
      <c r="AD10" s="882">
        <v>35.250443114595164</v>
      </c>
      <c r="AE10" s="882">
        <v>37.996204879760221</v>
      </c>
      <c r="AF10" s="882">
        <v>40.741966644925263</v>
      </c>
      <c r="AG10" s="882">
        <v>43.48772841009032</v>
      </c>
      <c r="AH10" s="882">
        <v>46.233490175255362</v>
      </c>
      <c r="AI10" s="882">
        <v>48.979251940420419</v>
      </c>
      <c r="AJ10" s="882">
        <v>51.725013705585461</v>
      </c>
      <c r="AK10" s="882">
        <v>54.470775470750517</v>
      </c>
      <c r="AL10" s="882">
        <v>57.21653723591556</v>
      </c>
      <c r="AM10" s="882">
        <v>59.962299001080616</v>
      </c>
      <c r="AN10" s="882">
        <v>62.708060766245659</v>
      </c>
      <c r="AO10" s="882">
        <v>65.453822531410722</v>
      </c>
      <c r="AP10" s="882">
        <v>68.199584296575765</v>
      </c>
      <c r="AQ10" s="882">
        <v>70.945346061740821</v>
      </c>
      <c r="AR10" s="882">
        <v>73.691107826905878</v>
      </c>
      <c r="AS10" s="882">
        <v>76.436869592070948</v>
      </c>
      <c r="AT10" s="882">
        <v>79.182631357235991</v>
      </c>
    </row>
    <row r="11" spans="1:255">
      <c r="A11" s="1426"/>
      <c r="B11" s="1427"/>
      <c r="C11" s="887">
        <v>0.5</v>
      </c>
      <c r="D11" s="902">
        <f>(AA11*KFC!$B$16+KFC!$C$16)*KFC!$C$5</f>
        <v>27.585526238550003</v>
      </c>
      <c r="E11" s="898">
        <f>(AB11*KFC!$B$16+KFC!$C$16)*KFC!$C$5</f>
        <v>30.441443820581135</v>
      </c>
      <c r="F11" s="898">
        <f>(AC11*KFC!$B$16+KFC!$C$16)*KFC!$C$5</f>
        <v>33.297361402612268</v>
      </c>
      <c r="G11" s="898">
        <f>(AD11*KFC!$B$16+KFC!$C$16)*KFC!$C$5</f>
        <v>36.1532789846434</v>
      </c>
      <c r="H11" s="898">
        <f>(AE11*KFC!$B$16+KFC!$C$16)*KFC!$C$5</f>
        <v>39.009196566674525</v>
      </c>
      <c r="I11" s="898">
        <f>(AF11*KFC!$B$16+KFC!$C$16)*KFC!$C$5</f>
        <v>41.865114148705658</v>
      </c>
      <c r="J11" s="898">
        <f>(AG11*KFC!$B$16+KFC!$C$16)*KFC!$C$5</f>
        <v>44.721031730736783</v>
      </c>
      <c r="K11" s="898">
        <f>(AH11*KFC!$B$16+KFC!$C$16)*KFC!$C$5</f>
        <v>47.576949312767916</v>
      </c>
      <c r="L11" s="898">
        <f>(AI11*KFC!$B$16+KFC!$C$16)*KFC!$C$5</f>
        <v>50.432866894799048</v>
      </c>
      <c r="M11" s="898">
        <f>(AJ11*KFC!$B$16+KFC!$C$16)*KFC!$C$5</f>
        <v>53.28878447683018</v>
      </c>
      <c r="N11" s="898">
        <f>(AK11*KFC!$B$16+KFC!$C$16)*KFC!$C$5</f>
        <v>56.144702058861313</v>
      </c>
      <c r="O11" s="898">
        <f>(AL11*KFC!$B$16+KFC!$C$16)*KFC!$C$5</f>
        <v>59.000619640892431</v>
      </c>
      <c r="P11" s="898">
        <f>(AM11*KFC!$B$16+KFC!$C$16)*KFC!$C$5</f>
        <v>61.856537222923571</v>
      </c>
      <c r="Q11" s="898">
        <f>(AN11*KFC!$B$16+KFC!$C$16)*KFC!$C$5</f>
        <v>64.712454804954703</v>
      </c>
      <c r="R11" s="898">
        <f>(AO11*KFC!$B$16+KFC!$C$16)*KFC!$C$5</f>
        <v>67.568372386985828</v>
      </c>
      <c r="S11" s="898">
        <f>(AP11*KFC!$B$16+KFC!$C$16)*KFC!$C$5</f>
        <v>70.424289969016968</v>
      </c>
      <c r="T11" s="898">
        <f>(AQ11*KFC!$B$16+KFC!$C$16)*KFC!$C$5</f>
        <v>73.280207551048107</v>
      </c>
      <c r="U11" s="898">
        <f>(AR11*KFC!$B$16+KFC!$C$16)*KFC!$C$5</f>
        <v>76.136125133079247</v>
      </c>
      <c r="V11" s="898">
        <f>(AS11*KFC!$B$16+KFC!$C$16)*KFC!$C$5</f>
        <v>78.992042715110372</v>
      </c>
      <c r="W11" s="903">
        <f>(AT11*KFC!$B$16+KFC!$C$16)*KFC!$C$5</f>
        <v>81.847960297141483</v>
      </c>
      <c r="Y11" s="1431"/>
      <c r="Z11" s="649">
        <v>0.5</v>
      </c>
      <c r="AA11" s="882">
        <v>27.585526238550003</v>
      </c>
      <c r="AB11" s="882">
        <v>30.441443820581135</v>
      </c>
      <c r="AC11" s="882">
        <v>33.297361402612268</v>
      </c>
      <c r="AD11" s="882">
        <v>36.1532789846434</v>
      </c>
      <c r="AE11" s="882">
        <v>39.009196566674525</v>
      </c>
      <c r="AF11" s="882">
        <v>41.865114148705658</v>
      </c>
      <c r="AG11" s="882">
        <v>44.721031730736783</v>
      </c>
      <c r="AH11" s="882">
        <v>47.576949312767916</v>
      </c>
      <c r="AI11" s="882">
        <v>50.432866894799048</v>
      </c>
      <c r="AJ11" s="882">
        <v>53.28878447683018</v>
      </c>
      <c r="AK11" s="882">
        <v>56.144702058861313</v>
      </c>
      <c r="AL11" s="882">
        <v>59.000619640892431</v>
      </c>
      <c r="AM11" s="882">
        <v>61.856537222923571</v>
      </c>
      <c r="AN11" s="882">
        <v>64.712454804954703</v>
      </c>
      <c r="AO11" s="882">
        <v>67.568372386985828</v>
      </c>
      <c r="AP11" s="882">
        <v>70.424289969016968</v>
      </c>
      <c r="AQ11" s="882">
        <v>73.280207551048107</v>
      </c>
      <c r="AR11" s="882">
        <v>76.136125133079247</v>
      </c>
      <c r="AS11" s="882">
        <v>78.992042715110372</v>
      </c>
      <c r="AT11" s="882">
        <v>81.847960297141483</v>
      </c>
    </row>
    <row r="12" spans="1:255">
      <c r="A12" s="1426"/>
      <c r="B12" s="1427"/>
      <c r="C12" s="887">
        <v>0.6</v>
      </c>
      <c r="D12" s="902">
        <f>(AA12*KFC!$B$16+KFC!$C$16)*KFC!$C$5</f>
        <v>28.157894658000007</v>
      </c>
      <c r="E12" s="898">
        <f>(AB12*KFC!$B$16+KFC!$C$16)*KFC!$C$5</f>
        <v>31.123968056897215</v>
      </c>
      <c r="F12" s="898">
        <f>(AC12*KFC!$B$16+KFC!$C$16)*KFC!$C$5</f>
        <v>34.09004145579442</v>
      </c>
      <c r="G12" s="898">
        <f>(AD12*KFC!$B$16+KFC!$C$16)*KFC!$C$5</f>
        <v>37.056114854691636</v>
      </c>
      <c r="H12" s="898">
        <f>(AE12*KFC!$B$16+KFC!$C$16)*KFC!$C$5</f>
        <v>40.022188253588851</v>
      </c>
      <c r="I12" s="898">
        <f>(AF12*KFC!$B$16+KFC!$C$16)*KFC!$C$5</f>
        <v>42.988261652486059</v>
      </c>
      <c r="J12" s="898">
        <f>(AG12*KFC!$B$16+KFC!$C$16)*KFC!$C$5</f>
        <v>45.954335051383268</v>
      </c>
      <c r="K12" s="898">
        <f>(AH12*KFC!$B$16+KFC!$C$16)*KFC!$C$5</f>
        <v>48.920408450280476</v>
      </c>
      <c r="L12" s="898">
        <f>(AI12*KFC!$B$16+KFC!$C$16)*KFC!$C$5</f>
        <v>51.886481849177699</v>
      </c>
      <c r="M12" s="898">
        <f>(AJ12*KFC!$B$16+KFC!$C$16)*KFC!$C$5</f>
        <v>54.852555248074907</v>
      </c>
      <c r="N12" s="898">
        <f>(AK12*KFC!$B$16+KFC!$C$16)*KFC!$C$5</f>
        <v>57.818628646972115</v>
      </c>
      <c r="O12" s="898">
        <f>(AL12*KFC!$B$16+KFC!$C$16)*KFC!$C$5</f>
        <v>60.784702045869331</v>
      </c>
      <c r="P12" s="898">
        <f>(AM12*KFC!$B$16+KFC!$C$16)*KFC!$C$5</f>
        <v>63.750775444766539</v>
      </c>
      <c r="Q12" s="898">
        <f>(AN12*KFC!$B$16+KFC!$C$16)*KFC!$C$5</f>
        <v>66.716848843663755</v>
      </c>
      <c r="R12" s="898">
        <f>(AO12*KFC!$B$16+KFC!$C$16)*KFC!$C$5</f>
        <v>69.682922242560949</v>
      </c>
      <c r="S12" s="898">
        <f>(AP12*KFC!$B$16+KFC!$C$16)*KFC!$C$5</f>
        <v>72.648995641458157</v>
      </c>
      <c r="T12" s="898">
        <f>(AQ12*KFC!$B$16+KFC!$C$16)*KFC!$C$5</f>
        <v>75.615069040355365</v>
      </c>
      <c r="U12" s="898">
        <f>(AR12*KFC!$B$16+KFC!$C$16)*KFC!$C$5</f>
        <v>78.581142439252574</v>
      </c>
      <c r="V12" s="898">
        <f>(AS12*KFC!$B$16+KFC!$C$16)*KFC!$C$5</f>
        <v>81.547215838149768</v>
      </c>
      <c r="W12" s="903">
        <f>(AT12*KFC!$B$16+KFC!$C$16)*KFC!$C$5</f>
        <v>84.51328923704699</v>
      </c>
      <c r="Y12" s="1431"/>
      <c r="Z12" s="649">
        <v>0.6</v>
      </c>
      <c r="AA12" s="882">
        <v>28.157894658000007</v>
      </c>
      <c r="AB12" s="882">
        <v>31.123968056897215</v>
      </c>
      <c r="AC12" s="882">
        <v>34.09004145579442</v>
      </c>
      <c r="AD12" s="882">
        <v>37.056114854691636</v>
      </c>
      <c r="AE12" s="882">
        <v>40.022188253588851</v>
      </c>
      <c r="AF12" s="882">
        <v>42.988261652486059</v>
      </c>
      <c r="AG12" s="882">
        <v>45.954335051383268</v>
      </c>
      <c r="AH12" s="882">
        <v>48.920408450280476</v>
      </c>
      <c r="AI12" s="882">
        <v>51.886481849177699</v>
      </c>
      <c r="AJ12" s="882">
        <v>54.852555248074907</v>
      </c>
      <c r="AK12" s="882">
        <v>57.818628646972115</v>
      </c>
      <c r="AL12" s="882">
        <v>60.784702045869331</v>
      </c>
      <c r="AM12" s="882">
        <v>63.750775444766539</v>
      </c>
      <c r="AN12" s="882">
        <v>66.716848843663755</v>
      </c>
      <c r="AO12" s="882">
        <v>69.682922242560949</v>
      </c>
      <c r="AP12" s="882">
        <v>72.648995641458157</v>
      </c>
      <c r="AQ12" s="882">
        <v>75.615069040355365</v>
      </c>
      <c r="AR12" s="882">
        <v>78.581142439252574</v>
      </c>
      <c r="AS12" s="882">
        <v>81.547215838149768</v>
      </c>
      <c r="AT12" s="882">
        <v>84.51328923704699</v>
      </c>
    </row>
    <row r="13" spans="1:255">
      <c r="A13" s="1426"/>
      <c r="B13" s="1427"/>
      <c r="C13" s="887">
        <v>0.7</v>
      </c>
      <c r="D13" s="902">
        <f>(AA13*KFC!$B$16+KFC!$C$16)*KFC!$C$5</f>
        <v>28.730263077450008</v>
      </c>
      <c r="E13" s="898">
        <f>(AB13*KFC!$B$16+KFC!$C$16)*KFC!$C$5</f>
        <v>31.806492293213296</v>
      </c>
      <c r="F13" s="898">
        <f>(AC13*KFC!$B$16+KFC!$C$16)*KFC!$C$5</f>
        <v>34.88272150897658</v>
      </c>
      <c r="G13" s="898">
        <f>(AD13*KFC!$B$16+KFC!$C$16)*KFC!$C$5</f>
        <v>37.958950724739871</v>
      </c>
      <c r="H13" s="898">
        <f>(AE13*KFC!$B$16+KFC!$C$16)*KFC!$C$5</f>
        <v>41.035179940503163</v>
      </c>
      <c r="I13" s="898">
        <f>(AF13*KFC!$B$16+KFC!$C$16)*KFC!$C$5</f>
        <v>44.11140915626644</v>
      </c>
      <c r="J13" s="898">
        <f>(AG13*KFC!$B$16+KFC!$C$16)*KFC!$C$5</f>
        <v>47.187638372029724</v>
      </c>
      <c r="K13" s="898">
        <f>(AH13*KFC!$B$16+KFC!$C$16)*KFC!$C$5</f>
        <v>50.263867587793008</v>
      </c>
      <c r="L13" s="898">
        <f>(AI13*KFC!$B$16+KFC!$C$16)*KFC!$C$5</f>
        <v>53.3400968035563</v>
      </c>
      <c r="M13" s="898">
        <f>(AJ13*KFC!$B$16+KFC!$C$16)*KFC!$C$5</f>
        <v>56.416326019319584</v>
      </c>
      <c r="N13" s="898">
        <f>(AK13*KFC!$B$16+KFC!$C$16)*KFC!$C$5</f>
        <v>59.492555235082868</v>
      </c>
      <c r="O13" s="898">
        <f>(AL13*KFC!$B$16+KFC!$C$16)*KFC!$C$5</f>
        <v>62.568784450846159</v>
      </c>
      <c r="P13" s="898">
        <f>(AM13*KFC!$B$16+KFC!$C$16)*KFC!$C$5</f>
        <v>65.645013666609429</v>
      </c>
      <c r="Q13" s="898">
        <f>(AN13*KFC!$B$16+KFC!$C$16)*KFC!$C$5</f>
        <v>68.721242882372721</v>
      </c>
      <c r="R13" s="898">
        <f>(AO13*KFC!$B$16+KFC!$C$16)*KFC!$C$5</f>
        <v>71.797472098136012</v>
      </c>
      <c r="S13" s="898">
        <f>(AP13*KFC!$B$16+KFC!$C$16)*KFC!$C$5</f>
        <v>74.873701313899289</v>
      </c>
      <c r="T13" s="898">
        <f>(AQ13*KFC!$B$16+KFC!$C$16)*KFC!$C$5</f>
        <v>77.949930529662581</v>
      </c>
      <c r="U13" s="898">
        <f>(AR13*KFC!$B$16+KFC!$C$16)*KFC!$C$5</f>
        <v>81.026159745425858</v>
      </c>
      <c r="V13" s="898">
        <f>(AS13*KFC!$B$16+KFC!$C$16)*KFC!$C$5</f>
        <v>84.102388961189135</v>
      </c>
      <c r="W13" s="903">
        <f>(AT13*KFC!$B$16+KFC!$C$16)*KFC!$C$5</f>
        <v>87.178618176952483</v>
      </c>
      <c r="Y13" s="1431"/>
      <c r="Z13" s="649">
        <v>0.7</v>
      </c>
      <c r="AA13" s="882">
        <v>28.730263077450008</v>
      </c>
      <c r="AB13" s="882">
        <v>31.806492293213296</v>
      </c>
      <c r="AC13" s="882">
        <v>34.88272150897658</v>
      </c>
      <c r="AD13" s="882">
        <v>37.958950724739871</v>
      </c>
      <c r="AE13" s="882">
        <v>41.035179940503163</v>
      </c>
      <c r="AF13" s="882">
        <v>44.11140915626644</v>
      </c>
      <c r="AG13" s="882">
        <v>47.187638372029724</v>
      </c>
      <c r="AH13" s="882">
        <v>50.263867587793008</v>
      </c>
      <c r="AI13" s="882">
        <v>53.3400968035563</v>
      </c>
      <c r="AJ13" s="882">
        <v>56.416326019319584</v>
      </c>
      <c r="AK13" s="882">
        <v>59.492555235082868</v>
      </c>
      <c r="AL13" s="882">
        <v>62.568784450846159</v>
      </c>
      <c r="AM13" s="882">
        <v>65.645013666609429</v>
      </c>
      <c r="AN13" s="882">
        <v>68.721242882372721</v>
      </c>
      <c r="AO13" s="882">
        <v>71.797472098136012</v>
      </c>
      <c r="AP13" s="882">
        <v>74.873701313899289</v>
      </c>
      <c r="AQ13" s="882">
        <v>77.949930529662581</v>
      </c>
      <c r="AR13" s="882">
        <v>81.026159745425858</v>
      </c>
      <c r="AS13" s="882">
        <v>84.102388961189135</v>
      </c>
      <c r="AT13" s="882">
        <v>87.178618176952483</v>
      </c>
    </row>
    <row r="14" spans="1:255">
      <c r="A14" s="1426"/>
      <c r="B14" s="1427"/>
      <c r="C14" s="887">
        <v>0.8</v>
      </c>
      <c r="D14" s="902">
        <f>(AA14*KFC!$B$16+KFC!$C$16)*KFC!$C$5</f>
        <v>29.302631496900005</v>
      </c>
      <c r="E14" s="898">
        <f>(AB14*KFC!$B$16+KFC!$C$16)*KFC!$C$5</f>
        <v>32.489016529529373</v>
      </c>
      <c r="F14" s="898">
        <f>(AC14*KFC!$B$16+KFC!$C$16)*KFC!$C$5</f>
        <v>35.67540156215874</v>
      </c>
      <c r="G14" s="898">
        <f>(AD14*KFC!$B$16+KFC!$C$16)*KFC!$C$5</f>
        <v>38.8617865947881</v>
      </c>
      <c r="H14" s="898">
        <f>(AE14*KFC!$B$16+KFC!$C$16)*KFC!$C$5</f>
        <v>42.048171627417467</v>
      </c>
      <c r="I14" s="898">
        <f>(AF14*KFC!$B$16+KFC!$C$16)*KFC!$C$5</f>
        <v>45.234556660046835</v>
      </c>
      <c r="J14" s="898">
        <f>(AG14*KFC!$B$16+KFC!$C$16)*KFC!$C$5</f>
        <v>48.420941692676202</v>
      </c>
      <c r="K14" s="898">
        <f>(AH14*KFC!$B$16+KFC!$C$16)*KFC!$C$5</f>
        <v>51.607326725305562</v>
      </c>
      <c r="L14" s="898">
        <f>(AI14*KFC!$B$16+KFC!$C$16)*KFC!$C$5</f>
        <v>54.793711757934929</v>
      </c>
      <c r="M14" s="898">
        <f>(AJ14*KFC!$B$16+KFC!$C$16)*KFC!$C$5</f>
        <v>57.980096790564289</v>
      </c>
      <c r="N14" s="898">
        <f>(AK14*KFC!$B$16+KFC!$C$16)*KFC!$C$5</f>
        <v>61.166481823193664</v>
      </c>
      <c r="O14" s="898">
        <f>(AL14*KFC!$B$16+KFC!$C$16)*KFC!$C$5</f>
        <v>64.352866855823024</v>
      </c>
      <c r="P14" s="898">
        <f>(AM14*KFC!$B$16+KFC!$C$16)*KFC!$C$5</f>
        <v>67.539251888452398</v>
      </c>
      <c r="Q14" s="898">
        <f>(AN14*KFC!$B$16+KFC!$C$16)*KFC!$C$5</f>
        <v>70.725636921081758</v>
      </c>
      <c r="R14" s="898">
        <f>(AO14*KFC!$B$16+KFC!$C$16)*KFC!$C$5</f>
        <v>73.912021953711132</v>
      </c>
      <c r="S14" s="898">
        <f>(AP14*KFC!$B$16+KFC!$C$16)*KFC!$C$5</f>
        <v>77.098406986340493</v>
      </c>
      <c r="T14" s="898">
        <f>(AQ14*KFC!$B$16+KFC!$C$16)*KFC!$C$5</f>
        <v>80.284792018969867</v>
      </c>
      <c r="U14" s="898">
        <f>(AR14*KFC!$B$16+KFC!$C$16)*KFC!$C$5</f>
        <v>83.471177051599227</v>
      </c>
      <c r="V14" s="898">
        <f>(AS14*KFC!$B$16+KFC!$C$16)*KFC!$C$5</f>
        <v>86.657562084228587</v>
      </c>
      <c r="W14" s="903">
        <f>(AT14*KFC!$B$16+KFC!$C$16)*KFC!$C$5</f>
        <v>89.843947116857976</v>
      </c>
      <c r="Y14" s="1431"/>
      <c r="Z14" s="649">
        <v>0.8</v>
      </c>
      <c r="AA14" s="882">
        <v>29.302631496900005</v>
      </c>
      <c r="AB14" s="882">
        <v>32.489016529529373</v>
      </c>
      <c r="AC14" s="882">
        <v>35.67540156215874</v>
      </c>
      <c r="AD14" s="882">
        <v>38.8617865947881</v>
      </c>
      <c r="AE14" s="882">
        <v>42.048171627417467</v>
      </c>
      <c r="AF14" s="882">
        <v>45.234556660046835</v>
      </c>
      <c r="AG14" s="882">
        <v>48.420941692676202</v>
      </c>
      <c r="AH14" s="882">
        <v>51.607326725305562</v>
      </c>
      <c r="AI14" s="882">
        <v>54.793711757934929</v>
      </c>
      <c r="AJ14" s="882">
        <v>57.980096790564289</v>
      </c>
      <c r="AK14" s="882">
        <v>61.166481823193664</v>
      </c>
      <c r="AL14" s="882">
        <v>64.352866855823024</v>
      </c>
      <c r="AM14" s="882">
        <v>67.539251888452398</v>
      </c>
      <c r="AN14" s="882">
        <v>70.725636921081758</v>
      </c>
      <c r="AO14" s="882">
        <v>73.912021953711132</v>
      </c>
      <c r="AP14" s="882">
        <v>77.098406986340493</v>
      </c>
      <c r="AQ14" s="882">
        <v>80.284792018969867</v>
      </c>
      <c r="AR14" s="882">
        <v>83.471177051599227</v>
      </c>
      <c r="AS14" s="882">
        <v>86.657562084228587</v>
      </c>
      <c r="AT14" s="882">
        <v>89.843947116857976</v>
      </c>
    </row>
    <row r="15" spans="1:255">
      <c r="A15" s="1426"/>
      <c r="B15" s="1427"/>
      <c r="C15" s="887">
        <v>0.9</v>
      </c>
      <c r="D15" s="902">
        <f>(AA15*KFC!$B$16+KFC!$C$16)*KFC!$C$5</f>
        <v>29.87499991635001</v>
      </c>
      <c r="E15" s="898">
        <f>(AB15*KFC!$B$16+KFC!$C$16)*KFC!$C$5</f>
        <v>33.171540765845457</v>
      </c>
      <c r="F15" s="898">
        <f>(AC15*KFC!$B$16+KFC!$C$16)*KFC!$C$5</f>
        <v>36.4680816153409</v>
      </c>
      <c r="G15" s="898">
        <f>(AD15*KFC!$B$16+KFC!$C$16)*KFC!$C$5</f>
        <v>39.764622464836343</v>
      </c>
      <c r="H15" s="898">
        <f>(AE15*KFC!$B$16+KFC!$C$16)*KFC!$C$5</f>
        <v>43.061163314331793</v>
      </c>
      <c r="I15" s="898">
        <f>(AF15*KFC!$B$16+KFC!$C$16)*KFC!$C$5</f>
        <v>46.357704163827236</v>
      </c>
      <c r="J15" s="898">
        <f>(AG15*KFC!$B$16+KFC!$C$16)*KFC!$C$5</f>
        <v>49.654245013322686</v>
      </c>
      <c r="K15" s="898">
        <f>(AH15*KFC!$B$16+KFC!$C$16)*KFC!$C$5</f>
        <v>52.95078586281813</v>
      </c>
      <c r="L15" s="898">
        <f>(AI15*KFC!$B$16+KFC!$C$16)*KFC!$C$5</f>
        <v>56.24732671231358</v>
      </c>
      <c r="M15" s="898">
        <f>(AJ15*KFC!$B$16+KFC!$C$16)*KFC!$C$5</f>
        <v>59.543867561809016</v>
      </c>
      <c r="N15" s="898">
        <f>(AK15*KFC!$B$16+KFC!$C$16)*KFC!$C$5</f>
        <v>62.840408411304466</v>
      </c>
      <c r="O15" s="898">
        <f>(AL15*KFC!$B$16+KFC!$C$16)*KFC!$C$5</f>
        <v>66.136949260799909</v>
      </c>
      <c r="P15" s="898">
        <f>(AM15*KFC!$B$16+KFC!$C$16)*KFC!$C$5</f>
        <v>69.433490110295352</v>
      </c>
      <c r="Q15" s="898">
        <f>(AN15*KFC!$B$16+KFC!$C$16)*KFC!$C$5</f>
        <v>72.730030959790795</v>
      </c>
      <c r="R15" s="898">
        <f>(AO15*KFC!$B$16+KFC!$C$16)*KFC!$C$5</f>
        <v>76.026571809286253</v>
      </c>
      <c r="S15" s="898">
        <f>(AP15*KFC!$B$16+KFC!$C$16)*KFC!$C$5</f>
        <v>79.323112658781696</v>
      </c>
      <c r="T15" s="898">
        <f>(AQ15*KFC!$B$16+KFC!$C$16)*KFC!$C$5</f>
        <v>82.619653508277139</v>
      </c>
      <c r="U15" s="898">
        <f>(AR15*KFC!$B$16+KFC!$C$16)*KFC!$C$5</f>
        <v>85.916194357772582</v>
      </c>
      <c r="V15" s="898">
        <f>(AS15*KFC!$B$16+KFC!$C$16)*KFC!$C$5</f>
        <v>89.212735207268025</v>
      </c>
      <c r="W15" s="903">
        <f>(AT15*KFC!$B$16+KFC!$C$16)*KFC!$C$5</f>
        <v>92.509276056763483</v>
      </c>
      <c r="Y15" s="1431"/>
      <c r="Z15" s="649">
        <v>0.9</v>
      </c>
      <c r="AA15" s="882">
        <v>29.87499991635001</v>
      </c>
      <c r="AB15" s="882">
        <v>33.171540765845457</v>
      </c>
      <c r="AC15" s="882">
        <v>36.4680816153409</v>
      </c>
      <c r="AD15" s="882">
        <v>39.764622464836343</v>
      </c>
      <c r="AE15" s="882">
        <v>43.061163314331793</v>
      </c>
      <c r="AF15" s="882">
        <v>46.357704163827236</v>
      </c>
      <c r="AG15" s="882">
        <v>49.654245013322686</v>
      </c>
      <c r="AH15" s="882">
        <v>52.95078586281813</v>
      </c>
      <c r="AI15" s="882">
        <v>56.24732671231358</v>
      </c>
      <c r="AJ15" s="882">
        <v>59.543867561809016</v>
      </c>
      <c r="AK15" s="882">
        <v>62.840408411304466</v>
      </c>
      <c r="AL15" s="882">
        <v>66.136949260799909</v>
      </c>
      <c r="AM15" s="882">
        <v>69.433490110295352</v>
      </c>
      <c r="AN15" s="882">
        <v>72.730030959790795</v>
      </c>
      <c r="AO15" s="882">
        <v>76.026571809286253</v>
      </c>
      <c r="AP15" s="882">
        <v>79.323112658781696</v>
      </c>
      <c r="AQ15" s="882">
        <v>82.619653508277139</v>
      </c>
      <c r="AR15" s="882">
        <v>85.916194357772582</v>
      </c>
      <c r="AS15" s="882">
        <v>89.212735207268025</v>
      </c>
      <c r="AT15" s="882">
        <v>92.509276056763483</v>
      </c>
    </row>
    <row r="16" spans="1:255">
      <c r="A16" s="1426"/>
      <c r="B16" s="1427"/>
      <c r="C16" s="887">
        <v>1</v>
      </c>
      <c r="D16" s="902">
        <f>(AA16*KFC!$B$16+KFC!$C$16)*KFC!$C$5</f>
        <v>30.447368335800007</v>
      </c>
      <c r="E16" s="898">
        <f>(AB16*KFC!$B$16+KFC!$C$16)*KFC!$C$5</f>
        <v>33.854065002161533</v>
      </c>
      <c r="F16" s="898">
        <f>(AC16*KFC!$B$16+KFC!$C$16)*KFC!$C$5</f>
        <v>37.26076166852306</v>
      </c>
      <c r="G16" s="898">
        <f>(AD16*KFC!$B$16+KFC!$C$16)*KFC!$C$5</f>
        <v>40.667458334884593</v>
      </c>
      <c r="H16" s="898">
        <f>(AE16*KFC!$B$16+KFC!$C$16)*KFC!$C$5</f>
        <v>44.074155001246119</v>
      </c>
      <c r="I16" s="898">
        <f>(AF16*KFC!$B$16+KFC!$C$16)*KFC!$C$5</f>
        <v>47.480851667607645</v>
      </c>
      <c r="J16" s="898">
        <f>(AG16*KFC!$B$16+KFC!$C$16)*KFC!$C$5</f>
        <v>50.887548333969164</v>
      </c>
      <c r="K16" s="898">
        <f>(AH16*KFC!$B$16+KFC!$C$16)*KFC!$C$5</f>
        <v>54.29424500033069</v>
      </c>
      <c r="L16" s="898">
        <f>(AI16*KFC!$B$16+KFC!$C$16)*KFC!$C$5</f>
        <v>57.700941666692216</v>
      </c>
      <c r="M16" s="898">
        <f>(AJ16*KFC!$B$16+KFC!$C$16)*KFC!$C$5</f>
        <v>61.107638333053742</v>
      </c>
      <c r="N16" s="898">
        <f>(AK16*KFC!$B$16+KFC!$C$16)*KFC!$C$5</f>
        <v>64.514334999415269</v>
      </c>
      <c r="O16" s="898">
        <f>(AL16*KFC!$B$16+KFC!$C$16)*KFC!$C$5</f>
        <v>67.921031665776795</v>
      </c>
      <c r="P16" s="898">
        <f>(AM16*KFC!$B$16+KFC!$C$16)*KFC!$C$5</f>
        <v>71.327728332138321</v>
      </c>
      <c r="Q16" s="898">
        <f>(AN16*KFC!$B$16+KFC!$C$16)*KFC!$C$5</f>
        <v>74.734424998499847</v>
      </c>
      <c r="R16" s="898">
        <f>(AO16*KFC!$B$16+KFC!$C$16)*KFC!$C$5</f>
        <v>78.141121664861373</v>
      </c>
      <c r="S16" s="898">
        <f>(AP16*KFC!$B$16+KFC!$C$16)*KFC!$C$5</f>
        <v>81.547818331222899</v>
      </c>
      <c r="T16" s="898">
        <f>(AQ16*KFC!$B$16+KFC!$C$16)*KFC!$C$5</f>
        <v>84.954514997584411</v>
      </c>
      <c r="U16" s="898">
        <f>(AR16*KFC!$B$16+KFC!$C$16)*KFC!$C$5</f>
        <v>88.361211663945937</v>
      </c>
      <c r="V16" s="898">
        <f>(AS16*KFC!$B$16+KFC!$C$16)*KFC!$C$5</f>
        <v>91.767908330307463</v>
      </c>
      <c r="W16" s="903">
        <f>(AT16*KFC!$B$16+KFC!$C$16)*KFC!$C$5</f>
        <v>95.174604996668975</v>
      </c>
      <c r="Y16" s="1431"/>
      <c r="Z16" s="649">
        <v>1</v>
      </c>
      <c r="AA16" s="882">
        <v>30.447368335800007</v>
      </c>
      <c r="AB16" s="882">
        <v>33.854065002161533</v>
      </c>
      <c r="AC16" s="882">
        <v>37.26076166852306</v>
      </c>
      <c r="AD16" s="882">
        <v>40.667458334884593</v>
      </c>
      <c r="AE16" s="882">
        <v>44.074155001246119</v>
      </c>
      <c r="AF16" s="882">
        <v>47.480851667607645</v>
      </c>
      <c r="AG16" s="882">
        <v>50.887548333969164</v>
      </c>
      <c r="AH16" s="882">
        <v>54.29424500033069</v>
      </c>
      <c r="AI16" s="882">
        <v>57.700941666692216</v>
      </c>
      <c r="AJ16" s="882">
        <v>61.107638333053742</v>
      </c>
      <c r="AK16" s="882">
        <v>64.514334999415269</v>
      </c>
      <c r="AL16" s="882">
        <v>67.921031665776795</v>
      </c>
      <c r="AM16" s="882">
        <v>71.327728332138321</v>
      </c>
      <c r="AN16" s="882">
        <v>74.734424998499847</v>
      </c>
      <c r="AO16" s="882">
        <v>78.141121664861373</v>
      </c>
      <c r="AP16" s="882">
        <v>81.547818331222899</v>
      </c>
      <c r="AQ16" s="882">
        <v>84.954514997584411</v>
      </c>
      <c r="AR16" s="882">
        <v>88.361211663945937</v>
      </c>
      <c r="AS16" s="882">
        <v>91.767908330307463</v>
      </c>
      <c r="AT16" s="882">
        <v>95.174604996668975</v>
      </c>
    </row>
    <row r="17" spans="1:46">
      <c r="A17" s="1426"/>
      <c r="B17" s="1427"/>
      <c r="C17" s="887">
        <v>1.1000000000000001</v>
      </c>
      <c r="D17" s="902">
        <f>(AA17*KFC!$B$16+KFC!$C$16)*KFC!$C$5</f>
        <v>31.019736755250012</v>
      </c>
      <c r="E17" s="898">
        <f>(AB17*KFC!$B$16+KFC!$C$16)*KFC!$C$5</f>
        <v>34.536589238477617</v>
      </c>
      <c r="F17" s="898">
        <f>(AC17*KFC!$B$16+KFC!$C$16)*KFC!$C$5</f>
        <v>38.053441721705219</v>
      </c>
      <c r="G17" s="898">
        <f>(AD17*KFC!$B$16+KFC!$C$16)*KFC!$C$5</f>
        <v>41.570294204932814</v>
      </c>
      <c r="H17" s="898">
        <f>(AE17*KFC!$B$16+KFC!$C$16)*KFC!$C$5</f>
        <v>45.087146688160416</v>
      </c>
      <c r="I17" s="898">
        <f>(AF17*KFC!$B$16+KFC!$C$16)*KFC!$C$5</f>
        <v>48.603999171388033</v>
      </c>
      <c r="J17" s="898">
        <f>(AG17*KFC!$B$16+KFC!$C$16)*KFC!$C$5</f>
        <v>52.120851654615635</v>
      </c>
      <c r="K17" s="898">
        <f>(AH17*KFC!$B$16+KFC!$C$16)*KFC!$C$5</f>
        <v>55.637704137843244</v>
      </c>
      <c r="L17" s="898">
        <f>(AI17*KFC!$B$16+KFC!$C$16)*KFC!$C$5</f>
        <v>59.154556621070853</v>
      </c>
      <c r="M17" s="898">
        <f>(AJ17*KFC!$B$16+KFC!$C$16)*KFC!$C$5</f>
        <v>62.671409104298462</v>
      </c>
      <c r="N17" s="898">
        <f>(AK17*KFC!$B$16+KFC!$C$16)*KFC!$C$5</f>
        <v>66.188261587526071</v>
      </c>
      <c r="O17" s="898">
        <f>(AL17*KFC!$B$16+KFC!$C$16)*KFC!$C$5</f>
        <v>69.70511407075368</v>
      </c>
      <c r="P17" s="898">
        <f>(AM17*KFC!$B$16+KFC!$C$16)*KFC!$C$5</f>
        <v>73.221966553981275</v>
      </c>
      <c r="Q17" s="898">
        <f>(AN17*KFC!$B$16+KFC!$C$16)*KFC!$C$5</f>
        <v>76.738819037208884</v>
      </c>
      <c r="R17" s="898">
        <f>(AO17*KFC!$B$16+KFC!$C$16)*KFC!$C$5</f>
        <v>80.255671520436493</v>
      </c>
      <c r="S17" s="898">
        <f>(AP17*KFC!$B$16+KFC!$C$16)*KFC!$C$5</f>
        <v>83.772524003664103</v>
      </c>
      <c r="T17" s="898">
        <f>(AQ17*KFC!$B$16+KFC!$C$16)*KFC!$C$5</f>
        <v>87.289376486891712</v>
      </c>
      <c r="U17" s="898">
        <f>(AR17*KFC!$B$16+KFC!$C$16)*KFC!$C$5</f>
        <v>90.806228970119307</v>
      </c>
      <c r="V17" s="898">
        <f>(AS17*KFC!$B$16+KFC!$C$16)*KFC!$C$5</f>
        <v>94.323081453346916</v>
      </c>
      <c r="W17" s="903">
        <f>(AT17*KFC!$B$16+KFC!$C$16)*KFC!$C$5</f>
        <v>97.839933936574482</v>
      </c>
      <c r="Y17" s="1431"/>
      <c r="Z17" s="649">
        <v>1.1000000000000001</v>
      </c>
      <c r="AA17" s="882">
        <v>31.019736755250012</v>
      </c>
      <c r="AB17" s="882">
        <v>34.536589238477617</v>
      </c>
      <c r="AC17" s="882">
        <v>38.053441721705219</v>
      </c>
      <c r="AD17" s="882">
        <v>41.570294204932814</v>
      </c>
      <c r="AE17" s="882">
        <v>45.087146688160416</v>
      </c>
      <c r="AF17" s="882">
        <v>48.603999171388033</v>
      </c>
      <c r="AG17" s="882">
        <v>52.120851654615635</v>
      </c>
      <c r="AH17" s="882">
        <v>55.637704137843244</v>
      </c>
      <c r="AI17" s="882">
        <v>59.154556621070853</v>
      </c>
      <c r="AJ17" s="882">
        <v>62.671409104298462</v>
      </c>
      <c r="AK17" s="882">
        <v>66.188261587526071</v>
      </c>
      <c r="AL17" s="882">
        <v>69.70511407075368</v>
      </c>
      <c r="AM17" s="882">
        <v>73.221966553981275</v>
      </c>
      <c r="AN17" s="882">
        <v>76.738819037208884</v>
      </c>
      <c r="AO17" s="882">
        <v>80.255671520436493</v>
      </c>
      <c r="AP17" s="882">
        <v>83.772524003664103</v>
      </c>
      <c r="AQ17" s="882">
        <v>87.289376486891712</v>
      </c>
      <c r="AR17" s="882">
        <v>90.806228970119307</v>
      </c>
      <c r="AS17" s="882">
        <v>94.323081453346916</v>
      </c>
      <c r="AT17" s="882">
        <v>97.839933936574482</v>
      </c>
    </row>
    <row r="18" spans="1:46">
      <c r="A18" s="1426"/>
      <c r="B18" s="1427"/>
      <c r="C18" s="887">
        <v>1.2</v>
      </c>
      <c r="D18" s="902">
        <f>(AA18*KFC!$B$16+KFC!$C$16)*KFC!$C$5</f>
        <v>31.592105174700013</v>
      </c>
      <c r="E18" s="898">
        <f>(AB18*KFC!$B$16+KFC!$C$16)*KFC!$C$5</f>
        <v>35.219113474793694</v>
      </c>
      <c r="F18" s="898">
        <f>(AC18*KFC!$B$16+KFC!$C$16)*KFC!$C$5</f>
        <v>38.846121774887372</v>
      </c>
      <c r="G18" s="898">
        <f>(AD18*KFC!$B$16+KFC!$C$16)*KFC!$C$5</f>
        <v>42.47313007498105</v>
      </c>
      <c r="H18" s="898">
        <f>(AE18*KFC!$B$16+KFC!$C$16)*KFC!$C$5</f>
        <v>46.100138375074728</v>
      </c>
      <c r="I18" s="898">
        <f>(AF18*KFC!$B$16+KFC!$C$16)*KFC!$C$5</f>
        <v>49.727146675168413</v>
      </c>
      <c r="J18" s="898">
        <f>(AG18*KFC!$B$16+KFC!$C$16)*KFC!$C$5</f>
        <v>53.354154975262091</v>
      </c>
      <c r="K18" s="898">
        <f>(AH18*KFC!$B$16+KFC!$C$16)*KFC!$C$5</f>
        <v>56.981163275355776</v>
      </c>
      <c r="L18" s="898">
        <f>(AI18*KFC!$B$16+KFC!$C$16)*KFC!$C$5</f>
        <v>60.608171575449461</v>
      </c>
      <c r="M18" s="898">
        <f>(AJ18*KFC!$B$16+KFC!$C$16)*KFC!$C$5</f>
        <v>64.235179875543139</v>
      </c>
      <c r="N18" s="898">
        <f>(AK18*KFC!$B$16+KFC!$C$16)*KFC!$C$5</f>
        <v>67.862188175636817</v>
      </c>
      <c r="O18" s="898">
        <f>(AL18*KFC!$B$16+KFC!$C$16)*KFC!$C$5</f>
        <v>71.489196475730509</v>
      </c>
      <c r="P18" s="898">
        <f>(AM18*KFC!$B$16+KFC!$C$16)*KFC!$C$5</f>
        <v>75.116204775824201</v>
      </c>
      <c r="Q18" s="898">
        <f>(AN18*KFC!$B$16+KFC!$C$16)*KFC!$C$5</f>
        <v>78.743213075917879</v>
      </c>
      <c r="R18" s="898">
        <f>(AO18*KFC!$B$16+KFC!$C$16)*KFC!$C$5</f>
        <v>82.370221376011571</v>
      </c>
      <c r="S18" s="898">
        <f>(AP18*KFC!$B$16+KFC!$C$16)*KFC!$C$5</f>
        <v>85.997229676105263</v>
      </c>
      <c r="T18" s="898">
        <f>(AQ18*KFC!$B$16+KFC!$C$16)*KFC!$C$5</f>
        <v>89.624237976198955</v>
      </c>
      <c r="U18" s="898">
        <f>(AR18*KFC!$B$16+KFC!$C$16)*KFC!$C$5</f>
        <v>93.251246276292633</v>
      </c>
      <c r="V18" s="898">
        <f>(AS18*KFC!$B$16+KFC!$C$16)*KFC!$C$5</f>
        <v>96.878254576386325</v>
      </c>
      <c r="W18" s="903">
        <f>(AT18*KFC!$B$16+KFC!$C$16)*KFC!$C$5</f>
        <v>100.50526287647997</v>
      </c>
      <c r="Y18" s="1431"/>
      <c r="Z18" s="649">
        <v>1.2</v>
      </c>
      <c r="AA18" s="882">
        <v>31.592105174700013</v>
      </c>
      <c r="AB18" s="882">
        <v>35.219113474793694</v>
      </c>
      <c r="AC18" s="882">
        <v>38.846121774887372</v>
      </c>
      <c r="AD18" s="882">
        <v>42.47313007498105</v>
      </c>
      <c r="AE18" s="882">
        <v>46.100138375074728</v>
      </c>
      <c r="AF18" s="882">
        <v>49.727146675168413</v>
      </c>
      <c r="AG18" s="882">
        <v>53.354154975262091</v>
      </c>
      <c r="AH18" s="882">
        <v>56.981163275355776</v>
      </c>
      <c r="AI18" s="882">
        <v>60.608171575449461</v>
      </c>
      <c r="AJ18" s="882">
        <v>64.235179875543139</v>
      </c>
      <c r="AK18" s="882">
        <v>67.862188175636817</v>
      </c>
      <c r="AL18" s="882">
        <v>71.489196475730509</v>
      </c>
      <c r="AM18" s="882">
        <v>75.116204775824201</v>
      </c>
      <c r="AN18" s="882">
        <v>78.743213075917879</v>
      </c>
      <c r="AO18" s="882">
        <v>82.370221376011571</v>
      </c>
      <c r="AP18" s="882">
        <v>85.997229676105263</v>
      </c>
      <c r="AQ18" s="882">
        <v>89.624237976198955</v>
      </c>
      <c r="AR18" s="882">
        <v>93.251246276292633</v>
      </c>
      <c r="AS18" s="882">
        <v>96.878254576386325</v>
      </c>
      <c r="AT18" s="882">
        <v>100.50526287647997</v>
      </c>
    </row>
    <row r="19" spans="1:46">
      <c r="A19" s="1426"/>
      <c r="B19" s="1427"/>
      <c r="C19" s="887">
        <v>1.3</v>
      </c>
      <c r="D19" s="902">
        <f>(AA19*KFC!$B$16+KFC!$C$16)*KFC!$C$5</f>
        <v>32.16447359415001</v>
      </c>
      <c r="E19" s="898">
        <f>(AB19*KFC!$B$16+KFC!$C$16)*KFC!$C$5</f>
        <v>35.901637711109778</v>
      </c>
      <c r="F19" s="898">
        <f>(AC19*KFC!$B$16+KFC!$C$16)*KFC!$C$5</f>
        <v>39.638801828069532</v>
      </c>
      <c r="G19" s="898">
        <f>(AD19*KFC!$B$16+KFC!$C$16)*KFC!$C$5</f>
        <v>43.375965945029293</v>
      </c>
      <c r="H19" s="898">
        <f>(AE19*KFC!$B$16+KFC!$C$16)*KFC!$C$5</f>
        <v>47.113130061989061</v>
      </c>
      <c r="I19" s="898">
        <f>(AF19*KFC!$B$16+KFC!$C$16)*KFC!$C$5</f>
        <v>50.850294178948822</v>
      </c>
      <c r="J19" s="898">
        <f>(AG19*KFC!$B$16+KFC!$C$16)*KFC!$C$5</f>
        <v>54.587458295908583</v>
      </c>
      <c r="K19" s="898">
        <f>(AH19*KFC!$B$16+KFC!$C$16)*KFC!$C$5</f>
        <v>58.324622412868337</v>
      </c>
      <c r="L19" s="898">
        <f>(AI19*KFC!$B$16+KFC!$C$16)*KFC!$C$5</f>
        <v>62.061786529828098</v>
      </c>
      <c r="M19" s="898">
        <f>(AJ19*KFC!$B$16+KFC!$C$16)*KFC!$C$5</f>
        <v>65.798950646787858</v>
      </c>
      <c r="N19" s="898">
        <f>(AK19*KFC!$B$16+KFC!$C$16)*KFC!$C$5</f>
        <v>69.536114763747619</v>
      </c>
      <c r="O19" s="898">
        <f>(AL19*KFC!$B$16+KFC!$C$16)*KFC!$C$5</f>
        <v>73.27327888070738</v>
      </c>
      <c r="P19" s="898">
        <f>(AM19*KFC!$B$16+KFC!$C$16)*KFC!$C$5</f>
        <v>77.010442997667127</v>
      </c>
      <c r="Q19" s="898">
        <f>(AN19*KFC!$B$16+KFC!$C$16)*KFC!$C$5</f>
        <v>80.747607114626888</v>
      </c>
      <c r="R19" s="898">
        <f>(AO19*KFC!$B$16+KFC!$C$16)*KFC!$C$5</f>
        <v>84.484771231586635</v>
      </c>
      <c r="S19" s="898">
        <f>(AP19*KFC!$B$16+KFC!$C$16)*KFC!$C$5</f>
        <v>88.221935348546396</v>
      </c>
      <c r="T19" s="898">
        <f>(AQ19*KFC!$B$16+KFC!$C$16)*KFC!$C$5</f>
        <v>91.959099465506156</v>
      </c>
      <c r="U19" s="898">
        <f>(AR19*KFC!$B$16+KFC!$C$16)*KFC!$C$5</f>
        <v>95.696263582465903</v>
      </c>
      <c r="V19" s="898">
        <f>(AS19*KFC!$B$16+KFC!$C$16)*KFC!$C$5</f>
        <v>99.433427699425664</v>
      </c>
      <c r="W19" s="903">
        <f>(AT19*KFC!$B$16+KFC!$C$16)*KFC!$C$5</f>
        <v>103.17059181638547</v>
      </c>
      <c r="Y19" s="1431"/>
      <c r="Z19" s="649">
        <v>1.3</v>
      </c>
      <c r="AA19" s="882">
        <v>32.16447359415001</v>
      </c>
      <c r="AB19" s="882">
        <v>35.901637711109778</v>
      </c>
      <c r="AC19" s="882">
        <v>39.638801828069532</v>
      </c>
      <c r="AD19" s="882">
        <v>43.375965945029293</v>
      </c>
      <c r="AE19" s="882">
        <v>47.113130061989061</v>
      </c>
      <c r="AF19" s="882">
        <v>50.850294178948822</v>
      </c>
      <c r="AG19" s="882">
        <v>54.587458295908583</v>
      </c>
      <c r="AH19" s="882">
        <v>58.324622412868337</v>
      </c>
      <c r="AI19" s="882">
        <v>62.061786529828098</v>
      </c>
      <c r="AJ19" s="882">
        <v>65.798950646787858</v>
      </c>
      <c r="AK19" s="882">
        <v>69.536114763747619</v>
      </c>
      <c r="AL19" s="882">
        <v>73.27327888070738</v>
      </c>
      <c r="AM19" s="882">
        <v>77.010442997667127</v>
      </c>
      <c r="AN19" s="882">
        <v>80.747607114626888</v>
      </c>
      <c r="AO19" s="882">
        <v>84.484771231586635</v>
      </c>
      <c r="AP19" s="882">
        <v>88.221935348546396</v>
      </c>
      <c r="AQ19" s="882">
        <v>91.959099465506156</v>
      </c>
      <c r="AR19" s="882">
        <v>95.696263582465903</v>
      </c>
      <c r="AS19" s="882">
        <v>99.433427699425664</v>
      </c>
      <c r="AT19" s="882">
        <v>103.17059181638547</v>
      </c>
    </row>
    <row r="20" spans="1:46">
      <c r="A20" s="1426"/>
      <c r="B20" s="1427"/>
      <c r="C20" s="887">
        <v>1.4</v>
      </c>
      <c r="D20" s="902">
        <f>(AA20*KFC!$B$16+KFC!$C$16)*KFC!$C$5</f>
        <v>32.736842013600018</v>
      </c>
      <c r="E20" s="898">
        <f>(AB20*KFC!$B$16+KFC!$C$16)*KFC!$C$5</f>
        <v>36.584161947425855</v>
      </c>
      <c r="F20" s="898">
        <f>(AC20*KFC!$B$16+KFC!$C$16)*KFC!$C$5</f>
        <v>40.431481881251699</v>
      </c>
      <c r="G20" s="898">
        <f>(AD20*KFC!$B$16+KFC!$C$16)*KFC!$C$5</f>
        <v>44.278801815077536</v>
      </c>
      <c r="H20" s="898">
        <f>(AE20*KFC!$B$16+KFC!$C$16)*KFC!$C$5</f>
        <v>48.12612174890338</v>
      </c>
      <c r="I20" s="898">
        <f>(AF20*KFC!$B$16+KFC!$C$16)*KFC!$C$5</f>
        <v>51.973441682729231</v>
      </c>
      <c r="J20" s="898">
        <f>(AG20*KFC!$B$16+KFC!$C$16)*KFC!$C$5</f>
        <v>55.820761616555068</v>
      </c>
      <c r="K20" s="898">
        <f>(AH20*KFC!$B$16+KFC!$C$16)*KFC!$C$5</f>
        <v>59.668081550380897</v>
      </c>
      <c r="L20" s="898">
        <f>(AI20*KFC!$B$16+KFC!$C$16)*KFC!$C$5</f>
        <v>63.515401484206748</v>
      </c>
      <c r="M20" s="898">
        <f>(AJ20*KFC!$B$16+KFC!$C$16)*KFC!$C$5</f>
        <v>67.362721418032592</v>
      </c>
      <c r="N20" s="898">
        <f>(AK20*KFC!$B$16+KFC!$C$16)*KFC!$C$5</f>
        <v>71.210041351858422</v>
      </c>
      <c r="O20" s="898">
        <f>(AL20*KFC!$B$16+KFC!$C$16)*KFC!$C$5</f>
        <v>75.057361285684266</v>
      </c>
      <c r="P20" s="898">
        <f>(AM20*KFC!$B$16+KFC!$C$16)*KFC!$C$5</f>
        <v>78.904681219510096</v>
      </c>
      <c r="Q20" s="898">
        <f>(AN20*KFC!$B$16+KFC!$C$16)*KFC!$C$5</f>
        <v>82.752001153335925</v>
      </c>
      <c r="R20" s="898">
        <f>(AO20*KFC!$B$16+KFC!$C$16)*KFC!$C$5</f>
        <v>86.599321087161769</v>
      </c>
      <c r="S20" s="898">
        <f>(AP20*KFC!$B$16+KFC!$C$16)*KFC!$C$5</f>
        <v>90.446641020987585</v>
      </c>
      <c r="T20" s="898">
        <f>(AQ20*KFC!$B$16+KFC!$C$16)*KFC!$C$5</f>
        <v>94.293960954813429</v>
      </c>
      <c r="U20" s="898">
        <f>(AR20*KFC!$B$16+KFC!$C$16)*KFC!$C$5</f>
        <v>98.141280888639258</v>
      </c>
      <c r="V20" s="898">
        <f>(AS20*KFC!$B$16+KFC!$C$16)*KFC!$C$5</f>
        <v>101.9886008224651</v>
      </c>
      <c r="W20" s="903">
        <f>(AT20*KFC!$B$16+KFC!$C$16)*KFC!$C$5</f>
        <v>105.83592075629097</v>
      </c>
      <c r="Y20" s="1431"/>
      <c r="Z20" s="649">
        <v>1.4</v>
      </c>
      <c r="AA20" s="882">
        <v>32.736842013600018</v>
      </c>
      <c r="AB20" s="882">
        <v>36.584161947425855</v>
      </c>
      <c r="AC20" s="882">
        <v>40.431481881251699</v>
      </c>
      <c r="AD20" s="882">
        <v>44.278801815077536</v>
      </c>
      <c r="AE20" s="882">
        <v>48.12612174890338</v>
      </c>
      <c r="AF20" s="882">
        <v>51.973441682729231</v>
      </c>
      <c r="AG20" s="882">
        <v>55.820761616555068</v>
      </c>
      <c r="AH20" s="882">
        <v>59.668081550380897</v>
      </c>
      <c r="AI20" s="882">
        <v>63.515401484206748</v>
      </c>
      <c r="AJ20" s="882">
        <v>67.362721418032592</v>
      </c>
      <c r="AK20" s="882">
        <v>71.210041351858422</v>
      </c>
      <c r="AL20" s="882">
        <v>75.057361285684266</v>
      </c>
      <c r="AM20" s="882">
        <v>78.904681219510096</v>
      </c>
      <c r="AN20" s="882">
        <v>82.752001153335925</v>
      </c>
      <c r="AO20" s="882">
        <v>86.599321087161769</v>
      </c>
      <c r="AP20" s="882">
        <v>90.446641020987585</v>
      </c>
      <c r="AQ20" s="882">
        <v>94.293960954813429</v>
      </c>
      <c r="AR20" s="882">
        <v>98.141280888639258</v>
      </c>
      <c r="AS20" s="882">
        <v>101.9886008224651</v>
      </c>
      <c r="AT20" s="882">
        <v>105.83592075629097</v>
      </c>
    </row>
    <row r="21" spans="1:46">
      <c r="A21" s="1426"/>
      <c r="B21" s="1427"/>
      <c r="C21" s="887">
        <v>1.5</v>
      </c>
      <c r="D21" s="902">
        <f>(AA21*KFC!$B$16+KFC!$C$16)*KFC!$C$5</f>
        <v>33.309210433050019</v>
      </c>
      <c r="E21" s="898">
        <f>(AB21*KFC!$B$16+KFC!$C$16)*KFC!$C$5</f>
        <v>37.266686183741932</v>
      </c>
      <c r="F21" s="898">
        <f>(AC21*KFC!$B$16+KFC!$C$16)*KFC!$C$5</f>
        <v>41.224161934433852</v>
      </c>
      <c r="G21" s="898">
        <f>(AD21*KFC!$B$16+KFC!$C$16)*KFC!$C$5</f>
        <v>45.181637685125764</v>
      </c>
      <c r="H21" s="898">
        <f>(AE21*KFC!$B$16+KFC!$C$16)*KFC!$C$5</f>
        <v>49.139113435817677</v>
      </c>
      <c r="I21" s="898">
        <f>(AF21*KFC!$B$16+KFC!$C$16)*KFC!$C$5</f>
        <v>53.09658918650959</v>
      </c>
      <c r="J21" s="898">
        <f>(AG21*KFC!$B$16+KFC!$C$16)*KFC!$C$5</f>
        <v>57.05406493720151</v>
      </c>
      <c r="K21" s="898">
        <f>(AH21*KFC!$B$16+KFC!$C$16)*KFC!$C$5</f>
        <v>61.011540687893415</v>
      </c>
      <c r="L21" s="898">
        <f>(AI21*KFC!$B$16+KFC!$C$16)*KFC!$C$5</f>
        <v>64.969016438585342</v>
      </c>
      <c r="M21" s="898">
        <f>(AJ21*KFC!$B$16+KFC!$C$16)*KFC!$C$5</f>
        <v>68.926492189277255</v>
      </c>
      <c r="N21" s="898">
        <f>(AK21*KFC!$B$16+KFC!$C$16)*KFC!$C$5</f>
        <v>72.883967939969168</v>
      </c>
      <c r="O21" s="898">
        <f>(AL21*KFC!$B$16+KFC!$C$16)*KFC!$C$5</f>
        <v>76.841443690661094</v>
      </c>
      <c r="P21" s="898">
        <f>(AM21*KFC!$B$16+KFC!$C$16)*KFC!$C$5</f>
        <v>80.798919441353007</v>
      </c>
      <c r="Q21" s="898">
        <f>(AN21*KFC!$B$16+KFC!$C$16)*KFC!$C$5</f>
        <v>84.75639519204492</v>
      </c>
      <c r="R21" s="898">
        <f>(AO21*KFC!$B$16+KFC!$C$16)*KFC!$C$5</f>
        <v>88.713870942736833</v>
      </c>
      <c r="S21" s="898">
        <f>(AP21*KFC!$B$16+KFC!$C$16)*KFC!$C$5</f>
        <v>92.671346693428745</v>
      </c>
      <c r="T21" s="898">
        <f>(AQ21*KFC!$B$16+KFC!$C$16)*KFC!$C$5</f>
        <v>96.628822444120658</v>
      </c>
      <c r="U21" s="898">
        <f>(AR21*KFC!$B$16+KFC!$C$16)*KFC!$C$5</f>
        <v>100.58629819481257</v>
      </c>
      <c r="V21" s="898">
        <f>(AS21*KFC!$B$16+KFC!$C$16)*KFC!$C$5</f>
        <v>104.5437739455045</v>
      </c>
      <c r="W21" s="903">
        <f>(AT21*KFC!$B$16+KFC!$C$16)*KFC!$C$5</f>
        <v>108.50124969619645</v>
      </c>
      <c r="Y21" s="1431"/>
      <c r="Z21" s="649">
        <v>1.5</v>
      </c>
      <c r="AA21" s="882">
        <v>33.309210433050019</v>
      </c>
      <c r="AB21" s="882">
        <v>37.266686183741932</v>
      </c>
      <c r="AC21" s="882">
        <v>41.224161934433852</v>
      </c>
      <c r="AD21" s="882">
        <v>45.181637685125764</v>
      </c>
      <c r="AE21" s="882">
        <v>49.139113435817677</v>
      </c>
      <c r="AF21" s="882">
        <v>53.09658918650959</v>
      </c>
      <c r="AG21" s="882">
        <v>57.05406493720151</v>
      </c>
      <c r="AH21" s="882">
        <v>61.011540687893415</v>
      </c>
      <c r="AI21" s="882">
        <v>64.969016438585342</v>
      </c>
      <c r="AJ21" s="882">
        <v>68.926492189277255</v>
      </c>
      <c r="AK21" s="882">
        <v>72.883967939969168</v>
      </c>
      <c r="AL21" s="882">
        <v>76.841443690661094</v>
      </c>
      <c r="AM21" s="882">
        <v>80.798919441353007</v>
      </c>
      <c r="AN21" s="882">
        <v>84.75639519204492</v>
      </c>
      <c r="AO21" s="882">
        <v>88.713870942736833</v>
      </c>
      <c r="AP21" s="882">
        <v>92.671346693428745</v>
      </c>
      <c r="AQ21" s="882">
        <v>96.628822444120658</v>
      </c>
      <c r="AR21" s="882">
        <v>100.58629819481257</v>
      </c>
      <c r="AS21" s="882">
        <v>104.5437739455045</v>
      </c>
      <c r="AT21" s="882">
        <v>108.50124969619645</v>
      </c>
    </row>
    <row r="22" spans="1:46">
      <c r="A22" s="1426"/>
      <c r="B22" s="1427"/>
      <c r="C22" s="887">
        <v>1.6</v>
      </c>
      <c r="D22" s="902">
        <f>(AA22*KFC!$B$16+KFC!$C$16)*KFC!$C$5</f>
        <v>33.881578852500013</v>
      </c>
      <c r="E22" s="898">
        <f>(AB22*KFC!$B$16+KFC!$C$16)*KFC!$C$5</f>
        <v>37.949210420058016</v>
      </c>
      <c r="F22" s="898">
        <f>(AC22*KFC!$B$16+KFC!$C$16)*KFC!$C$5</f>
        <v>42.016841987616004</v>
      </c>
      <c r="G22" s="898">
        <f>(AD22*KFC!$B$16+KFC!$C$16)*KFC!$C$5</f>
        <v>46.084473555174007</v>
      </c>
      <c r="H22" s="898">
        <f>(AE22*KFC!$B$16+KFC!$C$16)*KFC!$C$5</f>
        <v>50.152105122731996</v>
      </c>
      <c r="I22" s="898">
        <f>(AF22*KFC!$B$16+KFC!$C$16)*KFC!$C$5</f>
        <v>54.219736690289999</v>
      </c>
      <c r="J22" s="898">
        <f>(AG22*KFC!$B$16+KFC!$C$16)*KFC!$C$5</f>
        <v>58.287368257847994</v>
      </c>
      <c r="K22" s="898">
        <f>(AH22*KFC!$B$16+KFC!$C$16)*KFC!$C$5</f>
        <v>62.35499982540599</v>
      </c>
      <c r="L22" s="898">
        <f>(AI22*KFC!$B$16+KFC!$C$16)*KFC!$C$5</f>
        <v>66.422631392963993</v>
      </c>
      <c r="M22" s="898">
        <f>(AJ22*KFC!$B$16+KFC!$C$16)*KFC!$C$5</f>
        <v>70.490262960521989</v>
      </c>
      <c r="N22" s="898">
        <f>(AK22*KFC!$B$16+KFC!$C$16)*KFC!$C$5</f>
        <v>74.557894528079984</v>
      </c>
      <c r="O22" s="898">
        <f>(AL22*KFC!$B$16+KFC!$C$16)*KFC!$C$5</f>
        <v>78.62552609563798</v>
      </c>
      <c r="P22" s="898">
        <f>(AM22*KFC!$B$16+KFC!$C$16)*KFC!$C$5</f>
        <v>82.693157663195976</v>
      </c>
      <c r="Q22" s="898">
        <f>(AN22*KFC!$B$16+KFC!$C$16)*KFC!$C$5</f>
        <v>86.760789230753971</v>
      </c>
      <c r="R22" s="898">
        <f>(AO22*KFC!$B$16+KFC!$C$16)*KFC!$C$5</f>
        <v>90.828420798311953</v>
      </c>
      <c r="S22" s="898">
        <f>(AP22*KFC!$B$16+KFC!$C$16)*KFC!$C$5</f>
        <v>94.896052365869963</v>
      </c>
      <c r="T22" s="898">
        <f>(AQ22*KFC!$B$16+KFC!$C$16)*KFC!$C$5</f>
        <v>98.963683933427959</v>
      </c>
      <c r="U22" s="898">
        <f>(AR22*KFC!$B$16+KFC!$C$16)*KFC!$C$5</f>
        <v>103.03131550098595</v>
      </c>
      <c r="V22" s="898">
        <f>(AS22*KFC!$B$16+KFC!$C$16)*KFC!$C$5</f>
        <v>107.09894706854394</v>
      </c>
      <c r="W22" s="903">
        <f>(AT22*KFC!$B$16+KFC!$C$16)*KFC!$C$5</f>
        <v>111.16657863610197</v>
      </c>
      <c r="Y22" s="1431"/>
      <c r="Z22" s="649">
        <v>1.6</v>
      </c>
      <c r="AA22" s="882">
        <v>33.881578852500013</v>
      </c>
      <c r="AB22" s="882">
        <v>37.949210420058016</v>
      </c>
      <c r="AC22" s="882">
        <v>42.016841987616004</v>
      </c>
      <c r="AD22" s="882">
        <v>46.084473555174007</v>
      </c>
      <c r="AE22" s="882">
        <v>50.152105122731996</v>
      </c>
      <c r="AF22" s="882">
        <v>54.219736690289999</v>
      </c>
      <c r="AG22" s="882">
        <v>58.287368257847994</v>
      </c>
      <c r="AH22" s="882">
        <v>62.35499982540599</v>
      </c>
      <c r="AI22" s="882">
        <v>66.422631392963993</v>
      </c>
      <c r="AJ22" s="882">
        <v>70.490262960521989</v>
      </c>
      <c r="AK22" s="882">
        <v>74.557894528079984</v>
      </c>
      <c r="AL22" s="882">
        <v>78.62552609563798</v>
      </c>
      <c r="AM22" s="882">
        <v>82.693157663195976</v>
      </c>
      <c r="AN22" s="882">
        <v>86.760789230753971</v>
      </c>
      <c r="AO22" s="882">
        <v>90.828420798311953</v>
      </c>
      <c r="AP22" s="882">
        <v>94.896052365869963</v>
      </c>
      <c r="AQ22" s="882">
        <v>98.963683933427959</v>
      </c>
      <c r="AR22" s="882">
        <v>103.03131550098595</v>
      </c>
      <c r="AS22" s="882">
        <v>107.09894706854394</v>
      </c>
      <c r="AT22" s="882">
        <v>111.16657863610197</v>
      </c>
    </row>
    <row r="23" spans="1:46">
      <c r="A23" s="1426"/>
      <c r="B23" s="1427"/>
      <c r="C23" s="887">
        <v>1.7</v>
      </c>
      <c r="D23" s="902">
        <f>(AA23*KFC!$B$16+KFC!$C$16)*KFC!$C$5</f>
        <v>34.453947271950021</v>
      </c>
      <c r="E23" s="898">
        <f>(AB23*KFC!$B$16+KFC!$C$16)*KFC!$C$5</f>
        <v>38.6317346563741</v>
      </c>
      <c r="F23" s="898">
        <f>(AC23*KFC!$B$16+KFC!$C$16)*KFC!$C$5</f>
        <v>42.809522040798171</v>
      </c>
      <c r="G23" s="898">
        <f>(AD23*KFC!$B$16+KFC!$C$16)*KFC!$C$5</f>
        <v>46.98730942522225</v>
      </c>
      <c r="H23" s="898">
        <f>(AE23*KFC!$B$16+KFC!$C$16)*KFC!$C$5</f>
        <v>51.165096809646329</v>
      </c>
      <c r="I23" s="898">
        <f>(AF23*KFC!$B$16+KFC!$C$16)*KFC!$C$5</f>
        <v>55.342884194070407</v>
      </c>
      <c r="J23" s="898">
        <f>(AG23*KFC!$B$16+KFC!$C$16)*KFC!$C$5</f>
        <v>59.520671578494472</v>
      </c>
      <c r="K23" s="898">
        <f>(AH23*KFC!$B$16+KFC!$C$16)*KFC!$C$5</f>
        <v>63.698458962918558</v>
      </c>
      <c r="L23" s="898">
        <f>(AI23*KFC!$B$16+KFC!$C$16)*KFC!$C$5</f>
        <v>67.876246347342629</v>
      </c>
      <c r="M23" s="898">
        <f>(AJ23*KFC!$B$16+KFC!$C$16)*KFC!$C$5</f>
        <v>72.054033731766708</v>
      </c>
      <c r="N23" s="898">
        <f>(AK23*KFC!$B$16+KFC!$C$16)*KFC!$C$5</f>
        <v>76.231821116190787</v>
      </c>
      <c r="O23" s="898">
        <f>(AL23*KFC!$B$16+KFC!$C$16)*KFC!$C$5</f>
        <v>80.409608500614851</v>
      </c>
      <c r="P23" s="898">
        <f>(AM23*KFC!$B$16+KFC!$C$16)*KFC!$C$5</f>
        <v>84.58739588503893</v>
      </c>
      <c r="Q23" s="898">
        <f>(AN23*KFC!$B$16+KFC!$C$16)*KFC!$C$5</f>
        <v>88.765183269463023</v>
      </c>
      <c r="R23" s="898">
        <f>(AO23*KFC!$B$16+KFC!$C$16)*KFC!$C$5</f>
        <v>92.942970653887073</v>
      </c>
      <c r="S23" s="898">
        <f>(AP23*KFC!$B$16+KFC!$C$16)*KFC!$C$5</f>
        <v>97.12075803831118</v>
      </c>
      <c r="T23" s="898">
        <f>(AQ23*KFC!$B$16+KFC!$C$16)*KFC!$C$5</f>
        <v>101.29854542273523</v>
      </c>
      <c r="U23" s="898">
        <f>(AR23*KFC!$B$16+KFC!$C$16)*KFC!$C$5</f>
        <v>105.47633280715931</v>
      </c>
      <c r="V23" s="898">
        <f>(AS23*KFC!$B$16+KFC!$C$16)*KFC!$C$5</f>
        <v>109.65412019158339</v>
      </c>
      <c r="W23" s="903">
        <f>(AT23*KFC!$B$16+KFC!$C$16)*KFC!$C$5</f>
        <v>113.83190757600745</v>
      </c>
      <c r="Y23" s="1431"/>
      <c r="Z23" s="649">
        <v>1.7</v>
      </c>
      <c r="AA23" s="882">
        <v>34.453947271950021</v>
      </c>
      <c r="AB23" s="882">
        <v>38.6317346563741</v>
      </c>
      <c r="AC23" s="882">
        <v>42.809522040798171</v>
      </c>
      <c r="AD23" s="882">
        <v>46.98730942522225</v>
      </c>
      <c r="AE23" s="882">
        <v>51.165096809646329</v>
      </c>
      <c r="AF23" s="882">
        <v>55.342884194070407</v>
      </c>
      <c r="AG23" s="882">
        <v>59.520671578494472</v>
      </c>
      <c r="AH23" s="882">
        <v>63.698458962918558</v>
      </c>
      <c r="AI23" s="882">
        <v>67.876246347342629</v>
      </c>
      <c r="AJ23" s="882">
        <v>72.054033731766708</v>
      </c>
      <c r="AK23" s="882">
        <v>76.231821116190787</v>
      </c>
      <c r="AL23" s="882">
        <v>80.409608500614851</v>
      </c>
      <c r="AM23" s="882">
        <v>84.58739588503893</v>
      </c>
      <c r="AN23" s="882">
        <v>88.765183269463023</v>
      </c>
      <c r="AO23" s="882">
        <v>92.942970653887073</v>
      </c>
      <c r="AP23" s="882">
        <v>97.12075803831118</v>
      </c>
      <c r="AQ23" s="882">
        <v>101.29854542273523</v>
      </c>
      <c r="AR23" s="882">
        <v>105.47633280715931</v>
      </c>
      <c r="AS23" s="882">
        <v>109.65412019158339</v>
      </c>
      <c r="AT23" s="882">
        <v>113.83190757600745</v>
      </c>
    </row>
    <row r="24" spans="1:46">
      <c r="A24" s="1426"/>
      <c r="B24" s="1427"/>
      <c r="C24" s="887">
        <v>1.8</v>
      </c>
      <c r="D24" s="902">
        <f>(AA24*KFC!$B$16+KFC!$C$16)*KFC!$C$5</f>
        <v>35.026315691400022</v>
      </c>
      <c r="E24" s="898">
        <f>(AB24*KFC!$B$16+KFC!$C$16)*KFC!$C$5</f>
        <v>39.314258892690177</v>
      </c>
      <c r="F24" s="898">
        <f>(AC24*KFC!$B$16+KFC!$C$16)*KFC!$C$5</f>
        <v>43.602202093980331</v>
      </c>
      <c r="G24" s="898">
        <f>(AD24*KFC!$B$16+KFC!$C$16)*KFC!$C$5</f>
        <v>47.890145295270493</v>
      </c>
      <c r="H24" s="898">
        <f>(AE24*KFC!$B$16+KFC!$C$16)*KFC!$C$5</f>
        <v>52.178088496560648</v>
      </c>
      <c r="I24" s="898">
        <f>(AF24*KFC!$B$16+KFC!$C$16)*KFC!$C$5</f>
        <v>56.466031697850802</v>
      </c>
      <c r="J24" s="898">
        <f>(AG24*KFC!$B$16+KFC!$C$16)*KFC!$C$5</f>
        <v>60.753974899140964</v>
      </c>
      <c r="K24" s="898">
        <f>(AH24*KFC!$B$16+KFC!$C$16)*KFC!$C$5</f>
        <v>65.041918100431118</v>
      </c>
      <c r="L24" s="898">
        <f>(AI24*KFC!$B$16+KFC!$C$16)*KFC!$C$5</f>
        <v>69.329861301721266</v>
      </c>
      <c r="M24" s="898">
        <f>(AJ24*KFC!$B$16+KFC!$C$16)*KFC!$C$5</f>
        <v>73.617804503011428</v>
      </c>
      <c r="N24" s="898">
        <f>(AK24*KFC!$B$16+KFC!$C$16)*KFC!$C$5</f>
        <v>77.905747704301589</v>
      </c>
      <c r="O24" s="898">
        <f>(AL24*KFC!$B$16+KFC!$C$16)*KFC!$C$5</f>
        <v>82.193690905591737</v>
      </c>
      <c r="P24" s="898">
        <f>(AM24*KFC!$B$16+KFC!$C$16)*KFC!$C$5</f>
        <v>86.481634106881899</v>
      </c>
      <c r="Q24" s="898">
        <f>(AN24*KFC!$B$16+KFC!$C$16)*KFC!$C$5</f>
        <v>90.76957730817206</v>
      </c>
      <c r="R24" s="898">
        <f>(AO24*KFC!$B$16+KFC!$C$16)*KFC!$C$5</f>
        <v>95.057520509462208</v>
      </c>
      <c r="S24" s="898">
        <f>(AP24*KFC!$B$16+KFC!$C$16)*KFC!$C$5</f>
        <v>99.345463710752369</v>
      </c>
      <c r="T24" s="898">
        <f>(AQ24*KFC!$B$16+KFC!$C$16)*KFC!$C$5</f>
        <v>103.63340691204252</v>
      </c>
      <c r="U24" s="898">
        <f>(AR24*KFC!$B$16+KFC!$C$16)*KFC!$C$5</f>
        <v>107.92135011333268</v>
      </c>
      <c r="V24" s="898">
        <f>(AS24*KFC!$B$16+KFC!$C$16)*KFC!$C$5</f>
        <v>112.20929331462284</v>
      </c>
      <c r="W24" s="903">
        <f>(AT24*KFC!$B$16+KFC!$C$16)*KFC!$C$5</f>
        <v>116.49723651591296</v>
      </c>
      <c r="Y24" s="1431"/>
      <c r="Z24" s="649">
        <v>1.8</v>
      </c>
      <c r="AA24" s="882">
        <v>35.026315691400022</v>
      </c>
      <c r="AB24" s="882">
        <v>39.314258892690177</v>
      </c>
      <c r="AC24" s="882">
        <v>43.602202093980331</v>
      </c>
      <c r="AD24" s="882">
        <v>47.890145295270493</v>
      </c>
      <c r="AE24" s="882">
        <v>52.178088496560648</v>
      </c>
      <c r="AF24" s="882">
        <v>56.466031697850802</v>
      </c>
      <c r="AG24" s="882">
        <v>60.753974899140964</v>
      </c>
      <c r="AH24" s="882">
        <v>65.041918100431118</v>
      </c>
      <c r="AI24" s="882">
        <v>69.329861301721266</v>
      </c>
      <c r="AJ24" s="882">
        <v>73.617804503011428</v>
      </c>
      <c r="AK24" s="882">
        <v>77.905747704301589</v>
      </c>
      <c r="AL24" s="882">
        <v>82.193690905591737</v>
      </c>
      <c r="AM24" s="882">
        <v>86.481634106881899</v>
      </c>
      <c r="AN24" s="882">
        <v>90.76957730817206</v>
      </c>
      <c r="AO24" s="882">
        <v>95.057520509462208</v>
      </c>
      <c r="AP24" s="882">
        <v>99.345463710752369</v>
      </c>
      <c r="AQ24" s="882">
        <v>103.63340691204252</v>
      </c>
      <c r="AR24" s="882">
        <v>107.92135011333268</v>
      </c>
      <c r="AS24" s="882">
        <v>112.20929331462284</v>
      </c>
      <c r="AT24" s="882">
        <v>116.49723651591296</v>
      </c>
    </row>
    <row r="25" spans="1:46">
      <c r="A25" s="1426"/>
      <c r="B25" s="1427"/>
      <c r="C25" s="887">
        <v>1.9</v>
      </c>
      <c r="D25" s="902">
        <f>(AA25*KFC!$B$16+KFC!$C$16)*KFC!$C$5</f>
        <v>35.598684110850023</v>
      </c>
      <c r="E25" s="898">
        <f>(AB25*KFC!$B$16+KFC!$C$16)*KFC!$C$5</f>
        <v>39.996783129006253</v>
      </c>
      <c r="F25" s="898">
        <f>(AC25*KFC!$B$16+KFC!$C$16)*KFC!$C$5</f>
        <v>44.394882147162491</v>
      </c>
      <c r="G25" s="898">
        <f>(AD25*KFC!$B$16+KFC!$C$16)*KFC!$C$5</f>
        <v>48.792981165318707</v>
      </c>
      <c r="H25" s="898">
        <f>(AE25*KFC!$B$16+KFC!$C$16)*KFC!$C$5</f>
        <v>53.191080183474945</v>
      </c>
      <c r="I25" s="898">
        <f>(AF25*KFC!$B$16+KFC!$C$16)*KFC!$C$5</f>
        <v>57.589179201631175</v>
      </c>
      <c r="J25" s="898">
        <f>(AG25*KFC!$B$16+KFC!$C$16)*KFC!$C$5</f>
        <v>61.987278219787406</v>
      </c>
      <c r="K25" s="898">
        <f>(AH25*KFC!$B$16+KFC!$C$16)*KFC!$C$5</f>
        <v>66.385377237943644</v>
      </c>
      <c r="L25" s="898">
        <f>(AI25*KFC!$B$16+KFC!$C$16)*KFC!$C$5</f>
        <v>70.783476256099874</v>
      </c>
      <c r="M25" s="898">
        <f>(AJ25*KFC!$B$16+KFC!$C$16)*KFC!$C$5</f>
        <v>75.181575274256105</v>
      </c>
      <c r="N25" s="898">
        <f>(AK25*KFC!$B$16+KFC!$C$16)*KFC!$C$5</f>
        <v>79.579674292412363</v>
      </c>
      <c r="O25" s="898">
        <f>(AL25*KFC!$B$16+KFC!$C$16)*KFC!$C$5</f>
        <v>83.977773310568594</v>
      </c>
      <c r="P25" s="898">
        <f>(AM25*KFC!$B$16+KFC!$C$16)*KFC!$C$5</f>
        <v>88.375872328724824</v>
      </c>
      <c r="Q25" s="898">
        <f>(AN25*KFC!$B$16+KFC!$C$16)*KFC!$C$5</f>
        <v>92.773971346881055</v>
      </c>
      <c r="R25" s="898">
        <f>(AO25*KFC!$B$16+KFC!$C$16)*KFC!$C$5</f>
        <v>97.1720703650373</v>
      </c>
      <c r="S25" s="898">
        <f>(AP25*KFC!$B$16+KFC!$C$16)*KFC!$C$5</f>
        <v>101.57016938319353</v>
      </c>
      <c r="T25" s="898">
        <f>(AQ25*KFC!$B$16+KFC!$C$16)*KFC!$C$5</f>
        <v>105.96826840134979</v>
      </c>
      <c r="U25" s="898">
        <f>(AR25*KFC!$B$16+KFC!$C$16)*KFC!$C$5</f>
        <v>110.36636741950602</v>
      </c>
      <c r="V25" s="898">
        <f>(AS25*KFC!$B$16+KFC!$C$16)*KFC!$C$5</f>
        <v>114.76446643766225</v>
      </c>
      <c r="W25" s="903">
        <f>(AT25*KFC!$B$16+KFC!$C$16)*KFC!$C$5</f>
        <v>119.16256545581844</v>
      </c>
      <c r="Y25" s="1431"/>
      <c r="Z25" s="649">
        <v>1.9</v>
      </c>
      <c r="AA25" s="882">
        <v>35.598684110850023</v>
      </c>
      <c r="AB25" s="882">
        <v>39.996783129006253</v>
      </c>
      <c r="AC25" s="882">
        <v>44.394882147162491</v>
      </c>
      <c r="AD25" s="882">
        <v>48.792981165318707</v>
      </c>
      <c r="AE25" s="882">
        <v>53.191080183474945</v>
      </c>
      <c r="AF25" s="882">
        <v>57.589179201631175</v>
      </c>
      <c r="AG25" s="882">
        <v>61.987278219787406</v>
      </c>
      <c r="AH25" s="882">
        <v>66.385377237943644</v>
      </c>
      <c r="AI25" s="882">
        <v>70.783476256099874</v>
      </c>
      <c r="AJ25" s="882">
        <v>75.181575274256105</v>
      </c>
      <c r="AK25" s="882">
        <v>79.579674292412363</v>
      </c>
      <c r="AL25" s="882">
        <v>83.977773310568594</v>
      </c>
      <c r="AM25" s="882">
        <v>88.375872328724824</v>
      </c>
      <c r="AN25" s="882">
        <v>92.773971346881055</v>
      </c>
      <c r="AO25" s="882">
        <v>97.1720703650373</v>
      </c>
      <c r="AP25" s="882">
        <v>101.57016938319353</v>
      </c>
      <c r="AQ25" s="882">
        <v>105.96826840134979</v>
      </c>
      <c r="AR25" s="882">
        <v>110.36636741950602</v>
      </c>
      <c r="AS25" s="882">
        <v>114.76446643766225</v>
      </c>
      <c r="AT25" s="882">
        <v>119.16256545581844</v>
      </c>
    </row>
    <row r="26" spans="1:46">
      <c r="A26" s="1426"/>
      <c r="B26" s="1427"/>
      <c r="C26" s="887">
        <v>2</v>
      </c>
      <c r="D26" s="902">
        <f>(AA26*KFC!$B$16+KFC!$C$16)*KFC!$C$5</f>
        <v>36.171052530300024</v>
      </c>
      <c r="E26" s="898">
        <f>(AB26*KFC!$B$16+KFC!$C$16)*KFC!$C$5</f>
        <v>40.679307365322337</v>
      </c>
      <c r="F26" s="898">
        <f>(AC26*KFC!$B$16+KFC!$C$16)*KFC!$C$5</f>
        <v>45.187562200344644</v>
      </c>
      <c r="G26" s="898">
        <f>(AD26*KFC!$B$16+KFC!$C$16)*KFC!$C$5</f>
        <v>49.695817035366957</v>
      </c>
      <c r="H26" s="898">
        <f>(AE26*KFC!$B$16+KFC!$C$16)*KFC!$C$5</f>
        <v>54.204071870389264</v>
      </c>
      <c r="I26" s="898">
        <f>(AF26*KFC!$B$16+KFC!$C$16)*KFC!$C$5</f>
        <v>58.712326705411584</v>
      </c>
      <c r="J26" s="898">
        <f>(AG26*KFC!$B$16+KFC!$C$16)*KFC!$C$5</f>
        <v>63.220581540433891</v>
      </c>
      <c r="K26" s="898">
        <f>(AH26*KFC!$B$16+KFC!$C$16)*KFC!$C$5</f>
        <v>67.728836375456197</v>
      </c>
      <c r="L26" s="898">
        <f>(AI26*KFC!$B$16+KFC!$C$16)*KFC!$C$5</f>
        <v>72.237091210478511</v>
      </c>
      <c r="M26" s="898">
        <f>(AJ26*KFC!$B$16+KFC!$C$16)*KFC!$C$5</f>
        <v>76.74534604550081</v>
      </c>
      <c r="N26" s="898">
        <f>(AK26*KFC!$B$16+KFC!$C$16)*KFC!$C$5</f>
        <v>81.253600880523123</v>
      </c>
      <c r="O26" s="898">
        <f>(AL26*KFC!$B$16+KFC!$C$16)*KFC!$C$5</f>
        <v>85.761855715545437</v>
      </c>
      <c r="P26" s="898">
        <f>(AM26*KFC!$B$16+KFC!$C$16)*KFC!$C$5</f>
        <v>90.270110550567736</v>
      </c>
      <c r="Q26" s="898">
        <f>(AN26*KFC!$B$16+KFC!$C$16)*KFC!$C$5</f>
        <v>94.778365385590035</v>
      </c>
      <c r="R26" s="898">
        <f>(AO26*KFC!$B$16+KFC!$C$16)*KFC!$C$5</f>
        <v>99.286620220612349</v>
      </c>
      <c r="S26" s="898">
        <f>(AP26*KFC!$B$16+KFC!$C$16)*KFC!$C$5</f>
        <v>103.79487505563465</v>
      </c>
      <c r="T26" s="898">
        <f>(AQ26*KFC!$B$16+KFC!$C$16)*KFC!$C$5</f>
        <v>108.30312989065695</v>
      </c>
      <c r="U26" s="898">
        <f>(AR26*KFC!$B$16+KFC!$C$16)*KFC!$C$5</f>
        <v>112.81138472567925</v>
      </c>
      <c r="V26" s="898">
        <f>(AS26*KFC!$B$16+KFC!$C$16)*KFC!$C$5</f>
        <v>117.31963956070155</v>
      </c>
      <c r="W26" s="903">
        <f>(AT26*KFC!$B$16+KFC!$C$16)*KFC!$C$5</f>
        <v>121.82789439572394</v>
      </c>
      <c r="Y26" s="1431"/>
      <c r="Z26" s="649">
        <v>2</v>
      </c>
      <c r="AA26" s="882">
        <v>36.171052530300024</v>
      </c>
      <c r="AB26" s="882">
        <v>40.679307365322337</v>
      </c>
      <c r="AC26" s="882">
        <v>45.187562200344644</v>
      </c>
      <c r="AD26" s="882">
        <v>49.695817035366957</v>
      </c>
      <c r="AE26" s="882">
        <v>54.204071870389264</v>
      </c>
      <c r="AF26" s="882">
        <v>58.712326705411584</v>
      </c>
      <c r="AG26" s="882">
        <v>63.220581540433891</v>
      </c>
      <c r="AH26" s="882">
        <v>67.728836375456197</v>
      </c>
      <c r="AI26" s="882">
        <v>72.237091210478511</v>
      </c>
      <c r="AJ26" s="882">
        <v>76.74534604550081</v>
      </c>
      <c r="AK26" s="882">
        <v>81.253600880523123</v>
      </c>
      <c r="AL26" s="882">
        <v>85.761855715545437</v>
      </c>
      <c r="AM26" s="882">
        <v>90.270110550567736</v>
      </c>
      <c r="AN26" s="882">
        <v>94.778365385590035</v>
      </c>
      <c r="AO26" s="882">
        <v>99.286620220612349</v>
      </c>
      <c r="AP26" s="882">
        <v>103.79487505563465</v>
      </c>
      <c r="AQ26" s="882">
        <v>108.30312989065695</v>
      </c>
      <c r="AR26" s="882">
        <v>112.81138472567925</v>
      </c>
      <c r="AS26" s="882">
        <v>117.31963956070155</v>
      </c>
      <c r="AT26" s="882">
        <v>121.82789439572394</v>
      </c>
    </row>
    <row r="27" spans="1:46">
      <c r="A27" s="1426"/>
      <c r="B27" s="1427"/>
      <c r="C27" s="887">
        <v>2.1</v>
      </c>
      <c r="D27" s="902">
        <f>(AA27*KFC!$B$16+KFC!$C$16)*KFC!$C$5</f>
        <v>36.743420949750025</v>
      </c>
      <c r="E27" s="898">
        <f>(AB27*KFC!$B$16+KFC!$C$16)*KFC!$C$5</f>
        <v>41.361831601638414</v>
      </c>
      <c r="F27" s="898">
        <f>(AC27*KFC!$B$16+KFC!$C$16)*KFC!$C$5</f>
        <v>45.980242253526804</v>
      </c>
      <c r="G27" s="898">
        <f>(AD27*KFC!$B$16+KFC!$C$16)*KFC!$C$5</f>
        <v>50.5986529054152</v>
      </c>
      <c r="H27" s="898">
        <f>(AE27*KFC!$B$16+KFC!$C$16)*KFC!$C$5</f>
        <v>55.217063557303597</v>
      </c>
      <c r="I27" s="898">
        <f>(AF27*KFC!$B$16+KFC!$C$16)*KFC!$C$5</f>
        <v>59.835474209191979</v>
      </c>
      <c r="J27" s="898">
        <f>(AG27*KFC!$B$16+KFC!$C$16)*KFC!$C$5</f>
        <v>64.453884861080368</v>
      </c>
      <c r="K27" s="898">
        <f>(AH27*KFC!$B$16+KFC!$C$16)*KFC!$C$5</f>
        <v>69.072295512968751</v>
      </c>
      <c r="L27" s="898">
        <f>(AI27*KFC!$B$16+KFC!$C$16)*KFC!$C$5</f>
        <v>73.690706164857133</v>
      </c>
      <c r="M27" s="898">
        <f>(AJ27*KFC!$B$16+KFC!$C$16)*KFC!$C$5</f>
        <v>78.309116816745529</v>
      </c>
      <c r="N27" s="898">
        <f>(AK27*KFC!$B$16+KFC!$C$16)*KFC!$C$5</f>
        <v>82.927527468633912</v>
      </c>
      <c r="O27" s="898">
        <f>(AL27*KFC!$B$16+KFC!$C$16)*KFC!$C$5</f>
        <v>87.545938120522294</v>
      </c>
      <c r="P27" s="898">
        <f>(AM27*KFC!$B$16+KFC!$C$16)*KFC!$C$5</f>
        <v>92.164348772410676</v>
      </c>
      <c r="Q27" s="898">
        <f>(AN27*KFC!$B$16+KFC!$C$16)*KFC!$C$5</f>
        <v>96.782759424299073</v>
      </c>
      <c r="R27" s="898">
        <f>(AO27*KFC!$B$16+KFC!$C$16)*KFC!$C$5</f>
        <v>101.40117007618746</v>
      </c>
      <c r="S27" s="898">
        <f>(AP27*KFC!$B$16+KFC!$C$16)*KFC!$C$5</f>
        <v>106.01958072807584</v>
      </c>
      <c r="T27" s="898">
        <f>(AQ27*KFC!$B$16+KFC!$C$16)*KFC!$C$5</f>
        <v>110.63799137996422</v>
      </c>
      <c r="U27" s="898">
        <f>(AR27*KFC!$B$16+KFC!$C$16)*KFC!$C$5</f>
        <v>115.25640203185259</v>
      </c>
      <c r="V27" s="898">
        <f>(AS27*KFC!$B$16+KFC!$C$16)*KFC!$C$5</f>
        <v>119.874812683741</v>
      </c>
      <c r="W27" s="903">
        <f>(AT27*KFC!$B$16+KFC!$C$16)*KFC!$C$5</f>
        <v>124.49322333562944</v>
      </c>
      <c r="Y27" s="1431"/>
      <c r="Z27" s="649">
        <v>2.1</v>
      </c>
      <c r="AA27" s="882">
        <v>36.743420949750025</v>
      </c>
      <c r="AB27" s="882">
        <v>41.361831601638414</v>
      </c>
      <c r="AC27" s="882">
        <v>45.980242253526804</v>
      </c>
      <c r="AD27" s="882">
        <v>50.5986529054152</v>
      </c>
      <c r="AE27" s="882">
        <v>55.217063557303597</v>
      </c>
      <c r="AF27" s="882">
        <v>59.835474209191979</v>
      </c>
      <c r="AG27" s="882">
        <v>64.453884861080368</v>
      </c>
      <c r="AH27" s="882">
        <v>69.072295512968751</v>
      </c>
      <c r="AI27" s="882">
        <v>73.690706164857133</v>
      </c>
      <c r="AJ27" s="882">
        <v>78.309116816745529</v>
      </c>
      <c r="AK27" s="882">
        <v>82.927527468633912</v>
      </c>
      <c r="AL27" s="882">
        <v>87.545938120522294</v>
      </c>
      <c r="AM27" s="882">
        <v>92.164348772410676</v>
      </c>
      <c r="AN27" s="882">
        <v>96.782759424299073</v>
      </c>
      <c r="AO27" s="882">
        <v>101.40117007618746</v>
      </c>
      <c r="AP27" s="882">
        <v>106.01958072807584</v>
      </c>
      <c r="AQ27" s="882">
        <v>110.63799137996422</v>
      </c>
      <c r="AR27" s="882">
        <v>115.25640203185259</v>
      </c>
      <c r="AS27" s="882">
        <v>119.874812683741</v>
      </c>
      <c r="AT27" s="882">
        <v>124.49322333562944</v>
      </c>
    </row>
    <row r="28" spans="1:46" ht="15" thickBot="1">
      <c r="A28" s="1428"/>
      <c r="B28" s="1429"/>
      <c r="C28" s="888">
        <v>2.2000000000000002</v>
      </c>
      <c r="D28" s="904">
        <f>(AA28*KFC!$B$16+KFC!$C$16)*KFC!$C$5</f>
        <v>37.315789369199997</v>
      </c>
      <c r="E28" s="905">
        <f>(AB28*KFC!$B$16+KFC!$C$16)*KFC!$C$5</f>
        <v>42.04435583795447</v>
      </c>
      <c r="F28" s="905">
        <f>(AC28*KFC!$B$16+KFC!$C$16)*KFC!$C$5</f>
        <v>46.772922306708942</v>
      </c>
      <c r="G28" s="905">
        <f>(AD28*KFC!$B$16+KFC!$C$16)*KFC!$C$5</f>
        <v>51.501488775463415</v>
      </c>
      <c r="H28" s="905">
        <f>(AE28*KFC!$B$16+KFC!$C$16)*KFC!$C$5</f>
        <v>56.230055244217887</v>
      </c>
      <c r="I28" s="905">
        <f>(AF28*KFC!$B$16+KFC!$C$16)*KFC!$C$5</f>
        <v>60.958621712972359</v>
      </c>
      <c r="J28" s="905">
        <f>(AG28*KFC!$B$16+KFC!$C$16)*KFC!$C$5</f>
        <v>65.687188181726839</v>
      </c>
      <c r="K28" s="905">
        <f>(AH28*KFC!$B$16+KFC!$C$16)*KFC!$C$5</f>
        <v>70.415754650481304</v>
      </c>
      <c r="L28" s="905">
        <f>(AI28*KFC!$B$16+KFC!$C$16)*KFC!$C$5</f>
        <v>75.144321119235784</v>
      </c>
      <c r="M28" s="905">
        <f>(AJ28*KFC!$B$16+KFC!$C$16)*KFC!$C$5</f>
        <v>79.872887587990263</v>
      </c>
      <c r="N28" s="905">
        <f>(AK28*KFC!$B$16+KFC!$C$16)*KFC!$C$5</f>
        <v>84.601454056744743</v>
      </c>
      <c r="O28" s="905">
        <f>(AL28*KFC!$B$16+KFC!$C$16)*KFC!$C$5</f>
        <v>89.330020525499208</v>
      </c>
      <c r="P28" s="905">
        <f>(AM28*KFC!$B$16+KFC!$C$16)*KFC!$C$5</f>
        <v>94.058586994253687</v>
      </c>
      <c r="Q28" s="905">
        <f>(AN28*KFC!$B$16+KFC!$C$16)*KFC!$C$5</f>
        <v>98.787153463008181</v>
      </c>
      <c r="R28" s="905">
        <f>(AO28*KFC!$B$16+KFC!$C$16)*KFC!$C$5</f>
        <v>103.51571993176265</v>
      </c>
      <c r="S28" s="905">
        <f>(AP28*KFC!$B$16+KFC!$C$16)*KFC!$C$5</f>
        <v>108.24428640051714</v>
      </c>
      <c r="T28" s="905">
        <f>(AQ28*KFC!$B$16+KFC!$C$16)*KFC!$C$5</f>
        <v>112.97285286927162</v>
      </c>
      <c r="U28" s="905">
        <f>(AR28*KFC!$B$16+KFC!$C$16)*KFC!$C$5</f>
        <v>117.70141933802608</v>
      </c>
      <c r="V28" s="905">
        <f>(AS28*KFC!$B$16+KFC!$C$16)*KFC!$C$5</f>
        <v>122.42998580678056</v>
      </c>
      <c r="W28" s="906">
        <f>(AT28*KFC!$B$16+KFC!$C$16)*KFC!$C$5</f>
        <v>127.158552275535</v>
      </c>
      <c r="Y28" s="1432"/>
      <c r="Z28" s="649">
        <v>2.2000000000000002</v>
      </c>
      <c r="AA28" s="882">
        <v>37.315789369199997</v>
      </c>
      <c r="AB28" s="882">
        <v>42.04435583795447</v>
      </c>
      <c r="AC28" s="882">
        <v>46.772922306708942</v>
      </c>
      <c r="AD28" s="882">
        <v>51.501488775463415</v>
      </c>
      <c r="AE28" s="882">
        <v>56.230055244217887</v>
      </c>
      <c r="AF28" s="882">
        <v>60.958621712972359</v>
      </c>
      <c r="AG28" s="882">
        <v>65.687188181726839</v>
      </c>
      <c r="AH28" s="882">
        <v>70.415754650481304</v>
      </c>
      <c r="AI28" s="882">
        <v>75.144321119235784</v>
      </c>
      <c r="AJ28" s="882">
        <v>79.872887587990263</v>
      </c>
      <c r="AK28" s="882">
        <v>84.601454056744743</v>
      </c>
      <c r="AL28" s="882">
        <v>89.330020525499208</v>
      </c>
      <c r="AM28" s="882">
        <v>94.058586994253687</v>
      </c>
      <c r="AN28" s="882">
        <v>98.787153463008181</v>
      </c>
      <c r="AO28" s="882">
        <v>103.51571993176265</v>
      </c>
      <c r="AP28" s="882">
        <v>108.24428640051714</v>
      </c>
      <c r="AQ28" s="882">
        <v>112.97285286927162</v>
      </c>
      <c r="AR28" s="882">
        <v>117.70141933802608</v>
      </c>
      <c r="AS28" s="882">
        <v>122.42998580678056</v>
      </c>
      <c r="AT28" s="882">
        <v>127.158552275535</v>
      </c>
    </row>
    <row r="29" spans="1:46">
      <c r="A29" s="16"/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</row>
    <row r="30" spans="1:46" ht="41.25" customHeight="1" thickBot="1">
      <c r="A30" s="1033" t="s">
        <v>1222</v>
      </c>
      <c r="B30" s="1033"/>
      <c r="C30" s="1033"/>
      <c r="D30" s="1033"/>
      <c r="E30" s="1033"/>
      <c r="F30" s="1033"/>
      <c r="G30" s="1033"/>
      <c r="H30" s="1033"/>
      <c r="I30" s="1033"/>
      <c r="J30" s="1033"/>
      <c r="K30" s="1033"/>
      <c r="L30" s="1033"/>
      <c r="M30" s="1033"/>
      <c r="N30" s="1033"/>
      <c r="O30" s="1033"/>
      <c r="P30" s="1033"/>
      <c r="Q30" s="1033"/>
      <c r="R30" s="1033"/>
      <c r="S30" s="1033"/>
      <c r="T30" s="1033"/>
      <c r="U30" s="1033"/>
      <c r="V30" s="1033"/>
      <c r="W30" s="1033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</row>
    <row r="31" spans="1:46" ht="36.75" customHeight="1" thickBot="1">
      <c r="A31" s="1433"/>
      <c r="B31" s="1434"/>
      <c r="C31" s="1435"/>
      <c r="D31" s="1419" t="s">
        <v>207</v>
      </c>
      <c r="E31" s="1420"/>
      <c r="F31" s="1420"/>
      <c r="G31" s="1420"/>
      <c r="H31" s="1420"/>
      <c r="I31" s="1420"/>
      <c r="J31" s="1420"/>
      <c r="K31" s="1420"/>
      <c r="L31" s="1420"/>
      <c r="M31" s="1420"/>
      <c r="N31" s="1420"/>
      <c r="O31" s="1420"/>
      <c r="P31" s="1420"/>
      <c r="Q31" s="1420"/>
      <c r="R31" s="1420"/>
      <c r="S31" s="1420"/>
      <c r="T31" s="1420"/>
      <c r="U31" s="1420"/>
      <c r="V31" s="1420"/>
      <c r="W31" s="1421"/>
      <c r="Y31" s="1422" t="s">
        <v>1197</v>
      </c>
      <c r="Z31" s="1423"/>
      <c r="AA31" s="1410" t="s">
        <v>356</v>
      </c>
      <c r="AB31" s="1411"/>
      <c r="AC31" s="1411"/>
      <c r="AD31" s="1411"/>
      <c r="AE31" s="1411"/>
      <c r="AF31" s="1411"/>
      <c r="AG31" s="1411"/>
      <c r="AH31" s="1411"/>
      <c r="AI31" s="1411"/>
      <c r="AJ31" s="1411"/>
      <c r="AK31" s="1411"/>
      <c r="AL31" s="1411"/>
      <c r="AM31" s="1411"/>
      <c r="AN31" s="1411"/>
      <c r="AO31" s="1411"/>
      <c r="AP31" s="1411"/>
      <c r="AQ31" s="1411"/>
      <c r="AR31" s="1411"/>
      <c r="AS31" s="1411"/>
      <c r="AT31" s="1412"/>
    </row>
    <row r="32" spans="1:46" ht="14.4" customHeight="1" thickBot="1">
      <c r="A32" s="1436"/>
      <c r="B32" s="1437"/>
      <c r="C32" s="1438"/>
      <c r="D32" s="883">
        <v>0.3</v>
      </c>
      <c r="E32" s="884">
        <v>0.4</v>
      </c>
      <c r="F32" s="884">
        <v>0.5</v>
      </c>
      <c r="G32" s="884">
        <v>0.6</v>
      </c>
      <c r="H32" s="884">
        <v>0.7</v>
      </c>
      <c r="I32" s="884">
        <v>0.8</v>
      </c>
      <c r="J32" s="884">
        <v>0.9</v>
      </c>
      <c r="K32" s="884">
        <v>1</v>
      </c>
      <c r="L32" s="884">
        <v>1.1000000000000001</v>
      </c>
      <c r="M32" s="884">
        <v>1.2</v>
      </c>
      <c r="N32" s="884">
        <v>1.3</v>
      </c>
      <c r="O32" s="884">
        <v>1.4</v>
      </c>
      <c r="P32" s="884">
        <v>1.5</v>
      </c>
      <c r="Q32" s="884">
        <v>1.6</v>
      </c>
      <c r="R32" s="884">
        <v>1.7</v>
      </c>
      <c r="S32" s="884">
        <v>1.8</v>
      </c>
      <c r="T32" s="884">
        <v>1.9</v>
      </c>
      <c r="U32" s="884">
        <v>2</v>
      </c>
      <c r="V32" s="884">
        <v>2.1</v>
      </c>
      <c r="W32" s="885">
        <v>2.2000000000000002</v>
      </c>
      <c r="Y32" s="1424"/>
      <c r="Z32" s="1425"/>
      <c r="AA32" s="649">
        <v>0.3</v>
      </c>
      <c r="AB32" s="649">
        <v>0.4</v>
      </c>
      <c r="AC32" s="649">
        <v>0.5</v>
      </c>
      <c r="AD32" s="649">
        <v>0.6</v>
      </c>
      <c r="AE32" s="649">
        <v>0.7</v>
      </c>
      <c r="AF32" s="649">
        <v>0.8</v>
      </c>
      <c r="AG32" s="649">
        <v>0.9</v>
      </c>
      <c r="AH32" s="649">
        <v>1</v>
      </c>
      <c r="AI32" s="649">
        <v>1.1000000000000001</v>
      </c>
      <c r="AJ32" s="649">
        <v>1.2</v>
      </c>
      <c r="AK32" s="649">
        <v>1.3</v>
      </c>
      <c r="AL32" s="649">
        <v>1.4</v>
      </c>
      <c r="AM32" s="649">
        <v>1.5</v>
      </c>
      <c r="AN32" s="649">
        <v>1.6</v>
      </c>
      <c r="AO32" s="649">
        <v>1.7</v>
      </c>
      <c r="AP32" s="649">
        <v>1.8</v>
      </c>
      <c r="AQ32" s="649">
        <v>1.9</v>
      </c>
      <c r="AR32" s="649">
        <v>2</v>
      </c>
      <c r="AS32" s="649">
        <v>2.1</v>
      </c>
      <c r="AT32" s="649">
        <v>2.2000000000000002</v>
      </c>
    </row>
    <row r="33" spans="1:46" ht="15" customHeight="1">
      <c r="A33" s="1426" t="s">
        <v>3</v>
      </c>
      <c r="B33" s="1427"/>
      <c r="C33" s="886">
        <v>0.2</v>
      </c>
      <c r="D33" s="899">
        <f>(AA33*KFC!$B$16+KFC!$C$16)*KFC!$C$5</f>
        <v>25.887499927515002</v>
      </c>
      <c r="E33" s="900">
        <f>(AB33*KFC!$B$16+KFC!$C$16)*KFC!$C$5</f>
        <v>28.419979144800788</v>
      </c>
      <c r="F33" s="900">
        <f>(AC33*KFC!$B$16+KFC!$C$16)*KFC!$C$5</f>
        <v>30.952458362086578</v>
      </c>
      <c r="G33" s="900">
        <f>(AD33*KFC!$B$16+KFC!$C$16)*KFC!$C$5</f>
        <v>33.484937579372364</v>
      </c>
      <c r="H33" s="900">
        <f>(AE33*KFC!$B$16+KFC!$C$16)*KFC!$C$5</f>
        <v>36.017416796658154</v>
      </c>
      <c r="I33" s="900">
        <f>(AF33*KFC!$B$16+KFC!$C$16)*KFC!$C$5</f>
        <v>38.549896013943943</v>
      </c>
      <c r="J33" s="900">
        <f>(AG33*KFC!$B$16+KFC!$C$16)*KFC!$C$5</f>
        <v>41.082375231229733</v>
      </c>
      <c r="K33" s="900">
        <f>(AH33*KFC!$B$16+KFC!$C$16)*KFC!$C$5</f>
        <v>43.614854448515523</v>
      </c>
      <c r="L33" s="900">
        <f>(AI33*KFC!$B$16+KFC!$C$16)*KFC!$C$5</f>
        <v>46.14733366580132</v>
      </c>
      <c r="M33" s="900">
        <f>(AJ33*KFC!$B$16+KFC!$C$16)*KFC!$C$5</f>
        <v>48.679812883087109</v>
      </c>
      <c r="N33" s="900">
        <f>(AK33*KFC!$B$16+KFC!$C$16)*KFC!$C$5</f>
        <v>51.212292100372899</v>
      </c>
      <c r="O33" s="900">
        <f>(AL33*KFC!$B$16+KFC!$C$16)*KFC!$C$5</f>
        <v>53.744771317658696</v>
      </c>
      <c r="P33" s="900">
        <f>(AM33*KFC!$B$16+KFC!$C$16)*KFC!$C$5</f>
        <v>56.277250534944486</v>
      </c>
      <c r="Q33" s="900">
        <f>(AN33*KFC!$B$16+KFC!$C$16)*KFC!$C$5</f>
        <v>58.809729752230275</v>
      </c>
      <c r="R33" s="900">
        <f>(AO33*KFC!$B$16+KFC!$C$16)*KFC!$C$5</f>
        <v>61.342208969516065</v>
      </c>
      <c r="S33" s="900">
        <f>(AP33*KFC!$B$16+KFC!$C$16)*KFC!$C$5</f>
        <v>63.874688186801855</v>
      </c>
      <c r="T33" s="900">
        <f>(AQ33*KFC!$B$16+KFC!$C$16)*KFC!$C$5</f>
        <v>66.407167404087659</v>
      </c>
      <c r="U33" s="900">
        <f>(AR33*KFC!$B$16+KFC!$C$16)*KFC!$C$5</f>
        <v>68.939646621373441</v>
      </c>
      <c r="V33" s="900">
        <f>(AS33*KFC!$B$16+KFC!$C$16)*KFC!$C$5</f>
        <v>71.472125838659224</v>
      </c>
      <c r="W33" s="901">
        <f>(AT33*KFC!$B$16+KFC!$C$16)*KFC!$C$5</f>
        <v>74.004605055944992</v>
      </c>
      <c r="Y33" s="1430" t="s">
        <v>357</v>
      </c>
      <c r="Z33" s="649">
        <v>0.2</v>
      </c>
      <c r="AA33" s="882">
        <v>25.887499927515002</v>
      </c>
      <c r="AB33" s="882">
        <v>28.419979144800788</v>
      </c>
      <c r="AC33" s="882">
        <v>30.952458362086578</v>
      </c>
      <c r="AD33" s="882">
        <v>33.484937579372364</v>
      </c>
      <c r="AE33" s="882">
        <v>36.017416796658154</v>
      </c>
      <c r="AF33" s="882">
        <v>38.549896013943943</v>
      </c>
      <c r="AG33" s="882">
        <v>41.082375231229733</v>
      </c>
      <c r="AH33" s="882">
        <v>43.614854448515523</v>
      </c>
      <c r="AI33" s="882">
        <v>46.14733366580132</v>
      </c>
      <c r="AJ33" s="882">
        <v>48.679812883087109</v>
      </c>
      <c r="AK33" s="882">
        <v>51.212292100372899</v>
      </c>
      <c r="AL33" s="882">
        <v>53.744771317658696</v>
      </c>
      <c r="AM33" s="882">
        <v>56.277250534944486</v>
      </c>
      <c r="AN33" s="882">
        <v>58.809729752230275</v>
      </c>
      <c r="AO33" s="882">
        <v>61.342208969516065</v>
      </c>
      <c r="AP33" s="882">
        <v>63.874688186801855</v>
      </c>
      <c r="AQ33" s="882">
        <v>66.407167404087659</v>
      </c>
      <c r="AR33" s="882">
        <v>68.939646621373441</v>
      </c>
      <c r="AS33" s="882">
        <v>71.472125838659224</v>
      </c>
      <c r="AT33" s="882">
        <v>74.004605055944992</v>
      </c>
    </row>
    <row r="34" spans="1:46" ht="14.4" customHeight="1">
      <c r="A34" s="1426"/>
      <c r="B34" s="1427"/>
      <c r="C34" s="887">
        <v>0.3</v>
      </c>
      <c r="D34" s="902">
        <f>(AA34*KFC!$B$16+KFC!$C$16)*KFC!$C$5</f>
        <v>26.470361767988251</v>
      </c>
      <c r="E34" s="898">
        <f>(AB34*KFC!$B$16+KFC!$C$16)*KFC!$C$5</f>
        <v>29.116561552822656</v>
      </c>
      <c r="F34" s="898">
        <f>(AC34*KFC!$B$16+KFC!$C$16)*KFC!$C$5</f>
        <v>31.762761337657064</v>
      </c>
      <c r="G34" s="898">
        <f>(AD34*KFC!$B$16+KFC!$C$16)*KFC!$C$5</f>
        <v>34.408961122491469</v>
      </c>
      <c r="H34" s="898">
        <f>(AE34*KFC!$B$16+KFC!$C$16)*KFC!$C$5</f>
        <v>37.055160907325877</v>
      </c>
      <c r="I34" s="898">
        <f>(AF34*KFC!$B$16+KFC!$C$16)*KFC!$C$5</f>
        <v>39.701360692160286</v>
      </c>
      <c r="J34" s="898">
        <f>(AG34*KFC!$B$16+KFC!$C$16)*KFC!$C$5</f>
        <v>42.347560476994701</v>
      </c>
      <c r="K34" s="898">
        <f>(AH34*KFC!$B$16+KFC!$C$16)*KFC!$C$5</f>
        <v>44.993760261829109</v>
      </c>
      <c r="L34" s="898">
        <f>(AI34*KFC!$B$16+KFC!$C$16)*KFC!$C$5</f>
        <v>47.639960046663511</v>
      </c>
      <c r="M34" s="898">
        <f>(AJ34*KFC!$B$16+KFC!$C$16)*KFC!$C$5</f>
        <v>50.286159831497919</v>
      </c>
      <c r="N34" s="898">
        <f>(AK34*KFC!$B$16+KFC!$C$16)*KFC!$C$5</f>
        <v>52.932359616332334</v>
      </c>
      <c r="O34" s="898">
        <f>(AL34*KFC!$B$16+KFC!$C$16)*KFC!$C$5</f>
        <v>55.57855940116675</v>
      </c>
      <c r="P34" s="898">
        <f>(AM34*KFC!$B$16+KFC!$C$16)*KFC!$C$5</f>
        <v>58.224759186001158</v>
      </c>
      <c r="Q34" s="898">
        <f>(AN34*KFC!$B$16+KFC!$C$16)*KFC!$C$5</f>
        <v>60.870958970835559</v>
      </c>
      <c r="R34" s="898">
        <f>(AO34*KFC!$B$16+KFC!$C$16)*KFC!$C$5</f>
        <v>63.517158755669975</v>
      </c>
      <c r="S34" s="898">
        <f>(AP34*KFC!$B$16+KFC!$C$16)*KFC!$C$5</f>
        <v>66.16335854050439</v>
      </c>
      <c r="T34" s="898">
        <f>(AQ34*KFC!$B$16+KFC!$C$16)*KFC!$C$5</f>
        <v>68.809558325338799</v>
      </c>
      <c r="U34" s="898">
        <f>(AR34*KFC!$B$16+KFC!$C$16)*KFC!$C$5</f>
        <v>71.455758110173193</v>
      </c>
      <c r="V34" s="898">
        <f>(AS34*KFC!$B$16+KFC!$C$16)*KFC!$C$5</f>
        <v>74.101957895007601</v>
      </c>
      <c r="W34" s="903">
        <f>(AT34*KFC!$B$16+KFC!$C$16)*KFC!$C$5</f>
        <v>76.748157679842009</v>
      </c>
      <c r="Y34" s="1431"/>
      <c r="Z34" s="649">
        <v>0.3</v>
      </c>
      <c r="AA34" s="882">
        <v>26.470361767988251</v>
      </c>
      <c r="AB34" s="882">
        <v>29.116561552822656</v>
      </c>
      <c r="AC34" s="882">
        <v>31.762761337657064</v>
      </c>
      <c r="AD34" s="882">
        <v>34.408961122491469</v>
      </c>
      <c r="AE34" s="882">
        <v>37.055160907325877</v>
      </c>
      <c r="AF34" s="882">
        <v>39.701360692160286</v>
      </c>
      <c r="AG34" s="882">
        <v>42.347560476994701</v>
      </c>
      <c r="AH34" s="882">
        <v>44.993760261829109</v>
      </c>
      <c r="AI34" s="882">
        <v>47.639960046663511</v>
      </c>
      <c r="AJ34" s="882">
        <v>50.286159831497919</v>
      </c>
      <c r="AK34" s="882">
        <v>52.932359616332334</v>
      </c>
      <c r="AL34" s="882">
        <v>55.57855940116675</v>
      </c>
      <c r="AM34" s="882">
        <v>58.224759186001158</v>
      </c>
      <c r="AN34" s="882">
        <v>60.870958970835559</v>
      </c>
      <c r="AO34" s="882">
        <v>63.517158755669975</v>
      </c>
      <c r="AP34" s="882">
        <v>66.16335854050439</v>
      </c>
      <c r="AQ34" s="882">
        <v>68.809558325338799</v>
      </c>
      <c r="AR34" s="882">
        <v>71.455758110173193</v>
      </c>
      <c r="AS34" s="882">
        <v>74.101957895007601</v>
      </c>
      <c r="AT34" s="882">
        <v>76.748157679842009</v>
      </c>
    </row>
    <row r="35" spans="1:46">
      <c r="A35" s="1426"/>
      <c r="B35" s="1427"/>
      <c r="C35" s="887">
        <v>0.4</v>
      </c>
      <c r="D35" s="902">
        <f>(AA35*KFC!$B$16+KFC!$C$16)*KFC!$C$5</f>
        <v>27.053223608461501</v>
      </c>
      <c r="E35" s="898">
        <f>(AB35*KFC!$B$16+KFC!$C$16)*KFC!$C$5</f>
        <v>29.813143960844524</v>
      </c>
      <c r="F35" s="898">
        <f>(AC35*KFC!$B$16+KFC!$C$16)*KFC!$C$5</f>
        <v>32.573064313227555</v>
      </c>
      <c r="G35" s="898">
        <f>(AD35*KFC!$B$16+KFC!$C$16)*KFC!$C$5</f>
        <v>35.332984665610581</v>
      </c>
      <c r="H35" s="898">
        <f>(AE35*KFC!$B$16+KFC!$C$16)*KFC!$C$5</f>
        <v>38.092905017993608</v>
      </c>
      <c r="I35" s="898">
        <f>(AF35*KFC!$B$16+KFC!$C$16)*KFC!$C$5</f>
        <v>40.852825370376635</v>
      </c>
      <c r="J35" s="898">
        <f>(AG35*KFC!$B$16+KFC!$C$16)*KFC!$C$5</f>
        <v>43.612745722759662</v>
      </c>
      <c r="K35" s="898">
        <f>(AH35*KFC!$B$16+KFC!$C$16)*KFC!$C$5</f>
        <v>46.372666075142696</v>
      </c>
      <c r="L35" s="898">
        <f>(AI35*KFC!$B$16+KFC!$C$16)*KFC!$C$5</f>
        <v>49.132586427525716</v>
      </c>
      <c r="M35" s="898">
        <f>(AJ35*KFC!$B$16+KFC!$C$16)*KFC!$C$5</f>
        <v>51.89250677990875</v>
      </c>
      <c r="N35" s="898">
        <f>(AK35*KFC!$B$16+KFC!$C$16)*KFC!$C$5</f>
        <v>54.652427132291784</v>
      </c>
      <c r="O35" s="898">
        <f>(AL35*KFC!$B$16+KFC!$C$16)*KFC!$C$5</f>
        <v>57.412347484674804</v>
      </c>
      <c r="P35" s="898">
        <f>(AM35*KFC!$B$16+KFC!$C$16)*KFC!$C$5</f>
        <v>60.172267837057838</v>
      </c>
      <c r="Q35" s="898">
        <f>(AN35*KFC!$B$16+KFC!$C$16)*KFC!$C$5</f>
        <v>62.932188189440865</v>
      </c>
      <c r="R35" s="898">
        <f>(AO35*KFC!$B$16+KFC!$C$16)*KFC!$C$5</f>
        <v>65.692108541823899</v>
      </c>
      <c r="S35" s="898">
        <f>(AP35*KFC!$B$16+KFC!$C$16)*KFC!$C$5</f>
        <v>68.452028894206919</v>
      </c>
      <c r="T35" s="898">
        <f>(AQ35*KFC!$B$16+KFC!$C$16)*KFC!$C$5</f>
        <v>71.211949246589938</v>
      </c>
      <c r="U35" s="898">
        <f>(AR35*KFC!$B$16+KFC!$C$16)*KFC!$C$5</f>
        <v>73.971869598972972</v>
      </c>
      <c r="V35" s="898">
        <f>(AS35*KFC!$B$16+KFC!$C$16)*KFC!$C$5</f>
        <v>76.731789951355992</v>
      </c>
      <c r="W35" s="903">
        <f>(AT35*KFC!$B$16+KFC!$C$16)*KFC!$C$5</f>
        <v>79.491710303738998</v>
      </c>
      <c r="Y35" s="1431"/>
      <c r="Z35" s="649">
        <v>0.4</v>
      </c>
      <c r="AA35" s="882">
        <v>27.053223608461501</v>
      </c>
      <c r="AB35" s="882">
        <v>29.813143960844524</v>
      </c>
      <c r="AC35" s="882">
        <v>32.573064313227555</v>
      </c>
      <c r="AD35" s="882">
        <v>35.332984665610581</v>
      </c>
      <c r="AE35" s="882">
        <v>38.092905017993608</v>
      </c>
      <c r="AF35" s="882">
        <v>40.852825370376635</v>
      </c>
      <c r="AG35" s="882">
        <v>43.612745722759662</v>
      </c>
      <c r="AH35" s="882">
        <v>46.372666075142696</v>
      </c>
      <c r="AI35" s="882">
        <v>49.132586427525716</v>
      </c>
      <c r="AJ35" s="882">
        <v>51.89250677990875</v>
      </c>
      <c r="AK35" s="882">
        <v>54.652427132291784</v>
      </c>
      <c r="AL35" s="882">
        <v>57.412347484674804</v>
      </c>
      <c r="AM35" s="882">
        <v>60.172267837057838</v>
      </c>
      <c r="AN35" s="882">
        <v>62.932188189440865</v>
      </c>
      <c r="AO35" s="882">
        <v>65.692108541823899</v>
      </c>
      <c r="AP35" s="882">
        <v>68.452028894206919</v>
      </c>
      <c r="AQ35" s="882">
        <v>71.211949246589938</v>
      </c>
      <c r="AR35" s="882">
        <v>73.971869598972972</v>
      </c>
      <c r="AS35" s="882">
        <v>76.731789951355992</v>
      </c>
      <c r="AT35" s="882">
        <v>79.491710303738998</v>
      </c>
    </row>
    <row r="36" spans="1:46">
      <c r="A36" s="1426"/>
      <c r="B36" s="1427"/>
      <c r="C36" s="887">
        <v>0.5</v>
      </c>
      <c r="D36" s="902">
        <f>(AA36*KFC!$B$16+KFC!$C$16)*KFC!$C$5</f>
        <v>27.636085448934754</v>
      </c>
      <c r="E36" s="898">
        <f>(AB36*KFC!$B$16+KFC!$C$16)*KFC!$C$5</f>
        <v>30.509726368866396</v>
      </c>
      <c r="F36" s="898">
        <f>(AC36*KFC!$B$16+KFC!$C$16)*KFC!$C$5</f>
        <v>33.383367288798041</v>
      </c>
      <c r="G36" s="898">
        <f>(AD36*KFC!$B$16+KFC!$C$16)*KFC!$C$5</f>
        <v>36.257008208729687</v>
      </c>
      <c r="H36" s="898">
        <f>(AE36*KFC!$B$16+KFC!$C$16)*KFC!$C$5</f>
        <v>39.130649128661332</v>
      </c>
      <c r="I36" s="898">
        <f>(AF36*KFC!$B$16+KFC!$C$16)*KFC!$C$5</f>
        <v>42.004290048592985</v>
      </c>
      <c r="J36" s="898">
        <f>(AG36*KFC!$B$16+KFC!$C$16)*KFC!$C$5</f>
        <v>44.87793096852463</v>
      </c>
      <c r="K36" s="898">
        <f>(AH36*KFC!$B$16+KFC!$C$16)*KFC!$C$5</f>
        <v>47.751571888456276</v>
      </c>
      <c r="L36" s="898">
        <f>(AI36*KFC!$B$16+KFC!$C$16)*KFC!$C$5</f>
        <v>50.625212808387928</v>
      </c>
      <c r="M36" s="898">
        <f>(AJ36*KFC!$B$16+KFC!$C$16)*KFC!$C$5</f>
        <v>53.498853728319567</v>
      </c>
      <c r="N36" s="898">
        <f>(AK36*KFC!$B$16+KFC!$C$16)*KFC!$C$5</f>
        <v>56.372494648251219</v>
      </c>
      <c r="O36" s="898">
        <f>(AL36*KFC!$B$16+KFC!$C$16)*KFC!$C$5</f>
        <v>59.246135568182865</v>
      </c>
      <c r="P36" s="898">
        <f>(AM36*KFC!$B$16+KFC!$C$16)*KFC!$C$5</f>
        <v>62.119776488114518</v>
      </c>
      <c r="Q36" s="898">
        <f>(AN36*KFC!$B$16+KFC!$C$16)*KFC!$C$5</f>
        <v>64.99341740804617</v>
      </c>
      <c r="R36" s="898">
        <f>(AO36*KFC!$B$16+KFC!$C$16)*KFC!$C$5</f>
        <v>67.867058327977801</v>
      </c>
      <c r="S36" s="898">
        <f>(AP36*KFC!$B$16+KFC!$C$16)*KFC!$C$5</f>
        <v>70.740699247909447</v>
      </c>
      <c r="T36" s="898">
        <f>(AQ36*KFC!$B$16+KFC!$C$16)*KFC!$C$5</f>
        <v>73.614340167841078</v>
      </c>
      <c r="U36" s="898">
        <f>(AR36*KFC!$B$16+KFC!$C$16)*KFC!$C$5</f>
        <v>76.487981087772724</v>
      </c>
      <c r="V36" s="898">
        <f>(AS36*KFC!$B$16+KFC!$C$16)*KFC!$C$5</f>
        <v>79.361622007704369</v>
      </c>
      <c r="W36" s="903">
        <f>(AT36*KFC!$B$16+KFC!$C$16)*KFC!$C$5</f>
        <v>82.235262927636015</v>
      </c>
      <c r="Y36" s="1431"/>
      <c r="Z36" s="649">
        <v>0.5</v>
      </c>
      <c r="AA36" s="882">
        <v>27.636085448934754</v>
      </c>
      <c r="AB36" s="882">
        <v>30.509726368866396</v>
      </c>
      <c r="AC36" s="882">
        <v>33.383367288798041</v>
      </c>
      <c r="AD36" s="882">
        <v>36.257008208729687</v>
      </c>
      <c r="AE36" s="882">
        <v>39.130649128661332</v>
      </c>
      <c r="AF36" s="882">
        <v>42.004290048592985</v>
      </c>
      <c r="AG36" s="882">
        <v>44.87793096852463</v>
      </c>
      <c r="AH36" s="882">
        <v>47.751571888456276</v>
      </c>
      <c r="AI36" s="882">
        <v>50.625212808387928</v>
      </c>
      <c r="AJ36" s="882">
        <v>53.498853728319567</v>
      </c>
      <c r="AK36" s="882">
        <v>56.372494648251219</v>
      </c>
      <c r="AL36" s="882">
        <v>59.246135568182865</v>
      </c>
      <c r="AM36" s="882">
        <v>62.119776488114518</v>
      </c>
      <c r="AN36" s="882">
        <v>64.99341740804617</v>
      </c>
      <c r="AO36" s="882">
        <v>67.867058327977801</v>
      </c>
      <c r="AP36" s="882">
        <v>70.740699247909447</v>
      </c>
      <c r="AQ36" s="882">
        <v>73.614340167841078</v>
      </c>
      <c r="AR36" s="882">
        <v>76.487981087772724</v>
      </c>
      <c r="AS36" s="882">
        <v>79.361622007704369</v>
      </c>
      <c r="AT36" s="882">
        <v>82.235262927636015</v>
      </c>
    </row>
    <row r="37" spans="1:46">
      <c r="A37" s="1426"/>
      <c r="B37" s="1427"/>
      <c r="C37" s="887">
        <v>0.6</v>
      </c>
      <c r="D37" s="902">
        <f>(AA37*KFC!$B$16+KFC!$C$16)*KFC!$C$5</f>
        <v>28.218947289408003</v>
      </c>
      <c r="E37" s="898">
        <f>(AB37*KFC!$B$16+KFC!$C$16)*KFC!$C$5</f>
        <v>31.206308776888264</v>
      </c>
      <c r="F37" s="898">
        <f>(AC37*KFC!$B$16+KFC!$C$16)*KFC!$C$5</f>
        <v>34.193670264368528</v>
      </c>
      <c r="G37" s="898">
        <f>(AD37*KFC!$B$16+KFC!$C$16)*KFC!$C$5</f>
        <v>37.181031751848792</v>
      </c>
      <c r="H37" s="898">
        <f>(AE37*KFC!$B$16+KFC!$C$16)*KFC!$C$5</f>
        <v>40.168393239329056</v>
      </c>
      <c r="I37" s="898">
        <f>(AF37*KFC!$B$16+KFC!$C$16)*KFC!$C$5</f>
        <v>43.15575472680932</v>
      </c>
      <c r="J37" s="898">
        <f>(AG37*KFC!$B$16+KFC!$C$16)*KFC!$C$5</f>
        <v>46.143116214289584</v>
      </c>
      <c r="K37" s="898">
        <f>(AH37*KFC!$B$16+KFC!$C$16)*KFC!$C$5</f>
        <v>49.130477701769863</v>
      </c>
      <c r="L37" s="898">
        <f>(AI37*KFC!$B$16+KFC!$C$16)*KFC!$C$5</f>
        <v>52.117839189250127</v>
      </c>
      <c r="M37" s="898">
        <f>(AJ37*KFC!$B$16+KFC!$C$16)*KFC!$C$5</f>
        <v>55.105200676730391</v>
      </c>
      <c r="N37" s="898">
        <f>(AK37*KFC!$B$16+KFC!$C$16)*KFC!$C$5</f>
        <v>58.092562164210655</v>
      </c>
      <c r="O37" s="898">
        <f>(AL37*KFC!$B$16+KFC!$C$16)*KFC!$C$5</f>
        <v>61.079923651690919</v>
      </c>
      <c r="P37" s="898">
        <f>(AM37*KFC!$B$16+KFC!$C$16)*KFC!$C$5</f>
        <v>64.06728513917119</v>
      </c>
      <c r="Q37" s="898">
        <f>(AN37*KFC!$B$16+KFC!$C$16)*KFC!$C$5</f>
        <v>67.054646626651461</v>
      </c>
      <c r="R37" s="898">
        <f>(AO37*KFC!$B$16+KFC!$C$16)*KFC!$C$5</f>
        <v>70.042008114131718</v>
      </c>
      <c r="S37" s="898">
        <f>(AP37*KFC!$B$16+KFC!$C$16)*KFC!$C$5</f>
        <v>73.02936960161199</v>
      </c>
      <c r="T37" s="898">
        <f>(AQ37*KFC!$B$16+KFC!$C$16)*KFC!$C$5</f>
        <v>76.016731089092261</v>
      </c>
      <c r="U37" s="898">
        <f>(AR37*KFC!$B$16+KFC!$C$16)*KFC!$C$5</f>
        <v>79.004092576572518</v>
      </c>
      <c r="V37" s="898">
        <f>(AS37*KFC!$B$16+KFC!$C$16)*KFC!$C$5</f>
        <v>81.991454064052789</v>
      </c>
      <c r="W37" s="903">
        <f>(AT37*KFC!$B$16+KFC!$C$16)*KFC!$C$5</f>
        <v>84.978815551533017</v>
      </c>
      <c r="Y37" s="1431"/>
      <c r="Z37" s="649">
        <v>0.6</v>
      </c>
      <c r="AA37" s="882">
        <v>28.218947289408003</v>
      </c>
      <c r="AB37" s="882">
        <v>31.206308776888264</v>
      </c>
      <c r="AC37" s="882">
        <v>34.193670264368528</v>
      </c>
      <c r="AD37" s="882">
        <v>37.181031751848792</v>
      </c>
      <c r="AE37" s="882">
        <v>40.168393239329056</v>
      </c>
      <c r="AF37" s="882">
        <v>43.15575472680932</v>
      </c>
      <c r="AG37" s="882">
        <v>46.143116214289584</v>
      </c>
      <c r="AH37" s="882">
        <v>49.130477701769863</v>
      </c>
      <c r="AI37" s="882">
        <v>52.117839189250127</v>
      </c>
      <c r="AJ37" s="882">
        <v>55.105200676730391</v>
      </c>
      <c r="AK37" s="882">
        <v>58.092562164210655</v>
      </c>
      <c r="AL37" s="882">
        <v>61.079923651690919</v>
      </c>
      <c r="AM37" s="882">
        <v>64.06728513917119</v>
      </c>
      <c r="AN37" s="882">
        <v>67.054646626651461</v>
      </c>
      <c r="AO37" s="882">
        <v>70.042008114131718</v>
      </c>
      <c r="AP37" s="882">
        <v>73.02936960161199</v>
      </c>
      <c r="AQ37" s="882">
        <v>76.016731089092261</v>
      </c>
      <c r="AR37" s="882">
        <v>79.004092576572518</v>
      </c>
      <c r="AS37" s="882">
        <v>81.991454064052789</v>
      </c>
      <c r="AT37" s="882">
        <v>84.978815551533017</v>
      </c>
    </row>
    <row r="38" spans="1:46">
      <c r="A38" s="1426"/>
      <c r="B38" s="1427"/>
      <c r="C38" s="887">
        <v>0.7</v>
      </c>
      <c r="D38" s="902">
        <f>(AA38*KFC!$B$16+KFC!$C$16)*KFC!$C$5</f>
        <v>28.801809129881249</v>
      </c>
      <c r="E38" s="898">
        <f>(AB38*KFC!$B$16+KFC!$C$16)*KFC!$C$5</f>
        <v>31.902891184910136</v>
      </c>
      <c r="F38" s="898">
        <f>(AC38*KFC!$B$16+KFC!$C$16)*KFC!$C$5</f>
        <v>35.003973239939015</v>
      </c>
      <c r="G38" s="898">
        <f>(AD38*KFC!$B$16+KFC!$C$16)*KFC!$C$5</f>
        <v>38.105055294967897</v>
      </c>
      <c r="H38" s="898">
        <f>(AE38*KFC!$B$16+KFC!$C$16)*KFC!$C$5</f>
        <v>41.206137349996787</v>
      </c>
      <c r="I38" s="898">
        <f>(AF38*KFC!$B$16+KFC!$C$16)*KFC!$C$5</f>
        <v>44.30721940502567</v>
      </c>
      <c r="J38" s="898">
        <f>(AG38*KFC!$B$16+KFC!$C$16)*KFC!$C$5</f>
        <v>47.40830146005456</v>
      </c>
      <c r="K38" s="898">
        <f>(AH38*KFC!$B$16+KFC!$C$16)*KFC!$C$5</f>
        <v>50.509383515083442</v>
      </c>
      <c r="L38" s="898">
        <f>(AI38*KFC!$B$16+KFC!$C$16)*KFC!$C$5</f>
        <v>53.610465570112325</v>
      </c>
      <c r="M38" s="898">
        <f>(AJ38*KFC!$B$16+KFC!$C$16)*KFC!$C$5</f>
        <v>56.711547625141222</v>
      </c>
      <c r="N38" s="898">
        <f>(AK38*KFC!$B$16+KFC!$C$16)*KFC!$C$5</f>
        <v>59.812629680170097</v>
      </c>
      <c r="O38" s="898">
        <f>(AL38*KFC!$B$16+KFC!$C$16)*KFC!$C$5</f>
        <v>62.91371173519898</v>
      </c>
      <c r="P38" s="898">
        <f>(AM38*KFC!$B$16+KFC!$C$16)*KFC!$C$5</f>
        <v>66.01479379022787</v>
      </c>
      <c r="Q38" s="898">
        <f>(AN38*KFC!$B$16+KFC!$C$16)*KFC!$C$5</f>
        <v>69.115875845256753</v>
      </c>
      <c r="R38" s="898">
        <f>(AO38*KFC!$B$16+KFC!$C$16)*KFC!$C$5</f>
        <v>72.216957900285621</v>
      </c>
      <c r="S38" s="898">
        <f>(AP38*KFC!$B$16+KFC!$C$16)*KFC!$C$5</f>
        <v>75.318039955314504</v>
      </c>
      <c r="T38" s="898">
        <f>(AQ38*KFC!$B$16+KFC!$C$16)*KFC!$C$5</f>
        <v>78.419122010343386</v>
      </c>
      <c r="U38" s="898">
        <f>(AR38*KFC!$B$16+KFC!$C$16)*KFC!$C$5</f>
        <v>81.520204065372255</v>
      </c>
      <c r="V38" s="898">
        <f>(AS38*KFC!$B$16+KFC!$C$16)*KFC!$C$5</f>
        <v>84.621286120401152</v>
      </c>
      <c r="W38" s="903">
        <f>(AT38*KFC!$B$16+KFC!$C$16)*KFC!$C$5</f>
        <v>87.722368175430006</v>
      </c>
      <c r="Y38" s="1431"/>
      <c r="Z38" s="649">
        <v>0.7</v>
      </c>
      <c r="AA38" s="882">
        <v>28.801809129881249</v>
      </c>
      <c r="AB38" s="882">
        <v>31.902891184910136</v>
      </c>
      <c r="AC38" s="882">
        <v>35.003973239939015</v>
      </c>
      <c r="AD38" s="882">
        <v>38.105055294967897</v>
      </c>
      <c r="AE38" s="882">
        <v>41.206137349996787</v>
      </c>
      <c r="AF38" s="882">
        <v>44.30721940502567</v>
      </c>
      <c r="AG38" s="882">
        <v>47.40830146005456</v>
      </c>
      <c r="AH38" s="882">
        <v>50.509383515083442</v>
      </c>
      <c r="AI38" s="882">
        <v>53.610465570112325</v>
      </c>
      <c r="AJ38" s="882">
        <v>56.711547625141222</v>
      </c>
      <c r="AK38" s="882">
        <v>59.812629680170097</v>
      </c>
      <c r="AL38" s="882">
        <v>62.91371173519898</v>
      </c>
      <c r="AM38" s="882">
        <v>66.01479379022787</v>
      </c>
      <c r="AN38" s="882">
        <v>69.115875845256753</v>
      </c>
      <c r="AO38" s="882">
        <v>72.216957900285621</v>
      </c>
      <c r="AP38" s="882">
        <v>75.318039955314504</v>
      </c>
      <c r="AQ38" s="882">
        <v>78.419122010343386</v>
      </c>
      <c r="AR38" s="882">
        <v>81.520204065372255</v>
      </c>
      <c r="AS38" s="882">
        <v>84.621286120401152</v>
      </c>
      <c r="AT38" s="882">
        <v>87.722368175430006</v>
      </c>
    </row>
    <row r="39" spans="1:46">
      <c r="A39" s="1426"/>
      <c r="B39" s="1427"/>
      <c r="C39" s="887">
        <v>0.8</v>
      </c>
      <c r="D39" s="902">
        <f>(AA39*KFC!$B$16+KFC!$C$16)*KFC!$C$5</f>
        <v>29.384670970354506</v>
      </c>
      <c r="E39" s="898">
        <f>(AB39*KFC!$B$16+KFC!$C$16)*KFC!$C$5</f>
        <v>32.599473592932</v>
      </c>
      <c r="F39" s="898">
        <f>(AC39*KFC!$B$16+KFC!$C$16)*KFC!$C$5</f>
        <v>35.814276215509508</v>
      </c>
      <c r="G39" s="898">
        <f>(AD39*KFC!$B$16+KFC!$C$16)*KFC!$C$5</f>
        <v>39.02907883808701</v>
      </c>
      <c r="H39" s="898">
        <f>(AE39*KFC!$B$16+KFC!$C$16)*KFC!$C$5</f>
        <v>42.243881460664518</v>
      </c>
      <c r="I39" s="898">
        <f>(AF39*KFC!$B$16+KFC!$C$16)*KFC!$C$5</f>
        <v>45.458684083242019</v>
      </c>
      <c r="J39" s="898">
        <f>(AG39*KFC!$B$16+KFC!$C$16)*KFC!$C$5</f>
        <v>48.673486705819521</v>
      </c>
      <c r="K39" s="898">
        <f>(AH39*KFC!$B$16+KFC!$C$16)*KFC!$C$5</f>
        <v>51.888289328397022</v>
      </c>
      <c r="L39" s="898">
        <f>(AI39*KFC!$B$16+KFC!$C$16)*KFC!$C$5</f>
        <v>55.10309195097453</v>
      </c>
      <c r="M39" s="898">
        <f>(AJ39*KFC!$B$16+KFC!$C$16)*KFC!$C$5</f>
        <v>58.317894573552039</v>
      </c>
      <c r="N39" s="898">
        <f>(AK39*KFC!$B$16+KFC!$C$16)*KFC!$C$5</f>
        <v>61.532697196129547</v>
      </c>
      <c r="O39" s="898">
        <f>(AL39*KFC!$B$16+KFC!$C$16)*KFC!$C$5</f>
        <v>64.747499818707041</v>
      </c>
      <c r="P39" s="898">
        <f>(AM39*KFC!$B$16+KFC!$C$16)*KFC!$C$5</f>
        <v>67.96230244128455</v>
      </c>
      <c r="Q39" s="898">
        <f>(AN39*KFC!$B$16+KFC!$C$16)*KFC!$C$5</f>
        <v>71.177105063862044</v>
      </c>
      <c r="R39" s="898">
        <f>(AO39*KFC!$B$16+KFC!$C$16)*KFC!$C$5</f>
        <v>74.391907686439552</v>
      </c>
      <c r="S39" s="898">
        <f>(AP39*KFC!$B$16+KFC!$C$16)*KFC!$C$5</f>
        <v>77.60671030901706</v>
      </c>
      <c r="T39" s="898">
        <f>(AQ39*KFC!$B$16+KFC!$C$16)*KFC!$C$5</f>
        <v>80.821512931594569</v>
      </c>
      <c r="U39" s="898">
        <f>(AR39*KFC!$B$16+KFC!$C$16)*KFC!$C$5</f>
        <v>84.036315554172063</v>
      </c>
      <c r="V39" s="898">
        <f>(AS39*KFC!$B$16+KFC!$C$16)*KFC!$C$5</f>
        <v>87.251118176749571</v>
      </c>
      <c r="W39" s="903">
        <f>(AT39*KFC!$B$16+KFC!$C$16)*KFC!$C$5</f>
        <v>90.465920799327023</v>
      </c>
      <c r="Y39" s="1431"/>
      <c r="Z39" s="649">
        <v>0.8</v>
      </c>
      <c r="AA39" s="882">
        <v>29.384670970354506</v>
      </c>
      <c r="AB39" s="882">
        <v>32.599473592932</v>
      </c>
      <c r="AC39" s="882">
        <v>35.814276215509508</v>
      </c>
      <c r="AD39" s="882">
        <v>39.02907883808701</v>
      </c>
      <c r="AE39" s="882">
        <v>42.243881460664518</v>
      </c>
      <c r="AF39" s="882">
        <v>45.458684083242019</v>
      </c>
      <c r="AG39" s="882">
        <v>48.673486705819521</v>
      </c>
      <c r="AH39" s="882">
        <v>51.888289328397022</v>
      </c>
      <c r="AI39" s="882">
        <v>55.10309195097453</v>
      </c>
      <c r="AJ39" s="882">
        <v>58.317894573552039</v>
      </c>
      <c r="AK39" s="882">
        <v>61.532697196129547</v>
      </c>
      <c r="AL39" s="882">
        <v>64.747499818707041</v>
      </c>
      <c r="AM39" s="882">
        <v>67.96230244128455</v>
      </c>
      <c r="AN39" s="882">
        <v>71.177105063862044</v>
      </c>
      <c r="AO39" s="882">
        <v>74.391907686439552</v>
      </c>
      <c r="AP39" s="882">
        <v>77.60671030901706</v>
      </c>
      <c r="AQ39" s="882">
        <v>80.821512931594569</v>
      </c>
      <c r="AR39" s="882">
        <v>84.036315554172063</v>
      </c>
      <c r="AS39" s="882">
        <v>87.251118176749571</v>
      </c>
      <c r="AT39" s="882">
        <v>90.465920799327023</v>
      </c>
    </row>
    <row r="40" spans="1:46">
      <c r="A40" s="1426"/>
      <c r="B40" s="1427"/>
      <c r="C40" s="887">
        <v>0.9</v>
      </c>
      <c r="D40" s="902">
        <f>(AA40*KFC!$B$16+KFC!$C$16)*KFC!$C$5</f>
        <v>29.967532810827752</v>
      </c>
      <c r="E40" s="898">
        <f>(AB40*KFC!$B$16+KFC!$C$16)*KFC!$C$5</f>
        <v>33.296056000953868</v>
      </c>
      <c r="F40" s="898">
        <f>(AC40*KFC!$B$16+KFC!$C$16)*KFC!$C$5</f>
        <v>36.624579191079988</v>
      </c>
      <c r="G40" s="898">
        <f>(AD40*KFC!$B$16+KFC!$C$16)*KFC!$C$5</f>
        <v>39.953102381206115</v>
      </c>
      <c r="H40" s="898">
        <f>(AE40*KFC!$B$16+KFC!$C$16)*KFC!$C$5</f>
        <v>43.281625571332228</v>
      </c>
      <c r="I40" s="898">
        <f>(AF40*KFC!$B$16+KFC!$C$16)*KFC!$C$5</f>
        <v>46.610148761458348</v>
      </c>
      <c r="J40" s="898">
        <f>(AG40*KFC!$B$16+KFC!$C$16)*KFC!$C$5</f>
        <v>49.93867195158446</v>
      </c>
      <c r="K40" s="898">
        <f>(AH40*KFC!$B$16+KFC!$C$16)*KFC!$C$5</f>
        <v>53.26719514171058</v>
      </c>
      <c r="L40" s="898">
        <f>(AI40*KFC!$B$16+KFC!$C$16)*KFC!$C$5</f>
        <v>56.595718331836693</v>
      </c>
      <c r="M40" s="898">
        <f>(AJ40*KFC!$B$16+KFC!$C$16)*KFC!$C$5</f>
        <v>59.924241521962813</v>
      </c>
      <c r="N40" s="898">
        <f>(AK40*KFC!$B$16+KFC!$C$16)*KFC!$C$5</f>
        <v>63.252764712088933</v>
      </c>
      <c r="O40" s="898">
        <f>(AL40*KFC!$B$16+KFC!$C$16)*KFC!$C$5</f>
        <v>66.581287902215038</v>
      </c>
      <c r="P40" s="898">
        <f>(AM40*KFC!$B$16+KFC!$C$16)*KFC!$C$5</f>
        <v>69.909811092341158</v>
      </c>
      <c r="Q40" s="898">
        <f>(AN40*KFC!$B$16+KFC!$C$16)*KFC!$C$5</f>
        <v>73.238334282467278</v>
      </c>
      <c r="R40" s="898">
        <f>(AO40*KFC!$B$16+KFC!$C$16)*KFC!$C$5</f>
        <v>76.566857472593398</v>
      </c>
      <c r="S40" s="898">
        <f>(AP40*KFC!$B$16+KFC!$C$16)*KFC!$C$5</f>
        <v>79.895380662719504</v>
      </c>
      <c r="T40" s="898">
        <f>(AQ40*KFC!$B$16+KFC!$C$16)*KFC!$C$5</f>
        <v>83.223903852845623</v>
      </c>
      <c r="U40" s="898">
        <f>(AR40*KFC!$B$16+KFC!$C$16)*KFC!$C$5</f>
        <v>86.552427042971743</v>
      </c>
      <c r="V40" s="898">
        <f>(AS40*KFC!$B$16+KFC!$C$16)*KFC!$C$5</f>
        <v>89.880950233097863</v>
      </c>
      <c r="W40" s="903">
        <f>(AT40*KFC!$B$16+KFC!$C$16)*KFC!$C$5</f>
        <v>93.209473423224026</v>
      </c>
      <c r="Y40" s="1431"/>
      <c r="Z40" s="649">
        <v>0.9</v>
      </c>
      <c r="AA40" s="882">
        <v>29.967532810827752</v>
      </c>
      <c r="AB40" s="882">
        <v>33.296056000953868</v>
      </c>
      <c r="AC40" s="882">
        <v>36.624579191079988</v>
      </c>
      <c r="AD40" s="882">
        <v>39.953102381206115</v>
      </c>
      <c r="AE40" s="882">
        <v>43.281625571332228</v>
      </c>
      <c r="AF40" s="882">
        <v>46.610148761458348</v>
      </c>
      <c r="AG40" s="882">
        <v>49.93867195158446</v>
      </c>
      <c r="AH40" s="882">
        <v>53.26719514171058</v>
      </c>
      <c r="AI40" s="882">
        <v>56.595718331836693</v>
      </c>
      <c r="AJ40" s="882">
        <v>59.924241521962813</v>
      </c>
      <c r="AK40" s="882">
        <v>63.252764712088933</v>
      </c>
      <c r="AL40" s="882">
        <v>66.581287902215038</v>
      </c>
      <c r="AM40" s="882">
        <v>69.909811092341158</v>
      </c>
      <c r="AN40" s="882">
        <v>73.238334282467278</v>
      </c>
      <c r="AO40" s="882">
        <v>76.566857472593398</v>
      </c>
      <c r="AP40" s="882">
        <v>79.895380662719504</v>
      </c>
      <c r="AQ40" s="882">
        <v>83.223903852845623</v>
      </c>
      <c r="AR40" s="882">
        <v>86.552427042971743</v>
      </c>
      <c r="AS40" s="882">
        <v>89.880950233097863</v>
      </c>
      <c r="AT40" s="882">
        <v>93.209473423224026</v>
      </c>
    </row>
    <row r="41" spans="1:46">
      <c r="A41" s="1426"/>
      <c r="B41" s="1427"/>
      <c r="C41" s="887">
        <v>1</v>
      </c>
      <c r="D41" s="902">
        <f>(AA41*KFC!$B$16+KFC!$C$16)*KFC!$C$5</f>
        <v>30.550394651301005</v>
      </c>
      <c r="E41" s="898">
        <f>(AB41*KFC!$B$16+KFC!$C$16)*KFC!$C$5</f>
        <v>33.992638408975743</v>
      </c>
      <c r="F41" s="898">
        <f>(AC41*KFC!$B$16+KFC!$C$16)*KFC!$C$5</f>
        <v>37.434882166650482</v>
      </c>
      <c r="G41" s="898">
        <f>(AD41*KFC!$B$16+KFC!$C$16)*KFC!$C$5</f>
        <v>40.87712592432522</v>
      </c>
      <c r="H41" s="898">
        <f>(AE41*KFC!$B$16+KFC!$C$16)*KFC!$C$5</f>
        <v>44.319369681999959</v>
      </c>
      <c r="I41" s="898">
        <f>(AF41*KFC!$B$16+KFC!$C$16)*KFC!$C$5</f>
        <v>47.761613439674704</v>
      </c>
      <c r="J41" s="898">
        <f>(AG41*KFC!$B$16+KFC!$C$16)*KFC!$C$5</f>
        <v>51.203857197349443</v>
      </c>
      <c r="K41" s="898">
        <f>(AH41*KFC!$B$16+KFC!$C$16)*KFC!$C$5</f>
        <v>54.646100955024188</v>
      </c>
      <c r="L41" s="898">
        <f>(AI41*KFC!$B$16+KFC!$C$16)*KFC!$C$5</f>
        <v>58.088344712698927</v>
      </c>
      <c r="M41" s="898">
        <f>(AJ41*KFC!$B$16+KFC!$C$16)*KFC!$C$5</f>
        <v>61.530588470373665</v>
      </c>
      <c r="N41" s="898">
        <f>(AK41*KFC!$B$16+KFC!$C$16)*KFC!$C$5</f>
        <v>64.972832228048404</v>
      </c>
      <c r="O41" s="898">
        <f>(AL41*KFC!$B$16+KFC!$C$16)*KFC!$C$5</f>
        <v>68.415075985723149</v>
      </c>
      <c r="P41" s="898">
        <f>(AM41*KFC!$B$16+KFC!$C$16)*KFC!$C$5</f>
        <v>71.857319743397895</v>
      </c>
      <c r="Q41" s="898">
        <f>(AN41*KFC!$B$16+KFC!$C$16)*KFC!$C$5</f>
        <v>75.29956350107264</v>
      </c>
      <c r="R41" s="898">
        <f>(AO41*KFC!$B$16+KFC!$C$16)*KFC!$C$5</f>
        <v>78.741807258747372</v>
      </c>
      <c r="S41" s="898">
        <f>(AP41*KFC!$B$16+KFC!$C$16)*KFC!$C$5</f>
        <v>82.184051016422131</v>
      </c>
      <c r="T41" s="898">
        <f>(AQ41*KFC!$B$16+KFC!$C$16)*KFC!$C$5</f>
        <v>85.626294774096863</v>
      </c>
      <c r="U41" s="898">
        <f>(AR41*KFC!$B$16+KFC!$C$16)*KFC!$C$5</f>
        <v>89.068538531771608</v>
      </c>
      <c r="V41" s="898">
        <f>(AS41*KFC!$B$16+KFC!$C$16)*KFC!$C$5</f>
        <v>92.51078228944634</v>
      </c>
      <c r="W41" s="903">
        <f>(AT41*KFC!$B$16+KFC!$C$16)*KFC!$C$5</f>
        <v>95.953026047121028</v>
      </c>
      <c r="Y41" s="1431"/>
      <c r="Z41" s="649">
        <v>1</v>
      </c>
      <c r="AA41" s="882">
        <v>30.550394651301005</v>
      </c>
      <c r="AB41" s="882">
        <v>33.992638408975743</v>
      </c>
      <c r="AC41" s="882">
        <v>37.434882166650482</v>
      </c>
      <c r="AD41" s="882">
        <v>40.87712592432522</v>
      </c>
      <c r="AE41" s="882">
        <v>44.319369681999959</v>
      </c>
      <c r="AF41" s="882">
        <v>47.761613439674704</v>
      </c>
      <c r="AG41" s="882">
        <v>51.203857197349443</v>
      </c>
      <c r="AH41" s="882">
        <v>54.646100955024188</v>
      </c>
      <c r="AI41" s="882">
        <v>58.088344712698927</v>
      </c>
      <c r="AJ41" s="882">
        <v>61.530588470373665</v>
      </c>
      <c r="AK41" s="882">
        <v>64.972832228048404</v>
      </c>
      <c r="AL41" s="882">
        <v>68.415075985723149</v>
      </c>
      <c r="AM41" s="882">
        <v>71.857319743397895</v>
      </c>
      <c r="AN41" s="882">
        <v>75.29956350107264</v>
      </c>
      <c r="AO41" s="882">
        <v>78.741807258747372</v>
      </c>
      <c r="AP41" s="882">
        <v>82.184051016422131</v>
      </c>
      <c r="AQ41" s="882">
        <v>85.626294774096863</v>
      </c>
      <c r="AR41" s="882">
        <v>89.068538531771608</v>
      </c>
      <c r="AS41" s="882">
        <v>92.51078228944634</v>
      </c>
      <c r="AT41" s="882">
        <v>95.953026047121028</v>
      </c>
    </row>
    <row r="42" spans="1:46">
      <c r="A42" s="1426"/>
      <c r="B42" s="1427"/>
      <c r="C42" s="887">
        <v>1.1000000000000001</v>
      </c>
      <c r="D42" s="902">
        <f>(AA42*KFC!$B$16+KFC!$C$16)*KFC!$C$5</f>
        <v>31.133256491774251</v>
      </c>
      <c r="E42" s="898">
        <f>(AB42*KFC!$B$16+KFC!$C$16)*KFC!$C$5</f>
        <v>34.689220816997612</v>
      </c>
      <c r="F42" s="898">
        <f>(AC42*KFC!$B$16+KFC!$C$16)*KFC!$C$5</f>
        <v>38.245185142220969</v>
      </c>
      <c r="G42" s="898">
        <f>(AD42*KFC!$B$16+KFC!$C$16)*KFC!$C$5</f>
        <v>41.801149467444318</v>
      </c>
      <c r="H42" s="898">
        <f>(AE42*KFC!$B$16+KFC!$C$16)*KFC!$C$5</f>
        <v>45.357113792667676</v>
      </c>
      <c r="I42" s="898">
        <f>(AF42*KFC!$B$16+KFC!$C$16)*KFC!$C$5</f>
        <v>48.913078117891025</v>
      </c>
      <c r="J42" s="898">
        <f>(AG42*KFC!$B$16+KFC!$C$16)*KFC!$C$5</f>
        <v>52.469042443114382</v>
      </c>
      <c r="K42" s="898">
        <f>(AH42*KFC!$B$16+KFC!$C$16)*KFC!$C$5</f>
        <v>56.025006768337732</v>
      </c>
      <c r="L42" s="898">
        <f>(AI42*KFC!$B$16+KFC!$C$16)*KFC!$C$5</f>
        <v>59.580971093561097</v>
      </c>
      <c r="M42" s="898">
        <f>(AJ42*KFC!$B$16+KFC!$C$16)*KFC!$C$5</f>
        <v>63.136935418784439</v>
      </c>
      <c r="N42" s="898">
        <f>(AK42*KFC!$B$16+KFC!$C$16)*KFC!$C$5</f>
        <v>66.692899744007804</v>
      </c>
      <c r="O42" s="898">
        <f>(AL42*KFC!$B$16+KFC!$C$16)*KFC!$C$5</f>
        <v>70.248864069231161</v>
      </c>
      <c r="P42" s="898">
        <f>(AM42*KFC!$B$16+KFC!$C$16)*KFC!$C$5</f>
        <v>73.804828394454503</v>
      </c>
      <c r="Q42" s="898">
        <f>(AN42*KFC!$B$16+KFC!$C$16)*KFC!$C$5</f>
        <v>77.36079271967786</v>
      </c>
      <c r="R42" s="898">
        <f>(AO42*KFC!$B$16+KFC!$C$16)*KFC!$C$5</f>
        <v>80.916757044901217</v>
      </c>
      <c r="S42" s="898">
        <f>(AP42*KFC!$B$16+KFC!$C$16)*KFC!$C$5</f>
        <v>84.47272137012456</v>
      </c>
      <c r="T42" s="898">
        <f>(AQ42*KFC!$B$16+KFC!$C$16)*KFC!$C$5</f>
        <v>88.028685695347917</v>
      </c>
      <c r="U42" s="898">
        <f>(AR42*KFC!$B$16+KFC!$C$16)*KFC!$C$5</f>
        <v>91.58465002057126</v>
      </c>
      <c r="V42" s="898">
        <f>(AS42*KFC!$B$16+KFC!$C$16)*KFC!$C$5</f>
        <v>95.140614345794631</v>
      </c>
      <c r="W42" s="903">
        <f>(AT42*KFC!$B$16+KFC!$C$16)*KFC!$C$5</f>
        <v>98.696578671018031</v>
      </c>
      <c r="Y42" s="1431"/>
      <c r="Z42" s="649">
        <v>1.1000000000000001</v>
      </c>
      <c r="AA42" s="882">
        <v>31.133256491774251</v>
      </c>
      <c r="AB42" s="882">
        <v>34.689220816997612</v>
      </c>
      <c r="AC42" s="882">
        <v>38.245185142220969</v>
      </c>
      <c r="AD42" s="882">
        <v>41.801149467444318</v>
      </c>
      <c r="AE42" s="882">
        <v>45.357113792667676</v>
      </c>
      <c r="AF42" s="882">
        <v>48.913078117891025</v>
      </c>
      <c r="AG42" s="882">
        <v>52.469042443114382</v>
      </c>
      <c r="AH42" s="882">
        <v>56.025006768337732</v>
      </c>
      <c r="AI42" s="882">
        <v>59.580971093561097</v>
      </c>
      <c r="AJ42" s="882">
        <v>63.136935418784439</v>
      </c>
      <c r="AK42" s="882">
        <v>66.692899744007804</v>
      </c>
      <c r="AL42" s="882">
        <v>70.248864069231161</v>
      </c>
      <c r="AM42" s="882">
        <v>73.804828394454503</v>
      </c>
      <c r="AN42" s="882">
        <v>77.36079271967786</v>
      </c>
      <c r="AO42" s="882">
        <v>80.916757044901217</v>
      </c>
      <c r="AP42" s="882">
        <v>84.47272137012456</v>
      </c>
      <c r="AQ42" s="882">
        <v>88.028685695347917</v>
      </c>
      <c r="AR42" s="882">
        <v>91.58465002057126</v>
      </c>
      <c r="AS42" s="882">
        <v>95.140614345794631</v>
      </c>
      <c r="AT42" s="882">
        <v>98.696578671018031</v>
      </c>
    </row>
    <row r="43" spans="1:46">
      <c r="A43" s="1426"/>
      <c r="B43" s="1427"/>
      <c r="C43" s="887">
        <v>1.2</v>
      </c>
      <c r="D43" s="902">
        <f>(AA43*KFC!$B$16+KFC!$C$16)*KFC!$C$5</f>
        <v>31.716118332247508</v>
      </c>
      <c r="E43" s="898">
        <f>(AB43*KFC!$B$16+KFC!$C$16)*KFC!$C$5</f>
        <v>35.38580322501948</v>
      </c>
      <c r="F43" s="898">
        <f>(AC43*KFC!$B$16+KFC!$C$16)*KFC!$C$5</f>
        <v>39.055488117791455</v>
      </c>
      <c r="G43" s="898">
        <f>(AD43*KFC!$B$16+KFC!$C$16)*KFC!$C$5</f>
        <v>42.725173010563438</v>
      </c>
      <c r="H43" s="898">
        <f>(AE43*KFC!$B$16+KFC!$C$16)*KFC!$C$5</f>
        <v>46.394857903335428</v>
      </c>
      <c r="I43" s="898">
        <f>(AF43*KFC!$B$16+KFC!$C$16)*KFC!$C$5</f>
        <v>50.064542796107396</v>
      </c>
      <c r="J43" s="898">
        <f>(AG43*KFC!$B$16+KFC!$C$16)*KFC!$C$5</f>
        <v>53.734227688879372</v>
      </c>
      <c r="K43" s="898">
        <f>(AH43*KFC!$B$16+KFC!$C$16)*KFC!$C$5</f>
        <v>57.403912581651355</v>
      </c>
      <c r="L43" s="898">
        <f>(AI43*KFC!$B$16+KFC!$C$16)*KFC!$C$5</f>
        <v>61.07359747442333</v>
      </c>
      <c r="M43" s="898">
        <f>(AJ43*KFC!$B$16+KFC!$C$16)*KFC!$C$5</f>
        <v>64.74328236719532</v>
      </c>
      <c r="N43" s="898">
        <f>(AK43*KFC!$B$16+KFC!$C$16)*KFC!$C$5</f>
        <v>68.412967259967289</v>
      </c>
      <c r="O43" s="898">
        <f>(AL43*KFC!$B$16+KFC!$C$16)*KFC!$C$5</f>
        <v>72.082652152739271</v>
      </c>
      <c r="P43" s="898">
        <f>(AM43*KFC!$B$16+KFC!$C$16)*KFC!$C$5</f>
        <v>75.752337045511254</v>
      </c>
      <c r="Q43" s="898">
        <f>(AN43*KFC!$B$16+KFC!$C$16)*KFC!$C$5</f>
        <v>79.422021938283237</v>
      </c>
      <c r="R43" s="898">
        <f>(AO43*KFC!$B$16+KFC!$C$16)*KFC!$C$5</f>
        <v>83.091706831055205</v>
      </c>
      <c r="S43" s="898">
        <f>(AP43*KFC!$B$16+KFC!$C$16)*KFC!$C$5</f>
        <v>86.761391723827188</v>
      </c>
      <c r="T43" s="898">
        <f>(AQ43*KFC!$B$16+KFC!$C$16)*KFC!$C$5</f>
        <v>90.431076616599171</v>
      </c>
      <c r="U43" s="898">
        <f>(AR43*KFC!$B$16+KFC!$C$16)*KFC!$C$5</f>
        <v>94.100761509371154</v>
      </c>
      <c r="V43" s="898">
        <f>(AS43*KFC!$B$16+KFC!$C$16)*KFC!$C$5</f>
        <v>97.770446402143122</v>
      </c>
      <c r="W43" s="903">
        <f>(AT43*KFC!$B$16+KFC!$C$16)*KFC!$C$5</f>
        <v>101.44013129491505</v>
      </c>
      <c r="Y43" s="1431"/>
      <c r="Z43" s="649">
        <v>1.2</v>
      </c>
      <c r="AA43" s="882">
        <v>31.716118332247508</v>
      </c>
      <c r="AB43" s="882">
        <v>35.38580322501948</v>
      </c>
      <c r="AC43" s="882">
        <v>39.055488117791455</v>
      </c>
      <c r="AD43" s="882">
        <v>42.725173010563438</v>
      </c>
      <c r="AE43" s="882">
        <v>46.394857903335428</v>
      </c>
      <c r="AF43" s="882">
        <v>50.064542796107396</v>
      </c>
      <c r="AG43" s="882">
        <v>53.734227688879372</v>
      </c>
      <c r="AH43" s="882">
        <v>57.403912581651355</v>
      </c>
      <c r="AI43" s="882">
        <v>61.07359747442333</v>
      </c>
      <c r="AJ43" s="882">
        <v>64.74328236719532</v>
      </c>
      <c r="AK43" s="882">
        <v>68.412967259967289</v>
      </c>
      <c r="AL43" s="882">
        <v>72.082652152739271</v>
      </c>
      <c r="AM43" s="882">
        <v>75.752337045511254</v>
      </c>
      <c r="AN43" s="882">
        <v>79.422021938283237</v>
      </c>
      <c r="AO43" s="882">
        <v>83.091706831055205</v>
      </c>
      <c r="AP43" s="882">
        <v>86.761391723827188</v>
      </c>
      <c r="AQ43" s="882">
        <v>90.431076616599171</v>
      </c>
      <c r="AR43" s="882">
        <v>94.100761509371154</v>
      </c>
      <c r="AS43" s="882">
        <v>97.770446402143122</v>
      </c>
      <c r="AT43" s="882">
        <v>101.44013129491505</v>
      </c>
    </row>
    <row r="44" spans="1:46">
      <c r="A44" s="1426"/>
      <c r="B44" s="1427"/>
      <c r="C44" s="887">
        <v>1.3</v>
      </c>
      <c r="D44" s="902">
        <f>(AA44*KFC!$B$16+KFC!$C$16)*KFC!$C$5</f>
        <v>32.298980172720754</v>
      </c>
      <c r="E44" s="898">
        <f>(AB44*KFC!$B$16+KFC!$C$16)*KFC!$C$5</f>
        <v>36.082385633041348</v>
      </c>
      <c r="F44" s="898">
        <f>(AC44*KFC!$B$16+KFC!$C$16)*KFC!$C$5</f>
        <v>39.865791093361935</v>
      </c>
      <c r="G44" s="898">
        <f>(AD44*KFC!$B$16+KFC!$C$16)*KFC!$C$5</f>
        <v>43.649196553682529</v>
      </c>
      <c r="H44" s="898">
        <f>(AE44*KFC!$B$16+KFC!$C$16)*KFC!$C$5</f>
        <v>47.432602014003116</v>
      </c>
      <c r="I44" s="898">
        <f>(AF44*KFC!$B$16+KFC!$C$16)*KFC!$C$5</f>
        <v>51.216007474323717</v>
      </c>
      <c r="J44" s="898">
        <f>(AG44*KFC!$B$16+KFC!$C$16)*KFC!$C$5</f>
        <v>54.999412934644305</v>
      </c>
      <c r="K44" s="898">
        <f>(AH44*KFC!$B$16+KFC!$C$16)*KFC!$C$5</f>
        <v>58.782818394964899</v>
      </c>
      <c r="L44" s="898">
        <f>(AI44*KFC!$B$16+KFC!$C$16)*KFC!$C$5</f>
        <v>62.566223855285486</v>
      </c>
      <c r="M44" s="898">
        <f>(AJ44*KFC!$B$16+KFC!$C$16)*KFC!$C$5</f>
        <v>66.34962931560608</v>
      </c>
      <c r="N44" s="898">
        <f>(AK44*KFC!$B$16+KFC!$C$16)*KFC!$C$5</f>
        <v>70.13303477592666</v>
      </c>
      <c r="O44" s="898">
        <f>(AL44*KFC!$B$16+KFC!$C$16)*KFC!$C$5</f>
        <v>73.916440236247254</v>
      </c>
      <c r="P44" s="898">
        <f>(AM44*KFC!$B$16+KFC!$C$16)*KFC!$C$5</f>
        <v>77.699845696567849</v>
      </c>
      <c r="Q44" s="898">
        <f>(AN44*KFC!$B$16+KFC!$C$16)*KFC!$C$5</f>
        <v>81.483251156888443</v>
      </c>
      <c r="R44" s="898">
        <f>(AO44*KFC!$B$16+KFC!$C$16)*KFC!$C$5</f>
        <v>85.266656617209037</v>
      </c>
      <c r="S44" s="898">
        <f>(AP44*KFC!$B$16+KFC!$C$16)*KFC!$C$5</f>
        <v>89.050062077529617</v>
      </c>
      <c r="T44" s="898">
        <f>(AQ44*KFC!$B$16+KFC!$C$16)*KFC!$C$5</f>
        <v>92.833467537850225</v>
      </c>
      <c r="U44" s="898">
        <f>(AR44*KFC!$B$16+KFC!$C$16)*KFC!$C$5</f>
        <v>96.616872998170805</v>
      </c>
      <c r="V44" s="898">
        <f>(AS44*KFC!$B$16+KFC!$C$16)*KFC!$C$5</f>
        <v>100.4002784584914</v>
      </c>
      <c r="W44" s="903">
        <f>(AT44*KFC!$B$16+KFC!$C$16)*KFC!$C$5</f>
        <v>104.18368391881204</v>
      </c>
      <c r="Y44" s="1431"/>
      <c r="Z44" s="649">
        <v>1.3</v>
      </c>
      <c r="AA44" s="882">
        <v>32.298980172720754</v>
      </c>
      <c r="AB44" s="882">
        <v>36.082385633041348</v>
      </c>
      <c r="AC44" s="882">
        <v>39.865791093361935</v>
      </c>
      <c r="AD44" s="882">
        <v>43.649196553682529</v>
      </c>
      <c r="AE44" s="882">
        <v>47.432602014003116</v>
      </c>
      <c r="AF44" s="882">
        <v>51.216007474323717</v>
      </c>
      <c r="AG44" s="882">
        <v>54.999412934644305</v>
      </c>
      <c r="AH44" s="882">
        <v>58.782818394964899</v>
      </c>
      <c r="AI44" s="882">
        <v>62.566223855285486</v>
      </c>
      <c r="AJ44" s="882">
        <v>66.34962931560608</v>
      </c>
      <c r="AK44" s="882">
        <v>70.13303477592666</v>
      </c>
      <c r="AL44" s="882">
        <v>73.916440236247254</v>
      </c>
      <c r="AM44" s="882">
        <v>77.699845696567849</v>
      </c>
      <c r="AN44" s="882">
        <v>81.483251156888443</v>
      </c>
      <c r="AO44" s="882">
        <v>85.266656617209037</v>
      </c>
      <c r="AP44" s="882">
        <v>89.050062077529617</v>
      </c>
      <c r="AQ44" s="882">
        <v>92.833467537850225</v>
      </c>
      <c r="AR44" s="882">
        <v>96.616872998170805</v>
      </c>
      <c r="AS44" s="882">
        <v>100.4002784584914</v>
      </c>
      <c r="AT44" s="882">
        <v>104.18368391881204</v>
      </c>
    </row>
    <row r="45" spans="1:46">
      <c r="A45" s="1426"/>
      <c r="B45" s="1427"/>
      <c r="C45" s="887">
        <v>1.4</v>
      </c>
      <c r="D45" s="902">
        <f>(AA45*KFC!$B$16+KFC!$C$16)*KFC!$C$5</f>
        <v>32.881842013194003</v>
      </c>
      <c r="E45" s="898">
        <f>(AB45*KFC!$B$16+KFC!$C$16)*KFC!$C$5</f>
        <v>36.778968041063216</v>
      </c>
      <c r="F45" s="898">
        <f>(AC45*KFC!$B$16+KFC!$C$16)*KFC!$C$5</f>
        <v>40.676094068932429</v>
      </c>
      <c r="G45" s="898">
        <f>(AD45*KFC!$B$16+KFC!$C$16)*KFC!$C$5</f>
        <v>44.573220096801641</v>
      </c>
      <c r="H45" s="898">
        <f>(AE45*KFC!$B$16+KFC!$C$16)*KFC!$C$5</f>
        <v>48.470346124670847</v>
      </c>
      <c r="I45" s="898">
        <f>(AF45*KFC!$B$16+KFC!$C$16)*KFC!$C$5</f>
        <v>52.36747215254006</v>
      </c>
      <c r="J45" s="898">
        <f>(AG45*KFC!$B$16+KFC!$C$16)*KFC!$C$5</f>
        <v>56.264598180409266</v>
      </c>
      <c r="K45" s="898">
        <f>(AH45*KFC!$B$16+KFC!$C$16)*KFC!$C$5</f>
        <v>60.161724208278486</v>
      </c>
      <c r="L45" s="898">
        <f>(AI45*KFC!$B$16+KFC!$C$16)*KFC!$C$5</f>
        <v>64.058850236147691</v>
      </c>
      <c r="M45" s="898">
        <f>(AJ45*KFC!$B$16+KFC!$C$16)*KFC!$C$5</f>
        <v>67.955976264016911</v>
      </c>
      <c r="N45" s="898">
        <f>(AK45*KFC!$B$16+KFC!$C$16)*KFC!$C$5</f>
        <v>71.853102291886131</v>
      </c>
      <c r="O45" s="898">
        <f>(AL45*KFC!$B$16+KFC!$C$16)*KFC!$C$5</f>
        <v>75.750228319755337</v>
      </c>
      <c r="P45" s="898">
        <f>(AM45*KFC!$B$16+KFC!$C$16)*KFC!$C$5</f>
        <v>79.647354347624557</v>
      </c>
      <c r="Q45" s="898">
        <f>(AN45*KFC!$B$16+KFC!$C$16)*KFC!$C$5</f>
        <v>83.544480375493762</v>
      </c>
      <c r="R45" s="898">
        <f>(AO45*KFC!$B$16+KFC!$C$16)*KFC!$C$5</f>
        <v>87.441606403362982</v>
      </c>
      <c r="S45" s="898">
        <f>(AP45*KFC!$B$16+KFC!$C$16)*KFC!$C$5</f>
        <v>91.338732431232202</v>
      </c>
      <c r="T45" s="898">
        <f>(AQ45*KFC!$B$16+KFC!$C$16)*KFC!$C$5</f>
        <v>95.235858459101422</v>
      </c>
      <c r="U45" s="898">
        <f>(AR45*KFC!$B$16+KFC!$C$16)*KFC!$C$5</f>
        <v>99.132984486970642</v>
      </c>
      <c r="V45" s="898">
        <f>(AS45*KFC!$B$16+KFC!$C$16)*KFC!$C$5</f>
        <v>103.03011051483986</v>
      </c>
      <c r="W45" s="903">
        <f>(AT45*KFC!$B$16+KFC!$C$16)*KFC!$C$5</f>
        <v>106.92723654270905</v>
      </c>
      <c r="Y45" s="1431"/>
      <c r="Z45" s="649">
        <v>1.4</v>
      </c>
      <c r="AA45" s="882">
        <v>32.881842013194003</v>
      </c>
      <c r="AB45" s="882">
        <v>36.778968041063216</v>
      </c>
      <c r="AC45" s="882">
        <v>40.676094068932429</v>
      </c>
      <c r="AD45" s="882">
        <v>44.573220096801641</v>
      </c>
      <c r="AE45" s="882">
        <v>48.470346124670847</v>
      </c>
      <c r="AF45" s="882">
        <v>52.36747215254006</v>
      </c>
      <c r="AG45" s="882">
        <v>56.264598180409266</v>
      </c>
      <c r="AH45" s="882">
        <v>60.161724208278486</v>
      </c>
      <c r="AI45" s="882">
        <v>64.058850236147691</v>
      </c>
      <c r="AJ45" s="882">
        <v>67.955976264016911</v>
      </c>
      <c r="AK45" s="882">
        <v>71.853102291886131</v>
      </c>
      <c r="AL45" s="882">
        <v>75.750228319755337</v>
      </c>
      <c r="AM45" s="882">
        <v>79.647354347624557</v>
      </c>
      <c r="AN45" s="882">
        <v>83.544480375493762</v>
      </c>
      <c r="AO45" s="882">
        <v>87.441606403362982</v>
      </c>
      <c r="AP45" s="882">
        <v>91.338732431232202</v>
      </c>
      <c r="AQ45" s="882">
        <v>95.235858459101422</v>
      </c>
      <c r="AR45" s="882">
        <v>99.132984486970642</v>
      </c>
      <c r="AS45" s="882">
        <v>103.03011051483986</v>
      </c>
      <c r="AT45" s="882">
        <v>106.92723654270905</v>
      </c>
    </row>
    <row r="46" spans="1:46">
      <c r="A46" s="1426"/>
      <c r="B46" s="1427"/>
      <c r="C46" s="887">
        <v>1.5</v>
      </c>
      <c r="D46" s="902">
        <f>(AA46*KFC!$B$16+KFC!$C$16)*KFC!$C$5</f>
        <v>33.464703853667253</v>
      </c>
      <c r="E46" s="898">
        <f>(AB46*KFC!$B$16+KFC!$C$16)*KFC!$C$5</f>
        <v>37.475550449085084</v>
      </c>
      <c r="F46" s="898">
        <f>(AC46*KFC!$B$16+KFC!$C$16)*KFC!$C$5</f>
        <v>41.486397044502915</v>
      </c>
      <c r="G46" s="898">
        <f>(AD46*KFC!$B$16+KFC!$C$16)*KFC!$C$5</f>
        <v>45.497243639920747</v>
      </c>
      <c r="H46" s="898">
        <f>(AE46*KFC!$B$16+KFC!$C$16)*KFC!$C$5</f>
        <v>49.508090235338571</v>
      </c>
      <c r="I46" s="898">
        <f>(AF46*KFC!$B$16+KFC!$C$16)*KFC!$C$5</f>
        <v>53.518936830756402</v>
      </c>
      <c r="J46" s="898">
        <f>(AG46*KFC!$B$16+KFC!$C$16)*KFC!$C$5</f>
        <v>57.529783426174234</v>
      </c>
      <c r="K46" s="898">
        <f>(AH46*KFC!$B$16+KFC!$C$16)*KFC!$C$5</f>
        <v>61.540630021592058</v>
      </c>
      <c r="L46" s="898">
        <f>(AI46*KFC!$B$16+KFC!$C$16)*KFC!$C$5</f>
        <v>65.551476617009897</v>
      </c>
      <c r="M46" s="898">
        <f>(AJ46*KFC!$B$16+KFC!$C$16)*KFC!$C$5</f>
        <v>69.562323212427714</v>
      </c>
      <c r="N46" s="898">
        <f>(AK46*KFC!$B$16+KFC!$C$16)*KFC!$C$5</f>
        <v>73.573169807845545</v>
      </c>
      <c r="O46" s="898">
        <f>(AL46*KFC!$B$16+KFC!$C$16)*KFC!$C$5</f>
        <v>77.584016403263377</v>
      </c>
      <c r="P46" s="898">
        <f>(AM46*KFC!$B$16+KFC!$C$16)*KFC!$C$5</f>
        <v>81.594862998681208</v>
      </c>
      <c r="Q46" s="898">
        <f>(AN46*KFC!$B$16+KFC!$C$16)*KFC!$C$5</f>
        <v>85.605709594099039</v>
      </c>
      <c r="R46" s="898">
        <f>(AO46*KFC!$B$16+KFC!$C$16)*KFC!$C$5</f>
        <v>89.616556189516871</v>
      </c>
      <c r="S46" s="898">
        <f>(AP46*KFC!$B$16+KFC!$C$16)*KFC!$C$5</f>
        <v>93.627402784934702</v>
      </c>
      <c r="T46" s="898">
        <f>(AQ46*KFC!$B$16+KFC!$C$16)*KFC!$C$5</f>
        <v>97.638249380352519</v>
      </c>
      <c r="U46" s="898">
        <f>(AR46*KFC!$B$16+KFC!$C$16)*KFC!$C$5</f>
        <v>101.64909597577035</v>
      </c>
      <c r="V46" s="898">
        <f>(AS46*KFC!$B$16+KFC!$C$16)*KFC!$C$5</f>
        <v>105.65994257118818</v>
      </c>
      <c r="W46" s="903">
        <f>(AT46*KFC!$B$16+KFC!$C$16)*KFC!$C$5</f>
        <v>109.67078916660606</v>
      </c>
      <c r="Y46" s="1431"/>
      <c r="Z46" s="649">
        <v>1.5</v>
      </c>
      <c r="AA46" s="882">
        <v>33.464703853667253</v>
      </c>
      <c r="AB46" s="882">
        <v>37.475550449085084</v>
      </c>
      <c r="AC46" s="882">
        <v>41.486397044502915</v>
      </c>
      <c r="AD46" s="882">
        <v>45.497243639920747</v>
      </c>
      <c r="AE46" s="882">
        <v>49.508090235338571</v>
      </c>
      <c r="AF46" s="882">
        <v>53.518936830756402</v>
      </c>
      <c r="AG46" s="882">
        <v>57.529783426174234</v>
      </c>
      <c r="AH46" s="882">
        <v>61.540630021592058</v>
      </c>
      <c r="AI46" s="882">
        <v>65.551476617009897</v>
      </c>
      <c r="AJ46" s="882">
        <v>69.562323212427714</v>
      </c>
      <c r="AK46" s="882">
        <v>73.573169807845545</v>
      </c>
      <c r="AL46" s="882">
        <v>77.584016403263377</v>
      </c>
      <c r="AM46" s="882">
        <v>81.594862998681208</v>
      </c>
      <c r="AN46" s="882">
        <v>85.605709594099039</v>
      </c>
      <c r="AO46" s="882">
        <v>89.616556189516871</v>
      </c>
      <c r="AP46" s="882">
        <v>93.627402784934702</v>
      </c>
      <c r="AQ46" s="882">
        <v>97.638249380352519</v>
      </c>
      <c r="AR46" s="882">
        <v>101.64909597577035</v>
      </c>
      <c r="AS46" s="882">
        <v>105.65994257118818</v>
      </c>
      <c r="AT46" s="882">
        <v>109.67078916660606</v>
      </c>
    </row>
    <row r="47" spans="1:46">
      <c r="A47" s="1426"/>
      <c r="B47" s="1427"/>
      <c r="C47" s="887">
        <v>1.6</v>
      </c>
      <c r="D47" s="902">
        <f>(AA47*KFC!$B$16+KFC!$C$16)*KFC!$C$5</f>
        <v>34.047565694140509</v>
      </c>
      <c r="E47" s="898">
        <f>(AB47*KFC!$B$16+KFC!$C$16)*KFC!$C$5</f>
        <v>38.172132857106959</v>
      </c>
      <c r="F47" s="898">
        <f>(AC47*KFC!$B$16+KFC!$C$16)*KFC!$C$5</f>
        <v>42.296700020073409</v>
      </c>
      <c r="G47" s="898">
        <f>(AD47*KFC!$B$16+KFC!$C$16)*KFC!$C$5</f>
        <v>46.421267183039852</v>
      </c>
      <c r="H47" s="898">
        <f>(AE47*KFC!$B$16+KFC!$C$16)*KFC!$C$5</f>
        <v>50.545834346006302</v>
      </c>
      <c r="I47" s="898">
        <f>(AF47*KFC!$B$16+KFC!$C$16)*KFC!$C$5</f>
        <v>54.670401508972745</v>
      </c>
      <c r="J47" s="898">
        <f>(AG47*KFC!$B$16+KFC!$C$16)*KFC!$C$5</f>
        <v>58.794968671939195</v>
      </c>
      <c r="K47" s="898">
        <f>(AH47*KFC!$B$16+KFC!$C$16)*KFC!$C$5</f>
        <v>62.919535834905645</v>
      </c>
      <c r="L47" s="898">
        <f>(AI47*KFC!$B$16+KFC!$C$16)*KFC!$C$5</f>
        <v>67.044102997872102</v>
      </c>
      <c r="M47" s="898">
        <f>(AJ47*KFC!$B$16+KFC!$C$16)*KFC!$C$5</f>
        <v>71.168670160838559</v>
      </c>
      <c r="N47" s="898">
        <f>(AK47*KFC!$B$16+KFC!$C$16)*KFC!$C$5</f>
        <v>75.293237323805002</v>
      </c>
      <c r="O47" s="898">
        <f>(AL47*KFC!$B$16+KFC!$C$16)*KFC!$C$5</f>
        <v>79.417804486771459</v>
      </c>
      <c r="P47" s="898">
        <f>(AM47*KFC!$B$16+KFC!$C$16)*KFC!$C$5</f>
        <v>83.542371649737916</v>
      </c>
      <c r="Q47" s="898">
        <f>(AN47*KFC!$B$16+KFC!$C$16)*KFC!$C$5</f>
        <v>87.666938812704373</v>
      </c>
      <c r="R47" s="898">
        <f>(AO47*KFC!$B$16+KFC!$C$16)*KFC!$C$5</f>
        <v>91.791505975670816</v>
      </c>
      <c r="S47" s="898">
        <f>(AP47*KFC!$B$16+KFC!$C$16)*KFC!$C$5</f>
        <v>95.916073138637287</v>
      </c>
      <c r="T47" s="898">
        <f>(AQ47*KFC!$B$16+KFC!$C$16)*KFC!$C$5</f>
        <v>100.04064030160374</v>
      </c>
      <c r="U47" s="898">
        <f>(AR47*KFC!$B$16+KFC!$C$16)*KFC!$C$5</f>
        <v>104.16520746457019</v>
      </c>
      <c r="V47" s="898">
        <f>(AS47*KFC!$B$16+KFC!$C$16)*KFC!$C$5</f>
        <v>108.28977462753664</v>
      </c>
      <c r="W47" s="903">
        <f>(AT47*KFC!$B$16+KFC!$C$16)*KFC!$C$5</f>
        <v>112.41434179050306</v>
      </c>
      <c r="Y47" s="1431"/>
      <c r="Z47" s="649">
        <v>1.6</v>
      </c>
      <c r="AA47" s="882">
        <v>34.047565694140509</v>
      </c>
      <c r="AB47" s="882">
        <v>38.172132857106959</v>
      </c>
      <c r="AC47" s="882">
        <v>42.296700020073409</v>
      </c>
      <c r="AD47" s="882">
        <v>46.421267183039852</v>
      </c>
      <c r="AE47" s="882">
        <v>50.545834346006302</v>
      </c>
      <c r="AF47" s="882">
        <v>54.670401508972745</v>
      </c>
      <c r="AG47" s="882">
        <v>58.794968671939195</v>
      </c>
      <c r="AH47" s="882">
        <v>62.919535834905645</v>
      </c>
      <c r="AI47" s="882">
        <v>67.044102997872102</v>
      </c>
      <c r="AJ47" s="882">
        <v>71.168670160838559</v>
      </c>
      <c r="AK47" s="882">
        <v>75.293237323805002</v>
      </c>
      <c r="AL47" s="882">
        <v>79.417804486771459</v>
      </c>
      <c r="AM47" s="882">
        <v>83.542371649737916</v>
      </c>
      <c r="AN47" s="882">
        <v>87.666938812704373</v>
      </c>
      <c r="AO47" s="882">
        <v>91.791505975670816</v>
      </c>
      <c r="AP47" s="882">
        <v>95.916073138637287</v>
      </c>
      <c r="AQ47" s="882">
        <v>100.04064030160374</v>
      </c>
      <c r="AR47" s="882">
        <v>104.16520746457019</v>
      </c>
      <c r="AS47" s="882">
        <v>108.28977462753664</v>
      </c>
      <c r="AT47" s="882">
        <v>112.41434179050306</v>
      </c>
    </row>
    <row r="48" spans="1:46">
      <c r="A48" s="1426"/>
      <c r="B48" s="1427"/>
      <c r="C48" s="887">
        <v>1.7</v>
      </c>
      <c r="D48" s="902">
        <f>(AA48*KFC!$B$16+KFC!$C$16)*KFC!$C$5</f>
        <v>34.630427534613759</v>
      </c>
      <c r="E48" s="898">
        <f>(AB48*KFC!$B$16+KFC!$C$16)*KFC!$C$5</f>
        <v>38.868715265128827</v>
      </c>
      <c r="F48" s="898">
        <f>(AC48*KFC!$B$16+KFC!$C$16)*KFC!$C$5</f>
        <v>43.107002995643889</v>
      </c>
      <c r="G48" s="898">
        <f>(AD48*KFC!$B$16+KFC!$C$16)*KFC!$C$5</f>
        <v>47.345290726158957</v>
      </c>
      <c r="H48" s="898">
        <f>(AE48*KFC!$B$16+KFC!$C$16)*KFC!$C$5</f>
        <v>51.583578456674026</v>
      </c>
      <c r="I48" s="898">
        <f>(AF48*KFC!$B$16+KFC!$C$16)*KFC!$C$5</f>
        <v>55.821866187189087</v>
      </c>
      <c r="J48" s="898">
        <f>(AG48*KFC!$B$16+KFC!$C$16)*KFC!$C$5</f>
        <v>60.060153917704163</v>
      </c>
      <c r="K48" s="898">
        <f>(AH48*KFC!$B$16+KFC!$C$16)*KFC!$C$5</f>
        <v>64.298441648219224</v>
      </c>
      <c r="L48" s="898">
        <f>(AI48*KFC!$B$16+KFC!$C$16)*KFC!$C$5</f>
        <v>68.536729378734293</v>
      </c>
      <c r="M48" s="898">
        <f>(AJ48*KFC!$B$16+KFC!$C$16)*KFC!$C$5</f>
        <v>72.775017109249362</v>
      </c>
      <c r="N48" s="898">
        <f>(AK48*KFC!$B$16+KFC!$C$16)*KFC!$C$5</f>
        <v>77.013304839764416</v>
      </c>
      <c r="O48" s="898">
        <f>(AL48*KFC!$B$16+KFC!$C$16)*KFC!$C$5</f>
        <v>81.251592570279485</v>
      </c>
      <c r="P48" s="898">
        <f>(AM48*KFC!$B$16+KFC!$C$16)*KFC!$C$5</f>
        <v>85.489880300794553</v>
      </c>
      <c r="Q48" s="898">
        <f>(AN48*KFC!$B$16+KFC!$C$16)*KFC!$C$5</f>
        <v>89.728168031309622</v>
      </c>
      <c r="R48" s="898">
        <f>(AO48*KFC!$B$16+KFC!$C$16)*KFC!$C$5</f>
        <v>93.966455761824704</v>
      </c>
      <c r="S48" s="898">
        <f>(AP48*KFC!$B$16+KFC!$C$16)*KFC!$C$5</f>
        <v>98.204743492339759</v>
      </c>
      <c r="T48" s="898">
        <f>(AQ48*KFC!$B$16+KFC!$C$16)*KFC!$C$5</f>
        <v>102.44303122285483</v>
      </c>
      <c r="U48" s="898">
        <f>(AR48*KFC!$B$16+KFC!$C$16)*KFC!$C$5</f>
        <v>106.6813189533699</v>
      </c>
      <c r="V48" s="898">
        <f>(AS48*KFC!$B$16+KFC!$C$16)*KFC!$C$5</f>
        <v>110.91960668388495</v>
      </c>
      <c r="W48" s="903">
        <f>(AT48*KFC!$B$16+KFC!$C$16)*KFC!$C$5</f>
        <v>115.15789441440006</v>
      </c>
      <c r="Y48" s="1431"/>
      <c r="Z48" s="649">
        <v>1.7</v>
      </c>
      <c r="AA48" s="882">
        <v>34.630427534613759</v>
      </c>
      <c r="AB48" s="882">
        <v>38.868715265128827</v>
      </c>
      <c r="AC48" s="882">
        <v>43.107002995643889</v>
      </c>
      <c r="AD48" s="882">
        <v>47.345290726158957</v>
      </c>
      <c r="AE48" s="882">
        <v>51.583578456674026</v>
      </c>
      <c r="AF48" s="882">
        <v>55.821866187189087</v>
      </c>
      <c r="AG48" s="882">
        <v>60.060153917704163</v>
      </c>
      <c r="AH48" s="882">
        <v>64.298441648219224</v>
      </c>
      <c r="AI48" s="882">
        <v>68.536729378734293</v>
      </c>
      <c r="AJ48" s="882">
        <v>72.775017109249362</v>
      </c>
      <c r="AK48" s="882">
        <v>77.013304839764416</v>
      </c>
      <c r="AL48" s="882">
        <v>81.251592570279485</v>
      </c>
      <c r="AM48" s="882">
        <v>85.489880300794553</v>
      </c>
      <c r="AN48" s="882">
        <v>89.728168031309622</v>
      </c>
      <c r="AO48" s="882">
        <v>93.966455761824704</v>
      </c>
      <c r="AP48" s="882">
        <v>98.204743492339759</v>
      </c>
      <c r="AQ48" s="882">
        <v>102.44303122285483</v>
      </c>
      <c r="AR48" s="882">
        <v>106.6813189533699</v>
      </c>
      <c r="AS48" s="882">
        <v>110.91960668388495</v>
      </c>
      <c r="AT48" s="882">
        <v>115.15789441440006</v>
      </c>
    </row>
    <row r="49" spans="1:46">
      <c r="A49" s="1426"/>
      <c r="B49" s="1427"/>
      <c r="C49" s="887">
        <v>1.8</v>
      </c>
      <c r="D49" s="902">
        <f>(AA49*KFC!$B$16+KFC!$C$16)*KFC!$C$5</f>
        <v>35.213289375087015</v>
      </c>
      <c r="E49" s="898">
        <f>(AB49*KFC!$B$16+KFC!$C$16)*KFC!$C$5</f>
        <v>39.565297673150695</v>
      </c>
      <c r="F49" s="898">
        <f>(AC49*KFC!$B$16+KFC!$C$16)*KFC!$C$5</f>
        <v>43.917305971214383</v>
      </c>
      <c r="G49" s="898">
        <f>(AD49*KFC!$B$16+KFC!$C$16)*KFC!$C$5</f>
        <v>48.269314269278077</v>
      </c>
      <c r="H49" s="898">
        <f>(AE49*KFC!$B$16+KFC!$C$16)*KFC!$C$5</f>
        <v>52.62132256734175</v>
      </c>
      <c r="I49" s="898">
        <f>(AF49*KFC!$B$16+KFC!$C$16)*KFC!$C$5</f>
        <v>56.973330865405444</v>
      </c>
      <c r="J49" s="898">
        <f>(AG49*KFC!$B$16+KFC!$C$16)*KFC!$C$5</f>
        <v>61.325339163469124</v>
      </c>
      <c r="K49" s="898">
        <f>(AH49*KFC!$B$16+KFC!$C$16)*KFC!$C$5</f>
        <v>65.677347461532804</v>
      </c>
      <c r="L49" s="898">
        <f>(AI49*KFC!$B$16+KFC!$C$16)*KFC!$C$5</f>
        <v>70.029355759596498</v>
      </c>
      <c r="M49" s="898">
        <f>(AJ49*KFC!$B$16+KFC!$C$16)*KFC!$C$5</f>
        <v>74.381364057660193</v>
      </c>
      <c r="N49" s="898">
        <f>(AK49*KFC!$B$16+KFC!$C$16)*KFC!$C$5</f>
        <v>78.733372355723887</v>
      </c>
      <c r="O49" s="898">
        <f>(AL49*KFC!$B$16+KFC!$C$16)*KFC!$C$5</f>
        <v>83.085380653787567</v>
      </c>
      <c r="P49" s="898">
        <f>(AM49*KFC!$B$16+KFC!$C$16)*KFC!$C$5</f>
        <v>87.437388951851261</v>
      </c>
      <c r="Q49" s="898">
        <f>(AN49*KFC!$B$16+KFC!$C$16)*KFC!$C$5</f>
        <v>91.789397249914956</v>
      </c>
      <c r="R49" s="898">
        <f>(AO49*KFC!$B$16+KFC!$C$16)*KFC!$C$5</f>
        <v>96.14140554797865</v>
      </c>
      <c r="S49" s="898">
        <f>(AP49*KFC!$B$16+KFC!$C$16)*KFC!$C$5</f>
        <v>100.49341384604234</v>
      </c>
      <c r="T49" s="898">
        <f>(AQ49*KFC!$B$16+KFC!$C$16)*KFC!$C$5</f>
        <v>104.84542214410602</v>
      </c>
      <c r="U49" s="898">
        <f>(AR49*KFC!$B$16+KFC!$C$16)*KFC!$C$5</f>
        <v>109.19743044216973</v>
      </c>
      <c r="V49" s="898">
        <f>(AS49*KFC!$B$16+KFC!$C$16)*KFC!$C$5</f>
        <v>113.54943874023341</v>
      </c>
      <c r="W49" s="903">
        <f>(AT49*KFC!$B$16+KFC!$C$16)*KFC!$C$5</f>
        <v>117.90144703829706</v>
      </c>
      <c r="Y49" s="1431"/>
      <c r="Z49" s="649">
        <v>1.8</v>
      </c>
      <c r="AA49" s="882">
        <v>35.213289375087015</v>
      </c>
      <c r="AB49" s="882">
        <v>39.565297673150695</v>
      </c>
      <c r="AC49" s="882">
        <v>43.917305971214383</v>
      </c>
      <c r="AD49" s="882">
        <v>48.269314269278077</v>
      </c>
      <c r="AE49" s="882">
        <v>52.62132256734175</v>
      </c>
      <c r="AF49" s="882">
        <v>56.973330865405444</v>
      </c>
      <c r="AG49" s="882">
        <v>61.325339163469124</v>
      </c>
      <c r="AH49" s="882">
        <v>65.677347461532804</v>
      </c>
      <c r="AI49" s="882">
        <v>70.029355759596498</v>
      </c>
      <c r="AJ49" s="882">
        <v>74.381364057660193</v>
      </c>
      <c r="AK49" s="882">
        <v>78.733372355723887</v>
      </c>
      <c r="AL49" s="882">
        <v>83.085380653787567</v>
      </c>
      <c r="AM49" s="882">
        <v>87.437388951851261</v>
      </c>
      <c r="AN49" s="882">
        <v>91.789397249914956</v>
      </c>
      <c r="AO49" s="882">
        <v>96.14140554797865</v>
      </c>
      <c r="AP49" s="882">
        <v>100.49341384604234</v>
      </c>
      <c r="AQ49" s="882">
        <v>104.84542214410602</v>
      </c>
      <c r="AR49" s="882">
        <v>109.19743044216973</v>
      </c>
      <c r="AS49" s="882">
        <v>113.54943874023341</v>
      </c>
      <c r="AT49" s="882">
        <v>117.90144703829706</v>
      </c>
    </row>
    <row r="50" spans="1:46">
      <c r="A50" s="1426"/>
      <c r="B50" s="1427"/>
      <c r="C50" s="887">
        <v>1.9</v>
      </c>
      <c r="D50" s="902">
        <f>(AA50*KFC!$B$16+KFC!$C$16)*KFC!$C$5</f>
        <v>35.796151215560258</v>
      </c>
      <c r="E50" s="898">
        <f>(AB50*KFC!$B$16+KFC!$C$16)*KFC!$C$5</f>
        <v>40.261880081172563</v>
      </c>
      <c r="F50" s="898">
        <f>(AC50*KFC!$B$16+KFC!$C$16)*KFC!$C$5</f>
        <v>44.727608946784869</v>
      </c>
      <c r="G50" s="898">
        <f>(AD50*KFC!$B$16+KFC!$C$16)*KFC!$C$5</f>
        <v>49.193337812397175</v>
      </c>
      <c r="H50" s="898">
        <f>(AE50*KFC!$B$16+KFC!$C$16)*KFC!$C$5</f>
        <v>53.659066678009481</v>
      </c>
      <c r="I50" s="898">
        <f>(AF50*KFC!$B$16+KFC!$C$16)*KFC!$C$5</f>
        <v>58.124795543621779</v>
      </c>
      <c r="J50" s="898">
        <f>(AG50*KFC!$B$16+KFC!$C$16)*KFC!$C$5</f>
        <v>62.590524409234078</v>
      </c>
      <c r="K50" s="898">
        <f>(AH50*KFC!$B$16+KFC!$C$16)*KFC!$C$5</f>
        <v>67.056253274846398</v>
      </c>
      <c r="L50" s="898">
        <f>(AI50*KFC!$B$16+KFC!$C$16)*KFC!$C$5</f>
        <v>71.521982140458704</v>
      </c>
      <c r="M50" s="898">
        <f>(AJ50*KFC!$B$16+KFC!$C$16)*KFC!$C$5</f>
        <v>75.987711006070995</v>
      </c>
      <c r="N50" s="898">
        <f>(AK50*KFC!$B$16+KFC!$C$16)*KFC!$C$5</f>
        <v>80.453439871683315</v>
      </c>
      <c r="O50" s="898">
        <f>(AL50*KFC!$B$16+KFC!$C$16)*KFC!$C$5</f>
        <v>84.919168737295607</v>
      </c>
      <c r="P50" s="898">
        <f>(AM50*KFC!$B$16+KFC!$C$16)*KFC!$C$5</f>
        <v>89.384897602907898</v>
      </c>
      <c r="Q50" s="898">
        <f>(AN50*KFC!$B$16+KFC!$C$16)*KFC!$C$5</f>
        <v>93.850626468520218</v>
      </c>
      <c r="R50" s="898">
        <f>(AO50*KFC!$B$16+KFC!$C$16)*KFC!$C$5</f>
        <v>98.31635533413251</v>
      </c>
      <c r="S50" s="898">
        <f>(AP50*KFC!$B$16+KFC!$C$16)*KFC!$C$5</f>
        <v>102.78208419974483</v>
      </c>
      <c r="T50" s="898">
        <f>(AQ50*KFC!$B$16+KFC!$C$16)*KFC!$C$5</f>
        <v>107.24781306535712</v>
      </c>
      <c r="U50" s="898">
        <f>(AR50*KFC!$B$16+KFC!$C$16)*KFC!$C$5</f>
        <v>111.71354193096944</v>
      </c>
      <c r="V50" s="898">
        <f>(AS50*KFC!$B$16+KFC!$C$16)*KFC!$C$5</f>
        <v>116.17927079658173</v>
      </c>
      <c r="W50" s="903">
        <f>(AT50*KFC!$B$16+KFC!$C$16)*KFC!$C$5</f>
        <v>120.64499966219407</v>
      </c>
      <c r="Y50" s="1431"/>
      <c r="Z50" s="649">
        <v>1.9</v>
      </c>
      <c r="AA50" s="882">
        <v>35.796151215560258</v>
      </c>
      <c r="AB50" s="882">
        <v>40.261880081172563</v>
      </c>
      <c r="AC50" s="882">
        <v>44.727608946784869</v>
      </c>
      <c r="AD50" s="882">
        <v>49.193337812397175</v>
      </c>
      <c r="AE50" s="882">
        <v>53.659066678009481</v>
      </c>
      <c r="AF50" s="882">
        <v>58.124795543621779</v>
      </c>
      <c r="AG50" s="882">
        <v>62.590524409234078</v>
      </c>
      <c r="AH50" s="882">
        <v>67.056253274846398</v>
      </c>
      <c r="AI50" s="882">
        <v>71.521982140458704</v>
      </c>
      <c r="AJ50" s="882">
        <v>75.987711006070995</v>
      </c>
      <c r="AK50" s="882">
        <v>80.453439871683315</v>
      </c>
      <c r="AL50" s="882">
        <v>84.919168737295607</v>
      </c>
      <c r="AM50" s="882">
        <v>89.384897602907898</v>
      </c>
      <c r="AN50" s="882">
        <v>93.850626468520218</v>
      </c>
      <c r="AO50" s="882">
        <v>98.31635533413251</v>
      </c>
      <c r="AP50" s="882">
        <v>102.78208419974483</v>
      </c>
      <c r="AQ50" s="882">
        <v>107.24781306535712</v>
      </c>
      <c r="AR50" s="882">
        <v>111.71354193096944</v>
      </c>
      <c r="AS50" s="882">
        <v>116.17927079658173</v>
      </c>
      <c r="AT50" s="882">
        <v>120.64499966219407</v>
      </c>
    </row>
    <row r="51" spans="1:46">
      <c r="A51" s="1426"/>
      <c r="B51" s="1427"/>
      <c r="C51" s="887">
        <v>2</v>
      </c>
      <c r="D51" s="902">
        <f>(AA51*KFC!$B$16+KFC!$C$16)*KFC!$C$5</f>
        <v>36.379013056033507</v>
      </c>
      <c r="E51" s="898">
        <f>(AB51*KFC!$B$16+KFC!$C$16)*KFC!$C$5</f>
        <v>40.958462489194432</v>
      </c>
      <c r="F51" s="898">
        <f>(AC51*KFC!$B$16+KFC!$C$16)*KFC!$C$5</f>
        <v>45.537911922355349</v>
      </c>
      <c r="G51" s="898">
        <f>(AD51*KFC!$B$16+KFC!$C$16)*KFC!$C$5</f>
        <v>50.117361355516273</v>
      </c>
      <c r="H51" s="898">
        <f>(AE51*KFC!$B$16+KFC!$C$16)*KFC!$C$5</f>
        <v>54.696810788677205</v>
      </c>
      <c r="I51" s="898">
        <f>(AF51*KFC!$B$16+KFC!$C$16)*KFC!$C$5</f>
        <v>59.276260221838122</v>
      </c>
      <c r="J51" s="898">
        <f>(AG51*KFC!$B$16+KFC!$C$16)*KFC!$C$5</f>
        <v>63.855709654999046</v>
      </c>
      <c r="K51" s="898">
        <f>(AH51*KFC!$B$16+KFC!$C$16)*KFC!$C$5</f>
        <v>68.435159088159978</v>
      </c>
      <c r="L51" s="898">
        <f>(AI51*KFC!$B$16+KFC!$C$16)*KFC!$C$5</f>
        <v>73.014608521320895</v>
      </c>
      <c r="M51" s="898">
        <f>(AJ51*KFC!$B$16+KFC!$C$16)*KFC!$C$5</f>
        <v>77.594057954481841</v>
      </c>
      <c r="N51" s="898">
        <f>(AK51*KFC!$B$16+KFC!$C$16)*KFC!$C$5</f>
        <v>82.173507387642758</v>
      </c>
      <c r="O51" s="898">
        <f>(AL51*KFC!$B$16+KFC!$C$16)*KFC!$C$5</f>
        <v>86.752956820803689</v>
      </c>
      <c r="P51" s="898">
        <f>(AM51*KFC!$B$16+KFC!$C$16)*KFC!$C$5</f>
        <v>91.332406253964621</v>
      </c>
      <c r="Q51" s="898">
        <f>(AN51*KFC!$B$16+KFC!$C$16)*KFC!$C$5</f>
        <v>95.911855687125566</v>
      </c>
      <c r="R51" s="898">
        <f>(AO51*KFC!$B$16+KFC!$C$16)*KFC!$C$5</f>
        <v>100.49130512028648</v>
      </c>
      <c r="S51" s="898">
        <f>(AP51*KFC!$B$16+KFC!$C$16)*KFC!$C$5</f>
        <v>105.07075455344741</v>
      </c>
      <c r="T51" s="898">
        <f>(AQ51*KFC!$B$16+KFC!$C$16)*KFC!$C$5</f>
        <v>109.65020398660835</v>
      </c>
      <c r="U51" s="898">
        <f>(AR51*KFC!$B$16+KFC!$C$16)*KFC!$C$5</f>
        <v>114.22965341976926</v>
      </c>
      <c r="V51" s="898">
        <f>(AS51*KFC!$B$16+KFC!$C$16)*KFC!$C$5</f>
        <v>118.8091028529302</v>
      </c>
      <c r="W51" s="903">
        <f>(AT51*KFC!$B$16+KFC!$C$16)*KFC!$C$5</f>
        <v>123.38855228609107</v>
      </c>
      <c r="Y51" s="1431"/>
      <c r="Z51" s="649">
        <v>2</v>
      </c>
      <c r="AA51" s="882">
        <v>36.379013056033507</v>
      </c>
      <c r="AB51" s="882">
        <v>40.958462489194432</v>
      </c>
      <c r="AC51" s="882">
        <v>45.537911922355349</v>
      </c>
      <c r="AD51" s="882">
        <v>50.117361355516273</v>
      </c>
      <c r="AE51" s="882">
        <v>54.696810788677205</v>
      </c>
      <c r="AF51" s="882">
        <v>59.276260221838122</v>
      </c>
      <c r="AG51" s="882">
        <v>63.855709654999046</v>
      </c>
      <c r="AH51" s="882">
        <v>68.435159088159978</v>
      </c>
      <c r="AI51" s="882">
        <v>73.014608521320895</v>
      </c>
      <c r="AJ51" s="882">
        <v>77.594057954481841</v>
      </c>
      <c r="AK51" s="882">
        <v>82.173507387642758</v>
      </c>
      <c r="AL51" s="882">
        <v>86.752956820803689</v>
      </c>
      <c r="AM51" s="882">
        <v>91.332406253964621</v>
      </c>
      <c r="AN51" s="882">
        <v>95.911855687125566</v>
      </c>
      <c r="AO51" s="882">
        <v>100.49130512028648</v>
      </c>
      <c r="AP51" s="882">
        <v>105.07075455344741</v>
      </c>
      <c r="AQ51" s="882">
        <v>109.65020398660835</v>
      </c>
      <c r="AR51" s="882">
        <v>114.22965341976926</v>
      </c>
      <c r="AS51" s="882">
        <v>118.8091028529302</v>
      </c>
      <c r="AT51" s="882">
        <v>123.38855228609107</v>
      </c>
    </row>
    <row r="52" spans="1:46">
      <c r="A52" s="1426"/>
      <c r="B52" s="1427"/>
      <c r="C52" s="887">
        <v>2.1</v>
      </c>
      <c r="D52" s="902">
        <f>(AA52*KFC!$B$16+KFC!$C$16)*KFC!$C$5</f>
        <v>36.961874896506757</v>
      </c>
      <c r="E52" s="898">
        <f>(AB52*KFC!$B$16+KFC!$C$16)*KFC!$C$5</f>
        <v>41.655044897216293</v>
      </c>
      <c r="F52" s="898">
        <f>(AC52*KFC!$B$16+KFC!$C$16)*KFC!$C$5</f>
        <v>46.348214897925835</v>
      </c>
      <c r="G52" s="898">
        <f>(AD52*KFC!$B$16+KFC!$C$16)*KFC!$C$5</f>
        <v>51.041384898635378</v>
      </c>
      <c r="H52" s="898">
        <f>(AE52*KFC!$B$16+KFC!$C$16)*KFC!$C$5</f>
        <v>55.734554899344921</v>
      </c>
      <c r="I52" s="898">
        <f>(AF52*KFC!$B$16+KFC!$C$16)*KFC!$C$5</f>
        <v>60.427724900054464</v>
      </c>
      <c r="J52" s="898">
        <f>(AG52*KFC!$B$16+KFC!$C$16)*KFC!$C$5</f>
        <v>65.120894900764</v>
      </c>
      <c r="K52" s="898">
        <f>(AH52*KFC!$B$16+KFC!$C$16)*KFC!$C$5</f>
        <v>69.814064901473557</v>
      </c>
      <c r="L52" s="898">
        <f>(AI52*KFC!$B$16+KFC!$C$16)*KFC!$C$5</f>
        <v>74.5072349021831</v>
      </c>
      <c r="M52" s="898">
        <f>(AJ52*KFC!$B$16+KFC!$C$16)*KFC!$C$5</f>
        <v>79.200404902892643</v>
      </c>
      <c r="N52" s="898">
        <f>(AK52*KFC!$B$16+KFC!$C$16)*KFC!$C$5</f>
        <v>83.893574903602172</v>
      </c>
      <c r="O52" s="898">
        <f>(AL52*KFC!$B$16+KFC!$C$16)*KFC!$C$5</f>
        <v>88.586744904311715</v>
      </c>
      <c r="P52" s="898">
        <f>(AM52*KFC!$B$16+KFC!$C$16)*KFC!$C$5</f>
        <v>93.279914905021258</v>
      </c>
      <c r="Q52" s="898">
        <f>(AN52*KFC!$B$16+KFC!$C$16)*KFC!$C$5</f>
        <v>97.973084905730786</v>
      </c>
      <c r="R52" s="898">
        <f>(AO52*KFC!$B$16+KFC!$C$16)*KFC!$C$5</f>
        <v>102.66625490644033</v>
      </c>
      <c r="S52" s="898">
        <f>(AP52*KFC!$B$16+KFC!$C$16)*KFC!$C$5</f>
        <v>107.35942490714989</v>
      </c>
      <c r="T52" s="898">
        <f>(AQ52*KFC!$B$16+KFC!$C$16)*KFC!$C$5</f>
        <v>112.05259490785943</v>
      </c>
      <c r="U52" s="898">
        <f>(AR52*KFC!$B$16+KFC!$C$16)*KFC!$C$5</f>
        <v>116.74576490856897</v>
      </c>
      <c r="V52" s="898">
        <f>(AS52*KFC!$B$16+KFC!$C$16)*KFC!$C$5</f>
        <v>121.43893490927853</v>
      </c>
      <c r="W52" s="903">
        <f>(AT52*KFC!$B$16+KFC!$C$16)*KFC!$C$5</f>
        <v>126.13210490998809</v>
      </c>
      <c r="Y52" s="1431"/>
      <c r="Z52" s="649">
        <v>2.1</v>
      </c>
      <c r="AA52" s="882">
        <v>36.961874896506757</v>
      </c>
      <c r="AB52" s="882">
        <v>41.655044897216293</v>
      </c>
      <c r="AC52" s="882">
        <v>46.348214897925835</v>
      </c>
      <c r="AD52" s="882">
        <v>51.041384898635378</v>
      </c>
      <c r="AE52" s="882">
        <v>55.734554899344921</v>
      </c>
      <c r="AF52" s="882">
        <v>60.427724900054464</v>
      </c>
      <c r="AG52" s="882">
        <v>65.120894900764</v>
      </c>
      <c r="AH52" s="882">
        <v>69.814064901473557</v>
      </c>
      <c r="AI52" s="882">
        <v>74.5072349021831</v>
      </c>
      <c r="AJ52" s="882">
        <v>79.200404902892643</v>
      </c>
      <c r="AK52" s="882">
        <v>83.893574903602172</v>
      </c>
      <c r="AL52" s="882">
        <v>88.586744904311715</v>
      </c>
      <c r="AM52" s="882">
        <v>93.279914905021258</v>
      </c>
      <c r="AN52" s="882">
        <v>97.973084905730786</v>
      </c>
      <c r="AO52" s="882">
        <v>102.66625490644033</v>
      </c>
      <c r="AP52" s="882">
        <v>107.35942490714989</v>
      </c>
      <c r="AQ52" s="882">
        <v>112.05259490785943</v>
      </c>
      <c r="AR52" s="882">
        <v>116.74576490856897</v>
      </c>
      <c r="AS52" s="882">
        <v>121.43893490927853</v>
      </c>
      <c r="AT52" s="882">
        <v>126.13210490998809</v>
      </c>
    </row>
    <row r="53" spans="1:46" ht="15" thickBot="1">
      <c r="A53" s="1428"/>
      <c r="B53" s="1429"/>
      <c r="C53" s="888">
        <v>2.2000000000000002</v>
      </c>
      <c r="D53" s="904">
        <f>(AA53*KFC!$B$16+KFC!$C$16)*KFC!$C$5</f>
        <v>37.544736736979999</v>
      </c>
      <c r="E53" s="905">
        <f>(AB53*KFC!$B$16+KFC!$C$16)*KFC!$C$5</f>
        <v>42.351627305238154</v>
      </c>
      <c r="F53" s="905">
        <f>(AC53*KFC!$B$16+KFC!$C$16)*KFC!$C$5</f>
        <v>47.158517873496329</v>
      </c>
      <c r="G53" s="905">
        <f>(AD53*KFC!$B$16+KFC!$C$16)*KFC!$C$5</f>
        <v>51.965408441754477</v>
      </c>
      <c r="H53" s="905">
        <f>(AE53*KFC!$B$16+KFC!$C$16)*KFC!$C$5</f>
        <v>56.772299010012645</v>
      </c>
      <c r="I53" s="905">
        <f>(AF53*KFC!$B$16+KFC!$C$16)*KFC!$C$5</f>
        <v>61.579189578270807</v>
      </c>
      <c r="J53" s="905">
        <f>(AG53*KFC!$B$16+KFC!$C$16)*KFC!$C$5</f>
        <v>66.386080146528968</v>
      </c>
      <c r="K53" s="905">
        <f>(AH53*KFC!$B$16+KFC!$C$16)*KFC!$C$5</f>
        <v>71.192970714787123</v>
      </c>
      <c r="L53" s="905">
        <f>(AI53*KFC!$B$16+KFC!$C$16)*KFC!$C$5</f>
        <v>75.999861283045263</v>
      </c>
      <c r="M53" s="905">
        <f>(AJ53*KFC!$B$16+KFC!$C$16)*KFC!$C$5</f>
        <v>80.806751851303417</v>
      </c>
      <c r="N53" s="905">
        <f>(AK53*KFC!$B$16+KFC!$C$16)*KFC!$C$5</f>
        <v>85.613642419561572</v>
      </c>
      <c r="O53" s="905">
        <f>(AL53*KFC!$B$16+KFC!$C$16)*KFC!$C$5</f>
        <v>90.420532987819726</v>
      </c>
      <c r="P53" s="905">
        <f>(AM53*KFC!$B$16+KFC!$C$16)*KFC!$C$5</f>
        <v>95.227423556077895</v>
      </c>
      <c r="Q53" s="905">
        <f>(AN53*KFC!$B$16+KFC!$C$16)*KFC!$C$5</f>
        <v>100.03431412433603</v>
      </c>
      <c r="R53" s="905">
        <f>(AO53*KFC!$B$16+KFC!$C$16)*KFC!$C$5</f>
        <v>104.84120469259419</v>
      </c>
      <c r="S53" s="905">
        <f>(AP53*KFC!$B$16+KFC!$C$16)*KFC!$C$5</f>
        <v>109.64809526085234</v>
      </c>
      <c r="T53" s="905">
        <f>(AQ53*KFC!$B$16+KFC!$C$16)*KFC!$C$5</f>
        <v>114.45498582911051</v>
      </c>
      <c r="U53" s="905">
        <f>(AR53*KFC!$B$16+KFC!$C$16)*KFC!$C$5</f>
        <v>119.26187639736865</v>
      </c>
      <c r="V53" s="905">
        <f>(AS53*KFC!$B$16+KFC!$C$16)*KFC!$C$5</f>
        <v>124.06876696562682</v>
      </c>
      <c r="W53" s="906">
        <f>(AT53*KFC!$B$16+KFC!$C$16)*KFC!$C$5</f>
        <v>128.875657533885</v>
      </c>
      <c r="Y53" s="1432"/>
      <c r="Z53" s="649">
        <v>2.2000000000000002</v>
      </c>
      <c r="AA53" s="882">
        <v>37.544736736979999</v>
      </c>
      <c r="AB53" s="882">
        <v>42.351627305238154</v>
      </c>
      <c r="AC53" s="882">
        <v>47.158517873496329</v>
      </c>
      <c r="AD53" s="882">
        <v>51.965408441754477</v>
      </c>
      <c r="AE53" s="882">
        <v>56.772299010012645</v>
      </c>
      <c r="AF53" s="882">
        <v>61.579189578270807</v>
      </c>
      <c r="AG53" s="882">
        <v>66.386080146528968</v>
      </c>
      <c r="AH53" s="882">
        <v>71.192970714787123</v>
      </c>
      <c r="AI53" s="882">
        <v>75.999861283045263</v>
      </c>
      <c r="AJ53" s="882">
        <v>80.806751851303417</v>
      </c>
      <c r="AK53" s="882">
        <v>85.613642419561572</v>
      </c>
      <c r="AL53" s="882">
        <v>90.420532987819726</v>
      </c>
      <c r="AM53" s="882">
        <v>95.227423556077895</v>
      </c>
      <c r="AN53" s="882">
        <v>100.03431412433603</v>
      </c>
      <c r="AO53" s="882">
        <v>104.84120469259419</v>
      </c>
      <c r="AP53" s="882">
        <v>109.64809526085234</v>
      </c>
      <c r="AQ53" s="882">
        <v>114.45498582911051</v>
      </c>
      <c r="AR53" s="882">
        <v>119.26187639736865</v>
      </c>
      <c r="AS53" s="882">
        <v>124.06876696562682</v>
      </c>
      <c r="AT53" s="882">
        <v>128.875657533885</v>
      </c>
    </row>
    <row r="54" spans="1:46">
      <c r="A54" s="16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</row>
    <row r="55" spans="1:46" ht="16.2" thickBot="1">
      <c r="A55" s="1033" t="s">
        <v>1223</v>
      </c>
      <c r="B55" s="1033"/>
      <c r="C55" s="1033"/>
      <c r="D55" s="1033"/>
      <c r="E55" s="1033"/>
      <c r="F55" s="1033"/>
      <c r="G55" s="1033"/>
      <c r="H55" s="1033"/>
      <c r="I55" s="1033"/>
      <c r="J55" s="1033"/>
      <c r="K55" s="1033"/>
      <c r="L55" s="1033"/>
      <c r="M55" s="1033"/>
      <c r="N55" s="1033"/>
      <c r="O55" s="1033"/>
      <c r="P55" s="1033"/>
      <c r="Q55" s="1033"/>
      <c r="R55" s="1033"/>
      <c r="S55" s="1033"/>
      <c r="T55" s="1033"/>
      <c r="U55" s="1033"/>
      <c r="V55" s="1033"/>
      <c r="W55" s="1033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</row>
    <row r="56" spans="1:46" ht="33.75" customHeight="1" thickBot="1">
      <c r="A56" s="1439"/>
      <c r="B56" s="1440"/>
      <c r="C56" s="1441"/>
      <c r="D56" s="1419" t="s">
        <v>207</v>
      </c>
      <c r="E56" s="1420"/>
      <c r="F56" s="1420"/>
      <c r="G56" s="1420"/>
      <c r="H56" s="1420"/>
      <c r="I56" s="1420"/>
      <c r="J56" s="1420"/>
      <c r="K56" s="1420"/>
      <c r="L56" s="1420"/>
      <c r="M56" s="1420"/>
      <c r="N56" s="1420"/>
      <c r="O56" s="1420"/>
      <c r="P56" s="1420"/>
      <c r="Q56" s="1420"/>
      <c r="R56" s="1420"/>
      <c r="S56" s="1420"/>
      <c r="T56" s="1420"/>
      <c r="U56" s="1420"/>
      <c r="V56" s="1420"/>
      <c r="W56" s="1421"/>
      <c r="Y56" s="1422" t="s">
        <v>1202</v>
      </c>
      <c r="Z56" s="1423"/>
      <c r="AA56" s="1410" t="s">
        <v>356</v>
      </c>
      <c r="AB56" s="1411"/>
      <c r="AC56" s="1411"/>
      <c r="AD56" s="1411"/>
      <c r="AE56" s="1411"/>
      <c r="AF56" s="1411"/>
      <c r="AG56" s="1411"/>
      <c r="AH56" s="1411"/>
      <c r="AI56" s="1411"/>
      <c r="AJ56" s="1411"/>
      <c r="AK56" s="1411"/>
      <c r="AL56" s="1411"/>
      <c r="AM56" s="1411"/>
      <c r="AN56" s="1411"/>
      <c r="AO56" s="1411"/>
      <c r="AP56" s="1411"/>
      <c r="AQ56" s="1411"/>
      <c r="AR56" s="1411"/>
      <c r="AS56" s="1411"/>
      <c r="AT56" s="1412"/>
    </row>
    <row r="57" spans="1:46" ht="15" thickBot="1">
      <c r="A57" s="1442"/>
      <c r="B57" s="1443"/>
      <c r="C57" s="1444"/>
      <c r="D57" s="883">
        <v>0.3</v>
      </c>
      <c r="E57" s="884">
        <v>0.4</v>
      </c>
      <c r="F57" s="884">
        <v>0.5</v>
      </c>
      <c r="G57" s="884">
        <v>0.6</v>
      </c>
      <c r="H57" s="884">
        <v>0.7</v>
      </c>
      <c r="I57" s="884">
        <v>0.8</v>
      </c>
      <c r="J57" s="884">
        <v>0.9</v>
      </c>
      <c r="K57" s="884">
        <v>1</v>
      </c>
      <c r="L57" s="884">
        <v>1.1000000000000001</v>
      </c>
      <c r="M57" s="884">
        <v>1.2</v>
      </c>
      <c r="N57" s="884">
        <v>1.3</v>
      </c>
      <c r="O57" s="884">
        <v>1.4</v>
      </c>
      <c r="P57" s="884">
        <v>1.5</v>
      </c>
      <c r="Q57" s="884">
        <v>1.6</v>
      </c>
      <c r="R57" s="884">
        <v>1.7</v>
      </c>
      <c r="S57" s="884">
        <v>1.8</v>
      </c>
      <c r="T57" s="884">
        <v>1.9</v>
      </c>
      <c r="U57" s="884">
        <v>2</v>
      </c>
      <c r="V57" s="884">
        <v>2.1</v>
      </c>
      <c r="W57" s="885">
        <v>2.2000000000000002</v>
      </c>
      <c r="Y57" s="1424"/>
      <c r="Z57" s="1425"/>
      <c r="AA57" s="649">
        <v>0.3</v>
      </c>
      <c r="AB57" s="649">
        <v>0.4</v>
      </c>
      <c r="AC57" s="649">
        <v>0.5</v>
      </c>
      <c r="AD57" s="649">
        <v>0.6</v>
      </c>
      <c r="AE57" s="649">
        <v>0.7</v>
      </c>
      <c r="AF57" s="649">
        <v>0.8</v>
      </c>
      <c r="AG57" s="649">
        <v>0.9</v>
      </c>
      <c r="AH57" s="649">
        <v>1</v>
      </c>
      <c r="AI57" s="649">
        <v>1.1000000000000001</v>
      </c>
      <c r="AJ57" s="649">
        <v>1.2</v>
      </c>
      <c r="AK57" s="649">
        <v>1.3</v>
      </c>
      <c r="AL57" s="649">
        <v>1.4</v>
      </c>
      <c r="AM57" s="649">
        <v>1.5</v>
      </c>
      <c r="AN57" s="649">
        <v>1.6</v>
      </c>
      <c r="AO57" s="649">
        <v>1.7</v>
      </c>
      <c r="AP57" s="649">
        <v>1.8</v>
      </c>
      <c r="AQ57" s="649">
        <v>1.9</v>
      </c>
      <c r="AR57" s="649">
        <v>2</v>
      </c>
      <c r="AS57" s="649">
        <v>2.1</v>
      </c>
      <c r="AT57" s="649">
        <v>2.2000000000000002</v>
      </c>
    </row>
    <row r="58" spans="1:46" ht="15" customHeight="1">
      <c r="A58" s="1426" t="s">
        <v>3</v>
      </c>
      <c r="B58" s="1427"/>
      <c r="C58" s="886">
        <v>0.2</v>
      </c>
      <c r="D58" s="899">
        <f>(AA58*KFC!$B$16+KFC!$C$16)*KFC!$C$5</f>
        <v>25.982894664089997</v>
      </c>
      <c r="E58" s="900">
        <f>(AB58*KFC!$B$16+KFC!$C$16)*KFC!$C$5</f>
        <v>28.543490224787362</v>
      </c>
      <c r="F58" s="900">
        <f>(AC58*KFC!$B$16+KFC!$C$16)*KFC!$C$5</f>
        <v>31.104085785484731</v>
      </c>
      <c r="G58" s="900">
        <f>(AD58*KFC!$B$16+KFC!$C$16)*KFC!$C$5</f>
        <v>33.6646813461821</v>
      </c>
      <c r="H58" s="900">
        <f>(AE58*KFC!$B$16+KFC!$C$16)*KFC!$C$5</f>
        <v>36.225276906879458</v>
      </c>
      <c r="I58" s="900">
        <f>(AF58*KFC!$B$16+KFC!$C$16)*KFC!$C$5</f>
        <v>38.78587246757683</v>
      </c>
      <c r="J58" s="900">
        <f>(AG58*KFC!$B$16+KFC!$C$16)*KFC!$C$5</f>
        <v>41.346468028274195</v>
      </c>
      <c r="K58" s="900">
        <f>(AH58*KFC!$B$16+KFC!$C$16)*KFC!$C$5</f>
        <v>43.90706358897156</v>
      </c>
      <c r="L58" s="900">
        <f>(AI58*KFC!$B$16+KFC!$C$16)*KFC!$C$5</f>
        <v>46.467659149668926</v>
      </c>
      <c r="M58" s="900">
        <f>(AJ58*KFC!$B$16+KFC!$C$16)*KFC!$C$5</f>
        <v>49.028254710366298</v>
      </c>
      <c r="N58" s="900">
        <f>(AK58*KFC!$B$16+KFC!$C$16)*KFC!$C$5</f>
        <v>51.588850271063663</v>
      </c>
      <c r="O58" s="900">
        <f>(AL58*KFC!$B$16+KFC!$C$16)*KFC!$C$5</f>
        <v>54.149445831761021</v>
      </c>
      <c r="P58" s="900">
        <f>(AM58*KFC!$B$16+KFC!$C$16)*KFC!$C$5</f>
        <v>56.710041392458393</v>
      </c>
      <c r="Q58" s="900">
        <f>(AN58*KFC!$B$16+KFC!$C$16)*KFC!$C$5</f>
        <v>59.270636953155758</v>
      </c>
      <c r="R58" s="900">
        <f>(AO58*KFC!$B$16+KFC!$C$16)*KFC!$C$5</f>
        <v>61.831232513853124</v>
      </c>
      <c r="S58" s="900">
        <f>(AP58*KFC!$B$16+KFC!$C$16)*KFC!$C$5</f>
        <v>64.391828074550503</v>
      </c>
      <c r="T58" s="900">
        <f>(AQ58*KFC!$B$16+KFC!$C$16)*KFC!$C$5</f>
        <v>66.952423635247854</v>
      </c>
      <c r="U58" s="900">
        <f>(AR58*KFC!$B$16+KFC!$C$16)*KFC!$C$5</f>
        <v>69.513019195945233</v>
      </c>
      <c r="V58" s="900">
        <f>(AS58*KFC!$B$16+KFC!$C$16)*KFC!$C$5</f>
        <v>72.073614756642598</v>
      </c>
      <c r="W58" s="901">
        <f>(AT58*KFC!$B$16+KFC!$C$16)*KFC!$C$5</f>
        <v>74.634210317339992</v>
      </c>
      <c r="Y58" s="1430" t="s">
        <v>357</v>
      </c>
      <c r="Z58" s="649">
        <v>0.2</v>
      </c>
      <c r="AA58" s="882">
        <v>25.982894664089997</v>
      </c>
      <c r="AB58" s="882">
        <v>28.543490224787362</v>
      </c>
      <c r="AC58" s="882">
        <v>31.104085785484731</v>
      </c>
      <c r="AD58" s="882">
        <v>33.6646813461821</v>
      </c>
      <c r="AE58" s="882">
        <v>36.225276906879458</v>
      </c>
      <c r="AF58" s="882">
        <v>38.78587246757683</v>
      </c>
      <c r="AG58" s="882">
        <v>41.346468028274195</v>
      </c>
      <c r="AH58" s="882">
        <v>43.90706358897156</v>
      </c>
      <c r="AI58" s="882">
        <v>46.467659149668926</v>
      </c>
      <c r="AJ58" s="882">
        <v>49.028254710366298</v>
      </c>
      <c r="AK58" s="882">
        <v>51.588850271063663</v>
      </c>
      <c r="AL58" s="882">
        <v>54.149445831761021</v>
      </c>
      <c r="AM58" s="882">
        <v>56.710041392458393</v>
      </c>
      <c r="AN58" s="882">
        <v>59.270636953155758</v>
      </c>
      <c r="AO58" s="882">
        <v>61.831232513853124</v>
      </c>
      <c r="AP58" s="882">
        <v>64.391828074550503</v>
      </c>
      <c r="AQ58" s="882">
        <v>66.952423635247854</v>
      </c>
      <c r="AR58" s="882">
        <v>69.513019195945233</v>
      </c>
      <c r="AS58" s="882">
        <v>72.073614756642598</v>
      </c>
      <c r="AT58" s="882">
        <v>74.634210317339992</v>
      </c>
    </row>
    <row r="59" spans="1:46">
      <c r="A59" s="1426"/>
      <c r="B59" s="1427"/>
      <c r="C59" s="887">
        <v>0.3</v>
      </c>
      <c r="D59" s="902">
        <f>(AA59*KFC!$B$16+KFC!$C$16)*KFC!$C$5</f>
        <v>26.607730188656248</v>
      </c>
      <c r="E59" s="898">
        <f>(AB59*KFC!$B$16+KFC!$C$16)*KFC!$C$5</f>
        <v>29.296255111876295</v>
      </c>
      <c r="F59" s="898">
        <f>(AC59*KFC!$B$16+KFC!$C$16)*KFC!$C$5</f>
        <v>31.98478003509635</v>
      </c>
      <c r="G59" s="898">
        <f>(AD59*KFC!$B$16+KFC!$C$16)*KFC!$C$5</f>
        <v>34.6733049583164</v>
      </c>
      <c r="H59" s="898">
        <f>(AE59*KFC!$B$16+KFC!$C$16)*KFC!$C$5</f>
        <v>37.361829881536451</v>
      </c>
      <c r="I59" s="898">
        <f>(AF59*KFC!$B$16+KFC!$C$16)*KFC!$C$5</f>
        <v>40.050354804756509</v>
      </c>
      <c r="J59" s="898">
        <f>(AG59*KFC!$B$16+KFC!$C$16)*KFC!$C$5</f>
        <v>42.73887972797656</v>
      </c>
      <c r="K59" s="898">
        <f>(AH59*KFC!$B$16+KFC!$C$16)*KFC!$C$5</f>
        <v>45.427404651196618</v>
      </c>
      <c r="L59" s="898">
        <f>(AI59*KFC!$B$16+KFC!$C$16)*KFC!$C$5</f>
        <v>48.115929574416676</v>
      </c>
      <c r="M59" s="898">
        <f>(AJ59*KFC!$B$16+KFC!$C$16)*KFC!$C$5</f>
        <v>50.804454497636726</v>
      </c>
      <c r="N59" s="898">
        <f>(AK59*KFC!$B$16+KFC!$C$16)*KFC!$C$5</f>
        <v>53.492979420856784</v>
      </c>
      <c r="O59" s="898">
        <f>(AL59*KFC!$B$16+KFC!$C$16)*KFC!$C$5</f>
        <v>56.181504344076842</v>
      </c>
      <c r="P59" s="898">
        <f>(AM59*KFC!$B$16+KFC!$C$16)*KFC!$C$5</f>
        <v>58.870029267296893</v>
      </c>
      <c r="Q59" s="898">
        <f>(AN59*KFC!$B$16+KFC!$C$16)*KFC!$C$5</f>
        <v>61.558554190516944</v>
      </c>
      <c r="R59" s="898">
        <f>(AO59*KFC!$B$16+KFC!$C$16)*KFC!$C$5</f>
        <v>64.247079113737001</v>
      </c>
      <c r="S59" s="898">
        <f>(AP59*KFC!$B$16+KFC!$C$16)*KFC!$C$5</f>
        <v>66.935604036957059</v>
      </c>
      <c r="T59" s="898">
        <f>(AQ59*KFC!$B$16+KFC!$C$16)*KFC!$C$5</f>
        <v>69.624128960177103</v>
      </c>
      <c r="U59" s="898">
        <f>(AR59*KFC!$B$16+KFC!$C$16)*KFC!$C$5</f>
        <v>72.312653883397161</v>
      </c>
      <c r="V59" s="898">
        <f>(AS59*KFC!$B$16+KFC!$C$16)*KFC!$C$5</f>
        <v>75.001178806617219</v>
      </c>
      <c r="W59" s="903">
        <f>(AT59*KFC!$B$16+KFC!$C$16)*KFC!$C$5</f>
        <v>77.689703729837234</v>
      </c>
      <c r="Y59" s="1431"/>
      <c r="Z59" s="649">
        <v>0.3</v>
      </c>
      <c r="AA59" s="882">
        <v>26.607730188656248</v>
      </c>
      <c r="AB59" s="882">
        <v>29.296255111876295</v>
      </c>
      <c r="AC59" s="882">
        <v>31.98478003509635</v>
      </c>
      <c r="AD59" s="882">
        <v>34.6733049583164</v>
      </c>
      <c r="AE59" s="882">
        <v>37.361829881536451</v>
      </c>
      <c r="AF59" s="882">
        <v>40.050354804756509</v>
      </c>
      <c r="AG59" s="882">
        <v>42.73887972797656</v>
      </c>
      <c r="AH59" s="882">
        <v>45.427404651196618</v>
      </c>
      <c r="AI59" s="882">
        <v>48.115929574416676</v>
      </c>
      <c r="AJ59" s="882">
        <v>50.804454497636726</v>
      </c>
      <c r="AK59" s="882">
        <v>53.492979420856784</v>
      </c>
      <c r="AL59" s="882">
        <v>56.181504344076842</v>
      </c>
      <c r="AM59" s="882">
        <v>58.870029267296893</v>
      </c>
      <c r="AN59" s="882">
        <v>61.558554190516944</v>
      </c>
      <c r="AO59" s="882">
        <v>64.247079113737001</v>
      </c>
      <c r="AP59" s="882">
        <v>66.935604036957059</v>
      </c>
      <c r="AQ59" s="882">
        <v>69.624128960177103</v>
      </c>
      <c r="AR59" s="882">
        <v>72.312653883397161</v>
      </c>
      <c r="AS59" s="882">
        <v>75.001178806617219</v>
      </c>
      <c r="AT59" s="882">
        <v>77.689703729837234</v>
      </c>
    </row>
    <row r="60" spans="1:46">
      <c r="A60" s="1426"/>
      <c r="B60" s="1427"/>
      <c r="C60" s="887">
        <v>0.4</v>
      </c>
      <c r="D60" s="902">
        <f>(AA60*KFC!$B$16+KFC!$C$16)*KFC!$C$5</f>
        <v>27.232565713222499</v>
      </c>
      <c r="E60" s="898">
        <f>(AB60*KFC!$B$16+KFC!$C$16)*KFC!$C$5</f>
        <v>30.049019998965235</v>
      </c>
      <c r="F60" s="898">
        <f>(AC60*KFC!$B$16+KFC!$C$16)*KFC!$C$5</f>
        <v>32.865474284707972</v>
      </c>
      <c r="G60" s="898">
        <f>(AD60*KFC!$B$16+KFC!$C$16)*KFC!$C$5</f>
        <v>35.681928570450708</v>
      </c>
      <c r="H60" s="898">
        <f>(AE60*KFC!$B$16+KFC!$C$16)*KFC!$C$5</f>
        <v>38.498382856193444</v>
      </c>
      <c r="I60" s="898">
        <f>(AF60*KFC!$B$16+KFC!$C$16)*KFC!$C$5</f>
        <v>41.314837141936181</v>
      </c>
      <c r="J60" s="898">
        <f>(AG60*KFC!$B$16+KFC!$C$16)*KFC!$C$5</f>
        <v>44.131291427678917</v>
      </c>
      <c r="K60" s="898">
        <f>(AH60*KFC!$B$16+KFC!$C$16)*KFC!$C$5</f>
        <v>46.947745713421654</v>
      </c>
      <c r="L60" s="898">
        <f>(AI60*KFC!$B$16+KFC!$C$16)*KFC!$C$5</f>
        <v>49.76419999916439</v>
      </c>
      <c r="M60" s="898">
        <f>(AJ60*KFC!$B$16+KFC!$C$16)*KFC!$C$5</f>
        <v>52.580654284907126</v>
      </c>
      <c r="N60" s="898">
        <f>(AK60*KFC!$B$16+KFC!$C$16)*KFC!$C$5</f>
        <v>55.397108570649863</v>
      </c>
      <c r="O60" s="898">
        <f>(AL60*KFC!$B$16+KFC!$C$16)*KFC!$C$5</f>
        <v>58.213562856392599</v>
      </c>
      <c r="P60" s="898">
        <f>(AM60*KFC!$B$16+KFC!$C$16)*KFC!$C$5</f>
        <v>61.030017142135328</v>
      </c>
      <c r="Q60" s="898">
        <f>(AN60*KFC!$B$16+KFC!$C$16)*KFC!$C$5</f>
        <v>63.846471427878072</v>
      </c>
      <c r="R60" s="898">
        <f>(AO60*KFC!$B$16+KFC!$C$16)*KFC!$C$5</f>
        <v>66.662925713620808</v>
      </c>
      <c r="S60" s="898">
        <f>(AP60*KFC!$B$16+KFC!$C$16)*KFC!$C$5</f>
        <v>69.479379999363545</v>
      </c>
      <c r="T60" s="898">
        <f>(AQ60*KFC!$B$16+KFC!$C$16)*KFC!$C$5</f>
        <v>72.295834285106281</v>
      </c>
      <c r="U60" s="898">
        <f>(AR60*KFC!$B$16+KFC!$C$16)*KFC!$C$5</f>
        <v>75.112288570849003</v>
      </c>
      <c r="V60" s="898">
        <f>(AS60*KFC!$B$16+KFC!$C$16)*KFC!$C$5</f>
        <v>77.928742856591754</v>
      </c>
      <c r="W60" s="903">
        <f>(AT60*KFC!$B$16+KFC!$C$16)*KFC!$C$5</f>
        <v>80.745197142334504</v>
      </c>
      <c r="Y60" s="1431"/>
      <c r="Z60" s="649">
        <v>0.4</v>
      </c>
      <c r="AA60" s="882">
        <v>27.232565713222499</v>
      </c>
      <c r="AB60" s="882">
        <v>30.049019998965235</v>
      </c>
      <c r="AC60" s="882">
        <v>32.865474284707972</v>
      </c>
      <c r="AD60" s="882">
        <v>35.681928570450708</v>
      </c>
      <c r="AE60" s="882">
        <v>38.498382856193444</v>
      </c>
      <c r="AF60" s="882">
        <v>41.314837141936181</v>
      </c>
      <c r="AG60" s="882">
        <v>44.131291427678917</v>
      </c>
      <c r="AH60" s="882">
        <v>46.947745713421654</v>
      </c>
      <c r="AI60" s="882">
        <v>49.76419999916439</v>
      </c>
      <c r="AJ60" s="882">
        <v>52.580654284907126</v>
      </c>
      <c r="AK60" s="882">
        <v>55.397108570649863</v>
      </c>
      <c r="AL60" s="882">
        <v>58.213562856392599</v>
      </c>
      <c r="AM60" s="882">
        <v>61.030017142135328</v>
      </c>
      <c r="AN60" s="882">
        <v>63.846471427878072</v>
      </c>
      <c r="AO60" s="882">
        <v>66.662925713620808</v>
      </c>
      <c r="AP60" s="882">
        <v>69.479379999363545</v>
      </c>
      <c r="AQ60" s="882">
        <v>72.295834285106281</v>
      </c>
      <c r="AR60" s="882">
        <v>75.112288570849003</v>
      </c>
      <c r="AS60" s="882">
        <v>77.928742856591754</v>
      </c>
      <c r="AT60" s="882">
        <v>80.745197142334504</v>
      </c>
    </row>
    <row r="61" spans="1:46">
      <c r="A61" s="1426"/>
      <c r="B61" s="1427"/>
      <c r="C61" s="887">
        <v>0.5</v>
      </c>
      <c r="D61" s="902">
        <f>(AA61*KFC!$B$16+KFC!$C$16)*KFC!$C$5</f>
        <v>27.85740123778875</v>
      </c>
      <c r="E61" s="898">
        <f>(AB61*KFC!$B$16+KFC!$C$16)*KFC!$C$5</f>
        <v>30.801784886054172</v>
      </c>
      <c r="F61" s="898">
        <f>(AC61*KFC!$B$16+KFC!$C$16)*KFC!$C$5</f>
        <v>33.746168534319594</v>
      </c>
      <c r="G61" s="898">
        <f>(AD61*KFC!$B$16+KFC!$C$16)*KFC!$C$5</f>
        <v>36.690552182585016</v>
      </c>
      <c r="H61" s="898">
        <f>(AE61*KFC!$B$16+KFC!$C$16)*KFC!$C$5</f>
        <v>39.634935830850438</v>
      </c>
      <c r="I61" s="898">
        <f>(AF61*KFC!$B$16+KFC!$C$16)*KFC!$C$5</f>
        <v>42.579319479115853</v>
      </c>
      <c r="J61" s="898">
        <f>(AG61*KFC!$B$16+KFC!$C$16)*KFC!$C$5</f>
        <v>45.523703127381275</v>
      </c>
      <c r="K61" s="898">
        <f>(AH61*KFC!$B$16+KFC!$C$16)*KFC!$C$5</f>
        <v>48.468086775646682</v>
      </c>
      <c r="L61" s="898">
        <f>(AI61*KFC!$B$16+KFC!$C$16)*KFC!$C$5</f>
        <v>51.412470423912104</v>
      </c>
      <c r="M61" s="898">
        <f>(AJ61*KFC!$B$16+KFC!$C$16)*KFC!$C$5</f>
        <v>54.356854072177526</v>
      </c>
      <c r="N61" s="898">
        <f>(AK61*KFC!$B$16+KFC!$C$16)*KFC!$C$5</f>
        <v>57.301237720442948</v>
      </c>
      <c r="O61" s="898">
        <f>(AL61*KFC!$B$16+KFC!$C$16)*KFC!$C$5</f>
        <v>60.245621368708356</v>
      </c>
      <c r="P61" s="898">
        <f>(AM61*KFC!$B$16+KFC!$C$16)*KFC!$C$5</f>
        <v>63.190005016973778</v>
      </c>
      <c r="Q61" s="898">
        <f>(AN61*KFC!$B$16+KFC!$C$16)*KFC!$C$5</f>
        <v>66.1343886652392</v>
      </c>
      <c r="R61" s="898">
        <f>(AO61*KFC!$B$16+KFC!$C$16)*KFC!$C$5</f>
        <v>69.078772313504615</v>
      </c>
      <c r="S61" s="898">
        <f>(AP61*KFC!$B$16+KFC!$C$16)*KFC!$C$5</f>
        <v>72.02315596177003</v>
      </c>
      <c r="T61" s="898">
        <f>(AQ61*KFC!$B$16+KFC!$C$16)*KFC!$C$5</f>
        <v>74.967539610035445</v>
      </c>
      <c r="U61" s="898">
        <f>(AR61*KFC!$B$16+KFC!$C$16)*KFC!$C$5</f>
        <v>77.91192325830086</v>
      </c>
      <c r="V61" s="898">
        <f>(AS61*KFC!$B$16+KFC!$C$16)*KFC!$C$5</f>
        <v>80.856306906566275</v>
      </c>
      <c r="W61" s="903">
        <f>(AT61*KFC!$B$16+KFC!$C$16)*KFC!$C$5</f>
        <v>83.800690554831746</v>
      </c>
      <c r="Y61" s="1431"/>
      <c r="Z61" s="649">
        <v>0.5</v>
      </c>
      <c r="AA61" s="882">
        <v>27.85740123778875</v>
      </c>
      <c r="AB61" s="882">
        <v>30.801784886054172</v>
      </c>
      <c r="AC61" s="882">
        <v>33.746168534319594</v>
      </c>
      <c r="AD61" s="882">
        <v>36.690552182585016</v>
      </c>
      <c r="AE61" s="882">
        <v>39.634935830850438</v>
      </c>
      <c r="AF61" s="882">
        <v>42.579319479115853</v>
      </c>
      <c r="AG61" s="882">
        <v>45.523703127381275</v>
      </c>
      <c r="AH61" s="882">
        <v>48.468086775646682</v>
      </c>
      <c r="AI61" s="882">
        <v>51.412470423912104</v>
      </c>
      <c r="AJ61" s="882">
        <v>54.356854072177526</v>
      </c>
      <c r="AK61" s="882">
        <v>57.301237720442948</v>
      </c>
      <c r="AL61" s="882">
        <v>60.245621368708356</v>
      </c>
      <c r="AM61" s="882">
        <v>63.190005016973778</v>
      </c>
      <c r="AN61" s="882">
        <v>66.1343886652392</v>
      </c>
      <c r="AO61" s="882">
        <v>69.078772313504615</v>
      </c>
      <c r="AP61" s="882">
        <v>72.02315596177003</v>
      </c>
      <c r="AQ61" s="882">
        <v>74.967539610035445</v>
      </c>
      <c r="AR61" s="882">
        <v>77.91192325830086</v>
      </c>
      <c r="AS61" s="882">
        <v>80.856306906566275</v>
      </c>
      <c r="AT61" s="882">
        <v>83.800690554831746</v>
      </c>
    </row>
    <row r="62" spans="1:46">
      <c r="A62" s="1426"/>
      <c r="B62" s="1427"/>
      <c r="C62" s="887">
        <v>0.6</v>
      </c>
      <c r="D62" s="902">
        <f>(AA62*KFC!$B$16+KFC!$C$16)*KFC!$C$5</f>
        <v>28.482236762355001</v>
      </c>
      <c r="E62" s="898">
        <f>(AB62*KFC!$B$16+KFC!$C$16)*KFC!$C$5</f>
        <v>31.554549773143108</v>
      </c>
      <c r="F62" s="898">
        <f>(AC62*KFC!$B$16+KFC!$C$16)*KFC!$C$5</f>
        <v>34.626862783931209</v>
      </c>
      <c r="G62" s="898">
        <f>(AD62*KFC!$B$16+KFC!$C$16)*KFC!$C$5</f>
        <v>37.699175794719316</v>
      </c>
      <c r="H62" s="898">
        <f>(AE62*KFC!$B$16+KFC!$C$16)*KFC!$C$5</f>
        <v>40.771488805507424</v>
      </c>
      <c r="I62" s="898">
        <f>(AF62*KFC!$B$16+KFC!$C$16)*KFC!$C$5</f>
        <v>43.843801816295532</v>
      </c>
      <c r="J62" s="898">
        <f>(AG62*KFC!$B$16+KFC!$C$16)*KFC!$C$5</f>
        <v>46.916114827083639</v>
      </c>
      <c r="K62" s="898">
        <f>(AH62*KFC!$B$16+KFC!$C$16)*KFC!$C$5</f>
        <v>49.98842783787174</v>
      </c>
      <c r="L62" s="898">
        <f>(AI62*KFC!$B$16+KFC!$C$16)*KFC!$C$5</f>
        <v>53.06074084865984</v>
      </c>
      <c r="M62" s="898">
        <f>(AJ62*KFC!$B$16+KFC!$C$16)*KFC!$C$5</f>
        <v>56.133053859447955</v>
      </c>
      <c r="N62" s="898">
        <f>(AK62*KFC!$B$16+KFC!$C$16)*KFC!$C$5</f>
        <v>59.205366870236062</v>
      </c>
      <c r="O62" s="898">
        <f>(AL62*KFC!$B$16+KFC!$C$16)*KFC!$C$5</f>
        <v>62.277679881024163</v>
      </c>
      <c r="P62" s="898">
        <f>(AM62*KFC!$B$16+KFC!$C$16)*KFC!$C$5</f>
        <v>65.349992891812278</v>
      </c>
      <c r="Q62" s="898">
        <f>(AN62*KFC!$B$16+KFC!$C$16)*KFC!$C$5</f>
        <v>68.422305902600371</v>
      </c>
      <c r="R62" s="898">
        <f>(AO62*KFC!$B$16+KFC!$C$16)*KFC!$C$5</f>
        <v>71.494618913388464</v>
      </c>
      <c r="S62" s="898">
        <f>(AP62*KFC!$B$16+KFC!$C$16)*KFC!$C$5</f>
        <v>74.566931924176572</v>
      </c>
      <c r="T62" s="898">
        <f>(AQ62*KFC!$B$16+KFC!$C$16)*KFC!$C$5</f>
        <v>77.639244934964665</v>
      </c>
      <c r="U62" s="898">
        <f>(AR62*KFC!$B$16+KFC!$C$16)*KFC!$C$5</f>
        <v>80.711557945752759</v>
      </c>
      <c r="V62" s="898">
        <f>(AS62*KFC!$B$16+KFC!$C$16)*KFC!$C$5</f>
        <v>83.783870956540866</v>
      </c>
      <c r="W62" s="903">
        <f>(AT62*KFC!$B$16+KFC!$C$16)*KFC!$C$5</f>
        <v>86.856183967329017</v>
      </c>
      <c r="Y62" s="1431"/>
      <c r="Z62" s="649">
        <v>0.6</v>
      </c>
      <c r="AA62" s="882">
        <v>28.482236762355001</v>
      </c>
      <c r="AB62" s="882">
        <v>31.554549773143108</v>
      </c>
      <c r="AC62" s="882">
        <v>34.626862783931209</v>
      </c>
      <c r="AD62" s="882">
        <v>37.699175794719316</v>
      </c>
      <c r="AE62" s="882">
        <v>40.771488805507424</v>
      </c>
      <c r="AF62" s="882">
        <v>43.843801816295532</v>
      </c>
      <c r="AG62" s="882">
        <v>46.916114827083639</v>
      </c>
      <c r="AH62" s="882">
        <v>49.98842783787174</v>
      </c>
      <c r="AI62" s="882">
        <v>53.06074084865984</v>
      </c>
      <c r="AJ62" s="882">
        <v>56.133053859447955</v>
      </c>
      <c r="AK62" s="882">
        <v>59.205366870236062</v>
      </c>
      <c r="AL62" s="882">
        <v>62.277679881024163</v>
      </c>
      <c r="AM62" s="882">
        <v>65.349992891812278</v>
      </c>
      <c r="AN62" s="882">
        <v>68.422305902600371</v>
      </c>
      <c r="AO62" s="882">
        <v>71.494618913388464</v>
      </c>
      <c r="AP62" s="882">
        <v>74.566931924176572</v>
      </c>
      <c r="AQ62" s="882">
        <v>77.639244934964665</v>
      </c>
      <c r="AR62" s="882">
        <v>80.711557945752759</v>
      </c>
      <c r="AS62" s="882">
        <v>83.783870956540866</v>
      </c>
      <c r="AT62" s="882">
        <v>86.856183967329017</v>
      </c>
    </row>
    <row r="63" spans="1:46">
      <c r="A63" s="1426"/>
      <c r="B63" s="1427"/>
      <c r="C63" s="887">
        <v>0.7</v>
      </c>
      <c r="D63" s="902">
        <f>(AA63*KFC!$B$16+KFC!$C$16)*KFC!$C$5</f>
        <v>29.107072286921252</v>
      </c>
      <c r="E63" s="898">
        <f>(AB63*KFC!$B$16+KFC!$C$16)*KFC!$C$5</f>
        <v>32.307314660232045</v>
      </c>
      <c r="F63" s="898">
        <f>(AC63*KFC!$B$16+KFC!$C$16)*KFC!$C$5</f>
        <v>35.507557033542831</v>
      </c>
      <c r="G63" s="898">
        <f>(AD63*KFC!$B$16+KFC!$C$16)*KFC!$C$5</f>
        <v>38.707799406853624</v>
      </c>
      <c r="H63" s="898">
        <f>(AE63*KFC!$B$16+KFC!$C$16)*KFC!$C$5</f>
        <v>41.908041780164403</v>
      </c>
      <c r="I63" s="898">
        <f>(AF63*KFC!$B$16+KFC!$C$16)*KFC!$C$5</f>
        <v>45.108284153475196</v>
      </c>
      <c r="J63" s="898">
        <f>(AG63*KFC!$B$16+KFC!$C$16)*KFC!$C$5</f>
        <v>48.308526526785982</v>
      </c>
      <c r="K63" s="898">
        <f>(AH63*KFC!$B$16+KFC!$C$16)*KFC!$C$5</f>
        <v>51.508768900096776</v>
      </c>
      <c r="L63" s="898">
        <f>(AI63*KFC!$B$16+KFC!$C$16)*KFC!$C$5</f>
        <v>54.709011273407562</v>
      </c>
      <c r="M63" s="898">
        <f>(AJ63*KFC!$B$16+KFC!$C$16)*KFC!$C$5</f>
        <v>57.909253646718341</v>
      </c>
      <c r="N63" s="898">
        <f>(AK63*KFC!$B$16+KFC!$C$16)*KFC!$C$5</f>
        <v>61.109496020029134</v>
      </c>
      <c r="O63" s="898">
        <f>(AL63*KFC!$B$16+KFC!$C$16)*KFC!$C$5</f>
        <v>64.309738393339927</v>
      </c>
      <c r="P63" s="898">
        <f>(AM63*KFC!$B$16+KFC!$C$16)*KFC!$C$5</f>
        <v>67.509980766650713</v>
      </c>
      <c r="Q63" s="898">
        <f>(AN63*KFC!$B$16+KFC!$C$16)*KFC!$C$5</f>
        <v>70.710223139961514</v>
      </c>
      <c r="R63" s="898">
        <f>(AO63*KFC!$B$16+KFC!$C$16)*KFC!$C$5</f>
        <v>73.9104655132723</v>
      </c>
      <c r="S63" s="898">
        <f>(AP63*KFC!$B$16+KFC!$C$16)*KFC!$C$5</f>
        <v>77.110707886583086</v>
      </c>
      <c r="T63" s="898">
        <f>(AQ63*KFC!$B$16+KFC!$C$16)*KFC!$C$5</f>
        <v>80.310950259893886</v>
      </c>
      <c r="U63" s="898">
        <f>(AR63*KFC!$B$16+KFC!$C$16)*KFC!$C$5</f>
        <v>83.511192633204686</v>
      </c>
      <c r="V63" s="898">
        <f>(AS63*KFC!$B$16+KFC!$C$16)*KFC!$C$5</f>
        <v>86.711435006515472</v>
      </c>
      <c r="W63" s="903">
        <f>(AT63*KFC!$B$16+KFC!$C$16)*KFC!$C$5</f>
        <v>89.911677379826259</v>
      </c>
      <c r="Y63" s="1431"/>
      <c r="Z63" s="649">
        <v>0.7</v>
      </c>
      <c r="AA63" s="882">
        <v>29.107072286921252</v>
      </c>
      <c r="AB63" s="882">
        <v>32.307314660232045</v>
      </c>
      <c r="AC63" s="882">
        <v>35.507557033542831</v>
      </c>
      <c r="AD63" s="882">
        <v>38.707799406853624</v>
      </c>
      <c r="AE63" s="882">
        <v>41.908041780164403</v>
      </c>
      <c r="AF63" s="882">
        <v>45.108284153475196</v>
      </c>
      <c r="AG63" s="882">
        <v>48.308526526785982</v>
      </c>
      <c r="AH63" s="882">
        <v>51.508768900096776</v>
      </c>
      <c r="AI63" s="882">
        <v>54.709011273407562</v>
      </c>
      <c r="AJ63" s="882">
        <v>57.909253646718341</v>
      </c>
      <c r="AK63" s="882">
        <v>61.109496020029134</v>
      </c>
      <c r="AL63" s="882">
        <v>64.309738393339927</v>
      </c>
      <c r="AM63" s="882">
        <v>67.509980766650713</v>
      </c>
      <c r="AN63" s="882">
        <v>70.710223139961514</v>
      </c>
      <c r="AO63" s="882">
        <v>73.9104655132723</v>
      </c>
      <c r="AP63" s="882">
        <v>77.110707886583086</v>
      </c>
      <c r="AQ63" s="882">
        <v>80.310950259893886</v>
      </c>
      <c r="AR63" s="882">
        <v>83.511192633204686</v>
      </c>
      <c r="AS63" s="882">
        <v>86.711435006515472</v>
      </c>
      <c r="AT63" s="882">
        <v>89.911677379826259</v>
      </c>
    </row>
    <row r="64" spans="1:46">
      <c r="A64" s="1426"/>
      <c r="B64" s="1427"/>
      <c r="C64" s="887">
        <v>0.8</v>
      </c>
      <c r="D64" s="902">
        <f>(AA64*KFC!$B$16+KFC!$C$16)*KFC!$C$5</f>
        <v>29.731907811487503</v>
      </c>
      <c r="E64" s="898">
        <f>(AB64*KFC!$B$16+KFC!$C$16)*KFC!$C$5</f>
        <v>33.060079547320974</v>
      </c>
      <c r="F64" s="898">
        <f>(AC64*KFC!$B$16+KFC!$C$16)*KFC!$C$5</f>
        <v>36.388251283154453</v>
      </c>
      <c r="G64" s="898">
        <f>(AD64*KFC!$B$16+KFC!$C$16)*KFC!$C$5</f>
        <v>39.716423018987932</v>
      </c>
      <c r="H64" s="898">
        <f>(AE64*KFC!$B$16+KFC!$C$16)*KFC!$C$5</f>
        <v>43.044594754821411</v>
      </c>
      <c r="I64" s="898">
        <f>(AF64*KFC!$B$16+KFC!$C$16)*KFC!$C$5</f>
        <v>46.372766490654875</v>
      </c>
      <c r="J64" s="898">
        <f>(AG64*KFC!$B$16+KFC!$C$16)*KFC!$C$5</f>
        <v>49.700938226488354</v>
      </c>
      <c r="K64" s="898">
        <f>(AH64*KFC!$B$16+KFC!$C$16)*KFC!$C$5</f>
        <v>53.029109962321833</v>
      </c>
      <c r="L64" s="898">
        <f>(AI64*KFC!$B$16+KFC!$C$16)*KFC!$C$5</f>
        <v>56.357281698155305</v>
      </c>
      <c r="M64" s="898">
        <f>(AJ64*KFC!$B$16+KFC!$C$16)*KFC!$C$5</f>
        <v>59.685453433988783</v>
      </c>
      <c r="N64" s="898">
        <f>(AK64*KFC!$B$16+KFC!$C$16)*KFC!$C$5</f>
        <v>63.013625169822255</v>
      </c>
      <c r="O64" s="898">
        <f>(AL64*KFC!$B$16+KFC!$C$16)*KFC!$C$5</f>
        <v>66.341796905655741</v>
      </c>
      <c r="P64" s="898">
        <f>(AM64*KFC!$B$16+KFC!$C$16)*KFC!$C$5</f>
        <v>69.669968641489206</v>
      </c>
      <c r="Q64" s="898">
        <f>(AN64*KFC!$B$16+KFC!$C$16)*KFC!$C$5</f>
        <v>72.998140377322684</v>
      </c>
      <c r="R64" s="898">
        <f>(AO64*KFC!$B$16+KFC!$C$16)*KFC!$C$5</f>
        <v>76.326312113156163</v>
      </c>
      <c r="S64" s="898">
        <f>(AP64*KFC!$B$16+KFC!$C$16)*KFC!$C$5</f>
        <v>79.654483848989642</v>
      </c>
      <c r="T64" s="898">
        <f>(AQ64*KFC!$B$16+KFC!$C$16)*KFC!$C$5</f>
        <v>82.982655584823107</v>
      </c>
      <c r="U64" s="898">
        <f>(AR64*KFC!$B$16+KFC!$C$16)*KFC!$C$5</f>
        <v>86.310827320656571</v>
      </c>
      <c r="V64" s="898">
        <f>(AS64*KFC!$B$16+KFC!$C$16)*KFC!$C$5</f>
        <v>89.638999056490064</v>
      </c>
      <c r="W64" s="903">
        <f>(AT64*KFC!$B$16+KFC!$C$16)*KFC!$C$5</f>
        <v>92.967170792323515</v>
      </c>
      <c r="Y64" s="1431"/>
      <c r="Z64" s="649">
        <v>0.8</v>
      </c>
      <c r="AA64" s="882">
        <v>29.731907811487503</v>
      </c>
      <c r="AB64" s="882">
        <v>33.060079547320974</v>
      </c>
      <c r="AC64" s="882">
        <v>36.388251283154453</v>
      </c>
      <c r="AD64" s="882">
        <v>39.716423018987932</v>
      </c>
      <c r="AE64" s="882">
        <v>43.044594754821411</v>
      </c>
      <c r="AF64" s="882">
        <v>46.372766490654875</v>
      </c>
      <c r="AG64" s="882">
        <v>49.700938226488354</v>
      </c>
      <c r="AH64" s="882">
        <v>53.029109962321833</v>
      </c>
      <c r="AI64" s="882">
        <v>56.357281698155305</v>
      </c>
      <c r="AJ64" s="882">
        <v>59.685453433988783</v>
      </c>
      <c r="AK64" s="882">
        <v>63.013625169822255</v>
      </c>
      <c r="AL64" s="882">
        <v>66.341796905655741</v>
      </c>
      <c r="AM64" s="882">
        <v>69.669968641489206</v>
      </c>
      <c r="AN64" s="882">
        <v>72.998140377322684</v>
      </c>
      <c r="AO64" s="882">
        <v>76.326312113156163</v>
      </c>
      <c r="AP64" s="882">
        <v>79.654483848989642</v>
      </c>
      <c r="AQ64" s="882">
        <v>82.982655584823107</v>
      </c>
      <c r="AR64" s="882">
        <v>86.310827320656571</v>
      </c>
      <c r="AS64" s="882">
        <v>89.638999056490064</v>
      </c>
      <c r="AT64" s="882">
        <v>92.967170792323515</v>
      </c>
    </row>
    <row r="65" spans="1:46">
      <c r="A65" s="1426"/>
      <c r="B65" s="1427"/>
      <c r="C65" s="887">
        <v>0.9</v>
      </c>
      <c r="D65" s="902">
        <f>(AA65*KFC!$B$16+KFC!$C$16)*KFC!$C$5</f>
        <v>30.356743336053754</v>
      </c>
      <c r="E65" s="898">
        <f>(AB65*KFC!$B$16+KFC!$C$16)*KFC!$C$5</f>
        <v>33.812844434409911</v>
      </c>
      <c r="F65" s="898">
        <f>(AC65*KFC!$B$16+KFC!$C$16)*KFC!$C$5</f>
        <v>37.268945532766068</v>
      </c>
      <c r="G65" s="898">
        <f>(AD65*KFC!$B$16+KFC!$C$16)*KFC!$C$5</f>
        <v>40.725046631122225</v>
      </c>
      <c r="H65" s="898">
        <f>(AE65*KFC!$B$16+KFC!$C$16)*KFC!$C$5</f>
        <v>44.181147729478383</v>
      </c>
      <c r="I65" s="898">
        <f>(AF65*KFC!$B$16+KFC!$C$16)*KFC!$C$5</f>
        <v>47.63724882783454</v>
      </c>
      <c r="J65" s="898">
        <f>(AG65*KFC!$B$16+KFC!$C$16)*KFC!$C$5</f>
        <v>51.093349926190697</v>
      </c>
      <c r="K65" s="898">
        <f>(AH65*KFC!$B$16+KFC!$C$16)*KFC!$C$5</f>
        <v>54.549451024546855</v>
      </c>
      <c r="L65" s="898">
        <f>(AI65*KFC!$B$16+KFC!$C$16)*KFC!$C$5</f>
        <v>58.005552122903005</v>
      </c>
      <c r="M65" s="898">
        <f>(AJ65*KFC!$B$16+KFC!$C$16)*KFC!$C$5</f>
        <v>61.461653221259169</v>
      </c>
      <c r="N65" s="898">
        <f>(AK65*KFC!$B$16+KFC!$C$16)*KFC!$C$5</f>
        <v>64.917754319615312</v>
      </c>
      <c r="O65" s="898">
        <f>(AL65*KFC!$B$16+KFC!$C$16)*KFC!$C$5</f>
        <v>68.373855417971484</v>
      </c>
      <c r="P65" s="898">
        <f>(AM65*KFC!$B$16+KFC!$C$16)*KFC!$C$5</f>
        <v>71.829956516327641</v>
      </c>
      <c r="Q65" s="898">
        <f>(AN65*KFC!$B$16+KFC!$C$16)*KFC!$C$5</f>
        <v>75.286057614683799</v>
      </c>
      <c r="R65" s="898">
        <f>(AO65*KFC!$B$16+KFC!$C$16)*KFC!$C$5</f>
        <v>78.742158713039956</v>
      </c>
      <c r="S65" s="898">
        <f>(AP65*KFC!$B$16+KFC!$C$16)*KFC!$C$5</f>
        <v>82.198259811396113</v>
      </c>
      <c r="T65" s="898">
        <f>(AQ65*KFC!$B$16+KFC!$C$16)*KFC!$C$5</f>
        <v>85.65436090975227</v>
      </c>
      <c r="U65" s="898">
        <f>(AR65*KFC!$B$16+KFC!$C$16)*KFC!$C$5</f>
        <v>89.110462008108414</v>
      </c>
      <c r="V65" s="898">
        <f>(AS65*KFC!$B$16+KFC!$C$16)*KFC!$C$5</f>
        <v>92.566563106464585</v>
      </c>
      <c r="W65" s="903">
        <f>(AT65*KFC!$B$16+KFC!$C$16)*KFC!$C$5</f>
        <v>96.022664204820771</v>
      </c>
      <c r="Y65" s="1431"/>
      <c r="Z65" s="649">
        <v>0.9</v>
      </c>
      <c r="AA65" s="882">
        <v>30.356743336053754</v>
      </c>
      <c r="AB65" s="882">
        <v>33.812844434409911</v>
      </c>
      <c r="AC65" s="882">
        <v>37.268945532766068</v>
      </c>
      <c r="AD65" s="882">
        <v>40.725046631122225</v>
      </c>
      <c r="AE65" s="882">
        <v>44.181147729478383</v>
      </c>
      <c r="AF65" s="882">
        <v>47.63724882783454</v>
      </c>
      <c r="AG65" s="882">
        <v>51.093349926190697</v>
      </c>
      <c r="AH65" s="882">
        <v>54.549451024546855</v>
      </c>
      <c r="AI65" s="882">
        <v>58.005552122903005</v>
      </c>
      <c r="AJ65" s="882">
        <v>61.461653221259169</v>
      </c>
      <c r="AK65" s="882">
        <v>64.917754319615312</v>
      </c>
      <c r="AL65" s="882">
        <v>68.373855417971484</v>
      </c>
      <c r="AM65" s="882">
        <v>71.829956516327641</v>
      </c>
      <c r="AN65" s="882">
        <v>75.286057614683799</v>
      </c>
      <c r="AO65" s="882">
        <v>78.742158713039956</v>
      </c>
      <c r="AP65" s="882">
        <v>82.198259811396113</v>
      </c>
      <c r="AQ65" s="882">
        <v>85.65436090975227</v>
      </c>
      <c r="AR65" s="882">
        <v>89.110462008108414</v>
      </c>
      <c r="AS65" s="882">
        <v>92.566563106464585</v>
      </c>
      <c r="AT65" s="882">
        <v>96.022664204820771</v>
      </c>
    </row>
    <row r="66" spans="1:46">
      <c r="A66" s="1426"/>
      <c r="B66" s="1427"/>
      <c r="C66" s="887">
        <v>1</v>
      </c>
      <c r="D66" s="902">
        <f>(AA66*KFC!$B$16+KFC!$C$16)*KFC!$C$5</f>
        <v>30.981578860620008</v>
      </c>
      <c r="E66" s="898">
        <f>(AB66*KFC!$B$16+KFC!$C$16)*KFC!$C$5</f>
        <v>34.56560932149884</v>
      </c>
      <c r="F66" s="898">
        <f>(AC66*KFC!$B$16+KFC!$C$16)*KFC!$C$5</f>
        <v>38.14963978237769</v>
      </c>
      <c r="G66" s="898">
        <f>(AD66*KFC!$B$16+KFC!$C$16)*KFC!$C$5</f>
        <v>41.733670243256533</v>
      </c>
      <c r="H66" s="898">
        <f>(AE66*KFC!$B$16+KFC!$C$16)*KFC!$C$5</f>
        <v>45.317700704135376</v>
      </c>
      <c r="I66" s="898">
        <f>(AF66*KFC!$B$16+KFC!$C$16)*KFC!$C$5</f>
        <v>48.901731165014219</v>
      </c>
      <c r="J66" s="898">
        <f>(AG66*KFC!$B$16+KFC!$C$16)*KFC!$C$5</f>
        <v>52.485761625893069</v>
      </c>
      <c r="K66" s="898">
        <f>(AH66*KFC!$B$16+KFC!$C$16)*KFC!$C$5</f>
        <v>56.069792086771912</v>
      </c>
      <c r="L66" s="898">
        <f>(AI66*KFC!$B$16+KFC!$C$16)*KFC!$C$5</f>
        <v>59.653822547650762</v>
      </c>
      <c r="M66" s="898">
        <f>(AJ66*KFC!$B$16+KFC!$C$16)*KFC!$C$5</f>
        <v>63.237853008529605</v>
      </c>
      <c r="N66" s="898">
        <f>(AK66*KFC!$B$16+KFC!$C$16)*KFC!$C$5</f>
        <v>66.821883469408448</v>
      </c>
      <c r="O66" s="898">
        <f>(AL66*KFC!$B$16+KFC!$C$16)*KFC!$C$5</f>
        <v>70.405913930287284</v>
      </c>
      <c r="P66" s="898">
        <f>(AM66*KFC!$B$16+KFC!$C$16)*KFC!$C$5</f>
        <v>73.989944391166119</v>
      </c>
      <c r="Q66" s="898">
        <f>(AN66*KFC!$B$16+KFC!$C$16)*KFC!$C$5</f>
        <v>77.573974852044955</v>
      </c>
      <c r="R66" s="898">
        <f>(AO66*KFC!$B$16+KFC!$C$16)*KFC!$C$5</f>
        <v>81.158005312923791</v>
      </c>
      <c r="S66" s="898">
        <f>(AP66*KFC!$B$16+KFC!$C$16)*KFC!$C$5</f>
        <v>84.742035773802627</v>
      </c>
      <c r="T66" s="898">
        <f>(AQ66*KFC!$B$16+KFC!$C$16)*KFC!$C$5</f>
        <v>88.326066234681477</v>
      </c>
      <c r="U66" s="898">
        <f>(AR66*KFC!$B$16+KFC!$C$16)*KFC!$C$5</f>
        <v>91.910096695560313</v>
      </c>
      <c r="V66" s="898">
        <f>(AS66*KFC!$B$16+KFC!$C$16)*KFC!$C$5</f>
        <v>95.494127156439149</v>
      </c>
      <c r="W66" s="903">
        <f>(AT66*KFC!$B$16+KFC!$C$16)*KFC!$C$5</f>
        <v>99.078157617318013</v>
      </c>
      <c r="Y66" s="1431"/>
      <c r="Z66" s="649">
        <v>1</v>
      </c>
      <c r="AA66" s="882">
        <v>30.981578860620008</v>
      </c>
      <c r="AB66" s="882">
        <v>34.56560932149884</v>
      </c>
      <c r="AC66" s="882">
        <v>38.14963978237769</v>
      </c>
      <c r="AD66" s="882">
        <v>41.733670243256533</v>
      </c>
      <c r="AE66" s="882">
        <v>45.317700704135376</v>
      </c>
      <c r="AF66" s="882">
        <v>48.901731165014219</v>
      </c>
      <c r="AG66" s="882">
        <v>52.485761625893069</v>
      </c>
      <c r="AH66" s="882">
        <v>56.069792086771912</v>
      </c>
      <c r="AI66" s="882">
        <v>59.653822547650762</v>
      </c>
      <c r="AJ66" s="882">
        <v>63.237853008529605</v>
      </c>
      <c r="AK66" s="882">
        <v>66.821883469408448</v>
      </c>
      <c r="AL66" s="882">
        <v>70.405913930287284</v>
      </c>
      <c r="AM66" s="882">
        <v>73.989944391166119</v>
      </c>
      <c r="AN66" s="882">
        <v>77.573974852044955</v>
      </c>
      <c r="AO66" s="882">
        <v>81.158005312923791</v>
      </c>
      <c r="AP66" s="882">
        <v>84.742035773802627</v>
      </c>
      <c r="AQ66" s="882">
        <v>88.326066234681477</v>
      </c>
      <c r="AR66" s="882">
        <v>91.910096695560313</v>
      </c>
      <c r="AS66" s="882">
        <v>95.494127156439149</v>
      </c>
      <c r="AT66" s="882">
        <v>99.078157617318013</v>
      </c>
    </row>
    <row r="67" spans="1:46">
      <c r="A67" s="1426"/>
      <c r="B67" s="1427"/>
      <c r="C67" s="887">
        <v>1.1000000000000001</v>
      </c>
      <c r="D67" s="902">
        <f>(AA67*KFC!$B$16+KFC!$C$16)*KFC!$C$5</f>
        <v>31.606414385186259</v>
      </c>
      <c r="E67" s="898">
        <f>(AB67*KFC!$B$16+KFC!$C$16)*KFC!$C$5</f>
        <v>35.318374208587784</v>
      </c>
      <c r="F67" s="898">
        <f>(AC67*KFC!$B$16+KFC!$C$16)*KFC!$C$5</f>
        <v>39.030334031989312</v>
      </c>
      <c r="G67" s="898">
        <f>(AD67*KFC!$B$16+KFC!$C$16)*KFC!$C$5</f>
        <v>42.742293855390834</v>
      </c>
      <c r="H67" s="898">
        <f>(AE67*KFC!$B$16+KFC!$C$16)*KFC!$C$5</f>
        <v>46.454253678792355</v>
      </c>
      <c r="I67" s="898">
        <f>(AF67*KFC!$B$16+KFC!$C$16)*KFC!$C$5</f>
        <v>50.166213502193884</v>
      </c>
      <c r="J67" s="898">
        <f>(AG67*KFC!$B$16+KFC!$C$16)*KFC!$C$5</f>
        <v>53.878173325595419</v>
      </c>
      <c r="K67" s="898">
        <f>(AH67*KFC!$B$16+KFC!$C$16)*KFC!$C$5</f>
        <v>57.590133148996934</v>
      </c>
      <c r="L67" s="898">
        <f>(AI67*KFC!$B$16+KFC!$C$16)*KFC!$C$5</f>
        <v>61.302092972398469</v>
      </c>
      <c r="M67" s="898">
        <f>(AJ67*KFC!$B$16+KFC!$C$16)*KFC!$C$5</f>
        <v>65.014052795799984</v>
      </c>
      <c r="N67" s="898">
        <f>(AK67*KFC!$B$16+KFC!$C$16)*KFC!$C$5</f>
        <v>68.726012619201526</v>
      </c>
      <c r="O67" s="898">
        <f>(AL67*KFC!$B$16+KFC!$C$16)*KFC!$C$5</f>
        <v>72.437972442603055</v>
      </c>
      <c r="P67" s="898">
        <f>(AM67*KFC!$B$16+KFC!$C$16)*KFC!$C$5</f>
        <v>76.149932266004583</v>
      </c>
      <c r="Q67" s="898">
        <f>(AN67*KFC!$B$16+KFC!$C$16)*KFC!$C$5</f>
        <v>79.861892089406126</v>
      </c>
      <c r="R67" s="898">
        <f>(AO67*KFC!$B$16+KFC!$C$16)*KFC!$C$5</f>
        <v>83.573851912807655</v>
      </c>
      <c r="S67" s="898">
        <f>(AP67*KFC!$B$16+KFC!$C$16)*KFC!$C$5</f>
        <v>87.285811736209183</v>
      </c>
      <c r="T67" s="898">
        <f>(AQ67*KFC!$B$16+KFC!$C$16)*KFC!$C$5</f>
        <v>90.997771559610726</v>
      </c>
      <c r="U67" s="898">
        <f>(AR67*KFC!$B$16+KFC!$C$16)*KFC!$C$5</f>
        <v>94.709731383012254</v>
      </c>
      <c r="V67" s="898">
        <f>(AS67*KFC!$B$16+KFC!$C$16)*KFC!$C$5</f>
        <v>98.421691206413783</v>
      </c>
      <c r="W67" s="903">
        <f>(AT67*KFC!$B$16+KFC!$C$16)*KFC!$C$5</f>
        <v>102.13365102981527</v>
      </c>
      <c r="Y67" s="1431"/>
      <c r="Z67" s="649">
        <v>1.1000000000000001</v>
      </c>
      <c r="AA67" s="882">
        <v>31.606414385186259</v>
      </c>
      <c r="AB67" s="882">
        <v>35.318374208587784</v>
      </c>
      <c r="AC67" s="882">
        <v>39.030334031989312</v>
      </c>
      <c r="AD67" s="882">
        <v>42.742293855390834</v>
      </c>
      <c r="AE67" s="882">
        <v>46.454253678792355</v>
      </c>
      <c r="AF67" s="882">
        <v>50.166213502193884</v>
      </c>
      <c r="AG67" s="882">
        <v>53.878173325595419</v>
      </c>
      <c r="AH67" s="882">
        <v>57.590133148996934</v>
      </c>
      <c r="AI67" s="882">
        <v>61.302092972398469</v>
      </c>
      <c r="AJ67" s="882">
        <v>65.014052795799984</v>
      </c>
      <c r="AK67" s="882">
        <v>68.726012619201526</v>
      </c>
      <c r="AL67" s="882">
        <v>72.437972442603055</v>
      </c>
      <c r="AM67" s="882">
        <v>76.149932266004583</v>
      </c>
      <c r="AN67" s="882">
        <v>79.861892089406126</v>
      </c>
      <c r="AO67" s="882">
        <v>83.573851912807655</v>
      </c>
      <c r="AP67" s="882">
        <v>87.285811736209183</v>
      </c>
      <c r="AQ67" s="882">
        <v>90.997771559610726</v>
      </c>
      <c r="AR67" s="882">
        <v>94.709731383012254</v>
      </c>
      <c r="AS67" s="882">
        <v>98.421691206413783</v>
      </c>
      <c r="AT67" s="882">
        <v>102.13365102981527</v>
      </c>
    </row>
    <row r="68" spans="1:46">
      <c r="A68" s="1426"/>
      <c r="B68" s="1427"/>
      <c r="C68" s="887">
        <v>1.2</v>
      </c>
      <c r="D68" s="902">
        <f>(AA68*KFC!$B$16+KFC!$C$16)*KFC!$C$5</f>
        <v>32.231249909752506</v>
      </c>
      <c r="E68" s="898">
        <f>(AB68*KFC!$B$16+KFC!$C$16)*KFC!$C$5</f>
        <v>36.07113909567672</v>
      </c>
      <c r="F68" s="898">
        <f>(AC68*KFC!$B$16+KFC!$C$16)*KFC!$C$5</f>
        <v>39.911028281600942</v>
      </c>
      <c r="G68" s="898">
        <f>(AD68*KFC!$B$16+KFC!$C$16)*KFC!$C$5</f>
        <v>43.750917467525156</v>
      </c>
      <c r="H68" s="898">
        <f>(AE68*KFC!$B$16+KFC!$C$16)*KFC!$C$5</f>
        <v>47.59080665344937</v>
      </c>
      <c r="I68" s="898">
        <f>(AF68*KFC!$B$16+KFC!$C$16)*KFC!$C$5</f>
        <v>51.430695839373584</v>
      </c>
      <c r="J68" s="898">
        <f>(AG68*KFC!$B$16+KFC!$C$16)*KFC!$C$5</f>
        <v>55.270585025297798</v>
      </c>
      <c r="K68" s="898">
        <f>(AH68*KFC!$B$16+KFC!$C$16)*KFC!$C$5</f>
        <v>59.110474211222012</v>
      </c>
      <c r="L68" s="898">
        <f>(AI68*KFC!$B$16+KFC!$C$16)*KFC!$C$5</f>
        <v>62.950363397146234</v>
      </c>
      <c r="M68" s="898">
        <f>(AJ68*KFC!$B$16+KFC!$C$16)*KFC!$C$5</f>
        <v>66.790252583070441</v>
      </c>
      <c r="N68" s="898">
        <f>(AK68*KFC!$B$16+KFC!$C$16)*KFC!$C$5</f>
        <v>70.630141768994648</v>
      </c>
      <c r="O68" s="898">
        <f>(AL68*KFC!$B$16+KFC!$C$16)*KFC!$C$5</f>
        <v>74.470030954918869</v>
      </c>
      <c r="P68" s="898">
        <f>(AM68*KFC!$B$16+KFC!$C$16)*KFC!$C$5</f>
        <v>78.309920140843076</v>
      </c>
      <c r="Q68" s="898">
        <f>(AN68*KFC!$B$16+KFC!$C$16)*KFC!$C$5</f>
        <v>82.149809326767311</v>
      </c>
      <c r="R68" s="898">
        <f>(AO68*KFC!$B$16+KFC!$C$16)*KFC!$C$5</f>
        <v>85.989698512691518</v>
      </c>
      <c r="S68" s="898">
        <f>(AP68*KFC!$B$16+KFC!$C$16)*KFC!$C$5</f>
        <v>89.82958769861574</v>
      </c>
      <c r="T68" s="898">
        <f>(AQ68*KFC!$B$16+KFC!$C$16)*KFC!$C$5</f>
        <v>93.669476884539947</v>
      </c>
      <c r="U68" s="898">
        <f>(AR68*KFC!$B$16+KFC!$C$16)*KFC!$C$5</f>
        <v>97.509366070464154</v>
      </c>
      <c r="V68" s="898">
        <f>(AS68*KFC!$B$16+KFC!$C$16)*KFC!$C$5</f>
        <v>101.34925525638837</v>
      </c>
      <c r="W68" s="903">
        <f>(AT68*KFC!$B$16+KFC!$C$16)*KFC!$C$5</f>
        <v>105.18914444231253</v>
      </c>
      <c r="Y68" s="1431"/>
      <c r="Z68" s="649">
        <v>1.2</v>
      </c>
      <c r="AA68" s="882">
        <v>32.231249909752506</v>
      </c>
      <c r="AB68" s="882">
        <v>36.07113909567672</v>
      </c>
      <c r="AC68" s="882">
        <v>39.911028281600942</v>
      </c>
      <c r="AD68" s="882">
        <v>43.750917467525156</v>
      </c>
      <c r="AE68" s="882">
        <v>47.59080665344937</v>
      </c>
      <c r="AF68" s="882">
        <v>51.430695839373584</v>
      </c>
      <c r="AG68" s="882">
        <v>55.270585025297798</v>
      </c>
      <c r="AH68" s="882">
        <v>59.110474211222012</v>
      </c>
      <c r="AI68" s="882">
        <v>62.950363397146234</v>
      </c>
      <c r="AJ68" s="882">
        <v>66.790252583070441</v>
      </c>
      <c r="AK68" s="882">
        <v>70.630141768994648</v>
      </c>
      <c r="AL68" s="882">
        <v>74.470030954918869</v>
      </c>
      <c r="AM68" s="882">
        <v>78.309920140843076</v>
      </c>
      <c r="AN68" s="882">
        <v>82.149809326767311</v>
      </c>
      <c r="AO68" s="882">
        <v>85.989698512691518</v>
      </c>
      <c r="AP68" s="882">
        <v>89.82958769861574</v>
      </c>
      <c r="AQ68" s="882">
        <v>93.669476884539947</v>
      </c>
      <c r="AR68" s="882">
        <v>97.509366070464154</v>
      </c>
      <c r="AS68" s="882">
        <v>101.34925525638837</v>
      </c>
      <c r="AT68" s="882">
        <v>105.18914444231253</v>
      </c>
    </row>
    <row r="69" spans="1:46">
      <c r="A69" s="1426"/>
      <c r="B69" s="1427"/>
      <c r="C69" s="887">
        <v>1.3</v>
      </c>
      <c r="D69" s="902">
        <f>(AA69*KFC!$B$16+KFC!$C$16)*KFC!$C$5</f>
        <v>32.856085434318757</v>
      </c>
      <c r="E69" s="898">
        <f>(AB69*KFC!$B$16+KFC!$C$16)*KFC!$C$5</f>
        <v>36.823903982765657</v>
      </c>
      <c r="F69" s="898">
        <f>(AC69*KFC!$B$16+KFC!$C$16)*KFC!$C$5</f>
        <v>40.791722531212557</v>
      </c>
      <c r="G69" s="898">
        <f>(AD69*KFC!$B$16+KFC!$C$16)*KFC!$C$5</f>
        <v>44.759541079659449</v>
      </c>
      <c r="H69" s="898">
        <f>(AE69*KFC!$B$16+KFC!$C$16)*KFC!$C$5</f>
        <v>48.727359628106342</v>
      </c>
      <c r="I69" s="898">
        <f>(AF69*KFC!$B$16+KFC!$C$16)*KFC!$C$5</f>
        <v>52.695178176553235</v>
      </c>
      <c r="J69" s="898">
        <f>(AG69*KFC!$B$16+KFC!$C$16)*KFC!$C$5</f>
        <v>56.662996725000134</v>
      </c>
      <c r="K69" s="898">
        <f>(AH69*KFC!$B$16+KFC!$C$16)*KFC!$C$5</f>
        <v>60.630815273447027</v>
      </c>
      <c r="L69" s="898">
        <f>(AI69*KFC!$B$16+KFC!$C$16)*KFC!$C$5</f>
        <v>64.598633821893927</v>
      </c>
      <c r="M69" s="898">
        <f>(AJ69*KFC!$B$16+KFC!$C$16)*KFC!$C$5</f>
        <v>68.566452370340826</v>
      </c>
      <c r="N69" s="898">
        <f>(AK69*KFC!$B$16+KFC!$C$16)*KFC!$C$5</f>
        <v>72.534270918787726</v>
      </c>
      <c r="O69" s="898">
        <f>(AL69*KFC!$B$16+KFC!$C$16)*KFC!$C$5</f>
        <v>76.502089467234612</v>
      </c>
      <c r="P69" s="898">
        <f>(AM69*KFC!$B$16+KFC!$C$16)*KFC!$C$5</f>
        <v>80.469908015681526</v>
      </c>
      <c r="Q69" s="898">
        <f>(AN69*KFC!$B$16+KFC!$C$16)*KFC!$C$5</f>
        <v>84.437726564128411</v>
      </c>
      <c r="R69" s="898">
        <f>(AO69*KFC!$B$16+KFC!$C$16)*KFC!$C$5</f>
        <v>88.405545112575311</v>
      </c>
      <c r="S69" s="898">
        <f>(AP69*KFC!$B$16+KFC!$C$16)*KFC!$C$5</f>
        <v>92.373363661022196</v>
      </c>
      <c r="T69" s="898">
        <f>(AQ69*KFC!$B$16+KFC!$C$16)*KFC!$C$5</f>
        <v>96.341182209469096</v>
      </c>
      <c r="U69" s="898">
        <f>(AR69*KFC!$B$16+KFC!$C$16)*KFC!$C$5</f>
        <v>100.30900075791598</v>
      </c>
      <c r="V69" s="898">
        <f>(AS69*KFC!$B$16+KFC!$C$16)*KFC!$C$5</f>
        <v>104.2768193063629</v>
      </c>
      <c r="W69" s="903">
        <f>(AT69*KFC!$B$16+KFC!$C$16)*KFC!$C$5</f>
        <v>108.24463785480977</v>
      </c>
      <c r="Y69" s="1431"/>
      <c r="Z69" s="649">
        <v>1.3</v>
      </c>
      <c r="AA69" s="882">
        <v>32.856085434318757</v>
      </c>
      <c r="AB69" s="882">
        <v>36.823903982765657</v>
      </c>
      <c r="AC69" s="882">
        <v>40.791722531212557</v>
      </c>
      <c r="AD69" s="882">
        <v>44.759541079659449</v>
      </c>
      <c r="AE69" s="882">
        <v>48.727359628106342</v>
      </c>
      <c r="AF69" s="882">
        <v>52.695178176553235</v>
      </c>
      <c r="AG69" s="882">
        <v>56.662996725000134</v>
      </c>
      <c r="AH69" s="882">
        <v>60.630815273447027</v>
      </c>
      <c r="AI69" s="882">
        <v>64.598633821893927</v>
      </c>
      <c r="AJ69" s="882">
        <v>68.566452370340826</v>
      </c>
      <c r="AK69" s="882">
        <v>72.534270918787726</v>
      </c>
      <c r="AL69" s="882">
        <v>76.502089467234612</v>
      </c>
      <c r="AM69" s="882">
        <v>80.469908015681526</v>
      </c>
      <c r="AN69" s="882">
        <v>84.437726564128411</v>
      </c>
      <c r="AO69" s="882">
        <v>88.405545112575311</v>
      </c>
      <c r="AP69" s="882">
        <v>92.373363661022196</v>
      </c>
      <c r="AQ69" s="882">
        <v>96.341182209469096</v>
      </c>
      <c r="AR69" s="882">
        <v>100.30900075791598</v>
      </c>
      <c r="AS69" s="882">
        <v>104.2768193063629</v>
      </c>
      <c r="AT69" s="882">
        <v>108.24463785480977</v>
      </c>
    </row>
    <row r="70" spans="1:46">
      <c r="A70" s="1426"/>
      <c r="B70" s="1427"/>
      <c r="C70" s="887">
        <v>1.4</v>
      </c>
      <c r="D70" s="902">
        <f>(AA70*KFC!$B$16+KFC!$C$16)*KFC!$C$5</f>
        <v>33.480920958885008</v>
      </c>
      <c r="E70" s="898">
        <f>(AB70*KFC!$B$16+KFC!$C$16)*KFC!$C$5</f>
        <v>37.576668869854586</v>
      </c>
      <c r="F70" s="898">
        <f>(AC70*KFC!$B$16+KFC!$C$16)*KFC!$C$5</f>
        <v>41.672416780824165</v>
      </c>
      <c r="G70" s="898">
        <f>(AD70*KFC!$B$16+KFC!$C$16)*KFC!$C$5</f>
        <v>45.768164691793743</v>
      </c>
      <c r="H70" s="898">
        <f>(AE70*KFC!$B$16+KFC!$C$16)*KFC!$C$5</f>
        <v>49.863912602763314</v>
      </c>
      <c r="I70" s="898">
        <f>(AF70*KFC!$B$16+KFC!$C$16)*KFC!$C$5</f>
        <v>53.959660513732899</v>
      </c>
      <c r="J70" s="898">
        <f>(AG70*KFC!$B$16+KFC!$C$16)*KFC!$C$5</f>
        <v>58.055408424702478</v>
      </c>
      <c r="K70" s="898">
        <f>(AH70*KFC!$B$16+KFC!$C$16)*KFC!$C$5</f>
        <v>62.151156335672049</v>
      </c>
      <c r="L70" s="898">
        <f>(AI70*KFC!$B$16+KFC!$C$16)*KFC!$C$5</f>
        <v>66.246904246641634</v>
      </c>
      <c r="M70" s="898">
        <f>(AJ70*KFC!$B$16+KFC!$C$16)*KFC!$C$5</f>
        <v>70.342652157611212</v>
      </c>
      <c r="N70" s="898">
        <f>(AK70*KFC!$B$16+KFC!$C$16)*KFC!$C$5</f>
        <v>74.438400068580791</v>
      </c>
      <c r="O70" s="898">
        <f>(AL70*KFC!$B$16+KFC!$C$16)*KFC!$C$5</f>
        <v>78.534147979550355</v>
      </c>
      <c r="P70" s="898">
        <f>(AM70*KFC!$B$16+KFC!$C$16)*KFC!$C$5</f>
        <v>82.629895890519947</v>
      </c>
      <c r="Q70" s="898">
        <f>(AN70*KFC!$B$16+KFC!$C$16)*KFC!$C$5</f>
        <v>86.725643801489525</v>
      </c>
      <c r="R70" s="898">
        <f>(AO70*KFC!$B$16+KFC!$C$16)*KFC!$C$5</f>
        <v>90.821391712459103</v>
      </c>
      <c r="S70" s="898">
        <f>(AP70*KFC!$B$16+KFC!$C$16)*KFC!$C$5</f>
        <v>94.917139623428668</v>
      </c>
      <c r="T70" s="898">
        <f>(AQ70*KFC!$B$16+KFC!$C$16)*KFC!$C$5</f>
        <v>99.01288753439826</v>
      </c>
      <c r="U70" s="898">
        <f>(AR70*KFC!$B$16+KFC!$C$16)*KFC!$C$5</f>
        <v>103.10863544536782</v>
      </c>
      <c r="V70" s="898">
        <f>(AS70*KFC!$B$16+KFC!$C$16)*KFC!$C$5</f>
        <v>107.2043833563374</v>
      </c>
      <c r="W70" s="903">
        <f>(AT70*KFC!$B$16+KFC!$C$16)*KFC!$C$5</f>
        <v>111.30013126730702</v>
      </c>
      <c r="Y70" s="1431"/>
      <c r="Z70" s="649">
        <v>1.4</v>
      </c>
      <c r="AA70" s="882">
        <v>33.480920958885008</v>
      </c>
      <c r="AB70" s="882">
        <v>37.576668869854586</v>
      </c>
      <c r="AC70" s="882">
        <v>41.672416780824165</v>
      </c>
      <c r="AD70" s="882">
        <v>45.768164691793743</v>
      </c>
      <c r="AE70" s="882">
        <v>49.863912602763314</v>
      </c>
      <c r="AF70" s="882">
        <v>53.959660513732899</v>
      </c>
      <c r="AG70" s="882">
        <v>58.055408424702478</v>
      </c>
      <c r="AH70" s="882">
        <v>62.151156335672049</v>
      </c>
      <c r="AI70" s="882">
        <v>66.246904246641634</v>
      </c>
      <c r="AJ70" s="882">
        <v>70.342652157611212</v>
      </c>
      <c r="AK70" s="882">
        <v>74.438400068580791</v>
      </c>
      <c r="AL70" s="882">
        <v>78.534147979550355</v>
      </c>
      <c r="AM70" s="882">
        <v>82.629895890519947</v>
      </c>
      <c r="AN70" s="882">
        <v>86.725643801489525</v>
      </c>
      <c r="AO70" s="882">
        <v>90.821391712459103</v>
      </c>
      <c r="AP70" s="882">
        <v>94.917139623428668</v>
      </c>
      <c r="AQ70" s="882">
        <v>99.01288753439826</v>
      </c>
      <c r="AR70" s="882">
        <v>103.10863544536782</v>
      </c>
      <c r="AS70" s="882">
        <v>107.2043833563374</v>
      </c>
      <c r="AT70" s="882">
        <v>111.30013126730702</v>
      </c>
    </row>
    <row r="71" spans="1:46">
      <c r="A71" s="1426"/>
      <c r="B71" s="1427"/>
      <c r="C71" s="887">
        <v>1.5</v>
      </c>
      <c r="D71" s="902">
        <f>(AA71*KFC!$B$16+KFC!$C$16)*KFC!$C$5</f>
        <v>34.105756483451259</v>
      </c>
      <c r="E71" s="898">
        <f>(AB71*KFC!$B$16+KFC!$C$16)*KFC!$C$5</f>
        <v>38.329433756943523</v>
      </c>
      <c r="F71" s="898">
        <f>(AC71*KFC!$B$16+KFC!$C$16)*KFC!$C$5</f>
        <v>42.553111030435794</v>
      </c>
      <c r="G71" s="898">
        <f>(AD71*KFC!$B$16+KFC!$C$16)*KFC!$C$5</f>
        <v>46.776788303928058</v>
      </c>
      <c r="H71" s="898">
        <f>(AE71*KFC!$B$16+KFC!$C$16)*KFC!$C$5</f>
        <v>51.000465577420321</v>
      </c>
      <c r="I71" s="898">
        <f>(AF71*KFC!$B$16+KFC!$C$16)*KFC!$C$5</f>
        <v>55.224142850912592</v>
      </c>
      <c r="J71" s="898">
        <f>(AG71*KFC!$B$16+KFC!$C$16)*KFC!$C$5</f>
        <v>59.447820124404856</v>
      </c>
      <c r="K71" s="898">
        <f>(AH71*KFC!$B$16+KFC!$C$16)*KFC!$C$5</f>
        <v>63.67149739789712</v>
      </c>
      <c r="L71" s="898">
        <f>(AI71*KFC!$B$16+KFC!$C$16)*KFC!$C$5</f>
        <v>67.895174671389384</v>
      </c>
      <c r="M71" s="898">
        <f>(AJ71*KFC!$B$16+KFC!$C$16)*KFC!$C$5</f>
        <v>72.118851944881641</v>
      </c>
      <c r="N71" s="898">
        <f>(AK71*KFC!$B$16+KFC!$C$16)*KFC!$C$5</f>
        <v>76.342529218373912</v>
      </c>
      <c r="O71" s="898">
        <f>(AL71*KFC!$B$16+KFC!$C$16)*KFC!$C$5</f>
        <v>80.566206491866168</v>
      </c>
      <c r="P71" s="898">
        <f>(AM71*KFC!$B$16+KFC!$C$16)*KFC!$C$5</f>
        <v>84.789883765358411</v>
      </c>
      <c r="Q71" s="898">
        <f>(AN71*KFC!$B$16+KFC!$C$16)*KFC!$C$5</f>
        <v>89.013561038850682</v>
      </c>
      <c r="R71" s="898">
        <f>(AO71*KFC!$B$16+KFC!$C$16)*KFC!$C$5</f>
        <v>93.237238312342939</v>
      </c>
      <c r="S71" s="898">
        <f>(AP71*KFC!$B$16+KFC!$C$16)*KFC!$C$5</f>
        <v>97.46091558583521</v>
      </c>
      <c r="T71" s="898">
        <f>(AQ71*KFC!$B$16+KFC!$C$16)*KFC!$C$5</f>
        <v>101.68459285932745</v>
      </c>
      <c r="U71" s="898">
        <f>(AR71*KFC!$B$16+KFC!$C$16)*KFC!$C$5</f>
        <v>105.90827013281971</v>
      </c>
      <c r="V71" s="898">
        <f>(AS71*KFC!$B$16+KFC!$C$16)*KFC!$C$5</f>
        <v>110.13194740631198</v>
      </c>
      <c r="W71" s="903">
        <f>(AT71*KFC!$B$16+KFC!$C$16)*KFC!$C$5</f>
        <v>114.35562467980428</v>
      </c>
      <c r="Y71" s="1431"/>
      <c r="Z71" s="649">
        <v>1.5</v>
      </c>
      <c r="AA71" s="882">
        <v>34.105756483451259</v>
      </c>
      <c r="AB71" s="882">
        <v>38.329433756943523</v>
      </c>
      <c r="AC71" s="882">
        <v>42.553111030435794</v>
      </c>
      <c r="AD71" s="882">
        <v>46.776788303928058</v>
      </c>
      <c r="AE71" s="882">
        <v>51.000465577420321</v>
      </c>
      <c r="AF71" s="882">
        <v>55.224142850912592</v>
      </c>
      <c r="AG71" s="882">
        <v>59.447820124404856</v>
      </c>
      <c r="AH71" s="882">
        <v>63.67149739789712</v>
      </c>
      <c r="AI71" s="882">
        <v>67.895174671389384</v>
      </c>
      <c r="AJ71" s="882">
        <v>72.118851944881641</v>
      </c>
      <c r="AK71" s="882">
        <v>76.342529218373912</v>
      </c>
      <c r="AL71" s="882">
        <v>80.566206491866168</v>
      </c>
      <c r="AM71" s="882">
        <v>84.789883765358411</v>
      </c>
      <c r="AN71" s="882">
        <v>89.013561038850682</v>
      </c>
      <c r="AO71" s="882">
        <v>93.237238312342939</v>
      </c>
      <c r="AP71" s="882">
        <v>97.46091558583521</v>
      </c>
      <c r="AQ71" s="882">
        <v>101.68459285932745</v>
      </c>
      <c r="AR71" s="882">
        <v>105.90827013281971</v>
      </c>
      <c r="AS71" s="882">
        <v>110.13194740631198</v>
      </c>
      <c r="AT71" s="882">
        <v>114.35562467980428</v>
      </c>
    </row>
    <row r="72" spans="1:46">
      <c r="A72" s="1426"/>
      <c r="B72" s="1427"/>
      <c r="C72" s="887">
        <v>1.6</v>
      </c>
      <c r="D72" s="902">
        <f>(AA72*KFC!$B$16+KFC!$C$16)*KFC!$C$5</f>
        <v>34.73059200801751</v>
      </c>
      <c r="E72" s="898">
        <f>(AB72*KFC!$B$16+KFC!$C$16)*KFC!$C$5</f>
        <v>39.082198644032459</v>
      </c>
      <c r="F72" s="898">
        <f>(AC72*KFC!$B$16+KFC!$C$16)*KFC!$C$5</f>
        <v>43.433805280047409</v>
      </c>
      <c r="G72" s="898">
        <f>(AD72*KFC!$B$16+KFC!$C$16)*KFC!$C$5</f>
        <v>47.785411916062351</v>
      </c>
      <c r="H72" s="898">
        <f>(AE72*KFC!$B$16+KFC!$C$16)*KFC!$C$5</f>
        <v>52.137018552077301</v>
      </c>
      <c r="I72" s="898">
        <f>(AF72*KFC!$B$16+KFC!$C$16)*KFC!$C$5</f>
        <v>56.488625188092243</v>
      </c>
      <c r="J72" s="898">
        <f>(AG72*KFC!$B$16+KFC!$C$16)*KFC!$C$5</f>
        <v>60.8402318241072</v>
      </c>
      <c r="K72" s="898">
        <f>(AH72*KFC!$B$16+KFC!$C$16)*KFC!$C$5</f>
        <v>65.191838460122142</v>
      </c>
      <c r="L72" s="898">
        <f>(AI72*KFC!$B$16+KFC!$C$16)*KFC!$C$5</f>
        <v>69.543445096137077</v>
      </c>
      <c r="M72" s="898">
        <f>(AJ72*KFC!$B$16+KFC!$C$16)*KFC!$C$5</f>
        <v>73.895051732152041</v>
      </c>
      <c r="N72" s="898">
        <f>(AK72*KFC!$B$16+KFC!$C$16)*KFC!$C$5</f>
        <v>78.24665836816699</v>
      </c>
      <c r="O72" s="898">
        <f>(AL72*KFC!$B$16+KFC!$C$16)*KFC!$C$5</f>
        <v>82.598265004181954</v>
      </c>
      <c r="P72" s="898">
        <f>(AM72*KFC!$B$16+KFC!$C$16)*KFC!$C$5</f>
        <v>86.949871640196918</v>
      </c>
      <c r="Q72" s="898">
        <f>(AN72*KFC!$B$16+KFC!$C$16)*KFC!$C$5</f>
        <v>91.301478276211853</v>
      </c>
      <c r="R72" s="898">
        <f>(AO72*KFC!$B$16+KFC!$C$16)*KFC!$C$5</f>
        <v>95.653084912226817</v>
      </c>
      <c r="S72" s="898">
        <f>(AP72*KFC!$B$16+KFC!$C$16)*KFC!$C$5</f>
        <v>100.00469154824175</v>
      </c>
      <c r="T72" s="898">
        <f>(AQ72*KFC!$B$16+KFC!$C$16)*KFC!$C$5</f>
        <v>104.35629818425672</v>
      </c>
      <c r="U72" s="898">
        <f>(AR72*KFC!$B$16+KFC!$C$16)*KFC!$C$5</f>
        <v>108.70790482027168</v>
      </c>
      <c r="V72" s="898">
        <f>(AS72*KFC!$B$16+KFC!$C$16)*KFC!$C$5</f>
        <v>113.05951145628663</v>
      </c>
      <c r="W72" s="903">
        <f>(AT72*KFC!$B$16+KFC!$C$16)*KFC!$C$5</f>
        <v>117.41111809230154</v>
      </c>
      <c r="Y72" s="1431"/>
      <c r="Z72" s="649">
        <v>1.6</v>
      </c>
      <c r="AA72" s="882">
        <v>34.73059200801751</v>
      </c>
      <c r="AB72" s="882">
        <v>39.082198644032459</v>
      </c>
      <c r="AC72" s="882">
        <v>43.433805280047409</v>
      </c>
      <c r="AD72" s="882">
        <v>47.785411916062351</v>
      </c>
      <c r="AE72" s="882">
        <v>52.137018552077301</v>
      </c>
      <c r="AF72" s="882">
        <v>56.488625188092243</v>
      </c>
      <c r="AG72" s="882">
        <v>60.8402318241072</v>
      </c>
      <c r="AH72" s="882">
        <v>65.191838460122142</v>
      </c>
      <c r="AI72" s="882">
        <v>69.543445096137077</v>
      </c>
      <c r="AJ72" s="882">
        <v>73.895051732152041</v>
      </c>
      <c r="AK72" s="882">
        <v>78.24665836816699</v>
      </c>
      <c r="AL72" s="882">
        <v>82.598265004181954</v>
      </c>
      <c r="AM72" s="882">
        <v>86.949871640196918</v>
      </c>
      <c r="AN72" s="882">
        <v>91.301478276211853</v>
      </c>
      <c r="AO72" s="882">
        <v>95.653084912226817</v>
      </c>
      <c r="AP72" s="882">
        <v>100.00469154824175</v>
      </c>
      <c r="AQ72" s="882">
        <v>104.35629818425672</v>
      </c>
      <c r="AR72" s="882">
        <v>108.70790482027168</v>
      </c>
      <c r="AS72" s="882">
        <v>113.05951145628663</v>
      </c>
      <c r="AT72" s="882">
        <v>117.41111809230154</v>
      </c>
    </row>
    <row r="73" spans="1:46">
      <c r="A73" s="1426"/>
      <c r="B73" s="1427"/>
      <c r="C73" s="887">
        <v>1.7</v>
      </c>
      <c r="D73" s="902">
        <f>(AA73*KFC!$B$16+KFC!$C$16)*KFC!$C$5</f>
        <v>35.355427532583761</v>
      </c>
      <c r="E73" s="898">
        <f>(AB73*KFC!$B$16+KFC!$C$16)*KFC!$C$5</f>
        <v>39.834963531121403</v>
      </c>
      <c r="F73" s="898">
        <f>(AC73*KFC!$B$16+KFC!$C$16)*KFC!$C$5</f>
        <v>44.314499529659031</v>
      </c>
      <c r="G73" s="898">
        <f>(AD73*KFC!$B$16+KFC!$C$16)*KFC!$C$5</f>
        <v>48.794035528196673</v>
      </c>
      <c r="H73" s="898">
        <f>(AE73*KFC!$B$16+KFC!$C$16)*KFC!$C$5</f>
        <v>53.273571526734301</v>
      </c>
      <c r="I73" s="898">
        <f>(AF73*KFC!$B$16+KFC!$C$16)*KFC!$C$5</f>
        <v>57.753107525271936</v>
      </c>
      <c r="J73" s="898">
        <f>(AG73*KFC!$B$16+KFC!$C$16)*KFC!$C$5</f>
        <v>62.232643523809578</v>
      </c>
      <c r="K73" s="898">
        <f>(AH73*KFC!$B$16+KFC!$C$16)*KFC!$C$5</f>
        <v>66.712179522347213</v>
      </c>
      <c r="L73" s="898">
        <f>(AI73*KFC!$B$16+KFC!$C$16)*KFC!$C$5</f>
        <v>71.191715520884841</v>
      </c>
      <c r="M73" s="898">
        <f>(AJ73*KFC!$B$16+KFC!$C$16)*KFC!$C$5</f>
        <v>75.671251519422484</v>
      </c>
      <c r="N73" s="898">
        <f>(AK73*KFC!$B$16+KFC!$C$16)*KFC!$C$5</f>
        <v>80.150787517960126</v>
      </c>
      <c r="O73" s="898">
        <f>(AL73*KFC!$B$16+KFC!$C$16)*KFC!$C$5</f>
        <v>84.630323516497739</v>
      </c>
      <c r="P73" s="898">
        <f>(AM73*KFC!$B$16+KFC!$C$16)*KFC!$C$5</f>
        <v>89.109859515035382</v>
      </c>
      <c r="Q73" s="898">
        <f>(AN73*KFC!$B$16+KFC!$C$16)*KFC!$C$5</f>
        <v>93.589395513573024</v>
      </c>
      <c r="R73" s="898">
        <f>(AO73*KFC!$B$16+KFC!$C$16)*KFC!$C$5</f>
        <v>98.068931512110652</v>
      </c>
      <c r="S73" s="898">
        <f>(AP73*KFC!$B$16+KFC!$C$16)*KFC!$C$5</f>
        <v>102.54846751064829</v>
      </c>
      <c r="T73" s="898">
        <f>(AQ73*KFC!$B$16+KFC!$C$16)*KFC!$C$5</f>
        <v>107.02800350918594</v>
      </c>
      <c r="U73" s="898">
        <f>(AR73*KFC!$B$16+KFC!$C$16)*KFC!$C$5</f>
        <v>111.50753950772355</v>
      </c>
      <c r="V73" s="898">
        <f>(AS73*KFC!$B$16+KFC!$C$16)*KFC!$C$5</f>
        <v>115.98707550626122</v>
      </c>
      <c r="W73" s="903">
        <f>(AT73*KFC!$B$16+KFC!$C$16)*KFC!$C$5</f>
        <v>120.46661150479878</v>
      </c>
      <c r="Y73" s="1431"/>
      <c r="Z73" s="649">
        <v>1.7</v>
      </c>
      <c r="AA73" s="882">
        <v>35.355427532583761</v>
      </c>
      <c r="AB73" s="882">
        <v>39.834963531121403</v>
      </c>
      <c r="AC73" s="882">
        <v>44.314499529659031</v>
      </c>
      <c r="AD73" s="882">
        <v>48.794035528196673</v>
      </c>
      <c r="AE73" s="882">
        <v>53.273571526734301</v>
      </c>
      <c r="AF73" s="882">
        <v>57.753107525271936</v>
      </c>
      <c r="AG73" s="882">
        <v>62.232643523809578</v>
      </c>
      <c r="AH73" s="882">
        <v>66.712179522347213</v>
      </c>
      <c r="AI73" s="882">
        <v>71.191715520884841</v>
      </c>
      <c r="AJ73" s="882">
        <v>75.671251519422484</v>
      </c>
      <c r="AK73" s="882">
        <v>80.150787517960126</v>
      </c>
      <c r="AL73" s="882">
        <v>84.630323516497739</v>
      </c>
      <c r="AM73" s="882">
        <v>89.109859515035382</v>
      </c>
      <c r="AN73" s="882">
        <v>93.589395513573024</v>
      </c>
      <c r="AO73" s="882">
        <v>98.068931512110652</v>
      </c>
      <c r="AP73" s="882">
        <v>102.54846751064829</v>
      </c>
      <c r="AQ73" s="882">
        <v>107.02800350918594</v>
      </c>
      <c r="AR73" s="882">
        <v>111.50753950772355</v>
      </c>
      <c r="AS73" s="882">
        <v>115.98707550626122</v>
      </c>
      <c r="AT73" s="882">
        <v>120.46661150479878</v>
      </c>
    </row>
    <row r="74" spans="1:46">
      <c r="A74" s="1426"/>
      <c r="B74" s="1427"/>
      <c r="C74" s="887">
        <v>1.8</v>
      </c>
      <c r="D74" s="902">
        <f>(AA74*KFC!$B$16+KFC!$C$16)*KFC!$C$5</f>
        <v>35.980263057150012</v>
      </c>
      <c r="E74" s="898">
        <f>(AB74*KFC!$B$16+KFC!$C$16)*KFC!$C$5</f>
        <v>40.587728418210332</v>
      </c>
      <c r="F74" s="898">
        <f>(AC74*KFC!$B$16+KFC!$C$16)*KFC!$C$5</f>
        <v>45.195193779270646</v>
      </c>
      <c r="G74" s="898">
        <f>(AD74*KFC!$B$16+KFC!$C$16)*KFC!$C$5</f>
        <v>49.802659140330967</v>
      </c>
      <c r="H74" s="898">
        <f>(AE74*KFC!$B$16+KFC!$C$16)*KFC!$C$5</f>
        <v>54.41012450139128</v>
      </c>
      <c r="I74" s="898">
        <f>(AF74*KFC!$B$16+KFC!$C$16)*KFC!$C$5</f>
        <v>59.017589862451601</v>
      </c>
      <c r="J74" s="898">
        <f>(AG74*KFC!$B$16+KFC!$C$16)*KFC!$C$5</f>
        <v>63.625055223511922</v>
      </c>
      <c r="K74" s="898">
        <f>(AH74*KFC!$B$16+KFC!$C$16)*KFC!$C$5</f>
        <v>68.232520584572228</v>
      </c>
      <c r="L74" s="898">
        <f>(AI74*KFC!$B$16+KFC!$C$16)*KFC!$C$5</f>
        <v>72.839985945632549</v>
      </c>
      <c r="M74" s="898">
        <f>(AJ74*KFC!$B$16+KFC!$C$16)*KFC!$C$5</f>
        <v>77.447451306692869</v>
      </c>
      <c r="N74" s="898">
        <f>(AK74*KFC!$B$16+KFC!$C$16)*KFC!$C$5</f>
        <v>82.05491666775319</v>
      </c>
      <c r="O74" s="898">
        <f>(AL74*KFC!$B$16+KFC!$C$16)*KFC!$C$5</f>
        <v>86.662382028813511</v>
      </c>
      <c r="P74" s="898">
        <f>(AM74*KFC!$B$16+KFC!$C$16)*KFC!$C$5</f>
        <v>91.269847389873803</v>
      </c>
      <c r="Q74" s="898">
        <f>(AN74*KFC!$B$16+KFC!$C$16)*KFC!$C$5</f>
        <v>95.877312750934152</v>
      </c>
      <c r="R74" s="898">
        <f>(AO74*KFC!$B$16+KFC!$C$16)*KFC!$C$5</f>
        <v>100.48477811199444</v>
      </c>
      <c r="S74" s="898">
        <f>(AP74*KFC!$B$16+KFC!$C$16)*KFC!$C$5</f>
        <v>105.09224347305476</v>
      </c>
      <c r="T74" s="898">
        <f>(AQ74*KFC!$B$16+KFC!$C$16)*KFC!$C$5</f>
        <v>109.69970883411509</v>
      </c>
      <c r="U74" s="898">
        <f>(AR74*KFC!$B$16+KFC!$C$16)*KFC!$C$5</f>
        <v>114.30717419517539</v>
      </c>
      <c r="V74" s="898">
        <f>(AS74*KFC!$B$16+KFC!$C$16)*KFC!$C$5</f>
        <v>118.91463955623573</v>
      </c>
      <c r="W74" s="903">
        <f>(AT74*KFC!$B$16+KFC!$C$16)*KFC!$C$5</f>
        <v>123.52210491729603</v>
      </c>
      <c r="Y74" s="1431"/>
      <c r="Z74" s="649">
        <v>1.8</v>
      </c>
      <c r="AA74" s="882">
        <v>35.980263057150012</v>
      </c>
      <c r="AB74" s="882">
        <v>40.587728418210332</v>
      </c>
      <c r="AC74" s="882">
        <v>45.195193779270646</v>
      </c>
      <c r="AD74" s="882">
        <v>49.802659140330967</v>
      </c>
      <c r="AE74" s="882">
        <v>54.41012450139128</v>
      </c>
      <c r="AF74" s="882">
        <v>59.017589862451601</v>
      </c>
      <c r="AG74" s="882">
        <v>63.625055223511922</v>
      </c>
      <c r="AH74" s="882">
        <v>68.232520584572228</v>
      </c>
      <c r="AI74" s="882">
        <v>72.839985945632549</v>
      </c>
      <c r="AJ74" s="882">
        <v>77.447451306692869</v>
      </c>
      <c r="AK74" s="882">
        <v>82.05491666775319</v>
      </c>
      <c r="AL74" s="882">
        <v>86.662382028813511</v>
      </c>
      <c r="AM74" s="882">
        <v>91.269847389873803</v>
      </c>
      <c r="AN74" s="882">
        <v>95.877312750934152</v>
      </c>
      <c r="AO74" s="882">
        <v>100.48477811199444</v>
      </c>
      <c r="AP74" s="882">
        <v>105.09224347305476</v>
      </c>
      <c r="AQ74" s="882">
        <v>109.69970883411509</v>
      </c>
      <c r="AR74" s="882">
        <v>114.30717419517539</v>
      </c>
      <c r="AS74" s="882">
        <v>118.91463955623573</v>
      </c>
      <c r="AT74" s="882">
        <v>123.52210491729603</v>
      </c>
    </row>
    <row r="75" spans="1:46">
      <c r="A75" s="1426"/>
      <c r="B75" s="1427"/>
      <c r="C75" s="887">
        <v>1.9</v>
      </c>
      <c r="D75" s="902">
        <f>(AA75*KFC!$B$16+KFC!$C$16)*KFC!$C$5</f>
        <v>36.605098581716263</v>
      </c>
      <c r="E75" s="898">
        <f>(AB75*KFC!$B$16+KFC!$C$16)*KFC!$C$5</f>
        <v>41.340493305299262</v>
      </c>
      <c r="F75" s="898">
        <f>(AC75*KFC!$B$16+KFC!$C$16)*KFC!$C$5</f>
        <v>46.075888028882261</v>
      </c>
      <c r="G75" s="898">
        <f>(AD75*KFC!$B$16+KFC!$C$16)*KFC!$C$5</f>
        <v>50.81128275246526</v>
      </c>
      <c r="H75" s="898">
        <f>(AE75*KFC!$B$16+KFC!$C$16)*KFC!$C$5</f>
        <v>55.546677476048259</v>
      </c>
      <c r="I75" s="898">
        <f>(AF75*KFC!$B$16+KFC!$C$16)*KFC!$C$5</f>
        <v>60.282072199631251</v>
      </c>
      <c r="J75" s="898">
        <f>(AG75*KFC!$B$16+KFC!$C$16)*KFC!$C$5</f>
        <v>65.017466923214258</v>
      </c>
      <c r="K75" s="898">
        <f>(AH75*KFC!$B$16+KFC!$C$16)*KFC!$C$5</f>
        <v>69.752861646797257</v>
      </c>
      <c r="L75" s="898">
        <f>(AI75*KFC!$B$16+KFC!$C$16)*KFC!$C$5</f>
        <v>74.488256370380256</v>
      </c>
      <c r="M75" s="898">
        <f>(AJ75*KFC!$B$16+KFC!$C$16)*KFC!$C$5</f>
        <v>79.223651093963241</v>
      </c>
      <c r="N75" s="898">
        <f>(AK75*KFC!$B$16+KFC!$C$16)*KFC!$C$5</f>
        <v>83.95904581754624</v>
      </c>
      <c r="O75" s="898">
        <f>(AL75*KFC!$B$16+KFC!$C$16)*KFC!$C$5</f>
        <v>88.694440541129239</v>
      </c>
      <c r="P75" s="898">
        <f>(AM75*KFC!$B$16+KFC!$C$16)*KFC!$C$5</f>
        <v>93.429835264712239</v>
      </c>
      <c r="Q75" s="898">
        <f>(AN75*KFC!$B$16+KFC!$C$16)*KFC!$C$5</f>
        <v>98.165229988295252</v>
      </c>
      <c r="R75" s="898">
        <f>(AO75*KFC!$B$16+KFC!$C$16)*KFC!$C$5</f>
        <v>102.90062471187825</v>
      </c>
      <c r="S75" s="898">
        <f>(AP75*KFC!$B$16+KFC!$C$16)*KFC!$C$5</f>
        <v>107.63601943546125</v>
      </c>
      <c r="T75" s="898">
        <f>(AQ75*KFC!$B$16+KFC!$C$16)*KFC!$C$5</f>
        <v>112.37141415904425</v>
      </c>
      <c r="U75" s="898">
        <f>(AR75*KFC!$B$16+KFC!$C$16)*KFC!$C$5</f>
        <v>117.10680888262723</v>
      </c>
      <c r="V75" s="898">
        <f>(AS75*KFC!$B$16+KFC!$C$16)*KFC!$C$5</f>
        <v>121.84220360621023</v>
      </c>
      <c r="W75" s="903">
        <f>(AT75*KFC!$B$16+KFC!$C$16)*KFC!$C$5</f>
        <v>126.57759832979329</v>
      </c>
      <c r="Y75" s="1431"/>
      <c r="Z75" s="649">
        <v>1.9</v>
      </c>
      <c r="AA75" s="882">
        <v>36.605098581716263</v>
      </c>
      <c r="AB75" s="882">
        <v>41.340493305299262</v>
      </c>
      <c r="AC75" s="882">
        <v>46.075888028882261</v>
      </c>
      <c r="AD75" s="882">
        <v>50.81128275246526</v>
      </c>
      <c r="AE75" s="882">
        <v>55.546677476048259</v>
      </c>
      <c r="AF75" s="882">
        <v>60.282072199631251</v>
      </c>
      <c r="AG75" s="882">
        <v>65.017466923214258</v>
      </c>
      <c r="AH75" s="882">
        <v>69.752861646797257</v>
      </c>
      <c r="AI75" s="882">
        <v>74.488256370380256</v>
      </c>
      <c r="AJ75" s="882">
        <v>79.223651093963241</v>
      </c>
      <c r="AK75" s="882">
        <v>83.95904581754624</v>
      </c>
      <c r="AL75" s="882">
        <v>88.694440541129239</v>
      </c>
      <c r="AM75" s="882">
        <v>93.429835264712239</v>
      </c>
      <c r="AN75" s="882">
        <v>98.165229988295252</v>
      </c>
      <c r="AO75" s="882">
        <v>102.90062471187825</v>
      </c>
      <c r="AP75" s="882">
        <v>107.63601943546125</v>
      </c>
      <c r="AQ75" s="882">
        <v>112.37141415904425</v>
      </c>
      <c r="AR75" s="882">
        <v>117.10680888262723</v>
      </c>
      <c r="AS75" s="882">
        <v>121.84220360621023</v>
      </c>
      <c r="AT75" s="882">
        <v>126.57759832979329</v>
      </c>
    </row>
    <row r="76" spans="1:46">
      <c r="A76" s="1426"/>
      <c r="B76" s="1427"/>
      <c r="C76" s="887">
        <v>2</v>
      </c>
      <c r="D76" s="902">
        <f>(AA76*KFC!$B$16+KFC!$C$16)*KFC!$C$5</f>
        <v>37.229934106282514</v>
      </c>
      <c r="E76" s="898">
        <f>(AB76*KFC!$B$16+KFC!$C$16)*KFC!$C$5</f>
        <v>42.093258192388205</v>
      </c>
      <c r="F76" s="898">
        <f>(AC76*KFC!$B$16+KFC!$C$16)*KFC!$C$5</f>
        <v>46.956582278493883</v>
      </c>
      <c r="G76" s="898">
        <f>(AD76*KFC!$B$16+KFC!$C$16)*KFC!$C$5</f>
        <v>51.819906364599575</v>
      </c>
      <c r="H76" s="898">
        <f>(AE76*KFC!$B$16+KFC!$C$16)*KFC!$C$5</f>
        <v>56.683230450705267</v>
      </c>
      <c r="I76" s="898">
        <f>(AF76*KFC!$B$16+KFC!$C$16)*KFC!$C$5</f>
        <v>61.546554536810945</v>
      </c>
      <c r="J76" s="898">
        <f>(AG76*KFC!$B$16+KFC!$C$16)*KFC!$C$5</f>
        <v>66.409878622916636</v>
      </c>
      <c r="K76" s="898">
        <f>(AH76*KFC!$B$16+KFC!$C$16)*KFC!$C$5</f>
        <v>71.273202709022314</v>
      </c>
      <c r="L76" s="898">
        <f>(AI76*KFC!$B$16+KFC!$C$16)*KFC!$C$5</f>
        <v>76.136526795128006</v>
      </c>
      <c r="M76" s="898">
        <f>(AJ76*KFC!$B$16+KFC!$C$16)*KFC!$C$5</f>
        <v>80.999850881233684</v>
      </c>
      <c r="N76" s="898">
        <f>(AK76*KFC!$B$16+KFC!$C$16)*KFC!$C$5</f>
        <v>85.863174967339361</v>
      </c>
      <c r="O76" s="898">
        <f>(AL76*KFC!$B$16+KFC!$C$16)*KFC!$C$5</f>
        <v>90.726499053445025</v>
      </c>
      <c r="P76" s="898">
        <f>(AM76*KFC!$B$16+KFC!$C$16)*KFC!$C$5</f>
        <v>95.589823139550717</v>
      </c>
      <c r="Q76" s="898">
        <f>(AN76*KFC!$B$16+KFC!$C$16)*KFC!$C$5</f>
        <v>100.45314722565638</v>
      </c>
      <c r="R76" s="898">
        <f>(AO76*KFC!$B$16+KFC!$C$16)*KFC!$C$5</f>
        <v>105.31647131176209</v>
      </c>
      <c r="S76" s="898">
        <f>(AP76*KFC!$B$16+KFC!$C$16)*KFC!$C$5</f>
        <v>110.17979539786776</v>
      </c>
      <c r="T76" s="898">
        <f>(AQ76*KFC!$B$16+KFC!$C$16)*KFC!$C$5</f>
        <v>115.04311948397344</v>
      </c>
      <c r="U76" s="898">
        <f>(AR76*KFC!$B$16+KFC!$C$16)*KFC!$C$5</f>
        <v>119.90644357007912</v>
      </c>
      <c r="V76" s="898">
        <f>(AS76*KFC!$B$16+KFC!$C$16)*KFC!$C$5</f>
        <v>124.7697676561848</v>
      </c>
      <c r="W76" s="903">
        <f>(AT76*KFC!$B$16+KFC!$C$16)*KFC!$C$5</f>
        <v>129.63309174229053</v>
      </c>
      <c r="Y76" s="1431"/>
      <c r="Z76" s="649">
        <v>2</v>
      </c>
      <c r="AA76" s="882">
        <v>37.229934106282514</v>
      </c>
      <c r="AB76" s="882">
        <v>42.093258192388205</v>
      </c>
      <c r="AC76" s="882">
        <v>46.956582278493883</v>
      </c>
      <c r="AD76" s="882">
        <v>51.819906364599575</v>
      </c>
      <c r="AE76" s="882">
        <v>56.683230450705267</v>
      </c>
      <c r="AF76" s="882">
        <v>61.546554536810945</v>
      </c>
      <c r="AG76" s="882">
        <v>66.409878622916636</v>
      </c>
      <c r="AH76" s="882">
        <v>71.273202709022314</v>
      </c>
      <c r="AI76" s="882">
        <v>76.136526795128006</v>
      </c>
      <c r="AJ76" s="882">
        <v>80.999850881233684</v>
      </c>
      <c r="AK76" s="882">
        <v>85.863174967339361</v>
      </c>
      <c r="AL76" s="882">
        <v>90.726499053445025</v>
      </c>
      <c r="AM76" s="882">
        <v>95.589823139550717</v>
      </c>
      <c r="AN76" s="882">
        <v>100.45314722565638</v>
      </c>
      <c r="AO76" s="882">
        <v>105.31647131176209</v>
      </c>
      <c r="AP76" s="882">
        <v>110.17979539786776</v>
      </c>
      <c r="AQ76" s="882">
        <v>115.04311948397344</v>
      </c>
      <c r="AR76" s="882">
        <v>119.90644357007912</v>
      </c>
      <c r="AS76" s="882">
        <v>124.7697676561848</v>
      </c>
      <c r="AT76" s="882">
        <v>129.63309174229053</v>
      </c>
    </row>
    <row r="77" spans="1:46">
      <c r="A77" s="1426"/>
      <c r="B77" s="1427"/>
      <c r="C77" s="887">
        <v>2.1</v>
      </c>
      <c r="D77" s="902">
        <f>(AA77*KFC!$B$16+KFC!$C$16)*KFC!$C$5</f>
        <v>37.854769630848764</v>
      </c>
      <c r="E77" s="898">
        <f>(AB77*KFC!$B$16+KFC!$C$16)*KFC!$C$5</f>
        <v>42.846023079477135</v>
      </c>
      <c r="F77" s="898">
        <f>(AC77*KFC!$B$16+KFC!$C$16)*KFC!$C$5</f>
        <v>47.837276528105498</v>
      </c>
      <c r="G77" s="898">
        <f>(AD77*KFC!$B$16+KFC!$C$16)*KFC!$C$5</f>
        <v>52.828529976733869</v>
      </c>
      <c r="H77" s="898">
        <f>(AE77*KFC!$B$16+KFC!$C$16)*KFC!$C$5</f>
        <v>57.819783425362239</v>
      </c>
      <c r="I77" s="898">
        <f>(AF77*KFC!$B$16+KFC!$C$16)*KFC!$C$5</f>
        <v>62.811036873990609</v>
      </c>
      <c r="J77" s="898">
        <f>(AG77*KFC!$B$16+KFC!$C$16)*KFC!$C$5</f>
        <v>67.802290322618973</v>
      </c>
      <c r="K77" s="898">
        <f>(AH77*KFC!$B$16+KFC!$C$16)*KFC!$C$5</f>
        <v>72.793543771247343</v>
      </c>
      <c r="L77" s="898">
        <f>(AI77*KFC!$B$16+KFC!$C$16)*KFC!$C$5</f>
        <v>77.784797219875728</v>
      </c>
      <c r="M77" s="898">
        <f>(AJ77*KFC!$B$16+KFC!$C$16)*KFC!$C$5</f>
        <v>82.776050668504098</v>
      </c>
      <c r="N77" s="898">
        <f>(AK77*KFC!$B$16+KFC!$C$16)*KFC!$C$5</f>
        <v>87.767304117132483</v>
      </c>
      <c r="O77" s="898">
        <f>(AL77*KFC!$B$16+KFC!$C$16)*KFC!$C$5</f>
        <v>92.758557565760853</v>
      </c>
      <c r="P77" s="898">
        <f>(AM77*KFC!$B$16+KFC!$C$16)*KFC!$C$5</f>
        <v>97.749811014389209</v>
      </c>
      <c r="Q77" s="898">
        <f>(AN77*KFC!$B$16+KFC!$C$16)*KFC!$C$5</f>
        <v>102.74106446301761</v>
      </c>
      <c r="R77" s="898">
        <f>(AO77*KFC!$B$16+KFC!$C$16)*KFC!$C$5</f>
        <v>107.73231791164598</v>
      </c>
      <c r="S77" s="898">
        <f>(AP77*KFC!$B$16+KFC!$C$16)*KFC!$C$5</f>
        <v>112.72357136027435</v>
      </c>
      <c r="T77" s="898">
        <f>(AQ77*KFC!$B$16+KFC!$C$16)*KFC!$C$5</f>
        <v>117.71482480890273</v>
      </c>
      <c r="U77" s="898">
        <f>(AR77*KFC!$B$16+KFC!$C$16)*KFC!$C$5</f>
        <v>122.70607825753109</v>
      </c>
      <c r="V77" s="898">
        <f>(AS77*KFC!$B$16+KFC!$C$16)*KFC!$C$5</f>
        <v>127.69733170615946</v>
      </c>
      <c r="W77" s="903">
        <f>(AT77*KFC!$B$16+KFC!$C$16)*KFC!$C$5</f>
        <v>132.6885851547878</v>
      </c>
      <c r="Y77" s="1431"/>
      <c r="Z77" s="649">
        <v>2.1</v>
      </c>
      <c r="AA77" s="882">
        <v>37.854769630848764</v>
      </c>
      <c r="AB77" s="882">
        <v>42.846023079477135</v>
      </c>
      <c r="AC77" s="882">
        <v>47.837276528105498</v>
      </c>
      <c r="AD77" s="882">
        <v>52.828529976733869</v>
      </c>
      <c r="AE77" s="882">
        <v>57.819783425362239</v>
      </c>
      <c r="AF77" s="882">
        <v>62.811036873990609</v>
      </c>
      <c r="AG77" s="882">
        <v>67.802290322618973</v>
      </c>
      <c r="AH77" s="882">
        <v>72.793543771247343</v>
      </c>
      <c r="AI77" s="882">
        <v>77.784797219875728</v>
      </c>
      <c r="AJ77" s="882">
        <v>82.776050668504098</v>
      </c>
      <c r="AK77" s="882">
        <v>87.767304117132483</v>
      </c>
      <c r="AL77" s="882">
        <v>92.758557565760853</v>
      </c>
      <c r="AM77" s="882">
        <v>97.749811014389209</v>
      </c>
      <c r="AN77" s="882">
        <v>102.74106446301761</v>
      </c>
      <c r="AO77" s="882">
        <v>107.73231791164598</v>
      </c>
      <c r="AP77" s="882">
        <v>112.72357136027435</v>
      </c>
      <c r="AQ77" s="882">
        <v>117.71482480890273</v>
      </c>
      <c r="AR77" s="882">
        <v>122.70607825753109</v>
      </c>
      <c r="AS77" s="882">
        <v>127.69733170615946</v>
      </c>
      <c r="AT77" s="882">
        <v>132.6885851547878</v>
      </c>
    </row>
    <row r="78" spans="1:46" ht="15" thickBot="1">
      <c r="A78" s="1428"/>
      <c r="B78" s="1429"/>
      <c r="C78" s="888">
        <v>2.2000000000000002</v>
      </c>
      <c r="D78" s="904">
        <f>(AA78*KFC!$B$16+KFC!$C$16)*KFC!$C$5</f>
        <v>38.479605155415001</v>
      </c>
      <c r="E78" s="905">
        <f>(AB78*KFC!$B$16+KFC!$C$16)*KFC!$C$5</f>
        <v>43.59878796656605</v>
      </c>
      <c r="F78" s="905">
        <f>(AC78*KFC!$B$16+KFC!$C$16)*KFC!$C$5</f>
        <v>48.717970777717106</v>
      </c>
      <c r="G78" s="905">
        <f>(AD78*KFC!$B$16+KFC!$C$16)*KFC!$C$5</f>
        <v>53.837153588868155</v>
      </c>
      <c r="H78" s="905">
        <f>(AE78*KFC!$B$16+KFC!$C$16)*KFC!$C$5</f>
        <v>58.956336400019211</v>
      </c>
      <c r="I78" s="905">
        <f>(AF78*KFC!$B$16+KFC!$C$16)*KFC!$C$5</f>
        <v>64.075519211170274</v>
      </c>
      <c r="J78" s="905">
        <f>(AG78*KFC!$B$16+KFC!$C$16)*KFC!$C$5</f>
        <v>69.194702022321323</v>
      </c>
      <c r="K78" s="905">
        <f>(AH78*KFC!$B$16+KFC!$C$16)*KFC!$C$5</f>
        <v>74.313884833472386</v>
      </c>
      <c r="L78" s="905">
        <f>(AI78*KFC!$B$16+KFC!$C$16)*KFC!$C$5</f>
        <v>79.433067644623449</v>
      </c>
      <c r="M78" s="905">
        <f>(AJ78*KFC!$B$16+KFC!$C$16)*KFC!$C$5</f>
        <v>84.552250455774498</v>
      </c>
      <c r="N78" s="905">
        <f>(AK78*KFC!$B$16+KFC!$C$16)*KFC!$C$5</f>
        <v>89.671433266925561</v>
      </c>
      <c r="O78" s="905">
        <f>(AL78*KFC!$B$16+KFC!$C$16)*KFC!$C$5</f>
        <v>94.79061607807661</v>
      </c>
      <c r="P78" s="905">
        <f>(AM78*KFC!$B$16+KFC!$C$16)*KFC!$C$5</f>
        <v>99.909798889227673</v>
      </c>
      <c r="Q78" s="905">
        <f>(AN78*KFC!$B$16+KFC!$C$16)*KFC!$C$5</f>
        <v>105.02898170037874</v>
      </c>
      <c r="R78" s="905">
        <f>(AO78*KFC!$B$16+KFC!$C$16)*KFC!$C$5</f>
        <v>110.14816451152977</v>
      </c>
      <c r="S78" s="905">
        <f>(AP78*KFC!$B$16+KFC!$C$16)*KFC!$C$5</f>
        <v>115.26734732268083</v>
      </c>
      <c r="T78" s="905">
        <f>(AQ78*KFC!$B$16+KFC!$C$16)*KFC!$C$5</f>
        <v>120.38653013383188</v>
      </c>
      <c r="U78" s="905">
        <f>(AR78*KFC!$B$16+KFC!$C$16)*KFC!$C$5</f>
        <v>125.50571294498295</v>
      </c>
      <c r="V78" s="905">
        <f>(AS78*KFC!$B$16+KFC!$C$16)*KFC!$C$5</f>
        <v>130.62489575613401</v>
      </c>
      <c r="W78" s="906">
        <f>(AT78*KFC!$B$16+KFC!$C$16)*KFC!$C$5</f>
        <v>135.74407856728502</v>
      </c>
      <c r="Y78" s="1432"/>
      <c r="Z78" s="649">
        <v>2.2000000000000002</v>
      </c>
      <c r="AA78" s="882">
        <v>38.479605155415001</v>
      </c>
      <c r="AB78" s="882">
        <v>43.59878796656605</v>
      </c>
      <c r="AC78" s="882">
        <v>48.717970777717106</v>
      </c>
      <c r="AD78" s="882">
        <v>53.837153588868155</v>
      </c>
      <c r="AE78" s="882">
        <v>58.956336400019211</v>
      </c>
      <c r="AF78" s="882">
        <v>64.075519211170274</v>
      </c>
      <c r="AG78" s="882">
        <v>69.194702022321323</v>
      </c>
      <c r="AH78" s="882">
        <v>74.313884833472386</v>
      </c>
      <c r="AI78" s="882">
        <v>79.433067644623449</v>
      </c>
      <c r="AJ78" s="882">
        <v>84.552250455774498</v>
      </c>
      <c r="AK78" s="882">
        <v>89.671433266925561</v>
      </c>
      <c r="AL78" s="882">
        <v>94.79061607807661</v>
      </c>
      <c r="AM78" s="882">
        <v>99.909798889227673</v>
      </c>
      <c r="AN78" s="882">
        <v>105.02898170037874</v>
      </c>
      <c r="AO78" s="882">
        <v>110.14816451152977</v>
      </c>
      <c r="AP78" s="882">
        <v>115.26734732268083</v>
      </c>
      <c r="AQ78" s="882">
        <v>120.38653013383188</v>
      </c>
      <c r="AR78" s="882">
        <v>125.50571294498295</v>
      </c>
      <c r="AS78" s="882">
        <v>130.62489575613401</v>
      </c>
      <c r="AT78" s="882">
        <v>135.74407856728502</v>
      </c>
    </row>
    <row r="79" spans="1:46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</row>
    <row r="80" spans="1:46" ht="48.75" customHeight="1" thickBot="1">
      <c r="A80" s="1033" t="s">
        <v>1224</v>
      </c>
      <c r="B80" s="1033"/>
      <c r="C80" s="1033"/>
      <c r="D80" s="1033"/>
      <c r="E80" s="1033"/>
      <c r="F80" s="1033"/>
      <c r="G80" s="1033"/>
      <c r="H80" s="1033"/>
      <c r="I80" s="1033"/>
      <c r="J80" s="1033"/>
      <c r="K80" s="1033"/>
      <c r="L80" s="1033"/>
      <c r="M80" s="1033"/>
      <c r="N80" s="1033"/>
      <c r="O80" s="1033"/>
      <c r="P80" s="1033"/>
      <c r="Q80" s="1033"/>
      <c r="R80" s="1033"/>
      <c r="S80" s="1033"/>
      <c r="T80" s="1033"/>
      <c r="U80" s="1033"/>
      <c r="V80" s="1033"/>
      <c r="W80" s="1033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</row>
    <row r="81" spans="1:46" ht="39" customHeight="1" thickBot="1">
      <c r="A81" s="1439"/>
      <c r="B81" s="1440"/>
      <c r="C81" s="1441"/>
      <c r="D81" s="1419" t="s">
        <v>207</v>
      </c>
      <c r="E81" s="1420"/>
      <c r="F81" s="1420"/>
      <c r="G81" s="1420"/>
      <c r="H81" s="1420"/>
      <c r="I81" s="1420"/>
      <c r="J81" s="1420"/>
      <c r="K81" s="1420"/>
      <c r="L81" s="1420"/>
      <c r="M81" s="1420"/>
      <c r="N81" s="1420"/>
      <c r="O81" s="1420"/>
      <c r="P81" s="1420"/>
      <c r="Q81" s="1420"/>
      <c r="R81" s="1420"/>
      <c r="S81" s="1420"/>
      <c r="T81" s="1420"/>
      <c r="U81" s="1420"/>
      <c r="V81" s="1420"/>
      <c r="W81" s="1421"/>
      <c r="Y81" s="1422" t="s">
        <v>1198</v>
      </c>
      <c r="Z81" s="1423"/>
      <c r="AA81" s="1410" t="s">
        <v>356</v>
      </c>
      <c r="AB81" s="1411"/>
      <c r="AC81" s="1411"/>
      <c r="AD81" s="1411"/>
      <c r="AE81" s="1411"/>
      <c r="AF81" s="1411"/>
      <c r="AG81" s="1411"/>
      <c r="AH81" s="1411"/>
      <c r="AI81" s="1411"/>
      <c r="AJ81" s="1411"/>
      <c r="AK81" s="1411"/>
      <c r="AL81" s="1411"/>
      <c r="AM81" s="1411"/>
      <c r="AN81" s="1411"/>
      <c r="AO81" s="1411"/>
      <c r="AP81" s="1411"/>
      <c r="AQ81" s="1411"/>
      <c r="AR81" s="1411"/>
      <c r="AS81" s="1411"/>
      <c r="AT81" s="1412"/>
    </row>
    <row r="82" spans="1:46" ht="14.4" customHeight="1" thickBot="1">
      <c r="A82" s="1442"/>
      <c r="B82" s="1443"/>
      <c r="C82" s="1444"/>
      <c r="D82" s="883">
        <v>0.3</v>
      </c>
      <c r="E82" s="884">
        <v>0.4</v>
      </c>
      <c r="F82" s="884">
        <v>0.5</v>
      </c>
      <c r="G82" s="884">
        <v>0.6</v>
      </c>
      <c r="H82" s="884">
        <v>0.7</v>
      </c>
      <c r="I82" s="884">
        <v>0.8</v>
      </c>
      <c r="J82" s="884">
        <v>0.9</v>
      </c>
      <c r="K82" s="884">
        <v>1</v>
      </c>
      <c r="L82" s="884">
        <v>1.1000000000000001</v>
      </c>
      <c r="M82" s="884">
        <v>1.2</v>
      </c>
      <c r="N82" s="884">
        <v>1.3</v>
      </c>
      <c r="O82" s="884">
        <v>1.4</v>
      </c>
      <c r="P82" s="884">
        <v>1.5</v>
      </c>
      <c r="Q82" s="884">
        <v>1.6</v>
      </c>
      <c r="R82" s="884">
        <v>1.7</v>
      </c>
      <c r="S82" s="884">
        <v>1.8</v>
      </c>
      <c r="T82" s="884">
        <v>1.9</v>
      </c>
      <c r="U82" s="884">
        <v>2</v>
      </c>
      <c r="V82" s="884">
        <v>2.1</v>
      </c>
      <c r="W82" s="885">
        <v>2.2000000000000002</v>
      </c>
      <c r="Y82" s="1424"/>
      <c r="Z82" s="1425"/>
      <c r="AA82" s="649">
        <v>0.3</v>
      </c>
      <c r="AB82" s="649">
        <v>0.4</v>
      </c>
      <c r="AC82" s="649">
        <v>0.5</v>
      </c>
      <c r="AD82" s="649">
        <v>0.6</v>
      </c>
      <c r="AE82" s="649">
        <v>0.7</v>
      </c>
      <c r="AF82" s="649">
        <v>0.8</v>
      </c>
      <c r="AG82" s="649">
        <v>0.9</v>
      </c>
      <c r="AH82" s="649">
        <v>1</v>
      </c>
      <c r="AI82" s="649">
        <v>1.1000000000000001</v>
      </c>
      <c r="AJ82" s="649">
        <v>1.2</v>
      </c>
      <c r="AK82" s="649">
        <v>1.3</v>
      </c>
      <c r="AL82" s="649">
        <v>1.4</v>
      </c>
      <c r="AM82" s="649">
        <v>1.5</v>
      </c>
      <c r="AN82" s="649">
        <v>1.6</v>
      </c>
      <c r="AO82" s="649">
        <v>1.7</v>
      </c>
      <c r="AP82" s="649">
        <v>1.8</v>
      </c>
      <c r="AQ82" s="649">
        <v>1.9</v>
      </c>
      <c r="AR82" s="649">
        <v>2</v>
      </c>
      <c r="AS82" s="649">
        <v>2.1</v>
      </c>
      <c r="AT82" s="649">
        <v>2.2000000000000002</v>
      </c>
    </row>
    <row r="83" spans="1:46" ht="15" customHeight="1">
      <c r="A83" s="1426" t="s">
        <v>3</v>
      </c>
      <c r="B83" s="1427"/>
      <c r="C83" s="886">
        <v>0.2</v>
      </c>
      <c r="D83" s="899">
        <f>(AA83*KFC!$B$16+KFC!$C$16)*KFC!$C$5</f>
        <v>26.078289400664996</v>
      </c>
      <c r="E83" s="900">
        <f>(AB83*KFC!$B$16+KFC!$C$16)*KFC!$C$5</f>
        <v>28.675034545748684</v>
      </c>
      <c r="F83" s="900">
        <f>(AC83*KFC!$B$16+KFC!$C$16)*KFC!$C$5</f>
        <v>31.271779690832371</v>
      </c>
      <c r="G83" s="900">
        <f>(AD83*KFC!$B$16+KFC!$C$16)*KFC!$C$5</f>
        <v>33.868524835916055</v>
      </c>
      <c r="H83" s="900">
        <f>(AE83*KFC!$B$16+KFC!$C$16)*KFC!$C$5</f>
        <v>36.465269980999743</v>
      </c>
      <c r="I83" s="900">
        <f>(AF83*KFC!$B$16+KFC!$C$16)*KFC!$C$5</f>
        <v>39.062015126083423</v>
      </c>
      <c r="J83" s="900">
        <f>(AG83*KFC!$B$16+KFC!$C$16)*KFC!$C$5</f>
        <v>41.658760271167104</v>
      </c>
      <c r="K83" s="900">
        <f>(AH83*KFC!$B$16+KFC!$C$16)*KFC!$C$5</f>
        <v>44.255505416250784</v>
      </c>
      <c r="L83" s="900">
        <f>(AI83*KFC!$B$16+KFC!$C$16)*KFC!$C$5</f>
        <v>46.852250561334465</v>
      </c>
      <c r="M83" s="900">
        <f>(AJ83*KFC!$B$16+KFC!$C$16)*KFC!$C$5</f>
        <v>49.448995706418152</v>
      </c>
      <c r="N83" s="900">
        <f>(AK83*KFC!$B$16+KFC!$C$16)*KFC!$C$5</f>
        <v>52.045740851501833</v>
      </c>
      <c r="O83" s="900">
        <f>(AL83*KFC!$B$16+KFC!$C$16)*KFC!$C$5</f>
        <v>54.642485996585513</v>
      </c>
      <c r="P83" s="900">
        <f>(AM83*KFC!$B$16+KFC!$C$16)*KFC!$C$5</f>
        <v>57.239231141669201</v>
      </c>
      <c r="Q83" s="900">
        <f>(AN83*KFC!$B$16+KFC!$C$16)*KFC!$C$5</f>
        <v>59.835976286752881</v>
      </c>
      <c r="R83" s="900">
        <f>(AO83*KFC!$B$16+KFC!$C$16)*KFC!$C$5</f>
        <v>62.432721431836562</v>
      </c>
      <c r="S83" s="900">
        <f>(AP83*KFC!$B$16+KFC!$C$16)*KFC!$C$5</f>
        <v>65.029466576920242</v>
      </c>
      <c r="T83" s="900">
        <f>(AQ83*KFC!$B$16+KFC!$C$16)*KFC!$C$5</f>
        <v>67.62621172200393</v>
      </c>
      <c r="U83" s="900">
        <f>(AR83*KFC!$B$16+KFC!$C$16)*KFC!$C$5</f>
        <v>70.222956867087618</v>
      </c>
      <c r="V83" s="900">
        <f>(AS83*KFC!$B$16+KFC!$C$16)*KFC!$C$5</f>
        <v>72.819702012171305</v>
      </c>
      <c r="W83" s="901">
        <f>(AT83*KFC!$B$16+KFC!$C$16)*KFC!$C$5</f>
        <v>75.416447157255007</v>
      </c>
      <c r="Y83" s="1430" t="s">
        <v>357</v>
      </c>
      <c r="Z83" s="649">
        <v>0.2</v>
      </c>
      <c r="AA83" s="882">
        <v>26.078289400664996</v>
      </c>
      <c r="AB83" s="882">
        <v>28.675034545748684</v>
      </c>
      <c r="AC83" s="882">
        <v>31.271779690832371</v>
      </c>
      <c r="AD83" s="882">
        <v>33.868524835916055</v>
      </c>
      <c r="AE83" s="882">
        <v>36.465269980999743</v>
      </c>
      <c r="AF83" s="882">
        <v>39.062015126083423</v>
      </c>
      <c r="AG83" s="882">
        <v>41.658760271167104</v>
      </c>
      <c r="AH83" s="882">
        <v>44.255505416250784</v>
      </c>
      <c r="AI83" s="882">
        <v>46.852250561334465</v>
      </c>
      <c r="AJ83" s="882">
        <v>49.448995706418152</v>
      </c>
      <c r="AK83" s="882">
        <v>52.045740851501833</v>
      </c>
      <c r="AL83" s="882">
        <v>54.642485996585513</v>
      </c>
      <c r="AM83" s="882">
        <v>57.239231141669201</v>
      </c>
      <c r="AN83" s="882">
        <v>59.835976286752881</v>
      </c>
      <c r="AO83" s="882">
        <v>62.432721431836562</v>
      </c>
      <c r="AP83" s="882">
        <v>65.029466576920242</v>
      </c>
      <c r="AQ83" s="882">
        <v>67.62621172200393</v>
      </c>
      <c r="AR83" s="882">
        <v>70.222956867087618</v>
      </c>
      <c r="AS83" s="882">
        <v>72.819702012171305</v>
      </c>
      <c r="AT83" s="882">
        <v>75.416447157255007</v>
      </c>
    </row>
    <row r="84" spans="1:46" ht="14.4" customHeight="1">
      <c r="A84" s="1426"/>
      <c r="B84" s="1427"/>
      <c r="C84" s="887">
        <v>0.3</v>
      </c>
      <c r="D84" s="902">
        <f>(AA84*KFC!$B$16+KFC!$C$16)*KFC!$C$5</f>
        <v>26.757499925078996</v>
      </c>
      <c r="E84" s="898">
        <f>(AB84*KFC!$B$16+KFC!$C$16)*KFC!$C$5</f>
        <v>29.499847562829789</v>
      </c>
      <c r="F84" s="898">
        <f>(AC84*KFC!$B$16+KFC!$C$16)*KFC!$C$5</f>
        <v>32.242195200580575</v>
      </c>
      <c r="G84" s="898">
        <f>(AD84*KFC!$B$16+KFC!$C$16)*KFC!$C$5</f>
        <v>34.984542838331372</v>
      </c>
      <c r="H84" s="898">
        <f>(AE84*KFC!$B$16+KFC!$C$16)*KFC!$C$5</f>
        <v>37.726890476082154</v>
      </c>
      <c r="I84" s="898">
        <f>(AF84*KFC!$B$16+KFC!$C$16)*KFC!$C$5</f>
        <v>40.469238113832944</v>
      </c>
      <c r="J84" s="898">
        <f>(AG84*KFC!$B$16+KFC!$C$16)*KFC!$C$5</f>
        <v>43.211585751583733</v>
      </c>
      <c r="K84" s="898">
        <f>(AH84*KFC!$B$16+KFC!$C$16)*KFC!$C$5</f>
        <v>45.95393338933453</v>
      </c>
      <c r="L84" s="898">
        <f>(AI84*KFC!$B$16+KFC!$C$16)*KFC!$C$5</f>
        <v>48.69628102708532</v>
      </c>
      <c r="M84" s="898">
        <f>(AJ84*KFC!$B$16+KFC!$C$16)*KFC!$C$5</f>
        <v>51.438628664836109</v>
      </c>
      <c r="N84" s="898">
        <f>(AK84*KFC!$B$16+KFC!$C$16)*KFC!$C$5</f>
        <v>54.180976302586899</v>
      </c>
      <c r="O84" s="898">
        <f>(AL84*KFC!$B$16+KFC!$C$16)*KFC!$C$5</f>
        <v>56.923323940337681</v>
      </c>
      <c r="P84" s="898">
        <f>(AM84*KFC!$B$16+KFC!$C$16)*KFC!$C$5</f>
        <v>59.665671578088471</v>
      </c>
      <c r="Q84" s="898">
        <f>(AN84*KFC!$B$16+KFC!$C$16)*KFC!$C$5</f>
        <v>62.408019215839275</v>
      </c>
      <c r="R84" s="898">
        <f>(AO84*KFC!$B$16+KFC!$C$16)*KFC!$C$5</f>
        <v>65.150366853590057</v>
      </c>
      <c r="S84" s="898">
        <f>(AP84*KFC!$B$16+KFC!$C$16)*KFC!$C$5</f>
        <v>67.89271449134084</v>
      </c>
      <c r="T84" s="898">
        <f>(AQ84*KFC!$B$16+KFC!$C$16)*KFC!$C$5</f>
        <v>70.635062129091637</v>
      </c>
      <c r="U84" s="898">
        <f>(AR84*KFC!$B$16+KFC!$C$16)*KFC!$C$5</f>
        <v>73.377409766842419</v>
      </c>
      <c r="V84" s="898">
        <f>(AS84*KFC!$B$16+KFC!$C$16)*KFC!$C$5</f>
        <v>76.119757404593216</v>
      </c>
      <c r="W84" s="903">
        <f>(AT84*KFC!$B$16+KFC!$C$16)*KFC!$C$5</f>
        <v>78.862105042343998</v>
      </c>
      <c r="Y84" s="1431"/>
      <c r="Z84" s="649">
        <v>0.3</v>
      </c>
      <c r="AA84" s="882">
        <v>26.757499925078996</v>
      </c>
      <c r="AB84" s="882">
        <v>29.499847562829789</v>
      </c>
      <c r="AC84" s="882">
        <v>32.242195200580575</v>
      </c>
      <c r="AD84" s="882">
        <v>34.984542838331372</v>
      </c>
      <c r="AE84" s="882">
        <v>37.726890476082154</v>
      </c>
      <c r="AF84" s="882">
        <v>40.469238113832944</v>
      </c>
      <c r="AG84" s="882">
        <v>43.211585751583733</v>
      </c>
      <c r="AH84" s="882">
        <v>45.95393338933453</v>
      </c>
      <c r="AI84" s="882">
        <v>48.69628102708532</v>
      </c>
      <c r="AJ84" s="882">
        <v>51.438628664836109</v>
      </c>
      <c r="AK84" s="882">
        <v>54.180976302586899</v>
      </c>
      <c r="AL84" s="882">
        <v>56.923323940337681</v>
      </c>
      <c r="AM84" s="882">
        <v>59.665671578088471</v>
      </c>
      <c r="AN84" s="882">
        <v>62.408019215839275</v>
      </c>
      <c r="AO84" s="882">
        <v>65.150366853590057</v>
      </c>
      <c r="AP84" s="882">
        <v>67.89271449134084</v>
      </c>
      <c r="AQ84" s="882">
        <v>70.635062129091637</v>
      </c>
      <c r="AR84" s="882">
        <v>73.377409766842419</v>
      </c>
      <c r="AS84" s="882">
        <v>76.119757404593216</v>
      </c>
      <c r="AT84" s="882">
        <v>78.862105042343998</v>
      </c>
    </row>
    <row r="85" spans="1:46">
      <c r="A85" s="1426"/>
      <c r="B85" s="1427"/>
      <c r="C85" s="887">
        <v>0.4</v>
      </c>
      <c r="D85" s="902">
        <f>(AA85*KFC!$B$16+KFC!$C$16)*KFC!$C$5</f>
        <v>27.436710449492999</v>
      </c>
      <c r="E85" s="898">
        <f>(AB85*KFC!$B$16+KFC!$C$16)*KFC!$C$5</f>
        <v>30.324660579910891</v>
      </c>
      <c r="F85" s="898">
        <f>(AC85*KFC!$B$16+KFC!$C$16)*KFC!$C$5</f>
        <v>33.212610710328789</v>
      </c>
      <c r="G85" s="898">
        <f>(AD85*KFC!$B$16+KFC!$C$16)*KFC!$C$5</f>
        <v>36.100560840746681</v>
      </c>
      <c r="H85" s="898">
        <f>(AE85*KFC!$B$16+KFC!$C$16)*KFC!$C$5</f>
        <v>38.988510971164573</v>
      </c>
      <c r="I85" s="898">
        <f>(AF85*KFC!$B$16+KFC!$C$16)*KFC!$C$5</f>
        <v>41.876461101582457</v>
      </c>
      <c r="J85" s="898">
        <f>(AG85*KFC!$B$16+KFC!$C$16)*KFC!$C$5</f>
        <v>44.764411232000349</v>
      </c>
      <c r="K85" s="898">
        <f>(AH85*KFC!$B$16+KFC!$C$16)*KFC!$C$5</f>
        <v>47.65236136241824</v>
      </c>
      <c r="L85" s="898">
        <f>(AI85*KFC!$B$16+KFC!$C$16)*KFC!$C$5</f>
        <v>50.540311492836132</v>
      </c>
      <c r="M85" s="898">
        <f>(AJ85*KFC!$B$16+KFC!$C$16)*KFC!$C$5</f>
        <v>53.428261623254024</v>
      </c>
      <c r="N85" s="898">
        <f>(AK85*KFC!$B$16+KFC!$C$16)*KFC!$C$5</f>
        <v>56.316211753671915</v>
      </c>
      <c r="O85" s="898">
        <f>(AL85*KFC!$B$16+KFC!$C$16)*KFC!$C$5</f>
        <v>59.204161884089807</v>
      </c>
      <c r="P85" s="898">
        <f>(AM85*KFC!$B$16+KFC!$C$16)*KFC!$C$5</f>
        <v>62.092112014507705</v>
      </c>
      <c r="Q85" s="898">
        <f>(AN85*KFC!$B$16+KFC!$C$16)*KFC!$C$5</f>
        <v>64.980062144925597</v>
      </c>
      <c r="R85" s="898">
        <f>(AO85*KFC!$B$16+KFC!$C$16)*KFC!$C$5</f>
        <v>67.868012275343489</v>
      </c>
      <c r="S85" s="898">
        <f>(AP85*KFC!$B$16+KFC!$C$16)*KFC!$C$5</f>
        <v>70.75596240576138</v>
      </c>
      <c r="T85" s="898">
        <f>(AQ85*KFC!$B$16+KFC!$C$16)*KFC!$C$5</f>
        <v>73.643912536179272</v>
      </c>
      <c r="U85" s="898">
        <f>(AR85*KFC!$B$16+KFC!$C$16)*KFC!$C$5</f>
        <v>76.531862666597178</v>
      </c>
      <c r="V85" s="898">
        <f>(AS85*KFC!$B$16+KFC!$C$16)*KFC!$C$5</f>
        <v>79.419812797015055</v>
      </c>
      <c r="W85" s="903">
        <f>(AT85*KFC!$B$16+KFC!$C$16)*KFC!$C$5</f>
        <v>82.307762927432989</v>
      </c>
      <c r="Y85" s="1431"/>
      <c r="Z85" s="649">
        <v>0.4</v>
      </c>
      <c r="AA85" s="882">
        <v>27.436710449492999</v>
      </c>
      <c r="AB85" s="882">
        <v>30.324660579910891</v>
      </c>
      <c r="AC85" s="882">
        <v>33.212610710328789</v>
      </c>
      <c r="AD85" s="882">
        <v>36.100560840746681</v>
      </c>
      <c r="AE85" s="882">
        <v>38.988510971164573</v>
      </c>
      <c r="AF85" s="882">
        <v>41.876461101582457</v>
      </c>
      <c r="AG85" s="882">
        <v>44.764411232000349</v>
      </c>
      <c r="AH85" s="882">
        <v>47.65236136241824</v>
      </c>
      <c r="AI85" s="882">
        <v>50.540311492836132</v>
      </c>
      <c r="AJ85" s="882">
        <v>53.428261623254024</v>
      </c>
      <c r="AK85" s="882">
        <v>56.316211753671915</v>
      </c>
      <c r="AL85" s="882">
        <v>59.204161884089807</v>
      </c>
      <c r="AM85" s="882">
        <v>62.092112014507705</v>
      </c>
      <c r="AN85" s="882">
        <v>64.980062144925597</v>
      </c>
      <c r="AO85" s="882">
        <v>67.868012275343489</v>
      </c>
      <c r="AP85" s="882">
        <v>70.75596240576138</v>
      </c>
      <c r="AQ85" s="882">
        <v>73.643912536179272</v>
      </c>
      <c r="AR85" s="882">
        <v>76.531862666597178</v>
      </c>
      <c r="AS85" s="882">
        <v>79.419812797015055</v>
      </c>
      <c r="AT85" s="882">
        <v>82.307762927432989</v>
      </c>
    </row>
    <row r="86" spans="1:46">
      <c r="A86" s="1426"/>
      <c r="B86" s="1427"/>
      <c r="C86" s="887">
        <v>0.5</v>
      </c>
      <c r="D86" s="902">
        <f>(AA86*KFC!$B$16+KFC!$C$16)*KFC!$C$5</f>
        <v>28.115920973906995</v>
      </c>
      <c r="E86" s="898">
        <f>(AB86*KFC!$B$16+KFC!$C$16)*KFC!$C$5</f>
        <v>31.149473596991999</v>
      </c>
      <c r="F86" s="898">
        <f>(AC86*KFC!$B$16+KFC!$C$16)*KFC!$C$5</f>
        <v>34.183026220076997</v>
      </c>
      <c r="G86" s="898">
        <f>(AD86*KFC!$B$16+KFC!$C$16)*KFC!$C$5</f>
        <v>37.216578843161997</v>
      </c>
      <c r="H86" s="898">
        <f>(AE86*KFC!$B$16+KFC!$C$16)*KFC!$C$5</f>
        <v>40.250131466246991</v>
      </c>
      <c r="I86" s="898">
        <f>(AF86*KFC!$B$16+KFC!$C$16)*KFC!$C$5</f>
        <v>43.283684089331992</v>
      </c>
      <c r="J86" s="898">
        <f>(AG86*KFC!$B$16+KFC!$C$16)*KFC!$C$5</f>
        <v>46.317236712416992</v>
      </c>
      <c r="K86" s="898">
        <f>(AH86*KFC!$B$16+KFC!$C$16)*KFC!$C$5</f>
        <v>49.350789335501986</v>
      </c>
      <c r="L86" s="898">
        <f>(AI86*KFC!$B$16+KFC!$C$16)*KFC!$C$5</f>
        <v>52.384341958586987</v>
      </c>
      <c r="M86" s="898">
        <f>(AJ86*KFC!$B$16+KFC!$C$16)*KFC!$C$5</f>
        <v>55.417894581671987</v>
      </c>
      <c r="N86" s="898">
        <f>(AK86*KFC!$B$16+KFC!$C$16)*KFC!$C$5</f>
        <v>58.451447204756981</v>
      </c>
      <c r="O86" s="898">
        <f>(AL86*KFC!$B$16+KFC!$C$16)*KFC!$C$5</f>
        <v>61.484999827841996</v>
      </c>
      <c r="P86" s="898">
        <f>(AM86*KFC!$B$16+KFC!$C$16)*KFC!$C$5</f>
        <v>64.51855245092699</v>
      </c>
      <c r="Q86" s="898">
        <f>(AN86*KFC!$B$16+KFC!$C$16)*KFC!$C$5</f>
        <v>67.55210507401199</v>
      </c>
      <c r="R86" s="898">
        <f>(AO86*KFC!$B$16+KFC!$C$16)*KFC!$C$5</f>
        <v>70.585657697096977</v>
      </c>
      <c r="S86" s="898">
        <f>(AP86*KFC!$B$16+KFC!$C$16)*KFC!$C$5</f>
        <v>73.619210320181963</v>
      </c>
      <c r="T86" s="898">
        <f>(AQ86*KFC!$B$16+KFC!$C$16)*KFC!$C$5</f>
        <v>76.652762943266964</v>
      </c>
      <c r="U86" s="898">
        <f>(AR86*KFC!$B$16+KFC!$C$16)*KFC!$C$5</f>
        <v>79.686315566351951</v>
      </c>
      <c r="V86" s="898">
        <f>(AS86*KFC!$B$16+KFC!$C$16)*KFC!$C$5</f>
        <v>82.719868189436951</v>
      </c>
      <c r="W86" s="903">
        <f>(AT86*KFC!$B$16+KFC!$C$16)*KFC!$C$5</f>
        <v>85.753420812521981</v>
      </c>
      <c r="Y86" s="1431"/>
      <c r="Z86" s="649">
        <v>0.5</v>
      </c>
      <c r="AA86" s="882">
        <v>28.115920973906995</v>
      </c>
      <c r="AB86" s="882">
        <v>31.149473596991999</v>
      </c>
      <c r="AC86" s="882">
        <v>34.183026220076997</v>
      </c>
      <c r="AD86" s="882">
        <v>37.216578843161997</v>
      </c>
      <c r="AE86" s="882">
        <v>40.250131466246991</v>
      </c>
      <c r="AF86" s="882">
        <v>43.283684089331992</v>
      </c>
      <c r="AG86" s="882">
        <v>46.317236712416992</v>
      </c>
      <c r="AH86" s="882">
        <v>49.350789335501986</v>
      </c>
      <c r="AI86" s="882">
        <v>52.384341958586987</v>
      </c>
      <c r="AJ86" s="882">
        <v>55.417894581671987</v>
      </c>
      <c r="AK86" s="882">
        <v>58.451447204756981</v>
      </c>
      <c r="AL86" s="882">
        <v>61.484999827841996</v>
      </c>
      <c r="AM86" s="882">
        <v>64.51855245092699</v>
      </c>
      <c r="AN86" s="882">
        <v>67.55210507401199</v>
      </c>
      <c r="AO86" s="882">
        <v>70.585657697096977</v>
      </c>
      <c r="AP86" s="882">
        <v>73.619210320181963</v>
      </c>
      <c r="AQ86" s="882">
        <v>76.652762943266964</v>
      </c>
      <c r="AR86" s="882">
        <v>79.686315566351951</v>
      </c>
      <c r="AS86" s="882">
        <v>82.719868189436951</v>
      </c>
      <c r="AT86" s="882">
        <v>85.753420812521981</v>
      </c>
    </row>
    <row r="87" spans="1:46">
      <c r="A87" s="1426"/>
      <c r="B87" s="1427"/>
      <c r="C87" s="887">
        <v>0.6</v>
      </c>
      <c r="D87" s="902">
        <f>(AA87*KFC!$B$16+KFC!$C$16)*KFC!$C$5</f>
        <v>28.795131498320998</v>
      </c>
      <c r="E87" s="898">
        <f>(AB87*KFC!$B$16+KFC!$C$16)*KFC!$C$5</f>
        <v>31.974286614073101</v>
      </c>
      <c r="F87" s="898">
        <f>(AC87*KFC!$B$16+KFC!$C$16)*KFC!$C$5</f>
        <v>35.153441729825204</v>
      </c>
      <c r="G87" s="898">
        <f>(AD87*KFC!$B$16+KFC!$C$16)*KFC!$C$5</f>
        <v>38.332596845577314</v>
      </c>
      <c r="H87" s="898">
        <f>(AE87*KFC!$B$16+KFC!$C$16)*KFC!$C$5</f>
        <v>41.511751961329423</v>
      </c>
      <c r="I87" s="898">
        <f>(AF87*KFC!$B$16+KFC!$C$16)*KFC!$C$5</f>
        <v>44.690907077081533</v>
      </c>
      <c r="J87" s="898">
        <f>(AG87*KFC!$B$16+KFC!$C$16)*KFC!$C$5</f>
        <v>47.870062192833636</v>
      </c>
      <c r="K87" s="898">
        <f>(AH87*KFC!$B$16+KFC!$C$16)*KFC!$C$5</f>
        <v>51.049217308585739</v>
      </c>
      <c r="L87" s="898">
        <f>(AI87*KFC!$B$16+KFC!$C$16)*KFC!$C$5</f>
        <v>54.228372424337849</v>
      </c>
      <c r="M87" s="898">
        <f>(AJ87*KFC!$B$16+KFC!$C$16)*KFC!$C$5</f>
        <v>57.407527540089966</v>
      </c>
      <c r="N87" s="898">
        <f>(AK87*KFC!$B$16+KFC!$C$16)*KFC!$C$5</f>
        <v>60.586682655842068</v>
      </c>
      <c r="O87" s="898">
        <f>(AL87*KFC!$B$16+KFC!$C$16)*KFC!$C$5</f>
        <v>63.765837771594171</v>
      </c>
      <c r="P87" s="898">
        <f>(AM87*KFC!$B$16+KFC!$C$16)*KFC!$C$5</f>
        <v>66.944992887346274</v>
      </c>
      <c r="Q87" s="898">
        <f>(AN87*KFC!$B$16+KFC!$C$16)*KFC!$C$5</f>
        <v>70.124148003098384</v>
      </c>
      <c r="R87" s="898">
        <f>(AO87*KFC!$B$16+KFC!$C$16)*KFC!$C$5</f>
        <v>73.303303118850508</v>
      </c>
      <c r="S87" s="898">
        <f>(AP87*KFC!$B$16+KFC!$C$16)*KFC!$C$5</f>
        <v>76.482458234602603</v>
      </c>
      <c r="T87" s="898">
        <f>(AQ87*KFC!$B$16+KFC!$C$16)*KFC!$C$5</f>
        <v>79.661613350354713</v>
      </c>
      <c r="U87" s="898">
        <f>(AR87*KFC!$B$16+KFC!$C$16)*KFC!$C$5</f>
        <v>82.840768466106809</v>
      </c>
      <c r="V87" s="898">
        <f>(AS87*KFC!$B$16+KFC!$C$16)*KFC!$C$5</f>
        <v>86.019923581858933</v>
      </c>
      <c r="W87" s="903">
        <f>(AT87*KFC!$B$16+KFC!$C$16)*KFC!$C$5</f>
        <v>89.199078697610986</v>
      </c>
      <c r="Y87" s="1431"/>
      <c r="Z87" s="649">
        <v>0.6</v>
      </c>
      <c r="AA87" s="882">
        <v>28.795131498320998</v>
      </c>
      <c r="AB87" s="882">
        <v>31.974286614073101</v>
      </c>
      <c r="AC87" s="882">
        <v>35.153441729825204</v>
      </c>
      <c r="AD87" s="882">
        <v>38.332596845577314</v>
      </c>
      <c r="AE87" s="882">
        <v>41.511751961329423</v>
      </c>
      <c r="AF87" s="882">
        <v>44.690907077081533</v>
      </c>
      <c r="AG87" s="882">
        <v>47.870062192833636</v>
      </c>
      <c r="AH87" s="882">
        <v>51.049217308585739</v>
      </c>
      <c r="AI87" s="882">
        <v>54.228372424337849</v>
      </c>
      <c r="AJ87" s="882">
        <v>57.407527540089966</v>
      </c>
      <c r="AK87" s="882">
        <v>60.586682655842068</v>
      </c>
      <c r="AL87" s="882">
        <v>63.765837771594171</v>
      </c>
      <c r="AM87" s="882">
        <v>66.944992887346274</v>
      </c>
      <c r="AN87" s="882">
        <v>70.124148003098384</v>
      </c>
      <c r="AO87" s="882">
        <v>73.303303118850508</v>
      </c>
      <c r="AP87" s="882">
        <v>76.482458234602603</v>
      </c>
      <c r="AQ87" s="882">
        <v>79.661613350354713</v>
      </c>
      <c r="AR87" s="882">
        <v>82.840768466106809</v>
      </c>
      <c r="AS87" s="882">
        <v>86.019923581858933</v>
      </c>
      <c r="AT87" s="882">
        <v>89.199078697610986</v>
      </c>
    </row>
    <row r="88" spans="1:46">
      <c r="A88" s="1426"/>
      <c r="B88" s="1427"/>
      <c r="C88" s="887">
        <v>0.7</v>
      </c>
      <c r="D88" s="902">
        <f>(AA88*KFC!$B$16+KFC!$C$16)*KFC!$C$5</f>
        <v>29.474342022734998</v>
      </c>
      <c r="E88" s="898">
        <f>(AB88*KFC!$B$16+KFC!$C$16)*KFC!$C$5</f>
        <v>32.799099631154206</v>
      </c>
      <c r="F88" s="898">
        <f>(AC88*KFC!$B$16+KFC!$C$16)*KFC!$C$5</f>
        <v>36.123857239573418</v>
      </c>
      <c r="G88" s="898">
        <f>(AD88*KFC!$B$16+KFC!$C$16)*KFC!$C$5</f>
        <v>39.44861484799263</v>
      </c>
      <c r="H88" s="898">
        <f>(AE88*KFC!$B$16+KFC!$C$16)*KFC!$C$5</f>
        <v>42.773372456411835</v>
      </c>
      <c r="I88" s="898">
        <f>(AF88*KFC!$B$16+KFC!$C$16)*KFC!$C$5</f>
        <v>46.098130064831047</v>
      </c>
      <c r="J88" s="898">
        <f>(AG88*KFC!$B$16+KFC!$C$16)*KFC!$C$5</f>
        <v>49.422887673250258</v>
      </c>
      <c r="K88" s="898">
        <f>(AH88*KFC!$B$16+KFC!$C$16)*KFC!$C$5</f>
        <v>52.747645281669463</v>
      </c>
      <c r="L88" s="898">
        <f>(AI88*KFC!$B$16+KFC!$C$16)*KFC!$C$5</f>
        <v>56.072402890088668</v>
      </c>
      <c r="M88" s="898">
        <f>(AJ88*KFC!$B$16+KFC!$C$16)*KFC!$C$5</f>
        <v>59.39716049850788</v>
      </c>
      <c r="N88" s="898">
        <f>(AK88*KFC!$B$16+KFC!$C$16)*KFC!$C$5</f>
        <v>62.721918106927085</v>
      </c>
      <c r="O88" s="898">
        <f>(AL88*KFC!$B$16+KFC!$C$16)*KFC!$C$5</f>
        <v>66.046675715346296</v>
      </c>
      <c r="P88" s="898">
        <f>(AM88*KFC!$B$16+KFC!$C$16)*KFC!$C$5</f>
        <v>69.371433323765515</v>
      </c>
      <c r="Q88" s="898">
        <f>(AN88*KFC!$B$16+KFC!$C$16)*KFC!$C$5</f>
        <v>72.69619093218472</v>
      </c>
      <c r="R88" s="898">
        <f>(AO88*KFC!$B$16+KFC!$C$16)*KFC!$C$5</f>
        <v>76.020948540603939</v>
      </c>
      <c r="S88" s="898">
        <f>(AP88*KFC!$B$16+KFC!$C$16)*KFC!$C$5</f>
        <v>79.345706149023144</v>
      </c>
      <c r="T88" s="898">
        <f>(AQ88*KFC!$B$16+KFC!$C$16)*KFC!$C$5</f>
        <v>82.670463757442349</v>
      </c>
      <c r="U88" s="898">
        <f>(AR88*KFC!$B$16+KFC!$C$16)*KFC!$C$5</f>
        <v>85.995221365861553</v>
      </c>
      <c r="V88" s="898">
        <f>(AS88*KFC!$B$16+KFC!$C$16)*KFC!$C$5</f>
        <v>89.319978974280772</v>
      </c>
      <c r="W88" s="903">
        <f>(AT88*KFC!$B$16+KFC!$C$16)*KFC!$C$5</f>
        <v>92.644736582699977</v>
      </c>
      <c r="Y88" s="1431"/>
      <c r="Z88" s="649">
        <v>0.7</v>
      </c>
      <c r="AA88" s="882">
        <v>29.474342022734998</v>
      </c>
      <c r="AB88" s="882">
        <v>32.799099631154206</v>
      </c>
      <c r="AC88" s="882">
        <v>36.123857239573418</v>
      </c>
      <c r="AD88" s="882">
        <v>39.44861484799263</v>
      </c>
      <c r="AE88" s="882">
        <v>42.773372456411835</v>
      </c>
      <c r="AF88" s="882">
        <v>46.098130064831047</v>
      </c>
      <c r="AG88" s="882">
        <v>49.422887673250258</v>
      </c>
      <c r="AH88" s="882">
        <v>52.747645281669463</v>
      </c>
      <c r="AI88" s="882">
        <v>56.072402890088668</v>
      </c>
      <c r="AJ88" s="882">
        <v>59.39716049850788</v>
      </c>
      <c r="AK88" s="882">
        <v>62.721918106927085</v>
      </c>
      <c r="AL88" s="882">
        <v>66.046675715346296</v>
      </c>
      <c r="AM88" s="882">
        <v>69.371433323765515</v>
      </c>
      <c r="AN88" s="882">
        <v>72.69619093218472</v>
      </c>
      <c r="AO88" s="882">
        <v>76.020948540603939</v>
      </c>
      <c r="AP88" s="882">
        <v>79.345706149023144</v>
      </c>
      <c r="AQ88" s="882">
        <v>82.670463757442349</v>
      </c>
      <c r="AR88" s="882">
        <v>85.995221365861553</v>
      </c>
      <c r="AS88" s="882">
        <v>89.319978974280772</v>
      </c>
      <c r="AT88" s="882">
        <v>92.644736582699977</v>
      </c>
    </row>
    <row r="89" spans="1:46">
      <c r="A89" s="1426"/>
      <c r="B89" s="1427"/>
      <c r="C89" s="887">
        <v>0.8</v>
      </c>
      <c r="D89" s="902">
        <f>(AA89*KFC!$B$16+KFC!$C$16)*KFC!$C$5</f>
        <v>30.153552547148998</v>
      </c>
      <c r="E89" s="898">
        <f>(AB89*KFC!$B$16+KFC!$C$16)*KFC!$C$5</f>
        <v>33.623912648235311</v>
      </c>
      <c r="F89" s="898">
        <f>(AC89*KFC!$B$16+KFC!$C$16)*KFC!$C$5</f>
        <v>37.094272749321625</v>
      </c>
      <c r="G89" s="898">
        <f>(AD89*KFC!$B$16+KFC!$C$16)*KFC!$C$5</f>
        <v>40.564632850407946</v>
      </c>
      <c r="H89" s="898">
        <f>(AE89*KFC!$B$16+KFC!$C$16)*KFC!$C$5</f>
        <v>44.03499295149426</v>
      </c>
      <c r="I89" s="898">
        <f>(AF89*KFC!$B$16+KFC!$C$16)*KFC!$C$5</f>
        <v>47.505353052580574</v>
      </c>
      <c r="J89" s="898">
        <f>(AG89*KFC!$B$16+KFC!$C$16)*KFC!$C$5</f>
        <v>50.975713153666888</v>
      </c>
      <c r="K89" s="898">
        <f>(AH89*KFC!$B$16+KFC!$C$16)*KFC!$C$5</f>
        <v>54.446073254753209</v>
      </c>
      <c r="L89" s="898">
        <f>(AI89*KFC!$B$16+KFC!$C$16)*KFC!$C$5</f>
        <v>57.916433355839523</v>
      </c>
      <c r="M89" s="898">
        <f>(AJ89*KFC!$B$16+KFC!$C$16)*KFC!$C$5</f>
        <v>61.386793456925837</v>
      </c>
      <c r="N89" s="898">
        <f>(AK89*KFC!$B$16+KFC!$C$16)*KFC!$C$5</f>
        <v>64.857153558012158</v>
      </c>
      <c r="O89" s="898">
        <f>(AL89*KFC!$B$16+KFC!$C$16)*KFC!$C$5</f>
        <v>68.327513659098472</v>
      </c>
      <c r="P89" s="898">
        <f>(AM89*KFC!$B$16+KFC!$C$16)*KFC!$C$5</f>
        <v>71.797873760184785</v>
      </c>
      <c r="Q89" s="898">
        <f>(AN89*KFC!$B$16+KFC!$C$16)*KFC!$C$5</f>
        <v>75.268233861271099</v>
      </c>
      <c r="R89" s="898">
        <f>(AO89*KFC!$B$16+KFC!$C$16)*KFC!$C$5</f>
        <v>78.738593962357413</v>
      </c>
      <c r="S89" s="898">
        <f>(AP89*KFC!$B$16+KFC!$C$16)*KFC!$C$5</f>
        <v>82.208954063443713</v>
      </c>
      <c r="T89" s="898">
        <f>(AQ89*KFC!$B$16+KFC!$C$16)*KFC!$C$5</f>
        <v>85.679314164530012</v>
      </c>
      <c r="U89" s="898">
        <f>(AR89*KFC!$B$16+KFC!$C$16)*KFC!$C$5</f>
        <v>89.149674265616326</v>
      </c>
      <c r="V89" s="898">
        <f>(AS89*KFC!$B$16+KFC!$C$16)*KFC!$C$5</f>
        <v>92.620034366702654</v>
      </c>
      <c r="W89" s="903">
        <f>(AT89*KFC!$B$16+KFC!$C$16)*KFC!$C$5</f>
        <v>96.090394467788968</v>
      </c>
      <c r="Y89" s="1431"/>
      <c r="Z89" s="649">
        <v>0.8</v>
      </c>
      <c r="AA89" s="882">
        <v>30.153552547148998</v>
      </c>
      <c r="AB89" s="882">
        <v>33.623912648235311</v>
      </c>
      <c r="AC89" s="882">
        <v>37.094272749321625</v>
      </c>
      <c r="AD89" s="882">
        <v>40.564632850407946</v>
      </c>
      <c r="AE89" s="882">
        <v>44.03499295149426</v>
      </c>
      <c r="AF89" s="882">
        <v>47.505353052580574</v>
      </c>
      <c r="AG89" s="882">
        <v>50.975713153666888</v>
      </c>
      <c r="AH89" s="882">
        <v>54.446073254753209</v>
      </c>
      <c r="AI89" s="882">
        <v>57.916433355839523</v>
      </c>
      <c r="AJ89" s="882">
        <v>61.386793456925837</v>
      </c>
      <c r="AK89" s="882">
        <v>64.857153558012158</v>
      </c>
      <c r="AL89" s="882">
        <v>68.327513659098472</v>
      </c>
      <c r="AM89" s="882">
        <v>71.797873760184785</v>
      </c>
      <c r="AN89" s="882">
        <v>75.268233861271099</v>
      </c>
      <c r="AO89" s="882">
        <v>78.738593962357413</v>
      </c>
      <c r="AP89" s="882">
        <v>82.208954063443713</v>
      </c>
      <c r="AQ89" s="882">
        <v>85.679314164530012</v>
      </c>
      <c r="AR89" s="882">
        <v>89.149674265616326</v>
      </c>
      <c r="AS89" s="882">
        <v>92.620034366702654</v>
      </c>
      <c r="AT89" s="882">
        <v>96.090394467788968</v>
      </c>
    </row>
    <row r="90" spans="1:46">
      <c r="A90" s="1426"/>
      <c r="B90" s="1427"/>
      <c r="C90" s="887">
        <v>0.9</v>
      </c>
      <c r="D90" s="902">
        <f>(AA90*KFC!$B$16+KFC!$C$16)*KFC!$C$5</f>
        <v>30.832763071562994</v>
      </c>
      <c r="E90" s="898">
        <f>(AB90*KFC!$B$16+KFC!$C$16)*KFC!$C$5</f>
        <v>34.448725665316417</v>
      </c>
      <c r="F90" s="898">
        <f>(AC90*KFC!$B$16+KFC!$C$16)*KFC!$C$5</f>
        <v>38.06468825906984</v>
      </c>
      <c r="G90" s="898">
        <f>(AD90*KFC!$B$16+KFC!$C$16)*KFC!$C$5</f>
        <v>41.680650852823256</v>
      </c>
      <c r="H90" s="898">
        <f>(AE90*KFC!$B$16+KFC!$C$16)*KFC!$C$5</f>
        <v>45.296613446576671</v>
      </c>
      <c r="I90" s="898">
        <f>(AF90*KFC!$B$16+KFC!$C$16)*KFC!$C$5</f>
        <v>48.912576040330087</v>
      </c>
      <c r="J90" s="898">
        <f>(AG90*KFC!$B$16+KFC!$C$16)*KFC!$C$5</f>
        <v>52.528538634083503</v>
      </c>
      <c r="K90" s="898">
        <f>(AH90*KFC!$B$16+KFC!$C$16)*KFC!$C$5</f>
        <v>56.144501227836919</v>
      </c>
      <c r="L90" s="898">
        <f>(AI90*KFC!$B$16+KFC!$C$16)*KFC!$C$5</f>
        <v>59.760463821590349</v>
      </c>
      <c r="M90" s="898">
        <f>(AJ90*KFC!$B$16+KFC!$C$16)*KFC!$C$5</f>
        <v>63.376426415343765</v>
      </c>
      <c r="N90" s="898">
        <f>(AK90*KFC!$B$16+KFC!$C$16)*KFC!$C$5</f>
        <v>66.992389009097181</v>
      </c>
      <c r="O90" s="898">
        <f>(AL90*KFC!$B$16+KFC!$C$16)*KFC!$C$5</f>
        <v>70.608351602850604</v>
      </c>
      <c r="P90" s="898">
        <f>(AM90*KFC!$B$16+KFC!$C$16)*KFC!$C$5</f>
        <v>74.224314196604027</v>
      </c>
      <c r="Q90" s="898">
        <f>(AN90*KFC!$B$16+KFC!$C$16)*KFC!$C$5</f>
        <v>77.840276790357464</v>
      </c>
      <c r="R90" s="898">
        <f>(AO90*KFC!$B$16+KFC!$C$16)*KFC!$C$5</f>
        <v>81.456239384110873</v>
      </c>
      <c r="S90" s="898">
        <f>(AP90*KFC!$B$16+KFC!$C$16)*KFC!$C$5</f>
        <v>85.072201977864296</v>
      </c>
      <c r="T90" s="898">
        <f>(AQ90*KFC!$B$16+KFC!$C$16)*KFC!$C$5</f>
        <v>88.688164571617733</v>
      </c>
      <c r="U90" s="898">
        <f>(AR90*KFC!$B$16+KFC!$C$16)*KFC!$C$5</f>
        <v>92.30412716537117</v>
      </c>
      <c r="V90" s="898">
        <f>(AS90*KFC!$B$16+KFC!$C$16)*KFC!$C$5</f>
        <v>95.920089759124579</v>
      </c>
      <c r="W90" s="903">
        <f>(AT90*KFC!$B$16+KFC!$C$16)*KFC!$C$5</f>
        <v>99.536052352877959</v>
      </c>
      <c r="Y90" s="1431"/>
      <c r="Z90" s="649">
        <v>0.9</v>
      </c>
      <c r="AA90" s="882">
        <v>30.832763071562994</v>
      </c>
      <c r="AB90" s="882">
        <v>34.448725665316417</v>
      </c>
      <c r="AC90" s="882">
        <v>38.06468825906984</v>
      </c>
      <c r="AD90" s="882">
        <v>41.680650852823256</v>
      </c>
      <c r="AE90" s="882">
        <v>45.296613446576671</v>
      </c>
      <c r="AF90" s="882">
        <v>48.912576040330087</v>
      </c>
      <c r="AG90" s="882">
        <v>52.528538634083503</v>
      </c>
      <c r="AH90" s="882">
        <v>56.144501227836919</v>
      </c>
      <c r="AI90" s="882">
        <v>59.760463821590349</v>
      </c>
      <c r="AJ90" s="882">
        <v>63.376426415343765</v>
      </c>
      <c r="AK90" s="882">
        <v>66.992389009097181</v>
      </c>
      <c r="AL90" s="882">
        <v>70.608351602850604</v>
      </c>
      <c r="AM90" s="882">
        <v>74.224314196604027</v>
      </c>
      <c r="AN90" s="882">
        <v>77.840276790357464</v>
      </c>
      <c r="AO90" s="882">
        <v>81.456239384110873</v>
      </c>
      <c r="AP90" s="882">
        <v>85.072201977864296</v>
      </c>
      <c r="AQ90" s="882">
        <v>88.688164571617733</v>
      </c>
      <c r="AR90" s="882">
        <v>92.30412716537117</v>
      </c>
      <c r="AS90" s="882">
        <v>95.920089759124579</v>
      </c>
      <c r="AT90" s="882">
        <v>99.536052352877959</v>
      </c>
    </row>
    <row r="91" spans="1:46">
      <c r="A91" s="1426"/>
      <c r="B91" s="1427"/>
      <c r="C91" s="887">
        <v>1</v>
      </c>
      <c r="D91" s="902">
        <f>(AA91*KFC!$B$16+KFC!$C$16)*KFC!$C$5</f>
        <v>31.511973595977</v>
      </c>
      <c r="E91" s="898">
        <f>(AB91*KFC!$B$16+KFC!$C$16)*KFC!$C$5</f>
        <v>35.273538682397515</v>
      </c>
      <c r="F91" s="898">
        <f>(AC91*KFC!$B$16+KFC!$C$16)*KFC!$C$5</f>
        <v>39.03510376881804</v>
      </c>
      <c r="G91" s="898">
        <f>(AD91*KFC!$B$16+KFC!$C$16)*KFC!$C$5</f>
        <v>42.796668855238565</v>
      </c>
      <c r="H91" s="898">
        <f>(AE91*KFC!$B$16+KFC!$C$16)*KFC!$C$5</f>
        <v>46.55823394165909</v>
      </c>
      <c r="I91" s="898">
        <f>(AF91*KFC!$B$16+KFC!$C$16)*KFC!$C$5</f>
        <v>50.319799028079622</v>
      </c>
      <c r="J91" s="898">
        <f>(AG91*KFC!$B$16+KFC!$C$16)*KFC!$C$5</f>
        <v>54.081364114500147</v>
      </c>
      <c r="K91" s="898">
        <f>(AH91*KFC!$B$16+KFC!$C$16)*KFC!$C$5</f>
        <v>57.842929200920672</v>
      </c>
      <c r="L91" s="898">
        <f>(AI91*KFC!$B$16+KFC!$C$16)*KFC!$C$5</f>
        <v>61.604494287341204</v>
      </c>
      <c r="M91" s="898">
        <f>(AJ91*KFC!$B$16+KFC!$C$16)*KFC!$C$5</f>
        <v>65.366059373761729</v>
      </c>
      <c r="N91" s="898">
        <f>(AK91*KFC!$B$16+KFC!$C$16)*KFC!$C$5</f>
        <v>69.127624460182247</v>
      </c>
      <c r="O91" s="898">
        <f>(AL91*KFC!$B$16+KFC!$C$16)*KFC!$C$5</f>
        <v>72.889189546602779</v>
      </c>
      <c r="P91" s="898">
        <f>(AM91*KFC!$B$16+KFC!$C$16)*KFC!$C$5</f>
        <v>76.650754633023297</v>
      </c>
      <c r="Q91" s="898">
        <f>(AN91*KFC!$B$16+KFC!$C$16)*KFC!$C$5</f>
        <v>80.412319719443829</v>
      </c>
      <c r="R91" s="898">
        <f>(AO91*KFC!$B$16+KFC!$C$16)*KFC!$C$5</f>
        <v>84.173884805864361</v>
      </c>
      <c r="S91" s="898">
        <f>(AP91*KFC!$B$16+KFC!$C$16)*KFC!$C$5</f>
        <v>87.935449892284879</v>
      </c>
      <c r="T91" s="898">
        <f>(AQ91*KFC!$B$16+KFC!$C$16)*KFC!$C$5</f>
        <v>91.697014978705397</v>
      </c>
      <c r="U91" s="898">
        <f>(AR91*KFC!$B$16+KFC!$C$16)*KFC!$C$5</f>
        <v>95.458580065125929</v>
      </c>
      <c r="V91" s="898">
        <f>(AS91*KFC!$B$16+KFC!$C$16)*KFC!$C$5</f>
        <v>99.220145151546461</v>
      </c>
      <c r="W91" s="903">
        <f>(AT91*KFC!$B$16+KFC!$C$16)*KFC!$C$5</f>
        <v>102.98171023796695</v>
      </c>
      <c r="Y91" s="1431"/>
      <c r="Z91" s="649">
        <v>1</v>
      </c>
      <c r="AA91" s="882">
        <v>31.511973595977</v>
      </c>
      <c r="AB91" s="882">
        <v>35.273538682397515</v>
      </c>
      <c r="AC91" s="882">
        <v>39.03510376881804</v>
      </c>
      <c r="AD91" s="882">
        <v>42.796668855238565</v>
      </c>
      <c r="AE91" s="882">
        <v>46.55823394165909</v>
      </c>
      <c r="AF91" s="882">
        <v>50.319799028079622</v>
      </c>
      <c r="AG91" s="882">
        <v>54.081364114500147</v>
      </c>
      <c r="AH91" s="882">
        <v>57.842929200920672</v>
      </c>
      <c r="AI91" s="882">
        <v>61.604494287341204</v>
      </c>
      <c r="AJ91" s="882">
        <v>65.366059373761729</v>
      </c>
      <c r="AK91" s="882">
        <v>69.127624460182247</v>
      </c>
      <c r="AL91" s="882">
        <v>72.889189546602779</v>
      </c>
      <c r="AM91" s="882">
        <v>76.650754633023297</v>
      </c>
      <c r="AN91" s="882">
        <v>80.412319719443829</v>
      </c>
      <c r="AO91" s="882">
        <v>84.173884805864361</v>
      </c>
      <c r="AP91" s="882">
        <v>87.935449892284879</v>
      </c>
      <c r="AQ91" s="882">
        <v>91.697014978705397</v>
      </c>
      <c r="AR91" s="882">
        <v>95.458580065125929</v>
      </c>
      <c r="AS91" s="882">
        <v>99.220145151546461</v>
      </c>
      <c r="AT91" s="882">
        <v>102.98171023796695</v>
      </c>
    </row>
    <row r="92" spans="1:46">
      <c r="A92" s="1426"/>
      <c r="B92" s="1427"/>
      <c r="C92" s="887">
        <v>1.1000000000000001</v>
      </c>
      <c r="D92" s="902">
        <f>(AA92*KFC!$B$16+KFC!$C$16)*KFC!$C$5</f>
        <v>32.191184120391</v>
      </c>
      <c r="E92" s="898">
        <f>(AB92*KFC!$B$16+KFC!$C$16)*KFC!$C$5</f>
        <v>36.098351699478627</v>
      </c>
      <c r="F92" s="898">
        <f>(AC92*KFC!$B$16+KFC!$C$16)*KFC!$C$5</f>
        <v>40.005519278566254</v>
      </c>
      <c r="G92" s="898">
        <f>(AD92*KFC!$B$16+KFC!$C$16)*KFC!$C$5</f>
        <v>43.912686857653881</v>
      </c>
      <c r="H92" s="898">
        <f>(AE92*KFC!$B$16+KFC!$C$16)*KFC!$C$5</f>
        <v>47.819854436741515</v>
      </c>
      <c r="I92" s="898">
        <f>(AF92*KFC!$B$16+KFC!$C$16)*KFC!$C$5</f>
        <v>51.727022015829128</v>
      </c>
      <c r="J92" s="898">
        <f>(AG92*KFC!$B$16+KFC!$C$16)*KFC!$C$5</f>
        <v>55.634189594916769</v>
      </c>
      <c r="K92" s="898">
        <f>(AH92*KFC!$B$16+KFC!$C$16)*KFC!$C$5</f>
        <v>59.541357174004389</v>
      </c>
      <c r="L92" s="898">
        <f>(AI92*KFC!$B$16+KFC!$C$16)*KFC!$C$5</f>
        <v>63.448524753092016</v>
      </c>
      <c r="M92" s="898">
        <f>(AJ92*KFC!$B$16+KFC!$C$16)*KFC!$C$5</f>
        <v>67.355692332179643</v>
      </c>
      <c r="N92" s="898">
        <f>(AK92*KFC!$B$16+KFC!$C$16)*KFC!$C$5</f>
        <v>71.262859911267284</v>
      </c>
      <c r="O92" s="898">
        <f>(AL92*KFC!$B$16+KFC!$C$16)*KFC!$C$5</f>
        <v>75.170027490354897</v>
      </c>
      <c r="P92" s="898">
        <f>(AM92*KFC!$B$16+KFC!$C$16)*KFC!$C$5</f>
        <v>79.077195069442539</v>
      </c>
      <c r="Q92" s="898">
        <f>(AN92*KFC!$B$16+KFC!$C$16)*KFC!$C$5</f>
        <v>82.984362648530166</v>
      </c>
      <c r="R92" s="898">
        <f>(AO92*KFC!$B$16+KFC!$C$16)*KFC!$C$5</f>
        <v>86.891530227617807</v>
      </c>
      <c r="S92" s="898">
        <f>(AP92*KFC!$B$16+KFC!$C$16)*KFC!$C$5</f>
        <v>90.79869780670542</v>
      </c>
      <c r="T92" s="898">
        <f>(AQ92*KFC!$B$16+KFC!$C$16)*KFC!$C$5</f>
        <v>94.705865385793032</v>
      </c>
      <c r="U92" s="898">
        <f>(AR92*KFC!$B$16+KFC!$C$16)*KFC!$C$5</f>
        <v>98.613032964880674</v>
      </c>
      <c r="V92" s="898">
        <f>(AS92*KFC!$B$16+KFC!$C$16)*KFC!$C$5</f>
        <v>102.5202005439683</v>
      </c>
      <c r="W92" s="903">
        <f>(AT92*KFC!$B$16+KFC!$C$16)*KFC!$C$5</f>
        <v>106.42736812305596</v>
      </c>
      <c r="Y92" s="1431"/>
      <c r="Z92" s="649">
        <v>1.1000000000000001</v>
      </c>
      <c r="AA92" s="882">
        <v>32.191184120391</v>
      </c>
      <c r="AB92" s="882">
        <v>36.098351699478627</v>
      </c>
      <c r="AC92" s="882">
        <v>40.005519278566254</v>
      </c>
      <c r="AD92" s="882">
        <v>43.912686857653881</v>
      </c>
      <c r="AE92" s="882">
        <v>47.819854436741515</v>
      </c>
      <c r="AF92" s="882">
        <v>51.727022015829128</v>
      </c>
      <c r="AG92" s="882">
        <v>55.634189594916769</v>
      </c>
      <c r="AH92" s="882">
        <v>59.541357174004389</v>
      </c>
      <c r="AI92" s="882">
        <v>63.448524753092016</v>
      </c>
      <c r="AJ92" s="882">
        <v>67.355692332179643</v>
      </c>
      <c r="AK92" s="882">
        <v>71.262859911267284</v>
      </c>
      <c r="AL92" s="882">
        <v>75.170027490354897</v>
      </c>
      <c r="AM92" s="882">
        <v>79.077195069442539</v>
      </c>
      <c r="AN92" s="882">
        <v>82.984362648530166</v>
      </c>
      <c r="AO92" s="882">
        <v>86.891530227617807</v>
      </c>
      <c r="AP92" s="882">
        <v>90.79869780670542</v>
      </c>
      <c r="AQ92" s="882">
        <v>94.705865385793032</v>
      </c>
      <c r="AR92" s="882">
        <v>98.613032964880674</v>
      </c>
      <c r="AS92" s="882">
        <v>102.5202005439683</v>
      </c>
      <c r="AT92" s="882">
        <v>106.42736812305596</v>
      </c>
    </row>
    <row r="93" spans="1:46">
      <c r="A93" s="1426"/>
      <c r="B93" s="1427"/>
      <c r="C93" s="887">
        <v>1.2</v>
      </c>
      <c r="D93" s="902">
        <f>(AA93*KFC!$B$16+KFC!$C$16)*KFC!$C$5</f>
        <v>32.870394644804996</v>
      </c>
      <c r="E93" s="898">
        <f>(AB93*KFC!$B$16+KFC!$C$16)*KFC!$C$5</f>
        <v>36.923164716559732</v>
      </c>
      <c r="F93" s="898">
        <f>(AC93*KFC!$B$16+KFC!$C$16)*KFC!$C$5</f>
        <v>40.975934788314461</v>
      </c>
      <c r="G93" s="898">
        <f>(AD93*KFC!$B$16+KFC!$C$16)*KFC!$C$5</f>
        <v>45.028704860069205</v>
      </c>
      <c r="H93" s="898">
        <f>(AE93*KFC!$B$16+KFC!$C$16)*KFC!$C$5</f>
        <v>49.081474931823934</v>
      </c>
      <c r="I93" s="898">
        <f>(AF93*KFC!$B$16+KFC!$C$16)*KFC!$C$5</f>
        <v>53.13424500357867</v>
      </c>
      <c r="J93" s="898">
        <f>(AG93*KFC!$B$16+KFC!$C$16)*KFC!$C$5</f>
        <v>57.187015075333413</v>
      </c>
      <c r="K93" s="898">
        <f>(AH93*KFC!$B$16+KFC!$C$16)*KFC!$C$5</f>
        <v>61.239785147088142</v>
      </c>
      <c r="L93" s="898">
        <f>(AI93*KFC!$B$16+KFC!$C$16)*KFC!$C$5</f>
        <v>65.292555218842878</v>
      </c>
      <c r="M93" s="898">
        <f>(AJ93*KFC!$B$16+KFC!$C$16)*KFC!$C$5</f>
        <v>69.3453252905976</v>
      </c>
      <c r="N93" s="898">
        <f>(AK93*KFC!$B$16+KFC!$C$16)*KFC!$C$5</f>
        <v>73.398095362352336</v>
      </c>
      <c r="O93" s="898">
        <f>(AL93*KFC!$B$16+KFC!$C$16)*KFC!$C$5</f>
        <v>77.450865434107058</v>
      </c>
      <c r="P93" s="898">
        <f>(AM93*KFC!$B$16+KFC!$C$16)*KFC!$C$5</f>
        <v>81.503635505861794</v>
      </c>
      <c r="Q93" s="898">
        <f>(AN93*KFC!$B$16+KFC!$C$16)*KFC!$C$5</f>
        <v>85.556405577616516</v>
      </c>
      <c r="R93" s="898">
        <f>(AO93*KFC!$B$16+KFC!$C$16)*KFC!$C$5</f>
        <v>89.609175649371252</v>
      </c>
      <c r="S93" s="898">
        <f>(AP93*KFC!$B$16+KFC!$C$16)*KFC!$C$5</f>
        <v>93.661945721125988</v>
      </c>
      <c r="T93" s="898">
        <f>(AQ93*KFC!$B$16+KFC!$C$16)*KFC!$C$5</f>
        <v>97.71471579288071</v>
      </c>
      <c r="U93" s="898">
        <f>(AR93*KFC!$B$16+KFC!$C$16)*KFC!$C$5</f>
        <v>101.76748586463545</v>
      </c>
      <c r="V93" s="898">
        <f>(AS93*KFC!$B$16+KFC!$C$16)*KFC!$C$5</f>
        <v>105.82025593639017</v>
      </c>
      <c r="W93" s="903">
        <f>(AT93*KFC!$B$16+KFC!$C$16)*KFC!$C$5</f>
        <v>109.87302600814496</v>
      </c>
      <c r="Y93" s="1431"/>
      <c r="Z93" s="649">
        <v>1.2</v>
      </c>
      <c r="AA93" s="882">
        <v>32.870394644804996</v>
      </c>
      <c r="AB93" s="882">
        <v>36.923164716559732</v>
      </c>
      <c r="AC93" s="882">
        <v>40.975934788314461</v>
      </c>
      <c r="AD93" s="882">
        <v>45.028704860069205</v>
      </c>
      <c r="AE93" s="882">
        <v>49.081474931823934</v>
      </c>
      <c r="AF93" s="882">
        <v>53.13424500357867</v>
      </c>
      <c r="AG93" s="882">
        <v>57.187015075333413</v>
      </c>
      <c r="AH93" s="882">
        <v>61.239785147088142</v>
      </c>
      <c r="AI93" s="882">
        <v>65.292555218842878</v>
      </c>
      <c r="AJ93" s="882">
        <v>69.3453252905976</v>
      </c>
      <c r="AK93" s="882">
        <v>73.398095362352336</v>
      </c>
      <c r="AL93" s="882">
        <v>77.450865434107058</v>
      </c>
      <c r="AM93" s="882">
        <v>81.503635505861794</v>
      </c>
      <c r="AN93" s="882">
        <v>85.556405577616516</v>
      </c>
      <c r="AO93" s="882">
        <v>89.609175649371252</v>
      </c>
      <c r="AP93" s="882">
        <v>93.661945721125988</v>
      </c>
      <c r="AQ93" s="882">
        <v>97.71471579288071</v>
      </c>
      <c r="AR93" s="882">
        <v>101.76748586463545</v>
      </c>
      <c r="AS93" s="882">
        <v>105.82025593639017</v>
      </c>
      <c r="AT93" s="882">
        <v>109.87302600814496</v>
      </c>
    </row>
    <row r="94" spans="1:46">
      <c r="A94" s="1426"/>
      <c r="B94" s="1427"/>
      <c r="C94" s="887">
        <v>1.3</v>
      </c>
      <c r="D94" s="902">
        <f>(AA94*KFC!$B$16+KFC!$C$16)*KFC!$C$5</f>
        <v>33.549605169218992</v>
      </c>
      <c r="E94" s="898">
        <f>(AB94*KFC!$B$16+KFC!$C$16)*KFC!$C$5</f>
        <v>37.747977733640838</v>
      </c>
      <c r="F94" s="898">
        <f>(AC94*KFC!$B$16+KFC!$C$16)*KFC!$C$5</f>
        <v>41.946350298062669</v>
      </c>
      <c r="G94" s="898">
        <f>(AD94*KFC!$B$16+KFC!$C$16)*KFC!$C$5</f>
        <v>46.144722862484514</v>
      </c>
      <c r="H94" s="898">
        <f>(AE94*KFC!$B$16+KFC!$C$16)*KFC!$C$5</f>
        <v>50.343095426906345</v>
      </c>
      <c r="I94" s="898">
        <f>(AF94*KFC!$B$16+KFC!$C$16)*KFC!$C$5</f>
        <v>54.541467991328183</v>
      </c>
      <c r="J94" s="898">
        <f>(AG94*KFC!$B$16+KFC!$C$16)*KFC!$C$5</f>
        <v>58.739840555750014</v>
      </c>
      <c r="K94" s="898">
        <f>(AH94*KFC!$B$16+KFC!$C$16)*KFC!$C$5</f>
        <v>62.938213120171859</v>
      </c>
      <c r="L94" s="898">
        <f>(AI94*KFC!$B$16+KFC!$C$16)*KFC!$C$5</f>
        <v>67.136585684593697</v>
      </c>
      <c r="M94" s="898">
        <f>(AJ94*KFC!$B$16+KFC!$C$16)*KFC!$C$5</f>
        <v>71.334958249015543</v>
      </c>
      <c r="N94" s="898">
        <f>(AK94*KFC!$B$16+KFC!$C$16)*KFC!$C$5</f>
        <v>75.533330813437374</v>
      </c>
      <c r="O94" s="898">
        <f>(AL94*KFC!$B$16+KFC!$C$16)*KFC!$C$5</f>
        <v>79.731703377859219</v>
      </c>
      <c r="P94" s="898">
        <f>(AM94*KFC!$B$16+KFC!$C$16)*KFC!$C$5</f>
        <v>83.930075942281064</v>
      </c>
      <c r="Q94" s="898">
        <f>(AN94*KFC!$B$16+KFC!$C$16)*KFC!$C$5</f>
        <v>88.128448506702895</v>
      </c>
      <c r="R94" s="898">
        <f>(AO94*KFC!$B$16+KFC!$C$16)*KFC!$C$5</f>
        <v>92.326821071124755</v>
      </c>
      <c r="S94" s="898">
        <f>(AP94*KFC!$B$16+KFC!$C$16)*KFC!$C$5</f>
        <v>96.5251936355466</v>
      </c>
      <c r="T94" s="898">
        <f>(AQ94*KFC!$B$16+KFC!$C$16)*KFC!$C$5</f>
        <v>100.72356619996845</v>
      </c>
      <c r="U94" s="898">
        <f>(AR94*KFC!$B$16+KFC!$C$16)*KFC!$C$5</f>
        <v>104.92193876439028</v>
      </c>
      <c r="V94" s="898">
        <f>(AS94*KFC!$B$16+KFC!$C$16)*KFC!$C$5</f>
        <v>109.12031132881212</v>
      </c>
      <c r="W94" s="903">
        <f>(AT94*KFC!$B$16+KFC!$C$16)*KFC!$C$5</f>
        <v>113.31868389323394</v>
      </c>
      <c r="Y94" s="1431"/>
      <c r="Z94" s="649">
        <v>1.3</v>
      </c>
      <c r="AA94" s="882">
        <v>33.549605169218992</v>
      </c>
      <c r="AB94" s="882">
        <v>37.747977733640838</v>
      </c>
      <c r="AC94" s="882">
        <v>41.946350298062669</v>
      </c>
      <c r="AD94" s="882">
        <v>46.144722862484514</v>
      </c>
      <c r="AE94" s="882">
        <v>50.343095426906345</v>
      </c>
      <c r="AF94" s="882">
        <v>54.541467991328183</v>
      </c>
      <c r="AG94" s="882">
        <v>58.739840555750014</v>
      </c>
      <c r="AH94" s="882">
        <v>62.938213120171859</v>
      </c>
      <c r="AI94" s="882">
        <v>67.136585684593697</v>
      </c>
      <c r="AJ94" s="882">
        <v>71.334958249015543</v>
      </c>
      <c r="AK94" s="882">
        <v>75.533330813437374</v>
      </c>
      <c r="AL94" s="882">
        <v>79.731703377859219</v>
      </c>
      <c r="AM94" s="882">
        <v>83.930075942281064</v>
      </c>
      <c r="AN94" s="882">
        <v>88.128448506702895</v>
      </c>
      <c r="AO94" s="882">
        <v>92.326821071124755</v>
      </c>
      <c r="AP94" s="882">
        <v>96.5251936355466</v>
      </c>
      <c r="AQ94" s="882">
        <v>100.72356619996845</v>
      </c>
      <c r="AR94" s="882">
        <v>104.92193876439028</v>
      </c>
      <c r="AS94" s="882">
        <v>109.12031132881212</v>
      </c>
      <c r="AT94" s="882">
        <v>113.31868389323394</v>
      </c>
    </row>
    <row r="95" spans="1:46">
      <c r="A95" s="1426"/>
      <c r="B95" s="1427"/>
      <c r="C95" s="887">
        <v>1.4</v>
      </c>
      <c r="D95" s="902">
        <f>(AA95*KFC!$B$16+KFC!$C$16)*KFC!$C$5</f>
        <v>34.228815693632995</v>
      </c>
      <c r="E95" s="898">
        <f>(AB95*KFC!$B$16+KFC!$C$16)*KFC!$C$5</f>
        <v>38.572790750721936</v>
      </c>
      <c r="F95" s="898">
        <f>(AC95*KFC!$B$16+KFC!$C$16)*KFC!$C$5</f>
        <v>42.916765807810883</v>
      </c>
      <c r="G95" s="898">
        <f>(AD95*KFC!$B$16+KFC!$C$16)*KFC!$C$5</f>
        <v>47.260740864899823</v>
      </c>
      <c r="H95" s="898">
        <f>(AE95*KFC!$B$16+KFC!$C$16)*KFC!$C$5</f>
        <v>51.604715921988777</v>
      </c>
      <c r="I95" s="898">
        <f>(AF95*KFC!$B$16+KFC!$C$16)*KFC!$C$5</f>
        <v>55.948690979077718</v>
      </c>
      <c r="J95" s="898">
        <f>(AG95*KFC!$B$16+KFC!$C$16)*KFC!$C$5</f>
        <v>60.292666036166658</v>
      </c>
      <c r="K95" s="898">
        <f>(AH95*KFC!$B$16+KFC!$C$16)*KFC!$C$5</f>
        <v>64.636641093255605</v>
      </c>
      <c r="L95" s="898">
        <f>(AI95*KFC!$B$16+KFC!$C$16)*KFC!$C$5</f>
        <v>68.980616150344559</v>
      </c>
      <c r="M95" s="898">
        <f>(AJ95*KFC!$B$16+KFC!$C$16)*KFC!$C$5</f>
        <v>73.324591207433514</v>
      </c>
      <c r="N95" s="898">
        <f>(AK95*KFC!$B$16+KFC!$C$16)*KFC!$C$5</f>
        <v>77.66856626452244</v>
      </c>
      <c r="O95" s="898">
        <f>(AL95*KFC!$B$16+KFC!$C$16)*KFC!$C$5</f>
        <v>82.012541321611394</v>
      </c>
      <c r="P95" s="898">
        <f>(AM95*KFC!$B$16+KFC!$C$16)*KFC!$C$5</f>
        <v>86.356516378700348</v>
      </c>
      <c r="Q95" s="898">
        <f>(AN95*KFC!$B$16+KFC!$C$16)*KFC!$C$5</f>
        <v>90.700491435789274</v>
      </c>
      <c r="R95" s="898">
        <f>(AO95*KFC!$B$16+KFC!$C$16)*KFC!$C$5</f>
        <v>95.044466492878229</v>
      </c>
      <c r="S95" s="898">
        <f>(AP95*KFC!$B$16+KFC!$C$16)*KFC!$C$5</f>
        <v>99.388441549967169</v>
      </c>
      <c r="T95" s="898">
        <f>(AQ95*KFC!$B$16+KFC!$C$16)*KFC!$C$5</f>
        <v>103.73241660705611</v>
      </c>
      <c r="U95" s="898">
        <f>(AR95*KFC!$B$16+KFC!$C$16)*KFC!$C$5</f>
        <v>108.07639166414506</v>
      </c>
      <c r="V95" s="898">
        <f>(AS95*KFC!$B$16+KFC!$C$16)*KFC!$C$5</f>
        <v>112.42036672123402</v>
      </c>
      <c r="W95" s="903">
        <f>(AT95*KFC!$B$16+KFC!$C$16)*KFC!$C$5</f>
        <v>116.76434177832293</v>
      </c>
      <c r="Y95" s="1431"/>
      <c r="Z95" s="649">
        <v>1.4</v>
      </c>
      <c r="AA95" s="882">
        <v>34.228815693632995</v>
      </c>
      <c r="AB95" s="882">
        <v>38.572790750721936</v>
      </c>
      <c r="AC95" s="882">
        <v>42.916765807810883</v>
      </c>
      <c r="AD95" s="882">
        <v>47.260740864899823</v>
      </c>
      <c r="AE95" s="882">
        <v>51.604715921988777</v>
      </c>
      <c r="AF95" s="882">
        <v>55.948690979077718</v>
      </c>
      <c r="AG95" s="882">
        <v>60.292666036166658</v>
      </c>
      <c r="AH95" s="882">
        <v>64.636641093255605</v>
      </c>
      <c r="AI95" s="882">
        <v>68.980616150344559</v>
      </c>
      <c r="AJ95" s="882">
        <v>73.324591207433514</v>
      </c>
      <c r="AK95" s="882">
        <v>77.66856626452244</v>
      </c>
      <c r="AL95" s="882">
        <v>82.012541321611394</v>
      </c>
      <c r="AM95" s="882">
        <v>86.356516378700348</v>
      </c>
      <c r="AN95" s="882">
        <v>90.700491435789274</v>
      </c>
      <c r="AO95" s="882">
        <v>95.044466492878229</v>
      </c>
      <c r="AP95" s="882">
        <v>99.388441549967169</v>
      </c>
      <c r="AQ95" s="882">
        <v>103.73241660705611</v>
      </c>
      <c r="AR95" s="882">
        <v>108.07639166414506</v>
      </c>
      <c r="AS95" s="882">
        <v>112.42036672123402</v>
      </c>
      <c r="AT95" s="882">
        <v>116.76434177832293</v>
      </c>
    </row>
    <row r="96" spans="1:46">
      <c r="A96" s="1426"/>
      <c r="B96" s="1427"/>
      <c r="C96" s="887">
        <v>1.5</v>
      </c>
      <c r="D96" s="902">
        <f>(AA96*KFC!$B$16+KFC!$C$16)*KFC!$C$5</f>
        <v>34.908026218046992</v>
      </c>
      <c r="E96" s="898">
        <f>(AB96*KFC!$B$16+KFC!$C$16)*KFC!$C$5</f>
        <v>39.397603767803048</v>
      </c>
      <c r="F96" s="898">
        <f>(AC96*KFC!$B$16+KFC!$C$16)*KFC!$C$5</f>
        <v>43.887181317559097</v>
      </c>
      <c r="G96" s="898">
        <f>(AD96*KFC!$B$16+KFC!$C$16)*KFC!$C$5</f>
        <v>48.376758867315139</v>
      </c>
      <c r="H96" s="898">
        <f>(AE96*KFC!$B$16+KFC!$C$16)*KFC!$C$5</f>
        <v>52.866336417071189</v>
      </c>
      <c r="I96" s="898">
        <f>(AF96*KFC!$B$16+KFC!$C$16)*KFC!$C$5</f>
        <v>57.355913966827238</v>
      </c>
      <c r="J96" s="898">
        <f>(AG96*KFC!$B$16+KFC!$C$16)*KFC!$C$5</f>
        <v>61.84549151658328</v>
      </c>
      <c r="K96" s="898">
        <f>(AH96*KFC!$B$16+KFC!$C$16)*KFC!$C$5</f>
        <v>66.335069066339329</v>
      </c>
      <c r="L96" s="898">
        <f>(AI96*KFC!$B$16+KFC!$C$16)*KFC!$C$5</f>
        <v>70.824646616095364</v>
      </c>
      <c r="M96" s="898">
        <f>(AJ96*KFC!$B$16+KFC!$C$16)*KFC!$C$5</f>
        <v>75.314224165851414</v>
      </c>
      <c r="N96" s="898">
        <f>(AK96*KFC!$B$16+KFC!$C$16)*KFC!$C$5</f>
        <v>79.803801715607463</v>
      </c>
      <c r="O96" s="898">
        <f>(AL96*KFC!$B$16+KFC!$C$16)*KFC!$C$5</f>
        <v>84.293379265363512</v>
      </c>
      <c r="P96" s="898">
        <f>(AM96*KFC!$B$16+KFC!$C$16)*KFC!$C$5</f>
        <v>88.782956815119562</v>
      </c>
      <c r="Q96" s="898">
        <f>(AN96*KFC!$B$16+KFC!$C$16)*KFC!$C$5</f>
        <v>93.272534364875597</v>
      </c>
      <c r="R96" s="898">
        <f>(AO96*KFC!$B$16+KFC!$C$16)*KFC!$C$5</f>
        <v>97.762111914631646</v>
      </c>
      <c r="S96" s="898">
        <f>(AP96*KFC!$B$16+KFC!$C$16)*KFC!$C$5</f>
        <v>102.25168946438771</v>
      </c>
      <c r="T96" s="898">
        <f>(AQ96*KFC!$B$16+KFC!$C$16)*KFC!$C$5</f>
        <v>106.74126701414373</v>
      </c>
      <c r="U96" s="898">
        <f>(AR96*KFC!$B$16+KFC!$C$16)*KFC!$C$5</f>
        <v>111.23084456389979</v>
      </c>
      <c r="V96" s="898">
        <f>(AS96*KFC!$B$16+KFC!$C$16)*KFC!$C$5</f>
        <v>115.72042211365584</v>
      </c>
      <c r="W96" s="903">
        <f>(AT96*KFC!$B$16+KFC!$C$16)*KFC!$C$5</f>
        <v>120.20999966341193</v>
      </c>
      <c r="Y96" s="1431"/>
      <c r="Z96" s="649">
        <v>1.5</v>
      </c>
      <c r="AA96" s="882">
        <v>34.908026218046992</v>
      </c>
      <c r="AB96" s="882">
        <v>39.397603767803048</v>
      </c>
      <c r="AC96" s="882">
        <v>43.887181317559097</v>
      </c>
      <c r="AD96" s="882">
        <v>48.376758867315139</v>
      </c>
      <c r="AE96" s="882">
        <v>52.866336417071189</v>
      </c>
      <c r="AF96" s="882">
        <v>57.355913966827238</v>
      </c>
      <c r="AG96" s="882">
        <v>61.84549151658328</v>
      </c>
      <c r="AH96" s="882">
        <v>66.335069066339329</v>
      </c>
      <c r="AI96" s="882">
        <v>70.824646616095364</v>
      </c>
      <c r="AJ96" s="882">
        <v>75.314224165851414</v>
      </c>
      <c r="AK96" s="882">
        <v>79.803801715607463</v>
      </c>
      <c r="AL96" s="882">
        <v>84.293379265363512</v>
      </c>
      <c r="AM96" s="882">
        <v>88.782956815119562</v>
      </c>
      <c r="AN96" s="882">
        <v>93.272534364875597</v>
      </c>
      <c r="AO96" s="882">
        <v>97.762111914631646</v>
      </c>
      <c r="AP96" s="882">
        <v>102.25168946438771</v>
      </c>
      <c r="AQ96" s="882">
        <v>106.74126701414373</v>
      </c>
      <c r="AR96" s="882">
        <v>111.23084456389979</v>
      </c>
      <c r="AS96" s="882">
        <v>115.72042211365584</v>
      </c>
      <c r="AT96" s="882">
        <v>120.20999966341193</v>
      </c>
    </row>
    <row r="97" spans="1:46">
      <c r="A97" s="1426"/>
      <c r="B97" s="1427"/>
      <c r="C97" s="887">
        <v>1.6</v>
      </c>
      <c r="D97" s="902">
        <f>(AA97*KFC!$B$16+KFC!$C$16)*KFC!$C$5</f>
        <v>35.587236742460995</v>
      </c>
      <c r="E97" s="898">
        <f>(AB97*KFC!$B$16+KFC!$C$16)*KFC!$C$5</f>
        <v>40.222416784884146</v>
      </c>
      <c r="F97" s="898">
        <f>(AC97*KFC!$B$16+KFC!$C$16)*KFC!$C$5</f>
        <v>44.857596827307297</v>
      </c>
      <c r="G97" s="898">
        <f>(AD97*KFC!$B$16+KFC!$C$16)*KFC!$C$5</f>
        <v>49.492776869730463</v>
      </c>
      <c r="H97" s="898">
        <f>(AE97*KFC!$B$16+KFC!$C$16)*KFC!$C$5</f>
        <v>54.127956912153614</v>
      </c>
      <c r="I97" s="898">
        <f>(AF97*KFC!$B$16+KFC!$C$16)*KFC!$C$5</f>
        <v>58.763136954576773</v>
      </c>
      <c r="J97" s="898">
        <f>(AG97*KFC!$B$16+KFC!$C$16)*KFC!$C$5</f>
        <v>63.398316996999924</v>
      </c>
      <c r="K97" s="898">
        <f>(AH97*KFC!$B$16+KFC!$C$16)*KFC!$C$5</f>
        <v>68.033497039423068</v>
      </c>
      <c r="L97" s="898">
        <f>(AI97*KFC!$B$16+KFC!$C$16)*KFC!$C$5</f>
        <v>72.668677081846212</v>
      </c>
      <c r="M97" s="898">
        <f>(AJ97*KFC!$B$16+KFC!$C$16)*KFC!$C$5</f>
        <v>77.303857124269371</v>
      </c>
      <c r="N97" s="898">
        <f>(AK97*KFC!$B$16+KFC!$C$16)*KFC!$C$5</f>
        <v>81.939037166692501</v>
      </c>
      <c r="O97" s="898">
        <f>(AL97*KFC!$B$16+KFC!$C$16)*KFC!$C$5</f>
        <v>86.574217209115659</v>
      </c>
      <c r="P97" s="898">
        <f>(AM97*KFC!$B$16+KFC!$C$16)*KFC!$C$5</f>
        <v>91.209397251538803</v>
      </c>
      <c r="Q97" s="898">
        <f>(AN97*KFC!$B$16+KFC!$C$16)*KFC!$C$5</f>
        <v>95.844577293961947</v>
      </c>
      <c r="R97" s="898">
        <f>(AO97*KFC!$B$16+KFC!$C$16)*KFC!$C$5</f>
        <v>100.47975733638509</v>
      </c>
      <c r="S97" s="898">
        <f>(AP97*KFC!$B$16+KFC!$C$16)*KFC!$C$5</f>
        <v>105.11493737880825</v>
      </c>
      <c r="T97" s="898">
        <f>(AQ97*KFC!$B$16+KFC!$C$16)*KFC!$C$5</f>
        <v>109.75011742123138</v>
      </c>
      <c r="U97" s="898">
        <f>(AR97*KFC!$B$16+KFC!$C$16)*KFC!$C$5</f>
        <v>114.38529746365454</v>
      </c>
      <c r="V97" s="898">
        <f>(AS97*KFC!$B$16+KFC!$C$16)*KFC!$C$5</f>
        <v>119.0204775060777</v>
      </c>
      <c r="W97" s="903">
        <f>(AT97*KFC!$B$16+KFC!$C$16)*KFC!$C$5</f>
        <v>123.65565754850093</v>
      </c>
      <c r="Y97" s="1431"/>
      <c r="Z97" s="649">
        <v>1.6</v>
      </c>
      <c r="AA97" s="882">
        <v>35.587236742460995</v>
      </c>
      <c r="AB97" s="882">
        <v>40.222416784884146</v>
      </c>
      <c r="AC97" s="882">
        <v>44.857596827307297</v>
      </c>
      <c r="AD97" s="882">
        <v>49.492776869730463</v>
      </c>
      <c r="AE97" s="882">
        <v>54.127956912153614</v>
      </c>
      <c r="AF97" s="882">
        <v>58.763136954576773</v>
      </c>
      <c r="AG97" s="882">
        <v>63.398316996999924</v>
      </c>
      <c r="AH97" s="882">
        <v>68.033497039423068</v>
      </c>
      <c r="AI97" s="882">
        <v>72.668677081846212</v>
      </c>
      <c r="AJ97" s="882">
        <v>77.303857124269371</v>
      </c>
      <c r="AK97" s="882">
        <v>81.939037166692501</v>
      </c>
      <c r="AL97" s="882">
        <v>86.574217209115659</v>
      </c>
      <c r="AM97" s="882">
        <v>91.209397251538803</v>
      </c>
      <c r="AN97" s="882">
        <v>95.844577293961947</v>
      </c>
      <c r="AO97" s="882">
        <v>100.47975733638509</v>
      </c>
      <c r="AP97" s="882">
        <v>105.11493737880825</v>
      </c>
      <c r="AQ97" s="882">
        <v>109.75011742123138</v>
      </c>
      <c r="AR97" s="882">
        <v>114.38529746365454</v>
      </c>
      <c r="AS97" s="882">
        <v>119.0204775060777</v>
      </c>
      <c r="AT97" s="882">
        <v>123.65565754850093</v>
      </c>
    </row>
    <row r="98" spans="1:46">
      <c r="A98" s="1426"/>
      <c r="B98" s="1427"/>
      <c r="C98" s="887">
        <v>1.7</v>
      </c>
      <c r="D98" s="902">
        <f>(AA98*KFC!$B$16+KFC!$C$16)*KFC!$C$5</f>
        <v>36.266447266874998</v>
      </c>
      <c r="E98" s="898">
        <f>(AB98*KFC!$B$16+KFC!$C$16)*KFC!$C$5</f>
        <v>41.047229801965258</v>
      </c>
      <c r="F98" s="898">
        <f>(AC98*KFC!$B$16+KFC!$C$16)*KFC!$C$5</f>
        <v>45.828012337055526</v>
      </c>
      <c r="G98" s="898">
        <f>(AD98*KFC!$B$16+KFC!$C$16)*KFC!$C$5</f>
        <v>50.608794872145779</v>
      </c>
      <c r="H98" s="898">
        <f>(AE98*KFC!$B$16+KFC!$C$16)*KFC!$C$5</f>
        <v>55.389577407236047</v>
      </c>
      <c r="I98" s="898">
        <f>(AF98*KFC!$B$16+KFC!$C$16)*KFC!$C$5</f>
        <v>60.170359942326307</v>
      </c>
      <c r="J98" s="898">
        <f>(AG98*KFC!$B$16+KFC!$C$16)*KFC!$C$5</f>
        <v>64.951142477416568</v>
      </c>
      <c r="K98" s="898">
        <f>(AH98*KFC!$B$16+KFC!$C$16)*KFC!$C$5</f>
        <v>69.731925012506835</v>
      </c>
      <c r="L98" s="898">
        <f>(AI98*KFC!$B$16+KFC!$C$16)*KFC!$C$5</f>
        <v>74.512707547597088</v>
      </c>
      <c r="M98" s="898">
        <f>(AJ98*KFC!$B$16+KFC!$C$16)*KFC!$C$5</f>
        <v>79.293490082687356</v>
      </c>
      <c r="N98" s="898">
        <f>(AK98*KFC!$B$16+KFC!$C$16)*KFC!$C$5</f>
        <v>84.074272617777623</v>
      </c>
      <c r="O98" s="898">
        <f>(AL98*KFC!$B$16+KFC!$C$16)*KFC!$C$5</f>
        <v>88.855055152867891</v>
      </c>
      <c r="P98" s="898">
        <f>(AM98*KFC!$B$16+KFC!$C$16)*KFC!$C$5</f>
        <v>93.635837687958144</v>
      </c>
      <c r="Q98" s="898">
        <f>(AN98*KFC!$B$16+KFC!$C$16)*KFC!$C$5</f>
        <v>98.416620223048412</v>
      </c>
      <c r="R98" s="898">
        <f>(AO98*KFC!$B$16+KFC!$C$16)*KFC!$C$5</f>
        <v>103.19740275813867</v>
      </c>
      <c r="S98" s="898">
        <f>(AP98*KFC!$B$16+KFC!$C$16)*KFC!$C$5</f>
        <v>107.97818529322893</v>
      </c>
      <c r="T98" s="898">
        <f>(AQ98*KFC!$B$16+KFC!$C$16)*KFC!$C$5</f>
        <v>112.75896782831919</v>
      </c>
      <c r="U98" s="898">
        <f>(AR98*KFC!$B$16+KFC!$C$16)*KFC!$C$5</f>
        <v>117.53975036340945</v>
      </c>
      <c r="V98" s="898">
        <f>(AS98*KFC!$B$16+KFC!$C$16)*KFC!$C$5</f>
        <v>122.32053289849972</v>
      </c>
      <c r="W98" s="903">
        <f>(AT98*KFC!$B$16+KFC!$C$16)*KFC!$C$5</f>
        <v>127.10131543358993</v>
      </c>
      <c r="Y98" s="1431"/>
      <c r="Z98" s="649">
        <v>1.7</v>
      </c>
      <c r="AA98" s="882">
        <v>36.266447266874998</v>
      </c>
      <c r="AB98" s="882">
        <v>41.047229801965258</v>
      </c>
      <c r="AC98" s="882">
        <v>45.828012337055526</v>
      </c>
      <c r="AD98" s="882">
        <v>50.608794872145779</v>
      </c>
      <c r="AE98" s="882">
        <v>55.389577407236047</v>
      </c>
      <c r="AF98" s="882">
        <v>60.170359942326307</v>
      </c>
      <c r="AG98" s="882">
        <v>64.951142477416568</v>
      </c>
      <c r="AH98" s="882">
        <v>69.731925012506835</v>
      </c>
      <c r="AI98" s="882">
        <v>74.512707547597088</v>
      </c>
      <c r="AJ98" s="882">
        <v>79.293490082687356</v>
      </c>
      <c r="AK98" s="882">
        <v>84.074272617777623</v>
      </c>
      <c r="AL98" s="882">
        <v>88.855055152867891</v>
      </c>
      <c r="AM98" s="882">
        <v>93.635837687958144</v>
      </c>
      <c r="AN98" s="882">
        <v>98.416620223048412</v>
      </c>
      <c r="AO98" s="882">
        <v>103.19740275813867</v>
      </c>
      <c r="AP98" s="882">
        <v>107.97818529322893</v>
      </c>
      <c r="AQ98" s="882">
        <v>112.75896782831919</v>
      </c>
      <c r="AR98" s="882">
        <v>117.53975036340945</v>
      </c>
      <c r="AS98" s="882">
        <v>122.32053289849972</v>
      </c>
      <c r="AT98" s="882">
        <v>127.10131543358993</v>
      </c>
    </row>
    <row r="99" spans="1:46">
      <c r="A99" s="1426"/>
      <c r="B99" s="1427"/>
      <c r="C99" s="887">
        <v>1.8</v>
      </c>
      <c r="D99" s="902">
        <f>(AA99*KFC!$B$16+KFC!$C$16)*KFC!$C$5</f>
        <v>36.945657791289001</v>
      </c>
      <c r="E99" s="898">
        <f>(AB99*KFC!$B$16+KFC!$C$16)*KFC!$C$5</f>
        <v>41.872042819046364</v>
      </c>
      <c r="F99" s="898">
        <f>(AC99*KFC!$B$16+KFC!$C$16)*KFC!$C$5</f>
        <v>46.798427846803726</v>
      </c>
      <c r="G99" s="898">
        <f>(AD99*KFC!$B$16+KFC!$C$16)*KFC!$C$5</f>
        <v>51.724812874561088</v>
      </c>
      <c r="H99" s="898">
        <f>(AE99*KFC!$B$16+KFC!$C$16)*KFC!$C$5</f>
        <v>56.651197902318458</v>
      </c>
      <c r="I99" s="898">
        <f>(AF99*KFC!$B$16+KFC!$C$16)*KFC!$C$5</f>
        <v>61.577582930075813</v>
      </c>
      <c r="J99" s="898">
        <f>(AG99*KFC!$B$16+KFC!$C$16)*KFC!$C$5</f>
        <v>66.503967957833183</v>
      </c>
      <c r="K99" s="898">
        <f>(AH99*KFC!$B$16+KFC!$C$16)*KFC!$C$5</f>
        <v>71.430352985590545</v>
      </c>
      <c r="L99" s="898">
        <f>(AI99*KFC!$B$16+KFC!$C$16)*KFC!$C$5</f>
        <v>76.356738013347908</v>
      </c>
      <c r="M99" s="898">
        <f>(AJ99*KFC!$B$16+KFC!$C$16)*KFC!$C$5</f>
        <v>81.28312304110527</v>
      </c>
      <c r="N99" s="898">
        <f>(AK99*KFC!$B$16+KFC!$C$16)*KFC!$C$5</f>
        <v>86.209508068862633</v>
      </c>
      <c r="O99" s="898">
        <f>(AL99*KFC!$B$16+KFC!$C$16)*KFC!$C$5</f>
        <v>91.135893096619995</v>
      </c>
      <c r="P99" s="898">
        <f>(AM99*KFC!$B$16+KFC!$C$16)*KFC!$C$5</f>
        <v>96.062278124377357</v>
      </c>
      <c r="Q99" s="898">
        <f>(AN99*KFC!$B$16+KFC!$C$16)*KFC!$C$5</f>
        <v>100.98866315213472</v>
      </c>
      <c r="R99" s="898">
        <f>(AO99*KFC!$B$16+KFC!$C$16)*KFC!$C$5</f>
        <v>105.9150481798921</v>
      </c>
      <c r="S99" s="898">
        <f>(AP99*KFC!$B$16+KFC!$C$16)*KFC!$C$5</f>
        <v>110.84143320764944</v>
      </c>
      <c r="T99" s="898">
        <f>(AQ99*KFC!$B$16+KFC!$C$16)*KFC!$C$5</f>
        <v>115.76781823540681</v>
      </c>
      <c r="U99" s="898">
        <f>(AR99*KFC!$B$16+KFC!$C$16)*KFC!$C$5</f>
        <v>120.69420326316418</v>
      </c>
      <c r="V99" s="898">
        <f>(AS99*KFC!$B$16+KFC!$C$16)*KFC!$C$5</f>
        <v>125.62058829092153</v>
      </c>
      <c r="W99" s="903">
        <f>(AT99*KFC!$B$16+KFC!$C$16)*KFC!$C$5</f>
        <v>130.54697331867894</v>
      </c>
      <c r="Y99" s="1431"/>
      <c r="Z99" s="649">
        <v>1.8</v>
      </c>
      <c r="AA99" s="882">
        <v>36.945657791289001</v>
      </c>
      <c r="AB99" s="882">
        <v>41.872042819046364</v>
      </c>
      <c r="AC99" s="882">
        <v>46.798427846803726</v>
      </c>
      <c r="AD99" s="882">
        <v>51.724812874561088</v>
      </c>
      <c r="AE99" s="882">
        <v>56.651197902318458</v>
      </c>
      <c r="AF99" s="882">
        <v>61.577582930075813</v>
      </c>
      <c r="AG99" s="882">
        <v>66.503967957833183</v>
      </c>
      <c r="AH99" s="882">
        <v>71.430352985590545</v>
      </c>
      <c r="AI99" s="882">
        <v>76.356738013347908</v>
      </c>
      <c r="AJ99" s="882">
        <v>81.28312304110527</v>
      </c>
      <c r="AK99" s="882">
        <v>86.209508068862633</v>
      </c>
      <c r="AL99" s="882">
        <v>91.135893096619995</v>
      </c>
      <c r="AM99" s="882">
        <v>96.062278124377357</v>
      </c>
      <c r="AN99" s="882">
        <v>100.98866315213472</v>
      </c>
      <c r="AO99" s="882">
        <v>105.9150481798921</v>
      </c>
      <c r="AP99" s="882">
        <v>110.84143320764944</v>
      </c>
      <c r="AQ99" s="882">
        <v>115.76781823540681</v>
      </c>
      <c r="AR99" s="882">
        <v>120.69420326316418</v>
      </c>
      <c r="AS99" s="882">
        <v>125.62058829092153</v>
      </c>
      <c r="AT99" s="882">
        <v>130.54697331867894</v>
      </c>
    </row>
    <row r="100" spans="1:46">
      <c r="A100" s="1426"/>
      <c r="B100" s="1427"/>
      <c r="C100" s="887">
        <v>1.9</v>
      </c>
      <c r="D100" s="902">
        <f>(AA100*KFC!$B$16+KFC!$C$16)*KFC!$C$5</f>
        <v>37.624868315703004</v>
      </c>
      <c r="E100" s="898">
        <f>(AB100*KFC!$B$16+KFC!$C$16)*KFC!$C$5</f>
        <v>42.696855836127476</v>
      </c>
      <c r="F100" s="898">
        <f>(AC100*KFC!$B$16+KFC!$C$16)*KFC!$C$5</f>
        <v>47.768843356551947</v>
      </c>
      <c r="G100" s="898">
        <f>(AD100*KFC!$B$16+KFC!$C$16)*KFC!$C$5</f>
        <v>52.840830876976419</v>
      </c>
      <c r="H100" s="898">
        <f>(AE100*KFC!$B$16+KFC!$C$16)*KFC!$C$5</f>
        <v>57.912818397400891</v>
      </c>
      <c r="I100" s="898">
        <f>(AF100*KFC!$B$16+KFC!$C$16)*KFC!$C$5</f>
        <v>62.984805917825362</v>
      </c>
      <c r="J100" s="898">
        <f>(AG100*KFC!$B$16+KFC!$C$16)*KFC!$C$5</f>
        <v>68.056793438249827</v>
      </c>
      <c r="K100" s="898">
        <f>(AH100*KFC!$B$16+KFC!$C$16)*KFC!$C$5</f>
        <v>73.128780958674298</v>
      </c>
      <c r="L100" s="898">
        <f>(AI100*KFC!$B$16+KFC!$C$16)*KFC!$C$5</f>
        <v>78.20076847909877</v>
      </c>
      <c r="M100" s="898">
        <f>(AJ100*KFC!$B$16+KFC!$C$16)*KFC!$C$5</f>
        <v>83.272755999523227</v>
      </c>
      <c r="N100" s="898">
        <f>(AK100*KFC!$B$16+KFC!$C$16)*KFC!$C$5</f>
        <v>88.344743519947698</v>
      </c>
      <c r="O100" s="898">
        <f>(AL100*KFC!$B$16+KFC!$C$16)*KFC!$C$5</f>
        <v>93.41673104037217</v>
      </c>
      <c r="P100" s="898">
        <f>(AM100*KFC!$B$16+KFC!$C$16)*KFC!$C$5</f>
        <v>98.488718560796627</v>
      </c>
      <c r="Q100" s="898">
        <f>(AN100*KFC!$B$16+KFC!$C$16)*KFC!$C$5</f>
        <v>103.56070608122108</v>
      </c>
      <c r="R100" s="898">
        <f>(AO100*KFC!$B$16+KFC!$C$16)*KFC!$C$5</f>
        <v>108.63269360164554</v>
      </c>
      <c r="S100" s="898">
        <f>(AP100*KFC!$B$16+KFC!$C$16)*KFC!$C$5</f>
        <v>113.70468112207001</v>
      </c>
      <c r="T100" s="898">
        <f>(AQ100*KFC!$B$16+KFC!$C$16)*KFC!$C$5</f>
        <v>118.77666864249449</v>
      </c>
      <c r="U100" s="898">
        <f>(AR100*KFC!$B$16+KFC!$C$16)*KFC!$C$5</f>
        <v>123.84865616291894</v>
      </c>
      <c r="V100" s="898">
        <f>(AS100*KFC!$B$16+KFC!$C$16)*KFC!$C$5</f>
        <v>128.92064368334343</v>
      </c>
      <c r="W100" s="903">
        <f>(AT100*KFC!$B$16+KFC!$C$16)*KFC!$C$5</f>
        <v>133.99263120376793</v>
      </c>
      <c r="Y100" s="1431"/>
      <c r="Z100" s="649">
        <v>1.9</v>
      </c>
      <c r="AA100" s="882">
        <v>37.624868315703004</v>
      </c>
      <c r="AB100" s="882">
        <v>42.696855836127476</v>
      </c>
      <c r="AC100" s="882">
        <v>47.768843356551947</v>
      </c>
      <c r="AD100" s="882">
        <v>52.840830876976419</v>
      </c>
      <c r="AE100" s="882">
        <v>57.912818397400891</v>
      </c>
      <c r="AF100" s="882">
        <v>62.984805917825362</v>
      </c>
      <c r="AG100" s="882">
        <v>68.056793438249827</v>
      </c>
      <c r="AH100" s="882">
        <v>73.128780958674298</v>
      </c>
      <c r="AI100" s="882">
        <v>78.20076847909877</v>
      </c>
      <c r="AJ100" s="882">
        <v>83.272755999523227</v>
      </c>
      <c r="AK100" s="882">
        <v>88.344743519947698</v>
      </c>
      <c r="AL100" s="882">
        <v>93.41673104037217</v>
      </c>
      <c r="AM100" s="882">
        <v>98.488718560796627</v>
      </c>
      <c r="AN100" s="882">
        <v>103.56070608122108</v>
      </c>
      <c r="AO100" s="882">
        <v>108.63269360164554</v>
      </c>
      <c r="AP100" s="882">
        <v>113.70468112207001</v>
      </c>
      <c r="AQ100" s="882">
        <v>118.77666864249449</v>
      </c>
      <c r="AR100" s="882">
        <v>123.84865616291894</v>
      </c>
      <c r="AS100" s="882">
        <v>128.92064368334343</v>
      </c>
      <c r="AT100" s="882">
        <v>133.99263120376793</v>
      </c>
    </row>
    <row r="101" spans="1:46">
      <c r="A101" s="1426"/>
      <c r="B101" s="1427"/>
      <c r="C101" s="887">
        <v>2</v>
      </c>
      <c r="D101" s="902">
        <f>(AA101*KFC!$B$16+KFC!$C$16)*KFC!$C$5</f>
        <v>38.304078840117008</v>
      </c>
      <c r="E101" s="898">
        <f>(AB101*KFC!$B$16+KFC!$C$16)*KFC!$C$5</f>
        <v>43.521668853208581</v>
      </c>
      <c r="F101" s="898">
        <f>(AC101*KFC!$B$16+KFC!$C$16)*KFC!$C$5</f>
        <v>48.739258866300155</v>
      </c>
      <c r="G101" s="898">
        <f>(AD101*KFC!$B$16+KFC!$C$16)*KFC!$C$5</f>
        <v>53.956848879391721</v>
      </c>
      <c r="H101" s="898">
        <f>(AE101*KFC!$B$16+KFC!$C$16)*KFC!$C$5</f>
        <v>59.174438892483302</v>
      </c>
      <c r="I101" s="898">
        <f>(AF101*KFC!$B$16+KFC!$C$16)*KFC!$C$5</f>
        <v>64.392028905574861</v>
      </c>
      <c r="J101" s="898">
        <f>(AG101*KFC!$B$16+KFC!$C$16)*KFC!$C$5</f>
        <v>69.609618918666442</v>
      </c>
      <c r="K101" s="898">
        <f>(AH101*KFC!$B$16+KFC!$C$16)*KFC!$C$5</f>
        <v>74.827208931758022</v>
      </c>
      <c r="L101" s="898">
        <f>(AI101*KFC!$B$16+KFC!$C$16)*KFC!$C$5</f>
        <v>80.044798944849603</v>
      </c>
      <c r="M101" s="898">
        <f>(AJ101*KFC!$B$16+KFC!$C$16)*KFC!$C$5</f>
        <v>85.262388957941184</v>
      </c>
      <c r="N101" s="898">
        <f>(AK101*KFC!$B$16+KFC!$C$16)*KFC!$C$5</f>
        <v>90.479978971032764</v>
      </c>
      <c r="O101" s="898">
        <f>(AL101*KFC!$B$16+KFC!$C$16)*KFC!$C$5</f>
        <v>95.697568984124345</v>
      </c>
      <c r="P101" s="898">
        <f>(AM101*KFC!$B$16+KFC!$C$16)*KFC!$C$5</f>
        <v>100.91515899721591</v>
      </c>
      <c r="Q101" s="898">
        <f>(AN101*KFC!$B$16+KFC!$C$16)*KFC!$C$5</f>
        <v>106.13274901030749</v>
      </c>
      <c r="R101" s="898">
        <f>(AO101*KFC!$B$16+KFC!$C$16)*KFC!$C$5</f>
        <v>111.35033902339907</v>
      </c>
      <c r="S101" s="898">
        <f>(AP101*KFC!$B$16+KFC!$C$16)*KFC!$C$5</f>
        <v>116.56792903649065</v>
      </c>
      <c r="T101" s="898">
        <f>(AQ101*KFC!$B$16+KFC!$C$16)*KFC!$C$5</f>
        <v>121.78551904958223</v>
      </c>
      <c r="U101" s="898">
        <f>(AR101*KFC!$B$16+KFC!$C$16)*KFC!$C$5</f>
        <v>127.00310906267383</v>
      </c>
      <c r="V101" s="898">
        <f>(AS101*KFC!$B$16+KFC!$C$16)*KFC!$C$5</f>
        <v>132.2206990757654</v>
      </c>
      <c r="W101" s="903">
        <f>(AT101*KFC!$B$16+KFC!$C$16)*KFC!$C$5</f>
        <v>137.43828908885692</v>
      </c>
      <c r="Y101" s="1431"/>
      <c r="Z101" s="649">
        <v>2</v>
      </c>
      <c r="AA101" s="882">
        <v>38.304078840117008</v>
      </c>
      <c r="AB101" s="882">
        <v>43.521668853208581</v>
      </c>
      <c r="AC101" s="882">
        <v>48.739258866300155</v>
      </c>
      <c r="AD101" s="882">
        <v>53.956848879391721</v>
      </c>
      <c r="AE101" s="882">
        <v>59.174438892483302</v>
      </c>
      <c r="AF101" s="882">
        <v>64.392028905574861</v>
      </c>
      <c r="AG101" s="882">
        <v>69.609618918666442</v>
      </c>
      <c r="AH101" s="882">
        <v>74.827208931758022</v>
      </c>
      <c r="AI101" s="882">
        <v>80.044798944849603</v>
      </c>
      <c r="AJ101" s="882">
        <v>85.262388957941184</v>
      </c>
      <c r="AK101" s="882">
        <v>90.479978971032764</v>
      </c>
      <c r="AL101" s="882">
        <v>95.697568984124345</v>
      </c>
      <c r="AM101" s="882">
        <v>100.91515899721591</v>
      </c>
      <c r="AN101" s="882">
        <v>106.13274901030749</v>
      </c>
      <c r="AO101" s="882">
        <v>111.35033902339907</v>
      </c>
      <c r="AP101" s="882">
        <v>116.56792903649065</v>
      </c>
      <c r="AQ101" s="882">
        <v>121.78551904958223</v>
      </c>
      <c r="AR101" s="882">
        <v>127.00310906267383</v>
      </c>
      <c r="AS101" s="882">
        <v>132.2206990757654</v>
      </c>
      <c r="AT101" s="882">
        <v>137.43828908885692</v>
      </c>
    </row>
    <row r="102" spans="1:46">
      <c r="A102" s="1426"/>
      <c r="B102" s="1427"/>
      <c r="C102" s="887">
        <v>2.1</v>
      </c>
      <c r="D102" s="902">
        <f>(AA102*KFC!$B$16+KFC!$C$16)*KFC!$C$5</f>
        <v>38.983289364531011</v>
      </c>
      <c r="E102" s="898">
        <f>(AB102*KFC!$B$16+KFC!$C$16)*KFC!$C$5</f>
        <v>44.346481870289693</v>
      </c>
      <c r="F102" s="898">
        <f>(AC102*KFC!$B$16+KFC!$C$16)*KFC!$C$5</f>
        <v>49.709674376048369</v>
      </c>
      <c r="G102" s="898">
        <f>(AD102*KFC!$B$16+KFC!$C$16)*KFC!$C$5</f>
        <v>55.072866881807052</v>
      </c>
      <c r="H102" s="898">
        <f>(AE102*KFC!$B$16+KFC!$C$16)*KFC!$C$5</f>
        <v>60.436059387565734</v>
      </c>
      <c r="I102" s="898">
        <f>(AF102*KFC!$B$16+KFC!$C$16)*KFC!$C$5</f>
        <v>65.79925189332441</v>
      </c>
      <c r="J102" s="898">
        <f>(AG102*KFC!$B$16+KFC!$C$16)*KFC!$C$5</f>
        <v>71.1624443990831</v>
      </c>
      <c r="K102" s="898">
        <f>(AH102*KFC!$B$16+KFC!$C$16)*KFC!$C$5</f>
        <v>76.525636904841775</v>
      </c>
      <c r="L102" s="898">
        <f>(AI102*KFC!$B$16+KFC!$C$16)*KFC!$C$5</f>
        <v>81.888829410600451</v>
      </c>
      <c r="M102" s="898">
        <f>(AJ102*KFC!$B$16+KFC!$C$16)*KFC!$C$5</f>
        <v>87.252021916359141</v>
      </c>
      <c r="N102" s="898">
        <f>(AK102*KFC!$B$16+KFC!$C$16)*KFC!$C$5</f>
        <v>92.615214422117816</v>
      </c>
      <c r="O102" s="898">
        <f>(AL102*KFC!$B$16+KFC!$C$16)*KFC!$C$5</f>
        <v>97.978406927876492</v>
      </c>
      <c r="P102" s="898">
        <f>(AM102*KFC!$B$16+KFC!$C$16)*KFC!$C$5</f>
        <v>103.34159943363517</v>
      </c>
      <c r="Q102" s="898">
        <f>(AN102*KFC!$B$16+KFC!$C$16)*KFC!$C$5</f>
        <v>108.70479193939386</v>
      </c>
      <c r="R102" s="898">
        <f>(AO102*KFC!$B$16+KFC!$C$16)*KFC!$C$5</f>
        <v>114.06798444515255</v>
      </c>
      <c r="S102" s="898">
        <f>(AP102*KFC!$B$16+KFC!$C$16)*KFC!$C$5</f>
        <v>119.43117695091121</v>
      </c>
      <c r="T102" s="898">
        <f>(AQ102*KFC!$B$16+KFC!$C$16)*KFC!$C$5</f>
        <v>124.7943694566699</v>
      </c>
      <c r="U102" s="898">
        <f>(AR102*KFC!$B$16+KFC!$C$16)*KFC!$C$5</f>
        <v>130.15756196242859</v>
      </c>
      <c r="V102" s="898">
        <f>(AS102*KFC!$B$16+KFC!$C$16)*KFC!$C$5</f>
        <v>135.52075446818725</v>
      </c>
      <c r="W102" s="903">
        <f>(AT102*KFC!$B$16+KFC!$C$16)*KFC!$C$5</f>
        <v>140.88394697394591</v>
      </c>
      <c r="Y102" s="1431"/>
      <c r="Z102" s="649">
        <v>2.1</v>
      </c>
      <c r="AA102" s="882">
        <v>38.983289364531011</v>
      </c>
      <c r="AB102" s="882">
        <v>44.346481870289693</v>
      </c>
      <c r="AC102" s="882">
        <v>49.709674376048369</v>
      </c>
      <c r="AD102" s="882">
        <v>55.072866881807052</v>
      </c>
      <c r="AE102" s="882">
        <v>60.436059387565734</v>
      </c>
      <c r="AF102" s="882">
        <v>65.79925189332441</v>
      </c>
      <c r="AG102" s="882">
        <v>71.1624443990831</v>
      </c>
      <c r="AH102" s="882">
        <v>76.525636904841775</v>
      </c>
      <c r="AI102" s="882">
        <v>81.888829410600451</v>
      </c>
      <c r="AJ102" s="882">
        <v>87.252021916359141</v>
      </c>
      <c r="AK102" s="882">
        <v>92.615214422117816</v>
      </c>
      <c r="AL102" s="882">
        <v>97.978406927876492</v>
      </c>
      <c r="AM102" s="882">
        <v>103.34159943363517</v>
      </c>
      <c r="AN102" s="882">
        <v>108.70479193939386</v>
      </c>
      <c r="AO102" s="882">
        <v>114.06798444515255</v>
      </c>
      <c r="AP102" s="882">
        <v>119.43117695091121</v>
      </c>
      <c r="AQ102" s="882">
        <v>124.7943694566699</v>
      </c>
      <c r="AR102" s="882">
        <v>130.15756196242859</v>
      </c>
      <c r="AS102" s="882">
        <v>135.52075446818725</v>
      </c>
      <c r="AT102" s="882">
        <v>140.88394697394591</v>
      </c>
    </row>
    <row r="103" spans="1:46" ht="15" thickBot="1">
      <c r="A103" s="1428"/>
      <c r="B103" s="1429"/>
      <c r="C103" s="888">
        <v>2.2000000000000002</v>
      </c>
      <c r="D103" s="904">
        <f>(AA103*KFC!$B$16+KFC!$C$16)*KFC!$C$5</f>
        <v>39.662499888945</v>
      </c>
      <c r="E103" s="905">
        <f>(AB103*KFC!$B$16+KFC!$C$16)*KFC!$C$5</f>
        <v>45.171294887370792</v>
      </c>
      <c r="F103" s="905">
        <f>(AC103*KFC!$B$16+KFC!$C$16)*KFC!$C$5</f>
        <v>50.680089885796583</v>
      </c>
      <c r="G103" s="905">
        <f>(AD103*KFC!$B$16+KFC!$C$16)*KFC!$C$5</f>
        <v>56.188884884222361</v>
      </c>
      <c r="H103" s="905">
        <f>(AE103*KFC!$B$16+KFC!$C$16)*KFC!$C$5</f>
        <v>61.69767988264816</v>
      </c>
      <c r="I103" s="905">
        <f>(AF103*KFC!$B$16+KFC!$C$16)*KFC!$C$5</f>
        <v>67.206474881073945</v>
      </c>
      <c r="J103" s="905">
        <f>(AG103*KFC!$B$16+KFC!$C$16)*KFC!$C$5</f>
        <v>72.715269879499715</v>
      </c>
      <c r="K103" s="905">
        <f>(AH103*KFC!$B$16+KFC!$C$16)*KFC!$C$5</f>
        <v>78.2240648779255</v>
      </c>
      <c r="L103" s="905">
        <f>(AI103*KFC!$B$16+KFC!$C$16)*KFC!$C$5</f>
        <v>83.732859876351284</v>
      </c>
      <c r="M103" s="905">
        <f>(AJ103*KFC!$B$16+KFC!$C$16)*KFC!$C$5</f>
        <v>89.241654874777055</v>
      </c>
      <c r="N103" s="905">
        <f>(AK103*KFC!$B$16+KFC!$C$16)*KFC!$C$5</f>
        <v>94.75044987320284</v>
      </c>
      <c r="O103" s="905">
        <f>(AL103*KFC!$B$16+KFC!$C$16)*KFC!$C$5</f>
        <v>100.25924487162862</v>
      </c>
      <c r="P103" s="905">
        <f>(AM103*KFC!$B$16+KFC!$C$16)*KFC!$C$5</f>
        <v>105.76803987005442</v>
      </c>
      <c r="Q103" s="905">
        <f>(AN103*KFC!$B$16+KFC!$C$16)*KFC!$C$5</f>
        <v>111.27683486848018</v>
      </c>
      <c r="R103" s="905">
        <f>(AO103*KFC!$B$16+KFC!$C$16)*KFC!$C$5</f>
        <v>116.78562986690598</v>
      </c>
      <c r="S103" s="905">
        <f>(AP103*KFC!$B$16+KFC!$C$16)*KFC!$C$5</f>
        <v>122.29442486533176</v>
      </c>
      <c r="T103" s="905">
        <f>(AQ103*KFC!$B$16+KFC!$C$16)*KFC!$C$5</f>
        <v>127.80321986375753</v>
      </c>
      <c r="U103" s="905">
        <f>(AR103*KFC!$B$16+KFC!$C$16)*KFC!$C$5</f>
        <v>133.3120148621833</v>
      </c>
      <c r="V103" s="905">
        <f>(AS103*KFC!$B$16+KFC!$C$16)*KFC!$C$5</f>
        <v>138.8208098606091</v>
      </c>
      <c r="W103" s="906">
        <f>(AT103*KFC!$B$16+KFC!$C$16)*KFC!$C$5</f>
        <v>144.32960485903499</v>
      </c>
      <c r="Y103" s="1432"/>
      <c r="Z103" s="649">
        <v>2.2000000000000002</v>
      </c>
      <c r="AA103" s="882">
        <v>39.662499888945</v>
      </c>
      <c r="AB103" s="882">
        <v>45.171294887370792</v>
      </c>
      <c r="AC103" s="882">
        <v>50.680089885796583</v>
      </c>
      <c r="AD103" s="882">
        <v>56.188884884222361</v>
      </c>
      <c r="AE103" s="882">
        <v>61.69767988264816</v>
      </c>
      <c r="AF103" s="882">
        <v>67.206474881073945</v>
      </c>
      <c r="AG103" s="882">
        <v>72.715269879499715</v>
      </c>
      <c r="AH103" s="882">
        <v>78.2240648779255</v>
      </c>
      <c r="AI103" s="882">
        <v>83.732859876351284</v>
      </c>
      <c r="AJ103" s="882">
        <v>89.241654874777055</v>
      </c>
      <c r="AK103" s="882">
        <v>94.75044987320284</v>
      </c>
      <c r="AL103" s="882">
        <v>100.25924487162862</v>
      </c>
      <c r="AM103" s="882">
        <v>105.76803987005442</v>
      </c>
      <c r="AN103" s="882">
        <v>111.27683486848018</v>
      </c>
      <c r="AO103" s="882">
        <v>116.78562986690598</v>
      </c>
      <c r="AP103" s="882">
        <v>122.29442486533176</v>
      </c>
      <c r="AQ103" s="882">
        <v>127.80321986375753</v>
      </c>
      <c r="AR103" s="882">
        <v>133.3120148621833</v>
      </c>
      <c r="AS103" s="882">
        <v>138.8208098606091</v>
      </c>
      <c r="AT103" s="882">
        <v>144.32960485903499</v>
      </c>
    </row>
    <row r="104" spans="1:46" ht="16.2" thickBot="1">
      <c r="A104" s="380"/>
      <c r="B104" s="380"/>
      <c r="C104" s="380"/>
      <c r="D104" s="380"/>
      <c r="E104" s="380"/>
      <c r="F104" s="380"/>
      <c r="G104" s="380"/>
      <c r="H104" s="380"/>
      <c r="I104" s="380"/>
      <c r="J104" s="380"/>
      <c r="K104" s="380"/>
      <c r="L104" s="380"/>
      <c r="M104" s="380"/>
      <c r="N104" s="380"/>
      <c r="O104" s="380"/>
      <c r="P104" s="380"/>
      <c r="Q104" s="380"/>
      <c r="R104" s="380"/>
      <c r="S104" s="380"/>
      <c r="T104" s="380"/>
      <c r="U104" s="380"/>
      <c r="V104" s="380"/>
      <c r="W104" s="380"/>
    </row>
    <row r="105" spans="1:46" ht="16.5" customHeight="1" thickBot="1">
      <c r="A105" s="1445" t="s">
        <v>448</v>
      </c>
      <c r="B105" s="1446"/>
      <c r="C105" s="1446"/>
      <c r="D105" s="1446"/>
      <c r="E105" s="1446"/>
      <c r="F105" s="1446"/>
      <c r="G105" s="1446"/>
      <c r="H105" s="1446"/>
      <c r="I105" s="1446"/>
      <c r="J105" s="1446"/>
      <c r="K105" s="1446"/>
      <c r="L105" s="1446"/>
      <c r="M105" s="1446"/>
      <c r="N105" s="1446"/>
      <c r="O105" s="1446"/>
      <c r="P105" s="1446"/>
      <c r="Q105" s="1446"/>
      <c r="R105" s="1446"/>
      <c r="S105" s="1446"/>
      <c r="T105" s="1446"/>
      <c r="U105" s="1446"/>
      <c r="V105" s="1446"/>
      <c r="W105" s="1447"/>
    </row>
    <row r="106" spans="1:46" ht="15.6">
      <c r="A106" s="1448"/>
      <c r="B106" s="1449"/>
      <c r="C106" s="1449"/>
      <c r="D106" s="1449"/>
      <c r="E106" s="1449"/>
      <c r="F106" s="1449"/>
      <c r="G106" s="1449"/>
      <c r="H106" s="1449"/>
      <c r="I106" s="1449"/>
      <c r="J106" s="1449"/>
      <c r="K106" s="1450"/>
      <c r="L106" s="1454" t="s">
        <v>449</v>
      </c>
      <c r="M106" s="1455"/>
      <c r="N106" s="1455"/>
      <c r="O106" s="1456"/>
      <c r="P106" s="1457" t="s">
        <v>450</v>
      </c>
      <c r="Q106" s="1458"/>
      <c r="R106" s="1458"/>
      <c r="S106" s="1459"/>
      <c r="T106" s="1454" t="s">
        <v>451</v>
      </c>
      <c r="U106" s="1455"/>
      <c r="V106" s="1455"/>
      <c r="W106" s="1456"/>
    </row>
    <row r="107" spans="1:46" ht="15.6">
      <c r="A107" s="1451"/>
      <c r="B107" s="1452"/>
      <c r="C107" s="1452"/>
      <c r="D107" s="1452"/>
      <c r="E107" s="1452"/>
      <c r="F107" s="1452"/>
      <c r="G107" s="1452"/>
      <c r="H107" s="1452"/>
      <c r="I107" s="1452"/>
      <c r="J107" s="1452"/>
      <c r="K107" s="1453"/>
      <c r="L107" s="1460" t="s">
        <v>452</v>
      </c>
      <c r="M107" s="1461"/>
      <c r="N107" s="1461" t="s">
        <v>453</v>
      </c>
      <c r="O107" s="1462"/>
      <c r="P107" s="1463" t="s">
        <v>452</v>
      </c>
      <c r="Q107" s="1464"/>
      <c r="R107" s="1464" t="s">
        <v>453</v>
      </c>
      <c r="S107" s="1465"/>
      <c r="T107" s="1460" t="s">
        <v>452</v>
      </c>
      <c r="U107" s="1461"/>
      <c r="V107" s="1461" t="s">
        <v>453</v>
      </c>
      <c r="W107" s="1462"/>
    </row>
    <row r="108" spans="1:46" ht="15.6">
      <c r="A108" s="1466" t="s">
        <v>454</v>
      </c>
      <c r="B108" s="1467"/>
      <c r="C108" s="1467"/>
      <c r="D108" s="1467"/>
      <c r="E108" s="1467"/>
      <c r="F108" s="1467"/>
      <c r="G108" s="1467"/>
      <c r="H108" s="1467"/>
      <c r="I108" s="1467"/>
      <c r="J108" s="1467"/>
      <c r="K108" s="1468"/>
      <c r="L108" s="1460">
        <v>23</v>
      </c>
      <c r="M108" s="1461"/>
      <c r="N108" s="1461">
        <v>23</v>
      </c>
      <c r="O108" s="1462"/>
      <c r="P108" s="1463">
        <v>23</v>
      </c>
      <c r="Q108" s="1464"/>
      <c r="R108" s="1464">
        <v>23</v>
      </c>
      <c r="S108" s="1465"/>
      <c r="T108" s="1460">
        <v>23</v>
      </c>
      <c r="U108" s="1461"/>
      <c r="V108" s="1461">
        <v>23</v>
      </c>
      <c r="W108" s="1462"/>
    </row>
    <row r="109" spans="1:46" ht="15.6">
      <c r="A109" s="1466" t="s">
        <v>455</v>
      </c>
      <c r="B109" s="1467"/>
      <c r="C109" s="1467"/>
      <c r="D109" s="1467"/>
      <c r="E109" s="1467"/>
      <c r="F109" s="1467"/>
      <c r="G109" s="1467"/>
      <c r="H109" s="1467"/>
      <c r="I109" s="1467"/>
      <c r="J109" s="1467"/>
      <c r="K109" s="1468"/>
      <c r="L109" s="1460">
        <v>240</v>
      </c>
      <c r="M109" s="1461"/>
      <c r="N109" s="1461">
        <v>170</v>
      </c>
      <c r="O109" s="1462"/>
      <c r="P109" s="1463">
        <v>200</v>
      </c>
      <c r="Q109" s="1464"/>
      <c r="R109" s="1464">
        <v>170</v>
      </c>
      <c r="S109" s="1465"/>
      <c r="T109" s="1460">
        <v>200</v>
      </c>
      <c r="U109" s="1461"/>
      <c r="V109" s="1461">
        <v>170</v>
      </c>
      <c r="W109" s="1462"/>
    </row>
    <row r="110" spans="1:46" ht="18" thickBot="1">
      <c r="A110" s="1475" t="s">
        <v>456</v>
      </c>
      <c r="B110" s="1476"/>
      <c r="C110" s="1476"/>
      <c r="D110" s="1476"/>
      <c r="E110" s="1476"/>
      <c r="F110" s="1476"/>
      <c r="G110" s="1476"/>
      <c r="H110" s="1476"/>
      <c r="I110" s="1476"/>
      <c r="J110" s="1476"/>
      <c r="K110" s="1477"/>
      <c r="L110" s="1478">
        <v>2.5</v>
      </c>
      <c r="M110" s="1479"/>
      <c r="N110" s="1479">
        <v>2.5</v>
      </c>
      <c r="O110" s="1480"/>
      <c r="P110" s="1481">
        <v>2.5</v>
      </c>
      <c r="Q110" s="1482"/>
      <c r="R110" s="1483">
        <v>2</v>
      </c>
      <c r="S110" s="1484"/>
      <c r="T110" s="1478">
        <v>2.5</v>
      </c>
      <c r="U110" s="1479"/>
      <c r="V110" s="1485">
        <v>2</v>
      </c>
      <c r="W110" s="1486"/>
    </row>
    <row r="111" spans="1:46" ht="16.2" thickBot="1">
      <c r="A111" s="6"/>
      <c r="B111" s="1"/>
      <c r="C111" s="379"/>
      <c r="D111" s="381"/>
      <c r="E111" s="381"/>
      <c r="F111" s="381"/>
      <c r="G111" s="381"/>
      <c r="H111" s="381"/>
      <c r="I111" s="380"/>
      <c r="J111" s="380"/>
      <c r="K111" s="380"/>
      <c r="L111" s="380"/>
      <c r="M111" s="380"/>
      <c r="N111" s="380"/>
      <c r="O111" s="380"/>
      <c r="P111" s="380"/>
      <c r="Q111" s="380"/>
      <c r="R111" s="380"/>
      <c r="S111" s="380"/>
      <c r="T111" s="380"/>
      <c r="U111" s="380"/>
      <c r="V111" s="380"/>
      <c r="W111" s="380"/>
    </row>
    <row r="112" spans="1:46" ht="16.2" thickBot="1">
      <c r="A112" s="6" t="s">
        <v>44</v>
      </c>
      <c r="B112" s="1"/>
      <c r="C112" s="379"/>
      <c r="D112" s="382"/>
      <c r="E112" s="382"/>
      <c r="F112" s="382"/>
      <c r="G112" s="382"/>
      <c r="H112" s="382"/>
      <c r="I112" s="382"/>
      <c r="J112" s="380"/>
      <c r="K112" s="380"/>
      <c r="L112" s="380"/>
      <c r="M112" s="380"/>
      <c r="N112" s="380"/>
      <c r="O112" s="380"/>
      <c r="P112" s="380"/>
      <c r="Q112" s="380"/>
      <c r="R112" s="380"/>
      <c r="S112" s="380"/>
      <c r="T112" s="380"/>
      <c r="U112" s="380"/>
      <c r="V112" s="380"/>
      <c r="W112" s="380"/>
    </row>
    <row r="113" spans="1:23" ht="16.2" thickBot="1">
      <c r="A113" s="1469" t="s">
        <v>386</v>
      </c>
      <c r="B113" s="1470"/>
      <c r="C113" s="1470"/>
      <c r="D113" s="889"/>
      <c r="E113" s="889"/>
      <c r="F113" s="891"/>
      <c r="G113" s="890"/>
      <c r="H113" s="1471">
        <f>(2.65*KFC!$B$16+KFC!$C$16)*KFC!$C$5</f>
        <v>2.65</v>
      </c>
      <c r="I113" s="1473" t="s">
        <v>409</v>
      </c>
      <c r="J113" s="380"/>
      <c r="K113" s="380"/>
      <c r="L113" s="380"/>
      <c r="M113" s="380"/>
      <c r="N113" s="380"/>
      <c r="O113" s="380"/>
      <c r="P113" s="380"/>
      <c r="Q113" s="380"/>
      <c r="R113" s="380"/>
      <c r="S113" s="380"/>
      <c r="T113" s="380"/>
      <c r="U113" s="380"/>
      <c r="V113" s="380"/>
      <c r="W113" s="380"/>
    </row>
    <row r="114" spans="1:23" ht="20.25" customHeight="1" thickBot="1">
      <c r="A114" s="892" t="s">
        <v>1059</v>
      </c>
      <c r="B114" s="6"/>
      <c r="C114" s="6"/>
      <c r="F114" s="893"/>
      <c r="G114" s="894"/>
      <c r="H114" s="1472"/>
      <c r="I114" s="1474"/>
      <c r="J114" s="382"/>
      <c r="K114" s="382"/>
      <c r="L114" s="382"/>
      <c r="M114" s="382"/>
      <c r="N114" s="380"/>
      <c r="O114" s="380"/>
      <c r="P114" s="380"/>
      <c r="Q114" s="380"/>
      <c r="R114" s="380"/>
      <c r="S114" s="380"/>
      <c r="T114" s="380"/>
      <c r="U114" s="380"/>
      <c r="V114" s="380"/>
      <c r="W114" s="380"/>
    </row>
    <row r="115" spans="1:23" ht="16.2" thickBot="1">
      <c r="A115" s="895" t="s">
        <v>228</v>
      </c>
      <c r="B115" s="896"/>
      <c r="C115" s="896"/>
      <c r="D115" s="896"/>
      <c r="E115" s="896"/>
      <c r="F115" s="896"/>
      <c r="G115" s="896"/>
      <c r="H115" s="896"/>
      <c r="I115" s="897"/>
      <c r="J115" s="897"/>
      <c r="K115" s="897"/>
      <c r="L115" s="897"/>
      <c r="M115" s="897"/>
      <c r="N115" s="380"/>
      <c r="O115" s="380"/>
      <c r="P115" s="380"/>
      <c r="Q115" s="380"/>
      <c r="R115" s="380"/>
      <c r="S115" s="380"/>
      <c r="T115" s="380"/>
      <c r="U115" s="380"/>
      <c r="V115" s="380"/>
      <c r="W115" s="380"/>
    </row>
  </sheetData>
  <mergeCells count="65">
    <mergeCell ref="P107:Q107"/>
    <mergeCell ref="P108:Q108"/>
    <mergeCell ref="P109:Q109"/>
    <mergeCell ref="P110:Q110"/>
    <mergeCell ref="V107:W107"/>
    <mergeCell ref="V108:W108"/>
    <mergeCell ref="V109:W109"/>
    <mergeCell ref="V110:W110"/>
    <mergeCell ref="R107:S107"/>
    <mergeCell ref="R108:S108"/>
    <mergeCell ref="R109:S109"/>
    <mergeCell ref="R110:S110"/>
    <mergeCell ref="T107:U107"/>
    <mergeCell ref="T108:U108"/>
    <mergeCell ref="T109:U109"/>
    <mergeCell ref="T110:U110"/>
    <mergeCell ref="L108:M108"/>
    <mergeCell ref="L109:M109"/>
    <mergeCell ref="L110:M110"/>
    <mergeCell ref="N108:O108"/>
    <mergeCell ref="N109:O109"/>
    <mergeCell ref="N110:O110"/>
    <mergeCell ref="A1:W2"/>
    <mergeCell ref="A3:W4"/>
    <mergeCell ref="Y56:Z57"/>
    <mergeCell ref="AA56:AT56"/>
    <mergeCell ref="Y58:Y78"/>
    <mergeCell ref="A5:W5"/>
    <mergeCell ref="A30:W30"/>
    <mergeCell ref="D6:W6"/>
    <mergeCell ref="A6:C7"/>
    <mergeCell ref="A8:B28"/>
    <mergeCell ref="AA6:AT6"/>
    <mergeCell ref="Y6:Z7"/>
    <mergeCell ref="Y31:Z32"/>
    <mergeCell ref="AA31:AT31"/>
    <mergeCell ref="Y33:Y53"/>
    <mergeCell ref="A56:C57"/>
    <mergeCell ref="A113:C113"/>
    <mergeCell ref="H113:H114"/>
    <mergeCell ref="I113:I114"/>
    <mergeCell ref="Y81:Z82"/>
    <mergeCell ref="AA81:AT81"/>
    <mergeCell ref="Y83:Y103"/>
    <mergeCell ref="P106:S106"/>
    <mergeCell ref="T106:W106"/>
    <mergeCell ref="A105:W105"/>
    <mergeCell ref="A106:K107"/>
    <mergeCell ref="A108:K108"/>
    <mergeCell ref="A109:K109"/>
    <mergeCell ref="A110:K110"/>
    <mergeCell ref="L106:O106"/>
    <mergeCell ref="L107:M107"/>
    <mergeCell ref="N107:O107"/>
    <mergeCell ref="Y8:Y28"/>
    <mergeCell ref="A33:B53"/>
    <mergeCell ref="A31:C32"/>
    <mergeCell ref="D31:W31"/>
    <mergeCell ref="A83:B103"/>
    <mergeCell ref="A81:C82"/>
    <mergeCell ref="D81:W81"/>
    <mergeCell ref="D56:W56"/>
    <mergeCell ref="A58:B78"/>
    <mergeCell ref="A55:W55"/>
    <mergeCell ref="A80:W80"/>
  </mergeCells>
  <pageMargins left="0.70866141732283472" right="0.70866141732283472" top="0.74803149606299213" bottom="0.74803149606299213" header="0.31496062992125984" footer="0.31496062992125984"/>
  <pageSetup paperSize="9" scale="47" orientation="landscape" r:id="rId1"/>
  <rowBreaks count="1" manualBreakCount="1">
    <brk id="53" max="45" man="1"/>
  </rowBreaks>
  <colBreaks count="1" manualBreakCount="1">
    <brk id="46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20A20F-73E5-4F74-8723-0B9ED0A5C058}">
  <sheetPr>
    <tabColor rgb="FFFF0000"/>
  </sheetPr>
  <dimension ref="A1:IU64"/>
  <sheetViews>
    <sheetView view="pageBreakPreview" zoomScale="80" zoomScaleNormal="80" zoomScaleSheetLayoutView="80" workbookViewId="0">
      <selection sqref="A1:IV4"/>
    </sheetView>
  </sheetViews>
  <sheetFormatPr defaultColWidth="9.109375" defaultRowHeight="14.4"/>
  <cols>
    <col min="1" max="1" width="9.109375" style="880"/>
    <col min="2" max="3" width="5.44140625" style="880" bestFit="1" customWidth="1"/>
    <col min="4" max="4" width="6.6640625" style="880" customWidth="1"/>
    <col min="5" max="5" width="7" style="880" customWidth="1"/>
    <col min="6" max="7" width="6.5546875" style="880" customWidth="1"/>
    <col min="8" max="8" width="6.6640625" style="880" customWidth="1"/>
    <col min="9" max="10" width="6.109375" style="880" customWidth="1"/>
    <col min="11" max="11" width="6.6640625" style="880" customWidth="1"/>
    <col min="12" max="12" width="6.33203125" style="880" customWidth="1"/>
    <col min="13" max="13" width="6.109375" style="880" customWidth="1"/>
    <col min="14" max="14" width="6.5546875" style="880" customWidth="1"/>
    <col min="15" max="15" width="6.88671875" style="880" customWidth="1"/>
    <col min="16" max="17" width="6.44140625" style="880" bestFit="1" customWidth="1"/>
    <col min="18" max="18" width="7.88671875" style="880" customWidth="1"/>
    <col min="19" max="19" width="9" style="880" customWidth="1"/>
    <col min="20" max="20" width="7.5546875" style="880" customWidth="1"/>
    <col min="21" max="21" width="7.88671875" style="880" customWidth="1"/>
    <col min="22" max="22" width="8" style="880" customWidth="1"/>
    <col min="23" max="23" width="6.88671875" style="880" customWidth="1"/>
    <col min="24" max="46" width="9.109375" style="880" hidden="1" customWidth="1"/>
    <col min="47" max="16384" width="9.109375" style="880"/>
  </cols>
  <sheetData>
    <row r="1" spans="1:255" ht="15" customHeight="1">
      <c r="A1" s="1033" t="s">
        <v>1203</v>
      </c>
      <c r="B1" s="1033"/>
      <c r="C1" s="1033"/>
      <c r="D1" s="1033"/>
      <c r="E1" s="1033"/>
      <c r="F1" s="1033"/>
      <c r="G1" s="1033"/>
      <c r="H1" s="1033"/>
      <c r="I1" s="1033"/>
      <c r="J1" s="1033"/>
      <c r="K1" s="1033"/>
      <c r="L1" s="1033"/>
      <c r="M1" s="1033"/>
      <c r="N1" s="1033"/>
      <c r="O1" s="1033"/>
      <c r="P1" s="1033"/>
      <c r="Q1" s="1033"/>
      <c r="R1" s="1033"/>
      <c r="S1" s="1033"/>
      <c r="T1" s="1033"/>
      <c r="U1" s="1033"/>
      <c r="V1" s="1033"/>
      <c r="W1" s="1033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  <c r="AZ1" s="16"/>
      <c r="BA1" s="16"/>
      <c r="BB1" s="16"/>
      <c r="BC1" s="16"/>
      <c r="BD1" s="16"/>
      <c r="BE1" s="16"/>
      <c r="BF1" s="16"/>
      <c r="BG1" s="16"/>
      <c r="BH1" s="16"/>
      <c r="BI1" s="16"/>
      <c r="BJ1" s="16"/>
      <c r="BK1" s="16"/>
      <c r="BL1" s="16"/>
      <c r="BM1" s="16"/>
      <c r="BN1" s="16"/>
      <c r="BO1" s="16"/>
      <c r="BP1" s="16"/>
      <c r="BQ1" s="16"/>
      <c r="BR1" s="16"/>
      <c r="BS1" s="16"/>
      <c r="BT1" s="16"/>
      <c r="BU1" s="16"/>
      <c r="BV1" s="16"/>
      <c r="BW1" s="16"/>
      <c r="BX1" s="16"/>
      <c r="BY1" s="16"/>
      <c r="BZ1" s="16"/>
      <c r="CA1" s="16"/>
      <c r="CB1" s="16"/>
      <c r="CC1" s="16"/>
      <c r="CD1" s="16"/>
      <c r="CE1" s="16"/>
      <c r="CF1" s="16"/>
      <c r="CG1" s="16"/>
      <c r="CH1" s="16"/>
      <c r="CI1" s="16"/>
      <c r="CJ1" s="16"/>
      <c r="CK1" s="16"/>
      <c r="CL1" s="16"/>
      <c r="CM1" s="16"/>
      <c r="CN1" s="16"/>
      <c r="CO1" s="16"/>
      <c r="CP1" s="16"/>
      <c r="CQ1" s="16"/>
      <c r="CR1" s="16"/>
      <c r="CS1" s="16"/>
      <c r="CT1" s="16"/>
      <c r="CU1" s="16"/>
      <c r="CV1" s="16"/>
      <c r="CW1" s="16"/>
      <c r="CX1" s="16"/>
      <c r="CY1" s="16"/>
      <c r="CZ1" s="16"/>
      <c r="DA1" s="16"/>
      <c r="DB1" s="16"/>
      <c r="DC1" s="16"/>
      <c r="DD1" s="16"/>
      <c r="DE1" s="16"/>
      <c r="DF1" s="16"/>
      <c r="DG1" s="16"/>
      <c r="DH1" s="16"/>
      <c r="DI1" s="16"/>
      <c r="DJ1" s="16"/>
      <c r="DK1" s="16"/>
      <c r="DL1" s="16"/>
      <c r="DM1" s="16"/>
      <c r="DN1" s="16"/>
      <c r="DO1" s="16"/>
      <c r="DP1" s="16"/>
      <c r="DQ1" s="16"/>
      <c r="DR1" s="16"/>
      <c r="DS1" s="16"/>
      <c r="DT1" s="16"/>
      <c r="DU1" s="16"/>
      <c r="DV1" s="16"/>
      <c r="DW1" s="16"/>
      <c r="DX1" s="16"/>
      <c r="DY1" s="16"/>
      <c r="DZ1" s="16"/>
      <c r="EA1" s="16"/>
      <c r="EB1" s="16"/>
      <c r="EC1" s="16"/>
      <c r="ED1" s="16"/>
      <c r="EE1" s="16"/>
      <c r="EF1" s="16"/>
      <c r="EG1" s="16"/>
      <c r="EH1" s="16"/>
      <c r="EI1" s="16"/>
      <c r="EJ1" s="16"/>
      <c r="EK1" s="16"/>
      <c r="EL1" s="16"/>
      <c r="EM1" s="16"/>
      <c r="EN1" s="16"/>
      <c r="EO1" s="16"/>
      <c r="EP1" s="16"/>
      <c r="EQ1" s="16"/>
      <c r="ER1" s="16"/>
      <c r="ES1" s="16"/>
      <c r="ET1" s="16"/>
      <c r="EU1" s="16"/>
      <c r="EV1" s="16"/>
      <c r="EW1" s="16"/>
      <c r="EX1" s="16"/>
      <c r="EY1" s="16"/>
      <c r="EZ1" s="16"/>
      <c r="FA1" s="16"/>
      <c r="FB1" s="16"/>
      <c r="FC1" s="16"/>
      <c r="FD1" s="16"/>
      <c r="FE1" s="16"/>
      <c r="FF1" s="16"/>
      <c r="FG1" s="16"/>
      <c r="FH1" s="16"/>
      <c r="FI1" s="16"/>
      <c r="FJ1" s="16"/>
      <c r="FK1" s="16"/>
      <c r="FL1" s="16"/>
      <c r="FM1" s="16"/>
      <c r="FN1" s="16"/>
      <c r="FO1" s="16"/>
      <c r="FP1" s="16"/>
      <c r="FQ1" s="16"/>
      <c r="FR1" s="16"/>
      <c r="FS1" s="16"/>
      <c r="FT1" s="16"/>
      <c r="FU1" s="16"/>
      <c r="FV1" s="16"/>
      <c r="FW1" s="16"/>
      <c r="FX1" s="16"/>
      <c r="FY1" s="16"/>
      <c r="FZ1" s="16"/>
      <c r="GA1" s="16"/>
      <c r="GB1" s="16"/>
      <c r="GC1" s="16"/>
      <c r="GD1" s="16"/>
      <c r="GE1" s="16"/>
      <c r="GF1" s="16"/>
      <c r="GG1" s="16"/>
      <c r="GH1" s="16"/>
      <c r="GI1" s="16"/>
      <c r="GJ1" s="16"/>
      <c r="GK1" s="16"/>
      <c r="GL1" s="16"/>
      <c r="GM1" s="16"/>
      <c r="GN1" s="16"/>
      <c r="GO1" s="16"/>
      <c r="GP1" s="16"/>
      <c r="GQ1" s="16"/>
      <c r="GR1" s="16"/>
      <c r="GS1" s="16"/>
      <c r="GT1" s="16"/>
      <c r="GU1" s="16"/>
      <c r="GV1" s="16"/>
      <c r="GW1" s="16"/>
      <c r="GX1" s="16"/>
      <c r="GY1" s="16"/>
      <c r="GZ1" s="16"/>
      <c r="HA1" s="16"/>
      <c r="HB1" s="16"/>
      <c r="HC1" s="16"/>
      <c r="HD1" s="16"/>
      <c r="HE1" s="16"/>
      <c r="HF1" s="16"/>
      <c r="HG1" s="16"/>
      <c r="HH1" s="16"/>
      <c r="HI1" s="16"/>
      <c r="HJ1" s="16"/>
      <c r="HK1" s="16"/>
      <c r="HL1" s="16"/>
      <c r="HM1" s="16"/>
      <c r="HN1" s="16"/>
      <c r="HO1" s="16"/>
      <c r="HP1" s="16"/>
      <c r="HQ1" s="16"/>
      <c r="HR1" s="16"/>
      <c r="HS1" s="16"/>
      <c r="HT1" s="16"/>
      <c r="HU1" s="16"/>
      <c r="HV1" s="16"/>
      <c r="HW1" s="16"/>
      <c r="HX1" s="16"/>
      <c r="HY1" s="16"/>
      <c r="HZ1" s="16"/>
      <c r="IA1" s="16"/>
      <c r="IB1" s="16"/>
      <c r="IC1" s="16"/>
      <c r="ID1" s="16"/>
      <c r="IE1" s="16"/>
      <c r="IF1" s="16"/>
      <c r="IG1" s="16"/>
      <c r="IH1" s="16"/>
      <c r="II1" s="16"/>
      <c r="IJ1" s="16"/>
      <c r="IK1" s="16"/>
      <c r="IL1" s="16"/>
      <c r="IM1" s="16"/>
      <c r="IN1" s="16"/>
      <c r="IO1" s="16"/>
      <c r="IP1" s="16"/>
      <c r="IQ1" s="16"/>
      <c r="IR1" s="16"/>
      <c r="IS1" s="16"/>
      <c r="IT1" s="16"/>
      <c r="IU1" s="16"/>
    </row>
    <row r="2" spans="1:255" ht="15" customHeight="1">
      <c r="A2" s="1033"/>
      <c r="B2" s="1033"/>
      <c r="C2" s="1033"/>
      <c r="D2" s="1033"/>
      <c r="E2" s="1033"/>
      <c r="F2" s="1033"/>
      <c r="G2" s="1033"/>
      <c r="H2" s="1033"/>
      <c r="I2" s="1033"/>
      <c r="J2" s="1033"/>
      <c r="K2" s="1033"/>
      <c r="L2" s="1033"/>
      <c r="M2" s="1033"/>
      <c r="N2" s="1033"/>
      <c r="O2" s="1033"/>
      <c r="P2" s="1033"/>
      <c r="Q2" s="1033"/>
      <c r="R2" s="1033"/>
      <c r="S2" s="1033"/>
      <c r="T2" s="1033"/>
      <c r="U2" s="1033"/>
      <c r="V2" s="1033"/>
      <c r="W2" s="1033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16"/>
      <c r="CS2" s="16"/>
      <c r="CT2" s="16"/>
      <c r="CU2" s="16"/>
      <c r="CV2" s="16"/>
      <c r="CW2" s="16"/>
      <c r="CX2" s="16"/>
      <c r="CY2" s="16"/>
      <c r="CZ2" s="16"/>
      <c r="DA2" s="16"/>
      <c r="DB2" s="16"/>
      <c r="DC2" s="16"/>
      <c r="DD2" s="16"/>
      <c r="DE2" s="16"/>
      <c r="DF2" s="16"/>
      <c r="DG2" s="16"/>
      <c r="DH2" s="16"/>
      <c r="DI2" s="16"/>
      <c r="DJ2" s="16"/>
      <c r="DK2" s="16"/>
      <c r="DL2" s="16"/>
      <c r="DM2" s="16"/>
      <c r="DN2" s="16"/>
      <c r="DO2" s="16"/>
      <c r="DP2" s="16"/>
      <c r="DQ2" s="16"/>
      <c r="DR2" s="16"/>
      <c r="DS2" s="16"/>
      <c r="DT2" s="16"/>
      <c r="DU2" s="16"/>
      <c r="DV2" s="16"/>
      <c r="DW2" s="16"/>
      <c r="DX2" s="16"/>
      <c r="DY2" s="16"/>
      <c r="DZ2" s="16"/>
      <c r="EA2" s="16"/>
      <c r="EB2" s="16"/>
      <c r="EC2" s="16"/>
      <c r="ED2" s="16"/>
      <c r="EE2" s="16"/>
      <c r="EF2" s="16"/>
      <c r="EG2" s="16"/>
      <c r="EH2" s="16"/>
      <c r="EI2" s="16"/>
      <c r="EJ2" s="16"/>
      <c r="EK2" s="16"/>
      <c r="EL2" s="16"/>
      <c r="EM2" s="16"/>
      <c r="EN2" s="16"/>
      <c r="EO2" s="16"/>
      <c r="EP2" s="16"/>
      <c r="EQ2" s="16"/>
      <c r="ER2" s="16"/>
      <c r="ES2" s="16"/>
      <c r="ET2" s="16"/>
      <c r="EU2" s="16"/>
      <c r="EV2" s="16"/>
      <c r="EW2" s="16"/>
      <c r="EX2" s="16"/>
      <c r="EY2" s="16"/>
      <c r="EZ2" s="16"/>
      <c r="FA2" s="16"/>
      <c r="FB2" s="16"/>
      <c r="FC2" s="16"/>
      <c r="FD2" s="16"/>
      <c r="FE2" s="16"/>
      <c r="FF2" s="16"/>
      <c r="FG2" s="16"/>
      <c r="FH2" s="16"/>
      <c r="FI2" s="16"/>
      <c r="FJ2" s="16"/>
      <c r="FK2" s="16"/>
      <c r="FL2" s="16"/>
      <c r="FM2" s="16"/>
      <c r="FN2" s="16"/>
      <c r="FO2" s="16"/>
      <c r="FP2" s="16"/>
      <c r="FQ2" s="16"/>
      <c r="FR2" s="16"/>
      <c r="FS2" s="16"/>
      <c r="FT2" s="16"/>
      <c r="FU2" s="16"/>
      <c r="FV2" s="16"/>
      <c r="FW2" s="16"/>
      <c r="FX2" s="16"/>
      <c r="FY2" s="16"/>
      <c r="FZ2" s="16"/>
      <c r="GA2" s="16"/>
      <c r="GB2" s="16"/>
      <c r="GC2" s="16"/>
      <c r="GD2" s="16"/>
      <c r="GE2" s="16"/>
      <c r="GF2" s="16"/>
      <c r="GG2" s="16"/>
      <c r="GH2" s="16"/>
      <c r="GI2" s="16"/>
      <c r="GJ2" s="16"/>
      <c r="GK2" s="16"/>
      <c r="GL2" s="16"/>
      <c r="GM2" s="16"/>
      <c r="GN2" s="16"/>
      <c r="GO2" s="16"/>
      <c r="GP2" s="16"/>
      <c r="GQ2" s="16"/>
      <c r="GR2" s="16"/>
      <c r="GS2" s="16"/>
      <c r="GT2" s="16"/>
      <c r="GU2" s="16"/>
      <c r="GV2" s="16"/>
      <c r="GW2" s="16"/>
      <c r="GX2" s="16"/>
      <c r="GY2" s="16"/>
      <c r="GZ2" s="16"/>
      <c r="HA2" s="16"/>
      <c r="HB2" s="16"/>
      <c r="HC2" s="16"/>
      <c r="HD2" s="16"/>
      <c r="HE2" s="16"/>
      <c r="HF2" s="16"/>
      <c r="HG2" s="16"/>
      <c r="HH2" s="16"/>
      <c r="HI2" s="16"/>
      <c r="HJ2" s="16"/>
      <c r="HK2" s="16"/>
      <c r="HL2" s="16"/>
      <c r="HM2" s="16"/>
      <c r="HN2" s="16"/>
      <c r="HO2" s="16"/>
      <c r="HP2" s="16"/>
      <c r="HQ2" s="16"/>
      <c r="HR2" s="16"/>
      <c r="HS2" s="16"/>
      <c r="HT2" s="16"/>
      <c r="HU2" s="16"/>
      <c r="HV2" s="16"/>
      <c r="HW2" s="16"/>
      <c r="HX2" s="16"/>
      <c r="HY2" s="16"/>
      <c r="HZ2" s="16"/>
      <c r="IA2" s="16"/>
      <c r="IB2" s="16"/>
      <c r="IC2" s="16"/>
      <c r="ID2" s="16"/>
      <c r="IE2" s="16"/>
      <c r="IF2" s="16"/>
      <c r="IG2" s="16"/>
      <c r="IH2" s="16"/>
      <c r="II2" s="16"/>
      <c r="IJ2" s="16"/>
      <c r="IK2" s="16"/>
      <c r="IL2" s="16"/>
      <c r="IM2" s="16"/>
      <c r="IN2" s="16"/>
      <c r="IO2" s="16"/>
      <c r="IP2" s="16"/>
      <c r="IQ2" s="16"/>
      <c r="IR2" s="16"/>
      <c r="IS2" s="16"/>
      <c r="IT2" s="16"/>
      <c r="IU2" s="16"/>
    </row>
    <row r="3" spans="1:255" ht="15" customHeight="1">
      <c r="A3" s="1033" t="s">
        <v>1199</v>
      </c>
      <c r="B3" s="1033"/>
      <c r="C3" s="1033"/>
      <c r="D3" s="1033"/>
      <c r="E3" s="1033"/>
      <c r="F3" s="1033"/>
      <c r="G3" s="1033"/>
      <c r="H3" s="1033"/>
      <c r="I3" s="1033"/>
      <c r="J3" s="1033"/>
      <c r="K3" s="1033"/>
      <c r="L3" s="1033"/>
      <c r="M3" s="1033"/>
      <c r="N3" s="1033"/>
      <c r="O3" s="1033"/>
      <c r="P3" s="1033"/>
      <c r="Q3" s="1033"/>
      <c r="R3" s="1033"/>
      <c r="S3" s="1033"/>
      <c r="T3" s="1033"/>
      <c r="U3" s="1033"/>
      <c r="V3" s="1033"/>
      <c r="W3" s="1033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/>
      <c r="BC3" s="16"/>
      <c r="BD3" s="16"/>
      <c r="BE3" s="16"/>
      <c r="BF3" s="16"/>
      <c r="BG3" s="16"/>
      <c r="BH3" s="16"/>
      <c r="BI3" s="16"/>
      <c r="BJ3" s="16"/>
      <c r="BK3" s="16"/>
      <c r="BL3" s="16"/>
      <c r="BM3" s="16"/>
      <c r="BN3" s="16"/>
      <c r="BO3" s="16"/>
      <c r="BP3" s="16"/>
      <c r="BQ3" s="16"/>
      <c r="BR3" s="16"/>
      <c r="BS3" s="16"/>
      <c r="BT3" s="16"/>
      <c r="BU3" s="16"/>
      <c r="BV3" s="16"/>
      <c r="BW3" s="16"/>
      <c r="BX3" s="16"/>
      <c r="BY3" s="16"/>
      <c r="BZ3" s="16"/>
      <c r="CA3" s="16"/>
      <c r="CB3" s="16"/>
      <c r="CC3" s="16"/>
      <c r="CD3" s="16"/>
      <c r="CE3" s="16"/>
      <c r="CF3" s="16"/>
      <c r="CG3" s="16"/>
      <c r="CH3" s="16"/>
      <c r="CI3" s="16"/>
      <c r="CJ3" s="16"/>
      <c r="CK3" s="16"/>
      <c r="CL3" s="16"/>
      <c r="CM3" s="16"/>
      <c r="CN3" s="16"/>
      <c r="CO3" s="16"/>
      <c r="CP3" s="16"/>
      <c r="CQ3" s="16"/>
      <c r="CR3" s="16"/>
      <c r="CS3" s="16"/>
      <c r="CT3" s="16"/>
      <c r="CU3" s="16"/>
      <c r="CV3" s="16"/>
      <c r="CW3" s="16"/>
      <c r="CX3" s="16"/>
      <c r="CY3" s="16"/>
      <c r="CZ3" s="16"/>
      <c r="DA3" s="16"/>
      <c r="DB3" s="16"/>
      <c r="DC3" s="16"/>
      <c r="DD3" s="16"/>
      <c r="DE3" s="16"/>
      <c r="DF3" s="16"/>
      <c r="DG3" s="16"/>
      <c r="DH3" s="16"/>
      <c r="DI3" s="16"/>
      <c r="DJ3" s="16"/>
      <c r="DK3" s="16"/>
      <c r="DL3" s="16"/>
      <c r="DM3" s="16"/>
      <c r="DN3" s="16"/>
      <c r="DO3" s="16"/>
      <c r="DP3" s="16"/>
      <c r="DQ3" s="16"/>
      <c r="DR3" s="16"/>
      <c r="DS3" s="16"/>
      <c r="DT3" s="16"/>
      <c r="DU3" s="16"/>
      <c r="DV3" s="16"/>
      <c r="DW3" s="16"/>
      <c r="DX3" s="16"/>
      <c r="DY3" s="16"/>
      <c r="DZ3" s="16"/>
      <c r="EA3" s="16"/>
      <c r="EB3" s="16"/>
      <c r="EC3" s="16"/>
      <c r="ED3" s="16"/>
      <c r="EE3" s="16"/>
      <c r="EF3" s="16"/>
      <c r="EG3" s="16"/>
      <c r="EH3" s="16"/>
      <c r="EI3" s="16"/>
      <c r="EJ3" s="16"/>
      <c r="EK3" s="16"/>
      <c r="EL3" s="16"/>
      <c r="EM3" s="16"/>
      <c r="EN3" s="16"/>
      <c r="EO3" s="16"/>
      <c r="EP3" s="16"/>
      <c r="EQ3" s="16"/>
      <c r="ER3" s="16"/>
      <c r="ES3" s="16"/>
      <c r="ET3" s="16"/>
      <c r="EU3" s="16"/>
      <c r="EV3" s="16"/>
      <c r="EW3" s="16"/>
      <c r="EX3" s="16"/>
      <c r="EY3" s="16"/>
      <c r="EZ3" s="16"/>
      <c r="FA3" s="16"/>
      <c r="FB3" s="16"/>
      <c r="FC3" s="16"/>
      <c r="FD3" s="16"/>
      <c r="FE3" s="16"/>
      <c r="FF3" s="16"/>
      <c r="FG3" s="16"/>
      <c r="FH3" s="16"/>
      <c r="FI3" s="16"/>
      <c r="FJ3" s="16"/>
      <c r="FK3" s="16"/>
      <c r="FL3" s="16"/>
      <c r="FM3" s="16"/>
      <c r="FN3" s="16"/>
      <c r="FO3" s="16"/>
      <c r="FP3" s="16"/>
      <c r="FQ3" s="16"/>
      <c r="FR3" s="16"/>
      <c r="FS3" s="16"/>
      <c r="FT3" s="16"/>
      <c r="FU3" s="16"/>
      <c r="FV3" s="16"/>
      <c r="FW3" s="16"/>
      <c r="FX3" s="16"/>
      <c r="FY3" s="16"/>
      <c r="FZ3" s="16"/>
      <c r="GA3" s="16"/>
      <c r="GB3" s="16"/>
      <c r="GC3" s="16"/>
      <c r="GD3" s="16"/>
      <c r="GE3" s="16"/>
      <c r="GF3" s="16"/>
      <c r="GG3" s="16"/>
      <c r="GH3" s="16"/>
      <c r="GI3" s="16"/>
      <c r="GJ3" s="16"/>
      <c r="GK3" s="16"/>
      <c r="GL3" s="16"/>
      <c r="GM3" s="16"/>
      <c r="GN3" s="16"/>
      <c r="GO3" s="16"/>
      <c r="GP3" s="16"/>
      <c r="GQ3" s="16"/>
      <c r="GR3" s="16"/>
      <c r="GS3" s="16"/>
      <c r="GT3" s="16"/>
      <c r="GU3" s="16"/>
      <c r="GV3" s="16"/>
      <c r="GW3" s="16"/>
      <c r="GX3" s="16"/>
      <c r="GY3" s="16"/>
      <c r="GZ3" s="16"/>
      <c r="HA3" s="16"/>
      <c r="HB3" s="16"/>
      <c r="HC3" s="16"/>
      <c r="HD3" s="16"/>
      <c r="HE3" s="16"/>
      <c r="HF3" s="16"/>
      <c r="HG3" s="16"/>
      <c r="HH3" s="16"/>
      <c r="HI3" s="16"/>
      <c r="HJ3" s="16"/>
      <c r="HK3" s="16"/>
      <c r="HL3" s="16"/>
      <c r="HM3" s="16"/>
      <c r="HN3" s="16"/>
      <c r="HO3" s="16"/>
      <c r="HP3" s="16"/>
      <c r="HQ3" s="16"/>
      <c r="HR3" s="16"/>
      <c r="HS3" s="16"/>
      <c r="HT3" s="16"/>
      <c r="HU3" s="16"/>
      <c r="HV3" s="16"/>
      <c r="HW3" s="16"/>
      <c r="HX3" s="16"/>
      <c r="HY3" s="16"/>
      <c r="HZ3" s="16"/>
      <c r="IA3" s="16"/>
      <c r="IB3" s="16"/>
      <c r="IC3" s="16"/>
      <c r="ID3" s="16"/>
      <c r="IE3" s="16"/>
      <c r="IF3" s="16"/>
      <c r="IG3" s="16"/>
      <c r="IH3" s="16"/>
      <c r="II3" s="16"/>
      <c r="IJ3" s="16"/>
      <c r="IK3" s="16"/>
      <c r="IL3" s="16"/>
      <c r="IM3" s="16"/>
      <c r="IN3" s="16"/>
      <c r="IO3" s="16"/>
      <c r="IP3" s="16"/>
      <c r="IQ3" s="16"/>
      <c r="IR3" s="16"/>
      <c r="IS3" s="16"/>
      <c r="IT3" s="16"/>
      <c r="IU3" s="16"/>
    </row>
    <row r="4" spans="1:255" ht="15" customHeight="1">
      <c r="A4" s="1033"/>
      <c r="B4" s="1033"/>
      <c r="C4" s="1033"/>
      <c r="D4" s="1033"/>
      <c r="E4" s="1033"/>
      <c r="F4" s="1033"/>
      <c r="G4" s="1033"/>
      <c r="H4" s="1033"/>
      <c r="I4" s="1033"/>
      <c r="J4" s="1033"/>
      <c r="K4" s="1033"/>
      <c r="L4" s="1033"/>
      <c r="M4" s="1033"/>
      <c r="N4" s="1033"/>
      <c r="O4" s="1033"/>
      <c r="P4" s="1033"/>
      <c r="Q4" s="1033"/>
      <c r="R4" s="1033"/>
      <c r="S4" s="1033"/>
      <c r="T4" s="1033"/>
      <c r="U4" s="1033"/>
      <c r="V4" s="1033"/>
      <c r="W4" s="1033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6"/>
      <c r="DB4" s="16"/>
      <c r="DC4" s="16"/>
      <c r="DD4" s="16"/>
      <c r="DE4" s="16"/>
      <c r="DF4" s="16"/>
      <c r="DG4" s="16"/>
      <c r="DH4" s="16"/>
      <c r="DI4" s="16"/>
      <c r="DJ4" s="16"/>
      <c r="DK4" s="16"/>
      <c r="DL4" s="16"/>
      <c r="DM4" s="16"/>
      <c r="DN4" s="16"/>
      <c r="DO4" s="16"/>
      <c r="DP4" s="16"/>
      <c r="DQ4" s="16"/>
      <c r="DR4" s="16"/>
      <c r="DS4" s="16"/>
      <c r="DT4" s="16"/>
      <c r="DU4" s="16"/>
      <c r="DV4" s="16"/>
      <c r="DW4" s="16"/>
      <c r="DX4" s="16"/>
      <c r="DY4" s="16"/>
      <c r="DZ4" s="16"/>
      <c r="EA4" s="16"/>
      <c r="EB4" s="16"/>
      <c r="EC4" s="16"/>
      <c r="ED4" s="16"/>
      <c r="EE4" s="16"/>
      <c r="EF4" s="16"/>
      <c r="EG4" s="16"/>
      <c r="EH4" s="16"/>
      <c r="EI4" s="16"/>
      <c r="EJ4" s="16"/>
      <c r="EK4" s="16"/>
      <c r="EL4" s="16"/>
      <c r="EM4" s="16"/>
      <c r="EN4" s="16"/>
      <c r="EO4" s="16"/>
      <c r="EP4" s="16"/>
      <c r="EQ4" s="16"/>
      <c r="ER4" s="16"/>
      <c r="ES4" s="16"/>
      <c r="ET4" s="16"/>
      <c r="EU4" s="16"/>
      <c r="EV4" s="16"/>
      <c r="EW4" s="16"/>
      <c r="EX4" s="16"/>
      <c r="EY4" s="16"/>
      <c r="EZ4" s="16"/>
      <c r="FA4" s="16"/>
      <c r="FB4" s="16"/>
      <c r="FC4" s="16"/>
      <c r="FD4" s="16"/>
      <c r="FE4" s="16"/>
      <c r="FF4" s="16"/>
      <c r="FG4" s="16"/>
      <c r="FH4" s="16"/>
      <c r="FI4" s="16"/>
      <c r="FJ4" s="16"/>
      <c r="FK4" s="16"/>
      <c r="FL4" s="16"/>
      <c r="FM4" s="16"/>
      <c r="FN4" s="16"/>
      <c r="FO4" s="16"/>
      <c r="FP4" s="16"/>
      <c r="FQ4" s="16"/>
      <c r="FR4" s="16"/>
      <c r="FS4" s="16"/>
      <c r="FT4" s="16"/>
      <c r="FU4" s="16"/>
      <c r="FV4" s="16"/>
      <c r="FW4" s="16"/>
      <c r="FX4" s="16"/>
      <c r="FY4" s="16"/>
      <c r="FZ4" s="16"/>
      <c r="GA4" s="16"/>
      <c r="GB4" s="16"/>
      <c r="GC4" s="16"/>
      <c r="GD4" s="16"/>
      <c r="GE4" s="16"/>
      <c r="GF4" s="16"/>
      <c r="GG4" s="16"/>
      <c r="GH4" s="16"/>
      <c r="GI4" s="16"/>
      <c r="GJ4" s="16"/>
      <c r="GK4" s="16"/>
      <c r="GL4" s="16"/>
      <c r="GM4" s="16"/>
      <c r="GN4" s="16"/>
      <c r="GO4" s="16"/>
      <c r="GP4" s="16"/>
      <c r="GQ4" s="16"/>
      <c r="GR4" s="16"/>
      <c r="GS4" s="16"/>
      <c r="GT4" s="16"/>
      <c r="GU4" s="16"/>
      <c r="GV4" s="16"/>
      <c r="GW4" s="16"/>
      <c r="GX4" s="16"/>
      <c r="GY4" s="16"/>
      <c r="GZ4" s="16"/>
      <c r="HA4" s="16"/>
      <c r="HB4" s="16"/>
      <c r="HC4" s="16"/>
      <c r="HD4" s="16"/>
      <c r="HE4" s="16"/>
      <c r="HF4" s="16"/>
      <c r="HG4" s="16"/>
      <c r="HH4" s="16"/>
      <c r="HI4" s="16"/>
      <c r="HJ4" s="16"/>
      <c r="HK4" s="16"/>
      <c r="HL4" s="16"/>
      <c r="HM4" s="16"/>
      <c r="HN4" s="16"/>
      <c r="HO4" s="16"/>
      <c r="HP4" s="16"/>
      <c r="HQ4" s="16"/>
      <c r="HR4" s="16"/>
      <c r="HS4" s="16"/>
      <c r="HT4" s="16"/>
      <c r="HU4" s="16"/>
      <c r="HV4" s="16"/>
      <c r="HW4" s="16"/>
      <c r="HX4" s="16"/>
      <c r="HY4" s="16"/>
      <c r="HZ4" s="16"/>
      <c r="IA4" s="16"/>
      <c r="IB4" s="16"/>
      <c r="IC4" s="16"/>
      <c r="ID4" s="16"/>
      <c r="IE4" s="16"/>
      <c r="IF4" s="16"/>
      <c r="IG4" s="16"/>
      <c r="IH4" s="16"/>
      <c r="II4" s="16"/>
      <c r="IJ4" s="16"/>
      <c r="IK4" s="16"/>
      <c r="IL4" s="16"/>
      <c r="IM4" s="16"/>
      <c r="IN4" s="16"/>
      <c r="IO4" s="16"/>
      <c r="IP4" s="16"/>
      <c r="IQ4" s="16"/>
      <c r="IR4" s="16"/>
      <c r="IS4" s="16"/>
      <c r="IT4" s="16"/>
      <c r="IU4" s="16"/>
    </row>
    <row r="5" spans="1:255" ht="16.2" thickBot="1">
      <c r="A5" s="1033" t="s">
        <v>1225</v>
      </c>
      <c r="B5" s="1033"/>
      <c r="C5" s="1033"/>
      <c r="D5" s="1033"/>
      <c r="E5" s="1033"/>
      <c r="F5" s="1033"/>
      <c r="G5" s="1033"/>
      <c r="H5" s="1033"/>
      <c r="I5" s="1033"/>
      <c r="J5" s="1033"/>
      <c r="K5" s="1033"/>
      <c r="L5" s="1033"/>
      <c r="M5" s="1033"/>
      <c r="N5" s="1033"/>
      <c r="O5" s="1033"/>
      <c r="P5" s="1033"/>
      <c r="Q5" s="1033"/>
      <c r="R5" s="1033"/>
      <c r="S5" s="1033"/>
      <c r="T5" s="1033"/>
      <c r="U5" s="1033"/>
      <c r="V5" s="1033"/>
      <c r="W5" s="1033"/>
    </row>
    <row r="6" spans="1:255" ht="28.5" customHeight="1" thickBot="1">
      <c r="A6" s="1433"/>
      <c r="B6" s="1434"/>
      <c r="C6" s="1435"/>
      <c r="D6" s="1419" t="s">
        <v>207</v>
      </c>
      <c r="E6" s="1420"/>
      <c r="F6" s="1420"/>
      <c r="G6" s="1420"/>
      <c r="H6" s="1420"/>
      <c r="I6" s="1420"/>
      <c r="J6" s="1420"/>
      <c r="K6" s="1420"/>
      <c r="L6" s="1420"/>
      <c r="M6" s="1420"/>
      <c r="N6" s="1420"/>
      <c r="O6" s="1420"/>
      <c r="P6" s="1420"/>
      <c r="Q6" s="1420"/>
      <c r="R6" s="1420"/>
      <c r="S6" s="1420"/>
      <c r="T6" s="1420"/>
      <c r="U6" s="1420"/>
      <c r="V6" s="1420"/>
      <c r="W6" s="1421"/>
      <c r="Y6" s="1278" t="s">
        <v>1196</v>
      </c>
      <c r="Z6" s="1278"/>
      <c r="AA6" s="1279" t="s">
        <v>356</v>
      </c>
      <c r="AB6" s="1279"/>
      <c r="AC6" s="1279"/>
      <c r="AD6" s="1279"/>
      <c r="AE6" s="1279"/>
      <c r="AF6" s="1279"/>
      <c r="AG6" s="1279"/>
      <c r="AH6" s="1279"/>
      <c r="AI6" s="1279"/>
      <c r="AJ6" s="1279"/>
      <c r="AK6" s="1279"/>
      <c r="AL6" s="1279"/>
      <c r="AM6" s="1279"/>
      <c r="AN6" s="1279"/>
      <c r="AO6" s="1279"/>
      <c r="AP6" s="1279"/>
      <c r="AQ6" s="1279"/>
      <c r="AR6" s="1279"/>
      <c r="AS6" s="1279"/>
      <c r="AT6" s="1279"/>
    </row>
    <row r="7" spans="1:255" ht="14.25" customHeight="1" thickBot="1">
      <c r="A7" s="1436"/>
      <c r="B7" s="1437"/>
      <c r="C7" s="1438"/>
      <c r="D7" s="909">
        <v>0.3</v>
      </c>
      <c r="E7" s="910">
        <v>0.4</v>
      </c>
      <c r="F7" s="910">
        <v>0.5</v>
      </c>
      <c r="G7" s="910">
        <v>0.6</v>
      </c>
      <c r="H7" s="910">
        <v>0.7</v>
      </c>
      <c r="I7" s="910">
        <v>0.8</v>
      </c>
      <c r="J7" s="910">
        <v>0.9</v>
      </c>
      <c r="K7" s="910">
        <v>1</v>
      </c>
      <c r="L7" s="910">
        <v>1.1000000000000001</v>
      </c>
      <c r="M7" s="910">
        <v>1.2</v>
      </c>
      <c r="N7" s="910">
        <v>1.3</v>
      </c>
      <c r="O7" s="910">
        <v>1.4</v>
      </c>
      <c r="P7" s="910">
        <v>1.5</v>
      </c>
      <c r="Q7" s="910">
        <v>1.6</v>
      </c>
      <c r="R7" s="910">
        <v>1.7</v>
      </c>
      <c r="S7" s="910">
        <v>1.8</v>
      </c>
      <c r="T7" s="910">
        <v>1.9</v>
      </c>
      <c r="U7" s="910">
        <v>2</v>
      </c>
      <c r="V7" s="910">
        <v>2.1</v>
      </c>
      <c r="W7" s="911">
        <v>2.2000000000000002</v>
      </c>
      <c r="Y7" s="1278"/>
      <c r="Z7" s="1278"/>
      <c r="AA7" s="649">
        <v>0.3</v>
      </c>
      <c r="AB7" s="649">
        <v>0.4</v>
      </c>
      <c r="AC7" s="649">
        <v>0.5</v>
      </c>
      <c r="AD7" s="649">
        <v>0.6</v>
      </c>
      <c r="AE7" s="649">
        <v>0.7</v>
      </c>
      <c r="AF7" s="649">
        <v>0.8</v>
      </c>
      <c r="AG7" s="649">
        <v>0.9</v>
      </c>
      <c r="AH7" s="649">
        <v>1</v>
      </c>
      <c r="AI7" s="649">
        <v>1.1000000000000001</v>
      </c>
      <c r="AJ7" s="649">
        <v>1.2</v>
      </c>
      <c r="AK7" s="649">
        <v>1.3</v>
      </c>
      <c r="AL7" s="649">
        <v>1.4</v>
      </c>
      <c r="AM7" s="649">
        <v>1.5</v>
      </c>
      <c r="AN7" s="649">
        <v>1.6</v>
      </c>
      <c r="AO7" s="649">
        <v>1.7</v>
      </c>
      <c r="AP7" s="649">
        <v>1.8</v>
      </c>
      <c r="AQ7" s="649">
        <v>1.9</v>
      </c>
      <c r="AR7" s="649">
        <v>2</v>
      </c>
      <c r="AS7" s="649">
        <v>2.1</v>
      </c>
      <c r="AT7" s="649">
        <v>2.2000000000000002</v>
      </c>
    </row>
    <row r="8" spans="1:255" ht="20.25" customHeight="1">
      <c r="A8" s="1426" t="s">
        <v>3</v>
      </c>
      <c r="B8" s="1427"/>
      <c r="C8" s="907">
        <v>0.2</v>
      </c>
      <c r="D8" s="899">
        <f>(AA8*KFC!$B$17+KFC!$C$17)*KFC!$C$5</f>
        <v>22.682236778595001</v>
      </c>
      <c r="E8" s="913">
        <f>(AB8*KFC!$B$17+KFC!$C$17)*KFC!$C$5</f>
        <v>24.489715997910789</v>
      </c>
      <c r="F8" s="913">
        <f>(AC8*KFC!$B$17+KFC!$C$17)*KFC!$C$5</f>
        <v>26.29719521722658</v>
      </c>
      <c r="G8" s="913">
        <f>(AD8*KFC!$B$17+KFC!$C$17)*KFC!$C$5</f>
        <v>28.104674436542371</v>
      </c>
      <c r="H8" s="913">
        <f>(AE8*KFC!$B$17+KFC!$C$17)*KFC!$C$5</f>
        <v>29.912153655858162</v>
      </c>
      <c r="I8" s="913">
        <f>(AF8*KFC!$B$17+KFC!$C$17)*KFC!$C$5</f>
        <v>31.719632875173954</v>
      </c>
      <c r="J8" s="913">
        <f>(AG8*KFC!$B$17+KFC!$C$17)*KFC!$C$5</f>
        <v>33.527112094489738</v>
      </c>
      <c r="K8" s="913">
        <f>(AH8*KFC!$B$17+KFC!$C$17)*KFC!$C$5</f>
        <v>35.334591313805532</v>
      </c>
      <c r="L8" s="913">
        <f>(AI8*KFC!$B$17+KFC!$C$17)*KFC!$C$5</f>
        <v>37.142070533121313</v>
      </c>
      <c r="M8" s="913">
        <f>(AJ8*KFC!$B$17+KFC!$C$17)*KFC!$C$5</f>
        <v>38.9495497524371</v>
      </c>
      <c r="N8" s="913">
        <f>(AK8*KFC!$B$17+KFC!$C$17)*KFC!$C$5</f>
        <v>40.757028971752888</v>
      </c>
      <c r="O8" s="913">
        <f>(AL8*KFC!$B$17+KFC!$C$17)*KFC!$C$5</f>
        <v>42.564508191068683</v>
      </c>
      <c r="P8" s="913">
        <f>(AM8*KFC!$B$17+KFC!$C$17)*KFC!$C$5</f>
        <v>44.371987410384456</v>
      </c>
      <c r="Q8" s="913">
        <f>(AN8*KFC!$B$17+KFC!$C$17)*KFC!$C$5</f>
        <v>46.179466629700251</v>
      </c>
      <c r="R8" s="913">
        <f>(AO8*KFC!$B$17+KFC!$C$17)*KFC!$C$5</f>
        <v>47.986945849016031</v>
      </c>
      <c r="S8" s="913">
        <f>(AP8*KFC!$B$17+KFC!$C$17)*KFC!$C$5</f>
        <v>49.794425068331826</v>
      </c>
      <c r="T8" s="913">
        <f>(AQ8*KFC!$B$17+KFC!$C$17)*KFC!$C$5</f>
        <v>51.601904287647606</v>
      </c>
      <c r="U8" s="913">
        <f>(AR8*KFC!$B$17+KFC!$C$17)*KFC!$C$5</f>
        <v>53.409383506963401</v>
      </c>
      <c r="V8" s="913">
        <f>(AS8*KFC!$B$17+KFC!$C$17)*KFC!$C$5</f>
        <v>55.216862726279174</v>
      </c>
      <c r="W8" s="914">
        <f>(AT8*KFC!$B$17+KFC!$C$17)*KFC!$C$5</f>
        <v>57.02434194559499</v>
      </c>
      <c r="Y8" s="1277" t="s">
        <v>357</v>
      </c>
      <c r="Z8" s="649">
        <v>0.2</v>
      </c>
      <c r="AA8" s="882">
        <v>22.682236778595001</v>
      </c>
      <c r="AB8" s="882">
        <v>24.489715997910789</v>
      </c>
      <c r="AC8" s="882">
        <v>26.29719521722658</v>
      </c>
      <c r="AD8" s="882">
        <v>28.104674436542371</v>
      </c>
      <c r="AE8" s="882">
        <v>29.912153655858162</v>
      </c>
      <c r="AF8" s="882">
        <v>31.719632875173954</v>
      </c>
      <c r="AG8" s="882">
        <v>33.527112094489738</v>
      </c>
      <c r="AH8" s="882">
        <v>35.334591313805532</v>
      </c>
      <c r="AI8" s="882">
        <v>37.142070533121313</v>
      </c>
      <c r="AJ8" s="882">
        <v>38.9495497524371</v>
      </c>
      <c r="AK8" s="882">
        <v>40.757028971752888</v>
      </c>
      <c r="AL8" s="882">
        <v>42.564508191068683</v>
      </c>
      <c r="AM8" s="882">
        <v>44.371987410384456</v>
      </c>
      <c r="AN8" s="882">
        <v>46.179466629700251</v>
      </c>
      <c r="AO8" s="882">
        <v>47.986945849016031</v>
      </c>
      <c r="AP8" s="882">
        <v>49.794425068331826</v>
      </c>
      <c r="AQ8" s="882">
        <v>51.601904287647606</v>
      </c>
      <c r="AR8" s="882">
        <v>53.409383506963401</v>
      </c>
      <c r="AS8" s="882">
        <v>55.216862726279174</v>
      </c>
      <c r="AT8" s="882">
        <v>57.02434194559499</v>
      </c>
    </row>
    <row r="9" spans="1:255" ht="14.4" customHeight="1">
      <c r="A9" s="1426"/>
      <c r="B9" s="1427"/>
      <c r="C9" s="881">
        <v>0.3</v>
      </c>
      <c r="D9" s="915">
        <f>(AA9*KFC!$B$17+KFC!$C$17)*KFC!$C$5</f>
        <v>23.166842040395998</v>
      </c>
      <c r="E9" s="912">
        <f>(AB9*KFC!$B$17+KFC!$C$17)*KFC!$C$5</f>
        <v>25.083221882675566</v>
      </c>
      <c r="F9" s="912">
        <f>(AC9*KFC!$B$17+KFC!$C$17)*KFC!$C$5</f>
        <v>26.999601724955131</v>
      </c>
      <c r="G9" s="912">
        <f>(AD9*KFC!$B$17+KFC!$C$17)*KFC!$C$5</f>
        <v>28.915981567234699</v>
      </c>
      <c r="H9" s="912">
        <f>(AE9*KFC!$B$17+KFC!$C$17)*KFC!$C$5</f>
        <v>30.83236140951426</v>
      </c>
      <c r="I9" s="912">
        <f>(AF9*KFC!$B$17+KFC!$C$17)*KFC!$C$5</f>
        <v>32.748741251793831</v>
      </c>
      <c r="J9" s="912">
        <f>(AG9*KFC!$B$17+KFC!$C$17)*KFC!$C$5</f>
        <v>34.665121094073392</v>
      </c>
      <c r="K9" s="912">
        <f>(AH9*KFC!$B$17+KFC!$C$17)*KFC!$C$5</f>
        <v>36.58150093635296</v>
      </c>
      <c r="L9" s="912">
        <f>(AI9*KFC!$B$17+KFC!$C$17)*KFC!$C$5</f>
        <v>38.497880778632528</v>
      </c>
      <c r="M9" s="912">
        <f>(AJ9*KFC!$B$17+KFC!$C$17)*KFC!$C$5</f>
        <v>40.414260620912096</v>
      </c>
      <c r="N9" s="912">
        <f>(AK9*KFC!$B$17+KFC!$C$17)*KFC!$C$5</f>
        <v>42.330640463191664</v>
      </c>
      <c r="O9" s="912">
        <f>(AL9*KFC!$B$17+KFC!$C$17)*KFC!$C$5</f>
        <v>44.247020305471231</v>
      </c>
      <c r="P9" s="912">
        <f>(AM9*KFC!$B$17+KFC!$C$17)*KFC!$C$5</f>
        <v>46.163400147750799</v>
      </c>
      <c r="Q9" s="912">
        <f>(AN9*KFC!$B$17+KFC!$C$17)*KFC!$C$5</f>
        <v>48.079779990030374</v>
      </c>
      <c r="R9" s="912">
        <f>(AO9*KFC!$B$17+KFC!$C$17)*KFC!$C$5</f>
        <v>49.996159832309942</v>
      </c>
      <c r="S9" s="912">
        <f>(AP9*KFC!$B$17+KFC!$C$17)*KFC!$C$5</f>
        <v>51.91253967458951</v>
      </c>
      <c r="T9" s="912">
        <f>(AQ9*KFC!$B$17+KFC!$C$17)*KFC!$C$5</f>
        <v>53.828919516869078</v>
      </c>
      <c r="U9" s="912">
        <f>(AR9*KFC!$B$17+KFC!$C$17)*KFC!$C$5</f>
        <v>55.745299359148646</v>
      </c>
      <c r="V9" s="912">
        <f>(AS9*KFC!$B$17+KFC!$C$17)*KFC!$C$5</f>
        <v>57.661679201428214</v>
      </c>
      <c r="W9" s="916">
        <f>(AT9*KFC!$B$17+KFC!$C$17)*KFC!$C$5</f>
        <v>59.578059043707746</v>
      </c>
      <c r="Y9" s="1277"/>
      <c r="Z9" s="649">
        <v>0.3</v>
      </c>
      <c r="AA9" s="882">
        <v>23.166842040395998</v>
      </c>
      <c r="AB9" s="882">
        <v>25.083221882675566</v>
      </c>
      <c r="AC9" s="882">
        <v>26.999601724955131</v>
      </c>
      <c r="AD9" s="882">
        <v>28.915981567234699</v>
      </c>
      <c r="AE9" s="882">
        <v>30.83236140951426</v>
      </c>
      <c r="AF9" s="882">
        <v>32.748741251793831</v>
      </c>
      <c r="AG9" s="882">
        <v>34.665121094073392</v>
      </c>
      <c r="AH9" s="882">
        <v>36.58150093635296</v>
      </c>
      <c r="AI9" s="882">
        <v>38.497880778632528</v>
      </c>
      <c r="AJ9" s="882">
        <v>40.414260620912096</v>
      </c>
      <c r="AK9" s="882">
        <v>42.330640463191664</v>
      </c>
      <c r="AL9" s="882">
        <v>44.247020305471231</v>
      </c>
      <c r="AM9" s="882">
        <v>46.163400147750799</v>
      </c>
      <c r="AN9" s="882">
        <v>48.079779990030374</v>
      </c>
      <c r="AO9" s="882">
        <v>49.996159832309942</v>
      </c>
      <c r="AP9" s="882">
        <v>51.91253967458951</v>
      </c>
      <c r="AQ9" s="882">
        <v>53.828919516869078</v>
      </c>
      <c r="AR9" s="882">
        <v>55.745299359148646</v>
      </c>
      <c r="AS9" s="882">
        <v>57.661679201428214</v>
      </c>
      <c r="AT9" s="882">
        <v>59.578059043707746</v>
      </c>
    </row>
    <row r="10" spans="1:255">
      <c r="A10" s="1426"/>
      <c r="B10" s="1427"/>
      <c r="C10" s="881">
        <v>0.4</v>
      </c>
      <c r="D10" s="915">
        <f>(AA10*KFC!$B$17+KFC!$C$17)*KFC!$C$5</f>
        <v>23.651447302196996</v>
      </c>
      <c r="E10" s="912">
        <f>(AB10*KFC!$B$17+KFC!$C$17)*KFC!$C$5</f>
        <v>25.67672776744034</v>
      </c>
      <c r="F10" s="912">
        <f>(AC10*KFC!$B$17+KFC!$C$17)*KFC!$C$5</f>
        <v>27.702008232683681</v>
      </c>
      <c r="G10" s="912">
        <f>(AD10*KFC!$B$17+KFC!$C$17)*KFC!$C$5</f>
        <v>29.727288697927023</v>
      </c>
      <c r="H10" s="912">
        <f>(AE10*KFC!$B$17+KFC!$C$17)*KFC!$C$5</f>
        <v>31.752569163170367</v>
      </c>
      <c r="I10" s="912">
        <f>(AF10*KFC!$B$17+KFC!$C$17)*KFC!$C$5</f>
        <v>33.777849628413705</v>
      </c>
      <c r="J10" s="912">
        <f>(AG10*KFC!$B$17+KFC!$C$17)*KFC!$C$5</f>
        <v>35.803130093657053</v>
      </c>
      <c r="K10" s="912">
        <f>(AH10*KFC!$B$17+KFC!$C$17)*KFC!$C$5</f>
        <v>37.828410558900387</v>
      </c>
      <c r="L10" s="912">
        <f>(AI10*KFC!$B$17+KFC!$C$17)*KFC!$C$5</f>
        <v>39.853691024143728</v>
      </c>
      <c r="M10" s="912">
        <f>(AJ10*KFC!$B$17+KFC!$C$17)*KFC!$C$5</f>
        <v>41.878971489387062</v>
      </c>
      <c r="N10" s="912">
        <f>(AK10*KFC!$B$17+KFC!$C$17)*KFC!$C$5</f>
        <v>43.904251954630396</v>
      </c>
      <c r="O10" s="912">
        <f>(AL10*KFC!$B$17+KFC!$C$17)*KFC!$C$5</f>
        <v>45.929532419873738</v>
      </c>
      <c r="P10" s="912">
        <f>(AM10*KFC!$B$17+KFC!$C$17)*KFC!$C$5</f>
        <v>47.954812885117079</v>
      </c>
      <c r="Q10" s="912">
        <f>(AN10*KFC!$B$17+KFC!$C$17)*KFC!$C$5</f>
        <v>49.98009335036042</v>
      </c>
      <c r="R10" s="912">
        <f>(AO10*KFC!$B$17+KFC!$C$17)*KFC!$C$5</f>
        <v>52.005373815603761</v>
      </c>
      <c r="S10" s="912">
        <f>(AP10*KFC!$B$17+KFC!$C$17)*KFC!$C$5</f>
        <v>54.030654280847095</v>
      </c>
      <c r="T10" s="912">
        <f>(AQ10*KFC!$B$17+KFC!$C$17)*KFC!$C$5</f>
        <v>56.055934746090429</v>
      </c>
      <c r="U10" s="912">
        <f>(AR10*KFC!$B$17+KFC!$C$17)*KFC!$C$5</f>
        <v>58.081215211333763</v>
      </c>
      <c r="V10" s="912">
        <f>(AS10*KFC!$B$17+KFC!$C$17)*KFC!$C$5</f>
        <v>60.106495676577104</v>
      </c>
      <c r="W10" s="916">
        <f>(AT10*KFC!$B$17+KFC!$C$17)*KFC!$C$5</f>
        <v>62.131776141820488</v>
      </c>
      <c r="Y10" s="1277"/>
      <c r="Z10" s="649">
        <v>0.4</v>
      </c>
      <c r="AA10" s="882">
        <v>23.651447302196996</v>
      </c>
      <c r="AB10" s="882">
        <v>25.67672776744034</v>
      </c>
      <c r="AC10" s="882">
        <v>27.702008232683681</v>
      </c>
      <c r="AD10" s="882">
        <v>29.727288697927023</v>
      </c>
      <c r="AE10" s="882">
        <v>31.752569163170367</v>
      </c>
      <c r="AF10" s="882">
        <v>33.777849628413705</v>
      </c>
      <c r="AG10" s="882">
        <v>35.803130093657053</v>
      </c>
      <c r="AH10" s="882">
        <v>37.828410558900387</v>
      </c>
      <c r="AI10" s="882">
        <v>39.853691024143728</v>
      </c>
      <c r="AJ10" s="882">
        <v>41.878971489387062</v>
      </c>
      <c r="AK10" s="882">
        <v>43.904251954630396</v>
      </c>
      <c r="AL10" s="882">
        <v>45.929532419873738</v>
      </c>
      <c r="AM10" s="882">
        <v>47.954812885117079</v>
      </c>
      <c r="AN10" s="882">
        <v>49.98009335036042</v>
      </c>
      <c r="AO10" s="882">
        <v>52.005373815603761</v>
      </c>
      <c r="AP10" s="882">
        <v>54.030654280847095</v>
      </c>
      <c r="AQ10" s="882">
        <v>56.055934746090429</v>
      </c>
      <c r="AR10" s="882">
        <v>58.081215211333763</v>
      </c>
      <c r="AS10" s="882">
        <v>60.106495676577104</v>
      </c>
      <c r="AT10" s="882">
        <v>62.131776141820488</v>
      </c>
    </row>
    <row r="11" spans="1:255">
      <c r="A11" s="1426"/>
      <c r="B11" s="1427"/>
      <c r="C11" s="881">
        <v>0.5</v>
      </c>
      <c r="D11" s="915">
        <f>(AA11*KFC!$B$17+KFC!$C$17)*KFC!$C$5</f>
        <v>24.136052563997996</v>
      </c>
      <c r="E11" s="912">
        <f>(AB11*KFC!$B$17+KFC!$C$17)*KFC!$C$5</f>
        <v>26.270233652205114</v>
      </c>
      <c r="F11" s="912">
        <f>(AC11*KFC!$B$17+KFC!$C$17)*KFC!$C$5</f>
        <v>28.404414740412232</v>
      </c>
      <c r="G11" s="912">
        <f>(AD11*KFC!$B$17+KFC!$C$17)*KFC!$C$5</f>
        <v>30.53859582861935</v>
      </c>
      <c r="H11" s="912">
        <f>(AE11*KFC!$B$17+KFC!$C$17)*KFC!$C$5</f>
        <v>32.672776916826464</v>
      </c>
      <c r="I11" s="912">
        <f>(AF11*KFC!$B$17+KFC!$C$17)*KFC!$C$5</f>
        <v>34.806958005033586</v>
      </c>
      <c r="J11" s="912">
        <f>(AG11*KFC!$B$17+KFC!$C$17)*KFC!$C$5</f>
        <v>36.9411390932407</v>
      </c>
      <c r="K11" s="912">
        <f>(AH11*KFC!$B$17+KFC!$C$17)*KFC!$C$5</f>
        <v>39.075320181447822</v>
      </c>
      <c r="L11" s="912">
        <f>(AI11*KFC!$B$17+KFC!$C$17)*KFC!$C$5</f>
        <v>41.209501269654943</v>
      </c>
      <c r="M11" s="912">
        <f>(AJ11*KFC!$B$17+KFC!$C$17)*KFC!$C$5</f>
        <v>43.343682357862065</v>
      </c>
      <c r="N11" s="912">
        <f>(AK11*KFC!$B$17+KFC!$C$17)*KFC!$C$5</f>
        <v>45.477863446069186</v>
      </c>
      <c r="O11" s="912">
        <f>(AL11*KFC!$B$17+KFC!$C$17)*KFC!$C$5</f>
        <v>47.612044534276308</v>
      </c>
      <c r="P11" s="912">
        <f>(AM11*KFC!$B$17+KFC!$C$17)*KFC!$C$5</f>
        <v>49.746225622483429</v>
      </c>
      <c r="Q11" s="912">
        <f>(AN11*KFC!$B$17+KFC!$C$17)*KFC!$C$5</f>
        <v>51.880406710690544</v>
      </c>
      <c r="R11" s="912">
        <f>(AO11*KFC!$B$17+KFC!$C$17)*KFC!$C$5</f>
        <v>54.014587798897665</v>
      </c>
      <c r="S11" s="912">
        <f>(AP11*KFC!$B$17+KFC!$C$17)*KFC!$C$5</f>
        <v>56.148768887104787</v>
      </c>
      <c r="T11" s="912">
        <f>(AQ11*KFC!$B$17+KFC!$C$17)*KFC!$C$5</f>
        <v>58.282949975311908</v>
      </c>
      <c r="U11" s="912">
        <f>(AR11*KFC!$B$17+KFC!$C$17)*KFC!$C$5</f>
        <v>60.41713106351903</v>
      </c>
      <c r="V11" s="912">
        <f>(AS11*KFC!$B$17+KFC!$C$17)*KFC!$C$5</f>
        <v>62.551312151726151</v>
      </c>
      <c r="W11" s="916">
        <f>(AT11*KFC!$B$17+KFC!$C$17)*KFC!$C$5</f>
        <v>64.685493239933237</v>
      </c>
      <c r="Y11" s="1277"/>
      <c r="Z11" s="649">
        <v>0.5</v>
      </c>
      <c r="AA11" s="882">
        <v>24.136052563997996</v>
      </c>
      <c r="AB11" s="882">
        <v>26.270233652205114</v>
      </c>
      <c r="AC11" s="882">
        <v>28.404414740412232</v>
      </c>
      <c r="AD11" s="882">
        <v>30.53859582861935</v>
      </c>
      <c r="AE11" s="882">
        <v>32.672776916826464</v>
      </c>
      <c r="AF11" s="882">
        <v>34.806958005033586</v>
      </c>
      <c r="AG11" s="882">
        <v>36.9411390932407</v>
      </c>
      <c r="AH11" s="882">
        <v>39.075320181447822</v>
      </c>
      <c r="AI11" s="882">
        <v>41.209501269654943</v>
      </c>
      <c r="AJ11" s="882">
        <v>43.343682357862065</v>
      </c>
      <c r="AK11" s="882">
        <v>45.477863446069186</v>
      </c>
      <c r="AL11" s="882">
        <v>47.612044534276308</v>
      </c>
      <c r="AM11" s="882">
        <v>49.746225622483429</v>
      </c>
      <c r="AN11" s="882">
        <v>51.880406710690544</v>
      </c>
      <c r="AO11" s="882">
        <v>54.014587798897665</v>
      </c>
      <c r="AP11" s="882">
        <v>56.148768887104787</v>
      </c>
      <c r="AQ11" s="882">
        <v>58.282949975311908</v>
      </c>
      <c r="AR11" s="882">
        <v>60.41713106351903</v>
      </c>
      <c r="AS11" s="882">
        <v>62.551312151726151</v>
      </c>
      <c r="AT11" s="882">
        <v>64.685493239933237</v>
      </c>
    </row>
    <row r="12" spans="1:255">
      <c r="A12" s="1426"/>
      <c r="B12" s="1427"/>
      <c r="C12" s="881">
        <v>0.6</v>
      </c>
      <c r="D12" s="915">
        <f>(AA12*KFC!$B$17+KFC!$C$17)*KFC!$C$5</f>
        <v>24.620657825799</v>
      </c>
      <c r="E12" s="912">
        <f>(AB12*KFC!$B$17+KFC!$C$17)*KFC!$C$5</f>
        <v>26.863739536969888</v>
      </c>
      <c r="F12" s="912">
        <f>(AC12*KFC!$B$17+KFC!$C$17)*KFC!$C$5</f>
        <v>29.106821248140786</v>
      </c>
      <c r="G12" s="912">
        <f>(AD12*KFC!$B$17+KFC!$C$17)*KFC!$C$5</f>
        <v>31.349902959311681</v>
      </c>
      <c r="H12" s="912">
        <f>(AE12*KFC!$B$17+KFC!$C$17)*KFC!$C$5</f>
        <v>33.592984670482579</v>
      </c>
      <c r="I12" s="912">
        <f>(AF12*KFC!$B$17+KFC!$C$17)*KFC!$C$5</f>
        <v>35.836066381653474</v>
      </c>
      <c r="J12" s="912">
        <f>(AG12*KFC!$B$17+KFC!$C$17)*KFC!$C$5</f>
        <v>38.079148092824376</v>
      </c>
      <c r="K12" s="912">
        <f>(AH12*KFC!$B$17+KFC!$C$17)*KFC!$C$5</f>
        <v>40.32222980399527</v>
      </c>
      <c r="L12" s="912">
        <f>(AI12*KFC!$B$17+KFC!$C$17)*KFC!$C$5</f>
        <v>42.565311515166165</v>
      </c>
      <c r="M12" s="912">
        <f>(AJ12*KFC!$B$17+KFC!$C$17)*KFC!$C$5</f>
        <v>44.80839322633706</v>
      </c>
      <c r="N12" s="912">
        <f>(AK12*KFC!$B$17+KFC!$C$17)*KFC!$C$5</f>
        <v>47.051474937507962</v>
      </c>
      <c r="O12" s="912">
        <f>(AL12*KFC!$B$17+KFC!$C$17)*KFC!$C$5</f>
        <v>49.294556648678856</v>
      </c>
      <c r="P12" s="912">
        <f>(AM12*KFC!$B$17+KFC!$C$17)*KFC!$C$5</f>
        <v>51.537638359849751</v>
      </c>
      <c r="Q12" s="912">
        <f>(AN12*KFC!$B$17+KFC!$C$17)*KFC!$C$5</f>
        <v>53.780720071020646</v>
      </c>
      <c r="R12" s="912">
        <f>(AO12*KFC!$B$17+KFC!$C$17)*KFC!$C$5</f>
        <v>56.023801782191548</v>
      </c>
      <c r="S12" s="912">
        <f>(AP12*KFC!$B$17+KFC!$C$17)*KFC!$C$5</f>
        <v>58.266883493362442</v>
      </c>
      <c r="T12" s="912">
        <f>(AQ12*KFC!$B$17+KFC!$C$17)*KFC!$C$5</f>
        <v>60.509965204533337</v>
      </c>
      <c r="U12" s="912">
        <f>(AR12*KFC!$B$17+KFC!$C$17)*KFC!$C$5</f>
        <v>62.753046915704232</v>
      </c>
      <c r="V12" s="912">
        <f>(AS12*KFC!$B$17+KFC!$C$17)*KFC!$C$5</f>
        <v>64.996128626875119</v>
      </c>
      <c r="W12" s="916">
        <f>(AT12*KFC!$B$17+KFC!$C$17)*KFC!$C$5</f>
        <v>67.239210338045993</v>
      </c>
      <c r="Y12" s="1277"/>
      <c r="Z12" s="649">
        <v>0.6</v>
      </c>
      <c r="AA12" s="882">
        <v>24.620657825799</v>
      </c>
      <c r="AB12" s="882">
        <v>26.863739536969888</v>
      </c>
      <c r="AC12" s="882">
        <v>29.106821248140786</v>
      </c>
      <c r="AD12" s="882">
        <v>31.349902959311681</v>
      </c>
      <c r="AE12" s="882">
        <v>33.592984670482579</v>
      </c>
      <c r="AF12" s="882">
        <v>35.836066381653474</v>
      </c>
      <c r="AG12" s="882">
        <v>38.079148092824376</v>
      </c>
      <c r="AH12" s="882">
        <v>40.32222980399527</v>
      </c>
      <c r="AI12" s="882">
        <v>42.565311515166165</v>
      </c>
      <c r="AJ12" s="882">
        <v>44.80839322633706</v>
      </c>
      <c r="AK12" s="882">
        <v>47.051474937507962</v>
      </c>
      <c r="AL12" s="882">
        <v>49.294556648678856</v>
      </c>
      <c r="AM12" s="882">
        <v>51.537638359849751</v>
      </c>
      <c r="AN12" s="882">
        <v>53.780720071020646</v>
      </c>
      <c r="AO12" s="882">
        <v>56.023801782191548</v>
      </c>
      <c r="AP12" s="882">
        <v>58.266883493362442</v>
      </c>
      <c r="AQ12" s="882">
        <v>60.509965204533337</v>
      </c>
      <c r="AR12" s="882">
        <v>62.753046915704232</v>
      </c>
      <c r="AS12" s="882">
        <v>64.996128626875119</v>
      </c>
      <c r="AT12" s="882">
        <v>67.239210338045993</v>
      </c>
    </row>
    <row r="13" spans="1:255">
      <c r="A13" s="1426"/>
      <c r="B13" s="1427"/>
      <c r="C13" s="881">
        <v>0.7</v>
      </c>
      <c r="D13" s="915">
        <f>(AA13*KFC!$B$17+KFC!$C$17)*KFC!$C$5</f>
        <v>25.105263087599997</v>
      </c>
      <c r="E13" s="912">
        <f>(AB13*KFC!$B$17+KFC!$C$17)*KFC!$C$5</f>
        <v>27.457245421734669</v>
      </c>
      <c r="F13" s="912">
        <f>(AC13*KFC!$B$17+KFC!$C$17)*KFC!$C$5</f>
        <v>29.809227755869337</v>
      </c>
      <c r="G13" s="912">
        <f>(AD13*KFC!$B$17+KFC!$C$17)*KFC!$C$5</f>
        <v>32.161210090004012</v>
      </c>
      <c r="H13" s="912">
        <f>(AE13*KFC!$B$17+KFC!$C$17)*KFC!$C$5</f>
        <v>34.51319242413868</v>
      </c>
      <c r="I13" s="912">
        <f>(AF13*KFC!$B$17+KFC!$C$17)*KFC!$C$5</f>
        <v>36.865174758273355</v>
      </c>
      <c r="J13" s="912">
        <f>(AG13*KFC!$B$17+KFC!$C$17)*KFC!$C$5</f>
        <v>39.21715709240803</v>
      </c>
      <c r="K13" s="912">
        <f>(AH13*KFC!$B$17+KFC!$C$17)*KFC!$C$5</f>
        <v>41.569139426542698</v>
      </c>
      <c r="L13" s="912">
        <f>(AI13*KFC!$B$17+KFC!$C$17)*KFC!$C$5</f>
        <v>43.921121760677373</v>
      </c>
      <c r="M13" s="912">
        <f>(AJ13*KFC!$B$17+KFC!$C$17)*KFC!$C$5</f>
        <v>46.273104094812041</v>
      </c>
      <c r="N13" s="912">
        <f>(AK13*KFC!$B$17+KFC!$C$17)*KFC!$C$5</f>
        <v>48.625086428946716</v>
      </c>
      <c r="O13" s="912">
        <f>(AL13*KFC!$B$17+KFC!$C$17)*KFC!$C$5</f>
        <v>50.977068763081391</v>
      </c>
      <c r="P13" s="912">
        <f>(AM13*KFC!$B$17+KFC!$C$17)*KFC!$C$5</f>
        <v>53.329051097216059</v>
      </c>
      <c r="Q13" s="912">
        <f>(AN13*KFC!$B$17+KFC!$C$17)*KFC!$C$5</f>
        <v>55.681033431350734</v>
      </c>
      <c r="R13" s="912">
        <f>(AO13*KFC!$B$17+KFC!$C$17)*KFC!$C$5</f>
        <v>58.033015765485402</v>
      </c>
      <c r="S13" s="912">
        <f>(AP13*KFC!$B$17+KFC!$C$17)*KFC!$C$5</f>
        <v>60.384998099620077</v>
      </c>
      <c r="T13" s="912">
        <f>(AQ13*KFC!$B$17+KFC!$C$17)*KFC!$C$5</f>
        <v>62.736980433754759</v>
      </c>
      <c r="U13" s="912">
        <f>(AR13*KFC!$B$17+KFC!$C$17)*KFC!$C$5</f>
        <v>65.088962767889427</v>
      </c>
      <c r="V13" s="912">
        <f>(AS13*KFC!$B$17+KFC!$C$17)*KFC!$C$5</f>
        <v>67.440945102024102</v>
      </c>
      <c r="W13" s="916">
        <f>(AT13*KFC!$B$17+KFC!$C$17)*KFC!$C$5</f>
        <v>69.792927436158749</v>
      </c>
      <c r="Y13" s="1277"/>
      <c r="Z13" s="649">
        <v>0.7</v>
      </c>
      <c r="AA13" s="882">
        <v>25.105263087599997</v>
      </c>
      <c r="AB13" s="882">
        <v>27.457245421734669</v>
      </c>
      <c r="AC13" s="882">
        <v>29.809227755869337</v>
      </c>
      <c r="AD13" s="882">
        <v>32.161210090004012</v>
      </c>
      <c r="AE13" s="882">
        <v>34.51319242413868</v>
      </c>
      <c r="AF13" s="882">
        <v>36.865174758273355</v>
      </c>
      <c r="AG13" s="882">
        <v>39.21715709240803</v>
      </c>
      <c r="AH13" s="882">
        <v>41.569139426542698</v>
      </c>
      <c r="AI13" s="882">
        <v>43.921121760677373</v>
      </c>
      <c r="AJ13" s="882">
        <v>46.273104094812041</v>
      </c>
      <c r="AK13" s="882">
        <v>48.625086428946716</v>
      </c>
      <c r="AL13" s="882">
        <v>50.977068763081391</v>
      </c>
      <c r="AM13" s="882">
        <v>53.329051097216059</v>
      </c>
      <c r="AN13" s="882">
        <v>55.681033431350734</v>
      </c>
      <c r="AO13" s="882">
        <v>58.033015765485402</v>
      </c>
      <c r="AP13" s="882">
        <v>60.384998099620077</v>
      </c>
      <c r="AQ13" s="882">
        <v>62.736980433754759</v>
      </c>
      <c r="AR13" s="882">
        <v>65.088962767889427</v>
      </c>
      <c r="AS13" s="882">
        <v>67.440945102024102</v>
      </c>
      <c r="AT13" s="882">
        <v>69.792927436158749</v>
      </c>
    </row>
    <row r="14" spans="1:255">
      <c r="A14" s="1426"/>
      <c r="B14" s="1427"/>
      <c r="C14" s="881">
        <v>0.8</v>
      </c>
      <c r="D14" s="915">
        <f>(AA14*KFC!$B$17+KFC!$C$17)*KFC!$C$5</f>
        <v>25.589868349400994</v>
      </c>
      <c r="E14" s="912">
        <f>(AB14*KFC!$B$17+KFC!$C$17)*KFC!$C$5</f>
        <v>28.050751306499443</v>
      </c>
      <c r="F14" s="912">
        <f>(AC14*KFC!$B$17+KFC!$C$17)*KFC!$C$5</f>
        <v>30.511634263597891</v>
      </c>
      <c r="G14" s="912">
        <f>(AD14*KFC!$B$17+KFC!$C$17)*KFC!$C$5</f>
        <v>32.972517220696339</v>
      </c>
      <c r="H14" s="912">
        <f>(AE14*KFC!$B$17+KFC!$C$17)*KFC!$C$5</f>
        <v>35.433400177794788</v>
      </c>
      <c r="I14" s="912">
        <f>(AF14*KFC!$B$17+KFC!$C$17)*KFC!$C$5</f>
        <v>37.894283134893236</v>
      </c>
      <c r="J14" s="912">
        <f>(AG14*KFC!$B$17+KFC!$C$17)*KFC!$C$5</f>
        <v>40.355166091991684</v>
      </c>
      <c r="K14" s="912">
        <f>(AH14*KFC!$B$17+KFC!$C$17)*KFC!$C$5</f>
        <v>42.81604904909014</v>
      </c>
      <c r="L14" s="912">
        <f>(AI14*KFC!$B$17+KFC!$C$17)*KFC!$C$5</f>
        <v>45.276932006188581</v>
      </c>
      <c r="M14" s="912">
        <f>(AJ14*KFC!$B$17+KFC!$C$17)*KFC!$C$5</f>
        <v>47.737814963287029</v>
      </c>
      <c r="N14" s="912">
        <f>(AK14*KFC!$B$17+KFC!$C$17)*KFC!$C$5</f>
        <v>50.198697920385477</v>
      </c>
      <c r="O14" s="912">
        <f>(AL14*KFC!$B$17+KFC!$C$17)*KFC!$C$5</f>
        <v>52.659580877483926</v>
      </c>
      <c r="P14" s="912">
        <f>(AM14*KFC!$B$17+KFC!$C$17)*KFC!$C$5</f>
        <v>55.120463834582381</v>
      </c>
      <c r="Q14" s="912">
        <f>(AN14*KFC!$B$17+KFC!$C$17)*KFC!$C$5</f>
        <v>57.581346791680822</v>
      </c>
      <c r="R14" s="912">
        <f>(AO14*KFC!$B$17+KFC!$C$17)*KFC!$C$5</f>
        <v>60.04222974877927</v>
      </c>
      <c r="S14" s="912">
        <f>(AP14*KFC!$B$17+KFC!$C$17)*KFC!$C$5</f>
        <v>62.503112705877719</v>
      </c>
      <c r="T14" s="912">
        <f>(AQ14*KFC!$B$17+KFC!$C$17)*KFC!$C$5</f>
        <v>64.96399566297616</v>
      </c>
      <c r="U14" s="912">
        <f>(AR14*KFC!$B$17+KFC!$C$17)*KFC!$C$5</f>
        <v>67.424878620074608</v>
      </c>
      <c r="V14" s="912">
        <f>(AS14*KFC!$B$17+KFC!$C$17)*KFC!$C$5</f>
        <v>69.885761577173071</v>
      </c>
      <c r="W14" s="916">
        <f>(AT14*KFC!$B$17+KFC!$C$17)*KFC!$C$5</f>
        <v>72.346644534271505</v>
      </c>
      <c r="Y14" s="1277"/>
      <c r="Z14" s="649">
        <v>0.8</v>
      </c>
      <c r="AA14" s="882">
        <v>25.589868349400994</v>
      </c>
      <c r="AB14" s="882">
        <v>28.050751306499443</v>
      </c>
      <c r="AC14" s="882">
        <v>30.511634263597891</v>
      </c>
      <c r="AD14" s="882">
        <v>32.972517220696339</v>
      </c>
      <c r="AE14" s="882">
        <v>35.433400177794788</v>
      </c>
      <c r="AF14" s="882">
        <v>37.894283134893236</v>
      </c>
      <c r="AG14" s="882">
        <v>40.355166091991684</v>
      </c>
      <c r="AH14" s="882">
        <v>42.81604904909014</v>
      </c>
      <c r="AI14" s="882">
        <v>45.276932006188581</v>
      </c>
      <c r="AJ14" s="882">
        <v>47.737814963287029</v>
      </c>
      <c r="AK14" s="882">
        <v>50.198697920385477</v>
      </c>
      <c r="AL14" s="882">
        <v>52.659580877483926</v>
      </c>
      <c r="AM14" s="882">
        <v>55.120463834582381</v>
      </c>
      <c r="AN14" s="882">
        <v>57.581346791680822</v>
      </c>
      <c r="AO14" s="882">
        <v>60.04222974877927</v>
      </c>
      <c r="AP14" s="882">
        <v>62.503112705877719</v>
      </c>
      <c r="AQ14" s="882">
        <v>64.96399566297616</v>
      </c>
      <c r="AR14" s="882">
        <v>67.424878620074608</v>
      </c>
      <c r="AS14" s="882">
        <v>69.885761577173071</v>
      </c>
      <c r="AT14" s="882">
        <v>72.346644534271505</v>
      </c>
    </row>
    <row r="15" spans="1:255">
      <c r="A15" s="1426"/>
      <c r="B15" s="1427"/>
      <c r="C15" s="881">
        <v>0.9</v>
      </c>
      <c r="D15" s="915">
        <f>(AA15*KFC!$B$17+KFC!$C$17)*KFC!$C$5</f>
        <v>26.074473611201995</v>
      </c>
      <c r="E15" s="912">
        <f>(AB15*KFC!$B$17+KFC!$C$17)*KFC!$C$5</f>
        <v>28.64425719126422</v>
      </c>
      <c r="F15" s="912">
        <f>(AC15*KFC!$B$17+KFC!$C$17)*KFC!$C$5</f>
        <v>31.214040771326442</v>
      </c>
      <c r="G15" s="912">
        <f>(AD15*KFC!$B$17+KFC!$C$17)*KFC!$C$5</f>
        <v>33.783824351388667</v>
      </c>
      <c r="H15" s="912">
        <f>(AE15*KFC!$B$17+KFC!$C$17)*KFC!$C$5</f>
        <v>36.353607931450888</v>
      </c>
      <c r="I15" s="912">
        <f>(AF15*KFC!$B$17+KFC!$C$17)*KFC!$C$5</f>
        <v>38.92339151151311</v>
      </c>
      <c r="J15" s="912">
        <f>(AG15*KFC!$B$17+KFC!$C$17)*KFC!$C$5</f>
        <v>41.493175091575338</v>
      </c>
      <c r="K15" s="912">
        <f>(AH15*KFC!$B$17+KFC!$C$17)*KFC!$C$5</f>
        <v>44.06295867163756</v>
      </c>
      <c r="L15" s="912">
        <f>(AI15*KFC!$B$17+KFC!$C$17)*KFC!$C$5</f>
        <v>46.632742251699781</v>
      </c>
      <c r="M15" s="912">
        <f>(AJ15*KFC!$B$17+KFC!$C$17)*KFC!$C$5</f>
        <v>49.20252583176201</v>
      </c>
      <c r="N15" s="912">
        <f>(AK15*KFC!$B$17+KFC!$C$17)*KFC!$C$5</f>
        <v>51.772309411824232</v>
      </c>
      <c r="O15" s="912">
        <f>(AL15*KFC!$B$17+KFC!$C$17)*KFC!$C$5</f>
        <v>54.342092991886453</v>
      </c>
      <c r="P15" s="912">
        <f>(AM15*KFC!$B$17+KFC!$C$17)*KFC!$C$5</f>
        <v>56.911876571948682</v>
      </c>
      <c r="Q15" s="912">
        <f>(AN15*KFC!$B$17+KFC!$C$17)*KFC!$C$5</f>
        <v>59.481660152010903</v>
      </c>
      <c r="R15" s="912">
        <f>(AO15*KFC!$B$17+KFC!$C$17)*KFC!$C$5</f>
        <v>62.051443732073132</v>
      </c>
      <c r="S15" s="912">
        <f>(AP15*KFC!$B$17+KFC!$C$17)*KFC!$C$5</f>
        <v>64.62122731213536</v>
      </c>
      <c r="T15" s="912">
        <f>(AQ15*KFC!$B$17+KFC!$C$17)*KFC!$C$5</f>
        <v>67.191010892197582</v>
      </c>
      <c r="U15" s="912">
        <f>(AR15*KFC!$B$17+KFC!$C$17)*KFC!$C$5</f>
        <v>69.760794472259803</v>
      </c>
      <c r="V15" s="912">
        <f>(AS15*KFC!$B$17+KFC!$C$17)*KFC!$C$5</f>
        <v>72.330578052322025</v>
      </c>
      <c r="W15" s="916">
        <f>(AT15*KFC!$B$17+KFC!$C$17)*KFC!$C$5</f>
        <v>74.900361632384261</v>
      </c>
      <c r="Y15" s="1277"/>
      <c r="Z15" s="649">
        <v>0.9</v>
      </c>
      <c r="AA15" s="882">
        <v>26.074473611201995</v>
      </c>
      <c r="AB15" s="882">
        <v>28.64425719126422</v>
      </c>
      <c r="AC15" s="882">
        <v>31.214040771326442</v>
      </c>
      <c r="AD15" s="882">
        <v>33.783824351388667</v>
      </c>
      <c r="AE15" s="882">
        <v>36.353607931450888</v>
      </c>
      <c r="AF15" s="882">
        <v>38.92339151151311</v>
      </c>
      <c r="AG15" s="882">
        <v>41.493175091575338</v>
      </c>
      <c r="AH15" s="882">
        <v>44.06295867163756</v>
      </c>
      <c r="AI15" s="882">
        <v>46.632742251699781</v>
      </c>
      <c r="AJ15" s="882">
        <v>49.20252583176201</v>
      </c>
      <c r="AK15" s="882">
        <v>51.772309411824232</v>
      </c>
      <c r="AL15" s="882">
        <v>54.342092991886453</v>
      </c>
      <c r="AM15" s="882">
        <v>56.911876571948682</v>
      </c>
      <c r="AN15" s="882">
        <v>59.481660152010903</v>
      </c>
      <c r="AO15" s="882">
        <v>62.051443732073132</v>
      </c>
      <c r="AP15" s="882">
        <v>64.62122731213536</v>
      </c>
      <c r="AQ15" s="882">
        <v>67.191010892197582</v>
      </c>
      <c r="AR15" s="882">
        <v>69.760794472259803</v>
      </c>
      <c r="AS15" s="882">
        <v>72.330578052322025</v>
      </c>
      <c r="AT15" s="882">
        <v>74.900361632384261</v>
      </c>
    </row>
    <row r="16" spans="1:255">
      <c r="A16" s="1426"/>
      <c r="B16" s="1427"/>
      <c r="C16" s="881">
        <v>1</v>
      </c>
      <c r="D16" s="915">
        <f>(AA16*KFC!$B$17+KFC!$C$17)*KFC!$C$5</f>
        <v>26.559078873002992</v>
      </c>
      <c r="E16" s="912">
        <f>(AB16*KFC!$B$17+KFC!$C$17)*KFC!$C$5</f>
        <v>29.237763076028994</v>
      </c>
      <c r="F16" s="912">
        <f>(AC16*KFC!$B$17+KFC!$C$17)*KFC!$C$5</f>
        <v>31.916447279054996</v>
      </c>
      <c r="G16" s="912">
        <f>(AD16*KFC!$B$17+KFC!$C$17)*KFC!$C$5</f>
        <v>34.595131482080994</v>
      </c>
      <c r="H16" s="912">
        <f>(AE16*KFC!$B$17+KFC!$C$17)*KFC!$C$5</f>
        <v>37.273815685106996</v>
      </c>
      <c r="I16" s="912">
        <f>(AF16*KFC!$B$17+KFC!$C$17)*KFC!$C$5</f>
        <v>39.952499888132991</v>
      </c>
      <c r="J16" s="912">
        <f>(AG16*KFC!$B$17+KFC!$C$17)*KFC!$C$5</f>
        <v>42.631184091158993</v>
      </c>
      <c r="K16" s="912">
        <f>(AH16*KFC!$B$17+KFC!$C$17)*KFC!$C$5</f>
        <v>45.309868294184994</v>
      </c>
      <c r="L16" s="912">
        <f>(AI16*KFC!$B$17+KFC!$C$17)*KFC!$C$5</f>
        <v>47.988552497210996</v>
      </c>
      <c r="M16" s="912">
        <f>(AJ16*KFC!$B$17+KFC!$C$17)*KFC!$C$5</f>
        <v>50.667236700236991</v>
      </c>
      <c r="N16" s="912">
        <f>(AK16*KFC!$B$17+KFC!$C$17)*KFC!$C$5</f>
        <v>53.345920903262993</v>
      </c>
      <c r="O16" s="912">
        <f>(AL16*KFC!$B$17+KFC!$C$17)*KFC!$C$5</f>
        <v>56.024605106288995</v>
      </c>
      <c r="P16" s="912">
        <f>(AM16*KFC!$B$17+KFC!$C$17)*KFC!$C$5</f>
        <v>58.703289309314989</v>
      </c>
      <c r="Q16" s="912">
        <f>(AN16*KFC!$B$17+KFC!$C$17)*KFC!$C$5</f>
        <v>61.381973512340991</v>
      </c>
      <c r="R16" s="912">
        <f>(AO16*KFC!$B$17+KFC!$C$17)*KFC!$C$5</f>
        <v>64.060657715366986</v>
      </c>
      <c r="S16" s="912">
        <f>(AP16*KFC!$B$17+KFC!$C$17)*KFC!$C$5</f>
        <v>66.739341918392995</v>
      </c>
      <c r="T16" s="912">
        <f>(AQ16*KFC!$B$17+KFC!$C$17)*KFC!$C$5</f>
        <v>69.418026121419004</v>
      </c>
      <c r="U16" s="912">
        <f>(AR16*KFC!$B$17+KFC!$C$17)*KFC!$C$5</f>
        <v>72.096710324445013</v>
      </c>
      <c r="V16" s="912">
        <f>(AS16*KFC!$B$17+KFC!$C$17)*KFC!$C$5</f>
        <v>74.775394527471022</v>
      </c>
      <c r="W16" s="916">
        <f>(AT16*KFC!$B$17+KFC!$C$17)*KFC!$C$5</f>
        <v>77.454078730497031</v>
      </c>
      <c r="Y16" s="1277"/>
      <c r="Z16" s="649">
        <v>1</v>
      </c>
      <c r="AA16" s="882">
        <v>26.559078873002992</v>
      </c>
      <c r="AB16" s="882">
        <v>29.237763076028994</v>
      </c>
      <c r="AC16" s="882">
        <v>31.916447279054996</v>
      </c>
      <c r="AD16" s="882">
        <v>34.595131482080994</v>
      </c>
      <c r="AE16" s="882">
        <v>37.273815685106996</v>
      </c>
      <c r="AF16" s="882">
        <v>39.952499888132991</v>
      </c>
      <c r="AG16" s="882">
        <v>42.631184091158993</v>
      </c>
      <c r="AH16" s="882">
        <v>45.309868294184994</v>
      </c>
      <c r="AI16" s="882">
        <v>47.988552497210996</v>
      </c>
      <c r="AJ16" s="882">
        <v>50.667236700236991</v>
      </c>
      <c r="AK16" s="882">
        <v>53.345920903262993</v>
      </c>
      <c r="AL16" s="882">
        <v>56.024605106288995</v>
      </c>
      <c r="AM16" s="882">
        <v>58.703289309314989</v>
      </c>
      <c r="AN16" s="882">
        <v>61.381973512340991</v>
      </c>
      <c r="AO16" s="882">
        <v>64.060657715366986</v>
      </c>
      <c r="AP16" s="882">
        <v>66.739341918392995</v>
      </c>
      <c r="AQ16" s="882">
        <v>69.418026121419004</v>
      </c>
      <c r="AR16" s="882">
        <v>72.096710324445013</v>
      </c>
      <c r="AS16" s="882">
        <v>74.775394527471022</v>
      </c>
      <c r="AT16" s="882">
        <v>77.454078730497031</v>
      </c>
    </row>
    <row r="17" spans="1:46">
      <c r="A17" s="1426"/>
      <c r="B17" s="1427"/>
      <c r="C17" s="881">
        <v>1.1000000000000001</v>
      </c>
      <c r="D17" s="915">
        <f>(AA17*KFC!$B$17+KFC!$C$17)*KFC!$C$5</f>
        <v>27.043684134803993</v>
      </c>
      <c r="E17" s="912">
        <f>(AB17*KFC!$B$17+KFC!$C$17)*KFC!$C$5</f>
        <v>29.831268960793768</v>
      </c>
      <c r="F17" s="912">
        <f>(AC17*KFC!$B$17+KFC!$C$17)*KFC!$C$5</f>
        <v>32.618853786783554</v>
      </c>
      <c r="G17" s="912">
        <f>(AD17*KFC!$B$17+KFC!$C$17)*KFC!$C$5</f>
        <v>35.406438612773329</v>
      </c>
      <c r="H17" s="912">
        <f>(AE17*KFC!$B$17+KFC!$C$17)*KFC!$C$5</f>
        <v>38.194023438763104</v>
      </c>
      <c r="I17" s="912">
        <f>(AF17*KFC!$B$17+KFC!$C$17)*KFC!$C$5</f>
        <v>40.981608264752886</v>
      </c>
      <c r="J17" s="912">
        <f>(AG17*KFC!$B$17+KFC!$C$17)*KFC!$C$5</f>
        <v>43.769193090742661</v>
      </c>
      <c r="K17" s="912">
        <f>(AH17*KFC!$B$17+KFC!$C$17)*KFC!$C$5</f>
        <v>46.556777916732436</v>
      </c>
      <c r="L17" s="912">
        <f>(AI17*KFC!$B$17+KFC!$C$17)*KFC!$C$5</f>
        <v>49.344362742722211</v>
      </c>
      <c r="M17" s="912">
        <f>(AJ17*KFC!$B$17+KFC!$C$17)*KFC!$C$5</f>
        <v>52.131947568711986</v>
      </c>
      <c r="N17" s="912">
        <f>(AK17*KFC!$B$17+KFC!$C$17)*KFC!$C$5</f>
        <v>54.919532394701754</v>
      </c>
      <c r="O17" s="912">
        <f>(AL17*KFC!$B$17+KFC!$C$17)*KFC!$C$5</f>
        <v>57.707117220691529</v>
      </c>
      <c r="P17" s="912">
        <f>(AM17*KFC!$B$17+KFC!$C$17)*KFC!$C$5</f>
        <v>60.494702046681319</v>
      </c>
      <c r="Q17" s="912">
        <f>(AN17*KFC!$B$17+KFC!$C$17)*KFC!$C$5</f>
        <v>63.282286872671079</v>
      </c>
      <c r="R17" s="912">
        <f>(AO17*KFC!$B$17+KFC!$C$17)*KFC!$C$5</f>
        <v>66.069871698660862</v>
      </c>
      <c r="S17" s="912">
        <f>(AP17*KFC!$B$17+KFC!$C$17)*KFC!$C$5</f>
        <v>68.857456524650644</v>
      </c>
      <c r="T17" s="912">
        <f>(AQ17*KFC!$B$17+KFC!$C$17)*KFC!$C$5</f>
        <v>71.645041350640412</v>
      </c>
      <c r="U17" s="912">
        <f>(AR17*KFC!$B$17+KFC!$C$17)*KFC!$C$5</f>
        <v>74.432626176630194</v>
      </c>
      <c r="V17" s="912">
        <f>(AS17*KFC!$B$17+KFC!$C$17)*KFC!$C$5</f>
        <v>77.220211002619962</v>
      </c>
      <c r="W17" s="916">
        <f>(AT17*KFC!$B$17+KFC!$C$17)*KFC!$C$5</f>
        <v>80.007795828609787</v>
      </c>
      <c r="Y17" s="1277"/>
      <c r="Z17" s="649">
        <v>1.1000000000000001</v>
      </c>
      <c r="AA17" s="882">
        <v>27.043684134803993</v>
      </c>
      <c r="AB17" s="882">
        <v>29.831268960793768</v>
      </c>
      <c r="AC17" s="882">
        <v>32.618853786783554</v>
      </c>
      <c r="AD17" s="882">
        <v>35.406438612773329</v>
      </c>
      <c r="AE17" s="882">
        <v>38.194023438763104</v>
      </c>
      <c r="AF17" s="882">
        <v>40.981608264752886</v>
      </c>
      <c r="AG17" s="882">
        <v>43.769193090742661</v>
      </c>
      <c r="AH17" s="882">
        <v>46.556777916732436</v>
      </c>
      <c r="AI17" s="882">
        <v>49.344362742722211</v>
      </c>
      <c r="AJ17" s="882">
        <v>52.131947568711986</v>
      </c>
      <c r="AK17" s="882">
        <v>54.919532394701754</v>
      </c>
      <c r="AL17" s="882">
        <v>57.707117220691529</v>
      </c>
      <c r="AM17" s="882">
        <v>60.494702046681319</v>
      </c>
      <c r="AN17" s="882">
        <v>63.282286872671079</v>
      </c>
      <c r="AO17" s="882">
        <v>66.069871698660862</v>
      </c>
      <c r="AP17" s="882">
        <v>68.857456524650644</v>
      </c>
      <c r="AQ17" s="882">
        <v>71.645041350640412</v>
      </c>
      <c r="AR17" s="882">
        <v>74.432626176630194</v>
      </c>
      <c r="AS17" s="882">
        <v>77.220211002619962</v>
      </c>
      <c r="AT17" s="882">
        <v>80.007795828609787</v>
      </c>
    </row>
    <row r="18" spans="1:46">
      <c r="A18" s="1426"/>
      <c r="B18" s="1427"/>
      <c r="C18" s="881">
        <v>1.2</v>
      </c>
      <c r="D18" s="915">
        <f>(AA18*KFC!$B$17+KFC!$C$17)*KFC!$C$5</f>
        <v>27.52828939660499</v>
      </c>
      <c r="E18" s="912">
        <f>(AB18*KFC!$B$17+KFC!$C$17)*KFC!$C$5</f>
        <v>30.424774845558549</v>
      </c>
      <c r="F18" s="912">
        <f>(AC18*KFC!$B$17+KFC!$C$17)*KFC!$C$5</f>
        <v>33.321260294512101</v>
      </c>
      <c r="G18" s="912">
        <f>(AD18*KFC!$B$17+KFC!$C$17)*KFC!$C$5</f>
        <v>36.217745743465656</v>
      </c>
      <c r="H18" s="912">
        <f>(AE18*KFC!$B$17+KFC!$C$17)*KFC!$C$5</f>
        <v>39.114231192419219</v>
      </c>
      <c r="I18" s="912">
        <f>(AF18*KFC!$B$17+KFC!$C$17)*KFC!$C$5</f>
        <v>42.010716641372774</v>
      </c>
      <c r="J18" s="912">
        <f>(AG18*KFC!$B$17+KFC!$C$17)*KFC!$C$5</f>
        <v>44.907202090326329</v>
      </c>
      <c r="K18" s="912">
        <f>(AH18*KFC!$B$17+KFC!$C$17)*KFC!$C$5</f>
        <v>47.803687539279885</v>
      </c>
      <c r="L18" s="912">
        <f>(AI18*KFC!$B$17+KFC!$C$17)*KFC!$C$5</f>
        <v>50.70017298823344</v>
      </c>
      <c r="M18" s="912">
        <f>(AJ18*KFC!$B$17+KFC!$C$17)*KFC!$C$5</f>
        <v>53.596658437187003</v>
      </c>
      <c r="N18" s="912">
        <f>(AK18*KFC!$B$17+KFC!$C$17)*KFC!$C$5</f>
        <v>56.493143886140565</v>
      </c>
      <c r="O18" s="912">
        <f>(AL18*KFC!$B$17+KFC!$C$17)*KFC!$C$5</f>
        <v>59.389629335094121</v>
      </c>
      <c r="P18" s="912">
        <f>(AM18*KFC!$B$17+KFC!$C$17)*KFC!$C$5</f>
        <v>62.286114784047676</v>
      </c>
      <c r="Q18" s="912">
        <f>(AN18*KFC!$B$17+KFC!$C$17)*KFC!$C$5</f>
        <v>65.182600233001239</v>
      </c>
      <c r="R18" s="912">
        <f>(AO18*KFC!$B$17+KFC!$C$17)*KFC!$C$5</f>
        <v>68.07908568195478</v>
      </c>
      <c r="S18" s="912">
        <f>(AP18*KFC!$B$17+KFC!$C$17)*KFC!$C$5</f>
        <v>70.975571130908349</v>
      </c>
      <c r="T18" s="912">
        <f>(AQ18*KFC!$B$17+KFC!$C$17)*KFC!$C$5</f>
        <v>73.872056579861905</v>
      </c>
      <c r="U18" s="912">
        <f>(AR18*KFC!$B$17+KFC!$C$17)*KFC!$C$5</f>
        <v>76.76854202881546</v>
      </c>
      <c r="V18" s="912">
        <f>(AS18*KFC!$B$17+KFC!$C$17)*KFC!$C$5</f>
        <v>79.665027477769016</v>
      </c>
      <c r="W18" s="916">
        <f>(AT18*KFC!$B$17+KFC!$C$17)*KFC!$C$5</f>
        <v>82.561512926722543</v>
      </c>
      <c r="Y18" s="1277"/>
      <c r="Z18" s="649">
        <v>1.2</v>
      </c>
      <c r="AA18" s="882">
        <v>27.52828939660499</v>
      </c>
      <c r="AB18" s="882">
        <v>30.424774845558549</v>
      </c>
      <c r="AC18" s="882">
        <v>33.321260294512101</v>
      </c>
      <c r="AD18" s="882">
        <v>36.217745743465656</v>
      </c>
      <c r="AE18" s="882">
        <v>39.114231192419219</v>
      </c>
      <c r="AF18" s="882">
        <v>42.010716641372774</v>
      </c>
      <c r="AG18" s="882">
        <v>44.907202090326329</v>
      </c>
      <c r="AH18" s="882">
        <v>47.803687539279885</v>
      </c>
      <c r="AI18" s="882">
        <v>50.70017298823344</v>
      </c>
      <c r="AJ18" s="882">
        <v>53.596658437187003</v>
      </c>
      <c r="AK18" s="882">
        <v>56.493143886140565</v>
      </c>
      <c r="AL18" s="882">
        <v>59.389629335094121</v>
      </c>
      <c r="AM18" s="882">
        <v>62.286114784047676</v>
      </c>
      <c r="AN18" s="882">
        <v>65.182600233001239</v>
      </c>
      <c r="AO18" s="882">
        <v>68.07908568195478</v>
      </c>
      <c r="AP18" s="882">
        <v>70.975571130908349</v>
      </c>
      <c r="AQ18" s="882">
        <v>73.872056579861905</v>
      </c>
      <c r="AR18" s="882">
        <v>76.76854202881546</v>
      </c>
      <c r="AS18" s="882">
        <v>79.665027477769016</v>
      </c>
      <c r="AT18" s="882">
        <v>82.561512926722543</v>
      </c>
    </row>
    <row r="19" spans="1:46">
      <c r="A19" s="1426"/>
      <c r="B19" s="1427"/>
      <c r="C19" s="881">
        <v>1.3</v>
      </c>
      <c r="D19" s="915">
        <f>(AA19*KFC!$B$17+KFC!$C$17)*KFC!$C$5</f>
        <v>28.012894658405987</v>
      </c>
      <c r="E19" s="912">
        <f>(AB19*KFC!$B$17+KFC!$C$17)*KFC!$C$5</f>
        <v>31.018280730323323</v>
      </c>
      <c r="F19" s="912">
        <f>(AC19*KFC!$B$17+KFC!$C$17)*KFC!$C$5</f>
        <v>34.023666802240648</v>
      </c>
      <c r="G19" s="912">
        <f>(AD19*KFC!$B$17+KFC!$C$17)*KFC!$C$5</f>
        <v>37.029052874157983</v>
      </c>
      <c r="H19" s="912">
        <f>(AE19*KFC!$B$17+KFC!$C$17)*KFC!$C$5</f>
        <v>40.034438946075319</v>
      </c>
      <c r="I19" s="912">
        <f>(AF19*KFC!$B$17+KFC!$C$17)*KFC!$C$5</f>
        <v>43.039825017992655</v>
      </c>
      <c r="J19" s="912">
        <f>(AG19*KFC!$B$17+KFC!$C$17)*KFC!$C$5</f>
        <v>46.045211089909984</v>
      </c>
      <c r="K19" s="912">
        <f>(AH19*KFC!$B$17+KFC!$C$17)*KFC!$C$5</f>
        <v>49.050597161827312</v>
      </c>
      <c r="L19" s="912">
        <f>(AI19*KFC!$B$17+KFC!$C$17)*KFC!$C$5</f>
        <v>52.055983233744655</v>
      </c>
      <c r="M19" s="912">
        <f>(AJ19*KFC!$B$17+KFC!$C$17)*KFC!$C$5</f>
        <v>55.061369305661991</v>
      </c>
      <c r="N19" s="912">
        <f>(AK19*KFC!$B$17+KFC!$C$17)*KFC!$C$5</f>
        <v>58.066755377579319</v>
      </c>
      <c r="O19" s="912">
        <f>(AL19*KFC!$B$17+KFC!$C$17)*KFC!$C$5</f>
        <v>61.072141449496655</v>
      </c>
      <c r="P19" s="912">
        <f>(AM19*KFC!$B$17+KFC!$C$17)*KFC!$C$5</f>
        <v>64.077527521413984</v>
      </c>
      <c r="Q19" s="912">
        <f>(AN19*KFC!$B$17+KFC!$C$17)*KFC!$C$5</f>
        <v>67.082913593331313</v>
      </c>
      <c r="R19" s="912">
        <f>(AO19*KFC!$B$17+KFC!$C$17)*KFC!$C$5</f>
        <v>70.088299665248641</v>
      </c>
      <c r="S19" s="912">
        <f>(AP19*KFC!$B$17+KFC!$C$17)*KFC!$C$5</f>
        <v>73.09368573716597</v>
      </c>
      <c r="T19" s="912">
        <f>(AQ19*KFC!$B$17+KFC!$C$17)*KFC!$C$5</f>
        <v>76.099071809083298</v>
      </c>
      <c r="U19" s="912">
        <f>(AR19*KFC!$B$17+KFC!$C$17)*KFC!$C$5</f>
        <v>79.104457881000627</v>
      </c>
      <c r="V19" s="912">
        <f>(AS19*KFC!$B$17+KFC!$C$17)*KFC!$C$5</f>
        <v>82.109843952917942</v>
      </c>
      <c r="W19" s="916">
        <f>(AT19*KFC!$B$17+KFC!$C$17)*KFC!$C$5</f>
        <v>85.115230024835299</v>
      </c>
      <c r="Y19" s="1277"/>
      <c r="Z19" s="649">
        <v>1.3</v>
      </c>
      <c r="AA19" s="882">
        <v>28.012894658405987</v>
      </c>
      <c r="AB19" s="882">
        <v>31.018280730323323</v>
      </c>
      <c r="AC19" s="882">
        <v>34.023666802240648</v>
      </c>
      <c r="AD19" s="882">
        <v>37.029052874157983</v>
      </c>
      <c r="AE19" s="882">
        <v>40.034438946075319</v>
      </c>
      <c r="AF19" s="882">
        <v>43.039825017992655</v>
      </c>
      <c r="AG19" s="882">
        <v>46.045211089909984</v>
      </c>
      <c r="AH19" s="882">
        <v>49.050597161827312</v>
      </c>
      <c r="AI19" s="882">
        <v>52.055983233744655</v>
      </c>
      <c r="AJ19" s="882">
        <v>55.061369305661991</v>
      </c>
      <c r="AK19" s="882">
        <v>58.066755377579319</v>
      </c>
      <c r="AL19" s="882">
        <v>61.072141449496655</v>
      </c>
      <c r="AM19" s="882">
        <v>64.077527521413984</v>
      </c>
      <c r="AN19" s="882">
        <v>67.082913593331313</v>
      </c>
      <c r="AO19" s="882">
        <v>70.088299665248641</v>
      </c>
      <c r="AP19" s="882">
        <v>73.09368573716597</v>
      </c>
      <c r="AQ19" s="882">
        <v>76.099071809083298</v>
      </c>
      <c r="AR19" s="882">
        <v>79.104457881000627</v>
      </c>
      <c r="AS19" s="882">
        <v>82.109843952917942</v>
      </c>
      <c r="AT19" s="882">
        <v>85.115230024835299</v>
      </c>
    </row>
    <row r="20" spans="1:46">
      <c r="A20" s="1426"/>
      <c r="B20" s="1427"/>
      <c r="C20" s="881">
        <v>1.4</v>
      </c>
      <c r="D20" s="915">
        <f>(AA20*KFC!$B$17+KFC!$C$17)*KFC!$C$5</f>
        <v>28.497499920206991</v>
      </c>
      <c r="E20" s="912">
        <f>(AB20*KFC!$B$17+KFC!$C$17)*KFC!$C$5</f>
        <v>31.6117866150881</v>
      </c>
      <c r="F20" s="912">
        <f>(AC20*KFC!$B$17+KFC!$C$17)*KFC!$C$5</f>
        <v>34.726073309969209</v>
      </c>
      <c r="G20" s="912">
        <f>(AD20*KFC!$B$17+KFC!$C$17)*KFC!$C$5</f>
        <v>37.840360004850318</v>
      </c>
      <c r="H20" s="912">
        <f>(AE20*KFC!$B$17+KFC!$C$17)*KFC!$C$5</f>
        <v>40.954646699731427</v>
      </c>
      <c r="I20" s="912">
        <f>(AF20*KFC!$B$17+KFC!$C$17)*KFC!$C$5</f>
        <v>44.068933394612536</v>
      </c>
      <c r="J20" s="912">
        <f>(AG20*KFC!$B$17+KFC!$C$17)*KFC!$C$5</f>
        <v>47.183220089493645</v>
      </c>
      <c r="K20" s="912">
        <f>(AH20*KFC!$B$17+KFC!$C$17)*KFC!$C$5</f>
        <v>50.297506784374754</v>
      </c>
      <c r="L20" s="912">
        <f>(AI20*KFC!$B$17+KFC!$C$17)*KFC!$C$5</f>
        <v>53.411793479255863</v>
      </c>
      <c r="M20" s="912">
        <f>(AJ20*KFC!$B$17+KFC!$C$17)*KFC!$C$5</f>
        <v>56.526080174136979</v>
      </c>
      <c r="N20" s="912">
        <f>(AK20*KFC!$B$17+KFC!$C$17)*KFC!$C$5</f>
        <v>59.640366869018088</v>
      </c>
      <c r="O20" s="912">
        <f>(AL20*KFC!$B$17+KFC!$C$17)*KFC!$C$5</f>
        <v>62.754653563899197</v>
      </c>
      <c r="P20" s="912">
        <f>(AM20*KFC!$B$17+KFC!$C$17)*KFC!$C$5</f>
        <v>65.868940258780313</v>
      </c>
      <c r="Q20" s="912">
        <f>(AN20*KFC!$B$17+KFC!$C$17)*KFC!$C$5</f>
        <v>68.983226953661401</v>
      </c>
      <c r="R20" s="912">
        <f>(AO20*KFC!$B$17+KFC!$C$17)*KFC!$C$5</f>
        <v>72.097513648542517</v>
      </c>
      <c r="S20" s="912">
        <f>(AP20*KFC!$B$17+KFC!$C$17)*KFC!$C$5</f>
        <v>75.211800343423633</v>
      </c>
      <c r="T20" s="912">
        <f>(AQ20*KFC!$B$17+KFC!$C$17)*KFC!$C$5</f>
        <v>78.326087038304735</v>
      </c>
      <c r="U20" s="912">
        <f>(AR20*KFC!$B$17+KFC!$C$17)*KFC!$C$5</f>
        <v>81.440373733185851</v>
      </c>
      <c r="V20" s="912">
        <f>(AS20*KFC!$B$17+KFC!$C$17)*KFC!$C$5</f>
        <v>84.554660428066953</v>
      </c>
      <c r="W20" s="916">
        <f>(AT20*KFC!$B$17+KFC!$C$17)*KFC!$C$5</f>
        <v>87.668947122948055</v>
      </c>
      <c r="Y20" s="1277"/>
      <c r="Z20" s="649">
        <v>1.4</v>
      </c>
      <c r="AA20" s="882">
        <v>28.497499920206991</v>
      </c>
      <c r="AB20" s="882">
        <v>31.6117866150881</v>
      </c>
      <c r="AC20" s="882">
        <v>34.726073309969209</v>
      </c>
      <c r="AD20" s="882">
        <v>37.840360004850318</v>
      </c>
      <c r="AE20" s="882">
        <v>40.954646699731427</v>
      </c>
      <c r="AF20" s="882">
        <v>44.068933394612536</v>
      </c>
      <c r="AG20" s="882">
        <v>47.183220089493645</v>
      </c>
      <c r="AH20" s="882">
        <v>50.297506784374754</v>
      </c>
      <c r="AI20" s="882">
        <v>53.411793479255863</v>
      </c>
      <c r="AJ20" s="882">
        <v>56.526080174136979</v>
      </c>
      <c r="AK20" s="882">
        <v>59.640366869018088</v>
      </c>
      <c r="AL20" s="882">
        <v>62.754653563899197</v>
      </c>
      <c r="AM20" s="882">
        <v>65.868940258780313</v>
      </c>
      <c r="AN20" s="882">
        <v>68.983226953661401</v>
      </c>
      <c r="AO20" s="882">
        <v>72.097513648542517</v>
      </c>
      <c r="AP20" s="882">
        <v>75.211800343423633</v>
      </c>
      <c r="AQ20" s="882">
        <v>78.326087038304735</v>
      </c>
      <c r="AR20" s="882">
        <v>81.440373733185851</v>
      </c>
      <c r="AS20" s="882">
        <v>84.554660428066953</v>
      </c>
      <c r="AT20" s="882">
        <v>87.668947122948055</v>
      </c>
    </row>
    <row r="21" spans="1:46">
      <c r="A21" s="1426"/>
      <c r="B21" s="1427"/>
      <c r="C21" s="881">
        <v>1.5</v>
      </c>
      <c r="D21" s="915">
        <f>(AA21*KFC!$B$17+KFC!$C$17)*KFC!$C$5</f>
        <v>28.982105182007992</v>
      </c>
      <c r="E21" s="912">
        <f>(AB21*KFC!$B$17+KFC!$C$17)*KFC!$C$5</f>
        <v>32.205292499852874</v>
      </c>
      <c r="F21" s="912">
        <f>(AC21*KFC!$B$17+KFC!$C$17)*KFC!$C$5</f>
        <v>35.428479817697763</v>
      </c>
      <c r="G21" s="912">
        <f>(AD21*KFC!$B$17+KFC!$C$17)*KFC!$C$5</f>
        <v>38.651667135542645</v>
      </c>
      <c r="H21" s="912">
        <f>(AE21*KFC!$B$17+KFC!$C$17)*KFC!$C$5</f>
        <v>41.874854453387528</v>
      </c>
      <c r="I21" s="912">
        <f>(AF21*KFC!$B$17+KFC!$C$17)*KFC!$C$5</f>
        <v>45.09804177123241</v>
      </c>
      <c r="J21" s="912">
        <f>(AG21*KFC!$B$17+KFC!$C$17)*KFC!$C$5</f>
        <v>48.321229089077306</v>
      </c>
      <c r="K21" s="912">
        <f>(AH21*KFC!$B$17+KFC!$C$17)*KFC!$C$5</f>
        <v>51.544416406922188</v>
      </c>
      <c r="L21" s="912">
        <f>(AI21*KFC!$B$17+KFC!$C$17)*KFC!$C$5</f>
        <v>54.767603724767071</v>
      </c>
      <c r="M21" s="912">
        <f>(AJ21*KFC!$B$17+KFC!$C$17)*KFC!$C$5</f>
        <v>57.99079104261196</v>
      </c>
      <c r="N21" s="912">
        <f>(AK21*KFC!$B$17+KFC!$C$17)*KFC!$C$5</f>
        <v>61.213978360456842</v>
      </c>
      <c r="O21" s="912">
        <f>(AL21*KFC!$B$17+KFC!$C$17)*KFC!$C$5</f>
        <v>64.437165678301724</v>
      </c>
      <c r="P21" s="912">
        <f>(AM21*KFC!$B$17+KFC!$C$17)*KFC!$C$5</f>
        <v>67.660352996146614</v>
      </c>
      <c r="Q21" s="912">
        <f>(AN21*KFC!$B$17+KFC!$C$17)*KFC!$C$5</f>
        <v>70.883540313991489</v>
      </c>
      <c r="R21" s="912">
        <f>(AO21*KFC!$B$17+KFC!$C$17)*KFC!$C$5</f>
        <v>74.106727631836364</v>
      </c>
      <c r="S21" s="912">
        <f>(AP21*KFC!$B$17+KFC!$C$17)*KFC!$C$5</f>
        <v>77.329914949681253</v>
      </c>
      <c r="T21" s="912">
        <f>(AQ21*KFC!$B$17+KFC!$C$17)*KFC!$C$5</f>
        <v>80.553102267526128</v>
      </c>
      <c r="U21" s="912">
        <f>(AR21*KFC!$B$17+KFC!$C$17)*KFC!$C$5</f>
        <v>83.776289585371003</v>
      </c>
      <c r="V21" s="912">
        <f>(AS21*KFC!$B$17+KFC!$C$17)*KFC!$C$5</f>
        <v>86.999476903215893</v>
      </c>
      <c r="W21" s="916">
        <f>(AT21*KFC!$B$17+KFC!$C$17)*KFC!$C$5</f>
        <v>90.222664221060811</v>
      </c>
      <c r="Y21" s="1277"/>
      <c r="Z21" s="649">
        <v>1.5</v>
      </c>
      <c r="AA21" s="882">
        <v>28.982105182007992</v>
      </c>
      <c r="AB21" s="882">
        <v>32.205292499852874</v>
      </c>
      <c r="AC21" s="882">
        <v>35.428479817697763</v>
      </c>
      <c r="AD21" s="882">
        <v>38.651667135542645</v>
      </c>
      <c r="AE21" s="882">
        <v>41.874854453387528</v>
      </c>
      <c r="AF21" s="882">
        <v>45.09804177123241</v>
      </c>
      <c r="AG21" s="882">
        <v>48.321229089077306</v>
      </c>
      <c r="AH21" s="882">
        <v>51.544416406922188</v>
      </c>
      <c r="AI21" s="882">
        <v>54.767603724767071</v>
      </c>
      <c r="AJ21" s="882">
        <v>57.99079104261196</v>
      </c>
      <c r="AK21" s="882">
        <v>61.213978360456842</v>
      </c>
      <c r="AL21" s="882">
        <v>64.437165678301724</v>
      </c>
      <c r="AM21" s="882">
        <v>67.660352996146614</v>
      </c>
      <c r="AN21" s="882">
        <v>70.883540313991489</v>
      </c>
      <c r="AO21" s="882">
        <v>74.106727631836364</v>
      </c>
      <c r="AP21" s="882">
        <v>77.329914949681253</v>
      </c>
      <c r="AQ21" s="882">
        <v>80.553102267526128</v>
      </c>
      <c r="AR21" s="882">
        <v>83.776289585371003</v>
      </c>
      <c r="AS21" s="882">
        <v>86.999476903215893</v>
      </c>
      <c r="AT21" s="882">
        <v>90.222664221060811</v>
      </c>
    </row>
    <row r="22" spans="1:46">
      <c r="A22" s="1426"/>
      <c r="B22" s="1427"/>
      <c r="C22" s="881">
        <v>1.6</v>
      </c>
      <c r="D22" s="915">
        <f>(AA22*KFC!$B$17+KFC!$C$17)*KFC!$C$5</f>
        <v>29.466710443808989</v>
      </c>
      <c r="E22" s="912">
        <f>(AB22*KFC!$B$17+KFC!$C$17)*KFC!$C$5</f>
        <v>32.798798384617648</v>
      </c>
      <c r="F22" s="912">
        <f>(AC22*KFC!$B$17+KFC!$C$17)*KFC!$C$5</f>
        <v>36.13088632542631</v>
      </c>
      <c r="G22" s="912">
        <f>(AD22*KFC!$B$17+KFC!$C$17)*KFC!$C$5</f>
        <v>39.462974266234973</v>
      </c>
      <c r="H22" s="912">
        <f>(AE22*KFC!$B$17+KFC!$C$17)*KFC!$C$5</f>
        <v>42.795062207043635</v>
      </c>
      <c r="I22" s="912">
        <f>(AF22*KFC!$B$17+KFC!$C$17)*KFC!$C$5</f>
        <v>46.127150147852298</v>
      </c>
      <c r="J22" s="912">
        <f>(AG22*KFC!$B$17+KFC!$C$17)*KFC!$C$5</f>
        <v>49.45923808866096</v>
      </c>
      <c r="K22" s="912">
        <f>(AH22*KFC!$B$17+KFC!$C$17)*KFC!$C$5</f>
        <v>52.791326029469616</v>
      </c>
      <c r="L22" s="912">
        <f>(AI22*KFC!$B$17+KFC!$C$17)*KFC!$C$5</f>
        <v>56.123413970278285</v>
      </c>
      <c r="M22" s="912">
        <f>(AJ22*KFC!$B$17+KFC!$C$17)*KFC!$C$5</f>
        <v>59.455501911086934</v>
      </c>
      <c r="N22" s="912">
        <f>(AK22*KFC!$B$17+KFC!$C$17)*KFC!$C$5</f>
        <v>62.787589851895603</v>
      </c>
      <c r="O22" s="912">
        <f>(AL22*KFC!$B$17+KFC!$C$17)*KFC!$C$5</f>
        <v>66.119677792704266</v>
      </c>
      <c r="P22" s="912">
        <f>(AM22*KFC!$B$17+KFC!$C$17)*KFC!$C$5</f>
        <v>69.451765733512929</v>
      </c>
      <c r="Q22" s="912">
        <f>(AN22*KFC!$B$17+KFC!$C$17)*KFC!$C$5</f>
        <v>72.783853674321591</v>
      </c>
      <c r="R22" s="912">
        <f>(AO22*KFC!$B$17+KFC!$C$17)*KFC!$C$5</f>
        <v>76.115941615130254</v>
      </c>
      <c r="S22" s="912">
        <f>(AP22*KFC!$B$17+KFC!$C$17)*KFC!$C$5</f>
        <v>79.448029555938916</v>
      </c>
      <c r="T22" s="912">
        <f>(AQ22*KFC!$B$17+KFC!$C$17)*KFC!$C$5</f>
        <v>82.780117496747579</v>
      </c>
      <c r="U22" s="912">
        <f>(AR22*KFC!$B$17+KFC!$C$17)*KFC!$C$5</f>
        <v>86.112205437556256</v>
      </c>
      <c r="V22" s="912">
        <f>(AS22*KFC!$B$17+KFC!$C$17)*KFC!$C$5</f>
        <v>89.44429337836489</v>
      </c>
      <c r="W22" s="916">
        <f>(AT22*KFC!$B$17+KFC!$C$17)*KFC!$C$5</f>
        <v>92.776381319173552</v>
      </c>
      <c r="Y22" s="1277"/>
      <c r="Z22" s="649">
        <v>1.6</v>
      </c>
      <c r="AA22" s="882">
        <v>29.466710443808989</v>
      </c>
      <c r="AB22" s="882">
        <v>32.798798384617648</v>
      </c>
      <c r="AC22" s="882">
        <v>36.13088632542631</v>
      </c>
      <c r="AD22" s="882">
        <v>39.462974266234973</v>
      </c>
      <c r="AE22" s="882">
        <v>42.795062207043635</v>
      </c>
      <c r="AF22" s="882">
        <v>46.127150147852298</v>
      </c>
      <c r="AG22" s="882">
        <v>49.45923808866096</v>
      </c>
      <c r="AH22" s="882">
        <v>52.791326029469616</v>
      </c>
      <c r="AI22" s="882">
        <v>56.123413970278285</v>
      </c>
      <c r="AJ22" s="882">
        <v>59.455501911086934</v>
      </c>
      <c r="AK22" s="882">
        <v>62.787589851895603</v>
      </c>
      <c r="AL22" s="882">
        <v>66.119677792704266</v>
      </c>
      <c r="AM22" s="882">
        <v>69.451765733512929</v>
      </c>
      <c r="AN22" s="882">
        <v>72.783853674321591</v>
      </c>
      <c r="AO22" s="882">
        <v>76.115941615130254</v>
      </c>
      <c r="AP22" s="882">
        <v>79.448029555938916</v>
      </c>
      <c r="AQ22" s="882">
        <v>82.780117496747579</v>
      </c>
      <c r="AR22" s="882">
        <v>86.112205437556256</v>
      </c>
      <c r="AS22" s="882">
        <v>89.44429337836489</v>
      </c>
      <c r="AT22" s="882">
        <v>92.776381319173552</v>
      </c>
    </row>
    <row r="23" spans="1:46">
      <c r="A23" s="1426"/>
      <c r="B23" s="1427"/>
      <c r="C23" s="881">
        <v>1.7</v>
      </c>
      <c r="D23" s="915">
        <f>(AA23*KFC!$B$17+KFC!$C$17)*KFC!$C$5</f>
        <v>29.951315705609986</v>
      </c>
      <c r="E23" s="912">
        <f>(AB23*KFC!$B$17+KFC!$C$17)*KFC!$C$5</f>
        <v>33.392304269382421</v>
      </c>
      <c r="F23" s="912">
        <f>(AC23*KFC!$B$17+KFC!$C$17)*KFC!$C$5</f>
        <v>36.833292833154857</v>
      </c>
      <c r="G23" s="912">
        <f>(AD23*KFC!$B$17+KFC!$C$17)*KFC!$C$5</f>
        <v>40.274281396927293</v>
      </c>
      <c r="H23" s="912">
        <f>(AE23*KFC!$B$17+KFC!$C$17)*KFC!$C$5</f>
        <v>43.715269960699729</v>
      </c>
      <c r="I23" s="912">
        <f>(AF23*KFC!$B$17+KFC!$C$17)*KFC!$C$5</f>
        <v>47.156258524472165</v>
      </c>
      <c r="J23" s="912">
        <f>(AG23*KFC!$B$17+KFC!$C$17)*KFC!$C$5</f>
        <v>50.5972470882446</v>
      </c>
      <c r="K23" s="912">
        <f>(AH23*KFC!$B$17+KFC!$C$17)*KFC!$C$5</f>
        <v>54.03823565201705</v>
      </c>
      <c r="L23" s="912">
        <f>(AI23*KFC!$B$17+KFC!$C$17)*KFC!$C$5</f>
        <v>57.479224215789479</v>
      </c>
      <c r="M23" s="912">
        <f>(AJ23*KFC!$B$17+KFC!$C$17)*KFC!$C$5</f>
        <v>60.920212779561922</v>
      </c>
      <c r="N23" s="912">
        <f>(AK23*KFC!$B$17+KFC!$C$17)*KFC!$C$5</f>
        <v>64.361201343334358</v>
      </c>
      <c r="O23" s="912">
        <f>(AL23*KFC!$B$17+KFC!$C$17)*KFC!$C$5</f>
        <v>67.802189907106793</v>
      </c>
      <c r="P23" s="912">
        <f>(AM23*KFC!$B$17+KFC!$C$17)*KFC!$C$5</f>
        <v>71.243178470879243</v>
      </c>
      <c r="Q23" s="912">
        <f>(AN23*KFC!$B$17+KFC!$C$17)*KFC!$C$5</f>
        <v>74.684167034651679</v>
      </c>
      <c r="R23" s="912">
        <f>(AO23*KFC!$B$17+KFC!$C$17)*KFC!$C$5</f>
        <v>78.125155598424129</v>
      </c>
      <c r="S23" s="912">
        <f>(AP23*KFC!$B$17+KFC!$C$17)*KFC!$C$5</f>
        <v>81.566144162196565</v>
      </c>
      <c r="T23" s="912">
        <f>(AQ23*KFC!$B$17+KFC!$C$17)*KFC!$C$5</f>
        <v>85.007132725969029</v>
      </c>
      <c r="U23" s="912">
        <f>(AR23*KFC!$B$17+KFC!$C$17)*KFC!$C$5</f>
        <v>88.448121289741465</v>
      </c>
      <c r="V23" s="912">
        <f>(AS23*KFC!$B$17+KFC!$C$17)*KFC!$C$5</f>
        <v>91.889109853513901</v>
      </c>
      <c r="W23" s="916">
        <f>(AT23*KFC!$B$17+KFC!$C$17)*KFC!$C$5</f>
        <v>95.330098417286308</v>
      </c>
      <c r="Y23" s="1277"/>
      <c r="Z23" s="649">
        <v>1.7</v>
      </c>
      <c r="AA23" s="882">
        <v>29.951315705609986</v>
      </c>
      <c r="AB23" s="882">
        <v>33.392304269382421</v>
      </c>
      <c r="AC23" s="882">
        <v>36.833292833154857</v>
      </c>
      <c r="AD23" s="882">
        <v>40.274281396927293</v>
      </c>
      <c r="AE23" s="882">
        <v>43.715269960699729</v>
      </c>
      <c r="AF23" s="882">
        <v>47.156258524472165</v>
      </c>
      <c r="AG23" s="882">
        <v>50.5972470882446</v>
      </c>
      <c r="AH23" s="882">
        <v>54.03823565201705</v>
      </c>
      <c r="AI23" s="882">
        <v>57.479224215789479</v>
      </c>
      <c r="AJ23" s="882">
        <v>60.920212779561922</v>
      </c>
      <c r="AK23" s="882">
        <v>64.361201343334358</v>
      </c>
      <c r="AL23" s="882">
        <v>67.802189907106793</v>
      </c>
      <c r="AM23" s="882">
        <v>71.243178470879243</v>
      </c>
      <c r="AN23" s="882">
        <v>74.684167034651679</v>
      </c>
      <c r="AO23" s="882">
        <v>78.125155598424129</v>
      </c>
      <c r="AP23" s="882">
        <v>81.566144162196565</v>
      </c>
      <c r="AQ23" s="882">
        <v>85.007132725969029</v>
      </c>
      <c r="AR23" s="882">
        <v>88.448121289741465</v>
      </c>
      <c r="AS23" s="882">
        <v>91.889109853513901</v>
      </c>
      <c r="AT23" s="882">
        <v>95.330098417286308</v>
      </c>
    </row>
    <row r="24" spans="1:46">
      <c r="A24" s="1426"/>
      <c r="B24" s="1427"/>
      <c r="C24" s="881">
        <v>1.8</v>
      </c>
      <c r="D24" s="915">
        <f>(AA24*KFC!$B$17+KFC!$C$17)*KFC!$C$5</f>
        <v>30.435920967410983</v>
      </c>
      <c r="E24" s="912">
        <f>(AB24*KFC!$B$17+KFC!$C$17)*KFC!$C$5</f>
        <v>33.985810154147202</v>
      </c>
      <c r="F24" s="912">
        <f>(AC24*KFC!$B$17+KFC!$C$17)*KFC!$C$5</f>
        <v>37.535699340883411</v>
      </c>
      <c r="G24" s="912">
        <f>(AD24*KFC!$B$17+KFC!$C$17)*KFC!$C$5</f>
        <v>41.085588527619628</v>
      </c>
      <c r="H24" s="912">
        <f>(AE24*KFC!$B$17+KFC!$C$17)*KFC!$C$5</f>
        <v>44.635477714355844</v>
      </c>
      <c r="I24" s="912">
        <f>(AF24*KFC!$B$17+KFC!$C$17)*KFC!$C$5</f>
        <v>48.185366901092053</v>
      </c>
      <c r="J24" s="912">
        <f>(AG24*KFC!$B$17+KFC!$C$17)*KFC!$C$5</f>
        <v>51.735256087828262</v>
      </c>
      <c r="K24" s="912">
        <f>(AH24*KFC!$B$17+KFC!$C$17)*KFC!$C$5</f>
        <v>55.285145274564478</v>
      </c>
      <c r="L24" s="912">
        <f>(AI24*KFC!$B$17+KFC!$C$17)*KFC!$C$5</f>
        <v>58.835034461300687</v>
      </c>
      <c r="M24" s="912">
        <f>(AJ24*KFC!$B$17+KFC!$C$17)*KFC!$C$5</f>
        <v>62.38492364803691</v>
      </c>
      <c r="N24" s="912">
        <f>(AK24*KFC!$B$17+KFC!$C$17)*KFC!$C$5</f>
        <v>65.934812834773112</v>
      </c>
      <c r="O24" s="912">
        <f>(AL24*KFC!$B$17+KFC!$C$17)*KFC!$C$5</f>
        <v>69.484702021509321</v>
      </c>
      <c r="P24" s="912">
        <f>(AM24*KFC!$B$17+KFC!$C$17)*KFC!$C$5</f>
        <v>73.034591208245544</v>
      </c>
      <c r="Q24" s="912">
        <f>(AN24*KFC!$B$17+KFC!$C$17)*KFC!$C$5</f>
        <v>76.584480394981767</v>
      </c>
      <c r="R24" s="912">
        <f>(AO24*KFC!$B$17+KFC!$C$17)*KFC!$C$5</f>
        <v>80.134369581717962</v>
      </c>
      <c r="S24" s="912">
        <f>(AP24*KFC!$B$17+KFC!$C$17)*KFC!$C$5</f>
        <v>83.684258768454171</v>
      </c>
      <c r="T24" s="912">
        <f>(AQ24*KFC!$B$17+KFC!$C$17)*KFC!$C$5</f>
        <v>87.23414795519038</v>
      </c>
      <c r="U24" s="912">
        <f>(AR24*KFC!$B$17+KFC!$C$17)*KFC!$C$5</f>
        <v>90.784037141926618</v>
      </c>
      <c r="V24" s="912">
        <f>(AS24*KFC!$B$17+KFC!$C$17)*KFC!$C$5</f>
        <v>94.333926328662827</v>
      </c>
      <c r="W24" s="916">
        <f>(AT24*KFC!$B$17+KFC!$C$17)*KFC!$C$5</f>
        <v>97.883815515399064</v>
      </c>
      <c r="Y24" s="1277"/>
      <c r="Z24" s="649">
        <v>1.8</v>
      </c>
      <c r="AA24" s="882">
        <v>30.435920967410983</v>
      </c>
      <c r="AB24" s="882">
        <v>33.985810154147202</v>
      </c>
      <c r="AC24" s="882">
        <v>37.535699340883411</v>
      </c>
      <c r="AD24" s="882">
        <v>41.085588527619628</v>
      </c>
      <c r="AE24" s="882">
        <v>44.635477714355844</v>
      </c>
      <c r="AF24" s="882">
        <v>48.185366901092053</v>
      </c>
      <c r="AG24" s="882">
        <v>51.735256087828262</v>
      </c>
      <c r="AH24" s="882">
        <v>55.285145274564478</v>
      </c>
      <c r="AI24" s="882">
        <v>58.835034461300687</v>
      </c>
      <c r="AJ24" s="882">
        <v>62.38492364803691</v>
      </c>
      <c r="AK24" s="882">
        <v>65.934812834773112</v>
      </c>
      <c r="AL24" s="882">
        <v>69.484702021509321</v>
      </c>
      <c r="AM24" s="882">
        <v>73.034591208245544</v>
      </c>
      <c r="AN24" s="882">
        <v>76.584480394981767</v>
      </c>
      <c r="AO24" s="882">
        <v>80.134369581717962</v>
      </c>
      <c r="AP24" s="882">
        <v>83.684258768454171</v>
      </c>
      <c r="AQ24" s="882">
        <v>87.23414795519038</v>
      </c>
      <c r="AR24" s="882">
        <v>90.784037141926618</v>
      </c>
      <c r="AS24" s="882">
        <v>94.333926328662827</v>
      </c>
      <c r="AT24" s="882">
        <v>97.883815515399064</v>
      </c>
    </row>
    <row r="25" spans="1:46">
      <c r="A25" s="1426"/>
      <c r="B25" s="1427"/>
      <c r="C25" s="881">
        <v>1.9</v>
      </c>
      <c r="D25" s="915">
        <f>(AA25*KFC!$B$17+KFC!$C$17)*KFC!$C$5</f>
        <v>30.920526229211983</v>
      </c>
      <c r="E25" s="912">
        <f>(AB25*KFC!$B$17+KFC!$C$17)*KFC!$C$5</f>
        <v>34.579316038911976</v>
      </c>
      <c r="F25" s="912">
        <f>(AC25*KFC!$B$17+KFC!$C$17)*KFC!$C$5</f>
        <v>38.238105848611973</v>
      </c>
      <c r="G25" s="912">
        <f>(AD25*KFC!$B$17+KFC!$C$17)*KFC!$C$5</f>
        <v>41.896895658311962</v>
      </c>
      <c r="H25" s="912">
        <f>(AE25*KFC!$B$17+KFC!$C$17)*KFC!$C$5</f>
        <v>45.555685468011951</v>
      </c>
      <c r="I25" s="912">
        <f>(AF25*KFC!$B$17+KFC!$C$17)*KFC!$C$5</f>
        <v>49.214475277711948</v>
      </c>
      <c r="J25" s="912">
        <f>(AG25*KFC!$B$17+KFC!$C$17)*KFC!$C$5</f>
        <v>52.873265087411937</v>
      </c>
      <c r="K25" s="912">
        <f>(AH25*KFC!$B$17+KFC!$C$17)*KFC!$C$5</f>
        <v>56.532054897111941</v>
      </c>
      <c r="L25" s="912">
        <f>(AI25*KFC!$B$17+KFC!$C$17)*KFC!$C$5</f>
        <v>60.190844706811937</v>
      </c>
      <c r="M25" s="912">
        <f>(AJ25*KFC!$B$17+KFC!$C$17)*KFC!$C$5</f>
        <v>63.849634516511927</v>
      </c>
      <c r="N25" s="912">
        <f>(AK25*KFC!$B$17+KFC!$C$17)*KFC!$C$5</f>
        <v>67.508424326211923</v>
      </c>
      <c r="O25" s="912">
        <f>(AL25*KFC!$B$17+KFC!$C$17)*KFC!$C$5</f>
        <v>71.167214135911919</v>
      </c>
      <c r="P25" s="912">
        <f>(AM25*KFC!$B$17+KFC!$C$17)*KFC!$C$5</f>
        <v>74.826003945611916</v>
      </c>
      <c r="Q25" s="912">
        <f>(AN25*KFC!$B$17+KFC!$C$17)*KFC!$C$5</f>
        <v>78.484793755311912</v>
      </c>
      <c r="R25" s="912">
        <f>(AO25*KFC!$B$17+KFC!$C$17)*KFC!$C$5</f>
        <v>82.143583565011909</v>
      </c>
      <c r="S25" s="912">
        <f>(AP25*KFC!$B$17+KFC!$C$17)*KFC!$C$5</f>
        <v>85.802373374711905</v>
      </c>
      <c r="T25" s="912">
        <f>(AQ25*KFC!$B$17+KFC!$C$17)*KFC!$C$5</f>
        <v>89.461163184411902</v>
      </c>
      <c r="U25" s="912">
        <f>(AR25*KFC!$B$17+KFC!$C$17)*KFC!$C$5</f>
        <v>93.119952994111898</v>
      </c>
      <c r="V25" s="912">
        <f>(AS25*KFC!$B$17+KFC!$C$17)*KFC!$C$5</f>
        <v>96.77874280381188</v>
      </c>
      <c r="W25" s="916">
        <f>(AT25*KFC!$B$17+KFC!$C$17)*KFC!$C$5</f>
        <v>100.43753261351182</v>
      </c>
      <c r="Y25" s="1277"/>
      <c r="Z25" s="649">
        <v>1.9</v>
      </c>
      <c r="AA25" s="882">
        <v>30.920526229211983</v>
      </c>
      <c r="AB25" s="882">
        <v>34.579316038911976</v>
      </c>
      <c r="AC25" s="882">
        <v>38.238105848611973</v>
      </c>
      <c r="AD25" s="882">
        <v>41.896895658311962</v>
      </c>
      <c r="AE25" s="882">
        <v>45.555685468011951</v>
      </c>
      <c r="AF25" s="882">
        <v>49.214475277711948</v>
      </c>
      <c r="AG25" s="882">
        <v>52.873265087411937</v>
      </c>
      <c r="AH25" s="882">
        <v>56.532054897111941</v>
      </c>
      <c r="AI25" s="882">
        <v>60.190844706811937</v>
      </c>
      <c r="AJ25" s="882">
        <v>63.849634516511927</v>
      </c>
      <c r="AK25" s="882">
        <v>67.508424326211923</v>
      </c>
      <c r="AL25" s="882">
        <v>71.167214135911919</v>
      </c>
      <c r="AM25" s="882">
        <v>74.826003945611916</v>
      </c>
      <c r="AN25" s="882">
        <v>78.484793755311912</v>
      </c>
      <c r="AO25" s="882">
        <v>82.143583565011909</v>
      </c>
      <c r="AP25" s="882">
        <v>85.802373374711905</v>
      </c>
      <c r="AQ25" s="882">
        <v>89.461163184411902</v>
      </c>
      <c r="AR25" s="882">
        <v>93.119952994111898</v>
      </c>
      <c r="AS25" s="882">
        <v>96.77874280381188</v>
      </c>
      <c r="AT25" s="882">
        <v>100.43753261351182</v>
      </c>
    </row>
    <row r="26" spans="1:46">
      <c r="A26" s="1426"/>
      <c r="B26" s="1427"/>
      <c r="C26" s="881">
        <v>2</v>
      </c>
      <c r="D26" s="915">
        <f>(AA26*KFC!$B$17+KFC!$C$17)*KFC!$C$5</f>
        <v>31.405131491012988</v>
      </c>
      <c r="E26" s="912">
        <f>(AB26*KFC!$B$17+KFC!$C$17)*KFC!$C$5</f>
        <v>35.17282192367675</v>
      </c>
      <c r="F26" s="912">
        <f>(AC26*KFC!$B$17+KFC!$C$17)*KFC!$C$5</f>
        <v>38.94051235634052</v>
      </c>
      <c r="G26" s="912">
        <f>(AD26*KFC!$B$17+KFC!$C$17)*KFC!$C$5</f>
        <v>42.708202789004297</v>
      </c>
      <c r="H26" s="912">
        <f>(AE26*KFC!$B$17+KFC!$C$17)*KFC!$C$5</f>
        <v>46.475893221668066</v>
      </c>
      <c r="I26" s="912">
        <f>(AF26*KFC!$B$17+KFC!$C$17)*KFC!$C$5</f>
        <v>50.243583654331836</v>
      </c>
      <c r="J26" s="912">
        <f>(AG26*KFC!$B$17+KFC!$C$17)*KFC!$C$5</f>
        <v>54.011274086995606</v>
      </c>
      <c r="K26" s="912">
        <f>(AH26*KFC!$B$17+KFC!$C$17)*KFC!$C$5</f>
        <v>57.778964519659382</v>
      </c>
      <c r="L26" s="912">
        <f>(AI26*KFC!$B$17+KFC!$C$17)*KFC!$C$5</f>
        <v>61.546654952323152</v>
      </c>
      <c r="M26" s="912">
        <f>(AJ26*KFC!$B$17+KFC!$C$17)*KFC!$C$5</f>
        <v>65.314345384986922</v>
      </c>
      <c r="N26" s="912">
        <f>(AK26*KFC!$B$17+KFC!$C$17)*KFC!$C$5</f>
        <v>69.082035817650691</v>
      </c>
      <c r="O26" s="912">
        <f>(AL26*KFC!$B$17+KFC!$C$17)*KFC!$C$5</f>
        <v>72.849726250314461</v>
      </c>
      <c r="P26" s="912">
        <f>(AM26*KFC!$B$17+KFC!$C$17)*KFC!$C$5</f>
        <v>76.617416682978217</v>
      </c>
      <c r="Q26" s="912">
        <f>(AN26*KFC!$B$17+KFC!$C$17)*KFC!$C$5</f>
        <v>80.385107115641986</v>
      </c>
      <c r="R26" s="912">
        <f>(AO26*KFC!$B$17+KFC!$C$17)*KFC!$C$5</f>
        <v>84.152797548305756</v>
      </c>
      <c r="S26" s="912">
        <f>(AP26*KFC!$B$17+KFC!$C$17)*KFC!$C$5</f>
        <v>87.920487980969511</v>
      </c>
      <c r="T26" s="912">
        <f>(AQ26*KFC!$B$17+KFC!$C$17)*KFC!$C$5</f>
        <v>91.688178413633281</v>
      </c>
      <c r="U26" s="912">
        <f>(AR26*KFC!$B$17+KFC!$C$17)*KFC!$C$5</f>
        <v>95.455868846297051</v>
      </c>
      <c r="V26" s="912">
        <f>(AS26*KFC!$B$17+KFC!$C$17)*KFC!$C$5</f>
        <v>99.223559278960806</v>
      </c>
      <c r="W26" s="916">
        <f>(AT26*KFC!$B$17+KFC!$C$17)*KFC!$C$5</f>
        <v>102.99124971162459</v>
      </c>
      <c r="Y26" s="1277"/>
      <c r="Z26" s="649">
        <v>2</v>
      </c>
      <c r="AA26" s="882">
        <v>31.405131491012988</v>
      </c>
      <c r="AB26" s="882">
        <v>35.17282192367675</v>
      </c>
      <c r="AC26" s="882">
        <v>38.94051235634052</v>
      </c>
      <c r="AD26" s="882">
        <v>42.708202789004297</v>
      </c>
      <c r="AE26" s="882">
        <v>46.475893221668066</v>
      </c>
      <c r="AF26" s="882">
        <v>50.243583654331836</v>
      </c>
      <c r="AG26" s="882">
        <v>54.011274086995606</v>
      </c>
      <c r="AH26" s="882">
        <v>57.778964519659382</v>
      </c>
      <c r="AI26" s="882">
        <v>61.546654952323152</v>
      </c>
      <c r="AJ26" s="882">
        <v>65.314345384986922</v>
      </c>
      <c r="AK26" s="882">
        <v>69.082035817650691</v>
      </c>
      <c r="AL26" s="882">
        <v>72.849726250314461</v>
      </c>
      <c r="AM26" s="882">
        <v>76.617416682978217</v>
      </c>
      <c r="AN26" s="882">
        <v>80.385107115641986</v>
      </c>
      <c r="AO26" s="882">
        <v>84.152797548305756</v>
      </c>
      <c r="AP26" s="882">
        <v>87.920487980969511</v>
      </c>
      <c r="AQ26" s="882">
        <v>91.688178413633281</v>
      </c>
      <c r="AR26" s="882">
        <v>95.455868846297051</v>
      </c>
      <c r="AS26" s="882">
        <v>99.223559278960806</v>
      </c>
      <c r="AT26" s="882">
        <v>102.99124971162459</v>
      </c>
    </row>
    <row r="27" spans="1:46">
      <c r="A27" s="1426"/>
      <c r="B27" s="1427"/>
      <c r="C27" s="881">
        <v>2.1</v>
      </c>
      <c r="D27" s="915">
        <f>(AA27*KFC!$B$17+KFC!$C$17)*KFC!$C$5</f>
        <v>31.889736752813985</v>
      </c>
      <c r="E27" s="912">
        <f>(AB27*KFC!$B$17+KFC!$C$17)*KFC!$C$5</f>
        <v>35.766327808441531</v>
      </c>
      <c r="F27" s="912">
        <f>(AC27*KFC!$B$17+KFC!$C$17)*KFC!$C$5</f>
        <v>39.642918864069074</v>
      </c>
      <c r="G27" s="912">
        <f>(AD27*KFC!$B$17+KFC!$C$17)*KFC!$C$5</f>
        <v>43.519509919696624</v>
      </c>
      <c r="H27" s="912">
        <f>(AE27*KFC!$B$17+KFC!$C$17)*KFC!$C$5</f>
        <v>47.396100975324167</v>
      </c>
      <c r="I27" s="912">
        <f>(AF27*KFC!$B$17+KFC!$C$17)*KFC!$C$5</f>
        <v>51.272692030951717</v>
      </c>
      <c r="J27" s="912">
        <f>(AG27*KFC!$B$17+KFC!$C$17)*KFC!$C$5</f>
        <v>55.149283086579267</v>
      </c>
      <c r="K27" s="912">
        <f>(AH27*KFC!$B$17+KFC!$C$17)*KFC!$C$5</f>
        <v>59.02587414220681</v>
      </c>
      <c r="L27" s="912">
        <f>(AI27*KFC!$B$17+KFC!$C$17)*KFC!$C$5</f>
        <v>62.902465197834353</v>
      </c>
      <c r="M27" s="912">
        <f>(AJ27*KFC!$B$17+KFC!$C$17)*KFC!$C$5</f>
        <v>66.779056253461903</v>
      </c>
      <c r="N27" s="912">
        <f>(AK27*KFC!$B$17+KFC!$C$17)*KFC!$C$5</f>
        <v>70.655647309089446</v>
      </c>
      <c r="O27" s="912">
        <f>(AL27*KFC!$B$17+KFC!$C$17)*KFC!$C$5</f>
        <v>74.532238364717003</v>
      </c>
      <c r="P27" s="912">
        <f>(AM27*KFC!$B$17+KFC!$C$17)*KFC!$C$5</f>
        <v>78.408829420344546</v>
      </c>
      <c r="Q27" s="912">
        <f>(AN27*KFC!$B$17+KFC!$C$17)*KFC!$C$5</f>
        <v>82.285420475972089</v>
      </c>
      <c r="R27" s="912">
        <f>(AO27*KFC!$B$17+KFC!$C$17)*KFC!$C$5</f>
        <v>86.162011531599632</v>
      </c>
      <c r="S27" s="912">
        <f>(AP27*KFC!$B$17+KFC!$C$17)*KFC!$C$5</f>
        <v>90.038602587227189</v>
      </c>
      <c r="T27" s="912">
        <f>(AQ27*KFC!$B$17+KFC!$C$17)*KFC!$C$5</f>
        <v>93.915193642854717</v>
      </c>
      <c r="U27" s="912">
        <f>(AR27*KFC!$B$17+KFC!$C$17)*KFC!$C$5</f>
        <v>97.791784698482275</v>
      </c>
      <c r="V27" s="912">
        <f>(AS27*KFC!$B$17+KFC!$C$17)*KFC!$C$5</f>
        <v>101.66837575410983</v>
      </c>
      <c r="W27" s="916">
        <f>(AT27*KFC!$B$17+KFC!$C$17)*KFC!$C$5</f>
        <v>105.54496680973733</v>
      </c>
      <c r="Y27" s="1277"/>
      <c r="Z27" s="649">
        <v>2.1</v>
      </c>
      <c r="AA27" s="882">
        <v>31.889736752813985</v>
      </c>
      <c r="AB27" s="882">
        <v>35.766327808441531</v>
      </c>
      <c r="AC27" s="882">
        <v>39.642918864069074</v>
      </c>
      <c r="AD27" s="882">
        <v>43.519509919696624</v>
      </c>
      <c r="AE27" s="882">
        <v>47.396100975324167</v>
      </c>
      <c r="AF27" s="882">
        <v>51.272692030951717</v>
      </c>
      <c r="AG27" s="882">
        <v>55.149283086579267</v>
      </c>
      <c r="AH27" s="882">
        <v>59.02587414220681</v>
      </c>
      <c r="AI27" s="882">
        <v>62.902465197834353</v>
      </c>
      <c r="AJ27" s="882">
        <v>66.779056253461903</v>
      </c>
      <c r="AK27" s="882">
        <v>70.655647309089446</v>
      </c>
      <c r="AL27" s="882">
        <v>74.532238364717003</v>
      </c>
      <c r="AM27" s="882">
        <v>78.408829420344546</v>
      </c>
      <c r="AN27" s="882">
        <v>82.285420475972089</v>
      </c>
      <c r="AO27" s="882">
        <v>86.162011531599632</v>
      </c>
      <c r="AP27" s="882">
        <v>90.038602587227189</v>
      </c>
      <c r="AQ27" s="882">
        <v>93.915193642854717</v>
      </c>
      <c r="AR27" s="882">
        <v>97.791784698482275</v>
      </c>
      <c r="AS27" s="882">
        <v>101.66837575410983</v>
      </c>
      <c r="AT27" s="882">
        <v>105.54496680973733</v>
      </c>
    </row>
    <row r="28" spans="1:46" ht="15" thickBot="1">
      <c r="A28" s="1428"/>
      <c r="B28" s="1429"/>
      <c r="C28" s="908">
        <v>2.2000000000000002</v>
      </c>
      <c r="D28" s="917">
        <f>(AA28*KFC!$B$17+KFC!$C$17)*KFC!$C$5</f>
        <v>32.374342014615003</v>
      </c>
      <c r="E28" s="918">
        <f>(AB28*KFC!$B$17+KFC!$C$17)*KFC!$C$5</f>
        <v>36.359833693206319</v>
      </c>
      <c r="F28" s="918">
        <f>(AC28*KFC!$B$17+KFC!$C$17)*KFC!$C$5</f>
        <v>40.345325371797635</v>
      </c>
      <c r="G28" s="918">
        <f>(AD28*KFC!$B$17+KFC!$C$17)*KFC!$C$5</f>
        <v>44.330817050388951</v>
      </c>
      <c r="H28" s="918">
        <f>(AE28*KFC!$B$17+KFC!$C$17)*KFC!$C$5</f>
        <v>48.316308728980268</v>
      </c>
      <c r="I28" s="918">
        <f>(AF28*KFC!$B$17+KFC!$C$17)*KFC!$C$5</f>
        <v>52.301800407571584</v>
      </c>
      <c r="J28" s="918">
        <f>(AG28*KFC!$B$17+KFC!$C$17)*KFC!$C$5</f>
        <v>56.2872920861629</v>
      </c>
      <c r="K28" s="918">
        <f>(AH28*KFC!$B$17+KFC!$C$17)*KFC!$C$5</f>
        <v>60.272783764754216</v>
      </c>
      <c r="L28" s="918">
        <f>(AI28*KFC!$B$17+KFC!$C$17)*KFC!$C$5</f>
        <v>64.258275443345525</v>
      </c>
      <c r="M28" s="918">
        <f>(AJ28*KFC!$B$17+KFC!$C$17)*KFC!$C$5</f>
        <v>68.243767121936841</v>
      </c>
      <c r="N28" s="918">
        <f>(AK28*KFC!$B$17+KFC!$C$17)*KFC!$C$5</f>
        <v>72.229258800528157</v>
      </c>
      <c r="O28" s="918">
        <f>(AL28*KFC!$B$17+KFC!$C$17)*KFC!$C$5</f>
        <v>76.214750479119488</v>
      </c>
      <c r="P28" s="918">
        <f>(AM28*KFC!$B$17+KFC!$C$17)*KFC!$C$5</f>
        <v>80.200242157710804</v>
      </c>
      <c r="Q28" s="918">
        <f>(AN28*KFC!$B$17+KFC!$C$17)*KFC!$C$5</f>
        <v>84.18573383630212</v>
      </c>
      <c r="R28" s="918">
        <f>(AO28*KFC!$B$17+KFC!$C$17)*KFC!$C$5</f>
        <v>88.171225514893436</v>
      </c>
      <c r="S28" s="918">
        <f>(AP28*KFC!$B$17+KFC!$C$17)*KFC!$C$5</f>
        <v>92.156717193484724</v>
      </c>
      <c r="T28" s="918">
        <f>(AQ28*KFC!$B$17+KFC!$C$17)*KFC!$C$5</f>
        <v>96.142208872076068</v>
      </c>
      <c r="U28" s="918">
        <f>(AR28*KFC!$B$17+KFC!$C$17)*KFC!$C$5</f>
        <v>100.12770055066736</v>
      </c>
      <c r="V28" s="918">
        <f>(AS28*KFC!$B$17+KFC!$C$17)*KFC!$C$5</f>
        <v>104.1131922292587</v>
      </c>
      <c r="W28" s="919">
        <f>(AT28*KFC!$B$17+KFC!$C$17)*KFC!$C$5</f>
        <v>108.09868390784999</v>
      </c>
      <c r="Y28" s="1277"/>
      <c r="Z28" s="649">
        <v>2.2000000000000002</v>
      </c>
      <c r="AA28" s="882">
        <v>32.374342014615003</v>
      </c>
      <c r="AB28" s="882">
        <v>36.359833693206319</v>
      </c>
      <c r="AC28" s="882">
        <v>40.345325371797635</v>
      </c>
      <c r="AD28" s="882">
        <v>44.330817050388951</v>
      </c>
      <c r="AE28" s="882">
        <v>48.316308728980268</v>
      </c>
      <c r="AF28" s="882">
        <v>52.301800407571584</v>
      </c>
      <c r="AG28" s="882">
        <v>56.2872920861629</v>
      </c>
      <c r="AH28" s="882">
        <v>60.272783764754216</v>
      </c>
      <c r="AI28" s="882">
        <v>64.258275443345525</v>
      </c>
      <c r="AJ28" s="882">
        <v>68.243767121936841</v>
      </c>
      <c r="AK28" s="882">
        <v>72.229258800528157</v>
      </c>
      <c r="AL28" s="882">
        <v>76.214750479119488</v>
      </c>
      <c r="AM28" s="882">
        <v>80.200242157710804</v>
      </c>
      <c r="AN28" s="882">
        <v>84.18573383630212</v>
      </c>
      <c r="AO28" s="882">
        <v>88.171225514893436</v>
      </c>
      <c r="AP28" s="882">
        <v>92.156717193484724</v>
      </c>
      <c r="AQ28" s="882">
        <v>96.142208872076068</v>
      </c>
      <c r="AR28" s="882">
        <v>100.12770055066736</v>
      </c>
      <c r="AS28" s="882">
        <v>104.1131922292587</v>
      </c>
      <c r="AT28" s="882">
        <v>108.09868390784999</v>
      </c>
    </row>
    <row r="29" spans="1:46">
      <c r="A29" s="16"/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</row>
    <row r="30" spans="1:46" ht="16.2" thickBot="1">
      <c r="A30" s="1033" t="s">
        <v>1226</v>
      </c>
      <c r="B30" s="1033"/>
      <c r="C30" s="1033"/>
      <c r="D30" s="1033"/>
      <c r="E30" s="1033"/>
      <c r="F30" s="1033"/>
      <c r="G30" s="1033"/>
      <c r="H30" s="1033"/>
      <c r="I30" s="1033"/>
      <c r="J30" s="1033"/>
      <c r="K30" s="1033"/>
      <c r="L30" s="1033"/>
      <c r="M30" s="1033"/>
      <c r="N30" s="1033"/>
      <c r="O30" s="1033"/>
      <c r="P30" s="1033"/>
      <c r="Q30" s="1033"/>
      <c r="R30" s="1033"/>
      <c r="S30" s="1033"/>
      <c r="T30" s="1033"/>
      <c r="U30" s="1033"/>
      <c r="V30" s="1033"/>
      <c r="W30" s="1033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</row>
    <row r="31" spans="1:46" ht="33.75" customHeight="1" thickBot="1">
      <c r="A31" s="1439"/>
      <c r="B31" s="1440"/>
      <c r="C31" s="1441"/>
      <c r="D31" s="1419" t="s">
        <v>207</v>
      </c>
      <c r="E31" s="1420"/>
      <c r="F31" s="1420"/>
      <c r="G31" s="1420"/>
      <c r="H31" s="1420"/>
      <c r="I31" s="1420"/>
      <c r="J31" s="1420"/>
      <c r="K31" s="1420"/>
      <c r="L31" s="1420"/>
      <c r="M31" s="1420"/>
      <c r="N31" s="1420"/>
      <c r="O31" s="1420"/>
      <c r="P31" s="1420"/>
      <c r="Q31" s="1420"/>
      <c r="R31" s="1420"/>
      <c r="S31" s="1420"/>
      <c r="T31" s="1420"/>
      <c r="U31" s="1420"/>
      <c r="V31" s="1420"/>
      <c r="W31" s="1421"/>
      <c r="Y31" s="1278" t="s">
        <v>1204</v>
      </c>
      <c r="Z31" s="1278"/>
      <c r="AA31" s="1279" t="s">
        <v>356</v>
      </c>
      <c r="AB31" s="1279"/>
      <c r="AC31" s="1279"/>
      <c r="AD31" s="1279"/>
      <c r="AE31" s="1279"/>
      <c r="AF31" s="1279"/>
      <c r="AG31" s="1279"/>
      <c r="AH31" s="1279"/>
      <c r="AI31" s="1279"/>
      <c r="AJ31" s="1279"/>
      <c r="AK31" s="1279"/>
      <c r="AL31" s="1279"/>
      <c r="AM31" s="1279"/>
      <c r="AN31" s="1279"/>
      <c r="AO31" s="1279"/>
      <c r="AP31" s="1279"/>
      <c r="AQ31" s="1279"/>
      <c r="AR31" s="1279"/>
      <c r="AS31" s="1279"/>
      <c r="AT31" s="1279"/>
    </row>
    <row r="32" spans="1:46" ht="14.4" customHeight="1" thickBot="1">
      <c r="A32" s="1442"/>
      <c r="B32" s="1443"/>
      <c r="C32" s="1444"/>
      <c r="D32" s="883">
        <v>0.3</v>
      </c>
      <c r="E32" s="884">
        <v>0.4</v>
      </c>
      <c r="F32" s="884">
        <v>0.5</v>
      </c>
      <c r="G32" s="884">
        <v>0.6</v>
      </c>
      <c r="H32" s="884">
        <v>0.7</v>
      </c>
      <c r="I32" s="884">
        <v>0.8</v>
      </c>
      <c r="J32" s="884">
        <v>0.9</v>
      </c>
      <c r="K32" s="884">
        <v>1</v>
      </c>
      <c r="L32" s="884">
        <v>1.1000000000000001</v>
      </c>
      <c r="M32" s="884">
        <v>1.2</v>
      </c>
      <c r="N32" s="884">
        <v>1.3</v>
      </c>
      <c r="O32" s="884">
        <v>1.4</v>
      </c>
      <c r="P32" s="884">
        <v>1.5</v>
      </c>
      <c r="Q32" s="884">
        <v>1.6</v>
      </c>
      <c r="R32" s="884">
        <v>1.7</v>
      </c>
      <c r="S32" s="884">
        <v>1.8</v>
      </c>
      <c r="T32" s="884">
        <v>1.9</v>
      </c>
      <c r="U32" s="884">
        <v>2</v>
      </c>
      <c r="V32" s="884">
        <v>2.1</v>
      </c>
      <c r="W32" s="885">
        <v>2.2000000000000002</v>
      </c>
      <c r="Y32" s="1278"/>
      <c r="Z32" s="1278"/>
      <c r="AA32" s="649">
        <v>0.3</v>
      </c>
      <c r="AB32" s="649">
        <v>0.4</v>
      </c>
      <c r="AC32" s="649">
        <v>0.5</v>
      </c>
      <c r="AD32" s="649">
        <v>0.6</v>
      </c>
      <c r="AE32" s="649">
        <v>0.7</v>
      </c>
      <c r="AF32" s="649">
        <v>0.8</v>
      </c>
      <c r="AG32" s="649">
        <v>0.9</v>
      </c>
      <c r="AH32" s="649">
        <v>1</v>
      </c>
      <c r="AI32" s="649">
        <v>1.1000000000000001</v>
      </c>
      <c r="AJ32" s="649">
        <v>1.2</v>
      </c>
      <c r="AK32" s="649">
        <v>1.3</v>
      </c>
      <c r="AL32" s="649">
        <v>1.4</v>
      </c>
      <c r="AM32" s="649">
        <v>1.5</v>
      </c>
      <c r="AN32" s="649">
        <v>1.6</v>
      </c>
      <c r="AO32" s="649">
        <v>1.7</v>
      </c>
      <c r="AP32" s="649">
        <v>1.8</v>
      </c>
      <c r="AQ32" s="649">
        <v>1.9</v>
      </c>
      <c r="AR32" s="649">
        <v>2</v>
      </c>
      <c r="AS32" s="649">
        <v>2.1</v>
      </c>
      <c r="AT32" s="649">
        <v>2.2000000000000002</v>
      </c>
    </row>
    <row r="33" spans="1:46" ht="15" customHeight="1">
      <c r="A33" s="1426" t="s">
        <v>3</v>
      </c>
      <c r="B33" s="1427"/>
      <c r="C33" s="886">
        <v>0.2</v>
      </c>
      <c r="D33" s="899">
        <f>(AA33*KFC!$B$17+KFC!$C$17)*KFC!$C$5</f>
        <v>22.873026251744999</v>
      </c>
      <c r="E33" s="913">
        <f>(AB33*KFC!$B$17+KFC!$C$17)*KFC!$C$5</f>
        <v>24.744771398858681</v>
      </c>
      <c r="F33" s="913">
        <f>(AC33*KFC!$B$17+KFC!$C$17)*KFC!$C$5</f>
        <v>26.61651654597237</v>
      </c>
      <c r="G33" s="913">
        <f>(AD33*KFC!$B$17+KFC!$C$17)*KFC!$C$5</f>
        <v>28.488261693086052</v>
      </c>
      <c r="H33" s="913">
        <f>(AE33*KFC!$B$17+KFC!$C$17)*KFC!$C$5</f>
        <v>30.360006840199734</v>
      </c>
      <c r="I33" s="913">
        <f>(AF33*KFC!$B$17+KFC!$C$17)*KFC!$C$5</f>
        <v>32.231751987313423</v>
      </c>
      <c r="J33" s="913">
        <f>(AG33*KFC!$B$17+KFC!$C$17)*KFC!$C$5</f>
        <v>34.103497134427101</v>
      </c>
      <c r="K33" s="913">
        <f>(AH33*KFC!$B$17+KFC!$C$17)*KFC!$C$5</f>
        <v>35.975242281540787</v>
      </c>
      <c r="L33" s="913">
        <f>(AI33*KFC!$B$17+KFC!$C$17)*KFC!$C$5</f>
        <v>37.846987428654472</v>
      </c>
      <c r="M33" s="913">
        <f>(AJ33*KFC!$B$17+KFC!$C$17)*KFC!$C$5</f>
        <v>39.718732575768158</v>
      </c>
      <c r="N33" s="913">
        <f>(AK33*KFC!$B$17+KFC!$C$17)*KFC!$C$5</f>
        <v>41.590477722881843</v>
      </c>
      <c r="O33" s="913">
        <f>(AL33*KFC!$B$17+KFC!$C$17)*KFC!$C$5</f>
        <v>43.462222869995522</v>
      </c>
      <c r="P33" s="913">
        <f>(AM33*KFC!$B$17+KFC!$C$17)*KFC!$C$5</f>
        <v>45.333968017109214</v>
      </c>
      <c r="Q33" s="913">
        <f>(AN33*KFC!$B$17+KFC!$C$17)*KFC!$C$5</f>
        <v>47.2057131642229</v>
      </c>
      <c r="R33" s="913">
        <f>(AO33*KFC!$B$17+KFC!$C$17)*KFC!$C$5</f>
        <v>49.077458311336578</v>
      </c>
      <c r="S33" s="913">
        <f>(AP33*KFC!$B$17+KFC!$C$17)*KFC!$C$5</f>
        <v>50.949203458450263</v>
      </c>
      <c r="T33" s="913">
        <f>(AQ33*KFC!$B$17+KFC!$C$17)*KFC!$C$5</f>
        <v>52.820948605563949</v>
      </c>
      <c r="U33" s="913">
        <f>(AR33*KFC!$B$17+KFC!$C$17)*KFC!$C$5</f>
        <v>54.692693752677627</v>
      </c>
      <c r="V33" s="913">
        <f>(AS33*KFC!$B$17+KFC!$C$17)*KFC!$C$5</f>
        <v>56.564438899791313</v>
      </c>
      <c r="W33" s="914">
        <f>(AT33*KFC!$B$17+KFC!$C$17)*KFC!$C$5</f>
        <v>58.436184046904998</v>
      </c>
      <c r="Y33" s="1277" t="s">
        <v>357</v>
      </c>
      <c r="Z33" s="649">
        <v>0.2</v>
      </c>
      <c r="AA33" s="882">
        <v>22.873026251744999</v>
      </c>
      <c r="AB33" s="882">
        <v>24.744771398858681</v>
      </c>
      <c r="AC33" s="882">
        <v>26.61651654597237</v>
      </c>
      <c r="AD33" s="882">
        <v>28.488261693086052</v>
      </c>
      <c r="AE33" s="882">
        <v>30.360006840199734</v>
      </c>
      <c r="AF33" s="882">
        <v>32.231751987313423</v>
      </c>
      <c r="AG33" s="882">
        <v>34.103497134427101</v>
      </c>
      <c r="AH33" s="882">
        <v>35.975242281540787</v>
      </c>
      <c r="AI33" s="882">
        <v>37.846987428654472</v>
      </c>
      <c r="AJ33" s="882">
        <v>39.718732575768158</v>
      </c>
      <c r="AK33" s="882">
        <v>41.590477722881843</v>
      </c>
      <c r="AL33" s="882">
        <v>43.462222869995522</v>
      </c>
      <c r="AM33" s="882">
        <v>45.333968017109214</v>
      </c>
      <c r="AN33" s="882">
        <v>47.2057131642229</v>
      </c>
      <c r="AO33" s="882">
        <v>49.077458311336578</v>
      </c>
      <c r="AP33" s="882">
        <v>50.949203458450263</v>
      </c>
      <c r="AQ33" s="882">
        <v>52.820948605563949</v>
      </c>
      <c r="AR33" s="882">
        <v>54.692693752677627</v>
      </c>
      <c r="AS33" s="882">
        <v>56.564438899791313</v>
      </c>
      <c r="AT33" s="882">
        <v>58.436184046904998</v>
      </c>
    </row>
    <row r="34" spans="1:46" ht="14.4" customHeight="1">
      <c r="A34" s="1426"/>
      <c r="B34" s="1427"/>
      <c r="C34" s="887">
        <v>0.3</v>
      </c>
      <c r="D34" s="915">
        <f>(AA34*KFC!$B$17+KFC!$C$17)*KFC!$C$5</f>
        <v>23.453980197486754</v>
      </c>
      <c r="E34" s="912">
        <f>(AB34*KFC!$B$17+KFC!$C$17)*KFC!$C$5</f>
        <v>25.466658515950972</v>
      </c>
      <c r="F34" s="912">
        <f>(AC34*KFC!$B$17+KFC!$C$17)*KFC!$C$5</f>
        <v>27.4793368344152</v>
      </c>
      <c r="G34" s="912">
        <f>(AD34*KFC!$B$17+KFC!$C$17)*KFC!$C$5</f>
        <v>29.492015152879421</v>
      </c>
      <c r="H34" s="912">
        <f>(AE34*KFC!$B$17+KFC!$C$17)*KFC!$C$5</f>
        <v>31.50469347134365</v>
      </c>
      <c r="I34" s="912">
        <f>(AF34*KFC!$B$17+KFC!$C$17)*KFC!$C$5</f>
        <v>33.517371789807875</v>
      </c>
      <c r="J34" s="912">
        <f>(AG34*KFC!$B$17+KFC!$C$17)*KFC!$C$5</f>
        <v>35.5300501082721</v>
      </c>
      <c r="K34" s="912">
        <f>(AH34*KFC!$B$17+KFC!$C$17)*KFC!$C$5</f>
        <v>37.542728426736318</v>
      </c>
      <c r="L34" s="912">
        <f>(AI34*KFC!$B$17+KFC!$C$17)*KFC!$C$5</f>
        <v>39.555406745200536</v>
      </c>
      <c r="M34" s="912">
        <f>(AJ34*KFC!$B$17+KFC!$C$17)*KFC!$C$5</f>
        <v>41.568085063664753</v>
      </c>
      <c r="N34" s="912">
        <f>(AK34*KFC!$B$17+KFC!$C$17)*KFC!$C$5</f>
        <v>43.580763382128978</v>
      </c>
      <c r="O34" s="912">
        <f>(AL34*KFC!$B$17+KFC!$C$17)*KFC!$C$5</f>
        <v>45.593441700593196</v>
      </c>
      <c r="P34" s="912">
        <f>(AM34*KFC!$B$17+KFC!$C$17)*KFC!$C$5</f>
        <v>47.606120019057421</v>
      </c>
      <c r="Q34" s="912">
        <f>(AN34*KFC!$B$17+KFC!$C$17)*KFC!$C$5</f>
        <v>49.618798337521646</v>
      </c>
      <c r="R34" s="912">
        <f>(AO34*KFC!$B$17+KFC!$C$17)*KFC!$C$5</f>
        <v>51.631476655985864</v>
      </c>
      <c r="S34" s="912">
        <f>(AP34*KFC!$B$17+KFC!$C$17)*KFC!$C$5</f>
        <v>53.644154974450082</v>
      </c>
      <c r="T34" s="912">
        <f>(AQ34*KFC!$B$17+KFC!$C$17)*KFC!$C$5</f>
        <v>55.656833292914314</v>
      </c>
      <c r="U34" s="912">
        <f>(AR34*KFC!$B$17+KFC!$C$17)*KFC!$C$5</f>
        <v>57.669511611378532</v>
      </c>
      <c r="V34" s="912">
        <f>(AS34*KFC!$B$17+KFC!$C$17)*KFC!$C$5</f>
        <v>59.68218992984275</v>
      </c>
      <c r="W34" s="916">
        <f>(AT34*KFC!$B$17+KFC!$C$17)*KFC!$C$5</f>
        <v>61.694868248306996</v>
      </c>
      <c r="Y34" s="1277"/>
      <c r="Z34" s="649">
        <v>0.3</v>
      </c>
      <c r="AA34" s="882">
        <v>23.453980197486754</v>
      </c>
      <c r="AB34" s="882">
        <v>25.466658515950972</v>
      </c>
      <c r="AC34" s="882">
        <v>27.4793368344152</v>
      </c>
      <c r="AD34" s="882">
        <v>29.492015152879421</v>
      </c>
      <c r="AE34" s="882">
        <v>31.50469347134365</v>
      </c>
      <c r="AF34" s="882">
        <v>33.517371789807875</v>
      </c>
      <c r="AG34" s="882">
        <v>35.5300501082721</v>
      </c>
      <c r="AH34" s="882">
        <v>37.542728426736318</v>
      </c>
      <c r="AI34" s="882">
        <v>39.555406745200536</v>
      </c>
      <c r="AJ34" s="882">
        <v>41.568085063664753</v>
      </c>
      <c r="AK34" s="882">
        <v>43.580763382128978</v>
      </c>
      <c r="AL34" s="882">
        <v>45.593441700593196</v>
      </c>
      <c r="AM34" s="882">
        <v>47.606120019057421</v>
      </c>
      <c r="AN34" s="882">
        <v>49.618798337521646</v>
      </c>
      <c r="AO34" s="882">
        <v>51.631476655985864</v>
      </c>
      <c r="AP34" s="882">
        <v>53.644154974450082</v>
      </c>
      <c r="AQ34" s="882">
        <v>55.656833292914314</v>
      </c>
      <c r="AR34" s="882">
        <v>57.669511611378532</v>
      </c>
      <c r="AS34" s="882">
        <v>59.68218992984275</v>
      </c>
      <c r="AT34" s="882">
        <v>61.694868248306996</v>
      </c>
    </row>
    <row r="35" spans="1:46">
      <c r="A35" s="1426"/>
      <c r="B35" s="1427"/>
      <c r="C35" s="887">
        <v>0.4</v>
      </c>
      <c r="D35" s="915">
        <f>(AA35*KFC!$B$17+KFC!$C$17)*KFC!$C$5</f>
        <v>24.034934143228501</v>
      </c>
      <c r="E35" s="912">
        <f>(AB35*KFC!$B$17+KFC!$C$17)*KFC!$C$5</f>
        <v>26.188545633043269</v>
      </c>
      <c r="F35" s="912">
        <f>(AC35*KFC!$B$17+KFC!$C$17)*KFC!$C$5</f>
        <v>28.342157122858033</v>
      </c>
      <c r="G35" s="912">
        <f>(AD35*KFC!$B$17+KFC!$C$17)*KFC!$C$5</f>
        <v>30.495768612672794</v>
      </c>
      <c r="H35" s="912">
        <f>(AE35*KFC!$B$17+KFC!$C$17)*KFC!$C$5</f>
        <v>32.649380102487562</v>
      </c>
      <c r="I35" s="912">
        <f>(AF35*KFC!$B$17+KFC!$C$17)*KFC!$C$5</f>
        <v>34.80299159230232</v>
      </c>
      <c r="J35" s="912">
        <f>(AG35*KFC!$B$17+KFC!$C$17)*KFC!$C$5</f>
        <v>36.956603082117091</v>
      </c>
      <c r="K35" s="912">
        <f>(AH35*KFC!$B$17+KFC!$C$17)*KFC!$C$5</f>
        <v>39.110214571931856</v>
      </c>
      <c r="L35" s="912">
        <f>(AI35*KFC!$B$17+KFC!$C$17)*KFC!$C$5</f>
        <v>41.26382606174662</v>
      </c>
      <c r="M35" s="912">
        <f>(AJ35*KFC!$B$17+KFC!$C$17)*KFC!$C$5</f>
        <v>43.417437551561385</v>
      </c>
      <c r="N35" s="912">
        <f>(AK35*KFC!$B$17+KFC!$C$17)*KFC!$C$5</f>
        <v>45.571049041376142</v>
      </c>
      <c r="O35" s="912">
        <f>(AL35*KFC!$B$17+KFC!$C$17)*KFC!$C$5</f>
        <v>47.724660531190914</v>
      </c>
      <c r="P35" s="912">
        <f>(AM35*KFC!$B$17+KFC!$C$17)*KFC!$C$5</f>
        <v>49.878272021005671</v>
      </c>
      <c r="Q35" s="912">
        <f>(AN35*KFC!$B$17+KFC!$C$17)*KFC!$C$5</f>
        <v>52.031883510820442</v>
      </c>
      <c r="R35" s="912">
        <f>(AO35*KFC!$B$17+KFC!$C$17)*KFC!$C$5</f>
        <v>54.185495000635207</v>
      </c>
      <c r="S35" s="912">
        <f>(AP35*KFC!$B$17+KFC!$C$17)*KFC!$C$5</f>
        <v>56.339106490449964</v>
      </c>
      <c r="T35" s="912">
        <f>(AQ35*KFC!$B$17+KFC!$C$17)*KFC!$C$5</f>
        <v>58.492717980264729</v>
      </c>
      <c r="U35" s="912">
        <f>(AR35*KFC!$B$17+KFC!$C$17)*KFC!$C$5</f>
        <v>60.6463294700795</v>
      </c>
      <c r="V35" s="912">
        <f>(AS35*KFC!$B$17+KFC!$C$17)*KFC!$C$5</f>
        <v>62.799940959894258</v>
      </c>
      <c r="W35" s="916">
        <f>(AT35*KFC!$B$17+KFC!$C$17)*KFC!$C$5</f>
        <v>64.953552449708994</v>
      </c>
      <c r="Y35" s="1277"/>
      <c r="Z35" s="649">
        <v>0.4</v>
      </c>
      <c r="AA35" s="882">
        <v>24.034934143228501</v>
      </c>
      <c r="AB35" s="882">
        <v>26.188545633043269</v>
      </c>
      <c r="AC35" s="882">
        <v>28.342157122858033</v>
      </c>
      <c r="AD35" s="882">
        <v>30.495768612672794</v>
      </c>
      <c r="AE35" s="882">
        <v>32.649380102487562</v>
      </c>
      <c r="AF35" s="882">
        <v>34.80299159230232</v>
      </c>
      <c r="AG35" s="882">
        <v>36.956603082117091</v>
      </c>
      <c r="AH35" s="882">
        <v>39.110214571931856</v>
      </c>
      <c r="AI35" s="882">
        <v>41.26382606174662</v>
      </c>
      <c r="AJ35" s="882">
        <v>43.417437551561385</v>
      </c>
      <c r="AK35" s="882">
        <v>45.571049041376142</v>
      </c>
      <c r="AL35" s="882">
        <v>47.724660531190914</v>
      </c>
      <c r="AM35" s="882">
        <v>49.878272021005671</v>
      </c>
      <c r="AN35" s="882">
        <v>52.031883510820442</v>
      </c>
      <c r="AO35" s="882">
        <v>54.185495000635207</v>
      </c>
      <c r="AP35" s="882">
        <v>56.339106490449964</v>
      </c>
      <c r="AQ35" s="882">
        <v>58.492717980264729</v>
      </c>
      <c r="AR35" s="882">
        <v>60.6463294700795</v>
      </c>
      <c r="AS35" s="882">
        <v>62.799940959894258</v>
      </c>
      <c r="AT35" s="882">
        <v>64.953552449708994</v>
      </c>
    </row>
    <row r="36" spans="1:46">
      <c r="A36" s="1426"/>
      <c r="B36" s="1427"/>
      <c r="C36" s="887">
        <v>0.5</v>
      </c>
      <c r="D36" s="915">
        <f>(AA36*KFC!$B$17+KFC!$C$17)*KFC!$C$5</f>
        <v>24.615888088970255</v>
      </c>
      <c r="E36" s="912">
        <f>(AB36*KFC!$B$17+KFC!$C$17)*KFC!$C$5</f>
        <v>26.910432750135552</v>
      </c>
      <c r="F36" s="912">
        <f>(AC36*KFC!$B$17+KFC!$C$17)*KFC!$C$5</f>
        <v>29.204977411300856</v>
      </c>
      <c r="G36" s="912">
        <f>(AD36*KFC!$B$17+KFC!$C$17)*KFC!$C$5</f>
        <v>31.49952207246616</v>
      </c>
      <c r="H36" s="912">
        <f>(AE36*KFC!$B$17+KFC!$C$17)*KFC!$C$5</f>
        <v>33.79406673363146</v>
      </c>
      <c r="I36" s="912">
        <f>(AF36*KFC!$B$17+KFC!$C$17)*KFC!$C$5</f>
        <v>36.088611394796757</v>
      </c>
      <c r="J36" s="912">
        <f>(AG36*KFC!$B$17+KFC!$C$17)*KFC!$C$5</f>
        <v>38.383156055962061</v>
      </c>
      <c r="K36" s="912">
        <f>(AH36*KFC!$B$17+KFC!$C$17)*KFC!$C$5</f>
        <v>40.677700717127365</v>
      </c>
      <c r="L36" s="912">
        <f>(AI36*KFC!$B$17+KFC!$C$17)*KFC!$C$5</f>
        <v>42.972245378292662</v>
      </c>
      <c r="M36" s="912">
        <f>(AJ36*KFC!$B$17+KFC!$C$17)*KFC!$C$5</f>
        <v>45.266790039457966</v>
      </c>
      <c r="N36" s="912">
        <f>(AK36*KFC!$B$17+KFC!$C$17)*KFC!$C$5</f>
        <v>47.561334700623263</v>
      </c>
      <c r="O36" s="912">
        <f>(AL36*KFC!$B$17+KFC!$C$17)*KFC!$C$5</f>
        <v>49.855879361788567</v>
      </c>
      <c r="P36" s="912">
        <f>(AM36*KFC!$B$17+KFC!$C$17)*KFC!$C$5</f>
        <v>52.150424022953871</v>
      </c>
      <c r="Q36" s="912">
        <f>(AN36*KFC!$B$17+KFC!$C$17)*KFC!$C$5</f>
        <v>54.444968684119161</v>
      </c>
      <c r="R36" s="912">
        <f>(AO36*KFC!$B$17+KFC!$C$17)*KFC!$C$5</f>
        <v>56.739513345284465</v>
      </c>
      <c r="S36" s="912">
        <f>(AP36*KFC!$B$17+KFC!$C$17)*KFC!$C$5</f>
        <v>59.034058006449769</v>
      </c>
      <c r="T36" s="912">
        <f>(AQ36*KFC!$B$17+KFC!$C$17)*KFC!$C$5</f>
        <v>61.328602667615073</v>
      </c>
      <c r="U36" s="912">
        <f>(AR36*KFC!$B$17+KFC!$C$17)*KFC!$C$5</f>
        <v>63.623147328780377</v>
      </c>
      <c r="V36" s="912">
        <f>(AS36*KFC!$B$17+KFC!$C$17)*KFC!$C$5</f>
        <v>65.917691989945681</v>
      </c>
      <c r="W36" s="916">
        <f>(AT36*KFC!$B$17+KFC!$C$17)*KFC!$C$5</f>
        <v>68.212236651110999</v>
      </c>
      <c r="Y36" s="1277"/>
      <c r="Z36" s="649">
        <v>0.5</v>
      </c>
      <c r="AA36" s="882">
        <v>24.615888088970255</v>
      </c>
      <c r="AB36" s="882">
        <v>26.910432750135552</v>
      </c>
      <c r="AC36" s="882">
        <v>29.204977411300856</v>
      </c>
      <c r="AD36" s="882">
        <v>31.49952207246616</v>
      </c>
      <c r="AE36" s="882">
        <v>33.79406673363146</v>
      </c>
      <c r="AF36" s="882">
        <v>36.088611394796757</v>
      </c>
      <c r="AG36" s="882">
        <v>38.383156055962061</v>
      </c>
      <c r="AH36" s="882">
        <v>40.677700717127365</v>
      </c>
      <c r="AI36" s="882">
        <v>42.972245378292662</v>
      </c>
      <c r="AJ36" s="882">
        <v>45.266790039457966</v>
      </c>
      <c r="AK36" s="882">
        <v>47.561334700623263</v>
      </c>
      <c r="AL36" s="882">
        <v>49.855879361788567</v>
      </c>
      <c r="AM36" s="882">
        <v>52.150424022953871</v>
      </c>
      <c r="AN36" s="882">
        <v>54.444968684119161</v>
      </c>
      <c r="AO36" s="882">
        <v>56.739513345284465</v>
      </c>
      <c r="AP36" s="882">
        <v>59.034058006449769</v>
      </c>
      <c r="AQ36" s="882">
        <v>61.328602667615073</v>
      </c>
      <c r="AR36" s="882">
        <v>63.623147328780377</v>
      </c>
      <c r="AS36" s="882">
        <v>65.917691989945681</v>
      </c>
      <c r="AT36" s="882">
        <v>68.212236651110999</v>
      </c>
    </row>
    <row r="37" spans="1:46">
      <c r="A37" s="1426"/>
      <c r="B37" s="1427"/>
      <c r="C37" s="887">
        <v>0.6</v>
      </c>
      <c r="D37" s="915">
        <f>(AA37*KFC!$B$17+KFC!$C$17)*KFC!$C$5</f>
        <v>25.196842034712006</v>
      </c>
      <c r="E37" s="912">
        <f>(AB37*KFC!$B$17+KFC!$C$17)*KFC!$C$5</f>
        <v>27.632319867227846</v>
      </c>
      <c r="F37" s="912">
        <f>(AC37*KFC!$B$17+KFC!$C$17)*KFC!$C$5</f>
        <v>30.067797699743689</v>
      </c>
      <c r="G37" s="912">
        <f>(AD37*KFC!$B$17+KFC!$C$17)*KFC!$C$5</f>
        <v>32.503275532259529</v>
      </c>
      <c r="H37" s="912">
        <f>(AE37*KFC!$B$17+KFC!$C$17)*KFC!$C$5</f>
        <v>34.938753364775366</v>
      </c>
      <c r="I37" s="912">
        <f>(AF37*KFC!$B$17+KFC!$C$17)*KFC!$C$5</f>
        <v>37.374231197291209</v>
      </c>
      <c r="J37" s="912">
        <f>(AG37*KFC!$B$17+KFC!$C$17)*KFC!$C$5</f>
        <v>39.809709029807046</v>
      </c>
      <c r="K37" s="912">
        <f>(AH37*KFC!$B$17+KFC!$C$17)*KFC!$C$5</f>
        <v>42.245186862322896</v>
      </c>
      <c r="L37" s="912">
        <f>(AI37*KFC!$B$17+KFC!$C$17)*KFC!$C$5</f>
        <v>44.68066469483874</v>
      </c>
      <c r="M37" s="912">
        <f>(AJ37*KFC!$B$17+KFC!$C$17)*KFC!$C$5</f>
        <v>47.116142527354583</v>
      </c>
      <c r="N37" s="912">
        <f>(AK37*KFC!$B$17+KFC!$C$17)*KFC!$C$5</f>
        <v>49.551620359870427</v>
      </c>
      <c r="O37" s="912">
        <f>(AL37*KFC!$B$17+KFC!$C$17)*KFC!$C$5</f>
        <v>51.987098192386277</v>
      </c>
      <c r="P37" s="912">
        <f>(AM37*KFC!$B$17+KFC!$C$17)*KFC!$C$5</f>
        <v>54.422576024902121</v>
      </c>
      <c r="Q37" s="912">
        <f>(AN37*KFC!$B$17+KFC!$C$17)*KFC!$C$5</f>
        <v>56.858053857417964</v>
      </c>
      <c r="R37" s="912">
        <f>(AO37*KFC!$B$17+KFC!$C$17)*KFC!$C$5</f>
        <v>59.293531689933808</v>
      </c>
      <c r="S37" s="912">
        <f>(AP37*KFC!$B$17+KFC!$C$17)*KFC!$C$5</f>
        <v>61.729009522449651</v>
      </c>
      <c r="T37" s="912">
        <f>(AQ37*KFC!$B$17+KFC!$C$17)*KFC!$C$5</f>
        <v>64.164487354965502</v>
      </c>
      <c r="U37" s="912">
        <f>(AR37*KFC!$B$17+KFC!$C$17)*KFC!$C$5</f>
        <v>66.599965187481345</v>
      </c>
      <c r="V37" s="912">
        <f>(AS37*KFC!$B$17+KFC!$C$17)*KFC!$C$5</f>
        <v>69.035443019997189</v>
      </c>
      <c r="W37" s="916">
        <f>(AT37*KFC!$B$17+KFC!$C$17)*KFC!$C$5</f>
        <v>71.47092085251299</v>
      </c>
      <c r="Y37" s="1277"/>
      <c r="Z37" s="649">
        <v>0.6</v>
      </c>
      <c r="AA37" s="882">
        <v>25.196842034712006</v>
      </c>
      <c r="AB37" s="882">
        <v>27.632319867227846</v>
      </c>
      <c r="AC37" s="882">
        <v>30.067797699743689</v>
      </c>
      <c r="AD37" s="882">
        <v>32.503275532259529</v>
      </c>
      <c r="AE37" s="882">
        <v>34.938753364775366</v>
      </c>
      <c r="AF37" s="882">
        <v>37.374231197291209</v>
      </c>
      <c r="AG37" s="882">
        <v>39.809709029807046</v>
      </c>
      <c r="AH37" s="882">
        <v>42.245186862322896</v>
      </c>
      <c r="AI37" s="882">
        <v>44.68066469483874</v>
      </c>
      <c r="AJ37" s="882">
        <v>47.116142527354583</v>
      </c>
      <c r="AK37" s="882">
        <v>49.551620359870427</v>
      </c>
      <c r="AL37" s="882">
        <v>51.987098192386277</v>
      </c>
      <c r="AM37" s="882">
        <v>54.422576024902121</v>
      </c>
      <c r="AN37" s="882">
        <v>56.858053857417964</v>
      </c>
      <c r="AO37" s="882">
        <v>59.293531689933808</v>
      </c>
      <c r="AP37" s="882">
        <v>61.729009522449651</v>
      </c>
      <c r="AQ37" s="882">
        <v>64.164487354965502</v>
      </c>
      <c r="AR37" s="882">
        <v>66.599965187481345</v>
      </c>
      <c r="AS37" s="882">
        <v>69.035443019997189</v>
      </c>
      <c r="AT37" s="882">
        <v>71.47092085251299</v>
      </c>
    </row>
    <row r="38" spans="1:46">
      <c r="A38" s="1426"/>
      <c r="B38" s="1427"/>
      <c r="C38" s="887">
        <v>0.7</v>
      </c>
      <c r="D38" s="915">
        <f>(AA38*KFC!$B$17+KFC!$C$17)*KFC!$C$5</f>
        <v>25.777795980453757</v>
      </c>
      <c r="E38" s="912">
        <f>(AB38*KFC!$B$17+KFC!$C$17)*KFC!$C$5</f>
        <v>28.354206984320143</v>
      </c>
      <c r="F38" s="912">
        <f>(AC38*KFC!$B$17+KFC!$C$17)*KFC!$C$5</f>
        <v>30.930617988186519</v>
      </c>
      <c r="G38" s="912">
        <f>(AD38*KFC!$B$17+KFC!$C$17)*KFC!$C$5</f>
        <v>33.507028992052902</v>
      </c>
      <c r="H38" s="912">
        <f>(AE38*KFC!$B$17+KFC!$C$17)*KFC!$C$5</f>
        <v>36.083439995919285</v>
      </c>
      <c r="I38" s="912">
        <f>(AF38*KFC!$B$17+KFC!$C$17)*KFC!$C$5</f>
        <v>38.659850999785668</v>
      </c>
      <c r="J38" s="912">
        <f>(AG38*KFC!$B$17+KFC!$C$17)*KFC!$C$5</f>
        <v>41.236262003652051</v>
      </c>
      <c r="K38" s="912">
        <f>(AH38*KFC!$B$17+KFC!$C$17)*KFC!$C$5</f>
        <v>43.812673007518427</v>
      </c>
      <c r="L38" s="912">
        <f>(AI38*KFC!$B$17+KFC!$C$17)*KFC!$C$5</f>
        <v>46.38908401138481</v>
      </c>
      <c r="M38" s="912">
        <f>(AJ38*KFC!$B$17+KFC!$C$17)*KFC!$C$5</f>
        <v>48.965495015251193</v>
      </c>
      <c r="N38" s="912">
        <f>(AK38*KFC!$B$17+KFC!$C$17)*KFC!$C$5</f>
        <v>51.541906019117569</v>
      </c>
      <c r="O38" s="912">
        <f>(AL38*KFC!$B$17+KFC!$C$17)*KFC!$C$5</f>
        <v>54.118317022983952</v>
      </c>
      <c r="P38" s="912">
        <f>(AM38*KFC!$B$17+KFC!$C$17)*KFC!$C$5</f>
        <v>56.694728026850335</v>
      </c>
      <c r="Q38" s="912">
        <f>(AN38*KFC!$B$17+KFC!$C$17)*KFC!$C$5</f>
        <v>59.271139030716711</v>
      </c>
      <c r="R38" s="912">
        <f>(AO38*KFC!$B$17+KFC!$C$17)*KFC!$C$5</f>
        <v>61.847550034583094</v>
      </c>
      <c r="S38" s="912">
        <f>(AP38*KFC!$B$17+KFC!$C$17)*KFC!$C$5</f>
        <v>64.423961038449477</v>
      </c>
      <c r="T38" s="912">
        <f>(AQ38*KFC!$B$17+KFC!$C$17)*KFC!$C$5</f>
        <v>67.000372042315846</v>
      </c>
      <c r="U38" s="912">
        <f>(AR38*KFC!$B$17+KFC!$C$17)*KFC!$C$5</f>
        <v>69.576783046182243</v>
      </c>
      <c r="V38" s="912">
        <f>(AS38*KFC!$B$17+KFC!$C$17)*KFC!$C$5</f>
        <v>72.153194050048612</v>
      </c>
      <c r="W38" s="916">
        <f>(AT38*KFC!$B$17+KFC!$C$17)*KFC!$C$5</f>
        <v>74.729605053914995</v>
      </c>
      <c r="Y38" s="1277"/>
      <c r="Z38" s="649">
        <v>0.7</v>
      </c>
      <c r="AA38" s="882">
        <v>25.777795980453757</v>
      </c>
      <c r="AB38" s="882">
        <v>28.354206984320143</v>
      </c>
      <c r="AC38" s="882">
        <v>30.930617988186519</v>
      </c>
      <c r="AD38" s="882">
        <v>33.507028992052902</v>
      </c>
      <c r="AE38" s="882">
        <v>36.083439995919285</v>
      </c>
      <c r="AF38" s="882">
        <v>38.659850999785668</v>
      </c>
      <c r="AG38" s="882">
        <v>41.236262003652051</v>
      </c>
      <c r="AH38" s="882">
        <v>43.812673007518427</v>
      </c>
      <c r="AI38" s="882">
        <v>46.38908401138481</v>
      </c>
      <c r="AJ38" s="882">
        <v>48.965495015251193</v>
      </c>
      <c r="AK38" s="882">
        <v>51.541906019117569</v>
      </c>
      <c r="AL38" s="882">
        <v>54.118317022983952</v>
      </c>
      <c r="AM38" s="882">
        <v>56.694728026850335</v>
      </c>
      <c r="AN38" s="882">
        <v>59.271139030716711</v>
      </c>
      <c r="AO38" s="882">
        <v>61.847550034583094</v>
      </c>
      <c r="AP38" s="882">
        <v>64.423961038449477</v>
      </c>
      <c r="AQ38" s="882">
        <v>67.000372042315846</v>
      </c>
      <c r="AR38" s="882">
        <v>69.576783046182243</v>
      </c>
      <c r="AS38" s="882">
        <v>72.153194050048612</v>
      </c>
      <c r="AT38" s="882">
        <v>74.729605053914995</v>
      </c>
    </row>
    <row r="39" spans="1:46">
      <c r="A39" s="1426"/>
      <c r="B39" s="1427"/>
      <c r="C39" s="887">
        <v>0.8</v>
      </c>
      <c r="D39" s="915">
        <f>(AA39*KFC!$B$17+KFC!$C$17)*KFC!$C$5</f>
        <v>26.358749926195507</v>
      </c>
      <c r="E39" s="912">
        <f>(AB39*KFC!$B$17+KFC!$C$17)*KFC!$C$5</f>
        <v>29.076094101412426</v>
      </c>
      <c r="F39" s="912">
        <f>(AC39*KFC!$B$17+KFC!$C$17)*KFC!$C$5</f>
        <v>31.793438276629345</v>
      </c>
      <c r="G39" s="912">
        <f>(AD39*KFC!$B$17+KFC!$C$17)*KFC!$C$5</f>
        <v>34.510782451846261</v>
      </c>
      <c r="H39" s="912">
        <f>(AE39*KFC!$B$17+KFC!$C$17)*KFC!$C$5</f>
        <v>37.228126627063183</v>
      </c>
      <c r="I39" s="912">
        <f>(AF39*KFC!$B$17+KFC!$C$17)*KFC!$C$5</f>
        <v>39.945470802280099</v>
      </c>
      <c r="J39" s="912">
        <f>(AG39*KFC!$B$17+KFC!$C$17)*KFC!$C$5</f>
        <v>42.662814977497021</v>
      </c>
      <c r="K39" s="912">
        <f>(AH39*KFC!$B$17+KFC!$C$17)*KFC!$C$5</f>
        <v>45.380159152713929</v>
      </c>
      <c r="L39" s="912">
        <f>(AI39*KFC!$B$17+KFC!$C$17)*KFC!$C$5</f>
        <v>48.097503327930859</v>
      </c>
      <c r="M39" s="912">
        <f>(AJ39*KFC!$B$17+KFC!$C$17)*KFC!$C$5</f>
        <v>50.814847503147767</v>
      </c>
      <c r="N39" s="912">
        <f>(AK39*KFC!$B$17+KFC!$C$17)*KFC!$C$5</f>
        <v>53.53219167836469</v>
      </c>
      <c r="O39" s="912">
        <f>(AL39*KFC!$B$17+KFC!$C$17)*KFC!$C$5</f>
        <v>56.249535853581605</v>
      </c>
      <c r="P39" s="912">
        <f>(AM39*KFC!$B$17+KFC!$C$17)*KFC!$C$5</f>
        <v>58.966880028798528</v>
      </c>
      <c r="Q39" s="912">
        <f>(AN39*KFC!$B$17+KFC!$C$17)*KFC!$C$5</f>
        <v>61.684224204015443</v>
      </c>
      <c r="R39" s="912">
        <f>(AO39*KFC!$B$17+KFC!$C$17)*KFC!$C$5</f>
        <v>64.401568379232359</v>
      </c>
      <c r="S39" s="912">
        <f>(AP39*KFC!$B$17+KFC!$C$17)*KFC!$C$5</f>
        <v>67.118912554449281</v>
      </c>
      <c r="T39" s="912">
        <f>(AQ39*KFC!$B$17+KFC!$C$17)*KFC!$C$5</f>
        <v>69.836256729666204</v>
      </c>
      <c r="U39" s="912">
        <f>(AR39*KFC!$B$17+KFC!$C$17)*KFC!$C$5</f>
        <v>72.553600904883126</v>
      </c>
      <c r="V39" s="912">
        <f>(AS39*KFC!$B$17+KFC!$C$17)*KFC!$C$5</f>
        <v>75.270945080100049</v>
      </c>
      <c r="W39" s="916">
        <f>(AT39*KFC!$B$17+KFC!$C$17)*KFC!$C$5</f>
        <v>77.988289255316985</v>
      </c>
      <c r="Y39" s="1277"/>
      <c r="Z39" s="649">
        <v>0.8</v>
      </c>
      <c r="AA39" s="882">
        <v>26.358749926195507</v>
      </c>
      <c r="AB39" s="882">
        <v>29.076094101412426</v>
      </c>
      <c r="AC39" s="882">
        <v>31.793438276629345</v>
      </c>
      <c r="AD39" s="882">
        <v>34.510782451846261</v>
      </c>
      <c r="AE39" s="882">
        <v>37.228126627063183</v>
      </c>
      <c r="AF39" s="882">
        <v>39.945470802280099</v>
      </c>
      <c r="AG39" s="882">
        <v>42.662814977497021</v>
      </c>
      <c r="AH39" s="882">
        <v>45.380159152713929</v>
      </c>
      <c r="AI39" s="882">
        <v>48.097503327930859</v>
      </c>
      <c r="AJ39" s="882">
        <v>50.814847503147767</v>
      </c>
      <c r="AK39" s="882">
        <v>53.53219167836469</v>
      </c>
      <c r="AL39" s="882">
        <v>56.249535853581605</v>
      </c>
      <c r="AM39" s="882">
        <v>58.966880028798528</v>
      </c>
      <c r="AN39" s="882">
        <v>61.684224204015443</v>
      </c>
      <c r="AO39" s="882">
        <v>64.401568379232359</v>
      </c>
      <c r="AP39" s="882">
        <v>67.118912554449281</v>
      </c>
      <c r="AQ39" s="882">
        <v>69.836256729666204</v>
      </c>
      <c r="AR39" s="882">
        <v>72.553600904883126</v>
      </c>
      <c r="AS39" s="882">
        <v>75.270945080100049</v>
      </c>
      <c r="AT39" s="882">
        <v>77.988289255316985</v>
      </c>
    </row>
    <row r="40" spans="1:46">
      <c r="A40" s="1426"/>
      <c r="B40" s="1427"/>
      <c r="C40" s="887">
        <v>0.9</v>
      </c>
      <c r="D40" s="915">
        <f>(AA40*KFC!$B$17+KFC!$C$17)*KFC!$C$5</f>
        <v>26.939703871937262</v>
      </c>
      <c r="E40" s="912">
        <f>(AB40*KFC!$B$17+KFC!$C$17)*KFC!$C$5</f>
        <v>29.79798121850472</v>
      </c>
      <c r="F40" s="912">
        <f>(AC40*KFC!$B$17+KFC!$C$17)*KFC!$C$5</f>
        <v>32.656258565072172</v>
      </c>
      <c r="G40" s="912">
        <f>(AD40*KFC!$B$17+KFC!$C$17)*KFC!$C$5</f>
        <v>35.514535911639634</v>
      </c>
      <c r="H40" s="912">
        <f>(AE40*KFC!$B$17+KFC!$C$17)*KFC!$C$5</f>
        <v>38.372813258207096</v>
      </c>
      <c r="I40" s="912">
        <f>(AF40*KFC!$B$17+KFC!$C$17)*KFC!$C$5</f>
        <v>41.231090604774558</v>
      </c>
      <c r="J40" s="912">
        <f>(AG40*KFC!$B$17+KFC!$C$17)*KFC!$C$5</f>
        <v>44.08936795134202</v>
      </c>
      <c r="K40" s="912">
        <f>(AH40*KFC!$B$17+KFC!$C$17)*KFC!$C$5</f>
        <v>46.947645297909482</v>
      </c>
      <c r="L40" s="912">
        <f>(AI40*KFC!$B$17+KFC!$C$17)*KFC!$C$5</f>
        <v>49.805922644476944</v>
      </c>
      <c r="M40" s="912">
        <f>(AJ40*KFC!$B$17+KFC!$C$17)*KFC!$C$5</f>
        <v>52.664199991044391</v>
      </c>
      <c r="N40" s="912">
        <f>(AK40*KFC!$B$17+KFC!$C$17)*KFC!$C$5</f>
        <v>55.522477337611861</v>
      </c>
      <c r="O40" s="912">
        <f>(AL40*KFC!$B$17+KFC!$C$17)*KFC!$C$5</f>
        <v>58.380754684179323</v>
      </c>
      <c r="P40" s="912">
        <f>(AM40*KFC!$B$17+KFC!$C$17)*KFC!$C$5</f>
        <v>61.239032030746785</v>
      </c>
      <c r="Q40" s="912">
        <f>(AN40*KFC!$B$17+KFC!$C$17)*KFC!$C$5</f>
        <v>64.097309377314247</v>
      </c>
      <c r="R40" s="912">
        <f>(AO40*KFC!$B$17+KFC!$C$17)*KFC!$C$5</f>
        <v>66.955586723881709</v>
      </c>
      <c r="S40" s="912">
        <f>(AP40*KFC!$B$17+KFC!$C$17)*KFC!$C$5</f>
        <v>69.813864070449156</v>
      </c>
      <c r="T40" s="912">
        <f>(AQ40*KFC!$B$17+KFC!$C$17)*KFC!$C$5</f>
        <v>72.672141417016618</v>
      </c>
      <c r="U40" s="912">
        <f>(AR40*KFC!$B$17+KFC!$C$17)*KFC!$C$5</f>
        <v>75.53041876358408</v>
      </c>
      <c r="V40" s="912">
        <f>(AS40*KFC!$B$17+KFC!$C$17)*KFC!$C$5</f>
        <v>78.388696110151528</v>
      </c>
      <c r="W40" s="916">
        <f>(AT40*KFC!$B$17+KFC!$C$17)*KFC!$C$5</f>
        <v>81.24697345671899</v>
      </c>
      <c r="Y40" s="1277"/>
      <c r="Z40" s="649">
        <v>0.9</v>
      </c>
      <c r="AA40" s="882">
        <v>26.939703871937262</v>
      </c>
      <c r="AB40" s="882">
        <v>29.79798121850472</v>
      </c>
      <c r="AC40" s="882">
        <v>32.656258565072172</v>
      </c>
      <c r="AD40" s="882">
        <v>35.514535911639634</v>
      </c>
      <c r="AE40" s="882">
        <v>38.372813258207096</v>
      </c>
      <c r="AF40" s="882">
        <v>41.231090604774558</v>
      </c>
      <c r="AG40" s="882">
        <v>44.08936795134202</v>
      </c>
      <c r="AH40" s="882">
        <v>46.947645297909482</v>
      </c>
      <c r="AI40" s="882">
        <v>49.805922644476944</v>
      </c>
      <c r="AJ40" s="882">
        <v>52.664199991044391</v>
      </c>
      <c r="AK40" s="882">
        <v>55.522477337611861</v>
      </c>
      <c r="AL40" s="882">
        <v>58.380754684179323</v>
      </c>
      <c r="AM40" s="882">
        <v>61.239032030746785</v>
      </c>
      <c r="AN40" s="882">
        <v>64.097309377314247</v>
      </c>
      <c r="AO40" s="882">
        <v>66.955586723881709</v>
      </c>
      <c r="AP40" s="882">
        <v>69.813864070449156</v>
      </c>
      <c r="AQ40" s="882">
        <v>72.672141417016618</v>
      </c>
      <c r="AR40" s="882">
        <v>75.53041876358408</v>
      </c>
      <c r="AS40" s="882">
        <v>78.388696110151528</v>
      </c>
      <c r="AT40" s="882">
        <v>81.24697345671899</v>
      </c>
    </row>
    <row r="41" spans="1:46">
      <c r="A41" s="1426"/>
      <c r="B41" s="1427"/>
      <c r="C41" s="887">
        <v>1</v>
      </c>
      <c r="D41" s="915">
        <f>(AA41*KFC!$B$17+KFC!$C$17)*KFC!$C$5</f>
        <v>27.520657817679012</v>
      </c>
      <c r="E41" s="912">
        <f>(AB41*KFC!$B$17+KFC!$C$17)*KFC!$C$5</f>
        <v>30.51986833559701</v>
      </c>
      <c r="F41" s="912">
        <f>(AC41*KFC!$B$17+KFC!$C$17)*KFC!$C$5</f>
        <v>33.519078853515012</v>
      </c>
      <c r="G41" s="912">
        <f>(AD41*KFC!$B$17+KFC!$C$17)*KFC!$C$5</f>
        <v>36.518289371433006</v>
      </c>
      <c r="H41" s="912">
        <f>(AE41*KFC!$B$17+KFC!$C$17)*KFC!$C$5</f>
        <v>39.517499889351001</v>
      </c>
      <c r="I41" s="912">
        <f>(AF41*KFC!$B$17+KFC!$C$17)*KFC!$C$5</f>
        <v>42.516710407269002</v>
      </c>
      <c r="J41" s="912">
        <f>(AG41*KFC!$B$17+KFC!$C$17)*KFC!$C$5</f>
        <v>45.515920925186997</v>
      </c>
      <c r="K41" s="912">
        <f>(AH41*KFC!$B$17+KFC!$C$17)*KFC!$C$5</f>
        <v>48.515131443105005</v>
      </c>
      <c r="L41" s="912">
        <f>(AI41*KFC!$B$17+KFC!$C$17)*KFC!$C$5</f>
        <v>51.514341961023</v>
      </c>
      <c r="M41" s="912">
        <f>(AJ41*KFC!$B$17+KFC!$C$17)*KFC!$C$5</f>
        <v>54.513552478941001</v>
      </c>
      <c r="N41" s="912">
        <f>(AK41*KFC!$B$17+KFC!$C$17)*KFC!$C$5</f>
        <v>57.512762996858996</v>
      </c>
      <c r="O41" s="912">
        <f>(AL41*KFC!$B$17+KFC!$C$17)*KFC!$C$5</f>
        <v>60.51197351477699</v>
      </c>
      <c r="P41" s="912">
        <f>(AM41*KFC!$B$17+KFC!$C$17)*KFC!$C$5</f>
        <v>63.511184032694992</v>
      </c>
      <c r="Q41" s="912">
        <f>(AN41*KFC!$B$17+KFC!$C$17)*KFC!$C$5</f>
        <v>66.510394550613</v>
      </c>
      <c r="R41" s="912">
        <f>(AO41*KFC!$B$17+KFC!$C$17)*KFC!$C$5</f>
        <v>69.509605068530973</v>
      </c>
      <c r="S41" s="912">
        <f>(AP41*KFC!$B$17+KFC!$C$17)*KFC!$C$5</f>
        <v>72.508815586448975</v>
      </c>
      <c r="T41" s="912">
        <f>(AQ41*KFC!$B$17+KFC!$C$17)*KFC!$C$5</f>
        <v>75.508026104366991</v>
      </c>
      <c r="U41" s="912">
        <f>(AR41*KFC!$B$17+KFC!$C$17)*KFC!$C$5</f>
        <v>78.507236622284992</v>
      </c>
      <c r="V41" s="912">
        <f>(AS41*KFC!$B$17+KFC!$C$17)*KFC!$C$5</f>
        <v>81.506447140202994</v>
      </c>
      <c r="W41" s="916">
        <f>(AT41*KFC!$B$17+KFC!$C$17)*KFC!$C$5</f>
        <v>84.505657658120981</v>
      </c>
      <c r="Y41" s="1277"/>
      <c r="Z41" s="649">
        <v>1</v>
      </c>
      <c r="AA41" s="882">
        <v>27.520657817679012</v>
      </c>
      <c r="AB41" s="882">
        <v>30.51986833559701</v>
      </c>
      <c r="AC41" s="882">
        <v>33.519078853515012</v>
      </c>
      <c r="AD41" s="882">
        <v>36.518289371433006</v>
      </c>
      <c r="AE41" s="882">
        <v>39.517499889351001</v>
      </c>
      <c r="AF41" s="882">
        <v>42.516710407269002</v>
      </c>
      <c r="AG41" s="882">
        <v>45.515920925186997</v>
      </c>
      <c r="AH41" s="882">
        <v>48.515131443105005</v>
      </c>
      <c r="AI41" s="882">
        <v>51.514341961023</v>
      </c>
      <c r="AJ41" s="882">
        <v>54.513552478941001</v>
      </c>
      <c r="AK41" s="882">
        <v>57.512762996858996</v>
      </c>
      <c r="AL41" s="882">
        <v>60.51197351477699</v>
      </c>
      <c r="AM41" s="882">
        <v>63.511184032694992</v>
      </c>
      <c r="AN41" s="882">
        <v>66.510394550613</v>
      </c>
      <c r="AO41" s="882">
        <v>69.509605068530973</v>
      </c>
      <c r="AP41" s="882">
        <v>72.508815586448975</v>
      </c>
      <c r="AQ41" s="882">
        <v>75.508026104366991</v>
      </c>
      <c r="AR41" s="882">
        <v>78.507236622284992</v>
      </c>
      <c r="AS41" s="882">
        <v>81.506447140202994</v>
      </c>
      <c r="AT41" s="882">
        <v>84.505657658120981</v>
      </c>
    </row>
    <row r="42" spans="1:46">
      <c r="A42" s="1426"/>
      <c r="B42" s="1427"/>
      <c r="C42" s="887">
        <v>1.1000000000000001</v>
      </c>
      <c r="D42" s="915">
        <f>(AA42*KFC!$B$17+KFC!$C$17)*KFC!$C$5</f>
        <v>28.101611763420767</v>
      </c>
      <c r="E42" s="912">
        <f>(AB42*KFC!$B$17+KFC!$C$17)*KFC!$C$5</f>
        <v>31.241755452689301</v>
      </c>
      <c r="F42" s="912">
        <f>(AC42*KFC!$B$17+KFC!$C$17)*KFC!$C$5</f>
        <v>34.381899141957838</v>
      </c>
      <c r="G42" s="912">
        <f>(AD42*KFC!$B$17+KFC!$C$17)*KFC!$C$5</f>
        <v>37.522042831226372</v>
      </c>
      <c r="H42" s="912">
        <f>(AE42*KFC!$B$17+KFC!$C$17)*KFC!$C$5</f>
        <v>40.662186520494906</v>
      </c>
      <c r="I42" s="912">
        <f>(AF42*KFC!$B$17+KFC!$C$17)*KFC!$C$5</f>
        <v>43.802330209763447</v>
      </c>
      <c r="J42" s="912">
        <f>(AG42*KFC!$B$17+KFC!$C$17)*KFC!$C$5</f>
        <v>46.942473899031981</v>
      </c>
      <c r="K42" s="912">
        <f>(AH42*KFC!$B$17+KFC!$C$17)*KFC!$C$5</f>
        <v>50.082617588300515</v>
      </c>
      <c r="L42" s="912">
        <f>(AI42*KFC!$B$17+KFC!$C$17)*KFC!$C$5</f>
        <v>53.222761277569049</v>
      </c>
      <c r="M42" s="912">
        <f>(AJ42*KFC!$B$17+KFC!$C$17)*KFC!$C$5</f>
        <v>56.36290496683759</v>
      </c>
      <c r="N42" s="912">
        <f>(AK42*KFC!$B$17+KFC!$C$17)*KFC!$C$5</f>
        <v>59.503048656106124</v>
      </c>
      <c r="O42" s="912">
        <f>(AL42*KFC!$B$17+KFC!$C$17)*KFC!$C$5</f>
        <v>62.643192345374658</v>
      </c>
      <c r="P42" s="912">
        <f>(AM42*KFC!$B$17+KFC!$C$17)*KFC!$C$5</f>
        <v>65.783336034643199</v>
      </c>
      <c r="Q42" s="912">
        <f>(AN42*KFC!$B$17+KFC!$C$17)*KFC!$C$5</f>
        <v>68.923479723911726</v>
      </c>
      <c r="R42" s="912">
        <f>(AO42*KFC!$B$17+KFC!$C$17)*KFC!$C$5</f>
        <v>72.063623413180267</v>
      </c>
      <c r="S42" s="912">
        <f>(AP42*KFC!$B$17+KFC!$C$17)*KFC!$C$5</f>
        <v>75.203767102448808</v>
      </c>
      <c r="T42" s="912">
        <f>(AQ42*KFC!$B$17+KFC!$C$17)*KFC!$C$5</f>
        <v>78.343910791717349</v>
      </c>
      <c r="U42" s="912">
        <f>(AR42*KFC!$B$17+KFC!$C$17)*KFC!$C$5</f>
        <v>81.48405448098589</v>
      </c>
      <c r="V42" s="912">
        <f>(AS42*KFC!$B$17+KFC!$C$17)*KFC!$C$5</f>
        <v>84.624198170254431</v>
      </c>
      <c r="W42" s="916">
        <f>(AT42*KFC!$B$17+KFC!$C$17)*KFC!$C$5</f>
        <v>87.764341859522986</v>
      </c>
      <c r="Y42" s="1277"/>
      <c r="Z42" s="649">
        <v>1.1000000000000001</v>
      </c>
      <c r="AA42" s="882">
        <v>28.101611763420767</v>
      </c>
      <c r="AB42" s="882">
        <v>31.241755452689301</v>
      </c>
      <c r="AC42" s="882">
        <v>34.381899141957838</v>
      </c>
      <c r="AD42" s="882">
        <v>37.522042831226372</v>
      </c>
      <c r="AE42" s="882">
        <v>40.662186520494906</v>
      </c>
      <c r="AF42" s="882">
        <v>43.802330209763447</v>
      </c>
      <c r="AG42" s="882">
        <v>46.942473899031981</v>
      </c>
      <c r="AH42" s="882">
        <v>50.082617588300515</v>
      </c>
      <c r="AI42" s="882">
        <v>53.222761277569049</v>
      </c>
      <c r="AJ42" s="882">
        <v>56.36290496683759</v>
      </c>
      <c r="AK42" s="882">
        <v>59.503048656106124</v>
      </c>
      <c r="AL42" s="882">
        <v>62.643192345374658</v>
      </c>
      <c r="AM42" s="882">
        <v>65.783336034643199</v>
      </c>
      <c r="AN42" s="882">
        <v>68.923479723911726</v>
      </c>
      <c r="AO42" s="882">
        <v>72.063623413180267</v>
      </c>
      <c r="AP42" s="882">
        <v>75.203767102448808</v>
      </c>
      <c r="AQ42" s="882">
        <v>78.343910791717349</v>
      </c>
      <c r="AR42" s="882">
        <v>81.48405448098589</v>
      </c>
      <c r="AS42" s="882">
        <v>84.624198170254431</v>
      </c>
      <c r="AT42" s="882">
        <v>87.764341859522986</v>
      </c>
    </row>
    <row r="43" spans="1:46">
      <c r="A43" s="1426"/>
      <c r="B43" s="1427"/>
      <c r="C43" s="887">
        <v>1.2</v>
      </c>
      <c r="D43" s="915">
        <f>(AA43*KFC!$B$17+KFC!$C$17)*KFC!$C$5</f>
        <v>28.682565709162514</v>
      </c>
      <c r="E43" s="912">
        <f>(AB43*KFC!$B$17+KFC!$C$17)*KFC!$C$5</f>
        <v>31.963642569781591</v>
      </c>
      <c r="F43" s="912">
        <f>(AC43*KFC!$B$17+KFC!$C$17)*KFC!$C$5</f>
        <v>35.244719430400671</v>
      </c>
      <c r="G43" s="912">
        <f>(AD43*KFC!$B$17+KFC!$C$17)*KFC!$C$5</f>
        <v>38.525796291019752</v>
      </c>
      <c r="H43" s="912">
        <f>(AE43*KFC!$B$17+KFC!$C$17)*KFC!$C$5</f>
        <v>41.806873151638833</v>
      </c>
      <c r="I43" s="912">
        <f>(AF43*KFC!$B$17+KFC!$C$17)*KFC!$C$5</f>
        <v>45.087950012257913</v>
      </c>
      <c r="J43" s="912">
        <f>(AG43*KFC!$B$17+KFC!$C$17)*KFC!$C$5</f>
        <v>48.369026872876987</v>
      </c>
      <c r="K43" s="912">
        <f>(AH43*KFC!$B$17+KFC!$C$17)*KFC!$C$5</f>
        <v>51.650103733496067</v>
      </c>
      <c r="L43" s="912">
        <f>(AI43*KFC!$B$17+KFC!$C$17)*KFC!$C$5</f>
        <v>54.931180594115141</v>
      </c>
      <c r="M43" s="912">
        <f>(AJ43*KFC!$B$17+KFC!$C$17)*KFC!$C$5</f>
        <v>58.212257454734221</v>
      </c>
      <c r="N43" s="912">
        <f>(AK43*KFC!$B$17+KFC!$C$17)*KFC!$C$5</f>
        <v>61.493334315353302</v>
      </c>
      <c r="O43" s="912">
        <f>(AL43*KFC!$B$17+KFC!$C$17)*KFC!$C$5</f>
        <v>64.774411175972375</v>
      </c>
      <c r="P43" s="912">
        <f>(AM43*KFC!$B$17+KFC!$C$17)*KFC!$C$5</f>
        <v>68.055488036591456</v>
      </c>
      <c r="Q43" s="912">
        <f>(AN43*KFC!$B$17+KFC!$C$17)*KFC!$C$5</f>
        <v>71.336564897210536</v>
      </c>
      <c r="R43" s="912">
        <f>(AO43*KFC!$B$17+KFC!$C$17)*KFC!$C$5</f>
        <v>74.617641757829603</v>
      </c>
      <c r="S43" s="912">
        <f>(AP43*KFC!$B$17+KFC!$C$17)*KFC!$C$5</f>
        <v>77.898718618448683</v>
      </c>
      <c r="T43" s="912">
        <f>(AQ43*KFC!$B$17+KFC!$C$17)*KFC!$C$5</f>
        <v>81.179795479067764</v>
      </c>
      <c r="U43" s="912">
        <f>(AR43*KFC!$B$17+KFC!$C$17)*KFC!$C$5</f>
        <v>84.460872339686844</v>
      </c>
      <c r="V43" s="912">
        <f>(AS43*KFC!$B$17+KFC!$C$17)*KFC!$C$5</f>
        <v>87.741949200305925</v>
      </c>
      <c r="W43" s="916">
        <f>(AT43*KFC!$B$17+KFC!$C$17)*KFC!$C$5</f>
        <v>91.023026060924963</v>
      </c>
      <c r="Y43" s="1277"/>
      <c r="Z43" s="649">
        <v>1.2</v>
      </c>
      <c r="AA43" s="882">
        <v>28.682565709162514</v>
      </c>
      <c r="AB43" s="882">
        <v>31.963642569781591</v>
      </c>
      <c r="AC43" s="882">
        <v>35.244719430400671</v>
      </c>
      <c r="AD43" s="882">
        <v>38.525796291019752</v>
      </c>
      <c r="AE43" s="882">
        <v>41.806873151638833</v>
      </c>
      <c r="AF43" s="882">
        <v>45.087950012257913</v>
      </c>
      <c r="AG43" s="882">
        <v>48.369026872876987</v>
      </c>
      <c r="AH43" s="882">
        <v>51.650103733496067</v>
      </c>
      <c r="AI43" s="882">
        <v>54.931180594115141</v>
      </c>
      <c r="AJ43" s="882">
        <v>58.212257454734221</v>
      </c>
      <c r="AK43" s="882">
        <v>61.493334315353302</v>
      </c>
      <c r="AL43" s="882">
        <v>64.774411175972375</v>
      </c>
      <c r="AM43" s="882">
        <v>68.055488036591456</v>
      </c>
      <c r="AN43" s="882">
        <v>71.336564897210536</v>
      </c>
      <c r="AO43" s="882">
        <v>74.617641757829603</v>
      </c>
      <c r="AP43" s="882">
        <v>77.898718618448683</v>
      </c>
      <c r="AQ43" s="882">
        <v>81.179795479067764</v>
      </c>
      <c r="AR43" s="882">
        <v>84.460872339686844</v>
      </c>
      <c r="AS43" s="882">
        <v>87.741949200305925</v>
      </c>
      <c r="AT43" s="882">
        <v>91.023026060924963</v>
      </c>
    </row>
    <row r="44" spans="1:46">
      <c r="A44" s="1426"/>
      <c r="B44" s="1427"/>
      <c r="C44" s="887">
        <v>1.3</v>
      </c>
      <c r="D44" s="915">
        <f>(AA44*KFC!$B$17+KFC!$C$17)*KFC!$C$5</f>
        <v>29.263519654904268</v>
      </c>
      <c r="E44" s="912">
        <f>(AB44*KFC!$B$17+KFC!$C$17)*KFC!$C$5</f>
        <v>32.685529686873885</v>
      </c>
      <c r="F44" s="912">
        <f>(AC44*KFC!$B$17+KFC!$C$17)*KFC!$C$5</f>
        <v>36.107539718843498</v>
      </c>
      <c r="G44" s="912">
        <f>(AD44*KFC!$B$17+KFC!$C$17)*KFC!$C$5</f>
        <v>39.529549750813111</v>
      </c>
      <c r="H44" s="912">
        <f>(AE44*KFC!$B$17+KFC!$C$17)*KFC!$C$5</f>
        <v>42.951559782782731</v>
      </c>
      <c r="I44" s="912">
        <f>(AF44*KFC!$B$17+KFC!$C$17)*KFC!$C$5</f>
        <v>46.373569814752344</v>
      </c>
      <c r="J44" s="912">
        <f>(AG44*KFC!$B$17+KFC!$C$17)*KFC!$C$5</f>
        <v>49.795579846721957</v>
      </c>
      <c r="K44" s="912">
        <f>(AH44*KFC!$B$17+KFC!$C$17)*KFC!$C$5</f>
        <v>53.217589878691577</v>
      </c>
      <c r="L44" s="912">
        <f>(AI44*KFC!$B$17+KFC!$C$17)*KFC!$C$5</f>
        <v>56.63959991066119</v>
      </c>
      <c r="M44" s="912">
        <f>(AJ44*KFC!$B$17+KFC!$C$17)*KFC!$C$5</f>
        <v>60.061609942630803</v>
      </c>
      <c r="N44" s="912">
        <f>(AK44*KFC!$B$17+KFC!$C$17)*KFC!$C$5</f>
        <v>63.483619974600416</v>
      </c>
      <c r="O44" s="912">
        <f>(AL44*KFC!$B$17+KFC!$C$17)*KFC!$C$5</f>
        <v>66.905630006570036</v>
      </c>
      <c r="P44" s="912">
        <f>(AM44*KFC!$B$17+KFC!$C$17)*KFC!$C$5</f>
        <v>70.327640038539641</v>
      </c>
      <c r="Q44" s="912">
        <f>(AN44*KFC!$B$17+KFC!$C$17)*KFC!$C$5</f>
        <v>73.749650070509261</v>
      </c>
      <c r="R44" s="912">
        <f>(AO44*KFC!$B$17+KFC!$C$17)*KFC!$C$5</f>
        <v>77.171660102478882</v>
      </c>
      <c r="S44" s="912">
        <f>(AP44*KFC!$B$17+KFC!$C$17)*KFC!$C$5</f>
        <v>80.593670134448502</v>
      </c>
      <c r="T44" s="912">
        <f>(AQ44*KFC!$B$17+KFC!$C$17)*KFC!$C$5</f>
        <v>84.015680166418122</v>
      </c>
      <c r="U44" s="912">
        <f>(AR44*KFC!$B$17+KFC!$C$17)*KFC!$C$5</f>
        <v>87.437690198387713</v>
      </c>
      <c r="V44" s="912">
        <f>(AS44*KFC!$B$17+KFC!$C$17)*KFC!$C$5</f>
        <v>90.859700230357333</v>
      </c>
      <c r="W44" s="916">
        <f>(AT44*KFC!$B$17+KFC!$C$17)*KFC!$C$5</f>
        <v>94.281710262326953</v>
      </c>
      <c r="Y44" s="1277"/>
      <c r="Z44" s="649">
        <v>1.3</v>
      </c>
      <c r="AA44" s="882">
        <v>29.263519654904268</v>
      </c>
      <c r="AB44" s="882">
        <v>32.685529686873885</v>
      </c>
      <c r="AC44" s="882">
        <v>36.107539718843498</v>
      </c>
      <c r="AD44" s="882">
        <v>39.529549750813111</v>
      </c>
      <c r="AE44" s="882">
        <v>42.951559782782731</v>
      </c>
      <c r="AF44" s="882">
        <v>46.373569814752344</v>
      </c>
      <c r="AG44" s="882">
        <v>49.795579846721957</v>
      </c>
      <c r="AH44" s="882">
        <v>53.217589878691577</v>
      </c>
      <c r="AI44" s="882">
        <v>56.63959991066119</v>
      </c>
      <c r="AJ44" s="882">
        <v>60.061609942630803</v>
      </c>
      <c r="AK44" s="882">
        <v>63.483619974600416</v>
      </c>
      <c r="AL44" s="882">
        <v>66.905630006570036</v>
      </c>
      <c r="AM44" s="882">
        <v>70.327640038539641</v>
      </c>
      <c r="AN44" s="882">
        <v>73.749650070509261</v>
      </c>
      <c r="AO44" s="882">
        <v>77.171660102478882</v>
      </c>
      <c r="AP44" s="882">
        <v>80.593670134448502</v>
      </c>
      <c r="AQ44" s="882">
        <v>84.015680166418122</v>
      </c>
      <c r="AR44" s="882">
        <v>87.437690198387713</v>
      </c>
      <c r="AS44" s="882">
        <v>90.859700230357333</v>
      </c>
      <c r="AT44" s="882">
        <v>94.281710262326953</v>
      </c>
    </row>
    <row r="45" spans="1:46">
      <c r="A45" s="1426"/>
      <c r="B45" s="1427"/>
      <c r="C45" s="887">
        <v>1.4</v>
      </c>
      <c r="D45" s="915">
        <f>(AA45*KFC!$B$17+KFC!$C$17)*KFC!$C$5</f>
        <v>29.844473600646019</v>
      </c>
      <c r="E45" s="912">
        <f>(AB45*KFC!$B$17+KFC!$C$17)*KFC!$C$5</f>
        <v>33.407416803966171</v>
      </c>
      <c r="F45" s="912">
        <f>(AC45*KFC!$B$17+KFC!$C$17)*KFC!$C$5</f>
        <v>36.970360007286331</v>
      </c>
      <c r="G45" s="912">
        <f>(AD45*KFC!$B$17+KFC!$C$17)*KFC!$C$5</f>
        <v>40.533303210606483</v>
      </c>
      <c r="H45" s="912">
        <f>(AE45*KFC!$B$17+KFC!$C$17)*KFC!$C$5</f>
        <v>44.096246413926636</v>
      </c>
      <c r="I45" s="912">
        <f>(AF45*KFC!$B$17+KFC!$C$17)*KFC!$C$5</f>
        <v>47.659189617246781</v>
      </c>
      <c r="J45" s="912">
        <f>(AG45*KFC!$B$17+KFC!$C$17)*KFC!$C$5</f>
        <v>51.222132820566941</v>
      </c>
      <c r="K45" s="912">
        <f>(AH45*KFC!$B$17+KFC!$C$17)*KFC!$C$5</f>
        <v>54.785076023887093</v>
      </c>
      <c r="L45" s="912">
        <f>(AI45*KFC!$B$17+KFC!$C$17)*KFC!$C$5</f>
        <v>58.348019227207246</v>
      </c>
      <c r="M45" s="912">
        <f>(AJ45*KFC!$B$17+KFC!$C$17)*KFC!$C$5</f>
        <v>61.910962430527384</v>
      </c>
      <c r="N45" s="912">
        <f>(AK45*KFC!$B$17+KFC!$C$17)*KFC!$C$5</f>
        <v>65.473905633847551</v>
      </c>
      <c r="O45" s="912">
        <f>(AL45*KFC!$B$17+KFC!$C$17)*KFC!$C$5</f>
        <v>69.036848837167696</v>
      </c>
      <c r="P45" s="912">
        <f>(AM45*KFC!$B$17+KFC!$C$17)*KFC!$C$5</f>
        <v>72.599792040487856</v>
      </c>
      <c r="Q45" s="912">
        <f>(AN45*KFC!$B$17+KFC!$C$17)*KFC!$C$5</f>
        <v>76.162735243808001</v>
      </c>
      <c r="R45" s="912">
        <f>(AO45*KFC!$B$17+KFC!$C$17)*KFC!$C$5</f>
        <v>79.725678447128161</v>
      </c>
      <c r="S45" s="912">
        <f>(AP45*KFC!$B$17+KFC!$C$17)*KFC!$C$5</f>
        <v>83.288621650448292</v>
      </c>
      <c r="T45" s="912">
        <f>(AQ45*KFC!$B$17+KFC!$C$17)*KFC!$C$5</f>
        <v>86.851564853768465</v>
      </c>
      <c r="U45" s="912">
        <f>(AR45*KFC!$B$17+KFC!$C$17)*KFC!$C$5</f>
        <v>90.414508057088597</v>
      </c>
      <c r="V45" s="912">
        <f>(AS45*KFC!$B$17+KFC!$C$17)*KFC!$C$5</f>
        <v>93.977451260408756</v>
      </c>
      <c r="W45" s="916">
        <f>(AT45*KFC!$B$17+KFC!$C$17)*KFC!$C$5</f>
        <v>97.540394463728958</v>
      </c>
      <c r="Y45" s="1277"/>
      <c r="Z45" s="649">
        <v>1.4</v>
      </c>
      <c r="AA45" s="882">
        <v>29.844473600646019</v>
      </c>
      <c r="AB45" s="882">
        <v>33.407416803966171</v>
      </c>
      <c r="AC45" s="882">
        <v>36.970360007286331</v>
      </c>
      <c r="AD45" s="882">
        <v>40.533303210606483</v>
      </c>
      <c r="AE45" s="882">
        <v>44.096246413926636</v>
      </c>
      <c r="AF45" s="882">
        <v>47.659189617246781</v>
      </c>
      <c r="AG45" s="882">
        <v>51.222132820566941</v>
      </c>
      <c r="AH45" s="882">
        <v>54.785076023887093</v>
      </c>
      <c r="AI45" s="882">
        <v>58.348019227207246</v>
      </c>
      <c r="AJ45" s="882">
        <v>61.910962430527384</v>
      </c>
      <c r="AK45" s="882">
        <v>65.473905633847551</v>
      </c>
      <c r="AL45" s="882">
        <v>69.036848837167696</v>
      </c>
      <c r="AM45" s="882">
        <v>72.599792040487856</v>
      </c>
      <c r="AN45" s="882">
        <v>76.162735243808001</v>
      </c>
      <c r="AO45" s="882">
        <v>79.725678447128161</v>
      </c>
      <c r="AP45" s="882">
        <v>83.288621650448292</v>
      </c>
      <c r="AQ45" s="882">
        <v>86.851564853768465</v>
      </c>
      <c r="AR45" s="882">
        <v>90.414508057088597</v>
      </c>
      <c r="AS45" s="882">
        <v>93.977451260408756</v>
      </c>
      <c r="AT45" s="882">
        <v>97.540394463728958</v>
      </c>
    </row>
    <row r="46" spans="1:46">
      <c r="A46" s="1426"/>
      <c r="B46" s="1427"/>
      <c r="C46" s="887">
        <v>1.5</v>
      </c>
      <c r="D46" s="915">
        <f>(AA46*KFC!$B$17+KFC!$C$17)*KFC!$C$5</f>
        <v>30.42542754638777</v>
      </c>
      <c r="E46" s="912">
        <f>(AB46*KFC!$B$17+KFC!$C$17)*KFC!$C$5</f>
        <v>34.129303921058465</v>
      </c>
      <c r="F46" s="912">
        <f>(AC46*KFC!$B$17+KFC!$C$17)*KFC!$C$5</f>
        <v>37.833180295729157</v>
      </c>
      <c r="G46" s="912">
        <f>(AD46*KFC!$B$17+KFC!$C$17)*KFC!$C$5</f>
        <v>41.537056670399856</v>
      </c>
      <c r="H46" s="912">
        <f>(AE46*KFC!$B$17+KFC!$C$17)*KFC!$C$5</f>
        <v>45.240933045070555</v>
      </c>
      <c r="I46" s="912">
        <f>(AF46*KFC!$B$17+KFC!$C$17)*KFC!$C$5</f>
        <v>48.944809419741247</v>
      </c>
      <c r="J46" s="912">
        <f>(AG46*KFC!$B$17+KFC!$C$17)*KFC!$C$5</f>
        <v>52.648685794411939</v>
      </c>
      <c r="K46" s="912">
        <f>(AH46*KFC!$B$17+KFC!$C$17)*KFC!$C$5</f>
        <v>56.352562169082631</v>
      </c>
      <c r="L46" s="912">
        <f>(AI46*KFC!$B$17+KFC!$C$17)*KFC!$C$5</f>
        <v>60.056438543753337</v>
      </c>
      <c r="M46" s="912">
        <f>(AJ46*KFC!$B$17+KFC!$C$17)*KFC!$C$5</f>
        <v>63.760314918424029</v>
      </c>
      <c r="N46" s="912">
        <f>(AK46*KFC!$B$17+KFC!$C$17)*KFC!$C$5</f>
        <v>67.464191293094729</v>
      </c>
      <c r="O46" s="912">
        <f>(AL46*KFC!$B$17+KFC!$C$17)*KFC!$C$5</f>
        <v>71.168067667765413</v>
      </c>
      <c r="P46" s="912">
        <f>(AM46*KFC!$B$17+KFC!$C$17)*KFC!$C$5</f>
        <v>74.871944042436098</v>
      </c>
      <c r="Q46" s="912">
        <f>(AN46*KFC!$B$17+KFC!$C$17)*KFC!$C$5</f>
        <v>78.575820417106783</v>
      </c>
      <c r="R46" s="912">
        <f>(AO46*KFC!$B$17+KFC!$C$17)*KFC!$C$5</f>
        <v>82.279696791777482</v>
      </c>
      <c r="S46" s="912">
        <f>(AP46*KFC!$B$17+KFC!$C$17)*KFC!$C$5</f>
        <v>85.983573166448167</v>
      </c>
      <c r="T46" s="912">
        <f>(AQ46*KFC!$B$17+KFC!$C$17)*KFC!$C$5</f>
        <v>89.687449541118852</v>
      </c>
      <c r="U46" s="912">
        <f>(AR46*KFC!$B$17+KFC!$C$17)*KFC!$C$5</f>
        <v>93.391325915789537</v>
      </c>
      <c r="V46" s="912">
        <f>(AS46*KFC!$B$17+KFC!$C$17)*KFC!$C$5</f>
        <v>97.09520229046025</v>
      </c>
      <c r="W46" s="916">
        <f>(AT46*KFC!$B$17+KFC!$C$17)*KFC!$C$5</f>
        <v>100.79907866513096</v>
      </c>
      <c r="Y46" s="1277"/>
      <c r="Z46" s="649">
        <v>1.5</v>
      </c>
      <c r="AA46" s="882">
        <v>30.42542754638777</v>
      </c>
      <c r="AB46" s="882">
        <v>34.129303921058465</v>
      </c>
      <c r="AC46" s="882">
        <v>37.833180295729157</v>
      </c>
      <c r="AD46" s="882">
        <v>41.537056670399856</v>
      </c>
      <c r="AE46" s="882">
        <v>45.240933045070555</v>
      </c>
      <c r="AF46" s="882">
        <v>48.944809419741247</v>
      </c>
      <c r="AG46" s="882">
        <v>52.648685794411939</v>
      </c>
      <c r="AH46" s="882">
        <v>56.352562169082631</v>
      </c>
      <c r="AI46" s="882">
        <v>60.056438543753337</v>
      </c>
      <c r="AJ46" s="882">
        <v>63.760314918424029</v>
      </c>
      <c r="AK46" s="882">
        <v>67.464191293094729</v>
      </c>
      <c r="AL46" s="882">
        <v>71.168067667765413</v>
      </c>
      <c r="AM46" s="882">
        <v>74.871944042436098</v>
      </c>
      <c r="AN46" s="882">
        <v>78.575820417106783</v>
      </c>
      <c r="AO46" s="882">
        <v>82.279696791777482</v>
      </c>
      <c r="AP46" s="882">
        <v>85.983573166448167</v>
      </c>
      <c r="AQ46" s="882">
        <v>89.687449541118852</v>
      </c>
      <c r="AR46" s="882">
        <v>93.391325915789537</v>
      </c>
      <c r="AS46" s="882">
        <v>97.09520229046025</v>
      </c>
      <c r="AT46" s="882">
        <v>100.79907866513096</v>
      </c>
    </row>
    <row r="47" spans="1:46">
      <c r="A47" s="1426"/>
      <c r="B47" s="1427"/>
      <c r="C47" s="887">
        <v>1.6</v>
      </c>
      <c r="D47" s="915">
        <f>(AA47*KFC!$B$17+KFC!$C$17)*KFC!$C$5</f>
        <v>31.006381492129524</v>
      </c>
      <c r="E47" s="912">
        <f>(AB47*KFC!$B$17+KFC!$C$17)*KFC!$C$5</f>
        <v>34.851191038150752</v>
      </c>
      <c r="F47" s="912">
        <f>(AC47*KFC!$B$17+KFC!$C$17)*KFC!$C$5</f>
        <v>38.696000584171991</v>
      </c>
      <c r="G47" s="912">
        <f>(AD47*KFC!$B$17+KFC!$C$17)*KFC!$C$5</f>
        <v>42.540810130193222</v>
      </c>
      <c r="H47" s="912">
        <f>(AE47*KFC!$B$17+KFC!$C$17)*KFC!$C$5</f>
        <v>46.385619676214446</v>
      </c>
      <c r="I47" s="912">
        <f>(AF47*KFC!$B$17+KFC!$C$17)*KFC!$C$5</f>
        <v>50.230429222235678</v>
      </c>
      <c r="J47" s="912">
        <f>(AG47*KFC!$B$17+KFC!$C$17)*KFC!$C$5</f>
        <v>54.075238768256924</v>
      </c>
      <c r="K47" s="912">
        <f>(AH47*KFC!$B$17+KFC!$C$17)*KFC!$C$5</f>
        <v>57.920048314278148</v>
      </c>
      <c r="L47" s="912">
        <f>(AI47*KFC!$B$17+KFC!$C$17)*KFC!$C$5</f>
        <v>61.764857860299379</v>
      </c>
      <c r="M47" s="912">
        <f>(AJ47*KFC!$B$17+KFC!$C$17)*KFC!$C$5</f>
        <v>65.609667406320611</v>
      </c>
      <c r="N47" s="912">
        <f>(AK47*KFC!$B$17+KFC!$C$17)*KFC!$C$5</f>
        <v>69.454476952341849</v>
      </c>
      <c r="O47" s="912">
        <f>(AL47*KFC!$B$17+KFC!$C$17)*KFC!$C$5</f>
        <v>73.299286498363088</v>
      </c>
      <c r="P47" s="912">
        <f>(AM47*KFC!$B$17+KFC!$C$17)*KFC!$C$5</f>
        <v>77.144096044384341</v>
      </c>
      <c r="Q47" s="912">
        <f>(AN47*KFC!$B$17+KFC!$C$17)*KFC!$C$5</f>
        <v>80.988905590405565</v>
      </c>
      <c r="R47" s="912">
        <f>(AO47*KFC!$B$17+KFC!$C$17)*KFC!$C$5</f>
        <v>84.833715136426804</v>
      </c>
      <c r="S47" s="912">
        <f>(AP47*KFC!$B$17+KFC!$C$17)*KFC!$C$5</f>
        <v>88.678524682448057</v>
      </c>
      <c r="T47" s="912">
        <f>(AQ47*KFC!$B$17+KFC!$C$17)*KFC!$C$5</f>
        <v>92.523334228469281</v>
      </c>
      <c r="U47" s="912">
        <f>(AR47*KFC!$B$17+KFC!$C$17)*KFC!$C$5</f>
        <v>96.36814377449052</v>
      </c>
      <c r="V47" s="912">
        <f>(AS47*KFC!$B$17+KFC!$C$17)*KFC!$C$5</f>
        <v>100.21295332051177</v>
      </c>
      <c r="W47" s="916">
        <f>(AT47*KFC!$B$17+KFC!$C$17)*KFC!$C$5</f>
        <v>104.05776286653295</v>
      </c>
      <c r="Y47" s="1277"/>
      <c r="Z47" s="649">
        <v>1.6</v>
      </c>
      <c r="AA47" s="882">
        <v>31.006381492129524</v>
      </c>
      <c r="AB47" s="882">
        <v>34.851191038150752</v>
      </c>
      <c r="AC47" s="882">
        <v>38.696000584171991</v>
      </c>
      <c r="AD47" s="882">
        <v>42.540810130193222</v>
      </c>
      <c r="AE47" s="882">
        <v>46.385619676214446</v>
      </c>
      <c r="AF47" s="882">
        <v>50.230429222235678</v>
      </c>
      <c r="AG47" s="882">
        <v>54.075238768256924</v>
      </c>
      <c r="AH47" s="882">
        <v>57.920048314278148</v>
      </c>
      <c r="AI47" s="882">
        <v>61.764857860299379</v>
      </c>
      <c r="AJ47" s="882">
        <v>65.609667406320611</v>
      </c>
      <c r="AK47" s="882">
        <v>69.454476952341849</v>
      </c>
      <c r="AL47" s="882">
        <v>73.299286498363088</v>
      </c>
      <c r="AM47" s="882">
        <v>77.144096044384341</v>
      </c>
      <c r="AN47" s="882">
        <v>80.988905590405565</v>
      </c>
      <c r="AO47" s="882">
        <v>84.833715136426804</v>
      </c>
      <c r="AP47" s="882">
        <v>88.678524682448057</v>
      </c>
      <c r="AQ47" s="882">
        <v>92.523334228469281</v>
      </c>
      <c r="AR47" s="882">
        <v>96.36814377449052</v>
      </c>
      <c r="AS47" s="882">
        <v>100.21295332051177</v>
      </c>
      <c r="AT47" s="882">
        <v>104.05776286653295</v>
      </c>
    </row>
    <row r="48" spans="1:46">
      <c r="A48" s="1426"/>
      <c r="B48" s="1427"/>
      <c r="C48" s="887">
        <v>1.7</v>
      </c>
      <c r="D48" s="915">
        <f>(AA48*KFC!$B$17+KFC!$C$17)*KFC!$C$5</f>
        <v>31.587335437871275</v>
      </c>
      <c r="E48" s="912">
        <f>(AB48*KFC!$B$17+KFC!$C$17)*KFC!$C$5</f>
        <v>35.573078155243046</v>
      </c>
      <c r="F48" s="912">
        <f>(AC48*KFC!$B$17+KFC!$C$17)*KFC!$C$5</f>
        <v>39.558820872614817</v>
      </c>
      <c r="G48" s="912">
        <f>(AD48*KFC!$B$17+KFC!$C$17)*KFC!$C$5</f>
        <v>43.544563589986595</v>
      </c>
      <c r="H48" s="912">
        <f>(AE48*KFC!$B$17+KFC!$C$17)*KFC!$C$5</f>
        <v>47.530306307358366</v>
      </c>
      <c r="I48" s="912">
        <f>(AF48*KFC!$B$17+KFC!$C$17)*KFC!$C$5</f>
        <v>51.516049024730144</v>
      </c>
      <c r="J48" s="912">
        <f>(AG48*KFC!$B$17+KFC!$C$17)*KFC!$C$5</f>
        <v>55.501791742101922</v>
      </c>
      <c r="K48" s="912">
        <f>(AH48*KFC!$B$17+KFC!$C$17)*KFC!$C$5</f>
        <v>59.4875344594737</v>
      </c>
      <c r="L48" s="912">
        <f>(AI48*KFC!$B$17+KFC!$C$17)*KFC!$C$5</f>
        <v>63.473277176845471</v>
      </c>
      <c r="M48" s="912">
        <f>(AJ48*KFC!$B$17+KFC!$C$17)*KFC!$C$5</f>
        <v>67.459019894217249</v>
      </c>
      <c r="N48" s="912">
        <f>(AK48*KFC!$B$17+KFC!$C$17)*KFC!$C$5</f>
        <v>71.444762611589013</v>
      </c>
      <c r="O48" s="912">
        <f>(AL48*KFC!$B$17+KFC!$C$17)*KFC!$C$5</f>
        <v>75.430505328960791</v>
      </c>
      <c r="P48" s="912">
        <f>(AM48*KFC!$B$17+KFC!$C$17)*KFC!$C$5</f>
        <v>79.416248046332569</v>
      </c>
      <c r="Q48" s="912">
        <f>(AN48*KFC!$B$17+KFC!$C$17)*KFC!$C$5</f>
        <v>83.401990763704347</v>
      </c>
      <c r="R48" s="912">
        <f>(AO48*KFC!$B$17+KFC!$C$17)*KFC!$C$5</f>
        <v>87.387733481076125</v>
      </c>
      <c r="S48" s="912">
        <f>(AP48*KFC!$B$17+KFC!$C$17)*KFC!$C$5</f>
        <v>91.373476198447889</v>
      </c>
      <c r="T48" s="912">
        <f>(AQ48*KFC!$B$17+KFC!$C$17)*KFC!$C$5</f>
        <v>95.359218915819682</v>
      </c>
      <c r="U48" s="912">
        <f>(AR48*KFC!$B$17+KFC!$C$17)*KFC!$C$5</f>
        <v>99.344961633191446</v>
      </c>
      <c r="V48" s="912">
        <f>(AS48*KFC!$B$17+KFC!$C$17)*KFC!$C$5</f>
        <v>103.33070435056321</v>
      </c>
      <c r="W48" s="916">
        <f>(AT48*KFC!$B$17+KFC!$C$17)*KFC!$C$5</f>
        <v>107.31644706793496</v>
      </c>
      <c r="Y48" s="1277"/>
      <c r="Z48" s="649">
        <v>1.7</v>
      </c>
      <c r="AA48" s="882">
        <v>31.587335437871275</v>
      </c>
      <c r="AB48" s="882">
        <v>35.573078155243046</v>
      </c>
      <c r="AC48" s="882">
        <v>39.558820872614817</v>
      </c>
      <c r="AD48" s="882">
        <v>43.544563589986595</v>
      </c>
      <c r="AE48" s="882">
        <v>47.530306307358366</v>
      </c>
      <c r="AF48" s="882">
        <v>51.516049024730144</v>
      </c>
      <c r="AG48" s="882">
        <v>55.501791742101922</v>
      </c>
      <c r="AH48" s="882">
        <v>59.4875344594737</v>
      </c>
      <c r="AI48" s="882">
        <v>63.473277176845471</v>
      </c>
      <c r="AJ48" s="882">
        <v>67.459019894217249</v>
      </c>
      <c r="AK48" s="882">
        <v>71.444762611589013</v>
      </c>
      <c r="AL48" s="882">
        <v>75.430505328960791</v>
      </c>
      <c r="AM48" s="882">
        <v>79.416248046332569</v>
      </c>
      <c r="AN48" s="882">
        <v>83.401990763704347</v>
      </c>
      <c r="AO48" s="882">
        <v>87.387733481076125</v>
      </c>
      <c r="AP48" s="882">
        <v>91.373476198447889</v>
      </c>
      <c r="AQ48" s="882">
        <v>95.359218915819682</v>
      </c>
      <c r="AR48" s="882">
        <v>99.344961633191446</v>
      </c>
      <c r="AS48" s="882">
        <v>103.33070435056321</v>
      </c>
      <c r="AT48" s="882">
        <v>107.31644706793496</v>
      </c>
    </row>
    <row r="49" spans="1:46">
      <c r="A49" s="1426"/>
      <c r="B49" s="1427"/>
      <c r="C49" s="887">
        <v>1.8</v>
      </c>
      <c r="D49" s="915">
        <f>(AA49*KFC!$B$17+KFC!$C$17)*KFC!$C$5</f>
        <v>32.168289383613022</v>
      </c>
      <c r="E49" s="912">
        <f>(AB49*KFC!$B$17+KFC!$C$17)*KFC!$C$5</f>
        <v>36.29496527233534</v>
      </c>
      <c r="F49" s="912">
        <f>(AC49*KFC!$B$17+KFC!$C$17)*KFC!$C$5</f>
        <v>40.42164116105765</v>
      </c>
      <c r="G49" s="912">
        <f>(AD49*KFC!$B$17+KFC!$C$17)*KFC!$C$5</f>
        <v>44.548317049779961</v>
      </c>
      <c r="H49" s="912">
        <f>(AE49*KFC!$B$17+KFC!$C$17)*KFC!$C$5</f>
        <v>48.674992938502278</v>
      </c>
      <c r="I49" s="912">
        <f>(AF49*KFC!$B$17+KFC!$C$17)*KFC!$C$5</f>
        <v>52.801668827224589</v>
      </c>
      <c r="J49" s="912">
        <f>(AG49*KFC!$B$17+KFC!$C$17)*KFC!$C$5</f>
        <v>56.928344715946899</v>
      </c>
      <c r="K49" s="912">
        <f>(AH49*KFC!$B$17+KFC!$C$17)*KFC!$C$5</f>
        <v>61.05502060466921</v>
      </c>
      <c r="L49" s="912">
        <f>(AI49*KFC!$B$17+KFC!$C$17)*KFC!$C$5</f>
        <v>65.181696493391527</v>
      </c>
      <c r="M49" s="912">
        <f>(AJ49*KFC!$B$17+KFC!$C$17)*KFC!$C$5</f>
        <v>69.308372382113831</v>
      </c>
      <c r="N49" s="912">
        <f>(AK49*KFC!$B$17+KFC!$C$17)*KFC!$C$5</f>
        <v>73.435048270836134</v>
      </c>
      <c r="O49" s="912">
        <f>(AL49*KFC!$B$17+KFC!$C$17)*KFC!$C$5</f>
        <v>77.561724159558452</v>
      </c>
      <c r="P49" s="912">
        <f>(AM49*KFC!$B$17+KFC!$C$17)*KFC!$C$5</f>
        <v>81.688400048280755</v>
      </c>
      <c r="Q49" s="912">
        <f>(AN49*KFC!$B$17+KFC!$C$17)*KFC!$C$5</f>
        <v>85.815075937003073</v>
      </c>
      <c r="R49" s="912">
        <f>(AO49*KFC!$B$17+KFC!$C$17)*KFC!$C$5</f>
        <v>89.941751825725376</v>
      </c>
      <c r="S49" s="912">
        <f>(AP49*KFC!$B$17+KFC!$C$17)*KFC!$C$5</f>
        <v>94.068427714447708</v>
      </c>
      <c r="T49" s="912">
        <f>(AQ49*KFC!$B$17+KFC!$C$17)*KFC!$C$5</f>
        <v>98.195103603170026</v>
      </c>
      <c r="U49" s="912">
        <f>(AR49*KFC!$B$17+KFC!$C$17)*KFC!$C$5</f>
        <v>102.32177949189233</v>
      </c>
      <c r="V49" s="912">
        <f>(AS49*KFC!$B$17+KFC!$C$17)*KFC!$C$5</f>
        <v>106.44845538061463</v>
      </c>
      <c r="W49" s="916">
        <f>(AT49*KFC!$B$17+KFC!$C$17)*KFC!$C$5</f>
        <v>110.57513126933695</v>
      </c>
      <c r="Y49" s="1277"/>
      <c r="Z49" s="649">
        <v>1.8</v>
      </c>
      <c r="AA49" s="882">
        <v>32.168289383613022</v>
      </c>
      <c r="AB49" s="882">
        <v>36.29496527233534</v>
      </c>
      <c r="AC49" s="882">
        <v>40.42164116105765</v>
      </c>
      <c r="AD49" s="882">
        <v>44.548317049779961</v>
      </c>
      <c r="AE49" s="882">
        <v>48.674992938502278</v>
      </c>
      <c r="AF49" s="882">
        <v>52.801668827224589</v>
      </c>
      <c r="AG49" s="882">
        <v>56.928344715946899</v>
      </c>
      <c r="AH49" s="882">
        <v>61.05502060466921</v>
      </c>
      <c r="AI49" s="882">
        <v>65.181696493391527</v>
      </c>
      <c r="AJ49" s="882">
        <v>69.308372382113831</v>
      </c>
      <c r="AK49" s="882">
        <v>73.435048270836134</v>
      </c>
      <c r="AL49" s="882">
        <v>77.561724159558452</v>
      </c>
      <c r="AM49" s="882">
        <v>81.688400048280755</v>
      </c>
      <c r="AN49" s="882">
        <v>85.815075937003073</v>
      </c>
      <c r="AO49" s="882">
        <v>89.941751825725376</v>
      </c>
      <c r="AP49" s="882">
        <v>94.068427714447708</v>
      </c>
      <c r="AQ49" s="882">
        <v>98.195103603170026</v>
      </c>
      <c r="AR49" s="882">
        <v>102.32177949189233</v>
      </c>
      <c r="AS49" s="882">
        <v>106.44845538061463</v>
      </c>
      <c r="AT49" s="882">
        <v>110.57513126933695</v>
      </c>
    </row>
    <row r="50" spans="1:46">
      <c r="A50" s="1426"/>
      <c r="B50" s="1427"/>
      <c r="C50" s="887">
        <v>1.9</v>
      </c>
      <c r="D50" s="915">
        <f>(AA50*KFC!$B$17+KFC!$C$17)*KFC!$C$5</f>
        <v>32.749243329354776</v>
      </c>
      <c r="E50" s="912">
        <f>(AB50*KFC!$B$17+KFC!$C$17)*KFC!$C$5</f>
        <v>37.016852389427626</v>
      </c>
      <c r="F50" s="912">
        <f>(AC50*KFC!$B$17+KFC!$C$17)*KFC!$C$5</f>
        <v>41.284461449500476</v>
      </c>
      <c r="G50" s="912">
        <f>(AD50*KFC!$B$17+KFC!$C$17)*KFC!$C$5</f>
        <v>45.552070509573326</v>
      </c>
      <c r="H50" s="912">
        <f>(AE50*KFC!$B$17+KFC!$C$17)*KFC!$C$5</f>
        <v>49.819679569646176</v>
      </c>
      <c r="I50" s="912">
        <f>(AF50*KFC!$B$17+KFC!$C$17)*KFC!$C$5</f>
        <v>54.087288629719019</v>
      </c>
      <c r="J50" s="912">
        <f>(AG50*KFC!$B$17+KFC!$C$17)*KFC!$C$5</f>
        <v>58.354897689791869</v>
      </c>
      <c r="K50" s="912">
        <f>(AH50*KFC!$B$17+KFC!$C$17)*KFC!$C$5</f>
        <v>62.622506749864726</v>
      </c>
      <c r="L50" s="912">
        <f>(AI50*KFC!$B$17+KFC!$C$17)*KFC!$C$5</f>
        <v>66.890115809937569</v>
      </c>
      <c r="M50" s="912">
        <f>(AJ50*KFC!$B$17+KFC!$C$17)*KFC!$C$5</f>
        <v>71.157724870010412</v>
      </c>
      <c r="N50" s="912">
        <f>(AK50*KFC!$B$17+KFC!$C$17)*KFC!$C$5</f>
        <v>75.425333930083269</v>
      </c>
      <c r="O50" s="912">
        <f>(AL50*KFC!$B$17+KFC!$C$17)*KFC!$C$5</f>
        <v>79.692942990156126</v>
      </c>
      <c r="P50" s="912">
        <f>(AM50*KFC!$B$17+KFC!$C$17)*KFC!$C$5</f>
        <v>83.960552050228969</v>
      </c>
      <c r="Q50" s="912">
        <f>(AN50*KFC!$B$17+KFC!$C$17)*KFC!$C$5</f>
        <v>88.228161110301812</v>
      </c>
      <c r="R50" s="912">
        <f>(AO50*KFC!$B$17+KFC!$C$17)*KFC!$C$5</f>
        <v>92.495770170374655</v>
      </c>
      <c r="S50" s="912">
        <f>(AP50*KFC!$B$17+KFC!$C$17)*KFC!$C$5</f>
        <v>96.763379230447512</v>
      </c>
      <c r="T50" s="912">
        <f>(AQ50*KFC!$B$17+KFC!$C$17)*KFC!$C$5</f>
        <v>101.03098829052036</v>
      </c>
      <c r="U50" s="912">
        <f>(AR50*KFC!$B$17+KFC!$C$17)*KFC!$C$5</f>
        <v>105.29859735059321</v>
      </c>
      <c r="V50" s="912">
        <f>(AS50*KFC!$B$17+KFC!$C$17)*KFC!$C$5</f>
        <v>109.56620641066607</v>
      </c>
      <c r="W50" s="916">
        <f>(AT50*KFC!$B$17+KFC!$C$17)*KFC!$C$5</f>
        <v>113.83381547073895</v>
      </c>
      <c r="Y50" s="1277"/>
      <c r="Z50" s="649">
        <v>1.9</v>
      </c>
      <c r="AA50" s="882">
        <v>32.749243329354776</v>
      </c>
      <c r="AB50" s="882">
        <v>37.016852389427626</v>
      </c>
      <c r="AC50" s="882">
        <v>41.284461449500476</v>
      </c>
      <c r="AD50" s="882">
        <v>45.552070509573326</v>
      </c>
      <c r="AE50" s="882">
        <v>49.819679569646176</v>
      </c>
      <c r="AF50" s="882">
        <v>54.087288629719019</v>
      </c>
      <c r="AG50" s="882">
        <v>58.354897689791869</v>
      </c>
      <c r="AH50" s="882">
        <v>62.622506749864726</v>
      </c>
      <c r="AI50" s="882">
        <v>66.890115809937569</v>
      </c>
      <c r="AJ50" s="882">
        <v>71.157724870010412</v>
      </c>
      <c r="AK50" s="882">
        <v>75.425333930083269</v>
      </c>
      <c r="AL50" s="882">
        <v>79.692942990156126</v>
      </c>
      <c r="AM50" s="882">
        <v>83.960552050228969</v>
      </c>
      <c r="AN50" s="882">
        <v>88.228161110301812</v>
      </c>
      <c r="AO50" s="882">
        <v>92.495770170374655</v>
      </c>
      <c r="AP50" s="882">
        <v>96.763379230447512</v>
      </c>
      <c r="AQ50" s="882">
        <v>101.03098829052036</v>
      </c>
      <c r="AR50" s="882">
        <v>105.29859735059321</v>
      </c>
      <c r="AS50" s="882">
        <v>109.56620641066607</v>
      </c>
      <c r="AT50" s="882">
        <v>113.83381547073895</v>
      </c>
    </row>
    <row r="51" spans="1:46">
      <c r="A51" s="1426"/>
      <c r="B51" s="1427"/>
      <c r="C51" s="887">
        <v>2</v>
      </c>
      <c r="D51" s="915">
        <f>(AA51*KFC!$B$17+KFC!$C$17)*KFC!$C$5</f>
        <v>33.330197275096531</v>
      </c>
      <c r="E51" s="912">
        <f>(AB51*KFC!$B$17+KFC!$C$17)*KFC!$C$5</f>
        <v>37.73873950651992</v>
      </c>
      <c r="F51" s="912">
        <f>(AC51*KFC!$B$17+KFC!$C$17)*KFC!$C$5</f>
        <v>42.147281737943317</v>
      </c>
      <c r="G51" s="912">
        <f>(AD51*KFC!$B$17+KFC!$C$17)*KFC!$C$5</f>
        <v>46.555823969366706</v>
      </c>
      <c r="H51" s="912">
        <f>(AE51*KFC!$B$17+KFC!$C$17)*KFC!$C$5</f>
        <v>50.964366200790096</v>
      </c>
      <c r="I51" s="912">
        <f>(AF51*KFC!$B$17+KFC!$C$17)*KFC!$C$5</f>
        <v>55.372908432213492</v>
      </c>
      <c r="J51" s="912">
        <f>(AG51*KFC!$B$17+KFC!$C$17)*KFC!$C$5</f>
        <v>59.781450663636882</v>
      </c>
      <c r="K51" s="912">
        <f>(AH51*KFC!$B$17+KFC!$C$17)*KFC!$C$5</f>
        <v>64.189992895060271</v>
      </c>
      <c r="L51" s="912">
        <f>(AI51*KFC!$B$17+KFC!$C$17)*KFC!$C$5</f>
        <v>68.598535126483654</v>
      </c>
      <c r="M51" s="912">
        <f>(AJ51*KFC!$B$17+KFC!$C$17)*KFC!$C$5</f>
        <v>73.007077357907036</v>
      </c>
      <c r="N51" s="912">
        <f>(AK51*KFC!$B$17+KFC!$C$17)*KFC!$C$5</f>
        <v>77.415619589330433</v>
      </c>
      <c r="O51" s="912">
        <f>(AL51*KFC!$B$17+KFC!$C$17)*KFC!$C$5</f>
        <v>81.824161820753815</v>
      </c>
      <c r="P51" s="912">
        <f>(AM51*KFC!$B$17+KFC!$C$17)*KFC!$C$5</f>
        <v>86.232704052177212</v>
      </c>
      <c r="Q51" s="912">
        <f>(AN51*KFC!$B$17+KFC!$C$17)*KFC!$C$5</f>
        <v>90.64124628360058</v>
      </c>
      <c r="R51" s="912">
        <f>(AO51*KFC!$B$17+KFC!$C$17)*KFC!$C$5</f>
        <v>95.049788515023977</v>
      </c>
      <c r="S51" s="912">
        <f>(AP51*KFC!$B$17+KFC!$C$17)*KFC!$C$5</f>
        <v>99.458330746447373</v>
      </c>
      <c r="T51" s="912">
        <f>(AQ51*KFC!$B$17+KFC!$C$17)*KFC!$C$5</f>
        <v>103.86687297787074</v>
      </c>
      <c r="U51" s="912">
        <f>(AR51*KFC!$B$17+KFC!$C$17)*KFC!$C$5</f>
        <v>108.27541520929414</v>
      </c>
      <c r="V51" s="912">
        <f>(AS51*KFC!$B$17+KFC!$C$17)*KFC!$C$5</f>
        <v>112.68395744071751</v>
      </c>
      <c r="W51" s="916">
        <f>(AT51*KFC!$B$17+KFC!$C$17)*KFC!$C$5</f>
        <v>117.09249967214095</v>
      </c>
      <c r="Y51" s="1277"/>
      <c r="Z51" s="649">
        <v>2</v>
      </c>
      <c r="AA51" s="882">
        <v>33.330197275096531</v>
      </c>
      <c r="AB51" s="882">
        <v>37.73873950651992</v>
      </c>
      <c r="AC51" s="882">
        <v>42.147281737943317</v>
      </c>
      <c r="AD51" s="882">
        <v>46.555823969366706</v>
      </c>
      <c r="AE51" s="882">
        <v>50.964366200790096</v>
      </c>
      <c r="AF51" s="882">
        <v>55.372908432213492</v>
      </c>
      <c r="AG51" s="882">
        <v>59.781450663636882</v>
      </c>
      <c r="AH51" s="882">
        <v>64.189992895060271</v>
      </c>
      <c r="AI51" s="882">
        <v>68.598535126483654</v>
      </c>
      <c r="AJ51" s="882">
        <v>73.007077357907036</v>
      </c>
      <c r="AK51" s="882">
        <v>77.415619589330433</v>
      </c>
      <c r="AL51" s="882">
        <v>81.824161820753815</v>
      </c>
      <c r="AM51" s="882">
        <v>86.232704052177212</v>
      </c>
      <c r="AN51" s="882">
        <v>90.64124628360058</v>
      </c>
      <c r="AO51" s="882">
        <v>95.049788515023977</v>
      </c>
      <c r="AP51" s="882">
        <v>99.458330746447373</v>
      </c>
      <c r="AQ51" s="882">
        <v>103.86687297787074</v>
      </c>
      <c r="AR51" s="882">
        <v>108.27541520929414</v>
      </c>
      <c r="AS51" s="882">
        <v>112.68395744071751</v>
      </c>
      <c r="AT51" s="882">
        <v>117.09249967214095</v>
      </c>
    </row>
    <row r="52" spans="1:46">
      <c r="A52" s="1426"/>
      <c r="B52" s="1427"/>
      <c r="C52" s="887">
        <v>2.1</v>
      </c>
      <c r="D52" s="915">
        <f>(AA52*KFC!$B$17+KFC!$C$17)*KFC!$C$5</f>
        <v>33.911151220838278</v>
      </c>
      <c r="E52" s="912">
        <f>(AB52*KFC!$B$17+KFC!$C$17)*KFC!$C$5</f>
        <v>38.460626623612214</v>
      </c>
      <c r="F52" s="912">
        <f>(AC52*KFC!$B$17+KFC!$C$17)*KFC!$C$5</f>
        <v>43.010102026386136</v>
      </c>
      <c r="G52" s="912">
        <f>(AD52*KFC!$B$17+KFC!$C$17)*KFC!$C$5</f>
        <v>47.559577429160072</v>
      </c>
      <c r="H52" s="912">
        <f>(AE52*KFC!$B$17+KFC!$C$17)*KFC!$C$5</f>
        <v>52.109052831934001</v>
      </c>
      <c r="I52" s="912">
        <f>(AF52*KFC!$B$17+KFC!$C$17)*KFC!$C$5</f>
        <v>56.658528234707923</v>
      </c>
      <c r="J52" s="912">
        <f>(AG52*KFC!$B$17+KFC!$C$17)*KFC!$C$5</f>
        <v>61.208003637481852</v>
      </c>
      <c r="K52" s="912">
        <f>(AH52*KFC!$B$17+KFC!$C$17)*KFC!$C$5</f>
        <v>65.757479040255788</v>
      </c>
      <c r="L52" s="912">
        <f>(AI52*KFC!$B$17+KFC!$C$17)*KFC!$C$5</f>
        <v>70.30695444302971</v>
      </c>
      <c r="M52" s="912">
        <f>(AJ52*KFC!$B$17+KFC!$C$17)*KFC!$C$5</f>
        <v>74.856429845803632</v>
      </c>
      <c r="N52" s="912">
        <f>(AK52*KFC!$B$17+KFC!$C$17)*KFC!$C$5</f>
        <v>79.405905248577554</v>
      </c>
      <c r="O52" s="912">
        <f>(AL52*KFC!$B$17+KFC!$C$17)*KFC!$C$5</f>
        <v>83.955380651351476</v>
      </c>
      <c r="P52" s="912">
        <f>(AM52*KFC!$B$17+KFC!$C$17)*KFC!$C$5</f>
        <v>88.504856054125398</v>
      </c>
      <c r="Q52" s="912">
        <f>(AN52*KFC!$B$17+KFC!$C$17)*KFC!$C$5</f>
        <v>93.05433145689932</v>
      </c>
      <c r="R52" s="912">
        <f>(AO52*KFC!$B$17+KFC!$C$17)*KFC!$C$5</f>
        <v>97.603806859673256</v>
      </c>
      <c r="S52" s="912">
        <f>(AP52*KFC!$B$17+KFC!$C$17)*KFC!$C$5</f>
        <v>102.15328226244716</v>
      </c>
      <c r="T52" s="912">
        <f>(AQ52*KFC!$B$17+KFC!$C$17)*KFC!$C$5</f>
        <v>106.70275766522109</v>
      </c>
      <c r="U52" s="912">
        <f>(AR52*KFC!$B$17+KFC!$C$17)*KFC!$C$5</f>
        <v>111.25223306799502</v>
      </c>
      <c r="V52" s="912">
        <f>(AS52*KFC!$B$17+KFC!$C$17)*KFC!$C$5</f>
        <v>115.80170847076894</v>
      </c>
      <c r="W52" s="916">
        <f>(AT52*KFC!$B$17+KFC!$C$17)*KFC!$C$5</f>
        <v>120.35118387354295</v>
      </c>
      <c r="Y52" s="1277"/>
      <c r="Z52" s="649">
        <v>2.1</v>
      </c>
      <c r="AA52" s="882">
        <v>33.911151220838278</v>
      </c>
      <c r="AB52" s="882">
        <v>38.460626623612214</v>
      </c>
      <c r="AC52" s="882">
        <v>43.010102026386136</v>
      </c>
      <c r="AD52" s="882">
        <v>47.559577429160072</v>
      </c>
      <c r="AE52" s="882">
        <v>52.109052831934001</v>
      </c>
      <c r="AF52" s="882">
        <v>56.658528234707923</v>
      </c>
      <c r="AG52" s="882">
        <v>61.208003637481852</v>
      </c>
      <c r="AH52" s="882">
        <v>65.757479040255788</v>
      </c>
      <c r="AI52" s="882">
        <v>70.30695444302971</v>
      </c>
      <c r="AJ52" s="882">
        <v>74.856429845803632</v>
      </c>
      <c r="AK52" s="882">
        <v>79.405905248577554</v>
      </c>
      <c r="AL52" s="882">
        <v>83.955380651351476</v>
      </c>
      <c r="AM52" s="882">
        <v>88.504856054125398</v>
      </c>
      <c r="AN52" s="882">
        <v>93.05433145689932</v>
      </c>
      <c r="AO52" s="882">
        <v>97.603806859673256</v>
      </c>
      <c r="AP52" s="882">
        <v>102.15328226244716</v>
      </c>
      <c r="AQ52" s="882">
        <v>106.70275766522109</v>
      </c>
      <c r="AR52" s="882">
        <v>111.25223306799502</v>
      </c>
      <c r="AS52" s="882">
        <v>115.80170847076894</v>
      </c>
      <c r="AT52" s="882">
        <v>120.35118387354295</v>
      </c>
    </row>
    <row r="53" spans="1:46" ht="15" thickBot="1">
      <c r="A53" s="1428"/>
      <c r="B53" s="1429"/>
      <c r="C53" s="888">
        <v>2.2000000000000002</v>
      </c>
      <c r="D53" s="917">
        <f>(AA53*KFC!$B$17+KFC!$C$17)*KFC!$C$5</f>
        <v>34.492105166579996</v>
      </c>
      <c r="E53" s="918">
        <f>(AB53*KFC!$B$17+KFC!$C$17)*KFC!$C$5</f>
        <v>39.182513740704472</v>
      </c>
      <c r="F53" s="918">
        <f>(AC53*KFC!$B$17+KFC!$C$17)*KFC!$C$5</f>
        <v>43.872922314828941</v>
      </c>
      <c r="G53" s="918">
        <f>(AD53*KFC!$B$17+KFC!$C$17)*KFC!$C$5</f>
        <v>48.563330888953416</v>
      </c>
      <c r="H53" s="918">
        <f>(AE53*KFC!$B$17+KFC!$C$17)*KFC!$C$5</f>
        <v>53.253739463077885</v>
      </c>
      <c r="I53" s="918">
        <f>(AF53*KFC!$B$17+KFC!$C$17)*KFC!$C$5</f>
        <v>57.944148037202361</v>
      </c>
      <c r="J53" s="918">
        <f>(AG53*KFC!$B$17+KFC!$C$17)*KFC!$C$5</f>
        <v>62.634556611326829</v>
      </c>
      <c r="K53" s="918">
        <f>(AH53*KFC!$B$17+KFC!$C$17)*KFC!$C$5</f>
        <v>67.324965185451305</v>
      </c>
      <c r="L53" s="918">
        <f>(AI53*KFC!$B$17+KFC!$C$17)*KFC!$C$5</f>
        <v>72.01537375957578</v>
      </c>
      <c r="M53" s="918">
        <f>(AJ53*KFC!$B$17+KFC!$C$17)*KFC!$C$5</f>
        <v>76.705782333700256</v>
      </c>
      <c r="N53" s="918">
        <f>(AK53*KFC!$B$17+KFC!$C$17)*KFC!$C$5</f>
        <v>81.396190907824732</v>
      </c>
      <c r="O53" s="918">
        <f>(AL53*KFC!$B$17+KFC!$C$17)*KFC!$C$5</f>
        <v>86.086599481949207</v>
      </c>
      <c r="P53" s="918">
        <f>(AM53*KFC!$B$17+KFC!$C$17)*KFC!$C$5</f>
        <v>90.777008056073669</v>
      </c>
      <c r="Q53" s="918">
        <f>(AN53*KFC!$B$17+KFC!$C$17)*KFC!$C$5</f>
        <v>95.467416630198144</v>
      </c>
      <c r="R53" s="918">
        <f>(AO53*KFC!$B$17+KFC!$C$17)*KFC!$C$5</f>
        <v>100.15782520432261</v>
      </c>
      <c r="S53" s="918">
        <f>(AP53*KFC!$B$17+KFC!$C$17)*KFC!$C$5</f>
        <v>104.84823377844708</v>
      </c>
      <c r="T53" s="918">
        <f>(AQ53*KFC!$B$17+KFC!$C$17)*KFC!$C$5</f>
        <v>109.53864235257156</v>
      </c>
      <c r="U53" s="918">
        <f>(AR53*KFC!$B$17+KFC!$C$17)*KFC!$C$5</f>
        <v>114.22905092669603</v>
      </c>
      <c r="V53" s="918">
        <f>(AS53*KFC!$B$17+KFC!$C$17)*KFC!$C$5</f>
        <v>118.91945950082051</v>
      </c>
      <c r="W53" s="919">
        <f>(AT53*KFC!$B$17+KFC!$C$17)*KFC!$C$5</f>
        <v>123.609868074945</v>
      </c>
      <c r="Y53" s="1277"/>
      <c r="Z53" s="649">
        <v>2.2000000000000002</v>
      </c>
      <c r="AA53" s="882">
        <v>34.492105166579996</v>
      </c>
      <c r="AB53" s="882">
        <v>39.182513740704472</v>
      </c>
      <c r="AC53" s="882">
        <v>43.872922314828941</v>
      </c>
      <c r="AD53" s="882">
        <v>48.563330888953416</v>
      </c>
      <c r="AE53" s="882">
        <v>53.253739463077885</v>
      </c>
      <c r="AF53" s="882">
        <v>57.944148037202361</v>
      </c>
      <c r="AG53" s="882">
        <v>62.634556611326829</v>
      </c>
      <c r="AH53" s="882">
        <v>67.324965185451305</v>
      </c>
      <c r="AI53" s="882">
        <v>72.01537375957578</v>
      </c>
      <c r="AJ53" s="882">
        <v>76.705782333700256</v>
      </c>
      <c r="AK53" s="882">
        <v>81.396190907824732</v>
      </c>
      <c r="AL53" s="882">
        <v>86.086599481949207</v>
      </c>
      <c r="AM53" s="882">
        <v>90.777008056073669</v>
      </c>
      <c r="AN53" s="882">
        <v>95.467416630198144</v>
      </c>
      <c r="AO53" s="882">
        <v>100.15782520432261</v>
      </c>
      <c r="AP53" s="882">
        <v>104.84823377844708</v>
      </c>
      <c r="AQ53" s="882">
        <v>109.53864235257156</v>
      </c>
      <c r="AR53" s="882">
        <v>114.22905092669603</v>
      </c>
      <c r="AS53" s="882">
        <v>118.91945950082051</v>
      </c>
      <c r="AT53" s="882">
        <v>123.609868074945</v>
      </c>
    </row>
    <row r="54" spans="1:46" ht="16.2" thickBot="1">
      <c r="A54" s="380"/>
      <c r="B54" s="380"/>
      <c r="C54" s="380"/>
      <c r="D54" s="380"/>
      <c r="E54" s="380"/>
      <c r="F54" s="380"/>
      <c r="G54" s="380"/>
      <c r="H54" s="380"/>
      <c r="I54" s="380"/>
      <c r="J54" s="380"/>
      <c r="K54" s="380"/>
      <c r="L54" s="380"/>
      <c r="M54" s="380"/>
      <c r="N54" s="380"/>
      <c r="O54" s="380"/>
      <c r="P54" s="380"/>
      <c r="Q54" s="380"/>
      <c r="R54" s="380"/>
      <c r="S54" s="380"/>
      <c r="T54" s="380"/>
      <c r="U54" s="380"/>
      <c r="V54" s="380"/>
      <c r="W54" s="380"/>
    </row>
    <row r="55" spans="1:46" ht="16.5" customHeight="1" thickBot="1">
      <c r="A55" s="1445" t="s">
        <v>448</v>
      </c>
      <c r="B55" s="1446"/>
      <c r="C55" s="1446"/>
      <c r="D55" s="1446"/>
      <c r="E55" s="1446"/>
      <c r="F55" s="1446"/>
      <c r="G55" s="1446"/>
      <c r="H55" s="1446"/>
      <c r="I55" s="1446"/>
      <c r="J55" s="1446"/>
      <c r="K55" s="1446"/>
      <c r="L55" s="1446"/>
      <c r="M55" s="1446"/>
      <c r="N55" s="1446"/>
      <c r="O55" s="1446"/>
      <c r="P55" s="1446"/>
      <c r="Q55" s="1446"/>
      <c r="R55" s="1446"/>
      <c r="S55" s="1446"/>
      <c r="T55" s="1446"/>
      <c r="U55" s="1446"/>
      <c r="V55" s="1446"/>
      <c r="W55" s="1447"/>
    </row>
    <row r="56" spans="1:46" ht="15.6">
      <c r="A56" s="1448"/>
      <c r="B56" s="1449"/>
      <c r="C56" s="1449"/>
      <c r="D56" s="1449"/>
      <c r="E56" s="1449"/>
      <c r="F56" s="1449"/>
      <c r="G56" s="1449"/>
      <c r="H56" s="1449"/>
      <c r="I56" s="1449"/>
      <c r="J56" s="1449"/>
      <c r="K56" s="1450"/>
      <c r="L56" s="1454" t="s">
        <v>449</v>
      </c>
      <c r="M56" s="1455"/>
      <c r="N56" s="1455"/>
      <c r="O56" s="1456"/>
      <c r="P56" s="1457" t="s">
        <v>450</v>
      </c>
      <c r="Q56" s="1458"/>
      <c r="R56" s="1458"/>
      <c r="S56" s="1459"/>
      <c r="T56" s="1454" t="s">
        <v>451</v>
      </c>
      <c r="U56" s="1455"/>
      <c r="V56" s="1455"/>
      <c r="W56" s="1456"/>
    </row>
    <row r="57" spans="1:46" ht="15.6">
      <c r="A57" s="1451"/>
      <c r="B57" s="1452"/>
      <c r="C57" s="1452"/>
      <c r="D57" s="1452"/>
      <c r="E57" s="1452"/>
      <c r="F57" s="1452"/>
      <c r="G57" s="1452"/>
      <c r="H57" s="1452"/>
      <c r="I57" s="1452"/>
      <c r="J57" s="1452"/>
      <c r="K57" s="1453"/>
      <c r="L57" s="1460" t="s">
        <v>452</v>
      </c>
      <c r="M57" s="1461"/>
      <c r="N57" s="1461" t="s">
        <v>453</v>
      </c>
      <c r="O57" s="1462"/>
      <c r="P57" s="1463" t="s">
        <v>452</v>
      </c>
      <c r="Q57" s="1464"/>
      <c r="R57" s="1464" t="s">
        <v>453</v>
      </c>
      <c r="S57" s="1465"/>
      <c r="T57" s="1460" t="s">
        <v>452</v>
      </c>
      <c r="U57" s="1461"/>
      <c r="V57" s="1461" t="s">
        <v>453</v>
      </c>
      <c r="W57" s="1462"/>
    </row>
    <row r="58" spans="1:46" ht="15.6">
      <c r="A58" s="1466" t="s">
        <v>454</v>
      </c>
      <c r="B58" s="1467"/>
      <c r="C58" s="1467"/>
      <c r="D58" s="1467"/>
      <c r="E58" s="1467"/>
      <c r="F58" s="1467"/>
      <c r="G58" s="1467"/>
      <c r="H58" s="1467"/>
      <c r="I58" s="1467"/>
      <c r="J58" s="1467"/>
      <c r="K58" s="1468"/>
      <c r="L58" s="1460">
        <v>23</v>
      </c>
      <c r="M58" s="1461"/>
      <c r="N58" s="1461">
        <v>23</v>
      </c>
      <c r="O58" s="1462"/>
      <c r="P58" s="1463">
        <v>23</v>
      </c>
      <c r="Q58" s="1464"/>
      <c r="R58" s="1464">
        <v>23</v>
      </c>
      <c r="S58" s="1465"/>
      <c r="T58" s="1460">
        <v>23</v>
      </c>
      <c r="U58" s="1461"/>
      <c r="V58" s="1461">
        <v>23</v>
      </c>
      <c r="W58" s="1462"/>
    </row>
    <row r="59" spans="1:46" ht="15.6">
      <c r="A59" s="1466" t="s">
        <v>455</v>
      </c>
      <c r="B59" s="1467"/>
      <c r="C59" s="1467"/>
      <c r="D59" s="1467"/>
      <c r="E59" s="1467"/>
      <c r="F59" s="1467"/>
      <c r="G59" s="1467"/>
      <c r="H59" s="1467"/>
      <c r="I59" s="1467"/>
      <c r="J59" s="1467"/>
      <c r="K59" s="1468"/>
      <c r="L59" s="1460">
        <v>240</v>
      </c>
      <c r="M59" s="1461"/>
      <c r="N59" s="1461">
        <v>170</v>
      </c>
      <c r="O59" s="1462"/>
      <c r="P59" s="1463">
        <v>200</v>
      </c>
      <c r="Q59" s="1464"/>
      <c r="R59" s="1464">
        <v>170</v>
      </c>
      <c r="S59" s="1465"/>
      <c r="T59" s="1460">
        <v>200</v>
      </c>
      <c r="U59" s="1461"/>
      <c r="V59" s="1461">
        <v>170</v>
      </c>
      <c r="W59" s="1462"/>
    </row>
    <row r="60" spans="1:46" ht="18" thickBot="1">
      <c r="A60" s="1475" t="s">
        <v>456</v>
      </c>
      <c r="B60" s="1476"/>
      <c r="C60" s="1476"/>
      <c r="D60" s="1476"/>
      <c r="E60" s="1476"/>
      <c r="F60" s="1476"/>
      <c r="G60" s="1476"/>
      <c r="H60" s="1476"/>
      <c r="I60" s="1476"/>
      <c r="J60" s="1476"/>
      <c r="K60" s="1477"/>
      <c r="L60" s="1478">
        <v>2.5</v>
      </c>
      <c r="M60" s="1479"/>
      <c r="N60" s="1479">
        <v>2.5</v>
      </c>
      <c r="O60" s="1480"/>
      <c r="P60" s="1481">
        <v>2.5</v>
      </c>
      <c r="Q60" s="1482"/>
      <c r="R60" s="1483">
        <v>2</v>
      </c>
      <c r="S60" s="1484"/>
      <c r="T60" s="1478">
        <v>2.5</v>
      </c>
      <c r="U60" s="1479"/>
      <c r="V60" s="1485">
        <v>2</v>
      </c>
      <c r="W60" s="1486"/>
    </row>
    <row r="61" spans="1:46" ht="16.2" thickBot="1">
      <c r="A61" s="6" t="s">
        <v>44</v>
      </c>
      <c r="B61" s="1"/>
      <c r="C61" s="379"/>
      <c r="D61" s="382"/>
      <c r="E61" s="382"/>
      <c r="F61" s="382"/>
      <c r="G61" s="382"/>
      <c r="H61" s="382"/>
      <c r="I61" s="382"/>
      <c r="J61" s="380"/>
      <c r="K61" s="380"/>
      <c r="L61" s="380"/>
      <c r="M61" s="380"/>
      <c r="N61" s="380"/>
      <c r="O61" s="380"/>
      <c r="P61" s="380"/>
      <c r="Q61" s="380"/>
      <c r="R61" s="380"/>
      <c r="S61" s="380"/>
      <c r="T61" s="380"/>
      <c r="U61" s="380"/>
      <c r="V61" s="380"/>
      <c r="W61" s="380"/>
    </row>
    <row r="62" spans="1:46" ht="16.2" thickBot="1">
      <c r="A62" s="1469" t="s">
        <v>386</v>
      </c>
      <c r="B62" s="1470"/>
      <c r="C62" s="1470"/>
      <c r="D62" s="889"/>
      <c r="E62" s="889"/>
      <c r="F62" s="891"/>
      <c r="G62" s="890"/>
      <c r="H62" s="1471">
        <f>(2.65*KFC!$B$17+KFC!$C$17)*KFC!$C$5</f>
        <v>2.65</v>
      </c>
      <c r="I62" s="1473" t="s">
        <v>409</v>
      </c>
      <c r="J62" s="380"/>
      <c r="K62" s="380"/>
      <c r="L62" s="380"/>
      <c r="M62" s="380"/>
      <c r="N62" s="380"/>
      <c r="O62" s="380"/>
      <c r="P62" s="380"/>
      <c r="Q62" s="380"/>
      <c r="R62" s="380"/>
      <c r="S62" s="380"/>
      <c r="T62" s="380"/>
      <c r="U62" s="380"/>
      <c r="V62" s="380"/>
      <c r="W62" s="380"/>
    </row>
    <row r="63" spans="1:46" ht="20.25" customHeight="1" thickBot="1">
      <c r="A63" s="892" t="s">
        <v>1059</v>
      </c>
      <c r="B63" s="6"/>
      <c r="C63" s="6"/>
      <c r="F63" s="893"/>
      <c r="G63" s="894"/>
      <c r="H63" s="1472"/>
      <c r="I63" s="1474"/>
      <c r="J63" s="382"/>
      <c r="K63" s="382"/>
      <c r="L63" s="382"/>
      <c r="M63" s="382"/>
      <c r="N63" s="380"/>
      <c r="O63" s="380"/>
      <c r="P63" s="380"/>
      <c r="Q63" s="380"/>
      <c r="R63" s="380"/>
      <c r="S63" s="380"/>
      <c r="T63" s="380"/>
      <c r="U63" s="380"/>
      <c r="V63" s="380"/>
      <c r="W63" s="380"/>
    </row>
    <row r="64" spans="1:46" ht="16.2" thickBot="1">
      <c r="A64" s="895" t="s">
        <v>228</v>
      </c>
      <c r="B64" s="896"/>
      <c r="C64" s="896"/>
      <c r="D64" s="896"/>
      <c r="E64" s="896"/>
      <c r="F64" s="896"/>
      <c r="G64" s="896"/>
      <c r="H64" s="896"/>
      <c r="I64" s="897"/>
      <c r="J64" s="897"/>
      <c r="K64" s="897"/>
      <c r="L64" s="897"/>
      <c r="M64" s="897"/>
      <c r="N64" s="380"/>
      <c r="O64" s="380"/>
      <c r="P64" s="380"/>
      <c r="Q64" s="380"/>
      <c r="R64" s="380"/>
      <c r="S64" s="380"/>
      <c r="T64" s="380"/>
      <c r="U64" s="380"/>
      <c r="V64" s="380"/>
      <c r="W64" s="380"/>
    </row>
  </sheetData>
  <mergeCells count="51">
    <mergeCell ref="A62:C62"/>
    <mergeCell ref="H62:H63"/>
    <mergeCell ref="I62:I63"/>
    <mergeCell ref="V59:W59"/>
    <mergeCell ref="A60:K60"/>
    <mergeCell ref="L60:M60"/>
    <mergeCell ref="N60:O60"/>
    <mergeCell ref="P60:Q60"/>
    <mergeCell ref="R60:S60"/>
    <mergeCell ref="T60:U60"/>
    <mergeCell ref="V60:W60"/>
    <mergeCell ref="A59:K59"/>
    <mergeCell ref="L59:M59"/>
    <mergeCell ref="N59:O59"/>
    <mergeCell ref="P59:Q59"/>
    <mergeCell ref="R59:S59"/>
    <mergeCell ref="T59:U59"/>
    <mergeCell ref="R57:S57"/>
    <mergeCell ref="T57:U57"/>
    <mergeCell ref="V57:W57"/>
    <mergeCell ref="A58:K58"/>
    <mergeCell ref="L58:M58"/>
    <mergeCell ref="N58:O58"/>
    <mergeCell ref="P58:Q58"/>
    <mergeCell ref="R58:S58"/>
    <mergeCell ref="T58:U58"/>
    <mergeCell ref="V58:W58"/>
    <mergeCell ref="A33:B53"/>
    <mergeCell ref="Y33:Y53"/>
    <mergeCell ref="A55:W55"/>
    <mergeCell ref="A56:K57"/>
    <mergeCell ref="L56:O56"/>
    <mergeCell ref="P56:S56"/>
    <mergeCell ref="T56:W56"/>
    <mergeCell ref="L57:M57"/>
    <mergeCell ref="N57:O57"/>
    <mergeCell ref="P57:Q57"/>
    <mergeCell ref="A31:C32"/>
    <mergeCell ref="D31:W31"/>
    <mergeCell ref="Y31:Z32"/>
    <mergeCell ref="AA31:AT31"/>
    <mergeCell ref="A8:B28"/>
    <mergeCell ref="Y8:Y28"/>
    <mergeCell ref="A30:W30"/>
    <mergeCell ref="AA6:AT6"/>
    <mergeCell ref="A5:W5"/>
    <mergeCell ref="A1:W2"/>
    <mergeCell ref="A3:W4"/>
    <mergeCell ref="A6:C7"/>
    <mergeCell ref="D6:W6"/>
    <mergeCell ref="Y6:Z7"/>
  </mergeCells>
  <pageMargins left="0.70866141732283472" right="0.70866141732283472" top="0.74803149606299213" bottom="0.74803149606299213" header="0.31496062992125984" footer="0.31496062992125984"/>
  <pageSetup paperSize="9" scale="84" orientation="landscape" r:id="rId1"/>
  <rowBreaks count="1" manualBreakCount="1">
    <brk id="28" max="45" man="1"/>
  </rowBreaks>
  <colBreaks count="1" manualBreakCount="1">
    <brk id="46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F70649-07F8-4A05-9364-D9DD01E7826B}">
  <sheetPr>
    <tabColor rgb="FFFF0000"/>
  </sheetPr>
  <dimension ref="A1:IU65"/>
  <sheetViews>
    <sheetView view="pageBreakPreview" zoomScale="80" zoomScaleNormal="80" zoomScaleSheetLayoutView="80" workbookViewId="0">
      <selection sqref="A1:IV4"/>
    </sheetView>
  </sheetViews>
  <sheetFormatPr defaultColWidth="9.109375" defaultRowHeight="14.4"/>
  <cols>
    <col min="1" max="1" width="9.109375" style="880"/>
    <col min="2" max="3" width="5.44140625" style="880" bestFit="1" customWidth="1"/>
    <col min="4" max="4" width="6.6640625" style="880" customWidth="1"/>
    <col min="5" max="5" width="7" style="880" customWidth="1"/>
    <col min="6" max="7" width="6.5546875" style="880" customWidth="1"/>
    <col min="8" max="8" width="6.6640625" style="880" customWidth="1"/>
    <col min="9" max="10" width="6.109375" style="880" customWidth="1"/>
    <col min="11" max="11" width="6.6640625" style="880" customWidth="1"/>
    <col min="12" max="12" width="6.33203125" style="880" customWidth="1"/>
    <col min="13" max="13" width="6.109375" style="880" customWidth="1"/>
    <col min="14" max="14" width="6.5546875" style="880" customWidth="1"/>
    <col min="15" max="15" width="6.88671875" style="880" customWidth="1"/>
    <col min="16" max="17" width="6.44140625" style="880" bestFit="1" customWidth="1"/>
    <col min="18" max="18" width="7.88671875" style="880" customWidth="1"/>
    <col min="19" max="19" width="9" style="880" customWidth="1"/>
    <col min="20" max="20" width="7.5546875" style="880" customWidth="1"/>
    <col min="21" max="21" width="7.88671875" style="880" customWidth="1"/>
    <col min="22" max="22" width="8" style="880" customWidth="1"/>
    <col min="23" max="23" width="6.88671875" style="880" customWidth="1"/>
    <col min="24" max="46" width="9.109375" style="880" hidden="1" customWidth="1"/>
    <col min="47" max="16384" width="9.109375" style="880"/>
  </cols>
  <sheetData>
    <row r="1" spans="1:255" ht="15" customHeight="1">
      <c r="A1" s="1033" t="s">
        <v>1203</v>
      </c>
      <c r="B1" s="1033"/>
      <c r="C1" s="1033"/>
      <c r="D1" s="1033"/>
      <c r="E1" s="1033"/>
      <c r="F1" s="1033"/>
      <c r="G1" s="1033"/>
      <c r="H1" s="1033"/>
      <c r="I1" s="1033"/>
      <c r="J1" s="1033"/>
      <c r="K1" s="1033"/>
      <c r="L1" s="1033"/>
      <c r="M1" s="1033"/>
      <c r="N1" s="1033"/>
      <c r="O1" s="1033"/>
      <c r="P1" s="1033"/>
      <c r="Q1" s="1033"/>
      <c r="R1" s="1033"/>
      <c r="S1" s="1033"/>
      <c r="T1" s="1033"/>
      <c r="U1" s="1033"/>
      <c r="V1" s="1033"/>
      <c r="W1" s="1033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  <c r="AZ1" s="16"/>
      <c r="BA1" s="16"/>
      <c r="BB1" s="16"/>
      <c r="BC1" s="16"/>
      <c r="BD1" s="16"/>
      <c r="BE1" s="16"/>
      <c r="BF1" s="16"/>
      <c r="BG1" s="16"/>
      <c r="BH1" s="16"/>
      <c r="BI1" s="16"/>
      <c r="BJ1" s="16"/>
      <c r="BK1" s="16"/>
      <c r="BL1" s="16"/>
      <c r="BM1" s="16"/>
      <c r="BN1" s="16"/>
      <c r="BO1" s="16"/>
      <c r="BP1" s="16"/>
      <c r="BQ1" s="16"/>
      <c r="BR1" s="16"/>
      <c r="BS1" s="16"/>
      <c r="BT1" s="16"/>
      <c r="BU1" s="16"/>
      <c r="BV1" s="16"/>
      <c r="BW1" s="16"/>
      <c r="BX1" s="16"/>
      <c r="BY1" s="16"/>
      <c r="BZ1" s="16"/>
      <c r="CA1" s="16"/>
      <c r="CB1" s="16"/>
      <c r="CC1" s="16"/>
      <c r="CD1" s="16"/>
      <c r="CE1" s="16"/>
      <c r="CF1" s="16"/>
      <c r="CG1" s="16"/>
      <c r="CH1" s="16"/>
      <c r="CI1" s="16"/>
      <c r="CJ1" s="16"/>
      <c r="CK1" s="16"/>
      <c r="CL1" s="16"/>
      <c r="CM1" s="16"/>
      <c r="CN1" s="16"/>
      <c r="CO1" s="16"/>
      <c r="CP1" s="16"/>
      <c r="CQ1" s="16"/>
      <c r="CR1" s="16"/>
      <c r="CS1" s="16"/>
      <c r="CT1" s="16"/>
      <c r="CU1" s="16"/>
      <c r="CV1" s="16"/>
      <c r="CW1" s="16"/>
      <c r="CX1" s="16"/>
      <c r="CY1" s="16"/>
      <c r="CZ1" s="16"/>
      <c r="DA1" s="16"/>
      <c r="DB1" s="16"/>
      <c r="DC1" s="16"/>
      <c r="DD1" s="16"/>
      <c r="DE1" s="16"/>
      <c r="DF1" s="16"/>
      <c r="DG1" s="16"/>
      <c r="DH1" s="16"/>
      <c r="DI1" s="16"/>
      <c r="DJ1" s="16"/>
      <c r="DK1" s="16"/>
      <c r="DL1" s="16"/>
      <c r="DM1" s="16"/>
      <c r="DN1" s="16"/>
      <c r="DO1" s="16"/>
      <c r="DP1" s="16"/>
      <c r="DQ1" s="16"/>
      <c r="DR1" s="16"/>
      <c r="DS1" s="16"/>
      <c r="DT1" s="16"/>
      <c r="DU1" s="16"/>
      <c r="DV1" s="16"/>
      <c r="DW1" s="16"/>
      <c r="DX1" s="16"/>
      <c r="DY1" s="16"/>
      <c r="DZ1" s="16"/>
      <c r="EA1" s="16"/>
      <c r="EB1" s="16"/>
      <c r="EC1" s="16"/>
      <c r="ED1" s="16"/>
      <c r="EE1" s="16"/>
      <c r="EF1" s="16"/>
      <c r="EG1" s="16"/>
      <c r="EH1" s="16"/>
      <c r="EI1" s="16"/>
      <c r="EJ1" s="16"/>
      <c r="EK1" s="16"/>
      <c r="EL1" s="16"/>
      <c r="EM1" s="16"/>
      <c r="EN1" s="16"/>
      <c r="EO1" s="16"/>
      <c r="EP1" s="16"/>
      <c r="EQ1" s="16"/>
      <c r="ER1" s="16"/>
      <c r="ES1" s="16"/>
      <c r="ET1" s="16"/>
      <c r="EU1" s="16"/>
      <c r="EV1" s="16"/>
      <c r="EW1" s="16"/>
      <c r="EX1" s="16"/>
      <c r="EY1" s="16"/>
      <c r="EZ1" s="16"/>
      <c r="FA1" s="16"/>
      <c r="FB1" s="16"/>
      <c r="FC1" s="16"/>
      <c r="FD1" s="16"/>
      <c r="FE1" s="16"/>
      <c r="FF1" s="16"/>
      <c r="FG1" s="16"/>
      <c r="FH1" s="16"/>
      <c r="FI1" s="16"/>
      <c r="FJ1" s="16"/>
      <c r="FK1" s="16"/>
      <c r="FL1" s="16"/>
      <c r="FM1" s="16"/>
      <c r="FN1" s="16"/>
      <c r="FO1" s="16"/>
      <c r="FP1" s="16"/>
      <c r="FQ1" s="16"/>
      <c r="FR1" s="16"/>
      <c r="FS1" s="16"/>
      <c r="FT1" s="16"/>
      <c r="FU1" s="16"/>
      <c r="FV1" s="16"/>
      <c r="FW1" s="16"/>
      <c r="FX1" s="16"/>
      <c r="FY1" s="16"/>
      <c r="FZ1" s="16"/>
      <c r="GA1" s="16"/>
      <c r="GB1" s="16"/>
      <c r="GC1" s="16"/>
      <c r="GD1" s="16"/>
      <c r="GE1" s="16"/>
      <c r="GF1" s="16"/>
      <c r="GG1" s="16"/>
      <c r="GH1" s="16"/>
      <c r="GI1" s="16"/>
      <c r="GJ1" s="16"/>
      <c r="GK1" s="16"/>
      <c r="GL1" s="16"/>
      <c r="GM1" s="16"/>
      <c r="GN1" s="16"/>
      <c r="GO1" s="16"/>
      <c r="GP1" s="16"/>
      <c r="GQ1" s="16"/>
      <c r="GR1" s="16"/>
      <c r="GS1" s="16"/>
      <c r="GT1" s="16"/>
      <c r="GU1" s="16"/>
      <c r="GV1" s="16"/>
      <c r="GW1" s="16"/>
      <c r="GX1" s="16"/>
      <c r="GY1" s="16"/>
      <c r="GZ1" s="16"/>
      <c r="HA1" s="16"/>
      <c r="HB1" s="16"/>
      <c r="HC1" s="16"/>
      <c r="HD1" s="16"/>
      <c r="HE1" s="16"/>
      <c r="HF1" s="16"/>
      <c r="HG1" s="16"/>
      <c r="HH1" s="16"/>
      <c r="HI1" s="16"/>
      <c r="HJ1" s="16"/>
      <c r="HK1" s="16"/>
      <c r="HL1" s="16"/>
      <c r="HM1" s="16"/>
      <c r="HN1" s="16"/>
      <c r="HO1" s="16"/>
      <c r="HP1" s="16"/>
      <c r="HQ1" s="16"/>
      <c r="HR1" s="16"/>
      <c r="HS1" s="16"/>
      <c r="HT1" s="16"/>
      <c r="HU1" s="16"/>
      <c r="HV1" s="16"/>
      <c r="HW1" s="16"/>
      <c r="HX1" s="16"/>
      <c r="HY1" s="16"/>
      <c r="HZ1" s="16"/>
      <c r="IA1" s="16"/>
      <c r="IB1" s="16"/>
      <c r="IC1" s="16"/>
      <c r="ID1" s="16"/>
      <c r="IE1" s="16"/>
      <c r="IF1" s="16"/>
      <c r="IG1" s="16"/>
      <c r="IH1" s="16"/>
      <c r="II1" s="16"/>
      <c r="IJ1" s="16"/>
      <c r="IK1" s="16"/>
      <c r="IL1" s="16"/>
      <c r="IM1" s="16"/>
      <c r="IN1" s="16"/>
      <c r="IO1" s="16"/>
      <c r="IP1" s="16"/>
      <c r="IQ1" s="16"/>
      <c r="IR1" s="16"/>
      <c r="IS1" s="16"/>
      <c r="IT1" s="16"/>
      <c r="IU1" s="16"/>
    </row>
    <row r="2" spans="1:255" ht="15" customHeight="1">
      <c r="A2" s="1033"/>
      <c r="B2" s="1033"/>
      <c r="C2" s="1033"/>
      <c r="D2" s="1033"/>
      <c r="E2" s="1033"/>
      <c r="F2" s="1033"/>
      <c r="G2" s="1033"/>
      <c r="H2" s="1033"/>
      <c r="I2" s="1033"/>
      <c r="J2" s="1033"/>
      <c r="K2" s="1033"/>
      <c r="L2" s="1033"/>
      <c r="M2" s="1033"/>
      <c r="N2" s="1033"/>
      <c r="O2" s="1033"/>
      <c r="P2" s="1033"/>
      <c r="Q2" s="1033"/>
      <c r="R2" s="1033"/>
      <c r="S2" s="1033"/>
      <c r="T2" s="1033"/>
      <c r="U2" s="1033"/>
      <c r="V2" s="1033"/>
      <c r="W2" s="1033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16"/>
      <c r="CS2" s="16"/>
      <c r="CT2" s="16"/>
      <c r="CU2" s="16"/>
      <c r="CV2" s="16"/>
      <c r="CW2" s="16"/>
      <c r="CX2" s="16"/>
      <c r="CY2" s="16"/>
      <c r="CZ2" s="16"/>
      <c r="DA2" s="16"/>
      <c r="DB2" s="16"/>
      <c r="DC2" s="16"/>
      <c r="DD2" s="16"/>
      <c r="DE2" s="16"/>
      <c r="DF2" s="16"/>
      <c r="DG2" s="16"/>
      <c r="DH2" s="16"/>
      <c r="DI2" s="16"/>
      <c r="DJ2" s="16"/>
      <c r="DK2" s="16"/>
      <c r="DL2" s="16"/>
      <c r="DM2" s="16"/>
      <c r="DN2" s="16"/>
      <c r="DO2" s="16"/>
      <c r="DP2" s="16"/>
      <c r="DQ2" s="16"/>
      <c r="DR2" s="16"/>
      <c r="DS2" s="16"/>
      <c r="DT2" s="16"/>
      <c r="DU2" s="16"/>
      <c r="DV2" s="16"/>
      <c r="DW2" s="16"/>
      <c r="DX2" s="16"/>
      <c r="DY2" s="16"/>
      <c r="DZ2" s="16"/>
      <c r="EA2" s="16"/>
      <c r="EB2" s="16"/>
      <c r="EC2" s="16"/>
      <c r="ED2" s="16"/>
      <c r="EE2" s="16"/>
      <c r="EF2" s="16"/>
      <c r="EG2" s="16"/>
      <c r="EH2" s="16"/>
      <c r="EI2" s="16"/>
      <c r="EJ2" s="16"/>
      <c r="EK2" s="16"/>
      <c r="EL2" s="16"/>
      <c r="EM2" s="16"/>
      <c r="EN2" s="16"/>
      <c r="EO2" s="16"/>
      <c r="EP2" s="16"/>
      <c r="EQ2" s="16"/>
      <c r="ER2" s="16"/>
      <c r="ES2" s="16"/>
      <c r="ET2" s="16"/>
      <c r="EU2" s="16"/>
      <c r="EV2" s="16"/>
      <c r="EW2" s="16"/>
      <c r="EX2" s="16"/>
      <c r="EY2" s="16"/>
      <c r="EZ2" s="16"/>
      <c r="FA2" s="16"/>
      <c r="FB2" s="16"/>
      <c r="FC2" s="16"/>
      <c r="FD2" s="16"/>
      <c r="FE2" s="16"/>
      <c r="FF2" s="16"/>
      <c r="FG2" s="16"/>
      <c r="FH2" s="16"/>
      <c r="FI2" s="16"/>
      <c r="FJ2" s="16"/>
      <c r="FK2" s="16"/>
      <c r="FL2" s="16"/>
      <c r="FM2" s="16"/>
      <c r="FN2" s="16"/>
      <c r="FO2" s="16"/>
      <c r="FP2" s="16"/>
      <c r="FQ2" s="16"/>
      <c r="FR2" s="16"/>
      <c r="FS2" s="16"/>
      <c r="FT2" s="16"/>
      <c r="FU2" s="16"/>
      <c r="FV2" s="16"/>
      <c r="FW2" s="16"/>
      <c r="FX2" s="16"/>
      <c r="FY2" s="16"/>
      <c r="FZ2" s="16"/>
      <c r="GA2" s="16"/>
      <c r="GB2" s="16"/>
      <c r="GC2" s="16"/>
      <c r="GD2" s="16"/>
      <c r="GE2" s="16"/>
      <c r="GF2" s="16"/>
      <c r="GG2" s="16"/>
      <c r="GH2" s="16"/>
      <c r="GI2" s="16"/>
      <c r="GJ2" s="16"/>
      <c r="GK2" s="16"/>
      <c r="GL2" s="16"/>
      <c r="GM2" s="16"/>
      <c r="GN2" s="16"/>
      <c r="GO2" s="16"/>
      <c r="GP2" s="16"/>
      <c r="GQ2" s="16"/>
      <c r="GR2" s="16"/>
      <c r="GS2" s="16"/>
      <c r="GT2" s="16"/>
      <c r="GU2" s="16"/>
      <c r="GV2" s="16"/>
      <c r="GW2" s="16"/>
      <c r="GX2" s="16"/>
      <c r="GY2" s="16"/>
      <c r="GZ2" s="16"/>
      <c r="HA2" s="16"/>
      <c r="HB2" s="16"/>
      <c r="HC2" s="16"/>
      <c r="HD2" s="16"/>
      <c r="HE2" s="16"/>
      <c r="HF2" s="16"/>
      <c r="HG2" s="16"/>
      <c r="HH2" s="16"/>
      <c r="HI2" s="16"/>
      <c r="HJ2" s="16"/>
      <c r="HK2" s="16"/>
      <c r="HL2" s="16"/>
      <c r="HM2" s="16"/>
      <c r="HN2" s="16"/>
      <c r="HO2" s="16"/>
      <c r="HP2" s="16"/>
      <c r="HQ2" s="16"/>
      <c r="HR2" s="16"/>
      <c r="HS2" s="16"/>
      <c r="HT2" s="16"/>
      <c r="HU2" s="16"/>
      <c r="HV2" s="16"/>
      <c r="HW2" s="16"/>
      <c r="HX2" s="16"/>
      <c r="HY2" s="16"/>
      <c r="HZ2" s="16"/>
      <c r="IA2" s="16"/>
      <c r="IB2" s="16"/>
      <c r="IC2" s="16"/>
      <c r="ID2" s="16"/>
      <c r="IE2" s="16"/>
      <c r="IF2" s="16"/>
      <c r="IG2" s="16"/>
      <c r="IH2" s="16"/>
      <c r="II2" s="16"/>
      <c r="IJ2" s="16"/>
      <c r="IK2" s="16"/>
      <c r="IL2" s="16"/>
      <c r="IM2" s="16"/>
      <c r="IN2" s="16"/>
      <c r="IO2" s="16"/>
      <c r="IP2" s="16"/>
      <c r="IQ2" s="16"/>
      <c r="IR2" s="16"/>
      <c r="IS2" s="16"/>
      <c r="IT2" s="16"/>
      <c r="IU2" s="16"/>
    </row>
    <row r="3" spans="1:255" ht="15" customHeight="1">
      <c r="A3" s="1033" t="s">
        <v>1206</v>
      </c>
      <c r="B3" s="1033"/>
      <c r="C3" s="1033"/>
      <c r="D3" s="1033"/>
      <c r="E3" s="1033"/>
      <c r="F3" s="1033"/>
      <c r="G3" s="1033"/>
      <c r="H3" s="1033"/>
      <c r="I3" s="1033"/>
      <c r="J3" s="1033"/>
      <c r="K3" s="1033"/>
      <c r="L3" s="1033"/>
      <c r="M3" s="1033"/>
      <c r="N3" s="1033"/>
      <c r="O3" s="1033"/>
      <c r="P3" s="1033"/>
      <c r="Q3" s="1033"/>
      <c r="R3" s="1033"/>
      <c r="S3" s="1033"/>
      <c r="T3" s="1033"/>
      <c r="U3" s="1033"/>
      <c r="V3" s="1033"/>
      <c r="W3" s="1033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/>
      <c r="BC3" s="16"/>
      <c r="BD3" s="16"/>
      <c r="BE3" s="16"/>
      <c r="BF3" s="16"/>
      <c r="BG3" s="16"/>
      <c r="BH3" s="16"/>
      <c r="BI3" s="16"/>
      <c r="BJ3" s="16"/>
      <c r="BK3" s="16"/>
      <c r="BL3" s="16"/>
      <c r="BM3" s="16"/>
      <c r="BN3" s="16"/>
      <c r="BO3" s="16"/>
      <c r="BP3" s="16"/>
      <c r="BQ3" s="16"/>
      <c r="BR3" s="16"/>
      <c r="BS3" s="16"/>
      <c r="BT3" s="16"/>
      <c r="BU3" s="16"/>
      <c r="BV3" s="16"/>
      <c r="BW3" s="16"/>
      <c r="BX3" s="16"/>
      <c r="BY3" s="16"/>
      <c r="BZ3" s="16"/>
      <c r="CA3" s="16"/>
      <c r="CB3" s="16"/>
      <c r="CC3" s="16"/>
      <c r="CD3" s="16"/>
      <c r="CE3" s="16"/>
      <c r="CF3" s="16"/>
      <c r="CG3" s="16"/>
      <c r="CH3" s="16"/>
      <c r="CI3" s="16"/>
      <c r="CJ3" s="16"/>
      <c r="CK3" s="16"/>
      <c r="CL3" s="16"/>
      <c r="CM3" s="16"/>
      <c r="CN3" s="16"/>
      <c r="CO3" s="16"/>
      <c r="CP3" s="16"/>
      <c r="CQ3" s="16"/>
      <c r="CR3" s="16"/>
      <c r="CS3" s="16"/>
      <c r="CT3" s="16"/>
      <c r="CU3" s="16"/>
      <c r="CV3" s="16"/>
      <c r="CW3" s="16"/>
      <c r="CX3" s="16"/>
      <c r="CY3" s="16"/>
      <c r="CZ3" s="16"/>
      <c r="DA3" s="16"/>
      <c r="DB3" s="16"/>
      <c r="DC3" s="16"/>
      <c r="DD3" s="16"/>
      <c r="DE3" s="16"/>
      <c r="DF3" s="16"/>
      <c r="DG3" s="16"/>
      <c r="DH3" s="16"/>
      <c r="DI3" s="16"/>
      <c r="DJ3" s="16"/>
      <c r="DK3" s="16"/>
      <c r="DL3" s="16"/>
      <c r="DM3" s="16"/>
      <c r="DN3" s="16"/>
      <c r="DO3" s="16"/>
      <c r="DP3" s="16"/>
      <c r="DQ3" s="16"/>
      <c r="DR3" s="16"/>
      <c r="DS3" s="16"/>
      <c r="DT3" s="16"/>
      <c r="DU3" s="16"/>
      <c r="DV3" s="16"/>
      <c r="DW3" s="16"/>
      <c r="DX3" s="16"/>
      <c r="DY3" s="16"/>
      <c r="DZ3" s="16"/>
      <c r="EA3" s="16"/>
      <c r="EB3" s="16"/>
      <c r="EC3" s="16"/>
      <c r="ED3" s="16"/>
      <c r="EE3" s="16"/>
      <c r="EF3" s="16"/>
      <c r="EG3" s="16"/>
      <c r="EH3" s="16"/>
      <c r="EI3" s="16"/>
      <c r="EJ3" s="16"/>
      <c r="EK3" s="16"/>
      <c r="EL3" s="16"/>
      <c r="EM3" s="16"/>
      <c r="EN3" s="16"/>
      <c r="EO3" s="16"/>
      <c r="EP3" s="16"/>
      <c r="EQ3" s="16"/>
      <c r="ER3" s="16"/>
      <c r="ES3" s="16"/>
      <c r="ET3" s="16"/>
      <c r="EU3" s="16"/>
      <c r="EV3" s="16"/>
      <c r="EW3" s="16"/>
      <c r="EX3" s="16"/>
      <c r="EY3" s="16"/>
      <c r="EZ3" s="16"/>
      <c r="FA3" s="16"/>
      <c r="FB3" s="16"/>
      <c r="FC3" s="16"/>
      <c r="FD3" s="16"/>
      <c r="FE3" s="16"/>
      <c r="FF3" s="16"/>
      <c r="FG3" s="16"/>
      <c r="FH3" s="16"/>
      <c r="FI3" s="16"/>
      <c r="FJ3" s="16"/>
      <c r="FK3" s="16"/>
      <c r="FL3" s="16"/>
      <c r="FM3" s="16"/>
      <c r="FN3" s="16"/>
      <c r="FO3" s="16"/>
      <c r="FP3" s="16"/>
      <c r="FQ3" s="16"/>
      <c r="FR3" s="16"/>
      <c r="FS3" s="16"/>
      <c r="FT3" s="16"/>
      <c r="FU3" s="16"/>
      <c r="FV3" s="16"/>
      <c r="FW3" s="16"/>
      <c r="FX3" s="16"/>
      <c r="FY3" s="16"/>
      <c r="FZ3" s="16"/>
      <c r="GA3" s="16"/>
      <c r="GB3" s="16"/>
      <c r="GC3" s="16"/>
      <c r="GD3" s="16"/>
      <c r="GE3" s="16"/>
      <c r="GF3" s="16"/>
      <c r="GG3" s="16"/>
      <c r="GH3" s="16"/>
      <c r="GI3" s="16"/>
      <c r="GJ3" s="16"/>
      <c r="GK3" s="16"/>
      <c r="GL3" s="16"/>
      <c r="GM3" s="16"/>
      <c r="GN3" s="16"/>
      <c r="GO3" s="16"/>
      <c r="GP3" s="16"/>
      <c r="GQ3" s="16"/>
      <c r="GR3" s="16"/>
      <c r="GS3" s="16"/>
      <c r="GT3" s="16"/>
      <c r="GU3" s="16"/>
      <c r="GV3" s="16"/>
      <c r="GW3" s="16"/>
      <c r="GX3" s="16"/>
      <c r="GY3" s="16"/>
      <c r="GZ3" s="16"/>
      <c r="HA3" s="16"/>
      <c r="HB3" s="16"/>
      <c r="HC3" s="16"/>
      <c r="HD3" s="16"/>
      <c r="HE3" s="16"/>
      <c r="HF3" s="16"/>
      <c r="HG3" s="16"/>
      <c r="HH3" s="16"/>
      <c r="HI3" s="16"/>
      <c r="HJ3" s="16"/>
      <c r="HK3" s="16"/>
      <c r="HL3" s="16"/>
      <c r="HM3" s="16"/>
      <c r="HN3" s="16"/>
      <c r="HO3" s="16"/>
      <c r="HP3" s="16"/>
      <c r="HQ3" s="16"/>
      <c r="HR3" s="16"/>
      <c r="HS3" s="16"/>
      <c r="HT3" s="16"/>
      <c r="HU3" s="16"/>
      <c r="HV3" s="16"/>
      <c r="HW3" s="16"/>
      <c r="HX3" s="16"/>
      <c r="HY3" s="16"/>
      <c r="HZ3" s="16"/>
      <c r="IA3" s="16"/>
      <c r="IB3" s="16"/>
      <c r="IC3" s="16"/>
      <c r="ID3" s="16"/>
      <c r="IE3" s="16"/>
      <c r="IF3" s="16"/>
      <c r="IG3" s="16"/>
      <c r="IH3" s="16"/>
      <c r="II3" s="16"/>
      <c r="IJ3" s="16"/>
      <c r="IK3" s="16"/>
      <c r="IL3" s="16"/>
      <c r="IM3" s="16"/>
      <c r="IN3" s="16"/>
      <c r="IO3" s="16"/>
      <c r="IP3" s="16"/>
      <c r="IQ3" s="16"/>
      <c r="IR3" s="16"/>
      <c r="IS3" s="16"/>
      <c r="IT3" s="16"/>
      <c r="IU3" s="16"/>
    </row>
    <row r="4" spans="1:255" ht="15" customHeight="1">
      <c r="A4" s="1033"/>
      <c r="B4" s="1033"/>
      <c r="C4" s="1033"/>
      <c r="D4" s="1033"/>
      <c r="E4" s="1033"/>
      <c r="F4" s="1033"/>
      <c r="G4" s="1033"/>
      <c r="H4" s="1033"/>
      <c r="I4" s="1033"/>
      <c r="J4" s="1033"/>
      <c r="K4" s="1033"/>
      <c r="L4" s="1033"/>
      <c r="M4" s="1033"/>
      <c r="N4" s="1033"/>
      <c r="O4" s="1033"/>
      <c r="P4" s="1033"/>
      <c r="Q4" s="1033"/>
      <c r="R4" s="1033"/>
      <c r="S4" s="1033"/>
      <c r="T4" s="1033"/>
      <c r="U4" s="1033"/>
      <c r="V4" s="1033"/>
      <c r="W4" s="1033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6"/>
      <c r="DB4" s="16"/>
      <c r="DC4" s="16"/>
      <c r="DD4" s="16"/>
      <c r="DE4" s="16"/>
      <c r="DF4" s="16"/>
      <c r="DG4" s="16"/>
      <c r="DH4" s="16"/>
      <c r="DI4" s="16"/>
      <c r="DJ4" s="16"/>
      <c r="DK4" s="16"/>
      <c r="DL4" s="16"/>
      <c r="DM4" s="16"/>
      <c r="DN4" s="16"/>
      <c r="DO4" s="16"/>
      <c r="DP4" s="16"/>
      <c r="DQ4" s="16"/>
      <c r="DR4" s="16"/>
      <c r="DS4" s="16"/>
      <c r="DT4" s="16"/>
      <c r="DU4" s="16"/>
      <c r="DV4" s="16"/>
      <c r="DW4" s="16"/>
      <c r="DX4" s="16"/>
      <c r="DY4" s="16"/>
      <c r="DZ4" s="16"/>
      <c r="EA4" s="16"/>
      <c r="EB4" s="16"/>
      <c r="EC4" s="16"/>
      <c r="ED4" s="16"/>
      <c r="EE4" s="16"/>
      <c r="EF4" s="16"/>
      <c r="EG4" s="16"/>
      <c r="EH4" s="16"/>
      <c r="EI4" s="16"/>
      <c r="EJ4" s="16"/>
      <c r="EK4" s="16"/>
      <c r="EL4" s="16"/>
      <c r="EM4" s="16"/>
      <c r="EN4" s="16"/>
      <c r="EO4" s="16"/>
      <c r="EP4" s="16"/>
      <c r="EQ4" s="16"/>
      <c r="ER4" s="16"/>
      <c r="ES4" s="16"/>
      <c r="ET4" s="16"/>
      <c r="EU4" s="16"/>
      <c r="EV4" s="16"/>
      <c r="EW4" s="16"/>
      <c r="EX4" s="16"/>
      <c r="EY4" s="16"/>
      <c r="EZ4" s="16"/>
      <c r="FA4" s="16"/>
      <c r="FB4" s="16"/>
      <c r="FC4" s="16"/>
      <c r="FD4" s="16"/>
      <c r="FE4" s="16"/>
      <c r="FF4" s="16"/>
      <c r="FG4" s="16"/>
      <c r="FH4" s="16"/>
      <c r="FI4" s="16"/>
      <c r="FJ4" s="16"/>
      <c r="FK4" s="16"/>
      <c r="FL4" s="16"/>
      <c r="FM4" s="16"/>
      <c r="FN4" s="16"/>
      <c r="FO4" s="16"/>
      <c r="FP4" s="16"/>
      <c r="FQ4" s="16"/>
      <c r="FR4" s="16"/>
      <c r="FS4" s="16"/>
      <c r="FT4" s="16"/>
      <c r="FU4" s="16"/>
      <c r="FV4" s="16"/>
      <c r="FW4" s="16"/>
      <c r="FX4" s="16"/>
      <c r="FY4" s="16"/>
      <c r="FZ4" s="16"/>
      <c r="GA4" s="16"/>
      <c r="GB4" s="16"/>
      <c r="GC4" s="16"/>
      <c r="GD4" s="16"/>
      <c r="GE4" s="16"/>
      <c r="GF4" s="16"/>
      <c r="GG4" s="16"/>
      <c r="GH4" s="16"/>
      <c r="GI4" s="16"/>
      <c r="GJ4" s="16"/>
      <c r="GK4" s="16"/>
      <c r="GL4" s="16"/>
      <c r="GM4" s="16"/>
      <c r="GN4" s="16"/>
      <c r="GO4" s="16"/>
      <c r="GP4" s="16"/>
      <c r="GQ4" s="16"/>
      <c r="GR4" s="16"/>
      <c r="GS4" s="16"/>
      <c r="GT4" s="16"/>
      <c r="GU4" s="16"/>
      <c r="GV4" s="16"/>
      <c r="GW4" s="16"/>
      <c r="GX4" s="16"/>
      <c r="GY4" s="16"/>
      <c r="GZ4" s="16"/>
      <c r="HA4" s="16"/>
      <c r="HB4" s="16"/>
      <c r="HC4" s="16"/>
      <c r="HD4" s="16"/>
      <c r="HE4" s="16"/>
      <c r="HF4" s="16"/>
      <c r="HG4" s="16"/>
      <c r="HH4" s="16"/>
      <c r="HI4" s="16"/>
      <c r="HJ4" s="16"/>
      <c r="HK4" s="16"/>
      <c r="HL4" s="16"/>
      <c r="HM4" s="16"/>
      <c r="HN4" s="16"/>
      <c r="HO4" s="16"/>
      <c r="HP4" s="16"/>
      <c r="HQ4" s="16"/>
      <c r="HR4" s="16"/>
      <c r="HS4" s="16"/>
      <c r="HT4" s="16"/>
      <c r="HU4" s="16"/>
      <c r="HV4" s="16"/>
      <c r="HW4" s="16"/>
      <c r="HX4" s="16"/>
      <c r="HY4" s="16"/>
      <c r="HZ4" s="16"/>
      <c r="IA4" s="16"/>
      <c r="IB4" s="16"/>
      <c r="IC4" s="16"/>
      <c r="ID4" s="16"/>
      <c r="IE4" s="16"/>
      <c r="IF4" s="16"/>
      <c r="IG4" s="16"/>
      <c r="IH4" s="16"/>
      <c r="II4" s="16"/>
      <c r="IJ4" s="16"/>
      <c r="IK4" s="16"/>
      <c r="IL4" s="16"/>
      <c r="IM4" s="16"/>
      <c r="IN4" s="16"/>
      <c r="IO4" s="16"/>
      <c r="IP4" s="16"/>
      <c r="IQ4" s="16"/>
      <c r="IR4" s="16"/>
      <c r="IS4" s="16"/>
      <c r="IT4" s="16"/>
      <c r="IU4" s="16"/>
    </row>
    <row r="5" spans="1:255" ht="16.2" thickBot="1">
      <c r="A5" s="1033" t="s">
        <v>1225</v>
      </c>
      <c r="B5" s="1033"/>
      <c r="C5" s="1033"/>
      <c r="D5" s="1033"/>
      <c r="E5" s="1033"/>
      <c r="F5" s="1033"/>
      <c r="G5" s="1033"/>
      <c r="H5" s="1033"/>
      <c r="I5" s="1033"/>
      <c r="J5" s="1033"/>
      <c r="K5" s="1033"/>
      <c r="L5" s="1033"/>
      <c r="M5" s="1033"/>
      <c r="N5" s="1033"/>
      <c r="O5" s="1033"/>
      <c r="P5" s="1033"/>
      <c r="Q5" s="1033"/>
      <c r="R5" s="1033"/>
      <c r="S5" s="1033"/>
      <c r="T5" s="1033"/>
      <c r="U5" s="1033"/>
      <c r="V5" s="1033"/>
      <c r="W5" s="1033"/>
    </row>
    <row r="6" spans="1:255" ht="33" customHeight="1" thickBot="1">
      <c r="A6" s="1433"/>
      <c r="B6" s="1434"/>
      <c r="C6" s="1435"/>
      <c r="D6" s="1419" t="s">
        <v>207</v>
      </c>
      <c r="E6" s="1420"/>
      <c r="F6" s="1420"/>
      <c r="G6" s="1420"/>
      <c r="H6" s="1420"/>
      <c r="I6" s="1420"/>
      <c r="J6" s="1420"/>
      <c r="K6" s="1420"/>
      <c r="L6" s="1420"/>
      <c r="M6" s="1420"/>
      <c r="N6" s="1420"/>
      <c r="O6" s="1420"/>
      <c r="P6" s="1420"/>
      <c r="Q6" s="1420"/>
      <c r="R6" s="1420"/>
      <c r="S6" s="1420"/>
      <c r="T6" s="1420"/>
      <c r="U6" s="1420"/>
      <c r="V6" s="1420"/>
      <c r="W6" s="1421"/>
      <c r="Y6" s="1278" t="s">
        <v>1196</v>
      </c>
      <c r="Z6" s="1278"/>
      <c r="AA6" s="1279" t="s">
        <v>356</v>
      </c>
      <c r="AB6" s="1279"/>
      <c r="AC6" s="1279"/>
      <c r="AD6" s="1279"/>
      <c r="AE6" s="1279"/>
      <c r="AF6" s="1279"/>
      <c r="AG6" s="1279"/>
      <c r="AH6" s="1279"/>
      <c r="AI6" s="1279"/>
      <c r="AJ6" s="1279"/>
      <c r="AK6" s="1279"/>
      <c r="AL6" s="1279"/>
      <c r="AM6" s="1279"/>
      <c r="AN6" s="1279"/>
      <c r="AO6" s="1279"/>
      <c r="AP6" s="1279"/>
      <c r="AQ6" s="1279"/>
      <c r="AR6" s="1279"/>
      <c r="AS6" s="1279"/>
      <c r="AT6" s="1279"/>
    </row>
    <row r="7" spans="1:255" ht="14.25" customHeight="1" thickBot="1">
      <c r="A7" s="1436"/>
      <c r="B7" s="1437"/>
      <c r="C7" s="1438"/>
      <c r="D7" s="909">
        <v>0.3</v>
      </c>
      <c r="E7" s="910">
        <v>0.4</v>
      </c>
      <c r="F7" s="910">
        <v>0.5</v>
      </c>
      <c r="G7" s="910">
        <v>0.6</v>
      </c>
      <c r="H7" s="910">
        <v>0.7</v>
      </c>
      <c r="I7" s="910">
        <v>0.8</v>
      </c>
      <c r="J7" s="910">
        <v>0.9</v>
      </c>
      <c r="K7" s="910">
        <v>1</v>
      </c>
      <c r="L7" s="910">
        <v>1.1000000000000001</v>
      </c>
      <c r="M7" s="910">
        <v>1.2</v>
      </c>
      <c r="N7" s="910">
        <v>1.3</v>
      </c>
      <c r="O7" s="910">
        <v>1.4</v>
      </c>
      <c r="P7" s="910">
        <v>1.5</v>
      </c>
      <c r="Q7" s="910">
        <v>1.6</v>
      </c>
      <c r="R7" s="910">
        <v>1.7</v>
      </c>
      <c r="S7" s="910">
        <v>1.8</v>
      </c>
      <c r="T7" s="910">
        <v>1.9</v>
      </c>
      <c r="U7" s="910">
        <v>2</v>
      </c>
      <c r="V7" s="910">
        <v>2.1</v>
      </c>
      <c r="W7" s="911">
        <v>2.2000000000000002</v>
      </c>
      <c r="Y7" s="1278"/>
      <c r="Z7" s="1278"/>
      <c r="AA7" s="649">
        <v>0.3</v>
      </c>
      <c r="AB7" s="649">
        <v>0.4</v>
      </c>
      <c r="AC7" s="649">
        <v>0.5</v>
      </c>
      <c r="AD7" s="649">
        <v>0.6</v>
      </c>
      <c r="AE7" s="649">
        <v>0.7</v>
      </c>
      <c r="AF7" s="649">
        <v>0.8</v>
      </c>
      <c r="AG7" s="649">
        <v>0.9</v>
      </c>
      <c r="AH7" s="649">
        <v>1</v>
      </c>
      <c r="AI7" s="649">
        <v>1.1000000000000001</v>
      </c>
      <c r="AJ7" s="649">
        <v>1.2</v>
      </c>
      <c r="AK7" s="649">
        <v>1.3</v>
      </c>
      <c r="AL7" s="649">
        <v>1.4</v>
      </c>
      <c r="AM7" s="649">
        <v>1.5</v>
      </c>
      <c r="AN7" s="649">
        <v>1.6</v>
      </c>
      <c r="AO7" s="649">
        <v>1.7</v>
      </c>
      <c r="AP7" s="649">
        <v>1.8</v>
      </c>
      <c r="AQ7" s="649">
        <v>1.9</v>
      </c>
      <c r="AR7" s="649">
        <v>2</v>
      </c>
      <c r="AS7" s="649">
        <v>2.1</v>
      </c>
      <c r="AT7" s="649">
        <v>2.2000000000000002</v>
      </c>
    </row>
    <row r="8" spans="1:255" ht="20.25" customHeight="1">
      <c r="A8" s="1426" t="s">
        <v>3</v>
      </c>
      <c r="B8" s="1427"/>
      <c r="C8" s="907">
        <v>0.2</v>
      </c>
      <c r="D8" s="899">
        <f>(AA8*KFC!$B$17+KFC!$C$17)*KFC!$C$5</f>
        <v>25.887499927515002</v>
      </c>
      <c r="E8" s="913">
        <f>(AB8*KFC!$B$17+KFC!$C$17)*KFC!$C$5</f>
        <v>28.415962524313418</v>
      </c>
      <c r="F8" s="913">
        <f>(AC8*KFC!$B$17+KFC!$C$17)*KFC!$C$5</f>
        <v>30.944425121111841</v>
      </c>
      <c r="G8" s="913">
        <f>(AD8*KFC!$B$17+KFC!$C$17)*KFC!$C$5</f>
        <v>33.472887717910261</v>
      </c>
      <c r="H8" s="913">
        <f>(AE8*KFC!$B$17+KFC!$C$17)*KFC!$C$5</f>
        <v>36.001350314708688</v>
      </c>
      <c r="I8" s="913">
        <f>(AF8*KFC!$B$17+KFC!$C$17)*KFC!$C$5</f>
        <v>38.529812911507115</v>
      </c>
      <c r="J8" s="913">
        <f>(AG8*KFC!$B$17+KFC!$C$17)*KFC!$C$5</f>
        <v>41.058275508305535</v>
      </c>
      <c r="K8" s="913">
        <f>(AH8*KFC!$B$17+KFC!$C$17)*KFC!$C$5</f>
        <v>43.586738105103962</v>
      </c>
      <c r="L8" s="913">
        <f>(AI8*KFC!$B$17+KFC!$C$17)*KFC!$C$5</f>
        <v>46.115200701902388</v>
      </c>
      <c r="M8" s="913">
        <f>(AJ8*KFC!$B$17+KFC!$C$17)*KFC!$C$5</f>
        <v>48.643663298700815</v>
      </c>
      <c r="N8" s="913">
        <f>(AK8*KFC!$B$17+KFC!$C$17)*KFC!$C$5</f>
        <v>51.172125895499235</v>
      </c>
      <c r="O8" s="913">
        <f>(AL8*KFC!$B$17+KFC!$C$17)*KFC!$C$5</f>
        <v>53.700588492297655</v>
      </c>
      <c r="P8" s="913">
        <f>(AM8*KFC!$B$17+KFC!$C$17)*KFC!$C$5</f>
        <v>56.229051089096082</v>
      </c>
      <c r="Q8" s="913">
        <f>(AN8*KFC!$B$17+KFC!$C$17)*KFC!$C$5</f>
        <v>58.757513685894502</v>
      </c>
      <c r="R8" s="913">
        <f>(AO8*KFC!$B$17+KFC!$C$17)*KFC!$C$5</f>
        <v>61.285976282692936</v>
      </c>
      <c r="S8" s="913">
        <f>(AP8*KFC!$B$17+KFC!$C$17)*KFC!$C$5</f>
        <v>63.814438879491355</v>
      </c>
      <c r="T8" s="913">
        <f>(AQ8*KFC!$B$17+KFC!$C$17)*KFC!$C$5</f>
        <v>66.342901476289782</v>
      </c>
      <c r="U8" s="913">
        <f>(AR8*KFC!$B$17+KFC!$C$17)*KFC!$C$5</f>
        <v>68.871364073088202</v>
      </c>
      <c r="V8" s="913">
        <f>(AS8*KFC!$B$17+KFC!$C$17)*KFC!$C$5</f>
        <v>71.399826669886622</v>
      </c>
      <c r="W8" s="914">
        <f>(AT8*KFC!$B$17+KFC!$C$17)*KFC!$C$5</f>
        <v>73.928289266684999</v>
      </c>
      <c r="Y8" s="1277" t="s">
        <v>357</v>
      </c>
      <c r="Z8" s="649">
        <v>0.2</v>
      </c>
      <c r="AA8" s="882">
        <v>25.887499927515002</v>
      </c>
      <c r="AB8" s="882">
        <v>28.415962524313418</v>
      </c>
      <c r="AC8" s="882">
        <v>30.944425121111841</v>
      </c>
      <c r="AD8" s="882">
        <v>33.472887717910261</v>
      </c>
      <c r="AE8" s="882">
        <v>36.001350314708688</v>
      </c>
      <c r="AF8" s="882">
        <v>38.529812911507115</v>
      </c>
      <c r="AG8" s="882">
        <v>41.058275508305535</v>
      </c>
      <c r="AH8" s="882">
        <v>43.586738105103962</v>
      </c>
      <c r="AI8" s="882">
        <v>46.115200701902388</v>
      </c>
      <c r="AJ8" s="882">
        <v>48.643663298700815</v>
      </c>
      <c r="AK8" s="882">
        <v>51.172125895499235</v>
      </c>
      <c r="AL8" s="882">
        <v>53.700588492297655</v>
      </c>
      <c r="AM8" s="882">
        <v>56.229051089096082</v>
      </c>
      <c r="AN8" s="882">
        <v>58.757513685894502</v>
      </c>
      <c r="AO8" s="882">
        <v>61.285976282692936</v>
      </c>
      <c r="AP8" s="882">
        <v>63.814438879491355</v>
      </c>
      <c r="AQ8" s="882">
        <v>66.342901476289782</v>
      </c>
      <c r="AR8" s="882">
        <v>68.871364073088202</v>
      </c>
      <c r="AS8" s="882">
        <v>71.399826669886622</v>
      </c>
      <c r="AT8" s="882">
        <v>73.928289266684999</v>
      </c>
    </row>
    <row r="9" spans="1:255" ht="14.4" customHeight="1">
      <c r="A9" s="1426"/>
      <c r="B9" s="1427"/>
      <c r="C9" s="881">
        <v>0.3</v>
      </c>
      <c r="D9" s="915">
        <f>(AA9*KFC!$B$17+KFC!$C$17)*KFC!$C$5</f>
        <v>26.465592031159503</v>
      </c>
      <c r="E9" s="912">
        <f>(AB9*KFC!$B$17+KFC!$C$17)*KFC!$C$5</f>
        <v>29.106319170579869</v>
      </c>
      <c r="F9" s="912">
        <f>(AC9*KFC!$B$17+KFC!$C$17)*KFC!$C$5</f>
        <v>31.74704631000024</v>
      </c>
      <c r="G9" s="912">
        <f>(AD9*KFC!$B$17+KFC!$C$17)*KFC!$C$5</f>
        <v>34.387773449420614</v>
      </c>
      <c r="H9" s="912">
        <f>(AE9*KFC!$B$17+KFC!$C$17)*KFC!$C$5</f>
        <v>37.028500588840977</v>
      </c>
      <c r="I9" s="912">
        <f>(AF9*KFC!$B$17+KFC!$C$17)*KFC!$C$5</f>
        <v>39.66922772826134</v>
      </c>
      <c r="J9" s="912">
        <f>(AG9*KFC!$B$17+KFC!$C$17)*KFC!$C$5</f>
        <v>42.309954867681718</v>
      </c>
      <c r="K9" s="912">
        <f>(AH9*KFC!$B$17+KFC!$C$17)*KFC!$C$5</f>
        <v>44.950682007102088</v>
      </c>
      <c r="L9" s="912">
        <f>(AI9*KFC!$B$17+KFC!$C$17)*KFC!$C$5</f>
        <v>47.591409146522452</v>
      </c>
      <c r="M9" s="912">
        <f>(AJ9*KFC!$B$17+KFC!$C$17)*KFC!$C$5</f>
        <v>50.232136285942822</v>
      </c>
      <c r="N9" s="912">
        <f>(AK9*KFC!$B$17+KFC!$C$17)*KFC!$C$5</f>
        <v>52.872863425363192</v>
      </c>
      <c r="O9" s="912">
        <f>(AL9*KFC!$B$17+KFC!$C$17)*KFC!$C$5</f>
        <v>55.513590564783556</v>
      </c>
      <c r="P9" s="912">
        <f>(AM9*KFC!$B$17+KFC!$C$17)*KFC!$C$5</f>
        <v>58.154317704203933</v>
      </c>
      <c r="Q9" s="912">
        <f>(AN9*KFC!$B$17+KFC!$C$17)*KFC!$C$5</f>
        <v>60.795044843624297</v>
      </c>
      <c r="R9" s="912">
        <f>(AO9*KFC!$B$17+KFC!$C$17)*KFC!$C$5</f>
        <v>63.435771983044674</v>
      </c>
      <c r="S9" s="912">
        <f>(AP9*KFC!$B$17+KFC!$C$17)*KFC!$C$5</f>
        <v>66.076499122465037</v>
      </c>
      <c r="T9" s="912">
        <f>(AQ9*KFC!$B$17+KFC!$C$17)*KFC!$C$5</f>
        <v>68.717226261885415</v>
      </c>
      <c r="U9" s="912">
        <f>(AR9*KFC!$B$17+KFC!$C$17)*KFC!$C$5</f>
        <v>71.357953401305764</v>
      </c>
      <c r="V9" s="912">
        <f>(AS9*KFC!$B$17+KFC!$C$17)*KFC!$C$5</f>
        <v>73.998680540726141</v>
      </c>
      <c r="W9" s="916">
        <f>(AT9*KFC!$B$17+KFC!$C$17)*KFC!$C$5</f>
        <v>76.639407680146505</v>
      </c>
      <c r="Y9" s="1277"/>
      <c r="Z9" s="649">
        <v>0.3</v>
      </c>
      <c r="AA9" s="882">
        <v>26.465592031159503</v>
      </c>
      <c r="AB9" s="882">
        <v>29.106319170579869</v>
      </c>
      <c r="AC9" s="882">
        <v>31.74704631000024</v>
      </c>
      <c r="AD9" s="882">
        <v>34.387773449420614</v>
      </c>
      <c r="AE9" s="882">
        <v>37.028500588840977</v>
      </c>
      <c r="AF9" s="882">
        <v>39.66922772826134</v>
      </c>
      <c r="AG9" s="882">
        <v>42.309954867681718</v>
      </c>
      <c r="AH9" s="882">
        <v>44.950682007102088</v>
      </c>
      <c r="AI9" s="882">
        <v>47.591409146522452</v>
      </c>
      <c r="AJ9" s="882">
        <v>50.232136285942822</v>
      </c>
      <c r="AK9" s="882">
        <v>52.872863425363192</v>
      </c>
      <c r="AL9" s="882">
        <v>55.513590564783556</v>
      </c>
      <c r="AM9" s="882">
        <v>58.154317704203933</v>
      </c>
      <c r="AN9" s="882">
        <v>60.795044843624297</v>
      </c>
      <c r="AO9" s="882">
        <v>63.435771983044674</v>
      </c>
      <c r="AP9" s="882">
        <v>66.076499122465037</v>
      </c>
      <c r="AQ9" s="882">
        <v>68.717226261885415</v>
      </c>
      <c r="AR9" s="882">
        <v>71.357953401305764</v>
      </c>
      <c r="AS9" s="882">
        <v>73.998680540726141</v>
      </c>
      <c r="AT9" s="882">
        <v>76.639407680146505</v>
      </c>
    </row>
    <row r="10" spans="1:255">
      <c r="A10" s="1426"/>
      <c r="B10" s="1427"/>
      <c r="C10" s="881">
        <v>0.4</v>
      </c>
      <c r="D10" s="915">
        <f>(AA10*KFC!$B$17+KFC!$C$17)*KFC!$C$5</f>
        <v>27.043684134804003</v>
      </c>
      <c r="E10" s="912">
        <f>(AB10*KFC!$B$17+KFC!$C$17)*KFC!$C$5</f>
        <v>29.796675816846317</v>
      </c>
      <c r="F10" s="912">
        <f>(AC10*KFC!$B$17+KFC!$C$17)*KFC!$C$5</f>
        <v>32.549667498888631</v>
      </c>
      <c r="G10" s="912">
        <f>(AD10*KFC!$B$17+KFC!$C$17)*KFC!$C$5</f>
        <v>35.302659180930945</v>
      </c>
      <c r="H10" s="912">
        <f>(AE10*KFC!$B$17+KFC!$C$17)*KFC!$C$5</f>
        <v>38.055650862973266</v>
      </c>
      <c r="I10" s="912">
        <f>(AF10*KFC!$B$17+KFC!$C$17)*KFC!$C$5</f>
        <v>40.80864254501558</v>
      </c>
      <c r="J10" s="912">
        <f>(AG10*KFC!$B$17+KFC!$C$17)*KFC!$C$5</f>
        <v>43.561634227057887</v>
      </c>
      <c r="K10" s="912">
        <f>(AH10*KFC!$B$17+KFC!$C$17)*KFC!$C$5</f>
        <v>46.314625909100201</v>
      </c>
      <c r="L10" s="912">
        <f>(AI10*KFC!$B$17+KFC!$C$17)*KFC!$C$5</f>
        <v>49.067617591142522</v>
      </c>
      <c r="M10" s="912">
        <f>(AJ10*KFC!$B$17+KFC!$C$17)*KFC!$C$5</f>
        <v>51.820609273184843</v>
      </c>
      <c r="N10" s="912">
        <f>(AK10*KFC!$B$17+KFC!$C$17)*KFC!$C$5</f>
        <v>54.573600955227143</v>
      </c>
      <c r="O10" s="912">
        <f>(AL10*KFC!$B$17+KFC!$C$17)*KFC!$C$5</f>
        <v>57.326592637269471</v>
      </c>
      <c r="P10" s="912">
        <f>(AM10*KFC!$B$17+KFC!$C$17)*KFC!$C$5</f>
        <v>60.079584319311785</v>
      </c>
      <c r="Q10" s="912">
        <f>(AN10*KFC!$B$17+KFC!$C$17)*KFC!$C$5</f>
        <v>62.832576001354099</v>
      </c>
      <c r="R10" s="912">
        <f>(AO10*KFC!$B$17+KFC!$C$17)*KFC!$C$5</f>
        <v>65.585567683396405</v>
      </c>
      <c r="S10" s="912">
        <f>(AP10*KFC!$B$17+KFC!$C$17)*KFC!$C$5</f>
        <v>68.338559365438726</v>
      </c>
      <c r="T10" s="912">
        <f>(AQ10*KFC!$B$17+KFC!$C$17)*KFC!$C$5</f>
        <v>71.091551047481033</v>
      </c>
      <c r="U10" s="912">
        <f>(AR10*KFC!$B$17+KFC!$C$17)*KFC!$C$5</f>
        <v>73.844542729523354</v>
      </c>
      <c r="V10" s="912">
        <f>(AS10*KFC!$B$17+KFC!$C$17)*KFC!$C$5</f>
        <v>76.597534411565661</v>
      </c>
      <c r="W10" s="916">
        <f>(AT10*KFC!$B$17+KFC!$C$17)*KFC!$C$5</f>
        <v>79.350526093607996</v>
      </c>
      <c r="Y10" s="1277"/>
      <c r="Z10" s="649">
        <v>0.4</v>
      </c>
      <c r="AA10" s="882">
        <v>27.043684134804003</v>
      </c>
      <c r="AB10" s="882">
        <v>29.796675816846317</v>
      </c>
      <c r="AC10" s="882">
        <v>32.549667498888631</v>
      </c>
      <c r="AD10" s="882">
        <v>35.302659180930945</v>
      </c>
      <c r="AE10" s="882">
        <v>38.055650862973266</v>
      </c>
      <c r="AF10" s="882">
        <v>40.80864254501558</v>
      </c>
      <c r="AG10" s="882">
        <v>43.561634227057887</v>
      </c>
      <c r="AH10" s="882">
        <v>46.314625909100201</v>
      </c>
      <c r="AI10" s="882">
        <v>49.067617591142522</v>
      </c>
      <c r="AJ10" s="882">
        <v>51.820609273184843</v>
      </c>
      <c r="AK10" s="882">
        <v>54.573600955227143</v>
      </c>
      <c r="AL10" s="882">
        <v>57.326592637269471</v>
      </c>
      <c r="AM10" s="882">
        <v>60.079584319311785</v>
      </c>
      <c r="AN10" s="882">
        <v>62.832576001354099</v>
      </c>
      <c r="AO10" s="882">
        <v>65.585567683396405</v>
      </c>
      <c r="AP10" s="882">
        <v>68.338559365438726</v>
      </c>
      <c r="AQ10" s="882">
        <v>71.091551047481033</v>
      </c>
      <c r="AR10" s="882">
        <v>73.844542729523354</v>
      </c>
      <c r="AS10" s="882">
        <v>76.597534411565661</v>
      </c>
      <c r="AT10" s="882">
        <v>79.350526093607996</v>
      </c>
    </row>
    <row r="11" spans="1:255">
      <c r="A11" s="1426"/>
      <c r="B11" s="1427"/>
      <c r="C11" s="881">
        <v>0.5</v>
      </c>
      <c r="D11" s="915">
        <f>(AA11*KFC!$B$17+KFC!$C$17)*KFC!$C$5</f>
        <v>27.621776238448504</v>
      </c>
      <c r="E11" s="912">
        <f>(AB11*KFC!$B$17+KFC!$C$17)*KFC!$C$5</f>
        <v>30.487032463112769</v>
      </c>
      <c r="F11" s="912">
        <f>(AC11*KFC!$B$17+KFC!$C$17)*KFC!$C$5</f>
        <v>33.352288687777026</v>
      </c>
      <c r="G11" s="912">
        <f>(AD11*KFC!$B$17+KFC!$C$17)*KFC!$C$5</f>
        <v>36.217544912441291</v>
      </c>
      <c r="H11" s="912">
        <f>(AE11*KFC!$B$17+KFC!$C$17)*KFC!$C$5</f>
        <v>39.082801137105555</v>
      </c>
      <c r="I11" s="912">
        <f>(AF11*KFC!$B$17+KFC!$C$17)*KFC!$C$5</f>
        <v>41.94805736176982</v>
      </c>
      <c r="J11" s="912">
        <f>(AG11*KFC!$B$17+KFC!$C$17)*KFC!$C$5</f>
        <v>44.813313586434084</v>
      </c>
      <c r="K11" s="912">
        <f>(AH11*KFC!$B$17+KFC!$C$17)*KFC!$C$5</f>
        <v>47.678569811098356</v>
      </c>
      <c r="L11" s="912">
        <f>(AI11*KFC!$B$17+KFC!$C$17)*KFC!$C$5</f>
        <v>50.543826035762613</v>
      </c>
      <c r="M11" s="912">
        <f>(AJ11*KFC!$B$17+KFC!$C$17)*KFC!$C$5</f>
        <v>53.409082260426885</v>
      </c>
      <c r="N11" s="912">
        <f>(AK11*KFC!$B$17+KFC!$C$17)*KFC!$C$5</f>
        <v>56.274338485091157</v>
      </c>
      <c r="O11" s="912">
        <f>(AL11*KFC!$B$17+KFC!$C$17)*KFC!$C$5</f>
        <v>59.139594709755414</v>
      </c>
      <c r="P11" s="912">
        <f>(AM11*KFC!$B$17+KFC!$C$17)*KFC!$C$5</f>
        <v>62.004850934419686</v>
      </c>
      <c r="Q11" s="912">
        <f>(AN11*KFC!$B$17+KFC!$C$17)*KFC!$C$5</f>
        <v>64.870107159083958</v>
      </c>
      <c r="R11" s="912">
        <f>(AO11*KFC!$B$17+KFC!$C$17)*KFC!$C$5</f>
        <v>67.735363383748208</v>
      </c>
      <c r="S11" s="912">
        <f>(AP11*KFC!$B$17+KFC!$C$17)*KFC!$C$5</f>
        <v>70.600619608412487</v>
      </c>
      <c r="T11" s="912">
        <f>(AQ11*KFC!$B$17+KFC!$C$17)*KFC!$C$5</f>
        <v>73.465875833076751</v>
      </c>
      <c r="U11" s="912">
        <f>(AR11*KFC!$B$17+KFC!$C$17)*KFC!$C$5</f>
        <v>76.331132057741016</v>
      </c>
      <c r="V11" s="912">
        <f>(AS11*KFC!$B$17+KFC!$C$17)*KFC!$C$5</f>
        <v>79.19638828240528</v>
      </c>
      <c r="W11" s="916">
        <f>(AT11*KFC!$B$17+KFC!$C$17)*KFC!$C$5</f>
        <v>82.061644507069488</v>
      </c>
      <c r="Y11" s="1277"/>
      <c r="Z11" s="649">
        <v>0.5</v>
      </c>
      <c r="AA11" s="882">
        <v>27.621776238448504</v>
      </c>
      <c r="AB11" s="882">
        <v>30.487032463112769</v>
      </c>
      <c r="AC11" s="882">
        <v>33.352288687777026</v>
      </c>
      <c r="AD11" s="882">
        <v>36.217544912441291</v>
      </c>
      <c r="AE11" s="882">
        <v>39.082801137105555</v>
      </c>
      <c r="AF11" s="882">
        <v>41.94805736176982</v>
      </c>
      <c r="AG11" s="882">
        <v>44.813313586434084</v>
      </c>
      <c r="AH11" s="882">
        <v>47.678569811098356</v>
      </c>
      <c r="AI11" s="882">
        <v>50.543826035762613</v>
      </c>
      <c r="AJ11" s="882">
        <v>53.409082260426885</v>
      </c>
      <c r="AK11" s="882">
        <v>56.274338485091157</v>
      </c>
      <c r="AL11" s="882">
        <v>59.139594709755414</v>
      </c>
      <c r="AM11" s="882">
        <v>62.004850934419686</v>
      </c>
      <c r="AN11" s="882">
        <v>64.870107159083958</v>
      </c>
      <c r="AO11" s="882">
        <v>67.735363383748208</v>
      </c>
      <c r="AP11" s="882">
        <v>70.600619608412487</v>
      </c>
      <c r="AQ11" s="882">
        <v>73.465875833076751</v>
      </c>
      <c r="AR11" s="882">
        <v>76.331132057741016</v>
      </c>
      <c r="AS11" s="882">
        <v>79.19638828240528</v>
      </c>
      <c r="AT11" s="882">
        <v>82.061644507069488</v>
      </c>
    </row>
    <row r="12" spans="1:255">
      <c r="A12" s="1426"/>
      <c r="B12" s="1427"/>
      <c r="C12" s="881">
        <v>0.6</v>
      </c>
      <c r="D12" s="915">
        <f>(AA12*KFC!$B$17+KFC!$C$17)*KFC!$C$5</f>
        <v>28.199868342093005</v>
      </c>
      <c r="E12" s="912">
        <f>(AB12*KFC!$B$17+KFC!$C$17)*KFC!$C$5</f>
        <v>31.177389109379213</v>
      </c>
      <c r="F12" s="912">
        <f>(AC12*KFC!$B$17+KFC!$C$17)*KFC!$C$5</f>
        <v>34.154909876665428</v>
      </c>
      <c r="G12" s="912">
        <f>(AD12*KFC!$B$17+KFC!$C$17)*KFC!$C$5</f>
        <v>37.132430643951636</v>
      </c>
      <c r="H12" s="912">
        <f>(AE12*KFC!$B$17+KFC!$C$17)*KFC!$C$5</f>
        <v>40.109951411237844</v>
      </c>
      <c r="I12" s="912">
        <f>(AF12*KFC!$B$17+KFC!$C$17)*KFC!$C$5</f>
        <v>43.08747217852406</v>
      </c>
      <c r="J12" s="912">
        <f>(AG12*KFC!$B$17+KFC!$C$17)*KFC!$C$5</f>
        <v>46.064992945810268</v>
      </c>
      <c r="K12" s="912">
        <f>(AH12*KFC!$B$17+KFC!$C$17)*KFC!$C$5</f>
        <v>49.042513713096483</v>
      </c>
      <c r="L12" s="912">
        <f>(AI12*KFC!$B$17+KFC!$C$17)*KFC!$C$5</f>
        <v>52.020034480382698</v>
      </c>
      <c r="M12" s="912">
        <f>(AJ12*KFC!$B$17+KFC!$C$17)*KFC!$C$5</f>
        <v>54.997555247668906</v>
      </c>
      <c r="N12" s="912">
        <f>(AK12*KFC!$B$17+KFC!$C$17)*KFC!$C$5</f>
        <v>57.975076014955121</v>
      </c>
      <c r="O12" s="912">
        <f>(AL12*KFC!$B$17+KFC!$C$17)*KFC!$C$5</f>
        <v>60.952596782241336</v>
      </c>
      <c r="P12" s="912">
        <f>(AM12*KFC!$B$17+KFC!$C$17)*KFC!$C$5</f>
        <v>63.930117549527537</v>
      </c>
      <c r="Q12" s="912">
        <f>(AN12*KFC!$B$17+KFC!$C$17)*KFC!$C$5</f>
        <v>66.90763831681376</v>
      </c>
      <c r="R12" s="912">
        <f>(AO12*KFC!$B$17+KFC!$C$17)*KFC!$C$5</f>
        <v>69.885159084099953</v>
      </c>
      <c r="S12" s="912">
        <f>(AP12*KFC!$B$17+KFC!$C$17)*KFC!$C$5</f>
        <v>72.862679851386162</v>
      </c>
      <c r="T12" s="912">
        <f>(AQ12*KFC!$B$17+KFC!$C$17)*KFC!$C$5</f>
        <v>75.840200618672355</v>
      </c>
      <c r="U12" s="912">
        <f>(AR12*KFC!$B$17+KFC!$C$17)*KFC!$C$5</f>
        <v>78.817721385958563</v>
      </c>
      <c r="V12" s="912">
        <f>(AS12*KFC!$B$17+KFC!$C$17)*KFC!$C$5</f>
        <v>81.795242153244772</v>
      </c>
      <c r="W12" s="916">
        <f>(AT12*KFC!$B$17+KFC!$C$17)*KFC!$C$5</f>
        <v>84.772762920530994</v>
      </c>
      <c r="Y12" s="1277"/>
      <c r="Z12" s="649">
        <v>0.6</v>
      </c>
      <c r="AA12" s="882">
        <v>28.199868342093005</v>
      </c>
      <c r="AB12" s="882">
        <v>31.177389109379213</v>
      </c>
      <c r="AC12" s="882">
        <v>34.154909876665428</v>
      </c>
      <c r="AD12" s="882">
        <v>37.132430643951636</v>
      </c>
      <c r="AE12" s="882">
        <v>40.109951411237844</v>
      </c>
      <c r="AF12" s="882">
        <v>43.08747217852406</v>
      </c>
      <c r="AG12" s="882">
        <v>46.064992945810268</v>
      </c>
      <c r="AH12" s="882">
        <v>49.042513713096483</v>
      </c>
      <c r="AI12" s="882">
        <v>52.020034480382698</v>
      </c>
      <c r="AJ12" s="882">
        <v>54.997555247668906</v>
      </c>
      <c r="AK12" s="882">
        <v>57.975076014955121</v>
      </c>
      <c r="AL12" s="882">
        <v>60.952596782241336</v>
      </c>
      <c r="AM12" s="882">
        <v>63.930117549527537</v>
      </c>
      <c r="AN12" s="882">
        <v>66.90763831681376</v>
      </c>
      <c r="AO12" s="882">
        <v>69.885159084099953</v>
      </c>
      <c r="AP12" s="882">
        <v>72.862679851386162</v>
      </c>
      <c r="AQ12" s="882">
        <v>75.840200618672355</v>
      </c>
      <c r="AR12" s="882">
        <v>78.817721385958563</v>
      </c>
      <c r="AS12" s="882">
        <v>81.795242153244772</v>
      </c>
      <c r="AT12" s="882">
        <v>84.772762920530994</v>
      </c>
    </row>
    <row r="13" spans="1:255">
      <c r="A13" s="1426"/>
      <c r="B13" s="1427"/>
      <c r="C13" s="881">
        <v>0.7</v>
      </c>
      <c r="D13" s="915">
        <f>(AA13*KFC!$B$17+KFC!$C$17)*KFC!$C$5</f>
        <v>28.777960445737506</v>
      </c>
      <c r="E13" s="912">
        <f>(AB13*KFC!$B$17+KFC!$C$17)*KFC!$C$5</f>
        <v>31.867745755645664</v>
      </c>
      <c r="F13" s="912">
        <f>(AC13*KFC!$B$17+KFC!$C$17)*KFC!$C$5</f>
        <v>34.957531065553816</v>
      </c>
      <c r="G13" s="912">
        <f>(AD13*KFC!$B$17+KFC!$C$17)*KFC!$C$5</f>
        <v>38.047316375461982</v>
      </c>
      <c r="H13" s="912">
        <f>(AE13*KFC!$B$17+KFC!$C$17)*KFC!$C$5</f>
        <v>41.137101685370133</v>
      </c>
      <c r="I13" s="912">
        <f>(AF13*KFC!$B$17+KFC!$C$17)*KFC!$C$5</f>
        <v>44.226886995278285</v>
      </c>
      <c r="J13" s="912">
        <f>(AG13*KFC!$B$17+KFC!$C$17)*KFC!$C$5</f>
        <v>47.316672305186451</v>
      </c>
      <c r="K13" s="912">
        <f>(AH13*KFC!$B$17+KFC!$C$17)*KFC!$C$5</f>
        <v>50.40645761509461</v>
      </c>
      <c r="L13" s="912">
        <f>(AI13*KFC!$B$17+KFC!$C$17)*KFC!$C$5</f>
        <v>53.496242925002761</v>
      </c>
      <c r="M13" s="912">
        <f>(AJ13*KFC!$B$17+KFC!$C$17)*KFC!$C$5</f>
        <v>56.58602823491092</v>
      </c>
      <c r="N13" s="912">
        <f>(AK13*KFC!$B$17+KFC!$C$17)*KFC!$C$5</f>
        <v>59.675813544819071</v>
      </c>
      <c r="O13" s="912">
        <f>(AL13*KFC!$B$17+KFC!$C$17)*KFC!$C$5</f>
        <v>62.76559885472723</v>
      </c>
      <c r="P13" s="912">
        <f>(AM13*KFC!$B$17+KFC!$C$17)*KFC!$C$5</f>
        <v>65.855384164635396</v>
      </c>
      <c r="Q13" s="912">
        <f>(AN13*KFC!$B$17+KFC!$C$17)*KFC!$C$5</f>
        <v>68.945169474543562</v>
      </c>
      <c r="R13" s="912">
        <f>(AO13*KFC!$B$17+KFC!$C$17)*KFC!$C$5</f>
        <v>72.034954784451713</v>
      </c>
      <c r="S13" s="912">
        <f>(AP13*KFC!$B$17+KFC!$C$17)*KFC!$C$5</f>
        <v>75.124740094359865</v>
      </c>
      <c r="T13" s="912">
        <f>(AQ13*KFC!$B$17+KFC!$C$17)*KFC!$C$5</f>
        <v>78.214525404268016</v>
      </c>
      <c r="U13" s="912">
        <f>(AR13*KFC!$B$17+KFC!$C$17)*KFC!$C$5</f>
        <v>81.304310714176182</v>
      </c>
      <c r="V13" s="912">
        <f>(AS13*KFC!$B$17+KFC!$C$17)*KFC!$C$5</f>
        <v>84.394096024084334</v>
      </c>
      <c r="W13" s="916">
        <f>(AT13*KFC!$B$17+KFC!$C$17)*KFC!$C$5</f>
        <v>87.4838813339925</v>
      </c>
      <c r="Y13" s="1277"/>
      <c r="Z13" s="649">
        <v>0.7</v>
      </c>
      <c r="AA13" s="882">
        <v>28.777960445737506</v>
      </c>
      <c r="AB13" s="882">
        <v>31.867745755645664</v>
      </c>
      <c r="AC13" s="882">
        <v>34.957531065553816</v>
      </c>
      <c r="AD13" s="882">
        <v>38.047316375461982</v>
      </c>
      <c r="AE13" s="882">
        <v>41.137101685370133</v>
      </c>
      <c r="AF13" s="882">
        <v>44.226886995278285</v>
      </c>
      <c r="AG13" s="882">
        <v>47.316672305186451</v>
      </c>
      <c r="AH13" s="882">
        <v>50.40645761509461</v>
      </c>
      <c r="AI13" s="882">
        <v>53.496242925002761</v>
      </c>
      <c r="AJ13" s="882">
        <v>56.58602823491092</v>
      </c>
      <c r="AK13" s="882">
        <v>59.675813544819071</v>
      </c>
      <c r="AL13" s="882">
        <v>62.76559885472723</v>
      </c>
      <c r="AM13" s="882">
        <v>65.855384164635396</v>
      </c>
      <c r="AN13" s="882">
        <v>68.945169474543562</v>
      </c>
      <c r="AO13" s="882">
        <v>72.034954784451713</v>
      </c>
      <c r="AP13" s="882">
        <v>75.124740094359865</v>
      </c>
      <c r="AQ13" s="882">
        <v>78.214525404268016</v>
      </c>
      <c r="AR13" s="882">
        <v>81.304310714176182</v>
      </c>
      <c r="AS13" s="882">
        <v>84.394096024084334</v>
      </c>
      <c r="AT13" s="882">
        <v>87.4838813339925</v>
      </c>
    </row>
    <row r="14" spans="1:255">
      <c r="A14" s="1426"/>
      <c r="B14" s="1427"/>
      <c r="C14" s="881">
        <v>0.8</v>
      </c>
      <c r="D14" s="915">
        <f>(AA14*KFC!$B$17+KFC!$C$17)*KFC!$C$5</f>
        <v>29.35605254938201</v>
      </c>
      <c r="E14" s="912">
        <f>(AB14*KFC!$B$17+KFC!$C$17)*KFC!$C$5</f>
        <v>32.558102401912116</v>
      </c>
      <c r="F14" s="912">
        <f>(AC14*KFC!$B$17+KFC!$C$17)*KFC!$C$5</f>
        <v>35.760152254442218</v>
      </c>
      <c r="G14" s="912">
        <f>(AD14*KFC!$B$17+KFC!$C$17)*KFC!$C$5</f>
        <v>38.96220210697232</v>
      </c>
      <c r="H14" s="912">
        <f>(AE14*KFC!$B$17+KFC!$C$17)*KFC!$C$5</f>
        <v>42.164251959502423</v>
      </c>
      <c r="I14" s="912">
        <f>(AF14*KFC!$B$17+KFC!$C$17)*KFC!$C$5</f>
        <v>45.366301812032532</v>
      </c>
      <c r="J14" s="912">
        <f>(AG14*KFC!$B$17+KFC!$C$17)*KFC!$C$5</f>
        <v>48.568351664562627</v>
      </c>
      <c r="K14" s="912">
        <f>(AH14*KFC!$B$17+KFC!$C$17)*KFC!$C$5</f>
        <v>51.770401517092729</v>
      </c>
      <c r="L14" s="912">
        <f>(AI14*KFC!$B$17+KFC!$C$17)*KFC!$C$5</f>
        <v>54.972451369622831</v>
      </c>
      <c r="M14" s="912">
        <f>(AJ14*KFC!$B$17+KFC!$C$17)*KFC!$C$5</f>
        <v>58.174501222152927</v>
      </c>
      <c r="N14" s="912">
        <f>(AK14*KFC!$B$17+KFC!$C$17)*KFC!$C$5</f>
        <v>61.376551074683036</v>
      </c>
      <c r="O14" s="912">
        <f>(AL14*KFC!$B$17+KFC!$C$17)*KFC!$C$5</f>
        <v>64.578600927213131</v>
      </c>
      <c r="P14" s="912">
        <f>(AM14*KFC!$B$17+KFC!$C$17)*KFC!$C$5</f>
        <v>67.78065077974324</v>
      </c>
      <c r="Q14" s="912">
        <f>(AN14*KFC!$B$17+KFC!$C$17)*KFC!$C$5</f>
        <v>70.98270063227335</v>
      </c>
      <c r="R14" s="912">
        <f>(AO14*KFC!$B$17+KFC!$C$17)*KFC!$C$5</f>
        <v>74.184750484803459</v>
      </c>
      <c r="S14" s="912">
        <f>(AP14*KFC!$B$17+KFC!$C$17)*KFC!$C$5</f>
        <v>77.386800337333568</v>
      </c>
      <c r="T14" s="912">
        <f>(AQ14*KFC!$B$17+KFC!$C$17)*KFC!$C$5</f>
        <v>80.588850189863678</v>
      </c>
      <c r="U14" s="912">
        <f>(AR14*KFC!$B$17+KFC!$C$17)*KFC!$C$5</f>
        <v>83.790900042393787</v>
      </c>
      <c r="V14" s="912">
        <f>(AS14*KFC!$B$17+KFC!$C$17)*KFC!$C$5</f>
        <v>86.992949894923882</v>
      </c>
      <c r="W14" s="916">
        <f>(AT14*KFC!$B$17+KFC!$C$17)*KFC!$C$5</f>
        <v>90.194999747453991</v>
      </c>
      <c r="Y14" s="1277"/>
      <c r="Z14" s="649">
        <v>0.8</v>
      </c>
      <c r="AA14" s="882">
        <v>29.35605254938201</v>
      </c>
      <c r="AB14" s="882">
        <v>32.558102401912116</v>
      </c>
      <c r="AC14" s="882">
        <v>35.760152254442218</v>
      </c>
      <c r="AD14" s="882">
        <v>38.96220210697232</v>
      </c>
      <c r="AE14" s="882">
        <v>42.164251959502423</v>
      </c>
      <c r="AF14" s="882">
        <v>45.366301812032532</v>
      </c>
      <c r="AG14" s="882">
        <v>48.568351664562627</v>
      </c>
      <c r="AH14" s="882">
        <v>51.770401517092729</v>
      </c>
      <c r="AI14" s="882">
        <v>54.972451369622831</v>
      </c>
      <c r="AJ14" s="882">
        <v>58.174501222152927</v>
      </c>
      <c r="AK14" s="882">
        <v>61.376551074683036</v>
      </c>
      <c r="AL14" s="882">
        <v>64.578600927213131</v>
      </c>
      <c r="AM14" s="882">
        <v>67.78065077974324</v>
      </c>
      <c r="AN14" s="882">
        <v>70.98270063227335</v>
      </c>
      <c r="AO14" s="882">
        <v>74.184750484803459</v>
      </c>
      <c r="AP14" s="882">
        <v>77.386800337333568</v>
      </c>
      <c r="AQ14" s="882">
        <v>80.588850189863678</v>
      </c>
      <c r="AR14" s="882">
        <v>83.790900042393787</v>
      </c>
      <c r="AS14" s="882">
        <v>86.992949894923882</v>
      </c>
      <c r="AT14" s="882">
        <v>90.194999747453991</v>
      </c>
    </row>
    <row r="15" spans="1:255">
      <c r="A15" s="1426"/>
      <c r="B15" s="1427"/>
      <c r="C15" s="881">
        <v>0.9</v>
      </c>
      <c r="D15" s="915">
        <f>(AA15*KFC!$B$17+KFC!$C$17)*KFC!$C$5</f>
        <v>29.934144653026511</v>
      </c>
      <c r="E15" s="912">
        <f>(AB15*KFC!$B$17+KFC!$C$17)*KFC!$C$5</f>
        <v>33.24845904817856</v>
      </c>
      <c r="F15" s="912">
        <f>(AC15*KFC!$B$17+KFC!$C$17)*KFC!$C$5</f>
        <v>36.562773443330613</v>
      </c>
      <c r="G15" s="912">
        <f>(AD15*KFC!$B$17+KFC!$C$17)*KFC!$C$5</f>
        <v>39.877087838482666</v>
      </c>
      <c r="H15" s="912">
        <f>(AE15*KFC!$B$17+KFC!$C$17)*KFC!$C$5</f>
        <v>43.191402233634726</v>
      </c>
      <c r="I15" s="912">
        <f>(AF15*KFC!$B$17+KFC!$C$17)*KFC!$C$5</f>
        <v>46.505716628786779</v>
      </c>
      <c r="J15" s="912">
        <f>(AG15*KFC!$B$17+KFC!$C$17)*KFC!$C$5</f>
        <v>49.820031023938832</v>
      </c>
      <c r="K15" s="912">
        <f>(AH15*KFC!$B$17+KFC!$C$17)*KFC!$C$5</f>
        <v>53.134345419090877</v>
      </c>
      <c r="L15" s="912">
        <f>(AI15*KFC!$B$17+KFC!$C$17)*KFC!$C$5</f>
        <v>56.44865981424293</v>
      </c>
      <c r="M15" s="912">
        <f>(AJ15*KFC!$B$17+KFC!$C$17)*KFC!$C$5</f>
        <v>59.762974209394983</v>
      </c>
      <c r="N15" s="912">
        <f>(AK15*KFC!$B$17+KFC!$C$17)*KFC!$C$5</f>
        <v>63.077288604547036</v>
      </c>
      <c r="O15" s="912">
        <f>(AL15*KFC!$B$17+KFC!$C$17)*KFC!$C$5</f>
        <v>66.391602999699089</v>
      </c>
      <c r="P15" s="912">
        <f>(AM15*KFC!$B$17+KFC!$C$17)*KFC!$C$5</f>
        <v>69.705917394851127</v>
      </c>
      <c r="Q15" s="912">
        <f>(AN15*KFC!$B$17+KFC!$C$17)*KFC!$C$5</f>
        <v>73.02023179000318</v>
      </c>
      <c r="R15" s="912">
        <f>(AO15*KFC!$B$17+KFC!$C$17)*KFC!$C$5</f>
        <v>76.334546185155233</v>
      </c>
      <c r="S15" s="912">
        <f>(AP15*KFC!$B$17+KFC!$C$17)*KFC!$C$5</f>
        <v>79.648860580307286</v>
      </c>
      <c r="T15" s="912">
        <f>(AQ15*KFC!$B$17+KFC!$C$17)*KFC!$C$5</f>
        <v>82.963174975459324</v>
      </c>
      <c r="U15" s="912">
        <f>(AR15*KFC!$B$17+KFC!$C$17)*KFC!$C$5</f>
        <v>86.277489370611363</v>
      </c>
      <c r="V15" s="912">
        <f>(AS15*KFC!$B$17+KFC!$C$17)*KFC!$C$5</f>
        <v>89.591803765763416</v>
      </c>
      <c r="W15" s="916">
        <f>(AT15*KFC!$B$17+KFC!$C$17)*KFC!$C$5</f>
        <v>92.906118160915483</v>
      </c>
      <c r="Y15" s="1277"/>
      <c r="Z15" s="649">
        <v>0.9</v>
      </c>
      <c r="AA15" s="882">
        <v>29.934144653026511</v>
      </c>
      <c r="AB15" s="882">
        <v>33.24845904817856</v>
      </c>
      <c r="AC15" s="882">
        <v>36.562773443330613</v>
      </c>
      <c r="AD15" s="882">
        <v>39.877087838482666</v>
      </c>
      <c r="AE15" s="882">
        <v>43.191402233634726</v>
      </c>
      <c r="AF15" s="882">
        <v>46.505716628786779</v>
      </c>
      <c r="AG15" s="882">
        <v>49.820031023938832</v>
      </c>
      <c r="AH15" s="882">
        <v>53.134345419090877</v>
      </c>
      <c r="AI15" s="882">
        <v>56.44865981424293</v>
      </c>
      <c r="AJ15" s="882">
        <v>59.762974209394983</v>
      </c>
      <c r="AK15" s="882">
        <v>63.077288604547036</v>
      </c>
      <c r="AL15" s="882">
        <v>66.391602999699089</v>
      </c>
      <c r="AM15" s="882">
        <v>69.705917394851127</v>
      </c>
      <c r="AN15" s="882">
        <v>73.02023179000318</v>
      </c>
      <c r="AO15" s="882">
        <v>76.334546185155233</v>
      </c>
      <c r="AP15" s="882">
        <v>79.648860580307286</v>
      </c>
      <c r="AQ15" s="882">
        <v>82.963174975459324</v>
      </c>
      <c r="AR15" s="882">
        <v>86.277489370611363</v>
      </c>
      <c r="AS15" s="882">
        <v>89.591803765763416</v>
      </c>
      <c r="AT15" s="882">
        <v>92.906118160915483</v>
      </c>
    </row>
    <row r="16" spans="1:255">
      <c r="A16" s="1426"/>
      <c r="B16" s="1427"/>
      <c r="C16" s="881">
        <v>1</v>
      </c>
      <c r="D16" s="915">
        <f>(AA16*KFC!$B$17+KFC!$C$17)*KFC!$C$5</f>
        <v>30.512236756671012</v>
      </c>
      <c r="E16" s="912">
        <f>(AB16*KFC!$B$17+KFC!$C$17)*KFC!$C$5</f>
        <v>33.938815694445012</v>
      </c>
      <c r="F16" s="912">
        <f>(AC16*KFC!$B$17+KFC!$C$17)*KFC!$C$5</f>
        <v>37.365394632219015</v>
      </c>
      <c r="G16" s="912">
        <f>(AD16*KFC!$B$17+KFC!$C$17)*KFC!$C$5</f>
        <v>40.791973569993011</v>
      </c>
      <c r="H16" s="912">
        <f>(AE16*KFC!$B$17+KFC!$C$17)*KFC!$C$5</f>
        <v>44.218552507767015</v>
      </c>
      <c r="I16" s="912">
        <f>(AF16*KFC!$B$17+KFC!$C$17)*KFC!$C$5</f>
        <v>47.645131445541004</v>
      </c>
      <c r="J16" s="912">
        <f>(AG16*KFC!$B$17+KFC!$C$17)*KFC!$C$5</f>
        <v>51.071710383315008</v>
      </c>
      <c r="K16" s="912">
        <f>(AH16*KFC!$B$17+KFC!$C$17)*KFC!$C$5</f>
        <v>54.498289321089004</v>
      </c>
      <c r="L16" s="912">
        <f>(AI16*KFC!$B$17+KFC!$C$17)*KFC!$C$5</f>
        <v>57.924868258863007</v>
      </c>
      <c r="M16" s="912">
        <f>(AJ16*KFC!$B$17+KFC!$C$17)*KFC!$C$5</f>
        <v>61.351447196637004</v>
      </c>
      <c r="N16" s="912">
        <f>(AK16*KFC!$B$17+KFC!$C$17)*KFC!$C$5</f>
        <v>64.778026134411007</v>
      </c>
      <c r="O16" s="912">
        <f>(AL16*KFC!$B$17+KFC!$C$17)*KFC!$C$5</f>
        <v>68.204605072185004</v>
      </c>
      <c r="P16" s="912">
        <f>(AM16*KFC!$B$17+KFC!$C$17)*KFC!$C$5</f>
        <v>71.631184009959</v>
      </c>
      <c r="Q16" s="912">
        <f>(AN16*KFC!$B$17+KFC!$C$17)*KFC!$C$5</f>
        <v>75.057762947732996</v>
      </c>
      <c r="R16" s="912">
        <f>(AO16*KFC!$B$17+KFC!$C$17)*KFC!$C$5</f>
        <v>78.484341885506993</v>
      </c>
      <c r="S16" s="912">
        <f>(AP16*KFC!$B$17+KFC!$C$17)*KFC!$C$5</f>
        <v>81.910920823280989</v>
      </c>
      <c r="T16" s="912">
        <f>(AQ16*KFC!$B$17+KFC!$C$17)*KFC!$C$5</f>
        <v>85.337499761054985</v>
      </c>
      <c r="U16" s="912">
        <f>(AR16*KFC!$B$17+KFC!$C$17)*KFC!$C$5</f>
        <v>88.764078698828996</v>
      </c>
      <c r="V16" s="912">
        <f>(AS16*KFC!$B$17+KFC!$C$17)*KFC!$C$5</f>
        <v>92.190657636602992</v>
      </c>
      <c r="W16" s="916">
        <f>(AT16*KFC!$B$17+KFC!$C$17)*KFC!$C$5</f>
        <v>95.617236574376975</v>
      </c>
      <c r="Y16" s="1277"/>
      <c r="Z16" s="649">
        <v>1</v>
      </c>
      <c r="AA16" s="882">
        <v>30.512236756671012</v>
      </c>
      <c r="AB16" s="882">
        <v>33.938815694445012</v>
      </c>
      <c r="AC16" s="882">
        <v>37.365394632219015</v>
      </c>
      <c r="AD16" s="882">
        <v>40.791973569993011</v>
      </c>
      <c r="AE16" s="882">
        <v>44.218552507767015</v>
      </c>
      <c r="AF16" s="882">
        <v>47.645131445541004</v>
      </c>
      <c r="AG16" s="882">
        <v>51.071710383315008</v>
      </c>
      <c r="AH16" s="882">
        <v>54.498289321089004</v>
      </c>
      <c r="AI16" s="882">
        <v>57.924868258863007</v>
      </c>
      <c r="AJ16" s="882">
        <v>61.351447196637004</v>
      </c>
      <c r="AK16" s="882">
        <v>64.778026134411007</v>
      </c>
      <c r="AL16" s="882">
        <v>68.204605072185004</v>
      </c>
      <c r="AM16" s="882">
        <v>71.631184009959</v>
      </c>
      <c r="AN16" s="882">
        <v>75.057762947732996</v>
      </c>
      <c r="AO16" s="882">
        <v>78.484341885506993</v>
      </c>
      <c r="AP16" s="882">
        <v>81.910920823280989</v>
      </c>
      <c r="AQ16" s="882">
        <v>85.337499761054985</v>
      </c>
      <c r="AR16" s="882">
        <v>88.764078698828996</v>
      </c>
      <c r="AS16" s="882">
        <v>92.190657636602992</v>
      </c>
      <c r="AT16" s="882">
        <v>95.617236574376975</v>
      </c>
    </row>
    <row r="17" spans="1:46">
      <c r="A17" s="1426"/>
      <c r="B17" s="1427"/>
      <c r="C17" s="881">
        <v>1.1000000000000001</v>
      </c>
      <c r="D17" s="915">
        <f>(AA17*KFC!$B$17+KFC!$C$17)*KFC!$C$5</f>
        <v>31.090328860315513</v>
      </c>
      <c r="E17" s="912">
        <f>(AB17*KFC!$B$17+KFC!$C$17)*KFC!$C$5</f>
        <v>34.629172340711463</v>
      </c>
      <c r="F17" s="912">
        <f>(AC17*KFC!$B$17+KFC!$C$17)*KFC!$C$5</f>
        <v>38.168015821107403</v>
      </c>
      <c r="G17" s="912">
        <f>(AD17*KFC!$B$17+KFC!$C$17)*KFC!$C$5</f>
        <v>41.70685930150335</v>
      </c>
      <c r="H17" s="912">
        <f>(AE17*KFC!$B$17+KFC!$C$17)*KFC!$C$5</f>
        <v>45.24570278189929</v>
      </c>
      <c r="I17" s="912">
        <f>(AF17*KFC!$B$17+KFC!$C$17)*KFC!$C$5</f>
        <v>48.784546262295237</v>
      </c>
      <c r="J17" s="912">
        <f>(AG17*KFC!$B$17+KFC!$C$17)*KFC!$C$5</f>
        <v>52.323389742691177</v>
      </c>
      <c r="K17" s="912">
        <f>(AH17*KFC!$B$17+KFC!$C$17)*KFC!$C$5</f>
        <v>55.862233223087124</v>
      </c>
      <c r="L17" s="912">
        <f>(AI17*KFC!$B$17+KFC!$C$17)*KFC!$C$5</f>
        <v>59.401076703483071</v>
      </c>
      <c r="M17" s="912">
        <f>(AJ17*KFC!$B$17+KFC!$C$17)*KFC!$C$5</f>
        <v>62.939920183879011</v>
      </c>
      <c r="N17" s="912">
        <f>(AK17*KFC!$B$17+KFC!$C$17)*KFC!$C$5</f>
        <v>66.478763664274965</v>
      </c>
      <c r="O17" s="912">
        <f>(AL17*KFC!$B$17+KFC!$C$17)*KFC!$C$5</f>
        <v>70.017607144670905</v>
      </c>
      <c r="P17" s="912">
        <f>(AM17*KFC!$B$17+KFC!$C$17)*KFC!$C$5</f>
        <v>73.556450625066859</v>
      </c>
      <c r="Q17" s="912">
        <f>(AN17*KFC!$B$17+KFC!$C$17)*KFC!$C$5</f>
        <v>77.095294105462813</v>
      </c>
      <c r="R17" s="912">
        <f>(AO17*KFC!$B$17+KFC!$C$17)*KFC!$C$5</f>
        <v>80.634137585858753</v>
      </c>
      <c r="S17" s="912">
        <f>(AP17*KFC!$B$17+KFC!$C$17)*KFC!$C$5</f>
        <v>84.172981066254707</v>
      </c>
      <c r="T17" s="912">
        <f>(AQ17*KFC!$B$17+KFC!$C$17)*KFC!$C$5</f>
        <v>87.711824546650661</v>
      </c>
      <c r="U17" s="912">
        <f>(AR17*KFC!$B$17+KFC!$C$17)*KFC!$C$5</f>
        <v>91.250668027046615</v>
      </c>
      <c r="V17" s="912">
        <f>(AS17*KFC!$B$17+KFC!$C$17)*KFC!$C$5</f>
        <v>94.789511507442555</v>
      </c>
      <c r="W17" s="916">
        <f>(AT17*KFC!$B$17+KFC!$C$17)*KFC!$C$5</f>
        <v>98.32835498783848</v>
      </c>
      <c r="Y17" s="1277"/>
      <c r="Z17" s="649">
        <v>1.1000000000000001</v>
      </c>
      <c r="AA17" s="882">
        <v>31.090328860315513</v>
      </c>
      <c r="AB17" s="882">
        <v>34.629172340711463</v>
      </c>
      <c r="AC17" s="882">
        <v>38.168015821107403</v>
      </c>
      <c r="AD17" s="882">
        <v>41.70685930150335</v>
      </c>
      <c r="AE17" s="882">
        <v>45.24570278189929</v>
      </c>
      <c r="AF17" s="882">
        <v>48.784546262295237</v>
      </c>
      <c r="AG17" s="882">
        <v>52.323389742691177</v>
      </c>
      <c r="AH17" s="882">
        <v>55.862233223087124</v>
      </c>
      <c r="AI17" s="882">
        <v>59.401076703483071</v>
      </c>
      <c r="AJ17" s="882">
        <v>62.939920183879011</v>
      </c>
      <c r="AK17" s="882">
        <v>66.478763664274965</v>
      </c>
      <c r="AL17" s="882">
        <v>70.017607144670905</v>
      </c>
      <c r="AM17" s="882">
        <v>73.556450625066859</v>
      </c>
      <c r="AN17" s="882">
        <v>77.095294105462813</v>
      </c>
      <c r="AO17" s="882">
        <v>80.634137585858753</v>
      </c>
      <c r="AP17" s="882">
        <v>84.172981066254707</v>
      </c>
      <c r="AQ17" s="882">
        <v>87.711824546650661</v>
      </c>
      <c r="AR17" s="882">
        <v>91.250668027046615</v>
      </c>
      <c r="AS17" s="882">
        <v>94.789511507442555</v>
      </c>
      <c r="AT17" s="882">
        <v>98.32835498783848</v>
      </c>
    </row>
    <row r="18" spans="1:46">
      <c r="A18" s="1426"/>
      <c r="B18" s="1427"/>
      <c r="C18" s="881">
        <v>1.2</v>
      </c>
      <c r="D18" s="915">
        <f>(AA18*KFC!$B$17+KFC!$C$17)*KFC!$C$5</f>
        <v>31.668420963960013</v>
      </c>
      <c r="E18" s="912">
        <f>(AB18*KFC!$B$17+KFC!$C$17)*KFC!$C$5</f>
        <v>35.319528986977907</v>
      </c>
      <c r="F18" s="912">
        <f>(AC18*KFC!$B$17+KFC!$C$17)*KFC!$C$5</f>
        <v>38.970637009995805</v>
      </c>
      <c r="G18" s="912">
        <f>(AD18*KFC!$B$17+KFC!$C$17)*KFC!$C$5</f>
        <v>42.621745033013688</v>
      </c>
      <c r="H18" s="912">
        <f>(AE18*KFC!$B$17+KFC!$C$17)*KFC!$C$5</f>
        <v>46.272853056031593</v>
      </c>
      <c r="I18" s="912">
        <f>(AF18*KFC!$B$17+KFC!$C$17)*KFC!$C$5</f>
        <v>49.923961079049491</v>
      </c>
      <c r="J18" s="912">
        <f>(AG18*KFC!$B$17+KFC!$C$17)*KFC!$C$5</f>
        <v>53.575069102067388</v>
      </c>
      <c r="K18" s="912">
        <f>(AH18*KFC!$B$17+KFC!$C$17)*KFC!$C$5</f>
        <v>57.226177125085279</v>
      </c>
      <c r="L18" s="912">
        <f>(AI18*KFC!$B$17+KFC!$C$17)*KFC!$C$5</f>
        <v>60.877285148103176</v>
      </c>
      <c r="M18" s="912">
        <f>(AJ18*KFC!$B$17+KFC!$C$17)*KFC!$C$5</f>
        <v>64.528393171121067</v>
      </c>
      <c r="N18" s="912">
        <f>(AK18*KFC!$B$17+KFC!$C$17)*KFC!$C$5</f>
        <v>68.17950119413895</v>
      </c>
      <c r="O18" s="912">
        <f>(AL18*KFC!$B$17+KFC!$C$17)*KFC!$C$5</f>
        <v>71.830609217156848</v>
      </c>
      <c r="P18" s="912">
        <f>(AM18*KFC!$B$17+KFC!$C$17)*KFC!$C$5</f>
        <v>75.481717240174731</v>
      </c>
      <c r="Q18" s="912">
        <f>(AN18*KFC!$B$17+KFC!$C$17)*KFC!$C$5</f>
        <v>79.132825263192629</v>
      </c>
      <c r="R18" s="912">
        <f>(AO18*KFC!$B$17+KFC!$C$17)*KFC!$C$5</f>
        <v>82.783933286210512</v>
      </c>
      <c r="S18" s="912">
        <f>(AP18*KFC!$B$17+KFC!$C$17)*KFC!$C$5</f>
        <v>86.43504130922841</v>
      </c>
      <c r="T18" s="912">
        <f>(AQ18*KFC!$B$17+KFC!$C$17)*KFC!$C$5</f>
        <v>90.086149332246279</v>
      </c>
      <c r="U18" s="912">
        <f>(AR18*KFC!$B$17+KFC!$C$17)*KFC!$C$5</f>
        <v>93.737257355264191</v>
      </c>
      <c r="V18" s="912">
        <f>(AS18*KFC!$B$17+KFC!$C$17)*KFC!$C$5</f>
        <v>97.38836537828206</v>
      </c>
      <c r="W18" s="916">
        <f>(AT18*KFC!$B$17+KFC!$C$17)*KFC!$C$5</f>
        <v>101.03947340129999</v>
      </c>
      <c r="Y18" s="1277"/>
      <c r="Z18" s="649">
        <v>1.2</v>
      </c>
      <c r="AA18" s="882">
        <v>31.668420963960013</v>
      </c>
      <c r="AB18" s="882">
        <v>35.319528986977907</v>
      </c>
      <c r="AC18" s="882">
        <v>38.970637009995805</v>
      </c>
      <c r="AD18" s="882">
        <v>42.621745033013688</v>
      </c>
      <c r="AE18" s="882">
        <v>46.272853056031593</v>
      </c>
      <c r="AF18" s="882">
        <v>49.923961079049491</v>
      </c>
      <c r="AG18" s="882">
        <v>53.575069102067388</v>
      </c>
      <c r="AH18" s="882">
        <v>57.226177125085279</v>
      </c>
      <c r="AI18" s="882">
        <v>60.877285148103176</v>
      </c>
      <c r="AJ18" s="882">
        <v>64.528393171121067</v>
      </c>
      <c r="AK18" s="882">
        <v>68.17950119413895</v>
      </c>
      <c r="AL18" s="882">
        <v>71.830609217156848</v>
      </c>
      <c r="AM18" s="882">
        <v>75.481717240174731</v>
      </c>
      <c r="AN18" s="882">
        <v>79.132825263192629</v>
      </c>
      <c r="AO18" s="882">
        <v>82.783933286210512</v>
      </c>
      <c r="AP18" s="882">
        <v>86.43504130922841</v>
      </c>
      <c r="AQ18" s="882">
        <v>90.086149332246279</v>
      </c>
      <c r="AR18" s="882">
        <v>93.737257355264191</v>
      </c>
      <c r="AS18" s="882">
        <v>97.38836537828206</v>
      </c>
      <c r="AT18" s="882">
        <v>101.03947340129999</v>
      </c>
    </row>
    <row r="19" spans="1:46">
      <c r="A19" s="1426"/>
      <c r="B19" s="1427"/>
      <c r="C19" s="881">
        <v>1.3</v>
      </c>
      <c r="D19" s="915">
        <f>(AA19*KFC!$B$17+KFC!$C$17)*KFC!$C$5</f>
        <v>32.246513067604518</v>
      </c>
      <c r="E19" s="912">
        <f>(AB19*KFC!$B$17+KFC!$C$17)*KFC!$C$5</f>
        <v>36.009885633244352</v>
      </c>
      <c r="F19" s="912">
        <f>(AC19*KFC!$B$17+KFC!$C$17)*KFC!$C$5</f>
        <v>39.773258198884193</v>
      </c>
      <c r="G19" s="912">
        <f>(AD19*KFC!$B$17+KFC!$C$17)*KFC!$C$5</f>
        <v>43.536630764524034</v>
      </c>
      <c r="H19" s="912">
        <f>(AE19*KFC!$B$17+KFC!$C$17)*KFC!$C$5</f>
        <v>47.300003330163882</v>
      </c>
      <c r="I19" s="912">
        <f>(AF19*KFC!$B$17+KFC!$C$17)*KFC!$C$5</f>
        <v>51.063375895803716</v>
      </c>
      <c r="J19" s="912">
        <f>(AG19*KFC!$B$17+KFC!$C$17)*KFC!$C$5</f>
        <v>54.82674846144355</v>
      </c>
      <c r="K19" s="912">
        <f>(AH19*KFC!$B$17+KFC!$C$17)*KFC!$C$5</f>
        <v>58.590121027083399</v>
      </c>
      <c r="L19" s="912">
        <f>(AI19*KFC!$B$17+KFC!$C$17)*KFC!$C$5</f>
        <v>62.35349359272324</v>
      </c>
      <c r="M19" s="912">
        <f>(AJ19*KFC!$B$17+KFC!$C$17)*KFC!$C$5</f>
        <v>66.116866158363081</v>
      </c>
      <c r="N19" s="912">
        <f>(AK19*KFC!$B$17+KFC!$C$17)*KFC!$C$5</f>
        <v>69.880238724002922</v>
      </c>
      <c r="O19" s="912">
        <f>(AL19*KFC!$B$17+KFC!$C$17)*KFC!$C$5</f>
        <v>73.643611289642763</v>
      </c>
      <c r="P19" s="912">
        <f>(AM19*KFC!$B$17+KFC!$C$17)*KFC!$C$5</f>
        <v>77.406983855282604</v>
      </c>
      <c r="Q19" s="912">
        <f>(AN19*KFC!$B$17+KFC!$C$17)*KFC!$C$5</f>
        <v>81.170356420922431</v>
      </c>
      <c r="R19" s="912">
        <f>(AO19*KFC!$B$17+KFC!$C$17)*KFC!$C$5</f>
        <v>84.933728986562272</v>
      </c>
      <c r="S19" s="912">
        <f>(AP19*KFC!$B$17+KFC!$C$17)*KFC!$C$5</f>
        <v>88.697101552202128</v>
      </c>
      <c r="T19" s="912">
        <f>(AQ19*KFC!$B$17+KFC!$C$17)*KFC!$C$5</f>
        <v>92.460474117841954</v>
      </c>
      <c r="U19" s="912">
        <f>(AR19*KFC!$B$17+KFC!$C$17)*KFC!$C$5</f>
        <v>96.223846683481796</v>
      </c>
      <c r="V19" s="912">
        <f>(AS19*KFC!$B$17+KFC!$C$17)*KFC!$C$5</f>
        <v>99.987219249121651</v>
      </c>
      <c r="W19" s="916">
        <f>(AT19*KFC!$B$17+KFC!$C$17)*KFC!$C$5</f>
        <v>103.75059181476149</v>
      </c>
      <c r="Y19" s="1277"/>
      <c r="Z19" s="649">
        <v>1.3</v>
      </c>
      <c r="AA19" s="882">
        <v>32.246513067604518</v>
      </c>
      <c r="AB19" s="882">
        <v>36.009885633244352</v>
      </c>
      <c r="AC19" s="882">
        <v>39.773258198884193</v>
      </c>
      <c r="AD19" s="882">
        <v>43.536630764524034</v>
      </c>
      <c r="AE19" s="882">
        <v>47.300003330163882</v>
      </c>
      <c r="AF19" s="882">
        <v>51.063375895803716</v>
      </c>
      <c r="AG19" s="882">
        <v>54.82674846144355</v>
      </c>
      <c r="AH19" s="882">
        <v>58.590121027083399</v>
      </c>
      <c r="AI19" s="882">
        <v>62.35349359272324</v>
      </c>
      <c r="AJ19" s="882">
        <v>66.116866158363081</v>
      </c>
      <c r="AK19" s="882">
        <v>69.880238724002922</v>
      </c>
      <c r="AL19" s="882">
        <v>73.643611289642763</v>
      </c>
      <c r="AM19" s="882">
        <v>77.406983855282604</v>
      </c>
      <c r="AN19" s="882">
        <v>81.170356420922431</v>
      </c>
      <c r="AO19" s="882">
        <v>84.933728986562272</v>
      </c>
      <c r="AP19" s="882">
        <v>88.697101552202128</v>
      </c>
      <c r="AQ19" s="882">
        <v>92.460474117841954</v>
      </c>
      <c r="AR19" s="882">
        <v>96.223846683481796</v>
      </c>
      <c r="AS19" s="882">
        <v>99.987219249121651</v>
      </c>
      <c r="AT19" s="882">
        <v>103.75059181476149</v>
      </c>
    </row>
    <row r="20" spans="1:46">
      <c r="A20" s="1426"/>
      <c r="B20" s="1427"/>
      <c r="C20" s="881">
        <v>1.4</v>
      </c>
      <c r="D20" s="915">
        <f>(AA20*KFC!$B$17+KFC!$C$17)*KFC!$C$5</f>
        <v>32.824605171249019</v>
      </c>
      <c r="E20" s="912">
        <f>(AB20*KFC!$B$17+KFC!$C$17)*KFC!$C$5</f>
        <v>36.700242279510803</v>
      </c>
      <c r="F20" s="912">
        <f>(AC20*KFC!$B$17+KFC!$C$17)*KFC!$C$5</f>
        <v>40.575879387772595</v>
      </c>
      <c r="G20" s="912">
        <f>(AD20*KFC!$B$17+KFC!$C$17)*KFC!$C$5</f>
        <v>44.45151649603438</v>
      </c>
      <c r="H20" s="912">
        <f>(AE20*KFC!$B$17+KFC!$C$17)*KFC!$C$5</f>
        <v>48.327153604296171</v>
      </c>
      <c r="I20" s="912">
        <f>(AF20*KFC!$B$17+KFC!$C$17)*KFC!$C$5</f>
        <v>52.202790712557949</v>
      </c>
      <c r="J20" s="912">
        <f>(AG20*KFC!$B$17+KFC!$C$17)*KFC!$C$5</f>
        <v>56.078427820819734</v>
      </c>
      <c r="K20" s="912">
        <f>(AH20*KFC!$B$17+KFC!$C$17)*KFC!$C$5</f>
        <v>59.954064929081525</v>
      </c>
      <c r="L20" s="912">
        <f>(AI20*KFC!$B$17+KFC!$C$17)*KFC!$C$5</f>
        <v>63.829702037343303</v>
      </c>
      <c r="M20" s="912">
        <f>(AJ20*KFC!$B$17+KFC!$C$17)*KFC!$C$5</f>
        <v>67.705339145605109</v>
      </c>
      <c r="N20" s="912">
        <f>(AK20*KFC!$B$17+KFC!$C$17)*KFC!$C$5</f>
        <v>71.580976253866893</v>
      </c>
      <c r="O20" s="912">
        <f>(AL20*KFC!$B$17+KFC!$C$17)*KFC!$C$5</f>
        <v>75.456613362128678</v>
      </c>
      <c r="P20" s="912">
        <f>(AM20*KFC!$B$17+KFC!$C$17)*KFC!$C$5</f>
        <v>79.332250470390477</v>
      </c>
      <c r="Q20" s="912">
        <f>(AN20*KFC!$B$17+KFC!$C$17)*KFC!$C$5</f>
        <v>83.207887578652262</v>
      </c>
      <c r="R20" s="912">
        <f>(AO20*KFC!$B$17+KFC!$C$17)*KFC!$C$5</f>
        <v>87.08352468691406</v>
      </c>
      <c r="S20" s="912">
        <f>(AP20*KFC!$B$17+KFC!$C$17)*KFC!$C$5</f>
        <v>90.959161795175845</v>
      </c>
      <c r="T20" s="912">
        <f>(AQ20*KFC!$B$17+KFC!$C$17)*KFC!$C$5</f>
        <v>94.83479890343763</v>
      </c>
      <c r="U20" s="912">
        <f>(AR20*KFC!$B$17+KFC!$C$17)*KFC!$C$5</f>
        <v>98.710436011699443</v>
      </c>
      <c r="V20" s="912">
        <f>(AS20*KFC!$B$17+KFC!$C$17)*KFC!$C$5</f>
        <v>102.58607311996124</v>
      </c>
      <c r="W20" s="916">
        <f>(AT20*KFC!$B$17+KFC!$C$17)*KFC!$C$5</f>
        <v>106.46171022822298</v>
      </c>
      <c r="Y20" s="1277"/>
      <c r="Z20" s="649">
        <v>1.4</v>
      </c>
      <c r="AA20" s="882">
        <v>32.824605171249019</v>
      </c>
      <c r="AB20" s="882">
        <v>36.700242279510803</v>
      </c>
      <c r="AC20" s="882">
        <v>40.575879387772595</v>
      </c>
      <c r="AD20" s="882">
        <v>44.45151649603438</v>
      </c>
      <c r="AE20" s="882">
        <v>48.327153604296171</v>
      </c>
      <c r="AF20" s="882">
        <v>52.202790712557949</v>
      </c>
      <c r="AG20" s="882">
        <v>56.078427820819734</v>
      </c>
      <c r="AH20" s="882">
        <v>59.954064929081525</v>
      </c>
      <c r="AI20" s="882">
        <v>63.829702037343303</v>
      </c>
      <c r="AJ20" s="882">
        <v>67.705339145605109</v>
      </c>
      <c r="AK20" s="882">
        <v>71.580976253866893</v>
      </c>
      <c r="AL20" s="882">
        <v>75.456613362128678</v>
      </c>
      <c r="AM20" s="882">
        <v>79.332250470390477</v>
      </c>
      <c r="AN20" s="882">
        <v>83.207887578652262</v>
      </c>
      <c r="AO20" s="882">
        <v>87.08352468691406</v>
      </c>
      <c r="AP20" s="882">
        <v>90.959161795175845</v>
      </c>
      <c r="AQ20" s="882">
        <v>94.83479890343763</v>
      </c>
      <c r="AR20" s="882">
        <v>98.710436011699443</v>
      </c>
      <c r="AS20" s="882">
        <v>102.58607311996124</v>
      </c>
      <c r="AT20" s="882">
        <v>106.46171022822298</v>
      </c>
    </row>
    <row r="21" spans="1:46">
      <c r="A21" s="1426"/>
      <c r="B21" s="1427"/>
      <c r="C21" s="881">
        <v>1.5</v>
      </c>
      <c r="D21" s="915">
        <f>(AA21*KFC!$B$17+KFC!$C$17)*KFC!$C$5</f>
        <v>33.402697274893519</v>
      </c>
      <c r="E21" s="912">
        <f>(AB21*KFC!$B$17+KFC!$C$17)*KFC!$C$5</f>
        <v>37.390598925777255</v>
      </c>
      <c r="F21" s="912">
        <f>(AC21*KFC!$B$17+KFC!$C$17)*KFC!$C$5</f>
        <v>41.37850057666099</v>
      </c>
      <c r="G21" s="912">
        <f>(AD21*KFC!$B$17+KFC!$C$17)*KFC!$C$5</f>
        <v>45.366402227544732</v>
      </c>
      <c r="H21" s="912">
        <f>(AE21*KFC!$B$17+KFC!$C$17)*KFC!$C$5</f>
        <v>49.354303878428468</v>
      </c>
      <c r="I21" s="912">
        <f>(AF21*KFC!$B$17+KFC!$C$17)*KFC!$C$5</f>
        <v>53.342205529312203</v>
      </c>
      <c r="J21" s="912">
        <f>(AG21*KFC!$B$17+KFC!$C$17)*KFC!$C$5</f>
        <v>57.330107180195938</v>
      </c>
      <c r="K21" s="912">
        <f>(AH21*KFC!$B$17+KFC!$C$17)*KFC!$C$5</f>
        <v>61.318008831079673</v>
      </c>
      <c r="L21" s="912">
        <f>(AI21*KFC!$B$17+KFC!$C$17)*KFC!$C$5</f>
        <v>65.305910481963409</v>
      </c>
      <c r="M21" s="912">
        <f>(AJ21*KFC!$B$17+KFC!$C$17)*KFC!$C$5</f>
        <v>69.293812132847151</v>
      </c>
      <c r="N21" s="912">
        <f>(AK21*KFC!$B$17+KFC!$C$17)*KFC!$C$5</f>
        <v>73.281713783730879</v>
      </c>
      <c r="O21" s="912">
        <f>(AL21*KFC!$B$17+KFC!$C$17)*KFC!$C$5</f>
        <v>77.269615434614607</v>
      </c>
      <c r="P21" s="912">
        <f>(AM21*KFC!$B$17+KFC!$C$17)*KFC!$C$5</f>
        <v>81.257517085498336</v>
      </c>
      <c r="Q21" s="912">
        <f>(AN21*KFC!$B$17+KFC!$C$17)*KFC!$C$5</f>
        <v>85.245418736382078</v>
      </c>
      <c r="R21" s="912">
        <f>(AO21*KFC!$B$17+KFC!$C$17)*KFC!$C$5</f>
        <v>89.233320387265806</v>
      </c>
      <c r="S21" s="912">
        <f>(AP21*KFC!$B$17+KFC!$C$17)*KFC!$C$5</f>
        <v>93.221222038149534</v>
      </c>
      <c r="T21" s="912">
        <f>(AQ21*KFC!$B$17+KFC!$C$17)*KFC!$C$5</f>
        <v>97.209123689033262</v>
      </c>
      <c r="U21" s="912">
        <f>(AR21*KFC!$B$17+KFC!$C$17)*KFC!$C$5</f>
        <v>101.197025339917</v>
      </c>
      <c r="V21" s="912">
        <f>(AS21*KFC!$B$17+KFC!$C$17)*KFC!$C$5</f>
        <v>105.18492699080073</v>
      </c>
      <c r="W21" s="916">
        <f>(AT21*KFC!$B$17+KFC!$C$17)*KFC!$C$5</f>
        <v>109.17282864168448</v>
      </c>
      <c r="Y21" s="1277"/>
      <c r="Z21" s="649">
        <v>1.5</v>
      </c>
      <c r="AA21" s="882">
        <v>33.402697274893519</v>
      </c>
      <c r="AB21" s="882">
        <v>37.390598925777255</v>
      </c>
      <c r="AC21" s="882">
        <v>41.37850057666099</v>
      </c>
      <c r="AD21" s="882">
        <v>45.366402227544732</v>
      </c>
      <c r="AE21" s="882">
        <v>49.354303878428468</v>
      </c>
      <c r="AF21" s="882">
        <v>53.342205529312203</v>
      </c>
      <c r="AG21" s="882">
        <v>57.330107180195938</v>
      </c>
      <c r="AH21" s="882">
        <v>61.318008831079673</v>
      </c>
      <c r="AI21" s="882">
        <v>65.305910481963409</v>
      </c>
      <c r="AJ21" s="882">
        <v>69.293812132847151</v>
      </c>
      <c r="AK21" s="882">
        <v>73.281713783730879</v>
      </c>
      <c r="AL21" s="882">
        <v>77.269615434614607</v>
      </c>
      <c r="AM21" s="882">
        <v>81.257517085498336</v>
      </c>
      <c r="AN21" s="882">
        <v>85.245418736382078</v>
      </c>
      <c r="AO21" s="882">
        <v>89.233320387265806</v>
      </c>
      <c r="AP21" s="882">
        <v>93.221222038149534</v>
      </c>
      <c r="AQ21" s="882">
        <v>97.209123689033262</v>
      </c>
      <c r="AR21" s="882">
        <v>101.197025339917</v>
      </c>
      <c r="AS21" s="882">
        <v>105.18492699080073</v>
      </c>
      <c r="AT21" s="882">
        <v>109.17282864168448</v>
      </c>
    </row>
    <row r="22" spans="1:46">
      <c r="A22" s="1426"/>
      <c r="B22" s="1427"/>
      <c r="C22" s="881">
        <v>1.6</v>
      </c>
      <c r="D22" s="915">
        <f>(AA22*KFC!$B$17+KFC!$C$17)*KFC!$C$5</f>
        <v>33.98078937853802</v>
      </c>
      <c r="E22" s="912">
        <f>(AB22*KFC!$B$17+KFC!$C$17)*KFC!$C$5</f>
        <v>38.080955572043699</v>
      </c>
      <c r="F22" s="912">
        <f>(AC22*KFC!$B$17+KFC!$C$17)*KFC!$C$5</f>
        <v>42.181121765549385</v>
      </c>
      <c r="G22" s="912">
        <f>(AD22*KFC!$B$17+KFC!$C$17)*KFC!$C$5</f>
        <v>46.281287959055064</v>
      </c>
      <c r="H22" s="912">
        <f>(AE22*KFC!$B$17+KFC!$C$17)*KFC!$C$5</f>
        <v>50.38145415256075</v>
      </c>
      <c r="I22" s="912">
        <f>(AF22*KFC!$B$17+KFC!$C$17)*KFC!$C$5</f>
        <v>54.481620346066428</v>
      </c>
      <c r="J22" s="912">
        <f>(AG22*KFC!$B$17+KFC!$C$17)*KFC!$C$5</f>
        <v>58.581786539572114</v>
      </c>
      <c r="K22" s="912">
        <f>(AH22*KFC!$B$17+KFC!$C$17)*KFC!$C$5</f>
        <v>62.681952733077793</v>
      </c>
      <c r="L22" s="912">
        <f>(AI22*KFC!$B$17+KFC!$C$17)*KFC!$C$5</f>
        <v>66.782118926583479</v>
      </c>
      <c r="M22" s="912">
        <f>(AJ22*KFC!$B$17+KFC!$C$17)*KFC!$C$5</f>
        <v>70.882285120089151</v>
      </c>
      <c r="N22" s="912">
        <f>(AK22*KFC!$B$17+KFC!$C$17)*KFC!$C$5</f>
        <v>74.982451313594837</v>
      </c>
      <c r="O22" s="912">
        <f>(AL22*KFC!$B$17+KFC!$C$17)*KFC!$C$5</f>
        <v>79.082617507100522</v>
      </c>
      <c r="P22" s="912">
        <f>(AM22*KFC!$B$17+KFC!$C$17)*KFC!$C$5</f>
        <v>83.182783700606208</v>
      </c>
      <c r="Q22" s="912">
        <f>(AN22*KFC!$B$17+KFC!$C$17)*KFC!$C$5</f>
        <v>87.28294989411188</v>
      </c>
      <c r="R22" s="912">
        <f>(AO22*KFC!$B$17+KFC!$C$17)*KFC!$C$5</f>
        <v>91.383116087617566</v>
      </c>
      <c r="S22" s="912">
        <f>(AP22*KFC!$B$17+KFC!$C$17)*KFC!$C$5</f>
        <v>95.483282281123252</v>
      </c>
      <c r="T22" s="912">
        <f>(AQ22*KFC!$B$17+KFC!$C$17)*KFC!$C$5</f>
        <v>99.583448474628938</v>
      </c>
      <c r="U22" s="912">
        <f>(AR22*KFC!$B$17+KFC!$C$17)*KFC!$C$5</f>
        <v>103.68361466813461</v>
      </c>
      <c r="V22" s="912">
        <f>(AS22*KFC!$B$17+KFC!$C$17)*KFC!$C$5</f>
        <v>107.7837808616403</v>
      </c>
      <c r="W22" s="916">
        <f>(AT22*KFC!$B$17+KFC!$C$17)*KFC!$C$5</f>
        <v>111.88394705514598</v>
      </c>
      <c r="Y22" s="1277"/>
      <c r="Z22" s="649">
        <v>1.6</v>
      </c>
      <c r="AA22" s="882">
        <v>33.98078937853802</v>
      </c>
      <c r="AB22" s="882">
        <v>38.080955572043699</v>
      </c>
      <c r="AC22" s="882">
        <v>42.181121765549385</v>
      </c>
      <c r="AD22" s="882">
        <v>46.281287959055064</v>
      </c>
      <c r="AE22" s="882">
        <v>50.38145415256075</v>
      </c>
      <c r="AF22" s="882">
        <v>54.481620346066428</v>
      </c>
      <c r="AG22" s="882">
        <v>58.581786539572114</v>
      </c>
      <c r="AH22" s="882">
        <v>62.681952733077793</v>
      </c>
      <c r="AI22" s="882">
        <v>66.782118926583479</v>
      </c>
      <c r="AJ22" s="882">
        <v>70.882285120089151</v>
      </c>
      <c r="AK22" s="882">
        <v>74.982451313594837</v>
      </c>
      <c r="AL22" s="882">
        <v>79.082617507100522</v>
      </c>
      <c r="AM22" s="882">
        <v>83.182783700606208</v>
      </c>
      <c r="AN22" s="882">
        <v>87.28294989411188</v>
      </c>
      <c r="AO22" s="882">
        <v>91.383116087617566</v>
      </c>
      <c r="AP22" s="882">
        <v>95.483282281123252</v>
      </c>
      <c r="AQ22" s="882">
        <v>99.583448474628938</v>
      </c>
      <c r="AR22" s="882">
        <v>103.68361466813461</v>
      </c>
      <c r="AS22" s="882">
        <v>107.7837808616403</v>
      </c>
      <c r="AT22" s="882">
        <v>111.88394705514598</v>
      </c>
    </row>
    <row r="23" spans="1:46">
      <c r="A23" s="1426"/>
      <c r="B23" s="1427"/>
      <c r="C23" s="881">
        <v>1.7</v>
      </c>
      <c r="D23" s="915">
        <f>(AA23*KFC!$B$17+KFC!$C$17)*KFC!$C$5</f>
        <v>34.558881482182528</v>
      </c>
      <c r="E23" s="912">
        <f>(AB23*KFC!$B$17+KFC!$C$17)*KFC!$C$5</f>
        <v>38.77131221831015</v>
      </c>
      <c r="F23" s="912">
        <f>(AC23*KFC!$B$17+KFC!$C$17)*KFC!$C$5</f>
        <v>42.98374295443778</v>
      </c>
      <c r="G23" s="912">
        <f>(AD23*KFC!$B$17+KFC!$C$17)*KFC!$C$5</f>
        <v>47.196173690565409</v>
      </c>
      <c r="H23" s="912">
        <f>(AE23*KFC!$B$17+KFC!$C$17)*KFC!$C$5</f>
        <v>51.408604426693039</v>
      </c>
      <c r="I23" s="912">
        <f>(AF23*KFC!$B$17+KFC!$C$17)*KFC!$C$5</f>
        <v>55.621035162820661</v>
      </c>
      <c r="J23" s="912">
        <f>(AG23*KFC!$B$17+KFC!$C$17)*KFC!$C$5</f>
        <v>59.83346589894829</v>
      </c>
      <c r="K23" s="912">
        <f>(AH23*KFC!$B$17+KFC!$C$17)*KFC!$C$5</f>
        <v>64.04589663507592</v>
      </c>
      <c r="L23" s="912">
        <f>(AI23*KFC!$B$17+KFC!$C$17)*KFC!$C$5</f>
        <v>68.258327371203563</v>
      </c>
      <c r="M23" s="912">
        <f>(AJ23*KFC!$B$17+KFC!$C$17)*KFC!$C$5</f>
        <v>72.470758107331179</v>
      </c>
      <c r="N23" s="912">
        <f>(AK23*KFC!$B$17+KFC!$C$17)*KFC!$C$5</f>
        <v>76.683188843458822</v>
      </c>
      <c r="O23" s="912">
        <f>(AL23*KFC!$B$17+KFC!$C$17)*KFC!$C$5</f>
        <v>80.895619579586466</v>
      </c>
      <c r="P23" s="912">
        <f>(AM23*KFC!$B$17+KFC!$C$17)*KFC!$C$5</f>
        <v>85.108050315714095</v>
      </c>
      <c r="Q23" s="912">
        <f>(AN23*KFC!$B$17+KFC!$C$17)*KFC!$C$5</f>
        <v>89.32048105184171</v>
      </c>
      <c r="R23" s="912">
        <f>(AO23*KFC!$B$17+KFC!$C$17)*KFC!$C$5</f>
        <v>93.532911787969368</v>
      </c>
      <c r="S23" s="912">
        <f>(AP23*KFC!$B$17+KFC!$C$17)*KFC!$C$5</f>
        <v>97.745342524096984</v>
      </c>
      <c r="T23" s="912">
        <f>(AQ23*KFC!$B$17+KFC!$C$17)*KFC!$C$5</f>
        <v>101.95777326022463</v>
      </c>
      <c r="U23" s="912">
        <f>(AR23*KFC!$B$17+KFC!$C$17)*KFC!$C$5</f>
        <v>106.17020399635227</v>
      </c>
      <c r="V23" s="912">
        <f>(AS23*KFC!$B$17+KFC!$C$17)*KFC!$C$5</f>
        <v>110.3826347324799</v>
      </c>
      <c r="W23" s="916">
        <f>(AT23*KFC!$B$17+KFC!$C$17)*KFC!$C$5</f>
        <v>114.59506546860746</v>
      </c>
      <c r="Y23" s="1277"/>
      <c r="Z23" s="649">
        <v>1.7</v>
      </c>
      <c r="AA23" s="882">
        <v>34.558881482182528</v>
      </c>
      <c r="AB23" s="882">
        <v>38.77131221831015</v>
      </c>
      <c r="AC23" s="882">
        <v>42.98374295443778</v>
      </c>
      <c r="AD23" s="882">
        <v>47.196173690565409</v>
      </c>
      <c r="AE23" s="882">
        <v>51.408604426693039</v>
      </c>
      <c r="AF23" s="882">
        <v>55.621035162820661</v>
      </c>
      <c r="AG23" s="882">
        <v>59.83346589894829</v>
      </c>
      <c r="AH23" s="882">
        <v>64.04589663507592</v>
      </c>
      <c r="AI23" s="882">
        <v>68.258327371203563</v>
      </c>
      <c r="AJ23" s="882">
        <v>72.470758107331179</v>
      </c>
      <c r="AK23" s="882">
        <v>76.683188843458822</v>
      </c>
      <c r="AL23" s="882">
        <v>80.895619579586466</v>
      </c>
      <c r="AM23" s="882">
        <v>85.108050315714095</v>
      </c>
      <c r="AN23" s="882">
        <v>89.32048105184171</v>
      </c>
      <c r="AO23" s="882">
        <v>93.532911787969368</v>
      </c>
      <c r="AP23" s="882">
        <v>97.745342524096984</v>
      </c>
      <c r="AQ23" s="882">
        <v>101.95777326022463</v>
      </c>
      <c r="AR23" s="882">
        <v>106.17020399635227</v>
      </c>
      <c r="AS23" s="882">
        <v>110.3826347324799</v>
      </c>
      <c r="AT23" s="882">
        <v>114.59506546860746</v>
      </c>
    </row>
    <row r="24" spans="1:46">
      <c r="A24" s="1426"/>
      <c r="B24" s="1427"/>
      <c r="C24" s="881">
        <v>1.8</v>
      </c>
      <c r="D24" s="915">
        <f>(AA24*KFC!$B$17+KFC!$C$17)*KFC!$C$5</f>
        <v>35.136973585827022</v>
      </c>
      <c r="E24" s="912">
        <f>(AB24*KFC!$B$17+KFC!$C$17)*KFC!$C$5</f>
        <v>39.461668864576602</v>
      </c>
      <c r="F24" s="912">
        <f>(AC24*KFC!$B$17+KFC!$C$17)*KFC!$C$5</f>
        <v>43.786364143326175</v>
      </c>
      <c r="G24" s="912">
        <f>(AD24*KFC!$B$17+KFC!$C$17)*KFC!$C$5</f>
        <v>48.111059422075741</v>
      </c>
      <c r="H24" s="912">
        <f>(AE24*KFC!$B$17+KFC!$C$17)*KFC!$C$5</f>
        <v>52.435754700825314</v>
      </c>
      <c r="I24" s="912">
        <f>(AF24*KFC!$B$17+KFC!$C$17)*KFC!$C$5</f>
        <v>56.760449979574886</v>
      </c>
      <c r="J24" s="912">
        <f>(AG24*KFC!$B$17+KFC!$C$17)*KFC!$C$5</f>
        <v>61.085145258324467</v>
      </c>
      <c r="K24" s="912">
        <f>(AH24*KFC!$B$17+KFC!$C$17)*KFC!$C$5</f>
        <v>65.409840537074032</v>
      </c>
      <c r="L24" s="912">
        <f>(AI24*KFC!$B$17+KFC!$C$17)*KFC!$C$5</f>
        <v>69.734535815823605</v>
      </c>
      <c r="M24" s="912">
        <f>(AJ24*KFC!$B$17+KFC!$C$17)*KFC!$C$5</f>
        <v>74.059231094573178</v>
      </c>
      <c r="N24" s="912">
        <f>(AK24*KFC!$B$17+KFC!$C$17)*KFC!$C$5</f>
        <v>78.383926373322751</v>
      </c>
      <c r="O24" s="912">
        <f>(AL24*KFC!$B$17+KFC!$C$17)*KFC!$C$5</f>
        <v>82.708621652072324</v>
      </c>
      <c r="P24" s="912">
        <f>(AM24*KFC!$B$17+KFC!$C$17)*KFC!$C$5</f>
        <v>87.033316930821897</v>
      </c>
      <c r="Q24" s="912">
        <f>(AN24*KFC!$B$17+KFC!$C$17)*KFC!$C$5</f>
        <v>91.35801220957147</v>
      </c>
      <c r="R24" s="912">
        <f>(AO24*KFC!$B$17+KFC!$C$17)*KFC!$C$5</f>
        <v>95.682707488321043</v>
      </c>
      <c r="S24" s="912">
        <f>(AP24*KFC!$B$17+KFC!$C$17)*KFC!$C$5</f>
        <v>100.00740276707062</v>
      </c>
      <c r="T24" s="912">
        <f>(AQ24*KFC!$B$17+KFC!$C$17)*KFC!$C$5</f>
        <v>104.33209804582019</v>
      </c>
      <c r="U24" s="912">
        <f>(AR24*KFC!$B$17+KFC!$C$17)*KFC!$C$5</f>
        <v>108.65679332456976</v>
      </c>
      <c r="V24" s="912">
        <f>(AS24*KFC!$B$17+KFC!$C$17)*KFC!$C$5</f>
        <v>112.98148860331933</v>
      </c>
      <c r="W24" s="916">
        <f>(AT24*KFC!$B$17+KFC!$C$17)*KFC!$C$5</f>
        <v>117.30618388206896</v>
      </c>
      <c r="Y24" s="1277"/>
      <c r="Z24" s="649">
        <v>1.8</v>
      </c>
      <c r="AA24" s="882">
        <v>35.136973585827022</v>
      </c>
      <c r="AB24" s="882">
        <v>39.461668864576602</v>
      </c>
      <c r="AC24" s="882">
        <v>43.786364143326175</v>
      </c>
      <c r="AD24" s="882">
        <v>48.111059422075741</v>
      </c>
      <c r="AE24" s="882">
        <v>52.435754700825314</v>
      </c>
      <c r="AF24" s="882">
        <v>56.760449979574886</v>
      </c>
      <c r="AG24" s="882">
        <v>61.085145258324467</v>
      </c>
      <c r="AH24" s="882">
        <v>65.409840537074032</v>
      </c>
      <c r="AI24" s="882">
        <v>69.734535815823605</v>
      </c>
      <c r="AJ24" s="882">
        <v>74.059231094573178</v>
      </c>
      <c r="AK24" s="882">
        <v>78.383926373322751</v>
      </c>
      <c r="AL24" s="882">
        <v>82.708621652072324</v>
      </c>
      <c r="AM24" s="882">
        <v>87.033316930821897</v>
      </c>
      <c r="AN24" s="882">
        <v>91.35801220957147</v>
      </c>
      <c r="AO24" s="882">
        <v>95.682707488321043</v>
      </c>
      <c r="AP24" s="882">
        <v>100.00740276707062</v>
      </c>
      <c r="AQ24" s="882">
        <v>104.33209804582019</v>
      </c>
      <c r="AR24" s="882">
        <v>108.65679332456976</v>
      </c>
      <c r="AS24" s="882">
        <v>112.98148860331933</v>
      </c>
      <c r="AT24" s="882">
        <v>117.30618388206896</v>
      </c>
    </row>
    <row r="25" spans="1:46">
      <c r="A25" s="1426"/>
      <c r="B25" s="1427"/>
      <c r="C25" s="881">
        <v>1.9</v>
      </c>
      <c r="D25" s="915">
        <f>(AA25*KFC!$B$17+KFC!$C$17)*KFC!$C$5</f>
        <v>35.71506568947153</v>
      </c>
      <c r="E25" s="912">
        <f>(AB25*KFC!$B$17+KFC!$C$17)*KFC!$C$5</f>
        <v>40.152025510843046</v>
      </c>
      <c r="F25" s="912">
        <f>(AC25*KFC!$B$17+KFC!$C$17)*KFC!$C$5</f>
        <v>44.588985332214577</v>
      </c>
      <c r="G25" s="912">
        <f>(AD25*KFC!$B$17+KFC!$C$17)*KFC!$C$5</f>
        <v>49.025945153586093</v>
      </c>
      <c r="H25" s="912">
        <f>(AE25*KFC!$B$17+KFC!$C$17)*KFC!$C$5</f>
        <v>53.462904974957624</v>
      </c>
      <c r="I25" s="912">
        <f>(AF25*KFC!$B$17+KFC!$C$17)*KFC!$C$5</f>
        <v>57.89986479632914</v>
      </c>
      <c r="J25" s="912">
        <f>(AG25*KFC!$B$17+KFC!$C$17)*KFC!$C$5</f>
        <v>62.336824617700671</v>
      </c>
      <c r="K25" s="912">
        <f>(AH25*KFC!$B$17+KFC!$C$17)*KFC!$C$5</f>
        <v>66.773784439072188</v>
      </c>
      <c r="L25" s="912">
        <f>(AI25*KFC!$B$17+KFC!$C$17)*KFC!$C$5</f>
        <v>71.210744260443718</v>
      </c>
      <c r="M25" s="912">
        <f>(AJ25*KFC!$B$17+KFC!$C$17)*KFC!$C$5</f>
        <v>75.647704081815235</v>
      </c>
      <c r="N25" s="912">
        <f>(AK25*KFC!$B$17+KFC!$C$17)*KFC!$C$5</f>
        <v>80.084663903186765</v>
      </c>
      <c r="O25" s="912">
        <f>(AL25*KFC!$B$17+KFC!$C$17)*KFC!$C$5</f>
        <v>84.521623724558296</v>
      </c>
      <c r="P25" s="912">
        <f>(AM25*KFC!$B$17+KFC!$C$17)*KFC!$C$5</f>
        <v>88.958583545929812</v>
      </c>
      <c r="Q25" s="912">
        <f>(AN25*KFC!$B$17+KFC!$C$17)*KFC!$C$5</f>
        <v>93.395543367301329</v>
      </c>
      <c r="R25" s="912">
        <f>(AO25*KFC!$B$17+KFC!$C$17)*KFC!$C$5</f>
        <v>97.83250318867286</v>
      </c>
      <c r="S25" s="912">
        <f>(AP25*KFC!$B$17+KFC!$C$17)*KFC!$C$5</f>
        <v>102.26946301004439</v>
      </c>
      <c r="T25" s="912">
        <f>(AQ25*KFC!$B$17+KFC!$C$17)*KFC!$C$5</f>
        <v>106.70642283141592</v>
      </c>
      <c r="U25" s="912">
        <f>(AR25*KFC!$B$17+KFC!$C$17)*KFC!$C$5</f>
        <v>111.14338265278745</v>
      </c>
      <c r="V25" s="912">
        <f>(AS25*KFC!$B$17+KFC!$C$17)*KFC!$C$5</f>
        <v>115.58034247415897</v>
      </c>
      <c r="W25" s="916">
        <f>(AT25*KFC!$B$17+KFC!$C$17)*KFC!$C$5</f>
        <v>120.01730229553047</v>
      </c>
      <c r="Y25" s="1277"/>
      <c r="Z25" s="649">
        <v>1.9</v>
      </c>
      <c r="AA25" s="882">
        <v>35.71506568947153</v>
      </c>
      <c r="AB25" s="882">
        <v>40.152025510843046</v>
      </c>
      <c r="AC25" s="882">
        <v>44.588985332214577</v>
      </c>
      <c r="AD25" s="882">
        <v>49.025945153586093</v>
      </c>
      <c r="AE25" s="882">
        <v>53.462904974957624</v>
      </c>
      <c r="AF25" s="882">
        <v>57.89986479632914</v>
      </c>
      <c r="AG25" s="882">
        <v>62.336824617700671</v>
      </c>
      <c r="AH25" s="882">
        <v>66.773784439072188</v>
      </c>
      <c r="AI25" s="882">
        <v>71.210744260443718</v>
      </c>
      <c r="AJ25" s="882">
        <v>75.647704081815235</v>
      </c>
      <c r="AK25" s="882">
        <v>80.084663903186765</v>
      </c>
      <c r="AL25" s="882">
        <v>84.521623724558296</v>
      </c>
      <c r="AM25" s="882">
        <v>88.958583545929812</v>
      </c>
      <c r="AN25" s="882">
        <v>93.395543367301329</v>
      </c>
      <c r="AO25" s="882">
        <v>97.83250318867286</v>
      </c>
      <c r="AP25" s="882">
        <v>102.26946301004439</v>
      </c>
      <c r="AQ25" s="882">
        <v>106.70642283141592</v>
      </c>
      <c r="AR25" s="882">
        <v>111.14338265278745</v>
      </c>
      <c r="AS25" s="882">
        <v>115.58034247415897</v>
      </c>
      <c r="AT25" s="882">
        <v>120.01730229553047</v>
      </c>
    </row>
    <row r="26" spans="1:46">
      <c r="A26" s="1426"/>
      <c r="B26" s="1427"/>
      <c r="C26" s="881">
        <v>2</v>
      </c>
      <c r="D26" s="915">
        <f>(AA26*KFC!$B$17+KFC!$C$17)*KFC!$C$5</f>
        <v>36.293157793116023</v>
      </c>
      <c r="E26" s="912">
        <f>(AB26*KFC!$B$17+KFC!$C$17)*KFC!$C$5</f>
        <v>40.84238215710949</v>
      </c>
      <c r="F26" s="912">
        <f>(AC26*KFC!$B$17+KFC!$C$17)*KFC!$C$5</f>
        <v>45.391606521102965</v>
      </c>
      <c r="G26" s="912">
        <f>(AD26*KFC!$B$17+KFC!$C$17)*KFC!$C$5</f>
        <v>49.940830885096439</v>
      </c>
      <c r="H26" s="912">
        <f>(AE26*KFC!$B$17+KFC!$C$17)*KFC!$C$5</f>
        <v>54.490055249089906</v>
      </c>
      <c r="I26" s="912">
        <f>(AF26*KFC!$B$17+KFC!$C$17)*KFC!$C$5</f>
        <v>59.039279613083366</v>
      </c>
      <c r="J26" s="912">
        <f>(AG26*KFC!$B$17+KFC!$C$17)*KFC!$C$5</f>
        <v>63.588503977076833</v>
      </c>
      <c r="K26" s="912">
        <f>(AH26*KFC!$B$17+KFC!$C$17)*KFC!$C$5</f>
        <v>68.137728341070314</v>
      </c>
      <c r="L26" s="912">
        <f>(AI26*KFC!$B$17+KFC!$C$17)*KFC!$C$5</f>
        <v>72.686952705063788</v>
      </c>
      <c r="M26" s="912">
        <f>(AJ26*KFC!$B$17+KFC!$C$17)*KFC!$C$5</f>
        <v>77.236177069057263</v>
      </c>
      <c r="N26" s="912">
        <f>(AK26*KFC!$B$17+KFC!$C$17)*KFC!$C$5</f>
        <v>81.785401433050737</v>
      </c>
      <c r="O26" s="912">
        <f>(AL26*KFC!$B$17+KFC!$C$17)*KFC!$C$5</f>
        <v>86.334625797044211</v>
      </c>
      <c r="P26" s="912">
        <f>(AM26*KFC!$B$17+KFC!$C$17)*KFC!$C$5</f>
        <v>90.883850161037685</v>
      </c>
      <c r="Q26" s="912">
        <f>(AN26*KFC!$B$17+KFC!$C$17)*KFC!$C$5</f>
        <v>95.433074525031159</v>
      </c>
      <c r="R26" s="912">
        <f>(AO26*KFC!$B$17+KFC!$C$17)*KFC!$C$5</f>
        <v>99.982298889024648</v>
      </c>
      <c r="S26" s="912">
        <f>(AP26*KFC!$B$17+KFC!$C$17)*KFC!$C$5</f>
        <v>104.53152325301811</v>
      </c>
      <c r="T26" s="912">
        <f>(AQ26*KFC!$B$17+KFC!$C$17)*KFC!$C$5</f>
        <v>109.0807476170116</v>
      </c>
      <c r="U26" s="912">
        <f>(AR26*KFC!$B$17+KFC!$C$17)*KFC!$C$5</f>
        <v>113.62997198100508</v>
      </c>
      <c r="V26" s="912">
        <f>(AS26*KFC!$B$17+KFC!$C$17)*KFC!$C$5</f>
        <v>118.17919634499854</v>
      </c>
      <c r="W26" s="916">
        <f>(AT26*KFC!$B$17+KFC!$C$17)*KFC!$C$5</f>
        <v>122.72842070899198</v>
      </c>
      <c r="Y26" s="1277"/>
      <c r="Z26" s="649">
        <v>2</v>
      </c>
      <c r="AA26" s="882">
        <v>36.293157793116023</v>
      </c>
      <c r="AB26" s="882">
        <v>40.84238215710949</v>
      </c>
      <c r="AC26" s="882">
        <v>45.391606521102965</v>
      </c>
      <c r="AD26" s="882">
        <v>49.940830885096439</v>
      </c>
      <c r="AE26" s="882">
        <v>54.490055249089906</v>
      </c>
      <c r="AF26" s="882">
        <v>59.039279613083366</v>
      </c>
      <c r="AG26" s="882">
        <v>63.588503977076833</v>
      </c>
      <c r="AH26" s="882">
        <v>68.137728341070314</v>
      </c>
      <c r="AI26" s="882">
        <v>72.686952705063788</v>
      </c>
      <c r="AJ26" s="882">
        <v>77.236177069057263</v>
      </c>
      <c r="AK26" s="882">
        <v>81.785401433050737</v>
      </c>
      <c r="AL26" s="882">
        <v>86.334625797044211</v>
      </c>
      <c r="AM26" s="882">
        <v>90.883850161037685</v>
      </c>
      <c r="AN26" s="882">
        <v>95.433074525031159</v>
      </c>
      <c r="AO26" s="882">
        <v>99.982298889024648</v>
      </c>
      <c r="AP26" s="882">
        <v>104.53152325301811</v>
      </c>
      <c r="AQ26" s="882">
        <v>109.0807476170116</v>
      </c>
      <c r="AR26" s="882">
        <v>113.62997198100508</v>
      </c>
      <c r="AS26" s="882">
        <v>118.17919634499854</v>
      </c>
      <c r="AT26" s="882">
        <v>122.72842070899198</v>
      </c>
    </row>
    <row r="27" spans="1:46">
      <c r="A27" s="1426"/>
      <c r="B27" s="1427"/>
      <c r="C27" s="881">
        <v>2.1</v>
      </c>
      <c r="D27" s="915">
        <f>(AA27*KFC!$B$17+KFC!$C$17)*KFC!$C$5</f>
        <v>36.871249896760524</v>
      </c>
      <c r="E27" s="912">
        <f>(AB27*KFC!$B$17+KFC!$C$17)*KFC!$C$5</f>
        <v>41.532738803375942</v>
      </c>
      <c r="F27" s="912">
        <f>(AC27*KFC!$B$17+KFC!$C$17)*KFC!$C$5</f>
        <v>46.194227709991353</v>
      </c>
      <c r="G27" s="912">
        <f>(AD27*KFC!$B$17+KFC!$C$17)*KFC!$C$5</f>
        <v>50.85571661660677</v>
      </c>
      <c r="H27" s="912">
        <f>(AE27*KFC!$B$17+KFC!$C$17)*KFC!$C$5</f>
        <v>55.517205523222181</v>
      </c>
      <c r="I27" s="912">
        <f>(AF27*KFC!$B$17+KFC!$C$17)*KFC!$C$5</f>
        <v>60.178694429837591</v>
      </c>
      <c r="J27" s="912">
        <f>(AG27*KFC!$B$17+KFC!$C$17)*KFC!$C$5</f>
        <v>64.840183336453009</v>
      </c>
      <c r="K27" s="912">
        <f>(AH27*KFC!$B$17+KFC!$C$17)*KFC!$C$5</f>
        <v>69.501672243068427</v>
      </c>
      <c r="L27" s="912">
        <f>(AI27*KFC!$B$17+KFC!$C$17)*KFC!$C$5</f>
        <v>74.16316114968383</v>
      </c>
      <c r="M27" s="912">
        <f>(AJ27*KFC!$B$17+KFC!$C$17)*KFC!$C$5</f>
        <v>78.824650056299262</v>
      </c>
      <c r="N27" s="912">
        <f>(AK27*KFC!$B$17+KFC!$C$17)*KFC!$C$5</f>
        <v>83.48613896291468</v>
      </c>
      <c r="O27" s="912">
        <f>(AL27*KFC!$B$17+KFC!$C$17)*KFC!$C$5</f>
        <v>88.147627869530083</v>
      </c>
      <c r="P27" s="912">
        <f>(AM27*KFC!$B$17+KFC!$C$17)*KFC!$C$5</f>
        <v>92.809116776145501</v>
      </c>
      <c r="Q27" s="912">
        <f>(AN27*KFC!$B$17+KFC!$C$17)*KFC!$C$5</f>
        <v>97.470605682760919</v>
      </c>
      <c r="R27" s="912">
        <f>(AO27*KFC!$B$17+KFC!$C$17)*KFC!$C$5</f>
        <v>102.13209458937632</v>
      </c>
      <c r="S27" s="912">
        <f>(AP27*KFC!$B$17+KFC!$C$17)*KFC!$C$5</f>
        <v>106.79358349599175</v>
      </c>
      <c r="T27" s="912">
        <f>(AQ27*KFC!$B$17+KFC!$C$17)*KFC!$C$5</f>
        <v>111.45507240260716</v>
      </c>
      <c r="U27" s="912">
        <f>(AR27*KFC!$B$17+KFC!$C$17)*KFC!$C$5</f>
        <v>116.11656130922258</v>
      </c>
      <c r="V27" s="912">
        <f>(AS27*KFC!$B$17+KFC!$C$17)*KFC!$C$5</f>
        <v>120.77805021583798</v>
      </c>
      <c r="W27" s="916">
        <f>(AT27*KFC!$B$17+KFC!$C$17)*KFC!$C$5</f>
        <v>125.43953912245348</v>
      </c>
      <c r="Y27" s="1277"/>
      <c r="Z27" s="649">
        <v>2.1</v>
      </c>
      <c r="AA27" s="882">
        <v>36.871249896760524</v>
      </c>
      <c r="AB27" s="882">
        <v>41.532738803375942</v>
      </c>
      <c r="AC27" s="882">
        <v>46.194227709991353</v>
      </c>
      <c r="AD27" s="882">
        <v>50.85571661660677</v>
      </c>
      <c r="AE27" s="882">
        <v>55.517205523222181</v>
      </c>
      <c r="AF27" s="882">
        <v>60.178694429837591</v>
      </c>
      <c r="AG27" s="882">
        <v>64.840183336453009</v>
      </c>
      <c r="AH27" s="882">
        <v>69.501672243068427</v>
      </c>
      <c r="AI27" s="882">
        <v>74.16316114968383</v>
      </c>
      <c r="AJ27" s="882">
        <v>78.824650056299262</v>
      </c>
      <c r="AK27" s="882">
        <v>83.48613896291468</v>
      </c>
      <c r="AL27" s="882">
        <v>88.147627869530083</v>
      </c>
      <c r="AM27" s="882">
        <v>92.809116776145501</v>
      </c>
      <c r="AN27" s="882">
        <v>97.470605682760919</v>
      </c>
      <c r="AO27" s="882">
        <v>102.13209458937632</v>
      </c>
      <c r="AP27" s="882">
        <v>106.79358349599175</v>
      </c>
      <c r="AQ27" s="882">
        <v>111.45507240260716</v>
      </c>
      <c r="AR27" s="882">
        <v>116.11656130922258</v>
      </c>
      <c r="AS27" s="882">
        <v>120.77805021583798</v>
      </c>
      <c r="AT27" s="882">
        <v>125.43953912245348</v>
      </c>
    </row>
    <row r="28" spans="1:46" ht="15" thickBot="1">
      <c r="A28" s="1428"/>
      <c r="B28" s="1429"/>
      <c r="C28" s="908">
        <v>2.2000000000000002</v>
      </c>
      <c r="D28" s="917">
        <f>(AA28*KFC!$B$17+KFC!$C$17)*KFC!$C$5</f>
        <v>37.449342000404997</v>
      </c>
      <c r="E28" s="918">
        <f>(AB28*KFC!$B$17+KFC!$C$17)*KFC!$C$5</f>
        <v>42.223095449642365</v>
      </c>
      <c r="F28" s="918">
        <f>(AC28*KFC!$B$17+KFC!$C$17)*KFC!$C$5</f>
        <v>46.996848898879733</v>
      </c>
      <c r="G28" s="918">
        <f>(AD28*KFC!$B$17+KFC!$C$17)*KFC!$C$5</f>
        <v>51.770602348117109</v>
      </c>
      <c r="H28" s="918">
        <f>(AE28*KFC!$B$17+KFC!$C$17)*KFC!$C$5</f>
        <v>56.544355797354463</v>
      </c>
      <c r="I28" s="918">
        <f>(AF28*KFC!$B$17+KFC!$C$17)*KFC!$C$5</f>
        <v>61.318109246591831</v>
      </c>
      <c r="J28" s="918">
        <f>(AG28*KFC!$B$17+KFC!$C$17)*KFC!$C$5</f>
        <v>66.091862695829192</v>
      </c>
      <c r="K28" s="918">
        <f>(AH28*KFC!$B$17+KFC!$C$17)*KFC!$C$5</f>
        <v>70.865616145066568</v>
      </c>
      <c r="L28" s="918">
        <f>(AI28*KFC!$B$17+KFC!$C$17)*KFC!$C$5</f>
        <v>75.639369594303943</v>
      </c>
      <c r="M28" s="918">
        <f>(AJ28*KFC!$B$17+KFC!$C$17)*KFC!$C$5</f>
        <v>80.413123043541304</v>
      </c>
      <c r="N28" s="918">
        <f>(AK28*KFC!$B$17+KFC!$C$17)*KFC!$C$5</f>
        <v>85.18687649277868</v>
      </c>
      <c r="O28" s="918">
        <f>(AL28*KFC!$B$17+KFC!$C$17)*KFC!$C$5</f>
        <v>89.960629942016041</v>
      </c>
      <c r="P28" s="918">
        <f>(AM28*KFC!$B$17+KFC!$C$17)*KFC!$C$5</f>
        <v>94.734383391253417</v>
      </c>
      <c r="Q28" s="918">
        <f>(AN28*KFC!$B$17+KFC!$C$17)*KFC!$C$5</f>
        <v>99.508136840490764</v>
      </c>
      <c r="R28" s="918">
        <f>(AO28*KFC!$B$17+KFC!$C$17)*KFC!$C$5</f>
        <v>104.28189028972814</v>
      </c>
      <c r="S28" s="918">
        <f>(AP28*KFC!$B$17+KFC!$C$17)*KFC!$C$5</f>
        <v>109.05564373896551</v>
      </c>
      <c r="T28" s="918">
        <f>(AQ28*KFC!$B$17+KFC!$C$17)*KFC!$C$5</f>
        <v>113.82939718820288</v>
      </c>
      <c r="U28" s="918">
        <f>(AR28*KFC!$B$17+KFC!$C$17)*KFC!$C$5</f>
        <v>118.60315063744024</v>
      </c>
      <c r="V28" s="918">
        <f>(AS28*KFC!$B$17+KFC!$C$17)*KFC!$C$5</f>
        <v>123.37690408667761</v>
      </c>
      <c r="W28" s="919">
        <f>(AT28*KFC!$B$17+KFC!$C$17)*KFC!$C$5</f>
        <v>128.15065753591497</v>
      </c>
      <c r="Y28" s="1277"/>
      <c r="Z28" s="649">
        <v>2.2000000000000002</v>
      </c>
      <c r="AA28" s="882">
        <v>37.449342000404997</v>
      </c>
      <c r="AB28" s="882">
        <v>42.223095449642365</v>
      </c>
      <c r="AC28" s="882">
        <v>46.996848898879733</v>
      </c>
      <c r="AD28" s="882">
        <v>51.770602348117109</v>
      </c>
      <c r="AE28" s="882">
        <v>56.544355797354463</v>
      </c>
      <c r="AF28" s="882">
        <v>61.318109246591831</v>
      </c>
      <c r="AG28" s="882">
        <v>66.091862695829192</v>
      </c>
      <c r="AH28" s="882">
        <v>70.865616145066568</v>
      </c>
      <c r="AI28" s="882">
        <v>75.639369594303943</v>
      </c>
      <c r="AJ28" s="882">
        <v>80.413123043541304</v>
      </c>
      <c r="AK28" s="882">
        <v>85.18687649277868</v>
      </c>
      <c r="AL28" s="882">
        <v>89.960629942016041</v>
      </c>
      <c r="AM28" s="882">
        <v>94.734383391253417</v>
      </c>
      <c r="AN28" s="882">
        <v>99.508136840490764</v>
      </c>
      <c r="AO28" s="882">
        <v>104.28189028972814</v>
      </c>
      <c r="AP28" s="882">
        <v>109.05564373896551</v>
      </c>
      <c r="AQ28" s="882">
        <v>113.82939718820288</v>
      </c>
      <c r="AR28" s="882">
        <v>118.60315063744024</v>
      </c>
      <c r="AS28" s="882">
        <v>123.37690408667761</v>
      </c>
      <c r="AT28" s="882">
        <v>128.15065753591497</v>
      </c>
    </row>
    <row r="29" spans="1:46">
      <c r="A29" s="16"/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</row>
    <row r="30" spans="1:46" ht="16.2" thickBot="1">
      <c r="A30" s="1033" t="s">
        <v>1226</v>
      </c>
      <c r="B30" s="1033"/>
      <c r="C30" s="1033"/>
      <c r="D30" s="1033"/>
      <c r="E30" s="1033"/>
      <c r="F30" s="1033"/>
      <c r="G30" s="1033"/>
      <c r="H30" s="1033"/>
      <c r="I30" s="1033"/>
      <c r="J30" s="1033"/>
      <c r="K30" s="1033"/>
      <c r="L30" s="1033"/>
      <c r="M30" s="1033"/>
      <c r="N30" s="1033"/>
      <c r="O30" s="1033"/>
      <c r="P30" s="1033"/>
      <c r="Q30" s="1033"/>
      <c r="R30" s="1033"/>
      <c r="S30" s="1033"/>
      <c r="T30" s="1033"/>
      <c r="U30" s="1033"/>
      <c r="V30" s="1033"/>
      <c r="W30" s="1033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</row>
    <row r="31" spans="1:46" ht="37.5" customHeight="1" thickBot="1">
      <c r="A31" s="1439"/>
      <c r="B31" s="1440"/>
      <c r="C31" s="1441"/>
      <c r="D31" s="1419" t="s">
        <v>207</v>
      </c>
      <c r="E31" s="1420"/>
      <c r="F31" s="1420"/>
      <c r="G31" s="1420"/>
      <c r="H31" s="1420"/>
      <c r="I31" s="1420"/>
      <c r="J31" s="1420"/>
      <c r="K31" s="1420"/>
      <c r="L31" s="1420"/>
      <c r="M31" s="1420"/>
      <c r="N31" s="1420"/>
      <c r="O31" s="1420"/>
      <c r="P31" s="1420"/>
      <c r="Q31" s="1420"/>
      <c r="R31" s="1420"/>
      <c r="S31" s="1420"/>
      <c r="T31" s="1420"/>
      <c r="U31" s="1420"/>
      <c r="V31" s="1420"/>
      <c r="W31" s="1421"/>
      <c r="Y31" s="1278" t="s">
        <v>1204</v>
      </c>
      <c r="Z31" s="1278"/>
      <c r="AA31" s="1279" t="s">
        <v>356</v>
      </c>
      <c r="AB31" s="1279"/>
      <c r="AC31" s="1279"/>
      <c r="AD31" s="1279"/>
      <c r="AE31" s="1279"/>
      <c r="AF31" s="1279"/>
      <c r="AG31" s="1279"/>
      <c r="AH31" s="1279"/>
      <c r="AI31" s="1279"/>
      <c r="AJ31" s="1279"/>
      <c r="AK31" s="1279"/>
      <c r="AL31" s="1279"/>
      <c r="AM31" s="1279"/>
      <c r="AN31" s="1279"/>
      <c r="AO31" s="1279"/>
      <c r="AP31" s="1279"/>
      <c r="AQ31" s="1279"/>
      <c r="AR31" s="1279"/>
      <c r="AS31" s="1279"/>
      <c r="AT31" s="1279"/>
    </row>
    <row r="32" spans="1:46" ht="14.4" customHeight="1" thickBot="1">
      <c r="A32" s="1442"/>
      <c r="B32" s="1443"/>
      <c r="C32" s="1444"/>
      <c r="D32" s="883">
        <v>0.3</v>
      </c>
      <c r="E32" s="884">
        <v>0.4</v>
      </c>
      <c r="F32" s="884">
        <v>0.5</v>
      </c>
      <c r="G32" s="884">
        <v>0.6</v>
      </c>
      <c r="H32" s="884">
        <v>0.7</v>
      </c>
      <c r="I32" s="884">
        <v>0.8</v>
      </c>
      <c r="J32" s="884">
        <v>0.9</v>
      </c>
      <c r="K32" s="884">
        <v>1</v>
      </c>
      <c r="L32" s="884">
        <v>1.1000000000000001</v>
      </c>
      <c r="M32" s="884">
        <v>1.2</v>
      </c>
      <c r="N32" s="884">
        <v>1.3</v>
      </c>
      <c r="O32" s="884">
        <v>1.4</v>
      </c>
      <c r="P32" s="884">
        <v>1.5</v>
      </c>
      <c r="Q32" s="884">
        <v>1.6</v>
      </c>
      <c r="R32" s="884">
        <v>1.7</v>
      </c>
      <c r="S32" s="884">
        <v>1.8</v>
      </c>
      <c r="T32" s="884">
        <v>1.9</v>
      </c>
      <c r="U32" s="884">
        <v>2</v>
      </c>
      <c r="V32" s="884">
        <v>2.1</v>
      </c>
      <c r="W32" s="885">
        <v>2.2000000000000002</v>
      </c>
      <c r="Y32" s="1278"/>
      <c r="Z32" s="1278"/>
      <c r="AA32" s="649">
        <v>0.3</v>
      </c>
      <c r="AB32" s="649">
        <v>0.4</v>
      </c>
      <c r="AC32" s="649">
        <v>0.5</v>
      </c>
      <c r="AD32" s="649">
        <v>0.6</v>
      </c>
      <c r="AE32" s="649">
        <v>0.7</v>
      </c>
      <c r="AF32" s="649">
        <v>0.8</v>
      </c>
      <c r="AG32" s="649">
        <v>0.9</v>
      </c>
      <c r="AH32" s="649">
        <v>1</v>
      </c>
      <c r="AI32" s="649">
        <v>1.1000000000000001</v>
      </c>
      <c r="AJ32" s="649">
        <v>1.2</v>
      </c>
      <c r="AK32" s="649">
        <v>1.3</v>
      </c>
      <c r="AL32" s="649">
        <v>1.4</v>
      </c>
      <c r="AM32" s="649">
        <v>1.5</v>
      </c>
      <c r="AN32" s="649">
        <v>1.6</v>
      </c>
      <c r="AO32" s="649">
        <v>1.7</v>
      </c>
      <c r="AP32" s="649">
        <v>1.8</v>
      </c>
      <c r="AQ32" s="649">
        <v>1.9</v>
      </c>
      <c r="AR32" s="649">
        <v>2</v>
      </c>
      <c r="AS32" s="649">
        <v>2.1</v>
      </c>
      <c r="AT32" s="649">
        <v>2.2000000000000002</v>
      </c>
    </row>
    <row r="33" spans="1:46" ht="15" customHeight="1">
      <c r="A33" s="1426" t="s">
        <v>3</v>
      </c>
      <c r="B33" s="1427"/>
      <c r="C33" s="886">
        <v>0.2</v>
      </c>
      <c r="D33" s="899">
        <f>(AA33*KFC!$B$17+KFC!$C$17)*KFC!$C$5</f>
        <v>26.078289400664996</v>
      </c>
      <c r="E33" s="913">
        <f>(AB33*KFC!$B$17+KFC!$C$17)*KFC!$C$5</f>
        <v>28.671017925261314</v>
      </c>
      <c r="F33" s="913">
        <f>(AC33*KFC!$B$17+KFC!$C$17)*KFC!$C$5</f>
        <v>31.263746449857631</v>
      </c>
      <c r="G33" s="913">
        <f>(AD33*KFC!$B$17+KFC!$C$17)*KFC!$C$5</f>
        <v>33.856474974453945</v>
      </c>
      <c r="H33" s="913">
        <f>(AE33*KFC!$B$17+KFC!$C$17)*KFC!$C$5</f>
        <v>36.449203499050256</v>
      </c>
      <c r="I33" s="913">
        <f>(AF33*KFC!$B$17+KFC!$C$17)*KFC!$C$5</f>
        <v>39.041932023646574</v>
      </c>
      <c r="J33" s="913">
        <f>(AG33*KFC!$B$17+KFC!$C$17)*KFC!$C$5</f>
        <v>41.634660548242884</v>
      </c>
      <c r="K33" s="913">
        <f>(AH33*KFC!$B$17+KFC!$C$17)*KFC!$C$5</f>
        <v>44.227389072839209</v>
      </c>
      <c r="L33" s="913">
        <f>(AI33*KFC!$B$17+KFC!$C$17)*KFC!$C$5</f>
        <v>46.820117597435527</v>
      </c>
      <c r="M33" s="913">
        <f>(AJ33*KFC!$B$17+KFC!$C$17)*KFC!$C$5</f>
        <v>49.412846122031837</v>
      </c>
      <c r="N33" s="913">
        <f>(AK33*KFC!$B$17+KFC!$C$17)*KFC!$C$5</f>
        <v>52.005574646628148</v>
      </c>
      <c r="O33" s="913">
        <f>(AL33*KFC!$B$17+KFC!$C$17)*KFC!$C$5</f>
        <v>54.598303171224465</v>
      </c>
      <c r="P33" s="913">
        <f>(AM33*KFC!$B$17+KFC!$C$17)*KFC!$C$5</f>
        <v>57.19103169582079</v>
      </c>
      <c r="Q33" s="913">
        <f>(AN33*KFC!$B$17+KFC!$C$17)*KFC!$C$5</f>
        <v>59.783760220417093</v>
      </c>
      <c r="R33" s="913">
        <f>(AO33*KFC!$B$17+KFC!$C$17)*KFC!$C$5</f>
        <v>62.376488745013411</v>
      </c>
      <c r="S33" s="913">
        <f>(AP33*KFC!$B$17+KFC!$C$17)*KFC!$C$5</f>
        <v>64.969217269609729</v>
      </c>
      <c r="T33" s="913">
        <f>(AQ33*KFC!$B$17+KFC!$C$17)*KFC!$C$5</f>
        <v>67.561945794206039</v>
      </c>
      <c r="U33" s="913">
        <f>(AR33*KFC!$B$17+KFC!$C$17)*KFC!$C$5</f>
        <v>70.15467431880235</v>
      </c>
      <c r="V33" s="913">
        <f>(AS33*KFC!$B$17+KFC!$C$17)*KFC!$C$5</f>
        <v>72.747402843398675</v>
      </c>
      <c r="W33" s="914">
        <f>(AT33*KFC!$B$17+KFC!$C$17)*KFC!$C$5</f>
        <v>75.340131367994985</v>
      </c>
      <c r="Y33" s="1277" t="s">
        <v>357</v>
      </c>
      <c r="Z33" s="649">
        <v>0.2</v>
      </c>
      <c r="AA33" s="882">
        <v>26.078289400664996</v>
      </c>
      <c r="AB33" s="882">
        <v>28.671017925261314</v>
      </c>
      <c r="AC33" s="882">
        <v>31.263746449857631</v>
      </c>
      <c r="AD33" s="882">
        <v>33.856474974453945</v>
      </c>
      <c r="AE33" s="882">
        <v>36.449203499050256</v>
      </c>
      <c r="AF33" s="882">
        <v>39.041932023646574</v>
      </c>
      <c r="AG33" s="882">
        <v>41.634660548242884</v>
      </c>
      <c r="AH33" s="882">
        <v>44.227389072839209</v>
      </c>
      <c r="AI33" s="882">
        <v>46.820117597435527</v>
      </c>
      <c r="AJ33" s="882">
        <v>49.412846122031837</v>
      </c>
      <c r="AK33" s="882">
        <v>52.005574646628148</v>
      </c>
      <c r="AL33" s="882">
        <v>54.598303171224465</v>
      </c>
      <c r="AM33" s="882">
        <v>57.19103169582079</v>
      </c>
      <c r="AN33" s="882">
        <v>59.783760220417093</v>
      </c>
      <c r="AO33" s="882">
        <v>62.376488745013411</v>
      </c>
      <c r="AP33" s="882">
        <v>64.969217269609729</v>
      </c>
      <c r="AQ33" s="882">
        <v>67.561945794206039</v>
      </c>
      <c r="AR33" s="882">
        <v>70.15467431880235</v>
      </c>
      <c r="AS33" s="882">
        <v>72.747402843398675</v>
      </c>
      <c r="AT33" s="882">
        <v>75.340131367994985</v>
      </c>
    </row>
    <row r="34" spans="1:46" ht="14.4" customHeight="1">
      <c r="A34" s="1426"/>
      <c r="B34" s="1427"/>
      <c r="C34" s="887">
        <v>0.3</v>
      </c>
      <c r="D34" s="915">
        <f>(AA34*KFC!$B$17+KFC!$C$17)*KFC!$C$5</f>
        <v>26.752730188250247</v>
      </c>
      <c r="E34" s="912">
        <f>(AB34*KFC!$B$17+KFC!$C$17)*KFC!$C$5</f>
        <v>29.489755803855271</v>
      </c>
      <c r="F34" s="912">
        <f>(AC34*KFC!$B$17+KFC!$C$17)*KFC!$C$5</f>
        <v>32.226781419460302</v>
      </c>
      <c r="G34" s="912">
        <f>(AD34*KFC!$B$17+KFC!$C$17)*KFC!$C$5</f>
        <v>34.963807035065322</v>
      </c>
      <c r="H34" s="912">
        <f>(AE34*KFC!$B$17+KFC!$C$17)*KFC!$C$5</f>
        <v>37.70083265067035</v>
      </c>
      <c r="I34" s="912">
        <f>(AF34*KFC!$B$17+KFC!$C$17)*KFC!$C$5</f>
        <v>40.437858266275377</v>
      </c>
      <c r="J34" s="912">
        <f>(AG34*KFC!$B$17+KFC!$C$17)*KFC!$C$5</f>
        <v>43.174883881880405</v>
      </c>
      <c r="K34" s="912">
        <f>(AH34*KFC!$B$17+KFC!$C$17)*KFC!$C$5</f>
        <v>45.911909497485439</v>
      </c>
      <c r="L34" s="912">
        <f>(AI34*KFC!$B$17+KFC!$C$17)*KFC!$C$5</f>
        <v>48.648935113090467</v>
      </c>
      <c r="M34" s="912">
        <f>(AJ34*KFC!$B$17+KFC!$C$17)*KFC!$C$5</f>
        <v>51.385960728695487</v>
      </c>
      <c r="N34" s="912">
        <f>(AK34*KFC!$B$17+KFC!$C$17)*KFC!$C$5</f>
        <v>54.122986344300514</v>
      </c>
      <c r="O34" s="912">
        <f>(AL34*KFC!$B$17+KFC!$C$17)*KFC!$C$5</f>
        <v>56.860011959905542</v>
      </c>
      <c r="P34" s="912">
        <f>(AM34*KFC!$B$17+KFC!$C$17)*KFC!$C$5</f>
        <v>59.597037575510569</v>
      </c>
      <c r="Q34" s="912">
        <f>(AN34*KFC!$B$17+KFC!$C$17)*KFC!$C$5</f>
        <v>62.334063191115604</v>
      </c>
      <c r="R34" s="912">
        <f>(AO34*KFC!$B$17+KFC!$C$17)*KFC!$C$5</f>
        <v>65.071088806720624</v>
      </c>
      <c r="S34" s="912">
        <f>(AP34*KFC!$B$17+KFC!$C$17)*KFC!$C$5</f>
        <v>67.808114422325659</v>
      </c>
      <c r="T34" s="912">
        <f>(AQ34*KFC!$B$17+KFC!$C$17)*KFC!$C$5</f>
        <v>70.545140037930679</v>
      </c>
      <c r="U34" s="912">
        <f>(AR34*KFC!$B$17+KFC!$C$17)*KFC!$C$5</f>
        <v>73.282165653535714</v>
      </c>
      <c r="V34" s="912">
        <f>(AS34*KFC!$B$17+KFC!$C$17)*KFC!$C$5</f>
        <v>76.019191269140734</v>
      </c>
      <c r="W34" s="916">
        <f>(AT34*KFC!$B$17+KFC!$C$17)*KFC!$C$5</f>
        <v>78.75621688474574</v>
      </c>
      <c r="Y34" s="1277"/>
      <c r="Z34" s="649">
        <v>0.3</v>
      </c>
      <c r="AA34" s="882">
        <v>26.752730188250247</v>
      </c>
      <c r="AB34" s="882">
        <v>29.489755803855271</v>
      </c>
      <c r="AC34" s="882">
        <v>32.226781419460302</v>
      </c>
      <c r="AD34" s="882">
        <v>34.963807035065322</v>
      </c>
      <c r="AE34" s="882">
        <v>37.70083265067035</v>
      </c>
      <c r="AF34" s="882">
        <v>40.437858266275377</v>
      </c>
      <c r="AG34" s="882">
        <v>43.174883881880405</v>
      </c>
      <c r="AH34" s="882">
        <v>45.911909497485439</v>
      </c>
      <c r="AI34" s="882">
        <v>48.648935113090467</v>
      </c>
      <c r="AJ34" s="882">
        <v>51.385960728695487</v>
      </c>
      <c r="AK34" s="882">
        <v>54.122986344300514</v>
      </c>
      <c r="AL34" s="882">
        <v>56.860011959905542</v>
      </c>
      <c r="AM34" s="882">
        <v>59.597037575510569</v>
      </c>
      <c r="AN34" s="882">
        <v>62.334063191115604</v>
      </c>
      <c r="AO34" s="882">
        <v>65.071088806720624</v>
      </c>
      <c r="AP34" s="882">
        <v>67.808114422325659</v>
      </c>
      <c r="AQ34" s="882">
        <v>70.545140037930679</v>
      </c>
      <c r="AR34" s="882">
        <v>73.282165653535714</v>
      </c>
      <c r="AS34" s="882">
        <v>76.019191269140734</v>
      </c>
      <c r="AT34" s="882">
        <v>78.75621688474574</v>
      </c>
    </row>
    <row r="35" spans="1:46">
      <c r="A35" s="1426"/>
      <c r="B35" s="1427"/>
      <c r="C35" s="887">
        <v>0.4</v>
      </c>
      <c r="D35" s="915">
        <f>(AA35*KFC!$B$17+KFC!$C$17)*KFC!$C$5</f>
        <v>27.427170975835502</v>
      </c>
      <c r="E35" s="912">
        <f>(AB35*KFC!$B$17+KFC!$C$17)*KFC!$C$5</f>
        <v>30.308493682449235</v>
      </c>
      <c r="F35" s="912">
        <f>(AC35*KFC!$B$17+KFC!$C$17)*KFC!$C$5</f>
        <v>33.189816389062976</v>
      </c>
      <c r="G35" s="912">
        <f>(AD35*KFC!$B$17+KFC!$C$17)*KFC!$C$5</f>
        <v>36.071139095676706</v>
      </c>
      <c r="H35" s="912">
        <f>(AE35*KFC!$B$17+KFC!$C$17)*KFC!$C$5</f>
        <v>38.952461802290436</v>
      </c>
      <c r="I35" s="912">
        <f>(AF35*KFC!$B$17+KFC!$C$17)*KFC!$C$5</f>
        <v>41.833784508904174</v>
      </c>
      <c r="J35" s="912">
        <f>(AG35*KFC!$B$17+KFC!$C$17)*KFC!$C$5</f>
        <v>44.715107215517911</v>
      </c>
      <c r="K35" s="912">
        <f>(AH35*KFC!$B$17+KFC!$C$17)*KFC!$C$5</f>
        <v>47.596429922131648</v>
      </c>
      <c r="L35" s="912">
        <f>(AI35*KFC!$B$17+KFC!$C$17)*KFC!$C$5</f>
        <v>50.477752628745378</v>
      </c>
      <c r="M35" s="912">
        <f>(AJ35*KFC!$B$17+KFC!$C$17)*KFC!$C$5</f>
        <v>53.359075335359115</v>
      </c>
      <c r="N35" s="912">
        <f>(AK35*KFC!$B$17+KFC!$C$17)*KFC!$C$5</f>
        <v>56.240398041972853</v>
      </c>
      <c r="O35" s="912">
        <f>(AL35*KFC!$B$17+KFC!$C$17)*KFC!$C$5</f>
        <v>59.121720748586583</v>
      </c>
      <c r="P35" s="912">
        <f>(AM35*KFC!$B$17+KFC!$C$17)*KFC!$C$5</f>
        <v>62.00304345520032</v>
      </c>
      <c r="Q35" s="912">
        <f>(AN35*KFC!$B$17+KFC!$C$17)*KFC!$C$5</f>
        <v>64.884366161814057</v>
      </c>
      <c r="R35" s="912">
        <f>(AO35*KFC!$B$17+KFC!$C$17)*KFC!$C$5</f>
        <v>67.765688868427787</v>
      </c>
      <c r="S35" s="912">
        <f>(AP35*KFC!$B$17+KFC!$C$17)*KFC!$C$5</f>
        <v>70.647011575041518</v>
      </c>
      <c r="T35" s="912">
        <f>(AQ35*KFC!$B$17+KFC!$C$17)*KFC!$C$5</f>
        <v>73.528334281655248</v>
      </c>
      <c r="U35" s="912">
        <f>(AR35*KFC!$B$17+KFC!$C$17)*KFC!$C$5</f>
        <v>76.409656988268992</v>
      </c>
      <c r="V35" s="912">
        <f>(AS35*KFC!$B$17+KFC!$C$17)*KFC!$C$5</f>
        <v>79.290979694882722</v>
      </c>
      <c r="W35" s="916">
        <f>(AT35*KFC!$B$17+KFC!$C$17)*KFC!$C$5</f>
        <v>82.172302401496495</v>
      </c>
      <c r="Y35" s="1277"/>
      <c r="Z35" s="649">
        <v>0.4</v>
      </c>
      <c r="AA35" s="882">
        <v>27.427170975835502</v>
      </c>
      <c r="AB35" s="882">
        <v>30.308493682449235</v>
      </c>
      <c r="AC35" s="882">
        <v>33.189816389062976</v>
      </c>
      <c r="AD35" s="882">
        <v>36.071139095676706</v>
      </c>
      <c r="AE35" s="882">
        <v>38.952461802290436</v>
      </c>
      <c r="AF35" s="882">
        <v>41.833784508904174</v>
      </c>
      <c r="AG35" s="882">
        <v>44.715107215517911</v>
      </c>
      <c r="AH35" s="882">
        <v>47.596429922131648</v>
      </c>
      <c r="AI35" s="882">
        <v>50.477752628745378</v>
      </c>
      <c r="AJ35" s="882">
        <v>53.359075335359115</v>
      </c>
      <c r="AK35" s="882">
        <v>56.240398041972853</v>
      </c>
      <c r="AL35" s="882">
        <v>59.121720748586583</v>
      </c>
      <c r="AM35" s="882">
        <v>62.00304345520032</v>
      </c>
      <c r="AN35" s="882">
        <v>64.884366161814057</v>
      </c>
      <c r="AO35" s="882">
        <v>67.765688868427787</v>
      </c>
      <c r="AP35" s="882">
        <v>70.647011575041518</v>
      </c>
      <c r="AQ35" s="882">
        <v>73.528334281655248</v>
      </c>
      <c r="AR35" s="882">
        <v>76.409656988268992</v>
      </c>
      <c r="AS35" s="882">
        <v>79.290979694882722</v>
      </c>
      <c r="AT35" s="882">
        <v>82.172302401496495</v>
      </c>
    </row>
    <row r="36" spans="1:46">
      <c r="A36" s="1426"/>
      <c r="B36" s="1427"/>
      <c r="C36" s="887">
        <v>0.5</v>
      </c>
      <c r="D36" s="915">
        <f>(AA36*KFC!$B$17+KFC!$C$17)*KFC!$C$5</f>
        <v>28.101611763420749</v>
      </c>
      <c r="E36" s="912">
        <f>(AB36*KFC!$B$17+KFC!$C$17)*KFC!$C$5</f>
        <v>31.1272315610432</v>
      </c>
      <c r="F36" s="912">
        <f>(AC36*KFC!$B$17+KFC!$C$17)*KFC!$C$5</f>
        <v>34.152851358665643</v>
      </c>
      <c r="G36" s="912">
        <f>(AD36*KFC!$B$17+KFC!$C$17)*KFC!$C$5</f>
        <v>37.17847115628809</v>
      </c>
      <c r="H36" s="912">
        <f>(AE36*KFC!$B$17+KFC!$C$17)*KFC!$C$5</f>
        <v>40.204090953910537</v>
      </c>
      <c r="I36" s="912">
        <f>(AF36*KFC!$B$17+KFC!$C$17)*KFC!$C$5</f>
        <v>43.229710751532991</v>
      </c>
      <c r="J36" s="912">
        <f>(AG36*KFC!$B$17+KFC!$C$17)*KFC!$C$5</f>
        <v>46.255330549155431</v>
      </c>
      <c r="K36" s="912">
        <f>(AH36*KFC!$B$17+KFC!$C$17)*KFC!$C$5</f>
        <v>49.280950346777871</v>
      </c>
      <c r="L36" s="912">
        <f>(AI36*KFC!$B$17+KFC!$C$17)*KFC!$C$5</f>
        <v>52.306570144400325</v>
      </c>
      <c r="M36" s="912">
        <f>(AJ36*KFC!$B$17+KFC!$C$17)*KFC!$C$5</f>
        <v>55.332189942022772</v>
      </c>
      <c r="N36" s="912">
        <f>(AK36*KFC!$B$17+KFC!$C$17)*KFC!$C$5</f>
        <v>58.357809739645219</v>
      </c>
      <c r="O36" s="912">
        <f>(AL36*KFC!$B$17+KFC!$C$17)*KFC!$C$5</f>
        <v>61.383429537267666</v>
      </c>
      <c r="P36" s="912">
        <f>(AM36*KFC!$B$17+KFC!$C$17)*KFC!$C$5</f>
        <v>64.409049334890113</v>
      </c>
      <c r="Q36" s="912">
        <f>(AN36*KFC!$B$17+KFC!$C$17)*KFC!$C$5</f>
        <v>67.434669132512568</v>
      </c>
      <c r="R36" s="912">
        <f>(AO36*KFC!$B$17+KFC!$C$17)*KFC!$C$5</f>
        <v>70.460288930135022</v>
      </c>
      <c r="S36" s="912">
        <f>(AP36*KFC!$B$17+KFC!$C$17)*KFC!$C$5</f>
        <v>73.485908727757476</v>
      </c>
      <c r="T36" s="912">
        <f>(AQ36*KFC!$B$17+KFC!$C$17)*KFC!$C$5</f>
        <v>76.51152852537993</v>
      </c>
      <c r="U36" s="912">
        <f>(AR36*KFC!$B$17+KFC!$C$17)*KFC!$C$5</f>
        <v>79.53714832300237</v>
      </c>
      <c r="V36" s="912">
        <f>(AS36*KFC!$B$17+KFC!$C$17)*KFC!$C$5</f>
        <v>82.562768120624838</v>
      </c>
      <c r="W36" s="916">
        <f>(AT36*KFC!$B$17+KFC!$C$17)*KFC!$C$5</f>
        <v>85.588387918247264</v>
      </c>
      <c r="Y36" s="1277"/>
      <c r="Z36" s="649">
        <v>0.5</v>
      </c>
      <c r="AA36" s="882">
        <v>28.101611763420749</v>
      </c>
      <c r="AB36" s="882">
        <v>31.1272315610432</v>
      </c>
      <c r="AC36" s="882">
        <v>34.152851358665643</v>
      </c>
      <c r="AD36" s="882">
        <v>37.17847115628809</v>
      </c>
      <c r="AE36" s="882">
        <v>40.204090953910537</v>
      </c>
      <c r="AF36" s="882">
        <v>43.229710751532991</v>
      </c>
      <c r="AG36" s="882">
        <v>46.255330549155431</v>
      </c>
      <c r="AH36" s="882">
        <v>49.280950346777871</v>
      </c>
      <c r="AI36" s="882">
        <v>52.306570144400325</v>
      </c>
      <c r="AJ36" s="882">
        <v>55.332189942022772</v>
      </c>
      <c r="AK36" s="882">
        <v>58.357809739645219</v>
      </c>
      <c r="AL36" s="882">
        <v>61.383429537267666</v>
      </c>
      <c r="AM36" s="882">
        <v>64.409049334890113</v>
      </c>
      <c r="AN36" s="882">
        <v>67.434669132512568</v>
      </c>
      <c r="AO36" s="882">
        <v>70.460288930135022</v>
      </c>
      <c r="AP36" s="882">
        <v>73.485908727757476</v>
      </c>
      <c r="AQ36" s="882">
        <v>76.51152852537993</v>
      </c>
      <c r="AR36" s="882">
        <v>79.53714832300237</v>
      </c>
      <c r="AS36" s="882">
        <v>82.562768120624838</v>
      </c>
      <c r="AT36" s="882">
        <v>85.588387918247264</v>
      </c>
    </row>
    <row r="37" spans="1:46">
      <c r="A37" s="1426"/>
      <c r="B37" s="1427"/>
      <c r="C37" s="887">
        <v>0.6</v>
      </c>
      <c r="D37" s="915">
        <f>(AA37*KFC!$B$17+KFC!$C$17)*KFC!$C$5</f>
        <v>28.776052551006</v>
      </c>
      <c r="E37" s="912">
        <f>(AB37*KFC!$B$17+KFC!$C$17)*KFC!$C$5</f>
        <v>31.94596943963716</v>
      </c>
      <c r="F37" s="912">
        <f>(AC37*KFC!$B$17+KFC!$C$17)*KFC!$C$5</f>
        <v>35.115886328268324</v>
      </c>
      <c r="G37" s="912">
        <f>(AD37*KFC!$B$17+KFC!$C$17)*KFC!$C$5</f>
        <v>38.285803216899481</v>
      </c>
      <c r="H37" s="912">
        <f>(AE37*KFC!$B$17+KFC!$C$17)*KFC!$C$5</f>
        <v>41.455720105530638</v>
      </c>
      <c r="I37" s="912">
        <f>(AF37*KFC!$B$17+KFC!$C$17)*KFC!$C$5</f>
        <v>44.625636994161802</v>
      </c>
      <c r="J37" s="912">
        <f>(AG37*KFC!$B$17+KFC!$C$17)*KFC!$C$5</f>
        <v>47.795553882792959</v>
      </c>
      <c r="K37" s="912">
        <f>(AH37*KFC!$B$17+KFC!$C$17)*KFC!$C$5</f>
        <v>50.965470771424116</v>
      </c>
      <c r="L37" s="912">
        <f>(AI37*KFC!$B$17+KFC!$C$17)*KFC!$C$5</f>
        <v>54.135387660055272</v>
      </c>
      <c r="M37" s="912">
        <f>(AJ37*KFC!$B$17+KFC!$C$17)*KFC!$C$5</f>
        <v>57.305304548686436</v>
      </c>
      <c r="N37" s="912">
        <f>(AK37*KFC!$B$17+KFC!$C$17)*KFC!$C$5</f>
        <v>60.475221437317593</v>
      </c>
      <c r="O37" s="912">
        <f>(AL37*KFC!$B$17+KFC!$C$17)*KFC!$C$5</f>
        <v>63.645138325948764</v>
      </c>
      <c r="P37" s="912">
        <f>(AM37*KFC!$B$17+KFC!$C$17)*KFC!$C$5</f>
        <v>66.815055214579914</v>
      </c>
      <c r="Q37" s="912">
        <f>(AN37*KFC!$B$17+KFC!$C$17)*KFC!$C$5</f>
        <v>69.984972103211078</v>
      </c>
      <c r="R37" s="912">
        <f>(AO37*KFC!$B$17+KFC!$C$17)*KFC!$C$5</f>
        <v>73.154888991842228</v>
      </c>
      <c r="S37" s="912">
        <f>(AP37*KFC!$B$17+KFC!$C$17)*KFC!$C$5</f>
        <v>76.324805880473392</v>
      </c>
      <c r="T37" s="912">
        <f>(AQ37*KFC!$B$17+KFC!$C$17)*KFC!$C$5</f>
        <v>79.494722769104555</v>
      </c>
      <c r="U37" s="912">
        <f>(AR37*KFC!$B$17+KFC!$C$17)*KFC!$C$5</f>
        <v>82.664639657735705</v>
      </c>
      <c r="V37" s="912">
        <f>(AS37*KFC!$B$17+KFC!$C$17)*KFC!$C$5</f>
        <v>85.834556546366869</v>
      </c>
      <c r="W37" s="916">
        <f>(AT37*KFC!$B$17+KFC!$C$17)*KFC!$C$5</f>
        <v>89.00447343499799</v>
      </c>
      <c r="Y37" s="1277"/>
      <c r="Z37" s="649">
        <v>0.6</v>
      </c>
      <c r="AA37" s="882">
        <v>28.776052551006</v>
      </c>
      <c r="AB37" s="882">
        <v>31.94596943963716</v>
      </c>
      <c r="AC37" s="882">
        <v>35.115886328268324</v>
      </c>
      <c r="AD37" s="882">
        <v>38.285803216899481</v>
      </c>
      <c r="AE37" s="882">
        <v>41.455720105530638</v>
      </c>
      <c r="AF37" s="882">
        <v>44.625636994161802</v>
      </c>
      <c r="AG37" s="882">
        <v>47.795553882792959</v>
      </c>
      <c r="AH37" s="882">
        <v>50.965470771424116</v>
      </c>
      <c r="AI37" s="882">
        <v>54.135387660055272</v>
      </c>
      <c r="AJ37" s="882">
        <v>57.305304548686436</v>
      </c>
      <c r="AK37" s="882">
        <v>60.475221437317593</v>
      </c>
      <c r="AL37" s="882">
        <v>63.645138325948764</v>
      </c>
      <c r="AM37" s="882">
        <v>66.815055214579914</v>
      </c>
      <c r="AN37" s="882">
        <v>69.984972103211078</v>
      </c>
      <c r="AO37" s="882">
        <v>73.154888991842228</v>
      </c>
      <c r="AP37" s="882">
        <v>76.324805880473392</v>
      </c>
      <c r="AQ37" s="882">
        <v>79.494722769104555</v>
      </c>
      <c r="AR37" s="882">
        <v>82.664639657735705</v>
      </c>
      <c r="AS37" s="882">
        <v>85.834556546366869</v>
      </c>
      <c r="AT37" s="882">
        <v>89.00447343499799</v>
      </c>
    </row>
    <row r="38" spans="1:46">
      <c r="A38" s="1426"/>
      <c r="B38" s="1427"/>
      <c r="C38" s="887">
        <v>0.7</v>
      </c>
      <c r="D38" s="915">
        <f>(AA38*KFC!$B$17+KFC!$C$17)*KFC!$C$5</f>
        <v>29.450493338591251</v>
      </c>
      <c r="E38" s="912">
        <f>(AB38*KFC!$B$17+KFC!$C$17)*KFC!$C$5</f>
        <v>32.764707318231117</v>
      </c>
      <c r="F38" s="912">
        <f>(AC38*KFC!$B$17+KFC!$C$17)*KFC!$C$5</f>
        <v>36.078921297870991</v>
      </c>
      <c r="G38" s="912">
        <f>(AD38*KFC!$B$17+KFC!$C$17)*KFC!$C$5</f>
        <v>39.393135277510858</v>
      </c>
      <c r="H38" s="912">
        <f>(AE38*KFC!$B$17+KFC!$C$17)*KFC!$C$5</f>
        <v>42.707349257150717</v>
      </c>
      <c r="I38" s="912">
        <f>(AF38*KFC!$B$17+KFC!$C$17)*KFC!$C$5</f>
        <v>46.021563236790584</v>
      </c>
      <c r="J38" s="912">
        <f>(AG38*KFC!$B$17+KFC!$C$17)*KFC!$C$5</f>
        <v>49.335777216430451</v>
      </c>
      <c r="K38" s="912">
        <f>(AH38*KFC!$B$17+KFC!$C$17)*KFC!$C$5</f>
        <v>52.649991196070317</v>
      </c>
      <c r="L38" s="912">
        <f>(AI38*KFC!$B$17+KFC!$C$17)*KFC!$C$5</f>
        <v>55.964205175710177</v>
      </c>
      <c r="M38" s="912">
        <f>(AJ38*KFC!$B$17+KFC!$C$17)*KFC!$C$5</f>
        <v>59.278419155350051</v>
      </c>
      <c r="N38" s="912">
        <f>(AK38*KFC!$B$17+KFC!$C$17)*KFC!$C$5</f>
        <v>62.59263313498991</v>
      </c>
      <c r="O38" s="912">
        <f>(AL38*KFC!$B$17+KFC!$C$17)*KFC!$C$5</f>
        <v>65.90684711462977</v>
      </c>
      <c r="P38" s="912">
        <f>(AM38*KFC!$B$17+KFC!$C$17)*KFC!$C$5</f>
        <v>69.221061094269643</v>
      </c>
      <c r="Q38" s="912">
        <f>(AN38*KFC!$B$17+KFC!$C$17)*KFC!$C$5</f>
        <v>72.535275073909517</v>
      </c>
      <c r="R38" s="912">
        <f>(AO38*KFC!$B$17+KFC!$C$17)*KFC!$C$5</f>
        <v>75.849489053549377</v>
      </c>
      <c r="S38" s="912">
        <f>(AP38*KFC!$B$17+KFC!$C$17)*KFC!$C$5</f>
        <v>79.163703033189236</v>
      </c>
      <c r="T38" s="912">
        <f>(AQ38*KFC!$B$17+KFC!$C$17)*KFC!$C$5</f>
        <v>82.47791701282911</v>
      </c>
      <c r="U38" s="912">
        <f>(AR38*KFC!$B$17+KFC!$C$17)*KFC!$C$5</f>
        <v>85.792130992468984</v>
      </c>
      <c r="V38" s="912">
        <f>(AS38*KFC!$B$17+KFC!$C$17)*KFC!$C$5</f>
        <v>89.106344972108857</v>
      </c>
      <c r="W38" s="916">
        <f>(AT38*KFC!$B$17+KFC!$C$17)*KFC!$C$5</f>
        <v>92.420558951748745</v>
      </c>
      <c r="Y38" s="1277"/>
      <c r="Z38" s="649">
        <v>0.7</v>
      </c>
      <c r="AA38" s="882">
        <v>29.450493338591251</v>
      </c>
      <c r="AB38" s="882">
        <v>32.764707318231117</v>
      </c>
      <c r="AC38" s="882">
        <v>36.078921297870991</v>
      </c>
      <c r="AD38" s="882">
        <v>39.393135277510858</v>
      </c>
      <c r="AE38" s="882">
        <v>42.707349257150717</v>
      </c>
      <c r="AF38" s="882">
        <v>46.021563236790584</v>
      </c>
      <c r="AG38" s="882">
        <v>49.335777216430451</v>
      </c>
      <c r="AH38" s="882">
        <v>52.649991196070317</v>
      </c>
      <c r="AI38" s="882">
        <v>55.964205175710177</v>
      </c>
      <c r="AJ38" s="882">
        <v>59.278419155350051</v>
      </c>
      <c r="AK38" s="882">
        <v>62.59263313498991</v>
      </c>
      <c r="AL38" s="882">
        <v>65.90684711462977</v>
      </c>
      <c r="AM38" s="882">
        <v>69.221061094269643</v>
      </c>
      <c r="AN38" s="882">
        <v>72.535275073909517</v>
      </c>
      <c r="AO38" s="882">
        <v>75.849489053549377</v>
      </c>
      <c r="AP38" s="882">
        <v>79.163703033189236</v>
      </c>
      <c r="AQ38" s="882">
        <v>82.47791701282911</v>
      </c>
      <c r="AR38" s="882">
        <v>85.792130992468984</v>
      </c>
      <c r="AS38" s="882">
        <v>89.106344972108857</v>
      </c>
      <c r="AT38" s="882">
        <v>92.420558951748745</v>
      </c>
    </row>
    <row r="39" spans="1:46">
      <c r="A39" s="1426"/>
      <c r="B39" s="1427"/>
      <c r="C39" s="887">
        <v>0.8</v>
      </c>
      <c r="D39" s="915">
        <f>(AA39*KFC!$B$17+KFC!$C$17)*KFC!$C$5</f>
        <v>30.124934126176498</v>
      </c>
      <c r="E39" s="912">
        <f>(AB39*KFC!$B$17+KFC!$C$17)*KFC!$C$5</f>
        <v>33.583445196825082</v>
      </c>
      <c r="F39" s="912">
        <f>(AC39*KFC!$B$17+KFC!$C$17)*KFC!$C$5</f>
        <v>37.041956267473658</v>
      </c>
      <c r="G39" s="912">
        <f>(AD39*KFC!$B$17+KFC!$C$17)*KFC!$C$5</f>
        <v>40.500467338122235</v>
      </c>
      <c r="H39" s="912">
        <f>(AE39*KFC!$B$17+KFC!$C$17)*KFC!$C$5</f>
        <v>43.958978408770818</v>
      </c>
      <c r="I39" s="912">
        <f>(AF39*KFC!$B$17+KFC!$C$17)*KFC!$C$5</f>
        <v>47.417489479419395</v>
      </c>
      <c r="J39" s="912">
        <f>(AG39*KFC!$B$17+KFC!$C$17)*KFC!$C$5</f>
        <v>50.876000550067978</v>
      </c>
      <c r="K39" s="912">
        <f>(AH39*KFC!$B$17+KFC!$C$17)*KFC!$C$5</f>
        <v>54.334511620716555</v>
      </c>
      <c r="L39" s="912">
        <f>(AI39*KFC!$B$17+KFC!$C$17)*KFC!$C$5</f>
        <v>57.793022691365131</v>
      </c>
      <c r="M39" s="912">
        <f>(AJ39*KFC!$B$17+KFC!$C$17)*KFC!$C$5</f>
        <v>61.251533762013707</v>
      </c>
      <c r="N39" s="912">
        <f>(AK39*KFC!$B$17+KFC!$C$17)*KFC!$C$5</f>
        <v>64.710044832662291</v>
      </c>
      <c r="O39" s="912">
        <f>(AL39*KFC!$B$17+KFC!$C$17)*KFC!$C$5</f>
        <v>68.16855590331086</v>
      </c>
      <c r="P39" s="912">
        <f>(AM39*KFC!$B$17+KFC!$C$17)*KFC!$C$5</f>
        <v>71.627066973959444</v>
      </c>
      <c r="Q39" s="912">
        <f>(AN39*KFC!$B$17+KFC!$C$17)*KFC!$C$5</f>
        <v>75.085578044608042</v>
      </c>
      <c r="R39" s="912">
        <f>(AO39*KFC!$B$17+KFC!$C$17)*KFC!$C$5</f>
        <v>78.544089115256611</v>
      </c>
      <c r="S39" s="912">
        <f>(AP39*KFC!$B$17+KFC!$C$17)*KFC!$C$5</f>
        <v>82.002600185905209</v>
      </c>
      <c r="T39" s="912">
        <f>(AQ39*KFC!$B$17+KFC!$C$17)*KFC!$C$5</f>
        <v>85.461111256553792</v>
      </c>
      <c r="U39" s="912">
        <f>(AR39*KFC!$B$17+KFC!$C$17)*KFC!$C$5</f>
        <v>88.919622327202362</v>
      </c>
      <c r="V39" s="912">
        <f>(AS39*KFC!$B$17+KFC!$C$17)*KFC!$C$5</f>
        <v>92.378133397850959</v>
      </c>
      <c r="W39" s="916">
        <f>(AT39*KFC!$B$17+KFC!$C$17)*KFC!$C$5</f>
        <v>95.8366444684995</v>
      </c>
      <c r="Y39" s="1277"/>
      <c r="Z39" s="649">
        <v>0.8</v>
      </c>
      <c r="AA39" s="882">
        <v>30.124934126176498</v>
      </c>
      <c r="AB39" s="882">
        <v>33.583445196825082</v>
      </c>
      <c r="AC39" s="882">
        <v>37.041956267473658</v>
      </c>
      <c r="AD39" s="882">
        <v>40.500467338122235</v>
      </c>
      <c r="AE39" s="882">
        <v>43.958978408770818</v>
      </c>
      <c r="AF39" s="882">
        <v>47.417489479419395</v>
      </c>
      <c r="AG39" s="882">
        <v>50.876000550067978</v>
      </c>
      <c r="AH39" s="882">
        <v>54.334511620716555</v>
      </c>
      <c r="AI39" s="882">
        <v>57.793022691365131</v>
      </c>
      <c r="AJ39" s="882">
        <v>61.251533762013707</v>
      </c>
      <c r="AK39" s="882">
        <v>64.710044832662291</v>
      </c>
      <c r="AL39" s="882">
        <v>68.16855590331086</v>
      </c>
      <c r="AM39" s="882">
        <v>71.627066973959444</v>
      </c>
      <c r="AN39" s="882">
        <v>75.085578044608042</v>
      </c>
      <c r="AO39" s="882">
        <v>78.544089115256611</v>
      </c>
      <c r="AP39" s="882">
        <v>82.002600185905209</v>
      </c>
      <c r="AQ39" s="882">
        <v>85.461111256553792</v>
      </c>
      <c r="AR39" s="882">
        <v>88.919622327202362</v>
      </c>
      <c r="AS39" s="882">
        <v>92.378133397850959</v>
      </c>
      <c r="AT39" s="882">
        <v>95.8366444684995</v>
      </c>
    </row>
    <row r="40" spans="1:46">
      <c r="A40" s="1426"/>
      <c r="B40" s="1427"/>
      <c r="C40" s="887">
        <v>0.9</v>
      </c>
      <c r="D40" s="915">
        <f>(AA40*KFC!$B$17+KFC!$C$17)*KFC!$C$5</f>
        <v>30.799374913761753</v>
      </c>
      <c r="E40" s="912">
        <f>(AB40*KFC!$B$17+KFC!$C$17)*KFC!$C$5</f>
        <v>34.402183075419046</v>
      </c>
      <c r="F40" s="912">
        <f>(AC40*KFC!$B$17+KFC!$C$17)*KFC!$C$5</f>
        <v>38.004991237076332</v>
      </c>
      <c r="G40" s="912">
        <f>(AD40*KFC!$B$17+KFC!$C$17)*KFC!$C$5</f>
        <v>41.607799398733626</v>
      </c>
      <c r="H40" s="912">
        <f>(AE40*KFC!$B$17+KFC!$C$17)*KFC!$C$5</f>
        <v>45.210607560390919</v>
      </c>
      <c r="I40" s="912">
        <f>(AF40*KFC!$B$17+KFC!$C$17)*KFC!$C$5</f>
        <v>48.813415722048212</v>
      </c>
      <c r="J40" s="912">
        <f>(AG40*KFC!$B$17+KFC!$C$17)*KFC!$C$5</f>
        <v>52.416223883705499</v>
      </c>
      <c r="K40" s="912">
        <f>(AH40*KFC!$B$17+KFC!$C$17)*KFC!$C$5</f>
        <v>56.019032045362792</v>
      </c>
      <c r="L40" s="912">
        <f>(AI40*KFC!$B$17+KFC!$C$17)*KFC!$C$5</f>
        <v>59.621840207020085</v>
      </c>
      <c r="M40" s="912">
        <f>(AJ40*KFC!$B$17+KFC!$C$17)*KFC!$C$5</f>
        <v>63.224648368677379</v>
      </c>
      <c r="N40" s="912">
        <f>(AK40*KFC!$B$17+KFC!$C$17)*KFC!$C$5</f>
        <v>66.827456530334672</v>
      </c>
      <c r="O40" s="912">
        <f>(AL40*KFC!$B$17+KFC!$C$17)*KFC!$C$5</f>
        <v>70.430264691991951</v>
      </c>
      <c r="P40" s="912">
        <f>(AM40*KFC!$B$17+KFC!$C$17)*KFC!$C$5</f>
        <v>74.033072853649259</v>
      </c>
      <c r="Q40" s="912">
        <f>(AN40*KFC!$B$17+KFC!$C$17)*KFC!$C$5</f>
        <v>77.635881015306538</v>
      </c>
      <c r="R40" s="912">
        <f>(AO40*KFC!$B$17+KFC!$C$17)*KFC!$C$5</f>
        <v>81.238689176963817</v>
      </c>
      <c r="S40" s="912">
        <f>(AP40*KFC!$B$17+KFC!$C$17)*KFC!$C$5</f>
        <v>84.841497338621124</v>
      </c>
      <c r="T40" s="912">
        <f>(AQ40*KFC!$B$17+KFC!$C$17)*KFC!$C$5</f>
        <v>88.444305500278404</v>
      </c>
      <c r="U40" s="912">
        <f>(AR40*KFC!$B$17+KFC!$C$17)*KFC!$C$5</f>
        <v>92.047113661935711</v>
      </c>
      <c r="V40" s="912">
        <f>(AS40*KFC!$B$17+KFC!$C$17)*KFC!$C$5</f>
        <v>95.64992182359299</v>
      </c>
      <c r="W40" s="916">
        <f>(AT40*KFC!$B$17+KFC!$C$17)*KFC!$C$5</f>
        <v>99.252729985250255</v>
      </c>
      <c r="Y40" s="1277"/>
      <c r="Z40" s="649">
        <v>0.9</v>
      </c>
      <c r="AA40" s="882">
        <v>30.799374913761753</v>
      </c>
      <c r="AB40" s="882">
        <v>34.402183075419046</v>
      </c>
      <c r="AC40" s="882">
        <v>38.004991237076332</v>
      </c>
      <c r="AD40" s="882">
        <v>41.607799398733626</v>
      </c>
      <c r="AE40" s="882">
        <v>45.210607560390919</v>
      </c>
      <c r="AF40" s="882">
        <v>48.813415722048212</v>
      </c>
      <c r="AG40" s="882">
        <v>52.416223883705499</v>
      </c>
      <c r="AH40" s="882">
        <v>56.019032045362792</v>
      </c>
      <c r="AI40" s="882">
        <v>59.621840207020085</v>
      </c>
      <c r="AJ40" s="882">
        <v>63.224648368677379</v>
      </c>
      <c r="AK40" s="882">
        <v>66.827456530334672</v>
      </c>
      <c r="AL40" s="882">
        <v>70.430264691991951</v>
      </c>
      <c r="AM40" s="882">
        <v>74.033072853649259</v>
      </c>
      <c r="AN40" s="882">
        <v>77.635881015306538</v>
      </c>
      <c r="AO40" s="882">
        <v>81.238689176963817</v>
      </c>
      <c r="AP40" s="882">
        <v>84.841497338621124</v>
      </c>
      <c r="AQ40" s="882">
        <v>88.444305500278404</v>
      </c>
      <c r="AR40" s="882">
        <v>92.047113661935711</v>
      </c>
      <c r="AS40" s="882">
        <v>95.64992182359299</v>
      </c>
      <c r="AT40" s="882">
        <v>99.252729985250255</v>
      </c>
    </row>
    <row r="41" spans="1:46">
      <c r="A41" s="1426"/>
      <c r="B41" s="1427"/>
      <c r="C41" s="887">
        <v>1</v>
      </c>
      <c r="D41" s="915">
        <f>(AA41*KFC!$B$17+KFC!$C$17)*KFC!$C$5</f>
        <v>31.473815701347004</v>
      </c>
      <c r="E41" s="912">
        <f>(AB41*KFC!$B$17+KFC!$C$17)*KFC!$C$5</f>
        <v>35.220920954013003</v>
      </c>
      <c r="F41" s="912">
        <f>(AC41*KFC!$B$17+KFC!$C$17)*KFC!$C$5</f>
        <v>38.968026206678999</v>
      </c>
      <c r="G41" s="912">
        <f>(AD41*KFC!$B$17+KFC!$C$17)*KFC!$C$5</f>
        <v>42.715131459345002</v>
      </c>
      <c r="H41" s="912">
        <f>(AE41*KFC!$B$17+KFC!$C$17)*KFC!$C$5</f>
        <v>46.462236712010998</v>
      </c>
      <c r="I41" s="912">
        <f>(AF41*KFC!$B$17+KFC!$C$17)*KFC!$C$5</f>
        <v>50.209341964676987</v>
      </c>
      <c r="J41" s="912">
        <f>(AG41*KFC!$B$17+KFC!$C$17)*KFC!$C$5</f>
        <v>53.956447217342998</v>
      </c>
      <c r="K41" s="912">
        <f>(AH41*KFC!$B$17+KFC!$C$17)*KFC!$C$5</f>
        <v>57.703552470008987</v>
      </c>
      <c r="L41" s="912">
        <f>(AI41*KFC!$B$17+KFC!$C$17)*KFC!$C$5</f>
        <v>61.45065772267499</v>
      </c>
      <c r="M41" s="912">
        <f>(AJ41*KFC!$B$17+KFC!$C$17)*KFC!$C$5</f>
        <v>65.197762975340993</v>
      </c>
      <c r="N41" s="912">
        <f>(AK41*KFC!$B$17+KFC!$C$17)*KFC!$C$5</f>
        <v>68.944868228006982</v>
      </c>
      <c r="O41" s="912">
        <f>(AL41*KFC!$B$17+KFC!$C$17)*KFC!$C$5</f>
        <v>72.691973480672985</v>
      </c>
      <c r="P41" s="912">
        <f>(AM41*KFC!$B$17+KFC!$C$17)*KFC!$C$5</f>
        <v>76.439078733338974</v>
      </c>
      <c r="Q41" s="912">
        <f>(AN41*KFC!$B$17+KFC!$C$17)*KFC!$C$5</f>
        <v>80.186183986004977</v>
      </c>
      <c r="R41" s="912">
        <f>(AO41*KFC!$B$17+KFC!$C$17)*KFC!$C$5</f>
        <v>83.933289238670966</v>
      </c>
      <c r="S41" s="912">
        <f>(AP41*KFC!$B$17+KFC!$C$17)*KFC!$C$5</f>
        <v>87.680394491336955</v>
      </c>
      <c r="T41" s="912">
        <f>(AQ41*KFC!$B$17+KFC!$C$17)*KFC!$C$5</f>
        <v>91.427499744002972</v>
      </c>
      <c r="U41" s="912">
        <f>(AR41*KFC!$B$17+KFC!$C$17)*KFC!$C$5</f>
        <v>95.174604996668961</v>
      </c>
      <c r="V41" s="912">
        <f>(AS41*KFC!$B$17+KFC!$C$17)*KFC!$C$5</f>
        <v>98.92171024933495</v>
      </c>
      <c r="W41" s="916">
        <f>(AT41*KFC!$B$17+KFC!$C$17)*KFC!$C$5</f>
        <v>102.66881550200101</v>
      </c>
      <c r="Y41" s="1277"/>
      <c r="Z41" s="649">
        <v>1</v>
      </c>
      <c r="AA41" s="882">
        <v>31.473815701347004</v>
      </c>
      <c r="AB41" s="882">
        <v>35.220920954013003</v>
      </c>
      <c r="AC41" s="882">
        <v>38.968026206678999</v>
      </c>
      <c r="AD41" s="882">
        <v>42.715131459345002</v>
      </c>
      <c r="AE41" s="882">
        <v>46.462236712010998</v>
      </c>
      <c r="AF41" s="882">
        <v>50.209341964676987</v>
      </c>
      <c r="AG41" s="882">
        <v>53.956447217342998</v>
      </c>
      <c r="AH41" s="882">
        <v>57.703552470008987</v>
      </c>
      <c r="AI41" s="882">
        <v>61.45065772267499</v>
      </c>
      <c r="AJ41" s="882">
        <v>65.197762975340993</v>
      </c>
      <c r="AK41" s="882">
        <v>68.944868228006982</v>
      </c>
      <c r="AL41" s="882">
        <v>72.691973480672985</v>
      </c>
      <c r="AM41" s="882">
        <v>76.439078733338974</v>
      </c>
      <c r="AN41" s="882">
        <v>80.186183986004977</v>
      </c>
      <c r="AO41" s="882">
        <v>83.933289238670966</v>
      </c>
      <c r="AP41" s="882">
        <v>87.680394491336955</v>
      </c>
      <c r="AQ41" s="882">
        <v>91.427499744002972</v>
      </c>
      <c r="AR41" s="882">
        <v>95.174604996668961</v>
      </c>
      <c r="AS41" s="882">
        <v>98.92171024933495</v>
      </c>
      <c r="AT41" s="882">
        <v>102.66881550200101</v>
      </c>
    </row>
    <row r="42" spans="1:46">
      <c r="A42" s="1426"/>
      <c r="B42" s="1427"/>
      <c r="C42" s="887">
        <v>1.1000000000000001</v>
      </c>
      <c r="D42" s="915">
        <f>(AA42*KFC!$B$17+KFC!$C$17)*KFC!$C$5</f>
        <v>32.148256488932255</v>
      </c>
      <c r="E42" s="912">
        <f>(AB42*KFC!$B$17+KFC!$C$17)*KFC!$C$5</f>
        <v>36.039658832606968</v>
      </c>
      <c r="F42" s="912">
        <f>(AC42*KFC!$B$17+KFC!$C$17)*KFC!$C$5</f>
        <v>39.931061176281673</v>
      </c>
      <c r="G42" s="912">
        <f>(AD42*KFC!$B$17+KFC!$C$17)*KFC!$C$5</f>
        <v>43.822463519956386</v>
      </c>
      <c r="H42" s="912">
        <f>(AE42*KFC!$B$17+KFC!$C$17)*KFC!$C$5</f>
        <v>47.713865863631092</v>
      </c>
      <c r="I42" s="912">
        <f>(AF42*KFC!$B$17+KFC!$C$17)*KFC!$C$5</f>
        <v>51.605268207305805</v>
      </c>
      <c r="J42" s="912">
        <f>(AG42*KFC!$B$17+KFC!$C$17)*KFC!$C$5</f>
        <v>55.496670550980518</v>
      </c>
      <c r="K42" s="912">
        <f>(AH42*KFC!$B$17+KFC!$C$17)*KFC!$C$5</f>
        <v>59.388072894655224</v>
      </c>
      <c r="L42" s="912">
        <f>(AI42*KFC!$B$17+KFC!$C$17)*KFC!$C$5</f>
        <v>63.27947523832993</v>
      </c>
      <c r="M42" s="912">
        <f>(AJ42*KFC!$B$17+KFC!$C$17)*KFC!$C$5</f>
        <v>67.17087758200465</v>
      </c>
      <c r="N42" s="912">
        <f>(AK42*KFC!$B$17+KFC!$C$17)*KFC!$C$5</f>
        <v>71.062279925679363</v>
      </c>
      <c r="O42" s="912">
        <f>(AL42*KFC!$B$17+KFC!$C$17)*KFC!$C$5</f>
        <v>74.953682269354076</v>
      </c>
      <c r="P42" s="912">
        <f>(AM42*KFC!$B$17+KFC!$C$17)*KFC!$C$5</f>
        <v>78.845084613028803</v>
      </c>
      <c r="Q42" s="912">
        <f>(AN42*KFC!$B$17+KFC!$C$17)*KFC!$C$5</f>
        <v>82.736486956703516</v>
      </c>
      <c r="R42" s="912">
        <f>(AO42*KFC!$B$17+KFC!$C$17)*KFC!$C$5</f>
        <v>86.627889300378229</v>
      </c>
      <c r="S42" s="912">
        <f>(AP42*KFC!$B$17+KFC!$C$17)*KFC!$C$5</f>
        <v>90.519291644052942</v>
      </c>
      <c r="T42" s="912">
        <f>(AQ42*KFC!$B$17+KFC!$C$17)*KFC!$C$5</f>
        <v>94.410693987727669</v>
      </c>
      <c r="U42" s="912">
        <f>(AR42*KFC!$B$17+KFC!$C$17)*KFC!$C$5</f>
        <v>98.302096331402382</v>
      </c>
      <c r="V42" s="912">
        <f>(AS42*KFC!$B$17+KFC!$C$17)*KFC!$C$5</f>
        <v>102.19349867507709</v>
      </c>
      <c r="W42" s="916">
        <f>(AT42*KFC!$B$17+KFC!$C$17)*KFC!$C$5</f>
        <v>106.08490101875176</v>
      </c>
      <c r="Y42" s="1277"/>
      <c r="Z42" s="649">
        <v>1.1000000000000001</v>
      </c>
      <c r="AA42" s="882">
        <v>32.148256488932255</v>
      </c>
      <c r="AB42" s="882">
        <v>36.039658832606968</v>
      </c>
      <c r="AC42" s="882">
        <v>39.931061176281673</v>
      </c>
      <c r="AD42" s="882">
        <v>43.822463519956386</v>
      </c>
      <c r="AE42" s="882">
        <v>47.713865863631092</v>
      </c>
      <c r="AF42" s="882">
        <v>51.605268207305805</v>
      </c>
      <c r="AG42" s="882">
        <v>55.496670550980518</v>
      </c>
      <c r="AH42" s="882">
        <v>59.388072894655224</v>
      </c>
      <c r="AI42" s="882">
        <v>63.27947523832993</v>
      </c>
      <c r="AJ42" s="882">
        <v>67.17087758200465</v>
      </c>
      <c r="AK42" s="882">
        <v>71.062279925679363</v>
      </c>
      <c r="AL42" s="882">
        <v>74.953682269354076</v>
      </c>
      <c r="AM42" s="882">
        <v>78.845084613028803</v>
      </c>
      <c r="AN42" s="882">
        <v>82.736486956703516</v>
      </c>
      <c r="AO42" s="882">
        <v>86.627889300378229</v>
      </c>
      <c r="AP42" s="882">
        <v>90.519291644052942</v>
      </c>
      <c r="AQ42" s="882">
        <v>94.410693987727669</v>
      </c>
      <c r="AR42" s="882">
        <v>98.302096331402382</v>
      </c>
      <c r="AS42" s="882">
        <v>102.19349867507709</v>
      </c>
      <c r="AT42" s="882">
        <v>106.08490101875176</v>
      </c>
    </row>
    <row r="43" spans="1:46">
      <c r="A43" s="1426"/>
      <c r="B43" s="1427"/>
      <c r="C43" s="887">
        <v>1.2</v>
      </c>
      <c r="D43" s="915">
        <f>(AA43*KFC!$B$17+KFC!$C$17)*KFC!$C$5</f>
        <v>32.822697276517502</v>
      </c>
      <c r="E43" s="912">
        <f>(AB43*KFC!$B$17+KFC!$C$17)*KFC!$C$5</f>
        <v>36.858396711200932</v>
      </c>
      <c r="F43" s="912">
        <f>(AC43*KFC!$B$17+KFC!$C$17)*KFC!$C$5</f>
        <v>40.894096145884347</v>
      </c>
      <c r="G43" s="912">
        <f>(AD43*KFC!$B$17+KFC!$C$17)*KFC!$C$5</f>
        <v>44.929795580567777</v>
      </c>
      <c r="H43" s="912">
        <f>(AE43*KFC!$B$17+KFC!$C$17)*KFC!$C$5</f>
        <v>48.9654950152512</v>
      </c>
      <c r="I43" s="912">
        <f>(AF43*KFC!$B$17+KFC!$C$17)*KFC!$C$5</f>
        <v>53.001194449934623</v>
      </c>
      <c r="J43" s="912">
        <f>(AG43*KFC!$B$17+KFC!$C$17)*KFC!$C$5</f>
        <v>57.036893884618038</v>
      </c>
      <c r="K43" s="912">
        <f>(AH43*KFC!$B$17+KFC!$C$17)*KFC!$C$5</f>
        <v>61.072593319301461</v>
      </c>
      <c r="L43" s="912">
        <f>(AI43*KFC!$B$17+KFC!$C$17)*KFC!$C$5</f>
        <v>65.108292753984884</v>
      </c>
      <c r="M43" s="912">
        <f>(AJ43*KFC!$B$17+KFC!$C$17)*KFC!$C$5</f>
        <v>69.143992188668307</v>
      </c>
      <c r="N43" s="912">
        <f>(AK43*KFC!$B$17+KFC!$C$17)*KFC!$C$5</f>
        <v>73.179691623351715</v>
      </c>
      <c r="O43" s="912">
        <f>(AL43*KFC!$B$17+KFC!$C$17)*KFC!$C$5</f>
        <v>77.215391058035138</v>
      </c>
      <c r="P43" s="912">
        <f>(AM43*KFC!$B$17+KFC!$C$17)*KFC!$C$5</f>
        <v>81.251090492718575</v>
      </c>
      <c r="Q43" s="912">
        <f>(AN43*KFC!$B$17+KFC!$C$17)*KFC!$C$5</f>
        <v>85.286789927401983</v>
      </c>
      <c r="R43" s="912">
        <f>(AO43*KFC!$B$17+KFC!$C$17)*KFC!$C$5</f>
        <v>89.32248936208542</v>
      </c>
      <c r="S43" s="912">
        <f>(AP43*KFC!$B$17+KFC!$C$17)*KFC!$C$5</f>
        <v>93.358188796768843</v>
      </c>
      <c r="T43" s="912">
        <f>(AQ43*KFC!$B$17+KFC!$C$17)*KFC!$C$5</f>
        <v>97.393888231452266</v>
      </c>
      <c r="U43" s="912">
        <f>(AR43*KFC!$B$17+KFC!$C$17)*KFC!$C$5</f>
        <v>101.42958766613569</v>
      </c>
      <c r="V43" s="912">
        <f>(AS43*KFC!$B$17+KFC!$C$17)*KFC!$C$5</f>
        <v>105.4652871008191</v>
      </c>
      <c r="W43" s="916">
        <f>(AT43*KFC!$B$17+KFC!$C$17)*KFC!$C$5</f>
        <v>109.50098653550252</v>
      </c>
      <c r="Y43" s="1277"/>
      <c r="Z43" s="649">
        <v>1.2</v>
      </c>
      <c r="AA43" s="882">
        <v>32.822697276517502</v>
      </c>
      <c r="AB43" s="882">
        <v>36.858396711200932</v>
      </c>
      <c r="AC43" s="882">
        <v>40.894096145884347</v>
      </c>
      <c r="AD43" s="882">
        <v>44.929795580567777</v>
      </c>
      <c r="AE43" s="882">
        <v>48.9654950152512</v>
      </c>
      <c r="AF43" s="882">
        <v>53.001194449934623</v>
      </c>
      <c r="AG43" s="882">
        <v>57.036893884618038</v>
      </c>
      <c r="AH43" s="882">
        <v>61.072593319301461</v>
      </c>
      <c r="AI43" s="882">
        <v>65.108292753984884</v>
      </c>
      <c r="AJ43" s="882">
        <v>69.143992188668307</v>
      </c>
      <c r="AK43" s="882">
        <v>73.179691623351715</v>
      </c>
      <c r="AL43" s="882">
        <v>77.215391058035138</v>
      </c>
      <c r="AM43" s="882">
        <v>81.251090492718575</v>
      </c>
      <c r="AN43" s="882">
        <v>85.286789927401983</v>
      </c>
      <c r="AO43" s="882">
        <v>89.32248936208542</v>
      </c>
      <c r="AP43" s="882">
        <v>93.358188796768843</v>
      </c>
      <c r="AQ43" s="882">
        <v>97.393888231452266</v>
      </c>
      <c r="AR43" s="882">
        <v>101.42958766613569</v>
      </c>
      <c r="AS43" s="882">
        <v>105.4652871008191</v>
      </c>
      <c r="AT43" s="882">
        <v>109.50098653550252</v>
      </c>
    </row>
    <row r="44" spans="1:46">
      <c r="A44" s="1426"/>
      <c r="B44" s="1427"/>
      <c r="C44" s="887">
        <v>1.3</v>
      </c>
      <c r="D44" s="915">
        <f>(AA44*KFC!$B$17+KFC!$C$17)*KFC!$C$5</f>
        <v>33.497138064102757</v>
      </c>
      <c r="E44" s="912">
        <f>(AB44*KFC!$B$17+KFC!$C$17)*KFC!$C$5</f>
        <v>37.677134589794882</v>
      </c>
      <c r="F44" s="912">
        <f>(AC44*KFC!$B$17+KFC!$C$17)*KFC!$C$5</f>
        <v>41.857131115487007</v>
      </c>
      <c r="G44" s="912">
        <f>(AD44*KFC!$B$17+KFC!$C$17)*KFC!$C$5</f>
        <v>46.037127641179147</v>
      </c>
      <c r="H44" s="912">
        <f>(AE44*KFC!$B$17+KFC!$C$17)*KFC!$C$5</f>
        <v>50.217124166871272</v>
      </c>
      <c r="I44" s="912">
        <f>(AF44*KFC!$B$17+KFC!$C$17)*KFC!$C$5</f>
        <v>54.397120692563398</v>
      </c>
      <c r="J44" s="912">
        <f>(AG44*KFC!$B$17+KFC!$C$17)*KFC!$C$5</f>
        <v>58.577117218255523</v>
      </c>
      <c r="K44" s="912">
        <f>(AH44*KFC!$B$17+KFC!$C$17)*KFC!$C$5</f>
        <v>62.757113743947663</v>
      </c>
      <c r="L44" s="912">
        <f>(AI44*KFC!$B$17+KFC!$C$17)*KFC!$C$5</f>
        <v>66.937110269639788</v>
      </c>
      <c r="M44" s="912">
        <f>(AJ44*KFC!$B$17+KFC!$C$17)*KFC!$C$5</f>
        <v>71.117106795331907</v>
      </c>
      <c r="N44" s="912">
        <f>(AK44*KFC!$B$17+KFC!$C$17)*KFC!$C$5</f>
        <v>75.297103321024053</v>
      </c>
      <c r="O44" s="912">
        <f>(AL44*KFC!$B$17+KFC!$C$17)*KFC!$C$5</f>
        <v>79.477099846716172</v>
      </c>
      <c r="P44" s="912">
        <f>(AM44*KFC!$B$17+KFC!$C$17)*KFC!$C$5</f>
        <v>83.657096372408304</v>
      </c>
      <c r="Q44" s="912">
        <f>(AN44*KFC!$B$17+KFC!$C$17)*KFC!$C$5</f>
        <v>87.837092898100423</v>
      </c>
      <c r="R44" s="912">
        <f>(AO44*KFC!$B$17+KFC!$C$17)*KFC!$C$5</f>
        <v>92.017089423792555</v>
      </c>
      <c r="S44" s="912">
        <f>(AP44*KFC!$B$17+KFC!$C$17)*KFC!$C$5</f>
        <v>96.197085949484674</v>
      </c>
      <c r="T44" s="912">
        <f>(AQ44*KFC!$B$17+KFC!$C$17)*KFC!$C$5</f>
        <v>100.37708247517682</v>
      </c>
      <c r="U44" s="912">
        <f>(AR44*KFC!$B$17+KFC!$C$17)*KFC!$C$5</f>
        <v>104.55707900086894</v>
      </c>
      <c r="V44" s="912">
        <f>(AS44*KFC!$B$17+KFC!$C$17)*KFC!$C$5</f>
        <v>108.73707552656107</v>
      </c>
      <c r="W44" s="916">
        <f>(AT44*KFC!$B$17+KFC!$C$17)*KFC!$C$5</f>
        <v>112.91707205225326</v>
      </c>
      <c r="Y44" s="1277"/>
      <c r="Z44" s="649">
        <v>1.3</v>
      </c>
      <c r="AA44" s="882">
        <v>33.497138064102757</v>
      </c>
      <c r="AB44" s="882">
        <v>37.677134589794882</v>
      </c>
      <c r="AC44" s="882">
        <v>41.857131115487007</v>
      </c>
      <c r="AD44" s="882">
        <v>46.037127641179147</v>
      </c>
      <c r="AE44" s="882">
        <v>50.217124166871272</v>
      </c>
      <c r="AF44" s="882">
        <v>54.397120692563398</v>
      </c>
      <c r="AG44" s="882">
        <v>58.577117218255523</v>
      </c>
      <c r="AH44" s="882">
        <v>62.757113743947663</v>
      </c>
      <c r="AI44" s="882">
        <v>66.937110269639788</v>
      </c>
      <c r="AJ44" s="882">
        <v>71.117106795331907</v>
      </c>
      <c r="AK44" s="882">
        <v>75.297103321024053</v>
      </c>
      <c r="AL44" s="882">
        <v>79.477099846716172</v>
      </c>
      <c r="AM44" s="882">
        <v>83.657096372408304</v>
      </c>
      <c r="AN44" s="882">
        <v>87.837092898100423</v>
      </c>
      <c r="AO44" s="882">
        <v>92.017089423792555</v>
      </c>
      <c r="AP44" s="882">
        <v>96.197085949484674</v>
      </c>
      <c r="AQ44" s="882">
        <v>100.37708247517682</v>
      </c>
      <c r="AR44" s="882">
        <v>104.55707900086894</v>
      </c>
      <c r="AS44" s="882">
        <v>108.73707552656107</v>
      </c>
      <c r="AT44" s="882">
        <v>112.91707205225326</v>
      </c>
    </row>
    <row r="45" spans="1:46">
      <c r="A45" s="1426"/>
      <c r="B45" s="1427"/>
      <c r="C45" s="887">
        <v>1.4</v>
      </c>
      <c r="D45" s="915">
        <f>(AA45*KFC!$B$17+KFC!$C$17)*KFC!$C$5</f>
        <v>34.171578851688004</v>
      </c>
      <c r="E45" s="912">
        <f>(AB45*KFC!$B$17+KFC!$C$17)*KFC!$C$5</f>
        <v>38.495872468388846</v>
      </c>
      <c r="F45" s="912">
        <f>(AC45*KFC!$B$17+KFC!$C$17)*KFC!$C$5</f>
        <v>42.820166085089689</v>
      </c>
      <c r="G45" s="912">
        <f>(AD45*KFC!$B$17+KFC!$C$17)*KFC!$C$5</f>
        <v>47.144459701790531</v>
      </c>
      <c r="H45" s="912">
        <f>(AE45*KFC!$B$17+KFC!$C$17)*KFC!$C$5</f>
        <v>51.468753318491373</v>
      </c>
      <c r="I45" s="912">
        <f>(AF45*KFC!$B$17+KFC!$C$17)*KFC!$C$5</f>
        <v>55.793046935192216</v>
      </c>
      <c r="J45" s="912">
        <f>(AG45*KFC!$B$17+KFC!$C$17)*KFC!$C$5</f>
        <v>60.117340551893051</v>
      </c>
      <c r="K45" s="912">
        <f>(AH45*KFC!$B$17+KFC!$C$17)*KFC!$C$5</f>
        <v>64.441634168593893</v>
      </c>
      <c r="L45" s="912">
        <f>(AI45*KFC!$B$17+KFC!$C$17)*KFC!$C$5</f>
        <v>68.76592778529475</v>
      </c>
      <c r="M45" s="912">
        <f>(AJ45*KFC!$B$17+KFC!$C$17)*KFC!$C$5</f>
        <v>73.090221401995592</v>
      </c>
      <c r="N45" s="912">
        <f>(AK45*KFC!$B$17+KFC!$C$17)*KFC!$C$5</f>
        <v>77.414515018696434</v>
      </c>
      <c r="O45" s="912">
        <f>(AL45*KFC!$B$17+KFC!$C$17)*KFC!$C$5</f>
        <v>81.738808635397291</v>
      </c>
      <c r="P45" s="912">
        <f>(AM45*KFC!$B$17+KFC!$C$17)*KFC!$C$5</f>
        <v>86.063102252098133</v>
      </c>
      <c r="Q45" s="912">
        <f>(AN45*KFC!$B$17+KFC!$C$17)*KFC!$C$5</f>
        <v>90.38739586879899</v>
      </c>
      <c r="R45" s="912">
        <f>(AO45*KFC!$B$17+KFC!$C$17)*KFC!$C$5</f>
        <v>94.711689485499832</v>
      </c>
      <c r="S45" s="912">
        <f>(AP45*KFC!$B$17+KFC!$C$17)*KFC!$C$5</f>
        <v>99.035983102200689</v>
      </c>
      <c r="T45" s="912">
        <f>(AQ45*KFC!$B$17+KFC!$C$17)*KFC!$C$5</f>
        <v>103.36027671890152</v>
      </c>
      <c r="U45" s="912">
        <f>(AR45*KFC!$B$17+KFC!$C$17)*KFC!$C$5</f>
        <v>107.68457033560239</v>
      </c>
      <c r="V45" s="912">
        <f>(AS45*KFC!$B$17+KFC!$C$17)*KFC!$C$5</f>
        <v>112.00886395230322</v>
      </c>
      <c r="W45" s="916">
        <f>(AT45*KFC!$B$17+KFC!$C$17)*KFC!$C$5</f>
        <v>116.33315756900402</v>
      </c>
      <c r="Y45" s="1277"/>
      <c r="Z45" s="649">
        <v>1.4</v>
      </c>
      <c r="AA45" s="882">
        <v>34.171578851688004</v>
      </c>
      <c r="AB45" s="882">
        <v>38.495872468388846</v>
      </c>
      <c r="AC45" s="882">
        <v>42.820166085089689</v>
      </c>
      <c r="AD45" s="882">
        <v>47.144459701790531</v>
      </c>
      <c r="AE45" s="882">
        <v>51.468753318491373</v>
      </c>
      <c r="AF45" s="882">
        <v>55.793046935192216</v>
      </c>
      <c r="AG45" s="882">
        <v>60.117340551893051</v>
      </c>
      <c r="AH45" s="882">
        <v>64.441634168593893</v>
      </c>
      <c r="AI45" s="882">
        <v>68.76592778529475</v>
      </c>
      <c r="AJ45" s="882">
        <v>73.090221401995592</v>
      </c>
      <c r="AK45" s="882">
        <v>77.414515018696434</v>
      </c>
      <c r="AL45" s="882">
        <v>81.738808635397291</v>
      </c>
      <c r="AM45" s="882">
        <v>86.063102252098133</v>
      </c>
      <c r="AN45" s="882">
        <v>90.38739586879899</v>
      </c>
      <c r="AO45" s="882">
        <v>94.711689485499832</v>
      </c>
      <c r="AP45" s="882">
        <v>99.035983102200689</v>
      </c>
      <c r="AQ45" s="882">
        <v>103.36027671890152</v>
      </c>
      <c r="AR45" s="882">
        <v>107.68457033560239</v>
      </c>
      <c r="AS45" s="882">
        <v>112.00886395230322</v>
      </c>
      <c r="AT45" s="882">
        <v>116.33315756900402</v>
      </c>
    </row>
    <row r="46" spans="1:46">
      <c r="A46" s="1426"/>
      <c r="B46" s="1427"/>
      <c r="C46" s="887">
        <v>1.5</v>
      </c>
      <c r="D46" s="915">
        <f>(AA46*KFC!$B$17+KFC!$C$17)*KFC!$C$5</f>
        <v>34.846019639273258</v>
      </c>
      <c r="E46" s="912">
        <f>(AB46*KFC!$B$17+KFC!$C$17)*KFC!$C$5</f>
        <v>39.314610346982811</v>
      </c>
      <c r="F46" s="912">
        <f>(AC46*KFC!$B$17+KFC!$C$17)*KFC!$C$5</f>
        <v>43.783201054692363</v>
      </c>
      <c r="G46" s="912">
        <f>(AD46*KFC!$B$17+KFC!$C$17)*KFC!$C$5</f>
        <v>48.251791762401915</v>
      </c>
      <c r="H46" s="912">
        <f>(AE46*KFC!$B$17+KFC!$C$17)*KFC!$C$5</f>
        <v>52.720382470111474</v>
      </c>
      <c r="I46" s="912">
        <f>(AF46*KFC!$B$17+KFC!$C$17)*KFC!$C$5</f>
        <v>57.188973177821026</v>
      </c>
      <c r="J46" s="912">
        <f>(AG46*KFC!$B$17+KFC!$C$17)*KFC!$C$5</f>
        <v>61.657563885530585</v>
      </c>
      <c r="K46" s="912">
        <f>(AH46*KFC!$B$17+KFC!$C$17)*KFC!$C$5</f>
        <v>66.126154593240145</v>
      </c>
      <c r="L46" s="912">
        <f>(AI46*KFC!$B$17+KFC!$C$17)*KFC!$C$5</f>
        <v>70.594745300949683</v>
      </c>
      <c r="M46" s="912">
        <f>(AJ46*KFC!$B$17+KFC!$C$17)*KFC!$C$5</f>
        <v>75.063336008659249</v>
      </c>
      <c r="N46" s="912">
        <f>(AK46*KFC!$B$17+KFC!$C$17)*KFC!$C$5</f>
        <v>79.531926716368787</v>
      </c>
      <c r="O46" s="912">
        <f>(AL46*KFC!$B$17+KFC!$C$17)*KFC!$C$5</f>
        <v>84.000517424078353</v>
      </c>
      <c r="P46" s="912">
        <f>(AM46*KFC!$B$17+KFC!$C$17)*KFC!$C$5</f>
        <v>88.469108131787905</v>
      </c>
      <c r="Q46" s="912">
        <f>(AN46*KFC!$B$17+KFC!$C$17)*KFC!$C$5</f>
        <v>92.937698839497472</v>
      </c>
      <c r="R46" s="912">
        <f>(AO46*KFC!$B$17+KFC!$C$17)*KFC!$C$5</f>
        <v>97.406289547207024</v>
      </c>
      <c r="S46" s="912">
        <f>(AP46*KFC!$B$17+KFC!$C$17)*KFC!$C$5</f>
        <v>101.87488025491658</v>
      </c>
      <c r="T46" s="912">
        <f>(AQ46*KFC!$B$17+KFC!$C$17)*KFC!$C$5</f>
        <v>106.34347096262611</v>
      </c>
      <c r="U46" s="912">
        <f>(AR46*KFC!$B$17+KFC!$C$17)*KFC!$C$5</f>
        <v>110.81206167033569</v>
      </c>
      <c r="V46" s="912">
        <f>(AS46*KFC!$B$17+KFC!$C$17)*KFC!$C$5</f>
        <v>115.28065237804523</v>
      </c>
      <c r="W46" s="916">
        <f>(AT46*KFC!$B$17+KFC!$C$17)*KFC!$C$5</f>
        <v>119.74924308575477</v>
      </c>
      <c r="Y46" s="1277"/>
      <c r="Z46" s="649">
        <v>1.5</v>
      </c>
      <c r="AA46" s="882">
        <v>34.846019639273258</v>
      </c>
      <c r="AB46" s="882">
        <v>39.314610346982811</v>
      </c>
      <c r="AC46" s="882">
        <v>43.783201054692363</v>
      </c>
      <c r="AD46" s="882">
        <v>48.251791762401915</v>
      </c>
      <c r="AE46" s="882">
        <v>52.720382470111474</v>
      </c>
      <c r="AF46" s="882">
        <v>57.188973177821026</v>
      </c>
      <c r="AG46" s="882">
        <v>61.657563885530585</v>
      </c>
      <c r="AH46" s="882">
        <v>66.126154593240145</v>
      </c>
      <c r="AI46" s="882">
        <v>70.594745300949683</v>
      </c>
      <c r="AJ46" s="882">
        <v>75.063336008659249</v>
      </c>
      <c r="AK46" s="882">
        <v>79.531926716368787</v>
      </c>
      <c r="AL46" s="882">
        <v>84.000517424078353</v>
      </c>
      <c r="AM46" s="882">
        <v>88.469108131787905</v>
      </c>
      <c r="AN46" s="882">
        <v>92.937698839497472</v>
      </c>
      <c r="AO46" s="882">
        <v>97.406289547207024</v>
      </c>
      <c r="AP46" s="882">
        <v>101.87488025491658</v>
      </c>
      <c r="AQ46" s="882">
        <v>106.34347096262611</v>
      </c>
      <c r="AR46" s="882">
        <v>110.81206167033569</v>
      </c>
      <c r="AS46" s="882">
        <v>115.28065237804523</v>
      </c>
      <c r="AT46" s="882">
        <v>119.74924308575477</v>
      </c>
    </row>
    <row r="47" spans="1:46">
      <c r="A47" s="1426"/>
      <c r="B47" s="1427"/>
      <c r="C47" s="887">
        <v>1.6</v>
      </c>
      <c r="D47" s="915">
        <f>(AA47*KFC!$B$17+KFC!$C$17)*KFC!$C$5</f>
        <v>35.520460426858506</v>
      </c>
      <c r="E47" s="912">
        <f>(AB47*KFC!$B$17+KFC!$C$17)*KFC!$C$5</f>
        <v>40.133348225576775</v>
      </c>
      <c r="F47" s="912">
        <f>(AC47*KFC!$B$17+KFC!$C$17)*KFC!$C$5</f>
        <v>44.746236024295044</v>
      </c>
      <c r="G47" s="912">
        <f>(AD47*KFC!$B$17+KFC!$C$17)*KFC!$C$5</f>
        <v>49.359123823013306</v>
      </c>
      <c r="H47" s="912">
        <f>(AE47*KFC!$B$17+KFC!$C$17)*KFC!$C$5</f>
        <v>53.972011621731582</v>
      </c>
      <c r="I47" s="912">
        <f>(AF47*KFC!$B$17+KFC!$C$17)*KFC!$C$5</f>
        <v>58.584899420449844</v>
      </c>
      <c r="J47" s="912">
        <f>(AG47*KFC!$B$17+KFC!$C$17)*KFC!$C$5</f>
        <v>63.197787219168106</v>
      </c>
      <c r="K47" s="912">
        <f>(AH47*KFC!$B$17+KFC!$C$17)*KFC!$C$5</f>
        <v>67.810675017886382</v>
      </c>
      <c r="L47" s="912">
        <f>(AI47*KFC!$B$17+KFC!$C$17)*KFC!$C$5</f>
        <v>72.423562816604644</v>
      </c>
      <c r="M47" s="912">
        <f>(AJ47*KFC!$B$17+KFC!$C$17)*KFC!$C$5</f>
        <v>77.036450615322892</v>
      </c>
      <c r="N47" s="912">
        <f>(AK47*KFC!$B$17+KFC!$C$17)*KFC!$C$5</f>
        <v>81.649338414041154</v>
      </c>
      <c r="O47" s="912">
        <f>(AL47*KFC!$B$17+KFC!$C$17)*KFC!$C$5</f>
        <v>86.262226212759415</v>
      </c>
      <c r="P47" s="912">
        <f>(AM47*KFC!$B$17+KFC!$C$17)*KFC!$C$5</f>
        <v>90.875114011477677</v>
      </c>
      <c r="Q47" s="912">
        <f>(AN47*KFC!$B$17+KFC!$C$17)*KFC!$C$5</f>
        <v>95.488001810195954</v>
      </c>
      <c r="R47" s="912">
        <f>(AO47*KFC!$B$17+KFC!$C$17)*KFC!$C$5</f>
        <v>100.10088960891419</v>
      </c>
      <c r="S47" s="912">
        <f>(AP47*KFC!$B$17+KFC!$C$17)*KFC!$C$5</f>
        <v>104.71377740763245</v>
      </c>
      <c r="T47" s="912">
        <f>(AQ47*KFC!$B$17+KFC!$C$17)*KFC!$C$5</f>
        <v>109.32666520635071</v>
      </c>
      <c r="U47" s="912">
        <f>(AR47*KFC!$B$17+KFC!$C$17)*KFC!$C$5</f>
        <v>113.93955300506899</v>
      </c>
      <c r="V47" s="912">
        <f>(AS47*KFC!$B$17+KFC!$C$17)*KFC!$C$5</f>
        <v>118.55244080378725</v>
      </c>
      <c r="W47" s="916">
        <f>(AT47*KFC!$B$17+KFC!$C$17)*KFC!$C$5</f>
        <v>123.16532860250553</v>
      </c>
      <c r="Y47" s="1277"/>
      <c r="Z47" s="649">
        <v>1.6</v>
      </c>
      <c r="AA47" s="882">
        <v>35.520460426858506</v>
      </c>
      <c r="AB47" s="882">
        <v>40.133348225576775</v>
      </c>
      <c r="AC47" s="882">
        <v>44.746236024295044</v>
      </c>
      <c r="AD47" s="882">
        <v>49.359123823013306</v>
      </c>
      <c r="AE47" s="882">
        <v>53.972011621731582</v>
      </c>
      <c r="AF47" s="882">
        <v>58.584899420449844</v>
      </c>
      <c r="AG47" s="882">
        <v>63.197787219168106</v>
      </c>
      <c r="AH47" s="882">
        <v>67.810675017886382</v>
      </c>
      <c r="AI47" s="882">
        <v>72.423562816604644</v>
      </c>
      <c r="AJ47" s="882">
        <v>77.036450615322892</v>
      </c>
      <c r="AK47" s="882">
        <v>81.649338414041154</v>
      </c>
      <c r="AL47" s="882">
        <v>86.262226212759415</v>
      </c>
      <c r="AM47" s="882">
        <v>90.875114011477677</v>
      </c>
      <c r="AN47" s="882">
        <v>95.488001810195954</v>
      </c>
      <c r="AO47" s="882">
        <v>100.10088960891419</v>
      </c>
      <c r="AP47" s="882">
        <v>104.71377740763245</v>
      </c>
      <c r="AQ47" s="882">
        <v>109.32666520635071</v>
      </c>
      <c r="AR47" s="882">
        <v>113.93955300506899</v>
      </c>
      <c r="AS47" s="882">
        <v>118.55244080378725</v>
      </c>
      <c r="AT47" s="882">
        <v>123.16532860250553</v>
      </c>
    </row>
    <row r="48" spans="1:46">
      <c r="A48" s="1426"/>
      <c r="B48" s="1427"/>
      <c r="C48" s="887">
        <v>1.7</v>
      </c>
      <c r="D48" s="915">
        <f>(AA48*KFC!$B$17+KFC!$C$17)*KFC!$C$5</f>
        <v>36.194901214443753</v>
      </c>
      <c r="E48" s="912">
        <f>(AB48*KFC!$B$17+KFC!$C$17)*KFC!$C$5</f>
        <v>40.952086104170732</v>
      </c>
      <c r="F48" s="912">
        <f>(AC48*KFC!$B$17+KFC!$C$17)*KFC!$C$5</f>
        <v>45.709270993897704</v>
      </c>
      <c r="G48" s="912">
        <f>(AD48*KFC!$B$17+KFC!$C$17)*KFC!$C$5</f>
        <v>50.466455883624683</v>
      </c>
      <c r="H48" s="912">
        <f>(AE48*KFC!$B$17+KFC!$C$17)*KFC!$C$5</f>
        <v>55.223640773351654</v>
      </c>
      <c r="I48" s="912">
        <f>(AF48*KFC!$B$17+KFC!$C$17)*KFC!$C$5</f>
        <v>59.980825663078619</v>
      </c>
      <c r="J48" s="912">
        <f>(AG48*KFC!$B$17+KFC!$C$17)*KFC!$C$5</f>
        <v>64.738010552805605</v>
      </c>
      <c r="K48" s="912">
        <f>(AH48*KFC!$B$17+KFC!$C$17)*KFC!$C$5</f>
        <v>69.495195442532577</v>
      </c>
      <c r="L48" s="912">
        <f>(AI48*KFC!$B$17+KFC!$C$17)*KFC!$C$5</f>
        <v>74.252380332259548</v>
      </c>
      <c r="M48" s="912">
        <f>(AJ48*KFC!$B$17+KFC!$C$17)*KFC!$C$5</f>
        <v>79.009565221986534</v>
      </c>
      <c r="N48" s="912">
        <f>(AK48*KFC!$B$17+KFC!$C$17)*KFC!$C$5</f>
        <v>83.76675011171352</v>
      </c>
      <c r="O48" s="912">
        <f>(AL48*KFC!$B$17+KFC!$C$17)*KFC!$C$5</f>
        <v>88.523935001440492</v>
      </c>
      <c r="P48" s="912">
        <f>(AM48*KFC!$B$17+KFC!$C$17)*KFC!$C$5</f>
        <v>93.281119891167478</v>
      </c>
      <c r="Q48" s="912">
        <f>(AN48*KFC!$B$17+KFC!$C$17)*KFC!$C$5</f>
        <v>98.038304780894464</v>
      </c>
      <c r="R48" s="912">
        <f>(AO48*KFC!$B$17+KFC!$C$17)*KFC!$C$5</f>
        <v>102.79548967062144</v>
      </c>
      <c r="S48" s="912">
        <f>(AP48*KFC!$B$17+KFC!$C$17)*KFC!$C$5</f>
        <v>107.55267456034841</v>
      </c>
      <c r="T48" s="912">
        <f>(AQ48*KFC!$B$17+KFC!$C$17)*KFC!$C$5</f>
        <v>112.30985945007539</v>
      </c>
      <c r="U48" s="912">
        <f>(AR48*KFC!$B$17+KFC!$C$17)*KFC!$C$5</f>
        <v>117.06704433980238</v>
      </c>
      <c r="V48" s="912">
        <f>(AS48*KFC!$B$17+KFC!$C$17)*KFC!$C$5</f>
        <v>121.82422922952935</v>
      </c>
      <c r="W48" s="916">
        <f>(AT48*KFC!$B$17+KFC!$C$17)*KFC!$C$5</f>
        <v>126.58141411925628</v>
      </c>
      <c r="Y48" s="1277"/>
      <c r="Z48" s="649">
        <v>1.7</v>
      </c>
      <c r="AA48" s="882">
        <v>36.194901214443753</v>
      </c>
      <c r="AB48" s="882">
        <v>40.952086104170732</v>
      </c>
      <c r="AC48" s="882">
        <v>45.709270993897704</v>
      </c>
      <c r="AD48" s="882">
        <v>50.466455883624683</v>
      </c>
      <c r="AE48" s="882">
        <v>55.223640773351654</v>
      </c>
      <c r="AF48" s="882">
        <v>59.980825663078619</v>
      </c>
      <c r="AG48" s="882">
        <v>64.738010552805605</v>
      </c>
      <c r="AH48" s="882">
        <v>69.495195442532577</v>
      </c>
      <c r="AI48" s="882">
        <v>74.252380332259548</v>
      </c>
      <c r="AJ48" s="882">
        <v>79.009565221986534</v>
      </c>
      <c r="AK48" s="882">
        <v>83.76675011171352</v>
      </c>
      <c r="AL48" s="882">
        <v>88.523935001440492</v>
      </c>
      <c r="AM48" s="882">
        <v>93.281119891167478</v>
      </c>
      <c r="AN48" s="882">
        <v>98.038304780894464</v>
      </c>
      <c r="AO48" s="882">
        <v>102.79548967062144</v>
      </c>
      <c r="AP48" s="882">
        <v>107.55267456034841</v>
      </c>
      <c r="AQ48" s="882">
        <v>112.30985945007539</v>
      </c>
      <c r="AR48" s="882">
        <v>117.06704433980238</v>
      </c>
      <c r="AS48" s="882">
        <v>121.82422922952935</v>
      </c>
      <c r="AT48" s="882">
        <v>126.58141411925628</v>
      </c>
    </row>
    <row r="49" spans="1:46">
      <c r="A49" s="1426"/>
      <c r="B49" s="1427"/>
      <c r="C49" s="887">
        <v>1.8</v>
      </c>
      <c r="D49" s="915">
        <f>(AA49*KFC!$B$17+KFC!$C$17)*KFC!$C$5</f>
        <v>36.869342002029008</v>
      </c>
      <c r="E49" s="912">
        <f>(AB49*KFC!$B$17+KFC!$C$17)*KFC!$C$5</f>
        <v>41.770823982764696</v>
      </c>
      <c r="F49" s="912">
        <f>(AC49*KFC!$B$17+KFC!$C$17)*KFC!$C$5</f>
        <v>46.672305963500385</v>
      </c>
      <c r="G49" s="912">
        <f>(AD49*KFC!$B$17+KFC!$C$17)*KFC!$C$5</f>
        <v>51.573787944236066</v>
      </c>
      <c r="H49" s="912">
        <f>(AE49*KFC!$B$17+KFC!$C$17)*KFC!$C$5</f>
        <v>56.475269924971748</v>
      </c>
      <c r="I49" s="912">
        <f>(AF49*KFC!$B$17+KFC!$C$17)*KFC!$C$5</f>
        <v>61.376751905707437</v>
      </c>
      <c r="J49" s="912">
        <f>(AG49*KFC!$B$17+KFC!$C$17)*KFC!$C$5</f>
        <v>66.278233886443132</v>
      </c>
      <c r="K49" s="912">
        <f>(AH49*KFC!$B$17+KFC!$C$17)*KFC!$C$5</f>
        <v>71.1797158671788</v>
      </c>
      <c r="L49" s="912">
        <f>(AI49*KFC!$B$17+KFC!$C$17)*KFC!$C$5</f>
        <v>76.081197847914481</v>
      </c>
      <c r="M49" s="912">
        <f>(AJ49*KFC!$B$17+KFC!$C$17)*KFC!$C$5</f>
        <v>80.982679828650177</v>
      </c>
      <c r="N49" s="912">
        <f>(AK49*KFC!$B$17+KFC!$C$17)*KFC!$C$5</f>
        <v>85.884161809385873</v>
      </c>
      <c r="O49" s="912">
        <f>(AL49*KFC!$B$17+KFC!$C$17)*KFC!$C$5</f>
        <v>90.78564379012154</v>
      </c>
      <c r="P49" s="912">
        <f>(AM49*KFC!$B$17+KFC!$C$17)*KFC!$C$5</f>
        <v>95.687125770857236</v>
      </c>
      <c r="Q49" s="912">
        <f>(AN49*KFC!$B$17+KFC!$C$17)*KFC!$C$5</f>
        <v>100.5886077515929</v>
      </c>
      <c r="R49" s="912">
        <f>(AO49*KFC!$B$17+KFC!$C$17)*KFC!$C$5</f>
        <v>105.4900897323286</v>
      </c>
      <c r="S49" s="912">
        <f>(AP49*KFC!$B$17+KFC!$C$17)*KFC!$C$5</f>
        <v>110.39157171306429</v>
      </c>
      <c r="T49" s="912">
        <f>(AQ49*KFC!$B$17+KFC!$C$17)*KFC!$C$5</f>
        <v>115.29305369379998</v>
      </c>
      <c r="U49" s="912">
        <f>(AR49*KFC!$B$17+KFC!$C$17)*KFC!$C$5</f>
        <v>120.19453567453564</v>
      </c>
      <c r="V49" s="912">
        <f>(AS49*KFC!$B$17+KFC!$C$17)*KFC!$C$5</f>
        <v>125.09601765527134</v>
      </c>
      <c r="W49" s="916">
        <f>(AT49*KFC!$B$17+KFC!$C$17)*KFC!$C$5</f>
        <v>129.99749963600701</v>
      </c>
      <c r="Y49" s="1277"/>
      <c r="Z49" s="649">
        <v>1.8</v>
      </c>
      <c r="AA49" s="882">
        <v>36.869342002029008</v>
      </c>
      <c r="AB49" s="882">
        <v>41.770823982764696</v>
      </c>
      <c r="AC49" s="882">
        <v>46.672305963500385</v>
      </c>
      <c r="AD49" s="882">
        <v>51.573787944236066</v>
      </c>
      <c r="AE49" s="882">
        <v>56.475269924971748</v>
      </c>
      <c r="AF49" s="882">
        <v>61.376751905707437</v>
      </c>
      <c r="AG49" s="882">
        <v>66.278233886443132</v>
      </c>
      <c r="AH49" s="882">
        <v>71.1797158671788</v>
      </c>
      <c r="AI49" s="882">
        <v>76.081197847914481</v>
      </c>
      <c r="AJ49" s="882">
        <v>80.982679828650177</v>
      </c>
      <c r="AK49" s="882">
        <v>85.884161809385873</v>
      </c>
      <c r="AL49" s="882">
        <v>90.78564379012154</v>
      </c>
      <c r="AM49" s="882">
        <v>95.687125770857236</v>
      </c>
      <c r="AN49" s="882">
        <v>100.5886077515929</v>
      </c>
      <c r="AO49" s="882">
        <v>105.4900897323286</v>
      </c>
      <c r="AP49" s="882">
        <v>110.39157171306429</v>
      </c>
      <c r="AQ49" s="882">
        <v>115.29305369379998</v>
      </c>
      <c r="AR49" s="882">
        <v>120.19453567453564</v>
      </c>
      <c r="AS49" s="882">
        <v>125.09601765527134</v>
      </c>
      <c r="AT49" s="882">
        <v>129.99749963600701</v>
      </c>
    </row>
    <row r="50" spans="1:46">
      <c r="A50" s="1426"/>
      <c r="B50" s="1427"/>
      <c r="C50" s="887">
        <v>1.9</v>
      </c>
      <c r="D50" s="915">
        <f>(AA50*KFC!$B$17+KFC!$C$17)*KFC!$C$5</f>
        <v>37.543782789614262</v>
      </c>
      <c r="E50" s="912">
        <f>(AB50*KFC!$B$17+KFC!$C$17)*KFC!$C$5</f>
        <v>42.589561861358654</v>
      </c>
      <c r="F50" s="912">
        <f>(AC50*KFC!$B$17+KFC!$C$17)*KFC!$C$5</f>
        <v>47.635340933103045</v>
      </c>
      <c r="G50" s="912">
        <f>(AD50*KFC!$B$17+KFC!$C$17)*KFC!$C$5</f>
        <v>52.681120004847429</v>
      </c>
      <c r="H50" s="912">
        <f>(AE50*KFC!$B$17+KFC!$C$17)*KFC!$C$5</f>
        <v>57.726899076591835</v>
      </c>
      <c r="I50" s="912">
        <f>(AF50*KFC!$B$17+KFC!$C$17)*KFC!$C$5</f>
        <v>62.772678148336212</v>
      </c>
      <c r="J50" s="912">
        <f>(AG50*KFC!$B$17+KFC!$C$17)*KFC!$C$5</f>
        <v>67.818457220080617</v>
      </c>
      <c r="K50" s="912">
        <f>(AH50*KFC!$B$17+KFC!$C$17)*KFC!$C$5</f>
        <v>72.864236291825009</v>
      </c>
      <c r="L50" s="912">
        <f>(AI50*KFC!$B$17+KFC!$C$17)*KFC!$C$5</f>
        <v>77.9100153635694</v>
      </c>
      <c r="M50" s="912">
        <f>(AJ50*KFC!$B$17+KFC!$C$17)*KFC!$C$5</f>
        <v>82.955794435313777</v>
      </c>
      <c r="N50" s="912">
        <f>(AK50*KFC!$B$17+KFC!$C$17)*KFC!$C$5</f>
        <v>88.001573507058168</v>
      </c>
      <c r="O50" s="912">
        <f>(AL50*KFC!$B$17+KFC!$C$17)*KFC!$C$5</f>
        <v>93.047352578802574</v>
      </c>
      <c r="P50" s="912">
        <f>(AM50*KFC!$B$17+KFC!$C$17)*KFC!$C$5</f>
        <v>98.093131650546979</v>
      </c>
      <c r="Q50" s="912">
        <f>(AN50*KFC!$B$17+KFC!$C$17)*KFC!$C$5</f>
        <v>103.13891072229136</v>
      </c>
      <c r="R50" s="912">
        <f>(AO50*KFC!$B$17+KFC!$C$17)*KFC!$C$5</f>
        <v>108.18468979403573</v>
      </c>
      <c r="S50" s="912">
        <f>(AP50*KFC!$B$17+KFC!$C$17)*KFC!$C$5</f>
        <v>113.23046886578014</v>
      </c>
      <c r="T50" s="912">
        <f>(AQ50*KFC!$B$17+KFC!$C$17)*KFC!$C$5</f>
        <v>118.27624793752453</v>
      </c>
      <c r="U50" s="912">
        <f>(AR50*KFC!$B$17+KFC!$C$17)*KFC!$C$5</f>
        <v>123.32202700926892</v>
      </c>
      <c r="V50" s="912">
        <f>(AS50*KFC!$B$17+KFC!$C$17)*KFC!$C$5</f>
        <v>128.36780608101333</v>
      </c>
      <c r="W50" s="916">
        <f>(AT50*KFC!$B$17+KFC!$C$17)*KFC!$C$5</f>
        <v>133.41358515275775</v>
      </c>
      <c r="Y50" s="1277"/>
      <c r="Z50" s="649">
        <v>1.9</v>
      </c>
      <c r="AA50" s="882">
        <v>37.543782789614262</v>
      </c>
      <c r="AB50" s="882">
        <v>42.589561861358654</v>
      </c>
      <c r="AC50" s="882">
        <v>47.635340933103045</v>
      </c>
      <c r="AD50" s="882">
        <v>52.681120004847429</v>
      </c>
      <c r="AE50" s="882">
        <v>57.726899076591835</v>
      </c>
      <c r="AF50" s="882">
        <v>62.772678148336212</v>
      </c>
      <c r="AG50" s="882">
        <v>67.818457220080617</v>
      </c>
      <c r="AH50" s="882">
        <v>72.864236291825009</v>
      </c>
      <c r="AI50" s="882">
        <v>77.9100153635694</v>
      </c>
      <c r="AJ50" s="882">
        <v>82.955794435313777</v>
      </c>
      <c r="AK50" s="882">
        <v>88.001573507058168</v>
      </c>
      <c r="AL50" s="882">
        <v>93.047352578802574</v>
      </c>
      <c r="AM50" s="882">
        <v>98.093131650546979</v>
      </c>
      <c r="AN50" s="882">
        <v>103.13891072229136</v>
      </c>
      <c r="AO50" s="882">
        <v>108.18468979403573</v>
      </c>
      <c r="AP50" s="882">
        <v>113.23046886578014</v>
      </c>
      <c r="AQ50" s="882">
        <v>118.27624793752453</v>
      </c>
      <c r="AR50" s="882">
        <v>123.32202700926892</v>
      </c>
      <c r="AS50" s="882">
        <v>128.36780608101333</v>
      </c>
      <c r="AT50" s="882">
        <v>133.41358515275775</v>
      </c>
    </row>
    <row r="51" spans="1:46">
      <c r="A51" s="1426"/>
      <c r="B51" s="1427"/>
      <c r="C51" s="887">
        <v>2</v>
      </c>
      <c r="D51" s="915">
        <f>(AA51*KFC!$B$17+KFC!$C$17)*KFC!$C$5</f>
        <v>38.21822357719951</v>
      </c>
      <c r="E51" s="912">
        <f>(AB51*KFC!$B$17+KFC!$C$17)*KFC!$C$5</f>
        <v>43.408299739952618</v>
      </c>
      <c r="F51" s="912">
        <f>(AC51*KFC!$B$17+KFC!$C$17)*KFC!$C$5</f>
        <v>48.598375902705719</v>
      </c>
      <c r="G51" s="912">
        <f>(AD51*KFC!$B$17+KFC!$C$17)*KFC!$C$5</f>
        <v>53.788452065458827</v>
      </c>
      <c r="H51" s="912">
        <f>(AE51*KFC!$B$17+KFC!$C$17)*KFC!$C$5</f>
        <v>58.978528228211928</v>
      </c>
      <c r="I51" s="912">
        <f>(AF51*KFC!$B$17+KFC!$C$17)*KFC!$C$5</f>
        <v>64.168604390965029</v>
      </c>
      <c r="J51" s="912">
        <f>(AG51*KFC!$B$17+KFC!$C$17)*KFC!$C$5</f>
        <v>69.358680553718131</v>
      </c>
      <c r="K51" s="912">
        <f>(AH51*KFC!$B$17+KFC!$C$17)*KFC!$C$5</f>
        <v>74.548756716471246</v>
      </c>
      <c r="L51" s="912">
        <f>(AI51*KFC!$B$17+KFC!$C$17)*KFC!$C$5</f>
        <v>79.738832879224361</v>
      </c>
      <c r="M51" s="912">
        <f>(AJ51*KFC!$B$17+KFC!$C$17)*KFC!$C$5</f>
        <v>84.928909041977462</v>
      </c>
      <c r="N51" s="912">
        <f>(AK51*KFC!$B$17+KFC!$C$17)*KFC!$C$5</f>
        <v>90.118985204730578</v>
      </c>
      <c r="O51" s="912">
        <f>(AL51*KFC!$B$17+KFC!$C$17)*KFC!$C$5</f>
        <v>95.309061367483693</v>
      </c>
      <c r="P51" s="912">
        <f>(AM51*KFC!$B$17+KFC!$C$17)*KFC!$C$5</f>
        <v>100.49913753023681</v>
      </c>
      <c r="Q51" s="912">
        <f>(AN51*KFC!$B$17+KFC!$C$17)*KFC!$C$5</f>
        <v>105.68921369298991</v>
      </c>
      <c r="R51" s="912">
        <f>(AO51*KFC!$B$17+KFC!$C$17)*KFC!$C$5</f>
        <v>110.87928985574301</v>
      </c>
      <c r="S51" s="912">
        <f>(AP51*KFC!$B$17+KFC!$C$17)*KFC!$C$5</f>
        <v>116.06936601849613</v>
      </c>
      <c r="T51" s="912">
        <f>(AQ51*KFC!$B$17+KFC!$C$17)*KFC!$C$5</f>
        <v>121.25944218124924</v>
      </c>
      <c r="U51" s="912">
        <f>(AR51*KFC!$B$17+KFC!$C$17)*KFC!$C$5</f>
        <v>126.44951834400236</v>
      </c>
      <c r="V51" s="912">
        <f>(AS51*KFC!$B$17+KFC!$C$17)*KFC!$C$5</f>
        <v>131.63959450675549</v>
      </c>
      <c r="W51" s="916">
        <f>(AT51*KFC!$B$17+KFC!$C$17)*KFC!$C$5</f>
        <v>136.82967066950852</v>
      </c>
      <c r="Y51" s="1277"/>
      <c r="Z51" s="649">
        <v>2</v>
      </c>
      <c r="AA51" s="882">
        <v>38.21822357719951</v>
      </c>
      <c r="AB51" s="882">
        <v>43.408299739952618</v>
      </c>
      <c r="AC51" s="882">
        <v>48.598375902705719</v>
      </c>
      <c r="AD51" s="882">
        <v>53.788452065458827</v>
      </c>
      <c r="AE51" s="882">
        <v>58.978528228211928</v>
      </c>
      <c r="AF51" s="882">
        <v>64.168604390965029</v>
      </c>
      <c r="AG51" s="882">
        <v>69.358680553718131</v>
      </c>
      <c r="AH51" s="882">
        <v>74.548756716471246</v>
      </c>
      <c r="AI51" s="882">
        <v>79.738832879224361</v>
      </c>
      <c r="AJ51" s="882">
        <v>84.928909041977462</v>
      </c>
      <c r="AK51" s="882">
        <v>90.118985204730578</v>
      </c>
      <c r="AL51" s="882">
        <v>95.309061367483693</v>
      </c>
      <c r="AM51" s="882">
        <v>100.49913753023681</v>
      </c>
      <c r="AN51" s="882">
        <v>105.68921369298991</v>
      </c>
      <c r="AO51" s="882">
        <v>110.87928985574301</v>
      </c>
      <c r="AP51" s="882">
        <v>116.06936601849613</v>
      </c>
      <c r="AQ51" s="882">
        <v>121.25944218124924</v>
      </c>
      <c r="AR51" s="882">
        <v>126.44951834400236</v>
      </c>
      <c r="AS51" s="882">
        <v>131.63959450675549</v>
      </c>
      <c r="AT51" s="882">
        <v>136.82967066950852</v>
      </c>
    </row>
    <row r="52" spans="1:46">
      <c r="A52" s="1426"/>
      <c r="B52" s="1427"/>
      <c r="C52" s="887">
        <v>2.1</v>
      </c>
      <c r="D52" s="915">
        <f>(AA52*KFC!$B$17+KFC!$C$17)*KFC!$C$5</f>
        <v>38.892664364784764</v>
      </c>
      <c r="E52" s="912">
        <f>(AB52*KFC!$B$17+KFC!$C$17)*KFC!$C$5</f>
        <v>44.227037618546575</v>
      </c>
      <c r="F52" s="912">
        <f>(AC52*KFC!$B$17+KFC!$C$17)*KFC!$C$5</f>
        <v>49.5614108723084</v>
      </c>
      <c r="G52" s="912">
        <f>(AD52*KFC!$B$17+KFC!$C$17)*KFC!$C$5</f>
        <v>54.895784126070211</v>
      </c>
      <c r="H52" s="912">
        <f>(AE52*KFC!$B$17+KFC!$C$17)*KFC!$C$5</f>
        <v>60.230157379832029</v>
      </c>
      <c r="I52" s="912">
        <f>(AF52*KFC!$B$17+KFC!$C$17)*KFC!$C$5</f>
        <v>65.564530633593847</v>
      </c>
      <c r="J52" s="912">
        <f>(AG52*KFC!$B$17+KFC!$C$17)*KFC!$C$5</f>
        <v>70.898903887355658</v>
      </c>
      <c r="K52" s="912">
        <f>(AH52*KFC!$B$17+KFC!$C$17)*KFC!$C$5</f>
        <v>76.233277141117483</v>
      </c>
      <c r="L52" s="912">
        <f>(AI52*KFC!$B$17+KFC!$C$17)*KFC!$C$5</f>
        <v>81.567650394879294</v>
      </c>
      <c r="M52" s="912">
        <f>(AJ52*KFC!$B$17+KFC!$C$17)*KFC!$C$5</f>
        <v>86.902023648641105</v>
      </c>
      <c r="N52" s="912">
        <f>(AK52*KFC!$B$17+KFC!$C$17)*KFC!$C$5</f>
        <v>92.236396902402944</v>
      </c>
      <c r="O52" s="912">
        <f>(AL52*KFC!$B$17+KFC!$C$17)*KFC!$C$5</f>
        <v>97.570770156164755</v>
      </c>
      <c r="P52" s="912">
        <f>(AM52*KFC!$B$17+KFC!$C$17)*KFC!$C$5</f>
        <v>102.90514340992657</v>
      </c>
      <c r="Q52" s="912">
        <f>(AN52*KFC!$B$17+KFC!$C$17)*KFC!$C$5</f>
        <v>108.23951666368839</v>
      </c>
      <c r="R52" s="912">
        <f>(AO52*KFC!$B$17+KFC!$C$17)*KFC!$C$5</f>
        <v>113.5738899174502</v>
      </c>
      <c r="S52" s="912">
        <f>(AP52*KFC!$B$17+KFC!$C$17)*KFC!$C$5</f>
        <v>118.90826317121201</v>
      </c>
      <c r="T52" s="912">
        <f>(AQ52*KFC!$B$17+KFC!$C$17)*KFC!$C$5</f>
        <v>124.24263642497385</v>
      </c>
      <c r="U52" s="912">
        <f>(AR52*KFC!$B$17+KFC!$C$17)*KFC!$C$5</f>
        <v>129.57700967873566</v>
      </c>
      <c r="V52" s="912">
        <f>(AS52*KFC!$B$17+KFC!$C$17)*KFC!$C$5</f>
        <v>134.91138293249747</v>
      </c>
      <c r="W52" s="916">
        <f>(AT52*KFC!$B$17+KFC!$C$17)*KFC!$C$5</f>
        <v>140.24575618625923</v>
      </c>
      <c r="Y52" s="1277"/>
      <c r="Z52" s="649">
        <v>2.1</v>
      </c>
      <c r="AA52" s="882">
        <v>38.892664364784764</v>
      </c>
      <c r="AB52" s="882">
        <v>44.227037618546575</v>
      </c>
      <c r="AC52" s="882">
        <v>49.5614108723084</v>
      </c>
      <c r="AD52" s="882">
        <v>54.895784126070211</v>
      </c>
      <c r="AE52" s="882">
        <v>60.230157379832029</v>
      </c>
      <c r="AF52" s="882">
        <v>65.564530633593847</v>
      </c>
      <c r="AG52" s="882">
        <v>70.898903887355658</v>
      </c>
      <c r="AH52" s="882">
        <v>76.233277141117483</v>
      </c>
      <c r="AI52" s="882">
        <v>81.567650394879294</v>
      </c>
      <c r="AJ52" s="882">
        <v>86.902023648641105</v>
      </c>
      <c r="AK52" s="882">
        <v>92.236396902402944</v>
      </c>
      <c r="AL52" s="882">
        <v>97.570770156164755</v>
      </c>
      <c r="AM52" s="882">
        <v>102.90514340992657</v>
      </c>
      <c r="AN52" s="882">
        <v>108.23951666368839</v>
      </c>
      <c r="AO52" s="882">
        <v>113.5738899174502</v>
      </c>
      <c r="AP52" s="882">
        <v>118.90826317121201</v>
      </c>
      <c r="AQ52" s="882">
        <v>124.24263642497385</v>
      </c>
      <c r="AR52" s="882">
        <v>129.57700967873566</v>
      </c>
      <c r="AS52" s="882">
        <v>134.91138293249747</v>
      </c>
      <c r="AT52" s="882">
        <v>140.24575618625923</v>
      </c>
    </row>
    <row r="53" spans="1:46" ht="15" thickBot="1">
      <c r="A53" s="1428"/>
      <c r="B53" s="1429"/>
      <c r="C53" s="888">
        <v>2.2000000000000002</v>
      </c>
      <c r="D53" s="917">
        <f>(AA53*KFC!$B$17+KFC!$C$17)*KFC!$C$5</f>
        <v>39.567105152369997</v>
      </c>
      <c r="E53" s="918">
        <f>(AB53*KFC!$B$17+KFC!$C$17)*KFC!$C$5</f>
        <v>45.045775497140518</v>
      </c>
      <c r="F53" s="918">
        <f>(AC53*KFC!$B$17+KFC!$C$17)*KFC!$C$5</f>
        <v>50.524445841911046</v>
      </c>
      <c r="G53" s="918">
        <f>(AD53*KFC!$B$17+KFC!$C$17)*KFC!$C$5</f>
        <v>56.003116186681567</v>
      </c>
      <c r="H53" s="918">
        <f>(AE53*KFC!$B$17+KFC!$C$17)*KFC!$C$5</f>
        <v>61.481786531452094</v>
      </c>
      <c r="I53" s="918">
        <f>(AF53*KFC!$B$17+KFC!$C$17)*KFC!$C$5</f>
        <v>66.960456876222622</v>
      </c>
      <c r="J53" s="918">
        <f>(AG53*KFC!$B$17+KFC!$C$17)*KFC!$C$5</f>
        <v>72.439127220993143</v>
      </c>
      <c r="K53" s="918">
        <f>(AH53*KFC!$B$17+KFC!$C$17)*KFC!$C$5</f>
        <v>77.917797565763664</v>
      </c>
      <c r="L53" s="918">
        <f>(AI53*KFC!$B$17+KFC!$C$17)*KFC!$C$5</f>
        <v>83.396467910534199</v>
      </c>
      <c r="M53" s="918">
        <f>(AJ53*KFC!$B$17+KFC!$C$17)*KFC!$C$5</f>
        <v>88.875138255304705</v>
      </c>
      <c r="N53" s="918">
        <f>(AK53*KFC!$B$17+KFC!$C$17)*KFC!$C$5</f>
        <v>94.35380860007524</v>
      </c>
      <c r="O53" s="918">
        <f>(AL53*KFC!$B$17+KFC!$C$17)*KFC!$C$5</f>
        <v>99.832478944845761</v>
      </c>
      <c r="P53" s="918">
        <f>(AM53*KFC!$B$17+KFC!$C$17)*KFC!$C$5</f>
        <v>105.31114928961628</v>
      </c>
      <c r="Q53" s="918">
        <f>(AN53*KFC!$B$17+KFC!$C$17)*KFC!$C$5</f>
        <v>110.7898196343868</v>
      </c>
      <c r="R53" s="918">
        <f>(AO53*KFC!$B$17+KFC!$C$17)*KFC!$C$5</f>
        <v>116.26848997915734</v>
      </c>
      <c r="S53" s="918">
        <f>(AP53*KFC!$B$17+KFC!$C$17)*KFC!$C$5</f>
        <v>121.74716032392786</v>
      </c>
      <c r="T53" s="918">
        <f>(AQ53*KFC!$B$17+KFC!$C$17)*KFC!$C$5</f>
        <v>127.22583066869839</v>
      </c>
      <c r="U53" s="918">
        <f>(AR53*KFC!$B$17+KFC!$C$17)*KFC!$C$5</f>
        <v>132.7045010134689</v>
      </c>
      <c r="V53" s="918">
        <f>(AS53*KFC!$B$17+KFC!$C$17)*KFC!$C$5</f>
        <v>138.18317135823943</v>
      </c>
      <c r="W53" s="919">
        <f>(AT53*KFC!$B$17+KFC!$C$17)*KFC!$C$5</f>
        <v>143.66184170301</v>
      </c>
      <c r="Y53" s="1277"/>
      <c r="Z53" s="649">
        <v>2.2000000000000002</v>
      </c>
      <c r="AA53" s="882">
        <v>39.567105152369997</v>
      </c>
      <c r="AB53" s="882">
        <v>45.045775497140518</v>
      </c>
      <c r="AC53" s="882">
        <v>50.524445841911046</v>
      </c>
      <c r="AD53" s="882">
        <v>56.003116186681567</v>
      </c>
      <c r="AE53" s="882">
        <v>61.481786531452094</v>
      </c>
      <c r="AF53" s="882">
        <v>66.960456876222622</v>
      </c>
      <c r="AG53" s="882">
        <v>72.439127220993143</v>
      </c>
      <c r="AH53" s="882">
        <v>77.917797565763664</v>
      </c>
      <c r="AI53" s="882">
        <v>83.396467910534199</v>
      </c>
      <c r="AJ53" s="882">
        <v>88.875138255304705</v>
      </c>
      <c r="AK53" s="882">
        <v>94.35380860007524</v>
      </c>
      <c r="AL53" s="882">
        <v>99.832478944845761</v>
      </c>
      <c r="AM53" s="882">
        <v>105.31114928961628</v>
      </c>
      <c r="AN53" s="882">
        <v>110.7898196343868</v>
      </c>
      <c r="AO53" s="882">
        <v>116.26848997915734</v>
      </c>
      <c r="AP53" s="882">
        <v>121.74716032392786</v>
      </c>
      <c r="AQ53" s="882">
        <v>127.22583066869839</v>
      </c>
      <c r="AR53" s="882">
        <v>132.7045010134689</v>
      </c>
      <c r="AS53" s="882">
        <v>138.18317135823943</v>
      </c>
      <c r="AT53" s="882">
        <v>143.66184170301</v>
      </c>
    </row>
    <row r="54" spans="1:46" ht="16.2" thickBot="1">
      <c r="A54" s="380"/>
      <c r="B54" s="380"/>
      <c r="C54" s="380"/>
      <c r="D54" s="380"/>
      <c r="E54" s="380"/>
      <c r="F54" s="380"/>
      <c r="G54" s="380"/>
      <c r="H54" s="380"/>
      <c r="I54" s="380"/>
      <c r="J54" s="380"/>
      <c r="K54" s="380"/>
      <c r="L54" s="380"/>
      <c r="M54" s="380"/>
      <c r="N54" s="380"/>
      <c r="O54" s="380"/>
      <c r="P54" s="380"/>
      <c r="Q54" s="380"/>
      <c r="R54" s="380"/>
      <c r="S54" s="380"/>
      <c r="T54" s="380"/>
      <c r="U54" s="380"/>
      <c r="V54" s="380"/>
      <c r="W54" s="380"/>
    </row>
    <row r="55" spans="1:46" ht="16.5" customHeight="1" thickBot="1">
      <c r="A55" s="1445" t="s">
        <v>448</v>
      </c>
      <c r="B55" s="1446"/>
      <c r="C55" s="1446"/>
      <c r="D55" s="1446"/>
      <c r="E55" s="1446"/>
      <c r="F55" s="1446"/>
      <c r="G55" s="1446"/>
      <c r="H55" s="1446"/>
      <c r="I55" s="1446"/>
      <c r="J55" s="1446"/>
      <c r="K55" s="1446"/>
      <c r="L55" s="1446"/>
      <c r="M55" s="1446"/>
      <c r="N55" s="1446"/>
      <c r="O55" s="1446"/>
      <c r="P55" s="1446"/>
      <c r="Q55" s="1446"/>
      <c r="R55" s="1446"/>
      <c r="S55" s="1446"/>
      <c r="T55" s="1446"/>
      <c r="U55" s="1446"/>
      <c r="V55" s="1446"/>
      <c r="W55" s="1447"/>
    </row>
    <row r="56" spans="1:46" ht="15.6">
      <c r="A56" s="1448"/>
      <c r="B56" s="1449"/>
      <c r="C56" s="1449"/>
      <c r="D56" s="1449"/>
      <c r="E56" s="1449"/>
      <c r="F56" s="1449"/>
      <c r="G56" s="1449"/>
      <c r="H56" s="1449"/>
      <c r="I56" s="1449"/>
      <c r="J56" s="1449"/>
      <c r="K56" s="1450"/>
      <c r="L56" s="1454" t="s">
        <v>449</v>
      </c>
      <c r="M56" s="1455"/>
      <c r="N56" s="1455"/>
      <c r="O56" s="1456"/>
      <c r="P56" s="1457" t="s">
        <v>450</v>
      </c>
      <c r="Q56" s="1458"/>
      <c r="R56" s="1458"/>
      <c r="S56" s="1459"/>
      <c r="T56" s="1454" t="s">
        <v>451</v>
      </c>
      <c r="U56" s="1455"/>
      <c r="V56" s="1455"/>
      <c r="W56" s="1456"/>
    </row>
    <row r="57" spans="1:46" ht="15.6">
      <c r="A57" s="1451"/>
      <c r="B57" s="1452"/>
      <c r="C57" s="1452"/>
      <c r="D57" s="1452"/>
      <c r="E57" s="1452"/>
      <c r="F57" s="1452"/>
      <c r="G57" s="1452"/>
      <c r="H57" s="1452"/>
      <c r="I57" s="1452"/>
      <c r="J57" s="1452"/>
      <c r="K57" s="1453"/>
      <c r="L57" s="1460" t="s">
        <v>452</v>
      </c>
      <c r="M57" s="1461"/>
      <c r="N57" s="1461" t="s">
        <v>453</v>
      </c>
      <c r="O57" s="1462"/>
      <c r="P57" s="1463" t="s">
        <v>452</v>
      </c>
      <c r="Q57" s="1464"/>
      <c r="R57" s="1464" t="s">
        <v>453</v>
      </c>
      <c r="S57" s="1465"/>
      <c r="T57" s="1460" t="s">
        <v>452</v>
      </c>
      <c r="U57" s="1461"/>
      <c r="V57" s="1461" t="s">
        <v>453</v>
      </c>
      <c r="W57" s="1462"/>
    </row>
    <row r="58" spans="1:46" ht="15.6">
      <c r="A58" s="1466" t="s">
        <v>454</v>
      </c>
      <c r="B58" s="1467"/>
      <c r="C58" s="1467"/>
      <c r="D58" s="1467"/>
      <c r="E58" s="1467"/>
      <c r="F58" s="1467"/>
      <c r="G58" s="1467"/>
      <c r="H58" s="1467"/>
      <c r="I58" s="1467"/>
      <c r="J58" s="1467"/>
      <c r="K58" s="1468"/>
      <c r="L58" s="1460">
        <v>23</v>
      </c>
      <c r="M58" s="1461"/>
      <c r="N58" s="1461">
        <v>23</v>
      </c>
      <c r="O58" s="1462"/>
      <c r="P58" s="1463">
        <v>23</v>
      </c>
      <c r="Q58" s="1464"/>
      <c r="R58" s="1464">
        <v>23</v>
      </c>
      <c r="S58" s="1465"/>
      <c r="T58" s="1460">
        <v>23</v>
      </c>
      <c r="U58" s="1461"/>
      <c r="V58" s="1461">
        <v>23</v>
      </c>
      <c r="W58" s="1462"/>
    </row>
    <row r="59" spans="1:46" ht="15.6">
      <c r="A59" s="1466" t="s">
        <v>455</v>
      </c>
      <c r="B59" s="1467"/>
      <c r="C59" s="1467"/>
      <c r="D59" s="1467"/>
      <c r="E59" s="1467"/>
      <c r="F59" s="1467"/>
      <c r="G59" s="1467"/>
      <c r="H59" s="1467"/>
      <c r="I59" s="1467"/>
      <c r="J59" s="1467"/>
      <c r="K59" s="1468"/>
      <c r="L59" s="1460">
        <v>240</v>
      </c>
      <c r="M59" s="1461"/>
      <c r="N59" s="1461">
        <v>170</v>
      </c>
      <c r="O59" s="1462"/>
      <c r="P59" s="1463">
        <v>200</v>
      </c>
      <c r="Q59" s="1464"/>
      <c r="R59" s="1464">
        <v>170</v>
      </c>
      <c r="S59" s="1465"/>
      <c r="T59" s="1460">
        <v>200</v>
      </c>
      <c r="U59" s="1461"/>
      <c r="V59" s="1461">
        <v>170</v>
      </c>
      <c r="W59" s="1462"/>
    </row>
    <row r="60" spans="1:46" ht="18" thickBot="1">
      <c r="A60" s="1475" t="s">
        <v>456</v>
      </c>
      <c r="B60" s="1476"/>
      <c r="C60" s="1476"/>
      <c r="D60" s="1476"/>
      <c r="E60" s="1476"/>
      <c r="F60" s="1476"/>
      <c r="G60" s="1476"/>
      <c r="H60" s="1476"/>
      <c r="I60" s="1476"/>
      <c r="J60" s="1476"/>
      <c r="K60" s="1477"/>
      <c r="L60" s="1478">
        <v>2.5</v>
      </c>
      <c r="M60" s="1479"/>
      <c r="N60" s="1479">
        <v>2.5</v>
      </c>
      <c r="O60" s="1480"/>
      <c r="P60" s="1481">
        <v>2.5</v>
      </c>
      <c r="Q60" s="1482"/>
      <c r="R60" s="1483">
        <v>2</v>
      </c>
      <c r="S60" s="1484"/>
      <c r="T60" s="1478">
        <v>2.5</v>
      </c>
      <c r="U60" s="1479"/>
      <c r="V60" s="1485">
        <v>2</v>
      </c>
      <c r="W60" s="1486"/>
    </row>
    <row r="61" spans="1:46" ht="16.2" thickBot="1">
      <c r="A61" s="6"/>
      <c r="B61" s="1"/>
      <c r="C61" s="379"/>
      <c r="D61" s="381"/>
      <c r="E61" s="381"/>
      <c r="F61" s="381"/>
      <c r="G61" s="381"/>
      <c r="H61" s="381"/>
      <c r="I61" s="380"/>
      <c r="J61" s="380"/>
      <c r="K61" s="380"/>
      <c r="L61" s="380"/>
      <c r="M61" s="380"/>
      <c r="N61" s="380"/>
      <c r="O61" s="380"/>
      <c r="P61" s="380"/>
      <c r="Q61" s="380"/>
      <c r="R61" s="380"/>
      <c r="S61" s="380"/>
      <c r="T61" s="380"/>
      <c r="U61" s="380"/>
      <c r="V61" s="380"/>
      <c r="W61" s="380"/>
    </row>
    <row r="62" spans="1:46" ht="16.2" thickBot="1">
      <c r="A62" s="6" t="s">
        <v>44</v>
      </c>
      <c r="B62" s="1"/>
      <c r="C62" s="379"/>
      <c r="D62" s="382"/>
      <c r="E62" s="382"/>
      <c r="F62" s="382"/>
      <c r="G62" s="382"/>
      <c r="H62" s="382"/>
      <c r="I62" s="382"/>
      <c r="J62" s="380"/>
      <c r="K62" s="380"/>
      <c r="L62" s="380"/>
      <c r="M62" s="380"/>
      <c r="N62" s="380"/>
      <c r="O62" s="380"/>
      <c r="P62" s="380"/>
      <c r="Q62" s="380"/>
      <c r="R62" s="380"/>
      <c r="S62" s="380"/>
      <c r="T62" s="380"/>
      <c r="U62" s="380"/>
      <c r="V62" s="380"/>
      <c r="W62" s="380"/>
    </row>
    <row r="63" spans="1:46" ht="16.2" thickBot="1">
      <c r="A63" s="1469" t="s">
        <v>386</v>
      </c>
      <c r="B63" s="1470"/>
      <c r="C63" s="1470"/>
      <c r="D63" s="889"/>
      <c r="E63" s="889"/>
      <c r="F63" s="891"/>
      <c r="G63" s="890"/>
      <c r="H63" s="1471">
        <f>(2.65*KFC!$B$17+KFC!$C$17)*KFC!$C$5</f>
        <v>2.65</v>
      </c>
      <c r="I63" s="1473" t="s">
        <v>409</v>
      </c>
      <c r="J63" s="380"/>
      <c r="K63" s="380"/>
      <c r="L63" s="380"/>
      <c r="M63" s="380"/>
      <c r="N63" s="380"/>
      <c r="O63" s="380"/>
      <c r="P63" s="380"/>
      <c r="Q63" s="380"/>
      <c r="R63" s="380"/>
      <c r="S63" s="380"/>
      <c r="T63" s="380"/>
      <c r="U63" s="380"/>
      <c r="V63" s="380"/>
      <c r="W63" s="380"/>
    </row>
    <row r="64" spans="1:46" ht="20.25" customHeight="1" thickBot="1">
      <c r="A64" s="892" t="s">
        <v>1059</v>
      </c>
      <c r="B64" s="6"/>
      <c r="C64" s="6"/>
      <c r="F64" s="893"/>
      <c r="G64" s="894"/>
      <c r="H64" s="1472"/>
      <c r="I64" s="1474"/>
      <c r="J64" s="382"/>
      <c r="K64" s="382"/>
      <c r="L64" s="382"/>
      <c r="M64" s="382"/>
      <c r="N64" s="380"/>
      <c r="O64" s="380"/>
      <c r="P64" s="380"/>
      <c r="Q64" s="380"/>
      <c r="R64" s="380"/>
      <c r="S64" s="380"/>
      <c r="T64" s="380"/>
      <c r="U64" s="380"/>
      <c r="V64" s="380"/>
      <c r="W64" s="380"/>
    </row>
    <row r="65" spans="1:23" ht="16.2" thickBot="1">
      <c r="A65" s="895" t="s">
        <v>228</v>
      </c>
      <c r="B65" s="896"/>
      <c r="C65" s="896"/>
      <c r="D65" s="896"/>
      <c r="E65" s="896"/>
      <c r="F65" s="896"/>
      <c r="G65" s="896"/>
      <c r="H65" s="896"/>
      <c r="I65" s="897"/>
      <c r="J65" s="897"/>
      <c r="K65" s="897"/>
      <c r="L65" s="897"/>
      <c r="M65" s="897"/>
      <c r="N65" s="380"/>
      <c r="O65" s="380"/>
      <c r="P65" s="380"/>
      <c r="Q65" s="380"/>
      <c r="R65" s="380"/>
      <c r="S65" s="380"/>
      <c r="T65" s="380"/>
      <c r="U65" s="380"/>
      <c r="V65" s="380"/>
      <c r="W65" s="380"/>
    </row>
  </sheetData>
  <mergeCells count="51">
    <mergeCell ref="A63:C63"/>
    <mergeCell ref="H63:H64"/>
    <mergeCell ref="I63:I64"/>
    <mergeCell ref="V59:W59"/>
    <mergeCell ref="A60:K60"/>
    <mergeCell ref="L60:M60"/>
    <mergeCell ref="N60:O60"/>
    <mergeCell ref="P60:Q60"/>
    <mergeCell ref="R60:S60"/>
    <mergeCell ref="T60:U60"/>
    <mergeCell ref="V60:W60"/>
    <mergeCell ref="A59:K59"/>
    <mergeCell ref="L59:M59"/>
    <mergeCell ref="N59:O59"/>
    <mergeCell ref="P59:Q59"/>
    <mergeCell ref="R59:S59"/>
    <mergeCell ref="T59:U59"/>
    <mergeCell ref="R57:S57"/>
    <mergeCell ref="T57:U57"/>
    <mergeCell ref="V57:W57"/>
    <mergeCell ref="A58:K58"/>
    <mergeCell ref="L58:M58"/>
    <mergeCell ref="N58:O58"/>
    <mergeCell ref="P58:Q58"/>
    <mergeCell ref="R58:S58"/>
    <mergeCell ref="T58:U58"/>
    <mergeCell ref="V58:W58"/>
    <mergeCell ref="A33:B53"/>
    <mergeCell ref="Y33:Y53"/>
    <mergeCell ref="A55:W55"/>
    <mergeCell ref="A56:K57"/>
    <mergeCell ref="L56:O56"/>
    <mergeCell ref="P56:S56"/>
    <mergeCell ref="T56:W56"/>
    <mergeCell ref="L57:M57"/>
    <mergeCell ref="N57:O57"/>
    <mergeCell ref="P57:Q57"/>
    <mergeCell ref="AA31:AT31"/>
    <mergeCell ref="A30:W30"/>
    <mergeCell ref="A1:W2"/>
    <mergeCell ref="A3:W4"/>
    <mergeCell ref="A6:C7"/>
    <mergeCell ref="D6:W6"/>
    <mergeCell ref="Y6:Z7"/>
    <mergeCell ref="AA6:AT6"/>
    <mergeCell ref="A5:W5"/>
    <mergeCell ref="A8:B28"/>
    <mergeCell ref="Y8:Y28"/>
    <mergeCell ref="A31:C32"/>
    <mergeCell ref="D31:W31"/>
    <mergeCell ref="Y31:Z32"/>
  </mergeCells>
  <pageMargins left="0.70866141732283472" right="0.70866141732283472" top="0.74803149606299213" bottom="0.74803149606299213" header="0.31496062992125984" footer="0.31496062992125984"/>
  <pageSetup paperSize="9" scale="84" orientation="landscape" r:id="rId1"/>
  <colBreaks count="1" manualBreakCount="1">
    <brk id="46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BD3E60-15B9-4419-8E0A-47302618E750}">
  <sheetPr>
    <tabColor rgb="FFFF0000"/>
  </sheetPr>
  <dimension ref="A1:IU115"/>
  <sheetViews>
    <sheetView view="pageBreakPreview" topLeftCell="A23" zoomScale="80" zoomScaleNormal="80" zoomScaleSheetLayoutView="80" workbookViewId="0">
      <selection activeCell="I46" sqref="I46"/>
    </sheetView>
  </sheetViews>
  <sheetFormatPr defaultColWidth="9.109375" defaultRowHeight="14.4"/>
  <cols>
    <col min="1" max="1" width="9.109375" style="880"/>
    <col min="2" max="3" width="5.44140625" style="880" bestFit="1" customWidth="1"/>
    <col min="4" max="4" width="6.6640625" style="880" customWidth="1"/>
    <col min="5" max="5" width="7" style="880" customWidth="1"/>
    <col min="6" max="7" width="6.5546875" style="880" customWidth="1"/>
    <col min="8" max="8" width="6.6640625" style="880" customWidth="1"/>
    <col min="9" max="10" width="6.109375" style="880" customWidth="1"/>
    <col min="11" max="11" width="6.6640625" style="880" customWidth="1"/>
    <col min="12" max="12" width="6.33203125" style="880" customWidth="1"/>
    <col min="13" max="13" width="6.109375" style="880" customWidth="1"/>
    <col min="14" max="14" width="6.5546875" style="880" customWidth="1"/>
    <col min="15" max="15" width="6.88671875" style="880" customWidth="1"/>
    <col min="16" max="17" width="6.44140625" style="880" bestFit="1" customWidth="1"/>
    <col min="18" max="18" width="7.88671875" style="880" customWidth="1"/>
    <col min="19" max="19" width="9" style="880" customWidth="1"/>
    <col min="20" max="20" width="7.5546875" style="880" customWidth="1"/>
    <col min="21" max="21" width="7.88671875" style="880" customWidth="1"/>
    <col min="22" max="22" width="8" style="880" customWidth="1"/>
    <col min="23" max="23" width="6.88671875" style="880" customWidth="1"/>
    <col min="24" max="46" width="9.109375" style="880" hidden="1" customWidth="1"/>
    <col min="47" max="16384" width="9.109375" style="880"/>
  </cols>
  <sheetData>
    <row r="1" spans="1:255" ht="15" customHeight="1">
      <c r="A1" s="1033" t="s">
        <v>1207</v>
      </c>
      <c r="B1" s="1033"/>
      <c r="C1" s="1033"/>
      <c r="D1" s="1033"/>
      <c r="E1" s="1033"/>
      <c r="F1" s="1033"/>
      <c r="G1" s="1033"/>
      <c r="H1" s="1033"/>
      <c r="I1" s="1033"/>
      <c r="J1" s="1033"/>
      <c r="K1" s="1033"/>
      <c r="L1" s="1033"/>
      <c r="M1" s="1033"/>
      <c r="N1" s="1033"/>
      <c r="O1" s="1033"/>
      <c r="P1" s="1033"/>
      <c r="Q1" s="1033"/>
      <c r="R1" s="1033"/>
      <c r="S1" s="1033"/>
      <c r="T1" s="1033"/>
      <c r="U1" s="1033"/>
      <c r="V1" s="1033"/>
      <c r="W1" s="1033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  <c r="AZ1" s="16"/>
      <c r="BA1" s="16"/>
      <c r="BB1" s="16"/>
      <c r="BC1" s="16"/>
      <c r="BD1" s="16"/>
      <c r="BE1" s="16"/>
      <c r="BF1" s="16"/>
      <c r="BG1" s="16"/>
      <c r="BH1" s="16"/>
      <c r="BI1" s="16"/>
      <c r="BJ1" s="16"/>
      <c r="BK1" s="16"/>
      <c r="BL1" s="16"/>
      <c r="BM1" s="16"/>
      <c r="BN1" s="16"/>
      <c r="BO1" s="16"/>
      <c r="BP1" s="16"/>
      <c r="BQ1" s="16"/>
      <c r="BR1" s="16"/>
      <c r="BS1" s="16"/>
      <c r="BT1" s="16"/>
      <c r="BU1" s="16"/>
      <c r="BV1" s="16"/>
      <c r="BW1" s="16"/>
      <c r="BX1" s="16"/>
      <c r="BY1" s="16"/>
      <c r="BZ1" s="16"/>
      <c r="CA1" s="16"/>
      <c r="CB1" s="16"/>
      <c r="CC1" s="16"/>
      <c r="CD1" s="16"/>
      <c r="CE1" s="16"/>
      <c r="CF1" s="16"/>
      <c r="CG1" s="16"/>
      <c r="CH1" s="16"/>
      <c r="CI1" s="16"/>
      <c r="CJ1" s="16"/>
      <c r="CK1" s="16"/>
      <c r="CL1" s="16"/>
      <c r="CM1" s="16"/>
      <c r="CN1" s="16"/>
      <c r="CO1" s="16"/>
      <c r="CP1" s="16"/>
      <c r="CQ1" s="16"/>
      <c r="CR1" s="16"/>
      <c r="CS1" s="16"/>
      <c r="CT1" s="16"/>
      <c r="CU1" s="16"/>
      <c r="CV1" s="16"/>
      <c r="CW1" s="16"/>
      <c r="CX1" s="16"/>
      <c r="CY1" s="16"/>
      <c r="CZ1" s="16"/>
      <c r="DA1" s="16"/>
      <c r="DB1" s="16"/>
      <c r="DC1" s="16"/>
      <c r="DD1" s="16"/>
      <c r="DE1" s="16"/>
      <c r="DF1" s="16"/>
      <c r="DG1" s="16"/>
      <c r="DH1" s="16"/>
      <c r="DI1" s="16"/>
      <c r="DJ1" s="16"/>
      <c r="DK1" s="16"/>
      <c r="DL1" s="16"/>
      <c r="DM1" s="16"/>
      <c r="DN1" s="16"/>
      <c r="DO1" s="16"/>
      <c r="DP1" s="16"/>
      <c r="DQ1" s="16"/>
      <c r="DR1" s="16"/>
      <c r="DS1" s="16"/>
      <c r="DT1" s="16"/>
      <c r="DU1" s="16"/>
      <c r="DV1" s="16"/>
      <c r="DW1" s="16"/>
      <c r="DX1" s="16"/>
      <c r="DY1" s="16"/>
      <c r="DZ1" s="16"/>
      <c r="EA1" s="16"/>
      <c r="EB1" s="16"/>
      <c r="EC1" s="16"/>
      <c r="ED1" s="16"/>
      <c r="EE1" s="16"/>
      <c r="EF1" s="16"/>
      <c r="EG1" s="16"/>
      <c r="EH1" s="16"/>
      <c r="EI1" s="16"/>
      <c r="EJ1" s="16"/>
      <c r="EK1" s="16"/>
      <c r="EL1" s="16"/>
      <c r="EM1" s="16"/>
      <c r="EN1" s="16"/>
      <c r="EO1" s="16"/>
      <c r="EP1" s="16"/>
      <c r="EQ1" s="16"/>
      <c r="ER1" s="16"/>
      <c r="ES1" s="16"/>
      <c r="ET1" s="16"/>
      <c r="EU1" s="16"/>
      <c r="EV1" s="16"/>
      <c r="EW1" s="16"/>
      <c r="EX1" s="16"/>
      <c r="EY1" s="16"/>
      <c r="EZ1" s="16"/>
      <c r="FA1" s="16"/>
      <c r="FB1" s="16"/>
      <c r="FC1" s="16"/>
      <c r="FD1" s="16"/>
      <c r="FE1" s="16"/>
      <c r="FF1" s="16"/>
      <c r="FG1" s="16"/>
      <c r="FH1" s="16"/>
      <c r="FI1" s="16"/>
      <c r="FJ1" s="16"/>
      <c r="FK1" s="16"/>
      <c r="FL1" s="16"/>
      <c r="FM1" s="16"/>
      <c r="FN1" s="16"/>
      <c r="FO1" s="16"/>
      <c r="FP1" s="16"/>
      <c r="FQ1" s="16"/>
      <c r="FR1" s="16"/>
      <c r="FS1" s="16"/>
      <c r="FT1" s="16"/>
      <c r="FU1" s="16"/>
      <c r="FV1" s="16"/>
      <c r="FW1" s="16"/>
      <c r="FX1" s="16"/>
      <c r="FY1" s="16"/>
      <c r="FZ1" s="16"/>
      <c r="GA1" s="16"/>
      <c r="GB1" s="16"/>
      <c r="GC1" s="16"/>
      <c r="GD1" s="16"/>
      <c r="GE1" s="16"/>
      <c r="GF1" s="16"/>
      <c r="GG1" s="16"/>
      <c r="GH1" s="16"/>
      <c r="GI1" s="16"/>
      <c r="GJ1" s="16"/>
      <c r="GK1" s="16"/>
      <c r="GL1" s="16"/>
      <c r="GM1" s="16"/>
      <c r="GN1" s="16"/>
      <c r="GO1" s="16"/>
      <c r="GP1" s="16"/>
      <c r="GQ1" s="16"/>
      <c r="GR1" s="16"/>
      <c r="GS1" s="16"/>
      <c r="GT1" s="16"/>
      <c r="GU1" s="16"/>
      <c r="GV1" s="16"/>
      <c r="GW1" s="16"/>
      <c r="GX1" s="16"/>
      <c r="GY1" s="16"/>
      <c r="GZ1" s="16"/>
      <c r="HA1" s="16"/>
      <c r="HB1" s="16"/>
      <c r="HC1" s="16"/>
      <c r="HD1" s="16"/>
      <c r="HE1" s="16"/>
      <c r="HF1" s="16"/>
      <c r="HG1" s="16"/>
      <c r="HH1" s="16"/>
      <c r="HI1" s="16"/>
      <c r="HJ1" s="16"/>
      <c r="HK1" s="16"/>
      <c r="HL1" s="16"/>
      <c r="HM1" s="16"/>
      <c r="HN1" s="16"/>
      <c r="HO1" s="16"/>
      <c r="HP1" s="16"/>
      <c r="HQ1" s="16"/>
      <c r="HR1" s="16"/>
      <c r="HS1" s="16"/>
      <c r="HT1" s="16"/>
      <c r="HU1" s="16"/>
      <c r="HV1" s="16"/>
      <c r="HW1" s="16"/>
      <c r="HX1" s="16"/>
      <c r="HY1" s="16"/>
      <c r="HZ1" s="16"/>
      <c r="IA1" s="16"/>
      <c r="IB1" s="16"/>
      <c r="IC1" s="16"/>
      <c r="ID1" s="16"/>
      <c r="IE1" s="16"/>
      <c r="IF1" s="16"/>
      <c r="IG1" s="16"/>
      <c r="IH1" s="16"/>
      <c r="II1" s="16"/>
      <c r="IJ1" s="16"/>
      <c r="IK1" s="16"/>
      <c r="IL1" s="16"/>
      <c r="IM1" s="16"/>
      <c r="IN1" s="16"/>
      <c r="IO1" s="16"/>
      <c r="IP1" s="16"/>
      <c r="IQ1" s="16"/>
      <c r="IR1" s="16"/>
      <c r="IS1" s="16"/>
      <c r="IT1" s="16"/>
      <c r="IU1" s="16"/>
    </row>
    <row r="2" spans="1:255" ht="15" customHeight="1">
      <c r="A2" s="1033"/>
      <c r="B2" s="1033"/>
      <c r="C2" s="1033"/>
      <c r="D2" s="1033"/>
      <c r="E2" s="1033"/>
      <c r="F2" s="1033"/>
      <c r="G2" s="1033"/>
      <c r="H2" s="1033"/>
      <c r="I2" s="1033"/>
      <c r="J2" s="1033"/>
      <c r="K2" s="1033"/>
      <c r="L2" s="1033"/>
      <c r="M2" s="1033"/>
      <c r="N2" s="1033"/>
      <c r="O2" s="1033"/>
      <c r="P2" s="1033"/>
      <c r="Q2" s="1033"/>
      <c r="R2" s="1033"/>
      <c r="S2" s="1033"/>
      <c r="T2" s="1033"/>
      <c r="U2" s="1033"/>
      <c r="V2" s="1033"/>
      <c r="W2" s="1033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16"/>
      <c r="CS2" s="16"/>
      <c r="CT2" s="16"/>
      <c r="CU2" s="16"/>
      <c r="CV2" s="16"/>
      <c r="CW2" s="16"/>
      <c r="CX2" s="16"/>
      <c r="CY2" s="16"/>
      <c r="CZ2" s="16"/>
      <c r="DA2" s="16"/>
      <c r="DB2" s="16"/>
      <c r="DC2" s="16"/>
      <c r="DD2" s="16"/>
      <c r="DE2" s="16"/>
      <c r="DF2" s="16"/>
      <c r="DG2" s="16"/>
      <c r="DH2" s="16"/>
      <c r="DI2" s="16"/>
      <c r="DJ2" s="16"/>
      <c r="DK2" s="16"/>
      <c r="DL2" s="16"/>
      <c r="DM2" s="16"/>
      <c r="DN2" s="16"/>
      <c r="DO2" s="16"/>
      <c r="DP2" s="16"/>
      <c r="DQ2" s="16"/>
      <c r="DR2" s="16"/>
      <c r="DS2" s="16"/>
      <c r="DT2" s="16"/>
      <c r="DU2" s="16"/>
      <c r="DV2" s="16"/>
      <c r="DW2" s="16"/>
      <c r="DX2" s="16"/>
      <c r="DY2" s="16"/>
      <c r="DZ2" s="16"/>
      <c r="EA2" s="16"/>
      <c r="EB2" s="16"/>
      <c r="EC2" s="16"/>
      <c r="ED2" s="16"/>
      <c r="EE2" s="16"/>
      <c r="EF2" s="16"/>
      <c r="EG2" s="16"/>
      <c r="EH2" s="16"/>
      <c r="EI2" s="16"/>
      <c r="EJ2" s="16"/>
      <c r="EK2" s="16"/>
      <c r="EL2" s="16"/>
      <c r="EM2" s="16"/>
      <c r="EN2" s="16"/>
      <c r="EO2" s="16"/>
      <c r="EP2" s="16"/>
      <c r="EQ2" s="16"/>
      <c r="ER2" s="16"/>
      <c r="ES2" s="16"/>
      <c r="ET2" s="16"/>
      <c r="EU2" s="16"/>
      <c r="EV2" s="16"/>
      <c r="EW2" s="16"/>
      <c r="EX2" s="16"/>
      <c r="EY2" s="16"/>
      <c r="EZ2" s="16"/>
      <c r="FA2" s="16"/>
      <c r="FB2" s="16"/>
      <c r="FC2" s="16"/>
      <c r="FD2" s="16"/>
      <c r="FE2" s="16"/>
      <c r="FF2" s="16"/>
      <c r="FG2" s="16"/>
      <c r="FH2" s="16"/>
      <c r="FI2" s="16"/>
      <c r="FJ2" s="16"/>
      <c r="FK2" s="16"/>
      <c r="FL2" s="16"/>
      <c r="FM2" s="16"/>
      <c r="FN2" s="16"/>
      <c r="FO2" s="16"/>
      <c r="FP2" s="16"/>
      <c r="FQ2" s="16"/>
      <c r="FR2" s="16"/>
      <c r="FS2" s="16"/>
      <c r="FT2" s="16"/>
      <c r="FU2" s="16"/>
      <c r="FV2" s="16"/>
      <c r="FW2" s="16"/>
      <c r="FX2" s="16"/>
      <c r="FY2" s="16"/>
      <c r="FZ2" s="16"/>
      <c r="GA2" s="16"/>
      <c r="GB2" s="16"/>
      <c r="GC2" s="16"/>
      <c r="GD2" s="16"/>
      <c r="GE2" s="16"/>
      <c r="GF2" s="16"/>
      <c r="GG2" s="16"/>
      <c r="GH2" s="16"/>
      <c r="GI2" s="16"/>
      <c r="GJ2" s="16"/>
      <c r="GK2" s="16"/>
      <c r="GL2" s="16"/>
      <c r="GM2" s="16"/>
      <c r="GN2" s="16"/>
      <c r="GO2" s="16"/>
      <c r="GP2" s="16"/>
      <c r="GQ2" s="16"/>
      <c r="GR2" s="16"/>
      <c r="GS2" s="16"/>
      <c r="GT2" s="16"/>
      <c r="GU2" s="16"/>
      <c r="GV2" s="16"/>
      <c r="GW2" s="16"/>
      <c r="GX2" s="16"/>
      <c r="GY2" s="16"/>
      <c r="GZ2" s="16"/>
      <c r="HA2" s="16"/>
      <c r="HB2" s="16"/>
      <c r="HC2" s="16"/>
      <c r="HD2" s="16"/>
      <c r="HE2" s="16"/>
      <c r="HF2" s="16"/>
      <c r="HG2" s="16"/>
      <c r="HH2" s="16"/>
      <c r="HI2" s="16"/>
      <c r="HJ2" s="16"/>
      <c r="HK2" s="16"/>
      <c r="HL2" s="16"/>
      <c r="HM2" s="16"/>
      <c r="HN2" s="16"/>
      <c r="HO2" s="16"/>
      <c r="HP2" s="16"/>
      <c r="HQ2" s="16"/>
      <c r="HR2" s="16"/>
      <c r="HS2" s="16"/>
      <c r="HT2" s="16"/>
      <c r="HU2" s="16"/>
      <c r="HV2" s="16"/>
      <c r="HW2" s="16"/>
      <c r="HX2" s="16"/>
      <c r="HY2" s="16"/>
      <c r="HZ2" s="16"/>
      <c r="IA2" s="16"/>
      <c r="IB2" s="16"/>
      <c r="IC2" s="16"/>
      <c r="ID2" s="16"/>
      <c r="IE2" s="16"/>
      <c r="IF2" s="16"/>
      <c r="IG2" s="16"/>
      <c r="IH2" s="16"/>
      <c r="II2" s="16"/>
      <c r="IJ2" s="16"/>
      <c r="IK2" s="16"/>
      <c r="IL2" s="16"/>
      <c r="IM2" s="16"/>
      <c r="IN2" s="16"/>
      <c r="IO2" s="16"/>
      <c r="IP2" s="16"/>
      <c r="IQ2" s="16"/>
      <c r="IR2" s="16"/>
      <c r="IS2" s="16"/>
      <c r="IT2" s="16"/>
      <c r="IU2" s="16"/>
    </row>
    <row r="3" spans="1:255" ht="15" customHeight="1">
      <c r="A3" s="1033" t="s">
        <v>1210</v>
      </c>
      <c r="B3" s="1033"/>
      <c r="C3" s="1033"/>
      <c r="D3" s="1033"/>
      <c r="E3" s="1033"/>
      <c r="F3" s="1033"/>
      <c r="G3" s="1033"/>
      <c r="H3" s="1033"/>
      <c r="I3" s="1033"/>
      <c r="J3" s="1033"/>
      <c r="K3" s="1033"/>
      <c r="L3" s="1033"/>
      <c r="M3" s="1033"/>
      <c r="N3" s="1033"/>
      <c r="O3" s="1033"/>
      <c r="P3" s="1033"/>
      <c r="Q3" s="1033"/>
      <c r="R3" s="1033"/>
      <c r="S3" s="1033"/>
      <c r="T3" s="1033"/>
      <c r="U3" s="1033"/>
      <c r="V3" s="1033"/>
      <c r="W3" s="1033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/>
      <c r="BC3" s="16"/>
      <c r="BD3" s="16"/>
      <c r="BE3" s="16"/>
      <c r="BF3" s="16"/>
      <c r="BG3" s="16"/>
      <c r="BH3" s="16"/>
      <c r="BI3" s="16"/>
      <c r="BJ3" s="16"/>
      <c r="BK3" s="16"/>
      <c r="BL3" s="16"/>
      <c r="BM3" s="16"/>
      <c r="BN3" s="16"/>
      <c r="BO3" s="16"/>
      <c r="BP3" s="16"/>
      <c r="BQ3" s="16"/>
      <c r="BR3" s="16"/>
      <c r="BS3" s="16"/>
      <c r="BT3" s="16"/>
      <c r="BU3" s="16"/>
      <c r="BV3" s="16"/>
      <c r="BW3" s="16"/>
      <c r="BX3" s="16"/>
      <c r="BY3" s="16"/>
      <c r="BZ3" s="16"/>
      <c r="CA3" s="16"/>
      <c r="CB3" s="16"/>
      <c r="CC3" s="16"/>
      <c r="CD3" s="16"/>
      <c r="CE3" s="16"/>
      <c r="CF3" s="16"/>
      <c r="CG3" s="16"/>
      <c r="CH3" s="16"/>
      <c r="CI3" s="16"/>
      <c r="CJ3" s="16"/>
      <c r="CK3" s="16"/>
      <c r="CL3" s="16"/>
      <c r="CM3" s="16"/>
      <c r="CN3" s="16"/>
      <c r="CO3" s="16"/>
      <c r="CP3" s="16"/>
      <c r="CQ3" s="16"/>
      <c r="CR3" s="16"/>
      <c r="CS3" s="16"/>
      <c r="CT3" s="16"/>
      <c r="CU3" s="16"/>
      <c r="CV3" s="16"/>
      <c r="CW3" s="16"/>
      <c r="CX3" s="16"/>
      <c r="CY3" s="16"/>
      <c r="CZ3" s="16"/>
      <c r="DA3" s="16"/>
      <c r="DB3" s="16"/>
      <c r="DC3" s="16"/>
      <c r="DD3" s="16"/>
      <c r="DE3" s="16"/>
      <c r="DF3" s="16"/>
      <c r="DG3" s="16"/>
      <c r="DH3" s="16"/>
      <c r="DI3" s="16"/>
      <c r="DJ3" s="16"/>
      <c r="DK3" s="16"/>
      <c r="DL3" s="16"/>
      <c r="DM3" s="16"/>
      <c r="DN3" s="16"/>
      <c r="DO3" s="16"/>
      <c r="DP3" s="16"/>
      <c r="DQ3" s="16"/>
      <c r="DR3" s="16"/>
      <c r="DS3" s="16"/>
      <c r="DT3" s="16"/>
      <c r="DU3" s="16"/>
      <c r="DV3" s="16"/>
      <c r="DW3" s="16"/>
      <c r="DX3" s="16"/>
      <c r="DY3" s="16"/>
      <c r="DZ3" s="16"/>
      <c r="EA3" s="16"/>
      <c r="EB3" s="16"/>
      <c r="EC3" s="16"/>
      <c r="ED3" s="16"/>
      <c r="EE3" s="16"/>
      <c r="EF3" s="16"/>
      <c r="EG3" s="16"/>
      <c r="EH3" s="16"/>
      <c r="EI3" s="16"/>
      <c r="EJ3" s="16"/>
      <c r="EK3" s="16"/>
      <c r="EL3" s="16"/>
      <c r="EM3" s="16"/>
      <c r="EN3" s="16"/>
      <c r="EO3" s="16"/>
      <c r="EP3" s="16"/>
      <c r="EQ3" s="16"/>
      <c r="ER3" s="16"/>
      <c r="ES3" s="16"/>
      <c r="ET3" s="16"/>
      <c r="EU3" s="16"/>
      <c r="EV3" s="16"/>
      <c r="EW3" s="16"/>
      <c r="EX3" s="16"/>
      <c r="EY3" s="16"/>
      <c r="EZ3" s="16"/>
      <c r="FA3" s="16"/>
      <c r="FB3" s="16"/>
      <c r="FC3" s="16"/>
      <c r="FD3" s="16"/>
      <c r="FE3" s="16"/>
      <c r="FF3" s="16"/>
      <c r="FG3" s="16"/>
      <c r="FH3" s="16"/>
      <c r="FI3" s="16"/>
      <c r="FJ3" s="16"/>
      <c r="FK3" s="16"/>
      <c r="FL3" s="16"/>
      <c r="FM3" s="16"/>
      <c r="FN3" s="16"/>
      <c r="FO3" s="16"/>
      <c r="FP3" s="16"/>
      <c r="FQ3" s="16"/>
      <c r="FR3" s="16"/>
      <c r="FS3" s="16"/>
      <c r="FT3" s="16"/>
      <c r="FU3" s="16"/>
      <c r="FV3" s="16"/>
      <c r="FW3" s="16"/>
      <c r="FX3" s="16"/>
      <c r="FY3" s="16"/>
      <c r="FZ3" s="16"/>
      <c r="GA3" s="16"/>
      <c r="GB3" s="16"/>
      <c r="GC3" s="16"/>
      <c r="GD3" s="16"/>
      <c r="GE3" s="16"/>
      <c r="GF3" s="16"/>
      <c r="GG3" s="16"/>
      <c r="GH3" s="16"/>
      <c r="GI3" s="16"/>
      <c r="GJ3" s="16"/>
      <c r="GK3" s="16"/>
      <c r="GL3" s="16"/>
      <c r="GM3" s="16"/>
      <c r="GN3" s="16"/>
      <c r="GO3" s="16"/>
      <c r="GP3" s="16"/>
      <c r="GQ3" s="16"/>
      <c r="GR3" s="16"/>
      <c r="GS3" s="16"/>
      <c r="GT3" s="16"/>
      <c r="GU3" s="16"/>
      <c r="GV3" s="16"/>
      <c r="GW3" s="16"/>
      <c r="GX3" s="16"/>
      <c r="GY3" s="16"/>
      <c r="GZ3" s="16"/>
      <c r="HA3" s="16"/>
      <c r="HB3" s="16"/>
      <c r="HC3" s="16"/>
      <c r="HD3" s="16"/>
      <c r="HE3" s="16"/>
      <c r="HF3" s="16"/>
      <c r="HG3" s="16"/>
      <c r="HH3" s="16"/>
      <c r="HI3" s="16"/>
      <c r="HJ3" s="16"/>
      <c r="HK3" s="16"/>
      <c r="HL3" s="16"/>
      <c r="HM3" s="16"/>
      <c r="HN3" s="16"/>
      <c r="HO3" s="16"/>
      <c r="HP3" s="16"/>
      <c r="HQ3" s="16"/>
      <c r="HR3" s="16"/>
      <c r="HS3" s="16"/>
      <c r="HT3" s="16"/>
      <c r="HU3" s="16"/>
      <c r="HV3" s="16"/>
      <c r="HW3" s="16"/>
      <c r="HX3" s="16"/>
      <c r="HY3" s="16"/>
      <c r="HZ3" s="16"/>
      <c r="IA3" s="16"/>
      <c r="IB3" s="16"/>
      <c r="IC3" s="16"/>
      <c r="ID3" s="16"/>
      <c r="IE3" s="16"/>
      <c r="IF3" s="16"/>
      <c r="IG3" s="16"/>
      <c r="IH3" s="16"/>
      <c r="II3" s="16"/>
      <c r="IJ3" s="16"/>
      <c r="IK3" s="16"/>
      <c r="IL3" s="16"/>
      <c r="IM3" s="16"/>
      <c r="IN3" s="16"/>
      <c r="IO3" s="16"/>
      <c r="IP3" s="16"/>
      <c r="IQ3" s="16"/>
      <c r="IR3" s="16"/>
      <c r="IS3" s="16"/>
      <c r="IT3" s="16"/>
      <c r="IU3" s="16"/>
    </row>
    <row r="4" spans="1:255" ht="15" customHeight="1">
      <c r="A4" s="1033"/>
      <c r="B4" s="1033"/>
      <c r="C4" s="1033"/>
      <c r="D4" s="1033"/>
      <c r="E4" s="1033"/>
      <c r="F4" s="1033"/>
      <c r="G4" s="1033"/>
      <c r="H4" s="1033"/>
      <c r="I4" s="1033"/>
      <c r="J4" s="1033"/>
      <c r="K4" s="1033"/>
      <c r="L4" s="1033"/>
      <c r="M4" s="1033"/>
      <c r="N4" s="1033"/>
      <c r="O4" s="1033"/>
      <c r="P4" s="1033"/>
      <c r="Q4" s="1033"/>
      <c r="R4" s="1033"/>
      <c r="S4" s="1033"/>
      <c r="T4" s="1033"/>
      <c r="U4" s="1033"/>
      <c r="V4" s="1033"/>
      <c r="W4" s="1033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6"/>
      <c r="DB4" s="16"/>
      <c r="DC4" s="16"/>
      <c r="DD4" s="16"/>
      <c r="DE4" s="16"/>
      <c r="DF4" s="16"/>
      <c r="DG4" s="16"/>
      <c r="DH4" s="16"/>
      <c r="DI4" s="16"/>
      <c r="DJ4" s="16"/>
      <c r="DK4" s="16"/>
      <c r="DL4" s="16"/>
      <c r="DM4" s="16"/>
      <c r="DN4" s="16"/>
      <c r="DO4" s="16"/>
      <c r="DP4" s="16"/>
      <c r="DQ4" s="16"/>
      <c r="DR4" s="16"/>
      <c r="DS4" s="16"/>
      <c r="DT4" s="16"/>
      <c r="DU4" s="16"/>
      <c r="DV4" s="16"/>
      <c r="DW4" s="16"/>
      <c r="DX4" s="16"/>
      <c r="DY4" s="16"/>
      <c r="DZ4" s="16"/>
      <c r="EA4" s="16"/>
      <c r="EB4" s="16"/>
      <c r="EC4" s="16"/>
      <c r="ED4" s="16"/>
      <c r="EE4" s="16"/>
      <c r="EF4" s="16"/>
      <c r="EG4" s="16"/>
      <c r="EH4" s="16"/>
      <c r="EI4" s="16"/>
      <c r="EJ4" s="16"/>
      <c r="EK4" s="16"/>
      <c r="EL4" s="16"/>
      <c r="EM4" s="16"/>
      <c r="EN4" s="16"/>
      <c r="EO4" s="16"/>
      <c r="EP4" s="16"/>
      <c r="EQ4" s="16"/>
      <c r="ER4" s="16"/>
      <c r="ES4" s="16"/>
      <c r="ET4" s="16"/>
      <c r="EU4" s="16"/>
      <c r="EV4" s="16"/>
      <c r="EW4" s="16"/>
      <c r="EX4" s="16"/>
      <c r="EY4" s="16"/>
      <c r="EZ4" s="16"/>
      <c r="FA4" s="16"/>
      <c r="FB4" s="16"/>
      <c r="FC4" s="16"/>
      <c r="FD4" s="16"/>
      <c r="FE4" s="16"/>
      <c r="FF4" s="16"/>
      <c r="FG4" s="16"/>
      <c r="FH4" s="16"/>
      <c r="FI4" s="16"/>
      <c r="FJ4" s="16"/>
      <c r="FK4" s="16"/>
      <c r="FL4" s="16"/>
      <c r="FM4" s="16"/>
      <c r="FN4" s="16"/>
      <c r="FO4" s="16"/>
      <c r="FP4" s="16"/>
      <c r="FQ4" s="16"/>
      <c r="FR4" s="16"/>
      <c r="FS4" s="16"/>
      <c r="FT4" s="16"/>
      <c r="FU4" s="16"/>
      <c r="FV4" s="16"/>
      <c r="FW4" s="16"/>
      <c r="FX4" s="16"/>
      <c r="FY4" s="16"/>
      <c r="FZ4" s="16"/>
      <c r="GA4" s="16"/>
      <c r="GB4" s="16"/>
      <c r="GC4" s="16"/>
      <c r="GD4" s="16"/>
      <c r="GE4" s="16"/>
      <c r="GF4" s="16"/>
      <c r="GG4" s="16"/>
      <c r="GH4" s="16"/>
      <c r="GI4" s="16"/>
      <c r="GJ4" s="16"/>
      <c r="GK4" s="16"/>
      <c r="GL4" s="16"/>
      <c r="GM4" s="16"/>
      <c r="GN4" s="16"/>
      <c r="GO4" s="16"/>
      <c r="GP4" s="16"/>
      <c r="GQ4" s="16"/>
      <c r="GR4" s="16"/>
      <c r="GS4" s="16"/>
      <c r="GT4" s="16"/>
      <c r="GU4" s="16"/>
      <c r="GV4" s="16"/>
      <c r="GW4" s="16"/>
      <c r="GX4" s="16"/>
      <c r="GY4" s="16"/>
      <c r="GZ4" s="16"/>
      <c r="HA4" s="16"/>
      <c r="HB4" s="16"/>
      <c r="HC4" s="16"/>
      <c r="HD4" s="16"/>
      <c r="HE4" s="16"/>
      <c r="HF4" s="16"/>
      <c r="HG4" s="16"/>
      <c r="HH4" s="16"/>
      <c r="HI4" s="16"/>
      <c r="HJ4" s="16"/>
      <c r="HK4" s="16"/>
      <c r="HL4" s="16"/>
      <c r="HM4" s="16"/>
      <c r="HN4" s="16"/>
      <c r="HO4" s="16"/>
      <c r="HP4" s="16"/>
      <c r="HQ4" s="16"/>
      <c r="HR4" s="16"/>
      <c r="HS4" s="16"/>
      <c r="HT4" s="16"/>
      <c r="HU4" s="16"/>
      <c r="HV4" s="16"/>
      <c r="HW4" s="16"/>
      <c r="HX4" s="16"/>
      <c r="HY4" s="16"/>
      <c r="HZ4" s="16"/>
      <c r="IA4" s="16"/>
      <c r="IB4" s="16"/>
      <c r="IC4" s="16"/>
      <c r="ID4" s="16"/>
      <c r="IE4" s="16"/>
      <c r="IF4" s="16"/>
      <c r="IG4" s="16"/>
      <c r="IH4" s="16"/>
      <c r="II4" s="16"/>
      <c r="IJ4" s="16"/>
      <c r="IK4" s="16"/>
      <c r="IL4" s="16"/>
      <c r="IM4" s="16"/>
      <c r="IN4" s="16"/>
      <c r="IO4" s="16"/>
      <c r="IP4" s="16"/>
      <c r="IQ4" s="16"/>
      <c r="IR4" s="16"/>
      <c r="IS4" s="16"/>
      <c r="IT4" s="16"/>
      <c r="IU4" s="16"/>
    </row>
    <row r="5" spans="1:255" ht="16.2" thickBot="1">
      <c r="A5" s="1033" t="s">
        <v>1221</v>
      </c>
      <c r="B5" s="1033"/>
      <c r="C5" s="1033"/>
      <c r="D5" s="1033"/>
      <c r="E5" s="1033"/>
      <c r="F5" s="1033"/>
      <c r="G5" s="1033"/>
      <c r="H5" s="1033"/>
      <c r="I5" s="1033"/>
      <c r="J5" s="1033"/>
      <c r="K5" s="1033"/>
      <c r="L5" s="1033"/>
      <c r="M5" s="1033"/>
      <c r="N5" s="1033"/>
      <c r="O5" s="1033"/>
      <c r="P5" s="1033"/>
      <c r="Q5" s="1033"/>
      <c r="R5" s="1033"/>
      <c r="S5" s="1033"/>
      <c r="T5" s="1033"/>
      <c r="U5" s="1033"/>
      <c r="V5" s="1033"/>
      <c r="W5" s="1033"/>
    </row>
    <row r="6" spans="1:255" ht="30.75" customHeight="1" thickBot="1">
      <c r="A6" s="1413"/>
      <c r="B6" s="1414"/>
      <c r="C6" s="1415"/>
      <c r="D6" s="1419" t="s">
        <v>207</v>
      </c>
      <c r="E6" s="1420"/>
      <c r="F6" s="1420"/>
      <c r="G6" s="1420"/>
      <c r="H6" s="1420"/>
      <c r="I6" s="1420"/>
      <c r="J6" s="1420"/>
      <c r="K6" s="1420"/>
      <c r="L6" s="1420"/>
      <c r="M6" s="1420"/>
      <c r="N6" s="1420"/>
      <c r="O6" s="1420"/>
      <c r="P6" s="1420"/>
      <c r="Q6" s="1420"/>
      <c r="R6" s="1420"/>
      <c r="S6" s="1420"/>
      <c r="T6" s="1420"/>
      <c r="U6" s="1420"/>
      <c r="V6" s="1420"/>
      <c r="W6" s="1421"/>
      <c r="Y6" s="1278" t="s">
        <v>1196</v>
      </c>
      <c r="Z6" s="1278"/>
      <c r="AA6" s="1279" t="s">
        <v>356</v>
      </c>
      <c r="AB6" s="1279"/>
      <c r="AC6" s="1279"/>
      <c r="AD6" s="1279"/>
      <c r="AE6" s="1279"/>
      <c r="AF6" s="1279"/>
      <c r="AG6" s="1279"/>
      <c r="AH6" s="1279"/>
      <c r="AI6" s="1279"/>
      <c r="AJ6" s="1279"/>
      <c r="AK6" s="1279"/>
      <c r="AL6" s="1279"/>
      <c r="AM6" s="1279"/>
      <c r="AN6" s="1279"/>
      <c r="AO6" s="1279"/>
      <c r="AP6" s="1279"/>
      <c r="AQ6" s="1279"/>
      <c r="AR6" s="1279"/>
      <c r="AS6" s="1279"/>
      <c r="AT6" s="1279"/>
    </row>
    <row r="7" spans="1:255" ht="14.25" customHeight="1" thickBot="1">
      <c r="A7" s="1416"/>
      <c r="B7" s="1417"/>
      <c r="C7" s="1418"/>
      <c r="D7" s="883">
        <v>0.3</v>
      </c>
      <c r="E7" s="884">
        <v>0.4</v>
      </c>
      <c r="F7" s="884">
        <v>0.5</v>
      </c>
      <c r="G7" s="884">
        <v>0.6</v>
      </c>
      <c r="H7" s="884">
        <v>0.7</v>
      </c>
      <c r="I7" s="884">
        <v>0.8</v>
      </c>
      <c r="J7" s="884">
        <v>0.9</v>
      </c>
      <c r="K7" s="884">
        <v>1</v>
      </c>
      <c r="L7" s="884">
        <v>1.1000000000000001</v>
      </c>
      <c r="M7" s="884">
        <v>1.2</v>
      </c>
      <c r="N7" s="884">
        <v>1.3</v>
      </c>
      <c r="O7" s="884">
        <v>1.4</v>
      </c>
      <c r="P7" s="884">
        <v>1.5</v>
      </c>
      <c r="Q7" s="884">
        <v>1.6</v>
      </c>
      <c r="R7" s="884">
        <v>1.7</v>
      </c>
      <c r="S7" s="884">
        <v>1.8</v>
      </c>
      <c r="T7" s="884">
        <v>1.9</v>
      </c>
      <c r="U7" s="884">
        <v>2</v>
      </c>
      <c r="V7" s="884">
        <v>2.1</v>
      </c>
      <c r="W7" s="885">
        <v>2.2000000000000002</v>
      </c>
      <c r="Y7" s="1278"/>
      <c r="Z7" s="1278"/>
      <c r="AA7" s="649">
        <v>0.3</v>
      </c>
      <c r="AB7" s="649">
        <v>0.4</v>
      </c>
      <c r="AC7" s="649">
        <v>0.5</v>
      </c>
      <c r="AD7" s="649">
        <v>0.6</v>
      </c>
      <c r="AE7" s="649">
        <v>0.7</v>
      </c>
      <c r="AF7" s="649">
        <v>0.8</v>
      </c>
      <c r="AG7" s="649">
        <v>0.9</v>
      </c>
      <c r="AH7" s="649">
        <v>1</v>
      </c>
      <c r="AI7" s="649">
        <v>1.1000000000000001</v>
      </c>
      <c r="AJ7" s="649">
        <v>1.2</v>
      </c>
      <c r="AK7" s="649">
        <v>1.3</v>
      </c>
      <c r="AL7" s="649">
        <v>1.4</v>
      </c>
      <c r="AM7" s="649">
        <v>1.5</v>
      </c>
      <c r="AN7" s="649">
        <v>1.6</v>
      </c>
      <c r="AO7" s="649">
        <v>1.7</v>
      </c>
      <c r="AP7" s="649">
        <v>1.8</v>
      </c>
      <c r="AQ7" s="649">
        <v>1.9</v>
      </c>
      <c r="AR7" s="649">
        <v>2</v>
      </c>
      <c r="AS7" s="649">
        <v>2.1</v>
      </c>
      <c r="AT7" s="649">
        <v>2.2000000000000002</v>
      </c>
    </row>
    <row r="8" spans="1:255" ht="20.25" customHeight="1">
      <c r="A8" s="1426" t="s">
        <v>3</v>
      </c>
      <c r="B8" s="1427"/>
      <c r="C8" s="886">
        <v>0.2</v>
      </c>
      <c r="D8" s="899">
        <f>(AA8*KFC!$B$16+KFC!$C$16)*KFC!$C$5</f>
        <v>15.432236798895</v>
      </c>
      <c r="E8" s="900">
        <f>(AB8*KFC!$B$16+KFC!$C$16)*KFC!$C$5</f>
        <v>16.758725714848421</v>
      </c>
      <c r="F8" s="900">
        <f>(AC8*KFC!$B$16+KFC!$C$16)*KFC!$C$5</f>
        <v>18.085214630801843</v>
      </c>
      <c r="G8" s="900">
        <f>(AD8*KFC!$B$16+KFC!$C$16)*KFC!$C$5</f>
        <v>19.411703546755263</v>
      </c>
      <c r="H8" s="900">
        <f>(AE8*KFC!$B$16+KFC!$C$16)*KFC!$C$5</f>
        <v>20.738192462708685</v>
      </c>
      <c r="I8" s="900">
        <f>(AF8*KFC!$B$16+KFC!$C$16)*KFC!$C$5</f>
        <v>22.064681378662105</v>
      </c>
      <c r="J8" s="900">
        <f>(AG8*KFC!$B$16+KFC!$C$16)*KFC!$C$5</f>
        <v>23.391170294615524</v>
      </c>
      <c r="K8" s="900">
        <f>(AH8*KFC!$B$16+KFC!$C$16)*KFC!$C$5</f>
        <v>24.717659210568943</v>
      </c>
      <c r="L8" s="900">
        <f>(AI8*KFC!$B$16+KFC!$C$16)*KFC!$C$5</f>
        <v>26.044148126522362</v>
      </c>
      <c r="M8" s="900">
        <f>(AJ8*KFC!$B$16+KFC!$C$16)*KFC!$C$5</f>
        <v>27.370637042475781</v>
      </c>
      <c r="N8" s="900">
        <f>(AK8*KFC!$B$16+KFC!$C$16)*KFC!$C$5</f>
        <v>28.697125958429204</v>
      </c>
      <c r="O8" s="900">
        <f>(AL8*KFC!$B$16+KFC!$C$16)*KFC!$C$5</f>
        <v>30.02361487438262</v>
      </c>
      <c r="P8" s="900">
        <f>(AM8*KFC!$B$16+KFC!$C$16)*KFC!$C$5</f>
        <v>31.350103790336043</v>
      </c>
      <c r="Q8" s="900">
        <f>(AN8*KFC!$B$16+KFC!$C$16)*KFC!$C$5</f>
        <v>32.676592706289462</v>
      </c>
      <c r="R8" s="900">
        <f>(AO8*KFC!$B$16+KFC!$C$16)*KFC!$C$5</f>
        <v>34.003081622242881</v>
      </c>
      <c r="S8" s="900">
        <f>(AP8*KFC!$B$16+KFC!$C$16)*KFC!$C$5</f>
        <v>35.3295705381963</v>
      </c>
      <c r="T8" s="900">
        <f>(AQ8*KFC!$B$16+KFC!$C$16)*KFC!$C$5</f>
        <v>36.656059454149727</v>
      </c>
      <c r="U8" s="900">
        <f>(AR8*KFC!$B$16+KFC!$C$16)*KFC!$C$5</f>
        <v>37.982548370103146</v>
      </c>
      <c r="V8" s="900">
        <f>(AS8*KFC!$B$16+KFC!$C$16)*KFC!$C$5</f>
        <v>39.309037286056565</v>
      </c>
      <c r="W8" s="901">
        <f>(AT8*KFC!$B$16+KFC!$C$16)*KFC!$C$5</f>
        <v>40.635526202009999</v>
      </c>
      <c r="Y8" s="1277" t="s">
        <v>357</v>
      </c>
      <c r="Z8" s="649">
        <v>0.2</v>
      </c>
      <c r="AA8" s="882">
        <v>15.432236798895</v>
      </c>
      <c r="AB8" s="882">
        <v>16.758725714848421</v>
      </c>
      <c r="AC8" s="882">
        <v>18.085214630801843</v>
      </c>
      <c r="AD8" s="882">
        <v>19.411703546755263</v>
      </c>
      <c r="AE8" s="882">
        <v>20.738192462708685</v>
      </c>
      <c r="AF8" s="882">
        <v>22.064681378662105</v>
      </c>
      <c r="AG8" s="882">
        <v>23.391170294615524</v>
      </c>
      <c r="AH8" s="882">
        <v>24.717659210568943</v>
      </c>
      <c r="AI8" s="882">
        <v>26.044148126522362</v>
      </c>
      <c r="AJ8" s="882">
        <v>27.370637042475781</v>
      </c>
      <c r="AK8" s="882">
        <v>28.697125958429204</v>
      </c>
      <c r="AL8" s="882">
        <v>30.02361487438262</v>
      </c>
      <c r="AM8" s="882">
        <v>31.350103790336043</v>
      </c>
      <c r="AN8" s="882">
        <v>32.676592706289462</v>
      </c>
      <c r="AO8" s="882">
        <v>34.003081622242881</v>
      </c>
      <c r="AP8" s="882">
        <v>35.3295705381963</v>
      </c>
      <c r="AQ8" s="882">
        <v>36.656059454149727</v>
      </c>
      <c r="AR8" s="882">
        <v>37.982548370103146</v>
      </c>
      <c r="AS8" s="882">
        <v>39.309037286056565</v>
      </c>
      <c r="AT8" s="882">
        <v>40.635526202009999</v>
      </c>
    </row>
    <row r="9" spans="1:255" ht="14.4" customHeight="1">
      <c r="A9" s="1426"/>
      <c r="B9" s="1427"/>
      <c r="C9" s="887">
        <v>0.3</v>
      </c>
      <c r="D9" s="902">
        <f>(AA9*KFC!$B$16+KFC!$C$16)*KFC!$C$5</f>
        <v>15.91207232386725</v>
      </c>
      <c r="E9" s="898">
        <f>(AB9*KFC!$B$16+KFC!$C$16)*KFC!$C$5</f>
        <v>17.345453552540761</v>
      </c>
      <c r="F9" s="898">
        <f>(AC9*KFC!$B$16+KFC!$C$16)*KFC!$C$5</f>
        <v>18.778834781214272</v>
      </c>
      <c r="G9" s="898">
        <f>(AD9*KFC!$B$16+KFC!$C$16)*KFC!$C$5</f>
        <v>20.212216009887786</v>
      </c>
      <c r="H9" s="898">
        <f>(AE9*KFC!$B$16+KFC!$C$16)*KFC!$C$5</f>
        <v>21.645597238561294</v>
      </c>
      <c r="I9" s="898">
        <f>(AF9*KFC!$B$16+KFC!$C$16)*KFC!$C$5</f>
        <v>23.078978467234812</v>
      </c>
      <c r="J9" s="898">
        <f>(AG9*KFC!$B$16+KFC!$C$16)*KFC!$C$5</f>
        <v>24.512359695908319</v>
      </c>
      <c r="K9" s="898">
        <f>(AH9*KFC!$B$16+KFC!$C$16)*KFC!$C$5</f>
        <v>25.945740924581834</v>
      </c>
      <c r="L9" s="898">
        <f>(AI9*KFC!$B$16+KFC!$C$16)*KFC!$C$5</f>
        <v>27.379122153255345</v>
      </c>
      <c r="M9" s="898">
        <f>(AJ9*KFC!$B$16+KFC!$C$16)*KFC!$C$5</f>
        <v>28.81250338192886</v>
      </c>
      <c r="N9" s="898">
        <f>(AK9*KFC!$B$16+KFC!$C$16)*KFC!$C$5</f>
        <v>30.245884610602371</v>
      </c>
      <c r="O9" s="898">
        <f>(AL9*KFC!$B$16+KFC!$C$16)*KFC!$C$5</f>
        <v>31.679265839275878</v>
      </c>
      <c r="P9" s="898">
        <f>(AM9*KFC!$B$16+KFC!$C$16)*KFC!$C$5</f>
        <v>33.112647067949389</v>
      </c>
      <c r="Q9" s="898">
        <f>(AN9*KFC!$B$16+KFC!$C$16)*KFC!$C$5</f>
        <v>34.546028296622907</v>
      </c>
      <c r="R9" s="898">
        <f>(AO9*KFC!$B$16+KFC!$C$16)*KFC!$C$5</f>
        <v>35.979409525296425</v>
      </c>
      <c r="S9" s="898">
        <f>(AP9*KFC!$B$16+KFC!$C$16)*KFC!$C$5</f>
        <v>37.412790753969929</v>
      </c>
      <c r="T9" s="898">
        <f>(AQ9*KFC!$B$16+KFC!$C$16)*KFC!$C$5</f>
        <v>38.846171982643448</v>
      </c>
      <c r="U9" s="898">
        <f>(AR9*KFC!$B$16+KFC!$C$16)*KFC!$C$5</f>
        <v>40.279553211316959</v>
      </c>
      <c r="V9" s="898">
        <f>(AS9*KFC!$B$16+KFC!$C$16)*KFC!$C$5</f>
        <v>41.712934439990462</v>
      </c>
      <c r="W9" s="903">
        <f>(AT9*KFC!$B$16+KFC!$C$16)*KFC!$C$5</f>
        <v>43.146315668663995</v>
      </c>
      <c r="Y9" s="1277"/>
      <c r="Z9" s="649">
        <v>0.3</v>
      </c>
      <c r="AA9" s="882">
        <v>15.91207232386725</v>
      </c>
      <c r="AB9" s="882">
        <v>17.345453552540761</v>
      </c>
      <c r="AC9" s="882">
        <v>18.778834781214272</v>
      </c>
      <c r="AD9" s="882">
        <v>20.212216009887786</v>
      </c>
      <c r="AE9" s="882">
        <v>21.645597238561294</v>
      </c>
      <c r="AF9" s="882">
        <v>23.078978467234812</v>
      </c>
      <c r="AG9" s="882">
        <v>24.512359695908319</v>
      </c>
      <c r="AH9" s="882">
        <v>25.945740924581834</v>
      </c>
      <c r="AI9" s="882">
        <v>27.379122153255345</v>
      </c>
      <c r="AJ9" s="882">
        <v>28.81250338192886</v>
      </c>
      <c r="AK9" s="882">
        <v>30.245884610602371</v>
      </c>
      <c r="AL9" s="882">
        <v>31.679265839275878</v>
      </c>
      <c r="AM9" s="882">
        <v>33.112647067949389</v>
      </c>
      <c r="AN9" s="882">
        <v>34.546028296622907</v>
      </c>
      <c r="AO9" s="882">
        <v>35.979409525296425</v>
      </c>
      <c r="AP9" s="882">
        <v>37.412790753969929</v>
      </c>
      <c r="AQ9" s="882">
        <v>38.846171982643448</v>
      </c>
      <c r="AR9" s="882">
        <v>40.279553211316959</v>
      </c>
      <c r="AS9" s="882">
        <v>41.712934439990462</v>
      </c>
      <c r="AT9" s="882">
        <v>43.146315668663995</v>
      </c>
    </row>
    <row r="10" spans="1:255">
      <c r="A10" s="1426"/>
      <c r="B10" s="1427"/>
      <c r="C10" s="887">
        <v>0.4</v>
      </c>
      <c r="D10" s="902">
        <f>(AA10*KFC!$B$16+KFC!$C$16)*KFC!$C$5</f>
        <v>16.391907848839498</v>
      </c>
      <c r="E10" s="898">
        <f>(AB10*KFC!$B$16+KFC!$C$16)*KFC!$C$5</f>
        <v>17.932181390233104</v>
      </c>
      <c r="F10" s="898">
        <f>(AC10*KFC!$B$16+KFC!$C$16)*KFC!$C$5</f>
        <v>19.472454931626707</v>
      </c>
      <c r="G10" s="898">
        <f>(AD10*KFC!$B$16+KFC!$C$16)*KFC!$C$5</f>
        <v>21.012728473020314</v>
      </c>
      <c r="H10" s="898">
        <f>(AE10*KFC!$B$16+KFC!$C$16)*KFC!$C$5</f>
        <v>22.553002014413916</v>
      </c>
      <c r="I10" s="898">
        <f>(AF10*KFC!$B$16+KFC!$C$16)*KFC!$C$5</f>
        <v>24.093275555807519</v>
      </c>
      <c r="J10" s="898">
        <f>(AG10*KFC!$B$16+KFC!$C$16)*KFC!$C$5</f>
        <v>25.633549097201126</v>
      </c>
      <c r="K10" s="898">
        <f>(AH10*KFC!$B$16+KFC!$C$16)*KFC!$C$5</f>
        <v>27.173822638594732</v>
      </c>
      <c r="L10" s="898">
        <f>(AI10*KFC!$B$16+KFC!$C$16)*KFC!$C$5</f>
        <v>28.714096179988335</v>
      </c>
      <c r="M10" s="898">
        <f>(AJ10*KFC!$B$16+KFC!$C$16)*KFC!$C$5</f>
        <v>30.254369721381934</v>
      </c>
      <c r="N10" s="898">
        <f>(AK10*KFC!$B$16+KFC!$C$16)*KFC!$C$5</f>
        <v>31.794643262775544</v>
      </c>
      <c r="O10" s="898">
        <f>(AL10*KFC!$B$16+KFC!$C$16)*KFC!$C$5</f>
        <v>33.334916804169147</v>
      </c>
      <c r="P10" s="898">
        <f>(AM10*KFC!$B$16+KFC!$C$16)*KFC!$C$5</f>
        <v>34.87519034556275</v>
      </c>
      <c r="Q10" s="898">
        <f>(AN10*KFC!$B$16+KFC!$C$16)*KFC!$C$5</f>
        <v>36.41546388695636</v>
      </c>
      <c r="R10" s="898">
        <f>(AO10*KFC!$B$16+KFC!$C$16)*KFC!$C$5</f>
        <v>37.955737428349963</v>
      </c>
      <c r="S10" s="898">
        <f>(AP10*KFC!$B$16+KFC!$C$16)*KFC!$C$5</f>
        <v>39.496010969743566</v>
      </c>
      <c r="T10" s="898">
        <f>(AQ10*KFC!$B$16+KFC!$C$16)*KFC!$C$5</f>
        <v>41.036284511137175</v>
      </c>
      <c r="U10" s="898">
        <f>(AR10*KFC!$B$16+KFC!$C$16)*KFC!$C$5</f>
        <v>42.576558052530771</v>
      </c>
      <c r="V10" s="898">
        <f>(AS10*KFC!$B$16+KFC!$C$16)*KFC!$C$5</f>
        <v>44.116831593924381</v>
      </c>
      <c r="W10" s="903">
        <f>(AT10*KFC!$B$16+KFC!$C$16)*KFC!$C$5</f>
        <v>45.657105135317991</v>
      </c>
      <c r="Y10" s="1277"/>
      <c r="Z10" s="649">
        <v>0.4</v>
      </c>
      <c r="AA10" s="882">
        <v>16.391907848839498</v>
      </c>
      <c r="AB10" s="882">
        <v>17.932181390233104</v>
      </c>
      <c r="AC10" s="882">
        <v>19.472454931626707</v>
      </c>
      <c r="AD10" s="882">
        <v>21.012728473020314</v>
      </c>
      <c r="AE10" s="882">
        <v>22.553002014413916</v>
      </c>
      <c r="AF10" s="882">
        <v>24.093275555807519</v>
      </c>
      <c r="AG10" s="882">
        <v>25.633549097201126</v>
      </c>
      <c r="AH10" s="882">
        <v>27.173822638594732</v>
      </c>
      <c r="AI10" s="882">
        <v>28.714096179988335</v>
      </c>
      <c r="AJ10" s="882">
        <v>30.254369721381934</v>
      </c>
      <c r="AK10" s="882">
        <v>31.794643262775544</v>
      </c>
      <c r="AL10" s="882">
        <v>33.334916804169147</v>
      </c>
      <c r="AM10" s="882">
        <v>34.87519034556275</v>
      </c>
      <c r="AN10" s="882">
        <v>36.41546388695636</v>
      </c>
      <c r="AO10" s="882">
        <v>37.955737428349963</v>
      </c>
      <c r="AP10" s="882">
        <v>39.496010969743566</v>
      </c>
      <c r="AQ10" s="882">
        <v>41.036284511137175</v>
      </c>
      <c r="AR10" s="882">
        <v>42.576558052530771</v>
      </c>
      <c r="AS10" s="882">
        <v>44.116831593924381</v>
      </c>
      <c r="AT10" s="882">
        <v>45.657105135317991</v>
      </c>
    </row>
    <row r="11" spans="1:255">
      <c r="A11" s="1426"/>
      <c r="B11" s="1427"/>
      <c r="C11" s="887">
        <v>0.5</v>
      </c>
      <c r="D11" s="902">
        <f>(AA11*KFC!$B$16+KFC!$C$16)*KFC!$C$5</f>
        <v>16.87174337381175</v>
      </c>
      <c r="E11" s="898">
        <f>(AB11*KFC!$B$16+KFC!$C$16)*KFC!$C$5</f>
        <v>18.518909227925445</v>
      </c>
      <c r="F11" s="898">
        <f>(AC11*KFC!$B$16+KFC!$C$16)*KFC!$C$5</f>
        <v>20.166075082039143</v>
      </c>
      <c r="G11" s="898">
        <f>(AD11*KFC!$B$16+KFC!$C$16)*KFC!$C$5</f>
        <v>21.813240936152837</v>
      </c>
      <c r="H11" s="898">
        <f>(AE11*KFC!$B$16+KFC!$C$16)*KFC!$C$5</f>
        <v>23.460406790266536</v>
      </c>
      <c r="I11" s="898">
        <f>(AF11*KFC!$B$16+KFC!$C$16)*KFC!$C$5</f>
        <v>25.107572644380234</v>
      </c>
      <c r="J11" s="898">
        <f>(AG11*KFC!$B$16+KFC!$C$16)*KFC!$C$5</f>
        <v>26.754738498493932</v>
      </c>
      <c r="K11" s="898">
        <f>(AH11*KFC!$B$16+KFC!$C$16)*KFC!$C$5</f>
        <v>28.401904352607627</v>
      </c>
      <c r="L11" s="898">
        <f>(AI11*KFC!$B$16+KFC!$C$16)*KFC!$C$5</f>
        <v>30.049070206721321</v>
      </c>
      <c r="M11" s="898">
        <f>(AJ11*KFC!$B$16+KFC!$C$16)*KFC!$C$5</f>
        <v>31.69623606083502</v>
      </c>
      <c r="N11" s="898">
        <f>(AK11*KFC!$B$16+KFC!$C$16)*KFC!$C$5</f>
        <v>33.343401914948714</v>
      </c>
      <c r="O11" s="898">
        <f>(AL11*KFC!$B$16+KFC!$C$16)*KFC!$C$5</f>
        <v>34.990567769062409</v>
      </c>
      <c r="P11" s="898">
        <f>(AM11*KFC!$B$16+KFC!$C$16)*KFC!$C$5</f>
        <v>36.637733623176103</v>
      </c>
      <c r="Q11" s="898">
        <f>(AN11*KFC!$B$16+KFC!$C$16)*KFC!$C$5</f>
        <v>38.284899477289798</v>
      </c>
      <c r="R11" s="898">
        <f>(AO11*KFC!$B$16+KFC!$C$16)*KFC!$C$5</f>
        <v>39.9320653314035</v>
      </c>
      <c r="S11" s="898">
        <f>(AP11*KFC!$B$16+KFC!$C$16)*KFC!$C$5</f>
        <v>41.579231185517195</v>
      </c>
      <c r="T11" s="898">
        <f>(AQ11*KFC!$B$16+KFC!$C$16)*KFC!$C$5</f>
        <v>43.226397039630896</v>
      </c>
      <c r="U11" s="898">
        <f>(AR11*KFC!$B$16+KFC!$C$16)*KFC!$C$5</f>
        <v>44.873562893744591</v>
      </c>
      <c r="V11" s="898">
        <f>(AS11*KFC!$B$16+KFC!$C$16)*KFC!$C$5</f>
        <v>46.520728747858286</v>
      </c>
      <c r="W11" s="903">
        <f>(AT11*KFC!$B$16+KFC!$C$16)*KFC!$C$5</f>
        <v>48.167894601971987</v>
      </c>
      <c r="Y11" s="1277"/>
      <c r="Z11" s="649">
        <v>0.5</v>
      </c>
      <c r="AA11" s="882">
        <v>16.87174337381175</v>
      </c>
      <c r="AB11" s="882">
        <v>18.518909227925445</v>
      </c>
      <c r="AC11" s="882">
        <v>20.166075082039143</v>
      </c>
      <c r="AD11" s="882">
        <v>21.813240936152837</v>
      </c>
      <c r="AE11" s="882">
        <v>23.460406790266536</v>
      </c>
      <c r="AF11" s="882">
        <v>25.107572644380234</v>
      </c>
      <c r="AG11" s="882">
        <v>26.754738498493932</v>
      </c>
      <c r="AH11" s="882">
        <v>28.401904352607627</v>
      </c>
      <c r="AI11" s="882">
        <v>30.049070206721321</v>
      </c>
      <c r="AJ11" s="882">
        <v>31.69623606083502</v>
      </c>
      <c r="AK11" s="882">
        <v>33.343401914948714</v>
      </c>
      <c r="AL11" s="882">
        <v>34.990567769062409</v>
      </c>
      <c r="AM11" s="882">
        <v>36.637733623176103</v>
      </c>
      <c r="AN11" s="882">
        <v>38.284899477289798</v>
      </c>
      <c r="AO11" s="882">
        <v>39.9320653314035</v>
      </c>
      <c r="AP11" s="882">
        <v>41.579231185517195</v>
      </c>
      <c r="AQ11" s="882">
        <v>43.226397039630896</v>
      </c>
      <c r="AR11" s="882">
        <v>44.873562893744591</v>
      </c>
      <c r="AS11" s="882">
        <v>46.520728747858286</v>
      </c>
      <c r="AT11" s="882">
        <v>48.167894601971987</v>
      </c>
    </row>
    <row r="12" spans="1:255">
      <c r="A12" s="1426"/>
      <c r="B12" s="1427"/>
      <c r="C12" s="887">
        <v>0.6</v>
      </c>
      <c r="D12" s="902">
        <f>(AA12*KFC!$B$16+KFC!$C$16)*KFC!$C$5</f>
        <v>17.351578898783998</v>
      </c>
      <c r="E12" s="898">
        <f>(AB12*KFC!$B$16+KFC!$C$16)*KFC!$C$5</f>
        <v>19.105637065617788</v>
      </c>
      <c r="F12" s="898">
        <f>(AC12*KFC!$B$16+KFC!$C$16)*KFC!$C$5</f>
        <v>20.859695232451578</v>
      </c>
      <c r="G12" s="898">
        <f>(AD12*KFC!$B$16+KFC!$C$16)*KFC!$C$5</f>
        <v>22.613753399285365</v>
      </c>
      <c r="H12" s="898">
        <f>(AE12*KFC!$B$16+KFC!$C$16)*KFC!$C$5</f>
        <v>24.367811566119151</v>
      </c>
      <c r="I12" s="898">
        <f>(AF12*KFC!$B$16+KFC!$C$16)*KFC!$C$5</f>
        <v>26.121869732952941</v>
      </c>
      <c r="J12" s="898">
        <f>(AG12*KFC!$B$16+KFC!$C$16)*KFC!$C$5</f>
        <v>27.875927899786731</v>
      </c>
      <c r="K12" s="898">
        <f>(AH12*KFC!$B$16+KFC!$C$16)*KFC!$C$5</f>
        <v>29.629986066620521</v>
      </c>
      <c r="L12" s="898">
        <f>(AI12*KFC!$B$16+KFC!$C$16)*KFC!$C$5</f>
        <v>31.384044233454311</v>
      </c>
      <c r="M12" s="898">
        <f>(AJ12*KFC!$B$16+KFC!$C$16)*KFC!$C$5</f>
        <v>33.138102400288098</v>
      </c>
      <c r="N12" s="898">
        <f>(AK12*KFC!$B$16+KFC!$C$16)*KFC!$C$5</f>
        <v>34.892160567121891</v>
      </c>
      <c r="O12" s="898">
        <f>(AL12*KFC!$B$16+KFC!$C$16)*KFC!$C$5</f>
        <v>36.646218733955678</v>
      </c>
      <c r="P12" s="898">
        <f>(AM12*KFC!$B$16+KFC!$C$16)*KFC!$C$5</f>
        <v>38.400276900789464</v>
      </c>
      <c r="Q12" s="898">
        <f>(AN12*KFC!$B$16+KFC!$C$16)*KFC!$C$5</f>
        <v>40.154335067623251</v>
      </c>
      <c r="R12" s="898">
        <f>(AO12*KFC!$B$16+KFC!$C$16)*KFC!$C$5</f>
        <v>41.908393234457044</v>
      </c>
      <c r="S12" s="898">
        <f>(AP12*KFC!$B$16+KFC!$C$16)*KFC!$C$5</f>
        <v>43.662451401290838</v>
      </c>
      <c r="T12" s="898">
        <f>(AQ12*KFC!$B$16+KFC!$C$16)*KFC!$C$5</f>
        <v>45.416509568124617</v>
      </c>
      <c r="U12" s="898">
        <f>(AR12*KFC!$B$16+KFC!$C$16)*KFC!$C$5</f>
        <v>47.170567734958404</v>
      </c>
      <c r="V12" s="898">
        <f>(AS12*KFC!$B$16+KFC!$C$16)*KFC!$C$5</f>
        <v>48.924625901792197</v>
      </c>
      <c r="W12" s="903">
        <f>(AT12*KFC!$B$16+KFC!$C$16)*KFC!$C$5</f>
        <v>50.678684068625984</v>
      </c>
      <c r="Y12" s="1277"/>
      <c r="Z12" s="649">
        <v>0.6</v>
      </c>
      <c r="AA12" s="882">
        <v>17.351578898783998</v>
      </c>
      <c r="AB12" s="882">
        <v>19.105637065617788</v>
      </c>
      <c r="AC12" s="882">
        <v>20.859695232451578</v>
      </c>
      <c r="AD12" s="882">
        <v>22.613753399285365</v>
      </c>
      <c r="AE12" s="882">
        <v>24.367811566119151</v>
      </c>
      <c r="AF12" s="882">
        <v>26.121869732952941</v>
      </c>
      <c r="AG12" s="882">
        <v>27.875927899786731</v>
      </c>
      <c r="AH12" s="882">
        <v>29.629986066620521</v>
      </c>
      <c r="AI12" s="882">
        <v>31.384044233454311</v>
      </c>
      <c r="AJ12" s="882">
        <v>33.138102400288098</v>
      </c>
      <c r="AK12" s="882">
        <v>34.892160567121891</v>
      </c>
      <c r="AL12" s="882">
        <v>36.646218733955678</v>
      </c>
      <c r="AM12" s="882">
        <v>38.400276900789464</v>
      </c>
      <c r="AN12" s="882">
        <v>40.154335067623251</v>
      </c>
      <c r="AO12" s="882">
        <v>41.908393234457044</v>
      </c>
      <c r="AP12" s="882">
        <v>43.662451401290838</v>
      </c>
      <c r="AQ12" s="882">
        <v>45.416509568124617</v>
      </c>
      <c r="AR12" s="882">
        <v>47.170567734958404</v>
      </c>
      <c r="AS12" s="882">
        <v>48.924625901792197</v>
      </c>
      <c r="AT12" s="882">
        <v>50.678684068625984</v>
      </c>
    </row>
    <row r="13" spans="1:255">
      <c r="A13" s="1426"/>
      <c r="B13" s="1427"/>
      <c r="C13" s="887">
        <v>0.7</v>
      </c>
      <c r="D13" s="902">
        <f>(AA13*KFC!$B$16+KFC!$C$16)*KFC!$C$5</f>
        <v>17.83141442375625</v>
      </c>
      <c r="E13" s="898">
        <f>(AB13*KFC!$B$16+KFC!$C$16)*KFC!$C$5</f>
        <v>19.692364903310132</v>
      </c>
      <c r="F13" s="898">
        <f>(AC13*KFC!$B$16+KFC!$C$16)*KFC!$C$5</f>
        <v>21.55331538286401</v>
      </c>
      <c r="G13" s="898">
        <f>(AD13*KFC!$B$16+KFC!$C$16)*KFC!$C$5</f>
        <v>23.414265862417892</v>
      </c>
      <c r="H13" s="898">
        <f>(AE13*KFC!$B$16+KFC!$C$16)*KFC!$C$5</f>
        <v>25.275216341971774</v>
      </c>
      <c r="I13" s="898">
        <f>(AF13*KFC!$B$16+KFC!$C$16)*KFC!$C$5</f>
        <v>27.136166821525656</v>
      </c>
      <c r="J13" s="898">
        <f>(AG13*KFC!$B$16+KFC!$C$16)*KFC!$C$5</f>
        <v>28.997117301079538</v>
      </c>
      <c r="K13" s="898">
        <f>(AH13*KFC!$B$16+KFC!$C$16)*KFC!$C$5</f>
        <v>30.858067780633419</v>
      </c>
      <c r="L13" s="898">
        <f>(AI13*KFC!$B$16+KFC!$C$16)*KFC!$C$5</f>
        <v>32.719018260187298</v>
      </c>
      <c r="M13" s="898">
        <f>(AJ13*KFC!$B$16+KFC!$C$16)*KFC!$C$5</f>
        <v>34.579968739741183</v>
      </c>
      <c r="N13" s="898">
        <f>(AK13*KFC!$B$16+KFC!$C$16)*KFC!$C$5</f>
        <v>36.440919219295061</v>
      </c>
      <c r="O13" s="898">
        <f>(AL13*KFC!$B$16+KFC!$C$16)*KFC!$C$5</f>
        <v>38.30186969884894</v>
      </c>
      <c r="P13" s="898">
        <f>(AM13*KFC!$B$16+KFC!$C$16)*KFC!$C$5</f>
        <v>40.162820178402825</v>
      </c>
      <c r="Q13" s="898">
        <f>(AN13*KFC!$B$16+KFC!$C$16)*KFC!$C$5</f>
        <v>42.023770657956703</v>
      </c>
      <c r="R13" s="898">
        <f>(AO13*KFC!$B$16+KFC!$C$16)*KFC!$C$5</f>
        <v>43.884721137510589</v>
      </c>
      <c r="S13" s="898">
        <f>(AP13*KFC!$B$16+KFC!$C$16)*KFC!$C$5</f>
        <v>45.74567161706446</v>
      </c>
      <c r="T13" s="898">
        <f>(AQ13*KFC!$B$16+KFC!$C$16)*KFC!$C$5</f>
        <v>47.606622096618345</v>
      </c>
      <c r="U13" s="898">
        <f>(AR13*KFC!$B$16+KFC!$C$16)*KFC!$C$5</f>
        <v>49.46757257617223</v>
      </c>
      <c r="V13" s="898">
        <f>(AS13*KFC!$B$16+KFC!$C$16)*KFC!$C$5</f>
        <v>51.328523055726116</v>
      </c>
      <c r="W13" s="903">
        <f>(AT13*KFC!$B$16+KFC!$C$16)*KFC!$C$5</f>
        <v>53.189473535279987</v>
      </c>
      <c r="Y13" s="1277"/>
      <c r="Z13" s="649">
        <v>0.7</v>
      </c>
      <c r="AA13" s="882">
        <v>17.83141442375625</v>
      </c>
      <c r="AB13" s="882">
        <v>19.692364903310132</v>
      </c>
      <c r="AC13" s="882">
        <v>21.55331538286401</v>
      </c>
      <c r="AD13" s="882">
        <v>23.414265862417892</v>
      </c>
      <c r="AE13" s="882">
        <v>25.275216341971774</v>
      </c>
      <c r="AF13" s="882">
        <v>27.136166821525656</v>
      </c>
      <c r="AG13" s="882">
        <v>28.997117301079538</v>
      </c>
      <c r="AH13" s="882">
        <v>30.858067780633419</v>
      </c>
      <c r="AI13" s="882">
        <v>32.719018260187298</v>
      </c>
      <c r="AJ13" s="882">
        <v>34.579968739741183</v>
      </c>
      <c r="AK13" s="882">
        <v>36.440919219295061</v>
      </c>
      <c r="AL13" s="882">
        <v>38.30186969884894</v>
      </c>
      <c r="AM13" s="882">
        <v>40.162820178402825</v>
      </c>
      <c r="AN13" s="882">
        <v>42.023770657956703</v>
      </c>
      <c r="AO13" s="882">
        <v>43.884721137510589</v>
      </c>
      <c r="AP13" s="882">
        <v>45.74567161706446</v>
      </c>
      <c r="AQ13" s="882">
        <v>47.606622096618345</v>
      </c>
      <c r="AR13" s="882">
        <v>49.46757257617223</v>
      </c>
      <c r="AS13" s="882">
        <v>51.328523055726116</v>
      </c>
      <c r="AT13" s="882">
        <v>53.189473535279987</v>
      </c>
    </row>
    <row r="14" spans="1:255">
      <c r="A14" s="1426"/>
      <c r="B14" s="1427"/>
      <c r="C14" s="887">
        <v>0.8</v>
      </c>
      <c r="D14" s="902">
        <f>(AA14*KFC!$B$16+KFC!$C$16)*KFC!$C$5</f>
        <v>18.311249948728499</v>
      </c>
      <c r="E14" s="898">
        <f>(AB14*KFC!$B$16+KFC!$C$16)*KFC!$C$5</f>
        <v>20.279092741002472</v>
      </c>
      <c r="F14" s="898">
        <f>(AC14*KFC!$B$16+KFC!$C$16)*KFC!$C$5</f>
        <v>22.246935533276446</v>
      </c>
      <c r="G14" s="898">
        <f>(AD14*KFC!$B$16+KFC!$C$16)*KFC!$C$5</f>
        <v>24.214778325550423</v>
      </c>
      <c r="H14" s="898">
        <f>(AE14*KFC!$B$16+KFC!$C$16)*KFC!$C$5</f>
        <v>26.182621117824393</v>
      </c>
      <c r="I14" s="898">
        <f>(AF14*KFC!$B$16+KFC!$C$16)*KFC!$C$5</f>
        <v>28.150463910098367</v>
      </c>
      <c r="J14" s="898">
        <f>(AG14*KFC!$B$16+KFC!$C$16)*KFC!$C$5</f>
        <v>30.118306702372344</v>
      </c>
      <c r="K14" s="898">
        <f>(AH14*KFC!$B$16+KFC!$C$16)*KFC!$C$5</f>
        <v>32.086149494646314</v>
      </c>
      <c r="L14" s="898">
        <f>(AI14*KFC!$B$16+KFC!$C$16)*KFC!$C$5</f>
        <v>34.053992286920284</v>
      </c>
      <c r="M14" s="898">
        <f>(AJ14*KFC!$B$16+KFC!$C$16)*KFC!$C$5</f>
        <v>36.021835079194261</v>
      </c>
      <c r="N14" s="898">
        <f>(AK14*KFC!$B$16+KFC!$C$16)*KFC!$C$5</f>
        <v>37.989677871468231</v>
      </c>
      <c r="O14" s="898">
        <f>(AL14*KFC!$B$16+KFC!$C$16)*KFC!$C$5</f>
        <v>39.957520663742208</v>
      </c>
      <c r="P14" s="898">
        <f>(AM14*KFC!$B$16+KFC!$C$16)*KFC!$C$5</f>
        <v>41.925363456016179</v>
      </c>
      <c r="Q14" s="898">
        <f>(AN14*KFC!$B$16+KFC!$C$16)*KFC!$C$5</f>
        <v>43.893206248290156</v>
      </c>
      <c r="R14" s="898">
        <f>(AO14*KFC!$B$16+KFC!$C$16)*KFC!$C$5</f>
        <v>45.861049040564133</v>
      </c>
      <c r="S14" s="898">
        <f>(AP14*KFC!$B$16+KFC!$C$16)*KFC!$C$5</f>
        <v>47.82889183283811</v>
      </c>
      <c r="T14" s="898">
        <f>(AQ14*KFC!$B$16+KFC!$C$16)*KFC!$C$5</f>
        <v>49.796734625112073</v>
      </c>
      <c r="U14" s="898">
        <f>(AR14*KFC!$B$16+KFC!$C$16)*KFC!$C$5</f>
        <v>51.76457741738605</v>
      </c>
      <c r="V14" s="898">
        <f>(AS14*KFC!$B$16+KFC!$C$16)*KFC!$C$5</f>
        <v>53.732420209660027</v>
      </c>
      <c r="W14" s="903">
        <f>(AT14*KFC!$B$16+KFC!$C$16)*KFC!$C$5</f>
        <v>55.700263001933976</v>
      </c>
      <c r="Y14" s="1277"/>
      <c r="Z14" s="649">
        <v>0.8</v>
      </c>
      <c r="AA14" s="882">
        <v>18.311249948728499</v>
      </c>
      <c r="AB14" s="882">
        <v>20.279092741002472</v>
      </c>
      <c r="AC14" s="882">
        <v>22.246935533276446</v>
      </c>
      <c r="AD14" s="882">
        <v>24.214778325550423</v>
      </c>
      <c r="AE14" s="882">
        <v>26.182621117824393</v>
      </c>
      <c r="AF14" s="882">
        <v>28.150463910098367</v>
      </c>
      <c r="AG14" s="882">
        <v>30.118306702372344</v>
      </c>
      <c r="AH14" s="882">
        <v>32.086149494646314</v>
      </c>
      <c r="AI14" s="882">
        <v>34.053992286920284</v>
      </c>
      <c r="AJ14" s="882">
        <v>36.021835079194261</v>
      </c>
      <c r="AK14" s="882">
        <v>37.989677871468231</v>
      </c>
      <c r="AL14" s="882">
        <v>39.957520663742208</v>
      </c>
      <c r="AM14" s="882">
        <v>41.925363456016179</v>
      </c>
      <c r="AN14" s="882">
        <v>43.893206248290156</v>
      </c>
      <c r="AO14" s="882">
        <v>45.861049040564133</v>
      </c>
      <c r="AP14" s="882">
        <v>47.82889183283811</v>
      </c>
      <c r="AQ14" s="882">
        <v>49.796734625112073</v>
      </c>
      <c r="AR14" s="882">
        <v>51.76457741738605</v>
      </c>
      <c r="AS14" s="882">
        <v>53.732420209660027</v>
      </c>
      <c r="AT14" s="882">
        <v>55.700263001933976</v>
      </c>
    </row>
    <row r="15" spans="1:255">
      <c r="A15" s="1426"/>
      <c r="B15" s="1427"/>
      <c r="C15" s="887">
        <v>0.9</v>
      </c>
      <c r="D15" s="902">
        <f>(AA15*KFC!$B$16+KFC!$C$16)*KFC!$C$5</f>
        <v>18.79108547370075</v>
      </c>
      <c r="E15" s="898">
        <f>(AB15*KFC!$B$16+KFC!$C$16)*KFC!$C$5</f>
        <v>20.865820578694816</v>
      </c>
      <c r="F15" s="898">
        <f>(AC15*KFC!$B$16+KFC!$C$16)*KFC!$C$5</f>
        <v>22.940555683688881</v>
      </c>
      <c r="G15" s="898">
        <f>(AD15*KFC!$B$16+KFC!$C$16)*KFC!$C$5</f>
        <v>25.01529078868295</v>
      </c>
      <c r="H15" s="898">
        <f>(AE15*KFC!$B$16+KFC!$C$16)*KFC!$C$5</f>
        <v>27.090025893677012</v>
      </c>
      <c r="I15" s="898">
        <f>(AF15*KFC!$B$16+KFC!$C$16)*KFC!$C$5</f>
        <v>29.164760998671081</v>
      </c>
      <c r="J15" s="898">
        <f>(AG15*KFC!$B$16+KFC!$C$16)*KFC!$C$5</f>
        <v>31.239496103665143</v>
      </c>
      <c r="K15" s="898">
        <f>(AH15*KFC!$B$16+KFC!$C$16)*KFC!$C$5</f>
        <v>33.314231208659216</v>
      </c>
      <c r="L15" s="898">
        <f>(AI15*KFC!$B$16+KFC!$C$16)*KFC!$C$5</f>
        <v>35.388966313653277</v>
      </c>
      <c r="M15" s="898">
        <f>(AJ15*KFC!$B$16+KFC!$C$16)*KFC!$C$5</f>
        <v>37.463701418647339</v>
      </c>
      <c r="N15" s="898">
        <f>(AK15*KFC!$B$16+KFC!$C$16)*KFC!$C$5</f>
        <v>39.538436523641408</v>
      </c>
      <c r="O15" s="898">
        <f>(AL15*KFC!$B$16+KFC!$C$16)*KFC!$C$5</f>
        <v>41.61317162863547</v>
      </c>
      <c r="P15" s="898">
        <f>(AM15*KFC!$B$16+KFC!$C$16)*KFC!$C$5</f>
        <v>43.687906733629539</v>
      </c>
      <c r="Q15" s="898">
        <f>(AN15*KFC!$B$16+KFC!$C$16)*KFC!$C$5</f>
        <v>45.762641838623601</v>
      </c>
      <c r="R15" s="898">
        <f>(AO15*KFC!$B$16+KFC!$C$16)*KFC!$C$5</f>
        <v>47.83737694361767</v>
      </c>
      <c r="S15" s="898">
        <f>(AP15*KFC!$B$16+KFC!$C$16)*KFC!$C$5</f>
        <v>49.912112048611732</v>
      </c>
      <c r="T15" s="898">
        <f>(AQ15*KFC!$B$16+KFC!$C$16)*KFC!$C$5</f>
        <v>51.986847153605801</v>
      </c>
      <c r="U15" s="898">
        <f>(AR15*KFC!$B$16+KFC!$C$16)*KFC!$C$5</f>
        <v>54.061582258599863</v>
      </c>
      <c r="V15" s="898">
        <f>(AS15*KFC!$B$16+KFC!$C$16)*KFC!$C$5</f>
        <v>56.136317363593939</v>
      </c>
      <c r="W15" s="903">
        <f>(AT15*KFC!$B$16+KFC!$C$16)*KFC!$C$5</f>
        <v>58.21105246858798</v>
      </c>
      <c r="Y15" s="1277"/>
      <c r="Z15" s="649">
        <v>0.9</v>
      </c>
      <c r="AA15" s="882">
        <v>18.79108547370075</v>
      </c>
      <c r="AB15" s="882">
        <v>20.865820578694816</v>
      </c>
      <c r="AC15" s="882">
        <v>22.940555683688881</v>
      </c>
      <c r="AD15" s="882">
        <v>25.01529078868295</v>
      </c>
      <c r="AE15" s="882">
        <v>27.090025893677012</v>
      </c>
      <c r="AF15" s="882">
        <v>29.164760998671081</v>
      </c>
      <c r="AG15" s="882">
        <v>31.239496103665143</v>
      </c>
      <c r="AH15" s="882">
        <v>33.314231208659216</v>
      </c>
      <c r="AI15" s="882">
        <v>35.388966313653277</v>
      </c>
      <c r="AJ15" s="882">
        <v>37.463701418647339</v>
      </c>
      <c r="AK15" s="882">
        <v>39.538436523641408</v>
      </c>
      <c r="AL15" s="882">
        <v>41.61317162863547</v>
      </c>
      <c r="AM15" s="882">
        <v>43.687906733629539</v>
      </c>
      <c r="AN15" s="882">
        <v>45.762641838623601</v>
      </c>
      <c r="AO15" s="882">
        <v>47.83737694361767</v>
      </c>
      <c r="AP15" s="882">
        <v>49.912112048611732</v>
      </c>
      <c r="AQ15" s="882">
        <v>51.986847153605801</v>
      </c>
      <c r="AR15" s="882">
        <v>54.061582258599863</v>
      </c>
      <c r="AS15" s="882">
        <v>56.136317363593939</v>
      </c>
      <c r="AT15" s="882">
        <v>58.21105246858798</v>
      </c>
    </row>
    <row r="16" spans="1:255">
      <c r="A16" s="1426"/>
      <c r="B16" s="1427"/>
      <c r="C16" s="887">
        <v>1</v>
      </c>
      <c r="D16" s="902">
        <f>(AA16*KFC!$B$16+KFC!$C$16)*KFC!$C$5</f>
        <v>19.270920998672999</v>
      </c>
      <c r="E16" s="898">
        <f>(AB16*KFC!$B$16+KFC!$C$16)*KFC!$C$5</f>
        <v>21.45254841638716</v>
      </c>
      <c r="F16" s="898">
        <f>(AC16*KFC!$B$16+KFC!$C$16)*KFC!$C$5</f>
        <v>23.634175834101313</v>
      </c>
      <c r="G16" s="898">
        <f>(AD16*KFC!$B$16+KFC!$C$16)*KFC!$C$5</f>
        <v>25.815803251815474</v>
      </c>
      <c r="H16" s="898">
        <f>(AE16*KFC!$B$16+KFC!$C$16)*KFC!$C$5</f>
        <v>27.997430669529635</v>
      </c>
      <c r="I16" s="898">
        <f>(AF16*KFC!$B$16+KFC!$C$16)*KFC!$C$5</f>
        <v>30.179058087243789</v>
      </c>
      <c r="J16" s="898">
        <f>(AG16*KFC!$B$16+KFC!$C$16)*KFC!$C$5</f>
        <v>32.360685504957949</v>
      </c>
      <c r="K16" s="898">
        <f>(AH16*KFC!$B$16+KFC!$C$16)*KFC!$C$5</f>
        <v>34.54231292267211</v>
      </c>
      <c r="L16" s="898">
        <f>(AI16*KFC!$B$16+KFC!$C$16)*KFC!$C$5</f>
        <v>36.723940340386264</v>
      </c>
      <c r="M16" s="898">
        <f>(AJ16*KFC!$B$16+KFC!$C$16)*KFC!$C$5</f>
        <v>38.905567758100418</v>
      </c>
      <c r="N16" s="898">
        <f>(AK16*KFC!$B$16+KFC!$C$16)*KFC!$C$5</f>
        <v>41.087195175814578</v>
      </c>
      <c r="O16" s="898">
        <f>(AL16*KFC!$B$16+KFC!$C$16)*KFC!$C$5</f>
        <v>43.268822593528739</v>
      </c>
      <c r="P16" s="898">
        <f>(AM16*KFC!$B$16+KFC!$C$16)*KFC!$C$5</f>
        <v>45.450450011242893</v>
      </c>
      <c r="Q16" s="898">
        <f>(AN16*KFC!$B$16+KFC!$C$16)*KFC!$C$5</f>
        <v>47.632077428957061</v>
      </c>
      <c r="R16" s="898">
        <f>(AO16*KFC!$B$16+KFC!$C$16)*KFC!$C$5</f>
        <v>49.813704846671214</v>
      </c>
      <c r="S16" s="898">
        <f>(AP16*KFC!$B$16+KFC!$C$16)*KFC!$C$5</f>
        <v>51.995332264385368</v>
      </c>
      <c r="T16" s="898">
        <f>(AQ16*KFC!$B$16+KFC!$C$16)*KFC!$C$5</f>
        <v>54.176959682099536</v>
      </c>
      <c r="U16" s="898">
        <f>(AR16*KFC!$B$16+KFC!$C$16)*KFC!$C$5</f>
        <v>56.35858709981369</v>
      </c>
      <c r="V16" s="898">
        <f>(AS16*KFC!$B$16+KFC!$C$16)*KFC!$C$5</f>
        <v>58.540214517527843</v>
      </c>
      <c r="W16" s="903">
        <f>(AT16*KFC!$B$16+KFC!$C$16)*KFC!$C$5</f>
        <v>60.721841935241976</v>
      </c>
      <c r="Y16" s="1277"/>
      <c r="Z16" s="649">
        <v>1</v>
      </c>
      <c r="AA16" s="882">
        <v>19.270920998672999</v>
      </c>
      <c r="AB16" s="882">
        <v>21.45254841638716</v>
      </c>
      <c r="AC16" s="882">
        <v>23.634175834101313</v>
      </c>
      <c r="AD16" s="882">
        <v>25.815803251815474</v>
      </c>
      <c r="AE16" s="882">
        <v>27.997430669529635</v>
      </c>
      <c r="AF16" s="882">
        <v>30.179058087243789</v>
      </c>
      <c r="AG16" s="882">
        <v>32.360685504957949</v>
      </c>
      <c r="AH16" s="882">
        <v>34.54231292267211</v>
      </c>
      <c r="AI16" s="882">
        <v>36.723940340386264</v>
      </c>
      <c r="AJ16" s="882">
        <v>38.905567758100418</v>
      </c>
      <c r="AK16" s="882">
        <v>41.087195175814578</v>
      </c>
      <c r="AL16" s="882">
        <v>43.268822593528739</v>
      </c>
      <c r="AM16" s="882">
        <v>45.450450011242893</v>
      </c>
      <c r="AN16" s="882">
        <v>47.632077428957061</v>
      </c>
      <c r="AO16" s="882">
        <v>49.813704846671214</v>
      </c>
      <c r="AP16" s="882">
        <v>51.995332264385368</v>
      </c>
      <c r="AQ16" s="882">
        <v>54.176959682099536</v>
      </c>
      <c r="AR16" s="882">
        <v>56.35858709981369</v>
      </c>
      <c r="AS16" s="882">
        <v>58.540214517527843</v>
      </c>
      <c r="AT16" s="882">
        <v>60.721841935241976</v>
      </c>
    </row>
    <row r="17" spans="1:46">
      <c r="A17" s="1426"/>
      <c r="B17" s="1427"/>
      <c r="C17" s="887">
        <v>1.1000000000000001</v>
      </c>
      <c r="D17" s="902">
        <f>(AA17*KFC!$B$16+KFC!$C$16)*KFC!$C$5</f>
        <v>19.750756523645251</v>
      </c>
      <c r="E17" s="898">
        <f>(AB17*KFC!$B$16+KFC!$C$16)*KFC!$C$5</f>
        <v>22.039276254079496</v>
      </c>
      <c r="F17" s="898">
        <f>(AC17*KFC!$B$16+KFC!$C$16)*KFC!$C$5</f>
        <v>24.327795984513745</v>
      </c>
      <c r="G17" s="898">
        <f>(AD17*KFC!$B$16+KFC!$C$16)*KFC!$C$5</f>
        <v>26.616315714947991</v>
      </c>
      <c r="H17" s="898">
        <f>(AE17*KFC!$B$16+KFC!$C$16)*KFC!$C$5</f>
        <v>28.90483544538224</v>
      </c>
      <c r="I17" s="898">
        <f>(AF17*KFC!$B$16+KFC!$C$16)*KFC!$C$5</f>
        <v>31.193355175816489</v>
      </c>
      <c r="J17" s="898">
        <f>(AG17*KFC!$B$16+KFC!$C$16)*KFC!$C$5</f>
        <v>33.481874906250738</v>
      </c>
      <c r="K17" s="898">
        <f>(AH17*KFC!$B$16+KFC!$C$16)*KFC!$C$5</f>
        <v>35.770394636684983</v>
      </c>
      <c r="L17" s="898">
        <f>(AI17*KFC!$B$16+KFC!$C$16)*KFC!$C$5</f>
        <v>38.058914367119236</v>
      </c>
      <c r="M17" s="898">
        <f>(AJ17*KFC!$B$16+KFC!$C$16)*KFC!$C$5</f>
        <v>40.347434097553482</v>
      </c>
      <c r="N17" s="898">
        <f>(AK17*KFC!$B$16+KFC!$C$16)*KFC!$C$5</f>
        <v>42.635953827987734</v>
      </c>
      <c r="O17" s="898">
        <f>(AL17*KFC!$B$16+KFC!$C$16)*KFC!$C$5</f>
        <v>44.92447355842198</v>
      </c>
      <c r="P17" s="898">
        <f>(AM17*KFC!$B$16+KFC!$C$16)*KFC!$C$5</f>
        <v>47.212993288856239</v>
      </c>
      <c r="Q17" s="898">
        <f>(AN17*KFC!$B$16+KFC!$C$16)*KFC!$C$5</f>
        <v>49.501513019290485</v>
      </c>
      <c r="R17" s="898">
        <f>(AO17*KFC!$B$16+KFC!$C$16)*KFC!$C$5</f>
        <v>51.790032749724737</v>
      </c>
      <c r="S17" s="898">
        <f>(AP17*KFC!$B$16+KFC!$C$16)*KFC!$C$5</f>
        <v>54.078552480158983</v>
      </c>
      <c r="T17" s="898">
        <f>(AQ17*KFC!$B$16+KFC!$C$16)*KFC!$C$5</f>
        <v>56.367072210593236</v>
      </c>
      <c r="U17" s="898">
        <f>(AR17*KFC!$B$16+KFC!$C$16)*KFC!$C$5</f>
        <v>58.655591941027495</v>
      </c>
      <c r="V17" s="898">
        <f>(AS17*KFC!$B$16+KFC!$C$16)*KFC!$C$5</f>
        <v>60.944111671461741</v>
      </c>
      <c r="W17" s="903">
        <f>(AT17*KFC!$B$16+KFC!$C$16)*KFC!$C$5</f>
        <v>63.232631401895972</v>
      </c>
      <c r="Y17" s="1277"/>
      <c r="Z17" s="649">
        <v>1.1000000000000001</v>
      </c>
      <c r="AA17" s="882">
        <v>19.750756523645251</v>
      </c>
      <c r="AB17" s="882">
        <v>22.039276254079496</v>
      </c>
      <c r="AC17" s="882">
        <v>24.327795984513745</v>
      </c>
      <c r="AD17" s="882">
        <v>26.616315714947991</v>
      </c>
      <c r="AE17" s="882">
        <v>28.90483544538224</v>
      </c>
      <c r="AF17" s="882">
        <v>31.193355175816489</v>
      </c>
      <c r="AG17" s="882">
        <v>33.481874906250738</v>
      </c>
      <c r="AH17" s="882">
        <v>35.770394636684983</v>
      </c>
      <c r="AI17" s="882">
        <v>38.058914367119236</v>
      </c>
      <c r="AJ17" s="882">
        <v>40.347434097553482</v>
      </c>
      <c r="AK17" s="882">
        <v>42.635953827987734</v>
      </c>
      <c r="AL17" s="882">
        <v>44.92447355842198</v>
      </c>
      <c r="AM17" s="882">
        <v>47.212993288856239</v>
      </c>
      <c r="AN17" s="882">
        <v>49.501513019290485</v>
      </c>
      <c r="AO17" s="882">
        <v>51.790032749724737</v>
      </c>
      <c r="AP17" s="882">
        <v>54.078552480158983</v>
      </c>
      <c r="AQ17" s="882">
        <v>56.367072210593236</v>
      </c>
      <c r="AR17" s="882">
        <v>58.655591941027495</v>
      </c>
      <c r="AS17" s="882">
        <v>60.944111671461741</v>
      </c>
      <c r="AT17" s="882">
        <v>63.232631401895972</v>
      </c>
    </row>
    <row r="18" spans="1:46">
      <c r="A18" s="1426"/>
      <c r="B18" s="1427"/>
      <c r="C18" s="887">
        <v>1.2</v>
      </c>
      <c r="D18" s="902">
        <f>(AA18*KFC!$B$16+KFC!$C$16)*KFC!$C$5</f>
        <v>20.230592048617499</v>
      </c>
      <c r="E18" s="898">
        <f>(AB18*KFC!$B$16+KFC!$C$16)*KFC!$C$5</f>
        <v>22.626004091771836</v>
      </c>
      <c r="F18" s="898">
        <f>(AC18*KFC!$B$16+KFC!$C$16)*KFC!$C$5</f>
        <v>25.021416134926177</v>
      </c>
      <c r="G18" s="898">
        <f>(AD18*KFC!$B$16+KFC!$C$16)*KFC!$C$5</f>
        <v>27.416828178080518</v>
      </c>
      <c r="H18" s="898">
        <f>(AE18*KFC!$B$16+KFC!$C$16)*KFC!$C$5</f>
        <v>29.812240221234863</v>
      </c>
      <c r="I18" s="898">
        <f>(AF18*KFC!$B$16+KFC!$C$16)*KFC!$C$5</f>
        <v>32.207652264389196</v>
      </c>
      <c r="J18" s="898">
        <f>(AG18*KFC!$B$16+KFC!$C$16)*KFC!$C$5</f>
        <v>34.603064307543534</v>
      </c>
      <c r="K18" s="898">
        <f>(AH18*KFC!$B$16+KFC!$C$16)*KFC!$C$5</f>
        <v>36.998476350697878</v>
      </c>
      <c r="L18" s="898">
        <f>(AI18*KFC!$B$16+KFC!$C$16)*KFC!$C$5</f>
        <v>39.393888393852222</v>
      </c>
      <c r="M18" s="898">
        <f>(AJ18*KFC!$B$16+KFC!$C$16)*KFC!$C$5</f>
        <v>41.789300437006567</v>
      </c>
      <c r="N18" s="898">
        <f>(AK18*KFC!$B$16+KFC!$C$16)*KFC!$C$5</f>
        <v>44.184712480160904</v>
      </c>
      <c r="O18" s="898">
        <f>(AL18*KFC!$B$16+KFC!$C$16)*KFC!$C$5</f>
        <v>46.580124523315249</v>
      </c>
      <c r="P18" s="898">
        <f>(AM18*KFC!$B$16+KFC!$C$16)*KFC!$C$5</f>
        <v>48.975536566469593</v>
      </c>
      <c r="Q18" s="898">
        <f>(AN18*KFC!$B$16+KFC!$C$16)*KFC!$C$5</f>
        <v>51.370948609623937</v>
      </c>
      <c r="R18" s="898">
        <f>(AO18*KFC!$B$16+KFC!$C$16)*KFC!$C$5</f>
        <v>53.766360652778275</v>
      </c>
      <c r="S18" s="898">
        <f>(AP18*KFC!$B$16+KFC!$C$16)*KFC!$C$5</f>
        <v>56.161772695932619</v>
      </c>
      <c r="T18" s="898">
        <f>(AQ18*KFC!$B$16+KFC!$C$16)*KFC!$C$5</f>
        <v>58.557184739086964</v>
      </c>
      <c r="U18" s="898">
        <f>(AR18*KFC!$B$16+KFC!$C$16)*KFC!$C$5</f>
        <v>60.952596782241308</v>
      </c>
      <c r="V18" s="898">
        <f>(AS18*KFC!$B$16+KFC!$C$16)*KFC!$C$5</f>
        <v>63.348008825395659</v>
      </c>
      <c r="W18" s="903">
        <f>(AT18*KFC!$B$16+KFC!$C$16)*KFC!$C$5</f>
        <v>65.743420868549975</v>
      </c>
      <c r="Y18" s="1277"/>
      <c r="Z18" s="649">
        <v>1.2</v>
      </c>
      <c r="AA18" s="882">
        <v>20.230592048617499</v>
      </c>
      <c r="AB18" s="882">
        <v>22.626004091771836</v>
      </c>
      <c r="AC18" s="882">
        <v>25.021416134926177</v>
      </c>
      <c r="AD18" s="882">
        <v>27.416828178080518</v>
      </c>
      <c r="AE18" s="882">
        <v>29.812240221234863</v>
      </c>
      <c r="AF18" s="882">
        <v>32.207652264389196</v>
      </c>
      <c r="AG18" s="882">
        <v>34.603064307543534</v>
      </c>
      <c r="AH18" s="882">
        <v>36.998476350697878</v>
      </c>
      <c r="AI18" s="882">
        <v>39.393888393852222</v>
      </c>
      <c r="AJ18" s="882">
        <v>41.789300437006567</v>
      </c>
      <c r="AK18" s="882">
        <v>44.184712480160904</v>
      </c>
      <c r="AL18" s="882">
        <v>46.580124523315249</v>
      </c>
      <c r="AM18" s="882">
        <v>48.975536566469593</v>
      </c>
      <c r="AN18" s="882">
        <v>51.370948609623937</v>
      </c>
      <c r="AO18" s="882">
        <v>53.766360652778275</v>
      </c>
      <c r="AP18" s="882">
        <v>56.161772695932619</v>
      </c>
      <c r="AQ18" s="882">
        <v>58.557184739086964</v>
      </c>
      <c r="AR18" s="882">
        <v>60.952596782241308</v>
      </c>
      <c r="AS18" s="882">
        <v>63.348008825395659</v>
      </c>
      <c r="AT18" s="882">
        <v>65.743420868549975</v>
      </c>
    </row>
    <row r="19" spans="1:46">
      <c r="A19" s="1426"/>
      <c r="B19" s="1427"/>
      <c r="C19" s="887">
        <v>1.3</v>
      </c>
      <c r="D19" s="902">
        <f>(AA19*KFC!$B$16+KFC!$C$16)*KFC!$C$5</f>
        <v>20.710427573589751</v>
      </c>
      <c r="E19" s="898">
        <f>(AB19*KFC!$B$16+KFC!$C$16)*KFC!$C$5</f>
        <v>23.212731929464184</v>
      </c>
      <c r="F19" s="898">
        <f>(AC19*KFC!$B$16+KFC!$C$16)*KFC!$C$5</f>
        <v>25.715036285338613</v>
      </c>
      <c r="G19" s="898">
        <f>(AD19*KFC!$B$16+KFC!$C$16)*KFC!$C$5</f>
        <v>28.217340641213049</v>
      </c>
      <c r="H19" s="898">
        <f>(AE19*KFC!$B$16+KFC!$C$16)*KFC!$C$5</f>
        <v>30.719644997087478</v>
      </c>
      <c r="I19" s="898">
        <f>(AF19*KFC!$B$16+KFC!$C$16)*KFC!$C$5</f>
        <v>33.221949352961914</v>
      </c>
      <c r="J19" s="898">
        <f>(AG19*KFC!$B$16+KFC!$C$16)*KFC!$C$5</f>
        <v>35.724253708836343</v>
      </c>
      <c r="K19" s="898">
        <f>(AH19*KFC!$B$16+KFC!$C$16)*KFC!$C$5</f>
        <v>38.226558064710773</v>
      </c>
      <c r="L19" s="898">
        <f>(AI19*KFC!$B$16+KFC!$C$16)*KFC!$C$5</f>
        <v>40.728862420585209</v>
      </c>
      <c r="M19" s="898">
        <f>(AJ19*KFC!$B$16+KFC!$C$16)*KFC!$C$5</f>
        <v>43.231166776459645</v>
      </c>
      <c r="N19" s="898">
        <f>(AK19*KFC!$B$16+KFC!$C$16)*KFC!$C$5</f>
        <v>45.733471132334081</v>
      </c>
      <c r="O19" s="898">
        <f>(AL19*KFC!$B$16+KFC!$C$16)*KFC!$C$5</f>
        <v>48.235775488208517</v>
      </c>
      <c r="P19" s="898">
        <f>(AM19*KFC!$B$16+KFC!$C$16)*KFC!$C$5</f>
        <v>50.738079844082947</v>
      </c>
      <c r="Q19" s="898">
        <f>(AN19*KFC!$B$16+KFC!$C$16)*KFC!$C$5</f>
        <v>53.240384199957383</v>
      </c>
      <c r="R19" s="898">
        <f>(AO19*KFC!$B$16+KFC!$C$16)*KFC!$C$5</f>
        <v>55.742688555831819</v>
      </c>
      <c r="S19" s="898">
        <f>(AP19*KFC!$B$16+KFC!$C$16)*KFC!$C$5</f>
        <v>58.244992911706255</v>
      </c>
      <c r="T19" s="898">
        <f>(AQ19*KFC!$B$16+KFC!$C$16)*KFC!$C$5</f>
        <v>60.747297267580691</v>
      </c>
      <c r="U19" s="898">
        <f>(AR19*KFC!$B$16+KFC!$C$16)*KFC!$C$5</f>
        <v>63.249601623455128</v>
      </c>
      <c r="V19" s="898">
        <f>(AS19*KFC!$B$16+KFC!$C$16)*KFC!$C$5</f>
        <v>65.751905979329564</v>
      </c>
      <c r="W19" s="903">
        <f>(AT19*KFC!$B$16+KFC!$C$16)*KFC!$C$5</f>
        <v>68.254210335203979</v>
      </c>
      <c r="Y19" s="1277"/>
      <c r="Z19" s="649">
        <v>1.3</v>
      </c>
      <c r="AA19" s="882">
        <v>20.710427573589751</v>
      </c>
      <c r="AB19" s="882">
        <v>23.212731929464184</v>
      </c>
      <c r="AC19" s="882">
        <v>25.715036285338613</v>
      </c>
      <c r="AD19" s="882">
        <v>28.217340641213049</v>
      </c>
      <c r="AE19" s="882">
        <v>30.719644997087478</v>
      </c>
      <c r="AF19" s="882">
        <v>33.221949352961914</v>
      </c>
      <c r="AG19" s="882">
        <v>35.724253708836343</v>
      </c>
      <c r="AH19" s="882">
        <v>38.226558064710773</v>
      </c>
      <c r="AI19" s="882">
        <v>40.728862420585209</v>
      </c>
      <c r="AJ19" s="882">
        <v>43.231166776459645</v>
      </c>
      <c r="AK19" s="882">
        <v>45.733471132334081</v>
      </c>
      <c r="AL19" s="882">
        <v>48.235775488208517</v>
      </c>
      <c r="AM19" s="882">
        <v>50.738079844082947</v>
      </c>
      <c r="AN19" s="882">
        <v>53.240384199957383</v>
      </c>
      <c r="AO19" s="882">
        <v>55.742688555831819</v>
      </c>
      <c r="AP19" s="882">
        <v>58.244992911706255</v>
      </c>
      <c r="AQ19" s="882">
        <v>60.747297267580691</v>
      </c>
      <c r="AR19" s="882">
        <v>63.249601623455128</v>
      </c>
      <c r="AS19" s="882">
        <v>65.751905979329564</v>
      </c>
      <c r="AT19" s="882">
        <v>68.254210335203979</v>
      </c>
    </row>
    <row r="20" spans="1:46">
      <c r="A20" s="1426"/>
      <c r="B20" s="1427"/>
      <c r="C20" s="887">
        <v>1.4</v>
      </c>
      <c r="D20" s="902">
        <f>(AA20*KFC!$B$16+KFC!$C$16)*KFC!$C$5</f>
        <v>21.190263098561999</v>
      </c>
      <c r="E20" s="898">
        <f>(AB20*KFC!$B$16+KFC!$C$16)*KFC!$C$5</f>
        <v>23.799459767156527</v>
      </c>
      <c r="F20" s="898">
        <f>(AC20*KFC!$B$16+KFC!$C$16)*KFC!$C$5</f>
        <v>26.408656435751045</v>
      </c>
      <c r="G20" s="898">
        <f>(AD20*KFC!$B$16+KFC!$C$16)*KFC!$C$5</f>
        <v>29.017853104345573</v>
      </c>
      <c r="H20" s="898">
        <f>(AE20*KFC!$B$16+KFC!$C$16)*KFC!$C$5</f>
        <v>31.627049772940097</v>
      </c>
      <c r="I20" s="898">
        <f>(AF20*KFC!$B$16+KFC!$C$16)*KFC!$C$5</f>
        <v>34.236246441534625</v>
      </c>
      <c r="J20" s="898">
        <f>(AG20*KFC!$B$16+KFC!$C$16)*KFC!$C$5</f>
        <v>36.845443110129146</v>
      </c>
      <c r="K20" s="898">
        <f>(AH20*KFC!$B$16+KFC!$C$16)*KFC!$C$5</f>
        <v>39.454639778723681</v>
      </c>
      <c r="L20" s="898">
        <f>(AI20*KFC!$B$16+KFC!$C$16)*KFC!$C$5</f>
        <v>42.063836447318209</v>
      </c>
      <c r="M20" s="898">
        <f>(AJ20*KFC!$B$16+KFC!$C$16)*KFC!$C$5</f>
        <v>44.673033115912737</v>
      </c>
      <c r="N20" s="898">
        <f>(AK20*KFC!$B$16+KFC!$C$16)*KFC!$C$5</f>
        <v>47.282229784507258</v>
      </c>
      <c r="O20" s="898">
        <f>(AL20*KFC!$B$16+KFC!$C$16)*KFC!$C$5</f>
        <v>49.891426453101786</v>
      </c>
      <c r="P20" s="898">
        <f>(AM20*KFC!$B$16+KFC!$C$16)*KFC!$C$5</f>
        <v>52.500623121696307</v>
      </c>
      <c r="Q20" s="898">
        <f>(AN20*KFC!$B$16+KFC!$C$16)*KFC!$C$5</f>
        <v>55.109819790290842</v>
      </c>
      <c r="R20" s="898">
        <f>(AO20*KFC!$B$16+KFC!$C$16)*KFC!$C$5</f>
        <v>57.71901645888537</v>
      </c>
      <c r="S20" s="898">
        <f>(AP20*KFC!$B$16+KFC!$C$16)*KFC!$C$5</f>
        <v>60.328213127479899</v>
      </c>
      <c r="T20" s="898">
        <f>(AQ20*KFC!$B$16+KFC!$C$16)*KFC!$C$5</f>
        <v>62.937409796074427</v>
      </c>
      <c r="U20" s="898">
        <f>(AR20*KFC!$B$16+KFC!$C$16)*KFC!$C$5</f>
        <v>65.546606464668955</v>
      </c>
      <c r="V20" s="898">
        <f>(AS20*KFC!$B$16+KFC!$C$16)*KFC!$C$5</f>
        <v>68.155803133263476</v>
      </c>
      <c r="W20" s="903">
        <f>(AT20*KFC!$B$16+KFC!$C$16)*KFC!$C$5</f>
        <v>70.764999801857982</v>
      </c>
      <c r="Y20" s="1277"/>
      <c r="Z20" s="649">
        <v>1.4</v>
      </c>
      <c r="AA20" s="882">
        <v>21.190263098561999</v>
      </c>
      <c r="AB20" s="882">
        <v>23.799459767156527</v>
      </c>
      <c r="AC20" s="882">
        <v>26.408656435751045</v>
      </c>
      <c r="AD20" s="882">
        <v>29.017853104345573</v>
      </c>
      <c r="AE20" s="882">
        <v>31.627049772940097</v>
      </c>
      <c r="AF20" s="882">
        <v>34.236246441534625</v>
      </c>
      <c r="AG20" s="882">
        <v>36.845443110129146</v>
      </c>
      <c r="AH20" s="882">
        <v>39.454639778723681</v>
      </c>
      <c r="AI20" s="882">
        <v>42.063836447318209</v>
      </c>
      <c r="AJ20" s="882">
        <v>44.673033115912737</v>
      </c>
      <c r="AK20" s="882">
        <v>47.282229784507258</v>
      </c>
      <c r="AL20" s="882">
        <v>49.891426453101786</v>
      </c>
      <c r="AM20" s="882">
        <v>52.500623121696307</v>
      </c>
      <c r="AN20" s="882">
        <v>55.109819790290842</v>
      </c>
      <c r="AO20" s="882">
        <v>57.71901645888537</v>
      </c>
      <c r="AP20" s="882">
        <v>60.328213127479899</v>
      </c>
      <c r="AQ20" s="882">
        <v>62.937409796074427</v>
      </c>
      <c r="AR20" s="882">
        <v>65.546606464668955</v>
      </c>
      <c r="AS20" s="882">
        <v>68.155803133263476</v>
      </c>
      <c r="AT20" s="882">
        <v>70.764999801857982</v>
      </c>
    </row>
    <row r="21" spans="1:46">
      <c r="A21" s="1426"/>
      <c r="B21" s="1427"/>
      <c r="C21" s="887">
        <v>1.5</v>
      </c>
      <c r="D21" s="902">
        <f>(AA21*KFC!$B$16+KFC!$C$16)*KFC!$C$5</f>
        <v>21.670098623534251</v>
      </c>
      <c r="E21" s="898">
        <f>(AB21*KFC!$B$16+KFC!$C$16)*KFC!$C$5</f>
        <v>24.386187604848867</v>
      </c>
      <c r="F21" s="898">
        <f>(AC21*KFC!$B$16+KFC!$C$16)*KFC!$C$5</f>
        <v>27.10227658616348</v>
      </c>
      <c r="G21" s="898">
        <f>(AD21*KFC!$B$16+KFC!$C$16)*KFC!$C$5</f>
        <v>29.8183655674781</v>
      </c>
      <c r="H21" s="898">
        <f>(AE21*KFC!$B$16+KFC!$C$16)*KFC!$C$5</f>
        <v>32.534454548792716</v>
      </c>
      <c r="I21" s="898">
        <f>(AF21*KFC!$B$16+KFC!$C$16)*KFC!$C$5</f>
        <v>35.250543530107336</v>
      </c>
      <c r="J21" s="898">
        <f>(AG21*KFC!$B$16+KFC!$C$16)*KFC!$C$5</f>
        <v>37.966632511421956</v>
      </c>
      <c r="K21" s="898">
        <f>(AH21*KFC!$B$16+KFC!$C$16)*KFC!$C$5</f>
        <v>40.682721492736576</v>
      </c>
      <c r="L21" s="898">
        <f>(AI21*KFC!$B$16+KFC!$C$16)*KFC!$C$5</f>
        <v>43.398810474051196</v>
      </c>
      <c r="M21" s="898">
        <f>(AJ21*KFC!$B$16+KFC!$C$16)*KFC!$C$5</f>
        <v>46.114899455365808</v>
      </c>
      <c r="N21" s="898">
        <f>(AK21*KFC!$B$16+KFC!$C$16)*KFC!$C$5</f>
        <v>48.830988436680435</v>
      </c>
      <c r="O21" s="898">
        <f>(AL21*KFC!$B$16+KFC!$C$16)*KFC!$C$5</f>
        <v>51.547077417995055</v>
      </c>
      <c r="P21" s="898">
        <f>(AM21*KFC!$B$16+KFC!$C$16)*KFC!$C$5</f>
        <v>54.263166399309675</v>
      </c>
      <c r="Q21" s="898">
        <f>(AN21*KFC!$B$16+KFC!$C$16)*KFC!$C$5</f>
        <v>56.979255380624288</v>
      </c>
      <c r="R21" s="898">
        <f>(AO21*KFC!$B$16+KFC!$C$16)*KFC!$C$5</f>
        <v>59.695344361938915</v>
      </c>
      <c r="S21" s="898">
        <f>(AP21*KFC!$B$16+KFC!$C$16)*KFC!$C$5</f>
        <v>62.411433343253535</v>
      </c>
      <c r="T21" s="898">
        <f>(AQ21*KFC!$B$16+KFC!$C$16)*KFC!$C$5</f>
        <v>65.127522324568162</v>
      </c>
      <c r="U21" s="898">
        <f>(AR21*KFC!$B$16+KFC!$C$16)*KFC!$C$5</f>
        <v>67.843611305882774</v>
      </c>
      <c r="V21" s="898">
        <f>(AS21*KFC!$B$16+KFC!$C$16)*KFC!$C$5</f>
        <v>70.559700287197401</v>
      </c>
      <c r="W21" s="903">
        <f>(AT21*KFC!$B$16+KFC!$C$16)*KFC!$C$5</f>
        <v>73.275789268512</v>
      </c>
      <c r="Y21" s="1277"/>
      <c r="Z21" s="649">
        <v>1.5</v>
      </c>
      <c r="AA21" s="882">
        <v>21.670098623534251</v>
      </c>
      <c r="AB21" s="882">
        <v>24.386187604848867</v>
      </c>
      <c r="AC21" s="882">
        <v>27.10227658616348</v>
      </c>
      <c r="AD21" s="882">
        <v>29.8183655674781</v>
      </c>
      <c r="AE21" s="882">
        <v>32.534454548792716</v>
      </c>
      <c r="AF21" s="882">
        <v>35.250543530107336</v>
      </c>
      <c r="AG21" s="882">
        <v>37.966632511421956</v>
      </c>
      <c r="AH21" s="882">
        <v>40.682721492736576</v>
      </c>
      <c r="AI21" s="882">
        <v>43.398810474051196</v>
      </c>
      <c r="AJ21" s="882">
        <v>46.114899455365808</v>
      </c>
      <c r="AK21" s="882">
        <v>48.830988436680435</v>
      </c>
      <c r="AL21" s="882">
        <v>51.547077417995055</v>
      </c>
      <c r="AM21" s="882">
        <v>54.263166399309675</v>
      </c>
      <c r="AN21" s="882">
        <v>56.979255380624288</v>
      </c>
      <c r="AO21" s="882">
        <v>59.695344361938915</v>
      </c>
      <c r="AP21" s="882">
        <v>62.411433343253535</v>
      </c>
      <c r="AQ21" s="882">
        <v>65.127522324568162</v>
      </c>
      <c r="AR21" s="882">
        <v>67.843611305882774</v>
      </c>
      <c r="AS21" s="882">
        <v>70.559700287197401</v>
      </c>
      <c r="AT21" s="882">
        <v>73.275789268512</v>
      </c>
    </row>
    <row r="22" spans="1:46">
      <c r="A22" s="1426"/>
      <c r="B22" s="1427"/>
      <c r="C22" s="887">
        <v>1.6</v>
      </c>
      <c r="D22" s="902">
        <f>(AA22*KFC!$B$16+KFC!$C$16)*KFC!$C$5</f>
        <v>22.1499341485065</v>
      </c>
      <c r="E22" s="898">
        <f>(AB22*KFC!$B$16+KFC!$C$16)*KFC!$C$5</f>
        <v>24.972915442541208</v>
      </c>
      <c r="F22" s="898">
        <f>(AC22*KFC!$B$16+KFC!$C$16)*KFC!$C$5</f>
        <v>27.795896736575916</v>
      </c>
      <c r="G22" s="898">
        <f>(AD22*KFC!$B$16+KFC!$C$16)*KFC!$C$5</f>
        <v>30.618878030610624</v>
      </c>
      <c r="H22" s="898">
        <f>(AE22*KFC!$B$16+KFC!$C$16)*KFC!$C$5</f>
        <v>33.441859324645336</v>
      </c>
      <c r="I22" s="898">
        <f>(AF22*KFC!$B$16+KFC!$C$16)*KFC!$C$5</f>
        <v>36.264840618680047</v>
      </c>
      <c r="J22" s="898">
        <f>(AG22*KFC!$B$16+KFC!$C$16)*KFC!$C$5</f>
        <v>39.087821912714759</v>
      </c>
      <c r="K22" s="898">
        <f>(AH22*KFC!$B$16+KFC!$C$16)*KFC!$C$5</f>
        <v>41.91080320674947</v>
      </c>
      <c r="L22" s="898">
        <f>(AI22*KFC!$B$16+KFC!$C$16)*KFC!$C$5</f>
        <v>44.733784500784182</v>
      </c>
      <c r="M22" s="898">
        <f>(AJ22*KFC!$B$16+KFC!$C$16)*KFC!$C$5</f>
        <v>47.556765794818894</v>
      </c>
      <c r="N22" s="898">
        <f>(AK22*KFC!$B$16+KFC!$C$16)*KFC!$C$5</f>
        <v>50.379747088853613</v>
      </c>
      <c r="O22" s="898">
        <f>(AL22*KFC!$B$16+KFC!$C$16)*KFC!$C$5</f>
        <v>53.202728382888317</v>
      </c>
      <c r="P22" s="898">
        <f>(AM22*KFC!$B$16+KFC!$C$16)*KFC!$C$5</f>
        <v>56.025709676923036</v>
      </c>
      <c r="Q22" s="898">
        <f>(AN22*KFC!$B$16+KFC!$C$16)*KFC!$C$5</f>
        <v>58.848690970957747</v>
      </c>
      <c r="R22" s="898">
        <f>(AO22*KFC!$B$16+KFC!$C$16)*KFC!$C$5</f>
        <v>61.671672264992452</v>
      </c>
      <c r="S22" s="898">
        <f>(AP22*KFC!$B$16+KFC!$C$16)*KFC!$C$5</f>
        <v>64.494653559027171</v>
      </c>
      <c r="T22" s="898">
        <f>(AQ22*KFC!$B$16+KFC!$C$16)*KFC!$C$5</f>
        <v>67.31763485306189</v>
      </c>
      <c r="U22" s="898">
        <f>(AR22*KFC!$B$16+KFC!$C$16)*KFC!$C$5</f>
        <v>70.140616147096594</v>
      </c>
      <c r="V22" s="898">
        <f>(AS22*KFC!$B$16+KFC!$C$16)*KFC!$C$5</f>
        <v>72.963597441131299</v>
      </c>
      <c r="W22" s="903">
        <f>(AT22*KFC!$B$16+KFC!$C$16)*KFC!$C$5</f>
        <v>75.786578735165989</v>
      </c>
      <c r="Y22" s="1277"/>
      <c r="Z22" s="649">
        <v>1.6</v>
      </c>
      <c r="AA22" s="882">
        <v>22.1499341485065</v>
      </c>
      <c r="AB22" s="882">
        <v>24.972915442541208</v>
      </c>
      <c r="AC22" s="882">
        <v>27.795896736575916</v>
      </c>
      <c r="AD22" s="882">
        <v>30.618878030610624</v>
      </c>
      <c r="AE22" s="882">
        <v>33.441859324645336</v>
      </c>
      <c r="AF22" s="882">
        <v>36.264840618680047</v>
      </c>
      <c r="AG22" s="882">
        <v>39.087821912714759</v>
      </c>
      <c r="AH22" s="882">
        <v>41.91080320674947</v>
      </c>
      <c r="AI22" s="882">
        <v>44.733784500784182</v>
      </c>
      <c r="AJ22" s="882">
        <v>47.556765794818894</v>
      </c>
      <c r="AK22" s="882">
        <v>50.379747088853613</v>
      </c>
      <c r="AL22" s="882">
        <v>53.202728382888317</v>
      </c>
      <c r="AM22" s="882">
        <v>56.025709676923036</v>
      </c>
      <c r="AN22" s="882">
        <v>58.848690970957747</v>
      </c>
      <c r="AO22" s="882">
        <v>61.671672264992452</v>
      </c>
      <c r="AP22" s="882">
        <v>64.494653559027171</v>
      </c>
      <c r="AQ22" s="882">
        <v>67.31763485306189</v>
      </c>
      <c r="AR22" s="882">
        <v>70.140616147096594</v>
      </c>
      <c r="AS22" s="882">
        <v>72.963597441131299</v>
      </c>
      <c r="AT22" s="882">
        <v>75.786578735165989</v>
      </c>
    </row>
    <row r="23" spans="1:46">
      <c r="A23" s="1426"/>
      <c r="B23" s="1427"/>
      <c r="C23" s="887">
        <v>1.7</v>
      </c>
      <c r="D23" s="902">
        <f>(AA23*KFC!$B$16+KFC!$C$16)*KFC!$C$5</f>
        <v>22.629769673478748</v>
      </c>
      <c r="E23" s="898">
        <f>(AB23*KFC!$B$16+KFC!$C$16)*KFC!$C$5</f>
        <v>25.559643280233551</v>
      </c>
      <c r="F23" s="898">
        <f>(AC23*KFC!$B$16+KFC!$C$16)*KFC!$C$5</f>
        <v>28.489516886988351</v>
      </c>
      <c r="G23" s="898">
        <f>(AD23*KFC!$B$16+KFC!$C$16)*KFC!$C$5</f>
        <v>31.419390493743155</v>
      </c>
      <c r="H23" s="898">
        <f>(AE23*KFC!$B$16+KFC!$C$16)*KFC!$C$5</f>
        <v>34.349264100497955</v>
      </c>
      <c r="I23" s="898">
        <f>(AF23*KFC!$B$16+KFC!$C$16)*KFC!$C$5</f>
        <v>37.279137707252758</v>
      </c>
      <c r="J23" s="898">
        <f>(AG23*KFC!$B$16+KFC!$C$16)*KFC!$C$5</f>
        <v>40.209011314007562</v>
      </c>
      <c r="K23" s="898">
        <f>(AH23*KFC!$B$16+KFC!$C$16)*KFC!$C$5</f>
        <v>43.138884920762372</v>
      </c>
      <c r="L23" s="898">
        <f>(AI23*KFC!$B$16+KFC!$C$16)*KFC!$C$5</f>
        <v>46.068758527517176</v>
      </c>
      <c r="M23" s="898">
        <f>(AJ23*KFC!$B$16+KFC!$C$16)*KFC!$C$5</f>
        <v>48.998632134271972</v>
      </c>
      <c r="N23" s="898">
        <f>(AK23*KFC!$B$16+KFC!$C$16)*KFC!$C$5</f>
        <v>51.928505741026775</v>
      </c>
      <c r="O23" s="898">
        <f>(AL23*KFC!$B$16+KFC!$C$16)*KFC!$C$5</f>
        <v>54.858379347781586</v>
      </c>
      <c r="P23" s="898">
        <f>(AM23*KFC!$B$16+KFC!$C$16)*KFC!$C$5</f>
        <v>57.788252954536389</v>
      </c>
      <c r="Q23" s="898">
        <f>(AN23*KFC!$B$16+KFC!$C$16)*KFC!$C$5</f>
        <v>60.718126561291193</v>
      </c>
      <c r="R23" s="898">
        <f>(AO23*KFC!$B$16+KFC!$C$16)*KFC!$C$5</f>
        <v>63.648000168046003</v>
      </c>
      <c r="S23" s="898">
        <f>(AP23*KFC!$B$16+KFC!$C$16)*KFC!$C$5</f>
        <v>66.577873774800807</v>
      </c>
      <c r="T23" s="898">
        <f>(AQ23*KFC!$B$16+KFC!$C$16)*KFC!$C$5</f>
        <v>69.507747381555603</v>
      </c>
      <c r="U23" s="898">
        <f>(AR23*KFC!$B$16+KFC!$C$16)*KFC!$C$5</f>
        <v>72.437620988310414</v>
      </c>
      <c r="V23" s="898">
        <f>(AS23*KFC!$B$16+KFC!$C$16)*KFC!$C$5</f>
        <v>75.36749459506521</v>
      </c>
      <c r="W23" s="903">
        <f>(AT23*KFC!$B$16+KFC!$C$16)*KFC!$C$5</f>
        <v>78.297368201819992</v>
      </c>
      <c r="Y23" s="1277"/>
      <c r="Z23" s="649">
        <v>1.7</v>
      </c>
      <c r="AA23" s="882">
        <v>22.629769673478748</v>
      </c>
      <c r="AB23" s="882">
        <v>25.559643280233551</v>
      </c>
      <c r="AC23" s="882">
        <v>28.489516886988351</v>
      </c>
      <c r="AD23" s="882">
        <v>31.419390493743155</v>
      </c>
      <c r="AE23" s="882">
        <v>34.349264100497955</v>
      </c>
      <c r="AF23" s="882">
        <v>37.279137707252758</v>
      </c>
      <c r="AG23" s="882">
        <v>40.209011314007562</v>
      </c>
      <c r="AH23" s="882">
        <v>43.138884920762372</v>
      </c>
      <c r="AI23" s="882">
        <v>46.068758527517176</v>
      </c>
      <c r="AJ23" s="882">
        <v>48.998632134271972</v>
      </c>
      <c r="AK23" s="882">
        <v>51.928505741026775</v>
      </c>
      <c r="AL23" s="882">
        <v>54.858379347781586</v>
      </c>
      <c r="AM23" s="882">
        <v>57.788252954536389</v>
      </c>
      <c r="AN23" s="882">
        <v>60.718126561291193</v>
      </c>
      <c r="AO23" s="882">
        <v>63.648000168046003</v>
      </c>
      <c r="AP23" s="882">
        <v>66.577873774800807</v>
      </c>
      <c r="AQ23" s="882">
        <v>69.507747381555603</v>
      </c>
      <c r="AR23" s="882">
        <v>72.437620988310414</v>
      </c>
      <c r="AS23" s="882">
        <v>75.36749459506521</v>
      </c>
      <c r="AT23" s="882">
        <v>78.297368201819992</v>
      </c>
    </row>
    <row r="24" spans="1:46">
      <c r="A24" s="1426"/>
      <c r="B24" s="1427"/>
      <c r="C24" s="887">
        <v>1.8</v>
      </c>
      <c r="D24" s="902">
        <f>(AA24*KFC!$B$16+KFC!$C$16)*KFC!$C$5</f>
        <v>23.109605198451</v>
      </c>
      <c r="E24" s="898">
        <f>(AB24*KFC!$B$16+KFC!$C$16)*KFC!$C$5</f>
        <v>26.146371117925892</v>
      </c>
      <c r="F24" s="898">
        <f>(AC24*KFC!$B$16+KFC!$C$16)*KFC!$C$5</f>
        <v>29.183137037400787</v>
      </c>
      <c r="G24" s="898">
        <f>(AD24*KFC!$B$16+KFC!$C$16)*KFC!$C$5</f>
        <v>32.219902956875686</v>
      </c>
      <c r="H24" s="898">
        <f>(AE24*KFC!$B$16+KFC!$C$16)*KFC!$C$5</f>
        <v>35.256668876350574</v>
      </c>
      <c r="I24" s="898">
        <f>(AF24*KFC!$B$16+KFC!$C$16)*KFC!$C$5</f>
        <v>38.293434795825469</v>
      </c>
      <c r="J24" s="898">
        <f>(AG24*KFC!$B$16+KFC!$C$16)*KFC!$C$5</f>
        <v>41.330200715300364</v>
      </c>
      <c r="K24" s="898">
        <f>(AH24*KFC!$B$16+KFC!$C$16)*KFC!$C$5</f>
        <v>44.366966634775267</v>
      </c>
      <c r="L24" s="898">
        <f>(AI24*KFC!$B$16+KFC!$C$16)*KFC!$C$5</f>
        <v>47.403732554250162</v>
      </c>
      <c r="M24" s="898">
        <f>(AJ24*KFC!$B$16+KFC!$C$16)*KFC!$C$5</f>
        <v>50.440498473725057</v>
      </c>
      <c r="N24" s="898">
        <f>(AK24*KFC!$B$16+KFC!$C$16)*KFC!$C$5</f>
        <v>53.477264393199953</v>
      </c>
      <c r="O24" s="898">
        <f>(AL24*KFC!$B$16+KFC!$C$16)*KFC!$C$5</f>
        <v>56.514030312674848</v>
      </c>
      <c r="P24" s="898">
        <f>(AM24*KFC!$B$16+KFC!$C$16)*KFC!$C$5</f>
        <v>59.550796232149743</v>
      </c>
      <c r="Q24" s="898">
        <f>(AN24*KFC!$B$16+KFC!$C$16)*KFC!$C$5</f>
        <v>62.587562151624653</v>
      </c>
      <c r="R24" s="898">
        <f>(AO24*KFC!$B$16+KFC!$C$16)*KFC!$C$5</f>
        <v>65.624328071099541</v>
      </c>
      <c r="S24" s="898">
        <f>(AP24*KFC!$B$16+KFC!$C$16)*KFC!$C$5</f>
        <v>68.661093990574443</v>
      </c>
      <c r="T24" s="898">
        <f>(AQ24*KFC!$B$16+KFC!$C$16)*KFC!$C$5</f>
        <v>71.697859910049331</v>
      </c>
      <c r="U24" s="898">
        <f>(AR24*KFC!$B$16+KFC!$C$16)*KFC!$C$5</f>
        <v>74.734625829524234</v>
      </c>
      <c r="V24" s="898">
        <f>(AS24*KFC!$B$16+KFC!$C$16)*KFC!$C$5</f>
        <v>77.771391748999136</v>
      </c>
      <c r="W24" s="903">
        <f>(AT24*KFC!$B$16+KFC!$C$16)*KFC!$C$5</f>
        <v>80.80815766847401</v>
      </c>
      <c r="Y24" s="1277"/>
      <c r="Z24" s="649">
        <v>1.8</v>
      </c>
      <c r="AA24" s="882">
        <v>23.109605198451</v>
      </c>
      <c r="AB24" s="882">
        <v>26.146371117925892</v>
      </c>
      <c r="AC24" s="882">
        <v>29.183137037400787</v>
      </c>
      <c r="AD24" s="882">
        <v>32.219902956875686</v>
      </c>
      <c r="AE24" s="882">
        <v>35.256668876350574</v>
      </c>
      <c r="AF24" s="882">
        <v>38.293434795825469</v>
      </c>
      <c r="AG24" s="882">
        <v>41.330200715300364</v>
      </c>
      <c r="AH24" s="882">
        <v>44.366966634775267</v>
      </c>
      <c r="AI24" s="882">
        <v>47.403732554250162</v>
      </c>
      <c r="AJ24" s="882">
        <v>50.440498473725057</v>
      </c>
      <c r="AK24" s="882">
        <v>53.477264393199953</v>
      </c>
      <c r="AL24" s="882">
        <v>56.514030312674848</v>
      </c>
      <c r="AM24" s="882">
        <v>59.550796232149743</v>
      </c>
      <c r="AN24" s="882">
        <v>62.587562151624653</v>
      </c>
      <c r="AO24" s="882">
        <v>65.624328071099541</v>
      </c>
      <c r="AP24" s="882">
        <v>68.661093990574443</v>
      </c>
      <c r="AQ24" s="882">
        <v>71.697859910049331</v>
      </c>
      <c r="AR24" s="882">
        <v>74.734625829524234</v>
      </c>
      <c r="AS24" s="882">
        <v>77.771391748999136</v>
      </c>
      <c r="AT24" s="882">
        <v>80.80815766847401</v>
      </c>
    </row>
    <row r="25" spans="1:46">
      <c r="A25" s="1426"/>
      <c r="B25" s="1427"/>
      <c r="C25" s="887">
        <v>1.9</v>
      </c>
      <c r="D25" s="902">
        <f>(AA25*KFC!$B$16+KFC!$C$16)*KFC!$C$5</f>
        <v>23.589440723423252</v>
      </c>
      <c r="E25" s="898">
        <f>(AB25*KFC!$B$16+KFC!$C$16)*KFC!$C$5</f>
        <v>26.733098955618239</v>
      </c>
      <c r="F25" s="898">
        <f>(AC25*KFC!$B$16+KFC!$C$16)*KFC!$C$5</f>
        <v>29.876757187813222</v>
      </c>
      <c r="G25" s="898">
        <f>(AD25*KFC!$B$16+KFC!$C$16)*KFC!$C$5</f>
        <v>33.020415420008206</v>
      </c>
      <c r="H25" s="898">
        <f>(AE25*KFC!$B$16+KFC!$C$16)*KFC!$C$5</f>
        <v>36.1640736522032</v>
      </c>
      <c r="I25" s="898">
        <f>(AF25*KFC!$B$16+KFC!$C$16)*KFC!$C$5</f>
        <v>39.307731884398194</v>
      </c>
      <c r="J25" s="898">
        <f>(AG25*KFC!$B$16+KFC!$C$16)*KFC!$C$5</f>
        <v>42.451390116593181</v>
      </c>
      <c r="K25" s="898">
        <f>(AH25*KFC!$B$16+KFC!$C$16)*KFC!$C$5</f>
        <v>45.595048348788168</v>
      </c>
      <c r="L25" s="898">
        <f>(AI25*KFC!$B$16+KFC!$C$16)*KFC!$C$5</f>
        <v>48.738706580983148</v>
      </c>
      <c r="M25" s="898">
        <f>(AJ25*KFC!$B$16+KFC!$C$16)*KFC!$C$5</f>
        <v>51.88236481317815</v>
      </c>
      <c r="N25" s="898">
        <f>(AK25*KFC!$B$16+KFC!$C$16)*KFC!$C$5</f>
        <v>55.02602304537313</v>
      </c>
      <c r="O25" s="898">
        <f>(AL25*KFC!$B$16+KFC!$C$16)*KFC!$C$5</f>
        <v>58.169681277568131</v>
      </c>
      <c r="P25" s="898">
        <f>(AM25*KFC!$B$16+KFC!$C$16)*KFC!$C$5</f>
        <v>61.313339509763111</v>
      </c>
      <c r="Q25" s="898">
        <f>(AN25*KFC!$B$16+KFC!$C$16)*KFC!$C$5</f>
        <v>64.456997741958105</v>
      </c>
      <c r="R25" s="898">
        <f>(AO25*KFC!$B$16+KFC!$C$16)*KFC!$C$5</f>
        <v>67.600655974153085</v>
      </c>
      <c r="S25" s="898">
        <f>(AP25*KFC!$B$16+KFC!$C$16)*KFC!$C$5</f>
        <v>70.744314206348079</v>
      </c>
      <c r="T25" s="898">
        <f>(AQ25*KFC!$B$16+KFC!$C$16)*KFC!$C$5</f>
        <v>73.887972438543059</v>
      </c>
      <c r="U25" s="898">
        <f>(AR25*KFC!$B$16+KFC!$C$16)*KFC!$C$5</f>
        <v>77.031630670738053</v>
      </c>
      <c r="V25" s="898">
        <f>(AS25*KFC!$B$16+KFC!$C$16)*KFC!$C$5</f>
        <v>80.175288902933048</v>
      </c>
      <c r="W25" s="903">
        <f>(AT25*KFC!$B$16+KFC!$C$16)*KFC!$C$5</f>
        <v>83.318947135127999</v>
      </c>
      <c r="Y25" s="1277"/>
      <c r="Z25" s="649">
        <v>1.9</v>
      </c>
      <c r="AA25" s="882">
        <v>23.589440723423252</v>
      </c>
      <c r="AB25" s="882">
        <v>26.733098955618239</v>
      </c>
      <c r="AC25" s="882">
        <v>29.876757187813222</v>
      </c>
      <c r="AD25" s="882">
        <v>33.020415420008206</v>
      </c>
      <c r="AE25" s="882">
        <v>36.1640736522032</v>
      </c>
      <c r="AF25" s="882">
        <v>39.307731884398194</v>
      </c>
      <c r="AG25" s="882">
        <v>42.451390116593181</v>
      </c>
      <c r="AH25" s="882">
        <v>45.595048348788168</v>
      </c>
      <c r="AI25" s="882">
        <v>48.738706580983148</v>
      </c>
      <c r="AJ25" s="882">
        <v>51.88236481317815</v>
      </c>
      <c r="AK25" s="882">
        <v>55.02602304537313</v>
      </c>
      <c r="AL25" s="882">
        <v>58.169681277568131</v>
      </c>
      <c r="AM25" s="882">
        <v>61.313339509763111</v>
      </c>
      <c r="AN25" s="882">
        <v>64.456997741958105</v>
      </c>
      <c r="AO25" s="882">
        <v>67.600655974153085</v>
      </c>
      <c r="AP25" s="882">
        <v>70.744314206348079</v>
      </c>
      <c r="AQ25" s="882">
        <v>73.887972438543059</v>
      </c>
      <c r="AR25" s="882">
        <v>77.031630670738053</v>
      </c>
      <c r="AS25" s="882">
        <v>80.175288902933048</v>
      </c>
      <c r="AT25" s="882">
        <v>83.318947135127999</v>
      </c>
    </row>
    <row r="26" spans="1:46">
      <c r="A26" s="1426"/>
      <c r="B26" s="1427"/>
      <c r="C26" s="887">
        <v>2</v>
      </c>
      <c r="D26" s="902">
        <f>(AA26*KFC!$B$16+KFC!$C$16)*KFC!$C$5</f>
        <v>24.0692762483955</v>
      </c>
      <c r="E26" s="898">
        <f>(AB26*KFC!$B$16+KFC!$C$16)*KFC!$C$5</f>
        <v>27.319826793310579</v>
      </c>
      <c r="F26" s="898">
        <f>(AC26*KFC!$B$16+KFC!$C$16)*KFC!$C$5</f>
        <v>30.570377338225658</v>
      </c>
      <c r="G26" s="898">
        <f>(AD26*KFC!$B$16+KFC!$C$16)*KFC!$C$5</f>
        <v>33.820927883140733</v>
      </c>
      <c r="H26" s="898">
        <f>(AE26*KFC!$B$16+KFC!$C$16)*KFC!$C$5</f>
        <v>37.071478428055812</v>
      </c>
      <c r="I26" s="898">
        <f>(AF26*KFC!$B$16+KFC!$C$16)*KFC!$C$5</f>
        <v>40.322028972970898</v>
      </c>
      <c r="J26" s="898">
        <f>(AG26*KFC!$B$16+KFC!$C$16)*KFC!$C$5</f>
        <v>43.572579517885984</v>
      </c>
      <c r="K26" s="898">
        <f>(AH26*KFC!$B$16+KFC!$C$16)*KFC!$C$5</f>
        <v>46.823130062801063</v>
      </c>
      <c r="L26" s="898">
        <f>(AI26*KFC!$B$16+KFC!$C$16)*KFC!$C$5</f>
        <v>50.073680607716135</v>
      </c>
      <c r="M26" s="898">
        <f>(AJ26*KFC!$B$16+KFC!$C$16)*KFC!$C$5</f>
        <v>53.324231152631228</v>
      </c>
      <c r="N26" s="898">
        <f>(AK26*KFC!$B$16+KFC!$C$16)*KFC!$C$5</f>
        <v>56.574781697546307</v>
      </c>
      <c r="O26" s="898">
        <f>(AL26*KFC!$B$16+KFC!$C$16)*KFC!$C$5</f>
        <v>59.825332242461386</v>
      </c>
      <c r="P26" s="898">
        <f>(AM26*KFC!$B$16+KFC!$C$16)*KFC!$C$5</f>
        <v>63.075882787376472</v>
      </c>
      <c r="Q26" s="898">
        <f>(AN26*KFC!$B$16+KFC!$C$16)*KFC!$C$5</f>
        <v>66.326433332291543</v>
      </c>
      <c r="R26" s="898">
        <f>(AO26*KFC!$B$16+KFC!$C$16)*KFC!$C$5</f>
        <v>69.576983877206629</v>
      </c>
      <c r="S26" s="898">
        <f>(AP26*KFC!$B$16+KFC!$C$16)*KFC!$C$5</f>
        <v>72.827534422121715</v>
      </c>
      <c r="T26" s="898">
        <f>(AQ26*KFC!$B$16+KFC!$C$16)*KFC!$C$5</f>
        <v>76.078084967036801</v>
      </c>
      <c r="U26" s="898">
        <f>(AR26*KFC!$B$16+KFC!$C$16)*KFC!$C$5</f>
        <v>79.328635511951873</v>
      </c>
      <c r="V26" s="898">
        <f>(AS26*KFC!$B$16+KFC!$C$16)*KFC!$C$5</f>
        <v>82.579186056866945</v>
      </c>
      <c r="W26" s="903">
        <f>(AT26*KFC!$B$16+KFC!$C$16)*KFC!$C$5</f>
        <v>85.829736601782002</v>
      </c>
      <c r="Y26" s="1277"/>
      <c r="Z26" s="649">
        <v>2</v>
      </c>
      <c r="AA26" s="882">
        <v>24.0692762483955</v>
      </c>
      <c r="AB26" s="882">
        <v>27.319826793310579</v>
      </c>
      <c r="AC26" s="882">
        <v>30.570377338225658</v>
      </c>
      <c r="AD26" s="882">
        <v>33.820927883140733</v>
      </c>
      <c r="AE26" s="882">
        <v>37.071478428055812</v>
      </c>
      <c r="AF26" s="882">
        <v>40.322028972970898</v>
      </c>
      <c r="AG26" s="882">
        <v>43.572579517885984</v>
      </c>
      <c r="AH26" s="882">
        <v>46.823130062801063</v>
      </c>
      <c r="AI26" s="882">
        <v>50.073680607716135</v>
      </c>
      <c r="AJ26" s="882">
        <v>53.324231152631228</v>
      </c>
      <c r="AK26" s="882">
        <v>56.574781697546307</v>
      </c>
      <c r="AL26" s="882">
        <v>59.825332242461386</v>
      </c>
      <c r="AM26" s="882">
        <v>63.075882787376472</v>
      </c>
      <c r="AN26" s="882">
        <v>66.326433332291543</v>
      </c>
      <c r="AO26" s="882">
        <v>69.576983877206629</v>
      </c>
      <c r="AP26" s="882">
        <v>72.827534422121715</v>
      </c>
      <c r="AQ26" s="882">
        <v>76.078084967036801</v>
      </c>
      <c r="AR26" s="882">
        <v>79.328635511951873</v>
      </c>
      <c r="AS26" s="882">
        <v>82.579186056866945</v>
      </c>
      <c r="AT26" s="882">
        <v>85.829736601782002</v>
      </c>
    </row>
    <row r="27" spans="1:46">
      <c r="A27" s="1426"/>
      <c r="B27" s="1427"/>
      <c r="C27" s="887">
        <v>2.1</v>
      </c>
      <c r="D27" s="902">
        <f>(AA27*KFC!$B$16+KFC!$C$16)*KFC!$C$5</f>
        <v>24.549111773367748</v>
      </c>
      <c r="E27" s="898">
        <f>(AB27*KFC!$B$16+KFC!$C$16)*KFC!$C$5</f>
        <v>27.906554631002919</v>
      </c>
      <c r="F27" s="898">
        <f>(AC27*KFC!$B$16+KFC!$C$16)*KFC!$C$5</f>
        <v>31.263997488638093</v>
      </c>
      <c r="G27" s="898">
        <f>(AD27*KFC!$B$16+KFC!$C$16)*KFC!$C$5</f>
        <v>34.621440346273261</v>
      </c>
      <c r="H27" s="898">
        <f>(AE27*KFC!$B$16+KFC!$C$16)*KFC!$C$5</f>
        <v>37.978883203908438</v>
      </c>
      <c r="I27" s="898">
        <f>(AF27*KFC!$B$16+KFC!$C$16)*KFC!$C$5</f>
        <v>41.336326061543616</v>
      </c>
      <c r="J27" s="898">
        <f>(AG27*KFC!$B$16+KFC!$C$16)*KFC!$C$5</f>
        <v>44.693768919178794</v>
      </c>
      <c r="K27" s="898">
        <f>(AH27*KFC!$B$16+KFC!$C$16)*KFC!$C$5</f>
        <v>48.051211776813957</v>
      </c>
      <c r="L27" s="898">
        <f>(AI27*KFC!$B$16+KFC!$C$16)*KFC!$C$5</f>
        <v>51.408654634449135</v>
      </c>
      <c r="M27" s="898">
        <f>(AJ27*KFC!$B$16+KFC!$C$16)*KFC!$C$5</f>
        <v>54.766097492084306</v>
      </c>
      <c r="N27" s="898">
        <f>(AK27*KFC!$B$16+KFC!$C$16)*KFC!$C$5</f>
        <v>58.123540349719484</v>
      </c>
      <c r="O27" s="898">
        <f>(AL27*KFC!$B$16+KFC!$C$16)*KFC!$C$5</f>
        <v>61.480983207354654</v>
      </c>
      <c r="P27" s="898">
        <f>(AM27*KFC!$B$16+KFC!$C$16)*KFC!$C$5</f>
        <v>64.838426064989832</v>
      </c>
      <c r="Q27" s="898">
        <f>(AN27*KFC!$B$16+KFC!$C$16)*KFC!$C$5</f>
        <v>68.195868922624996</v>
      </c>
      <c r="R27" s="898">
        <f>(AO27*KFC!$B$16+KFC!$C$16)*KFC!$C$5</f>
        <v>71.553311780260174</v>
      </c>
      <c r="S27" s="898">
        <f>(AP27*KFC!$B$16+KFC!$C$16)*KFC!$C$5</f>
        <v>74.910754637895351</v>
      </c>
      <c r="T27" s="898">
        <f>(AQ27*KFC!$B$16+KFC!$C$16)*KFC!$C$5</f>
        <v>78.268197495530529</v>
      </c>
      <c r="U27" s="898">
        <f>(AR27*KFC!$B$16+KFC!$C$16)*KFC!$C$5</f>
        <v>81.625640353165707</v>
      </c>
      <c r="V27" s="898">
        <f>(AS27*KFC!$B$16+KFC!$C$16)*KFC!$C$5</f>
        <v>84.983083210800871</v>
      </c>
      <c r="W27" s="903">
        <f>(AT27*KFC!$B$16+KFC!$C$16)*KFC!$C$5</f>
        <v>88.34052606843602</v>
      </c>
      <c r="Y27" s="1277"/>
      <c r="Z27" s="649">
        <v>2.1</v>
      </c>
      <c r="AA27" s="882">
        <v>24.549111773367748</v>
      </c>
      <c r="AB27" s="882">
        <v>27.906554631002919</v>
      </c>
      <c r="AC27" s="882">
        <v>31.263997488638093</v>
      </c>
      <c r="AD27" s="882">
        <v>34.621440346273261</v>
      </c>
      <c r="AE27" s="882">
        <v>37.978883203908438</v>
      </c>
      <c r="AF27" s="882">
        <v>41.336326061543616</v>
      </c>
      <c r="AG27" s="882">
        <v>44.693768919178794</v>
      </c>
      <c r="AH27" s="882">
        <v>48.051211776813957</v>
      </c>
      <c r="AI27" s="882">
        <v>51.408654634449135</v>
      </c>
      <c r="AJ27" s="882">
        <v>54.766097492084306</v>
      </c>
      <c r="AK27" s="882">
        <v>58.123540349719484</v>
      </c>
      <c r="AL27" s="882">
        <v>61.480983207354654</v>
      </c>
      <c r="AM27" s="882">
        <v>64.838426064989832</v>
      </c>
      <c r="AN27" s="882">
        <v>68.195868922624996</v>
      </c>
      <c r="AO27" s="882">
        <v>71.553311780260174</v>
      </c>
      <c r="AP27" s="882">
        <v>74.910754637895351</v>
      </c>
      <c r="AQ27" s="882">
        <v>78.268197495530529</v>
      </c>
      <c r="AR27" s="882">
        <v>81.625640353165707</v>
      </c>
      <c r="AS27" s="882">
        <v>84.983083210800871</v>
      </c>
      <c r="AT27" s="882">
        <v>88.34052606843602</v>
      </c>
    </row>
    <row r="28" spans="1:46" ht="15" thickBot="1">
      <c r="A28" s="1428"/>
      <c r="B28" s="1429"/>
      <c r="C28" s="888">
        <v>2.2000000000000002</v>
      </c>
      <c r="D28" s="904">
        <f>(AA28*KFC!$B$16+KFC!$C$16)*KFC!$C$5</f>
        <v>25.028947298339997</v>
      </c>
      <c r="E28" s="905">
        <f>(AB28*KFC!$B$16+KFC!$C$16)*KFC!$C$5</f>
        <v>28.493282468695259</v>
      </c>
      <c r="F28" s="905">
        <f>(AC28*KFC!$B$16+KFC!$C$16)*KFC!$C$5</f>
        <v>31.957617639050522</v>
      </c>
      <c r="G28" s="905">
        <f>(AD28*KFC!$B$16+KFC!$C$16)*KFC!$C$5</f>
        <v>35.421952809405788</v>
      </c>
      <c r="H28" s="905">
        <f>(AE28*KFC!$B$16+KFC!$C$16)*KFC!$C$5</f>
        <v>38.88628797976105</v>
      </c>
      <c r="I28" s="905">
        <f>(AF28*KFC!$B$16+KFC!$C$16)*KFC!$C$5</f>
        <v>42.350623150116313</v>
      </c>
      <c r="J28" s="905">
        <f>(AG28*KFC!$B$16+KFC!$C$16)*KFC!$C$5</f>
        <v>45.814958320471582</v>
      </c>
      <c r="K28" s="905">
        <f>(AH28*KFC!$B$16+KFC!$C$16)*KFC!$C$5</f>
        <v>49.279293490826852</v>
      </c>
      <c r="L28" s="905">
        <f>(AI28*KFC!$B$16+KFC!$C$16)*KFC!$C$5</f>
        <v>52.743628661182115</v>
      </c>
      <c r="M28" s="905">
        <f>(AJ28*KFC!$B$16+KFC!$C$16)*KFC!$C$5</f>
        <v>56.207963831537384</v>
      </c>
      <c r="N28" s="905">
        <f>(AK28*KFC!$B$16+KFC!$C$16)*KFC!$C$5</f>
        <v>59.672299001892647</v>
      </c>
      <c r="O28" s="905">
        <f>(AL28*KFC!$B$16+KFC!$C$16)*KFC!$C$5</f>
        <v>63.136634172247916</v>
      </c>
      <c r="P28" s="905">
        <f>(AM28*KFC!$B$16+KFC!$C$16)*KFC!$C$5</f>
        <v>66.600969342603179</v>
      </c>
      <c r="Q28" s="905">
        <f>(AN28*KFC!$B$16+KFC!$C$16)*KFC!$C$5</f>
        <v>70.065304512958448</v>
      </c>
      <c r="R28" s="905">
        <f>(AO28*KFC!$B$16+KFC!$C$16)*KFC!$C$5</f>
        <v>73.529639683313718</v>
      </c>
      <c r="S28" s="905">
        <f>(AP28*KFC!$B$16+KFC!$C$16)*KFC!$C$5</f>
        <v>76.993974853668988</v>
      </c>
      <c r="T28" s="905">
        <f>(AQ28*KFC!$B$16+KFC!$C$16)*KFC!$C$5</f>
        <v>80.458310024024243</v>
      </c>
      <c r="U28" s="905">
        <f>(AR28*KFC!$B$16+KFC!$C$16)*KFC!$C$5</f>
        <v>83.922645194379513</v>
      </c>
      <c r="V28" s="905">
        <f>(AS28*KFC!$B$16+KFC!$C$16)*KFC!$C$5</f>
        <v>87.386980364734782</v>
      </c>
      <c r="W28" s="906">
        <f>(AT28*KFC!$B$16+KFC!$C$16)*KFC!$C$5</f>
        <v>90.851315535089995</v>
      </c>
      <c r="Y28" s="1277"/>
      <c r="Z28" s="649">
        <v>2.2000000000000002</v>
      </c>
      <c r="AA28" s="882">
        <v>25.028947298339997</v>
      </c>
      <c r="AB28" s="882">
        <v>28.493282468695259</v>
      </c>
      <c r="AC28" s="882">
        <v>31.957617639050522</v>
      </c>
      <c r="AD28" s="882">
        <v>35.421952809405788</v>
      </c>
      <c r="AE28" s="882">
        <v>38.88628797976105</v>
      </c>
      <c r="AF28" s="882">
        <v>42.350623150116313</v>
      </c>
      <c r="AG28" s="882">
        <v>45.814958320471582</v>
      </c>
      <c r="AH28" s="882">
        <v>49.279293490826852</v>
      </c>
      <c r="AI28" s="882">
        <v>52.743628661182115</v>
      </c>
      <c r="AJ28" s="882">
        <v>56.207963831537384</v>
      </c>
      <c r="AK28" s="882">
        <v>59.672299001892647</v>
      </c>
      <c r="AL28" s="882">
        <v>63.136634172247916</v>
      </c>
      <c r="AM28" s="882">
        <v>66.600969342603179</v>
      </c>
      <c r="AN28" s="882">
        <v>70.065304512958448</v>
      </c>
      <c r="AO28" s="882">
        <v>73.529639683313718</v>
      </c>
      <c r="AP28" s="882">
        <v>76.993974853668988</v>
      </c>
      <c r="AQ28" s="882">
        <v>80.458310024024243</v>
      </c>
      <c r="AR28" s="882">
        <v>83.922645194379513</v>
      </c>
      <c r="AS28" s="882">
        <v>87.386980364734782</v>
      </c>
      <c r="AT28" s="882">
        <v>90.851315535089995</v>
      </c>
    </row>
    <row r="29" spans="1:46">
      <c r="A29" s="16"/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</row>
    <row r="30" spans="1:46" ht="57.75" customHeight="1" thickBot="1">
      <c r="A30" s="1033" t="s">
        <v>1200</v>
      </c>
      <c r="B30" s="1033"/>
      <c r="C30" s="1033"/>
      <c r="D30" s="1033"/>
      <c r="E30" s="1033"/>
      <c r="F30" s="1033"/>
      <c r="G30" s="1033"/>
      <c r="H30" s="1033"/>
      <c r="I30" s="1033"/>
      <c r="J30" s="1033"/>
      <c r="K30" s="1033"/>
      <c r="L30" s="1033"/>
      <c r="M30" s="1033"/>
      <c r="N30" s="1033"/>
      <c r="O30" s="1033"/>
      <c r="P30" s="1033"/>
      <c r="Q30" s="1033"/>
      <c r="R30" s="1033"/>
      <c r="S30" s="1033"/>
      <c r="T30" s="1033"/>
      <c r="U30" s="1033"/>
      <c r="V30" s="1033"/>
      <c r="W30" s="1033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</row>
    <row r="31" spans="1:46" ht="34.5" customHeight="1" thickBot="1">
      <c r="A31" s="1433"/>
      <c r="B31" s="1434"/>
      <c r="C31" s="1435"/>
      <c r="D31" s="1419" t="s">
        <v>207</v>
      </c>
      <c r="E31" s="1420"/>
      <c r="F31" s="1420"/>
      <c r="G31" s="1420"/>
      <c r="H31" s="1420"/>
      <c r="I31" s="1420"/>
      <c r="J31" s="1420"/>
      <c r="K31" s="1420"/>
      <c r="L31" s="1420"/>
      <c r="M31" s="1420"/>
      <c r="N31" s="1420"/>
      <c r="O31" s="1420"/>
      <c r="P31" s="1420"/>
      <c r="Q31" s="1420"/>
      <c r="R31" s="1420"/>
      <c r="S31" s="1420"/>
      <c r="T31" s="1420"/>
      <c r="U31" s="1420"/>
      <c r="V31" s="1420"/>
      <c r="W31" s="1421"/>
      <c r="Y31" s="1278" t="s">
        <v>1197</v>
      </c>
      <c r="Z31" s="1278"/>
      <c r="AA31" s="1279" t="s">
        <v>356</v>
      </c>
      <c r="AB31" s="1279"/>
      <c r="AC31" s="1279"/>
      <c r="AD31" s="1279"/>
      <c r="AE31" s="1279"/>
      <c r="AF31" s="1279"/>
      <c r="AG31" s="1279"/>
      <c r="AH31" s="1279"/>
      <c r="AI31" s="1279"/>
      <c r="AJ31" s="1279"/>
      <c r="AK31" s="1279"/>
      <c r="AL31" s="1279"/>
      <c r="AM31" s="1279"/>
      <c r="AN31" s="1279"/>
      <c r="AO31" s="1279"/>
      <c r="AP31" s="1279"/>
      <c r="AQ31" s="1279"/>
      <c r="AR31" s="1279"/>
      <c r="AS31" s="1279"/>
      <c r="AT31" s="1279"/>
    </row>
    <row r="32" spans="1:46" ht="14.4" customHeight="1" thickBot="1">
      <c r="A32" s="1436"/>
      <c r="B32" s="1437"/>
      <c r="C32" s="1438"/>
      <c r="D32" s="883">
        <v>0.3</v>
      </c>
      <c r="E32" s="884">
        <v>0.4</v>
      </c>
      <c r="F32" s="884">
        <v>0.5</v>
      </c>
      <c r="G32" s="884">
        <v>0.6</v>
      </c>
      <c r="H32" s="884">
        <v>0.7</v>
      </c>
      <c r="I32" s="884">
        <v>0.8</v>
      </c>
      <c r="J32" s="884">
        <v>0.9</v>
      </c>
      <c r="K32" s="884">
        <v>1</v>
      </c>
      <c r="L32" s="884">
        <v>1.1000000000000001</v>
      </c>
      <c r="M32" s="884">
        <v>1.2</v>
      </c>
      <c r="N32" s="884">
        <v>1.3</v>
      </c>
      <c r="O32" s="884">
        <v>1.4</v>
      </c>
      <c r="P32" s="884">
        <v>1.5</v>
      </c>
      <c r="Q32" s="884">
        <v>1.6</v>
      </c>
      <c r="R32" s="884">
        <v>1.7</v>
      </c>
      <c r="S32" s="884">
        <v>1.8</v>
      </c>
      <c r="T32" s="884">
        <v>1.9</v>
      </c>
      <c r="U32" s="884">
        <v>2</v>
      </c>
      <c r="V32" s="884">
        <v>2.1</v>
      </c>
      <c r="W32" s="885">
        <v>2.2000000000000002</v>
      </c>
      <c r="Y32" s="1278"/>
      <c r="Z32" s="1278"/>
      <c r="AA32" s="649">
        <v>0.3</v>
      </c>
      <c r="AB32" s="649">
        <v>0.4</v>
      </c>
      <c r="AC32" s="649">
        <v>0.5</v>
      </c>
      <c r="AD32" s="649">
        <v>0.6</v>
      </c>
      <c r="AE32" s="649">
        <v>0.7</v>
      </c>
      <c r="AF32" s="649">
        <v>0.8</v>
      </c>
      <c r="AG32" s="649">
        <v>0.9</v>
      </c>
      <c r="AH32" s="649">
        <v>1</v>
      </c>
      <c r="AI32" s="649">
        <v>1.1000000000000001</v>
      </c>
      <c r="AJ32" s="649">
        <v>1.2</v>
      </c>
      <c r="AK32" s="649">
        <v>1.3</v>
      </c>
      <c r="AL32" s="649">
        <v>1.4</v>
      </c>
      <c r="AM32" s="649">
        <v>1.5</v>
      </c>
      <c r="AN32" s="649">
        <v>1.6</v>
      </c>
      <c r="AO32" s="649">
        <v>1.7</v>
      </c>
      <c r="AP32" s="649">
        <v>1.8</v>
      </c>
      <c r="AQ32" s="649">
        <v>1.9</v>
      </c>
      <c r="AR32" s="649">
        <v>2</v>
      </c>
      <c r="AS32" s="649">
        <v>2.1</v>
      </c>
      <c r="AT32" s="649">
        <v>2.2000000000000002</v>
      </c>
    </row>
    <row r="33" spans="1:46" ht="15" customHeight="1">
      <c r="A33" s="1426" t="s">
        <v>3</v>
      </c>
      <c r="B33" s="1427"/>
      <c r="C33" s="886">
        <v>0.2</v>
      </c>
      <c r="D33" s="899">
        <f>(AA33*KFC!$B$16+KFC!$C$16)*KFC!$C$5</f>
        <v>15.45131574621</v>
      </c>
      <c r="E33" s="900">
        <f>(AB33*KFC!$B$16+KFC!$C$16)*KFC!$C$5</f>
        <v>16.784833748016315</v>
      </c>
      <c r="F33" s="900">
        <f>(AC33*KFC!$B$16+KFC!$C$16)*KFC!$C$5</f>
        <v>18.118351749822629</v>
      </c>
      <c r="G33" s="900">
        <f>(AD33*KFC!$B$16+KFC!$C$16)*KFC!$C$5</f>
        <v>19.451869751628944</v>
      </c>
      <c r="H33" s="900">
        <f>(AE33*KFC!$B$16+KFC!$C$16)*KFC!$C$5</f>
        <v>20.785387753435259</v>
      </c>
      <c r="I33" s="900">
        <f>(AF33*KFC!$B$16+KFC!$C$16)*KFC!$C$5</f>
        <v>22.118905755241574</v>
      </c>
      <c r="J33" s="900">
        <f>(AG33*KFC!$B$16+KFC!$C$16)*KFC!$C$5</f>
        <v>23.452423757047889</v>
      </c>
      <c r="K33" s="900">
        <f>(AH33*KFC!$B$16+KFC!$C$16)*KFC!$C$5</f>
        <v>24.785941758854204</v>
      </c>
      <c r="L33" s="900">
        <f>(AI33*KFC!$B$16+KFC!$C$16)*KFC!$C$5</f>
        <v>26.119459760660522</v>
      </c>
      <c r="M33" s="900">
        <f>(AJ33*KFC!$B$16+KFC!$C$16)*KFC!$C$5</f>
        <v>27.452977762466833</v>
      </c>
      <c r="N33" s="900">
        <f>(AK33*KFC!$B$16+KFC!$C$16)*KFC!$C$5</f>
        <v>28.786495764273148</v>
      </c>
      <c r="O33" s="900">
        <f>(AL33*KFC!$B$16+KFC!$C$16)*KFC!$C$5</f>
        <v>30.120013766079467</v>
      </c>
      <c r="P33" s="900">
        <f>(AM33*KFC!$B$16+KFC!$C$16)*KFC!$C$5</f>
        <v>31.453531767885778</v>
      </c>
      <c r="Q33" s="900">
        <f>(AN33*KFC!$B$16+KFC!$C$16)*KFC!$C$5</f>
        <v>32.787049769692096</v>
      </c>
      <c r="R33" s="900">
        <f>(AO33*KFC!$B$16+KFC!$C$16)*KFC!$C$5</f>
        <v>34.120567771498408</v>
      </c>
      <c r="S33" s="900">
        <f>(AP33*KFC!$B$16+KFC!$C$16)*KFC!$C$5</f>
        <v>35.454085773304726</v>
      </c>
      <c r="T33" s="900">
        <f>(AQ33*KFC!$B$16+KFC!$C$16)*KFC!$C$5</f>
        <v>36.787603775111037</v>
      </c>
      <c r="U33" s="900">
        <f>(AR33*KFC!$B$16+KFC!$C$16)*KFC!$C$5</f>
        <v>38.121121776917356</v>
      </c>
      <c r="V33" s="900">
        <f>(AS33*KFC!$B$16+KFC!$C$16)*KFC!$C$5</f>
        <v>39.454639778723667</v>
      </c>
      <c r="W33" s="901">
        <f>(AT33*KFC!$B$16+KFC!$C$16)*KFC!$C$5</f>
        <v>40.78815778053</v>
      </c>
      <c r="Y33" s="1277" t="s">
        <v>357</v>
      </c>
      <c r="Z33" s="649">
        <v>0.2</v>
      </c>
      <c r="AA33" s="882">
        <v>15.45131574621</v>
      </c>
      <c r="AB33" s="882">
        <v>16.784833748016315</v>
      </c>
      <c r="AC33" s="882">
        <v>18.118351749822629</v>
      </c>
      <c r="AD33" s="882">
        <v>19.451869751628944</v>
      </c>
      <c r="AE33" s="882">
        <v>20.785387753435259</v>
      </c>
      <c r="AF33" s="882">
        <v>22.118905755241574</v>
      </c>
      <c r="AG33" s="882">
        <v>23.452423757047889</v>
      </c>
      <c r="AH33" s="882">
        <v>24.785941758854204</v>
      </c>
      <c r="AI33" s="882">
        <v>26.119459760660522</v>
      </c>
      <c r="AJ33" s="882">
        <v>27.452977762466833</v>
      </c>
      <c r="AK33" s="882">
        <v>28.786495764273148</v>
      </c>
      <c r="AL33" s="882">
        <v>30.120013766079467</v>
      </c>
      <c r="AM33" s="882">
        <v>31.453531767885778</v>
      </c>
      <c r="AN33" s="882">
        <v>32.787049769692096</v>
      </c>
      <c r="AO33" s="882">
        <v>34.120567771498408</v>
      </c>
      <c r="AP33" s="882">
        <v>35.454085773304726</v>
      </c>
      <c r="AQ33" s="882">
        <v>36.787603775111037</v>
      </c>
      <c r="AR33" s="882">
        <v>38.121121776917356</v>
      </c>
      <c r="AS33" s="882">
        <v>39.454639778723667</v>
      </c>
      <c r="AT33" s="882">
        <v>40.78815778053</v>
      </c>
    </row>
    <row r="34" spans="1:46" ht="14.4" customHeight="1">
      <c r="A34" s="1426"/>
      <c r="B34" s="1427"/>
      <c r="C34" s="887">
        <v>0.3</v>
      </c>
      <c r="D34" s="902">
        <f>(AA34*KFC!$B$16+KFC!$C$16)*KFC!$C$5</f>
        <v>15.942598639571248</v>
      </c>
      <c r="E34" s="898">
        <f>(AB34*KFC!$B$16+KFC!$C$16)*KFC!$C$5</f>
        <v>17.386523497024104</v>
      </c>
      <c r="F34" s="898">
        <f>(AC34*KFC!$B$16+KFC!$C$16)*KFC!$C$5</f>
        <v>18.83044835447696</v>
      </c>
      <c r="G34" s="898">
        <f>(AD34*KFC!$B$16+KFC!$C$16)*KFC!$C$5</f>
        <v>20.274373211929817</v>
      </c>
      <c r="H34" s="898">
        <f>(AE34*KFC!$B$16+KFC!$C$16)*KFC!$C$5</f>
        <v>21.718298069382669</v>
      </c>
      <c r="I34" s="898">
        <f>(AF34*KFC!$B$16+KFC!$C$16)*KFC!$C$5</f>
        <v>23.162222926835526</v>
      </c>
      <c r="J34" s="898">
        <f>(AG34*KFC!$B$16+KFC!$C$16)*KFC!$C$5</f>
        <v>24.606147784288378</v>
      </c>
      <c r="K34" s="898">
        <f>(AH34*KFC!$B$16+KFC!$C$16)*KFC!$C$5</f>
        <v>26.050072641741234</v>
      </c>
      <c r="L34" s="898">
        <f>(AI34*KFC!$B$16+KFC!$C$16)*KFC!$C$5</f>
        <v>27.493997499194091</v>
      </c>
      <c r="M34" s="898">
        <f>(AJ34*KFC!$B$16+KFC!$C$16)*KFC!$C$5</f>
        <v>28.937922356646947</v>
      </c>
      <c r="N34" s="898">
        <f>(AK34*KFC!$B$16+KFC!$C$16)*KFC!$C$5</f>
        <v>30.381847214099803</v>
      </c>
      <c r="O34" s="898">
        <f>(AL34*KFC!$B$16+KFC!$C$16)*KFC!$C$5</f>
        <v>31.825772071552652</v>
      </c>
      <c r="P34" s="898">
        <f>(AM34*KFC!$B$16+KFC!$C$16)*KFC!$C$5</f>
        <v>33.269696929005512</v>
      </c>
      <c r="Q34" s="898">
        <f>(AN34*KFC!$B$16+KFC!$C$16)*KFC!$C$5</f>
        <v>34.713621786458361</v>
      </c>
      <c r="R34" s="898">
        <f>(AO34*KFC!$B$16+KFC!$C$16)*KFC!$C$5</f>
        <v>36.157546643911225</v>
      </c>
      <c r="S34" s="898">
        <f>(AP34*KFC!$B$16+KFC!$C$16)*KFC!$C$5</f>
        <v>37.601471501364074</v>
      </c>
      <c r="T34" s="898">
        <f>(AQ34*KFC!$B$16+KFC!$C$16)*KFC!$C$5</f>
        <v>39.04539635881693</v>
      </c>
      <c r="U34" s="898">
        <f>(AR34*KFC!$B$16+KFC!$C$16)*KFC!$C$5</f>
        <v>40.489321216269786</v>
      </c>
      <c r="V34" s="898">
        <f>(AS34*KFC!$B$16+KFC!$C$16)*KFC!$C$5</f>
        <v>41.933246073722643</v>
      </c>
      <c r="W34" s="903">
        <f>(AT34*KFC!$B$16+KFC!$C$16)*KFC!$C$5</f>
        <v>43.377170931175499</v>
      </c>
      <c r="Y34" s="1277"/>
      <c r="Z34" s="649">
        <v>0.3</v>
      </c>
      <c r="AA34" s="882">
        <v>15.942598639571248</v>
      </c>
      <c r="AB34" s="882">
        <v>17.386523497024104</v>
      </c>
      <c r="AC34" s="882">
        <v>18.83044835447696</v>
      </c>
      <c r="AD34" s="882">
        <v>20.274373211929817</v>
      </c>
      <c r="AE34" s="882">
        <v>21.718298069382669</v>
      </c>
      <c r="AF34" s="882">
        <v>23.162222926835526</v>
      </c>
      <c r="AG34" s="882">
        <v>24.606147784288378</v>
      </c>
      <c r="AH34" s="882">
        <v>26.050072641741234</v>
      </c>
      <c r="AI34" s="882">
        <v>27.493997499194091</v>
      </c>
      <c r="AJ34" s="882">
        <v>28.937922356646947</v>
      </c>
      <c r="AK34" s="882">
        <v>30.381847214099803</v>
      </c>
      <c r="AL34" s="882">
        <v>31.825772071552652</v>
      </c>
      <c r="AM34" s="882">
        <v>33.269696929005512</v>
      </c>
      <c r="AN34" s="882">
        <v>34.713621786458361</v>
      </c>
      <c r="AO34" s="882">
        <v>36.157546643911225</v>
      </c>
      <c r="AP34" s="882">
        <v>37.601471501364074</v>
      </c>
      <c r="AQ34" s="882">
        <v>39.04539635881693</v>
      </c>
      <c r="AR34" s="882">
        <v>40.489321216269786</v>
      </c>
      <c r="AS34" s="882">
        <v>41.933246073722643</v>
      </c>
      <c r="AT34" s="882">
        <v>43.377170931175499</v>
      </c>
    </row>
    <row r="35" spans="1:46">
      <c r="A35" s="1426"/>
      <c r="B35" s="1427"/>
      <c r="C35" s="887">
        <v>0.4</v>
      </c>
      <c r="D35" s="902">
        <f>(AA35*KFC!$B$16+KFC!$C$16)*KFC!$C$5</f>
        <v>16.433881532932499</v>
      </c>
      <c r="E35" s="898">
        <f>(AB35*KFC!$B$16+KFC!$C$16)*KFC!$C$5</f>
        <v>17.988213246031897</v>
      </c>
      <c r="F35" s="898">
        <f>(AC35*KFC!$B$16+KFC!$C$16)*KFC!$C$5</f>
        <v>19.542544959131291</v>
      </c>
      <c r="G35" s="898">
        <f>(AD35*KFC!$B$16+KFC!$C$16)*KFC!$C$5</f>
        <v>21.096876672230685</v>
      </c>
      <c r="H35" s="898">
        <f>(AE35*KFC!$B$16+KFC!$C$16)*KFC!$C$5</f>
        <v>22.651208385330079</v>
      </c>
      <c r="I35" s="898">
        <f>(AF35*KFC!$B$16+KFC!$C$16)*KFC!$C$5</f>
        <v>24.205540098429474</v>
      </c>
      <c r="J35" s="898">
        <f>(AG35*KFC!$B$16+KFC!$C$16)*KFC!$C$5</f>
        <v>25.759871811528871</v>
      </c>
      <c r="K35" s="898">
        <f>(AH35*KFC!$B$16+KFC!$C$16)*KFC!$C$5</f>
        <v>27.314203524628265</v>
      </c>
      <c r="L35" s="898">
        <f>(AI35*KFC!$B$16+KFC!$C$16)*KFC!$C$5</f>
        <v>28.868535237727659</v>
      </c>
      <c r="M35" s="898">
        <f>(AJ35*KFC!$B$16+KFC!$C$16)*KFC!$C$5</f>
        <v>30.422866950827057</v>
      </c>
      <c r="N35" s="898">
        <f>(AK35*KFC!$B$16+KFC!$C$16)*KFC!$C$5</f>
        <v>31.977198663926451</v>
      </c>
      <c r="O35" s="898">
        <f>(AL35*KFC!$B$16+KFC!$C$16)*KFC!$C$5</f>
        <v>33.531530377025845</v>
      </c>
      <c r="P35" s="898">
        <f>(AM35*KFC!$B$16+KFC!$C$16)*KFC!$C$5</f>
        <v>35.085862090125246</v>
      </c>
      <c r="Q35" s="898">
        <f>(AN35*KFC!$B$16+KFC!$C$16)*KFC!$C$5</f>
        <v>36.640193803224641</v>
      </c>
      <c r="R35" s="898">
        <f>(AO35*KFC!$B$16+KFC!$C$16)*KFC!$C$5</f>
        <v>38.194525516324035</v>
      </c>
      <c r="S35" s="898">
        <f>(AP35*KFC!$B$16+KFC!$C$16)*KFC!$C$5</f>
        <v>39.748857229423429</v>
      </c>
      <c r="T35" s="898">
        <f>(AQ35*KFC!$B$16+KFC!$C$16)*KFC!$C$5</f>
        <v>41.303188942522823</v>
      </c>
      <c r="U35" s="898">
        <f>(AR35*KFC!$B$16+KFC!$C$16)*KFC!$C$5</f>
        <v>42.857520655622217</v>
      </c>
      <c r="V35" s="898">
        <f>(AS35*KFC!$B$16+KFC!$C$16)*KFC!$C$5</f>
        <v>44.411852368721618</v>
      </c>
      <c r="W35" s="903">
        <f>(AT35*KFC!$B$16+KFC!$C$16)*KFC!$C$5</f>
        <v>45.966184081820998</v>
      </c>
      <c r="Y35" s="1277"/>
      <c r="Z35" s="649">
        <v>0.4</v>
      </c>
      <c r="AA35" s="882">
        <v>16.433881532932499</v>
      </c>
      <c r="AB35" s="882">
        <v>17.988213246031897</v>
      </c>
      <c r="AC35" s="882">
        <v>19.542544959131291</v>
      </c>
      <c r="AD35" s="882">
        <v>21.096876672230685</v>
      </c>
      <c r="AE35" s="882">
        <v>22.651208385330079</v>
      </c>
      <c r="AF35" s="882">
        <v>24.205540098429474</v>
      </c>
      <c r="AG35" s="882">
        <v>25.759871811528871</v>
      </c>
      <c r="AH35" s="882">
        <v>27.314203524628265</v>
      </c>
      <c r="AI35" s="882">
        <v>28.868535237727659</v>
      </c>
      <c r="AJ35" s="882">
        <v>30.422866950827057</v>
      </c>
      <c r="AK35" s="882">
        <v>31.977198663926451</v>
      </c>
      <c r="AL35" s="882">
        <v>33.531530377025845</v>
      </c>
      <c r="AM35" s="882">
        <v>35.085862090125246</v>
      </c>
      <c r="AN35" s="882">
        <v>36.640193803224641</v>
      </c>
      <c r="AO35" s="882">
        <v>38.194525516324035</v>
      </c>
      <c r="AP35" s="882">
        <v>39.748857229423429</v>
      </c>
      <c r="AQ35" s="882">
        <v>41.303188942522823</v>
      </c>
      <c r="AR35" s="882">
        <v>42.857520655622217</v>
      </c>
      <c r="AS35" s="882">
        <v>44.411852368721618</v>
      </c>
      <c r="AT35" s="882">
        <v>45.966184081820998</v>
      </c>
    </row>
    <row r="36" spans="1:46">
      <c r="A36" s="1426"/>
      <c r="B36" s="1427"/>
      <c r="C36" s="887">
        <v>0.5</v>
      </c>
      <c r="D36" s="902">
        <f>(AA36*KFC!$B$16+KFC!$C$16)*KFC!$C$5</f>
        <v>16.925164426293751</v>
      </c>
      <c r="E36" s="898">
        <f>(AB36*KFC!$B$16+KFC!$C$16)*KFC!$C$5</f>
        <v>18.589902995039683</v>
      </c>
      <c r="F36" s="898">
        <f>(AC36*KFC!$B$16+KFC!$C$16)*KFC!$C$5</f>
        <v>20.254641563785619</v>
      </c>
      <c r="G36" s="898">
        <f>(AD36*KFC!$B$16+KFC!$C$16)*KFC!$C$5</f>
        <v>21.919380132531554</v>
      </c>
      <c r="H36" s="898">
        <f>(AE36*KFC!$B$16+KFC!$C$16)*KFC!$C$5</f>
        <v>23.58411870127749</v>
      </c>
      <c r="I36" s="898">
        <f>(AF36*KFC!$B$16+KFC!$C$16)*KFC!$C$5</f>
        <v>25.248857270023425</v>
      </c>
      <c r="J36" s="898">
        <f>(AG36*KFC!$B$16+KFC!$C$16)*KFC!$C$5</f>
        <v>26.913595838769361</v>
      </c>
      <c r="K36" s="898">
        <f>(AH36*KFC!$B$16+KFC!$C$16)*KFC!$C$5</f>
        <v>28.578334407515293</v>
      </c>
      <c r="L36" s="898">
        <f>(AI36*KFC!$B$16+KFC!$C$16)*KFC!$C$5</f>
        <v>30.243072976261228</v>
      </c>
      <c r="M36" s="898">
        <f>(AJ36*KFC!$B$16+KFC!$C$16)*KFC!$C$5</f>
        <v>31.907811545007167</v>
      </c>
      <c r="N36" s="898">
        <f>(AK36*KFC!$B$16+KFC!$C$16)*KFC!$C$5</f>
        <v>33.572550113753103</v>
      </c>
      <c r="O36" s="898">
        <f>(AL36*KFC!$B$16+KFC!$C$16)*KFC!$C$5</f>
        <v>35.237288682499035</v>
      </c>
      <c r="P36" s="898">
        <f>(AM36*KFC!$B$16+KFC!$C$16)*KFC!$C$5</f>
        <v>36.902027251244967</v>
      </c>
      <c r="Q36" s="898">
        <f>(AN36*KFC!$B$16+KFC!$C$16)*KFC!$C$5</f>
        <v>38.566765819990906</v>
      </c>
      <c r="R36" s="898">
        <f>(AO36*KFC!$B$16+KFC!$C$16)*KFC!$C$5</f>
        <v>40.231504388736838</v>
      </c>
      <c r="S36" s="898">
        <f>(AP36*KFC!$B$16+KFC!$C$16)*KFC!$C$5</f>
        <v>41.896242957482769</v>
      </c>
      <c r="T36" s="898">
        <f>(AQ36*KFC!$B$16+KFC!$C$16)*KFC!$C$5</f>
        <v>43.560981526228716</v>
      </c>
      <c r="U36" s="898">
        <f>(AR36*KFC!$B$16+KFC!$C$16)*KFC!$C$5</f>
        <v>45.225720094974641</v>
      </c>
      <c r="V36" s="898">
        <f>(AS36*KFC!$B$16+KFC!$C$16)*KFC!$C$5</f>
        <v>46.89045866372058</v>
      </c>
      <c r="W36" s="903">
        <f>(AT36*KFC!$B$16+KFC!$C$16)*KFC!$C$5</f>
        <v>48.555197232466497</v>
      </c>
      <c r="Y36" s="1277"/>
      <c r="Z36" s="649">
        <v>0.5</v>
      </c>
      <c r="AA36" s="882">
        <v>16.925164426293751</v>
      </c>
      <c r="AB36" s="882">
        <v>18.589902995039683</v>
      </c>
      <c r="AC36" s="882">
        <v>20.254641563785619</v>
      </c>
      <c r="AD36" s="882">
        <v>21.919380132531554</v>
      </c>
      <c r="AE36" s="882">
        <v>23.58411870127749</v>
      </c>
      <c r="AF36" s="882">
        <v>25.248857270023425</v>
      </c>
      <c r="AG36" s="882">
        <v>26.913595838769361</v>
      </c>
      <c r="AH36" s="882">
        <v>28.578334407515293</v>
      </c>
      <c r="AI36" s="882">
        <v>30.243072976261228</v>
      </c>
      <c r="AJ36" s="882">
        <v>31.907811545007167</v>
      </c>
      <c r="AK36" s="882">
        <v>33.572550113753103</v>
      </c>
      <c r="AL36" s="882">
        <v>35.237288682499035</v>
      </c>
      <c r="AM36" s="882">
        <v>36.902027251244967</v>
      </c>
      <c r="AN36" s="882">
        <v>38.566765819990906</v>
      </c>
      <c r="AO36" s="882">
        <v>40.231504388736838</v>
      </c>
      <c r="AP36" s="882">
        <v>41.896242957482769</v>
      </c>
      <c r="AQ36" s="882">
        <v>43.560981526228716</v>
      </c>
      <c r="AR36" s="882">
        <v>45.225720094974641</v>
      </c>
      <c r="AS36" s="882">
        <v>46.89045866372058</v>
      </c>
      <c r="AT36" s="882">
        <v>48.555197232466497</v>
      </c>
    </row>
    <row r="37" spans="1:46">
      <c r="A37" s="1426"/>
      <c r="B37" s="1427"/>
      <c r="C37" s="887">
        <v>0.6</v>
      </c>
      <c r="D37" s="902">
        <f>(AA37*KFC!$B$16+KFC!$C$16)*KFC!$C$5</f>
        <v>17.416447319654999</v>
      </c>
      <c r="E37" s="898">
        <f>(AB37*KFC!$B$16+KFC!$C$16)*KFC!$C$5</f>
        <v>19.191592744047473</v>
      </c>
      <c r="F37" s="898">
        <f>(AC37*KFC!$B$16+KFC!$C$16)*KFC!$C$5</f>
        <v>20.966738168439949</v>
      </c>
      <c r="G37" s="898">
        <f>(AD37*KFC!$B$16+KFC!$C$16)*KFC!$C$5</f>
        <v>22.741883592832419</v>
      </c>
      <c r="H37" s="898">
        <f>(AE37*KFC!$B$16+KFC!$C$16)*KFC!$C$5</f>
        <v>24.517029017224893</v>
      </c>
      <c r="I37" s="898">
        <f>(AF37*KFC!$B$16+KFC!$C$16)*KFC!$C$5</f>
        <v>26.292174441617362</v>
      </c>
      <c r="J37" s="898">
        <f>(AG37*KFC!$B$16+KFC!$C$16)*KFC!$C$5</f>
        <v>28.067319866009839</v>
      </c>
      <c r="K37" s="898">
        <f>(AH37*KFC!$B$16+KFC!$C$16)*KFC!$C$5</f>
        <v>29.842465290402309</v>
      </c>
      <c r="L37" s="898">
        <f>(AI37*KFC!$B$16+KFC!$C$16)*KFC!$C$5</f>
        <v>31.617610714794779</v>
      </c>
      <c r="M37" s="898">
        <f>(AJ37*KFC!$B$16+KFC!$C$16)*KFC!$C$5</f>
        <v>33.392756139187256</v>
      </c>
      <c r="N37" s="898">
        <f>(AK37*KFC!$B$16+KFC!$C$16)*KFC!$C$5</f>
        <v>35.167901563579726</v>
      </c>
      <c r="O37" s="898">
        <f>(AL37*KFC!$B$16+KFC!$C$16)*KFC!$C$5</f>
        <v>36.943046987972195</v>
      </c>
      <c r="P37" s="898">
        <f>(AM37*KFC!$B$16+KFC!$C$16)*KFC!$C$5</f>
        <v>38.718192412364672</v>
      </c>
      <c r="Q37" s="898">
        <f>(AN37*KFC!$B$16+KFC!$C$16)*KFC!$C$5</f>
        <v>40.493337836757142</v>
      </c>
      <c r="R37" s="898">
        <f>(AO37*KFC!$B$16+KFC!$C$16)*KFC!$C$5</f>
        <v>42.268483261149619</v>
      </c>
      <c r="S37" s="898">
        <f>(AP37*KFC!$B$16+KFC!$C$16)*KFC!$C$5</f>
        <v>44.043628685542103</v>
      </c>
      <c r="T37" s="898">
        <f>(AQ37*KFC!$B$16+KFC!$C$16)*KFC!$C$5</f>
        <v>45.818774109934566</v>
      </c>
      <c r="U37" s="898">
        <f>(AR37*KFC!$B$16+KFC!$C$16)*KFC!$C$5</f>
        <v>47.593919534327057</v>
      </c>
      <c r="V37" s="898">
        <f>(AS37*KFC!$B$16+KFC!$C$16)*KFC!$C$5</f>
        <v>49.369064958719527</v>
      </c>
      <c r="W37" s="903">
        <f>(AT37*KFC!$B$16+KFC!$C$16)*KFC!$C$5</f>
        <v>51.144210383111997</v>
      </c>
      <c r="Y37" s="1277"/>
      <c r="Z37" s="649">
        <v>0.6</v>
      </c>
      <c r="AA37" s="882">
        <v>17.416447319654999</v>
      </c>
      <c r="AB37" s="882">
        <v>19.191592744047473</v>
      </c>
      <c r="AC37" s="882">
        <v>20.966738168439949</v>
      </c>
      <c r="AD37" s="882">
        <v>22.741883592832419</v>
      </c>
      <c r="AE37" s="882">
        <v>24.517029017224893</v>
      </c>
      <c r="AF37" s="882">
        <v>26.292174441617362</v>
      </c>
      <c r="AG37" s="882">
        <v>28.067319866009839</v>
      </c>
      <c r="AH37" s="882">
        <v>29.842465290402309</v>
      </c>
      <c r="AI37" s="882">
        <v>31.617610714794779</v>
      </c>
      <c r="AJ37" s="882">
        <v>33.392756139187256</v>
      </c>
      <c r="AK37" s="882">
        <v>35.167901563579726</v>
      </c>
      <c r="AL37" s="882">
        <v>36.943046987972195</v>
      </c>
      <c r="AM37" s="882">
        <v>38.718192412364672</v>
      </c>
      <c r="AN37" s="882">
        <v>40.493337836757142</v>
      </c>
      <c r="AO37" s="882">
        <v>42.268483261149619</v>
      </c>
      <c r="AP37" s="882">
        <v>44.043628685542103</v>
      </c>
      <c r="AQ37" s="882">
        <v>45.818774109934566</v>
      </c>
      <c r="AR37" s="882">
        <v>47.593919534327057</v>
      </c>
      <c r="AS37" s="882">
        <v>49.369064958719527</v>
      </c>
      <c r="AT37" s="882">
        <v>51.144210383111997</v>
      </c>
    </row>
    <row r="38" spans="1:46">
      <c r="A38" s="1426"/>
      <c r="B38" s="1427"/>
      <c r="C38" s="887">
        <v>0.7</v>
      </c>
      <c r="D38" s="902">
        <f>(AA38*KFC!$B$16+KFC!$C$16)*KFC!$C$5</f>
        <v>17.907730213016251</v>
      </c>
      <c r="E38" s="898">
        <f>(AB38*KFC!$B$16+KFC!$C$16)*KFC!$C$5</f>
        <v>19.793282493055266</v>
      </c>
      <c r="F38" s="898">
        <f>(AC38*KFC!$B$16+KFC!$C$16)*KFC!$C$5</f>
        <v>21.678834773094277</v>
      </c>
      <c r="G38" s="898">
        <f>(AD38*KFC!$B$16+KFC!$C$16)*KFC!$C$5</f>
        <v>23.564387053133288</v>
      </c>
      <c r="H38" s="898">
        <f>(AE38*KFC!$B$16+KFC!$C$16)*KFC!$C$5</f>
        <v>25.449939333172299</v>
      </c>
      <c r="I38" s="898">
        <f>(AF38*KFC!$B$16+KFC!$C$16)*KFC!$C$5</f>
        <v>27.335491613211314</v>
      </c>
      <c r="J38" s="898">
        <f>(AG38*KFC!$B$16+KFC!$C$16)*KFC!$C$5</f>
        <v>29.221043893250322</v>
      </c>
      <c r="K38" s="898">
        <f>(AH38*KFC!$B$16+KFC!$C$16)*KFC!$C$5</f>
        <v>31.106596173289336</v>
      </c>
      <c r="L38" s="898">
        <f>(AI38*KFC!$B$16+KFC!$C$16)*KFC!$C$5</f>
        <v>32.992148453328348</v>
      </c>
      <c r="M38" s="898">
        <f>(AJ38*KFC!$B$16+KFC!$C$16)*KFC!$C$5</f>
        <v>34.877700733367362</v>
      </c>
      <c r="N38" s="898">
        <f>(AK38*KFC!$B$16+KFC!$C$16)*KFC!$C$5</f>
        <v>36.763253013406377</v>
      </c>
      <c r="O38" s="898">
        <f>(AL38*KFC!$B$16+KFC!$C$16)*KFC!$C$5</f>
        <v>38.648805293445385</v>
      </c>
      <c r="P38" s="898">
        <f>(AM38*KFC!$B$16+KFC!$C$16)*KFC!$C$5</f>
        <v>40.534357573484399</v>
      </c>
      <c r="Q38" s="898">
        <f>(AN38*KFC!$B$16+KFC!$C$16)*KFC!$C$5</f>
        <v>42.419909853523414</v>
      </c>
      <c r="R38" s="898">
        <f>(AO38*KFC!$B$16+KFC!$C$16)*KFC!$C$5</f>
        <v>44.305462133562436</v>
      </c>
      <c r="S38" s="898">
        <f>(AP38*KFC!$B$16+KFC!$C$16)*KFC!$C$5</f>
        <v>46.191014413601451</v>
      </c>
      <c r="T38" s="898">
        <f>(AQ38*KFC!$B$16+KFC!$C$16)*KFC!$C$5</f>
        <v>48.076566693640466</v>
      </c>
      <c r="U38" s="898">
        <f>(AR38*KFC!$B$16+KFC!$C$16)*KFC!$C$5</f>
        <v>49.962118973679488</v>
      </c>
      <c r="V38" s="898">
        <f>(AS38*KFC!$B$16+KFC!$C$16)*KFC!$C$5</f>
        <v>51.847671253718495</v>
      </c>
      <c r="W38" s="903">
        <f>(AT38*KFC!$B$16+KFC!$C$16)*KFC!$C$5</f>
        <v>53.733223533757496</v>
      </c>
      <c r="Y38" s="1277"/>
      <c r="Z38" s="649">
        <v>0.7</v>
      </c>
      <c r="AA38" s="882">
        <v>17.907730213016251</v>
      </c>
      <c r="AB38" s="882">
        <v>19.793282493055266</v>
      </c>
      <c r="AC38" s="882">
        <v>21.678834773094277</v>
      </c>
      <c r="AD38" s="882">
        <v>23.564387053133288</v>
      </c>
      <c r="AE38" s="882">
        <v>25.449939333172299</v>
      </c>
      <c r="AF38" s="882">
        <v>27.335491613211314</v>
      </c>
      <c r="AG38" s="882">
        <v>29.221043893250322</v>
      </c>
      <c r="AH38" s="882">
        <v>31.106596173289336</v>
      </c>
      <c r="AI38" s="882">
        <v>32.992148453328348</v>
      </c>
      <c r="AJ38" s="882">
        <v>34.877700733367362</v>
      </c>
      <c r="AK38" s="882">
        <v>36.763253013406377</v>
      </c>
      <c r="AL38" s="882">
        <v>38.648805293445385</v>
      </c>
      <c r="AM38" s="882">
        <v>40.534357573484399</v>
      </c>
      <c r="AN38" s="882">
        <v>42.419909853523414</v>
      </c>
      <c r="AO38" s="882">
        <v>44.305462133562436</v>
      </c>
      <c r="AP38" s="882">
        <v>46.191014413601451</v>
      </c>
      <c r="AQ38" s="882">
        <v>48.076566693640466</v>
      </c>
      <c r="AR38" s="882">
        <v>49.962118973679488</v>
      </c>
      <c r="AS38" s="882">
        <v>51.847671253718495</v>
      </c>
      <c r="AT38" s="882">
        <v>53.733223533757496</v>
      </c>
    </row>
    <row r="39" spans="1:46">
      <c r="A39" s="1426"/>
      <c r="B39" s="1427"/>
      <c r="C39" s="887">
        <v>0.8</v>
      </c>
      <c r="D39" s="902">
        <f>(AA39*KFC!$B$16+KFC!$C$16)*KFC!$C$5</f>
        <v>18.399013106377502</v>
      </c>
      <c r="E39" s="898">
        <f>(AB39*KFC!$B$16+KFC!$C$16)*KFC!$C$5</f>
        <v>20.394972242063055</v>
      </c>
      <c r="F39" s="898">
        <f>(AC39*KFC!$B$16+KFC!$C$16)*KFC!$C$5</f>
        <v>22.390931377748608</v>
      </c>
      <c r="G39" s="898">
        <f>(AD39*KFC!$B$16+KFC!$C$16)*KFC!$C$5</f>
        <v>24.38689051343416</v>
      </c>
      <c r="H39" s="898">
        <f>(AE39*KFC!$B$16+KFC!$C$16)*KFC!$C$5</f>
        <v>26.382849649119713</v>
      </c>
      <c r="I39" s="898">
        <f>(AF39*KFC!$B$16+KFC!$C$16)*KFC!$C$5</f>
        <v>28.378808784805262</v>
      </c>
      <c r="J39" s="898">
        <f>(AG39*KFC!$B$16+KFC!$C$16)*KFC!$C$5</f>
        <v>30.374767920490815</v>
      </c>
      <c r="K39" s="898">
        <f>(AH39*KFC!$B$16+KFC!$C$16)*KFC!$C$5</f>
        <v>32.370727056176364</v>
      </c>
      <c r="L39" s="898">
        <f>(AI39*KFC!$B$16+KFC!$C$16)*KFC!$C$5</f>
        <v>34.366686191861916</v>
      </c>
      <c r="M39" s="898">
        <f>(AJ39*KFC!$B$16+KFC!$C$16)*KFC!$C$5</f>
        <v>36.362645327547469</v>
      </c>
      <c r="N39" s="898">
        <f>(AK39*KFC!$B$16+KFC!$C$16)*KFC!$C$5</f>
        <v>38.358604463233021</v>
      </c>
      <c r="O39" s="898">
        <f>(AL39*KFC!$B$16+KFC!$C$16)*KFC!$C$5</f>
        <v>40.354563598918581</v>
      </c>
      <c r="P39" s="898">
        <f>(AM39*KFC!$B$16+KFC!$C$16)*KFC!$C$5</f>
        <v>42.350522734604134</v>
      </c>
      <c r="Q39" s="898">
        <f>(AN39*KFC!$B$16+KFC!$C$16)*KFC!$C$5</f>
        <v>44.346481870289693</v>
      </c>
      <c r="R39" s="898">
        <f>(AO39*KFC!$B$16+KFC!$C$16)*KFC!$C$5</f>
        <v>46.342441005975246</v>
      </c>
      <c r="S39" s="898">
        <f>(AP39*KFC!$B$16+KFC!$C$16)*KFC!$C$5</f>
        <v>48.338400141660806</v>
      </c>
      <c r="T39" s="898">
        <f>(AQ39*KFC!$B$16+KFC!$C$16)*KFC!$C$5</f>
        <v>50.334359277346358</v>
      </c>
      <c r="U39" s="898">
        <f>(AR39*KFC!$B$16+KFC!$C$16)*KFC!$C$5</f>
        <v>52.330318413031918</v>
      </c>
      <c r="V39" s="898">
        <f>(AS39*KFC!$B$16+KFC!$C$16)*KFC!$C$5</f>
        <v>54.326277548717471</v>
      </c>
      <c r="W39" s="903">
        <f>(AT39*KFC!$B$16+KFC!$C$16)*KFC!$C$5</f>
        <v>56.322236684402988</v>
      </c>
      <c r="Y39" s="1277"/>
      <c r="Z39" s="649">
        <v>0.8</v>
      </c>
      <c r="AA39" s="882">
        <v>18.399013106377502</v>
      </c>
      <c r="AB39" s="882">
        <v>20.394972242063055</v>
      </c>
      <c r="AC39" s="882">
        <v>22.390931377748608</v>
      </c>
      <c r="AD39" s="882">
        <v>24.38689051343416</v>
      </c>
      <c r="AE39" s="882">
        <v>26.382849649119713</v>
      </c>
      <c r="AF39" s="882">
        <v>28.378808784805262</v>
      </c>
      <c r="AG39" s="882">
        <v>30.374767920490815</v>
      </c>
      <c r="AH39" s="882">
        <v>32.370727056176364</v>
      </c>
      <c r="AI39" s="882">
        <v>34.366686191861916</v>
      </c>
      <c r="AJ39" s="882">
        <v>36.362645327547469</v>
      </c>
      <c r="AK39" s="882">
        <v>38.358604463233021</v>
      </c>
      <c r="AL39" s="882">
        <v>40.354563598918581</v>
      </c>
      <c r="AM39" s="882">
        <v>42.350522734604134</v>
      </c>
      <c r="AN39" s="882">
        <v>44.346481870289693</v>
      </c>
      <c r="AO39" s="882">
        <v>46.342441005975246</v>
      </c>
      <c r="AP39" s="882">
        <v>48.338400141660806</v>
      </c>
      <c r="AQ39" s="882">
        <v>50.334359277346358</v>
      </c>
      <c r="AR39" s="882">
        <v>52.330318413031918</v>
      </c>
      <c r="AS39" s="882">
        <v>54.326277548717471</v>
      </c>
      <c r="AT39" s="882">
        <v>56.322236684402988</v>
      </c>
    </row>
    <row r="40" spans="1:46">
      <c r="A40" s="1426"/>
      <c r="B40" s="1427"/>
      <c r="C40" s="887">
        <v>0.9</v>
      </c>
      <c r="D40" s="902">
        <f>(AA40*KFC!$B$16+KFC!$C$16)*KFC!$C$5</f>
        <v>18.890295999738754</v>
      </c>
      <c r="E40" s="898">
        <f>(AB40*KFC!$B$16+KFC!$C$16)*KFC!$C$5</f>
        <v>20.996661991070845</v>
      </c>
      <c r="F40" s="898">
        <f>(AC40*KFC!$B$16+KFC!$C$16)*KFC!$C$5</f>
        <v>23.103027982402939</v>
      </c>
      <c r="G40" s="898">
        <f>(AD40*KFC!$B$16+KFC!$C$16)*KFC!$C$5</f>
        <v>25.209393973735029</v>
      </c>
      <c r="H40" s="898">
        <f>(AE40*KFC!$B$16+KFC!$C$16)*KFC!$C$5</f>
        <v>27.315759965067123</v>
      </c>
      <c r="I40" s="898">
        <f>(AF40*KFC!$B$16+KFC!$C$16)*KFC!$C$5</f>
        <v>29.422125956399217</v>
      </c>
      <c r="J40" s="898">
        <f>(AG40*KFC!$B$16+KFC!$C$16)*KFC!$C$5</f>
        <v>31.528491947731307</v>
      </c>
      <c r="K40" s="898">
        <f>(AH40*KFC!$B$16+KFC!$C$16)*KFC!$C$5</f>
        <v>33.634857939063394</v>
      </c>
      <c r="L40" s="898">
        <f>(AI40*KFC!$B$16+KFC!$C$16)*KFC!$C$5</f>
        <v>35.741223930395492</v>
      </c>
      <c r="M40" s="898">
        <f>(AJ40*KFC!$B$16+KFC!$C$16)*KFC!$C$5</f>
        <v>37.847589921727582</v>
      </c>
      <c r="N40" s="898">
        <f>(AK40*KFC!$B$16+KFC!$C$16)*KFC!$C$5</f>
        <v>39.953955913059673</v>
      </c>
      <c r="O40" s="898">
        <f>(AL40*KFC!$B$16+KFC!$C$16)*KFC!$C$5</f>
        <v>42.060321904391756</v>
      </c>
      <c r="P40" s="898">
        <f>(AM40*KFC!$B$16+KFC!$C$16)*KFC!$C$5</f>
        <v>44.166687895723847</v>
      </c>
      <c r="Q40" s="898">
        <f>(AN40*KFC!$B$16+KFC!$C$16)*KFC!$C$5</f>
        <v>46.27305388705593</v>
      </c>
      <c r="R40" s="898">
        <f>(AO40*KFC!$B$16+KFC!$C$16)*KFC!$C$5</f>
        <v>48.37941987838802</v>
      </c>
      <c r="S40" s="898">
        <f>(AP40*KFC!$B$16+KFC!$C$16)*KFC!$C$5</f>
        <v>50.485785869720111</v>
      </c>
      <c r="T40" s="898">
        <f>(AQ40*KFC!$B$16+KFC!$C$16)*KFC!$C$5</f>
        <v>52.592151861052201</v>
      </c>
      <c r="U40" s="898">
        <f>(AR40*KFC!$B$16+KFC!$C$16)*KFC!$C$5</f>
        <v>54.698517852384292</v>
      </c>
      <c r="V40" s="898">
        <f>(AS40*KFC!$B$16+KFC!$C$16)*KFC!$C$5</f>
        <v>56.804883843716382</v>
      </c>
      <c r="W40" s="903">
        <f>(AT40*KFC!$B$16+KFC!$C$16)*KFC!$C$5</f>
        <v>58.911249835048487</v>
      </c>
      <c r="Y40" s="1277"/>
      <c r="Z40" s="649">
        <v>0.9</v>
      </c>
      <c r="AA40" s="882">
        <v>18.890295999738754</v>
      </c>
      <c r="AB40" s="882">
        <v>20.996661991070845</v>
      </c>
      <c r="AC40" s="882">
        <v>23.103027982402939</v>
      </c>
      <c r="AD40" s="882">
        <v>25.209393973735029</v>
      </c>
      <c r="AE40" s="882">
        <v>27.315759965067123</v>
      </c>
      <c r="AF40" s="882">
        <v>29.422125956399217</v>
      </c>
      <c r="AG40" s="882">
        <v>31.528491947731307</v>
      </c>
      <c r="AH40" s="882">
        <v>33.634857939063394</v>
      </c>
      <c r="AI40" s="882">
        <v>35.741223930395492</v>
      </c>
      <c r="AJ40" s="882">
        <v>37.847589921727582</v>
      </c>
      <c r="AK40" s="882">
        <v>39.953955913059673</v>
      </c>
      <c r="AL40" s="882">
        <v>42.060321904391756</v>
      </c>
      <c r="AM40" s="882">
        <v>44.166687895723847</v>
      </c>
      <c r="AN40" s="882">
        <v>46.27305388705593</v>
      </c>
      <c r="AO40" s="882">
        <v>48.37941987838802</v>
      </c>
      <c r="AP40" s="882">
        <v>50.485785869720111</v>
      </c>
      <c r="AQ40" s="882">
        <v>52.592151861052201</v>
      </c>
      <c r="AR40" s="882">
        <v>54.698517852384292</v>
      </c>
      <c r="AS40" s="882">
        <v>56.804883843716382</v>
      </c>
      <c r="AT40" s="882">
        <v>58.911249835048487</v>
      </c>
    </row>
    <row r="41" spans="1:46">
      <c r="A41" s="1426"/>
      <c r="B41" s="1427"/>
      <c r="C41" s="887">
        <v>1</v>
      </c>
      <c r="D41" s="902">
        <f>(AA41*KFC!$B$16+KFC!$C$16)*KFC!$C$5</f>
        <v>19.381578893100002</v>
      </c>
      <c r="E41" s="898">
        <f>(AB41*KFC!$B$16+KFC!$C$16)*KFC!$C$5</f>
        <v>21.59835174007863</v>
      </c>
      <c r="F41" s="898">
        <f>(AC41*KFC!$B$16+KFC!$C$16)*KFC!$C$5</f>
        <v>23.815124587057259</v>
      </c>
      <c r="G41" s="898">
        <f>(AD41*KFC!$B$16+KFC!$C$16)*KFC!$C$5</f>
        <v>26.031897434035887</v>
      </c>
      <c r="H41" s="898">
        <f>(AE41*KFC!$B$16+KFC!$C$16)*KFC!$C$5</f>
        <v>28.248670281014515</v>
      </c>
      <c r="I41" s="898">
        <f>(AF41*KFC!$B$16+KFC!$C$16)*KFC!$C$5</f>
        <v>30.465443127993147</v>
      </c>
      <c r="J41" s="898">
        <f>(AG41*KFC!$B$16+KFC!$C$16)*KFC!$C$5</f>
        <v>32.682215974971776</v>
      </c>
      <c r="K41" s="898">
        <f>(AH41*KFC!$B$16+KFC!$C$16)*KFC!$C$5</f>
        <v>34.898988821950411</v>
      </c>
      <c r="L41" s="898">
        <f>(AI41*KFC!$B$16+KFC!$C$16)*KFC!$C$5</f>
        <v>37.115761668929032</v>
      </c>
      <c r="M41" s="898">
        <f>(AJ41*KFC!$B$16+KFC!$C$16)*KFC!$C$5</f>
        <v>39.33253451590766</v>
      </c>
      <c r="N41" s="898">
        <f>(AK41*KFC!$B$16+KFC!$C$16)*KFC!$C$5</f>
        <v>41.549307362886289</v>
      </c>
      <c r="O41" s="898">
        <f>(AL41*KFC!$B$16+KFC!$C$16)*KFC!$C$5</f>
        <v>43.766080209864917</v>
      </c>
      <c r="P41" s="898">
        <f>(AM41*KFC!$B$16+KFC!$C$16)*KFC!$C$5</f>
        <v>45.98285305684356</v>
      </c>
      <c r="Q41" s="898">
        <f>(AN41*KFC!$B$16+KFC!$C$16)*KFC!$C$5</f>
        <v>48.199625903822174</v>
      </c>
      <c r="R41" s="898">
        <f>(AO41*KFC!$B$16+KFC!$C$16)*KFC!$C$5</f>
        <v>50.416398750800809</v>
      </c>
      <c r="S41" s="898">
        <f>(AP41*KFC!$B$16+KFC!$C$16)*KFC!$C$5</f>
        <v>52.63317159777943</v>
      </c>
      <c r="T41" s="898">
        <f>(AQ41*KFC!$B$16+KFC!$C$16)*KFC!$C$5</f>
        <v>54.849944444758066</v>
      </c>
      <c r="U41" s="898">
        <f>(AR41*KFC!$B$16+KFC!$C$16)*KFC!$C$5</f>
        <v>57.066717291736694</v>
      </c>
      <c r="V41" s="898">
        <f>(AS41*KFC!$B$16+KFC!$C$16)*KFC!$C$5</f>
        <v>59.283490138715322</v>
      </c>
      <c r="W41" s="903">
        <f>(AT41*KFC!$B$16+KFC!$C$16)*KFC!$C$5</f>
        <v>61.500262985693986</v>
      </c>
      <c r="Y41" s="1277"/>
      <c r="Z41" s="649">
        <v>1</v>
      </c>
      <c r="AA41" s="882">
        <v>19.381578893100002</v>
      </c>
      <c r="AB41" s="882">
        <v>21.59835174007863</v>
      </c>
      <c r="AC41" s="882">
        <v>23.815124587057259</v>
      </c>
      <c r="AD41" s="882">
        <v>26.031897434035887</v>
      </c>
      <c r="AE41" s="882">
        <v>28.248670281014515</v>
      </c>
      <c r="AF41" s="882">
        <v>30.465443127993147</v>
      </c>
      <c r="AG41" s="882">
        <v>32.682215974971776</v>
      </c>
      <c r="AH41" s="882">
        <v>34.898988821950411</v>
      </c>
      <c r="AI41" s="882">
        <v>37.115761668929032</v>
      </c>
      <c r="AJ41" s="882">
        <v>39.33253451590766</v>
      </c>
      <c r="AK41" s="882">
        <v>41.549307362886289</v>
      </c>
      <c r="AL41" s="882">
        <v>43.766080209864917</v>
      </c>
      <c r="AM41" s="882">
        <v>45.98285305684356</v>
      </c>
      <c r="AN41" s="882">
        <v>48.199625903822174</v>
      </c>
      <c r="AO41" s="882">
        <v>50.416398750800809</v>
      </c>
      <c r="AP41" s="882">
        <v>52.63317159777943</v>
      </c>
      <c r="AQ41" s="882">
        <v>54.849944444758066</v>
      </c>
      <c r="AR41" s="882">
        <v>57.066717291736694</v>
      </c>
      <c r="AS41" s="882">
        <v>59.283490138715322</v>
      </c>
      <c r="AT41" s="882">
        <v>61.500262985693986</v>
      </c>
    </row>
    <row r="42" spans="1:46">
      <c r="A42" s="1426"/>
      <c r="B42" s="1427"/>
      <c r="C42" s="887">
        <v>1.1000000000000001</v>
      </c>
      <c r="D42" s="902">
        <f>(AA42*KFC!$B$16+KFC!$C$16)*KFC!$C$5</f>
        <v>19.872861786461254</v>
      </c>
      <c r="E42" s="898">
        <f>(AB42*KFC!$B$16+KFC!$C$16)*KFC!$C$5</f>
        <v>22.200041489086423</v>
      </c>
      <c r="F42" s="898">
        <f>(AC42*KFC!$B$16+KFC!$C$16)*KFC!$C$5</f>
        <v>24.52722119171159</v>
      </c>
      <c r="G42" s="898">
        <f>(AD42*KFC!$B$16+KFC!$C$16)*KFC!$C$5</f>
        <v>26.854400894336759</v>
      </c>
      <c r="H42" s="898">
        <f>(AE42*KFC!$B$16+KFC!$C$16)*KFC!$C$5</f>
        <v>29.181580596961933</v>
      </c>
      <c r="I42" s="898">
        <f>(AF42*KFC!$B$16+KFC!$C$16)*KFC!$C$5</f>
        <v>31.508760299587099</v>
      </c>
      <c r="J42" s="898">
        <f>(AG42*KFC!$B$16+KFC!$C$16)*KFC!$C$5</f>
        <v>33.835940002212268</v>
      </c>
      <c r="K42" s="898">
        <f>(AH42*KFC!$B$16+KFC!$C$16)*KFC!$C$5</f>
        <v>36.163119704837442</v>
      </c>
      <c r="L42" s="898">
        <f>(AI42*KFC!$B$16+KFC!$C$16)*KFC!$C$5</f>
        <v>38.490299407462608</v>
      </c>
      <c r="M42" s="898">
        <f>(AJ42*KFC!$B$16+KFC!$C$16)*KFC!$C$5</f>
        <v>40.817479110087774</v>
      </c>
      <c r="N42" s="898">
        <f>(AK42*KFC!$B$16+KFC!$C$16)*KFC!$C$5</f>
        <v>43.144658812712947</v>
      </c>
      <c r="O42" s="898">
        <f>(AL42*KFC!$B$16+KFC!$C$16)*KFC!$C$5</f>
        <v>45.471838515338113</v>
      </c>
      <c r="P42" s="898">
        <f>(AM42*KFC!$B$16+KFC!$C$16)*KFC!$C$5</f>
        <v>47.79901821796328</v>
      </c>
      <c r="Q42" s="898">
        <f>(AN42*KFC!$B$16+KFC!$C$16)*KFC!$C$5</f>
        <v>50.126197920588453</v>
      </c>
      <c r="R42" s="898">
        <f>(AO42*KFC!$B$16+KFC!$C$16)*KFC!$C$5</f>
        <v>52.453377623213619</v>
      </c>
      <c r="S42" s="898">
        <f>(AP42*KFC!$B$16+KFC!$C$16)*KFC!$C$5</f>
        <v>54.780557325838785</v>
      </c>
      <c r="T42" s="898">
        <f>(AQ42*KFC!$B$16+KFC!$C$16)*KFC!$C$5</f>
        <v>57.107737028463958</v>
      </c>
      <c r="U42" s="898">
        <f>(AR42*KFC!$B$16+KFC!$C$16)*KFC!$C$5</f>
        <v>59.434916731089125</v>
      </c>
      <c r="V42" s="898">
        <f>(AS42*KFC!$B$16+KFC!$C$16)*KFC!$C$5</f>
        <v>61.762096433714291</v>
      </c>
      <c r="W42" s="903">
        <f>(AT42*KFC!$B$16+KFC!$C$16)*KFC!$C$5</f>
        <v>64.089276136339492</v>
      </c>
      <c r="Y42" s="1277"/>
      <c r="Z42" s="649">
        <v>1.1000000000000001</v>
      </c>
      <c r="AA42" s="882">
        <v>19.872861786461254</v>
      </c>
      <c r="AB42" s="882">
        <v>22.200041489086423</v>
      </c>
      <c r="AC42" s="882">
        <v>24.52722119171159</v>
      </c>
      <c r="AD42" s="882">
        <v>26.854400894336759</v>
      </c>
      <c r="AE42" s="882">
        <v>29.181580596961933</v>
      </c>
      <c r="AF42" s="882">
        <v>31.508760299587099</v>
      </c>
      <c r="AG42" s="882">
        <v>33.835940002212268</v>
      </c>
      <c r="AH42" s="882">
        <v>36.163119704837442</v>
      </c>
      <c r="AI42" s="882">
        <v>38.490299407462608</v>
      </c>
      <c r="AJ42" s="882">
        <v>40.817479110087774</v>
      </c>
      <c r="AK42" s="882">
        <v>43.144658812712947</v>
      </c>
      <c r="AL42" s="882">
        <v>45.471838515338113</v>
      </c>
      <c r="AM42" s="882">
        <v>47.79901821796328</v>
      </c>
      <c r="AN42" s="882">
        <v>50.126197920588453</v>
      </c>
      <c r="AO42" s="882">
        <v>52.453377623213619</v>
      </c>
      <c r="AP42" s="882">
        <v>54.780557325838785</v>
      </c>
      <c r="AQ42" s="882">
        <v>57.107737028463958</v>
      </c>
      <c r="AR42" s="882">
        <v>59.434916731089125</v>
      </c>
      <c r="AS42" s="882">
        <v>61.762096433714291</v>
      </c>
      <c r="AT42" s="882">
        <v>64.089276136339492</v>
      </c>
    </row>
    <row r="43" spans="1:46">
      <c r="A43" s="1426"/>
      <c r="B43" s="1427"/>
      <c r="C43" s="887">
        <v>1.2</v>
      </c>
      <c r="D43" s="902">
        <f>(AA43*KFC!$B$16+KFC!$C$16)*KFC!$C$5</f>
        <v>20.364144679822505</v>
      </c>
      <c r="E43" s="898">
        <f>(AB43*KFC!$B$16+KFC!$C$16)*KFC!$C$5</f>
        <v>22.801731238094217</v>
      </c>
      <c r="F43" s="898">
        <f>(AC43*KFC!$B$16+KFC!$C$16)*KFC!$C$5</f>
        <v>25.239317796365921</v>
      </c>
      <c r="G43" s="898">
        <f>(AD43*KFC!$B$16+KFC!$C$16)*KFC!$C$5</f>
        <v>27.676904354637635</v>
      </c>
      <c r="H43" s="898">
        <f>(AE43*KFC!$B$16+KFC!$C$16)*KFC!$C$5</f>
        <v>30.114490912909339</v>
      </c>
      <c r="I43" s="898">
        <f>(AF43*KFC!$B$16+KFC!$C$16)*KFC!$C$5</f>
        <v>32.55207747118105</v>
      </c>
      <c r="J43" s="898">
        <f>(AG43*KFC!$B$16+KFC!$C$16)*KFC!$C$5</f>
        <v>34.989664029452761</v>
      </c>
      <c r="K43" s="898">
        <f>(AH43*KFC!$B$16+KFC!$C$16)*KFC!$C$5</f>
        <v>37.427250587724473</v>
      </c>
      <c r="L43" s="898">
        <f>(AI43*KFC!$B$16+KFC!$C$16)*KFC!$C$5</f>
        <v>39.864837145996177</v>
      </c>
      <c r="M43" s="898">
        <f>(AJ43*KFC!$B$16+KFC!$C$16)*KFC!$C$5</f>
        <v>42.302423704267888</v>
      </c>
      <c r="N43" s="898">
        <f>(AK43*KFC!$B$16+KFC!$C$16)*KFC!$C$5</f>
        <v>44.740010262539592</v>
      </c>
      <c r="O43" s="898">
        <f>(AL43*KFC!$B$16+KFC!$C$16)*KFC!$C$5</f>
        <v>47.177596820811303</v>
      </c>
      <c r="P43" s="898">
        <f>(AM43*KFC!$B$16+KFC!$C$16)*KFC!$C$5</f>
        <v>49.615183379083021</v>
      </c>
      <c r="Q43" s="898">
        <f>(AN43*KFC!$B$16+KFC!$C$16)*KFC!$C$5</f>
        <v>52.052769937354725</v>
      </c>
      <c r="R43" s="898">
        <f>(AO43*KFC!$B$16+KFC!$C$16)*KFC!$C$5</f>
        <v>54.490356495626429</v>
      </c>
      <c r="S43" s="898">
        <f>(AP43*KFC!$B$16+KFC!$C$16)*KFC!$C$5</f>
        <v>56.92794305389814</v>
      </c>
      <c r="T43" s="898">
        <f>(AQ43*KFC!$B$16+KFC!$C$16)*KFC!$C$5</f>
        <v>59.365529612169851</v>
      </c>
      <c r="U43" s="898">
        <f>(AR43*KFC!$B$16+KFC!$C$16)*KFC!$C$5</f>
        <v>61.803116170441555</v>
      </c>
      <c r="V43" s="898">
        <f>(AS43*KFC!$B$16+KFC!$C$16)*KFC!$C$5</f>
        <v>64.240702728713273</v>
      </c>
      <c r="W43" s="903">
        <f>(AT43*KFC!$B$16+KFC!$C$16)*KFC!$C$5</f>
        <v>66.678289286984992</v>
      </c>
      <c r="Y43" s="1277"/>
      <c r="Z43" s="649">
        <v>1.2</v>
      </c>
      <c r="AA43" s="882">
        <v>20.364144679822505</v>
      </c>
      <c r="AB43" s="882">
        <v>22.801731238094217</v>
      </c>
      <c r="AC43" s="882">
        <v>25.239317796365921</v>
      </c>
      <c r="AD43" s="882">
        <v>27.676904354637635</v>
      </c>
      <c r="AE43" s="882">
        <v>30.114490912909339</v>
      </c>
      <c r="AF43" s="882">
        <v>32.55207747118105</v>
      </c>
      <c r="AG43" s="882">
        <v>34.989664029452761</v>
      </c>
      <c r="AH43" s="882">
        <v>37.427250587724473</v>
      </c>
      <c r="AI43" s="882">
        <v>39.864837145996177</v>
      </c>
      <c r="AJ43" s="882">
        <v>42.302423704267888</v>
      </c>
      <c r="AK43" s="882">
        <v>44.740010262539592</v>
      </c>
      <c r="AL43" s="882">
        <v>47.177596820811303</v>
      </c>
      <c r="AM43" s="882">
        <v>49.615183379083021</v>
      </c>
      <c r="AN43" s="882">
        <v>52.052769937354725</v>
      </c>
      <c r="AO43" s="882">
        <v>54.490356495626429</v>
      </c>
      <c r="AP43" s="882">
        <v>56.92794305389814</v>
      </c>
      <c r="AQ43" s="882">
        <v>59.365529612169851</v>
      </c>
      <c r="AR43" s="882">
        <v>61.803116170441555</v>
      </c>
      <c r="AS43" s="882">
        <v>64.240702728713273</v>
      </c>
      <c r="AT43" s="882">
        <v>66.678289286984992</v>
      </c>
    </row>
    <row r="44" spans="1:46">
      <c r="A44" s="1426"/>
      <c r="B44" s="1427"/>
      <c r="C44" s="887">
        <v>1.3</v>
      </c>
      <c r="D44" s="902">
        <f>(AA44*KFC!$B$16+KFC!$C$16)*KFC!$C$5</f>
        <v>20.855427573183757</v>
      </c>
      <c r="E44" s="898">
        <f>(AB44*KFC!$B$16+KFC!$C$16)*KFC!$C$5</f>
        <v>23.403420987102002</v>
      </c>
      <c r="F44" s="898">
        <f>(AC44*KFC!$B$16+KFC!$C$16)*KFC!$C$5</f>
        <v>25.951414401020251</v>
      </c>
      <c r="G44" s="898">
        <f>(AD44*KFC!$B$16+KFC!$C$16)*KFC!$C$5</f>
        <v>28.4994078149385</v>
      </c>
      <c r="H44" s="898">
        <f>(AE44*KFC!$B$16+KFC!$C$16)*KFC!$C$5</f>
        <v>31.047401228856749</v>
      </c>
      <c r="I44" s="898">
        <f>(AF44*KFC!$B$16+KFC!$C$16)*KFC!$C$5</f>
        <v>33.595394642774998</v>
      </c>
      <c r="J44" s="898">
        <f>(AG44*KFC!$B$16+KFC!$C$16)*KFC!$C$5</f>
        <v>36.143388056693247</v>
      </c>
      <c r="K44" s="898">
        <f>(AH44*KFC!$B$16+KFC!$C$16)*KFC!$C$5</f>
        <v>38.691381470611496</v>
      </c>
      <c r="L44" s="898">
        <f>(AI44*KFC!$B$16+KFC!$C$16)*KFC!$C$5</f>
        <v>41.239374884529745</v>
      </c>
      <c r="M44" s="898">
        <f>(AJ44*KFC!$B$16+KFC!$C$16)*KFC!$C$5</f>
        <v>43.787368298447994</v>
      </c>
      <c r="N44" s="898">
        <f>(AK44*KFC!$B$16+KFC!$C$16)*KFC!$C$5</f>
        <v>46.335361712366243</v>
      </c>
      <c r="O44" s="898">
        <f>(AL44*KFC!$B$16+KFC!$C$16)*KFC!$C$5</f>
        <v>48.883355126284499</v>
      </c>
      <c r="P44" s="898">
        <f>(AM44*KFC!$B$16+KFC!$C$16)*KFC!$C$5</f>
        <v>51.431348540202741</v>
      </c>
      <c r="Q44" s="898">
        <f>(AN44*KFC!$B$16+KFC!$C$16)*KFC!$C$5</f>
        <v>53.97934195412099</v>
      </c>
      <c r="R44" s="898">
        <f>(AO44*KFC!$B$16+KFC!$C$16)*KFC!$C$5</f>
        <v>56.527335368039246</v>
      </c>
      <c r="S44" s="898">
        <f>(AP44*KFC!$B$16+KFC!$C$16)*KFC!$C$5</f>
        <v>59.075328781957495</v>
      </c>
      <c r="T44" s="898">
        <f>(AQ44*KFC!$B$16+KFC!$C$16)*KFC!$C$5</f>
        <v>61.623322195875744</v>
      </c>
      <c r="U44" s="898">
        <f>(AR44*KFC!$B$16+KFC!$C$16)*KFC!$C$5</f>
        <v>64.171315609793993</v>
      </c>
      <c r="V44" s="898">
        <f>(AS44*KFC!$B$16+KFC!$C$16)*KFC!$C$5</f>
        <v>66.719309023712256</v>
      </c>
      <c r="W44" s="903">
        <f>(AT44*KFC!$B$16+KFC!$C$16)*KFC!$C$5</f>
        <v>69.267302437630491</v>
      </c>
      <c r="Y44" s="1277"/>
      <c r="Z44" s="649">
        <v>1.3</v>
      </c>
      <c r="AA44" s="882">
        <v>20.855427573183757</v>
      </c>
      <c r="AB44" s="882">
        <v>23.403420987102002</v>
      </c>
      <c r="AC44" s="882">
        <v>25.951414401020251</v>
      </c>
      <c r="AD44" s="882">
        <v>28.4994078149385</v>
      </c>
      <c r="AE44" s="882">
        <v>31.047401228856749</v>
      </c>
      <c r="AF44" s="882">
        <v>33.595394642774998</v>
      </c>
      <c r="AG44" s="882">
        <v>36.143388056693247</v>
      </c>
      <c r="AH44" s="882">
        <v>38.691381470611496</v>
      </c>
      <c r="AI44" s="882">
        <v>41.239374884529745</v>
      </c>
      <c r="AJ44" s="882">
        <v>43.787368298447994</v>
      </c>
      <c r="AK44" s="882">
        <v>46.335361712366243</v>
      </c>
      <c r="AL44" s="882">
        <v>48.883355126284499</v>
      </c>
      <c r="AM44" s="882">
        <v>51.431348540202741</v>
      </c>
      <c r="AN44" s="882">
        <v>53.97934195412099</v>
      </c>
      <c r="AO44" s="882">
        <v>56.527335368039246</v>
      </c>
      <c r="AP44" s="882">
        <v>59.075328781957495</v>
      </c>
      <c r="AQ44" s="882">
        <v>61.623322195875744</v>
      </c>
      <c r="AR44" s="882">
        <v>64.171315609793993</v>
      </c>
      <c r="AS44" s="882">
        <v>66.719309023712256</v>
      </c>
      <c r="AT44" s="882">
        <v>69.267302437630491</v>
      </c>
    </row>
    <row r="45" spans="1:46">
      <c r="A45" s="1426"/>
      <c r="B45" s="1427"/>
      <c r="C45" s="887">
        <v>1.4</v>
      </c>
      <c r="D45" s="902">
        <f>(AA45*KFC!$B$16+KFC!$C$16)*KFC!$C$5</f>
        <v>21.346710466545005</v>
      </c>
      <c r="E45" s="898">
        <f>(AB45*KFC!$B$16+KFC!$C$16)*KFC!$C$5</f>
        <v>24.005110736109796</v>
      </c>
      <c r="F45" s="898">
        <f>(AC45*KFC!$B$16+KFC!$C$16)*KFC!$C$5</f>
        <v>26.663511005674586</v>
      </c>
      <c r="G45" s="898">
        <f>(AD45*KFC!$B$16+KFC!$C$16)*KFC!$C$5</f>
        <v>29.321911275239369</v>
      </c>
      <c r="H45" s="898">
        <f>(AE45*KFC!$B$16+KFC!$C$16)*KFC!$C$5</f>
        <v>31.980311544804159</v>
      </c>
      <c r="I45" s="898">
        <f>(AF45*KFC!$B$16+KFC!$C$16)*KFC!$C$5</f>
        <v>34.638711814368953</v>
      </c>
      <c r="J45" s="898">
        <f>(AG45*KFC!$B$16+KFC!$C$16)*KFC!$C$5</f>
        <v>37.29711208393374</v>
      </c>
      <c r="K45" s="898">
        <f>(AH45*KFC!$B$16+KFC!$C$16)*KFC!$C$5</f>
        <v>39.955512353498527</v>
      </c>
      <c r="L45" s="898">
        <f>(AI45*KFC!$B$16+KFC!$C$16)*KFC!$C$5</f>
        <v>42.613912623063321</v>
      </c>
      <c r="M45" s="898">
        <f>(AJ45*KFC!$B$16+KFC!$C$16)*KFC!$C$5</f>
        <v>45.272312892628108</v>
      </c>
      <c r="N45" s="898">
        <f>(AK45*KFC!$B$16+KFC!$C$16)*KFC!$C$5</f>
        <v>47.930713162192902</v>
      </c>
      <c r="O45" s="898">
        <f>(AL45*KFC!$B$16+KFC!$C$16)*KFC!$C$5</f>
        <v>50.589113431757688</v>
      </c>
      <c r="P45" s="898">
        <f>(AM45*KFC!$B$16+KFC!$C$16)*KFC!$C$5</f>
        <v>53.247513701322482</v>
      </c>
      <c r="Q45" s="898">
        <f>(AN45*KFC!$B$16+KFC!$C$16)*KFC!$C$5</f>
        <v>55.905913970887269</v>
      </c>
      <c r="R45" s="898">
        <f>(AO45*KFC!$B$16+KFC!$C$16)*KFC!$C$5</f>
        <v>58.564314240452063</v>
      </c>
      <c r="S45" s="898">
        <f>(AP45*KFC!$B$16+KFC!$C$16)*KFC!$C$5</f>
        <v>61.22271451001685</v>
      </c>
      <c r="T45" s="898">
        <f>(AQ45*KFC!$B$16+KFC!$C$16)*KFC!$C$5</f>
        <v>63.88111477958163</v>
      </c>
      <c r="U45" s="898">
        <f>(AR45*KFC!$B$16+KFC!$C$16)*KFC!$C$5</f>
        <v>66.539515049146416</v>
      </c>
      <c r="V45" s="898">
        <f>(AS45*KFC!$B$16+KFC!$C$16)*KFC!$C$5</f>
        <v>69.197915318711196</v>
      </c>
      <c r="W45" s="903">
        <f>(AT45*KFC!$B$16+KFC!$C$16)*KFC!$C$5</f>
        <v>71.85631558827599</v>
      </c>
      <c r="Y45" s="1277"/>
      <c r="Z45" s="649">
        <v>1.4</v>
      </c>
      <c r="AA45" s="882">
        <v>21.346710466545005</v>
      </c>
      <c r="AB45" s="882">
        <v>24.005110736109796</v>
      </c>
      <c r="AC45" s="882">
        <v>26.663511005674586</v>
      </c>
      <c r="AD45" s="882">
        <v>29.321911275239369</v>
      </c>
      <c r="AE45" s="882">
        <v>31.980311544804159</v>
      </c>
      <c r="AF45" s="882">
        <v>34.638711814368953</v>
      </c>
      <c r="AG45" s="882">
        <v>37.29711208393374</v>
      </c>
      <c r="AH45" s="882">
        <v>39.955512353498527</v>
      </c>
      <c r="AI45" s="882">
        <v>42.613912623063321</v>
      </c>
      <c r="AJ45" s="882">
        <v>45.272312892628108</v>
      </c>
      <c r="AK45" s="882">
        <v>47.930713162192902</v>
      </c>
      <c r="AL45" s="882">
        <v>50.589113431757688</v>
      </c>
      <c r="AM45" s="882">
        <v>53.247513701322482</v>
      </c>
      <c r="AN45" s="882">
        <v>55.905913970887269</v>
      </c>
      <c r="AO45" s="882">
        <v>58.564314240452063</v>
      </c>
      <c r="AP45" s="882">
        <v>61.22271451001685</v>
      </c>
      <c r="AQ45" s="882">
        <v>63.88111477958163</v>
      </c>
      <c r="AR45" s="882">
        <v>66.539515049146416</v>
      </c>
      <c r="AS45" s="882">
        <v>69.197915318711196</v>
      </c>
      <c r="AT45" s="882">
        <v>71.85631558827599</v>
      </c>
    </row>
    <row r="46" spans="1:46">
      <c r="A46" s="1426"/>
      <c r="B46" s="1427"/>
      <c r="C46" s="887">
        <v>1.5</v>
      </c>
      <c r="D46" s="902">
        <f>(AA46*KFC!$B$16+KFC!$C$16)*KFC!$C$5</f>
        <v>21.837993359906253</v>
      </c>
      <c r="E46" s="898">
        <f>(AB46*KFC!$B$16+KFC!$C$16)*KFC!$C$5</f>
        <v>24.606800485117581</v>
      </c>
      <c r="F46" s="898">
        <f>(AC46*KFC!$B$16+KFC!$C$16)*KFC!$C$5</f>
        <v>27.375607610328917</v>
      </c>
      <c r="G46" s="898">
        <f>(AD46*KFC!$B$16+KFC!$C$16)*KFC!$C$5</f>
        <v>30.144414735540245</v>
      </c>
      <c r="H46" s="898">
        <f>(AE46*KFC!$B$16+KFC!$C$16)*KFC!$C$5</f>
        <v>32.91322186075157</v>
      </c>
      <c r="I46" s="898">
        <f>(AF46*KFC!$B$16+KFC!$C$16)*KFC!$C$5</f>
        <v>35.682028985962901</v>
      </c>
      <c r="J46" s="898">
        <f>(AG46*KFC!$B$16+KFC!$C$16)*KFC!$C$5</f>
        <v>38.450836111174233</v>
      </c>
      <c r="K46" s="898">
        <f>(AH46*KFC!$B$16+KFC!$C$16)*KFC!$C$5</f>
        <v>41.219643236385558</v>
      </c>
      <c r="L46" s="898">
        <f>(AI46*KFC!$B$16+KFC!$C$16)*KFC!$C$5</f>
        <v>43.98845036159689</v>
      </c>
      <c r="M46" s="898">
        <f>(AJ46*KFC!$B$16+KFC!$C$16)*KFC!$C$5</f>
        <v>46.757257486808214</v>
      </c>
      <c r="N46" s="898">
        <f>(AK46*KFC!$B$16+KFC!$C$16)*KFC!$C$5</f>
        <v>49.526064612019546</v>
      </c>
      <c r="O46" s="898">
        <f>(AL46*KFC!$B$16+KFC!$C$16)*KFC!$C$5</f>
        <v>52.294871737230871</v>
      </c>
      <c r="P46" s="898">
        <f>(AM46*KFC!$B$16+KFC!$C$16)*KFC!$C$5</f>
        <v>55.06367886244221</v>
      </c>
      <c r="Q46" s="898">
        <f>(AN46*KFC!$B$16+KFC!$C$16)*KFC!$C$5</f>
        <v>57.832485987653527</v>
      </c>
      <c r="R46" s="898">
        <f>(AO46*KFC!$B$16+KFC!$C$16)*KFC!$C$5</f>
        <v>60.601293112864866</v>
      </c>
      <c r="S46" s="898">
        <f>(AP46*KFC!$B$16+KFC!$C$16)*KFC!$C$5</f>
        <v>63.370100238076198</v>
      </c>
      <c r="T46" s="898">
        <f>(AQ46*KFC!$B$16+KFC!$C$16)*KFC!$C$5</f>
        <v>66.13890736328753</v>
      </c>
      <c r="U46" s="898">
        <f>(AR46*KFC!$B$16+KFC!$C$16)*KFC!$C$5</f>
        <v>68.907714488498854</v>
      </c>
      <c r="V46" s="898">
        <f>(AS46*KFC!$B$16+KFC!$C$16)*KFC!$C$5</f>
        <v>71.676521613710179</v>
      </c>
      <c r="W46" s="903">
        <f>(AT46*KFC!$B$16+KFC!$C$16)*KFC!$C$5</f>
        <v>74.445328738921475</v>
      </c>
      <c r="Y46" s="1277"/>
      <c r="Z46" s="649">
        <v>1.5</v>
      </c>
      <c r="AA46" s="882">
        <v>21.837993359906253</v>
      </c>
      <c r="AB46" s="882">
        <v>24.606800485117581</v>
      </c>
      <c r="AC46" s="882">
        <v>27.375607610328917</v>
      </c>
      <c r="AD46" s="882">
        <v>30.144414735540245</v>
      </c>
      <c r="AE46" s="882">
        <v>32.91322186075157</v>
      </c>
      <c r="AF46" s="882">
        <v>35.682028985962901</v>
      </c>
      <c r="AG46" s="882">
        <v>38.450836111174233</v>
      </c>
      <c r="AH46" s="882">
        <v>41.219643236385558</v>
      </c>
      <c r="AI46" s="882">
        <v>43.98845036159689</v>
      </c>
      <c r="AJ46" s="882">
        <v>46.757257486808214</v>
      </c>
      <c r="AK46" s="882">
        <v>49.526064612019546</v>
      </c>
      <c r="AL46" s="882">
        <v>52.294871737230871</v>
      </c>
      <c r="AM46" s="882">
        <v>55.06367886244221</v>
      </c>
      <c r="AN46" s="882">
        <v>57.832485987653527</v>
      </c>
      <c r="AO46" s="882">
        <v>60.601293112864866</v>
      </c>
      <c r="AP46" s="882">
        <v>63.370100238076198</v>
      </c>
      <c r="AQ46" s="882">
        <v>66.13890736328753</v>
      </c>
      <c r="AR46" s="882">
        <v>68.907714488498854</v>
      </c>
      <c r="AS46" s="882">
        <v>71.676521613710179</v>
      </c>
      <c r="AT46" s="882">
        <v>74.445328738921475</v>
      </c>
    </row>
    <row r="47" spans="1:46">
      <c r="A47" s="1426"/>
      <c r="B47" s="1427"/>
      <c r="C47" s="887">
        <v>1.6</v>
      </c>
      <c r="D47" s="902">
        <f>(AA47*KFC!$B$16+KFC!$C$16)*KFC!$C$5</f>
        <v>22.329276253267508</v>
      </c>
      <c r="E47" s="898">
        <f>(AB47*KFC!$B$16+KFC!$C$16)*KFC!$C$5</f>
        <v>25.208490234125374</v>
      </c>
      <c r="F47" s="898">
        <f>(AC47*KFC!$B$16+KFC!$C$16)*KFC!$C$5</f>
        <v>28.087704214983237</v>
      </c>
      <c r="G47" s="898">
        <f>(AD47*KFC!$B$16+KFC!$C$16)*KFC!$C$5</f>
        <v>30.966918195841103</v>
      </c>
      <c r="H47" s="898">
        <f>(AE47*KFC!$B$16+KFC!$C$16)*KFC!$C$5</f>
        <v>33.846132176698973</v>
      </c>
      <c r="I47" s="898">
        <f>(AF47*KFC!$B$16+KFC!$C$16)*KFC!$C$5</f>
        <v>36.725346157556842</v>
      </c>
      <c r="J47" s="898">
        <f>(AG47*KFC!$B$16+KFC!$C$16)*KFC!$C$5</f>
        <v>39.604560138414705</v>
      </c>
      <c r="K47" s="898">
        <f>(AH47*KFC!$B$16+KFC!$C$16)*KFC!$C$5</f>
        <v>42.483774119272574</v>
      </c>
      <c r="L47" s="898">
        <f>(AI47*KFC!$B$16+KFC!$C$16)*KFC!$C$5</f>
        <v>45.362988100130451</v>
      </c>
      <c r="M47" s="898">
        <f>(AJ47*KFC!$B$16+KFC!$C$16)*KFC!$C$5</f>
        <v>48.242202080988314</v>
      </c>
      <c r="N47" s="898">
        <f>(AK47*KFC!$B$16+KFC!$C$16)*KFC!$C$5</f>
        <v>51.12141606184619</v>
      </c>
      <c r="O47" s="898">
        <f>(AL47*KFC!$B$16+KFC!$C$16)*KFC!$C$5</f>
        <v>54.00063004270406</v>
      </c>
      <c r="P47" s="898">
        <f>(AM47*KFC!$B$16+KFC!$C$16)*KFC!$C$5</f>
        <v>56.879844023561922</v>
      </c>
      <c r="Q47" s="898">
        <f>(AN47*KFC!$B$16+KFC!$C$16)*KFC!$C$5</f>
        <v>59.759058004419792</v>
      </c>
      <c r="R47" s="898">
        <f>(AO47*KFC!$B$16+KFC!$C$16)*KFC!$C$5</f>
        <v>62.638271985277669</v>
      </c>
      <c r="S47" s="898">
        <f>(AP47*KFC!$B$16+KFC!$C$16)*KFC!$C$5</f>
        <v>65.517485966135538</v>
      </c>
      <c r="T47" s="898">
        <f>(AQ47*KFC!$B$16+KFC!$C$16)*KFC!$C$5</f>
        <v>68.396699946993394</v>
      </c>
      <c r="U47" s="898">
        <f>(AR47*KFC!$B$16+KFC!$C$16)*KFC!$C$5</f>
        <v>71.275913927851249</v>
      </c>
      <c r="V47" s="898">
        <f>(AS47*KFC!$B$16+KFC!$C$16)*KFC!$C$5</f>
        <v>74.155127908709119</v>
      </c>
      <c r="W47" s="903">
        <f>(AT47*KFC!$B$16+KFC!$C$16)*KFC!$C$5</f>
        <v>77.034341889566988</v>
      </c>
      <c r="Y47" s="1277"/>
      <c r="Z47" s="649">
        <v>1.6</v>
      </c>
      <c r="AA47" s="882">
        <v>22.329276253267508</v>
      </c>
      <c r="AB47" s="882">
        <v>25.208490234125374</v>
      </c>
      <c r="AC47" s="882">
        <v>28.087704214983237</v>
      </c>
      <c r="AD47" s="882">
        <v>30.966918195841103</v>
      </c>
      <c r="AE47" s="882">
        <v>33.846132176698973</v>
      </c>
      <c r="AF47" s="882">
        <v>36.725346157556842</v>
      </c>
      <c r="AG47" s="882">
        <v>39.604560138414705</v>
      </c>
      <c r="AH47" s="882">
        <v>42.483774119272574</v>
      </c>
      <c r="AI47" s="882">
        <v>45.362988100130451</v>
      </c>
      <c r="AJ47" s="882">
        <v>48.242202080988314</v>
      </c>
      <c r="AK47" s="882">
        <v>51.12141606184619</v>
      </c>
      <c r="AL47" s="882">
        <v>54.00063004270406</v>
      </c>
      <c r="AM47" s="882">
        <v>56.879844023561922</v>
      </c>
      <c r="AN47" s="882">
        <v>59.759058004419792</v>
      </c>
      <c r="AO47" s="882">
        <v>62.638271985277669</v>
      </c>
      <c r="AP47" s="882">
        <v>65.517485966135538</v>
      </c>
      <c r="AQ47" s="882">
        <v>68.396699946993394</v>
      </c>
      <c r="AR47" s="882">
        <v>71.275913927851249</v>
      </c>
      <c r="AS47" s="882">
        <v>74.155127908709119</v>
      </c>
      <c r="AT47" s="882">
        <v>77.034341889566988</v>
      </c>
    </row>
    <row r="48" spans="1:46">
      <c r="A48" s="1426"/>
      <c r="B48" s="1427"/>
      <c r="C48" s="887">
        <v>1.7</v>
      </c>
      <c r="D48" s="902">
        <f>(AA48*KFC!$B$16+KFC!$C$16)*KFC!$C$5</f>
        <v>22.820559146628757</v>
      </c>
      <c r="E48" s="898">
        <f>(AB48*KFC!$B$16+KFC!$C$16)*KFC!$C$5</f>
        <v>25.81017998313316</v>
      </c>
      <c r="F48" s="898">
        <f>(AC48*KFC!$B$16+KFC!$C$16)*KFC!$C$5</f>
        <v>28.799800819637571</v>
      </c>
      <c r="G48" s="898">
        <f>(AD48*KFC!$B$16+KFC!$C$16)*KFC!$C$5</f>
        <v>31.789421656141975</v>
      </c>
      <c r="H48" s="898">
        <f>(AE48*KFC!$B$16+KFC!$C$16)*KFC!$C$5</f>
        <v>34.779042492646383</v>
      </c>
      <c r="I48" s="898">
        <f>(AF48*KFC!$B$16+KFC!$C$16)*KFC!$C$5</f>
        <v>37.76866332915079</v>
      </c>
      <c r="J48" s="898">
        <f>(AG48*KFC!$B$16+KFC!$C$16)*KFC!$C$5</f>
        <v>40.758284165655198</v>
      </c>
      <c r="K48" s="898">
        <f>(AH48*KFC!$B$16+KFC!$C$16)*KFC!$C$5</f>
        <v>43.747905002159605</v>
      </c>
      <c r="L48" s="898">
        <f>(AI48*KFC!$B$16+KFC!$C$16)*KFC!$C$5</f>
        <v>46.73752583866402</v>
      </c>
      <c r="M48" s="898">
        <f>(AJ48*KFC!$B$16+KFC!$C$16)*KFC!$C$5</f>
        <v>49.727146675168434</v>
      </c>
      <c r="N48" s="898">
        <f>(AK48*KFC!$B$16+KFC!$C$16)*KFC!$C$5</f>
        <v>52.716767511672835</v>
      </c>
      <c r="O48" s="898">
        <f>(AL48*KFC!$B$16+KFC!$C$16)*KFC!$C$5</f>
        <v>55.706388348177242</v>
      </c>
      <c r="P48" s="898">
        <f>(AM48*KFC!$B$16+KFC!$C$16)*KFC!$C$5</f>
        <v>58.696009184681664</v>
      </c>
      <c r="Q48" s="898">
        <f>(AN48*KFC!$B$16+KFC!$C$16)*KFC!$C$5</f>
        <v>61.685630021186071</v>
      </c>
      <c r="R48" s="898">
        <f>(AO48*KFC!$B$16+KFC!$C$16)*KFC!$C$5</f>
        <v>64.675250857690472</v>
      </c>
      <c r="S48" s="898">
        <f>(AP48*KFC!$B$16+KFC!$C$16)*KFC!$C$5</f>
        <v>67.664871694194886</v>
      </c>
      <c r="T48" s="898">
        <f>(AQ48*KFC!$B$16+KFC!$C$16)*KFC!$C$5</f>
        <v>70.654492530699287</v>
      </c>
      <c r="U48" s="898">
        <f>(AR48*KFC!$B$16+KFC!$C$16)*KFC!$C$5</f>
        <v>73.644113367203687</v>
      </c>
      <c r="V48" s="898">
        <f>(AS48*KFC!$B$16+KFC!$C$16)*KFC!$C$5</f>
        <v>76.633734203708087</v>
      </c>
      <c r="W48" s="903">
        <f>(AT48*KFC!$B$16+KFC!$C$16)*KFC!$C$5</f>
        <v>79.623355040212473</v>
      </c>
      <c r="Y48" s="1277"/>
      <c r="Z48" s="649">
        <v>1.7</v>
      </c>
      <c r="AA48" s="882">
        <v>22.820559146628757</v>
      </c>
      <c r="AB48" s="882">
        <v>25.81017998313316</v>
      </c>
      <c r="AC48" s="882">
        <v>28.799800819637571</v>
      </c>
      <c r="AD48" s="882">
        <v>31.789421656141975</v>
      </c>
      <c r="AE48" s="882">
        <v>34.779042492646383</v>
      </c>
      <c r="AF48" s="882">
        <v>37.76866332915079</v>
      </c>
      <c r="AG48" s="882">
        <v>40.758284165655198</v>
      </c>
      <c r="AH48" s="882">
        <v>43.747905002159605</v>
      </c>
      <c r="AI48" s="882">
        <v>46.73752583866402</v>
      </c>
      <c r="AJ48" s="882">
        <v>49.727146675168434</v>
      </c>
      <c r="AK48" s="882">
        <v>52.716767511672835</v>
      </c>
      <c r="AL48" s="882">
        <v>55.706388348177242</v>
      </c>
      <c r="AM48" s="882">
        <v>58.696009184681664</v>
      </c>
      <c r="AN48" s="882">
        <v>61.685630021186071</v>
      </c>
      <c r="AO48" s="882">
        <v>64.675250857690472</v>
      </c>
      <c r="AP48" s="882">
        <v>67.664871694194886</v>
      </c>
      <c r="AQ48" s="882">
        <v>70.654492530699287</v>
      </c>
      <c r="AR48" s="882">
        <v>73.644113367203687</v>
      </c>
      <c r="AS48" s="882">
        <v>76.633734203708087</v>
      </c>
      <c r="AT48" s="882">
        <v>79.623355040212473</v>
      </c>
    </row>
    <row r="49" spans="1:46">
      <c r="A49" s="1426"/>
      <c r="B49" s="1427"/>
      <c r="C49" s="887">
        <v>1.8</v>
      </c>
      <c r="D49" s="902">
        <f>(AA49*KFC!$B$16+KFC!$C$16)*KFC!$C$5</f>
        <v>23.311842039990005</v>
      </c>
      <c r="E49" s="898">
        <f>(AB49*KFC!$B$16+KFC!$C$16)*KFC!$C$5</f>
        <v>26.411869732140953</v>
      </c>
      <c r="F49" s="898">
        <f>(AC49*KFC!$B$16+KFC!$C$16)*KFC!$C$5</f>
        <v>29.511897424291902</v>
      </c>
      <c r="G49" s="898">
        <f>(AD49*KFC!$B$16+KFC!$C$16)*KFC!$C$5</f>
        <v>32.611925116442841</v>
      </c>
      <c r="H49" s="898">
        <f>(AE49*KFC!$B$16+KFC!$C$16)*KFC!$C$5</f>
        <v>35.711952808593793</v>
      </c>
      <c r="I49" s="898">
        <f>(AF49*KFC!$B$16+KFC!$C$16)*KFC!$C$5</f>
        <v>38.811980500744745</v>
      </c>
      <c r="J49" s="898">
        <f>(AG49*KFC!$B$16+KFC!$C$16)*KFC!$C$5</f>
        <v>41.912008192895684</v>
      </c>
      <c r="K49" s="898">
        <f>(AH49*KFC!$B$16+KFC!$C$16)*KFC!$C$5</f>
        <v>45.012035885046622</v>
      </c>
      <c r="L49" s="898">
        <f>(AI49*KFC!$B$16+KFC!$C$16)*KFC!$C$5</f>
        <v>48.112063577197567</v>
      </c>
      <c r="M49" s="898">
        <f>(AJ49*KFC!$B$16+KFC!$C$16)*KFC!$C$5</f>
        <v>51.212091269348512</v>
      </c>
      <c r="N49" s="898">
        <f>(AK49*KFC!$B$16+KFC!$C$16)*KFC!$C$5</f>
        <v>54.312118961499451</v>
      </c>
      <c r="O49" s="898">
        <f>(AL49*KFC!$B$16+KFC!$C$16)*KFC!$C$5</f>
        <v>57.412146653650396</v>
      </c>
      <c r="P49" s="898">
        <f>(AM49*KFC!$B$16+KFC!$C$16)*KFC!$C$5</f>
        <v>60.512174345801341</v>
      </c>
      <c r="Q49" s="898">
        <f>(AN49*KFC!$B$16+KFC!$C$16)*KFC!$C$5</f>
        <v>63.612202037952279</v>
      </c>
      <c r="R49" s="898">
        <f>(AO49*KFC!$B$16+KFC!$C$16)*KFC!$C$5</f>
        <v>66.712229730103218</v>
      </c>
      <c r="S49" s="898">
        <f>(AP49*KFC!$B$16+KFC!$C$16)*KFC!$C$5</f>
        <v>69.812257422254163</v>
      </c>
      <c r="T49" s="898">
        <f>(AQ49*KFC!$B$16+KFC!$C$16)*KFC!$C$5</f>
        <v>72.912285114405108</v>
      </c>
      <c r="U49" s="898">
        <f>(AR49*KFC!$B$16+KFC!$C$16)*KFC!$C$5</f>
        <v>76.012312806556054</v>
      </c>
      <c r="V49" s="898">
        <f>(AS49*KFC!$B$16+KFC!$C$16)*KFC!$C$5</f>
        <v>79.112340498706999</v>
      </c>
      <c r="W49" s="903">
        <f>(AT49*KFC!$B$16+KFC!$C$16)*KFC!$C$5</f>
        <v>82.212368190857987</v>
      </c>
      <c r="Y49" s="1277"/>
      <c r="Z49" s="649">
        <v>1.8</v>
      </c>
      <c r="AA49" s="882">
        <v>23.311842039990005</v>
      </c>
      <c r="AB49" s="882">
        <v>26.411869732140953</v>
      </c>
      <c r="AC49" s="882">
        <v>29.511897424291902</v>
      </c>
      <c r="AD49" s="882">
        <v>32.611925116442841</v>
      </c>
      <c r="AE49" s="882">
        <v>35.711952808593793</v>
      </c>
      <c r="AF49" s="882">
        <v>38.811980500744745</v>
      </c>
      <c r="AG49" s="882">
        <v>41.912008192895684</v>
      </c>
      <c r="AH49" s="882">
        <v>45.012035885046622</v>
      </c>
      <c r="AI49" s="882">
        <v>48.112063577197567</v>
      </c>
      <c r="AJ49" s="882">
        <v>51.212091269348512</v>
      </c>
      <c r="AK49" s="882">
        <v>54.312118961499451</v>
      </c>
      <c r="AL49" s="882">
        <v>57.412146653650396</v>
      </c>
      <c r="AM49" s="882">
        <v>60.512174345801341</v>
      </c>
      <c r="AN49" s="882">
        <v>63.612202037952279</v>
      </c>
      <c r="AO49" s="882">
        <v>66.712229730103218</v>
      </c>
      <c r="AP49" s="882">
        <v>69.812257422254163</v>
      </c>
      <c r="AQ49" s="882">
        <v>72.912285114405108</v>
      </c>
      <c r="AR49" s="882">
        <v>76.012312806556054</v>
      </c>
      <c r="AS49" s="882">
        <v>79.112340498706999</v>
      </c>
      <c r="AT49" s="882">
        <v>82.212368190857987</v>
      </c>
    </row>
    <row r="50" spans="1:46">
      <c r="A50" s="1426"/>
      <c r="B50" s="1427"/>
      <c r="C50" s="887">
        <v>1.9</v>
      </c>
      <c r="D50" s="902">
        <f>(AA50*KFC!$B$16+KFC!$C$16)*KFC!$C$5</f>
        <v>23.80312493335126</v>
      </c>
      <c r="E50" s="898">
        <f>(AB50*KFC!$B$16+KFC!$C$16)*KFC!$C$5</f>
        <v>27.013559481148746</v>
      </c>
      <c r="F50" s="898">
        <f>(AC50*KFC!$B$16+KFC!$C$16)*KFC!$C$5</f>
        <v>30.22399402894623</v>
      </c>
      <c r="G50" s="898">
        <f>(AD50*KFC!$B$16+KFC!$C$16)*KFC!$C$5</f>
        <v>33.43442857674372</v>
      </c>
      <c r="H50" s="898">
        <f>(AE50*KFC!$B$16+KFC!$C$16)*KFC!$C$5</f>
        <v>36.644863124541203</v>
      </c>
      <c r="I50" s="898">
        <f>(AF50*KFC!$B$16+KFC!$C$16)*KFC!$C$5</f>
        <v>39.855297672338686</v>
      </c>
      <c r="J50" s="898">
        <f>(AG50*KFC!$B$16+KFC!$C$16)*KFC!$C$5</f>
        <v>43.065732220136162</v>
      </c>
      <c r="K50" s="898">
        <f>(AH50*KFC!$B$16+KFC!$C$16)*KFC!$C$5</f>
        <v>46.276166767933645</v>
      </c>
      <c r="L50" s="898">
        <f>(AI50*KFC!$B$16+KFC!$C$16)*KFC!$C$5</f>
        <v>49.486601315731136</v>
      </c>
      <c r="M50" s="898">
        <f>(AJ50*KFC!$B$16+KFC!$C$16)*KFC!$C$5</f>
        <v>52.697035863528619</v>
      </c>
      <c r="N50" s="898">
        <f>(AK50*KFC!$B$16+KFC!$C$16)*KFC!$C$5</f>
        <v>55.907470411326102</v>
      </c>
      <c r="O50" s="898">
        <f>(AL50*KFC!$B$16+KFC!$C$16)*KFC!$C$5</f>
        <v>59.117904959123592</v>
      </c>
      <c r="P50" s="898">
        <f>(AM50*KFC!$B$16+KFC!$C$16)*KFC!$C$5</f>
        <v>62.328339506921068</v>
      </c>
      <c r="Q50" s="898">
        <f>(AN50*KFC!$B$16+KFC!$C$16)*KFC!$C$5</f>
        <v>65.538774054718544</v>
      </c>
      <c r="R50" s="898">
        <f>(AO50*KFC!$B$16+KFC!$C$16)*KFC!$C$5</f>
        <v>68.749208602516035</v>
      </c>
      <c r="S50" s="898">
        <f>(AP50*KFC!$B$16+KFC!$C$16)*KFC!$C$5</f>
        <v>71.959643150313525</v>
      </c>
      <c r="T50" s="898">
        <f>(AQ50*KFC!$B$16+KFC!$C$16)*KFC!$C$5</f>
        <v>75.170077698111001</v>
      </c>
      <c r="U50" s="898">
        <f>(AR50*KFC!$B$16+KFC!$C$16)*KFC!$C$5</f>
        <v>78.380512245908491</v>
      </c>
      <c r="V50" s="898">
        <f>(AS50*KFC!$B$16+KFC!$C$16)*KFC!$C$5</f>
        <v>81.590946793705982</v>
      </c>
      <c r="W50" s="903">
        <f>(AT50*KFC!$B$16+KFC!$C$16)*KFC!$C$5</f>
        <v>84.801381341503472</v>
      </c>
      <c r="Y50" s="1277"/>
      <c r="Z50" s="649">
        <v>1.9</v>
      </c>
      <c r="AA50" s="882">
        <v>23.80312493335126</v>
      </c>
      <c r="AB50" s="882">
        <v>27.013559481148746</v>
      </c>
      <c r="AC50" s="882">
        <v>30.22399402894623</v>
      </c>
      <c r="AD50" s="882">
        <v>33.43442857674372</v>
      </c>
      <c r="AE50" s="882">
        <v>36.644863124541203</v>
      </c>
      <c r="AF50" s="882">
        <v>39.855297672338686</v>
      </c>
      <c r="AG50" s="882">
        <v>43.065732220136162</v>
      </c>
      <c r="AH50" s="882">
        <v>46.276166767933645</v>
      </c>
      <c r="AI50" s="882">
        <v>49.486601315731136</v>
      </c>
      <c r="AJ50" s="882">
        <v>52.697035863528619</v>
      </c>
      <c r="AK50" s="882">
        <v>55.907470411326102</v>
      </c>
      <c r="AL50" s="882">
        <v>59.117904959123592</v>
      </c>
      <c r="AM50" s="882">
        <v>62.328339506921068</v>
      </c>
      <c r="AN50" s="882">
        <v>65.538774054718544</v>
      </c>
      <c r="AO50" s="882">
        <v>68.749208602516035</v>
      </c>
      <c r="AP50" s="882">
        <v>71.959643150313525</v>
      </c>
      <c r="AQ50" s="882">
        <v>75.170077698111001</v>
      </c>
      <c r="AR50" s="882">
        <v>78.380512245908491</v>
      </c>
      <c r="AS50" s="882">
        <v>81.590946793705982</v>
      </c>
      <c r="AT50" s="882">
        <v>84.801381341503472</v>
      </c>
    </row>
    <row r="51" spans="1:46">
      <c r="A51" s="1426"/>
      <c r="B51" s="1427"/>
      <c r="C51" s="887">
        <v>2</v>
      </c>
      <c r="D51" s="902">
        <f>(AA51*KFC!$B$16+KFC!$C$16)*KFC!$C$5</f>
        <v>24.294407826712508</v>
      </c>
      <c r="E51" s="898">
        <f>(AB51*KFC!$B$16+KFC!$C$16)*KFC!$C$5</f>
        <v>27.615249230156532</v>
      </c>
      <c r="F51" s="898">
        <f>(AC51*KFC!$B$16+KFC!$C$16)*KFC!$C$5</f>
        <v>30.936090633600553</v>
      </c>
      <c r="G51" s="898">
        <f>(AD51*KFC!$B$16+KFC!$C$16)*KFC!$C$5</f>
        <v>34.256932037044578</v>
      </c>
      <c r="H51" s="898">
        <f>(AE51*KFC!$B$16+KFC!$C$16)*KFC!$C$5</f>
        <v>37.577773440488599</v>
      </c>
      <c r="I51" s="898">
        <f>(AF51*KFC!$B$16+KFC!$C$16)*KFC!$C$5</f>
        <v>40.89861484393262</v>
      </c>
      <c r="J51" s="898">
        <f>(AG51*KFC!$B$16+KFC!$C$16)*KFC!$C$5</f>
        <v>44.219456247376648</v>
      </c>
      <c r="K51" s="898">
        <f>(AH51*KFC!$B$16+KFC!$C$16)*KFC!$C$5</f>
        <v>47.540297650820669</v>
      </c>
      <c r="L51" s="898">
        <f>(AI51*KFC!$B$16+KFC!$C$16)*KFC!$C$5</f>
        <v>50.861139054264697</v>
      </c>
      <c r="M51" s="898">
        <f>(AJ51*KFC!$B$16+KFC!$C$16)*KFC!$C$5</f>
        <v>54.181980457708718</v>
      </c>
      <c r="N51" s="898">
        <f>(AK51*KFC!$B$16+KFC!$C$16)*KFC!$C$5</f>
        <v>57.502821861152732</v>
      </c>
      <c r="O51" s="898">
        <f>(AL51*KFC!$B$16+KFC!$C$16)*KFC!$C$5</f>
        <v>60.82366326459676</v>
      </c>
      <c r="P51" s="898">
        <f>(AM51*KFC!$B$16+KFC!$C$16)*KFC!$C$5</f>
        <v>64.144504668040781</v>
      </c>
      <c r="Q51" s="898">
        <f>(AN51*KFC!$B$16+KFC!$C$16)*KFC!$C$5</f>
        <v>67.465346071484817</v>
      </c>
      <c r="R51" s="898">
        <f>(AO51*KFC!$B$16+KFC!$C$16)*KFC!$C$5</f>
        <v>70.786187474928838</v>
      </c>
      <c r="S51" s="898">
        <f>(AP51*KFC!$B$16+KFC!$C$16)*KFC!$C$5</f>
        <v>74.107028878372859</v>
      </c>
      <c r="T51" s="898">
        <f>(AQ51*KFC!$B$16+KFC!$C$16)*KFC!$C$5</f>
        <v>77.427870281816894</v>
      </c>
      <c r="U51" s="898">
        <f>(AR51*KFC!$B$16+KFC!$C$16)*KFC!$C$5</f>
        <v>80.748711685260901</v>
      </c>
      <c r="V51" s="898">
        <f>(AS51*KFC!$B$16+KFC!$C$16)*KFC!$C$5</f>
        <v>84.069553088704922</v>
      </c>
      <c r="W51" s="903">
        <f>(AT51*KFC!$B$16+KFC!$C$16)*KFC!$C$5</f>
        <v>87.390394492148985</v>
      </c>
      <c r="Y51" s="1277"/>
      <c r="Z51" s="649">
        <v>2</v>
      </c>
      <c r="AA51" s="882">
        <v>24.294407826712508</v>
      </c>
      <c r="AB51" s="882">
        <v>27.615249230156532</v>
      </c>
      <c r="AC51" s="882">
        <v>30.936090633600553</v>
      </c>
      <c r="AD51" s="882">
        <v>34.256932037044578</v>
      </c>
      <c r="AE51" s="882">
        <v>37.577773440488599</v>
      </c>
      <c r="AF51" s="882">
        <v>40.89861484393262</v>
      </c>
      <c r="AG51" s="882">
        <v>44.219456247376648</v>
      </c>
      <c r="AH51" s="882">
        <v>47.540297650820669</v>
      </c>
      <c r="AI51" s="882">
        <v>50.861139054264697</v>
      </c>
      <c r="AJ51" s="882">
        <v>54.181980457708718</v>
      </c>
      <c r="AK51" s="882">
        <v>57.502821861152732</v>
      </c>
      <c r="AL51" s="882">
        <v>60.82366326459676</v>
      </c>
      <c r="AM51" s="882">
        <v>64.144504668040781</v>
      </c>
      <c r="AN51" s="882">
        <v>67.465346071484817</v>
      </c>
      <c r="AO51" s="882">
        <v>70.786187474928838</v>
      </c>
      <c r="AP51" s="882">
        <v>74.107028878372859</v>
      </c>
      <c r="AQ51" s="882">
        <v>77.427870281816894</v>
      </c>
      <c r="AR51" s="882">
        <v>80.748711685260901</v>
      </c>
      <c r="AS51" s="882">
        <v>84.069553088704922</v>
      </c>
      <c r="AT51" s="882">
        <v>87.390394492148985</v>
      </c>
    </row>
    <row r="52" spans="1:46">
      <c r="A52" s="1426"/>
      <c r="B52" s="1427"/>
      <c r="C52" s="887">
        <v>2.1</v>
      </c>
      <c r="D52" s="902">
        <f>(AA52*KFC!$B$16+KFC!$C$16)*KFC!$C$5</f>
        <v>24.78569072007376</v>
      </c>
      <c r="E52" s="898">
        <f>(AB52*KFC!$B$16+KFC!$C$16)*KFC!$C$5</f>
        <v>28.216938979164322</v>
      </c>
      <c r="F52" s="898">
        <f>(AC52*KFC!$B$16+KFC!$C$16)*KFC!$C$5</f>
        <v>31.648187238254881</v>
      </c>
      <c r="G52" s="898">
        <f>(AD52*KFC!$B$16+KFC!$C$16)*KFC!$C$5</f>
        <v>35.07943549734545</v>
      </c>
      <c r="H52" s="898">
        <f>(AE52*KFC!$B$16+KFC!$C$16)*KFC!$C$5</f>
        <v>38.510683756436009</v>
      </c>
      <c r="I52" s="898">
        <f>(AF52*KFC!$B$16+KFC!$C$16)*KFC!$C$5</f>
        <v>41.941932015526575</v>
      </c>
      <c r="J52" s="898">
        <f>(AG52*KFC!$B$16+KFC!$C$16)*KFC!$C$5</f>
        <v>45.373180274617141</v>
      </c>
      <c r="K52" s="898">
        <f>(AH52*KFC!$B$16+KFC!$C$16)*KFC!$C$5</f>
        <v>48.8044285337077</v>
      </c>
      <c r="L52" s="898">
        <f>(AI52*KFC!$B$16+KFC!$C$16)*KFC!$C$5</f>
        <v>52.235676792798266</v>
      </c>
      <c r="M52" s="898">
        <f>(AJ52*KFC!$B$16+KFC!$C$16)*KFC!$C$5</f>
        <v>55.666925051888825</v>
      </c>
      <c r="N52" s="898">
        <f>(AK52*KFC!$B$16+KFC!$C$16)*KFC!$C$5</f>
        <v>59.098173310979391</v>
      </c>
      <c r="O52" s="898">
        <f>(AL52*KFC!$B$16+KFC!$C$16)*KFC!$C$5</f>
        <v>62.529421570069957</v>
      </c>
      <c r="P52" s="898">
        <f>(AM52*KFC!$B$16+KFC!$C$16)*KFC!$C$5</f>
        <v>65.960669829160508</v>
      </c>
      <c r="Q52" s="898">
        <f>(AN52*KFC!$B$16+KFC!$C$16)*KFC!$C$5</f>
        <v>69.391918088251089</v>
      </c>
      <c r="R52" s="898">
        <f>(AO52*KFC!$B$16+KFC!$C$16)*KFC!$C$5</f>
        <v>72.82316634734164</v>
      </c>
      <c r="S52" s="898">
        <f>(AP52*KFC!$B$16+KFC!$C$16)*KFC!$C$5</f>
        <v>76.254414606432206</v>
      </c>
      <c r="T52" s="898">
        <f>(AQ52*KFC!$B$16+KFC!$C$16)*KFC!$C$5</f>
        <v>79.685662865522772</v>
      </c>
      <c r="U52" s="898">
        <f>(AR52*KFC!$B$16+KFC!$C$16)*KFC!$C$5</f>
        <v>83.116911124613338</v>
      </c>
      <c r="V52" s="898">
        <f>(AS52*KFC!$B$16+KFC!$C$16)*KFC!$C$5</f>
        <v>86.54815938370389</v>
      </c>
      <c r="W52" s="903">
        <f>(AT52*KFC!$B$16+KFC!$C$16)*KFC!$C$5</f>
        <v>89.97940764279447</v>
      </c>
      <c r="Y52" s="1277"/>
      <c r="Z52" s="649">
        <v>2.1</v>
      </c>
      <c r="AA52" s="882">
        <v>24.78569072007376</v>
      </c>
      <c r="AB52" s="882">
        <v>28.216938979164322</v>
      </c>
      <c r="AC52" s="882">
        <v>31.648187238254881</v>
      </c>
      <c r="AD52" s="882">
        <v>35.07943549734545</v>
      </c>
      <c r="AE52" s="882">
        <v>38.510683756436009</v>
      </c>
      <c r="AF52" s="882">
        <v>41.941932015526575</v>
      </c>
      <c r="AG52" s="882">
        <v>45.373180274617141</v>
      </c>
      <c r="AH52" s="882">
        <v>48.8044285337077</v>
      </c>
      <c r="AI52" s="882">
        <v>52.235676792798266</v>
      </c>
      <c r="AJ52" s="882">
        <v>55.666925051888825</v>
      </c>
      <c r="AK52" s="882">
        <v>59.098173310979391</v>
      </c>
      <c r="AL52" s="882">
        <v>62.529421570069957</v>
      </c>
      <c r="AM52" s="882">
        <v>65.960669829160508</v>
      </c>
      <c r="AN52" s="882">
        <v>69.391918088251089</v>
      </c>
      <c r="AO52" s="882">
        <v>72.82316634734164</v>
      </c>
      <c r="AP52" s="882">
        <v>76.254414606432206</v>
      </c>
      <c r="AQ52" s="882">
        <v>79.685662865522772</v>
      </c>
      <c r="AR52" s="882">
        <v>83.116911124613338</v>
      </c>
      <c r="AS52" s="882">
        <v>86.54815938370389</v>
      </c>
      <c r="AT52" s="882">
        <v>89.97940764279447</v>
      </c>
    </row>
    <row r="53" spans="1:46" ht="15" thickBot="1">
      <c r="A53" s="1428"/>
      <c r="B53" s="1429"/>
      <c r="C53" s="888">
        <v>2.2000000000000002</v>
      </c>
      <c r="D53" s="904">
        <f>(AA53*KFC!$B$16+KFC!$C$16)*KFC!$C$5</f>
        <v>25.276973613434997</v>
      </c>
      <c r="E53" s="905">
        <f>(AB53*KFC!$B$16+KFC!$C$16)*KFC!$C$5</f>
        <v>28.818628728172097</v>
      </c>
      <c r="F53" s="905">
        <f>(AC53*KFC!$B$16+KFC!$C$16)*KFC!$C$5</f>
        <v>32.360283842909205</v>
      </c>
      <c r="G53" s="905">
        <f>(AD53*KFC!$B$16+KFC!$C$16)*KFC!$C$5</f>
        <v>35.901938957646315</v>
      </c>
      <c r="H53" s="905">
        <f>(AE53*KFC!$B$16+KFC!$C$16)*KFC!$C$5</f>
        <v>39.443594072383412</v>
      </c>
      <c r="I53" s="905">
        <f>(AF53*KFC!$B$16+KFC!$C$16)*KFC!$C$5</f>
        <v>42.985249187120516</v>
      </c>
      <c r="J53" s="905">
        <f>(AG53*KFC!$B$16+KFC!$C$16)*KFC!$C$5</f>
        <v>46.526904301857627</v>
      </c>
      <c r="K53" s="905">
        <f>(AH53*KFC!$B$16+KFC!$C$16)*KFC!$C$5</f>
        <v>50.068559416594731</v>
      </c>
      <c r="L53" s="905">
        <f>(AI53*KFC!$B$16+KFC!$C$16)*KFC!$C$5</f>
        <v>53.610214531331835</v>
      </c>
      <c r="M53" s="905">
        <f>(AJ53*KFC!$B$16+KFC!$C$16)*KFC!$C$5</f>
        <v>57.151869646068931</v>
      </c>
      <c r="N53" s="905">
        <f>(AK53*KFC!$B$16+KFC!$C$16)*KFC!$C$5</f>
        <v>60.693524760806035</v>
      </c>
      <c r="O53" s="905">
        <f>(AL53*KFC!$B$16+KFC!$C$16)*KFC!$C$5</f>
        <v>64.235179875543139</v>
      </c>
      <c r="P53" s="905">
        <f>(AM53*KFC!$B$16+KFC!$C$16)*KFC!$C$5</f>
        <v>67.77683499028025</v>
      </c>
      <c r="Q53" s="905">
        <f>(AN53*KFC!$B$16+KFC!$C$16)*KFC!$C$5</f>
        <v>71.318490105017347</v>
      </c>
      <c r="R53" s="905">
        <f>(AO53*KFC!$B$16+KFC!$C$16)*KFC!$C$5</f>
        <v>74.860145219754443</v>
      </c>
      <c r="S53" s="905">
        <f>(AP53*KFC!$B$16+KFC!$C$16)*KFC!$C$5</f>
        <v>78.401800334491554</v>
      </c>
      <c r="T53" s="905">
        <f>(AQ53*KFC!$B$16+KFC!$C$16)*KFC!$C$5</f>
        <v>81.943455449228651</v>
      </c>
      <c r="U53" s="905">
        <f>(AR53*KFC!$B$16+KFC!$C$16)*KFC!$C$5</f>
        <v>85.485110563965748</v>
      </c>
      <c r="V53" s="905">
        <f>(AS53*KFC!$B$16+KFC!$C$16)*KFC!$C$5</f>
        <v>89.026765678702859</v>
      </c>
      <c r="W53" s="906">
        <f>(AT53*KFC!$B$16+KFC!$C$16)*KFC!$C$5</f>
        <v>92.568420793439998</v>
      </c>
      <c r="Y53" s="1277"/>
      <c r="Z53" s="649">
        <v>2.2000000000000002</v>
      </c>
      <c r="AA53" s="882">
        <v>25.276973613434997</v>
      </c>
      <c r="AB53" s="882">
        <v>28.818628728172097</v>
      </c>
      <c r="AC53" s="882">
        <v>32.360283842909205</v>
      </c>
      <c r="AD53" s="882">
        <v>35.901938957646315</v>
      </c>
      <c r="AE53" s="882">
        <v>39.443594072383412</v>
      </c>
      <c r="AF53" s="882">
        <v>42.985249187120516</v>
      </c>
      <c r="AG53" s="882">
        <v>46.526904301857627</v>
      </c>
      <c r="AH53" s="882">
        <v>50.068559416594731</v>
      </c>
      <c r="AI53" s="882">
        <v>53.610214531331835</v>
      </c>
      <c r="AJ53" s="882">
        <v>57.151869646068931</v>
      </c>
      <c r="AK53" s="882">
        <v>60.693524760806035</v>
      </c>
      <c r="AL53" s="882">
        <v>64.235179875543139</v>
      </c>
      <c r="AM53" s="882">
        <v>67.77683499028025</v>
      </c>
      <c r="AN53" s="882">
        <v>71.318490105017347</v>
      </c>
      <c r="AO53" s="882">
        <v>74.860145219754443</v>
      </c>
      <c r="AP53" s="882">
        <v>78.401800334491554</v>
      </c>
      <c r="AQ53" s="882">
        <v>81.943455449228651</v>
      </c>
      <c r="AR53" s="882">
        <v>85.485110563965748</v>
      </c>
      <c r="AS53" s="882">
        <v>89.026765678702859</v>
      </c>
      <c r="AT53" s="882">
        <v>92.568420793439998</v>
      </c>
    </row>
    <row r="54" spans="1:46">
      <c r="A54" s="16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</row>
    <row r="55" spans="1:46" ht="16.2" thickBot="1">
      <c r="A55" s="1033" t="s">
        <v>1227</v>
      </c>
      <c r="B55" s="1033"/>
      <c r="C55" s="1033"/>
      <c r="D55" s="1033"/>
      <c r="E55" s="1033"/>
      <c r="F55" s="1033"/>
      <c r="G55" s="1033"/>
      <c r="H55" s="1033"/>
      <c r="I55" s="1033"/>
      <c r="J55" s="1033"/>
      <c r="K55" s="1033"/>
      <c r="L55" s="1033"/>
      <c r="M55" s="1033"/>
      <c r="N55" s="1033"/>
      <c r="O55" s="1033"/>
      <c r="P55" s="1033"/>
      <c r="Q55" s="1033"/>
      <c r="R55" s="1033"/>
      <c r="S55" s="1033"/>
      <c r="T55" s="1033"/>
      <c r="U55" s="1033"/>
      <c r="V55" s="1033"/>
      <c r="W55" s="1033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</row>
    <row r="56" spans="1:46" ht="37.5" customHeight="1" thickBot="1">
      <c r="A56" s="1439"/>
      <c r="B56" s="1440"/>
      <c r="C56" s="1441"/>
      <c r="D56" s="1419" t="s">
        <v>207</v>
      </c>
      <c r="E56" s="1420"/>
      <c r="F56" s="1420"/>
      <c r="G56" s="1420"/>
      <c r="H56" s="1420"/>
      <c r="I56" s="1420"/>
      <c r="J56" s="1420"/>
      <c r="K56" s="1420"/>
      <c r="L56" s="1420"/>
      <c r="M56" s="1420"/>
      <c r="N56" s="1420"/>
      <c r="O56" s="1420"/>
      <c r="P56" s="1420"/>
      <c r="Q56" s="1420"/>
      <c r="R56" s="1420"/>
      <c r="S56" s="1420"/>
      <c r="T56" s="1420"/>
      <c r="U56" s="1420"/>
      <c r="V56" s="1420"/>
      <c r="W56" s="1421"/>
      <c r="Y56" s="1278" t="s">
        <v>1202</v>
      </c>
      <c r="Z56" s="1278"/>
      <c r="AA56" s="1279" t="s">
        <v>356</v>
      </c>
      <c r="AB56" s="1279"/>
      <c r="AC56" s="1279"/>
      <c r="AD56" s="1279"/>
      <c r="AE56" s="1279"/>
      <c r="AF56" s="1279"/>
      <c r="AG56" s="1279"/>
      <c r="AH56" s="1279"/>
      <c r="AI56" s="1279"/>
      <c r="AJ56" s="1279"/>
      <c r="AK56" s="1279"/>
      <c r="AL56" s="1279"/>
      <c r="AM56" s="1279"/>
      <c r="AN56" s="1279"/>
      <c r="AO56" s="1279"/>
      <c r="AP56" s="1279"/>
      <c r="AQ56" s="1279"/>
      <c r="AR56" s="1279"/>
      <c r="AS56" s="1279"/>
      <c r="AT56" s="1279"/>
    </row>
    <row r="57" spans="1:46" ht="15" hidden="1" thickBot="1">
      <c r="A57" s="1442"/>
      <c r="B57" s="1443"/>
      <c r="C57" s="1444"/>
      <c r="D57" s="883">
        <v>0.3</v>
      </c>
      <c r="E57" s="884">
        <v>0.4</v>
      </c>
      <c r="F57" s="884">
        <v>0.5</v>
      </c>
      <c r="G57" s="884">
        <v>0.6</v>
      </c>
      <c r="H57" s="884">
        <v>0.7</v>
      </c>
      <c r="I57" s="884">
        <v>0.8</v>
      </c>
      <c r="J57" s="884">
        <v>0.9</v>
      </c>
      <c r="K57" s="884">
        <v>1</v>
      </c>
      <c r="L57" s="884">
        <v>1.1000000000000001</v>
      </c>
      <c r="M57" s="884">
        <v>1.2</v>
      </c>
      <c r="N57" s="884">
        <v>1.3</v>
      </c>
      <c r="O57" s="884">
        <v>1.4</v>
      </c>
      <c r="P57" s="884">
        <v>1.5</v>
      </c>
      <c r="Q57" s="884">
        <v>1.6</v>
      </c>
      <c r="R57" s="884">
        <v>1.7</v>
      </c>
      <c r="S57" s="884">
        <v>1.8</v>
      </c>
      <c r="T57" s="884">
        <v>1.9</v>
      </c>
      <c r="U57" s="884">
        <v>2</v>
      </c>
      <c r="V57" s="884">
        <v>2.1</v>
      </c>
      <c r="W57" s="885">
        <v>2.2000000000000002</v>
      </c>
      <c r="Y57" s="1278"/>
      <c r="Z57" s="1278"/>
      <c r="AA57" s="649">
        <v>0.3</v>
      </c>
      <c r="AB57" s="649">
        <v>0.4</v>
      </c>
      <c r="AC57" s="649">
        <v>0.5</v>
      </c>
      <c r="AD57" s="649">
        <v>0.6</v>
      </c>
      <c r="AE57" s="649">
        <v>0.7</v>
      </c>
      <c r="AF57" s="649">
        <v>0.8</v>
      </c>
      <c r="AG57" s="649">
        <v>0.9</v>
      </c>
      <c r="AH57" s="649">
        <v>1</v>
      </c>
      <c r="AI57" s="649">
        <v>1.1000000000000001</v>
      </c>
      <c r="AJ57" s="649">
        <v>1.2</v>
      </c>
      <c r="AK57" s="649">
        <v>1.3</v>
      </c>
      <c r="AL57" s="649">
        <v>1.4</v>
      </c>
      <c r="AM57" s="649">
        <v>1.5</v>
      </c>
      <c r="AN57" s="649">
        <v>1.6</v>
      </c>
      <c r="AO57" s="649">
        <v>1.7</v>
      </c>
      <c r="AP57" s="649">
        <v>1.8</v>
      </c>
      <c r="AQ57" s="649">
        <v>1.9</v>
      </c>
      <c r="AR57" s="649">
        <v>2</v>
      </c>
      <c r="AS57" s="649">
        <v>2.1</v>
      </c>
      <c r="AT57" s="649">
        <v>2.2000000000000002</v>
      </c>
    </row>
    <row r="58" spans="1:46" ht="15" customHeight="1">
      <c r="A58" s="1426" t="s">
        <v>3</v>
      </c>
      <c r="B58" s="1427"/>
      <c r="C58" s="886">
        <v>0.2</v>
      </c>
      <c r="D58" s="899">
        <f>(AA58*KFC!$B$16+KFC!$C$16)*KFC!$C$5</f>
        <v>15.546710482784999</v>
      </c>
      <c r="E58" s="900">
        <f>(AB58*KFC!$B$16+KFC!$C$16)*KFC!$C$5</f>
        <v>16.908344828002893</v>
      </c>
      <c r="F58" s="900">
        <f>(AC58*KFC!$B$16+KFC!$C$16)*KFC!$C$5</f>
        <v>18.269979173220786</v>
      </c>
      <c r="G58" s="900">
        <f>(AD58*KFC!$B$16+KFC!$C$16)*KFC!$C$5</f>
        <v>19.63161351843868</v>
      </c>
      <c r="H58" s="900">
        <f>(AE58*KFC!$B$16+KFC!$C$16)*KFC!$C$5</f>
        <v>20.993247863656574</v>
      </c>
      <c r="I58" s="900">
        <f>(AF58*KFC!$B$16+KFC!$C$16)*KFC!$C$5</f>
        <v>22.354882208874468</v>
      </c>
      <c r="J58" s="900">
        <f>(AG58*KFC!$B$16+KFC!$C$16)*KFC!$C$5</f>
        <v>23.716516554092358</v>
      </c>
      <c r="K58" s="900">
        <f>(AH58*KFC!$B$16+KFC!$C$16)*KFC!$C$5</f>
        <v>25.078150899310256</v>
      </c>
      <c r="L58" s="900">
        <f>(AI58*KFC!$B$16+KFC!$C$16)*KFC!$C$5</f>
        <v>26.439785244528149</v>
      </c>
      <c r="M58" s="900">
        <f>(AJ58*KFC!$B$16+KFC!$C$16)*KFC!$C$5</f>
        <v>27.80141958974604</v>
      </c>
      <c r="N58" s="900">
        <f>(AK58*KFC!$B$16+KFC!$C$16)*KFC!$C$5</f>
        <v>29.163053934963937</v>
      </c>
      <c r="O58" s="900">
        <f>(AL58*KFC!$B$16+KFC!$C$16)*KFC!$C$5</f>
        <v>30.524688280181827</v>
      </c>
      <c r="P58" s="900">
        <f>(AM58*KFC!$B$16+KFC!$C$16)*KFC!$C$5</f>
        <v>31.886322625399725</v>
      </c>
      <c r="Q58" s="900">
        <f>(AN58*KFC!$B$16+KFC!$C$16)*KFC!$C$5</f>
        <v>33.247956970617615</v>
      </c>
      <c r="R58" s="900">
        <f>(AO58*KFC!$B$16+KFC!$C$16)*KFC!$C$5</f>
        <v>34.609591315835516</v>
      </c>
      <c r="S58" s="900">
        <f>(AP58*KFC!$B$16+KFC!$C$16)*KFC!$C$5</f>
        <v>35.97122566105341</v>
      </c>
      <c r="T58" s="900">
        <f>(AQ58*KFC!$B$16+KFC!$C$16)*KFC!$C$5</f>
        <v>37.332860006271304</v>
      </c>
      <c r="U58" s="900">
        <f>(AR58*KFC!$B$16+KFC!$C$16)*KFC!$C$5</f>
        <v>38.694494351489205</v>
      </c>
      <c r="V58" s="900">
        <f>(AS58*KFC!$B$16+KFC!$C$16)*KFC!$C$5</f>
        <v>40.056128696707098</v>
      </c>
      <c r="W58" s="901">
        <f>(AT58*KFC!$B$16+KFC!$C$16)*KFC!$C$5</f>
        <v>41.417763041924999</v>
      </c>
      <c r="Y58" s="1277" t="s">
        <v>357</v>
      </c>
      <c r="Z58" s="649">
        <v>0.2</v>
      </c>
      <c r="AA58" s="882">
        <v>15.546710482784999</v>
      </c>
      <c r="AB58" s="882">
        <v>16.908344828002893</v>
      </c>
      <c r="AC58" s="882">
        <v>18.269979173220786</v>
      </c>
      <c r="AD58" s="882">
        <v>19.63161351843868</v>
      </c>
      <c r="AE58" s="882">
        <v>20.993247863656574</v>
      </c>
      <c r="AF58" s="882">
        <v>22.354882208874468</v>
      </c>
      <c r="AG58" s="882">
        <v>23.716516554092358</v>
      </c>
      <c r="AH58" s="882">
        <v>25.078150899310256</v>
      </c>
      <c r="AI58" s="882">
        <v>26.439785244528149</v>
      </c>
      <c r="AJ58" s="882">
        <v>27.80141958974604</v>
      </c>
      <c r="AK58" s="882">
        <v>29.163053934963937</v>
      </c>
      <c r="AL58" s="882">
        <v>30.524688280181827</v>
      </c>
      <c r="AM58" s="882">
        <v>31.886322625399725</v>
      </c>
      <c r="AN58" s="882">
        <v>33.247956970617615</v>
      </c>
      <c r="AO58" s="882">
        <v>34.609591315835516</v>
      </c>
      <c r="AP58" s="882">
        <v>35.97122566105341</v>
      </c>
      <c r="AQ58" s="882">
        <v>37.332860006271304</v>
      </c>
      <c r="AR58" s="882">
        <v>38.694494351489205</v>
      </c>
      <c r="AS58" s="882">
        <v>40.056128696707098</v>
      </c>
      <c r="AT58" s="882">
        <v>41.417763041924999</v>
      </c>
    </row>
    <row r="59" spans="1:46">
      <c r="A59" s="1426"/>
      <c r="B59" s="1427"/>
      <c r="C59" s="887">
        <v>0.3</v>
      </c>
      <c r="D59" s="902">
        <f>(AA59*KFC!$B$16+KFC!$C$16)*KFC!$C$5</f>
        <v>16.079967060239248</v>
      </c>
      <c r="E59" s="898">
        <f>(AB59*KFC!$B$16+KFC!$C$16)*KFC!$C$5</f>
        <v>17.566217056077747</v>
      </c>
      <c r="F59" s="898">
        <f>(AC59*KFC!$B$16+KFC!$C$16)*KFC!$C$5</f>
        <v>19.052467051916246</v>
      </c>
      <c r="G59" s="898">
        <f>(AD59*KFC!$B$16+KFC!$C$16)*KFC!$C$5</f>
        <v>20.538717047754744</v>
      </c>
      <c r="H59" s="898">
        <f>(AE59*KFC!$B$16+KFC!$C$16)*KFC!$C$5</f>
        <v>22.024967043593243</v>
      </c>
      <c r="I59" s="898">
        <f>(AF59*KFC!$B$16+KFC!$C$16)*KFC!$C$5</f>
        <v>23.511217039431745</v>
      </c>
      <c r="J59" s="898">
        <f>(AG59*KFC!$B$16+KFC!$C$16)*KFC!$C$5</f>
        <v>24.997467035270247</v>
      </c>
      <c r="K59" s="898">
        <f>(AH59*KFC!$B$16+KFC!$C$16)*KFC!$C$5</f>
        <v>26.483717031108746</v>
      </c>
      <c r="L59" s="898">
        <f>(AI59*KFC!$B$16+KFC!$C$16)*KFC!$C$5</f>
        <v>27.969967026947245</v>
      </c>
      <c r="M59" s="898">
        <f>(AJ59*KFC!$B$16+KFC!$C$16)*KFC!$C$5</f>
        <v>29.456217022785747</v>
      </c>
      <c r="N59" s="898">
        <f>(AK59*KFC!$B$16+KFC!$C$16)*KFC!$C$5</f>
        <v>30.942467018624242</v>
      </c>
      <c r="O59" s="898">
        <f>(AL59*KFC!$B$16+KFC!$C$16)*KFC!$C$5</f>
        <v>32.428717014462748</v>
      </c>
      <c r="P59" s="898">
        <f>(AM59*KFC!$B$16+KFC!$C$16)*KFC!$C$5</f>
        <v>33.914967010301247</v>
      </c>
      <c r="Q59" s="898">
        <f>(AN59*KFC!$B$16+KFC!$C$16)*KFC!$C$5</f>
        <v>35.401217006139746</v>
      </c>
      <c r="R59" s="898">
        <f>(AO59*KFC!$B$16+KFC!$C$16)*KFC!$C$5</f>
        <v>36.887467001978244</v>
      </c>
      <c r="S59" s="898">
        <f>(AP59*KFC!$B$16+KFC!$C$16)*KFC!$C$5</f>
        <v>38.373716997816743</v>
      </c>
      <c r="T59" s="898">
        <f>(AQ59*KFC!$B$16+KFC!$C$16)*KFC!$C$5</f>
        <v>39.859966993655242</v>
      </c>
      <c r="U59" s="898">
        <f>(AR59*KFC!$B$16+KFC!$C$16)*KFC!$C$5</f>
        <v>41.346216989493747</v>
      </c>
      <c r="V59" s="898">
        <f>(AS59*KFC!$B$16+KFC!$C$16)*KFC!$C$5</f>
        <v>42.832466985332239</v>
      </c>
      <c r="W59" s="903">
        <f>(AT59*KFC!$B$16+KFC!$C$16)*KFC!$C$5</f>
        <v>44.318716981170738</v>
      </c>
      <c r="Y59" s="1277"/>
      <c r="Z59" s="649">
        <v>0.3</v>
      </c>
      <c r="AA59" s="882">
        <v>16.079967060239248</v>
      </c>
      <c r="AB59" s="882">
        <v>17.566217056077747</v>
      </c>
      <c r="AC59" s="882">
        <v>19.052467051916246</v>
      </c>
      <c r="AD59" s="882">
        <v>20.538717047754744</v>
      </c>
      <c r="AE59" s="882">
        <v>22.024967043593243</v>
      </c>
      <c r="AF59" s="882">
        <v>23.511217039431745</v>
      </c>
      <c r="AG59" s="882">
        <v>24.997467035270247</v>
      </c>
      <c r="AH59" s="882">
        <v>26.483717031108746</v>
      </c>
      <c r="AI59" s="882">
        <v>27.969967026947245</v>
      </c>
      <c r="AJ59" s="882">
        <v>29.456217022785747</v>
      </c>
      <c r="AK59" s="882">
        <v>30.942467018624242</v>
      </c>
      <c r="AL59" s="882">
        <v>32.428717014462748</v>
      </c>
      <c r="AM59" s="882">
        <v>33.914967010301247</v>
      </c>
      <c r="AN59" s="882">
        <v>35.401217006139746</v>
      </c>
      <c r="AO59" s="882">
        <v>36.887467001978244</v>
      </c>
      <c r="AP59" s="882">
        <v>38.373716997816743</v>
      </c>
      <c r="AQ59" s="882">
        <v>39.859966993655242</v>
      </c>
      <c r="AR59" s="882">
        <v>41.346216989493747</v>
      </c>
      <c r="AS59" s="882">
        <v>42.832466985332239</v>
      </c>
      <c r="AT59" s="882">
        <v>44.318716981170738</v>
      </c>
    </row>
    <row r="60" spans="1:46">
      <c r="A60" s="1426"/>
      <c r="B60" s="1427"/>
      <c r="C60" s="887">
        <v>0.4</v>
      </c>
      <c r="D60" s="902">
        <f>(AA60*KFC!$B$16+KFC!$C$16)*KFC!$C$5</f>
        <v>16.613223637693498</v>
      </c>
      <c r="E60" s="898">
        <f>(AB60*KFC!$B$16+KFC!$C$16)*KFC!$C$5</f>
        <v>18.224089284152601</v>
      </c>
      <c r="F60" s="898">
        <f>(AC60*KFC!$B$16+KFC!$C$16)*KFC!$C$5</f>
        <v>19.834954930611708</v>
      </c>
      <c r="G60" s="898">
        <f>(AD60*KFC!$B$16+KFC!$C$16)*KFC!$C$5</f>
        <v>21.445820577070812</v>
      </c>
      <c r="H60" s="898">
        <f>(AE60*KFC!$B$16+KFC!$C$16)*KFC!$C$5</f>
        <v>23.056686223529923</v>
      </c>
      <c r="I60" s="898">
        <f>(AF60*KFC!$B$16+KFC!$C$16)*KFC!$C$5</f>
        <v>24.667551869989023</v>
      </c>
      <c r="J60" s="898">
        <f>(AG60*KFC!$B$16+KFC!$C$16)*KFC!$C$5</f>
        <v>26.278417516448126</v>
      </c>
      <c r="K60" s="898">
        <f>(AH60*KFC!$B$16+KFC!$C$16)*KFC!$C$5</f>
        <v>27.889283162907237</v>
      </c>
      <c r="L60" s="898">
        <f>(AI60*KFC!$B$16+KFC!$C$16)*KFC!$C$5</f>
        <v>29.500148809366344</v>
      </c>
      <c r="M60" s="898">
        <f>(AJ60*KFC!$B$16+KFC!$C$16)*KFC!$C$5</f>
        <v>31.111014455825448</v>
      </c>
      <c r="N60" s="898">
        <f>(AK60*KFC!$B$16+KFC!$C$16)*KFC!$C$5</f>
        <v>32.721880102284558</v>
      </c>
      <c r="O60" s="898">
        <f>(AL60*KFC!$B$16+KFC!$C$16)*KFC!$C$5</f>
        <v>34.332745748743662</v>
      </c>
      <c r="P60" s="898">
        <f>(AM60*KFC!$B$16+KFC!$C$16)*KFC!$C$5</f>
        <v>35.943611395202765</v>
      </c>
      <c r="Q60" s="898">
        <f>(AN60*KFC!$B$16+KFC!$C$16)*KFC!$C$5</f>
        <v>37.554477041661862</v>
      </c>
      <c r="R60" s="898">
        <f>(AO60*KFC!$B$16+KFC!$C$16)*KFC!$C$5</f>
        <v>39.165342688120965</v>
      </c>
      <c r="S60" s="898">
        <f>(AP60*KFC!$B$16+KFC!$C$16)*KFC!$C$5</f>
        <v>40.776208334580069</v>
      </c>
      <c r="T60" s="898">
        <f>(AQ60*KFC!$B$16+KFC!$C$16)*KFC!$C$5</f>
        <v>42.38707398103918</v>
      </c>
      <c r="U60" s="898">
        <f>(AR60*KFC!$B$16+KFC!$C$16)*KFC!$C$5</f>
        <v>43.997939627498276</v>
      </c>
      <c r="V60" s="898">
        <f>(AS60*KFC!$B$16+KFC!$C$16)*KFC!$C$5</f>
        <v>45.60880527395738</v>
      </c>
      <c r="W60" s="903">
        <f>(AT60*KFC!$B$16+KFC!$C$16)*KFC!$C$5</f>
        <v>47.219670920416483</v>
      </c>
      <c r="Y60" s="1277"/>
      <c r="Z60" s="649">
        <v>0.4</v>
      </c>
      <c r="AA60" s="882">
        <v>16.613223637693498</v>
      </c>
      <c r="AB60" s="882">
        <v>18.224089284152601</v>
      </c>
      <c r="AC60" s="882">
        <v>19.834954930611708</v>
      </c>
      <c r="AD60" s="882">
        <v>21.445820577070812</v>
      </c>
      <c r="AE60" s="882">
        <v>23.056686223529923</v>
      </c>
      <c r="AF60" s="882">
        <v>24.667551869989023</v>
      </c>
      <c r="AG60" s="882">
        <v>26.278417516448126</v>
      </c>
      <c r="AH60" s="882">
        <v>27.889283162907237</v>
      </c>
      <c r="AI60" s="882">
        <v>29.500148809366344</v>
      </c>
      <c r="AJ60" s="882">
        <v>31.111014455825448</v>
      </c>
      <c r="AK60" s="882">
        <v>32.721880102284558</v>
      </c>
      <c r="AL60" s="882">
        <v>34.332745748743662</v>
      </c>
      <c r="AM60" s="882">
        <v>35.943611395202765</v>
      </c>
      <c r="AN60" s="882">
        <v>37.554477041661862</v>
      </c>
      <c r="AO60" s="882">
        <v>39.165342688120965</v>
      </c>
      <c r="AP60" s="882">
        <v>40.776208334580069</v>
      </c>
      <c r="AQ60" s="882">
        <v>42.38707398103918</v>
      </c>
      <c r="AR60" s="882">
        <v>43.997939627498276</v>
      </c>
      <c r="AS60" s="882">
        <v>45.60880527395738</v>
      </c>
      <c r="AT60" s="882">
        <v>47.219670920416483</v>
      </c>
    </row>
    <row r="61" spans="1:46">
      <c r="A61" s="1426"/>
      <c r="B61" s="1427"/>
      <c r="C61" s="887">
        <v>0.5</v>
      </c>
      <c r="D61" s="902">
        <f>(AA61*KFC!$B$16+KFC!$C$16)*KFC!$C$5</f>
        <v>17.146480215147744</v>
      </c>
      <c r="E61" s="898">
        <f>(AB61*KFC!$B$16+KFC!$C$16)*KFC!$C$5</f>
        <v>18.881961512227456</v>
      </c>
      <c r="F61" s="898">
        <f>(AC61*KFC!$B$16+KFC!$C$16)*KFC!$C$5</f>
        <v>20.617442809307164</v>
      </c>
      <c r="G61" s="898">
        <f>(AD61*KFC!$B$16+KFC!$C$16)*KFC!$C$5</f>
        <v>22.352924106386876</v>
      </c>
      <c r="H61" s="898">
        <f>(AE61*KFC!$B$16+KFC!$C$16)*KFC!$C$5</f>
        <v>24.088405403466584</v>
      </c>
      <c r="I61" s="898">
        <f>(AF61*KFC!$B$16+KFC!$C$16)*KFC!$C$5</f>
        <v>25.823886700546293</v>
      </c>
      <c r="J61" s="898">
        <f>(AG61*KFC!$B$16+KFC!$C$16)*KFC!$C$5</f>
        <v>27.559367997626001</v>
      </c>
      <c r="K61" s="898">
        <f>(AH61*KFC!$B$16+KFC!$C$16)*KFC!$C$5</f>
        <v>29.29484929470571</v>
      </c>
      <c r="L61" s="898">
        <f>(AI61*KFC!$B$16+KFC!$C$16)*KFC!$C$5</f>
        <v>31.030330591785415</v>
      </c>
      <c r="M61" s="898">
        <f>(AJ61*KFC!$B$16+KFC!$C$16)*KFC!$C$5</f>
        <v>32.76581188886513</v>
      </c>
      <c r="N61" s="898">
        <f>(AK61*KFC!$B$16+KFC!$C$16)*KFC!$C$5</f>
        <v>34.501293185944832</v>
      </c>
      <c r="O61" s="898">
        <f>(AL61*KFC!$B$16+KFC!$C$16)*KFC!$C$5</f>
        <v>36.236774483024547</v>
      </c>
      <c r="P61" s="898">
        <f>(AM61*KFC!$B$16+KFC!$C$16)*KFC!$C$5</f>
        <v>37.972255780104263</v>
      </c>
      <c r="Q61" s="898">
        <f>(AN61*KFC!$B$16+KFC!$C$16)*KFC!$C$5</f>
        <v>39.707737077183971</v>
      </c>
      <c r="R61" s="898">
        <f>(AO61*KFC!$B$16+KFC!$C$16)*KFC!$C$5</f>
        <v>41.443218374263679</v>
      </c>
      <c r="S61" s="898">
        <f>(AP61*KFC!$B$16+KFC!$C$16)*KFC!$C$5</f>
        <v>43.178699671343395</v>
      </c>
      <c r="T61" s="898">
        <f>(AQ61*KFC!$B$16+KFC!$C$16)*KFC!$C$5</f>
        <v>44.914180968423111</v>
      </c>
      <c r="U61" s="898">
        <f>(AR61*KFC!$B$16+KFC!$C$16)*KFC!$C$5</f>
        <v>46.649662265502819</v>
      </c>
      <c r="V61" s="898">
        <f>(AS61*KFC!$B$16+KFC!$C$16)*KFC!$C$5</f>
        <v>48.385143562582535</v>
      </c>
      <c r="W61" s="903">
        <f>(AT61*KFC!$B$16+KFC!$C$16)*KFC!$C$5</f>
        <v>50.120624859662243</v>
      </c>
      <c r="Y61" s="1277"/>
      <c r="Z61" s="649">
        <v>0.5</v>
      </c>
      <c r="AA61" s="882">
        <v>17.146480215147744</v>
      </c>
      <c r="AB61" s="882">
        <v>18.881961512227456</v>
      </c>
      <c r="AC61" s="882">
        <v>20.617442809307164</v>
      </c>
      <c r="AD61" s="882">
        <v>22.352924106386876</v>
      </c>
      <c r="AE61" s="882">
        <v>24.088405403466584</v>
      </c>
      <c r="AF61" s="882">
        <v>25.823886700546293</v>
      </c>
      <c r="AG61" s="882">
        <v>27.559367997626001</v>
      </c>
      <c r="AH61" s="882">
        <v>29.29484929470571</v>
      </c>
      <c r="AI61" s="882">
        <v>31.030330591785415</v>
      </c>
      <c r="AJ61" s="882">
        <v>32.76581188886513</v>
      </c>
      <c r="AK61" s="882">
        <v>34.501293185944832</v>
      </c>
      <c r="AL61" s="882">
        <v>36.236774483024547</v>
      </c>
      <c r="AM61" s="882">
        <v>37.972255780104263</v>
      </c>
      <c r="AN61" s="882">
        <v>39.707737077183971</v>
      </c>
      <c r="AO61" s="882">
        <v>41.443218374263679</v>
      </c>
      <c r="AP61" s="882">
        <v>43.178699671343395</v>
      </c>
      <c r="AQ61" s="882">
        <v>44.914180968423111</v>
      </c>
      <c r="AR61" s="882">
        <v>46.649662265502819</v>
      </c>
      <c r="AS61" s="882">
        <v>48.385143562582535</v>
      </c>
      <c r="AT61" s="882">
        <v>50.120624859662243</v>
      </c>
    </row>
    <row r="62" spans="1:46">
      <c r="A62" s="1426"/>
      <c r="B62" s="1427"/>
      <c r="C62" s="887">
        <v>0.6</v>
      </c>
      <c r="D62" s="902">
        <f>(AA62*KFC!$B$16+KFC!$C$16)*KFC!$C$5</f>
        <v>17.679736792601993</v>
      </c>
      <c r="E62" s="898">
        <f>(AB62*KFC!$B$16+KFC!$C$16)*KFC!$C$5</f>
        <v>19.539833740302313</v>
      </c>
      <c r="F62" s="898">
        <f>(AC62*KFC!$B$16+KFC!$C$16)*KFC!$C$5</f>
        <v>21.399930688002627</v>
      </c>
      <c r="G62" s="898">
        <f>(AD62*KFC!$B$16+KFC!$C$16)*KFC!$C$5</f>
        <v>23.26002763570294</v>
      </c>
      <c r="H62" s="898">
        <f>(AE62*KFC!$B$16+KFC!$C$16)*KFC!$C$5</f>
        <v>25.120124583403257</v>
      </c>
      <c r="I62" s="898">
        <f>(AF62*KFC!$B$16+KFC!$C$16)*KFC!$C$5</f>
        <v>26.98022153110357</v>
      </c>
      <c r="J62" s="898">
        <f>(AG62*KFC!$B$16+KFC!$C$16)*KFC!$C$5</f>
        <v>28.840318478803887</v>
      </c>
      <c r="K62" s="898">
        <f>(AH62*KFC!$B$16+KFC!$C$16)*KFC!$C$5</f>
        <v>30.7004154265042</v>
      </c>
      <c r="L62" s="898">
        <f>(AI62*KFC!$B$16+KFC!$C$16)*KFC!$C$5</f>
        <v>32.560512374204514</v>
      </c>
      <c r="M62" s="898">
        <f>(AJ62*KFC!$B$16+KFC!$C$16)*KFC!$C$5</f>
        <v>34.420609321904827</v>
      </c>
      <c r="N62" s="898">
        <f>(AK62*KFC!$B$16+KFC!$C$16)*KFC!$C$5</f>
        <v>36.280706269605147</v>
      </c>
      <c r="O62" s="898">
        <f>(AL62*KFC!$B$16+KFC!$C$16)*KFC!$C$5</f>
        <v>38.140803217305461</v>
      </c>
      <c r="P62" s="898">
        <f>(AM62*KFC!$B$16+KFC!$C$16)*KFC!$C$5</f>
        <v>40.000900165005774</v>
      </c>
      <c r="Q62" s="898">
        <f>(AN62*KFC!$B$16+KFC!$C$16)*KFC!$C$5</f>
        <v>41.860997112706087</v>
      </c>
      <c r="R62" s="898">
        <f>(AO62*KFC!$B$16+KFC!$C$16)*KFC!$C$5</f>
        <v>43.721094060406408</v>
      </c>
      <c r="S62" s="898">
        <f>(AP62*KFC!$B$16+KFC!$C$16)*KFC!$C$5</f>
        <v>45.581191008106714</v>
      </c>
      <c r="T62" s="898">
        <f>(AQ62*KFC!$B$16+KFC!$C$16)*KFC!$C$5</f>
        <v>47.441287955807034</v>
      </c>
      <c r="U62" s="898">
        <f>(AR62*KFC!$B$16+KFC!$C$16)*KFC!$C$5</f>
        <v>49.301384903507348</v>
      </c>
      <c r="V62" s="898">
        <f>(AS62*KFC!$B$16+KFC!$C$16)*KFC!$C$5</f>
        <v>51.161481851207654</v>
      </c>
      <c r="W62" s="903">
        <f>(AT62*KFC!$B$16+KFC!$C$16)*KFC!$C$5</f>
        <v>53.021578798907981</v>
      </c>
      <c r="Y62" s="1277"/>
      <c r="Z62" s="649">
        <v>0.6</v>
      </c>
      <c r="AA62" s="882">
        <v>17.679736792601993</v>
      </c>
      <c r="AB62" s="882">
        <v>19.539833740302313</v>
      </c>
      <c r="AC62" s="882">
        <v>21.399930688002627</v>
      </c>
      <c r="AD62" s="882">
        <v>23.26002763570294</v>
      </c>
      <c r="AE62" s="882">
        <v>25.120124583403257</v>
      </c>
      <c r="AF62" s="882">
        <v>26.98022153110357</v>
      </c>
      <c r="AG62" s="882">
        <v>28.840318478803887</v>
      </c>
      <c r="AH62" s="882">
        <v>30.7004154265042</v>
      </c>
      <c r="AI62" s="882">
        <v>32.560512374204514</v>
      </c>
      <c r="AJ62" s="882">
        <v>34.420609321904827</v>
      </c>
      <c r="AK62" s="882">
        <v>36.280706269605147</v>
      </c>
      <c r="AL62" s="882">
        <v>38.140803217305461</v>
      </c>
      <c r="AM62" s="882">
        <v>40.000900165005774</v>
      </c>
      <c r="AN62" s="882">
        <v>41.860997112706087</v>
      </c>
      <c r="AO62" s="882">
        <v>43.721094060406408</v>
      </c>
      <c r="AP62" s="882">
        <v>45.581191008106714</v>
      </c>
      <c r="AQ62" s="882">
        <v>47.441287955807034</v>
      </c>
      <c r="AR62" s="882">
        <v>49.301384903507348</v>
      </c>
      <c r="AS62" s="882">
        <v>51.161481851207654</v>
      </c>
      <c r="AT62" s="882">
        <v>53.021578798907981</v>
      </c>
    </row>
    <row r="63" spans="1:46">
      <c r="A63" s="1426"/>
      <c r="B63" s="1427"/>
      <c r="C63" s="887">
        <v>0.7</v>
      </c>
      <c r="D63" s="902">
        <f>(AA63*KFC!$B$16+KFC!$C$16)*KFC!$C$5</f>
        <v>18.212993370056243</v>
      </c>
      <c r="E63" s="898">
        <f>(AB63*KFC!$B$16+KFC!$C$16)*KFC!$C$5</f>
        <v>20.197705968377164</v>
      </c>
      <c r="F63" s="898">
        <f>(AC63*KFC!$B$16+KFC!$C$16)*KFC!$C$5</f>
        <v>22.182418566698086</v>
      </c>
      <c r="G63" s="898">
        <f>(AD63*KFC!$B$16+KFC!$C$16)*KFC!$C$5</f>
        <v>24.167131165019008</v>
      </c>
      <c r="H63" s="898">
        <f>(AE63*KFC!$B$16+KFC!$C$16)*KFC!$C$5</f>
        <v>26.151843763339929</v>
      </c>
      <c r="I63" s="898">
        <f>(AF63*KFC!$B$16+KFC!$C$16)*KFC!$C$5</f>
        <v>28.136556361660851</v>
      </c>
      <c r="J63" s="898">
        <f>(AG63*KFC!$B$16+KFC!$C$16)*KFC!$C$5</f>
        <v>30.121268959981769</v>
      </c>
      <c r="K63" s="898">
        <f>(AH63*KFC!$B$16+KFC!$C$16)*KFC!$C$5</f>
        <v>32.105981558302688</v>
      </c>
      <c r="L63" s="898">
        <f>(AI63*KFC!$B$16+KFC!$C$16)*KFC!$C$5</f>
        <v>34.090694156623613</v>
      </c>
      <c r="M63" s="898">
        <f>(AJ63*KFC!$B$16+KFC!$C$16)*KFC!$C$5</f>
        <v>36.075406754944531</v>
      </c>
      <c r="N63" s="898">
        <f>(AK63*KFC!$B$16+KFC!$C$16)*KFC!$C$5</f>
        <v>38.060119353265449</v>
      </c>
      <c r="O63" s="898">
        <f>(AL63*KFC!$B$16+KFC!$C$16)*KFC!$C$5</f>
        <v>40.044831951586367</v>
      </c>
      <c r="P63" s="898">
        <f>(AM63*KFC!$B$16+KFC!$C$16)*KFC!$C$5</f>
        <v>42.029544549907278</v>
      </c>
      <c r="Q63" s="898">
        <f>(AN63*KFC!$B$16+KFC!$C$16)*KFC!$C$5</f>
        <v>44.014257148228197</v>
      </c>
      <c r="R63" s="898">
        <f>(AO63*KFC!$B$16+KFC!$C$16)*KFC!$C$5</f>
        <v>45.998969746549115</v>
      </c>
      <c r="S63" s="898">
        <f>(AP63*KFC!$B$16+KFC!$C$16)*KFC!$C$5</f>
        <v>47.983682344870026</v>
      </c>
      <c r="T63" s="898">
        <f>(AQ63*KFC!$B$16+KFC!$C$16)*KFC!$C$5</f>
        <v>49.968394943190951</v>
      </c>
      <c r="U63" s="898">
        <f>(AR63*KFC!$B$16+KFC!$C$16)*KFC!$C$5</f>
        <v>51.953107541511862</v>
      </c>
      <c r="V63" s="898">
        <f>(AS63*KFC!$B$16+KFC!$C$16)*KFC!$C$5</f>
        <v>53.937820139832787</v>
      </c>
      <c r="W63" s="903">
        <f>(AT63*KFC!$B$16+KFC!$C$16)*KFC!$C$5</f>
        <v>55.922532738153727</v>
      </c>
      <c r="Y63" s="1277"/>
      <c r="Z63" s="649">
        <v>0.7</v>
      </c>
      <c r="AA63" s="882">
        <v>18.212993370056243</v>
      </c>
      <c r="AB63" s="882">
        <v>20.197705968377164</v>
      </c>
      <c r="AC63" s="882">
        <v>22.182418566698086</v>
      </c>
      <c r="AD63" s="882">
        <v>24.167131165019008</v>
      </c>
      <c r="AE63" s="882">
        <v>26.151843763339929</v>
      </c>
      <c r="AF63" s="882">
        <v>28.136556361660851</v>
      </c>
      <c r="AG63" s="882">
        <v>30.121268959981769</v>
      </c>
      <c r="AH63" s="882">
        <v>32.105981558302688</v>
      </c>
      <c r="AI63" s="882">
        <v>34.090694156623613</v>
      </c>
      <c r="AJ63" s="882">
        <v>36.075406754944531</v>
      </c>
      <c r="AK63" s="882">
        <v>38.060119353265449</v>
      </c>
      <c r="AL63" s="882">
        <v>40.044831951586367</v>
      </c>
      <c r="AM63" s="882">
        <v>42.029544549907278</v>
      </c>
      <c r="AN63" s="882">
        <v>44.014257148228197</v>
      </c>
      <c r="AO63" s="882">
        <v>45.998969746549115</v>
      </c>
      <c r="AP63" s="882">
        <v>47.983682344870026</v>
      </c>
      <c r="AQ63" s="882">
        <v>49.968394943190951</v>
      </c>
      <c r="AR63" s="882">
        <v>51.953107541511862</v>
      </c>
      <c r="AS63" s="882">
        <v>53.937820139832787</v>
      </c>
      <c r="AT63" s="882">
        <v>55.922532738153727</v>
      </c>
    </row>
    <row r="64" spans="1:46">
      <c r="A64" s="1426"/>
      <c r="B64" s="1427"/>
      <c r="C64" s="887">
        <v>0.8</v>
      </c>
      <c r="D64" s="902">
        <f>(AA64*KFC!$B$16+KFC!$C$16)*KFC!$C$5</f>
        <v>18.746249947510492</v>
      </c>
      <c r="E64" s="898">
        <f>(AB64*KFC!$B$16+KFC!$C$16)*KFC!$C$5</f>
        <v>20.855578196452019</v>
      </c>
      <c r="F64" s="898">
        <f>(AC64*KFC!$B$16+KFC!$C$16)*KFC!$C$5</f>
        <v>22.964906445393549</v>
      </c>
      <c r="G64" s="898">
        <f>(AD64*KFC!$B$16+KFC!$C$16)*KFC!$C$5</f>
        <v>25.074234694335072</v>
      </c>
      <c r="H64" s="898">
        <f>(AE64*KFC!$B$16+KFC!$C$16)*KFC!$C$5</f>
        <v>27.183562943276602</v>
      </c>
      <c r="I64" s="898">
        <f>(AF64*KFC!$B$16+KFC!$C$16)*KFC!$C$5</f>
        <v>29.292891192218129</v>
      </c>
      <c r="J64" s="898">
        <f>(AG64*KFC!$B$16+KFC!$C$16)*KFC!$C$5</f>
        <v>31.402219441159655</v>
      </c>
      <c r="K64" s="898">
        <f>(AH64*KFC!$B$16+KFC!$C$16)*KFC!$C$5</f>
        <v>33.511547690101182</v>
      </c>
      <c r="L64" s="898">
        <f>(AI64*KFC!$B$16+KFC!$C$16)*KFC!$C$5</f>
        <v>35.620875939042705</v>
      </c>
      <c r="M64" s="898">
        <f>(AJ64*KFC!$B$16+KFC!$C$16)*KFC!$C$5</f>
        <v>37.730204187984235</v>
      </c>
      <c r="N64" s="898">
        <f>(AK64*KFC!$B$16+KFC!$C$16)*KFC!$C$5</f>
        <v>39.839532436925758</v>
      </c>
      <c r="O64" s="898">
        <f>(AL64*KFC!$B$16+KFC!$C$16)*KFC!$C$5</f>
        <v>41.948860685867288</v>
      </c>
      <c r="P64" s="898">
        <f>(AM64*KFC!$B$16+KFC!$C$16)*KFC!$C$5</f>
        <v>44.058188934808811</v>
      </c>
      <c r="Q64" s="898">
        <f>(AN64*KFC!$B$16+KFC!$C$16)*KFC!$C$5</f>
        <v>46.167517183750341</v>
      </c>
      <c r="R64" s="898">
        <f>(AO64*KFC!$B$16+KFC!$C$16)*KFC!$C$5</f>
        <v>48.276845432691864</v>
      </c>
      <c r="S64" s="898">
        <f>(AP64*KFC!$B$16+KFC!$C$16)*KFC!$C$5</f>
        <v>50.386173681633394</v>
      </c>
      <c r="T64" s="898">
        <f>(AQ64*KFC!$B$16+KFC!$C$16)*KFC!$C$5</f>
        <v>52.495501930574918</v>
      </c>
      <c r="U64" s="898">
        <f>(AR64*KFC!$B$16+KFC!$C$16)*KFC!$C$5</f>
        <v>54.604830179516448</v>
      </c>
      <c r="V64" s="898">
        <f>(AS64*KFC!$B$16+KFC!$C$16)*KFC!$C$5</f>
        <v>56.714158428457971</v>
      </c>
      <c r="W64" s="903">
        <f>(AT64*KFC!$B$16+KFC!$C$16)*KFC!$C$5</f>
        <v>58.823486677399472</v>
      </c>
      <c r="Y64" s="1277"/>
      <c r="Z64" s="649">
        <v>0.8</v>
      </c>
      <c r="AA64" s="882">
        <v>18.746249947510492</v>
      </c>
      <c r="AB64" s="882">
        <v>20.855578196452019</v>
      </c>
      <c r="AC64" s="882">
        <v>22.964906445393549</v>
      </c>
      <c r="AD64" s="882">
        <v>25.074234694335072</v>
      </c>
      <c r="AE64" s="882">
        <v>27.183562943276602</v>
      </c>
      <c r="AF64" s="882">
        <v>29.292891192218129</v>
      </c>
      <c r="AG64" s="882">
        <v>31.402219441159655</v>
      </c>
      <c r="AH64" s="882">
        <v>33.511547690101182</v>
      </c>
      <c r="AI64" s="882">
        <v>35.620875939042705</v>
      </c>
      <c r="AJ64" s="882">
        <v>37.730204187984235</v>
      </c>
      <c r="AK64" s="882">
        <v>39.839532436925758</v>
      </c>
      <c r="AL64" s="882">
        <v>41.948860685867288</v>
      </c>
      <c r="AM64" s="882">
        <v>44.058188934808811</v>
      </c>
      <c r="AN64" s="882">
        <v>46.167517183750341</v>
      </c>
      <c r="AO64" s="882">
        <v>48.276845432691864</v>
      </c>
      <c r="AP64" s="882">
        <v>50.386173681633394</v>
      </c>
      <c r="AQ64" s="882">
        <v>52.495501930574918</v>
      </c>
      <c r="AR64" s="882">
        <v>54.604830179516448</v>
      </c>
      <c r="AS64" s="882">
        <v>56.714158428457971</v>
      </c>
      <c r="AT64" s="882">
        <v>58.823486677399472</v>
      </c>
    </row>
    <row r="65" spans="1:46">
      <c r="A65" s="1426"/>
      <c r="B65" s="1427"/>
      <c r="C65" s="887">
        <v>0.9</v>
      </c>
      <c r="D65" s="902">
        <f>(AA65*KFC!$B$16+KFC!$C$16)*KFC!$C$5</f>
        <v>19.279506524964741</v>
      </c>
      <c r="E65" s="898">
        <f>(AB65*KFC!$B$16+KFC!$C$16)*KFC!$C$5</f>
        <v>21.513450424526873</v>
      </c>
      <c r="F65" s="898">
        <f>(AC65*KFC!$B$16+KFC!$C$16)*KFC!$C$5</f>
        <v>23.747394324089004</v>
      </c>
      <c r="G65" s="898">
        <f>(AD65*KFC!$B$16+KFC!$C$16)*KFC!$C$5</f>
        <v>25.981338223651132</v>
      </c>
      <c r="H65" s="898">
        <f>(AE65*KFC!$B$16+KFC!$C$16)*KFC!$C$5</f>
        <v>28.21528212321326</v>
      </c>
      <c r="I65" s="898">
        <f>(AF65*KFC!$B$16+KFC!$C$16)*KFC!$C$5</f>
        <v>30.449226022775392</v>
      </c>
      <c r="J65" s="898">
        <f>(AG65*KFC!$B$16+KFC!$C$16)*KFC!$C$5</f>
        <v>32.68316992233752</v>
      </c>
      <c r="K65" s="898">
        <f>(AH65*KFC!$B$16+KFC!$C$16)*KFC!$C$5</f>
        <v>34.917113821899655</v>
      </c>
      <c r="L65" s="898">
        <f>(AI65*KFC!$B$16+KFC!$C$16)*KFC!$C$5</f>
        <v>37.151057721461783</v>
      </c>
      <c r="M65" s="898">
        <f>(AJ65*KFC!$B$16+KFC!$C$16)*KFC!$C$5</f>
        <v>39.385001621023918</v>
      </c>
      <c r="N65" s="898">
        <f>(AK65*KFC!$B$16+KFC!$C$16)*KFC!$C$5</f>
        <v>41.618945520586045</v>
      </c>
      <c r="O65" s="898">
        <f>(AL65*KFC!$B$16+KFC!$C$16)*KFC!$C$5</f>
        <v>43.852889420148173</v>
      </c>
      <c r="P65" s="898">
        <f>(AM65*KFC!$B$16+KFC!$C$16)*KFC!$C$5</f>
        <v>46.086833319710301</v>
      </c>
      <c r="Q65" s="898">
        <f>(AN65*KFC!$B$16+KFC!$C$16)*KFC!$C$5</f>
        <v>48.320777219272436</v>
      </c>
      <c r="R65" s="898">
        <f>(AO65*KFC!$B$16+KFC!$C$16)*KFC!$C$5</f>
        <v>50.554721118834564</v>
      </c>
      <c r="S65" s="898">
        <f>(AP65*KFC!$B$16+KFC!$C$16)*KFC!$C$5</f>
        <v>52.788665018396692</v>
      </c>
      <c r="T65" s="898">
        <f>(AQ65*KFC!$B$16+KFC!$C$16)*KFC!$C$5</f>
        <v>55.02260891795882</v>
      </c>
      <c r="U65" s="898">
        <f>(AR65*KFC!$B$16+KFC!$C$16)*KFC!$C$5</f>
        <v>57.256552817520948</v>
      </c>
      <c r="V65" s="898">
        <f>(AS65*KFC!$B$16+KFC!$C$16)*KFC!$C$5</f>
        <v>59.490496717083083</v>
      </c>
      <c r="W65" s="903">
        <f>(AT65*KFC!$B$16+KFC!$C$16)*KFC!$C$5</f>
        <v>61.724440616645218</v>
      </c>
      <c r="Y65" s="1277"/>
      <c r="Z65" s="649">
        <v>0.9</v>
      </c>
      <c r="AA65" s="882">
        <v>19.279506524964741</v>
      </c>
      <c r="AB65" s="882">
        <v>21.513450424526873</v>
      </c>
      <c r="AC65" s="882">
        <v>23.747394324089004</v>
      </c>
      <c r="AD65" s="882">
        <v>25.981338223651132</v>
      </c>
      <c r="AE65" s="882">
        <v>28.21528212321326</v>
      </c>
      <c r="AF65" s="882">
        <v>30.449226022775392</v>
      </c>
      <c r="AG65" s="882">
        <v>32.68316992233752</v>
      </c>
      <c r="AH65" s="882">
        <v>34.917113821899655</v>
      </c>
      <c r="AI65" s="882">
        <v>37.151057721461783</v>
      </c>
      <c r="AJ65" s="882">
        <v>39.385001621023918</v>
      </c>
      <c r="AK65" s="882">
        <v>41.618945520586045</v>
      </c>
      <c r="AL65" s="882">
        <v>43.852889420148173</v>
      </c>
      <c r="AM65" s="882">
        <v>46.086833319710301</v>
      </c>
      <c r="AN65" s="882">
        <v>48.320777219272436</v>
      </c>
      <c r="AO65" s="882">
        <v>50.554721118834564</v>
      </c>
      <c r="AP65" s="882">
        <v>52.788665018396692</v>
      </c>
      <c r="AQ65" s="882">
        <v>55.02260891795882</v>
      </c>
      <c r="AR65" s="882">
        <v>57.256552817520948</v>
      </c>
      <c r="AS65" s="882">
        <v>59.490496717083083</v>
      </c>
      <c r="AT65" s="882">
        <v>61.724440616645218</v>
      </c>
    </row>
    <row r="66" spans="1:46">
      <c r="A66" s="1426"/>
      <c r="B66" s="1427"/>
      <c r="C66" s="887">
        <v>1</v>
      </c>
      <c r="D66" s="902">
        <f>(AA66*KFC!$B$16+KFC!$C$16)*KFC!$C$5</f>
        <v>19.812763102418991</v>
      </c>
      <c r="E66" s="898">
        <f>(AB66*KFC!$B$16+KFC!$C$16)*KFC!$C$5</f>
        <v>22.171322652601727</v>
      </c>
      <c r="F66" s="898">
        <f>(AC66*KFC!$B$16+KFC!$C$16)*KFC!$C$5</f>
        <v>24.52988220278446</v>
      </c>
      <c r="G66" s="898">
        <f>(AD66*KFC!$B$16+KFC!$C$16)*KFC!$C$5</f>
        <v>26.8884417529672</v>
      </c>
      <c r="H66" s="898">
        <f>(AE66*KFC!$B$16+KFC!$C$16)*KFC!$C$5</f>
        <v>29.247001303149933</v>
      </c>
      <c r="I66" s="898">
        <f>(AF66*KFC!$B$16+KFC!$C$16)*KFC!$C$5</f>
        <v>31.605560853332669</v>
      </c>
      <c r="J66" s="898">
        <f>(AG66*KFC!$B$16+KFC!$C$16)*KFC!$C$5</f>
        <v>33.964120403515402</v>
      </c>
      <c r="K66" s="898">
        <f>(AH66*KFC!$B$16+KFC!$C$16)*KFC!$C$5</f>
        <v>36.322679953698142</v>
      </c>
      <c r="L66" s="898">
        <f>(AI66*KFC!$B$16+KFC!$C$16)*KFC!$C$5</f>
        <v>38.681239503880882</v>
      </c>
      <c r="M66" s="898">
        <f>(AJ66*KFC!$B$16+KFC!$C$16)*KFC!$C$5</f>
        <v>41.039799054063614</v>
      </c>
      <c r="N66" s="898">
        <f>(AK66*KFC!$B$16+KFC!$C$16)*KFC!$C$5</f>
        <v>43.398358604246347</v>
      </c>
      <c r="O66" s="898">
        <f>(AL66*KFC!$B$16+KFC!$C$16)*KFC!$C$5</f>
        <v>45.75691815442908</v>
      </c>
      <c r="P66" s="898">
        <f>(AM66*KFC!$B$16+KFC!$C$16)*KFC!$C$5</f>
        <v>48.115477704611813</v>
      </c>
      <c r="Q66" s="898">
        <f>(AN66*KFC!$B$16+KFC!$C$16)*KFC!$C$5</f>
        <v>50.474037254794546</v>
      </c>
      <c r="R66" s="898">
        <f>(AO66*KFC!$B$16+KFC!$C$16)*KFC!$C$5</f>
        <v>52.832596804977278</v>
      </c>
      <c r="S66" s="898">
        <f>(AP66*KFC!$B$16+KFC!$C$16)*KFC!$C$5</f>
        <v>55.191156355160011</v>
      </c>
      <c r="T66" s="898">
        <f>(AQ66*KFC!$B$16+KFC!$C$16)*KFC!$C$5</f>
        <v>57.549715905342737</v>
      </c>
      <c r="U66" s="898">
        <f>(AR66*KFC!$B$16+KFC!$C$16)*KFC!$C$5</f>
        <v>59.90827545552547</v>
      </c>
      <c r="V66" s="898">
        <f>(AS66*KFC!$B$16+KFC!$C$16)*KFC!$C$5</f>
        <v>62.266835005708202</v>
      </c>
      <c r="W66" s="903">
        <f>(AT66*KFC!$B$16+KFC!$C$16)*KFC!$C$5</f>
        <v>64.625394555890963</v>
      </c>
      <c r="Y66" s="1277"/>
      <c r="Z66" s="649">
        <v>1</v>
      </c>
      <c r="AA66" s="882">
        <v>19.812763102418991</v>
      </c>
      <c r="AB66" s="882">
        <v>22.171322652601727</v>
      </c>
      <c r="AC66" s="882">
        <v>24.52988220278446</v>
      </c>
      <c r="AD66" s="882">
        <v>26.8884417529672</v>
      </c>
      <c r="AE66" s="882">
        <v>29.247001303149933</v>
      </c>
      <c r="AF66" s="882">
        <v>31.605560853332669</v>
      </c>
      <c r="AG66" s="882">
        <v>33.964120403515402</v>
      </c>
      <c r="AH66" s="882">
        <v>36.322679953698142</v>
      </c>
      <c r="AI66" s="882">
        <v>38.681239503880882</v>
      </c>
      <c r="AJ66" s="882">
        <v>41.039799054063614</v>
      </c>
      <c r="AK66" s="882">
        <v>43.398358604246347</v>
      </c>
      <c r="AL66" s="882">
        <v>45.75691815442908</v>
      </c>
      <c r="AM66" s="882">
        <v>48.115477704611813</v>
      </c>
      <c r="AN66" s="882">
        <v>50.474037254794546</v>
      </c>
      <c r="AO66" s="882">
        <v>52.832596804977278</v>
      </c>
      <c r="AP66" s="882">
        <v>55.191156355160011</v>
      </c>
      <c r="AQ66" s="882">
        <v>57.549715905342737</v>
      </c>
      <c r="AR66" s="882">
        <v>59.90827545552547</v>
      </c>
      <c r="AS66" s="882">
        <v>62.266835005708202</v>
      </c>
      <c r="AT66" s="882">
        <v>64.625394555890963</v>
      </c>
    </row>
    <row r="67" spans="1:46">
      <c r="A67" s="1426"/>
      <c r="B67" s="1427"/>
      <c r="C67" s="887">
        <v>1.1000000000000001</v>
      </c>
      <c r="D67" s="902">
        <f>(AA67*KFC!$B$16+KFC!$C$16)*KFC!$C$5</f>
        <v>20.34601967987324</v>
      </c>
      <c r="E67" s="898">
        <f>(AB67*KFC!$B$16+KFC!$C$16)*KFC!$C$5</f>
        <v>22.829194880676582</v>
      </c>
      <c r="F67" s="898">
        <f>(AC67*KFC!$B$16+KFC!$C$16)*KFC!$C$5</f>
        <v>25.312370081479926</v>
      </c>
      <c r="G67" s="898">
        <f>(AD67*KFC!$B$16+KFC!$C$16)*KFC!$C$5</f>
        <v>27.795545282283268</v>
      </c>
      <c r="H67" s="898">
        <f>(AE67*KFC!$B$16+KFC!$C$16)*KFC!$C$5</f>
        <v>30.278720483086609</v>
      </c>
      <c r="I67" s="898">
        <f>(AF67*KFC!$B$16+KFC!$C$16)*KFC!$C$5</f>
        <v>32.761895683889954</v>
      </c>
      <c r="J67" s="898">
        <f>(AG67*KFC!$B$16+KFC!$C$16)*KFC!$C$5</f>
        <v>35.245070884693291</v>
      </c>
      <c r="K67" s="898">
        <f>(AH67*KFC!$B$16+KFC!$C$16)*KFC!$C$5</f>
        <v>37.728246085496636</v>
      </c>
      <c r="L67" s="898">
        <f>(AI67*KFC!$B$16+KFC!$C$16)*KFC!$C$5</f>
        <v>40.211421286299981</v>
      </c>
      <c r="M67" s="898">
        <f>(AJ67*KFC!$B$16+KFC!$C$16)*KFC!$C$5</f>
        <v>42.694596487103318</v>
      </c>
      <c r="N67" s="898">
        <f>(AK67*KFC!$B$16+KFC!$C$16)*KFC!$C$5</f>
        <v>45.177771687906656</v>
      </c>
      <c r="O67" s="898">
        <f>(AL67*KFC!$B$16+KFC!$C$16)*KFC!$C$5</f>
        <v>47.660946888709994</v>
      </c>
      <c r="P67" s="898">
        <f>(AM67*KFC!$B$16+KFC!$C$16)*KFC!$C$5</f>
        <v>50.144122089513345</v>
      </c>
      <c r="Q67" s="898">
        <f>(AN67*KFC!$B$16+KFC!$C$16)*KFC!$C$5</f>
        <v>52.627297290316683</v>
      </c>
      <c r="R67" s="898">
        <f>(AO67*KFC!$B$16+KFC!$C$16)*KFC!$C$5</f>
        <v>55.110472491120035</v>
      </c>
      <c r="S67" s="898">
        <f>(AP67*KFC!$B$16+KFC!$C$16)*KFC!$C$5</f>
        <v>57.593647691923373</v>
      </c>
      <c r="T67" s="898">
        <f>(AQ67*KFC!$B$16+KFC!$C$16)*KFC!$C$5</f>
        <v>60.07682289272671</v>
      </c>
      <c r="U67" s="898">
        <f>(AR67*KFC!$B$16+KFC!$C$16)*KFC!$C$5</f>
        <v>62.559998093530048</v>
      </c>
      <c r="V67" s="898">
        <f>(AS67*KFC!$B$16+KFC!$C$16)*KFC!$C$5</f>
        <v>65.0431732943334</v>
      </c>
      <c r="W67" s="903">
        <f>(AT67*KFC!$B$16+KFC!$C$16)*KFC!$C$5</f>
        <v>67.52634849513673</v>
      </c>
      <c r="Y67" s="1277"/>
      <c r="Z67" s="649">
        <v>1.1000000000000001</v>
      </c>
      <c r="AA67" s="882">
        <v>20.34601967987324</v>
      </c>
      <c r="AB67" s="882">
        <v>22.829194880676582</v>
      </c>
      <c r="AC67" s="882">
        <v>25.312370081479926</v>
      </c>
      <c r="AD67" s="882">
        <v>27.795545282283268</v>
      </c>
      <c r="AE67" s="882">
        <v>30.278720483086609</v>
      </c>
      <c r="AF67" s="882">
        <v>32.761895683889954</v>
      </c>
      <c r="AG67" s="882">
        <v>35.245070884693291</v>
      </c>
      <c r="AH67" s="882">
        <v>37.728246085496636</v>
      </c>
      <c r="AI67" s="882">
        <v>40.211421286299981</v>
      </c>
      <c r="AJ67" s="882">
        <v>42.694596487103318</v>
      </c>
      <c r="AK67" s="882">
        <v>45.177771687906656</v>
      </c>
      <c r="AL67" s="882">
        <v>47.660946888709994</v>
      </c>
      <c r="AM67" s="882">
        <v>50.144122089513345</v>
      </c>
      <c r="AN67" s="882">
        <v>52.627297290316683</v>
      </c>
      <c r="AO67" s="882">
        <v>55.110472491120035</v>
      </c>
      <c r="AP67" s="882">
        <v>57.593647691923373</v>
      </c>
      <c r="AQ67" s="882">
        <v>60.07682289272671</v>
      </c>
      <c r="AR67" s="882">
        <v>62.559998093530048</v>
      </c>
      <c r="AS67" s="882">
        <v>65.0431732943334</v>
      </c>
      <c r="AT67" s="882">
        <v>67.52634849513673</v>
      </c>
    </row>
    <row r="68" spans="1:46">
      <c r="A68" s="1426"/>
      <c r="B68" s="1427"/>
      <c r="C68" s="887">
        <v>1.2</v>
      </c>
      <c r="D68" s="902">
        <f>(AA68*KFC!$B$16+KFC!$C$16)*KFC!$C$5</f>
        <v>20.879276257327493</v>
      </c>
      <c r="E68" s="898">
        <f>(AB68*KFC!$B$16+KFC!$C$16)*KFC!$C$5</f>
        <v>23.48706710875144</v>
      </c>
      <c r="F68" s="898">
        <f>(AC68*KFC!$B$16+KFC!$C$16)*KFC!$C$5</f>
        <v>26.094857960175382</v>
      </c>
      <c r="G68" s="898">
        <f>(AD68*KFC!$B$16+KFC!$C$16)*KFC!$C$5</f>
        <v>28.702648811599328</v>
      </c>
      <c r="H68" s="898">
        <f>(AE68*KFC!$B$16+KFC!$C$16)*KFC!$C$5</f>
        <v>31.310439663023274</v>
      </c>
      <c r="I68" s="898">
        <f>(AF68*KFC!$B$16+KFC!$C$16)*KFC!$C$5</f>
        <v>33.918230514447217</v>
      </c>
      <c r="J68" s="898">
        <f>(AG68*KFC!$B$16+KFC!$C$16)*KFC!$C$5</f>
        <v>36.526021365871159</v>
      </c>
      <c r="K68" s="898">
        <f>(AH68*KFC!$B$16+KFC!$C$16)*KFC!$C$5</f>
        <v>39.133812217295109</v>
      </c>
      <c r="L68" s="898">
        <f>(AI68*KFC!$B$16+KFC!$C$16)*KFC!$C$5</f>
        <v>41.741603068719051</v>
      </c>
      <c r="M68" s="898">
        <f>(AJ68*KFC!$B$16+KFC!$C$16)*KFC!$C$5</f>
        <v>44.349393920142994</v>
      </c>
      <c r="N68" s="898">
        <f>(AK68*KFC!$B$16+KFC!$C$16)*KFC!$C$5</f>
        <v>46.957184771566943</v>
      </c>
      <c r="O68" s="898">
        <f>(AL68*KFC!$B$16+KFC!$C$16)*KFC!$C$5</f>
        <v>49.564975622990886</v>
      </c>
      <c r="P68" s="898">
        <f>(AM68*KFC!$B$16+KFC!$C$16)*KFC!$C$5</f>
        <v>52.172766474414829</v>
      </c>
      <c r="Q68" s="898">
        <f>(AN68*KFC!$B$16+KFC!$C$16)*KFC!$C$5</f>
        <v>54.780557325838778</v>
      </c>
      <c r="R68" s="898">
        <f>(AO68*KFC!$B$16+KFC!$C$16)*KFC!$C$5</f>
        <v>57.388348177262721</v>
      </c>
      <c r="S68" s="898">
        <f>(AP68*KFC!$B$16+KFC!$C$16)*KFC!$C$5</f>
        <v>59.996139028686663</v>
      </c>
      <c r="T68" s="898">
        <f>(AQ68*KFC!$B$16+KFC!$C$16)*KFC!$C$5</f>
        <v>62.603929880110613</v>
      </c>
      <c r="U68" s="898">
        <f>(AR68*KFC!$B$16+KFC!$C$16)*KFC!$C$5</f>
        <v>65.211720731534555</v>
      </c>
      <c r="V68" s="898">
        <f>(AS68*KFC!$B$16+KFC!$C$16)*KFC!$C$5</f>
        <v>67.819511582958512</v>
      </c>
      <c r="W68" s="903">
        <f>(AT68*KFC!$B$16+KFC!$C$16)*KFC!$C$5</f>
        <v>70.427302434382469</v>
      </c>
      <c r="Y68" s="1277"/>
      <c r="Z68" s="649">
        <v>1.2</v>
      </c>
      <c r="AA68" s="882">
        <v>20.879276257327493</v>
      </c>
      <c r="AB68" s="882">
        <v>23.48706710875144</v>
      </c>
      <c r="AC68" s="882">
        <v>26.094857960175382</v>
      </c>
      <c r="AD68" s="882">
        <v>28.702648811599328</v>
      </c>
      <c r="AE68" s="882">
        <v>31.310439663023274</v>
      </c>
      <c r="AF68" s="882">
        <v>33.918230514447217</v>
      </c>
      <c r="AG68" s="882">
        <v>36.526021365871159</v>
      </c>
      <c r="AH68" s="882">
        <v>39.133812217295109</v>
      </c>
      <c r="AI68" s="882">
        <v>41.741603068719051</v>
      </c>
      <c r="AJ68" s="882">
        <v>44.349393920142994</v>
      </c>
      <c r="AK68" s="882">
        <v>46.957184771566943</v>
      </c>
      <c r="AL68" s="882">
        <v>49.564975622990886</v>
      </c>
      <c r="AM68" s="882">
        <v>52.172766474414829</v>
      </c>
      <c r="AN68" s="882">
        <v>54.780557325838778</v>
      </c>
      <c r="AO68" s="882">
        <v>57.388348177262721</v>
      </c>
      <c r="AP68" s="882">
        <v>59.996139028686663</v>
      </c>
      <c r="AQ68" s="882">
        <v>62.603929880110613</v>
      </c>
      <c r="AR68" s="882">
        <v>65.211720731534555</v>
      </c>
      <c r="AS68" s="882">
        <v>67.819511582958512</v>
      </c>
      <c r="AT68" s="882">
        <v>70.427302434382469</v>
      </c>
    </row>
    <row r="69" spans="1:46">
      <c r="A69" s="1426"/>
      <c r="B69" s="1427"/>
      <c r="C69" s="887">
        <v>1.3</v>
      </c>
      <c r="D69" s="902">
        <f>(AA69*KFC!$B$16+KFC!$C$16)*KFC!$C$5</f>
        <v>21.412532834781743</v>
      </c>
      <c r="E69" s="898">
        <f>(AB69*KFC!$B$16+KFC!$C$16)*KFC!$C$5</f>
        <v>24.144939336826294</v>
      </c>
      <c r="F69" s="898">
        <f>(AC69*KFC!$B$16+KFC!$C$16)*KFC!$C$5</f>
        <v>26.877345838870845</v>
      </c>
      <c r="G69" s="898">
        <f>(AD69*KFC!$B$16+KFC!$C$16)*KFC!$C$5</f>
        <v>29.609752340915399</v>
      </c>
      <c r="H69" s="898">
        <f>(AE69*KFC!$B$16+KFC!$C$16)*KFC!$C$5</f>
        <v>32.342158842959947</v>
      </c>
      <c r="I69" s="898">
        <f>(AF69*KFC!$B$16+KFC!$C$16)*KFC!$C$5</f>
        <v>35.074565345004494</v>
      </c>
      <c r="J69" s="898">
        <f>(AG69*KFC!$B$16+KFC!$C$16)*KFC!$C$5</f>
        <v>37.806971847049049</v>
      </c>
      <c r="K69" s="898">
        <f>(AH69*KFC!$B$16+KFC!$C$16)*KFC!$C$5</f>
        <v>40.539378349093603</v>
      </c>
      <c r="L69" s="898">
        <f>(AI69*KFC!$B$16+KFC!$C$16)*KFC!$C$5</f>
        <v>43.27178485113815</v>
      </c>
      <c r="M69" s="898">
        <f>(AJ69*KFC!$B$16+KFC!$C$16)*KFC!$C$5</f>
        <v>46.004191353182712</v>
      </c>
      <c r="N69" s="898">
        <f>(AK69*KFC!$B$16+KFC!$C$16)*KFC!$C$5</f>
        <v>48.736597855227259</v>
      </c>
      <c r="O69" s="898">
        <f>(AL69*KFC!$B$16+KFC!$C$16)*KFC!$C$5</f>
        <v>51.469004357271821</v>
      </c>
      <c r="P69" s="898">
        <f>(AM69*KFC!$B$16+KFC!$C$16)*KFC!$C$5</f>
        <v>54.201410859316375</v>
      </c>
      <c r="Q69" s="898">
        <f>(AN69*KFC!$B$16+KFC!$C$16)*KFC!$C$5</f>
        <v>56.93381736136093</v>
      </c>
      <c r="R69" s="898">
        <f>(AO69*KFC!$B$16+KFC!$C$16)*KFC!$C$5</f>
        <v>59.666223863405484</v>
      </c>
      <c r="S69" s="898">
        <f>(AP69*KFC!$B$16+KFC!$C$16)*KFC!$C$5</f>
        <v>62.398630365450032</v>
      </c>
      <c r="T69" s="898">
        <f>(AQ69*KFC!$B$16+KFC!$C$16)*KFC!$C$5</f>
        <v>65.131036867494586</v>
      </c>
      <c r="U69" s="898">
        <f>(AR69*KFC!$B$16+KFC!$C$16)*KFC!$C$5</f>
        <v>67.863443369539141</v>
      </c>
      <c r="V69" s="898">
        <f>(AS69*KFC!$B$16+KFC!$C$16)*KFC!$C$5</f>
        <v>70.595849871583681</v>
      </c>
      <c r="W69" s="903">
        <f>(AT69*KFC!$B$16+KFC!$C$16)*KFC!$C$5</f>
        <v>73.328256373628221</v>
      </c>
      <c r="Y69" s="1277"/>
      <c r="Z69" s="649">
        <v>1.3</v>
      </c>
      <c r="AA69" s="882">
        <v>21.412532834781743</v>
      </c>
      <c r="AB69" s="882">
        <v>24.144939336826294</v>
      </c>
      <c r="AC69" s="882">
        <v>26.877345838870845</v>
      </c>
      <c r="AD69" s="882">
        <v>29.609752340915399</v>
      </c>
      <c r="AE69" s="882">
        <v>32.342158842959947</v>
      </c>
      <c r="AF69" s="882">
        <v>35.074565345004494</v>
      </c>
      <c r="AG69" s="882">
        <v>37.806971847049049</v>
      </c>
      <c r="AH69" s="882">
        <v>40.539378349093603</v>
      </c>
      <c r="AI69" s="882">
        <v>43.27178485113815</v>
      </c>
      <c r="AJ69" s="882">
        <v>46.004191353182712</v>
      </c>
      <c r="AK69" s="882">
        <v>48.736597855227259</v>
      </c>
      <c r="AL69" s="882">
        <v>51.469004357271821</v>
      </c>
      <c r="AM69" s="882">
        <v>54.201410859316375</v>
      </c>
      <c r="AN69" s="882">
        <v>56.93381736136093</v>
      </c>
      <c r="AO69" s="882">
        <v>59.666223863405484</v>
      </c>
      <c r="AP69" s="882">
        <v>62.398630365450032</v>
      </c>
      <c r="AQ69" s="882">
        <v>65.131036867494586</v>
      </c>
      <c r="AR69" s="882">
        <v>67.863443369539141</v>
      </c>
      <c r="AS69" s="882">
        <v>70.595849871583681</v>
      </c>
      <c r="AT69" s="882">
        <v>73.328256373628221</v>
      </c>
    </row>
    <row r="70" spans="1:46">
      <c r="A70" s="1426"/>
      <c r="B70" s="1427"/>
      <c r="C70" s="887">
        <v>1.4</v>
      </c>
      <c r="D70" s="902">
        <f>(AA70*KFC!$B$16+KFC!$C$16)*KFC!$C$5</f>
        <v>21.945789412235992</v>
      </c>
      <c r="E70" s="898">
        <f>(AB70*KFC!$B$16+KFC!$C$16)*KFC!$C$5</f>
        <v>24.802811564901148</v>
      </c>
      <c r="F70" s="898">
        <f>(AC70*KFC!$B$16+KFC!$C$16)*KFC!$C$5</f>
        <v>27.659833717566304</v>
      </c>
      <c r="G70" s="898">
        <f>(AD70*KFC!$B$16+KFC!$C$16)*KFC!$C$5</f>
        <v>30.516855870231467</v>
      </c>
      <c r="H70" s="898">
        <f>(AE70*KFC!$B$16+KFC!$C$16)*KFC!$C$5</f>
        <v>33.373878022896619</v>
      </c>
      <c r="I70" s="898">
        <f>(AF70*KFC!$B$16+KFC!$C$16)*KFC!$C$5</f>
        <v>36.230900175561771</v>
      </c>
      <c r="J70" s="898">
        <f>(AG70*KFC!$B$16+KFC!$C$16)*KFC!$C$5</f>
        <v>39.087922328226931</v>
      </c>
      <c r="K70" s="898">
        <f>(AH70*KFC!$B$16+KFC!$C$16)*KFC!$C$5</f>
        <v>41.94494448089209</v>
      </c>
      <c r="L70" s="898">
        <f>(AI70*KFC!$B$16+KFC!$C$16)*KFC!$C$5</f>
        <v>44.801966633557242</v>
      </c>
      <c r="M70" s="898">
        <f>(AJ70*KFC!$B$16+KFC!$C$16)*KFC!$C$5</f>
        <v>47.658988786222402</v>
      </c>
      <c r="N70" s="898">
        <f>(AK70*KFC!$B$16+KFC!$C$16)*KFC!$C$5</f>
        <v>50.516010938887554</v>
      </c>
      <c r="O70" s="898">
        <f>(AL70*KFC!$B$16+KFC!$C$16)*KFC!$C$5</f>
        <v>53.373033091552713</v>
      </c>
      <c r="P70" s="898">
        <f>(AM70*KFC!$B$16+KFC!$C$16)*KFC!$C$5</f>
        <v>56.230055244217866</v>
      </c>
      <c r="Q70" s="898">
        <f>(AN70*KFC!$B$16+KFC!$C$16)*KFC!$C$5</f>
        <v>59.087077396883032</v>
      </c>
      <c r="R70" s="898">
        <f>(AO70*KFC!$B$16+KFC!$C$16)*KFC!$C$5</f>
        <v>61.944099549548191</v>
      </c>
      <c r="S70" s="898">
        <f>(AP70*KFC!$B$16+KFC!$C$16)*KFC!$C$5</f>
        <v>64.801121702213351</v>
      </c>
      <c r="T70" s="898">
        <f>(AQ70*KFC!$B$16+KFC!$C$16)*KFC!$C$5</f>
        <v>67.658143854878489</v>
      </c>
      <c r="U70" s="898">
        <f>(AR70*KFC!$B$16+KFC!$C$16)*KFC!$C$5</f>
        <v>70.515166007543655</v>
      </c>
      <c r="V70" s="898">
        <f>(AS70*KFC!$B$16+KFC!$C$16)*KFC!$C$5</f>
        <v>73.372188160208808</v>
      </c>
      <c r="W70" s="903">
        <f>(AT70*KFC!$B$16+KFC!$C$16)*KFC!$C$5</f>
        <v>76.22921031287396</v>
      </c>
      <c r="Y70" s="1277"/>
      <c r="Z70" s="649">
        <v>1.4</v>
      </c>
      <c r="AA70" s="882">
        <v>21.945789412235992</v>
      </c>
      <c r="AB70" s="882">
        <v>24.802811564901148</v>
      </c>
      <c r="AC70" s="882">
        <v>27.659833717566304</v>
      </c>
      <c r="AD70" s="882">
        <v>30.516855870231467</v>
      </c>
      <c r="AE70" s="882">
        <v>33.373878022896619</v>
      </c>
      <c r="AF70" s="882">
        <v>36.230900175561771</v>
      </c>
      <c r="AG70" s="882">
        <v>39.087922328226931</v>
      </c>
      <c r="AH70" s="882">
        <v>41.94494448089209</v>
      </c>
      <c r="AI70" s="882">
        <v>44.801966633557242</v>
      </c>
      <c r="AJ70" s="882">
        <v>47.658988786222402</v>
      </c>
      <c r="AK70" s="882">
        <v>50.516010938887554</v>
      </c>
      <c r="AL70" s="882">
        <v>53.373033091552713</v>
      </c>
      <c r="AM70" s="882">
        <v>56.230055244217866</v>
      </c>
      <c r="AN70" s="882">
        <v>59.087077396883032</v>
      </c>
      <c r="AO70" s="882">
        <v>61.944099549548191</v>
      </c>
      <c r="AP70" s="882">
        <v>64.801121702213351</v>
      </c>
      <c r="AQ70" s="882">
        <v>67.658143854878489</v>
      </c>
      <c r="AR70" s="882">
        <v>70.515166007543655</v>
      </c>
      <c r="AS70" s="882">
        <v>73.372188160208808</v>
      </c>
      <c r="AT70" s="882">
        <v>76.22921031287396</v>
      </c>
    </row>
    <row r="71" spans="1:46">
      <c r="A71" s="1426"/>
      <c r="B71" s="1427"/>
      <c r="C71" s="887">
        <v>1.5</v>
      </c>
      <c r="D71" s="902">
        <f>(AA71*KFC!$B$16+KFC!$C$16)*KFC!$C$5</f>
        <v>22.479045989690245</v>
      </c>
      <c r="E71" s="898">
        <f>(AB71*KFC!$B$16+KFC!$C$16)*KFC!$C$5</f>
        <v>25.460683792976003</v>
      </c>
      <c r="F71" s="898">
        <f>(AC71*KFC!$B$16+KFC!$C$16)*KFC!$C$5</f>
        <v>28.442321596261767</v>
      </c>
      <c r="G71" s="898">
        <f>(AD71*KFC!$B$16+KFC!$C$16)*KFC!$C$5</f>
        <v>31.423959399547524</v>
      </c>
      <c r="H71" s="898">
        <f>(AE71*KFC!$B$16+KFC!$C$16)*KFC!$C$5</f>
        <v>34.405597202833285</v>
      </c>
      <c r="I71" s="898">
        <f>(AF71*KFC!$B$16+KFC!$C$16)*KFC!$C$5</f>
        <v>37.387235006119042</v>
      </c>
      <c r="J71" s="898">
        <f>(AG71*KFC!$B$16+KFC!$C$16)*KFC!$C$5</f>
        <v>40.368872809404799</v>
      </c>
      <c r="K71" s="898">
        <f>(AH71*KFC!$B$16+KFC!$C$16)*KFC!$C$5</f>
        <v>43.350510612690563</v>
      </c>
      <c r="L71" s="898">
        <f>(AI71*KFC!$B$16+KFC!$C$16)*KFC!$C$5</f>
        <v>46.332148415976327</v>
      </c>
      <c r="M71" s="898">
        <f>(AJ71*KFC!$B$16+KFC!$C$16)*KFC!$C$5</f>
        <v>49.313786219262084</v>
      </c>
      <c r="N71" s="898">
        <f>(AK71*KFC!$B$16+KFC!$C$16)*KFC!$C$5</f>
        <v>52.295424022547842</v>
      </c>
      <c r="O71" s="898">
        <f>(AL71*KFC!$B$16+KFC!$C$16)*KFC!$C$5</f>
        <v>55.277061825833599</v>
      </c>
      <c r="P71" s="898">
        <f>(AM71*KFC!$B$16+KFC!$C$16)*KFC!$C$5</f>
        <v>58.258699629119356</v>
      </c>
      <c r="Q71" s="898">
        <f>(AN71*KFC!$B$16+KFC!$C$16)*KFC!$C$5</f>
        <v>61.240337432405113</v>
      </c>
      <c r="R71" s="898">
        <f>(AO71*KFC!$B$16+KFC!$C$16)*KFC!$C$5</f>
        <v>64.221975235690877</v>
      </c>
      <c r="S71" s="898">
        <f>(AP71*KFC!$B$16+KFC!$C$16)*KFC!$C$5</f>
        <v>67.203613038976641</v>
      </c>
      <c r="T71" s="898">
        <f>(AQ71*KFC!$B$16+KFC!$C$16)*KFC!$C$5</f>
        <v>70.185250842262406</v>
      </c>
      <c r="U71" s="898">
        <f>(AR71*KFC!$B$16+KFC!$C$16)*KFC!$C$5</f>
        <v>73.166888645548184</v>
      </c>
      <c r="V71" s="898">
        <f>(AS71*KFC!$B$16+KFC!$C$16)*KFC!$C$5</f>
        <v>76.148526448833948</v>
      </c>
      <c r="W71" s="903">
        <f>(AT71*KFC!$B$16+KFC!$C$16)*KFC!$C$5</f>
        <v>79.130164252119712</v>
      </c>
      <c r="Y71" s="1277"/>
      <c r="Z71" s="649">
        <v>1.5</v>
      </c>
      <c r="AA71" s="882">
        <v>22.479045989690245</v>
      </c>
      <c r="AB71" s="882">
        <v>25.460683792976003</v>
      </c>
      <c r="AC71" s="882">
        <v>28.442321596261767</v>
      </c>
      <c r="AD71" s="882">
        <v>31.423959399547524</v>
      </c>
      <c r="AE71" s="882">
        <v>34.405597202833285</v>
      </c>
      <c r="AF71" s="882">
        <v>37.387235006119042</v>
      </c>
      <c r="AG71" s="882">
        <v>40.368872809404799</v>
      </c>
      <c r="AH71" s="882">
        <v>43.350510612690563</v>
      </c>
      <c r="AI71" s="882">
        <v>46.332148415976327</v>
      </c>
      <c r="AJ71" s="882">
        <v>49.313786219262084</v>
      </c>
      <c r="AK71" s="882">
        <v>52.295424022547842</v>
      </c>
      <c r="AL71" s="882">
        <v>55.277061825833599</v>
      </c>
      <c r="AM71" s="882">
        <v>58.258699629119356</v>
      </c>
      <c r="AN71" s="882">
        <v>61.240337432405113</v>
      </c>
      <c r="AO71" s="882">
        <v>64.221975235690877</v>
      </c>
      <c r="AP71" s="882">
        <v>67.203613038976641</v>
      </c>
      <c r="AQ71" s="882">
        <v>70.185250842262406</v>
      </c>
      <c r="AR71" s="882">
        <v>73.166888645548184</v>
      </c>
      <c r="AS71" s="882">
        <v>76.148526448833948</v>
      </c>
      <c r="AT71" s="882">
        <v>79.130164252119712</v>
      </c>
    </row>
    <row r="72" spans="1:46">
      <c r="A72" s="1426"/>
      <c r="B72" s="1427"/>
      <c r="C72" s="887">
        <v>1.6</v>
      </c>
      <c r="D72" s="902">
        <f>(AA72*KFC!$B$16+KFC!$C$16)*KFC!$C$5</f>
        <v>23.012302567144495</v>
      </c>
      <c r="E72" s="898">
        <f>(AB72*KFC!$B$16+KFC!$C$16)*KFC!$C$5</f>
        <v>26.11855602105086</v>
      </c>
      <c r="F72" s="898">
        <f>(AC72*KFC!$B$16+KFC!$C$16)*KFC!$C$5</f>
        <v>29.224809474957226</v>
      </c>
      <c r="G72" s="898">
        <f>(AD72*KFC!$B$16+KFC!$C$16)*KFC!$C$5</f>
        <v>32.331062928863595</v>
      </c>
      <c r="H72" s="898">
        <f>(AE72*KFC!$B$16+KFC!$C$16)*KFC!$C$5</f>
        <v>35.437316382769964</v>
      </c>
      <c r="I72" s="898">
        <f>(AF72*KFC!$B$16+KFC!$C$16)*KFC!$C$5</f>
        <v>38.543569836676319</v>
      </c>
      <c r="J72" s="898">
        <f>(AG72*KFC!$B$16+KFC!$C$16)*KFC!$C$5</f>
        <v>41.649823290582695</v>
      </c>
      <c r="K72" s="898">
        <f>(AH72*KFC!$B$16+KFC!$C$16)*KFC!$C$5</f>
        <v>44.756076744489064</v>
      </c>
      <c r="L72" s="898">
        <f>(AI72*KFC!$B$16+KFC!$C$16)*KFC!$C$5</f>
        <v>47.862330198395433</v>
      </c>
      <c r="M72" s="898">
        <f>(AJ72*KFC!$B$16+KFC!$C$16)*KFC!$C$5</f>
        <v>50.968583652301803</v>
      </c>
      <c r="N72" s="898">
        <f>(AK72*KFC!$B$16+KFC!$C$16)*KFC!$C$5</f>
        <v>54.074837106208172</v>
      </c>
      <c r="O72" s="898">
        <f>(AL72*KFC!$B$16+KFC!$C$16)*KFC!$C$5</f>
        <v>57.181090560114541</v>
      </c>
      <c r="P72" s="898">
        <f>(AM72*KFC!$B$16+KFC!$C$16)*KFC!$C$5</f>
        <v>60.287344014020903</v>
      </c>
      <c r="Q72" s="898">
        <f>(AN72*KFC!$B$16+KFC!$C$16)*KFC!$C$5</f>
        <v>63.393597467927286</v>
      </c>
      <c r="R72" s="898">
        <f>(AO72*KFC!$B$16+KFC!$C$16)*KFC!$C$5</f>
        <v>66.499850921833655</v>
      </c>
      <c r="S72" s="898">
        <f>(AP72*KFC!$B$16+KFC!$C$16)*KFC!$C$5</f>
        <v>69.606104375740003</v>
      </c>
      <c r="T72" s="898">
        <f>(AQ72*KFC!$B$16+KFC!$C$16)*KFC!$C$5</f>
        <v>72.712357829646365</v>
      </c>
      <c r="U72" s="898">
        <f>(AR72*KFC!$B$16+KFC!$C$16)*KFC!$C$5</f>
        <v>75.818611283552741</v>
      </c>
      <c r="V72" s="898">
        <f>(AS72*KFC!$B$16+KFC!$C$16)*KFC!$C$5</f>
        <v>78.924864737459089</v>
      </c>
      <c r="W72" s="903">
        <f>(AT72*KFC!$B$16+KFC!$C$16)*KFC!$C$5</f>
        <v>82.031118191365451</v>
      </c>
      <c r="Y72" s="1277"/>
      <c r="Z72" s="649">
        <v>1.6</v>
      </c>
      <c r="AA72" s="882">
        <v>23.012302567144495</v>
      </c>
      <c r="AB72" s="882">
        <v>26.11855602105086</v>
      </c>
      <c r="AC72" s="882">
        <v>29.224809474957226</v>
      </c>
      <c r="AD72" s="882">
        <v>32.331062928863595</v>
      </c>
      <c r="AE72" s="882">
        <v>35.437316382769964</v>
      </c>
      <c r="AF72" s="882">
        <v>38.543569836676319</v>
      </c>
      <c r="AG72" s="882">
        <v>41.649823290582695</v>
      </c>
      <c r="AH72" s="882">
        <v>44.756076744489064</v>
      </c>
      <c r="AI72" s="882">
        <v>47.862330198395433</v>
      </c>
      <c r="AJ72" s="882">
        <v>50.968583652301803</v>
      </c>
      <c r="AK72" s="882">
        <v>54.074837106208172</v>
      </c>
      <c r="AL72" s="882">
        <v>57.181090560114541</v>
      </c>
      <c r="AM72" s="882">
        <v>60.287344014020903</v>
      </c>
      <c r="AN72" s="882">
        <v>63.393597467927286</v>
      </c>
      <c r="AO72" s="882">
        <v>66.499850921833655</v>
      </c>
      <c r="AP72" s="882">
        <v>69.606104375740003</v>
      </c>
      <c r="AQ72" s="882">
        <v>72.712357829646365</v>
      </c>
      <c r="AR72" s="882">
        <v>75.818611283552741</v>
      </c>
      <c r="AS72" s="882">
        <v>78.924864737459089</v>
      </c>
      <c r="AT72" s="882">
        <v>82.031118191365451</v>
      </c>
    </row>
    <row r="73" spans="1:46">
      <c r="A73" s="1426"/>
      <c r="B73" s="1427"/>
      <c r="C73" s="887">
        <v>1.7</v>
      </c>
      <c r="D73" s="902">
        <f>(AA73*KFC!$B$16+KFC!$C$16)*KFC!$C$5</f>
        <v>23.545559144598744</v>
      </c>
      <c r="E73" s="898">
        <f>(AB73*KFC!$B$16+KFC!$C$16)*KFC!$C$5</f>
        <v>26.776428249125718</v>
      </c>
      <c r="F73" s="898">
        <f>(AC73*KFC!$B$16+KFC!$C$16)*KFC!$C$5</f>
        <v>30.007297353652692</v>
      </c>
      <c r="G73" s="898">
        <f>(AD73*KFC!$B$16+KFC!$C$16)*KFC!$C$5</f>
        <v>33.238166458179663</v>
      </c>
      <c r="H73" s="898">
        <f>(AE73*KFC!$B$16+KFC!$C$16)*KFC!$C$5</f>
        <v>36.469035562706637</v>
      </c>
      <c r="I73" s="898">
        <f>(AF73*KFC!$B$16+KFC!$C$16)*KFC!$C$5</f>
        <v>39.699904667233604</v>
      </c>
      <c r="J73" s="898">
        <f>(AG73*KFC!$B$16+KFC!$C$16)*KFC!$C$5</f>
        <v>42.930773771760578</v>
      </c>
      <c r="K73" s="898">
        <f>(AH73*KFC!$B$16+KFC!$C$16)*KFC!$C$5</f>
        <v>46.161642876287551</v>
      </c>
      <c r="L73" s="898">
        <f>(AI73*KFC!$B$16+KFC!$C$16)*KFC!$C$5</f>
        <v>49.392511980814525</v>
      </c>
      <c r="M73" s="898">
        <f>(AJ73*KFC!$B$16+KFC!$C$16)*KFC!$C$5</f>
        <v>52.623381085341492</v>
      </c>
      <c r="N73" s="898">
        <f>(AK73*KFC!$B$16+KFC!$C$16)*KFC!$C$5</f>
        <v>55.854250189868466</v>
      </c>
      <c r="O73" s="898">
        <f>(AL73*KFC!$B$16+KFC!$C$16)*KFC!$C$5</f>
        <v>59.085119294395433</v>
      </c>
      <c r="P73" s="898">
        <f>(AM73*KFC!$B$16+KFC!$C$16)*KFC!$C$5</f>
        <v>62.315988398922407</v>
      </c>
      <c r="Q73" s="898">
        <f>(AN73*KFC!$B$16+KFC!$C$16)*KFC!$C$5</f>
        <v>65.546857503449388</v>
      </c>
      <c r="R73" s="898">
        <f>(AO73*KFC!$B$16+KFC!$C$16)*KFC!$C$5</f>
        <v>68.777726607976348</v>
      </c>
      <c r="S73" s="898">
        <f>(AP73*KFC!$B$16+KFC!$C$16)*KFC!$C$5</f>
        <v>72.008595712503322</v>
      </c>
      <c r="T73" s="898">
        <f>(AQ73*KFC!$B$16+KFC!$C$16)*KFC!$C$5</f>
        <v>75.239464817030296</v>
      </c>
      <c r="U73" s="898">
        <f>(AR73*KFC!$B$16+KFC!$C$16)*KFC!$C$5</f>
        <v>78.470333921557256</v>
      </c>
      <c r="V73" s="898">
        <f>(AS73*KFC!$B$16+KFC!$C$16)*KFC!$C$5</f>
        <v>81.701203026084229</v>
      </c>
      <c r="W73" s="903">
        <f>(AT73*KFC!$B$16+KFC!$C$16)*KFC!$C$5</f>
        <v>84.932072130611203</v>
      </c>
      <c r="Y73" s="1277"/>
      <c r="Z73" s="649">
        <v>1.7</v>
      </c>
      <c r="AA73" s="882">
        <v>23.545559144598744</v>
      </c>
      <c r="AB73" s="882">
        <v>26.776428249125718</v>
      </c>
      <c r="AC73" s="882">
        <v>30.007297353652692</v>
      </c>
      <c r="AD73" s="882">
        <v>33.238166458179663</v>
      </c>
      <c r="AE73" s="882">
        <v>36.469035562706637</v>
      </c>
      <c r="AF73" s="882">
        <v>39.699904667233604</v>
      </c>
      <c r="AG73" s="882">
        <v>42.930773771760578</v>
      </c>
      <c r="AH73" s="882">
        <v>46.161642876287551</v>
      </c>
      <c r="AI73" s="882">
        <v>49.392511980814525</v>
      </c>
      <c r="AJ73" s="882">
        <v>52.623381085341492</v>
      </c>
      <c r="AK73" s="882">
        <v>55.854250189868466</v>
      </c>
      <c r="AL73" s="882">
        <v>59.085119294395433</v>
      </c>
      <c r="AM73" s="882">
        <v>62.315988398922407</v>
      </c>
      <c r="AN73" s="882">
        <v>65.546857503449388</v>
      </c>
      <c r="AO73" s="882">
        <v>68.777726607976348</v>
      </c>
      <c r="AP73" s="882">
        <v>72.008595712503322</v>
      </c>
      <c r="AQ73" s="882">
        <v>75.239464817030296</v>
      </c>
      <c r="AR73" s="882">
        <v>78.470333921557256</v>
      </c>
      <c r="AS73" s="882">
        <v>81.701203026084229</v>
      </c>
      <c r="AT73" s="882">
        <v>84.932072130611203</v>
      </c>
    </row>
    <row r="74" spans="1:46">
      <c r="A74" s="1426"/>
      <c r="B74" s="1427"/>
      <c r="C74" s="887">
        <v>1.8</v>
      </c>
      <c r="D74" s="902">
        <f>(AA74*KFC!$B$16+KFC!$C$16)*KFC!$C$5</f>
        <v>24.078815722053001</v>
      </c>
      <c r="E74" s="898">
        <f>(AB74*KFC!$B$16+KFC!$C$16)*KFC!$C$5</f>
        <v>27.43430047720058</v>
      </c>
      <c r="F74" s="898">
        <f>(AC74*KFC!$B$16+KFC!$C$16)*KFC!$C$5</f>
        <v>30.789785232348148</v>
      </c>
      <c r="G74" s="898">
        <f>(AD74*KFC!$B$16+KFC!$C$16)*KFC!$C$5</f>
        <v>34.14526998749573</v>
      </c>
      <c r="H74" s="898">
        <f>(AE74*KFC!$B$16+KFC!$C$16)*KFC!$C$5</f>
        <v>37.500754742643295</v>
      </c>
      <c r="I74" s="898">
        <f>(AF74*KFC!$B$16+KFC!$C$16)*KFC!$C$5</f>
        <v>40.856239497790874</v>
      </c>
      <c r="J74" s="898">
        <f>(AG74*KFC!$B$16+KFC!$C$16)*KFC!$C$5</f>
        <v>44.211724252938446</v>
      </c>
      <c r="K74" s="898">
        <f>(AH74*KFC!$B$16+KFC!$C$16)*KFC!$C$5</f>
        <v>47.567209008086024</v>
      </c>
      <c r="L74" s="898">
        <f>(AI74*KFC!$B$16+KFC!$C$16)*KFC!$C$5</f>
        <v>50.922693763233596</v>
      </c>
      <c r="M74" s="898">
        <f>(AJ74*KFC!$B$16+KFC!$C$16)*KFC!$C$5</f>
        <v>54.278178518381168</v>
      </c>
      <c r="N74" s="898">
        <f>(AK74*KFC!$B$16+KFC!$C$16)*KFC!$C$5</f>
        <v>57.633663273528747</v>
      </c>
      <c r="O74" s="898">
        <f>(AL74*KFC!$B$16+KFC!$C$16)*KFC!$C$5</f>
        <v>60.989148028676325</v>
      </c>
      <c r="P74" s="898">
        <f>(AM74*KFC!$B$16+KFC!$C$16)*KFC!$C$5</f>
        <v>64.344632783823897</v>
      </c>
      <c r="Q74" s="898">
        <f>(AN74*KFC!$B$16+KFC!$C$16)*KFC!$C$5</f>
        <v>67.700117538971469</v>
      </c>
      <c r="R74" s="898">
        <f>(AO74*KFC!$B$16+KFC!$C$16)*KFC!$C$5</f>
        <v>71.055602294119069</v>
      </c>
      <c r="S74" s="898">
        <f>(AP74*KFC!$B$16+KFC!$C$16)*KFC!$C$5</f>
        <v>74.411087049266641</v>
      </c>
      <c r="T74" s="898">
        <f>(AQ74*KFC!$B$16+KFC!$C$16)*KFC!$C$5</f>
        <v>77.766571804414227</v>
      </c>
      <c r="U74" s="898">
        <f>(AR74*KFC!$B$16+KFC!$C$16)*KFC!$C$5</f>
        <v>81.122056559561798</v>
      </c>
      <c r="V74" s="898">
        <f>(AS74*KFC!$B$16+KFC!$C$16)*KFC!$C$5</f>
        <v>84.477541314709384</v>
      </c>
      <c r="W74" s="903">
        <f>(AT74*KFC!$B$16+KFC!$C$16)*KFC!$C$5</f>
        <v>87.833026069856942</v>
      </c>
      <c r="Y74" s="1277"/>
      <c r="Z74" s="649">
        <v>1.8</v>
      </c>
      <c r="AA74" s="882">
        <v>24.078815722053001</v>
      </c>
      <c r="AB74" s="882">
        <v>27.43430047720058</v>
      </c>
      <c r="AC74" s="882">
        <v>30.789785232348148</v>
      </c>
      <c r="AD74" s="882">
        <v>34.14526998749573</v>
      </c>
      <c r="AE74" s="882">
        <v>37.500754742643295</v>
      </c>
      <c r="AF74" s="882">
        <v>40.856239497790874</v>
      </c>
      <c r="AG74" s="882">
        <v>44.211724252938446</v>
      </c>
      <c r="AH74" s="882">
        <v>47.567209008086024</v>
      </c>
      <c r="AI74" s="882">
        <v>50.922693763233596</v>
      </c>
      <c r="AJ74" s="882">
        <v>54.278178518381168</v>
      </c>
      <c r="AK74" s="882">
        <v>57.633663273528747</v>
      </c>
      <c r="AL74" s="882">
        <v>60.989148028676325</v>
      </c>
      <c r="AM74" s="882">
        <v>64.344632783823897</v>
      </c>
      <c r="AN74" s="882">
        <v>67.700117538971469</v>
      </c>
      <c r="AO74" s="882">
        <v>71.055602294119069</v>
      </c>
      <c r="AP74" s="882">
        <v>74.411087049266641</v>
      </c>
      <c r="AQ74" s="882">
        <v>77.766571804414227</v>
      </c>
      <c r="AR74" s="882">
        <v>81.122056559561798</v>
      </c>
      <c r="AS74" s="882">
        <v>84.477541314709384</v>
      </c>
      <c r="AT74" s="882">
        <v>87.833026069856942</v>
      </c>
    </row>
    <row r="75" spans="1:46">
      <c r="A75" s="1426"/>
      <c r="B75" s="1427"/>
      <c r="C75" s="887">
        <v>1.9</v>
      </c>
      <c r="D75" s="902">
        <f>(AA75*KFC!$B$16+KFC!$C$16)*KFC!$C$5</f>
        <v>24.612072299507251</v>
      </c>
      <c r="E75" s="898">
        <f>(AB75*KFC!$B$16+KFC!$C$16)*KFC!$C$5</f>
        <v>28.092172705275431</v>
      </c>
      <c r="F75" s="898">
        <f>(AC75*KFC!$B$16+KFC!$C$16)*KFC!$C$5</f>
        <v>31.572273111043611</v>
      </c>
      <c r="G75" s="898">
        <f>(AD75*KFC!$B$16+KFC!$C$16)*KFC!$C$5</f>
        <v>35.052373516811791</v>
      </c>
      <c r="H75" s="898">
        <f>(AE75*KFC!$B$16+KFC!$C$16)*KFC!$C$5</f>
        <v>38.532473922579968</v>
      </c>
      <c r="I75" s="898">
        <f>(AF75*KFC!$B$16+KFC!$C$16)*KFC!$C$5</f>
        <v>42.012574328348158</v>
      </c>
      <c r="J75" s="898">
        <f>(AG75*KFC!$B$16+KFC!$C$16)*KFC!$C$5</f>
        <v>45.492674734116335</v>
      </c>
      <c r="K75" s="898">
        <f>(AH75*KFC!$B$16+KFC!$C$16)*KFC!$C$5</f>
        <v>48.972775139884519</v>
      </c>
      <c r="L75" s="898">
        <f>(AI75*KFC!$B$16+KFC!$C$16)*KFC!$C$5</f>
        <v>52.452875545652709</v>
      </c>
      <c r="M75" s="898">
        <f>(AJ75*KFC!$B$16+KFC!$C$16)*KFC!$C$5</f>
        <v>55.932975951420893</v>
      </c>
      <c r="N75" s="898">
        <f>(AK75*KFC!$B$16+KFC!$C$16)*KFC!$C$5</f>
        <v>59.413076357189077</v>
      </c>
      <c r="O75" s="898">
        <f>(AL75*KFC!$B$16+KFC!$C$16)*KFC!$C$5</f>
        <v>62.89317676295726</v>
      </c>
      <c r="P75" s="898">
        <f>(AM75*KFC!$B$16+KFC!$C$16)*KFC!$C$5</f>
        <v>66.373277168725451</v>
      </c>
      <c r="Q75" s="898">
        <f>(AN75*KFC!$B$16+KFC!$C$16)*KFC!$C$5</f>
        <v>69.853377574493607</v>
      </c>
      <c r="R75" s="898">
        <f>(AO75*KFC!$B$16+KFC!$C$16)*KFC!$C$5</f>
        <v>73.333477980261804</v>
      </c>
      <c r="S75" s="898">
        <f>(AP75*KFC!$B$16+KFC!$C$16)*KFC!$C$5</f>
        <v>76.813578386029974</v>
      </c>
      <c r="T75" s="898">
        <f>(AQ75*KFC!$B$16+KFC!$C$16)*KFC!$C$5</f>
        <v>80.293678791798143</v>
      </c>
      <c r="U75" s="898">
        <f>(AR75*KFC!$B$16+KFC!$C$16)*KFC!$C$5</f>
        <v>83.773779197566327</v>
      </c>
      <c r="V75" s="898">
        <f>(AS75*KFC!$B$16+KFC!$C$16)*KFC!$C$5</f>
        <v>87.253879603334497</v>
      </c>
      <c r="W75" s="903">
        <f>(AT75*KFC!$B$16+KFC!$C$16)*KFC!$C$5</f>
        <v>90.73398000910268</v>
      </c>
      <c r="Y75" s="1277"/>
      <c r="Z75" s="649">
        <v>1.9</v>
      </c>
      <c r="AA75" s="882">
        <v>24.612072299507251</v>
      </c>
      <c r="AB75" s="882">
        <v>28.092172705275431</v>
      </c>
      <c r="AC75" s="882">
        <v>31.572273111043611</v>
      </c>
      <c r="AD75" s="882">
        <v>35.052373516811791</v>
      </c>
      <c r="AE75" s="882">
        <v>38.532473922579968</v>
      </c>
      <c r="AF75" s="882">
        <v>42.012574328348158</v>
      </c>
      <c r="AG75" s="882">
        <v>45.492674734116335</v>
      </c>
      <c r="AH75" s="882">
        <v>48.972775139884519</v>
      </c>
      <c r="AI75" s="882">
        <v>52.452875545652709</v>
      </c>
      <c r="AJ75" s="882">
        <v>55.932975951420893</v>
      </c>
      <c r="AK75" s="882">
        <v>59.413076357189077</v>
      </c>
      <c r="AL75" s="882">
        <v>62.89317676295726</v>
      </c>
      <c r="AM75" s="882">
        <v>66.373277168725451</v>
      </c>
      <c r="AN75" s="882">
        <v>69.853377574493607</v>
      </c>
      <c r="AO75" s="882">
        <v>73.333477980261804</v>
      </c>
      <c r="AP75" s="882">
        <v>76.813578386029974</v>
      </c>
      <c r="AQ75" s="882">
        <v>80.293678791798143</v>
      </c>
      <c r="AR75" s="882">
        <v>83.773779197566327</v>
      </c>
      <c r="AS75" s="882">
        <v>87.253879603334497</v>
      </c>
      <c r="AT75" s="882">
        <v>90.73398000910268</v>
      </c>
    </row>
    <row r="76" spans="1:46">
      <c r="A76" s="1426"/>
      <c r="B76" s="1427"/>
      <c r="C76" s="887">
        <v>2</v>
      </c>
      <c r="D76" s="902">
        <f>(AA76*KFC!$B$16+KFC!$C$16)*KFC!$C$5</f>
        <v>25.1453288769615</v>
      </c>
      <c r="E76" s="898">
        <f>(AB76*KFC!$B$16+KFC!$C$16)*KFC!$C$5</f>
        <v>28.750044933350289</v>
      </c>
      <c r="F76" s="898">
        <f>(AC76*KFC!$B$16+KFC!$C$16)*KFC!$C$5</f>
        <v>32.354760989739077</v>
      </c>
      <c r="G76" s="898">
        <f>(AD76*KFC!$B$16+KFC!$C$16)*KFC!$C$5</f>
        <v>35.959477046127859</v>
      </c>
      <c r="H76" s="898">
        <f>(AE76*KFC!$B$16+KFC!$C$16)*KFC!$C$5</f>
        <v>39.56419310251664</v>
      </c>
      <c r="I76" s="898">
        <f>(AF76*KFC!$B$16+KFC!$C$16)*KFC!$C$5</f>
        <v>43.168909158905436</v>
      </c>
      <c r="J76" s="898">
        <f>(AG76*KFC!$B$16+KFC!$C$16)*KFC!$C$5</f>
        <v>46.773625215294217</v>
      </c>
      <c r="K76" s="898">
        <f>(AH76*KFC!$B$16+KFC!$C$16)*KFC!$C$5</f>
        <v>50.378341271683006</v>
      </c>
      <c r="L76" s="898">
        <f>(AI76*KFC!$B$16+KFC!$C$16)*KFC!$C$5</f>
        <v>53.983057328071787</v>
      </c>
      <c r="M76" s="898">
        <f>(AJ76*KFC!$B$16+KFC!$C$16)*KFC!$C$5</f>
        <v>57.587773384460576</v>
      </c>
      <c r="N76" s="898">
        <f>(AK76*KFC!$B$16+KFC!$C$16)*KFC!$C$5</f>
        <v>61.192489440849357</v>
      </c>
      <c r="O76" s="898">
        <f>(AL76*KFC!$B$16+KFC!$C$16)*KFC!$C$5</f>
        <v>64.797205497238153</v>
      </c>
      <c r="P76" s="898">
        <f>(AM76*KFC!$B$16+KFC!$C$16)*KFC!$C$5</f>
        <v>68.401921553626934</v>
      </c>
      <c r="Q76" s="898">
        <f>(AN76*KFC!$B$16+KFC!$C$16)*KFC!$C$5</f>
        <v>72.00663761001573</v>
      </c>
      <c r="R76" s="898">
        <f>(AO76*KFC!$B$16+KFC!$C$16)*KFC!$C$5</f>
        <v>75.611353666404511</v>
      </c>
      <c r="S76" s="898">
        <f>(AP76*KFC!$B$16+KFC!$C$16)*KFC!$C$5</f>
        <v>79.216069722793293</v>
      </c>
      <c r="T76" s="898">
        <f>(AQ76*KFC!$B$16+KFC!$C$16)*KFC!$C$5</f>
        <v>82.820785779182089</v>
      </c>
      <c r="U76" s="898">
        <f>(AR76*KFC!$B$16+KFC!$C$16)*KFC!$C$5</f>
        <v>86.42550183557087</v>
      </c>
      <c r="V76" s="898">
        <f>(AS76*KFC!$B$16+KFC!$C$16)*KFC!$C$5</f>
        <v>90.030217891959666</v>
      </c>
      <c r="W76" s="903">
        <f>(AT76*KFC!$B$16+KFC!$C$16)*KFC!$C$5</f>
        <v>93.634933948348433</v>
      </c>
      <c r="Y76" s="1277"/>
      <c r="Z76" s="649">
        <v>2</v>
      </c>
      <c r="AA76" s="882">
        <v>25.1453288769615</v>
      </c>
      <c r="AB76" s="882">
        <v>28.750044933350289</v>
      </c>
      <c r="AC76" s="882">
        <v>32.354760989739077</v>
      </c>
      <c r="AD76" s="882">
        <v>35.959477046127859</v>
      </c>
      <c r="AE76" s="882">
        <v>39.56419310251664</v>
      </c>
      <c r="AF76" s="882">
        <v>43.168909158905436</v>
      </c>
      <c r="AG76" s="882">
        <v>46.773625215294217</v>
      </c>
      <c r="AH76" s="882">
        <v>50.378341271683006</v>
      </c>
      <c r="AI76" s="882">
        <v>53.983057328071787</v>
      </c>
      <c r="AJ76" s="882">
        <v>57.587773384460576</v>
      </c>
      <c r="AK76" s="882">
        <v>61.192489440849357</v>
      </c>
      <c r="AL76" s="882">
        <v>64.797205497238153</v>
      </c>
      <c r="AM76" s="882">
        <v>68.401921553626934</v>
      </c>
      <c r="AN76" s="882">
        <v>72.00663761001573</v>
      </c>
      <c r="AO76" s="882">
        <v>75.611353666404511</v>
      </c>
      <c r="AP76" s="882">
        <v>79.216069722793293</v>
      </c>
      <c r="AQ76" s="882">
        <v>82.820785779182089</v>
      </c>
      <c r="AR76" s="882">
        <v>86.42550183557087</v>
      </c>
      <c r="AS76" s="882">
        <v>90.030217891959666</v>
      </c>
      <c r="AT76" s="882">
        <v>93.634933948348433</v>
      </c>
    </row>
    <row r="77" spans="1:46">
      <c r="A77" s="1426"/>
      <c r="B77" s="1427"/>
      <c r="C77" s="887">
        <v>2.1</v>
      </c>
      <c r="D77" s="902">
        <f>(AA77*KFC!$B$16+KFC!$C$16)*KFC!$C$5</f>
        <v>25.678585454415753</v>
      </c>
      <c r="E77" s="898">
        <f>(AB77*KFC!$B$16+KFC!$C$16)*KFC!$C$5</f>
        <v>29.407917161425139</v>
      </c>
      <c r="F77" s="898">
        <f>(AC77*KFC!$B$16+KFC!$C$16)*KFC!$C$5</f>
        <v>33.137248868434526</v>
      </c>
      <c r="G77" s="898">
        <f>(AD77*KFC!$B$16+KFC!$C$16)*KFC!$C$5</f>
        <v>36.866580575443919</v>
      </c>
      <c r="H77" s="898">
        <f>(AE77*KFC!$B$16+KFC!$C$16)*KFC!$C$5</f>
        <v>40.595912282453313</v>
      </c>
      <c r="I77" s="898">
        <f>(AF77*KFC!$B$16+KFC!$C$16)*KFC!$C$5</f>
        <v>44.325243989462699</v>
      </c>
      <c r="J77" s="898">
        <f>(AG77*KFC!$B$16+KFC!$C$16)*KFC!$C$5</f>
        <v>48.054575696472085</v>
      </c>
      <c r="K77" s="898">
        <f>(AH77*KFC!$B$16+KFC!$C$16)*KFC!$C$5</f>
        <v>51.783907403481471</v>
      </c>
      <c r="L77" s="898">
        <f>(AI77*KFC!$B$16+KFC!$C$16)*KFC!$C$5</f>
        <v>55.513239110490872</v>
      </c>
      <c r="M77" s="898">
        <f>(AJ77*KFC!$B$16+KFC!$C$16)*KFC!$C$5</f>
        <v>59.242570817500258</v>
      </c>
      <c r="N77" s="898">
        <f>(AK77*KFC!$B$16+KFC!$C$16)*KFC!$C$5</f>
        <v>62.971902524509645</v>
      </c>
      <c r="O77" s="898">
        <f>(AL77*KFC!$B$16+KFC!$C$16)*KFC!$C$5</f>
        <v>66.701234231519038</v>
      </c>
      <c r="P77" s="898">
        <f>(AM77*KFC!$B$16+KFC!$C$16)*KFC!$C$5</f>
        <v>70.430565938528432</v>
      </c>
      <c r="Q77" s="898">
        <f>(AN77*KFC!$B$16+KFC!$C$16)*KFC!$C$5</f>
        <v>74.159897645537839</v>
      </c>
      <c r="R77" s="898">
        <f>(AO77*KFC!$B$16+KFC!$C$16)*KFC!$C$5</f>
        <v>77.889229352547218</v>
      </c>
      <c r="S77" s="898">
        <f>(AP77*KFC!$B$16+KFC!$C$16)*KFC!$C$5</f>
        <v>81.618561059556612</v>
      </c>
      <c r="T77" s="898">
        <f>(AQ77*KFC!$B$16+KFC!$C$16)*KFC!$C$5</f>
        <v>85.347892766566019</v>
      </c>
      <c r="U77" s="898">
        <f>(AR77*KFC!$B$16+KFC!$C$16)*KFC!$C$5</f>
        <v>89.077224473575427</v>
      </c>
      <c r="V77" s="898">
        <f>(AS77*KFC!$B$16+KFC!$C$16)*KFC!$C$5</f>
        <v>92.806556180584792</v>
      </c>
      <c r="W77" s="903">
        <f>(AT77*KFC!$B$16+KFC!$C$16)*KFC!$C$5</f>
        <v>96.5358878875942</v>
      </c>
      <c r="Y77" s="1277"/>
      <c r="Z77" s="649">
        <v>2.1</v>
      </c>
      <c r="AA77" s="882">
        <v>25.678585454415753</v>
      </c>
      <c r="AB77" s="882">
        <v>29.407917161425139</v>
      </c>
      <c r="AC77" s="882">
        <v>33.137248868434526</v>
      </c>
      <c r="AD77" s="882">
        <v>36.866580575443919</v>
      </c>
      <c r="AE77" s="882">
        <v>40.595912282453313</v>
      </c>
      <c r="AF77" s="882">
        <v>44.325243989462699</v>
      </c>
      <c r="AG77" s="882">
        <v>48.054575696472085</v>
      </c>
      <c r="AH77" s="882">
        <v>51.783907403481471</v>
      </c>
      <c r="AI77" s="882">
        <v>55.513239110490872</v>
      </c>
      <c r="AJ77" s="882">
        <v>59.242570817500258</v>
      </c>
      <c r="AK77" s="882">
        <v>62.971902524509645</v>
      </c>
      <c r="AL77" s="882">
        <v>66.701234231519038</v>
      </c>
      <c r="AM77" s="882">
        <v>70.430565938528432</v>
      </c>
      <c r="AN77" s="882">
        <v>74.159897645537839</v>
      </c>
      <c r="AO77" s="882">
        <v>77.889229352547218</v>
      </c>
      <c r="AP77" s="882">
        <v>81.618561059556612</v>
      </c>
      <c r="AQ77" s="882">
        <v>85.347892766566019</v>
      </c>
      <c r="AR77" s="882">
        <v>89.077224473575427</v>
      </c>
      <c r="AS77" s="882">
        <v>92.806556180584792</v>
      </c>
      <c r="AT77" s="882">
        <v>96.5358878875942</v>
      </c>
    </row>
    <row r="78" spans="1:46" ht="15" thickBot="1">
      <c r="A78" s="1428"/>
      <c r="B78" s="1429"/>
      <c r="C78" s="888">
        <v>2.2000000000000002</v>
      </c>
      <c r="D78" s="904">
        <f>(AA78*KFC!$B$16+KFC!$C$16)*KFC!$C$5</f>
        <v>26.211842031869999</v>
      </c>
      <c r="E78" s="905">
        <f>(AB78*KFC!$B$16+KFC!$C$16)*KFC!$C$5</f>
        <v>30.065789389500001</v>
      </c>
      <c r="F78" s="905">
        <f>(AC78*KFC!$B$16+KFC!$C$16)*KFC!$C$5</f>
        <v>33.919736747129996</v>
      </c>
      <c r="G78" s="905">
        <f>(AD78*KFC!$B$16+KFC!$C$16)*KFC!$C$5</f>
        <v>37.773684104759994</v>
      </c>
      <c r="H78" s="905">
        <f>(AE78*KFC!$B$16+KFC!$C$16)*KFC!$C$5</f>
        <v>41.627631462389999</v>
      </c>
      <c r="I78" s="905">
        <f>(AF78*KFC!$B$16+KFC!$C$16)*KFC!$C$5</f>
        <v>45.48157882001999</v>
      </c>
      <c r="J78" s="905">
        <f>(AG78*KFC!$B$16+KFC!$C$16)*KFC!$C$5</f>
        <v>49.335526177649996</v>
      </c>
      <c r="K78" s="905">
        <f>(AH78*KFC!$B$16+KFC!$C$16)*KFC!$C$5</f>
        <v>53.189473535279987</v>
      </c>
      <c r="L78" s="905">
        <f>(AI78*KFC!$B$16+KFC!$C$16)*KFC!$C$5</f>
        <v>57.043420892909985</v>
      </c>
      <c r="M78" s="905">
        <f>(AJ78*KFC!$B$16+KFC!$C$16)*KFC!$C$5</f>
        <v>60.897368250539991</v>
      </c>
      <c r="N78" s="905">
        <f>(AK78*KFC!$B$16+KFC!$C$16)*KFC!$C$5</f>
        <v>64.751315608169989</v>
      </c>
      <c r="O78" s="905">
        <f>(AL78*KFC!$B$16+KFC!$C$16)*KFC!$C$5</f>
        <v>68.60526296579998</v>
      </c>
      <c r="P78" s="905">
        <f>(AM78*KFC!$B$16+KFC!$C$16)*KFC!$C$5</f>
        <v>72.459210323429986</v>
      </c>
      <c r="Q78" s="905">
        <f>(AN78*KFC!$B$16+KFC!$C$16)*KFC!$C$5</f>
        <v>76.313157681059977</v>
      </c>
      <c r="R78" s="905">
        <f>(AO78*KFC!$B$16+KFC!$C$16)*KFC!$C$5</f>
        <v>80.167105038689968</v>
      </c>
      <c r="S78" s="905">
        <f>(AP78*KFC!$B$16+KFC!$C$16)*KFC!$C$5</f>
        <v>84.021052396319973</v>
      </c>
      <c r="T78" s="905">
        <f>(AQ78*KFC!$B$16+KFC!$C$16)*KFC!$C$5</f>
        <v>87.87499975394995</v>
      </c>
      <c r="U78" s="905">
        <f>(AR78*KFC!$B$16+KFC!$C$16)*KFC!$C$5</f>
        <v>91.728947111579956</v>
      </c>
      <c r="V78" s="905">
        <f>(AS78*KFC!$B$16+KFC!$C$16)*KFC!$C$5</f>
        <v>95.582894469209933</v>
      </c>
      <c r="W78" s="906">
        <f>(AT78*KFC!$B$16+KFC!$C$16)*KFC!$C$5</f>
        <v>99.436841826839995</v>
      </c>
      <c r="Y78" s="1277"/>
      <c r="Z78" s="649">
        <v>2.2000000000000002</v>
      </c>
      <c r="AA78" s="882">
        <v>26.211842031869999</v>
      </c>
      <c r="AB78" s="882">
        <v>30.065789389500001</v>
      </c>
      <c r="AC78" s="882">
        <v>33.919736747129996</v>
      </c>
      <c r="AD78" s="882">
        <v>37.773684104759994</v>
      </c>
      <c r="AE78" s="882">
        <v>41.627631462389999</v>
      </c>
      <c r="AF78" s="882">
        <v>45.48157882001999</v>
      </c>
      <c r="AG78" s="882">
        <v>49.335526177649996</v>
      </c>
      <c r="AH78" s="882">
        <v>53.189473535279987</v>
      </c>
      <c r="AI78" s="882">
        <v>57.043420892909985</v>
      </c>
      <c r="AJ78" s="882">
        <v>60.897368250539991</v>
      </c>
      <c r="AK78" s="882">
        <v>64.751315608169989</v>
      </c>
      <c r="AL78" s="882">
        <v>68.60526296579998</v>
      </c>
      <c r="AM78" s="882">
        <v>72.459210323429986</v>
      </c>
      <c r="AN78" s="882">
        <v>76.313157681059977</v>
      </c>
      <c r="AO78" s="882">
        <v>80.167105038689968</v>
      </c>
      <c r="AP78" s="882">
        <v>84.021052396319973</v>
      </c>
      <c r="AQ78" s="882">
        <v>87.87499975394995</v>
      </c>
      <c r="AR78" s="882">
        <v>91.728947111579956</v>
      </c>
      <c r="AS78" s="882">
        <v>95.582894469209933</v>
      </c>
      <c r="AT78" s="882">
        <v>99.436841826839995</v>
      </c>
    </row>
    <row r="79" spans="1:46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</row>
    <row r="80" spans="1:46" ht="42" customHeight="1" thickBot="1">
      <c r="A80" s="1033" t="s">
        <v>1224</v>
      </c>
      <c r="B80" s="1033"/>
      <c r="C80" s="1033"/>
      <c r="D80" s="1033"/>
      <c r="E80" s="1033"/>
      <c r="F80" s="1033"/>
      <c r="G80" s="1033"/>
      <c r="H80" s="1033"/>
      <c r="I80" s="1033"/>
      <c r="J80" s="1033"/>
      <c r="K80" s="1033"/>
      <c r="L80" s="1033"/>
      <c r="M80" s="1033"/>
      <c r="N80" s="1033"/>
      <c r="O80" s="1033"/>
      <c r="P80" s="1033"/>
      <c r="Q80" s="1033"/>
      <c r="R80" s="1033"/>
      <c r="S80" s="1033"/>
      <c r="T80" s="1033"/>
      <c r="U80" s="1033"/>
      <c r="V80" s="1033"/>
      <c r="W80" s="1033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</row>
    <row r="81" spans="1:46" ht="15" customHeight="1" thickBot="1">
      <c r="A81" s="1439"/>
      <c r="B81" s="1440"/>
      <c r="C81" s="1441"/>
      <c r="D81" s="1419" t="s">
        <v>207</v>
      </c>
      <c r="E81" s="1420"/>
      <c r="F81" s="1420"/>
      <c r="G81" s="1420"/>
      <c r="H81" s="1420"/>
      <c r="I81" s="1420"/>
      <c r="J81" s="1420"/>
      <c r="K81" s="1420"/>
      <c r="L81" s="1420"/>
      <c r="M81" s="1420"/>
      <c r="N81" s="1420"/>
      <c r="O81" s="1420"/>
      <c r="P81" s="1420"/>
      <c r="Q81" s="1420"/>
      <c r="R81" s="1420"/>
      <c r="S81" s="1420"/>
      <c r="T81" s="1420"/>
      <c r="U81" s="1420"/>
      <c r="V81" s="1420"/>
      <c r="W81" s="1421"/>
      <c r="Y81" s="1278" t="s">
        <v>1198</v>
      </c>
      <c r="Z81" s="1278"/>
      <c r="AA81" s="1279" t="s">
        <v>356</v>
      </c>
      <c r="AB81" s="1279"/>
      <c r="AC81" s="1279"/>
      <c r="AD81" s="1279"/>
      <c r="AE81" s="1279"/>
      <c r="AF81" s="1279"/>
      <c r="AG81" s="1279"/>
      <c r="AH81" s="1279"/>
      <c r="AI81" s="1279"/>
      <c r="AJ81" s="1279"/>
      <c r="AK81" s="1279"/>
      <c r="AL81" s="1279"/>
      <c r="AM81" s="1279"/>
      <c r="AN81" s="1279"/>
      <c r="AO81" s="1279"/>
      <c r="AP81" s="1279"/>
      <c r="AQ81" s="1279"/>
      <c r="AR81" s="1279"/>
      <c r="AS81" s="1279"/>
      <c r="AT81" s="1279"/>
    </row>
    <row r="82" spans="1:46" ht="17.399999999999999" customHeight="1" thickBot="1">
      <c r="A82" s="1442"/>
      <c r="B82" s="1443"/>
      <c r="C82" s="1444"/>
      <c r="D82" s="883">
        <v>0.3</v>
      </c>
      <c r="E82" s="884">
        <v>0.4</v>
      </c>
      <c r="F82" s="884">
        <v>0.5</v>
      </c>
      <c r="G82" s="884">
        <v>0.6</v>
      </c>
      <c r="H82" s="884">
        <v>0.7</v>
      </c>
      <c r="I82" s="884">
        <v>0.8</v>
      </c>
      <c r="J82" s="884">
        <v>0.9</v>
      </c>
      <c r="K82" s="884">
        <v>1</v>
      </c>
      <c r="L82" s="884">
        <v>1.1000000000000001</v>
      </c>
      <c r="M82" s="884">
        <v>1.2</v>
      </c>
      <c r="N82" s="884">
        <v>1.3</v>
      </c>
      <c r="O82" s="884">
        <v>1.4</v>
      </c>
      <c r="P82" s="884">
        <v>1.5</v>
      </c>
      <c r="Q82" s="884">
        <v>1.6</v>
      </c>
      <c r="R82" s="884">
        <v>1.7</v>
      </c>
      <c r="S82" s="884">
        <v>1.8</v>
      </c>
      <c r="T82" s="884">
        <v>1.9</v>
      </c>
      <c r="U82" s="884">
        <v>2</v>
      </c>
      <c r="V82" s="884">
        <v>2.1</v>
      </c>
      <c r="W82" s="885">
        <v>2.2000000000000002</v>
      </c>
      <c r="Y82" s="1278"/>
      <c r="Z82" s="1278"/>
      <c r="AA82" s="649">
        <v>0.3</v>
      </c>
      <c r="AB82" s="649">
        <v>0.4</v>
      </c>
      <c r="AC82" s="649">
        <v>0.5</v>
      </c>
      <c r="AD82" s="649">
        <v>0.6</v>
      </c>
      <c r="AE82" s="649">
        <v>0.7</v>
      </c>
      <c r="AF82" s="649">
        <v>0.8</v>
      </c>
      <c r="AG82" s="649">
        <v>0.9</v>
      </c>
      <c r="AH82" s="649">
        <v>1</v>
      </c>
      <c r="AI82" s="649">
        <v>1.1000000000000001</v>
      </c>
      <c r="AJ82" s="649">
        <v>1.2</v>
      </c>
      <c r="AK82" s="649">
        <v>1.3</v>
      </c>
      <c r="AL82" s="649">
        <v>1.4</v>
      </c>
      <c r="AM82" s="649">
        <v>1.5</v>
      </c>
      <c r="AN82" s="649">
        <v>1.6</v>
      </c>
      <c r="AO82" s="649">
        <v>1.7</v>
      </c>
      <c r="AP82" s="649">
        <v>1.8</v>
      </c>
      <c r="AQ82" s="649">
        <v>1.9</v>
      </c>
      <c r="AR82" s="649">
        <v>2</v>
      </c>
      <c r="AS82" s="649">
        <v>2.1</v>
      </c>
      <c r="AT82" s="649">
        <v>2.2000000000000002</v>
      </c>
    </row>
    <row r="83" spans="1:46" ht="15" customHeight="1">
      <c r="A83" s="1426" t="s">
        <v>3</v>
      </c>
      <c r="B83" s="1427"/>
      <c r="C83" s="886">
        <v>0.2</v>
      </c>
      <c r="D83" s="899">
        <f>(AA83*KFC!$B$16+KFC!$C$16)*KFC!$C$5</f>
        <v>15.642105219359999</v>
      </c>
      <c r="E83" s="900">
        <f>(AB83*KFC!$B$16+KFC!$C$16)*KFC!$C$5</f>
        <v>17.03988914896421</v>
      </c>
      <c r="F83" s="900">
        <f>(AC83*KFC!$B$16+KFC!$C$16)*KFC!$C$5</f>
        <v>18.43767307856842</v>
      </c>
      <c r="G83" s="900">
        <f>(AD83*KFC!$B$16+KFC!$C$16)*KFC!$C$5</f>
        <v>19.835457008172629</v>
      </c>
      <c r="H83" s="900">
        <f>(AE83*KFC!$B$16+KFC!$C$16)*KFC!$C$5</f>
        <v>21.233240937776841</v>
      </c>
      <c r="I83" s="900">
        <f>(AF83*KFC!$B$16+KFC!$C$16)*KFC!$C$5</f>
        <v>22.631024867381047</v>
      </c>
      <c r="J83" s="900">
        <f>(AG83*KFC!$B$16+KFC!$C$16)*KFC!$C$5</f>
        <v>24.028808796985256</v>
      </c>
      <c r="K83" s="900">
        <f>(AH83*KFC!$B$16+KFC!$C$16)*KFC!$C$5</f>
        <v>25.426592726589465</v>
      </c>
      <c r="L83" s="900">
        <f>(AI83*KFC!$B$16+KFC!$C$16)*KFC!$C$5</f>
        <v>26.824376656193675</v>
      </c>
      <c r="M83" s="900">
        <f>(AJ83*KFC!$B$16+KFC!$C$16)*KFC!$C$5</f>
        <v>28.222160585797887</v>
      </c>
      <c r="N83" s="900">
        <f>(AK83*KFC!$B$16+KFC!$C$16)*KFC!$C$5</f>
        <v>29.619944515402096</v>
      </c>
      <c r="O83" s="900">
        <f>(AL83*KFC!$B$16+KFC!$C$16)*KFC!$C$5</f>
        <v>31.017728445006306</v>
      </c>
      <c r="P83" s="900">
        <f>(AM83*KFC!$B$16+KFC!$C$16)*KFC!$C$5</f>
        <v>32.415512374610515</v>
      </c>
      <c r="Q83" s="900">
        <f>(AN83*KFC!$B$16+KFC!$C$16)*KFC!$C$5</f>
        <v>33.813296304214724</v>
      </c>
      <c r="R83" s="900">
        <f>(AO83*KFC!$B$16+KFC!$C$16)*KFC!$C$5</f>
        <v>35.211080233818933</v>
      </c>
      <c r="S83" s="900">
        <f>(AP83*KFC!$B$16+KFC!$C$16)*KFC!$C$5</f>
        <v>36.608864163423149</v>
      </c>
      <c r="T83" s="900">
        <f>(AQ83*KFC!$B$16+KFC!$C$16)*KFC!$C$5</f>
        <v>38.006648093027358</v>
      </c>
      <c r="U83" s="900">
        <f>(AR83*KFC!$B$16+KFC!$C$16)*KFC!$C$5</f>
        <v>39.404432022631568</v>
      </c>
      <c r="V83" s="900">
        <f>(AS83*KFC!$B$16+KFC!$C$16)*KFC!$C$5</f>
        <v>40.802215952235784</v>
      </c>
      <c r="W83" s="901">
        <f>(AT83*KFC!$B$16+KFC!$C$16)*KFC!$C$5</f>
        <v>42.19999988184</v>
      </c>
      <c r="Y83" s="1277" t="s">
        <v>357</v>
      </c>
      <c r="Z83" s="649">
        <v>0.2</v>
      </c>
      <c r="AA83" s="882">
        <v>15.642105219359999</v>
      </c>
      <c r="AB83" s="882">
        <v>17.03988914896421</v>
      </c>
      <c r="AC83" s="882">
        <v>18.43767307856842</v>
      </c>
      <c r="AD83" s="882">
        <v>19.835457008172629</v>
      </c>
      <c r="AE83" s="882">
        <v>21.233240937776841</v>
      </c>
      <c r="AF83" s="882">
        <v>22.631024867381047</v>
      </c>
      <c r="AG83" s="882">
        <v>24.028808796985256</v>
      </c>
      <c r="AH83" s="882">
        <v>25.426592726589465</v>
      </c>
      <c r="AI83" s="882">
        <v>26.824376656193675</v>
      </c>
      <c r="AJ83" s="882">
        <v>28.222160585797887</v>
      </c>
      <c r="AK83" s="882">
        <v>29.619944515402096</v>
      </c>
      <c r="AL83" s="882">
        <v>31.017728445006306</v>
      </c>
      <c r="AM83" s="882">
        <v>32.415512374610515</v>
      </c>
      <c r="AN83" s="882">
        <v>33.813296304214724</v>
      </c>
      <c r="AO83" s="882">
        <v>35.211080233818933</v>
      </c>
      <c r="AP83" s="882">
        <v>36.608864163423149</v>
      </c>
      <c r="AQ83" s="882">
        <v>38.006648093027358</v>
      </c>
      <c r="AR83" s="882">
        <v>39.404432022631568</v>
      </c>
      <c r="AS83" s="882">
        <v>40.802215952235784</v>
      </c>
      <c r="AT83" s="882">
        <v>42.19999988184</v>
      </c>
    </row>
    <row r="84" spans="1:46" ht="14.4" customHeight="1">
      <c r="A84" s="1426"/>
      <c r="B84" s="1427"/>
      <c r="C84" s="887">
        <v>0.3</v>
      </c>
      <c r="D84" s="902">
        <f>(AA84*KFC!$B$16+KFC!$C$16)*KFC!$C$5</f>
        <v>16.228782849296248</v>
      </c>
      <c r="E84" s="898">
        <f>(AB84*KFC!$B$16+KFC!$C$16)*KFC!$C$5</f>
        <v>17.768905767421579</v>
      </c>
      <c r="F84" s="898">
        <f>(AC84*KFC!$B$16+KFC!$C$16)*KFC!$C$5</f>
        <v>19.30902868554691</v>
      </c>
      <c r="G84" s="898">
        <f>(AD84*KFC!$B$16+KFC!$C$16)*KFC!$C$5</f>
        <v>20.849151603672237</v>
      </c>
      <c r="H84" s="898">
        <f>(AE84*KFC!$B$16+KFC!$C$16)*KFC!$C$5</f>
        <v>22.389274521797567</v>
      </c>
      <c r="I84" s="898">
        <f>(AF84*KFC!$B$16+KFC!$C$16)*KFC!$C$5</f>
        <v>23.929397439922894</v>
      </c>
      <c r="J84" s="898">
        <f>(AG84*KFC!$B$16+KFC!$C$16)*KFC!$C$5</f>
        <v>25.469520358048225</v>
      </c>
      <c r="K84" s="898">
        <f>(AH84*KFC!$B$16+KFC!$C$16)*KFC!$C$5</f>
        <v>27.009643276173556</v>
      </c>
      <c r="L84" s="898">
        <f>(AI84*KFC!$B$16+KFC!$C$16)*KFC!$C$5</f>
        <v>28.549766194298886</v>
      </c>
      <c r="M84" s="898">
        <f>(AJ84*KFC!$B$16+KFC!$C$16)*KFC!$C$5</f>
        <v>30.089889112424213</v>
      </c>
      <c r="N84" s="898">
        <f>(AK84*KFC!$B$16+KFC!$C$16)*KFC!$C$5</f>
        <v>31.630012030549537</v>
      </c>
      <c r="O84" s="898">
        <f>(AL84*KFC!$B$16+KFC!$C$16)*KFC!$C$5</f>
        <v>33.170134948674871</v>
      </c>
      <c r="P84" s="898">
        <f>(AM84*KFC!$B$16+KFC!$C$16)*KFC!$C$5</f>
        <v>34.710257866800198</v>
      </c>
      <c r="Q84" s="898">
        <f>(AN84*KFC!$B$16+KFC!$C$16)*KFC!$C$5</f>
        <v>36.250380784925532</v>
      </c>
      <c r="R84" s="898">
        <f>(AO84*KFC!$B$16+KFC!$C$16)*KFC!$C$5</f>
        <v>37.790503703050852</v>
      </c>
      <c r="S84" s="898">
        <f>(AP84*KFC!$B$16+KFC!$C$16)*KFC!$C$5</f>
        <v>39.330626621176187</v>
      </c>
      <c r="T84" s="898">
        <f>(AQ84*KFC!$B$16+KFC!$C$16)*KFC!$C$5</f>
        <v>40.870749539301507</v>
      </c>
      <c r="U84" s="898">
        <f>(AR84*KFC!$B$16+KFC!$C$16)*KFC!$C$5</f>
        <v>42.410872457426834</v>
      </c>
      <c r="V84" s="898">
        <f>(AS84*KFC!$B$16+KFC!$C$16)*KFC!$C$5</f>
        <v>43.950995375552161</v>
      </c>
      <c r="W84" s="903">
        <f>(AT84*KFC!$B$16+KFC!$C$16)*KFC!$C$5</f>
        <v>45.491118293677502</v>
      </c>
      <c r="Y84" s="1277"/>
      <c r="Z84" s="649">
        <v>0.3</v>
      </c>
      <c r="AA84" s="882">
        <v>16.228782849296248</v>
      </c>
      <c r="AB84" s="882">
        <v>17.768905767421579</v>
      </c>
      <c r="AC84" s="882">
        <v>19.30902868554691</v>
      </c>
      <c r="AD84" s="882">
        <v>20.849151603672237</v>
      </c>
      <c r="AE84" s="882">
        <v>22.389274521797567</v>
      </c>
      <c r="AF84" s="882">
        <v>23.929397439922894</v>
      </c>
      <c r="AG84" s="882">
        <v>25.469520358048225</v>
      </c>
      <c r="AH84" s="882">
        <v>27.009643276173556</v>
      </c>
      <c r="AI84" s="882">
        <v>28.549766194298886</v>
      </c>
      <c r="AJ84" s="882">
        <v>30.089889112424213</v>
      </c>
      <c r="AK84" s="882">
        <v>31.630012030549537</v>
      </c>
      <c r="AL84" s="882">
        <v>33.170134948674871</v>
      </c>
      <c r="AM84" s="882">
        <v>34.710257866800198</v>
      </c>
      <c r="AN84" s="882">
        <v>36.250380784925532</v>
      </c>
      <c r="AO84" s="882">
        <v>37.790503703050852</v>
      </c>
      <c r="AP84" s="882">
        <v>39.330626621176187</v>
      </c>
      <c r="AQ84" s="882">
        <v>40.870749539301507</v>
      </c>
      <c r="AR84" s="882">
        <v>42.410872457426834</v>
      </c>
      <c r="AS84" s="882">
        <v>43.950995375552161</v>
      </c>
      <c r="AT84" s="882">
        <v>45.491118293677502</v>
      </c>
    </row>
    <row r="85" spans="1:46">
      <c r="A85" s="1426"/>
      <c r="B85" s="1427"/>
      <c r="C85" s="887">
        <v>0.4</v>
      </c>
      <c r="D85" s="902">
        <f>(AA85*KFC!$B$16+KFC!$C$16)*KFC!$C$5</f>
        <v>16.815460479232499</v>
      </c>
      <c r="E85" s="898">
        <f>(AB85*KFC!$B$16+KFC!$C$16)*KFC!$C$5</f>
        <v>18.497922385878947</v>
      </c>
      <c r="F85" s="898">
        <f>(AC85*KFC!$B$16+KFC!$C$16)*KFC!$C$5</f>
        <v>20.180384292525396</v>
      </c>
      <c r="G85" s="898">
        <f>(AD85*KFC!$B$16+KFC!$C$16)*KFC!$C$5</f>
        <v>21.862846199171845</v>
      </c>
      <c r="H85" s="898">
        <f>(AE85*KFC!$B$16+KFC!$C$16)*KFC!$C$5</f>
        <v>23.54530810581829</v>
      </c>
      <c r="I85" s="898">
        <f>(AF85*KFC!$B$16+KFC!$C$16)*KFC!$C$5</f>
        <v>25.227770012464735</v>
      </c>
      <c r="J85" s="898">
        <f>(AG85*KFC!$B$16+KFC!$C$16)*KFC!$C$5</f>
        <v>26.910231919111183</v>
      </c>
      <c r="K85" s="898">
        <f>(AH85*KFC!$B$16+KFC!$C$16)*KFC!$C$5</f>
        <v>28.592693825757625</v>
      </c>
      <c r="L85" s="898">
        <f>(AI85*KFC!$B$16+KFC!$C$16)*KFC!$C$5</f>
        <v>30.27515573240407</v>
      </c>
      <c r="M85" s="898">
        <f>(AJ85*KFC!$B$16+KFC!$C$16)*KFC!$C$5</f>
        <v>31.957617639050518</v>
      </c>
      <c r="N85" s="898">
        <f>(AK85*KFC!$B$16+KFC!$C$16)*KFC!$C$5</f>
        <v>33.640079545696963</v>
      </c>
      <c r="O85" s="898">
        <f>(AL85*KFC!$B$16+KFC!$C$16)*KFC!$C$5</f>
        <v>35.322541452343408</v>
      </c>
      <c r="P85" s="898">
        <f>(AM85*KFC!$B$16+KFC!$C$16)*KFC!$C$5</f>
        <v>37.005003358989853</v>
      </c>
      <c r="Q85" s="898">
        <f>(AN85*KFC!$B$16+KFC!$C$16)*KFC!$C$5</f>
        <v>38.687465265636298</v>
      </c>
      <c r="R85" s="898">
        <f>(AO85*KFC!$B$16+KFC!$C$16)*KFC!$C$5</f>
        <v>40.369927172282743</v>
      </c>
      <c r="S85" s="898">
        <f>(AP85*KFC!$B$16+KFC!$C$16)*KFC!$C$5</f>
        <v>42.052389078929195</v>
      </c>
      <c r="T85" s="898">
        <f>(AQ85*KFC!$B$16+KFC!$C$16)*KFC!$C$5</f>
        <v>43.734850985575633</v>
      </c>
      <c r="U85" s="898">
        <f>(AR85*KFC!$B$16+KFC!$C$16)*KFC!$C$5</f>
        <v>45.417312892222078</v>
      </c>
      <c r="V85" s="898">
        <f>(AS85*KFC!$B$16+KFC!$C$16)*KFC!$C$5</f>
        <v>47.09977479886853</v>
      </c>
      <c r="W85" s="903">
        <f>(AT85*KFC!$B$16+KFC!$C$16)*KFC!$C$5</f>
        <v>48.782236705514997</v>
      </c>
      <c r="Y85" s="1277"/>
      <c r="Z85" s="649">
        <v>0.4</v>
      </c>
      <c r="AA85" s="882">
        <v>16.815460479232499</v>
      </c>
      <c r="AB85" s="882">
        <v>18.497922385878947</v>
      </c>
      <c r="AC85" s="882">
        <v>20.180384292525396</v>
      </c>
      <c r="AD85" s="882">
        <v>21.862846199171845</v>
      </c>
      <c r="AE85" s="882">
        <v>23.54530810581829</v>
      </c>
      <c r="AF85" s="882">
        <v>25.227770012464735</v>
      </c>
      <c r="AG85" s="882">
        <v>26.910231919111183</v>
      </c>
      <c r="AH85" s="882">
        <v>28.592693825757625</v>
      </c>
      <c r="AI85" s="882">
        <v>30.27515573240407</v>
      </c>
      <c r="AJ85" s="882">
        <v>31.957617639050518</v>
      </c>
      <c r="AK85" s="882">
        <v>33.640079545696963</v>
      </c>
      <c r="AL85" s="882">
        <v>35.322541452343408</v>
      </c>
      <c r="AM85" s="882">
        <v>37.005003358989853</v>
      </c>
      <c r="AN85" s="882">
        <v>38.687465265636298</v>
      </c>
      <c r="AO85" s="882">
        <v>40.369927172282743</v>
      </c>
      <c r="AP85" s="882">
        <v>42.052389078929195</v>
      </c>
      <c r="AQ85" s="882">
        <v>43.734850985575633</v>
      </c>
      <c r="AR85" s="882">
        <v>45.417312892222078</v>
      </c>
      <c r="AS85" s="882">
        <v>47.09977479886853</v>
      </c>
      <c r="AT85" s="882">
        <v>48.782236705514997</v>
      </c>
    </row>
    <row r="86" spans="1:46">
      <c r="A86" s="1426"/>
      <c r="B86" s="1427"/>
      <c r="C86" s="887">
        <v>0.5</v>
      </c>
      <c r="D86" s="902">
        <f>(AA86*KFC!$B$16+KFC!$C$16)*KFC!$C$5</f>
        <v>17.402138109168749</v>
      </c>
      <c r="E86" s="898">
        <f>(AB86*KFC!$B$16+KFC!$C$16)*KFC!$C$5</f>
        <v>19.226939004336316</v>
      </c>
      <c r="F86" s="898">
        <f>(AC86*KFC!$B$16+KFC!$C$16)*KFC!$C$5</f>
        <v>21.051739899503879</v>
      </c>
      <c r="G86" s="898">
        <f>(AD86*KFC!$B$16+KFC!$C$16)*KFC!$C$5</f>
        <v>22.876540794671449</v>
      </c>
      <c r="H86" s="898">
        <f>(AE86*KFC!$B$16+KFC!$C$16)*KFC!$C$5</f>
        <v>24.701341689839012</v>
      </c>
      <c r="I86" s="898">
        <f>(AF86*KFC!$B$16+KFC!$C$16)*KFC!$C$5</f>
        <v>26.526142585006578</v>
      </c>
      <c r="J86" s="898">
        <f>(AG86*KFC!$B$16+KFC!$C$16)*KFC!$C$5</f>
        <v>28.350943480174145</v>
      </c>
      <c r="K86" s="898">
        <f>(AH86*KFC!$B$16+KFC!$C$16)*KFC!$C$5</f>
        <v>30.175744375341708</v>
      </c>
      <c r="L86" s="898">
        <f>(AI86*KFC!$B$16+KFC!$C$16)*KFC!$C$5</f>
        <v>32.000545270509271</v>
      </c>
      <c r="M86" s="898">
        <f>(AJ86*KFC!$B$16+KFC!$C$16)*KFC!$C$5</f>
        <v>33.825346165676841</v>
      </c>
      <c r="N86" s="898">
        <f>(AK86*KFC!$B$16+KFC!$C$16)*KFC!$C$5</f>
        <v>35.650147060844404</v>
      </c>
      <c r="O86" s="898">
        <f>(AL86*KFC!$B$16+KFC!$C$16)*KFC!$C$5</f>
        <v>37.474947956011974</v>
      </c>
      <c r="P86" s="898">
        <f>(AM86*KFC!$B$16+KFC!$C$16)*KFC!$C$5</f>
        <v>39.299748851179537</v>
      </c>
      <c r="Q86" s="898">
        <f>(AN86*KFC!$B$16+KFC!$C$16)*KFC!$C$5</f>
        <v>41.124549746347107</v>
      </c>
      <c r="R86" s="898">
        <f>(AO86*KFC!$B$16+KFC!$C$16)*KFC!$C$5</f>
        <v>42.94935064151467</v>
      </c>
      <c r="S86" s="898">
        <f>(AP86*KFC!$B$16+KFC!$C$16)*KFC!$C$5</f>
        <v>44.774151536682233</v>
      </c>
      <c r="T86" s="898">
        <f>(AQ86*KFC!$B$16+KFC!$C$16)*KFC!$C$5</f>
        <v>46.598952431849803</v>
      </c>
      <c r="U86" s="898">
        <f>(AR86*KFC!$B$16+KFC!$C$16)*KFC!$C$5</f>
        <v>48.423753327017366</v>
      </c>
      <c r="V86" s="898">
        <f>(AS86*KFC!$B$16+KFC!$C$16)*KFC!$C$5</f>
        <v>50.248554222184929</v>
      </c>
      <c r="W86" s="903">
        <f>(AT86*KFC!$B$16+KFC!$C$16)*KFC!$C$5</f>
        <v>52.073355117352506</v>
      </c>
      <c r="Y86" s="1277"/>
      <c r="Z86" s="649">
        <v>0.5</v>
      </c>
      <c r="AA86" s="882">
        <v>17.402138109168749</v>
      </c>
      <c r="AB86" s="882">
        <v>19.226939004336316</v>
      </c>
      <c r="AC86" s="882">
        <v>21.051739899503879</v>
      </c>
      <c r="AD86" s="882">
        <v>22.876540794671449</v>
      </c>
      <c r="AE86" s="882">
        <v>24.701341689839012</v>
      </c>
      <c r="AF86" s="882">
        <v>26.526142585006578</v>
      </c>
      <c r="AG86" s="882">
        <v>28.350943480174145</v>
      </c>
      <c r="AH86" s="882">
        <v>30.175744375341708</v>
      </c>
      <c r="AI86" s="882">
        <v>32.000545270509271</v>
      </c>
      <c r="AJ86" s="882">
        <v>33.825346165676841</v>
      </c>
      <c r="AK86" s="882">
        <v>35.650147060844404</v>
      </c>
      <c r="AL86" s="882">
        <v>37.474947956011974</v>
      </c>
      <c r="AM86" s="882">
        <v>39.299748851179537</v>
      </c>
      <c r="AN86" s="882">
        <v>41.124549746347107</v>
      </c>
      <c r="AO86" s="882">
        <v>42.94935064151467</v>
      </c>
      <c r="AP86" s="882">
        <v>44.774151536682233</v>
      </c>
      <c r="AQ86" s="882">
        <v>46.598952431849803</v>
      </c>
      <c r="AR86" s="882">
        <v>48.423753327017366</v>
      </c>
      <c r="AS86" s="882">
        <v>50.248554222184929</v>
      </c>
      <c r="AT86" s="882">
        <v>52.073355117352506</v>
      </c>
    </row>
    <row r="87" spans="1:46">
      <c r="A87" s="1426"/>
      <c r="B87" s="1427"/>
      <c r="C87" s="887">
        <v>0.6</v>
      </c>
      <c r="D87" s="902">
        <f>(AA87*KFC!$B$16+KFC!$C$16)*KFC!$C$5</f>
        <v>17.988815739105</v>
      </c>
      <c r="E87" s="898">
        <f>(AB87*KFC!$B$16+KFC!$C$16)*KFC!$C$5</f>
        <v>19.955955622793685</v>
      </c>
      <c r="F87" s="898">
        <f>(AC87*KFC!$B$16+KFC!$C$16)*KFC!$C$5</f>
        <v>21.923095506482369</v>
      </c>
      <c r="G87" s="898">
        <f>(AD87*KFC!$B$16+KFC!$C$16)*KFC!$C$5</f>
        <v>23.890235390171053</v>
      </c>
      <c r="H87" s="898">
        <f>(AE87*KFC!$B$16+KFC!$C$16)*KFC!$C$5</f>
        <v>25.857375273859738</v>
      </c>
      <c r="I87" s="898">
        <f>(AF87*KFC!$B$16+KFC!$C$16)*KFC!$C$5</f>
        <v>27.824515157548426</v>
      </c>
      <c r="J87" s="898">
        <f>(AG87*KFC!$B$16+KFC!$C$16)*KFC!$C$5</f>
        <v>29.79165504123711</v>
      </c>
      <c r="K87" s="898">
        <f>(AH87*KFC!$B$16+KFC!$C$16)*KFC!$C$5</f>
        <v>31.758794924925795</v>
      </c>
      <c r="L87" s="898">
        <f>(AI87*KFC!$B$16+KFC!$C$16)*KFC!$C$5</f>
        <v>33.725934808614483</v>
      </c>
      <c r="M87" s="898">
        <f>(AJ87*KFC!$B$16+KFC!$C$16)*KFC!$C$5</f>
        <v>35.693074692303171</v>
      </c>
      <c r="N87" s="898">
        <f>(AK87*KFC!$B$16+KFC!$C$16)*KFC!$C$5</f>
        <v>37.660214575991851</v>
      </c>
      <c r="O87" s="898">
        <f>(AL87*KFC!$B$16+KFC!$C$16)*KFC!$C$5</f>
        <v>39.627354459680539</v>
      </c>
      <c r="P87" s="898">
        <f>(AM87*KFC!$B$16+KFC!$C$16)*KFC!$C$5</f>
        <v>41.59449434336922</v>
      </c>
      <c r="Q87" s="898">
        <f>(AN87*KFC!$B$16+KFC!$C$16)*KFC!$C$5</f>
        <v>43.561634227057908</v>
      </c>
      <c r="R87" s="898">
        <f>(AO87*KFC!$B$16+KFC!$C$16)*KFC!$C$5</f>
        <v>45.528774110746589</v>
      </c>
      <c r="S87" s="898">
        <f>(AP87*KFC!$B$16+KFC!$C$16)*KFC!$C$5</f>
        <v>47.495913994435277</v>
      </c>
      <c r="T87" s="898">
        <f>(AQ87*KFC!$B$16+KFC!$C$16)*KFC!$C$5</f>
        <v>49.463053878123958</v>
      </c>
      <c r="U87" s="898">
        <f>(AR87*KFC!$B$16+KFC!$C$16)*KFC!$C$5</f>
        <v>51.430193761812646</v>
      </c>
      <c r="V87" s="898">
        <f>(AS87*KFC!$B$16+KFC!$C$16)*KFC!$C$5</f>
        <v>53.397333645501334</v>
      </c>
      <c r="W87" s="903">
        <f>(AT87*KFC!$B$16+KFC!$C$16)*KFC!$C$5</f>
        <v>55.364473529190001</v>
      </c>
      <c r="Y87" s="1277"/>
      <c r="Z87" s="649">
        <v>0.6</v>
      </c>
      <c r="AA87" s="882">
        <v>17.988815739105</v>
      </c>
      <c r="AB87" s="882">
        <v>19.955955622793685</v>
      </c>
      <c r="AC87" s="882">
        <v>21.923095506482369</v>
      </c>
      <c r="AD87" s="882">
        <v>23.890235390171053</v>
      </c>
      <c r="AE87" s="882">
        <v>25.857375273859738</v>
      </c>
      <c r="AF87" s="882">
        <v>27.824515157548426</v>
      </c>
      <c r="AG87" s="882">
        <v>29.79165504123711</v>
      </c>
      <c r="AH87" s="882">
        <v>31.758794924925795</v>
      </c>
      <c r="AI87" s="882">
        <v>33.725934808614483</v>
      </c>
      <c r="AJ87" s="882">
        <v>35.693074692303171</v>
      </c>
      <c r="AK87" s="882">
        <v>37.660214575991851</v>
      </c>
      <c r="AL87" s="882">
        <v>39.627354459680539</v>
      </c>
      <c r="AM87" s="882">
        <v>41.59449434336922</v>
      </c>
      <c r="AN87" s="882">
        <v>43.561634227057908</v>
      </c>
      <c r="AO87" s="882">
        <v>45.528774110746589</v>
      </c>
      <c r="AP87" s="882">
        <v>47.495913994435277</v>
      </c>
      <c r="AQ87" s="882">
        <v>49.463053878123958</v>
      </c>
      <c r="AR87" s="882">
        <v>51.430193761812646</v>
      </c>
      <c r="AS87" s="882">
        <v>53.397333645501334</v>
      </c>
      <c r="AT87" s="882">
        <v>55.364473529190001</v>
      </c>
    </row>
    <row r="88" spans="1:46">
      <c r="A88" s="1426"/>
      <c r="B88" s="1427"/>
      <c r="C88" s="887">
        <v>0.7</v>
      </c>
      <c r="D88" s="902">
        <f>(AA88*KFC!$B$16+KFC!$C$16)*KFC!$C$5</f>
        <v>18.575493369041251</v>
      </c>
      <c r="E88" s="898">
        <f>(AB88*KFC!$B$16+KFC!$C$16)*KFC!$C$5</f>
        <v>20.684972241251053</v>
      </c>
      <c r="F88" s="898">
        <f>(AC88*KFC!$B$16+KFC!$C$16)*KFC!$C$5</f>
        <v>22.794451113460855</v>
      </c>
      <c r="G88" s="898">
        <f>(AD88*KFC!$B$16+KFC!$C$16)*KFC!$C$5</f>
        <v>24.903929985670658</v>
      </c>
      <c r="H88" s="898">
        <f>(AE88*KFC!$B$16+KFC!$C$16)*KFC!$C$5</f>
        <v>27.01340885788046</v>
      </c>
      <c r="I88" s="898">
        <f>(AF88*KFC!$B$16+KFC!$C$16)*KFC!$C$5</f>
        <v>29.122887730090262</v>
      </c>
      <c r="J88" s="898">
        <f>(AG88*KFC!$B$16+KFC!$C$16)*KFC!$C$5</f>
        <v>31.232366602300065</v>
      </c>
      <c r="K88" s="898">
        <f>(AH88*KFC!$B$16+KFC!$C$16)*KFC!$C$5</f>
        <v>33.341845474509867</v>
      </c>
      <c r="L88" s="898">
        <f>(AI88*KFC!$B$16+KFC!$C$16)*KFC!$C$5</f>
        <v>35.451324346719666</v>
      </c>
      <c r="M88" s="898">
        <f>(AJ88*KFC!$B$16+KFC!$C$16)*KFC!$C$5</f>
        <v>37.560803218929465</v>
      </c>
      <c r="N88" s="898">
        <f>(AK88*KFC!$B$16+KFC!$C$16)*KFC!$C$5</f>
        <v>39.670282091139271</v>
      </c>
      <c r="O88" s="898">
        <f>(AL88*KFC!$B$16+KFC!$C$16)*KFC!$C$5</f>
        <v>41.779760963349077</v>
      </c>
      <c r="P88" s="898">
        <f>(AM88*KFC!$B$16+KFC!$C$16)*KFC!$C$5</f>
        <v>43.88923983555889</v>
      </c>
      <c r="Q88" s="898">
        <f>(AN88*KFC!$B$16+KFC!$C$16)*KFC!$C$5</f>
        <v>45.998718707768688</v>
      </c>
      <c r="R88" s="898">
        <f>(AO88*KFC!$B$16+KFC!$C$16)*KFC!$C$5</f>
        <v>48.108197579978494</v>
      </c>
      <c r="S88" s="898">
        <f>(AP88*KFC!$B$16+KFC!$C$16)*KFC!$C$5</f>
        <v>50.2176764521883</v>
      </c>
      <c r="T88" s="898">
        <f>(AQ88*KFC!$B$16+KFC!$C$16)*KFC!$C$5</f>
        <v>52.327155324398106</v>
      </c>
      <c r="U88" s="898">
        <f>(AR88*KFC!$B$16+KFC!$C$16)*KFC!$C$5</f>
        <v>54.436634196607905</v>
      </c>
      <c r="V88" s="898">
        <f>(AS88*KFC!$B$16+KFC!$C$16)*KFC!$C$5</f>
        <v>56.546113068817718</v>
      </c>
      <c r="W88" s="903">
        <f>(AT88*KFC!$B$16+KFC!$C$16)*KFC!$C$5</f>
        <v>58.65559194102751</v>
      </c>
      <c r="Y88" s="1277"/>
      <c r="Z88" s="649">
        <v>0.7</v>
      </c>
      <c r="AA88" s="882">
        <v>18.575493369041251</v>
      </c>
      <c r="AB88" s="882">
        <v>20.684972241251053</v>
      </c>
      <c r="AC88" s="882">
        <v>22.794451113460855</v>
      </c>
      <c r="AD88" s="882">
        <v>24.903929985670658</v>
      </c>
      <c r="AE88" s="882">
        <v>27.01340885788046</v>
      </c>
      <c r="AF88" s="882">
        <v>29.122887730090262</v>
      </c>
      <c r="AG88" s="882">
        <v>31.232366602300065</v>
      </c>
      <c r="AH88" s="882">
        <v>33.341845474509867</v>
      </c>
      <c r="AI88" s="882">
        <v>35.451324346719666</v>
      </c>
      <c r="AJ88" s="882">
        <v>37.560803218929465</v>
      </c>
      <c r="AK88" s="882">
        <v>39.670282091139271</v>
      </c>
      <c r="AL88" s="882">
        <v>41.779760963349077</v>
      </c>
      <c r="AM88" s="882">
        <v>43.88923983555889</v>
      </c>
      <c r="AN88" s="882">
        <v>45.998718707768688</v>
      </c>
      <c r="AO88" s="882">
        <v>48.108197579978494</v>
      </c>
      <c r="AP88" s="882">
        <v>50.2176764521883</v>
      </c>
      <c r="AQ88" s="882">
        <v>52.327155324398106</v>
      </c>
      <c r="AR88" s="882">
        <v>54.436634196607905</v>
      </c>
      <c r="AS88" s="882">
        <v>56.546113068817718</v>
      </c>
      <c r="AT88" s="882">
        <v>58.65559194102751</v>
      </c>
    </row>
    <row r="89" spans="1:46">
      <c r="A89" s="1426"/>
      <c r="B89" s="1427"/>
      <c r="C89" s="887">
        <v>0.8</v>
      </c>
      <c r="D89" s="902">
        <f>(AA89*KFC!$B$16+KFC!$C$16)*KFC!$C$5</f>
        <v>19.162170998977501</v>
      </c>
      <c r="E89" s="898">
        <f>(AB89*KFC!$B$16+KFC!$C$16)*KFC!$C$5</f>
        <v>21.413988859708422</v>
      </c>
      <c r="F89" s="898">
        <f>(AC89*KFC!$B$16+KFC!$C$16)*KFC!$C$5</f>
        <v>23.665806720439349</v>
      </c>
      <c r="G89" s="898">
        <f>(AD89*KFC!$B$16+KFC!$C$16)*KFC!$C$5</f>
        <v>25.917624581170269</v>
      </c>
      <c r="H89" s="898">
        <f>(AE89*KFC!$B$16+KFC!$C$16)*KFC!$C$5</f>
        <v>28.169442441901186</v>
      </c>
      <c r="I89" s="898">
        <f>(AF89*KFC!$B$16+KFC!$C$16)*KFC!$C$5</f>
        <v>30.421260302632113</v>
      </c>
      <c r="J89" s="898">
        <f>(AG89*KFC!$B$16+KFC!$C$16)*KFC!$C$5</f>
        <v>32.67307816336303</v>
      </c>
      <c r="K89" s="898">
        <f>(AH89*KFC!$B$16+KFC!$C$16)*KFC!$C$5</f>
        <v>34.924896024093954</v>
      </c>
      <c r="L89" s="898">
        <f>(AI89*KFC!$B$16+KFC!$C$16)*KFC!$C$5</f>
        <v>37.176713884824878</v>
      </c>
      <c r="M89" s="898">
        <f>(AJ89*KFC!$B$16+KFC!$C$16)*KFC!$C$5</f>
        <v>39.428531745555802</v>
      </c>
      <c r="N89" s="898">
        <f>(AK89*KFC!$B$16+KFC!$C$16)*KFC!$C$5</f>
        <v>41.680349606286718</v>
      </c>
      <c r="O89" s="898">
        <f>(AL89*KFC!$B$16+KFC!$C$16)*KFC!$C$5</f>
        <v>43.932167467017628</v>
      </c>
      <c r="P89" s="898">
        <f>(AM89*KFC!$B$16+KFC!$C$16)*KFC!$C$5</f>
        <v>46.183985327748552</v>
      </c>
      <c r="Q89" s="898">
        <f>(AN89*KFC!$B$16+KFC!$C$16)*KFC!$C$5</f>
        <v>48.435803188479468</v>
      </c>
      <c r="R89" s="898">
        <f>(AO89*KFC!$B$16+KFC!$C$16)*KFC!$C$5</f>
        <v>50.687621049210392</v>
      </c>
      <c r="S89" s="898">
        <f>(AP89*KFC!$B$16+KFC!$C$16)*KFC!$C$5</f>
        <v>52.939438909941309</v>
      </c>
      <c r="T89" s="898">
        <f>(AQ89*KFC!$B$16+KFC!$C$16)*KFC!$C$5</f>
        <v>55.191256770672233</v>
      </c>
      <c r="U89" s="898">
        <f>(AR89*KFC!$B$16+KFC!$C$16)*KFC!$C$5</f>
        <v>57.44307463140315</v>
      </c>
      <c r="V89" s="898">
        <f>(AS89*KFC!$B$16+KFC!$C$16)*KFC!$C$5</f>
        <v>59.694892492134073</v>
      </c>
      <c r="W89" s="903">
        <f>(AT89*KFC!$B$16+KFC!$C$16)*KFC!$C$5</f>
        <v>61.946710352865011</v>
      </c>
      <c r="Y89" s="1277"/>
      <c r="Z89" s="649">
        <v>0.8</v>
      </c>
      <c r="AA89" s="882">
        <v>19.162170998977501</v>
      </c>
      <c r="AB89" s="882">
        <v>21.413988859708422</v>
      </c>
      <c r="AC89" s="882">
        <v>23.665806720439349</v>
      </c>
      <c r="AD89" s="882">
        <v>25.917624581170269</v>
      </c>
      <c r="AE89" s="882">
        <v>28.169442441901186</v>
      </c>
      <c r="AF89" s="882">
        <v>30.421260302632113</v>
      </c>
      <c r="AG89" s="882">
        <v>32.67307816336303</v>
      </c>
      <c r="AH89" s="882">
        <v>34.924896024093954</v>
      </c>
      <c r="AI89" s="882">
        <v>37.176713884824878</v>
      </c>
      <c r="AJ89" s="882">
        <v>39.428531745555802</v>
      </c>
      <c r="AK89" s="882">
        <v>41.680349606286718</v>
      </c>
      <c r="AL89" s="882">
        <v>43.932167467017628</v>
      </c>
      <c r="AM89" s="882">
        <v>46.183985327748552</v>
      </c>
      <c r="AN89" s="882">
        <v>48.435803188479468</v>
      </c>
      <c r="AO89" s="882">
        <v>50.687621049210392</v>
      </c>
      <c r="AP89" s="882">
        <v>52.939438909941309</v>
      </c>
      <c r="AQ89" s="882">
        <v>55.191256770672233</v>
      </c>
      <c r="AR89" s="882">
        <v>57.44307463140315</v>
      </c>
      <c r="AS89" s="882">
        <v>59.694892492134073</v>
      </c>
      <c r="AT89" s="882">
        <v>61.946710352865011</v>
      </c>
    </row>
    <row r="90" spans="1:46">
      <c r="A90" s="1426"/>
      <c r="B90" s="1427"/>
      <c r="C90" s="887">
        <v>0.9</v>
      </c>
      <c r="D90" s="902">
        <f>(AA90*KFC!$B$16+KFC!$C$16)*KFC!$C$5</f>
        <v>19.748848628913748</v>
      </c>
      <c r="E90" s="898">
        <f>(AB90*KFC!$B$16+KFC!$C$16)*KFC!$C$5</f>
        <v>22.143005478165794</v>
      </c>
      <c r="F90" s="898">
        <f>(AC90*KFC!$B$16+KFC!$C$16)*KFC!$C$5</f>
        <v>24.537162327417828</v>
      </c>
      <c r="G90" s="898">
        <f>(AD90*KFC!$B$16+KFC!$C$16)*KFC!$C$5</f>
        <v>26.931319176669867</v>
      </c>
      <c r="H90" s="898">
        <f>(AE90*KFC!$B$16+KFC!$C$16)*KFC!$C$5</f>
        <v>29.325476025921905</v>
      </c>
      <c r="I90" s="898">
        <f>(AF90*KFC!$B$16+KFC!$C$16)*KFC!$C$5</f>
        <v>31.719632875173943</v>
      </c>
      <c r="J90" s="898">
        <f>(AG90*KFC!$B$16+KFC!$C$16)*KFC!$C$5</f>
        <v>34.113789724425978</v>
      </c>
      <c r="K90" s="898">
        <f>(AH90*KFC!$B$16+KFC!$C$16)*KFC!$C$5</f>
        <v>36.507946573678019</v>
      </c>
      <c r="L90" s="898">
        <f>(AI90*KFC!$B$16+KFC!$C$16)*KFC!$C$5</f>
        <v>38.902103422930054</v>
      </c>
      <c r="M90" s="898">
        <f>(AJ90*KFC!$B$16+KFC!$C$16)*KFC!$C$5</f>
        <v>41.296260272182096</v>
      </c>
      <c r="N90" s="898">
        <f>(AK90*KFC!$B$16+KFC!$C$16)*KFC!$C$5</f>
        <v>43.690417121434137</v>
      </c>
      <c r="O90" s="898">
        <f>(AL90*KFC!$B$16+KFC!$C$16)*KFC!$C$5</f>
        <v>46.084573970686172</v>
      </c>
      <c r="P90" s="898">
        <f>(AM90*KFC!$B$16+KFC!$C$16)*KFC!$C$5</f>
        <v>48.478730819938214</v>
      </c>
      <c r="Q90" s="898">
        <f>(AN90*KFC!$B$16+KFC!$C$16)*KFC!$C$5</f>
        <v>50.872887669190256</v>
      </c>
      <c r="R90" s="898">
        <f>(AO90*KFC!$B$16+KFC!$C$16)*KFC!$C$5</f>
        <v>53.26704451844229</v>
      </c>
      <c r="S90" s="898">
        <f>(AP90*KFC!$B$16+KFC!$C$16)*KFC!$C$5</f>
        <v>55.661201367694318</v>
      </c>
      <c r="T90" s="898">
        <f>(AQ90*KFC!$B$16+KFC!$C$16)*KFC!$C$5</f>
        <v>58.055358216946367</v>
      </c>
      <c r="U90" s="898">
        <f>(AR90*KFC!$B$16+KFC!$C$16)*KFC!$C$5</f>
        <v>60.449515066198401</v>
      </c>
      <c r="V90" s="898">
        <f>(AS90*KFC!$B$16+KFC!$C$16)*KFC!$C$5</f>
        <v>62.843671915450443</v>
      </c>
      <c r="W90" s="903">
        <f>(AT90*KFC!$B$16+KFC!$C$16)*KFC!$C$5</f>
        <v>65.237828764702513</v>
      </c>
      <c r="Y90" s="1277"/>
      <c r="Z90" s="649">
        <v>0.9</v>
      </c>
      <c r="AA90" s="882">
        <v>19.748848628913748</v>
      </c>
      <c r="AB90" s="882">
        <v>22.143005478165794</v>
      </c>
      <c r="AC90" s="882">
        <v>24.537162327417828</v>
      </c>
      <c r="AD90" s="882">
        <v>26.931319176669867</v>
      </c>
      <c r="AE90" s="882">
        <v>29.325476025921905</v>
      </c>
      <c r="AF90" s="882">
        <v>31.719632875173943</v>
      </c>
      <c r="AG90" s="882">
        <v>34.113789724425978</v>
      </c>
      <c r="AH90" s="882">
        <v>36.507946573678019</v>
      </c>
      <c r="AI90" s="882">
        <v>38.902103422930054</v>
      </c>
      <c r="AJ90" s="882">
        <v>41.296260272182096</v>
      </c>
      <c r="AK90" s="882">
        <v>43.690417121434137</v>
      </c>
      <c r="AL90" s="882">
        <v>46.084573970686172</v>
      </c>
      <c r="AM90" s="882">
        <v>48.478730819938214</v>
      </c>
      <c r="AN90" s="882">
        <v>50.872887669190256</v>
      </c>
      <c r="AO90" s="882">
        <v>53.26704451844229</v>
      </c>
      <c r="AP90" s="882">
        <v>55.661201367694318</v>
      </c>
      <c r="AQ90" s="882">
        <v>58.055358216946367</v>
      </c>
      <c r="AR90" s="882">
        <v>60.449515066198401</v>
      </c>
      <c r="AS90" s="882">
        <v>62.843671915450443</v>
      </c>
      <c r="AT90" s="882">
        <v>65.237828764702513</v>
      </c>
    </row>
    <row r="91" spans="1:46">
      <c r="A91" s="1426"/>
      <c r="B91" s="1427"/>
      <c r="C91" s="887">
        <v>1</v>
      </c>
      <c r="D91" s="902">
        <f>(AA91*KFC!$B$16+KFC!$C$16)*KFC!$C$5</f>
        <v>20.335526258850003</v>
      </c>
      <c r="E91" s="898">
        <f>(AB91*KFC!$B$16+KFC!$C$16)*KFC!$C$5</f>
        <v>22.872022096623162</v>
      </c>
      <c r="F91" s="898">
        <f>(AC91*KFC!$B$16+KFC!$C$16)*KFC!$C$5</f>
        <v>25.408517934396315</v>
      </c>
      <c r="G91" s="898">
        <f>(AD91*KFC!$B$16+KFC!$C$16)*KFC!$C$5</f>
        <v>27.945013772169478</v>
      </c>
      <c r="H91" s="898">
        <f>(AE91*KFC!$B$16+KFC!$C$16)*KFC!$C$5</f>
        <v>30.481509609942638</v>
      </c>
      <c r="I91" s="898">
        <f>(AF91*KFC!$B$16+KFC!$C$16)*KFC!$C$5</f>
        <v>33.018005447715794</v>
      </c>
      <c r="J91" s="898">
        <f>(AG91*KFC!$B$16+KFC!$C$16)*KFC!$C$5</f>
        <v>35.554501285488953</v>
      </c>
      <c r="K91" s="898">
        <f>(AH91*KFC!$B$16+KFC!$C$16)*KFC!$C$5</f>
        <v>38.090997123262113</v>
      </c>
      <c r="L91" s="898">
        <f>(AI91*KFC!$B$16+KFC!$C$16)*KFC!$C$5</f>
        <v>40.627492961035266</v>
      </c>
      <c r="M91" s="898">
        <f>(AJ91*KFC!$B$16+KFC!$C$16)*KFC!$C$5</f>
        <v>43.163988798808433</v>
      </c>
      <c r="N91" s="898">
        <f>(AK91*KFC!$B$16+KFC!$C$16)*KFC!$C$5</f>
        <v>45.700484636581585</v>
      </c>
      <c r="O91" s="898">
        <f>(AL91*KFC!$B$16+KFC!$C$16)*KFC!$C$5</f>
        <v>48.236980474354745</v>
      </c>
      <c r="P91" s="898">
        <f>(AM91*KFC!$B$16+KFC!$C$16)*KFC!$C$5</f>
        <v>50.773476312127897</v>
      </c>
      <c r="Q91" s="898">
        <f>(AN91*KFC!$B$16+KFC!$C$16)*KFC!$C$5</f>
        <v>53.309972149901064</v>
      </c>
      <c r="R91" s="898">
        <f>(AO91*KFC!$B$16+KFC!$C$16)*KFC!$C$5</f>
        <v>55.846467987674217</v>
      </c>
      <c r="S91" s="898">
        <f>(AP91*KFC!$B$16+KFC!$C$16)*KFC!$C$5</f>
        <v>58.382963825447376</v>
      </c>
      <c r="T91" s="898">
        <f>(AQ91*KFC!$B$16+KFC!$C$16)*KFC!$C$5</f>
        <v>60.919459663220529</v>
      </c>
      <c r="U91" s="898">
        <f>(AR91*KFC!$B$16+KFC!$C$16)*KFC!$C$5</f>
        <v>63.455955500993696</v>
      </c>
      <c r="V91" s="898">
        <f>(AS91*KFC!$B$16+KFC!$C$16)*KFC!$C$5</f>
        <v>65.992451338766855</v>
      </c>
      <c r="W91" s="903">
        <f>(AT91*KFC!$B$16+KFC!$C$16)*KFC!$C$5</f>
        <v>68.528947176540015</v>
      </c>
      <c r="Y91" s="1277"/>
      <c r="Z91" s="649">
        <v>1</v>
      </c>
      <c r="AA91" s="882">
        <v>20.335526258850003</v>
      </c>
      <c r="AB91" s="882">
        <v>22.872022096623162</v>
      </c>
      <c r="AC91" s="882">
        <v>25.408517934396315</v>
      </c>
      <c r="AD91" s="882">
        <v>27.945013772169478</v>
      </c>
      <c r="AE91" s="882">
        <v>30.481509609942638</v>
      </c>
      <c r="AF91" s="882">
        <v>33.018005447715794</v>
      </c>
      <c r="AG91" s="882">
        <v>35.554501285488953</v>
      </c>
      <c r="AH91" s="882">
        <v>38.090997123262113</v>
      </c>
      <c r="AI91" s="882">
        <v>40.627492961035266</v>
      </c>
      <c r="AJ91" s="882">
        <v>43.163988798808433</v>
      </c>
      <c r="AK91" s="882">
        <v>45.700484636581585</v>
      </c>
      <c r="AL91" s="882">
        <v>48.236980474354745</v>
      </c>
      <c r="AM91" s="882">
        <v>50.773476312127897</v>
      </c>
      <c r="AN91" s="882">
        <v>53.309972149901064</v>
      </c>
      <c r="AO91" s="882">
        <v>55.846467987674217</v>
      </c>
      <c r="AP91" s="882">
        <v>58.382963825447376</v>
      </c>
      <c r="AQ91" s="882">
        <v>60.919459663220529</v>
      </c>
      <c r="AR91" s="882">
        <v>63.455955500993696</v>
      </c>
      <c r="AS91" s="882">
        <v>65.992451338766855</v>
      </c>
      <c r="AT91" s="882">
        <v>68.528947176540015</v>
      </c>
    </row>
    <row r="92" spans="1:46">
      <c r="A92" s="1426"/>
      <c r="B92" s="1427"/>
      <c r="C92" s="887">
        <v>1.1000000000000001</v>
      </c>
      <c r="D92" s="902">
        <f>(AA92*KFC!$B$16+KFC!$C$16)*KFC!$C$5</f>
        <v>20.922203888786253</v>
      </c>
      <c r="E92" s="898">
        <f>(AB92*KFC!$B$16+KFC!$C$16)*KFC!$C$5</f>
        <v>23.601038715080531</v>
      </c>
      <c r="F92" s="898">
        <f>(AC92*KFC!$B$16+KFC!$C$16)*KFC!$C$5</f>
        <v>26.279873541374808</v>
      </c>
      <c r="G92" s="898">
        <f>(AD92*KFC!$B$16+KFC!$C$16)*KFC!$C$5</f>
        <v>28.958708367669086</v>
      </c>
      <c r="H92" s="898">
        <f>(AE92*KFC!$B$16+KFC!$C$16)*KFC!$C$5</f>
        <v>31.637543193963364</v>
      </c>
      <c r="I92" s="898">
        <f>(AF92*KFC!$B$16+KFC!$C$16)*KFC!$C$5</f>
        <v>34.316378020257645</v>
      </c>
      <c r="J92" s="898">
        <f>(AG92*KFC!$B$16+KFC!$C$16)*KFC!$C$5</f>
        <v>36.995212846551915</v>
      </c>
      <c r="K92" s="898">
        <f>(AH92*KFC!$B$16+KFC!$C$16)*KFC!$C$5</f>
        <v>39.6740476728462</v>
      </c>
      <c r="L92" s="898">
        <f>(AI92*KFC!$B$16+KFC!$C$16)*KFC!$C$5</f>
        <v>42.35288249914047</v>
      </c>
      <c r="M92" s="898">
        <f>(AJ92*KFC!$B$16+KFC!$C$16)*KFC!$C$5</f>
        <v>45.031717325434755</v>
      </c>
      <c r="N92" s="898">
        <f>(AK92*KFC!$B$16+KFC!$C$16)*KFC!$C$5</f>
        <v>47.710552151729026</v>
      </c>
      <c r="O92" s="898">
        <f>(AL92*KFC!$B$16+KFC!$C$16)*KFC!$C$5</f>
        <v>50.38938697802331</v>
      </c>
      <c r="P92" s="898">
        <f>(AM92*KFC!$B$16+KFC!$C$16)*KFC!$C$5</f>
        <v>53.068221804317581</v>
      </c>
      <c r="Q92" s="898">
        <f>(AN92*KFC!$B$16+KFC!$C$16)*KFC!$C$5</f>
        <v>55.747056630611866</v>
      </c>
      <c r="R92" s="898">
        <f>(AO92*KFC!$B$16+KFC!$C$16)*KFC!$C$5</f>
        <v>58.42589145690615</v>
      </c>
      <c r="S92" s="898">
        <f>(AP92*KFC!$B$16+KFC!$C$16)*KFC!$C$5</f>
        <v>61.104726283200421</v>
      </c>
      <c r="T92" s="898">
        <f>(AQ92*KFC!$B$16+KFC!$C$16)*KFC!$C$5</f>
        <v>63.783561109494691</v>
      </c>
      <c r="U92" s="898">
        <f>(AR92*KFC!$B$16+KFC!$C$16)*KFC!$C$5</f>
        <v>66.462395935788976</v>
      </c>
      <c r="V92" s="898">
        <f>(AS92*KFC!$B$16+KFC!$C$16)*KFC!$C$5</f>
        <v>69.141230762083254</v>
      </c>
      <c r="W92" s="903">
        <f>(AT92*KFC!$B$16+KFC!$C$16)*KFC!$C$5</f>
        <v>71.820065588377517</v>
      </c>
      <c r="Y92" s="1277"/>
      <c r="Z92" s="649">
        <v>1.1000000000000001</v>
      </c>
      <c r="AA92" s="882">
        <v>20.922203888786253</v>
      </c>
      <c r="AB92" s="882">
        <v>23.601038715080531</v>
      </c>
      <c r="AC92" s="882">
        <v>26.279873541374808</v>
      </c>
      <c r="AD92" s="882">
        <v>28.958708367669086</v>
      </c>
      <c r="AE92" s="882">
        <v>31.637543193963364</v>
      </c>
      <c r="AF92" s="882">
        <v>34.316378020257645</v>
      </c>
      <c r="AG92" s="882">
        <v>36.995212846551915</v>
      </c>
      <c r="AH92" s="882">
        <v>39.6740476728462</v>
      </c>
      <c r="AI92" s="882">
        <v>42.35288249914047</v>
      </c>
      <c r="AJ92" s="882">
        <v>45.031717325434755</v>
      </c>
      <c r="AK92" s="882">
        <v>47.710552151729026</v>
      </c>
      <c r="AL92" s="882">
        <v>50.38938697802331</v>
      </c>
      <c r="AM92" s="882">
        <v>53.068221804317581</v>
      </c>
      <c r="AN92" s="882">
        <v>55.747056630611866</v>
      </c>
      <c r="AO92" s="882">
        <v>58.42589145690615</v>
      </c>
      <c r="AP92" s="882">
        <v>61.104726283200421</v>
      </c>
      <c r="AQ92" s="882">
        <v>63.783561109494691</v>
      </c>
      <c r="AR92" s="882">
        <v>66.462395935788976</v>
      </c>
      <c r="AS92" s="882">
        <v>69.141230762083254</v>
      </c>
      <c r="AT92" s="882">
        <v>71.820065588377517</v>
      </c>
    </row>
    <row r="93" spans="1:46">
      <c r="A93" s="1426"/>
      <c r="B93" s="1427"/>
      <c r="C93" s="887">
        <v>1.2</v>
      </c>
      <c r="D93" s="902">
        <f>(AA93*KFC!$B$16+KFC!$C$16)*KFC!$C$5</f>
        <v>21.5088815187225</v>
      </c>
      <c r="E93" s="898">
        <f>(AB93*KFC!$B$16+KFC!$C$16)*KFC!$C$5</f>
        <v>24.330055333537896</v>
      </c>
      <c r="F93" s="898">
        <f>(AC93*KFC!$B$16+KFC!$C$16)*KFC!$C$5</f>
        <v>27.151229148353291</v>
      </c>
      <c r="G93" s="898">
        <f>(AD93*KFC!$B$16+KFC!$C$16)*KFC!$C$5</f>
        <v>29.97240296316868</v>
      </c>
      <c r="H93" s="898">
        <f>(AE93*KFC!$B$16+KFC!$C$16)*KFC!$C$5</f>
        <v>32.793576777984079</v>
      </c>
      <c r="I93" s="898">
        <f>(AF93*KFC!$B$16+KFC!$C$16)*KFC!$C$5</f>
        <v>35.614750592799474</v>
      </c>
      <c r="J93" s="898">
        <f>(AG93*KFC!$B$16+KFC!$C$16)*KFC!$C$5</f>
        <v>38.43592440761487</v>
      </c>
      <c r="K93" s="898">
        <f>(AH93*KFC!$B$16+KFC!$C$16)*KFC!$C$5</f>
        <v>41.257098222430265</v>
      </c>
      <c r="L93" s="898">
        <f>(AI93*KFC!$B$16+KFC!$C$16)*KFC!$C$5</f>
        <v>44.078272037245661</v>
      </c>
      <c r="M93" s="898">
        <f>(AJ93*KFC!$B$16+KFC!$C$16)*KFC!$C$5</f>
        <v>46.899445852061064</v>
      </c>
      <c r="N93" s="898">
        <f>(AK93*KFC!$B$16+KFC!$C$16)*KFC!$C$5</f>
        <v>49.720619666876466</v>
      </c>
      <c r="O93" s="898">
        <f>(AL93*KFC!$B$16+KFC!$C$16)*KFC!$C$5</f>
        <v>52.541793481691855</v>
      </c>
      <c r="P93" s="898">
        <f>(AM93*KFC!$B$16+KFC!$C$16)*KFC!$C$5</f>
        <v>55.362967296507257</v>
      </c>
      <c r="Q93" s="898">
        <f>(AN93*KFC!$B$16+KFC!$C$16)*KFC!$C$5</f>
        <v>58.184141111322653</v>
      </c>
      <c r="R93" s="898">
        <f>(AO93*KFC!$B$16+KFC!$C$16)*KFC!$C$5</f>
        <v>61.005314926138048</v>
      </c>
      <c r="S93" s="898">
        <f>(AP93*KFC!$B$16+KFC!$C$16)*KFC!$C$5</f>
        <v>63.826488740953451</v>
      </c>
      <c r="T93" s="898">
        <f>(AQ93*KFC!$B$16+KFC!$C$16)*KFC!$C$5</f>
        <v>66.647662555768832</v>
      </c>
      <c r="U93" s="898">
        <f>(AR93*KFC!$B$16+KFC!$C$16)*KFC!$C$5</f>
        <v>69.468836370584242</v>
      </c>
      <c r="V93" s="898">
        <f>(AS93*KFC!$B$16+KFC!$C$16)*KFC!$C$5</f>
        <v>72.290010185399638</v>
      </c>
      <c r="W93" s="903">
        <f>(AT93*KFC!$B$16+KFC!$C$16)*KFC!$C$5</f>
        <v>75.111184000215019</v>
      </c>
      <c r="Y93" s="1277"/>
      <c r="Z93" s="649">
        <v>1.2</v>
      </c>
      <c r="AA93" s="882">
        <v>21.5088815187225</v>
      </c>
      <c r="AB93" s="882">
        <v>24.330055333537896</v>
      </c>
      <c r="AC93" s="882">
        <v>27.151229148353291</v>
      </c>
      <c r="AD93" s="882">
        <v>29.97240296316868</v>
      </c>
      <c r="AE93" s="882">
        <v>32.793576777984079</v>
      </c>
      <c r="AF93" s="882">
        <v>35.614750592799474</v>
      </c>
      <c r="AG93" s="882">
        <v>38.43592440761487</v>
      </c>
      <c r="AH93" s="882">
        <v>41.257098222430265</v>
      </c>
      <c r="AI93" s="882">
        <v>44.078272037245661</v>
      </c>
      <c r="AJ93" s="882">
        <v>46.899445852061064</v>
      </c>
      <c r="AK93" s="882">
        <v>49.720619666876466</v>
      </c>
      <c r="AL93" s="882">
        <v>52.541793481691855</v>
      </c>
      <c r="AM93" s="882">
        <v>55.362967296507257</v>
      </c>
      <c r="AN93" s="882">
        <v>58.184141111322653</v>
      </c>
      <c r="AO93" s="882">
        <v>61.005314926138048</v>
      </c>
      <c r="AP93" s="882">
        <v>63.826488740953451</v>
      </c>
      <c r="AQ93" s="882">
        <v>66.647662555768832</v>
      </c>
      <c r="AR93" s="882">
        <v>69.468836370584242</v>
      </c>
      <c r="AS93" s="882">
        <v>72.290010185399638</v>
      </c>
      <c r="AT93" s="882">
        <v>75.111184000215019</v>
      </c>
    </row>
    <row r="94" spans="1:46">
      <c r="A94" s="1426"/>
      <c r="B94" s="1427"/>
      <c r="C94" s="887">
        <v>1.3</v>
      </c>
      <c r="D94" s="902">
        <f>(AA94*KFC!$B$16+KFC!$C$16)*KFC!$C$5</f>
        <v>22.095559148658751</v>
      </c>
      <c r="E94" s="898">
        <f>(AB94*KFC!$B$16+KFC!$C$16)*KFC!$C$5</f>
        <v>25.059071951995264</v>
      </c>
      <c r="F94" s="898">
        <f>(AC94*KFC!$B$16+KFC!$C$16)*KFC!$C$5</f>
        <v>28.022584755331778</v>
      </c>
      <c r="G94" s="898">
        <f>(AD94*KFC!$B$16+KFC!$C$16)*KFC!$C$5</f>
        <v>30.986097558668291</v>
      </c>
      <c r="H94" s="898">
        <f>(AE94*KFC!$B$16+KFC!$C$16)*KFC!$C$5</f>
        <v>33.949610362004805</v>
      </c>
      <c r="I94" s="898">
        <f>(AF94*KFC!$B$16+KFC!$C$16)*KFC!$C$5</f>
        <v>36.913123165341318</v>
      </c>
      <c r="J94" s="898">
        <f>(AG94*KFC!$B$16+KFC!$C$16)*KFC!$C$5</f>
        <v>39.876635968677839</v>
      </c>
      <c r="K94" s="898">
        <f>(AH94*KFC!$B$16+KFC!$C$16)*KFC!$C$5</f>
        <v>42.840148772014345</v>
      </c>
      <c r="L94" s="898">
        <f>(AI94*KFC!$B$16+KFC!$C$16)*KFC!$C$5</f>
        <v>45.803661575350858</v>
      </c>
      <c r="M94" s="898">
        <f>(AJ94*KFC!$B$16+KFC!$C$16)*KFC!$C$5</f>
        <v>48.767174378687372</v>
      </c>
      <c r="N94" s="898">
        <f>(AK94*KFC!$B$16+KFC!$C$16)*KFC!$C$5</f>
        <v>51.730687182023885</v>
      </c>
      <c r="O94" s="898">
        <f>(AL94*KFC!$B$16+KFC!$C$16)*KFC!$C$5</f>
        <v>54.694199985360392</v>
      </c>
      <c r="P94" s="898">
        <f>(AM94*KFC!$B$16+KFC!$C$16)*KFC!$C$5</f>
        <v>57.657712788696912</v>
      </c>
      <c r="Q94" s="898">
        <f>(AN94*KFC!$B$16+KFC!$C$16)*KFC!$C$5</f>
        <v>60.621225592033419</v>
      </c>
      <c r="R94" s="898">
        <f>(AO94*KFC!$B$16+KFC!$C$16)*KFC!$C$5</f>
        <v>63.584738395369925</v>
      </c>
      <c r="S94" s="898">
        <f>(AP94*KFC!$B$16+KFC!$C$16)*KFC!$C$5</f>
        <v>66.548251198706438</v>
      </c>
      <c r="T94" s="898">
        <f>(AQ94*KFC!$B$16+KFC!$C$16)*KFC!$C$5</f>
        <v>69.511764002042952</v>
      </c>
      <c r="U94" s="898">
        <f>(AR94*KFC!$B$16+KFC!$C$16)*KFC!$C$5</f>
        <v>72.475276805379465</v>
      </c>
      <c r="V94" s="898">
        <f>(AS94*KFC!$B$16+KFC!$C$16)*KFC!$C$5</f>
        <v>75.438789608715979</v>
      </c>
      <c r="W94" s="903">
        <f>(AT94*KFC!$B$16+KFC!$C$16)*KFC!$C$5</f>
        <v>78.402302412052521</v>
      </c>
      <c r="Y94" s="1277"/>
      <c r="Z94" s="649">
        <v>1.3</v>
      </c>
      <c r="AA94" s="882">
        <v>22.095559148658751</v>
      </c>
      <c r="AB94" s="882">
        <v>25.059071951995264</v>
      </c>
      <c r="AC94" s="882">
        <v>28.022584755331778</v>
      </c>
      <c r="AD94" s="882">
        <v>30.986097558668291</v>
      </c>
      <c r="AE94" s="882">
        <v>33.949610362004805</v>
      </c>
      <c r="AF94" s="882">
        <v>36.913123165341318</v>
      </c>
      <c r="AG94" s="882">
        <v>39.876635968677839</v>
      </c>
      <c r="AH94" s="882">
        <v>42.840148772014345</v>
      </c>
      <c r="AI94" s="882">
        <v>45.803661575350858</v>
      </c>
      <c r="AJ94" s="882">
        <v>48.767174378687372</v>
      </c>
      <c r="AK94" s="882">
        <v>51.730687182023885</v>
      </c>
      <c r="AL94" s="882">
        <v>54.694199985360392</v>
      </c>
      <c r="AM94" s="882">
        <v>57.657712788696912</v>
      </c>
      <c r="AN94" s="882">
        <v>60.621225592033419</v>
      </c>
      <c r="AO94" s="882">
        <v>63.584738395369925</v>
      </c>
      <c r="AP94" s="882">
        <v>66.548251198706438</v>
      </c>
      <c r="AQ94" s="882">
        <v>69.511764002042952</v>
      </c>
      <c r="AR94" s="882">
        <v>72.475276805379465</v>
      </c>
      <c r="AS94" s="882">
        <v>75.438789608715979</v>
      </c>
      <c r="AT94" s="882">
        <v>78.402302412052521</v>
      </c>
    </row>
    <row r="95" spans="1:46">
      <c r="A95" s="1426"/>
      <c r="B95" s="1427"/>
      <c r="C95" s="887">
        <v>1.4</v>
      </c>
      <c r="D95" s="902">
        <f>(AA95*KFC!$B$16+KFC!$C$16)*KFC!$C$5</f>
        <v>22.682236778594998</v>
      </c>
      <c r="E95" s="898">
        <f>(AB95*KFC!$B$16+KFC!$C$16)*KFC!$C$5</f>
        <v>25.788088570452633</v>
      </c>
      <c r="F95" s="898">
        <f>(AC95*KFC!$B$16+KFC!$C$16)*KFC!$C$5</f>
        <v>28.893940362310264</v>
      </c>
      <c r="G95" s="898">
        <f>(AD95*KFC!$B$16+KFC!$C$16)*KFC!$C$5</f>
        <v>31.999792154167899</v>
      </c>
      <c r="H95" s="898">
        <f>(AE95*KFC!$B$16+KFC!$C$16)*KFC!$C$5</f>
        <v>35.105643946025538</v>
      </c>
      <c r="I95" s="898">
        <f>(AF95*KFC!$B$16+KFC!$C$16)*KFC!$C$5</f>
        <v>38.211495737883169</v>
      </c>
      <c r="J95" s="898">
        <f>(AG95*KFC!$B$16+KFC!$C$16)*KFC!$C$5</f>
        <v>41.3173475297408</v>
      </c>
      <c r="K95" s="898">
        <f>(AH95*KFC!$B$16+KFC!$C$16)*KFC!$C$5</f>
        <v>44.423199321598425</v>
      </c>
      <c r="L95" s="898">
        <f>(AI95*KFC!$B$16+KFC!$C$16)*KFC!$C$5</f>
        <v>47.529051113456063</v>
      </c>
      <c r="M95" s="898">
        <f>(AJ95*KFC!$B$16+KFC!$C$16)*KFC!$C$5</f>
        <v>50.634902905313687</v>
      </c>
      <c r="N95" s="898">
        <f>(AK95*KFC!$B$16+KFC!$C$16)*KFC!$C$5</f>
        <v>53.740754697171319</v>
      </c>
      <c r="O95" s="898">
        <f>(AL95*KFC!$B$16+KFC!$C$16)*KFC!$C$5</f>
        <v>56.84660648902895</v>
      </c>
      <c r="P95" s="898">
        <f>(AM95*KFC!$B$16+KFC!$C$16)*KFC!$C$5</f>
        <v>59.952458280886574</v>
      </c>
      <c r="Q95" s="898">
        <f>(AN95*KFC!$B$16+KFC!$C$16)*KFC!$C$5</f>
        <v>63.058310072744213</v>
      </c>
      <c r="R95" s="898">
        <f>(AO95*KFC!$B$16+KFC!$C$16)*KFC!$C$5</f>
        <v>66.164161864601851</v>
      </c>
      <c r="S95" s="898">
        <f>(AP95*KFC!$B$16+KFC!$C$16)*KFC!$C$5</f>
        <v>69.270013656459469</v>
      </c>
      <c r="T95" s="898">
        <f>(AQ95*KFC!$B$16+KFC!$C$16)*KFC!$C$5</f>
        <v>72.375865448317114</v>
      </c>
      <c r="U95" s="898">
        <f>(AR95*KFC!$B$16+KFC!$C$16)*KFC!$C$5</f>
        <v>75.481717240174746</v>
      </c>
      <c r="V95" s="898">
        <f>(AS95*KFC!$B$16+KFC!$C$16)*KFC!$C$5</f>
        <v>78.587569032032391</v>
      </c>
      <c r="W95" s="903">
        <f>(AT95*KFC!$B$16+KFC!$C$16)*KFC!$C$5</f>
        <v>81.693420823890023</v>
      </c>
      <c r="Y95" s="1277"/>
      <c r="Z95" s="649">
        <v>1.4</v>
      </c>
      <c r="AA95" s="882">
        <v>22.682236778594998</v>
      </c>
      <c r="AB95" s="882">
        <v>25.788088570452633</v>
      </c>
      <c r="AC95" s="882">
        <v>28.893940362310264</v>
      </c>
      <c r="AD95" s="882">
        <v>31.999792154167899</v>
      </c>
      <c r="AE95" s="882">
        <v>35.105643946025538</v>
      </c>
      <c r="AF95" s="882">
        <v>38.211495737883169</v>
      </c>
      <c r="AG95" s="882">
        <v>41.3173475297408</v>
      </c>
      <c r="AH95" s="882">
        <v>44.423199321598425</v>
      </c>
      <c r="AI95" s="882">
        <v>47.529051113456063</v>
      </c>
      <c r="AJ95" s="882">
        <v>50.634902905313687</v>
      </c>
      <c r="AK95" s="882">
        <v>53.740754697171319</v>
      </c>
      <c r="AL95" s="882">
        <v>56.84660648902895</v>
      </c>
      <c r="AM95" s="882">
        <v>59.952458280886574</v>
      </c>
      <c r="AN95" s="882">
        <v>63.058310072744213</v>
      </c>
      <c r="AO95" s="882">
        <v>66.164161864601851</v>
      </c>
      <c r="AP95" s="882">
        <v>69.270013656459469</v>
      </c>
      <c r="AQ95" s="882">
        <v>72.375865448317114</v>
      </c>
      <c r="AR95" s="882">
        <v>75.481717240174746</v>
      </c>
      <c r="AS95" s="882">
        <v>78.587569032032391</v>
      </c>
      <c r="AT95" s="882">
        <v>81.693420823890023</v>
      </c>
    </row>
    <row r="96" spans="1:46">
      <c r="A96" s="1426"/>
      <c r="B96" s="1427"/>
      <c r="C96" s="887">
        <v>1.5</v>
      </c>
      <c r="D96" s="902">
        <f>(AA96*KFC!$B$16+KFC!$C$16)*KFC!$C$5</f>
        <v>23.268914408531241</v>
      </c>
      <c r="E96" s="898">
        <f>(AB96*KFC!$B$16+KFC!$C$16)*KFC!$C$5</f>
        <v>26.517105188909998</v>
      </c>
      <c r="F96" s="898">
        <f>(AC96*KFC!$B$16+KFC!$C$16)*KFC!$C$5</f>
        <v>29.765295969288751</v>
      </c>
      <c r="G96" s="898">
        <f>(AD96*KFC!$B$16+KFC!$C$16)*KFC!$C$5</f>
        <v>33.013486749667493</v>
      </c>
      <c r="H96" s="898">
        <f>(AE96*KFC!$B$16+KFC!$C$16)*KFC!$C$5</f>
        <v>36.261677530046249</v>
      </c>
      <c r="I96" s="898">
        <f>(AF96*KFC!$B$16+KFC!$C$16)*KFC!$C$5</f>
        <v>39.509868310424999</v>
      </c>
      <c r="J96" s="898">
        <f>(AG96*KFC!$B$16+KFC!$C$16)*KFC!$C$5</f>
        <v>42.758059090803755</v>
      </c>
      <c r="K96" s="898">
        <f>(AH96*KFC!$B$16+KFC!$C$16)*KFC!$C$5</f>
        <v>46.006249871182511</v>
      </c>
      <c r="L96" s="898">
        <f>(AI96*KFC!$B$16+KFC!$C$16)*KFC!$C$5</f>
        <v>49.254440651561254</v>
      </c>
      <c r="M96" s="898">
        <f>(AJ96*KFC!$B$16+KFC!$C$16)*KFC!$C$5</f>
        <v>52.50263143194001</v>
      </c>
      <c r="N96" s="898">
        <f>(AK96*KFC!$B$16+KFC!$C$16)*KFC!$C$5</f>
        <v>55.750822212318752</v>
      </c>
      <c r="O96" s="898">
        <f>(AL96*KFC!$B$16+KFC!$C$16)*KFC!$C$5</f>
        <v>58.999012992697502</v>
      </c>
      <c r="P96" s="898">
        <f>(AM96*KFC!$B$16+KFC!$C$16)*KFC!$C$5</f>
        <v>62.247203773076258</v>
      </c>
      <c r="Q96" s="898">
        <f>(AN96*KFC!$B$16+KFC!$C$16)*KFC!$C$5</f>
        <v>65.495394553455014</v>
      </c>
      <c r="R96" s="898">
        <f>(AO96*KFC!$B$16+KFC!$C$16)*KFC!$C$5</f>
        <v>68.743585333833749</v>
      </c>
      <c r="S96" s="898">
        <f>(AP96*KFC!$B$16+KFC!$C$16)*KFC!$C$5</f>
        <v>71.991776114212513</v>
      </c>
      <c r="T96" s="898">
        <f>(AQ96*KFC!$B$16+KFC!$C$16)*KFC!$C$5</f>
        <v>75.239966894591262</v>
      </c>
      <c r="U96" s="898">
        <f>(AR96*KFC!$B$16+KFC!$C$16)*KFC!$C$5</f>
        <v>78.488157674970012</v>
      </c>
      <c r="V96" s="898">
        <f>(AS96*KFC!$B$16+KFC!$C$16)*KFC!$C$5</f>
        <v>81.736348455348761</v>
      </c>
      <c r="W96" s="903">
        <f>(AT96*KFC!$B$16+KFC!$C$16)*KFC!$C$5</f>
        <v>84.98453923572751</v>
      </c>
      <c r="Y96" s="1277"/>
      <c r="Z96" s="649">
        <v>1.5</v>
      </c>
      <c r="AA96" s="882">
        <v>23.268914408531241</v>
      </c>
      <c r="AB96" s="882">
        <v>26.517105188909998</v>
      </c>
      <c r="AC96" s="882">
        <v>29.765295969288751</v>
      </c>
      <c r="AD96" s="882">
        <v>33.013486749667493</v>
      </c>
      <c r="AE96" s="882">
        <v>36.261677530046249</v>
      </c>
      <c r="AF96" s="882">
        <v>39.509868310424999</v>
      </c>
      <c r="AG96" s="882">
        <v>42.758059090803755</v>
      </c>
      <c r="AH96" s="882">
        <v>46.006249871182511</v>
      </c>
      <c r="AI96" s="882">
        <v>49.254440651561254</v>
      </c>
      <c r="AJ96" s="882">
        <v>52.50263143194001</v>
      </c>
      <c r="AK96" s="882">
        <v>55.750822212318752</v>
      </c>
      <c r="AL96" s="882">
        <v>58.999012992697502</v>
      </c>
      <c r="AM96" s="882">
        <v>62.247203773076258</v>
      </c>
      <c r="AN96" s="882">
        <v>65.495394553455014</v>
      </c>
      <c r="AO96" s="882">
        <v>68.743585333833749</v>
      </c>
      <c r="AP96" s="882">
        <v>71.991776114212513</v>
      </c>
      <c r="AQ96" s="882">
        <v>75.239966894591262</v>
      </c>
      <c r="AR96" s="882">
        <v>78.488157674970012</v>
      </c>
      <c r="AS96" s="882">
        <v>81.736348455348761</v>
      </c>
      <c r="AT96" s="882">
        <v>84.98453923572751</v>
      </c>
    </row>
    <row r="97" spans="1:46">
      <c r="A97" s="1426"/>
      <c r="B97" s="1427"/>
      <c r="C97" s="887">
        <v>1.6</v>
      </c>
      <c r="D97" s="902">
        <f>(AA97*KFC!$B$16+KFC!$C$16)*KFC!$C$5</f>
        <v>23.855592038467496</v>
      </c>
      <c r="E97" s="898">
        <f>(AB97*KFC!$B$16+KFC!$C$16)*KFC!$C$5</f>
        <v>27.246121807367366</v>
      </c>
      <c r="F97" s="898">
        <f>(AC97*KFC!$B$16+KFC!$C$16)*KFC!$C$5</f>
        <v>30.636651576267237</v>
      </c>
      <c r="G97" s="898">
        <f>(AD97*KFC!$B$16+KFC!$C$16)*KFC!$C$5</f>
        <v>34.027181345167108</v>
      </c>
      <c r="H97" s="898">
        <f>(AE97*KFC!$B$16+KFC!$C$16)*KFC!$C$5</f>
        <v>37.417711114066975</v>
      </c>
      <c r="I97" s="898">
        <f>(AF97*KFC!$B$16+KFC!$C$16)*KFC!$C$5</f>
        <v>40.808240882966849</v>
      </c>
      <c r="J97" s="898">
        <f>(AG97*KFC!$B$16+KFC!$C$16)*KFC!$C$5</f>
        <v>44.19877065186671</v>
      </c>
      <c r="K97" s="898">
        <f>(AH97*KFC!$B$16+KFC!$C$16)*KFC!$C$5</f>
        <v>47.589300420766591</v>
      </c>
      <c r="L97" s="898">
        <f>(AI97*KFC!$B$16+KFC!$C$16)*KFC!$C$5</f>
        <v>50.979830189666458</v>
      </c>
      <c r="M97" s="898">
        <f>(AJ97*KFC!$B$16+KFC!$C$16)*KFC!$C$5</f>
        <v>54.370359958566326</v>
      </c>
      <c r="N97" s="898">
        <f>(AK97*KFC!$B$16+KFC!$C$16)*KFC!$C$5</f>
        <v>57.7608897274662</v>
      </c>
      <c r="O97" s="898">
        <f>(AL97*KFC!$B$16+KFC!$C$16)*KFC!$C$5</f>
        <v>61.151419496366067</v>
      </c>
      <c r="P97" s="898">
        <f>(AM97*KFC!$B$16+KFC!$C$16)*KFC!$C$5</f>
        <v>64.541949265265941</v>
      </c>
      <c r="Q97" s="898">
        <f>(AN97*KFC!$B$16+KFC!$C$16)*KFC!$C$5</f>
        <v>67.932479034165809</v>
      </c>
      <c r="R97" s="898">
        <f>(AO97*KFC!$B$16+KFC!$C$16)*KFC!$C$5</f>
        <v>71.323008803065662</v>
      </c>
      <c r="S97" s="898">
        <f>(AP97*KFC!$B$16+KFC!$C$16)*KFC!$C$5</f>
        <v>74.713538571965529</v>
      </c>
      <c r="T97" s="898">
        <f>(AQ97*KFC!$B$16+KFC!$C$16)*KFC!$C$5</f>
        <v>78.104068340865396</v>
      </c>
      <c r="U97" s="898">
        <f>(AR97*KFC!$B$16+KFC!$C$16)*KFC!$C$5</f>
        <v>81.494598109765263</v>
      </c>
      <c r="V97" s="898">
        <f>(AS97*KFC!$B$16+KFC!$C$16)*KFC!$C$5</f>
        <v>84.885127878665131</v>
      </c>
      <c r="W97" s="903">
        <f>(AT97*KFC!$B$16+KFC!$C$16)*KFC!$C$5</f>
        <v>88.275657647565026</v>
      </c>
      <c r="Y97" s="1277"/>
      <c r="Z97" s="649">
        <v>1.6</v>
      </c>
      <c r="AA97" s="882">
        <v>23.855592038467496</v>
      </c>
      <c r="AB97" s="882">
        <v>27.246121807367366</v>
      </c>
      <c r="AC97" s="882">
        <v>30.636651576267237</v>
      </c>
      <c r="AD97" s="882">
        <v>34.027181345167108</v>
      </c>
      <c r="AE97" s="882">
        <v>37.417711114066975</v>
      </c>
      <c r="AF97" s="882">
        <v>40.808240882966849</v>
      </c>
      <c r="AG97" s="882">
        <v>44.19877065186671</v>
      </c>
      <c r="AH97" s="882">
        <v>47.589300420766591</v>
      </c>
      <c r="AI97" s="882">
        <v>50.979830189666458</v>
      </c>
      <c r="AJ97" s="882">
        <v>54.370359958566326</v>
      </c>
      <c r="AK97" s="882">
        <v>57.7608897274662</v>
      </c>
      <c r="AL97" s="882">
        <v>61.151419496366067</v>
      </c>
      <c r="AM97" s="882">
        <v>64.541949265265941</v>
      </c>
      <c r="AN97" s="882">
        <v>67.932479034165809</v>
      </c>
      <c r="AO97" s="882">
        <v>71.323008803065662</v>
      </c>
      <c r="AP97" s="882">
        <v>74.713538571965529</v>
      </c>
      <c r="AQ97" s="882">
        <v>78.104068340865396</v>
      </c>
      <c r="AR97" s="882">
        <v>81.494598109765263</v>
      </c>
      <c r="AS97" s="882">
        <v>84.885127878665131</v>
      </c>
      <c r="AT97" s="882">
        <v>88.275657647565026</v>
      </c>
    </row>
    <row r="98" spans="1:46">
      <c r="A98" s="1426"/>
      <c r="B98" s="1427"/>
      <c r="C98" s="887">
        <v>1.7</v>
      </c>
      <c r="D98" s="902">
        <f>(AA98*KFC!$B$16+KFC!$C$16)*KFC!$C$5</f>
        <v>24.442269668403739</v>
      </c>
      <c r="E98" s="898">
        <f>(AB98*KFC!$B$16+KFC!$C$16)*KFC!$C$5</f>
        <v>27.975138425824735</v>
      </c>
      <c r="F98" s="898">
        <f>(AC98*KFC!$B$16+KFC!$C$16)*KFC!$C$5</f>
        <v>31.508007183245724</v>
      </c>
      <c r="G98" s="898">
        <f>(AD98*KFC!$B$16+KFC!$C$16)*KFC!$C$5</f>
        <v>35.040875940666716</v>
      </c>
      <c r="H98" s="898">
        <f>(AE98*KFC!$B$16+KFC!$C$16)*KFC!$C$5</f>
        <v>38.573744698087701</v>
      </c>
      <c r="I98" s="898">
        <f>(AF98*KFC!$B$16+KFC!$C$16)*KFC!$C$5</f>
        <v>42.106613455508693</v>
      </c>
      <c r="J98" s="898">
        <f>(AG98*KFC!$B$16+KFC!$C$16)*KFC!$C$5</f>
        <v>45.639482212929678</v>
      </c>
      <c r="K98" s="898">
        <f>(AH98*KFC!$B$16+KFC!$C$16)*KFC!$C$5</f>
        <v>49.172350970350678</v>
      </c>
      <c r="L98" s="898">
        <f>(AI98*KFC!$B$16+KFC!$C$16)*KFC!$C$5</f>
        <v>52.70521972777167</v>
      </c>
      <c r="M98" s="898">
        <f>(AJ98*KFC!$B$16+KFC!$C$16)*KFC!$C$5</f>
        <v>56.238088485192655</v>
      </c>
      <c r="N98" s="898">
        <f>(AK98*KFC!$B$16+KFC!$C$16)*KFC!$C$5</f>
        <v>59.770957242613648</v>
      </c>
      <c r="O98" s="898">
        <f>(AL98*KFC!$B$16+KFC!$C$16)*KFC!$C$5</f>
        <v>63.303826000034633</v>
      </c>
      <c r="P98" s="898">
        <f>(AM98*KFC!$B$16+KFC!$C$16)*KFC!$C$5</f>
        <v>66.836694757455618</v>
      </c>
      <c r="Q98" s="898">
        <f>(AN98*KFC!$B$16+KFC!$C$16)*KFC!$C$5</f>
        <v>70.369563514876617</v>
      </c>
      <c r="R98" s="898">
        <f>(AO98*KFC!$B$16+KFC!$C$16)*KFC!$C$5</f>
        <v>73.902432272297602</v>
      </c>
      <c r="S98" s="898">
        <f>(AP98*KFC!$B$16+KFC!$C$16)*KFC!$C$5</f>
        <v>77.435301029718588</v>
      </c>
      <c r="T98" s="898">
        <f>(AQ98*KFC!$B$16+KFC!$C$16)*KFC!$C$5</f>
        <v>80.968169787139587</v>
      </c>
      <c r="U98" s="898">
        <f>(AR98*KFC!$B$16+KFC!$C$16)*KFC!$C$5</f>
        <v>84.501038544560572</v>
      </c>
      <c r="V98" s="898">
        <f>(AS98*KFC!$B$16+KFC!$C$16)*KFC!$C$5</f>
        <v>88.033907301981586</v>
      </c>
      <c r="W98" s="903">
        <f>(AT98*KFC!$B$16+KFC!$C$16)*KFC!$C$5</f>
        <v>91.566776059402528</v>
      </c>
      <c r="Y98" s="1277"/>
      <c r="Z98" s="649">
        <v>1.7</v>
      </c>
      <c r="AA98" s="882">
        <v>24.442269668403739</v>
      </c>
      <c r="AB98" s="882">
        <v>27.975138425824735</v>
      </c>
      <c r="AC98" s="882">
        <v>31.508007183245724</v>
      </c>
      <c r="AD98" s="882">
        <v>35.040875940666716</v>
      </c>
      <c r="AE98" s="882">
        <v>38.573744698087701</v>
      </c>
      <c r="AF98" s="882">
        <v>42.106613455508693</v>
      </c>
      <c r="AG98" s="882">
        <v>45.639482212929678</v>
      </c>
      <c r="AH98" s="882">
        <v>49.172350970350678</v>
      </c>
      <c r="AI98" s="882">
        <v>52.70521972777167</v>
      </c>
      <c r="AJ98" s="882">
        <v>56.238088485192655</v>
      </c>
      <c r="AK98" s="882">
        <v>59.770957242613648</v>
      </c>
      <c r="AL98" s="882">
        <v>63.303826000034633</v>
      </c>
      <c r="AM98" s="882">
        <v>66.836694757455618</v>
      </c>
      <c r="AN98" s="882">
        <v>70.369563514876617</v>
      </c>
      <c r="AO98" s="882">
        <v>73.902432272297602</v>
      </c>
      <c r="AP98" s="882">
        <v>77.435301029718588</v>
      </c>
      <c r="AQ98" s="882">
        <v>80.968169787139587</v>
      </c>
      <c r="AR98" s="882">
        <v>84.501038544560572</v>
      </c>
      <c r="AS98" s="882">
        <v>88.033907301981586</v>
      </c>
      <c r="AT98" s="882">
        <v>91.566776059402528</v>
      </c>
    </row>
    <row r="99" spans="1:46">
      <c r="A99" s="1426"/>
      <c r="B99" s="1427"/>
      <c r="C99" s="887">
        <v>1.8</v>
      </c>
      <c r="D99" s="902">
        <f>(AA99*KFC!$B$16+KFC!$C$16)*KFC!$C$5</f>
        <v>25.028947298339993</v>
      </c>
      <c r="E99" s="898">
        <f>(AB99*KFC!$B$16+KFC!$C$16)*KFC!$C$5</f>
        <v>28.7041550442821</v>
      </c>
      <c r="F99" s="898">
        <f>(AC99*KFC!$B$16+KFC!$C$16)*KFC!$C$5</f>
        <v>32.379362790224206</v>
      </c>
      <c r="G99" s="898">
        <f>(AD99*KFC!$B$16+KFC!$C$16)*KFC!$C$5</f>
        <v>36.05457053616631</v>
      </c>
      <c r="H99" s="898">
        <f>(AE99*KFC!$B$16+KFC!$C$16)*KFC!$C$5</f>
        <v>39.729778282108413</v>
      </c>
      <c r="I99" s="898">
        <f>(AF99*KFC!$B$16+KFC!$C$16)*KFC!$C$5</f>
        <v>43.404986028050516</v>
      </c>
      <c r="J99" s="898">
        <f>(AG99*KFC!$B$16+KFC!$C$16)*KFC!$C$5</f>
        <v>47.080193773992619</v>
      </c>
      <c r="K99" s="898">
        <f>(AH99*KFC!$B$16+KFC!$C$16)*KFC!$C$5</f>
        <v>50.755401519934729</v>
      </c>
      <c r="L99" s="898">
        <f>(AI99*KFC!$B$16+KFC!$C$16)*KFC!$C$5</f>
        <v>54.430609265876825</v>
      </c>
      <c r="M99" s="898">
        <f>(AJ99*KFC!$B$16+KFC!$C$16)*KFC!$C$5</f>
        <v>58.105817011818928</v>
      </c>
      <c r="N99" s="898">
        <f>(AK99*KFC!$B$16+KFC!$C$16)*KFC!$C$5</f>
        <v>61.781024757761038</v>
      </c>
      <c r="O99" s="898">
        <f>(AL99*KFC!$B$16+KFC!$C$16)*KFC!$C$5</f>
        <v>65.456232503703134</v>
      </c>
      <c r="P99" s="898">
        <f>(AM99*KFC!$B$16+KFC!$C$16)*KFC!$C$5</f>
        <v>69.131440249645237</v>
      </c>
      <c r="Q99" s="898">
        <f>(AN99*KFC!$B$16+KFC!$C$16)*KFC!$C$5</f>
        <v>72.806647995587355</v>
      </c>
      <c r="R99" s="898">
        <f>(AO99*KFC!$B$16+KFC!$C$16)*KFC!$C$5</f>
        <v>76.481855741529444</v>
      </c>
      <c r="S99" s="898">
        <f>(AP99*KFC!$B$16+KFC!$C$16)*KFC!$C$5</f>
        <v>80.157063487471561</v>
      </c>
      <c r="T99" s="898">
        <f>(AQ99*KFC!$B$16+KFC!$C$16)*KFC!$C$5</f>
        <v>83.832271233413664</v>
      </c>
      <c r="U99" s="898">
        <f>(AR99*KFC!$B$16+KFC!$C$16)*KFC!$C$5</f>
        <v>87.507478979355753</v>
      </c>
      <c r="V99" s="898">
        <f>(AS99*KFC!$B$16+KFC!$C$16)*KFC!$C$5</f>
        <v>91.182686725297856</v>
      </c>
      <c r="W99" s="903">
        <f>(AT99*KFC!$B$16+KFC!$C$16)*KFC!$C$5</f>
        <v>94.857894471240044</v>
      </c>
      <c r="Y99" s="1277"/>
      <c r="Z99" s="649">
        <v>1.8</v>
      </c>
      <c r="AA99" s="882">
        <v>25.028947298339993</v>
      </c>
      <c r="AB99" s="882">
        <v>28.7041550442821</v>
      </c>
      <c r="AC99" s="882">
        <v>32.379362790224206</v>
      </c>
      <c r="AD99" s="882">
        <v>36.05457053616631</v>
      </c>
      <c r="AE99" s="882">
        <v>39.729778282108413</v>
      </c>
      <c r="AF99" s="882">
        <v>43.404986028050516</v>
      </c>
      <c r="AG99" s="882">
        <v>47.080193773992619</v>
      </c>
      <c r="AH99" s="882">
        <v>50.755401519934729</v>
      </c>
      <c r="AI99" s="882">
        <v>54.430609265876825</v>
      </c>
      <c r="AJ99" s="882">
        <v>58.105817011818928</v>
      </c>
      <c r="AK99" s="882">
        <v>61.781024757761038</v>
      </c>
      <c r="AL99" s="882">
        <v>65.456232503703134</v>
      </c>
      <c r="AM99" s="882">
        <v>69.131440249645237</v>
      </c>
      <c r="AN99" s="882">
        <v>72.806647995587355</v>
      </c>
      <c r="AO99" s="882">
        <v>76.481855741529444</v>
      </c>
      <c r="AP99" s="882">
        <v>80.157063487471561</v>
      </c>
      <c r="AQ99" s="882">
        <v>83.832271233413664</v>
      </c>
      <c r="AR99" s="882">
        <v>87.507478979355753</v>
      </c>
      <c r="AS99" s="882">
        <v>91.182686725297856</v>
      </c>
      <c r="AT99" s="882">
        <v>94.857894471240044</v>
      </c>
    </row>
    <row r="100" spans="1:46">
      <c r="A100" s="1426"/>
      <c r="B100" s="1427"/>
      <c r="C100" s="887">
        <v>1.9</v>
      </c>
      <c r="D100" s="902">
        <f>(AA100*KFC!$B$16+KFC!$C$16)*KFC!$C$5</f>
        <v>25.615624928276237</v>
      </c>
      <c r="E100" s="898">
        <f>(AB100*KFC!$B$16+KFC!$C$16)*KFC!$C$5</f>
        <v>29.433171662739468</v>
      </c>
      <c r="F100" s="898">
        <f>(AC100*KFC!$B$16+KFC!$C$16)*KFC!$C$5</f>
        <v>33.250718397202689</v>
      </c>
      <c r="G100" s="898">
        <f>(AD100*KFC!$B$16+KFC!$C$16)*KFC!$C$5</f>
        <v>37.068265131665925</v>
      </c>
      <c r="H100" s="898">
        <f>(AE100*KFC!$B$16+KFC!$C$16)*KFC!$C$5</f>
        <v>40.885811866129139</v>
      </c>
      <c r="I100" s="898">
        <f>(AF100*KFC!$B$16+KFC!$C$16)*KFC!$C$5</f>
        <v>44.70335860059236</v>
      </c>
      <c r="J100" s="898">
        <f>(AG100*KFC!$B$16+KFC!$C$16)*KFC!$C$5</f>
        <v>48.520905335055588</v>
      </c>
      <c r="K100" s="898">
        <f>(AH100*KFC!$B$16+KFC!$C$16)*KFC!$C$5</f>
        <v>52.338452069518809</v>
      </c>
      <c r="L100" s="898">
        <f>(AI100*KFC!$B$16+KFC!$C$16)*KFC!$C$5</f>
        <v>56.155998803982037</v>
      </c>
      <c r="M100" s="898">
        <f>(AJ100*KFC!$B$16+KFC!$C$16)*KFC!$C$5</f>
        <v>59.973545538445258</v>
      </c>
      <c r="N100" s="898">
        <f>(AK100*KFC!$B$16+KFC!$C$16)*KFC!$C$5</f>
        <v>63.791092272908486</v>
      </c>
      <c r="O100" s="898">
        <f>(AL100*KFC!$B$16+KFC!$C$16)*KFC!$C$5</f>
        <v>67.608639007371707</v>
      </c>
      <c r="P100" s="898">
        <f>(AM100*KFC!$B$16+KFC!$C$16)*KFC!$C$5</f>
        <v>71.426185741834942</v>
      </c>
      <c r="Q100" s="898">
        <f>(AN100*KFC!$B$16+KFC!$C$16)*KFC!$C$5</f>
        <v>75.243732476298163</v>
      </c>
      <c r="R100" s="898">
        <f>(AO100*KFC!$B$16+KFC!$C$16)*KFC!$C$5</f>
        <v>79.061279210761398</v>
      </c>
      <c r="S100" s="898">
        <f>(AP100*KFC!$B$16+KFC!$C$16)*KFC!$C$5</f>
        <v>82.878825945224634</v>
      </c>
      <c r="T100" s="898">
        <f>(AQ100*KFC!$B$16+KFC!$C$16)*KFC!$C$5</f>
        <v>86.696372679687869</v>
      </c>
      <c r="U100" s="898">
        <f>(AR100*KFC!$B$16+KFC!$C$16)*KFC!$C$5</f>
        <v>90.51391941415109</v>
      </c>
      <c r="V100" s="898">
        <f>(AS100*KFC!$B$16+KFC!$C$16)*KFC!$C$5</f>
        <v>94.331466148614325</v>
      </c>
      <c r="W100" s="903">
        <f>(AT100*KFC!$B$16+KFC!$C$16)*KFC!$C$5</f>
        <v>98.149012883077546</v>
      </c>
      <c r="Y100" s="1277"/>
      <c r="Z100" s="649">
        <v>1.9</v>
      </c>
      <c r="AA100" s="882">
        <v>25.615624928276237</v>
      </c>
      <c r="AB100" s="882">
        <v>29.433171662739468</v>
      </c>
      <c r="AC100" s="882">
        <v>33.250718397202689</v>
      </c>
      <c r="AD100" s="882">
        <v>37.068265131665925</v>
      </c>
      <c r="AE100" s="882">
        <v>40.885811866129139</v>
      </c>
      <c r="AF100" s="882">
        <v>44.70335860059236</v>
      </c>
      <c r="AG100" s="882">
        <v>48.520905335055588</v>
      </c>
      <c r="AH100" s="882">
        <v>52.338452069518809</v>
      </c>
      <c r="AI100" s="882">
        <v>56.155998803982037</v>
      </c>
      <c r="AJ100" s="882">
        <v>59.973545538445258</v>
      </c>
      <c r="AK100" s="882">
        <v>63.791092272908486</v>
      </c>
      <c r="AL100" s="882">
        <v>67.608639007371707</v>
      </c>
      <c r="AM100" s="882">
        <v>71.426185741834942</v>
      </c>
      <c r="AN100" s="882">
        <v>75.243732476298163</v>
      </c>
      <c r="AO100" s="882">
        <v>79.061279210761398</v>
      </c>
      <c r="AP100" s="882">
        <v>82.878825945224634</v>
      </c>
      <c r="AQ100" s="882">
        <v>86.696372679687869</v>
      </c>
      <c r="AR100" s="882">
        <v>90.51391941415109</v>
      </c>
      <c r="AS100" s="882">
        <v>94.331466148614325</v>
      </c>
      <c r="AT100" s="882">
        <v>98.149012883077546</v>
      </c>
    </row>
    <row r="101" spans="1:46">
      <c r="A101" s="1426"/>
      <c r="B101" s="1427"/>
      <c r="C101" s="887">
        <v>2</v>
      </c>
      <c r="D101" s="902">
        <f>(AA101*KFC!$B$16+KFC!$C$16)*KFC!$C$5</f>
        <v>26.202302558212491</v>
      </c>
      <c r="E101" s="898">
        <f>(AB101*KFC!$B$16+KFC!$C$16)*KFC!$C$5</f>
        <v>30.162188281196833</v>
      </c>
      <c r="F101" s="898">
        <f>(AC101*KFC!$B$16+KFC!$C$16)*KFC!$C$5</f>
        <v>34.122074004181172</v>
      </c>
      <c r="G101" s="898">
        <f>(AD101*KFC!$B$16+KFC!$C$16)*KFC!$C$5</f>
        <v>38.081959727165518</v>
      </c>
      <c r="H101" s="898">
        <f>(AE101*KFC!$B$16+KFC!$C$16)*KFC!$C$5</f>
        <v>42.041845450149857</v>
      </c>
      <c r="I101" s="898">
        <f>(AF101*KFC!$B$16+KFC!$C$16)*KFC!$C$5</f>
        <v>46.001731173134203</v>
      </c>
      <c r="J101" s="898">
        <f>(AG101*KFC!$B$16+KFC!$C$16)*KFC!$C$5</f>
        <v>49.961616896118542</v>
      </c>
      <c r="K101" s="898">
        <f>(AH101*KFC!$B$16+KFC!$C$16)*KFC!$C$5</f>
        <v>53.921502619102895</v>
      </c>
      <c r="L101" s="898">
        <f>(AI101*KFC!$B$16+KFC!$C$16)*KFC!$C$5</f>
        <v>57.881388342087227</v>
      </c>
      <c r="M101" s="898">
        <f>(AJ101*KFC!$B$16+KFC!$C$16)*KFC!$C$5</f>
        <v>61.84127406507158</v>
      </c>
      <c r="N101" s="898">
        <f>(AK101*KFC!$B$16+KFC!$C$16)*KFC!$C$5</f>
        <v>65.801159788055926</v>
      </c>
      <c r="O101" s="898">
        <f>(AL101*KFC!$B$16+KFC!$C$16)*KFC!$C$5</f>
        <v>69.761045511040265</v>
      </c>
      <c r="P101" s="898">
        <f>(AM101*KFC!$B$16+KFC!$C$16)*KFC!$C$5</f>
        <v>73.720931234024604</v>
      </c>
      <c r="Q101" s="898">
        <f>(AN101*KFC!$B$16+KFC!$C$16)*KFC!$C$5</f>
        <v>77.680816957008958</v>
      </c>
      <c r="R101" s="898">
        <f>(AO101*KFC!$B$16+KFC!$C$16)*KFC!$C$5</f>
        <v>81.640702679993296</v>
      </c>
      <c r="S101" s="898">
        <f>(AP101*KFC!$B$16+KFC!$C$16)*KFC!$C$5</f>
        <v>85.600588402977635</v>
      </c>
      <c r="T101" s="898">
        <f>(AQ101*KFC!$B$16+KFC!$C$16)*KFC!$C$5</f>
        <v>89.560474125961989</v>
      </c>
      <c r="U101" s="898">
        <f>(AR101*KFC!$B$16+KFC!$C$16)*KFC!$C$5</f>
        <v>93.520359848946327</v>
      </c>
      <c r="V101" s="898">
        <f>(AS101*KFC!$B$16+KFC!$C$16)*KFC!$C$5</f>
        <v>97.480245571930681</v>
      </c>
      <c r="W101" s="903">
        <f>(AT101*KFC!$B$16+KFC!$C$16)*KFC!$C$5</f>
        <v>101.44013129491505</v>
      </c>
      <c r="Y101" s="1277"/>
      <c r="Z101" s="649">
        <v>2</v>
      </c>
      <c r="AA101" s="882">
        <v>26.202302558212491</v>
      </c>
      <c r="AB101" s="882">
        <v>30.162188281196833</v>
      </c>
      <c r="AC101" s="882">
        <v>34.122074004181172</v>
      </c>
      <c r="AD101" s="882">
        <v>38.081959727165518</v>
      </c>
      <c r="AE101" s="882">
        <v>42.041845450149857</v>
      </c>
      <c r="AF101" s="882">
        <v>46.001731173134203</v>
      </c>
      <c r="AG101" s="882">
        <v>49.961616896118542</v>
      </c>
      <c r="AH101" s="882">
        <v>53.921502619102895</v>
      </c>
      <c r="AI101" s="882">
        <v>57.881388342087227</v>
      </c>
      <c r="AJ101" s="882">
        <v>61.84127406507158</v>
      </c>
      <c r="AK101" s="882">
        <v>65.801159788055926</v>
      </c>
      <c r="AL101" s="882">
        <v>69.761045511040265</v>
      </c>
      <c r="AM101" s="882">
        <v>73.720931234024604</v>
      </c>
      <c r="AN101" s="882">
        <v>77.680816957008958</v>
      </c>
      <c r="AO101" s="882">
        <v>81.640702679993296</v>
      </c>
      <c r="AP101" s="882">
        <v>85.600588402977635</v>
      </c>
      <c r="AQ101" s="882">
        <v>89.560474125961989</v>
      </c>
      <c r="AR101" s="882">
        <v>93.520359848946327</v>
      </c>
      <c r="AS101" s="882">
        <v>97.480245571930681</v>
      </c>
      <c r="AT101" s="882">
        <v>101.44013129491505</v>
      </c>
    </row>
    <row r="102" spans="1:46">
      <c r="A102" s="1426"/>
      <c r="B102" s="1427"/>
      <c r="C102" s="887">
        <v>2.1</v>
      </c>
      <c r="D102" s="902">
        <f>(AA102*KFC!$B$16+KFC!$C$16)*KFC!$C$5</f>
        <v>26.788980188148734</v>
      </c>
      <c r="E102" s="898">
        <f>(AB102*KFC!$B$16+KFC!$C$16)*KFC!$C$5</f>
        <v>30.891204899654202</v>
      </c>
      <c r="F102" s="898">
        <f>(AC102*KFC!$B$16+KFC!$C$16)*KFC!$C$5</f>
        <v>34.993429611159662</v>
      </c>
      <c r="G102" s="898">
        <f>(AD102*KFC!$B$16+KFC!$C$16)*KFC!$C$5</f>
        <v>39.095654322665133</v>
      </c>
      <c r="H102" s="898">
        <f>(AE102*KFC!$B$16+KFC!$C$16)*KFC!$C$5</f>
        <v>43.19787903417059</v>
      </c>
      <c r="I102" s="898">
        <f>(AF102*KFC!$B$16+KFC!$C$16)*KFC!$C$5</f>
        <v>47.300103745676061</v>
      </c>
      <c r="J102" s="898">
        <f>(AG102*KFC!$B$16+KFC!$C$16)*KFC!$C$5</f>
        <v>51.402328457181518</v>
      </c>
      <c r="K102" s="898">
        <f>(AH102*KFC!$B$16+KFC!$C$16)*KFC!$C$5</f>
        <v>55.504553168686982</v>
      </c>
      <c r="L102" s="898">
        <f>(AI102*KFC!$B$16+KFC!$C$16)*KFC!$C$5</f>
        <v>59.606777880192439</v>
      </c>
      <c r="M102" s="898">
        <f>(AJ102*KFC!$B$16+KFC!$C$16)*KFC!$C$5</f>
        <v>63.70900259169791</v>
      </c>
      <c r="N102" s="898">
        <f>(AK102*KFC!$B$16+KFC!$C$16)*KFC!$C$5</f>
        <v>67.811227303203367</v>
      </c>
      <c r="O102" s="898">
        <f>(AL102*KFC!$B$16+KFC!$C$16)*KFC!$C$5</f>
        <v>71.913452014708824</v>
      </c>
      <c r="P102" s="898">
        <f>(AM102*KFC!$B$16+KFC!$C$16)*KFC!$C$5</f>
        <v>76.015676726214281</v>
      </c>
      <c r="Q102" s="898">
        <f>(AN102*KFC!$B$16+KFC!$C$16)*KFC!$C$5</f>
        <v>80.117901437719738</v>
      </c>
      <c r="R102" s="898">
        <f>(AO102*KFC!$B$16+KFC!$C$16)*KFC!$C$5</f>
        <v>84.22012614922518</v>
      </c>
      <c r="S102" s="898">
        <f>(AP102*KFC!$B$16+KFC!$C$16)*KFC!$C$5</f>
        <v>88.322350860730651</v>
      </c>
      <c r="T102" s="898">
        <f>(AQ102*KFC!$B$16+KFC!$C$16)*KFC!$C$5</f>
        <v>92.424575572236108</v>
      </c>
      <c r="U102" s="898">
        <f>(AR102*KFC!$B$16+KFC!$C$16)*KFC!$C$5</f>
        <v>96.526800283741565</v>
      </c>
      <c r="V102" s="898">
        <f>(AS102*KFC!$B$16+KFC!$C$16)*KFC!$C$5</f>
        <v>100.62902499524702</v>
      </c>
      <c r="W102" s="903">
        <f>(AT102*KFC!$B$16+KFC!$C$16)*KFC!$C$5</f>
        <v>104.73124970675254</v>
      </c>
      <c r="Y102" s="1277"/>
      <c r="Z102" s="649">
        <v>2.1</v>
      </c>
      <c r="AA102" s="882">
        <v>26.788980188148734</v>
      </c>
      <c r="AB102" s="882">
        <v>30.891204899654202</v>
      </c>
      <c r="AC102" s="882">
        <v>34.993429611159662</v>
      </c>
      <c r="AD102" s="882">
        <v>39.095654322665133</v>
      </c>
      <c r="AE102" s="882">
        <v>43.19787903417059</v>
      </c>
      <c r="AF102" s="882">
        <v>47.300103745676061</v>
      </c>
      <c r="AG102" s="882">
        <v>51.402328457181518</v>
      </c>
      <c r="AH102" s="882">
        <v>55.504553168686982</v>
      </c>
      <c r="AI102" s="882">
        <v>59.606777880192439</v>
      </c>
      <c r="AJ102" s="882">
        <v>63.70900259169791</v>
      </c>
      <c r="AK102" s="882">
        <v>67.811227303203367</v>
      </c>
      <c r="AL102" s="882">
        <v>71.913452014708824</v>
      </c>
      <c r="AM102" s="882">
        <v>76.015676726214281</v>
      </c>
      <c r="AN102" s="882">
        <v>80.117901437719738</v>
      </c>
      <c r="AO102" s="882">
        <v>84.22012614922518</v>
      </c>
      <c r="AP102" s="882">
        <v>88.322350860730651</v>
      </c>
      <c r="AQ102" s="882">
        <v>92.424575572236108</v>
      </c>
      <c r="AR102" s="882">
        <v>96.526800283741565</v>
      </c>
      <c r="AS102" s="882">
        <v>100.62902499524702</v>
      </c>
      <c r="AT102" s="882">
        <v>104.73124970675254</v>
      </c>
    </row>
    <row r="103" spans="1:46" ht="15" thickBot="1">
      <c r="A103" s="1428"/>
      <c r="B103" s="1429"/>
      <c r="C103" s="888">
        <v>2.2000000000000002</v>
      </c>
      <c r="D103" s="904">
        <f>(AA103*KFC!$B$16+KFC!$C$16)*KFC!$C$5</f>
        <v>27.375657818084996</v>
      </c>
      <c r="E103" s="905">
        <f>(AB103*KFC!$B$16+KFC!$C$16)*KFC!$C$5</f>
        <v>31.620221518111574</v>
      </c>
      <c r="F103" s="905">
        <f>(AC103*KFC!$B$16+KFC!$C$16)*KFC!$C$5</f>
        <v>35.864785218138145</v>
      </c>
      <c r="G103" s="905">
        <f>(AD103*KFC!$B$16+KFC!$C$16)*KFC!$C$5</f>
        <v>40.109348918164727</v>
      </c>
      <c r="H103" s="905">
        <f>(AE103*KFC!$B$16+KFC!$C$16)*KFC!$C$5</f>
        <v>44.353912618191302</v>
      </c>
      <c r="I103" s="905">
        <f>(AF103*KFC!$B$16+KFC!$C$16)*KFC!$C$5</f>
        <v>48.598476318217884</v>
      </c>
      <c r="J103" s="905">
        <f>(AG103*KFC!$B$16+KFC!$C$16)*KFC!$C$5</f>
        <v>52.843040018244459</v>
      </c>
      <c r="K103" s="905">
        <f>(AH103*KFC!$B$16+KFC!$C$16)*KFC!$C$5</f>
        <v>57.087603718271026</v>
      </c>
      <c r="L103" s="905">
        <f>(AI103*KFC!$B$16+KFC!$C$16)*KFC!$C$5</f>
        <v>61.332167418297608</v>
      </c>
      <c r="M103" s="905">
        <f>(AJ103*KFC!$B$16+KFC!$C$16)*KFC!$C$5</f>
        <v>65.57673111832419</v>
      </c>
      <c r="N103" s="905">
        <f>(AK103*KFC!$B$16+KFC!$C$16)*KFC!$C$5</f>
        <v>69.821294818350779</v>
      </c>
      <c r="O103" s="905">
        <f>(AL103*KFC!$B$16+KFC!$C$16)*KFC!$C$5</f>
        <v>74.065858518377354</v>
      </c>
      <c r="P103" s="905">
        <f>(AM103*KFC!$B$16+KFC!$C$16)*KFC!$C$5</f>
        <v>78.310422218403929</v>
      </c>
      <c r="Q103" s="905">
        <f>(AN103*KFC!$B$16+KFC!$C$16)*KFC!$C$5</f>
        <v>82.554985918430518</v>
      </c>
      <c r="R103" s="905">
        <f>(AO103*KFC!$B$16+KFC!$C$16)*KFC!$C$5</f>
        <v>86.799549618457107</v>
      </c>
      <c r="S103" s="905">
        <f>(AP103*KFC!$B$16+KFC!$C$16)*KFC!$C$5</f>
        <v>91.044113318483696</v>
      </c>
      <c r="T103" s="905">
        <f>(AQ103*KFC!$B$16+KFC!$C$16)*KFC!$C$5</f>
        <v>95.288677018510285</v>
      </c>
      <c r="U103" s="905">
        <f>(AR103*KFC!$B$16+KFC!$C$16)*KFC!$C$5</f>
        <v>99.533240718536845</v>
      </c>
      <c r="V103" s="905">
        <f>(AS103*KFC!$B$16+KFC!$C$16)*KFC!$C$5</f>
        <v>103.77780441856343</v>
      </c>
      <c r="W103" s="906">
        <f>(AT103*KFC!$B$16+KFC!$C$16)*KFC!$C$5</f>
        <v>108.02236811858998</v>
      </c>
      <c r="Y103" s="1277"/>
      <c r="Z103" s="649">
        <v>2.2000000000000002</v>
      </c>
      <c r="AA103" s="882">
        <v>27.375657818084996</v>
      </c>
      <c r="AB103" s="882">
        <v>31.620221518111574</v>
      </c>
      <c r="AC103" s="882">
        <v>35.864785218138145</v>
      </c>
      <c r="AD103" s="882">
        <v>40.109348918164727</v>
      </c>
      <c r="AE103" s="882">
        <v>44.353912618191302</v>
      </c>
      <c r="AF103" s="882">
        <v>48.598476318217884</v>
      </c>
      <c r="AG103" s="882">
        <v>52.843040018244459</v>
      </c>
      <c r="AH103" s="882">
        <v>57.087603718271026</v>
      </c>
      <c r="AI103" s="882">
        <v>61.332167418297608</v>
      </c>
      <c r="AJ103" s="882">
        <v>65.57673111832419</v>
      </c>
      <c r="AK103" s="882">
        <v>69.821294818350779</v>
      </c>
      <c r="AL103" s="882">
        <v>74.065858518377354</v>
      </c>
      <c r="AM103" s="882">
        <v>78.310422218403929</v>
      </c>
      <c r="AN103" s="882">
        <v>82.554985918430518</v>
      </c>
      <c r="AO103" s="882">
        <v>86.799549618457107</v>
      </c>
      <c r="AP103" s="882">
        <v>91.044113318483696</v>
      </c>
      <c r="AQ103" s="882">
        <v>95.288677018510285</v>
      </c>
      <c r="AR103" s="882">
        <v>99.533240718536845</v>
      </c>
      <c r="AS103" s="882">
        <v>103.77780441856343</v>
      </c>
      <c r="AT103" s="882">
        <v>108.02236811858998</v>
      </c>
    </row>
    <row r="104" spans="1:46" ht="16.2" thickBot="1">
      <c r="A104" s="380"/>
      <c r="B104" s="380"/>
      <c r="C104" s="380"/>
      <c r="D104" s="380"/>
      <c r="E104" s="380"/>
      <c r="F104" s="380"/>
      <c r="G104" s="380"/>
      <c r="H104" s="380"/>
      <c r="I104" s="380"/>
      <c r="J104" s="380"/>
      <c r="K104" s="380"/>
      <c r="L104" s="380"/>
      <c r="M104" s="380"/>
      <c r="N104" s="380"/>
      <c r="O104" s="380"/>
      <c r="P104" s="380"/>
      <c r="Q104" s="380"/>
      <c r="R104" s="380"/>
      <c r="S104" s="380"/>
      <c r="T104" s="380"/>
      <c r="U104" s="380"/>
      <c r="V104" s="380"/>
      <c r="W104" s="380"/>
    </row>
    <row r="105" spans="1:46" ht="16.5" customHeight="1" thickBot="1">
      <c r="A105" s="1445" t="s">
        <v>448</v>
      </c>
      <c r="B105" s="1446"/>
      <c r="C105" s="1446"/>
      <c r="D105" s="1446"/>
      <c r="E105" s="1446"/>
      <c r="F105" s="1446"/>
      <c r="G105" s="1446"/>
      <c r="H105" s="1446"/>
      <c r="I105" s="1446"/>
      <c r="J105" s="1446"/>
      <c r="K105" s="1446"/>
      <c r="L105" s="1446"/>
      <c r="M105" s="1446"/>
      <c r="N105" s="1446"/>
      <c r="O105" s="1446"/>
      <c r="P105" s="1446"/>
      <c r="Q105" s="1446"/>
      <c r="R105" s="1446"/>
      <c r="S105" s="1446"/>
      <c r="T105" s="1446"/>
      <c r="U105" s="1446"/>
      <c r="V105" s="1446"/>
      <c r="W105" s="1447"/>
    </row>
    <row r="106" spans="1:46" ht="15.6">
      <c r="A106" s="1448"/>
      <c r="B106" s="1449"/>
      <c r="C106" s="1449"/>
      <c r="D106" s="1449"/>
      <c r="E106" s="1449"/>
      <c r="F106" s="1449"/>
      <c r="G106" s="1449"/>
      <c r="H106" s="1449"/>
      <c r="I106" s="1449"/>
      <c r="J106" s="1449"/>
      <c r="K106" s="1450"/>
      <c r="L106" s="1454" t="s">
        <v>449</v>
      </c>
      <c r="M106" s="1455"/>
      <c r="N106" s="1455"/>
      <c r="O106" s="1456"/>
      <c r="P106" s="1457" t="s">
        <v>450</v>
      </c>
      <c r="Q106" s="1458"/>
      <c r="R106" s="1458"/>
      <c r="S106" s="1459"/>
      <c r="T106" s="1454" t="s">
        <v>451</v>
      </c>
      <c r="U106" s="1455"/>
      <c r="V106" s="1455"/>
      <c r="W106" s="1456"/>
    </row>
    <row r="107" spans="1:46" ht="15.6">
      <c r="A107" s="1451"/>
      <c r="B107" s="1452"/>
      <c r="C107" s="1452"/>
      <c r="D107" s="1452"/>
      <c r="E107" s="1452"/>
      <c r="F107" s="1452"/>
      <c r="G107" s="1452"/>
      <c r="H107" s="1452"/>
      <c r="I107" s="1452"/>
      <c r="J107" s="1452"/>
      <c r="K107" s="1453"/>
      <c r="L107" s="1460" t="s">
        <v>452</v>
      </c>
      <c r="M107" s="1461"/>
      <c r="N107" s="1461" t="s">
        <v>453</v>
      </c>
      <c r="O107" s="1462"/>
      <c r="P107" s="1463" t="s">
        <v>452</v>
      </c>
      <c r="Q107" s="1464"/>
      <c r="R107" s="1464" t="s">
        <v>453</v>
      </c>
      <c r="S107" s="1465"/>
      <c r="T107" s="1460" t="s">
        <v>452</v>
      </c>
      <c r="U107" s="1461"/>
      <c r="V107" s="1461" t="s">
        <v>453</v>
      </c>
      <c r="W107" s="1462"/>
    </row>
    <row r="108" spans="1:46" ht="15.6">
      <c r="A108" s="1466" t="s">
        <v>454</v>
      </c>
      <c r="B108" s="1467"/>
      <c r="C108" s="1467"/>
      <c r="D108" s="1467"/>
      <c r="E108" s="1467"/>
      <c r="F108" s="1467"/>
      <c r="G108" s="1467"/>
      <c r="H108" s="1467"/>
      <c r="I108" s="1467"/>
      <c r="J108" s="1467"/>
      <c r="K108" s="1468"/>
      <c r="L108" s="1460">
        <v>23</v>
      </c>
      <c r="M108" s="1461"/>
      <c r="N108" s="1461">
        <v>23</v>
      </c>
      <c r="O108" s="1462"/>
      <c r="P108" s="1463">
        <v>23</v>
      </c>
      <c r="Q108" s="1464"/>
      <c r="R108" s="1464">
        <v>23</v>
      </c>
      <c r="S108" s="1465"/>
      <c r="T108" s="1460">
        <v>23</v>
      </c>
      <c r="U108" s="1461"/>
      <c r="V108" s="1461">
        <v>23</v>
      </c>
      <c r="W108" s="1462"/>
    </row>
    <row r="109" spans="1:46" ht="15.6">
      <c r="A109" s="1466" t="s">
        <v>455</v>
      </c>
      <c r="B109" s="1467"/>
      <c r="C109" s="1467"/>
      <c r="D109" s="1467"/>
      <c r="E109" s="1467"/>
      <c r="F109" s="1467"/>
      <c r="G109" s="1467"/>
      <c r="H109" s="1467"/>
      <c r="I109" s="1467"/>
      <c r="J109" s="1467"/>
      <c r="K109" s="1468"/>
      <c r="L109" s="1460">
        <v>240</v>
      </c>
      <c r="M109" s="1461"/>
      <c r="N109" s="1461">
        <v>170</v>
      </c>
      <c r="O109" s="1462"/>
      <c r="P109" s="1463">
        <v>200</v>
      </c>
      <c r="Q109" s="1464"/>
      <c r="R109" s="1464">
        <v>170</v>
      </c>
      <c r="S109" s="1465"/>
      <c r="T109" s="1460">
        <v>200</v>
      </c>
      <c r="U109" s="1461"/>
      <c r="V109" s="1461">
        <v>170</v>
      </c>
      <c r="W109" s="1462"/>
    </row>
    <row r="110" spans="1:46" ht="18" thickBot="1">
      <c r="A110" s="1475" t="s">
        <v>456</v>
      </c>
      <c r="B110" s="1476"/>
      <c r="C110" s="1476"/>
      <c r="D110" s="1476"/>
      <c r="E110" s="1476"/>
      <c r="F110" s="1476"/>
      <c r="G110" s="1476"/>
      <c r="H110" s="1476"/>
      <c r="I110" s="1476"/>
      <c r="J110" s="1476"/>
      <c r="K110" s="1477"/>
      <c r="L110" s="1478">
        <v>2.5</v>
      </c>
      <c r="M110" s="1479"/>
      <c r="N110" s="1479">
        <v>2.5</v>
      </c>
      <c r="O110" s="1480"/>
      <c r="P110" s="1481">
        <v>2.5</v>
      </c>
      <c r="Q110" s="1482"/>
      <c r="R110" s="1483">
        <v>2</v>
      </c>
      <c r="S110" s="1484"/>
      <c r="T110" s="1478">
        <v>2.5</v>
      </c>
      <c r="U110" s="1479"/>
      <c r="V110" s="1485">
        <v>2</v>
      </c>
      <c r="W110" s="1486"/>
    </row>
    <row r="111" spans="1:46" ht="16.2" thickBot="1">
      <c r="A111" s="6"/>
      <c r="B111" s="1"/>
      <c r="C111" s="379"/>
      <c r="D111" s="381"/>
      <c r="E111" s="381"/>
      <c r="F111" s="381"/>
      <c r="G111" s="381"/>
      <c r="H111" s="381"/>
      <c r="I111" s="380"/>
      <c r="J111" s="380"/>
      <c r="K111" s="380"/>
      <c r="L111" s="380"/>
      <c r="M111" s="380"/>
      <c r="N111" s="380"/>
      <c r="O111" s="380"/>
      <c r="P111" s="380"/>
      <c r="Q111" s="380"/>
      <c r="R111" s="380"/>
      <c r="S111" s="380"/>
      <c r="T111" s="380"/>
      <c r="U111" s="380"/>
      <c r="V111" s="380"/>
      <c r="W111" s="380"/>
    </row>
    <row r="112" spans="1:46" ht="16.2" thickBot="1">
      <c r="A112" s="6" t="s">
        <v>44</v>
      </c>
      <c r="B112" s="1"/>
      <c r="C112" s="379"/>
      <c r="D112" s="382"/>
      <c r="E112" s="382"/>
      <c r="F112" s="382"/>
      <c r="G112" s="382"/>
      <c r="H112" s="382"/>
      <c r="I112" s="382"/>
      <c r="J112" s="380"/>
      <c r="K112" s="380"/>
      <c r="L112" s="380"/>
      <c r="M112" s="380"/>
      <c r="N112" s="380"/>
      <c r="O112" s="380"/>
      <c r="P112" s="380"/>
      <c r="Q112" s="380"/>
      <c r="R112" s="380"/>
      <c r="S112" s="380"/>
      <c r="T112" s="380"/>
      <c r="U112" s="380"/>
      <c r="V112" s="380"/>
      <c r="W112" s="380"/>
    </row>
    <row r="113" spans="1:23" ht="16.2" thickBot="1">
      <c r="A113" s="1487" t="s">
        <v>1228</v>
      </c>
      <c r="B113" s="1488"/>
      <c r="C113" s="1488"/>
      <c r="D113" s="1488"/>
      <c r="E113" s="1488"/>
      <c r="F113" s="1488"/>
      <c r="G113" s="1488"/>
      <c r="H113" s="1488"/>
      <c r="I113" s="1488"/>
      <c r="J113" s="1488"/>
      <c r="K113" s="1489"/>
      <c r="L113" s="1493">
        <f>(1.34*KFC!$B$16+KFC!$C$16)*KFC!$C$5</f>
        <v>1.34</v>
      </c>
      <c r="M113" s="1473" t="s">
        <v>409</v>
      </c>
      <c r="N113" s="380"/>
      <c r="O113" s="380"/>
      <c r="P113" s="380"/>
      <c r="Q113" s="380"/>
      <c r="R113" s="380"/>
      <c r="S113" s="380"/>
      <c r="T113" s="380"/>
      <c r="U113" s="380"/>
      <c r="V113" s="380"/>
      <c r="W113" s="380"/>
    </row>
    <row r="114" spans="1:23" ht="28.5" customHeight="1" thickBot="1">
      <c r="A114" s="1490"/>
      <c r="B114" s="1491"/>
      <c r="C114" s="1491"/>
      <c r="D114" s="1491"/>
      <c r="E114" s="1491"/>
      <c r="F114" s="1491"/>
      <c r="G114" s="1491"/>
      <c r="H114" s="1491"/>
      <c r="I114" s="1491"/>
      <c r="J114" s="1491"/>
      <c r="K114" s="1492"/>
      <c r="L114" s="1494"/>
      <c r="M114" s="1495"/>
      <c r="N114" s="380"/>
      <c r="O114" s="380"/>
      <c r="P114" s="380"/>
      <c r="Q114" s="380"/>
      <c r="R114" s="380"/>
      <c r="S114" s="380"/>
      <c r="T114" s="380"/>
      <c r="U114" s="380"/>
      <c r="V114" s="380"/>
      <c r="W114" s="380"/>
    </row>
    <row r="115" spans="1:23" ht="16.2" thickBot="1">
      <c r="A115" s="895" t="s">
        <v>228</v>
      </c>
      <c r="B115" s="896"/>
      <c r="C115" s="896"/>
      <c r="D115" s="896"/>
      <c r="E115" s="896"/>
      <c r="F115" s="896"/>
      <c r="G115" s="896"/>
      <c r="H115" s="896"/>
      <c r="I115" s="897"/>
      <c r="J115" s="897"/>
      <c r="K115" s="897"/>
      <c r="L115" s="897"/>
      <c r="M115" s="897"/>
      <c r="N115" s="380"/>
      <c r="O115" s="380"/>
      <c r="P115" s="380"/>
      <c r="Q115" s="380"/>
      <c r="R115" s="380"/>
      <c r="S115" s="380"/>
      <c r="T115" s="380"/>
      <c r="U115" s="380"/>
      <c r="V115" s="380"/>
      <c r="W115" s="380"/>
    </row>
  </sheetData>
  <mergeCells count="65">
    <mergeCell ref="A113:K114"/>
    <mergeCell ref="L113:L114"/>
    <mergeCell ref="M113:M114"/>
    <mergeCell ref="V109:W109"/>
    <mergeCell ref="A110:K110"/>
    <mergeCell ref="L110:M110"/>
    <mergeCell ref="N110:O110"/>
    <mergeCell ref="P110:Q110"/>
    <mergeCell ref="R110:S110"/>
    <mergeCell ref="T110:U110"/>
    <mergeCell ref="V110:W110"/>
    <mergeCell ref="A109:K109"/>
    <mergeCell ref="L109:M109"/>
    <mergeCell ref="N109:O109"/>
    <mergeCell ref="P109:Q109"/>
    <mergeCell ref="R109:S109"/>
    <mergeCell ref="T109:U109"/>
    <mergeCell ref="R107:S107"/>
    <mergeCell ref="T107:U107"/>
    <mergeCell ref="V107:W107"/>
    <mergeCell ref="A108:K108"/>
    <mergeCell ref="L108:M108"/>
    <mergeCell ref="N108:O108"/>
    <mergeCell ref="P108:Q108"/>
    <mergeCell ref="R108:S108"/>
    <mergeCell ref="T108:U108"/>
    <mergeCell ref="V108:W108"/>
    <mergeCell ref="A83:B103"/>
    <mergeCell ref="Y83:Y103"/>
    <mergeCell ref="A105:W105"/>
    <mergeCell ref="A106:K107"/>
    <mergeCell ref="L106:O106"/>
    <mergeCell ref="P106:S106"/>
    <mergeCell ref="T106:W106"/>
    <mergeCell ref="L107:M107"/>
    <mergeCell ref="N107:O107"/>
    <mergeCell ref="P107:Q107"/>
    <mergeCell ref="AA81:AT81"/>
    <mergeCell ref="A80:W80"/>
    <mergeCell ref="A33:B53"/>
    <mergeCell ref="Y33:Y53"/>
    <mergeCell ref="A56:C57"/>
    <mergeCell ref="D56:W56"/>
    <mergeCell ref="Y56:Z57"/>
    <mergeCell ref="AA56:AT56"/>
    <mergeCell ref="A55:W55"/>
    <mergeCell ref="A58:B78"/>
    <mergeCell ref="Y58:Y78"/>
    <mergeCell ref="A81:C82"/>
    <mergeCell ref="D81:W81"/>
    <mergeCell ref="Y81:Z82"/>
    <mergeCell ref="AA31:AT31"/>
    <mergeCell ref="A30:W30"/>
    <mergeCell ref="A1:W2"/>
    <mergeCell ref="A3:W4"/>
    <mergeCell ref="A6:C7"/>
    <mergeCell ref="D6:W6"/>
    <mergeCell ref="Y6:Z7"/>
    <mergeCell ref="AA6:AT6"/>
    <mergeCell ref="A5:W5"/>
    <mergeCell ref="A8:B28"/>
    <mergeCell ref="Y8:Y28"/>
    <mergeCell ref="A31:C32"/>
    <mergeCell ref="D31:W31"/>
    <mergeCell ref="Y31:Z32"/>
  </mergeCells>
  <pageMargins left="0.70866141732283472" right="0.70866141732283472" top="0.74803149606299213" bottom="0.74803149606299213" header="0.31496062992125984" footer="0.31496062992125984"/>
  <pageSetup paperSize="9" scale="84" orientation="landscape" r:id="rId1"/>
  <rowBreaks count="1" manualBreakCount="1">
    <brk id="53" max="45" man="1"/>
  </rowBreaks>
  <colBreaks count="1" manualBreakCount="1">
    <brk id="46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4B6CA8-906C-4784-8CDB-FC597DB2E7E2}">
  <sheetPr>
    <tabColor rgb="FFFF0000"/>
  </sheetPr>
  <dimension ref="A1:IU115"/>
  <sheetViews>
    <sheetView view="pageBreakPreview" zoomScale="80" zoomScaleNormal="80" zoomScaleSheetLayoutView="80" workbookViewId="0">
      <selection sqref="A1:IV4"/>
    </sheetView>
  </sheetViews>
  <sheetFormatPr defaultColWidth="9.109375" defaultRowHeight="14.4"/>
  <cols>
    <col min="1" max="1" width="9.109375" style="880"/>
    <col min="2" max="3" width="5.44140625" style="880" bestFit="1" customWidth="1"/>
    <col min="4" max="4" width="6.6640625" style="880" customWidth="1"/>
    <col min="5" max="5" width="7" style="880" customWidth="1"/>
    <col min="6" max="7" width="6.5546875" style="880" customWidth="1"/>
    <col min="8" max="8" width="6.6640625" style="880" customWidth="1"/>
    <col min="9" max="10" width="6.109375" style="880" customWidth="1"/>
    <col min="11" max="11" width="6.6640625" style="880" customWidth="1"/>
    <col min="12" max="12" width="6.33203125" style="880" customWidth="1"/>
    <col min="13" max="13" width="6.109375" style="880" customWidth="1"/>
    <col min="14" max="14" width="6.5546875" style="880" customWidth="1"/>
    <col min="15" max="15" width="6.88671875" style="880" customWidth="1"/>
    <col min="16" max="17" width="6.44140625" style="880" bestFit="1" customWidth="1"/>
    <col min="18" max="18" width="7.88671875" style="880" customWidth="1"/>
    <col min="19" max="19" width="9" style="880" customWidth="1"/>
    <col min="20" max="20" width="7.5546875" style="880" customWidth="1"/>
    <col min="21" max="21" width="7.88671875" style="880" customWidth="1"/>
    <col min="22" max="22" width="8" style="880" customWidth="1"/>
    <col min="23" max="23" width="6.88671875" style="880" customWidth="1"/>
    <col min="24" max="46" width="9.109375" style="880" hidden="1" customWidth="1"/>
    <col min="47" max="16384" width="9.109375" style="880"/>
  </cols>
  <sheetData>
    <row r="1" spans="1:255" ht="15" customHeight="1">
      <c r="A1" s="1033" t="s">
        <v>1207</v>
      </c>
      <c r="B1" s="1033"/>
      <c r="C1" s="1033"/>
      <c r="D1" s="1033"/>
      <c r="E1" s="1033"/>
      <c r="F1" s="1033"/>
      <c r="G1" s="1033"/>
      <c r="H1" s="1033"/>
      <c r="I1" s="1033"/>
      <c r="J1" s="1033"/>
      <c r="K1" s="1033"/>
      <c r="L1" s="1033"/>
      <c r="M1" s="1033"/>
      <c r="N1" s="1033"/>
      <c r="O1" s="1033"/>
      <c r="P1" s="1033"/>
      <c r="Q1" s="1033"/>
      <c r="R1" s="1033"/>
      <c r="S1" s="1033"/>
      <c r="T1" s="1033"/>
      <c r="U1" s="1033"/>
      <c r="V1" s="1033"/>
      <c r="W1" s="1033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  <c r="AZ1" s="16"/>
      <c r="BA1" s="16"/>
      <c r="BB1" s="16"/>
      <c r="BC1" s="16"/>
      <c r="BD1" s="16"/>
      <c r="BE1" s="16"/>
      <c r="BF1" s="16"/>
      <c r="BG1" s="16"/>
      <c r="BH1" s="16"/>
      <c r="BI1" s="16"/>
      <c r="BJ1" s="16"/>
      <c r="BK1" s="16"/>
      <c r="BL1" s="16"/>
      <c r="BM1" s="16"/>
      <c r="BN1" s="16"/>
      <c r="BO1" s="16"/>
      <c r="BP1" s="16"/>
      <c r="BQ1" s="16"/>
      <c r="BR1" s="16"/>
      <c r="BS1" s="16"/>
      <c r="BT1" s="16"/>
      <c r="BU1" s="16"/>
      <c r="BV1" s="16"/>
      <c r="BW1" s="16"/>
      <c r="BX1" s="16"/>
      <c r="BY1" s="16"/>
      <c r="BZ1" s="16"/>
      <c r="CA1" s="16"/>
      <c r="CB1" s="16"/>
      <c r="CC1" s="16"/>
      <c r="CD1" s="16"/>
      <c r="CE1" s="16"/>
      <c r="CF1" s="16"/>
      <c r="CG1" s="16"/>
      <c r="CH1" s="16"/>
      <c r="CI1" s="16"/>
      <c r="CJ1" s="16"/>
      <c r="CK1" s="16"/>
      <c r="CL1" s="16"/>
      <c r="CM1" s="16"/>
      <c r="CN1" s="16"/>
      <c r="CO1" s="16"/>
      <c r="CP1" s="16"/>
      <c r="CQ1" s="16"/>
      <c r="CR1" s="16"/>
      <c r="CS1" s="16"/>
      <c r="CT1" s="16"/>
      <c r="CU1" s="16"/>
      <c r="CV1" s="16"/>
      <c r="CW1" s="16"/>
      <c r="CX1" s="16"/>
      <c r="CY1" s="16"/>
      <c r="CZ1" s="16"/>
      <c r="DA1" s="16"/>
      <c r="DB1" s="16"/>
      <c r="DC1" s="16"/>
      <c r="DD1" s="16"/>
      <c r="DE1" s="16"/>
      <c r="DF1" s="16"/>
      <c r="DG1" s="16"/>
      <c r="DH1" s="16"/>
      <c r="DI1" s="16"/>
      <c r="DJ1" s="16"/>
      <c r="DK1" s="16"/>
      <c r="DL1" s="16"/>
      <c r="DM1" s="16"/>
      <c r="DN1" s="16"/>
      <c r="DO1" s="16"/>
      <c r="DP1" s="16"/>
      <c r="DQ1" s="16"/>
      <c r="DR1" s="16"/>
      <c r="DS1" s="16"/>
      <c r="DT1" s="16"/>
      <c r="DU1" s="16"/>
      <c r="DV1" s="16"/>
      <c r="DW1" s="16"/>
      <c r="DX1" s="16"/>
      <c r="DY1" s="16"/>
      <c r="DZ1" s="16"/>
      <c r="EA1" s="16"/>
      <c r="EB1" s="16"/>
      <c r="EC1" s="16"/>
      <c r="ED1" s="16"/>
      <c r="EE1" s="16"/>
      <c r="EF1" s="16"/>
      <c r="EG1" s="16"/>
      <c r="EH1" s="16"/>
      <c r="EI1" s="16"/>
      <c r="EJ1" s="16"/>
      <c r="EK1" s="16"/>
      <c r="EL1" s="16"/>
      <c r="EM1" s="16"/>
      <c r="EN1" s="16"/>
      <c r="EO1" s="16"/>
      <c r="EP1" s="16"/>
      <c r="EQ1" s="16"/>
      <c r="ER1" s="16"/>
      <c r="ES1" s="16"/>
      <c r="ET1" s="16"/>
      <c r="EU1" s="16"/>
      <c r="EV1" s="16"/>
      <c r="EW1" s="16"/>
      <c r="EX1" s="16"/>
      <c r="EY1" s="16"/>
      <c r="EZ1" s="16"/>
      <c r="FA1" s="16"/>
      <c r="FB1" s="16"/>
      <c r="FC1" s="16"/>
      <c r="FD1" s="16"/>
      <c r="FE1" s="16"/>
      <c r="FF1" s="16"/>
      <c r="FG1" s="16"/>
      <c r="FH1" s="16"/>
      <c r="FI1" s="16"/>
      <c r="FJ1" s="16"/>
      <c r="FK1" s="16"/>
      <c r="FL1" s="16"/>
      <c r="FM1" s="16"/>
      <c r="FN1" s="16"/>
      <c r="FO1" s="16"/>
      <c r="FP1" s="16"/>
      <c r="FQ1" s="16"/>
      <c r="FR1" s="16"/>
      <c r="FS1" s="16"/>
      <c r="FT1" s="16"/>
      <c r="FU1" s="16"/>
      <c r="FV1" s="16"/>
      <c r="FW1" s="16"/>
      <c r="FX1" s="16"/>
      <c r="FY1" s="16"/>
      <c r="FZ1" s="16"/>
      <c r="GA1" s="16"/>
      <c r="GB1" s="16"/>
      <c r="GC1" s="16"/>
      <c r="GD1" s="16"/>
      <c r="GE1" s="16"/>
      <c r="GF1" s="16"/>
      <c r="GG1" s="16"/>
      <c r="GH1" s="16"/>
      <c r="GI1" s="16"/>
      <c r="GJ1" s="16"/>
      <c r="GK1" s="16"/>
      <c r="GL1" s="16"/>
      <c r="GM1" s="16"/>
      <c r="GN1" s="16"/>
      <c r="GO1" s="16"/>
      <c r="GP1" s="16"/>
      <c r="GQ1" s="16"/>
      <c r="GR1" s="16"/>
      <c r="GS1" s="16"/>
      <c r="GT1" s="16"/>
      <c r="GU1" s="16"/>
      <c r="GV1" s="16"/>
      <c r="GW1" s="16"/>
      <c r="GX1" s="16"/>
      <c r="GY1" s="16"/>
      <c r="GZ1" s="16"/>
      <c r="HA1" s="16"/>
      <c r="HB1" s="16"/>
      <c r="HC1" s="16"/>
      <c r="HD1" s="16"/>
      <c r="HE1" s="16"/>
      <c r="HF1" s="16"/>
      <c r="HG1" s="16"/>
      <c r="HH1" s="16"/>
      <c r="HI1" s="16"/>
      <c r="HJ1" s="16"/>
      <c r="HK1" s="16"/>
      <c r="HL1" s="16"/>
      <c r="HM1" s="16"/>
      <c r="HN1" s="16"/>
      <c r="HO1" s="16"/>
      <c r="HP1" s="16"/>
      <c r="HQ1" s="16"/>
      <c r="HR1" s="16"/>
      <c r="HS1" s="16"/>
      <c r="HT1" s="16"/>
      <c r="HU1" s="16"/>
      <c r="HV1" s="16"/>
      <c r="HW1" s="16"/>
      <c r="HX1" s="16"/>
      <c r="HY1" s="16"/>
      <c r="HZ1" s="16"/>
      <c r="IA1" s="16"/>
      <c r="IB1" s="16"/>
      <c r="IC1" s="16"/>
      <c r="ID1" s="16"/>
      <c r="IE1" s="16"/>
      <c r="IF1" s="16"/>
      <c r="IG1" s="16"/>
      <c r="IH1" s="16"/>
      <c r="II1" s="16"/>
      <c r="IJ1" s="16"/>
      <c r="IK1" s="16"/>
      <c r="IL1" s="16"/>
      <c r="IM1" s="16"/>
      <c r="IN1" s="16"/>
      <c r="IO1" s="16"/>
      <c r="IP1" s="16"/>
      <c r="IQ1" s="16"/>
      <c r="IR1" s="16"/>
      <c r="IS1" s="16"/>
      <c r="IT1" s="16"/>
      <c r="IU1" s="16"/>
    </row>
    <row r="2" spans="1:255" ht="15" customHeight="1">
      <c r="A2" s="1033"/>
      <c r="B2" s="1033"/>
      <c r="C2" s="1033"/>
      <c r="D2" s="1033"/>
      <c r="E2" s="1033"/>
      <c r="F2" s="1033"/>
      <c r="G2" s="1033"/>
      <c r="H2" s="1033"/>
      <c r="I2" s="1033"/>
      <c r="J2" s="1033"/>
      <c r="K2" s="1033"/>
      <c r="L2" s="1033"/>
      <c r="M2" s="1033"/>
      <c r="N2" s="1033"/>
      <c r="O2" s="1033"/>
      <c r="P2" s="1033"/>
      <c r="Q2" s="1033"/>
      <c r="R2" s="1033"/>
      <c r="S2" s="1033"/>
      <c r="T2" s="1033"/>
      <c r="U2" s="1033"/>
      <c r="V2" s="1033"/>
      <c r="W2" s="1033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16"/>
      <c r="CS2" s="16"/>
      <c r="CT2" s="16"/>
      <c r="CU2" s="16"/>
      <c r="CV2" s="16"/>
      <c r="CW2" s="16"/>
      <c r="CX2" s="16"/>
      <c r="CY2" s="16"/>
      <c r="CZ2" s="16"/>
      <c r="DA2" s="16"/>
      <c r="DB2" s="16"/>
      <c r="DC2" s="16"/>
      <c r="DD2" s="16"/>
      <c r="DE2" s="16"/>
      <c r="DF2" s="16"/>
      <c r="DG2" s="16"/>
      <c r="DH2" s="16"/>
      <c r="DI2" s="16"/>
      <c r="DJ2" s="16"/>
      <c r="DK2" s="16"/>
      <c r="DL2" s="16"/>
      <c r="DM2" s="16"/>
      <c r="DN2" s="16"/>
      <c r="DO2" s="16"/>
      <c r="DP2" s="16"/>
      <c r="DQ2" s="16"/>
      <c r="DR2" s="16"/>
      <c r="DS2" s="16"/>
      <c r="DT2" s="16"/>
      <c r="DU2" s="16"/>
      <c r="DV2" s="16"/>
      <c r="DW2" s="16"/>
      <c r="DX2" s="16"/>
      <c r="DY2" s="16"/>
      <c r="DZ2" s="16"/>
      <c r="EA2" s="16"/>
      <c r="EB2" s="16"/>
      <c r="EC2" s="16"/>
      <c r="ED2" s="16"/>
      <c r="EE2" s="16"/>
      <c r="EF2" s="16"/>
      <c r="EG2" s="16"/>
      <c r="EH2" s="16"/>
      <c r="EI2" s="16"/>
      <c r="EJ2" s="16"/>
      <c r="EK2" s="16"/>
      <c r="EL2" s="16"/>
      <c r="EM2" s="16"/>
      <c r="EN2" s="16"/>
      <c r="EO2" s="16"/>
      <c r="EP2" s="16"/>
      <c r="EQ2" s="16"/>
      <c r="ER2" s="16"/>
      <c r="ES2" s="16"/>
      <c r="ET2" s="16"/>
      <c r="EU2" s="16"/>
      <c r="EV2" s="16"/>
      <c r="EW2" s="16"/>
      <c r="EX2" s="16"/>
      <c r="EY2" s="16"/>
      <c r="EZ2" s="16"/>
      <c r="FA2" s="16"/>
      <c r="FB2" s="16"/>
      <c r="FC2" s="16"/>
      <c r="FD2" s="16"/>
      <c r="FE2" s="16"/>
      <c r="FF2" s="16"/>
      <c r="FG2" s="16"/>
      <c r="FH2" s="16"/>
      <c r="FI2" s="16"/>
      <c r="FJ2" s="16"/>
      <c r="FK2" s="16"/>
      <c r="FL2" s="16"/>
      <c r="FM2" s="16"/>
      <c r="FN2" s="16"/>
      <c r="FO2" s="16"/>
      <c r="FP2" s="16"/>
      <c r="FQ2" s="16"/>
      <c r="FR2" s="16"/>
      <c r="FS2" s="16"/>
      <c r="FT2" s="16"/>
      <c r="FU2" s="16"/>
      <c r="FV2" s="16"/>
      <c r="FW2" s="16"/>
      <c r="FX2" s="16"/>
      <c r="FY2" s="16"/>
      <c r="FZ2" s="16"/>
      <c r="GA2" s="16"/>
      <c r="GB2" s="16"/>
      <c r="GC2" s="16"/>
      <c r="GD2" s="16"/>
      <c r="GE2" s="16"/>
      <c r="GF2" s="16"/>
      <c r="GG2" s="16"/>
      <c r="GH2" s="16"/>
      <c r="GI2" s="16"/>
      <c r="GJ2" s="16"/>
      <c r="GK2" s="16"/>
      <c r="GL2" s="16"/>
      <c r="GM2" s="16"/>
      <c r="GN2" s="16"/>
      <c r="GO2" s="16"/>
      <c r="GP2" s="16"/>
      <c r="GQ2" s="16"/>
      <c r="GR2" s="16"/>
      <c r="GS2" s="16"/>
      <c r="GT2" s="16"/>
      <c r="GU2" s="16"/>
      <c r="GV2" s="16"/>
      <c r="GW2" s="16"/>
      <c r="GX2" s="16"/>
      <c r="GY2" s="16"/>
      <c r="GZ2" s="16"/>
      <c r="HA2" s="16"/>
      <c r="HB2" s="16"/>
      <c r="HC2" s="16"/>
      <c r="HD2" s="16"/>
      <c r="HE2" s="16"/>
      <c r="HF2" s="16"/>
      <c r="HG2" s="16"/>
      <c r="HH2" s="16"/>
      <c r="HI2" s="16"/>
      <c r="HJ2" s="16"/>
      <c r="HK2" s="16"/>
      <c r="HL2" s="16"/>
      <c r="HM2" s="16"/>
      <c r="HN2" s="16"/>
      <c r="HO2" s="16"/>
      <c r="HP2" s="16"/>
      <c r="HQ2" s="16"/>
      <c r="HR2" s="16"/>
      <c r="HS2" s="16"/>
      <c r="HT2" s="16"/>
      <c r="HU2" s="16"/>
      <c r="HV2" s="16"/>
      <c r="HW2" s="16"/>
      <c r="HX2" s="16"/>
      <c r="HY2" s="16"/>
      <c r="HZ2" s="16"/>
      <c r="IA2" s="16"/>
      <c r="IB2" s="16"/>
      <c r="IC2" s="16"/>
      <c r="ID2" s="16"/>
      <c r="IE2" s="16"/>
      <c r="IF2" s="16"/>
      <c r="IG2" s="16"/>
      <c r="IH2" s="16"/>
      <c r="II2" s="16"/>
      <c r="IJ2" s="16"/>
      <c r="IK2" s="16"/>
      <c r="IL2" s="16"/>
      <c r="IM2" s="16"/>
      <c r="IN2" s="16"/>
      <c r="IO2" s="16"/>
      <c r="IP2" s="16"/>
      <c r="IQ2" s="16"/>
      <c r="IR2" s="16"/>
      <c r="IS2" s="16"/>
      <c r="IT2" s="16"/>
      <c r="IU2" s="16"/>
    </row>
    <row r="3" spans="1:255" ht="15" customHeight="1">
      <c r="A3" s="1033" t="s">
        <v>1208</v>
      </c>
      <c r="B3" s="1033"/>
      <c r="C3" s="1033"/>
      <c r="D3" s="1033"/>
      <c r="E3" s="1033"/>
      <c r="F3" s="1033"/>
      <c r="G3" s="1033"/>
      <c r="H3" s="1033"/>
      <c r="I3" s="1033"/>
      <c r="J3" s="1033"/>
      <c r="K3" s="1033"/>
      <c r="L3" s="1033"/>
      <c r="M3" s="1033"/>
      <c r="N3" s="1033"/>
      <c r="O3" s="1033"/>
      <c r="P3" s="1033"/>
      <c r="Q3" s="1033"/>
      <c r="R3" s="1033"/>
      <c r="S3" s="1033"/>
      <c r="T3" s="1033"/>
      <c r="U3" s="1033"/>
      <c r="V3" s="1033"/>
      <c r="W3" s="1033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/>
      <c r="BC3" s="16"/>
      <c r="BD3" s="16"/>
      <c r="BE3" s="16"/>
      <c r="BF3" s="16"/>
      <c r="BG3" s="16"/>
      <c r="BH3" s="16"/>
      <c r="BI3" s="16"/>
      <c r="BJ3" s="16"/>
      <c r="BK3" s="16"/>
      <c r="BL3" s="16"/>
      <c r="BM3" s="16"/>
      <c r="BN3" s="16"/>
      <c r="BO3" s="16"/>
      <c r="BP3" s="16"/>
      <c r="BQ3" s="16"/>
      <c r="BR3" s="16"/>
      <c r="BS3" s="16"/>
      <c r="BT3" s="16"/>
      <c r="BU3" s="16"/>
      <c r="BV3" s="16"/>
      <c r="BW3" s="16"/>
      <c r="BX3" s="16"/>
      <c r="BY3" s="16"/>
      <c r="BZ3" s="16"/>
      <c r="CA3" s="16"/>
      <c r="CB3" s="16"/>
      <c r="CC3" s="16"/>
      <c r="CD3" s="16"/>
      <c r="CE3" s="16"/>
      <c r="CF3" s="16"/>
      <c r="CG3" s="16"/>
      <c r="CH3" s="16"/>
      <c r="CI3" s="16"/>
      <c r="CJ3" s="16"/>
      <c r="CK3" s="16"/>
      <c r="CL3" s="16"/>
      <c r="CM3" s="16"/>
      <c r="CN3" s="16"/>
      <c r="CO3" s="16"/>
      <c r="CP3" s="16"/>
      <c r="CQ3" s="16"/>
      <c r="CR3" s="16"/>
      <c r="CS3" s="16"/>
      <c r="CT3" s="16"/>
      <c r="CU3" s="16"/>
      <c r="CV3" s="16"/>
      <c r="CW3" s="16"/>
      <c r="CX3" s="16"/>
      <c r="CY3" s="16"/>
      <c r="CZ3" s="16"/>
      <c r="DA3" s="16"/>
      <c r="DB3" s="16"/>
      <c r="DC3" s="16"/>
      <c r="DD3" s="16"/>
      <c r="DE3" s="16"/>
      <c r="DF3" s="16"/>
      <c r="DG3" s="16"/>
      <c r="DH3" s="16"/>
      <c r="DI3" s="16"/>
      <c r="DJ3" s="16"/>
      <c r="DK3" s="16"/>
      <c r="DL3" s="16"/>
      <c r="DM3" s="16"/>
      <c r="DN3" s="16"/>
      <c r="DO3" s="16"/>
      <c r="DP3" s="16"/>
      <c r="DQ3" s="16"/>
      <c r="DR3" s="16"/>
      <c r="DS3" s="16"/>
      <c r="DT3" s="16"/>
      <c r="DU3" s="16"/>
      <c r="DV3" s="16"/>
      <c r="DW3" s="16"/>
      <c r="DX3" s="16"/>
      <c r="DY3" s="16"/>
      <c r="DZ3" s="16"/>
      <c r="EA3" s="16"/>
      <c r="EB3" s="16"/>
      <c r="EC3" s="16"/>
      <c r="ED3" s="16"/>
      <c r="EE3" s="16"/>
      <c r="EF3" s="16"/>
      <c r="EG3" s="16"/>
      <c r="EH3" s="16"/>
      <c r="EI3" s="16"/>
      <c r="EJ3" s="16"/>
      <c r="EK3" s="16"/>
      <c r="EL3" s="16"/>
      <c r="EM3" s="16"/>
      <c r="EN3" s="16"/>
      <c r="EO3" s="16"/>
      <c r="EP3" s="16"/>
      <c r="EQ3" s="16"/>
      <c r="ER3" s="16"/>
      <c r="ES3" s="16"/>
      <c r="ET3" s="16"/>
      <c r="EU3" s="16"/>
      <c r="EV3" s="16"/>
      <c r="EW3" s="16"/>
      <c r="EX3" s="16"/>
      <c r="EY3" s="16"/>
      <c r="EZ3" s="16"/>
      <c r="FA3" s="16"/>
      <c r="FB3" s="16"/>
      <c r="FC3" s="16"/>
      <c r="FD3" s="16"/>
      <c r="FE3" s="16"/>
      <c r="FF3" s="16"/>
      <c r="FG3" s="16"/>
      <c r="FH3" s="16"/>
      <c r="FI3" s="16"/>
      <c r="FJ3" s="16"/>
      <c r="FK3" s="16"/>
      <c r="FL3" s="16"/>
      <c r="FM3" s="16"/>
      <c r="FN3" s="16"/>
      <c r="FO3" s="16"/>
      <c r="FP3" s="16"/>
      <c r="FQ3" s="16"/>
      <c r="FR3" s="16"/>
      <c r="FS3" s="16"/>
      <c r="FT3" s="16"/>
      <c r="FU3" s="16"/>
      <c r="FV3" s="16"/>
      <c r="FW3" s="16"/>
      <c r="FX3" s="16"/>
      <c r="FY3" s="16"/>
      <c r="FZ3" s="16"/>
      <c r="GA3" s="16"/>
      <c r="GB3" s="16"/>
      <c r="GC3" s="16"/>
      <c r="GD3" s="16"/>
      <c r="GE3" s="16"/>
      <c r="GF3" s="16"/>
      <c r="GG3" s="16"/>
      <c r="GH3" s="16"/>
      <c r="GI3" s="16"/>
      <c r="GJ3" s="16"/>
      <c r="GK3" s="16"/>
      <c r="GL3" s="16"/>
      <c r="GM3" s="16"/>
      <c r="GN3" s="16"/>
      <c r="GO3" s="16"/>
      <c r="GP3" s="16"/>
      <c r="GQ3" s="16"/>
      <c r="GR3" s="16"/>
      <c r="GS3" s="16"/>
      <c r="GT3" s="16"/>
      <c r="GU3" s="16"/>
      <c r="GV3" s="16"/>
      <c r="GW3" s="16"/>
      <c r="GX3" s="16"/>
      <c r="GY3" s="16"/>
      <c r="GZ3" s="16"/>
      <c r="HA3" s="16"/>
      <c r="HB3" s="16"/>
      <c r="HC3" s="16"/>
      <c r="HD3" s="16"/>
      <c r="HE3" s="16"/>
      <c r="HF3" s="16"/>
      <c r="HG3" s="16"/>
      <c r="HH3" s="16"/>
      <c r="HI3" s="16"/>
      <c r="HJ3" s="16"/>
      <c r="HK3" s="16"/>
      <c r="HL3" s="16"/>
      <c r="HM3" s="16"/>
      <c r="HN3" s="16"/>
      <c r="HO3" s="16"/>
      <c r="HP3" s="16"/>
      <c r="HQ3" s="16"/>
      <c r="HR3" s="16"/>
      <c r="HS3" s="16"/>
      <c r="HT3" s="16"/>
      <c r="HU3" s="16"/>
      <c r="HV3" s="16"/>
      <c r="HW3" s="16"/>
      <c r="HX3" s="16"/>
      <c r="HY3" s="16"/>
      <c r="HZ3" s="16"/>
      <c r="IA3" s="16"/>
      <c r="IB3" s="16"/>
      <c r="IC3" s="16"/>
      <c r="ID3" s="16"/>
      <c r="IE3" s="16"/>
      <c r="IF3" s="16"/>
      <c r="IG3" s="16"/>
      <c r="IH3" s="16"/>
      <c r="II3" s="16"/>
      <c r="IJ3" s="16"/>
      <c r="IK3" s="16"/>
      <c r="IL3" s="16"/>
      <c r="IM3" s="16"/>
      <c r="IN3" s="16"/>
      <c r="IO3" s="16"/>
      <c r="IP3" s="16"/>
      <c r="IQ3" s="16"/>
      <c r="IR3" s="16"/>
      <c r="IS3" s="16"/>
      <c r="IT3" s="16"/>
      <c r="IU3" s="16"/>
    </row>
    <row r="4" spans="1:255" ht="15" customHeight="1">
      <c r="A4" s="1033"/>
      <c r="B4" s="1033"/>
      <c r="C4" s="1033"/>
      <c r="D4" s="1033"/>
      <c r="E4" s="1033"/>
      <c r="F4" s="1033"/>
      <c r="G4" s="1033"/>
      <c r="H4" s="1033"/>
      <c r="I4" s="1033"/>
      <c r="J4" s="1033"/>
      <c r="K4" s="1033"/>
      <c r="L4" s="1033"/>
      <c r="M4" s="1033"/>
      <c r="N4" s="1033"/>
      <c r="O4" s="1033"/>
      <c r="P4" s="1033"/>
      <c r="Q4" s="1033"/>
      <c r="R4" s="1033"/>
      <c r="S4" s="1033"/>
      <c r="T4" s="1033"/>
      <c r="U4" s="1033"/>
      <c r="V4" s="1033"/>
      <c r="W4" s="1033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6"/>
      <c r="DB4" s="16"/>
      <c r="DC4" s="16"/>
      <c r="DD4" s="16"/>
      <c r="DE4" s="16"/>
      <c r="DF4" s="16"/>
      <c r="DG4" s="16"/>
      <c r="DH4" s="16"/>
      <c r="DI4" s="16"/>
      <c r="DJ4" s="16"/>
      <c r="DK4" s="16"/>
      <c r="DL4" s="16"/>
      <c r="DM4" s="16"/>
      <c r="DN4" s="16"/>
      <c r="DO4" s="16"/>
      <c r="DP4" s="16"/>
      <c r="DQ4" s="16"/>
      <c r="DR4" s="16"/>
      <c r="DS4" s="16"/>
      <c r="DT4" s="16"/>
      <c r="DU4" s="16"/>
      <c r="DV4" s="16"/>
      <c r="DW4" s="16"/>
      <c r="DX4" s="16"/>
      <c r="DY4" s="16"/>
      <c r="DZ4" s="16"/>
      <c r="EA4" s="16"/>
      <c r="EB4" s="16"/>
      <c r="EC4" s="16"/>
      <c r="ED4" s="16"/>
      <c r="EE4" s="16"/>
      <c r="EF4" s="16"/>
      <c r="EG4" s="16"/>
      <c r="EH4" s="16"/>
      <c r="EI4" s="16"/>
      <c r="EJ4" s="16"/>
      <c r="EK4" s="16"/>
      <c r="EL4" s="16"/>
      <c r="EM4" s="16"/>
      <c r="EN4" s="16"/>
      <c r="EO4" s="16"/>
      <c r="EP4" s="16"/>
      <c r="EQ4" s="16"/>
      <c r="ER4" s="16"/>
      <c r="ES4" s="16"/>
      <c r="ET4" s="16"/>
      <c r="EU4" s="16"/>
      <c r="EV4" s="16"/>
      <c r="EW4" s="16"/>
      <c r="EX4" s="16"/>
      <c r="EY4" s="16"/>
      <c r="EZ4" s="16"/>
      <c r="FA4" s="16"/>
      <c r="FB4" s="16"/>
      <c r="FC4" s="16"/>
      <c r="FD4" s="16"/>
      <c r="FE4" s="16"/>
      <c r="FF4" s="16"/>
      <c r="FG4" s="16"/>
      <c r="FH4" s="16"/>
      <c r="FI4" s="16"/>
      <c r="FJ4" s="16"/>
      <c r="FK4" s="16"/>
      <c r="FL4" s="16"/>
      <c r="FM4" s="16"/>
      <c r="FN4" s="16"/>
      <c r="FO4" s="16"/>
      <c r="FP4" s="16"/>
      <c r="FQ4" s="16"/>
      <c r="FR4" s="16"/>
      <c r="FS4" s="16"/>
      <c r="FT4" s="16"/>
      <c r="FU4" s="16"/>
      <c r="FV4" s="16"/>
      <c r="FW4" s="16"/>
      <c r="FX4" s="16"/>
      <c r="FY4" s="16"/>
      <c r="FZ4" s="16"/>
      <c r="GA4" s="16"/>
      <c r="GB4" s="16"/>
      <c r="GC4" s="16"/>
      <c r="GD4" s="16"/>
      <c r="GE4" s="16"/>
      <c r="GF4" s="16"/>
      <c r="GG4" s="16"/>
      <c r="GH4" s="16"/>
      <c r="GI4" s="16"/>
      <c r="GJ4" s="16"/>
      <c r="GK4" s="16"/>
      <c r="GL4" s="16"/>
      <c r="GM4" s="16"/>
      <c r="GN4" s="16"/>
      <c r="GO4" s="16"/>
      <c r="GP4" s="16"/>
      <c r="GQ4" s="16"/>
      <c r="GR4" s="16"/>
      <c r="GS4" s="16"/>
      <c r="GT4" s="16"/>
      <c r="GU4" s="16"/>
      <c r="GV4" s="16"/>
      <c r="GW4" s="16"/>
      <c r="GX4" s="16"/>
      <c r="GY4" s="16"/>
      <c r="GZ4" s="16"/>
      <c r="HA4" s="16"/>
      <c r="HB4" s="16"/>
      <c r="HC4" s="16"/>
      <c r="HD4" s="16"/>
      <c r="HE4" s="16"/>
      <c r="HF4" s="16"/>
      <c r="HG4" s="16"/>
      <c r="HH4" s="16"/>
      <c r="HI4" s="16"/>
      <c r="HJ4" s="16"/>
      <c r="HK4" s="16"/>
      <c r="HL4" s="16"/>
      <c r="HM4" s="16"/>
      <c r="HN4" s="16"/>
      <c r="HO4" s="16"/>
      <c r="HP4" s="16"/>
      <c r="HQ4" s="16"/>
      <c r="HR4" s="16"/>
      <c r="HS4" s="16"/>
      <c r="HT4" s="16"/>
      <c r="HU4" s="16"/>
      <c r="HV4" s="16"/>
      <c r="HW4" s="16"/>
      <c r="HX4" s="16"/>
      <c r="HY4" s="16"/>
      <c r="HZ4" s="16"/>
      <c r="IA4" s="16"/>
      <c r="IB4" s="16"/>
      <c r="IC4" s="16"/>
      <c r="ID4" s="16"/>
      <c r="IE4" s="16"/>
      <c r="IF4" s="16"/>
      <c r="IG4" s="16"/>
      <c r="IH4" s="16"/>
      <c r="II4" s="16"/>
      <c r="IJ4" s="16"/>
      <c r="IK4" s="16"/>
      <c r="IL4" s="16"/>
      <c r="IM4" s="16"/>
      <c r="IN4" s="16"/>
      <c r="IO4" s="16"/>
      <c r="IP4" s="16"/>
      <c r="IQ4" s="16"/>
      <c r="IR4" s="16"/>
      <c r="IS4" s="16"/>
      <c r="IT4" s="16"/>
      <c r="IU4" s="16"/>
    </row>
    <row r="5" spans="1:255" ht="16.2" thickBot="1">
      <c r="A5" s="1033" t="s">
        <v>1221</v>
      </c>
      <c r="B5" s="1033"/>
      <c r="C5" s="1033"/>
      <c r="D5" s="1033"/>
      <c r="E5" s="1033"/>
      <c r="F5" s="1033"/>
      <c r="G5" s="1033"/>
      <c r="H5" s="1033"/>
      <c r="I5" s="1033"/>
      <c r="J5" s="1033"/>
      <c r="K5" s="1033"/>
      <c r="L5" s="1033"/>
      <c r="M5" s="1033"/>
      <c r="N5" s="1033"/>
      <c r="O5" s="1033"/>
      <c r="P5" s="1033"/>
      <c r="Q5" s="1033"/>
      <c r="R5" s="1033"/>
      <c r="S5" s="1033"/>
      <c r="T5" s="1033"/>
      <c r="U5" s="1033"/>
      <c r="V5" s="1033"/>
      <c r="W5" s="1033"/>
    </row>
    <row r="6" spans="1:255" ht="34.5" customHeight="1" thickBot="1">
      <c r="A6" s="1413"/>
      <c r="B6" s="1414"/>
      <c r="C6" s="1415"/>
      <c r="D6" s="1419" t="s">
        <v>207</v>
      </c>
      <c r="E6" s="1420"/>
      <c r="F6" s="1420"/>
      <c r="G6" s="1420"/>
      <c r="H6" s="1420"/>
      <c r="I6" s="1420"/>
      <c r="J6" s="1420"/>
      <c r="K6" s="1420"/>
      <c r="L6" s="1420"/>
      <c r="M6" s="1420"/>
      <c r="N6" s="1420"/>
      <c r="O6" s="1420"/>
      <c r="P6" s="1420"/>
      <c r="Q6" s="1420"/>
      <c r="R6" s="1420"/>
      <c r="S6" s="1420"/>
      <c r="T6" s="1420"/>
      <c r="U6" s="1420"/>
      <c r="V6" s="1420"/>
      <c r="W6" s="1421"/>
      <c r="Y6" s="1278" t="s">
        <v>1196</v>
      </c>
      <c r="Z6" s="1278"/>
      <c r="AA6" s="1279" t="s">
        <v>356</v>
      </c>
      <c r="AB6" s="1279"/>
      <c r="AC6" s="1279"/>
      <c r="AD6" s="1279"/>
      <c r="AE6" s="1279"/>
      <c r="AF6" s="1279"/>
      <c r="AG6" s="1279"/>
      <c r="AH6" s="1279"/>
      <c r="AI6" s="1279"/>
      <c r="AJ6" s="1279"/>
      <c r="AK6" s="1279"/>
      <c r="AL6" s="1279"/>
      <c r="AM6" s="1279"/>
      <c r="AN6" s="1279"/>
      <c r="AO6" s="1279"/>
      <c r="AP6" s="1279"/>
      <c r="AQ6" s="1279"/>
      <c r="AR6" s="1279"/>
      <c r="AS6" s="1279"/>
      <c r="AT6" s="1279"/>
    </row>
    <row r="7" spans="1:255" ht="14.25" customHeight="1" thickBot="1">
      <c r="A7" s="1416"/>
      <c r="B7" s="1417"/>
      <c r="C7" s="1418"/>
      <c r="D7" s="883">
        <v>0.3</v>
      </c>
      <c r="E7" s="884">
        <v>0.4</v>
      </c>
      <c r="F7" s="884">
        <v>0.5</v>
      </c>
      <c r="G7" s="884">
        <v>0.6</v>
      </c>
      <c r="H7" s="884">
        <v>0.7</v>
      </c>
      <c r="I7" s="884">
        <v>0.8</v>
      </c>
      <c r="J7" s="884">
        <v>0.9</v>
      </c>
      <c r="K7" s="884">
        <v>1</v>
      </c>
      <c r="L7" s="884">
        <v>1.1000000000000001</v>
      </c>
      <c r="M7" s="884">
        <v>1.2</v>
      </c>
      <c r="N7" s="884">
        <v>1.3</v>
      </c>
      <c r="O7" s="884">
        <v>1.4</v>
      </c>
      <c r="P7" s="884">
        <v>1.5</v>
      </c>
      <c r="Q7" s="884">
        <v>1.6</v>
      </c>
      <c r="R7" s="884">
        <v>1.7</v>
      </c>
      <c r="S7" s="884">
        <v>1.8</v>
      </c>
      <c r="T7" s="884">
        <v>1.9</v>
      </c>
      <c r="U7" s="884">
        <v>2</v>
      </c>
      <c r="V7" s="884">
        <v>2.1</v>
      </c>
      <c r="W7" s="885">
        <v>2.2000000000000002</v>
      </c>
      <c r="Y7" s="1278"/>
      <c r="Z7" s="1278"/>
      <c r="AA7" s="649">
        <v>0.3</v>
      </c>
      <c r="AB7" s="649">
        <v>0.4</v>
      </c>
      <c r="AC7" s="649">
        <v>0.5</v>
      </c>
      <c r="AD7" s="649">
        <v>0.6</v>
      </c>
      <c r="AE7" s="649">
        <v>0.7</v>
      </c>
      <c r="AF7" s="649">
        <v>0.8</v>
      </c>
      <c r="AG7" s="649">
        <v>0.9</v>
      </c>
      <c r="AH7" s="649">
        <v>1</v>
      </c>
      <c r="AI7" s="649">
        <v>1.1000000000000001</v>
      </c>
      <c r="AJ7" s="649">
        <v>1.2</v>
      </c>
      <c r="AK7" s="649">
        <v>1.3</v>
      </c>
      <c r="AL7" s="649">
        <v>1.4</v>
      </c>
      <c r="AM7" s="649">
        <v>1.5</v>
      </c>
      <c r="AN7" s="649">
        <v>1.6</v>
      </c>
      <c r="AO7" s="649">
        <v>1.7</v>
      </c>
      <c r="AP7" s="649">
        <v>1.8</v>
      </c>
      <c r="AQ7" s="649">
        <v>1.9</v>
      </c>
      <c r="AR7" s="649">
        <v>2</v>
      </c>
      <c r="AS7" s="649">
        <v>2.1</v>
      </c>
      <c r="AT7" s="649">
        <v>2.2000000000000002</v>
      </c>
    </row>
    <row r="8" spans="1:255" ht="20.25" customHeight="1">
      <c r="A8" s="1426" t="s">
        <v>3</v>
      </c>
      <c r="B8" s="1427"/>
      <c r="C8" s="886">
        <v>0.2</v>
      </c>
      <c r="D8" s="899">
        <f>(AA8*KFC!$B$16+KFC!$C$16)*KFC!$C$5</f>
        <v>17.473684161600001</v>
      </c>
      <c r="E8" s="900">
        <f>(AB8*KFC!$B$16+KFC!$C$16)*KFC!$C$5</f>
        <v>19.438815735044997</v>
      </c>
      <c r="F8" s="900">
        <f>(AC8*KFC!$B$16+KFC!$C$16)*KFC!$C$5</f>
        <v>21.403947308490004</v>
      </c>
      <c r="G8" s="900">
        <f>(AD8*KFC!$B$16+KFC!$C$16)*KFC!$C$5</f>
        <v>23.369078881935</v>
      </c>
      <c r="H8" s="900">
        <f>(AE8*KFC!$B$16+KFC!$C$16)*KFC!$C$5</f>
        <v>25.334210455379996</v>
      </c>
      <c r="I8" s="900">
        <f>(AF8*KFC!$B$16+KFC!$C$16)*KFC!$C$5</f>
        <v>27.299342028824995</v>
      </c>
      <c r="J8" s="900">
        <f>(AG8*KFC!$B$16+KFC!$C$16)*KFC!$C$5</f>
        <v>29.264473602269995</v>
      </c>
      <c r="K8" s="900">
        <f>(AH8*KFC!$B$16+KFC!$C$16)*KFC!$C$5</f>
        <v>31.229605175714994</v>
      </c>
      <c r="L8" s="900">
        <f>(AI8*KFC!$B$16+KFC!$C$16)*KFC!$C$5</f>
        <v>33.194736749159993</v>
      </c>
      <c r="M8" s="900">
        <f>(AJ8*KFC!$B$16+KFC!$C$16)*KFC!$C$5</f>
        <v>35.159868322604993</v>
      </c>
      <c r="N8" s="900">
        <f>(AK8*KFC!$B$16+KFC!$C$16)*KFC!$C$5</f>
        <v>37.124999896049985</v>
      </c>
      <c r="O8" s="900">
        <f>(AL8*KFC!$B$16+KFC!$C$16)*KFC!$C$5</f>
        <v>39.090131469494992</v>
      </c>
      <c r="P8" s="900">
        <f>(AM8*KFC!$B$16+KFC!$C$16)*KFC!$C$5</f>
        <v>41.055263042939991</v>
      </c>
      <c r="Q8" s="900">
        <f>(AN8*KFC!$B$16+KFC!$C$16)*KFC!$C$5</f>
        <v>43.020394616384991</v>
      </c>
      <c r="R8" s="900">
        <f>(AO8*KFC!$B$16+KFC!$C$16)*KFC!$C$5</f>
        <v>44.985526189829997</v>
      </c>
      <c r="S8" s="900">
        <f>(AP8*KFC!$B$16+KFC!$C$16)*KFC!$C$5</f>
        <v>46.950657763275004</v>
      </c>
      <c r="T8" s="900">
        <f>(AQ8*KFC!$B$16+KFC!$C$16)*KFC!$C$5</f>
        <v>48.915789336719996</v>
      </c>
      <c r="U8" s="900">
        <f>(AR8*KFC!$B$16+KFC!$C$16)*KFC!$C$5</f>
        <v>50.880920910165003</v>
      </c>
      <c r="V8" s="900">
        <f>(AS8*KFC!$B$16+KFC!$C$16)*KFC!$C$5</f>
        <v>52.846052483610009</v>
      </c>
      <c r="W8" s="901">
        <f>(AT8*KFC!$B$16+KFC!$C$16)*KFC!$C$5</f>
        <v>54.811184057054987</v>
      </c>
      <c r="Y8" s="1277" t="s">
        <v>357</v>
      </c>
      <c r="Z8" s="649">
        <v>0.2</v>
      </c>
      <c r="AA8" s="882">
        <v>17.473684161600001</v>
      </c>
      <c r="AB8" s="882">
        <v>19.438815735044997</v>
      </c>
      <c r="AC8" s="882">
        <v>21.403947308490004</v>
      </c>
      <c r="AD8" s="882">
        <v>23.369078881935</v>
      </c>
      <c r="AE8" s="882">
        <v>25.334210455379996</v>
      </c>
      <c r="AF8" s="882">
        <v>27.299342028824995</v>
      </c>
      <c r="AG8" s="882">
        <v>29.264473602269995</v>
      </c>
      <c r="AH8" s="882">
        <v>31.229605175714994</v>
      </c>
      <c r="AI8" s="882">
        <v>33.194736749159993</v>
      </c>
      <c r="AJ8" s="882">
        <v>35.159868322604993</v>
      </c>
      <c r="AK8" s="882">
        <v>37.124999896049985</v>
      </c>
      <c r="AL8" s="882">
        <v>39.090131469494992</v>
      </c>
      <c r="AM8" s="882">
        <v>41.055263042939991</v>
      </c>
      <c r="AN8" s="882">
        <v>43.020394616384991</v>
      </c>
      <c r="AO8" s="882">
        <v>44.985526189829997</v>
      </c>
      <c r="AP8" s="882">
        <v>46.950657763275004</v>
      </c>
      <c r="AQ8" s="882">
        <v>48.915789336719996</v>
      </c>
      <c r="AR8" s="882">
        <v>50.880920910165003</v>
      </c>
      <c r="AS8" s="882">
        <v>52.846052483610009</v>
      </c>
      <c r="AT8" s="882">
        <v>54.811184057054987</v>
      </c>
    </row>
    <row r="9" spans="1:255" ht="14.4" customHeight="1">
      <c r="A9" s="1426"/>
      <c r="B9" s="1427"/>
      <c r="C9" s="887">
        <v>0.3</v>
      </c>
      <c r="D9" s="902">
        <f>(AA9*KFC!$B$16+KFC!$C$16)*KFC!$C$5</f>
        <v>18.030789423197998</v>
      </c>
      <c r="E9" s="898">
        <f>(AB9*KFC!$B$16+KFC!$C$16)*KFC!$C$5</f>
        <v>20.104319542045854</v>
      </c>
      <c r="F9" s="898">
        <f>(AC9*KFC!$B$16+KFC!$C$16)*KFC!$C$5</f>
        <v>22.17784966089371</v>
      </c>
      <c r="G9" s="898">
        <f>(AD9*KFC!$B$16+KFC!$C$16)*KFC!$C$5</f>
        <v>24.251379779741566</v>
      </c>
      <c r="H9" s="898">
        <f>(AE9*KFC!$B$16+KFC!$C$16)*KFC!$C$5</f>
        <v>26.324909898589421</v>
      </c>
      <c r="I9" s="898">
        <f>(AF9*KFC!$B$16+KFC!$C$16)*KFC!$C$5</f>
        <v>28.398440017437277</v>
      </c>
      <c r="J9" s="898">
        <f>(AG9*KFC!$B$16+KFC!$C$16)*KFC!$C$5</f>
        <v>30.47197013628513</v>
      </c>
      <c r="K9" s="898">
        <f>(AH9*KFC!$B$16+KFC!$C$16)*KFC!$C$5</f>
        <v>32.545500255132986</v>
      </c>
      <c r="L9" s="898">
        <f>(AI9*KFC!$B$16+KFC!$C$16)*KFC!$C$5</f>
        <v>34.619030373980841</v>
      </c>
      <c r="M9" s="898">
        <f>(AJ9*KFC!$B$16+KFC!$C$16)*KFC!$C$5</f>
        <v>36.69256049282869</v>
      </c>
      <c r="N9" s="898">
        <f>(AK9*KFC!$B$16+KFC!$C$16)*KFC!$C$5</f>
        <v>38.766090611676546</v>
      </c>
      <c r="O9" s="898">
        <f>(AL9*KFC!$B$16+KFC!$C$16)*KFC!$C$5</f>
        <v>40.839620730524402</v>
      </c>
      <c r="P9" s="898">
        <f>(AM9*KFC!$B$16+KFC!$C$16)*KFC!$C$5</f>
        <v>42.913150849372244</v>
      </c>
      <c r="Q9" s="898">
        <f>(AN9*KFC!$B$16+KFC!$C$16)*KFC!$C$5</f>
        <v>44.986680968220099</v>
      </c>
      <c r="R9" s="898">
        <f>(AO9*KFC!$B$16+KFC!$C$16)*KFC!$C$5</f>
        <v>47.060211087067948</v>
      </c>
      <c r="S9" s="898">
        <f>(AP9*KFC!$B$16+KFC!$C$16)*KFC!$C$5</f>
        <v>49.133741205915804</v>
      </c>
      <c r="T9" s="898">
        <f>(AQ9*KFC!$B$16+KFC!$C$16)*KFC!$C$5</f>
        <v>51.20727132476366</v>
      </c>
      <c r="U9" s="898">
        <f>(AR9*KFC!$B$16+KFC!$C$16)*KFC!$C$5</f>
        <v>53.280801443611509</v>
      </c>
      <c r="V9" s="898">
        <f>(AS9*KFC!$B$16+KFC!$C$16)*KFC!$C$5</f>
        <v>55.354331562459357</v>
      </c>
      <c r="W9" s="903">
        <f>(AT9*KFC!$B$16+KFC!$C$16)*KFC!$C$5</f>
        <v>57.427861681307249</v>
      </c>
      <c r="Y9" s="1277"/>
      <c r="Z9" s="649">
        <v>0.3</v>
      </c>
      <c r="AA9" s="882">
        <v>18.030789423197998</v>
      </c>
      <c r="AB9" s="882">
        <v>20.104319542045854</v>
      </c>
      <c r="AC9" s="882">
        <v>22.17784966089371</v>
      </c>
      <c r="AD9" s="882">
        <v>24.251379779741566</v>
      </c>
      <c r="AE9" s="882">
        <v>26.324909898589421</v>
      </c>
      <c r="AF9" s="882">
        <v>28.398440017437277</v>
      </c>
      <c r="AG9" s="882">
        <v>30.47197013628513</v>
      </c>
      <c r="AH9" s="882">
        <v>32.545500255132986</v>
      </c>
      <c r="AI9" s="882">
        <v>34.619030373980841</v>
      </c>
      <c r="AJ9" s="882">
        <v>36.69256049282869</v>
      </c>
      <c r="AK9" s="882">
        <v>38.766090611676546</v>
      </c>
      <c r="AL9" s="882">
        <v>40.839620730524402</v>
      </c>
      <c r="AM9" s="882">
        <v>42.913150849372244</v>
      </c>
      <c r="AN9" s="882">
        <v>44.986680968220099</v>
      </c>
      <c r="AO9" s="882">
        <v>47.060211087067948</v>
      </c>
      <c r="AP9" s="882">
        <v>49.133741205915804</v>
      </c>
      <c r="AQ9" s="882">
        <v>51.20727132476366</v>
      </c>
      <c r="AR9" s="882">
        <v>53.280801443611509</v>
      </c>
      <c r="AS9" s="882">
        <v>55.354331562459357</v>
      </c>
      <c r="AT9" s="882">
        <v>57.427861681307249</v>
      </c>
    </row>
    <row r="10" spans="1:255">
      <c r="A10" s="1426"/>
      <c r="B10" s="1427"/>
      <c r="C10" s="887">
        <v>0.4</v>
      </c>
      <c r="D10" s="902">
        <f>(AA10*KFC!$B$16+KFC!$C$16)*KFC!$C$5</f>
        <v>18.587894684795998</v>
      </c>
      <c r="E10" s="898">
        <f>(AB10*KFC!$B$16+KFC!$C$16)*KFC!$C$5</f>
        <v>20.76982334904671</v>
      </c>
      <c r="F10" s="898">
        <f>(AC10*KFC!$B$16+KFC!$C$16)*KFC!$C$5</f>
        <v>22.951752013297419</v>
      </c>
      <c r="G10" s="898">
        <f>(AD10*KFC!$B$16+KFC!$C$16)*KFC!$C$5</f>
        <v>25.133680677548128</v>
      </c>
      <c r="H10" s="898">
        <f>(AE10*KFC!$B$16+KFC!$C$16)*KFC!$C$5</f>
        <v>27.315609341798837</v>
      </c>
      <c r="I10" s="898">
        <f>(AF10*KFC!$B$16+KFC!$C$16)*KFC!$C$5</f>
        <v>29.497538006049545</v>
      </c>
      <c r="J10" s="898">
        <f>(AG10*KFC!$B$16+KFC!$C$16)*KFC!$C$5</f>
        <v>31.679466670300251</v>
      </c>
      <c r="K10" s="898">
        <f>(AH10*KFC!$B$16+KFC!$C$16)*KFC!$C$5</f>
        <v>33.861395334550963</v>
      </c>
      <c r="L10" s="898">
        <f>(AI10*KFC!$B$16+KFC!$C$16)*KFC!$C$5</f>
        <v>36.043323998801675</v>
      </c>
      <c r="M10" s="898">
        <f>(AJ10*KFC!$B$16+KFC!$C$16)*KFC!$C$5</f>
        <v>38.22525266305238</v>
      </c>
      <c r="N10" s="898">
        <f>(AK10*KFC!$B$16+KFC!$C$16)*KFC!$C$5</f>
        <v>40.407181327303086</v>
      </c>
      <c r="O10" s="898">
        <f>(AL10*KFC!$B$16+KFC!$C$16)*KFC!$C$5</f>
        <v>42.589109991553798</v>
      </c>
      <c r="P10" s="898">
        <f>(AM10*KFC!$B$16+KFC!$C$16)*KFC!$C$5</f>
        <v>44.771038655804496</v>
      </c>
      <c r="Q10" s="898">
        <f>(AN10*KFC!$B$16+KFC!$C$16)*KFC!$C$5</f>
        <v>46.952967320055215</v>
      </c>
      <c r="R10" s="898">
        <f>(AO10*KFC!$B$16+KFC!$C$16)*KFC!$C$5</f>
        <v>49.134895984305921</v>
      </c>
      <c r="S10" s="898">
        <f>(AP10*KFC!$B$16+KFC!$C$16)*KFC!$C$5</f>
        <v>51.316824648556626</v>
      </c>
      <c r="T10" s="898">
        <f>(AQ10*KFC!$B$16+KFC!$C$16)*KFC!$C$5</f>
        <v>53.498753312807345</v>
      </c>
      <c r="U10" s="898">
        <f>(AR10*KFC!$B$16+KFC!$C$16)*KFC!$C$5</f>
        <v>55.68068197705805</v>
      </c>
      <c r="V10" s="898">
        <f>(AS10*KFC!$B$16+KFC!$C$16)*KFC!$C$5</f>
        <v>57.862610641308756</v>
      </c>
      <c r="W10" s="903">
        <f>(AT10*KFC!$B$16+KFC!$C$16)*KFC!$C$5</f>
        <v>60.044539305559496</v>
      </c>
      <c r="Y10" s="1277"/>
      <c r="Z10" s="649">
        <v>0.4</v>
      </c>
      <c r="AA10" s="882">
        <v>18.587894684795998</v>
      </c>
      <c r="AB10" s="882">
        <v>20.76982334904671</v>
      </c>
      <c r="AC10" s="882">
        <v>22.951752013297419</v>
      </c>
      <c r="AD10" s="882">
        <v>25.133680677548128</v>
      </c>
      <c r="AE10" s="882">
        <v>27.315609341798837</v>
      </c>
      <c r="AF10" s="882">
        <v>29.497538006049545</v>
      </c>
      <c r="AG10" s="882">
        <v>31.679466670300251</v>
      </c>
      <c r="AH10" s="882">
        <v>33.861395334550963</v>
      </c>
      <c r="AI10" s="882">
        <v>36.043323998801675</v>
      </c>
      <c r="AJ10" s="882">
        <v>38.22525266305238</v>
      </c>
      <c r="AK10" s="882">
        <v>40.407181327303086</v>
      </c>
      <c r="AL10" s="882">
        <v>42.589109991553798</v>
      </c>
      <c r="AM10" s="882">
        <v>44.771038655804496</v>
      </c>
      <c r="AN10" s="882">
        <v>46.952967320055215</v>
      </c>
      <c r="AO10" s="882">
        <v>49.134895984305921</v>
      </c>
      <c r="AP10" s="882">
        <v>51.316824648556626</v>
      </c>
      <c r="AQ10" s="882">
        <v>53.498753312807345</v>
      </c>
      <c r="AR10" s="882">
        <v>55.68068197705805</v>
      </c>
      <c r="AS10" s="882">
        <v>57.862610641308756</v>
      </c>
      <c r="AT10" s="882">
        <v>60.044539305559496</v>
      </c>
    </row>
    <row r="11" spans="1:255">
      <c r="A11" s="1426"/>
      <c r="B11" s="1427"/>
      <c r="C11" s="887">
        <v>0.5</v>
      </c>
      <c r="D11" s="902">
        <f>(AA11*KFC!$B$16+KFC!$C$16)*KFC!$C$5</f>
        <v>19.144999946393998</v>
      </c>
      <c r="E11" s="898">
        <f>(AB11*KFC!$B$16+KFC!$C$16)*KFC!$C$5</f>
        <v>21.43532715604756</v>
      </c>
      <c r="F11" s="898">
        <f>(AC11*KFC!$B$16+KFC!$C$16)*KFC!$C$5</f>
        <v>23.725654365701125</v>
      </c>
      <c r="G11" s="898">
        <f>(AD11*KFC!$B$16+KFC!$C$16)*KFC!$C$5</f>
        <v>26.015981575354694</v>
      </c>
      <c r="H11" s="898">
        <f>(AE11*KFC!$B$16+KFC!$C$16)*KFC!$C$5</f>
        <v>28.306308785008259</v>
      </c>
      <c r="I11" s="898">
        <f>(AF11*KFC!$B$16+KFC!$C$16)*KFC!$C$5</f>
        <v>30.596635994661824</v>
      </c>
      <c r="J11" s="898">
        <f>(AG11*KFC!$B$16+KFC!$C$16)*KFC!$C$5</f>
        <v>32.886963204315393</v>
      </c>
      <c r="K11" s="898">
        <f>(AH11*KFC!$B$16+KFC!$C$16)*KFC!$C$5</f>
        <v>35.177290413968954</v>
      </c>
      <c r="L11" s="898">
        <f>(AI11*KFC!$B$16+KFC!$C$16)*KFC!$C$5</f>
        <v>37.467617623622516</v>
      </c>
      <c r="M11" s="898">
        <f>(AJ11*KFC!$B$16+KFC!$C$16)*KFC!$C$5</f>
        <v>39.757944833276085</v>
      </c>
      <c r="N11" s="898">
        <f>(AK11*KFC!$B$16+KFC!$C$16)*KFC!$C$5</f>
        <v>42.048272042929653</v>
      </c>
      <c r="O11" s="898">
        <f>(AL11*KFC!$B$16+KFC!$C$16)*KFC!$C$5</f>
        <v>44.338599252583215</v>
      </c>
      <c r="P11" s="898">
        <f>(AM11*KFC!$B$16+KFC!$C$16)*KFC!$C$5</f>
        <v>46.628926462236777</v>
      </c>
      <c r="Q11" s="898">
        <f>(AN11*KFC!$B$16+KFC!$C$16)*KFC!$C$5</f>
        <v>48.919253671890345</v>
      </c>
      <c r="R11" s="898">
        <f>(AO11*KFC!$B$16+KFC!$C$16)*KFC!$C$5</f>
        <v>51.209580881543907</v>
      </c>
      <c r="S11" s="898">
        <f>(AP11*KFC!$B$16+KFC!$C$16)*KFC!$C$5</f>
        <v>53.499908091197476</v>
      </c>
      <c r="T11" s="898">
        <f>(AQ11*KFC!$B$16+KFC!$C$16)*KFC!$C$5</f>
        <v>55.790235300851045</v>
      </c>
      <c r="U11" s="898">
        <f>(AR11*KFC!$B$16+KFC!$C$16)*KFC!$C$5</f>
        <v>58.080562510504606</v>
      </c>
      <c r="V11" s="898">
        <f>(AS11*KFC!$B$16+KFC!$C$16)*KFC!$C$5</f>
        <v>60.370889720158175</v>
      </c>
      <c r="W11" s="903">
        <f>(AT11*KFC!$B$16+KFC!$C$16)*KFC!$C$5</f>
        <v>62.661216929811751</v>
      </c>
      <c r="Y11" s="1277"/>
      <c r="Z11" s="649">
        <v>0.5</v>
      </c>
      <c r="AA11" s="882">
        <v>19.144999946393998</v>
      </c>
      <c r="AB11" s="882">
        <v>21.43532715604756</v>
      </c>
      <c r="AC11" s="882">
        <v>23.725654365701125</v>
      </c>
      <c r="AD11" s="882">
        <v>26.015981575354694</v>
      </c>
      <c r="AE11" s="882">
        <v>28.306308785008259</v>
      </c>
      <c r="AF11" s="882">
        <v>30.596635994661824</v>
      </c>
      <c r="AG11" s="882">
        <v>32.886963204315393</v>
      </c>
      <c r="AH11" s="882">
        <v>35.177290413968954</v>
      </c>
      <c r="AI11" s="882">
        <v>37.467617623622516</v>
      </c>
      <c r="AJ11" s="882">
        <v>39.757944833276085</v>
      </c>
      <c r="AK11" s="882">
        <v>42.048272042929653</v>
      </c>
      <c r="AL11" s="882">
        <v>44.338599252583215</v>
      </c>
      <c r="AM11" s="882">
        <v>46.628926462236777</v>
      </c>
      <c r="AN11" s="882">
        <v>48.919253671890345</v>
      </c>
      <c r="AO11" s="882">
        <v>51.209580881543907</v>
      </c>
      <c r="AP11" s="882">
        <v>53.499908091197476</v>
      </c>
      <c r="AQ11" s="882">
        <v>55.790235300851045</v>
      </c>
      <c r="AR11" s="882">
        <v>58.080562510504606</v>
      </c>
      <c r="AS11" s="882">
        <v>60.370889720158175</v>
      </c>
      <c r="AT11" s="882">
        <v>62.661216929811751</v>
      </c>
    </row>
    <row r="12" spans="1:255">
      <c r="A12" s="1426"/>
      <c r="B12" s="1427"/>
      <c r="C12" s="887">
        <v>0.6</v>
      </c>
      <c r="D12" s="902">
        <f>(AA12*KFC!$B$16+KFC!$C$16)*KFC!$C$5</f>
        <v>19.702105207991998</v>
      </c>
      <c r="E12" s="898">
        <f>(AB12*KFC!$B$16+KFC!$C$16)*KFC!$C$5</f>
        <v>22.10083096304842</v>
      </c>
      <c r="F12" s="898">
        <f>(AC12*KFC!$B$16+KFC!$C$16)*KFC!$C$5</f>
        <v>24.499556718104841</v>
      </c>
      <c r="G12" s="898">
        <f>(AD12*KFC!$B$16+KFC!$C$16)*KFC!$C$5</f>
        <v>26.898282473161263</v>
      </c>
      <c r="H12" s="898">
        <f>(AE12*KFC!$B$16+KFC!$C$16)*KFC!$C$5</f>
        <v>29.297008228217685</v>
      </c>
      <c r="I12" s="898">
        <f>(AF12*KFC!$B$16+KFC!$C$16)*KFC!$C$5</f>
        <v>31.695733983274106</v>
      </c>
      <c r="J12" s="898">
        <f>(AG12*KFC!$B$16+KFC!$C$16)*KFC!$C$5</f>
        <v>34.094459738330528</v>
      </c>
      <c r="K12" s="898">
        <f>(AH12*KFC!$B$16+KFC!$C$16)*KFC!$C$5</f>
        <v>36.493185493386946</v>
      </c>
      <c r="L12" s="898">
        <f>(AI12*KFC!$B$16+KFC!$C$16)*KFC!$C$5</f>
        <v>38.891911248443371</v>
      </c>
      <c r="M12" s="898">
        <f>(AJ12*KFC!$B$16+KFC!$C$16)*KFC!$C$5</f>
        <v>41.290637003499789</v>
      </c>
      <c r="N12" s="898">
        <f>(AK12*KFC!$B$16+KFC!$C$16)*KFC!$C$5</f>
        <v>43.689362758556214</v>
      </c>
      <c r="O12" s="898">
        <f>(AL12*KFC!$B$16+KFC!$C$16)*KFC!$C$5</f>
        <v>46.088088513612632</v>
      </c>
      <c r="P12" s="898">
        <f>(AM12*KFC!$B$16+KFC!$C$16)*KFC!$C$5</f>
        <v>48.486814268669058</v>
      </c>
      <c r="Q12" s="898">
        <f>(AN12*KFC!$B$16+KFC!$C$16)*KFC!$C$5</f>
        <v>50.885540023725476</v>
      </c>
      <c r="R12" s="898">
        <f>(AO12*KFC!$B$16+KFC!$C$16)*KFC!$C$5</f>
        <v>53.284265778781901</v>
      </c>
      <c r="S12" s="898">
        <f>(AP12*KFC!$B$16+KFC!$C$16)*KFC!$C$5</f>
        <v>55.682991533838326</v>
      </c>
      <c r="T12" s="898">
        <f>(AQ12*KFC!$B$16+KFC!$C$16)*KFC!$C$5</f>
        <v>58.081717288894744</v>
      </c>
      <c r="U12" s="898">
        <f>(AR12*KFC!$B$16+KFC!$C$16)*KFC!$C$5</f>
        <v>60.480443043951155</v>
      </c>
      <c r="V12" s="898">
        <f>(AS12*KFC!$B$16+KFC!$C$16)*KFC!$C$5</f>
        <v>62.879168799007587</v>
      </c>
      <c r="W12" s="903">
        <f>(AT12*KFC!$B$16+KFC!$C$16)*KFC!$C$5</f>
        <v>65.277894554064005</v>
      </c>
      <c r="Y12" s="1277"/>
      <c r="Z12" s="649">
        <v>0.6</v>
      </c>
      <c r="AA12" s="882">
        <v>19.702105207991998</v>
      </c>
      <c r="AB12" s="882">
        <v>22.10083096304842</v>
      </c>
      <c r="AC12" s="882">
        <v>24.499556718104841</v>
      </c>
      <c r="AD12" s="882">
        <v>26.898282473161263</v>
      </c>
      <c r="AE12" s="882">
        <v>29.297008228217685</v>
      </c>
      <c r="AF12" s="882">
        <v>31.695733983274106</v>
      </c>
      <c r="AG12" s="882">
        <v>34.094459738330528</v>
      </c>
      <c r="AH12" s="882">
        <v>36.493185493386946</v>
      </c>
      <c r="AI12" s="882">
        <v>38.891911248443371</v>
      </c>
      <c r="AJ12" s="882">
        <v>41.290637003499789</v>
      </c>
      <c r="AK12" s="882">
        <v>43.689362758556214</v>
      </c>
      <c r="AL12" s="882">
        <v>46.088088513612632</v>
      </c>
      <c r="AM12" s="882">
        <v>48.486814268669058</v>
      </c>
      <c r="AN12" s="882">
        <v>50.885540023725476</v>
      </c>
      <c r="AO12" s="882">
        <v>53.284265778781901</v>
      </c>
      <c r="AP12" s="882">
        <v>55.682991533838326</v>
      </c>
      <c r="AQ12" s="882">
        <v>58.081717288894744</v>
      </c>
      <c r="AR12" s="882">
        <v>60.480443043951155</v>
      </c>
      <c r="AS12" s="882">
        <v>62.879168799007587</v>
      </c>
      <c r="AT12" s="882">
        <v>65.277894554064005</v>
      </c>
    </row>
    <row r="13" spans="1:255">
      <c r="A13" s="1426"/>
      <c r="B13" s="1427"/>
      <c r="C13" s="887">
        <v>0.7</v>
      </c>
      <c r="D13" s="902">
        <f>(AA13*KFC!$B$16+KFC!$C$16)*KFC!$C$5</f>
        <v>20.259210469589995</v>
      </c>
      <c r="E13" s="898">
        <f>(AB13*KFC!$B$16+KFC!$C$16)*KFC!$C$5</f>
        <v>22.766334770049273</v>
      </c>
      <c r="F13" s="898">
        <f>(AC13*KFC!$B$16+KFC!$C$16)*KFC!$C$5</f>
        <v>25.273459070508547</v>
      </c>
      <c r="G13" s="898">
        <f>(AD13*KFC!$B$16+KFC!$C$16)*KFC!$C$5</f>
        <v>27.780583370967825</v>
      </c>
      <c r="H13" s="898">
        <f>(AE13*KFC!$B$16+KFC!$C$16)*KFC!$C$5</f>
        <v>30.287707671427096</v>
      </c>
      <c r="I13" s="898">
        <f>(AF13*KFC!$B$16+KFC!$C$16)*KFC!$C$5</f>
        <v>32.794831971886374</v>
      </c>
      <c r="J13" s="898">
        <f>(AG13*KFC!$B$16+KFC!$C$16)*KFC!$C$5</f>
        <v>35.301956272345649</v>
      </c>
      <c r="K13" s="898">
        <f>(AH13*KFC!$B$16+KFC!$C$16)*KFC!$C$5</f>
        <v>37.809080572804923</v>
      </c>
      <c r="L13" s="898">
        <f>(AI13*KFC!$B$16+KFC!$C$16)*KFC!$C$5</f>
        <v>40.316204873264205</v>
      </c>
      <c r="M13" s="898">
        <f>(AJ13*KFC!$B$16+KFC!$C$16)*KFC!$C$5</f>
        <v>42.823329173723479</v>
      </c>
      <c r="N13" s="898">
        <f>(AK13*KFC!$B$16+KFC!$C$16)*KFC!$C$5</f>
        <v>45.330453474182768</v>
      </c>
      <c r="O13" s="898">
        <f>(AL13*KFC!$B$16+KFC!$C$16)*KFC!$C$5</f>
        <v>47.837577774642035</v>
      </c>
      <c r="P13" s="898">
        <f>(AM13*KFC!$B$16+KFC!$C$16)*KFC!$C$5</f>
        <v>50.344702075101317</v>
      </c>
      <c r="Q13" s="898">
        <f>(AN13*KFC!$B$16+KFC!$C$16)*KFC!$C$5</f>
        <v>52.851826375560591</v>
      </c>
      <c r="R13" s="898">
        <f>(AO13*KFC!$B$16+KFC!$C$16)*KFC!$C$5</f>
        <v>55.358950676019873</v>
      </c>
      <c r="S13" s="898">
        <f>(AP13*KFC!$B$16+KFC!$C$16)*KFC!$C$5</f>
        <v>57.866074976479155</v>
      </c>
      <c r="T13" s="898">
        <f>(AQ13*KFC!$B$16+KFC!$C$16)*KFC!$C$5</f>
        <v>60.373199276938429</v>
      </c>
      <c r="U13" s="898">
        <f>(AR13*KFC!$B$16+KFC!$C$16)*KFC!$C$5</f>
        <v>62.880323577397711</v>
      </c>
      <c r="V13" s="898">
        <f>(AS13*KFC!$B$16+KFC!$C$16)*KFC!$C$5</f>
        <v>65.387447877856999</v>
      </c>
      <c r="W13" s="903">
        <f>(AT13*KFC!$B$16+KFC!$C$16)*KFC!$C$5</f>
        <v>67.894572178316238</v>
      </c>
      <c r="Y13" s="1277"/>
      <c r="Z13" s="649">
        <v>0.7</v>
      </c>
      <c r="AA13" s="882">
        <v>20.259210469589995</v>
      </c>
      <c r="AB13" s="882">
        <v>22.766334770049273</v>
      </c>
      <c r="AC13" s="882">
        <v>25.273459070508547</v>
      </c>
      <c r="AD13" s="882">
        <v>27.780583370967825</v>
      </c>
      <c r="AE13" s="882">
        <v>30.287707671427096</v>
      </c>
      <c r="AF13" s="882">
        <v>32.794831971886374</v>
      </c>
      <c r="AG13" s="882">
        <v>35.301956272345649</v>
      </c>
      <c r="AH13" s="882">
        <v>37.809080572804923</v>
      </c>
      <c r="AI13" s="882">
        <v>40.316204873264205</v>
      </c>
      <c r="AJ13" s="882">
        <v>42.823329173723479</v>
      </c>
      <c r="AK13" s="882">
        <v>45.330453474182768</v>
      </c>
      <c r="AL13" s="882">
        <v>47.837577774642035</v>
      </c>
      <c r="AM13" s="882">
        <v>50.344702075101317</v>
      </c>
      <c r="AN13" s="882">
        <v>52.851826375560591</v>
      </c>
      <c r="AO13" s="882">
        <v>55.358950676019873</v>
      </c>
      <c r="AP13" s="882">
        <v>57.866074976479155</v>
      </c>
      <c r="AQ13" s="882">
        <v>60.373199276938429</v>
      </c>
      <c r="AR13" s="882">
        <v>62.880323577397711</v>
      </c>
      <c r="AS13" s="882">
        <v>65.387447877856999</v>
      </c>
      <c r="AT13" s="882">
        <v>67.894572178316238</v>
      </c>
    </row>
    <row r="14" spans="1:255">
      <c r="A14" s="1426"/>
      <c r="B14" s="1427"/>
      <c r="C14" s="887">
        <v>0.8</v>
      </c>
      <c r="D14" s="902">
        <f>(AA14*KFC!$B$16+KFC!$C$16)*KFC!$C$5</f>
        <v>20.816315731187998</v>
      </c>
      <c r="E14" s="898">
        <f>(AB14*KFC!$B$16+KFC!$C$16)*KFC!$C$5</f>
        <v>23.431838577050129</v>
      </c>
      <c r="F14" s="898">
        <f>(AC14*KFC!$B$16+KFC!$C$16)*KFC!$C$5</f>
        <v>26.04736142291226</v>
      </c>
      <c r="G14" s="898">
        <f>(AD14*KFC!$B$16+KFC!$C$16)*KFC!$C$5</f>
        <v>28.662884268774391</v>
      </c>
      <c r="H14" s="898">
        <f>(AE14*KFC!$B$16+KFC!$C$16)*KFC!$C$5</f>
        <v>31.278407114636522</v>
      </c>
      <c r="I14" s="898">
        <f>(AF14*KFC!$B$16+KFC!$C$16)*KFC!$C$5</f>
        <v>33.893929960498653</v>
      </c>
      <c r="J14" s="898">
        <f>(AG14*KFC!$B$16+KFC!$C$16)*KFC!$C$5</f>
        <v>36.509452806360784</v>
      </c>
      <c r="K14" s="898">
        <f>(AH14*KFC!$B$16+KFC!$C$16)*KFC!$C$5</f>
        <v>39.124975652222908</v>
      </c>
      <c r="L14" s="898">
        <f>(AI14*KFC!$B$16+KFC!$C$16)*KFC!$C$5</f>
        <v>41.740498498085039</v>
      </c>
      <c r="M14" s="898">
        <f>(AJ14*KFC!$B$16+KFC!$C$16)*KFC!$C$5</f>
        <v>44.35602134394717</v>
      </c>
      <c r="N14" s="898">
        <f>(AK14*KFC!$B$16+KFC!$C$16)*KFC!$C$5</f>
        <v>46.9715441898093</v>
      </c>
      <c r="O14" s="898">
        <f>(AL14*KFC!$B$16+KFC!$C$16)*KFC!$C$5</f>
        <v>49.587067035671424</v>
      </c>
      <c r="P14" s="898">
        <f>(AM14*KFC!$B$16+KFC!$C$16)*KFC!$C$5</f>
        <v>52.202589881533548</v>
      </c>
      <c r="Q14" s="898">
        <f>(AN14*KFC!$B$16+KFC!$C$16)*KFC!$C$5</f>
        <v>54.818112727395679</v>
      </c>
      <c r="R14" s="898">
        <f>(AO14*KFC!$B$16+KFC!$C$16)*KFC!$C$5</f>
        <v>57.433635573257817</v>
      </c>
      <c r="S14" s="898">
        <f>(AP14*KFC!$B$16+KFC!$C$16)*KFC!$C$5</f>
        <v>60.049158419119941</v>
      </c>
      <c r="T14" s="898">
        <f>(AQ14*KFC!$B$16+KFC!$C$16)*KFC!$C$5</f>
        <v>62.664681264982065</v>
      </c>
      <c r="U14" s="898">
        <f>(AR14*KFC!$B$16+KFC!$C$16)*KFC!$C$5</f>
        <v>65.280204110844195</v>
      </c>
      <c r="V14" s="898">
        <f>(AS14*KFC!$B$16+KFC!$C$16)*KFC!$C$5</f>
        <v>67.895726956706312</v>
      </c>
      <c r="W14" s="903">
        <f>(AT14*KFC!$B$16+KFC!$C$16)*KFC!$C$5</f>
        <v>70.511249802568486</v>
      </c>
      <c r="Y14" s="1277"/>
      <c r="Z14" s="649">
        <v>0.8</v>
      </c>
      <c r="AA14" s="882">
        <v>20.816315731187998</v>
      </c>
      <c r="AB14" s="882">
        <v>23.431838577050129</v>
      </c>
      <c r="AC14" s="882">
        <v>26.04736142291226</v>
      </c>
      <c r="AD14" s="882">
        <v>28.662884268774391</v>
      </c>
      <c r="AE14" s="882">
        <v>31.278407114636522</v>
      </c>
      <c r="AF14" s="882">
        <v>33.893929960498653</v>
      </c>
      <c r="AG14" s="882">
        <v>36.509452806360784</v>
      </c>
      <c r="AH14" s="882">
        <v>39.124975652222908</v>
      </c>
      <c r="AI14" s="882">
        <v>41.740498498085039</v>
      </c>
      <c r="AJ14" s="882">
        <v>44.35602134394717</v>
      </c>
      <c r="AK14" s="882">
        <v>46.9715441898093</v>
      </c>
      <c r="AL14" s="882">
        <v>49.587067035671424</v>
      </c>
      <c r="AM14" s="882">
        <v>52.202589881533548</v>
      </c>
      <c r="AN14" s="882">
        <v>54.818112727395679</v>
      </c>
      <c r="AO14" s="882">
        <v>57.433635573257817</v>
      </c>
      <c r="AP14" s="882">
        <v>60.049158419119941</v>
      </c>
      <c r="AQ14" s="882">
        <v>62.664681264982065</v>
      </c>
      <c r="AR14" s="882">
        <v>65.280204110844195</v>
      </c>
      <c r="AS14" s="882">
        <v>67.895726956706312</v>
      </c>
      <c r="AT14" s="882">
        <v>70.511249802568486</v>
      </c>
    </row>
    <row r="15" spans="1:255">
      <c r="A15" s="1426"/>
      <c r="B15" s="1427"/>
      <c r="C15" s="887">
        <v>0.9</v>
      </c>
      <c r="D15" s="902">
        <f>(AA15*KFC!$B$16+KFC!$C$16)*KFC!$C$5</f>
        <v>21.373420992785999</v>
      </c>
      <c r="E15" s="898">
        <f>(AB15*KFC!$B$16+KFC!$C$16)*KFC!$C$5</f>
        <v>24.097342384050979</v>
      </c>
      <c r="F15" s="898">
        <f>(AC15*KFC!$B$16+KFC!$C$16)*KFC!$C$5</f>
        <v>26.821263775315966</v>
      </c>
      <c r="G15" s="898">
        <f>(AD15*KFC!$B$16+KFC!$C$16)*KFC!$C$5</f>
        <v>29.545185166580954</v>
      </c>
      <c r="H15" s="898">
        <f>(AE15*KFC!$B$16+KFC!$C$16)*KFC!$C$5</f>
        <v>32.26910655784593</v>
      </c>
      <c r="I15" s="898">
        <f>(AF15*KFC!$B$16+KFC!$C$16)*KFC!$C$5</f>
        <v>34.993027949110918</v>
      </c>
      <c r="J15" s="898">
        <f>(AG15*KFC!$B$16+KFC!$C$16)*KFC!$C$5</f>
        <v>37.716949340375905</v>
      </c>
      <c r="K15" s="898">
        <f>(AH15*KFC!$B$16+KFC!$C$16)*KFC!$C$5</f>
        <v>40.440870731640892</v>
      </c>
      <c r="L15" s="898">
        <f>(AI15*KFC!$B$16+KFC!$C$16)*KFC!$C$5</f>
        <v>43.16479212290588</v>
      </c>
      <c r="M15" s="898">
        <f>(AJ15*KFC!$B$16+KFC!$C$16)*KFC!$C$5</f>
        <v>45.888713514170867</v>
      </c>
      <c r="N15" s="898">
        <f>(AK15*KFC!$B$16+KFC!$C$16)*KFC!$C$5</f>
        <v>48.612634905435847</v>
      </c>
      <c r="O15" s="898">
        <f>(AL15*KFC!$B$16+KFC!$C$16)*KFC!$C$5</f>
        <v>51.336556296700827</v>
      </c>
      <c r="P15" s="898">
        <f>(AM15*KFC!$B$16+KFC!$C$16)*KFC!$C$5</f>
        <v>54.060477687965815</v>
      </c>
      <c r="Q15" s="898">
        <f>(AN15*KFC!$B$16+KFC!$C$16)*KFC!$C$5</f>
        <v>56.784399079230802</v>
      </c>
      <c r="R15" s="898">
        <f>(AO15*KFC!$B$16+KFC!$C$16)*KFC!$C$5</f>
        <v>59.508320470495782</v>
      </c>
      <c r="S15" s="898">
        <f>(AP15*KFC!$B$16+KFC!$C$16)*KFC!$C$5</f>
        <v>62.23224186176077</v>
      </c>
      <c r="T15" s="898">
        <f>(AQ15*KFC!$B$16+KFC!$C$16)*KFC!$C$5</f>
        <v>64.95616325302575</v>
      </c>
      <c r="U15" s="898">
        <f>(AR15*KFC!$B$16+KFC!$C$16)*KFC!$C$5</f>
        <v>67.680084644290744</v>
      </c>
      <c r="V15" s="898">
        <f>(AS15*KFC!$B$16+KFC!$C$16)*KFC!$C$5</f>
        <v>70.404006035555724</v>
      </c>
      <c r="W15" s="903">
        <f>(AT15*KFC!$B$16+KFC!$C$16)*KFC!$C$5</f>
        <v>73.127927426820747</v>
      </c>
      <c r="Y15" s="1277"/>
      <c r="Z15" s="649">
        <v>0.9</v>
      </c>
      <c r="AA15" s="882">
        <v>21.373420992785999</v>
      </c>
      <c r="AB15" s="882">
        <v>24.097342384050979</v>
      </c>
      <c r="AC15" s="882">
        <v>26.821263775315966</v>
      </c>
      <c r="AD15" s="882">
        <v>29.545185166580954</v>
      </c>
      <c r="AE15" s="882">
        <v>32.26910655784593</v>
      </c>
      <c r="AF15" s="882">
        <v>34.993027949110918</v>
      </c>
      <c r="AG15" s="882">
        <v>37.716949340375905</v>
      </c>
      <c r="AH15" s="882">
        <v>40.440870731640892</v>
      </c>
      <c r="AI15" s="882">
        <v>43.16479212290588</v>
      </c>
      <c r="AJ15" s="882">
        <v>45.888713514170867</v>
      </c>
      <c r="AK15" s="882">
        <v>48.612634905435847</v>
      </c>
      <c r="AL15" s="882">
        <v>51.336556296700827</v>
      </c>
      <c r="AM15" s="882">
        <v>54.060477687965815</v>
      </c>
      <c r="AN15" s="882">
        <v>56.784399079230802</v>
      </c>
      <c r="AO15" s="882">
        <v>59.508320470495782</v>
      </c>
      <c r="AP15" s="882">
        <v>62.23224186176077</v>
      </c>
      <c r="AQ15" s="882">
        <v>64.95616325302575</v>
      </c>
      <c r="AR15" s="882">
        <v>67.680084644290744</v>
      </c>
      <c r="AS15" s="882">
        <v>70.404006035555724</v>
      </c>
      <c r="AT15" s="882">
        <v>73.127927426820747</v>
      </c>
    </row>
    <row r="16" spans="1:255">
      <c r="A16" s="1426"/>
      <c r="B16" s="1427"/>
      <c r="C16" s="887">
        <v>1</v>
      </c>
      <c r="D16" s="902">
        <f>(AA16*KFC!$B$16+KFC!$C$16)*KFC!$C$5</f>
        <v>21.930526254383995</v>
      </c>
      <c r="E16" s="898">
        <f>(AB16*KFC!$B$16+KFC!$C$16)*KFC!$C$5</f>
        <v>24.762846191051835</v>
      </c>
      <c r="F16" s="898">
        <f>(AC16*KFC!$B$16+KFC!$C$16)*KFC!$C$5</f>
        <v>27.595166127719683</v>
      </c>
      <c r="G16" s="898">
        <f>(AD16*KFC!$B$16+KFC!$C$16)*KFC!$C$5</f>
        <v>30.427486064387519</v>
      </c>
      <c r="H16" s="898">
        <f>(AE16*KFC!$B$16+KFC!$C$16)*KFC!$C$5</f>
        <v>33.259806001055367</v>
      </c>
      <c r="I16" s="898">
        <f>(AF16*KFC!$B$16+KFC!$C$16)*KFC!$C$5</f>
        <v>36.092125937723203</v>
      </c>
      <c r="J16" s="898">
        <f>(AG16*KFC!$B$16+KFC!$C$16)*KFC!$C$5</f>
        <v>38.92444587439104</v>
      </c>
      <c r="K16" s="898">
        <f>(AH16*KFC!$B$16+KFC!$C$16)*KFC!$C$5</f>
        <v>41.756765811058884</v>
      </c>
      <c r="L16" s="898">
        <f>(AI16*KFC!$B$16+KFC!$C$16)*KFC!$C$5</f>
        <v>44.58908574772672</v>
      </c>
      <c r="M16" s="898">
        <f>(AJ16*KFC!$B$16+KFC!$C$16)*KFC!$C$5</f>
        <v>47.421405684394564</v>
      </c>
      <c r="N16" s="898">
        <f>(AK16*KFC!$B$16+KFC!$C$16)*KFC!$C$5</f>
        <v>50.253725621062408</v>
      </c>
      <c r="O16" s="898">
        <f>(AL16*KFC!$B$16+KFC!$C$16)*KFC!$C$5</f>
        <v>53.086045557730245</v>
      </c>
      <c r="P16" s="898">
        <f>(AM16*KFC!$B$16+KFC!$C$16)*KFC!$C$5</f>
        <v>55.918365494398095</v>
      </c>
      <c r="Q16" s="898">
        <f>(AN16*KFC!$B$16+KFC!$C$16)*KFC!$C$5</f>
        <v>58.750685431065939</v>
      </c>
      <c r="R16" s="898">
        <f>(AO16*KFC!$B$16+KFC!$C$16)*KFC!$C$5</f>
        <v>61.583005367733776</v>
      </c>
      <c r="S16" s="898">
        <f>(AP16*KFC!$B$16+KFC!$C$16)*KFC!$C$5</f>
        <v>64.415325304401605</v>
      </c>
      <c r="T16" s="898">
        <f>(AQ16*KFC!$B$16+KFC!$C$16)*KFC!$C$5</f>
        <v>67.247645241069463</v>
      </c>
      <c r="U16" s="898">
        <f>(AR16*KFC!$B$16+KFC!$C$16)*KFC!$C$5</f>
        <v>70.079965177737307</v>
      </c>
      <c r="V16" s="898">
        <f>(AS16*KFC!$B$16+KFC!$C$16)*KFC!$C$5</f>
        <v>72.912285114405137</v>
      </c>
      <c r="W16" s="903">
        <f>(AT16*KFC!$B$16+KFC!$C$16)*KFC!$C$5</f>
        <v>75.74460505107298</v>
      </c>
      <c r="Y16" s="1277"/>
      <c r="Z16" s="649">
        <v>1</v>
      </c>
      <c r="AA16" s="882">
        <v>21.930526254383995</v>
      </c>
      <c r="AB16" s="882">
        <v>24.762846191051835</v>
      </c>
      <c r="AC16" s="882">
        <v>27.595166127719683</v>
      </c>
      <c r="AD16" s="882">
        <v>30.427486064387519</v>
      </c>
      <c r="AE16" s="882">
        <v>33.259806001055367</v>
      </c>
      <c r="AF16" s="882">
        <v>36.092125937723203</v>
      </c>
      <c r="AG16" s="882">
        <v>38.92444587439104</v>
      </c>
      <c r="AH16" s="882">
        <v>41.756765811058884</v>
      </c>
      <c r="AI16" s="882">
        <v>44.58908574772672</v>
      </c>
      <c r="AJ16" s="882">
        <v>47.421405684394564</v>
      </c>
      <c r="AK16" s="882">
        <v>50.253725621062408</v>
      </c>
      <c r="AL16" s="882">
        <v>53.086045557730245</v>
      </c>
      <c r="AM16" s="882">
        <v>55.918365494398095</v>
      </c>
      <c r="AN16" s="882">
        <v>58.750685431065939</v>
      </c>
      <c r="AO16" s="882">
        <v>61.583005367733776</v>
      </c>
      <c r="AP16" s="882">
        <v>64.415325304401605</v>
      </c>
      <c r="AQ16" s="882">
        <v>67.247645241069463</v>
      </c>
      <c r="AR16" s="882">
        <v>70.079965177737307</v>
      </c>
      <c r="AS16" s="882">
        <v>72.912285114405137</v>
      </c>
      <c r="AT16" s="882">
        <v>75.74460505107298</v>
      </c>
    </row>
    <row r="17" spans="1:46">
      <c r="A17" s="1426"/>
      <c r="B17" s="1427"/>
      <c r="C17" s="887">
        <v>1.1000000000000001</v>
      </c>
      <c r="D17" s="902">
        <f>(AA17*KFC!$B$16+KFC!$C$16)*KFC!$C$5</f>
        <v>22.487631515981995</v>
      </c>
      <c r="E17" s="898">
        <f>(AB17*KFC!$B$16+KFC!$C$16)*KFC!$C$5</f>
        <v>25.428349998052692</v>
      </c>
      <c r="F17" s="898">
        <f>(AC17*KFC!$B$16+KFC!$C$16)*KFC!$C$5</f>
        <v>28.369068480123392</v>
      </c>
      <c r="G17" s="898">
        <f>(AD17*KFC!$B$16+KFC!$C$16)*KFC!$C$5</f>
        <v>31.309786962194089</v>
      </c>
      <c r="H17" s="898">
        <f>(AE17*KFC!$B$16+KFC!$C$16)*KFC!$C$5</f>
        <v>34.250505444264789</v>
      </c>
      <c r="I17" s="898">
        <f>(AF17*KFC!$B$16+KFC!$C$16)*KFC!$C$5</f>
        <v>37.191223926335489</v>
      </c>
      <c r="J17" s="898">
        <f>(AG17*KFC!$B$16+KFC!$C$16)*KFC!$C$5</f>
        <v>40.131942408406189</v>
      </c>
      <c r="K17" s="898">
        <f>(AH17*KFC!$B$16+KFC!$C$16)*KFC!$C$5</f>
        <v>43.072660890476882</v>
      </c>
      <c r="L17" s="898">
        <f>(AI17*KFC!$B$16+KFC!$C$16)*KFC!$C$5</f>
        <v>46.013379372547575</v>
      </c>
      <c r="M17" s="898">
        <f>(AJ17*KFC!$B$16+KFC!$C$16)*KFC!$C$5</f>
        <v>48.954097854618283</v>
      </c>
      <c r="N17" s="898">
        <f>(AK17*KFC!$B$16+KFC!$C$16)*KFC!$C$5</f>
        <v>51.894816336688969</v>
      </c>
      <c r="O17" s="898">
        <f>(AL17*KFC!$B$16+KFC!$C$16)*KFC!$C$5</f>
        <v>54.835534818759676</v>
      </c>
      <c r="P17" s="898">
        <f>(AM17*KFC!$B$16+KFC!$C$16)*KFC!$C$5</f>
        <v>57.776253300830369</v>
      </c>
      <c r="Q17" s="898">
        <f>(AN17*KFC!$B$16+KFC!$C$16)*KFC!$C$5</f>
        <v>60.716971782901069</v>
      </c>
      <c r="R17" s="898">
        <f>(AO17*KFC!$B$16+KFC!$C$16)*KFC!$C$5</f>
        <v>63.657690264971777</v>
      </c>
      <c r="S17" s="898">
        <f>(AP17*KFC!$B$16+KFC!$C$16)*KFC!$C$5</f>
        <v>66.598408747042456</v>
      </c>
      <c r="T17" s="898">
        <f>(AQ17*KFC!$B$16+KFC!$C$16)*KFC!$C$5</f>
        <v>69.539127229113163</v>
      </c>
      <c r="U17" s="898">
        <f>(AR17*KFC!$B$16+KFC!$C$16)*KFC!$C$5</f>
        <v>72.479845711183842</v>
      </c>
      <c r="V17" s="898">
        <f>(AS17*KFC!$B$16+KFC!$C$16)*KFC!$C$5</f>
        <v>75.420564193254535</v>
      </c>
      <c r="W17" s="903">
        <f>(AT17*KFC!$B$16+KFC!$C$16)*KFC!$C$5</f>
        <v>78.361282675325228</v>
      </c>
      <c r="Y17" s="1277"/>
      <c r="Z17" s="649">
        <v>1.1000000000000001</v>
      </c>
      <c r="AA17" s="882">
        <v>22.487631515981995</v>
      </c>
      <c r="AB17" s="882">
        <v>25.428349998052692</v>
      </c>
      <c r="AC17" s="882">
        <v>28.369068480123392</v>
      </c>
      <c r="AD17" s="882">
        <v>31.309786962194089</v>
      </c>
      <c r="AE17" s="882">
        <v>34.250505444264789</v>
      </c>
      <c r="AF17" s="882">
        <v>37.191223926335489</v>
      </c>
      <c r="AG17" s="882">
        <v>40.131942408406189</v>
      </c>
      <c r="AH17" s="882">
        <v>43.072660890476882</v>
      </c>
      <c r="AI17" s="882">
        <v>46.013379372547575</v>
      </c>
      <c r="AJ17" s="882">
        <v>48.954097854618283</v>
      </c>
      <c r="AK17" s="882">
        <v>51.894816336688969</v>
      </c>
      <c r="AL17" s="882">
        <v>54.835534818759676</v>
      </c>
      <c r="AM17" s="882">
        <v>57.776253300830369</v>
      </c>
      <c r="AN17" s="882">
        <v>60.716971782901069</v>
      </c>
      <c r="AO17" s="882">
        <v>63.657690264971777</v>
      </c>
      <c r="AP17" s="882">
        <v>66.598408747042456</v>
      </c>
      <c r="AQ17" s="882">
        <v>69.539127229113163</v>
      </c>
      <c r="AR17" s="882">
        <v>72.479845711183842</v>
      </c>
      <c r="AS17" s="882">
        <v>75.420564193254535</v>
      </c>
      <c r="AT17" s="882">
        <v>78.361282675325228</v>
      </c>
    </row>
    <row r="18" spans="1:46">
      <c r="A18" s="1426"/>
      <c r="B18" s="1427"/>
      <c r="C18" s="887">
        <v>1.2</v>
      </c>
      <c r="D18" s="902">
        <f>(AA18*KFC!$B$16+KFC!$C$16)*KFC!$C$5</f>
        <v>23.044736777579992</v>
      </c>
      <c r="E18" s="898">
        <f>(AB18*KFC!$B$16+KFC!$C$16)*KFC!$C$5</f>
        <v>26.093853805053548</v>
      </c>
      <c r="F18" s="898">
        <f>(AC18*KFC!$B$16+KFC!$C$16)*KFC!$C$5</f>
        <v>29.142970832527098</v>
      </c>
      <c r="G18" s="898">
        <f>(AD18*KFC!$B$16+KFC!$C$16)*KFC!$C$5</f>
        <v>32.192087860000647</v>
      </c>
      <c r="H18" s="898">
        <f>(AE18*KFC!$B$16+KFC!$C$16)*KFC!$C$5</f>
        <v>35.241204887474204</v>
      </c>
      <c r="I18" s="898">
        <f>(AF18*KFC!$B$16+KFC!$C$16)*KFC!$C$5</f>
        <v>38.290321914947754</v>
      </c>
      <c r="J18" s="898">
        <f>(AG18*KFC!$B$16+KFC!$C$16)*KFC!$C$5</f>
        <v>41.339438942421296</v>
      </c>
      <c r="K18" s="898">
        <f>(AH18*KFC!$B$16+KFC!$C$16)*KFC!$C$5</f>
        <v>44.388555969894853</v>
      </c>
      <c r="L18" s="898">
        <f>(AI18*KFC!$B$16+KFC!$C$16)*KFC!$C$5</f>
        <v>47.437672997368409</v>
      </c>
      <c r="M18" s="898">
        <f>(AJ18*KFC!$B$16+KFC!$C$16)*KFC!$C$5</f>
        <v>50.486790024841966</v>
      </c>
      <c r="N18" s="898">
        <f>(AK18*KFC!$B$16+KFC!$C$16)*KFC!$C$5</f>
        <v>53.535907052315522</v>
      </c>
      <c r="O18" s="898">
        <f>(AL18*KFC!$B$16+KFC!$C$16)*KFC!$C$5</f>
        <v>56.585024079789065</v>
      </c>
      <c r="P18" s="898">
        <f>(AM18*KFC!$B$16+KFC!$C$16)*KFC!$C$5</f>
        <v>59.634141107262622</v>
      </c>
      <c r="Q18" s="898">
        <f>(AN18*KFC!$B$16+KFC!$C$16)*KFC!$C$5</f>
        <v>62.683258134736178</v>
      </c>
      <c r="R18" s="898">
        <f>(AO18*KFC!$B$16+KFC!$C$16)*KFC!$C$5</f>
        <v>65.732375162209735</v>
      </c>
      <c r="S18" s="898">
        <f>(AP18*KFC!$B$16+KFC!$C$16)*KFC!$C$5</f>
        <v>68.781492189683291</v>
      </c>
      <c r="T18" s="898">
        <f>(AQ18*KFC!$B$16+KFC!$C$16)*KFC!$C$5</f>
        <v>71.830609217156848</v>
      </c>
      <c r="U18" s="898">
        <f>(AR18*KFC!$B$16+KFC!$C$16)*KFC!$C$5</f>
        <v>74.879726244630405</v>
      </c>
      <c r="V18" s="898">
        <f>(AS18*KFC!$B$16+KFC!$C$16)*KFC!$C$5</f>
        <v>77.928843272103961</v>
      </c>
      <c r="W18" s="903">
        <f>(AT18*KFC!$B$16+KFC!$C$16)*KFC!$C$5</f>
        <v>80.977960299577475</v>
      </c>
      <c r="Y18" s="1277"/>
      <c r="Z18" s="649">
        <v>1.2</v>
      </c>
      <c r="AA18" s="882">
        <v>23.044736777579992</v>
      </c>
      <c r="AB18" s="882">
        <v>26.093853805053548</v>
      </c>
      <c r="AC18" s="882">
        <v>29.142970832527098</v>
      </c>
      <c r="AD18" s="882">
        <v>32.192087860000647</v>
      </c>
      <c r="AE18" s="882">
        <v>35.241204887474204</v>
      </c>
      <c r="AF18" s="882">
        <v>38.290321914947754</v>
      </c>
      <c r="AG18" s="882">
        <v>41.339438942421296</v>
      </c>
      <c r="AH18" s="882">
        <v>44.388555969894853</v>
      </c>
      <c r="AI18" s="882">
        <v>47.437672997368409</v>
      </c>
      <c r="AJ18" s="882">
        <v>50.486790024841966</v>
      </c>
      <c r="AK18" s="882">
        <v>53.535907052315522</v>
      </c>
      <c r="AL18" s="882">
        <v>56.585024079789065</v>
      </c>
      <c r="AM18" s="882">
        <v>59.634141107262622</v>
      </c>
      <c r="AN18" s="882">
        <v>62.683258134736178</v>
      </c>
      <c r="AO18" s="882">
        <v>65.732375162209735</v>
      </c>
      <c r="AP18" s="882">
        <v>68.781492189683291</v>
      </c>
      <c r="AQ18" s="882">
        <v>71.830609217156848</v>
      </c>
      <c r="AR18" s="882">
        <v>74.879726244630405</v>
      </c>
      <c r="AS18" s="882">
        <v>77.928843272103961</v>
      </c>
      <c r="AT18" s="882">
        <v>80.977960299577475</v>
      </c>
    </row>
    <row r="19" spans="1:46">
      <c r="A19" s="1426"/>
      <c r="B19" s="1427"/>
      <c r="C19" s="887">
        <v>1.3</v>
      </c>
      <c r="D19" s="902">
        <f>(AA19*KFC!$B$16+KFC!$C$16)*KFC!$C$5</f>
        <v>23.601842039177996</v>
      </c>
      <c r="E19" s="898">
        <f>(AB19*KFC!$B$16+KFC!$C$16)*KFC!$C$5</f>
        <v>26.759357612054401</v>
      </c>
      <c r="F19" s="898">
        <f>(AC19*KFC!$B$16+KFC!$C$16)*KFC!$C$5</f>
        <v>29.916873184930807</v>
      </c>
      <c r="G19" s="898">
        <f>(AD19*KFC!$B$16+KFC!$C$16)*KFC!$C$5</f>
        <v>33.074388757807206</v>
      </c>
      <c r="H19" s="898">
        <f>(AE19*KFC!$B$16+KFC!$C$16)*KFC!$C$5</f>
        <v>36.231904330683612</v>
      </c>
      <c r="I19" s="898">
        <f>(AF19*KFC!$B$16+KFC!$C$16)*KFC!$C$5</f>
        <v>39.389419903560018</v>
      </c>
      <c r="J19" s="898">
        <f>(AG19*KFC!$B$16+KFC!$C$16)*KFC!$C$5</f>
        <v>42.546935476436424</v>
      </c>
      <c r="K19" s="898">
        <f>(AH19*KFC!$B$16+KFC!$C$16)*KFC!$C$5</f>
        <v>45.70445104931283</v>
      </c>
      <c r="L19" s="898">
        <f>(AI19*KFC!$B$16+KFC!$C$16)*KFC!$C$5</f>
        <v>48.861966622189236</v>
      </c>
      <c r="M19" s="898">
        <f>(AJ19*KFC!$B$16+KFC!$C$16)*KFC!$C$5</f>
        <v>52.019482195065628</v>
      </c>
      <c r="N19" s="898">
        <f>(AK19*KFC!$B$16+KFC!$C$16)*KFC!$C$5</f>
        <v>55.176997767942048</v>
      </c>
      <c r="O19" s="898">
        <f>(AL19*KFC!$B$16+KFC!$C$16)*KFC!$C$5</f>
        <v>58.33451334081844</v>
      </c>
      <c r="P19" s="898">
        <f>(AM19*KFC!$B$16+KFC!$C$16)*KFC!$C$5</f>
        <v>61.492028913694845</v>
      </c>
      <c r="Q19" s="898">
        <f>(AN19*KFC!$B$16+KFC!$C$16)*KFC!$C$5</f>
        <v>64.649544486571259</v>
      </c>
      <c r="R19" s="898">
        <f>(AO19*KFC!$B$16+KFC!$C$16)*KFC!$C$5</f>
        <v>67.807060059447664</v>
      </c>
      <c r="S19" s="898">
        <f>(AP19*KFC!$B$16+KFC!$C$16)*KFC!$C$5</f>
        <v>70.96457563232407</v>
      </c>
      <c r="T19" s="898">
        <f>(AQ19*KFC!$B$16+KFC!$C$16)*KFC!$C$5</f>
        <v>74.122091205200476</v>
      </c>
      <c r="U19" s="898">
        <f>(AR19*KFC!$B$16+KFC!$C$16)*KFC!$C$5</f>
        <v>77.279606778076882</v>
      </c>
      <c r="V19" s="898">
        <f>(AS19*KFC!$B$16+KFC!$C$16)*KFC!$C$5</f>
        <v>80.437122350953288</v>
      </c>
      <c r="W19" s="903">
        <f>(AT19*KFC!$B$16+KFC!$C$16)*KFC!$C$5</f>
        <v>83.594637923829723</v>
      </c>
      <c r="Y19" s="1277"/>
      <c r="Z19" s="649">
        <v>1.3</v>
      </c>
      <c r="AA19" s="882">
        <v>23.601842039177996</v>
      </c>
      <c r="AB19" s="882">
        <v>26.759357612054401</v>
      </c>
      <c r="AC19" s="882">
        <v>29.916873184930807</v>
      </c>
      <c r="AD19" s="882">
        <v>33.074388757807206</v>
      </c>
      <c r="AE19" s="882">
        <v>36.231904330683612</v>
      </c>
      <c r="AF19" s="882">
        <v>39.389419903560018</v>
      </c>
      <c r="AG19" s="882">
        <v>42.546935476436424</v>
      </c>
      <c r="AH19" s="882">
        <v>45.70445104931283</v>
      </c>
      <c r="AI19" s="882">
        <v>48.861966622189236</v>
      </c>
      <c r="AJ19" s="882">
        <v>52.019482195065628</v>
      </c>
      <c r="AK19" s="882">
        <v>55.176997767942048</v>
      </c>
      <c r="AL19" s="882">
        <v>58.33451334081844</v>
      </c>
      <c r="AM19" s="882">
        <v>61.492028913694845</v>
      </c>
      <c r="AN19" s="882">
        <v>64.649544486571259</v>
      </c>
      <c r="AO19" s="882">
        <v>67.807060059447664</v>
      </c>
      <c r="AP19" s="882">
        <v>70.96457563232407</v>
      </c>
      <c r="AQ19" s="882">
        <v>74.122091205200476</v>
      </c>
      <c r="AR19" s="882">
        <v>77.279606778076882</v>
      </c>
      <c r="AS19" s="882">
        <v>80.437122350953288</v>
      </c>
      <c r="AT19" s="882">
        <v>83.594637923829723</v>
      </c>
    </row>
    <row r="20" spans="1:46">
      <c r="A20" s="1426"/>
      <c r="B20" s="1427"/>
      <c r="C20" s="887">
        <v>1.4</v>
      </c>
      <c r="D20" s="902">
        <f>(AA20*KFC!$B$16+KFC!$C$16)*KFC!$C$5</f>
        <v>24.158947300775996</v>
      </c>
      <c r="E20" s="898">
        <f>(AB20*KFC!$B$16+KFC!$C$16)*KFC!$C$5</f>
        <v>27.424861419055254</v>
      </c>
      <c r="F20" s="898">
        <f>(AC20*KFC!$B$16+KFC!$C$16)*KFC!$C$5</f>
        <v>30.690775537334517</v>
      </c>
      <c r="G20" s="898">
        <f>(AD20*KFC!$B$16+KFC!$C$16)*KFC!$C$5</f>
        <v>33.956689655613779</v>
      </c>
      <c r="H20" s="898">
        <f>(AE20*KFC!$B$16+KFC!$C$16)*KFC!$C$5</f>
        <v>37.222603773893042</v>
      </c>
      <c r="I20" s="898">
        <f>(AF20*KFC!$B$16+KFC!$C$16)*KFC!$C$5</f>
        <v>40.488517892172304</v>
      </c>
      <c r="J20" s="898">
        <f>(AG20*KFC!$B$16+KFC!$C$16)*KFC!$C$5</f>
        <v>43.754432010451573</v>
      </c>
      <c r="K20" s="898">
        <f>(AH20*KFC!$B$16+KFC!$C$16)*KFC!$C$5</f>
        <v>47.020346128730829</v>
      </c>
      <c r="L20" s="898">
        <f>(AI20*KFC!$B$16+KFC!$C$16)*KFC!$C$5</f>
        <v>50.286260247010084</v>
      </c>
      <c r="M20" s="898">
        <f>(AJ20*KFC!$B$16+KFC!$C$16)*KFC!$C$5</f>
        <v>53.552174365289346</v>
      </c>
      <c r="N20" s="898">
        <f>(AK20*KFC!$B$16+KFC!$C$16)*KFC!$C$5</f>
        <v>56.818088483568616</v>
      </c>
      <c r="O20" s="898">
        <f>(AL20*KFC!$B$16+KFC!$C$16)*KFC!$C$5</f>
        <v>60.084002601847871</v>
      </c>
      <c r="P20" s="898">
        <f>(AM20*KFC!$B$16+KFC!$C$16)*KFC!$C$5</f>
        <v>63.349916720127133</v>
      </c>
      <c r="Q20" s="898">
        <f>(AN20*KFC!$B$16+KFC!$C$16)*KFC!$C$5</f>
        <v>66.615830838406396</v>
      </c>
      <c r="R20" s="898">
        <f>(AO20*KFC!$B$16+KFC!$C$16)*KFC!$C$5</f>
        <v>69.881744956685665</v>
      </c>
      <c r="S20" s="898">
        <f>(AP20*KFC!$B$16+KFC!$C$16)*KFC!$C$5</f>
        <v>73.147659074964935</v>
      </c>
      <c r="T20" s="898">
        <f>(AQ20*KFC!$B$16+KFC!$C$16)*KFC!$C$5</f>
        <v>76.413573193244204</v>
      </c>
      <c r="U20" s="898">
        <f>(AR20*KFC!$B$16+KFC!$C$16)*KFC!$C$5</f>
        <v>79.679487311523459</v>
      </c>
      <c r="V20" s="898">
        <f>(AS20*KFC!$B$16+KFC!$C$16)*KFC!$C$5</f>
        <v>82.945401429802743</v>
      </c>
      <c r="W20" s="903">
        <f>(AT20*KFC!$B$16+KFC!$C$16)*KFC!$C$5</f>
        <v>86.211315548081956</v>
      </c>
      <c r="Y20" s="1277"/>
      <c r="Z20" s="649">
        <v>1.4</v>
      </c>
      <c r="AA20" s="882">
        <v>24.158947300775996</v>
      </c>
      <c r="AB20" s="882">
        <v>27.424861419055254</v>
      </c>
      <c r="AC20" s="882">
        <v>30.690775537334517</v>
      </c>
      <c r="AD20" s="882">
        <v>33.956689655613779</v>
      </c>
      <c r="AE20" s="882">
        <v>37.222603773893042</v>
      </c>
      <c r="AF20" s="882">
        <v>40.488517892172304</v>
      </c>
      <c r="AG20" s="882">
        <v>43.754432010451573</v>
      </c>
      <c r="AH20" s="882">
        <v>47.020346128730829</v>
      </c>
      <c r="AI20" s="882">
        <v>50.286260247010084</v>
      </c>
      <c r="AJ20" s="882">
        <v>53.552174365289346</v>
      </c>
      <c r="AK20" s="882">
        <v>56.818088483568616</v>
      </c>
      <c r="AL20" s="882">
        <v>60.084002601847871</v>
      </c>
      <c r="AM20" s="882">
        <v>63.349916720127133</v>
      </c>
      <c r="AN20" s="882">
        <v>66.615830838406396</v>
      </c>
      <c r="AO20" s="882">
        <v>69.881744956685665</v>
      </c>
      <c r="AP20" s="882">
        <v>73.147659074964935</v>
      </c>
      <c r="AQ20" s="882">
        <v>76.413573193244204</v>
      </c>
      <c r="AR20" s="882">
        <v>79.679487311523459</v>
      </c>
      <c r="AS20" s="882">
        <v>82.945401429802743</v>
      </c>
      <c r="AT20" s="882">
        <v>86.211315548081956</v>
      </c>
    </row>
    <row r="21" spans="1:46">
      <c r="A21" s="1426"/>
      <c r="B21" s="1427"/>
      <c r="C21" s="887">
        <v>1.5</v>
      </c>
      <c r="D21" s="902">
        <f>(AA21*KFC!$B$16+KFC!$C$16)*KFC!$C$5</f>
        <v>24.716052562373996</v>
      </c>
      <c r="E21" s="898">
        <f>(AB21*KFC!$B$16+KFC!$C$16)*KFC!$C$5</f>
        <v>28.090365226056111</v>
      </c>
      <c r="F21" s="898">
        <f>(AC21*KFC!$B$16+KFC!$C$16)*KFC!$C$5</f>
        <v>31.46467788973823</v>
      </c>
      <c r="G21" s="898">
        <f>(AD21*KFC!$B$16+KFC!$C$16)*KFC!$C$5</f>
        <v>34.838990553420352</v>
      </c>
      <c r="H21" s="898">
        <f>(AE21*KFC!$B$16+KFC!$C$16)*KFC!$C$5</f>
        <v>38.213303217102464</v>
      </c>
      <c r="I21" s="898">
        <f>(AF21*KFC!$B$16+KFC!$C$16)*KFC!$C$5</f>
        <v>41.587615880784583</v>
      </c>
      <c r="J21" s="898">
        <f>(AG21*KFC!$B$16+KFC!$C$16)*KFC!$C$5</f>
        <v>44.961928544466701</v>
      </c>
      <c r="K21" s="898">
        <f>(AH21*KFC!$B$16+KFC!$C$16)*KFC!$C$5</f>
        <v>48.33624120814882</v>
      </c>
      <c r="L21" s="898">
        <f>(AI21*KFC!$B$16+KFC!$C$16)*KFC!$C$5</f>
        <v>51.710553871830946</v>
      </c>
      <c r="M21" s="898">
        <f>(AJ21*KFC!$B$16+KFC!$C$16)*KFC!$C$5</f>
        <v>55.084866535513058</v>
      </c>
      <c r="N21" s="898">
        <f>(AK21*KFC!$B$16+KFC!$C$16)*KFC!$C$5</f>
        <v>58.459179199195177</v>
      </c>
      <c r="O21" s="898">
        <f>(AL21*KFC!$B$16+KFC!$C$16)*KFC!$C$5</f>
        <v>61.833491862877288</v>
      </c>
      <c r="P21" s="898">
        <f>(AM21*KFC!$B$16+KFC!$C$16)*KFC!$C$5</f>
        <v>65.2078045265594</v>
      </c>
      <c r="Q21" s="898">
        <f>(AN21*KFC!$B$16+KFC!$C$16)*KFC!$C$5</f>
        <v>68.582117190241533</v>
      </c>
      <c r="R21" s="898">
        <f>(AO21*KFC!$B$16+KFC!$C$16)*KFC!$C$5</f>
        <v>71.956429853923638</v>
      </c>
      <c r="S21" s="898">
        <f>(AP21*KFC!$B$16+KFC!$C$16)*KFC!$C$5</f>
        <v>75.330742517605771</v>
      </c>
      <c r="T21" s="898">
        <f>(AQ21*KFC!$B$16+KFC!$C$16)*KFC!$C$5</f>
        <v>78.705055181287875</v>
      </c>
      <c r="U21" s="898">
        <f>(AR21*KFC!$B$16+KFC!$C$16)*KFC!$C$5</f>
        <v>82.079367844969994</v>
      </c>
      <c r="V21" s="898">
        <f>(AS21*KFC!$B$16+KFC!$C$16)*KFC!$C$5</f>
        <v>85.453680508652127</v>
      </c>
      <c r="W21" s="903">
        <f>(AT21*KFC!$B$16+KFC!$C$16)*KFC!$C$5</f>
        <v>88.827993172334203</v>
      </c>
      <c r="Y21" s="1277"/>
      <c r="Z21" s="649">
        <v>1.5</v>
      </c>
      <c r="AA21" s="882">
        <v>24.716052562373996</v>
      </c>
      <c r="AB21" s="882">
        <v>28.090365226056111</v>
      </c>
      <c r="AC21" s="882">
        <v>31.46467788973823</v>
      </c>
      <c r="AD21" s="882">
        <v>34.838990553420352</v>
      </c>
      <c r="AE21" s="882">
        <v>38.213303217102464</v>
      </c>
      <c r="AF21" s="882">
        <v>41.587615880784583</v>
      </c>
      <c r="AG21" s="882">
        <v>44.961928544466701</v>
      </c>
      <c r="AH21" s="882">
        <v>48.33624120814882</v>
      </c>
      <c r="AI21" s="882">
        <v>51.710553871830946</v>
      </c>
      <c r="AJ21" s="882">
        <v>55.084866535513058</v>
      </c>
      <c r="AK21" s="882">
        <v>58.459179199195177</v>
      </c>
      <c r="AL21" s="882">
        <v>61.833491862877288</v>
      </c>
      <c r="AM21" s="882">
        <v>65.2078045265594</v>
      </c>
      <c r="AN21" s="882">
        <v>68.582117190241533</v>
      </c>
      <c r="AO21" s="882">
        <v>71.956429853923638</v>
      </c>
      <c r="AP21" s="882">
        <v>75.330742517605771</v>
      </c>
      <c r="AQ21" s="882">
        <v>78.705055181287875</v>
      </c>
      <c r="AR21" s="882">
        <v>82.079367844969994</v>
      </c>
      <c r="AS21" s="882">
        <v>85.453680508652127</v>
      </c>
      <c r="AT21" s="882">
        <v>88.827993172334203</v>
      </c>
    </row>
    <row r="22" spans="1:46">
      <c r="A22" s="1426"/>
      <c r="B22" s="1427"/>
      <c r="C22" s="887">
        <v>1.6</v>
      </c>
      <c r="D22" s="902">
        <f>(AA22*KFC!$B$16+KFC!$C$16)*KFC!$C$5</f>
        <v>25.273157823971992</v>
      </c>
      <c r="E22" s="898">
        <f>(AB22*KFC!$B$16+KFC!$C$16)*KFC!$C$5</f>
        <v>28.755869033056964</v>
      </c>
      <c r="F22" s="898">
        <f>(AC22*KFC!$B$16+KFC!$C$16)*KFC!$C$5</f>
        <v>32.238580242141936</v>
      </c>
      <c r="G22" s="898">
        <f>(AD22*KFC!$B$16+KFC!$C$16)*KFC!$C$5</f>
        <v>35.721291451226904</v>
      </c>
      <c r="H22" s="898">
        <f>(AE22*KFC!$B$16+KFC!$C$16)*KFC!$C$5</f>
        <v>39.204002660311879</v>
      </c>
      <c r="I22" s="898">
        <f>(AF22*KFC!$B$16+KFC!$C$16)*KFC!$C$5</f>
        <v>42.686713869396847</v>
      </c>
      <c r="J22" s="898">
        <f>(AG22*KFC!$B$16+KFC!$C$16)*KFC!$C$5</f>
        <v>46.169425078481815</v>
      </c>
      <c r="K22" s="898">
        <f>(AH22*KFC!$B$16+KFC!$C$16)*KFC!$C$5</f>
        <v>49.65213628756679</v>
      </c>
      <c r="L22" s="898">
        <f>(AI22*KFC!$B$16+KFC!$C$16)*KFC!$C$5</f>
        <v>53.134847496651759</v>
      </c>
      <c r="M22" s="898">
        <f>(AJ22*KFC!$B$16+KFC!$C$16)*KFC!$C$5</f>
        <v>56.61755870573672</v>
      </c>
      <c r="N22" s="898">
        <f>(AK22*KFC!$B$16+KFC!$C$16)*KFC!$C$5</f>
        <v>60.100269914821688</v>
      </c>
      <c r="O22" s="898">
        <f>(AL22*KFC!$B$16+KFC!$C$16)*KFC!$C$5</f>
        <v>63.582981123906656</v>
      </c>
      <c r="P22" s="898">
        <f>(AM22*KFC!$B$16+KFC!$C$16)*KFC!$C$5</f>
        <v>67.065692332991617</v>
      </c>
      <c r="Q22" s="898">
        <f>(AN22*KFC!$B$16+KFC!$C$16)*KFC!$C$5</f>
        <v>70.548403542076585</v>
      </c>
      <c r="R22" s="898">
        <f>(AO22*KFC!$B$16+KFC!$C$16)*KFC!$C$5</f>
        <v>74.031114751161567</v>
      </c>
      <c r="S22" s="898">
        <f>(AP22*KFC!$B$16+KFC!$C$16)*KFC!$C$5</f>
        <v>77.513825960246521</v>
      </c>
      <c r="T22" s="898">
        <f>(AQ22*KFC!$B$16+KFC!$C$16)*KFC!$C$5</f>
        <v>80.996537169331489</v>
      </c>
      <c r="U22" s="898">
        <f>(AR22*KFC!$B$16+KFC!$C$16)*KFC!$C$5</f>
        <v>84.479248378416472</v>
      </c>
      <c r="V22" s="898">
        <f>(AS22*KFC!$B$16+KFC!$C$16)*KFC!$C$5</f>
        <v>87.961959587501426</v>
      </c>
      <c r="W22" s="903">
        <f>(AT22*KFC!$B$16+KFC!$C$16)*KFC!$C$5</f>
        <v>91.444670796586465</v>
      </c>
      <c r="Y22" s="1277"/>
      <c r="Z22" s="649">
        <v>1.6</v>
      </c>
      <c r="AA22" s="882">
        <v>25.273157823971992</v>
      </c>
      <c r="AB22" s="882">
        <v>28.755869033056964</v>
      </c>
      <c r="AC22" s="882">
        <v>32.238580242141936</v>
      </c>
      <c r="AD22" s="882">
        <v>35.721291451226904</v>
      </c>
      <c r="AE22" s="882">
        <v>39.204002660311879</v>
      </c>
      <c r="AF22" s="882">
        <v>42.686713869396847</v>
      </c>
      <c r="AG22" s="882">
        <v>46.169425078481815</v>
      </c>
      <c r="AH22" s="882">
        <v>49.65213628756679</v>
      </c>
      <c r="AI22" s="882">
        <v>53.134847496651759</v>
      </c>
      <c r="AJ22" s="882">
        <v>56.61755870573672</v>
      </c>
      <c r="AK22" s="882">
        <v>60.100269914821688</v>
      </c>
      <c r="AL22" s="882">
        <v>63.582981123906656</v>
      </c>
      <c r="AM22" s="882">
        <v>67.065692332991617</v>
      </c>
      <c r="AN22" s="882">
        <v>70.548403542076585</v>
      </c>
      <c r="AO22" s="882">
        <v>74.031114751161567</v>
      </c>
      <c r="AP22" s="882">
        <v>77.513825960246521</v>
      </c>
      <c r="AQ22" s="882">
        <v>80.996537169331489</v>
      </c>
      <c r="AR22" s="882">
        <v>84.479248378416472</v>
      </c>
      <c r="AS22" s="882">
        <v>87.961959587501426</v>
      </c>
      <c r="AT22" s="882">
        <v>91.444670796586465</v>
      </c>
    </row>
    <row r="23" spans="1:46">
      <c r="A23" s="1426"/>
      <c r="B23" s="1427"/>
      <c r="C23" s="887">
        <v>1.7</v>
      </c>
      <c r="D23" s="902">
        <f>(AA23*KFC!$B$16+KFC!$C$16)*KFC!$C$5</f>
        <v>25.830263085569992</v>
      </c>
      <c r="E23" s="898">
        <f>(AB23*KFC!$B$16+KFC!$C$16)*KFC!$C$5</f>
        <v>29.42137284005782</v>
      </c>
      <c r="F23" s="898">
        <f>(AC23*KFC!$B$16+KFC!$C$16)*KFC!$C$5</f>
        <v>33.012482594545638</v>
      </c>
      <c r="G23" s="898">
        <f>(AD23*KFC!$B$16+KFC!$C$16)*KFC!$C$5</f>
        <v>36.60359234903347</v>
      </c>
      <c r="H23" s="898">
        <f>(AE23*KFC!$B$16+KFC!$C$16)*KFC!$C$5</f>
        <v>40.194702103521294</v>
      </c>
      <c r="I23" s="898">
        <f>(AF23*KFC!$B$16+KFC!$C$16)*KFC!$C$5</f>
        <v>43.785811858009119</v>
      </c>
      <c r="J23" s="898">
        <f>(AG23*KFC!$B$16+KFC!$C$16)*KFC!$C$5</f>
        <v>47.376921612496936</v>
      </c>
      <c r="K23" s="898">
        <f>(AH23*KFC!$B$16+KFC!$C$16)*KFC!$C$5</f>
        <v>50.968031366984761</v>
      </c>
      <c r="L23" s="898">
        <f>(AI23*KFC!$B$16+KFC!$C$16)*KFC!$C$5</f>
        <v>54.559141121472585</v>
      </c>
      <c r="M23" s="898">
        <f>(AJ23*KFC!$B$16+KFC!$C$16)*KFC!$C$5</f>
        <v>58.150250875960417</v>
      </c>
      <c r="N23" s="898">
        <f>(AK23*KFC!$B$16+KFC!$C$16)*KFC!$C$5</f>
        <v>61.741360630448241</v>
      </c>
      <c r="O23" s="898">
        <f>(AL23*KFC!$B$16+KFC!$C$16)*KFC!$C$5</f>
        <v>65.332470384936059</v>
      </c>
      <c r="P23" s="898">
        <f>(AM23*KFC!$B$16+KFC!$C$16)*KFC!$C$5</f>
        <v>68.923580139423891</v>
      </c>
      <c r="Q23" s="898">
        <f>(AN23*KFC!$B$16+KFC!$C$16)*KFC!$C$5</f>
        <v>72.514689893911722</v>
      </c>
      <c r="R23" s="898">
        <f>(AO23*KFC!$B$16+KFC!$C$16)*KFC!$C$5</f>
        <v>76.105799648399568</v>
      </c>
      <c r="S23" s="898">
        <f>(AP23*KFC!$B$16+KFC!$C$16)*KFC!$C$5</f>
        <v>79.696909402887385</v>
      </c>
      <c r="T23" s="898">
        <f>(AQ23*KFC!$B$16+KFC!$C$16)*KFC!$C$5</f>
        <v>83.288019157375217</v>
      </c>
      <c r="U23" s="898">
        <f>(AR23*KFC!$B$16+KFC!$C$16)*KFC!$C$5</f>
        <v>86.879128911863063</v>
      </c>
      <c r="V23" s="898">
        <f>(AS23*KFC!$B$16+KFC!$C$16)*KFC!$C$5</f>
        <v>90.47023866635088</v>
      </c>
      <c r="W23" s="903">
        <f>(AT23*KFC!$B$16+KFC!$C$16)*KFC!$C$5</f>
        <v>94.061348420838698</v>
      </c>
      <c r="Y23" s="1277"/>
      <c r="Z23" s="649">
        <v>1.7</v>
      </c>
      <c r="AA23" s="882">
        <v>25.830263085569992</v>
      </c>
      <c r="AB23" s="882">
        <v>29.42137284005782</v>
      </c>
      <c r="AC23" s="882">
        <v>33.012482594545638</v>
      </c>
      <c r="AD23" s="882">
        <v>36.60359234903347</v>
      </c>
      <c r="AE23" s="882">
        <v>40.194702103521294</v>
      </c>
      <c r="AF23" s="882">
        <v>43.785811858009119</v>
      </c>
      <c r="AG23" s="882">
        <v>47.376921612496936</v>
      </c>
      <c r="AH23" s="882">
        <v>50.968031366984761</v>
      </c>
      <c r="AI23" s="882">
        <v>54.559141121472585</v>
      </c>
      <c r="AJ23" s="882">
        <v>58.150250875960417</v>
      </c>
      <c r="AK23" s="882">
        <v>61.741360630448241</v>
      </c>
      <c r="AL23" s="882">
        <v>65.332470384936059</v>
      </c>
      <c r="AM23" s="882">
        <v>68.923580139423891</v>
      </c>
      <c r="AN23" s="882">
        <v>72.514689893911722</v>
      </c>
      <c r="AO23" s="882">
        <v>76.105799648399568</v>
      </c>
      <c r="AP23" s="882">
        <v>79.696909402887385</v>
      </c>
      <c r="AQ23" s="882">
        <v>83.288019157375217</v>
      </c>
      <c r="AR23" s="882">
        <v>86.879128911863063</v>
      </c>
      <c r="AS23" s="882">
        <v>90.47023866635088</v>
      </c>
      <c r="AT23" s="882">
        <v>94.061348420838698</v>
      </c>
    </row>
    <row r="24" spans="1:46">
      <c r="A24" s="1426"/>
      <c r="B24" s="1427"/>
      <c r="C24" s="887">
        <v>1.8</v>
      </c>
      <c r="D24" s="902">
        <f>(AA24*KFC!$B$16+KFC!$C$16)*KFC!$C$5</f>
        <v>26.387368347167996</v>
      </c>
      <c r="E24" s="898">
        <f>(AB24*KFC!$B$16+KFC!$C$16)*KFC!$C$5</f>
        <v>30.086876647058677</v>
      </c>
      <c r="F24" s="898">
        <f>(AC24*KFC!$B$16+KFC!$C$16)*KFC!$C$5</f>
        <v>33.786384946949354</v>
      </c>
      <c r="G24" s="898">
        <f>(AD24*KFC!$B$16+KFC!$C$16)*KFC!$C$5</f>
        <v>37.485893246840035</v>
      </c>
      <c r="H24" s="898">
        <f>(AE24*KFC!$B$16+KFC!$C$16)*KFC!$C$5</f>
        <v>41.185401546730724</v>
      </c>
      <c r="I24" s="898">
        <f>(AF24*KFC!$B$16+KFC!$C$16)*KFC!$C$5</f>
        <v>44.884909846621397</v>
      </c>
      <c r="J24" s="898">
        <f>(AG24*KFC!$B$16+KFC!$C$16)*KFC!$C$5</f>
        <v>48.584418146512078</v>
      </c>
      <c r="K24" s="898">
        <f>(AH24*KFC!$B$16+KFC!$C$16)*KFC!$C$5</f>
        <v>52.283926446402759</v>
      </c>
      <c r="L24" s="898">
        <f>(AI24*KFC!$B$16+KFC!$C$16)*KFC!$C$5</f>
        <v>55.983434746293447</v>
      </c>
      <c r="M24" s="898">
        <f>(AJ24*KFC!$B$16+KFC!$C$16)*KFC!$C$5</f>
        <v>59.682943046184121</v>
      </c>
      <c r="N24" s="898">
        <f>(AK24*KFC!$B$16+KFC!$C$16)*KFC!$C$5</f>
        <v>63.382451346074802</v>
      </c>
      <c r="O24" s="898">
        <f>(AL24*KFC!$B$16+KFC!$C$16)*KFC!$C$5</f>
        <v>67.081959645965497</v>
      </c>
      <c r="P24" s="898">
        <f>(AM24*KFC!$B$16+KFC!$C$16)*KFC!$C$5</f>
        <v>70.781467945856164</v>
      </c>
      <c r="Q24" s="898">
        <f>(AN24*KFC!$B$16+KFC!$C$16)*KFC!$C$5</f>
        <v>74.480976245746859</v>
      </c>
      <c r="R24" s="898">
        <f>(AO24*KFC!$B$16+KFC!$C$16)*KFC!$C$5</f>
        <v>78.18048454563754</v>
      </c>
      <c r="S24" s="898">
        <f>(AP24*KFC!$B$16+KFC!$C$16)*KFC!$C$5</f>
        <v>81.879992845528221</v>
      </c>
      <c r="T24" s="898">
        <f>(AQ24*KFC!$B$16+KFC!$C$16)*KFC!$C$5</f>
        <v>85.579501145418888</v>
      </c>
      <c r="U24" s="898">
        <f>(AR24*KFC!$B$16+KFC!$C$16)*KFC!$C$5</f>
        <v>89.279009445309569</v>
      </c>
      <c r="V24" s="898">
        <f>(AS24*KFC!$B$16+KFC!$C$16)*KFC!$C$5</f>
        <v>92.978517745200264</v>
      </c>
      <c r="W24" s="903">
        <f>(AT24*KFC!$B$16+KFC!$C$16)*KFC!$C$5</f>
        <v>96.678026045090945</v>
      </c>
      <c r="Y24" s="1277"/>
      <c r="Z24" s="649">
        <v>1.8</v>
      </c>
      <c r="AA24" s="882">
        <v>26.387368347167996</v>
      </c>
      <c r="AB24" s="882">
        <v>30.086876647058677</v>
      </c>
      <c r="AC24" s="882">
        <v>33.786384946949354</v>
      </c>
      <c r="AD24" s="882">
        <v>37.485893246840035</v>
      </c>
      <c r="AE24" s="882">
        <v>41.185401546730724</v>
      </c>
      <c r="AF24" s="882">
        <v>44.884909846621397</v>
      </c>
      <c r="AG24" s="882">
        <v>48.584418146512078</v>
      </c>
      <c r="AH24" s="882">
        <v>52.283926446402759</v>
      </c>
      <c r="AI24" s="882">
        <v>55.983434746293447</v>
      </c>
      <c r="AJ24" s="882">
        <v>59.682943046184121</v>
      </c>
      <c r="AK24" s="882">
        <v>63.382451346074802</v>
      </c>
      <c r="AL24" s="882">
        <v>67.081959645965497</v>
      </c>
      <c r="AM24" s="882">
        <v>70.781467945856164</v>
      </c>
      <c r="AN24" s="882">
        <v>74.480976245746859</v>
      </c>
      <c r="AO24" s="882">
        <v>78.18048454563754</v>
      </c>
      <c r="AP24" s="882">
        <v>81.879992845528221</v>
      </c>
      <c r="AQ24" s="882">
        <v>85.579501145418888</v>
      </c>
      <c r="AR24" s="882">
        <v>89.279009445309569</v>
      </c>
      <c r="AS24" s="882">
        <v>92.978517745200264</v>
      </c>
      <c r="AT24" s="882">
        <v>96.678026045090945</v>
      </c>
    </row>
    <row r="25" spans="1:46">
      <c r="A25" s="1426"/>
      <c r="B25" s="1427"/>
      <c r="C25" s="887">
        <v>1.9</v>
      </c>
      <c r="D25" s="902">
        <f>(AA25*KFC!$B$16+KFC!$C$16)*KFC!$C$5</f>
        <v>26.944473608765993</v>
      </c>
      <c r="E25" s="898">
        <f>(AB25*KFC!$B$16+KFC!$C$16)*KFC!$C$5</f>
        <v>30.752380454059526</v>
      </c>
      <c r="F25" s="898">
        <f>(AC25*KFC!$B$16+KFC!$C$16)*KFC!$C$5</f>
        <v>34.560287299353071</v>
      </c>
      <c r="G25" s="898">
        <f>(AD25*KFC!$B$16+KFC!$C$16)*KFC!$C$5</f>
        <v>38.368194144646601</v>
      </c>
      <c r="H25" s="898">
        <f>(AE25*KFC!$B$16+KFC!$C$16)*KFC!$C$5</f>
        <v>42.176100989940146</v>
      </c>
      <c r="I25" s="898">
        <f>(AF25*KFC!$B$16+KFC!$C$16)*KFC!$C$5</f>
        <v>45.984007835233683</v>
      </c>
      <c r="J25" s="898">
        <f>(AG25*KFC!$B$16+KFC!$C$16)*KFC!$C$5</f>
        <v>49.791914680527213</v>
      </c>
      <c r="K25" s="898">
        <f>(AH25*KFC!$B$16+KFC!$C$16)*KFC!$C$5</f>
        <v>53.599821525820751</v>
      </c>
      <c r="L25" s="898">
        <f>(AI25*KFC!$B$16+KFC!$C$16)*KFC!$C$5</f>
        <v>57.407728371114288</v>
      </c>
      <c r="M25" s="898">
        <f>(AJ25*KFC!$B$16+KFC!$C$16)*KFC!$C$5</f>
        <v>61.215635216407833</v>
      </c>
      <c r="N25" s="898">
        <f>(AK25*KFC!$B$16+KFC!$C$16)*KFC!$C$5</f>
        <v>65.023542061701363</v>
      </c>
      <c r="O25" s="898">
        <f>(AL25*KFC!$B$16+KFC!$C$16)*KFC!$C$5</f>
        <v>68.831448906994893</v>
      </c>
      <c r="P25" s="898">
        <f>(AM25*KFC!$B$16+KFC!$C$16)*KFC!$C$5</f>
        <v>72.639355752288438</v>
      </c>
      <c r="Q25" s="898">
        <f>(AN25*KFC!$B$16+KFC!$C$16)*KFC!$C$5</f>
        <v>76.447262597581954</v>
      </c>
      <c r="R25" s="898">
        <f>(AO25*KFC!$B$16+KFC!$C$16)*KFC!$C$5</f>
        <v>80.255169442875484</v>
      </c>
      <c r="S25" s="898">
        <f>(AP25*KFC!$B$16+KFC!$C$16)*KFC!$C$5</f>
        <v>84.063076288169015</v>
      </c>
      <c r="T25" s="898">
        <f>(AQ25*KFC!$B$16+KFC!$C$16)*KFC!$C$5</f>
        <v>87.870983133462559</v>
      </c>
      <c r="U25" s="898">
        <f>(AR25*KFC!$B$16+KFC!$C$16)*KFC!$C$5</f>
        <v>91.678889978756089</v>
      </c>
      <c r="V25" s="898">
        <f>(AS25*KFC!$B$16+KFC!$C$16)*KFC!$C$5</f>
        <v>95.486796824049605</v>
      </c>
      <c r="W25" s="903">
        <f>(AT25*KFC!$B$16+KFC!$C$16)*KFC!$C$5</f>
        <v>99.294703669343178</v>
      </c>
      <c r="Y25" s="1277"/>
      <c r="Z25" s="649">
        <v>1.9</v>
      </c>
      <c r="AA25" s="882">
        <v>26.944473608765993</v>
      </c>
      <c r="AB25" s="882">
        <v>30.752380454059526</v>
      </c>
      <c r="AC25" s="882">
        <v>34.560287299353071</v>
      </c>
      <c r="AD25" s="882">
        <v>38.368194144646601</v>
      </c>
      <c r="AE25" s="882">
        <v>42.176100989940146</v>
      </c>
      <c r="AF25" s="882">
        <v>45.984007835233683</v>
      </c>
      <c r="AG25" s="882">
        <v>49.791914680527213</v>
      </c>
      <c r="AH25" s="882">
        <v>53.599821525820751</v>
      </c>
      <c r="AI25" s="882">
        <v>57.407728371114288</v>
      </c>
      <c r="AJ25" s="882">
        <v>61.215635216407833</v>
      </c>
      <c r="AK25" s="882">
        <v>65.023542061701363</v>
      </c>
      <c r="AL25" s="882">
        <v>68.831448906994893</v>
      </c>
      <c r="AM25" s="882">
        <v>72.639355752288438</v>
      </c>
      <c r="AN25" s="882">
        <v>76.447262597581954</v>
      </c>
      <c r="AO25" s="882">
        <v>80.255169442875484</v>
      </c>
      <c r="AP25" s="882">
        <v>84.063076288169015</v>
      </c>
      <c r="AQ25" s="882">
        <v>87.870983133462559</v>
      </c>
      <c r="AR25" s="882">
        <v>91.678889978756089</v>
      </c>
      <c r="AS25" s="882">
        <v>95.486796824049605</v>
      </c>
      <c r="AT25" s="882">
        <v>99.294703669343178</v>
      </c>
    </row>
    <row r="26" spans="1:46">
      <c r="A26" s="1426"/>
      <c r="B26" s="1427"/>
      <c r="C26" s="887">
        <v>2</v>
      </c>
      <c r="D26" s="902">
        <f>(AA26*KFC!$B$16+KFC!$C$16)*KFC!$C$5</f>
        <v>27.501578870363993</v>
      </c>
      <c r="E26" s="898">
        <f>(AB26*KFC!$B$16+KFC!$C$16)*KFC!$C$5</f>
        <v>31.417884261060383</v>
      </c>
      <c r="F26" s="898">
        <f>(AC26*KFC!$B$16+KFC!$C$16)*KFC!$C$5</f>
        <v>35.334189651756773</v>
      </c>
      <c r="G26" s="898">
        <f>(AD26*KFC!$B$16+KFC!$C$16)*KFC!$C$5</f>
        <v>39.250495042453167</v>
      </c>
      <c r="H26" s="898">
        <f>(AE26*KFC!$B$16+KFC!$C$16)*KFC!$C$5</f>
        <v>43.166800433149554</v>
      </c>
      <c r="I26" s="898">
        <f>(AF26*KFC!$B$16+KFC!$C$16)*KFC!$C$5</f>
        <v>47.083105823845955</v>
      </c>
      <c r="J26" s="898">
        <f>(AG26*KFC!$B$16+KFC!$C$16)*KFC!$C$5</f>
        <v>50.999411214542349</v>
      </c>
      <c r="K26" s="898">
        <f>(AH26*KFC!$B$16+KFC!$C$16)*KFC!$C$5</f>
        <v>54.915716605238742</v>
      </c>
      <c r="L26" s="898">
        <f>(AI26*KFC!$B$16+KFC!$C$16)*KFC!$C$5</f>
        <v>58.832021995935136</v>
      </c>
      <c r="M26" s="898">
        <f>(AJ26*KFC!$B$16+KFC!$C$16)*KFC!$C$5</f>
        <v>62.748327386631537</v>
      </c>
      <c r="N26" s="898">
        <f>(AK26*KFC!$B$16+KFC!$C$16)*KFC!$C$5</f>
        <v>66.664632777327924</v>
      </c>
      <c r="O26" s="898">
        <f>(AL26*KFC!$B$16+KFC!$C$16)*KFC!$C$5</f>
        <v>70.580938168024318</v>
      </c>
      <c r="P26" s="898">
        <f>(AM26*KFC!$B$16+KFC!$C$16)*KFC!$C$5</f>
        <v>74.497243558720712</v>
      </c>
      <c r="Q26" s="898">
        <f>(AN26*KFC!$B$16+KFC!$C$16)*KFC!$C$5</f>
        <v>78.413548949417105</v>
      </c>
      <c r="R26" s="898">
        <f>(AO26*KFC!$B$16+KFC!$C$16)*KFC!$C$5</f>
        <v>82.329854340113499</v>
      </c>
      <c r="S26" s="898">
        <f>(AP26*KFC!$B$16+KFC!$C$16)*KFC!$C$5</f>
        <v>86.246159730809893</v>
      </c>
      <c r="T26" s="898">
        <f>(AQ26*KFC!$B$16+KFC!$C$16)*KFC!$C$5</f>
        <v>90.162465121506301</v>
      </c>
      <c r="U26" s="898">
        <f>(AR26*KFC!$B$16+KFC!$C$16)*KFC!$C$5</f>
        <v>94.078770512202695</v>
      </c>
      <c r="V26" s="898">
        <f>(AS26*KFC!$B$16+KFC!$C$16)*KFC!$C$5</f>
        <v>97.99507590289906</v>
      </c>
      <c r="W26" s="903">
        <f>(AT26*KFC!$B$16+KFC!$C$16)*KFC!$C$5</f>
        <v>101.91138129359543</v>
      </c>
      <c r="Y26" s="1277"/>
      <c r="Z26" s="649">
        <v>2</v>
      </c>
      <c r="AA26" s="882">
        <v>27.501578870363993</v>
      </c>
      <c r="AB26" s="882">
        <v>31.417884261060383</v>
      </c>
      <c r="AC26" s="882">
        <v>35.334189651756773</v>
      </c>
      <c r="AD26" s="882">
        <v>39.250495042453167</v>
      </c>
      <c r="AE26" s="882">
        <v>43.166800433149554</v>
      </c>
      <c r="AF26" s="882">
        <v>47.083105823845955</v>
      </c>
      <c r="AG26" s="882">
        <v>50.999411214542349</v>
      </c>
      <c r="AH26" s="882">
        <v>54.915716605238742</v>
      </c>
      <c r="AI26" s="882">
        <v>58.832021995935136</v>
      </c>
      <c r="AJ26" s="882">
        <v>62.748327386631537</v>
      </c>
      <c r="AK26" s="882">
        <v>66.664632777327924</v>
      </c>
      <c r="AL26" s="882">
        <v>70.580938168024318</v>
      </c>
      <c r="AM26" s="882">
        <v>74.497243558720712</v>
      </c>
      <c r="AN26" s="882">
        <v>78.413548949417105</v>
      </c>
      <c r="AO26" s="882">
        <v>82.329854340113499</v>
      </c>
      <c r="AP26" s="882">
        <v>86.246159730809893</v>
      </c>
      <c r="AQ26" s="882">
        <v>90.162465121506301</v>
      </c>
      <c r="AR26" s="882">
        <v>94.078770512202695</v>
      </c>
      <c r="AS26" s="882">
        <v>97.99507590289906</v>
      </c>
      <c r="AT26" s="882">
        <v>101.91138129359543</v>
      </c>
    </row>
    <row r="27" spans="1:46">
      <c r="A27" s="1426"/>
      <c r="B27" s="1427"/>
      <c r="C27" s="887">
        <v>2.1</v>
      </c>
      <c r="D27" s="902">
        <f>(AA27*KFC!$B$16+KFC!$C$16)*KFC!$C$5</f>
        <v>28.058684131961993</v>
      </c>
      <c r="E27" s="898">
        <f>(AB27*KFC!$B$16+KFC!$C$16)*KFC!$C$5</f>
        <v>32.08338806806124</v>
      </c>
      <c r="F27" s="898">
        <f>(AC27*KFC!$B$16+KFC!$C$16)*KFC!$C$5</f>
        <v>36.108092004160483</v>
      </c>
      <c r="G27" s="898">
        <f>(AD27*KFC!$B$16+KFC!$C$16)*KFC!$C$5</f>
        <v>40.132795940259733</v>
      </c>
      <c r="H27" s="898">
        <f>(AE27*KFC!$B$16+KFC!$C$16)*KFC!$C$5</f>
        <v>44.157499876358976</v>
      </c>
      <c r="I27" s="898">
        <f>(AF27*KFC!$B$16+KFC!$C$16)*KFC!$C$5</f>
        <v>48.182203812458212</v>
      </c>
      <c r="J27" s="898">
        <f>(AG27*KFC!$B$16+KFC!$C$16)*KFC!$C$5</f>
        <v>52.206907748557462</v>
      </c>
      <c r="K27" s="898">
        <f>(AH27*KFC!$B$16+KFC!$C$16)*KFC!$C$5</f>
        <v>56.231611684656706</v>
      </c>
      <c r="L27" s="898">
        <f>(AI27*KFC!$B$16+KFC!$C$16)*KFC!$C$5</f>
        <v>60.256315620755949</v>
      </c>
      <c r="M27" s="898">
        <f>(AJ27*KFC!$B$16+KFC!$C$16)*KFC!$C$5</f>
        <v>64.281019556855199</v>
      </c>
      <c r="N27" s="898">
        <f>(AK27*KFC!$B$16+KFC!$C$16)*KFC!$C$5</f>
        <v>68.305723492954442</v>
      </c>
      <c r="O27" s="898">
        <f>(AL27*KFC!$B$16+KFC!$C$16)*KFC!$C$5</f>
        <v>72.330427429053685</v>
      </c>
      <c r="P27" s="898">
        <f>(AM27*KFC!$B$16+KFC!$C$16)*KFC!$C$5</f>
        <v>76.355131365152928</v>
      </c>
      <c r="Q27" s="898">
        <f>(AN27*KFC!$B$16+KFC!$C$16)*KFC!$C$5</f>
        <v>80.379835301252172</v>
      </c>
      <c r="R27" s="898">
        <f>(AO27*KFC!$B$16+KFC!$C$16)*KFC!$C$5</f>
        <v>84.404539237351415</v>
      </c>
      <c r="S27" s="898">
        <f>(AP27*KFC!$B$16+KFC!$C$16)*KFC!$C$5</f>
        <v>88.429243173450658</v>
      </c>
      <c r="T27" s="898">
        <f>(AQ27*KFC!$B$16+KFC!$C$16)*KFC!$C$5</f>
        <v>92.453947109549901</v>
      </c>
      <c r="U27" s="898">
        <f>(AR27*KFC!$B$16+KFC!$C$16)*KFC!$C$5</f>
        <v>96.478651045649144</v>
      </c>
      <c r="V27" s="898">
        <f>(AS27*KFC!$B$16+KFC!$C$16)*KFC!$C$5</f>
        <v>100.50335498174839</v>
      </c>
      <c r="W27" s="903">
        <f>(AT27*KFC!$B$16+KFC!$C$16)*KFC!$C$5</f>
        <v>104.52805891784767</v>
      </c>
      <c r="Y27" s="1277"/>
      <c r="Z27" s="649">
        <v>2.1</v>
      </c>
      <c r="AA27" s="882">
        <v>28.058684131961993</v>
      </c>
      <c r="AB27" s="882">
        <v>32.08338806806124</v>
      </c>
      <c r="AC27" s="882">
        <v>36.108092004160483</v>
      </c>
      <c r="AD27" s="882">
        <v>40.132795940259733</v>
      </c>
      <c r="AE27" s="882">
        <v>44.157499876358976</v>
      </c>
      <c r="AF27" s="882">
        <v>48.182203812458212</v>
      </c>
      <c r="AG27" s="882">
        <v>52.206907748557462</v>
      </c>
      <c r="AH27" s="882">
        <v>56.231611684656706</v>
      </c>
      <c r="AI27" s="882">
        <v>60.256315620755949</v>
      </c>
      <c r="AJ27" s="882">
        <v>64.281019556855199</v>
      </c>
      <c r="AK27" s="882">
        <v>68.305723492954442</v>
      </c>
      <c r="AL27" s="882">
        <v>72.330427429053685</v>
      </c>
      <c r="AM27" s="882">
        <v>76.355131365152928</v>
      </c>
      <c r="AN27" s="882">
        <v>80.379835301252172</v>
      </c>
      <c r="AO27" s="882">
        <v>84.404539237351415</v>
      </c>
      <c r="AP27" s="882">
        <v>88.429243173450658</v>
      </c>
      <c r="AQ27" s="882">
        <v>92.453947109549901</v>
      </c>
      <c r="AR27" s="882">
        <v>96.478651045649144</v>
      </c>
      <c r="AS27" s="882">
        <v>100.50335498174839</v>
      </c>
      <c r="AT27" s="882">
        <v>104.52805891784767</v>
      </c>
    </row>
    <row r="28" spans="1:46" ht="15" thickBot="1">
      <c r="A28" s="1428"/>
      <c r="B28" s="1429"/>
      <c r="C28" s="888">
        <v>2.2000000000000002</v>
      </c>
      <c r="D28" s="904">
        <f>(AA28*KFC!$B$16+KFC!$C$16)*KFC!$C$5</f>
        <v>28.615789393559993</v>
      </c>
      <c r="E28" s="905">
        <f>(AB28*KFC!$B$16+KFC!$C$16)*KFC!$C$5</f>
        <v>32.7488918750621</v>
      </c>
      <c r="F28" s="905">
        <f>(AC28*KFC!$B$16+KFC!$C$16)*KFC!$C$5</f>
        <v>36.881994356564213</v>
      </c>
      <c r="G28" s="905">
        <f>(AD28*KFC!$B$16+KFC!$C$16)*KFC!$C$5</f>
        <v>41.015096838066313</v>
      </c>
      <c r="H28" s="905">
        <f>(AE28*KFC!$B$16+KFC!$C$16)*KFC!$C$5</f>
        <v>45.148199319568427</v>
      </c>
      <c r="I28" s="905">
        <f>(AF28*KFC!$B$16+KFC!$C$16)*KFC!$C$5</f>
        <v>49.281301801070533</v>
      </c>
      <c r="J28" s="905">
        <f>(AG28*KFC!$B$16+KFC!$C$16)*KFC!$C$5</f>
        <v>53.41440428257264</v>
      </c>
      <c r="K28" s="905">
        <f>(AH28*KFC!$B$16+KFC!$C$16)*KFC!$C$5</f>
        <v>57.547506764074754</v>
      </c>
      <c r="L28" s="905">
        <f>(AI28*KFC!$B$16+KFC!$C$16)*KFC!$C$5</f>
        <v>61.680609245576861</v>
      </c>
      <c r="M28" s="905">
        <f>(AJ28*KFC!$B$16+KFC!$C$16)*KFC!$C$5</f>
        <v>65.813711727078967</v>
      </c>
      <c r="N28" s="905">
        <f>(AK28*KFC!$B$16+KFC!$C$16)*KFC!$C$5</f>
        <v>69.94681420858106</v>
      </c>
      <c r="O28" s="905">
        <f>(AL28*KFC!$B$16+KFC!$C$16)*KFC!$C$5</f>
        <v>74.079916690083181</v>
      </c>
      <c r="P28" s="905">
        <f>(AM28*KFC!$B$16+KFC!$C$16)*KFC!$C$5</f>
        <v>78.213019171585273</v>
      </c>
      <c r="Q28" s="905">
        <f>(AN28*KFC!$B$16+KFC!$C$16)*KFC!$C$5</f>
        <v>82.34612165308738</v>
      </c>
      <c r="R28" s="905">
        <f>(AO28*KFC!$B$16+KFC!$C$16)*KFC!$C$5</f>
        <v>86.479224134589487</v>
      </c>
      <c r="S28" s="905">
        <f>(AP28*KFC!$B$16+KFC!$C$16)*KFC!$C$5</f>
        <v>90.612326616091593</v>
      </c>
      <c r="T28" s="905">
        <f>(AQ28*KFC!$B$16+KFC!$C$16)*KFC!$C$5</f>
        <v>94.745429097593714</v>
      </c>
      <c r="U28" s="905">
        <f>(AR28*KFC!$B$16+KFC!$C$16)*KFC!$C$5</f>
        <v>98.878531579095807</v>
      </c>
      <c r="V28" s="905">
        <f>(AS28*KFC!$B$16+KFC!$C$16)*KFC!$C$5</f>
        <v>103.01163406059793</v>
      </c>
      <c r="W28" s="906">
        <f>(AT28*KFC!$B$16+KFC!$C$16)*KFC!$C$5</f>
        <v>107.14473654210001</v>
      </c>
      <c r="Y28" s="1277"/>
      <c r="Z28" s="649">
        <v>2.2000000000000002</v>
      </c>
      <c r="AA28" s="882">
        <v>28.615789393559993</v>
      </c>
      <c r="AB28" s="882">
        <v>32.7488918750621</v>
      </c>
      <c r="AC28" s="882">
        <v>36.881994356564213</v>
      </c>
      <c r="AD28" s="882">
        <v>41.015096838066313</v>
      </c>
      <c r="AE28" s="882">
        <v>45.148199319568427</v>
      </c>
      <c r="AF28" s="882">
        <v>49.281301801070533</v>
      </c>
      <c r="AG28" s="882">
        <v>53.41440428257264</v>
      </c>
      <c r="AH28" s="882">
        <v>57.547506764074754</v>
      </c>
      <c r="AI28" s="882">
        <v>61.680609245576861</v>
      </c>
      <c r="AJ28" s="882">
        <v>65.813711727078967</v>
      </c>
      <c r="AK28" s="882">
        <v>69.94681420858106</v>
      </c>
      <c r="AL28" s="882">
        <v>74.079916690083181</v>
      </c>
      <c r="AM28" s="882">
        <v>78.213019171585273</v>
      </c>
      <c r="AN28" s="882">
        <v>82.34612165308738</v>
      </c>
      <c r="AO28" s="882">
        <v>86.479224134589487</v>
      </c>
      <c r="AP28" s="882">
        <v>90.612326616091593</v>
      </c>
      <c r="AQ28" s="882">
        <v>94.745429097593714</v>
      </c>
      <c r="AR28" s="882">
        <v>98.878531579095807</v>
      </c>
      <c r="AS28" s="882">
        <v>103.01163406059793</v>
      </c>
      <c r="AT28" s="882">
        <v>107.14473654210001</v>
      </c>
    </row>
    <row r="29" spans="1:46">
      <c r="A29" s="16"/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</row>
    <row r="30" spans="1:46" ht="56.25" customHeight="1" thickBot="1">
      <c r="A30" s="1033" t="s">
        <v>1200</v>
      </c>
      <c r="B30" s="1033"/>
      <c r="C30" s="1033"/>
      <c r="D30" s="1033"/>
      <c r="E30" s="1033"/>
      <c r="F30" s="1033"/>
      <c r="G30" s="1033"/>
      <c r="H30" s="1033"/>
      <c r="I30" s="1033"/>
      <c r="J30" s="1033"/>
      <c r="K30" s="1033"/>
      <c r="L30" s="1033"/>
      <c r="M30" s="1033"/>
      <c r="N30" s="1033"/>
      <c r="O30" s="1033"/>
      <c r="P30" s="1033"/>
      <c r="Q30" s="1033"/>
      <c r="R30" s="1033"/>
      <c r="S30" s="1033"/>
      <c r="T30" s="1033"/>
      <c r="U30" s="1033"/>
      <c r="V30" s="1033"/>
      <c r="W30" s="1033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</row>
    <row r="31" spans="1:46" ht="38.25" customHeight="1" thickBot="1">
      <c r="A31" s="1433"/>
      <c r="B31" s="1434"/>
      <c r="C31" s="1435"/>
      <c r="D31" s="1419" t="s">
        <v>207</v>
      </c>
      <c r="E31" s="1420"/>
      <c r="F31" s="1420"/>
      <c r="G31" s="1420"/>
      <c r="H31" s="1420"/>
      <c r="I31" s="1420"/>
      <c r="J31" s="1420"/>
      <c r="K31" s="1420"/>
      <c r="L31" s="1420"/>
      <c r="M31" s="1420"/>
      <c r="N31" s="1420"/>
      <c r="O31" s="1420"/>
      <c r="P31" s="1420"/>
      <c r="Q31" s="1420"/>
      <c r="R31" s="1420"/>
      <c r="S31" s="1420"/>
      <c r="T31" s="1420"/>
      <c r="U31" s="1420"/>
      <c r="V31" s="1420"/>
      <c r="W31" s="1421"/>
      <c r="Y31" s="1278" t="s">
        <v>1197</v>
      </c>
      <c r="Z31" s="1278"/>
      <c r="AA31" s="1279" t="s">
        <v>356</v>
      </c>
      <c r="AB31" s="1279"/>
      <c r="AC31" s="1279"/>
      <c r="AD31" s="1279"/>
      <c r="AE31" s="1279"/>
      <c r="AF31" s="1279"/>
      <c r="AG31" s="1279"/>
      <c r="AH31" s="1279"/>
      <c r="AI31" s="1279"/>
      <c r="AJ31" s="1279"/>
      <c r="AK31" s="1279"/>
      <c r="AL31" s="1279"/>
      <c r="AM31" s="1279"/>
      <c r="AN31" s="1279"/>
      <c r="AO31" s="1279"/>
      <c r="AP31" s="1279"/>
      <c r="AQ31" s="1279"/>
      <c r="AR31" s="1279"/>
      <c r="AS31" s="1279"/>
      <c r="AT31" s="1279"/>
    </row>
    <row r="32" spans="1:46" ht="14.4" customHeight="1" thickBot="1">
      <c r="A32" s="1436"/>
      <c r="B32" s="1437"/>
      <c r="C32" s="1438"/>
      <c r="D32" s="883">
        <v>0.3</v>
      </c>
      <c r="E32" s="884">
        <v>0.4</v>
      </c>
      <c r="F32" s="884">
        <v>0.5</v>
      </c>
      <c r="G32" s="884">
        <v>0.6</v>
      </c>
      <c r="H32" s="884">
        <v>0.7</v>
      </c>
      <c r="I32" s="884">
        <v>0.8</v>
      </c>
      <c r="J32" s="884">
        <v>0.9</v>
      </c>
      <c r="K32" s="884">
        <v>1</v>
      </c>
      <c r="L32" s="884">
        <v>1.1000000000000001</v>
      </c>
      <c r="M32" s="884">
        <v>1.2</v>
      </c>
      <c r="N32" s="884">
        <v>1.3</v>
      </c>
      <c r="O32" s="884">
        <v>1.4</v>
      </c>
      <c r="P32" s="884">
        <v>1.5</v>
      </c>
      <c r="Q32" s="884">
        <v>1.6</v>
      </c>
      <c r="R32" s="884">
        <v>1.7</v>
      </c>
      <c r="S32" s="884">
        <v>1.8</v>
      </c>
      <c r="T32" s="884">
        <v>1.9</v>
      </c>
      <c r="U32" s="884">
        <v>2</v>
      </c>
      <c r="V32" s="884">
        <v>2.1</v>
      </c>
      <c r="W32" s="885">
        <v>2.2000000000000002</v>
      </c>
      <c r="Y32" s="1278"/>
      <c r="Z32" s="1278"/>
      <c r="AA32" s="649">
        <v>0.3</v>
      </c>
      <c r="AB32" s="649">
        <v>0.4</v>
      </c>
      <c r="AC32" s="649">
        <v>0.5</v>
      </c>
      <c r="AD32" s="649">
        <v>0.6</v>
      </c>
      <c r="AE32" s="649">
        <v>0.7</v>
      </c>
      <c r="AF32" s="649">
        <v>0.8</v>
      </c>
      <c r="AG32" s="649">
        <v>0.9</v>
      </c>
      <c r="AH32" s="649">
        <v>1</v>
      </c>
      <c r="AI32" s="649">
        <v>1.1000000000000001</v>
      </c>
      <c r="AJ32" s="649">
        <v>1.2</v>
      </c>
      <c r="AK32" s="649">
        <v>1.3</v>
      </c>
      <c r="AL32" s="649">
        <v>1.4</v>
      </c>
      <c r="AM32" s="649">
        <v>1.5</v>
      </c>
      <c r="AN32" s="649">
        <v>1.6</v>
      </c>
      <c r="AO32" s="649">
        <v>1.7</v>
      </c>
      <c r="AP32" s="649">
        <v>1.8</v>
      </c>
      <c r="AQ32" s="649">
        <v>1.9</v>
      </c>
      <c r="AR32" s="649">
        <v>2</v>
      </c>
      <c r="AS32" s="649">
        <v>2.1</v>
      </c>
      <c r="AT32" s="649">
        <v>2.2000000000000002</v>
      </c>
    </row>
    <row r="33" spans="1:46" ht="15" customHeight="1">
      <c r="A33" s="1426" t="s">
        <v>3</v>
      </c>
      <c r="B33" s="1427"/>
      <c r="C33" s="886">
        <v>0.2</v>
      </c>
      <c r="D33" s="899">
        <f>(AA33*KFC!$B$16+KFC!$C$16)*KFC!$C$5</f>
        <v>17.492763108914996</v>
      </c>
      <c r="E33" s="900">
        <f>(AB33*KFC!$B$16+KFC!$C$16)*KFC!$C$5</f>
        <v>19.464923768212891</v>
      </c>
      <c r="F33" s="900">
        <f>(AC33*KFC!$B$16+KFC!$C$16)*KFC!$C$5</f>
        <v>21.437084427510786</v>
      </c>
      <c r="G33" s="900">
        <f>(AD33*KFC!$B$16+KFC!$C$16)*KFC!$C$5</f>
        <v>23.409245086808681</v>
      </c>
      <c r="H33" s="900">
        <f>(AE33*KFC!$B$16+KFC!$C$16)*KFC!$C$5</f>
        <v>25.381405746106577</v>
      </c>
      <c r="I33" s="900">
        <f>(AF33*KFC!$B$16+KFC!$C$16)*KFC!$C$5</f>
        <v>27.353566405404472</v>
      </c>
      <c r="J33" s="900">
        <f>(AG33*KFC!$B$16+KFC!$C$16)*KFC!$C$5</f>
        <v>29.325727064702367</v>
      </c>
      <c r="K33" s="900">
        <f>(AH33*KFC!$B$16+KFC!$C$16)*KFC!$C$5</f>
        <v>31.297887724000255</v>
      </c>
      <c r="L33" s="900">
        <f>(AI33*KFC!$B$16+KFC!$C$16)*KFC!$C$5</f>
        <v>33.270048383298153</v>
      </c>
      <c r="M33" s="900">
        <f>(AJ33*KFC!$B$16+KFC!$C$16)*KFC!$C$5</f>
        <v>35.242209042596045</v>
      </c>
      <c r="N33" s="900">
        <f>(AK33*KFC!$B$16+KFC!$C$16)*KFC!$C$5</f>
        <v>37.214369701893943</v>
      </c>
      <c r="O33" s="900">
        <f>(AL33*KFC!$B$16+KFC!$C$16)*KFC!$C$5</f>
        <v>39.186530361191842</v>
      </c>
      <c r="P33" s="900">
        <f>(AM33*KFC!$B$16+KFC!$C$16)*KFC!$C$5</f>
        <v>41.158691020489734</v>
      </c>
      <c r="Q33" s="900">
        <f>(AN33*KFC!$B$16+KFC!$C$16)*KFC!$C$5</f>
        <v>43.130851679787639</v>
      </c>
      <c r="R33" s="900">
        <f>(AO33*KFC!$B$16+KFC!$C$16)*KFC!$C$5</f>
        <v>45.103012339085531</v>
      </c>
      <c r="S33" s="900">
        <f>(AP33*KFC!$B$16+KFC!$C$16)*KFC!$C$5</f>
        <v>47.07517299838343</v>
      </c>
      <c r="T33" s="900">
        <f>(AQ33*KFC!$B$16+KFC!$C$16)*KFC!$C$5</f>
        <v>49.047333657681321</v>
      </c>
      <c r="U33" s="900">
        <f>(AR33*KFC!$B$16+KFC!$C$16)*KFC!$C$5</f>
        <v>51.019494316979227</v>
      </c>
      <c r="V33" s="900">
        <f>(AS33*KFC!$B$16+KFC!$C$16)*KFC!$C$5</f>
        <v>52.991654976277118</v>
      </c>
      <c r="W33" s="901">
        <f>(AT33*KFC!$B$16+KFC!$C$16)*KFC!$C$5</f>
        <v>54.963815635574996</v>
      </c>
      <c r="Y33" s="1277" t="s">
        <v>357</v>
      </c>
      <c r="Z33" s="649">
        <v>0.2</v>
      </c>
      <c r="AA33" s="882">
        <v>17.492763108914996</v>
      </c>
      <c r="AB33" s="882">
        <v>19.464923768212891</v>
      </c>
      <c r="AC33" s="882">
        <v>21.437084427510786</v>
      </c>
      <c r="AD33" s="882">
        <v>23.409245086808681</v>
      </c>
      <c r="AE33" s="882">
        <v>25.381405746106577</v>
      </c>
      <c r="AF33" s="882">
        <v>27.353566405404472</v>
      </c>
      <c r="AG33" s="882">
        <v>29.325727064702367</v>
      </c>
      <c r="AH33" s="882">
        <v>31.297887724000255</v>
      </c>
      <c r="AI33" s="882">
        <v>33.270048383298153</v>
      </c>
      <c r="AJ33" s="882">
        <v>35.242209042596045</v>
      </c>
      <c r="AK33" s="882">
        <v>37.214369701893943</v>
      </c>
      <c r="AL33" s="882">
        <v>39.186530361191842</v>
      </c>
      <c r="AM33" s="882">
        <v>41.158691020489734</v>
      </c>
      <c r="AN33" s="882">
        <v>43.130851679787639</v>
      </c>
      <c r="AO33" s="882">
        <v>45.103012339085531</v>
      </c>
      <c r="AP33" s="882">
        <v>47.07517299838343</v>
      </c>
      <c r="AQ33" s="882">
        <v>49.047333657681321</v>
      </c>
      <c r="AR33" s="882">
        <v>51.019494316979227</v>
      </c>
      <c r="AS33" s="882">
        <v>52.991654976277118</v>
      </c>
      <c r="AT33" s="882">
        <v>54.963815635574996</v>
      </c>
    </row>
    <row r="34" spans="1:46" ht="14.4" customHeight="1">
      <c r="A34" s="1426"/>
      <c r="B34" s="1427"/>
      <c r="C34" s="887">
        <v>0.3</v>
      </c>
      <c r="D34" s="902">
        <f>(AA34*KFC!$B$16+KFC!$C$16)*KFC!$C$5</f>
        <v>18.060361791536248</v>
      </c>
      <c r="E34" s="898">
        <f>(AB34*KFC!$B$16+KFC!$C$16)*KFC!$C$5</f>
        <v>20.144435539163446</v>
      </c>
      <c r="F34" s="898">
        <f>(AC34*KFC!$B$16+KFC!$C$16)*KFC!$C$5</f>
        <v>22.228509286790644</v>
      </c>
      <c r="G34" s="898">
        <f>(AD34*KFC!$B$16+KFC!$C$16)*KFC!$C$5</f>
        <v>24.312583034417845</v>
      </c>
      <c r="H34" s="898">
        <f>(AE34*KFC!$B$16+KFC!$C$16)*KFC!$C$5</f>
        <v>26.396656782045042</v>
      </c>
      <c r="I34" s="898">
        <f>(AF34*KFC!$B$16+KFC!$C$16)*KFC!$C$5</f>
        <v>28.48073052967224</v>
      </c>
      <c r="J34" s="898">
        <f>(AG34*KFC!$B$16+KFC!$C$16)*KFC!$C$5</f>
        <v>30.564804277299441</v>
      </c>
      <c r="K34" s="898">
        <f>(AH34*KFC!$B$16+KFC!$C$16)*KFC!$C$5</f>
        <v>32.648878024926638</v>
      </c>
      <c r="L34" s="898">
        <f>(AI34*KFC!$B$16+KFC!$C$16)*KFC!$C$5</f>
        <v>34.732951772553839</v>
      </c>
      <c r="M34" s="898">
        <f>(AJ34*KFC!$B$16+KFC!$C$16)*KFC!$C$5</f>
        <v>36.817025520181033</v>
      </c>
      <c r="N34" s="898">
        <f>(AK34*KFC!$B$16+KFC!$C$16)*KFC!$C$5</f>
        <v>38.901099267808227</v>
      </c>
      <c r="O34" s="898">
        <f>(AL34*KFC!$B$16+KFC!$C$16)*KFC!$C$5</f>
        <v>40.985173015435421</v>
      </c>
      <c r="P34" s="898">
        <f>(AM34*KFC!$B$16+KFC!$C$16)*KFC!$C$5</f>
        <v>43.069246763062615</v>
      </c>
      <c r="Q34" s="898">
        <f>(AN34*KFC!$B$16+KFC!$C$16)*KFC!$C$5</f>
        <v>45.153320510689809</v>
      </c>
      <c r="R34" s="898">
        <f>(AO34*KFC!$B$16+KFC!$C$16)*KFC!$C$5</f>
        <v>47.237394258317011</v>
      </c>
      <c r="S34" s="898">
        <f>(AP34*KFC!$B$16+KFC!$C$16)*KFC!$C$5</f>
        <v>49.321468005944205</v>
      </c>
      <c r="T34" s="898">
        <f>(AQ34*KFC!$B$16+KFC!$C$16)*KFC!$C$5</f>
        <v>51.405541753571399</v>
      </c>
      <c r="U34" s="898">
        <f>(AR34*KFC!$B$16+KFC!$C$16)*KFC!$C$5</f>
        <v>53.489615501198585</v>
      </c>
      <c r="V34" s="898">
        <f>(AS34*KFC!$B$16+KFC!$C$16)*KFC!$C$5</f>
        <v>55.573689248825794</v>
      </c>
      <c r="W34" s="903">
        <f>(AT34*KFC!$B$16+KFC!$C$16)*KFC!$C$5</f>
        <v>57.657762996452995</v>
      </c>
      <c r="Y34" s="1277"/>
      <c r="Z34" s="649">
        <v>0.3</v>
      </c>
      <c r="AA34" s="882">
        <v>18.060361791536248</v>
      </c>
      <c r="AB34" s="882">
        <v>20.144435539163446</v>
      </c>
      <c r="AC34" s="882">
        <v>22.228509286790644</v>
      </c>
      <c r="AD34" s="882">
        <v>24.312583034417845</v>
      </c>
      <c r="AE34" s="882">
        <v>26.396656782045042</v>
      </c>
      <c r="AF34" s="882">
        <v>28.48073052967224</v>
      </c>
      <c r="AG34" s="882">
        <v>30.564804277299441</v>
      </c>
      <c r="AH34" s="882">
        <v>32.648878024926638</v>
      </c>
      <c r="AI34" s="882">
        <v>34.732951772553839</v>
      </c>
      <c r="AJ34" s="882">
        <v>36.817025520181033</v>
      </c>
      <c r="AK34" s="882">
        <v>38.901099267808227</v>
      </c>
      <c r="AL34" s="882">
        <v>40.985173015435421</v>
      </c>
      <c r="AM34" s="882">
        <v>43.069246763062615</v>
      </c>
      <c r="AN34" s="882">
        <v>45.153320510689809</v>
      </c>
      <c r="AO34" s="882">
        <v>47.237394258317011</v>
      </c>
      <c r="AP34" s="882">
        <v>49.321468005944205</v>
      </c>
      <c r="AQ34" s="882">
        <v>51.405541753571399</v>
      </c>
      <c r="AR34" s="882">
        <v>53.489615501198585</v>
      </c>
      <c r="AS34" s="882">
        <v>55.573689248825794</v>
      </c>
      <c r="AT34" s="882">
        <v>57.657762996452995</v>
      </c>
    </row>
    <row r="35" spans="1:46">
      <c r="A35" s="1426"/>
      <c r="B35" s="1427"/>
      <c r="C35" s="887">
        <v>0.4</v>
      </c>
      <c r="D35" s="902">
        <f>(AA35*KFC!$B$16+KFC!$C$16)*KFC!$C$5</f>
        <v>18.627960474157501</v>
      </c>
      <c r="E35" s="898">
        <f>(AB35*KFC!$B$16+KFC!$C$16)*KFC!$C$5</f>
        <v>20.823947310113997</v>
      </c>
      <c r="F35" s="898">
        <f>(AC35*KFC!$B$16+KFC!$C$16)*KFC!$C$5</f>
        <v>23.019934146070501</v>
      </c>
      <c r="G35" s="898">
        <f>(AD35*KFC!$B$16+KFC!$C$16)*KFC!$C$5</f>
        <v>25.215920982027001</v>
      </c>
      <c r="H35" s="898">
        <f>(AE35*KFC!$B$16+KFC!$C$16)*KFC!$C$5</f>
        <v>27.411907817983497</v>
      </c>
      <c r="I35" s="898">
        <f>(AF35*KFC!$B$16+KFC!$C$16)*KFC!$C$5</f>
        <v>29.607894653940001</v>
      </c>
      <c r="J35" s="898">
        <f>(AG35*KFC!$B$16+KFC!$C$16)*KFC!$C$5</f>
        <v>31.803881489896494</v>
      </c>
      <c r="K35" s="898">
        <f>(AH35*KFC!$B$16+KFC!$C$16)*KFC!$C$5</f>
        <v>33.999868325853001</v>
      </c>
      <c r="L35" s="898">
        <f>(AI35*KFC!$B$16+KFC!$C$16)*KFC!$C$5</f>
        <v>36.195855161809497</v>
      </c>
      <c r="M35" s="898">
        <f>(AJ35*KFC!$B$16+KFC!$C$16)*KFC!$C$5</f>
        <v>38.391841997766001</v>
      </c>
      <c r="N35" s="898">
        <f>(AK35*KFC!$B$16+KFC!$C$16)*KFC!$C$5</f>
        <v>40.587828833722497</v>
      </c>
      <c r="O35" s="898">
        <f>(AL35*KFC!$B$16+KFC!$C$16)*KFC!$C$5</f>
        <v>42.783815669679001</v>
      </c>
      <c r="P35" s="898">
        <f>(AM35*KFC!$B$16+KFC!$C$16)*KFC!$C$5</f>
        <v>44.979802505635497</v>
      </c>
      <c r="Q35" s="898">
        <f>(AN35*KFC!$B$16+KFC!$C$16)*KFC!$C$5</f>
        <v>47.175789341591994</v>
      </c>
      <c r="R35" s="898">
        <f>(AO35*KFC!$B$16+KFC!$C$16)*KFC!$C$5</f>
        <v>49.371776177548497</v>
      </c>
      <c r="S35" s="898">
        <f>(AP35*KFC!$B$16+KFC!$C$16)*KFC!$C$5</f>
        <v>51.567763013505001</v>
      </c>
      <c r="T35" s="898">
        <f>(AQ35*KFC!$B$16+KFC!$C$16)*KFC!$C$5</f>
        <v>53.763749849461497</v>
      </c>
      <c r="U35" s="898">
        <f>(AR35*KFC!$B$16+KFC!$C$16)*KFC!$C$5</f>
        <v>55.959736685417987</v>
      </c>
      <c r="V35" s="898">
        <f>(AS35*KFC!$B$16+KFC!$C$16)*KFC!$C$5</f>
        <v>58.15572352137449</v>
      </c>
      <c r="W35" s="903">
        <f>(AT35*KFC!$B$16+KFC!$C$16)*KFC!$C$5</f>
        <v>60.351710357330994</v>
      </c>
      <c r="Y35" s="1277"/>
      <c r="Z35" s="649">
        <v>0.4</v>
      </c>
      <c r="AA35" s="882">
        <v>18.627960474157501</v>
      </c>
      <c r="AB35" s="882">
        <v>20.823947310113997</v>
      </c>
      <c r="AC35" s="882">
        <v>23.019934146070501</v>
      </c>
      <c r="AD35" s="882">
        <v>25.215920982027001</v>
      </c>
      <c r="AE35" s="882">
        <v>27.411907817983497</v>
      </c>
      <c r="AF35" s="882">
        <v>29.607894653940001</v>
      </c>
      <c r="AG35" s="882">
        <v>31.803881489896494</v>
      </c>
      <c r="AH35" s="882">
        <v>33.999868325853001</v>
      </c>
      <c r="AI35" s="882">
        <v>36.195855161809497</v>
      </c>
      <c r="AJ35" s="882">
        <v>38.391841997766001</v>
      </c>
      <c r="AK35" s="882">
        <v>40.587828833722497</v>
      </c>
      <c r="AL35" s="882">
        <v>42.783815669679001</v>
      </c>
      <c r="AM35" s="882">
        <v>44.979802505635497</v>
      </c>
      <c r="AN35" s="882">
        <v>47.175789341591994</v>
      </c>
      <c r="AO35" s="882">
        <v>49.371776177548497</v>
      </c>
      <c r="AP35" s="882">
        <v>51.567763013505001</v>
      </c>
      <c r="AQ35" s="882">
        <v>53.763749849461497</v>
      </c>
      <c r="AR35" s="882">
        <v>55.959736685417987</v>
      </c>
      <c r="AS35" s="882">
        <v>58.15572352137449</v>
      </c>
      <c r="AT35" s="882">
        <v>60.351710357330994</v>
      </c>
    </row>
    <row r="36" spans="1:46">
      <c r="A36" s="1426"/>
      <c r="B36" s="1427"/>
      <c r="C36" s="887">
        <v>0.5</v>
      </c>
      <c r="D36" s="902">
        <f>(AA36*KFC!$B$16+KFC!$C$16)*KFC!$C$5</f>
        <v>19.195559156778753</v>
      </c>
      <c r="E36" s="898">
        <f>(AB36*KFC!$B$16+KFC!$C$16)*KFC!$C$5</f>
        <v>21.503459081064555</v>
      </c>
      <c r="F36" s="898">
        <f>(AC36*KFC!$B$16+KFC!$C$16)*KFC!$C$5</f>
        <v>23.811359005350354</v>
      </c>
      <c r="G36" s="898">
        <f>(AD36*KFC!$B$16+KFC!$C$16)*KFC!$C$5</f>
        <v>26.119258929636157</v>
      </c>
      <c r="H36" s="898">
        <f>(AE36*KFC!$B$16+KFC!$C$16)*KFC!$C$5</f>
        <v>28.427158853921959</v>
      </c>
      <c r="I36" s="898">
        <f>(AF36*KFC!$B$16+KFC!$C$16)*KFC!$C$5</f>
        <v>30.735058778207765</v>
      </c>
      <c r="J36" s="898">
        <f>(AG36*KFC!$B$16+KFC!$C$16)*KFC!$C$5</f>
        <v>33.042958702493571</v>
      </c>
      <c r="K36" s="898">
        <f>(AH36*KFC!$B$16+KFC!$C$16)*KFC!$C$5</f>
        <v>35.35085862677937</v>
      </c>
      <c r="L36" s="898">
        <f>(AI36*KFC!$B$16+KFC!$C$16)*KFC!$C$5</f>
        <v>37.658758551065176</v>
      </c>
      <c r="M36" s="898">
        <f>(AJ36*KFC!$B$16+KFC!$C$16)*KFC!$C$5</f>
        <v>39.966658475350982</v>
      </c>
      <c r="N36" s="898">
        <f>(AK36*KFC!$B$16+KFC!$C$16)*KFC!$C$5</f>
        <v>42.274558399636781</v>
      </c>
      <c r="O36" s="898">
        <f>(AL36*KFC!$B$16+KFC!$C$16)*KFC!$C$5</f>
        <v>44.582458323922587</v>
      </c>
      <c r="P36" s="898">
        <f>(AM36*KFC!$B$16+KFC!$C$16)*KFC!$C$5</f>
        <v>46.890358248208386</v>
      </c>
      <c r="Q36" s="898">
        <f>(AN36*KFC!$B$16+KFC!$C$16)*KFC!$C$5</f>
        <v>49.198258172494192</v>
      </c>
      <c r="R36" s="898">
        <f>(AO36*KFC!$B$16+KFC!$C$16)*KFC!$C$5</f>
        <v>51.506158096779998</v>
      </c>
      <c r="S36" s="898">
        <f>(AP36*KFC!$B$16+KFC!$C$16)*KFC!$C$5</f>
        <v>53.814058021065797</v>
      </c>
      <c r="T36" s="898">
        <f>(AQ36*KFC!$B$16+KFC!$C$16)*KFC!$C$5</f>
        <v>56.121957945351603</v>
      </c>
      <c r="U36" s="898">
        <f>(AR36*KFC!$B$16+KFC!$C$16)*KFC!$C$5</f>
        <v>58.429857869637416</v>
      </c>
      <c r="V36" s="898">
        <f>(AS36*KFC!$B$16+KFC!$C$16)*KFC!$C$5</f>
        <v>60.737757793923208</v>
      </c>
      <c r="W36" s="903">
        <f>(AT36*KFC!$B$16+KFC!$C$16)*KFC!$C$5</f>
        <v>63.045657718208993</v>
      </c>
      <c r="Y36" s="1277"/>
      <c r="Z36" s="649">
        <v>0.5</v>
      </c>
      <c r="AA36" s="882">
        <v>19.195559156778753</v>
      </c>
      <c r="AB36" s="882">
        <v>21.503459081064555</v>
      </c>
      <c r="AC36" s="882">
        <v>23.811359005350354</v>
      </c>
      <c r="AD36" s="882">
        <v>26.119258929636157</v>
      </c>
      <c r="AE36" s="882">
        <v>28.427158853921959</v>
      </c>
      <c r="AF36" s="882">
        <v>30.735058778207765</v>
      </c>
      <c r="AG36" s="882">
        <v>33.042958702493571</v>
      </c>
      <c r="AH36" s="882">
        <v>35.35085862677937</v>
      </c>
      <c r="AI36" s="882">
        <v>37.658758551065176</v>
      </c>
      <c r="AJ36" s="882">
        <v>39.966658475350982</v>
      </c>
      <c r="AK36" s="882">
        <v>42.274558399636781</v>
      </c>
      <c r="AL36" s="882">
        <v>44.582458323922587</v>
      </c>
      <c r="AM36" s="882">
        <v>46.890358248208386</v>
      </c>
      <c r="AN36" s="882">
        <v>49.198258172494192</v>
      </c>
      <c r="AO36" s="882">
        <v>51.506158096779998</v>
      </c>
      <c r="AP36" s="882">
        <v>53.814058021065797</v>
      </c>
      <c r="AQ36" s="882">
        <v>56.121957945351603</v>
      </c>
      <c r="AR36" s="882">
        <v>58.429857869637416</v>
      </c>
      <c r="AS36" s="882">
        <v>60.737757793923208</v>
      </c>
      <c r="AT36" s="882">
        <v>63.045657718208993</v>
      </c>
    </row>
    <row r="37" spans="1:46">
      <c r="A37" s="1426"/>
      <c r="B37" s="1427"/>
      <c r="C37" s="887">
        <v>0.6</v>
      </c>
      <c r="D37" s="902">
        <f>(AA37*KFC!$B$16+KFC!$C$16)*KFC!$C$5</f>
        <v>19.763157839400002</v>
      </c>
      <c r="E37" s="898">
        <f>(AB37*KFC!$B$16+KFC!$C$16)*KFC!$C$5</f>
        <v>22.182970852015103</v>
      </c>
      <c r="F37" s="898">
        <f>(AC37*KFC!$B$16+KFC!$C$16)*KFC!$C$5</f>
        <v>24.602783864630211</v>
      </c>
      <c r="G37" s="898">
        <f>(AD37*KFC!$B$16+KFC!$C$16)*KFC!$C$5</f>
        <v>27.022596877245316</v>
      </c>
      <c r="H37" s="898">
        <f>(AE37*KFC!$B$16+KFC!$C$16)*KFC!$C$5</f>
        <v>29.442409889860418</v>
      </c>
      <c r="I37" s="898">
        <f>(AF37*KFC!$B$16+KFC!$C$16)*KFC!$C$5</f>
        <v>31.862222902475526</v>
      </c>
      <c r="J37" s="898">
        <f>(AG37*KFC!$B$16+KFC!$C$16)*KFC!$C$5</f>
        <v>34.282035915090631</v>
      </c>
      <c r="K37" s="898">
        <f>(AH37*KFC!$B$16+KFC!$C$16)*KFC!$C$5</f>
        <v>36.70184892770574</v>
      </c>
      <c r="L37" s="898">
        <f>(AI37*KFC!$B$16+KFC!$C$16)*KFC!$C$5</f>
        <v>39.121661940320841</v>
      </c>
      <c r="M37" s="898">
        <f>(AJ37*KFC!$B$16+KFC!$C$16)*KFC!$C$5</f>
        <v>41.541474952935936</v>
      </c>
      <c r="N37" s="898">
        <f>(AK37*KFC!$B$16+KFC!$C$16)*KFC!$C$5</f>
        <v>43.961287965551037</v>
      </c>
      <c r="O37" s="898">
        <f>(AL37*KFC!$B$16+KFC!$C$16)*KFC!$C$5</f>
        <v>46.381100978166145</v>
      </c>
      <c r="P37" s="898">
        <f>(AM37*KFC!$B$16+KFC!$C$16)*KFC!$C$5</f>
        <v>48.800913990781247</v>
      </c>
      <c r="Q37" s="898">
        <f>(AN37*KFC!$B$16+KFC!$C$16)*KFC!$C$5</f>
        <v>51.220727003396348</v>
      </c>
      <c r="R37" s="898">
        <f>(AO37*KFC!$B$16+KFC!$C$16)*KFC!$C$5</f>
        <v>53.64054001601145</v>
      </c>
      <c r="S37" s="898">
        <f>(AP37*KFC!$B$16+KFC!$C$16)*KFC!$C$5</f>
        <v>56.060353028626551</v>
      </c>
      <c r="T37" s="898">
        <f>(AQ37*KFC!$B$16+KFC!$C$16)*KFC!$C$5</f>
        <v>58.480166041241652</v>
      </c>
      <c r="U37" s="898">
        <f>(AR37*KFC!$B$16+KFC!$C$16)*KFC!$C$5</f>
        <v>60.899979053856754</v>
      </c>
      <c r="V37" s="898">
        <f>(AS37*KFC!$B$16+KFC!$C$16)*KFC!$C$5</f>
        <v>63.319792066471855</v>
      </c>
      <c r="W37" s="903">
        <f>(AT37*KFC!$B$16+KFC!$C$16)*KFC!$C$5</f>
        <v>65.739605079086985</v>
      </c>
      <c r="Y37" s="1277"/>
      <c r="Z37" s="649">
        <v>0.6</v>
      </c>
      <c r="AA37" s="882">
        <v>19.763157839400002</v>
      </c>
      <c r="AB37" s="882">
        <v>22.182970852015103</v>
      </c>
      <c r="AC37" s="882">
        <v>24.602783864630211</v>
      </c>
      <c r="AD37" s="882">
        <v>27.022596877245316</v>
      </c>
      <c r="AE37" s="882">
        <v>29.442409889860418</v>
      </c>
      <c r="AF37" s="882">
        <v>31.862222902475526</v>
      </c>
      <c r="AG37" s="882">
        <v>34.282035915090631</v>
      </c>
      <c r="AH37" s="882">
        <v>36.70184892770574</v>
      </c>
      <c r="AI37" s="882">
        <v>39.121661940320841</v>
      </c>
      <c r="AJ37" s="882">
        <v>41.541474952935936</v>
      </c>
      <c r="AK37" s="882">
        <v>43.961287965551037</v>
      </c>
      <c r="AL37" s="882">
        <v>46.381100978166145</v>
      </c>
      <c r="AM37" s="882">
        <v>48.800913990781247</v>
      </c>
      <c r="AN37" s="882">
        <v>51.220727003396348</v>
      </c>
      <c r="AO37" s="882">
        <v>53.64054001601145</v>
      </c>
      <c r="AP37" s="882">
        <v>56.060353028626551</v>
      </c>
      <c r="AQ37" s="882">
        <v>58.480166041241652</v>
      </c>
      <c r="AR37" s="882">
        <v>60.899979053856754</v>
      </c>
      <c r="AS37" s="882">
        <v>63.319792066471855</v>
      </c>
      <c r="AT37" s="882">
        <v>65.739605079086985</v>
      </c>
    </row>
    <row r="38" spans="1:46">
      <c r="A38" s="1426"/>
      <c r="B38" s="1427"/>
      <c r="C38" s="887">
        <v>0.7</v>
      </c>
      <c r="D38" s="902">
        <f>(AA38*KFC!$B$16+KFC!$C$16)*KFC!$C$5</f>
        <v>20.33075652202125</v>
      </c>
      <c r="E38" s="898">
        <f>(AB38*KFC!$B$16+KFC!$C$16)*KFC!$C$5</f>
        <v>22.862482622965658</v>
      </c>
      <c r="F38" s="898">
        <f>(AC38*KFC!$B$16+KFC!$C$16)*KFC!$C$5</f>
        <v>25.394208723910069</v>
      </c>
      <c r="G38" s="898">
        <f>(AD38*KFC!$B$16+KFC!$C$16)*KFC!$C$5</f>
        <v>27.925934824854473</v>
      </c>
      <c r="H38" s="898">
        <f>(AE38*KFC!$B$16+KFC!$C$16)*KFC!$C$5</f>
        <v>30.45766092579888</v>
      </c>
      <c r="I38" s="898">
        <f>(AF38*KFC!$B$16+KFC!$C$16)*KFC!$C$5</f>
        <v>32.989387026743287</v>
      </c>
      <c r="J38" s="898">
        <f>(AG38*KFC!$B$16+KFC!$C$16)*KFC!$C$5</f>
        <v>35.521113127687691</v>
      </c>
      <c r="K38" s="898">
        <f>(AH38*KFC!$B$16+KFC!$C$16)*KFC!$C$5</f>
        <v>38.052839228632095</v>
      </c>
      <c r="L38" s="898">
        <f>(AI38*KFC!$B$16+KFC!$C$16)*KFC!$C$5</f>
        <v>40.584565329576506</v>
      </c>
      <c r="M38" s="898">
        <f>(AJ38*KFC!$B$16+KFC!$C$16)*KFC!$C$5</f>
        <v>43.11629143052091</v>
      </c>
      <c r="N38" s="898">
        <f>(AK38*KFC!$B$16+KFC!$C$16)*KFC!$C$5</f>
        <v>45.648017531465314</v>
      </c>
      <c r="O38" s="898">
        <f>(AL38*KFC!$B$16+KFC!$C$16)*KFC!$C$5</f>
        <v>48.179743632409725</v>
      </c>
      <c r="P38" s="898">
        <f>(AM38*KFC!$B$16+KFC!$C$16)*KFC!$C$5</f>
        <v>50.711469733354122</v>
      </c>
      <c r="Q38" s="898">
        <f>(AN38*KFC!$B$16+KFC!$C$16)*KFC!$C$5</f>
        <v>53.243195834298533</v>
      </c>
      <c r="R38" s="898">
        <f>(AO38*KFC!$B$16+KFC!$C$16)*KFC!$C$5</f>
        <v>55.774921935242929</v>
      </c>
      <c r="S38" s="898">
        <f>(AP38*KFC!$B$16+KFC!$C$16)*KFC!$C$5</f>
        <v>58.306648036187347</v>
      </c>
      <c r="T38" s="898">
        <f>(AQ38*KFC!$B$16+KFC!$C$16)*KFC!$C$5</f>
        <v>60.838374137131744</v>
      </c>
      <c r="U38" s="898">
        <f>(AR38*KFC!$B$16+KFC!$C$16)*KFC!$C$5</f>
        <v>63.370100238076155</v>
      </c>
      <c r="V38" s="898">
        <f>(AS38*KFC!$B$16+KFC!$C$16)*KFC!$C$5</f>
        <v>65.901826339020559</v>
      </c>
      <c r="W38" s="903">
        <f>(AT38*KFC!$B$16+KFC!$C$16)*KFC!$C$5</f>
        <v>68.433552439964998</v>
      </c>
      <c r="Y38" s="1277"/>
      <c r="Z38" s="649">
        <v>0.7</v>
      </c>
      <c r="AA38" s="882">
        <v>20.33075652202125</v>
      </c>
      <c r="AB38" s="882">
        <v>22.862482622965658</v>
      </c>
      <c r="AC38" s="882">
        <v>25.394208723910069</v>
      </c>
      <c r="AD38" s="882">
        <v>27.925934824854473</v>
      </c>
      <c r="AE38" s="882">
        <v>30.45766092579888</v>
      </c>
      <c r="AF38" s="882">
        <v>32.989387026743287</v>
      </c>
      <c r="AG38" s="882">
        <v>35.521113127687691</v>
      </c>
      <c r="AH38" s="882">
        <v>38.052839228632095</v>
      </c>
      <c r="AI38" s="882">
        <v>40.584565329576506</v>
      </c>
      <c r="AJ38" s="882">
        <v>43.11629143052091</v>
      </c>
      <c r="AK38" s="882">
        <v>45.648017531465314</v>
      </c>
      <c r="AL38" s="882">
        <v>48.179743632409725</v>
      </c>
      <c r="AM38" s="882">
        <v>50.711469733354122</v>
      </c>
      <c r="AN38" s="882">
        <v>53.243195834298533</v>
      </c>
      <c r="AO38" s="882">
        <v>55.774921935242929</v>
      </c>
      <c r="AP38" s="882">
        <v>58.306648036187347</v>
      </c>
      <c r="AQ38" s="882">
        <v>60.838374137131744</v>
      </c>
      <c r="AR38" s="882">
        <v>63.370100238076155</v>
      </c>
      <c r="AS38" s="882">
        <v>65.901826339020559</v>
      </c>
      <c r="AT38" s="882">
        <v>68.433552439964998</v>
      </c>
    </row>
    <row r="39" spans="1:46">
      <c r="A39" s="1426"/>
      <c r="B39" s="1427"/>
      <c r="C39" s="887">
        <v>0.8</v>
      </c>
      <c r="D39" s="902">
        <f>(AA39*KFC!$B$16+KFC!$C$16)*KFC!$C$5</f>
        <v>20.898355204642503</v>
      </c>
      <c r="E39" s="898">
        <f>(AB39*KFC!$B$16+KFC!$C$16)*KFC!$C$5</f>
        <v>23.541994393916209</v>
      </c>
      <c r="F39" s="898">
        <f>(AC39*KFC!$B$16+KFC!$C$16)*KFC!$C$5</f>
        <v>26.185633583189922</v>
      </c>
      <c r="G39" s="898">
        <f>(AD39*KFC!$B$16+KFC!$C$16)*KFC!$C$5</f>
        <v>28.829272772463632</v>
      </c>
      <c r="H39" s="898">
        <f>(AE39*KFC!$B$16+KFC!$C$16)*KFC!$C$5</f>
        <v>31.472911961737342</v>
      </c>
      <c r="I39" s="898">
        <f>(AF39*KFC!$B$16+KFC!$C$16)*KFC!$C$5</f>
        <v>34.116551151011052</v>
      </c>
      <c r="J39" s="898">
        <f>(AG39*KFC!$B$16+KFC!$C$16)*KFC!$C$5</f>
        <v>36.760190340284758</v>
      </c>
      <c r="K39" s="898">
        <f>(AH39*KFC!$B$16+KFC!$C$16)*KFC!$C$5</f>
        <v>39.403829529558472</v>
      </c>
      <c r="L39" s="898">
        <f>(AI39*KFC!$B$16+KFC!$C$16)*KFC!$C$5</f>
        <v>42.047468718832185</v>
      </c>
      <c r="M39" s="898">
        <f>(AJ39*KFC!$B$16+KFC!$C$16)*KFC!$C$5</f>
        <v>44.691107908105892</v>
      </c>
      <c r="N39" s="898">
        <f>(AK39*KFC!$B$16+KFC!$C$16)*KFC!$C$5</f>
        <v>47.334747097379605</v>
      </c>
      <c r="O39" s="898">
        <f>(AL39*KFC!$B$16+KFC!$C$16)*KFC!$C$5</f>
        <v>49.978386286653311</v>
      </c>
      <c r="P39" s="898">
        <f>(AM39*KFC!$B$16+KFC!$C$16)*KFC!$C$5</f>
        <v>52.622025475927025</v>
      </c>
      <c r="Q39" s="898">
        <f>(AN39*KFC!$B$16+KFC!$C$16)*KFC!$C$5</f>
        <v>55.265664665200731</v>
      </c>
      <c r="R39" s="898">
        <f>(AO39*KFC!$B$16+KFC!$C$16)*KFC!$C$5</f>
        <v>57.909303854474445</v>
      </c>
      <c r="S39" s="898">
        <f>(AP39*KFC!$B$16+KFC!$C$16)*KFC!$C$5</f>
        <v>60.552943043748151</v>
      </c>
      <c r="T39" s="898">
        <f>(AQ39*KFC!$B$16+KFC!$C$16)*KFC!$C$5</f>
        <v>63.196582233021864</v>
      </c>
      <c r="U39" s="898">
        <f>(AR39*KFC!$B$16+KFC!$C$16)*KFC!$C$5</f>
        <v>65.840221422295571</v>
      </c>
      <c r="V39" s="898">
        <f>(AS39*KFC!$B$16+KFC!$C$16)*KFC!$C$5</f>
        <v>68.483860611569284</v>
      </c>
      <c r="W39" s="903">
        <f>(AT39*KFC!$B$16+KFC!$C$16)*KFC!$C$5</f>
        <v>71.127499800842998</v>
      </c>
      <c r="Y39" s="1277"/>
      <c r="Z39" s="649">
        <v>0.8</v>
      </c>
      <c r="AA39" s="882">
        <v>20.898355204642503</v>
      </c>
      <c r="AB39" s="882">
        <v>23.541994393916209</v>
      </c>
      <c r="AC39" s="882">
        <v>26.185633583189922</v>
      </c>
      <c r="AD39" s="882">
        <v>28.829272772463632</v>
      </c>
      <c r="AE39" s="882">
        <v>31.472911961737342</v>
      </c>
      <c r="AF39" s="882">
        <v>34.116551151011052</v>
      </c>
      <c r="AG39" s="882">
        <v>36.760190340284758</v>
      </c>
      <c r="AH39" s="882">
        <v>39.403829529558472</v>
      </c>
      <c r="AI39" s="882">
        <v>42.047468718832185</v>
      </c>
      <c r="AJ39" s="882">
        <v>44.691107908105892</v>
      </c>
      <c r="AK39" s="882">
        <v>47.334747097379605</v>
      </c>
      <c r="AL39" s="882">
        <v>49.978386286653311</v>
      </c>
      <c r="AM39" s="882">
        <v>52.622025475927025</v>
      </c>
      <c r="AN39" s="882">
        <v>55.265664665200731</v>
      </c>
      <c r="AO39" s="882">
        <v>57.909303854474445</v>
      </c>
      <c r="AP39" s="882">
        <v>60.552943043748151</v>
      </c>
      <c r="AQ39" s="882">
        <v>63.196582233021864</v>
      </c>
      <c r="AR39" s="882">
        <v>65.840221422295571</v>
      </c>
      <c r="AS39" s="882">
        <v>68.483860611569284</v>
      </c>
      <c r="AT39" s="882">
        <v>71.127499800842998</v>
      </c>
    </row>
    <row r="40" spans="1:46">
      <c r="A40" s="1426"/>
      <c r="B40" s="1427"/>
      <c r="C40" s="887">
        <v>0.9</v>
      </c>
      <c r="D40" s="902">
        <f>(AA40*KFC!$B$16+KFC!$C$16)*KFC!$C$5</f>
        <v>21.465953887263755</v>
      </c>
      <c r="E40" s="898">
        <f>(AB40*KFC!$B$16+KFC!$C$16)*KFC!$C$5</f>
        <v>24.221506164866764</v>
      </c>
      <c r="F40" s="898">
        <f>(AC40*KFC!$B$16+KFC!$C$16)*KFC!$C$5</f>
        <v>26.977058442469779</v>
      </c>
      <c r="G40" s="898">
        <f>(AD40*KFC!$B$16+KFC!$C$16)*KFC!$C$5</f>
        <v>29.732610720072792</v>
      </c>
      <c r="H40" s="898">
        <f>(AE40*KFC!$B$16+KFC!$C$16)*KFC!$C$5</f>
        <v>32.488162997675808</v>
      </c>
      <c r="I40" s="898">
        <f>(AF40*KFC!$B$16+KFC!$C$16)*KFC!$C$5</f>
        <v>35.243715275278824</v>
      </c>
      <c r="J40" s="898">
        <f>(AG40*KFC!$B$16+KFC!$C$16)*KFC!$C$5</f>
        <v>37.999267552881832</v>
      </c>
      <c r="K40" s="898">
        <f>(AH40*KFC!$B$16+KFC!$C$16)*KFC!$C$5</f>
        <v>40.754819830484848</v>
      </c>
      <c r="L40" s="898">
        <f>(AI40*KFC!$B$16+KFC!$C$16)*KFC!$C$5</f>
        <v>43.510372108087871</v>
      </c>
      <c r="M40" s="898">
        <f>(AJ40*KFC!$B$16+KFC!$C$16)*KFC!$C$5</f>
        <v>46.26592438569088</v>
      </c>
      <c r="N40" s="898">
        <f>(AK40*KFC!$B$16+KFC!$C$16)*KFC!$C$5</f>
        <v>49.021476663293896</v>
      </c>
      <c r="O40" s="898">
        <f>(AL40*KFC!$B$16+KFC!$C$16)*KFC!$C$5</f>
        <v>51.777028940896912</v>
      </c>
      <c r="P40" s="898">
        <f>(AM40*KFC!$B$16+KFC!$C$16)*KFC!$C$5</f>
        <v>54.532581218499928</v>
      </c>
      <c r="Q40" s="898">
        <f>(AN40*KFC!$B$16+KFC!$C$16)*KFC!$C$5</f>
        <v>57.288133496102937</v>
      </c>
      <c r="R40" s="898">
        <f>(AO40*KFC!$B$16+KFC!$C$16)*KFC!$C$5</f>
        <v>60.043685773705953</v>
      </c>
      <c r="S40" s="898">
        <f>(AP40*KFC!$B$16+KFC!$C$16)*KFC!$C$5</f>
        <v>62.799238051308969</v>
      </c>
      <c r="T40" s="898">
        <f>(AQ40*KFC!$B$16+KFC!$C$16)*KFC!$C$5</f>
        <v>65.554790328911977</v>
      </c>
      <c r="U40" s="898">
        <f>(AR40*KFC!$B$16+KFC!$C$16)*KFC!$C$5</f>
        <v>68.310342606514993</v>
      </c>
      <c r="V40" s="898">
        <f>(AS40*KFC!$B$16+KFC!$C$16)*KFC!$C$5</f>
        <v>71.065894884117995</v>
      </c>
      <c r="W40" s="903">
        <f>(AT40*KFC!$B$16+KFC!$C$16)*KFC!$C$5</f>
        <v>73.821447161720982</v>
      </c>
      <c r="Y40" s="1277"/>
      <c r="Z40" s="649">
        <v>0.9</v>
      </c>
      <c r="AA40" s="882">
        <v>21.465953887263755</v>
      </c>
      <c r="AB40" s="882">
        <v>24.221506164866764</v>
      </c>
      <c r="AC40" s="882">
        <v>26.977058442469779</v>
      </c>
      <c r="AD40" s="882">
        <v>29.732610720072792</v>
      </c>
      <c r="AE40" s="882">
        <v>32.488162997675808</v>
      </c>
      <c r="AF40" s="882">
        <v>35.243715275278824</v>
      </c>
      <c r="AG40" s="882">
        <v>37.999267552881832</v>
      </c>
      <c r="AH40" s="882">
        <v>40.754819830484848</v>
      </c>
      <c r="AI40" s="882">
        <v>43.510372108087871</v>
      </c>
      <c r="AJ40" s="882">
        <v>46.26592438569088</v>
      </c>
      <c r="AK40" s="882">
        <v>49.021476663293896</v>
      </c>
      <c r="AL40" s="882">
        <v>51.777028940896912</v>
      </c>
      <c r="AM40" s="882">
        <v>54.532581218499928</v>
      </c>
      <c r="AN40" s="882">
        <v>57.288133496102937</v>
      </c>
      <c r="AO40" s="882">
        <v>60.043685773705953</v>
      </c>
      <c r="AP40" s="882">
        <v>62.799238051308969</v>
      </c>
      <c r="AQ40" s="882">
        <v>65.554790328911977</v>
      </c>
      <c r="AR40" s="882">
        <v>68.310342606514993</v>
      </c>
      <c r="AS40" s="882">
        <v>71.065894884117995</v>
      </c>
      <c r="AT40" s="882">
        <v>73.821447161720982</v>
      </c>
    </row>
    <row r="41" spans="1:46">
      <c r="A41" s="1426"/>
      <c r="B41" s="1427"/>
      <c r="C41" s="887">
        <v>1</v>
      </c>
      <c r="D41" s="902">
        <f>(AA41*KFC!$B$16+KFC!$C$16)*KFC!$C$5</f>
        <v>22.033552569885</v>
      </c>
      <c r="E41" s="898">
        <f>(AB41*KFC!$B$16+KFC!$C$16)*KFC!$C$5</f>
        <v>24.901017935817318</v>
      </c>
      <c r="F41" s="898">
        <f>(AC41*KFC!$B$16+KFC!$C$16)*KFC!$C$5</f>
        <v>27.76848330174963</v>
      </c>
      <c r="G41" s="898">
        <f>(AD41*KFC!$B$16+KFC!$C$16)*KFC!$C$5</f>
        <v>30.635948667681944</v>
      </c>
      <c r="H41" s="898">
        <f>(AE41*KFC!$B$16+KFC!$C$16)*KFC!$C$5</f>
        <v>33.503414033614263</v>
      </c>
      <c r="I41" s="898">
        <f>(AF41*KFC!$B$16+KFC!$C$16)*KFC!$C$5</f>
        <v>36.370879399546581</v>
      </c>
      <c r="J41" s="898">
        <f>(AG41*KFC!$B$16+KFC!$C$16)*KFC!$C$5</f>
        <v>39.238344765478899</v>
      </c>
      <c r="K41" s="898">
        <f>(AH41*KFC!$B$16+KFC!$C$16)*KFC!$C$5</f>
        <v>42.105810131411218</v>
      </c>
      <c r="L41" s="898">
        <f>(AI41*KFC!$B$16+KFC!$C$16)*KFC!$C$5</f>
        <v>44.973275497343536</v>
      </c>
      <c r="M41" s="898">
        <f>(AJ41*KFC!$B$16+KFC!$C$16)*KFC!$C$5</f>
        <v>47.840740863275855</v>
      </c>
      <c r="N41" s="898">
        <f>(AK41*KFC!$B$16+KFC!$C$16)*KFC!$C$5</f>
        <v>50.708206229208173</v>
      </c>
      <c r="O41" s="898">
        <f>(AL41*KFC!$B$16+KFC!$C$16)*KFC!$C$5</f>
        <v>53.575671595140491</v>
      </c>
      <c r="P41" s="898">
        <f>(AM41*KFC!$B$16+KFC!$C$16)*KFC!$C$5</f>
        <v>56.44313696107281</v>
      </c>
      <c r="Q41" s="898">
        <f>(AN41*KFC!$B$16+KFC!$C$16)*KFC!$C$5</f>
        <v>59.310602327005128</v>
      </c>
      <c r="R41" s="898">
        <f>(AO41*KFC!$B$16+KFC!$C$16)*KFC!$C$5</f>
        <v>62.178067692937447</v>
      </c>
      <c r="S41" s="898">
        <f>(AP41*KFC!$B$16+KFC!$C$16)*KFC!$C$5</f>
        <v>65.045533058869765</v>
      </c>
      <c r="T41" s="898">
        <f>(AQ41*KFC!$B$16+KFC!$C$16)*KFC!$C$5</f>
        <v>67.912998424802083</v>
      </c>
      <c r="U41" s="898">
        <f>(AR41*KFC!$B$16+KFC!$C$16)*KFC!$C$5</f>
        <v>70.780463790734402</v>
      </c>
      <c r="V41" s="898">
        <f>(AS41*KFC!$B$16+KFC!$C$16)*KFC!$C$5</f>
        <v>73.64792915666672</v>
      </c>
      <c r="W41" s="903">
        <f>(AT41*KFC!$B$16+KFC!$C$16)*KFC!$C$5</f>
        <v>76.515394522598982</v>
      </c>
      <c r="Y41" s="1277"/>
      <c r="Z41" s="649">
        <v>1</v>
      </c>
      <c r="AA41" s="882">
        <v>22.033552569885</v>
      </c>
      <c r="AB41" s="882">
        <v>24.901017935817318</v>
      </c>
      <c r="AC41" s="882">
        <v>27.76848330174963</v>
      </c>
      <c r="AD41" s="882">
        <v>30.635948667681944</v>
      </c>
      <c r="AE41" s="882">
        <v>33.503414033614263</v>
      </c>
      <c r="AF41" s="882">
        <v>36.370879399546581</v>
      </c>
      <c r="AG41" s="882">
        <v>39.238344765478899</v>
      </c>
      <c r="AH41" s="882">
        <v>42.105810131411218</v>
      </c>
      <c r="AI41" s="882">
        <v>44.973275497343536</v>
      </c>
      <c r="AJ41" s="882">
        <v>47.840740863275855</v>
      </c>
      <c r="AK41" s="882">
        <v>50.708206229208173</v>
      </c>
      <c r="AL41" s="882">
        <v>53.575671595140491</v>
      </c>
      <c r="AM41" s="882">
        <v>56.44313696107281</v>
      </c>
      <c r="AN41" s="882">
        <v>59.310602327005128</v>
      </c>
      <c r="AO41" s="882">
        <v>62.178067692937447</v>
      </c>
      <c r="AP41" s="882">
        <v>65.045533058869765</v>
      </c>
      <c r="AQ41" s="882">
        <v>67.912998424802083</v>
      </c>
      <c r="AR41" s="882">
        <v>70.780463790734402</v>
      </c>
      <c r="AS41" s="882">
        <v>73.64792915666672</v>
      </c>
      <c r="AT41" s="882">
        <v>76.515394522598982</v>
      </c>
    </row>
    <row r="42" spans="1:46">
      <c r="A42" s="1426"/>
      <c r="B42" s="1427"/>
      <c r="C42" s="887">
        <v>1.1000000000000001</v>
      </c>
      <c r="D42" s="902">
        <f>(AA42*KFC!$B$16+KFC!$C$16)*KFC!$C$5</f>
        <v>22.601151252506252</v>
      </c>
      <c r="E42" s="898">
        <f>(AB42*KFC!$B$16+KFC!$C$16)*KFC!$C$5</f>
        <v>25.580529706767866</v>
      </c>
      <c r="F42" s="898">
        <f>(AC42*KFC!$B$16+KFC!$C$16)*KFC!$C$5</f>
        <v>28.559908161029483</v>
      </c>
      <c r="G42" s="898">
        <f>(AD42*KFC!$B$16+KFC!$C$16)*KFC!$C$5</f>
        <v>31.5392866152911</v>
      </c>
      <c r="H42" s="898">
        <f>(AE42*KFC!$B$16+KFC!$C$16)*KFC!$C$5</f>
        <v>34.518665069552711</v>
      </c>
      <c r="I42" s="898">
        <f>(AF42*KFC!$B$16+KFC!$C$16)*KFC!$C$5</f>
        <v>37.498043523814339</v>
      </c>
      <c r="J42" s="898">
        <f>(AG42*KFC!$B$16+KFC!$C$16)*KFC!$C$5</f>
        <v>40.477421978075952</v>
      </c>
      <c r="K42" s="898">
        <f>(AH42*KFC!$B$16+KFC!$C$16)*KFC!$C$5</f>
        <v>43.456800432337566</v>
      </c>
      <c r="L42" s="898">
        <f>(AI42*KFC!$B$16+KFC!$C$16)*KFC!$C$5</f>
        <v>46.436178886599187</v>
      </c>
      <c r="M42" s="898">
        <f>(AJ42*KFC!$B$16+KFC!$C$16)*KFC!$C$5</f>
        <v>49.415557340860801</v>
      </c>
      <c r="N42" s="898">
        <f>(AK42*KFC!$B$16+KFC!$C$16)*KFC!$C$5</f>
        <v>52.394935795122414</v>
      </c>
      <c r="O42" s="898">
        <f>(AL42*KFC!$B$16+KFC!$C$16)*KFC!$C$5</f>
        <v>55.374314249384035</v>
      </c>
      <c r="P42" s="898">
        <f>(AM42*KFC!$B$16+KFC!$C$16)*KFC!$C$5</f>
        <v>58.353692703645656</v>
      </c>
      <c r="Q42" s="898">
        <f>(AN42*KFC!$B$16+KFC!$C$16)*KFC!$C$5</f>
        <v>61.333071157907263</v>
      </c>
      <c r="R42" s="898">
        <f>(AO42*KFC!$B$16+KFC!$C$16)*KFC!$C$5</f>
        <v>64.312449612168876</v>
      </c>
      <c r="S42" s="898">
        <f>(AP42*KFC!$B$16+KFC!$C$16)*KFC!$C$5</f>
        <v>67.291828066430512</v>
      </c>
      <c r="T42" s="898">
        <f>(AQ42*KFC!$B$16+KFC!$C$16)*KFC!$C$5</f>
        <v>70.271206520692132</v>
      </c>
      <c r="U42" s="898">
        <f>(AR42*KFC!$B$16+KFC!$C$16)*KFC!$C$5</f>
        <v>73.250584974953739</v>
      </c>
      <c r="V42" s="898">
        <f>(AS42*KFC!$B$16+KFC!$C$16)*KFC!$C$5</f>
        <v>76.22996342921536</v>
      </c>
      <c r="W42" s="903">
        <f>(AT42*KFC!$B$16+KFC!$C$16)*KFC!$C$5</f>
        <v>79.209341883476981</v>
      </c>
      <c r="Y42" s="1277"/>
      <c r="Z42" s="649">
        <v>1.1000000000000001</v>
      </c>
      <c r="AA42" s="882">
        <v>22.601151252506252</v>
      </c>
      <c r="AB42" s="882">
        <v>25.580529706767866</v>
      </c>
      <c r="AC42" s="882">
        <v>28.559908161029483</v>
      </c>
      <c r="AD42" s="882">
        <v>31.5392866152911</v>
      </c>
      <c r="AE42" s="882">
        <v>34.518665069552711</v>
      </c>
      <c r="AF42" s="882">
        <v>37.498043523814339</v>
      </c>
      <c r="AG42" s="882">
        <v>40.477421978075952</v>
      </c>
      <c r="AH42" s="882">
        <v>43.456800432337566</v>
      </c>
      <c r="AI42" s="882">
        <v>46.436178886599187</v>
      </c>
      <c r="AJ42" s="882">
        <v>49.415557340860801</v>
      </c>
      <c r="AK42" s="882">
        <v>52.394935795122414</v>
      </c>
      <c r="AL42" s="882">
        <v>55.374314249384035</v>
      </c>
      <c r="AM42" s="882">
        <v>58.353692703645656</v>
      </c>
      <c r="AN42" s="882">
        <v>61.333071157907263</v>
      </c>
      <c r="AO42" s="882">
        <v>64.312449612168876</v>
      </c>
      <c r="AP42" s="882">
        <v>67.291828066430512</v>
      </c>
      <c r="AQ42" s="882">
        <v>70.271206520692132</v>
      </c>
      <c r="AR42" s="882">
        <v>73.250584974953739</v>
      </c>
      <c r="AS42" s="882">
        <v>76.22996342921536</v>
      </c>
      <c r="AT42" s="882">
        <v>79.209341883476981</v>
      </c>
    </row>
    <row r="43" spans="1:46">
      <c r="A43" s="1426"/>
      <c r="B43" s="1427"/>
      <c r="C43" s="887">
        <v>1.2</v>
      </c>
      <c r="D43" s="902">
        <f>(AA43*KFC!$B$16+KFC!$C$16)*KFC!$C$5</f>
        <v>23.168749935127497</v>
      </c>
      <c r="E43" s="898">
        <f>(AB43*KFC!$B$16+KFC!$C$16)*KFC!$C$5</f>
        <v>26.260041477718417</v>
      </c>
      <c r="F43" s="898">
        <f>(AC43*KFC!$B$16+KFC!$C$16)*KFC!$C$5</f>
        <v>29.35133302030934</v>
      </c>
      <c r="G43" s="898">
        <f>(AD43*KFC!$B$16+KFC!$C$16)*KFC!$C$5</f>
        <v>32.442624562900264</v>
      </c>
      <c r="H43" s="898">
        <f>(AE43*KFC!$B$16+KFC!$C$16)*KFC!$C$5</f>
        <v>35.53391610549118</v>
      </c>
      <c r="I43" s="898">
        <f>(AF43*KFC!$B$16+KFC!$C$16)*KFC!$C$5</f>
        <v>38.625207648082096</v>
      </c>
      <c r="J43" s="898">
        <f>(AG43*KFC!$B$16+KFC!$C$16)*KFC!$C$5</f>
        <v>41.716499190673019</v>
      </c>
      <c r="K43" s="898">
        <f>(AH43*KFC!$B$16+KFC!$C$16)*KFC!$C$5</f>
        <v>44.807790733263943</v>
      </c>
      <c r="L43" s="898">
        <f>(AI43*KFC!$B$16+KFC!$C$16)*KFC!$C$5</f>
        <v>47.899082275854866</v>
      </c>
      <c r="M43" s="898">
        <f>(AJ43*KFC!$B$16+KFC!$C$16)*KFC!$C$5</f>
        <v>50.990373818445782</v>
      </c>
      <c r="N43" s="898">
        <f>(AK43*KFC!$B$16+KFC!$C$16)*KFC!$C$5</f>
        <v>54.081665361036706</v>
      </c>
      <c r="O43" s="898">
        <f>(AL43*KFC!$B$16+KFC!$C$16)*KFC!$C$5</f>
        <v>57.172956903627622</v>
      </c>
      <c r="P43" s="898">
        <f>(AM43*KFC!$B$16+KFC!$C$16)*KFC!$C$5</f>
        <v>60.264248446218538</v>
      </c>
      <c r="Q43" s="898">
        <f>(AN43*KFC!$B$16+KFC!$C$16)*KFC!$C$5</f>
        <v>63.355539988809468</v>
      </c>
      <c r="R43" s="898">
        <f>(AO43*KFC!$B$16+KFC!$C$16)*KFC!$C$5</f>
        <v>66.446831531400392</v>
      </c>
      <c r="S43" s="898">
        <f>(AP43*KFC!$B$16+KFC!$C$16)*KFC!$C$5</f>
        <v>69.538123073991301</v>
      </c>
      <c r="T43" s="898">
        <f>(AQ43*KFC!$B$16+KFC!$C$16)*KFC!$C$5</f>
        <v>72.62941461658221</v>
      </c>
      <c r="U43" s="898">
        <f>(AR43*KFC!$B$16+KFC!$C$16)*KFC!$C$5</f>
        <v>75.720706159173133</v>
      </c>
      <c r="V43" s="898">
        <f>(AS43*KFC!$B$16+KFC!$C$16)*KFC!$C$5</f>
        <v>78.811997701764042</v>
      </c>
      <c r="W43" s="903">
        <f>(AT43*KFC!$B$16+KFC!$C$16)*KFC!$C$5</f>
        <v>81.903289244354994</v>
      </c>
      <c r="Y43" s="1277"/>
      <c r="Z43" s="649">
        <v>1.2</v>
      </c>
      <c r="AA43" s="882">
        <v>23.168749935127497</v>
      </c>
      <c r="AB43" s="882">
        <v>26.260041477718417</v>
      </c>
      <c r="AC43" s="882">
        <v>29.35133302030934</v>
      </c>
      <c r="AD43" s="882">
        <v>32.442624562900264</v>
      </c>
      <c r="AE43" s="882">
        <v>35.53391610549118</v>
      </c>
      <c r="AF43" s="882">
        <v>38.625207648082096</v>
      </c>
      <c r="AG43" s="882">
        <v>41.716499190673019</v>
      </c>
      <c r="AH43" s="882">
        <v>44.807790733263943</v>
      </c>
      <c r="AI43" s="882">
        <v>47.899082275854866</v>
      </c>
      <c r="AJ43" s="882">
        <v>50.990373818445782</v>
      </c>
      <c r="AK43" s="882">
        <v>54.081665361036706</v>
      </c>
      <c r="AL43" s="882">
        <v>57.172956903627622</v>
      </c>
      <c r="AM43" s="882">
        <v>60.264248446218538</v>
      </c>
      <c r="AN43" s="882">
        <v>63.355539988809468</v>
      </c>
      <c r="AO43" s="882">
        <v>66.446831531400392</v>
      </c>
      <c r="AP43" s="882">
        <v>69.538123073991301</v>
      </c>
      <c r="AQ43" s="882">
        <v>72.62941461658221</v>
      </c>
      <c r="AR43" s="882">
        <v>75.720706159173133</v>
      </c>
      <c r="AS43" s="882">
        <v>78.811997701764042</v>
      </c>
      <c r="AT43" s="882">
        <v>81.903289244354994</v>
      </c>
    </row>
    <row r="44" spans="1:46">
      <c r="A44" s="1426"/>
      <c r="B44" s="1427"/>
      <c r="C44" s="887">
        <v>1.3</v>
      </c>
      <c r="D44" s="902">
        <f>(AA44*KFC!$B$16+KFC!$C$16)*KFC!$C$5</f>
        <v>23.736348617748749</v>
      </c>
      <c r="E44" s="898">
        <f>(AB44*KFC!$B$16+KFC!$C$16)*KFC!$C$5</f>
        <v>26.939553248668972</v>
      </c>
      <c r="F44" s="898">
        <f>(AC44*KFC!$B$16+KFC!$C$16)*KFC!$C$5</f>
        <v>30.142757879589194</v>
      </c>
      <c r="G44" s="898">
        <f>(AD44*KFC!$B$16+KFC!$C$16)*KFC!$C$5</f>
        <v>33.345962510509416</v>
      </c>
      <c r="H44" s="898">
        <f>(AE44*KFC!$B$16+KFC!$C$16)*KFC!$C$5</f>
        <v>36.549167141429635</v>
      </c>
      <c r="I44" s="898">
        <f>(AF44*KFC!$B$16+KFC!$C$16)*KFC!$C$5</f>
        <v>39.752371772349868</v>
      </c>
      <c r="J44" s="898">
        <f>(AG44*KFC!$B$16+KFC!$C$16)*KFC!$C$5</f>
        <v>42.955576403270086</v>
      </c>
      <c r="K44" s="898">
        <f>(AH44*KFC!$B$16+KFC!$C$16)*KFC!$C$5</f>
        <v>46.158781034190312</v>
      </c>
      <c r="L44" s="898">
        <f>(AI44*KFC!$B$16+KFC!$C$16)*KFC!$C$5</f>
        <v>49.361985665110538</v>
      </c>
      <c r="M44" s="898">
        <f>(AJ44*KFC!$B$16+KFC!$C$16)*KFC!$C$5</f>
        <v>52.565190296030764</v>
      </c>
      <c r="N44" s="898">
        <f>(AK44*KFC!$B$16+KFC!$C$16)*KFC!$C$5</f>
        <v>55.768394926950982</v>
      </c>
      <c r="O44" s="898">
        <f>(AL44*KFC!$B$16+KFC!$C$16)*KFC!$C$5</f>
        <v>58.971599557871215</v>
      </c>
      <c r="P44" s="898">
        <f>(AM44*KFC!$B$16+KFC!$C$16)*KFC!$C$5</f>
        <v>62.174804188791441</v>
      </c>
      <c r="Q44" s="898">
        <f>(AN44*KFC!$B$16+KFC!$C$16)*KFC!$C$5</f>
        <v>65.378008819711667</v>
      </c>
      <c r="R44" s="898">
        <f>(AO44*KFC!$B$16+KFC!$C$16)*KFC!$C$5</f>
        <v>68.581213450631893</v>
      </c>
      <c r="S44" s="898">
        <f>(AP44*KFC!$B$16+KFC!$C$16)*KFC!$C$5</f>
        <v>71.784418081552104</v>
      </c>
      <c r="T44" s="898">
        <f>(AQ44*KFC!$B$16+KFC!$C$16)*KFC!$C$5</f>
        <v>74.98762271247233</v>
      </c>
      <c r="U44" s="898">
        <f>(AR44*KFC!$B$16+KFC!$C$16)*KFC!$C$5</f>
        <v>78.190827343392556</v>
      </c>
      <c r="V44" s="898">
        <f>(AS44*KFC!$B$16+KFC!$C$16)*KFC!$C$5</f>
        <v>81.394031974312782</v>
      </c>
      <c r="W44" s="903">
        <f>(AT44*KFC!$B$16+KFC!$C$16)*KFC!$C$5</f>
        <v>84.597236605232979</v>
      </c>
      <c r="Y44" s="1277"/>
      <c r="Z44" s="649">
        <v>1.3</v>
      </c>
      <c r="AA44" s="882">
        <v>23.736348617748749</v>
      </c>
      <c r="AB44" s="882">
        <v>26.939553248668972</v>
      </c>
      <c r="AC44" s="882">
        <v>30.142757879589194</v>
      </c>
      <c r="AD44" s="882">
        <v>33.345962510509416</v>
      </c>
      <c r="AE44" s="882">
        <v>36.549167141429635</v>
      </c>
      <c r="AF44" s="882">
        <v>39.752371772349868</v>
      </c>
      <c r="AG44" s="882">
        <v>42.955576403270086</v>
      </c>
      <c r="AH44" s="882">
        <v>46.158781034190312</v>
      </c>
      <c r="AI44" s="882">
        <v>49.361985665110538</v>
      </c>
      <c r="AJ44" s="882">
        <v>52.565190296030764</v>
      </c>
      <c r="AK44" s="882">
        <v>55.768394926950982</v>
      </c>
      <c r="AL44" s="882">
        <v>58.971599557871215</v>
      </c>
      <c r="AM44" s="882">
        <v>62.174804188791441</v>
      </c>
      <c r="AN44" s="882">
        <v>65.378008819711667</v>
      </c>
      <c r="AO44" s="882">
        <v>68.581213450631893</v>
      </c>
      <c r="AP44" s="882">
        <v>71.784418081552104</v>
      </c>
      <c r="AQ44" s="882">
        <v>74.98762271247233</v>
      </c>
      <c r="AR44" s="882">
        <v>78.190827343392556</v>
      </c>
      <c r="AS44" s="882">
        <v>81.394031974312782</v>
      </c>
      <c r="AT44" s="882">
        <v>84.597236605232979</v>
      </c>
    </row>
    <row r="45" spans="1:46">
      <c r="A45" s="1426"/>
      <c r="B45" s="1427"/>
      <c r="C45" s="887">
        <v>1.4</v>
      </c>
      <c r="D45" s="902">
        <f>(AA45*KFC!$B$16+KFC!$C$16)*KFC!$C$5</f>
        <v>24.303947300369995</v>
      </c>
      <c r="E45" s="898">
        <f>(AB45*KFC!$B$16+KFC!$C$16)*KFC!$C$5</f>
        <v>27.619065019619519</v>
      </c>
      <c r="F45" s="898">
        <f>(AC45*KFC!$B$16+KFC!$C$16)*KFC!$C$5</f>
        <v>30.934182738869044</v>
      </c>
      <c r="G45" s="898">
        <f>(AD45*KFC!$B$16+KFC!$C$16)*KFC!$C$5</f>
        <v>34.249300458118576</v>
      </c>
      <c r="H45" s="898">
        <f>(AE45*KFC!$B$16+KFC!$C$16)*KFC!$C$5</f>
        <v>37.564418177368097</v>
      </c>
      <c r="I45" s="898">
        <f>(AF45*KFC!$B$16+KFC!$C$16)*KFC!$C$5</f>
        <v>40.879535896617625</v>
      </c>
      <c r="J45" s="898">
        <f>(AG45*KFC!$B$16+KFC!$C$16)*KFC!$C$5</f>
        <v>44.194653615867139</v>
      </c>
      <c r="K45" s="898">
        <f>(AH45*KFC!$B$16+KFC!$C$16)*KFC!$C$5</f>
        <v>47.50977133511666</v>
      </c>
      <c r="L45" s="898">
        <f>(AI45*KFC!$B$16+KFC!$C$16)*KFC!$C$5</f>
        <v>50.824889054366189</v>
      </c>
      <c r="M45" s="898">
        <f>(AJ45*KFC!$B$16+KFC!$C$16)*KFC!$C$5</f>
        <v>54.140006773615703</v>
      </c>
      <c r="N45" s="898">
        <f>(AK45*KFC!$B$16+KFC!$C$16)*KFC!$C$5</f>
        <v>57.455124492865231</v>
      </c>
      <c r="O45" s="898">
        <f>(AL45*KFC!$B$16+KFC!$C$16)*KFC!$C$5</f>
        <v>60.770242212114759</v>
      </c>
      <c r="P45" s="898">
        <f>(AM45*KFC!$B$16+KFC!$C$16)*KFC!$C$5</f>
        <v>64.085359931364266</v>
      </c>
      <c r="Q45" s="898">
        <f>(AN45*KFC!$B$16+KFC!$C$16)*KFC!$C$5</f>
        <v>67.400477650613794</v>
      </c>
      <c r="R45" s="898">
        <f>(AO45*KFC!$B$16+KFC!$C$16)*KFC!$C$5</f>
        <v>70.715595369863323</v>
      </c>
      <c r="S45" s="898">
        <f>(AP45*KFC!$B$16+KFC!$C$16)*KFC!$C$5</f>
        <v>74.030713089112851</v>
      </c>
      <c r="T45" s="898">
        <f>(AQ45*KFC!$B$16+KFC!$C$16)*KFC!$C$5</f>
        <v>77.345830808362379</v>
      </c>
      <c r="U45" s="898">
        <f>(AR45*KFC!$B$16+KFC!$C$16)*KFC!$C$5</f>
        <v>80.660948527611893</v>
      </c>
      <c r="V45" s="898">
        <f>(AS45*KFC!$B$16+KFC!$C$16)*KFC!$C$5</f>
        <v>83.976066246861421</v>
      </c>
      <c r="W45" s="903">
        <f>(AT45*KFC!$B$16+KFC!$C$16)*KFC!$C$5</f>
        <v>87.291183966110978</v>
      </c>
      <c r="Y45" s="1277"/>
      <c r="Z45" s="649">
        <v>1.4</v>
      </c>
      <c r="AA45" s="882">
        <v>24.303947300369995</v>
      </c>
      <c r="AB45" s="882">
        <v>27.619065019619519</v>
      </c>
      <c r="AC45" s="882">
        <v>30.934182738869044</v>
      </c>
      <c r="AD45" s="882">
        <v>34.249300458118576</v>
      </c>
      <c r="AE45" s="882">
        <v>37.564418177368097</v>
      </c>
      <c r="AF45" s="882">
        <v>40.879535896617625</v>
      </c>
      <c r="AG45" s="882">
        <v>44.194653615867139</v>
      </c>
      <c r="AH45" s="882">
        <v>47.50977133511666</v>
      </c>
      <c r="AI45" s="882">
        <v>50.824889054366189</v>
      </c>
      <c r="AJ45" s="882">
        <v>54.140006773615703</v>
      </c>
      <c r="AK45" s="882">
        <v>57.455124492865231</v>
      </c>
      <c r="AL45" s="882">
        <v>60.770242212114759</v>
      </c>
      <c r="AM45" s="882">
        <v>64.085359931364266</v>
      </c>
      <c r="AN45" s="882">
        <v>67.400477650613794</v>
      </c>
      <c r="AO45" s="882">
        <v>70.715595369863323</v>
      </c>
      <c r="AP45" s="882">
        <v>74.030713089112851</v>
      </c>
      <c r="AQ45" s="882">
        <v>77.345830808362379</v>
      </c>
      <c r="AR45" s="882">
        <v>80.660948527611893</v>
      </c>
      <c r="AS45" s="882">
        <v>83.976066246861421</v>
      </c>
      <c r="AT45" s="882">
        <v>87.291183966110978</v>
      </c>
    </row>
    <row r="46" spans="1:46">
      <c r="A46" s="1426"/>
      <c r="B46" s="1427"/>
      <c r="C46" s="887">
        <v>1.5</v>
      </c>
      <c r="D46" s="902">
        <f>(AA46*KFC!$B$16+KFC!$C$16)*KFC!$C$5</f>
        <v>24.871545982991247</v>
      </c>
      <c r="E46" s="898">
        <f>(AB46*KFC!$B$16+KFC!$C$16)*KFC!$C$5</f>
        <v>28.298576790570074</v>
      </c>
      <c r="F46" s="898">
        <f>(AC46*KFC!$B$16+KFC!$C$16)*KFC!$C$5</f>
        <v>31.725607598148898</v>
      </c>
      <c r="G46" s="898">
        <f>(AD46*KFC!$B$16+KFC!$C$16)*KFC!$C$5</f>
        <v>35.152638405727728</v>
      </c>
      <c r="H46" s="898">
        <f>(AE46*KFC!$B$16+KFC!$C$16)*KFC!$C$5</f>
        <v>38.579669213306559</v>
      </c>
      <c r="I46" s="898">
        <f>(AF46*KFC!$B$16+KFC!$C$16)*KFC!$C$5</f>
        <v>42.00670002088539</v>
      </c>
      <c r="J46" s="898">
        <f>(AG46*KFC!$B$16+KFC!$C$16)*KFC!$C$5</f>
        <v>45.433730828464213</v>
      </c>
      <c r="K46" s="898">
        <f>(AH46*KFC!$B$16+KFC!$C$16)*KFC!$C$5</f>
        <v>48.860761636043037</v>
      </c>
      <c r="L46" s="898">
        <f>(AI46*KFC!$B$16+KFC!$C$16)*KFC!$C$5</f>
        <v>52.287792443621868</v>
      </c>
      <c r="M46" s="898">
        <f>(AJ46*KFC!$B$16+KFC!$C$16)*KFC!$C$5</f>
        <v>55.714823251200698</v>
      </c>
      <c r="N46" s="898">
        <f>(AK46*KFC!$B$16+KFC!$C$16)*KFC!$C$5</f>
        <v>59.141854058779515</v>
      </c>
      <c r="O46" s="898">
        <f>(AL46*KFC!$B$16+KFC!$C$16)*KFC!$C$5</f>
        <v>62.568884866358346</v>
      </c>
      <c r="P46" s="898">
        <f>(AM46*KFC!$B$16+KFC!$C$16)*KFC!$C$5</f>
        <v>65.995915673937176</v>
      </c>
      <c r="Q46" s="898">
        <f>(AN46*KFC!$B$16+KFC!$C$16)*KFC!$C$5</f>
        <v>69.422946481515993</v>
      </c>
      <c r="R46" s="898">
        <f>(AO46*KFC!$B$16+KFC!$C$16)*KFC!$C$5</f>
        <v>72.849977289094838</v>
      </c>
      <c r="S46" s="898">
        <f>(AP46*KFC!$B$16+KFC!$C$16)*KFC!$C$5</f>
        <v>76.277008096673669</v>
      </c>
      <c r="T46" s="898">
        <f>(AQ46*KFC!$B$16+KFC!$C$16)*KFC!$C$5</f>
        <v>79.704038904252499</v>
      </c>
      <c r="U46" s="898">
        <f>(AR46*KFC!$B$16+KFC!$C$16)*KFC!$C$5</f>
        <v>83.13106971183133</v>
      </c>
      <c r="V46" s="898">
        <f>(AS46*KFC!$B$16+KFC!$C$16)*KFC!$C$5</f>
        <v>86.558100519410175</v>
      </c>
      <c r="W46" s="903">
        <f>(AT46*KFC!$B$16+KFC!$C$16)*KFC!$C$5</f>
        <v>89.985131326988977</v>
      </c>
      <c r="Y46" s="1277"/>
      <c r="Z46" s="649">
        <v>1.5</v>
      </c>
      <c r="AA46" s="882">
        <v>24.871545982991247</v>
      </c>
      <c r="AB46" s="882">
        <v>28.298576790570074</v>
      </c>
      <c r="AC46" s="882">
        <v>31.725607598148898</v>
      </c>
      <c r="AD46" s="882">
        <v>35.152638405727728</v>
      </c>
      <c r="AE46" s="882">
        <v>38.579669213306559</v>
      </c>
      <c r="AF46" s="882">
        <v>42.00670002088539</v>
      </c>
      <c r="AG46" s="882">
        <v>45.433730828464213</v>
      </c>
      <c r="AH46" s="882">
        <v>48.860761636043037</v>
      </c>
      <c r="AI46" s="882">
        <v>52.287792443621868</v>
      </c>
      <c r="AJ46" s="882">
        <v>55.714823251200698</v>
      </c>
      <c r="AK46" s="882">
        <v>59.141854058779515</v>
      </c>
      <c r="AL46" s="882">
        <v>62.568884866358346</v>
      </c>
      <c r="AM46" s="882">
        <v>65.995915673937176</v>
      </c>
      <c r="AN46" s="882">
        <v>69.422946481515993</v>
      </c>
      <c r="AO46" s="882">
        <v>72.849977289094838</v>
      </c>
      <c r="AP46" s="882">
        <v>76.277008096673669</v>
      </c>
      <c r="AQ46" s="882">
        <v>79.704038904252499</v>
      </c>
      <c r="AR46" s="882">
        <v>83.13106971183133</v>
      </c>
      <c r="AS46" s="882">
        <v>86.558100519410175</v>
      </c>
      <c r="AT46" s="882">
        <v>89.985131326988977</v>
      </c>
    </row>
    <row r="47" spans="1:46">
      <c r="A47" s="1426"/>
      <c r="B47" s="1427"/>
      <c r="C47" s="887">
        <v>1.6</v>
      </c>
      <c r="D47" s="902">
        <f>(AA47*KFC!$B$16+KFC!$C$16)*KFC!$C$5</f>
        <v>25.439144665612492</v>
      </c>
      <c r="E47" s="898">
        <f>(AB47*KFC!$B$16+KFC!$C$16)*KFC!$C$5</f>
        <v>28.978088561520625</v>
      </c>
      <c r="F47" s="898">
        <f>(AC47*KFC!$B$16+KFC!$C$16)*KFC!$C$5</f>
        <v>32.517032457428762</v>
      </c>
      <c r="G47" s="898">
        <f>(AD47*KFC!$B$16+KFC!$C$16)*KFC!$C$5</f>
        <v>36.055976353336881</v>
      </c>
      <c r="H47" s="898">
        <f>(AE47*KFC!$B$16+KFC!$C$16)*KFC!$C$5</f>
        <v>39.594920249245014</v>
      </c>
      <c r="I47" s="898">
        <f>(AF47*KFC!$B$16+KFC!$C$16)*KFC!$C$5</f>
        <v>43.133864145153154</v>
      </c>
      <c r="J47" s="898">
        <f>(AG47*KFC!$B$16+KFC!$C$16)*KFC!$C$5</f>
        <v>46.672808041061273</v>
      </c>
      <c r="K47" s="898">
        <f>(AH47*KFC!$B$16+KFC!$C$16)*KFC!$C$5</f>
        <v>50.211751936969407</v>
      </c>
      <c r="L47" s="898">
        <f>(AI47*KFC!$B$16+KFC!$C$16)*KFC!$C$5</f>
        <v>53.750695832877547</v>
      </c>
      <c r="M47" s="898">
        <f>(AJ47*KFC!$B$16+KFC!$C$16)*KFC!$C$5</f>
        <v>57.28963972878568</v>
      </c>
      <c r="N47" s="898">
        <f>(AK47*KFC!$B$16+KFC!$C$16)*KFC!$C$5</f>
        <v>60.828583624693799</v>
      </c>
      <c r="O47" s="898">
        <f>(AL47*KFC!$B$16+KFC!$C$16)*KFC!$C$5</f>
        <v>64.367527520601939</v>
      </c>
      <c r="P47" s="898">
        <f>(AM47*KFC!$B$16+KFC!$C$16)*KFC!$C$5</f>
        <v>67.906471416510072</v>
      </c>
      <c r="Q47" s="898">
        <f>(AN47*KFC!$B$16+KFC!$C$16)*KFC!$C$5</f>
        <v>71.445415312418206</v>
      </c>
      <c r="R47" s="898">
        <f>(AO47*KFC!$B$16+KFC!$C$16)*KFC!$C$5</f>
        <v>74.984359208326325</v>
      </c>
      <c r="S47" s="898">
        <f>(AP47*KFC!$B$16+KFC!$C$16)*KFC!$C$5</f>
        <v>78.523303104234458</v>
      </c>
      <c r="T47" s="898">
        <f>(AQ47*KFC!$B$16+KFC!$C$16)*KFC!$C$5</f>
        <v>82.062247000142591</v>
      </c>
      <c r="U47" s="898">
        <f>(AR47*KFC!$B$16+KFC!$C$16)*KFC!$C$5</f>
        <v>85.601190896050724</v>
      </c>
      <c r="V47" s="898">
        <f>(AS47*KFC!$B$16+KFC!$C$16)*KFC!$C$5</f>
        <v>89.140134791958857</v>
      </c>
      <c r="W47" s="903">
        <f>(AT47*KFC!$B$16+KFC!$C$16)*KFC!$C$5</f>
        <v>92.679078687866976</v>
      </c>
      <c r="Y47" s="1277"/>
      <c r="Z47" s="649">
        <v>1.6</v>
      </c>
      <c r="AA47" s="882">
        <v>25.439144665612492</v>
      </c>
      <c r="AB47" s="882">
        <v>28.978088561520625</v>
      </c>
      <c r="AC47" s="882">
        <v>32.517032457428762</v>
      </c>
      <c r="AD47" s="882">
        <v>36.055976353336881</v>
      </c>
      <c r="AE47" s="882">
        <v>39.594920249245014</v>
      </c>
      <c r="AF47" s="882">
        <v>43.133864145153154</v>
      </c>
      <c r="AG47" s="882">
        <v>46.672808041061273</v>
      </c>
      <c r="AH47" s="882">
        <v>50.211751936969407</v>
      </c>
      <c r="AI47" s="882">
        <v>53.750695832877547</v>
      </c>
      <c r="AJ47" s="882">
        <v>57.28963972878568</v>
      </c>
      <c r="AK47" s="882">
        <v>60.828583624693799</v>
      </c>
      <c r="AL47" s="882">
        <v>64.367527520601939</v>
      </c>
      <c r="AM47" s="882">
        <v>67.906471416510072</v>
      </c>
      <c r="AN47" s="882">
        <v>71.445415312418206</v>
      </c>
      <c r="AO47" s="882">
        <v>74.984359208326325</v>
      </c>
      <c r="AP47" s="882">
        <v>78.523303104234458</v>
      </c>
      <c r="AQ47" s="882">
        <v>82.062247000142591</v>
      </c>
      <c r="AR47" s="882">
        <v>85.601190896050724</v>
      </c>
      <c r="AS47" s="882">
        <v>89.140134791958857</v>
      </c>
      <c r="AT47" s="882">
        <v>92.679078687866976</v>
      </c>
    </row>
    <row r="48" spans="1:46">
      <c r="A48" s="1426"/>
      <c r="B48" s="1427"/>
      <c r="C48" s="887">
        <v>1.7</v>
      </c>
      <c r="D48" s="902">
        <f>(AA48*KFC!$B$16+KFC!$C$16)*KFC!$C$5</f>
        <v>26.006743348233744</v>
      </c>
      <c r="E48" s="898">
        <f>(AB48*KFC!$B$16+KFC!$C$16)*KFC!$C$5</f>
        <v>29.657600332471173</v>
      </c>
      <c r="F48" s="898">
        <f>(AC48*KFC!$B$16+KFC!$C$16)*KFC!$C$5</f>
        <v>33.308457316708605</v>
      </c>
      <c r="G48" s="898">
        <f>(AD48*KFC!$B$16+KFC!$C$16)*KFC!$C$5</f>
        <v>36.959314300946041</v>
      </c>
      <c r="H48" s="898">
        <f>(AE48*KFC!$B$16+KFC!$C$16)*KFC!$C$5</f>
        <v>40.610171285183476</v>
      </c>
      <c r="I48" s="898">
        <f>(AF48*KFC!$B$16+KFC!$C$16)*KFC!$C$5</f>
        <v>44.261028269420905</v>
      </c>
      <c r="J48" s="898">
        <f>(AG48*KFC!$B$16+KFC!$C$16)*KFC!$C$5</f>
        <v>47.911885253658347</v>
      </c>
      <c r="K48" s="898">
        <f>(AH48*KFC!$B$16+KFC!$C$16)*KFC!$C$5</f>
        <v>51.562742237895783</v>
      </c>
      <c r="L48" s="898">
        <f>(AI48*KFC!$B$16+KFC!$C$16)*KFC!$C$5</f>
        <v>55.213599222133219</v>
      </c>
      <c r="M48" s="898">
        <f>(AJ48*KFC!$B$16+KFC!$C$16)*KFC!$C$5</f>
        <v>58.864456206370662</v>
      </c>
      <c r="N48" s="898">
        <f>(AK48*KFC!$B$16+KFC!$C$16)*KFC!$C$5</f>
        <v>62.51531319060809</v>
      </c>
      <c r="O48" s="898">
        <f>(AL48*KFC!$B$16+KFC!$C$16)*KFC!$C$5</f>
        <v>66.166170174845519</v>
      </c>
      <c r="P48" s="898">
        <f>(AM48*KFC!$B$16+KFC!$C$16)*KFC!$C$5</f>
        <v>69.817027159082954</v>
      </c>
      <c r="Q48" s="898">
        <f>(AN48*KFC!$B$16+KFC!$C$16)*KFC!$C$5</f>
        <v>73.46788414332039</v>
      </c>
      <c r="R48" s="898">
        <f>(AO48*KFC!$B$16+KFC!$C$16)*KFC!$C$5</f>
        <v>77.118741127557811</v>
      </c>
      <c r="S48" s="898">
        <f>(AP48*KFC!$B$16+KFC!$C$16)*KFC!$C$5</f>
        <v>80.769598111795247</v>
      </c>
      <c r="T48" s="898">
        <f>(AQ48*KFC!$B$16+KFC!$C$16)*KFC!$C$5</f>
        <v>84.420455096032683</v>
      </c>
      <c r="U48" s="898">
        <f>(AR48*KFC!$B$16+KFC!$C$16)*KFC!$C$5</f>
        <v>88.071312080270104</v>
      </c>
      <c r="V48" s="898">
        <f>(AS48*KFC!$B$16+KFC!$C$16)*KFC!$C$5</f>
        <v>91.72216906450754</v>
      </c>
      <c r="W48" s="903">
        <f>(AT48*KFC!$B$16+KFC!$C$16)*KFC!$C$5</f>
        <v>95.37302604874499</v>
      </c>
      <c r="Y48" s="1277"/>
      <c r="Z48" s="649">
        <v>1.7</v>
      </c>
      <c r="AA48" s="882">
        <v>26.006743348233744</v>
      </c>
      <c r="AB48" s="882">
        <v>29.657600332471173</v>
      </c>
      <c r="AC48" s="882">
        <v>33.308457316708605</v>
      </c>
      <c r="AD48" s="882">
        <v>36.959314300946041</v>
      </c>
      <c r="AE48" s="882">
        <v>40.610171285183476</v>
      </c>
      <c r="AF48" s="882">
        <v>44.261028269420905</v>
      </c>
      <c r="AG48" s="882">
        <v>47.911885253658347</v>
      </c>
      <c r="AH48" s="882">
        <v>51.562742237895783</v>
      </c>
      <c r="AI48" s="882">
        <v>55.213599222133219</v>
      </c>
      <c r="AJ48" s="882">
        <v>58.864456206370662</v>
      </c>
      <c r="AK48" s="882">
        <v>62.51531319060809</v>
      </c>
      <c r="AL48" s="882">
        <v>66.166170174845519</v>
      </c>
      <c r="AM48" s="882">
        <v>69.817027159082954</v>
      </c>
      <c r="AN48" s="882">
        <v>73.46788414332039</v>
      </c>
      <c r="AO48" s="882">
        <v>77.118741127557811</v>
      </c>
      <c r="AP48" s="882">
        <v>80.769598111795247</v>
      </c>
      <c r="AQ48" s="882">
        <v>84.420455096032683</v>
      </c>
      <c r="AR48" s="882">
        <v>88.071312080270104</v>
      </c>
      <c r="AS48" s="882">
        <v>91.72216906450754</v>
      </c>
      <c r="AT48" s="882">
        <v>95.37302604874499</v>
      </c>
    </row>
    <row r="49" spans="1:46">
      <c r="A49" s="1426"/>
      <c r="B49" s="1427"/>
      <c r="C49" s="887">
        <v>1.8</v>
      </c>
      <c r="D49" s="902">
        <f>(AA49*KFC!$B$16+KFC!$C$16)*KFC!$C$5</f>
        <v>26.574342030854989</v>
      </c>
      <c r="E49" s="898">
        <f>(AB49*KFC!$B$16+KFC!$C$16)*KFC!$C$5</f>
        <v>30.337112103421731</v>
      </c>
      <c r="F49" s="898">
        <f>(AC49*KFC!$B$16+KFC!$C$16)*KFC!$C$5</f>
        <v>34.099882175988462</v>
      </c>
      <c r="G49" s="898">
        <f>(AD49*KFC!$B$16+KFC!$C$16)*KFC!$C$5</f>
        <v>37.8626522485552</v>
      </c>
      <c r="H49" s="898">
        <f>(AE49*KFC!$B$16+KFC!$C$16)*KFC!$C$5</f>
        <v>41.625422321121931</v>
      </c>
      <c r="I49" s="898">
        <f>(AF49*KFC!$B$16+KFC!$C$16)*KFC!$C$5</f>
        <v>45.388192393688662</v>
      </c>
      <c r="J49" s="898">
        <f>(AG49*KFC!$B$16+KFC!$C$16)*KFC!$C$5</f>
        <v>49.150962466255407</v>
      </c>
      <c r="K49" s="898">
        <f>(AH49*KFC!$B$16+KFC!$C$16)*KFC!$C$5</f>
        <v>52.913732538822138</v>
      </c>
      <c r="L49" s="898">
        <f>(AI49*KFC!$B$16+KFC!$C$16)*KFC!$C$5</f>
        <v>56.676502611388869</v>
      </c>
      <c r="M49" s="898">
        <f>(AJ49*KFC!$B$16+KFC!$C$16)*KFC!$C$5</f>
        <v>60.4392726839556</v>
      </c>
      <c r="N49" s="898">
        <f>(AK49*KFC!$B$16+KFC!$C$16)*KFC!$C$5</f>
        <v>64.202042756522332</v>
      </c>
      <c r="O49" s="898">
        <f>(AL49*KFC!$B$16+KFC!$C$16)*KFC!$C$5</f>
        <v>67.964812829089084</v>
      </c>
      <c r="P49" s="898">
        <f>(AM49*KFC!$B$16+KFC!$C$16)*KFC!$C$5</f>
        <v>71.727582901655822</v>
      </c>
      <c r="Q49" s="898">
        <f>(AN49*KFC!$B$16+KFC!$C$16)*KFC!$C$5</f>
        <v>75.49035297422256</v>
      </c>
      <c r="R49" s="898">
        <f>(AO49*KFC!$B$16+KFC!$C$16)*KFC!$C$5</f>
        <v>79.253123046789298</v>
      </c>
      <c r="S49" s="898">
        <f>(AP49*KFC!$B$16+KFC!$C$16)*KFC!$C$5</f>
        <v>83.015893119356036</v>
      </c>
      <c r="T49" s="898">
        <f>(AQ49*KFC!$B$16+KFC!$C$16)*KFC!$C$5</f>
        <v>86.778663191922774</v>
      </c>
      <c r="U49" s="898">
        <f>(AR49*KFC!$B$16+KFC!$C$16)*KFC!$C$5</f>
        <v>90.541433264489527</v>
      </c>
      <c r="V49" s="898">
        <f>(AS49*KFC!$B$16+KFC!$C$16)*KFC!$C$5</f>
        <v>94.304203337056265</v>
      </c>
      <c r="W49" s="903">
        <f>(AT49*KFC!$B$16+KFC!$C$16)*KFC!$C$5</f>
        <v>98.06697340962296</v>
      </c>
      <c r="Y49" s="1277"/>
      <c r="Z49" s="649">
        <v>1.8</v>
      </c>
      <c r="AA49" s="882">
        <v>26.574342030854989</v>
      </c>
      <c r="AB49" s="882">
        <v>30.337112103421731</v>
      </c>
      <c r="AC49" s="882">
        <v>34.099882175988462</v>
      </c>
      <c r="AD49" s="882">
        <v>37.8626522485552</v>
      </c>
      <c r="AE49" s="882">
        <v>41.625422321121931</v>
      </c>
      <c r="AF49" s="882">
        <v>45.388192393688662</v>
      </c>
      <c r="AG49" s="882">
        <v>49.150962466255407</v>
      </c>
      <c r="AH49" s="882">
        <v>52.913732538822138</v>
      </c>
      <c r="AI49" s="882">
        <v>56.676502611388869</v>
      </c>
      <c r="AJ49" s="882">
        <v>60.4392726839556</v>
      </c>
      <c r="AK49" s="882">
        <v>64.202042756522332</v>
      </c>
      <c r="AL49" s="882">
        <v>67.964812829089084</v>
      </c>
      <c r="AM49" s="882">
        <v>71.727582901655822</v>
      </c>
      <c r="AN49" s="882">
        <v>75.49035297422256</v>
      </c>
      <c r="AO49" s="882">
        <v>79.253123046789298</v>
      </c>
      <c r="AP49" s="882">
        <v>83.015893119356036</v>
      </c>
      <c r="AQ49" s="882">
        <v>86.778663191922774</v>
      </c>
      <c r="AR49" s="882">
        <v>90.541433264489527</v>
      </c>
      <c r="AS49" s="882">
        <v>94.304203337056265</v>
      </c>
      <c r="AT49" s="882">
        <v>98.06697340962296</v>
      </c>
    </row>
    <row r="50" spans="1:46">
      <c r="A50" s="1426"/>
      <c r="B50" s="1427"/>
      <c r="C50" s="887">
        <v>1.9</v>
      </c>
      <c r="D50" s="902">
        <f>(AA50*KFC!$B$16+KFC!$C$16)*KFC!$C$5</f>
        <v>27.141940713476242</v>
      </c>
      <c r="E50" s="898">
        <f>(AB50*KFC!$B$16+KFC!$C$16)*KFC!$C$5</f>
        <v>31.016623874372279</v>
      </c>
      <c r="F50" s="898">
        <f>(AC50*KFC!$B$16+KFC!$C$16)*KFC!$C$5</f>
        <v>34.891307035268319</v>
      </c>
      <c r="G50" s="898">
        <f>(AD50*KFC!$B$16+KFC!$C$16)*KFC!$C$5</f>
        <v>38.76599019616436</v>
      </c>
      <c r="H50" s="898">
        <f>(AE50*KFC!$B$16+KFC!$C$16)*KFC!$C$5</f>
        <v>42.6406733570604</v>
      </c>
      <c r="I50" s="898">
        <f>(AF50*KFC!$B$16+KFC!$C$16)*KFC!$C$5</f>
        <v>46.515356517956434</v>
      </c>
      <c r="J50" s="898">
        <f>(AG50*KFC!$B$16+KFC!$C$16)*KFC!$C$5</f>
        <v>50.390039678852474</v>
      </c>
      <c r="K50" s="898">
        <f>(AH50*KFC!$B$16+KFC!$C$16)*KFC!$C$5</f>
        <v>54.264722839748508</v>
      </c>
      <c r="L50" s="898">
        <f>(AI50*KFC!$B$16+KFC!$C$16)*KFC!$C$5</f>
        <v>58.139406000644549</v>
      </c>
      <c r="M50" s="898">
        <f>(AJ50*KFC!$B$16+KFC!$C$16)*KFC!$C$5</f>
        <v>62.014089161540582</v>
      </c>
      <c r="N50" s="898">
        <f>(AK50*KFC!$B$16+KFC!$C$16)*KFC!$C$5</f>
        <v>65.888772322436623</v>
      </c>
      <c r="O50" s="898">
        <f>(AL50*KFC!$B$16+KFC!$C$16)*KFC!$C$5</f>
        <v>69.763455483332663</v>
      </c>
      <c r="P50" s="898">
        <f>(AM50*KFC!$B$16+KFC!$C$16)*KFC!$C$5</f>
        <v>73.638138644228704</v>
      </c>
      <c r="Q50" s="898">
        <f>(AN50*KFC!$B$16+KFC!$C$16)*KFC!$C$5</f>
        <v>77.512821805124744</v>
      </c>
      <c r="R50" s="898">
        <f>(AO50*KFC!$B$16+KFC!$C$16)*KFC!$C$5</f>
        <v>81.387504966020785</v>
      </c>
      <c r="S50" s="898">
        <f>(AP50*KFC!$B$16+KFC!$C$16)*KFC!$C$5</f>
        <v>85.262188126916826</v>
      </c>
      <c r="T50" s="898">
        <f>(AQ50*KFC!$B$16+KFC!$C$16)*KFC!$C$5</f>
        <v>89.136871287812866</v>
      </c>
      <c r="U50" s="898">
        <f>(AR50*KFC!$B$16+KFC!$C$16)*KFC!$C$5</f>
        <v>93.011554448708893</v>
      </c>
      <c r="V50" s="898">
        <f>(AS50*KFC!$B$16+KFC!$C$16)*KFC!$C$5</f>
        <v>96.886237609604933</v>
      </c>
      <c r="W50" s="903">
        <f>(AT50*KFC!$B$16+KFC!$C$16)*KFC!$C$5</f>
        <v>100.76092077050097</v>
      </c>
      <c r="Y50" s="1277"/>
      <c r="Z50" s="649">
        <v>1.9</v>
      </c>
      <c r="AA50" s="882">
        <v>27.141940713476242</v>
      </c>
      <c r="AB50" s="882">
        <v>31.016623874372279</v>
      </c>
      <c r="AC50" s="882">
        <v>34.891307035268319</v>
      </c>
      <c r="AD50" s="882">
        <v>38.76599019616436</v>
      </c>
      <c r="AE50" s="882">
        <v>42.6406733570604</v>
      </c>
      <c r="AF50" s="882">
        <v>46.515356517956434</v>
      </c>
      <c r="AG50" s="882">
        <v>50.390039678852474</v>
      </c>
      <c r="AH50" s="882">
        <v>54.264722839748508</v>
      </c>
      <c r="AI50" s="882">
        <v>58.139406000644549</v>
      </c>
      <c r="AJ50" s="882">
        <v>62.014089161540582</v>
      </c>
      <c r="AK50" s="882">
        <v>65.888772322436623</v>
      </c>
      <c r="AL50" s="882">
        <v>69.763455483332663</v>
      </c>
      <c r="AM50" s="882">
        <v>73.638138644228704</v>
      </c>
      <c r="AN50" s="882">
        <v>77.512821805124744</v>
      </c>
      <c r="AO50" s="882">
        <v>81.387504966020785</v>
      </c>
      <c r="AP50" s="882">
        <v>85.262188126916826</v>
      </c>
      <c r="AQ50" s="882">
        <v>89.136871287812866</v>
      </c>
      <c r="AR50" s="882">
        <v>93.011554448708893</v>
      </c>
      <c r="AS50" s="882">
        <v>96.886237609604933</v>
      </c>
      <c r="AT50" s="882">
        <v>100.76092077050097</v>
      </c>
    </row>
    <row r="51" spans="1:46">
      <c r="A51" s="1426"/>
      <c r="B51" s="1427"/>
      <c r="C51" s="887">
        <v>2</v>
      </c>
      <c r="D51" s="902">
        <f>(AA51*KFC!$B$16+KFC!$C$16)*KFC!$C$5</f>
        <v>27.709539396097487</v>
      </c>
      <c r="E51" s="898">
        <f>(AB51*KFC!$B$16+KFC!$C$16)*KFC!$C$5</f>
        <v>31.696135645322833</v>
      </c>
      <c r="F51" s="898">
        <f>(AC51*KFC!$B$16+KFC!$C$16)*KFC!$C$5</f>
        <v>35.682731894548176</v>
      </c>
      <c r="G51" s="898">
        <f>(AD51*KFC!$B$16+KFC!$C$16)*KFC!$C$5</f>
        <v>39.669328143773512</v>
      </c>
      <c r="H51" s="898">
        <f>(AE51*KFC!$B$16+KFC!$C$16)*KFC!$C$5</f>
        <v>43.655924392998848</v>
      </c>
      <c r="I51" s="898">
        <f>(AF51*KFC!$B$16+KFC!$C$16)*KFC!$C$5</f>
        <v>47.642520642224191</v>
      </c>
      <c r="J51" s="898">
        <f>(AG51*KFC!$B$16+KFC!$C$16)*KFC!$C$5</f>
        <v>51.629116891449534</v>
      </c>
      <c r="K51" s="898">
        <f>(AH51*KFC!$B$16+KFC!$C$16)*KFC!$C$5</f>
        <v>55.615713140674877</v>
      </c>
      <c r="L51" s="898">
        <f>(AI51*KFC!$B$16+KFC!$C$16)*KFC!$C$5</f>
        <v>59.602309389900228</v>
      </c>
      <c r="M51" s="898">
        <f>(AJ51*KFC!$B$16+KFC!$C$16)*KFC!$C$5</f>
        <v>63.588905639125564</v>
      </c>
      <c r="N51" s="898">
        <f>(AK51*KFC!$B$16+KFC!$C$16)*KFC!$C$5</f>
        <v>67.575501888350914</v>
      </c>
      <c r="O51" s="898">
        <f>(AL51*KFC!$B$16+KFC!$C$16)*KFC!$C$5</f>
        <v>71.562098137576243</v>
      </c>
      <c r="P51" s="898">
        <f>(AM51*KFC!$B$16+KFC!$C$16)*KFC!$C$5</f>
        <v>75.548694386801586</v>
      </c>
      <c r="Q51" s="898">
        <f>(AN51*KFC!$B$16+KFC!$C$16)*KFC!$C$5</f>
        <v>79.535290636026915</v>
      </c>
      <c r="R51" s="898">
        <f>(AO51*KFC!$B$16+KFC!$C$16)*KFC!$C$5</f>
        <v>83.521886885252243</v>
      </c>
      <c r="S51" s="898">
        <f>(AP51*KFC!$B$16+KFC!$C$16)*KFC!$C$5</f>
        <v>87.508483134477586</v>
      </c>
      <c r="T51" s="898">
        <f>(AQ51*KFC!$B$16+KFC!$C$16)*KFC!$C$5</f>
        <v>91.495079383702929</v>
      </c>
      <c r="U51" s="898">
        <f>(AR51*KFC!$B$16+KFC!$C$16)*KFC!$C$5</f>
        <v>95.481675632928273</v>
      </c>
      <c r="V51" s="898">
        <f>(AS51*KFC!$B$16+KFC!$C$16)*KFC!$C$5</f>
        <v>99.468271882153587</v>
      </c>
      <c r="W51" s="903">
        <f>(AT51*KFC!$B$16+KFC!$C$16)*KFC!$C$5</f>
        <v>103.45486813137897</v>
      </c>
      <c r="Y51" s="1277"/>
      <c r="Z51" s="649">
        <v>2</v>
      </c>
      <c r="AA51" s="882">
        <v>27.709539396097487</v>
      </c>
      <c r="AB51" s="882">
        <v>31.696135645322833</v>
      </c>
      <c r="AC51" s="882">
        <v>35.682731894548176</v>
      </c>
      <c r="AD51" s="882">
        <v>39.669328143773512</v>
      </c>
      <c r="AE51" s="882">
        <v>43.655924392998848</v>
      </c>
      <c r="AF51" s="882">
        <v>47.642520642224191</v>
      </c>
      <c r="AG51" s="882">
        <v>51.629116891449534</v>
      </c>
      <c r="AH51" s="882">
        <v>55.615713140674877</v>
      </c>
      <c r="AI51" s="882">
        <v>59.602309389900228</v>
      </c>
      <c r="AJ51" s="882">
        <v>63.588905639125564</v>
      </c>
      <c r="AK51" s="882">
        <v>67.575501888350914</v>
      </c>
      <c r="AL51" s="882">
        <v>71.562098137576243</v>
      </c>
      <c r="AM51" s="882">
        <v>75.548694386801586</v>
      </c>
      <c r="AN51" s="882">
        <v>79.535290636026915</v>
      </c>
      <c r="AO51" s="882">
        <v>83.521886885252243</v>
      </c>
      <c r="AP51" s="882">
        <v>87.508483134477586</v>
      </c>
      <c r="AQ51" s="882">
        <v>91.495079383702929</v>
      </c>
      <c r="AR51" s="882">
        <v>95.481675632928273</v>
      </c>
      <c r="AS51" s="882">
        <v>99.468271882153587</v>
      </c>
      <c r="AT51" s="882">
        <v>103.45486813137897</v>
      </c>
    </row>
    <row r="52" spans="1:46">
      <c r="A52" s="1426"/>
      <c r="B52" s="1427"/>
      <c r="C52" s="887">
        <v>2.1</v>
      </c>
      <c r="D52" s="902">
        <f>(AA52*KFC!$B$16+KFC!$C$16)*KFC!$C$5</f>
        <v>28.277138078718739</v>
      </c>
      <c r="E52" s="898">
        <f>(AB52*KFC!$B$16+KFC!$C$16)*KFC!$C$5</f>
        <v>32.375647416273381</v>
      </c>
      <c r="F52" s="898">
        <f>(AC52*KFC!$B$16+KFC!$C$16)*KFC!$C$5</f>
        <v>36.474156753828034</v>
      </c>
      <c r="G52" s="898">
        <f>(AD52*KFC!$B$16+KFC!$C$16)*KFC!$C$5</f>
        <v>40.572666091382679</v>
      </c>
      <c r="H52" s="898">
        <f>(AE52*KFC!$B$16+KFC!$C$16)*KFC!$C$5</f>
        <v>44.671175428937325</v>
      </c>
      <c r="I52" s="898">
        <f>(AF52*KFC!$B$16+KFC!$C$16)*KFC!$C$5</f>
        <v>48.769684766491963</v>
      </c>
      <c r="J52" s="898">
        <f>(AG52*KFC!$B$16+KFC!$C$16)*KFC!$C$5</f>
        <v>52.868194104046609</v>
      </c>
      <c r="K52" s="898">
        <f>(AH52*KFC!$B$16+KFC!$C$16)*KFC!$C$5</f>
        <v>56.966703441601254</v>
      </c>
      <c r="L52" s="898">
        <f>(AI52*KFC!$B$16+KFC!$C$16)*KFC!$C$5</f>
        <v>61.0652127791559</v>
      </c>
      <c r="M52" s="898">
        <f>(AJ52*KFC!$B$16+KFC!$C$16)*KFC!$C$5</f>
        <v>65.163722116710559</v>
      </c>
      <c r="N52" s="898">
        <f>(AK52*KFC!$B$16+KFC!$C$16)*KFC!$C$5</f>
        <v>69.262231454265205</v>
      </c>
      <c r="O52" s="898">
        <f>(AL52*KFC!$B$16+KFC!$C$16)*KFC!$C$5</f>
        <v>73.36074079181985</v>
      </c>
      <c r="P52" s="898">
        <f>(AM52*KFC!$B$16+KFC!$C$16)*KFC!$C$5</f>
        <v>77.459250129374496</v>
      </c>
      <c r="Q52" s="898">
        <f>(AN52*KFC!$B$16+KFC!$C$16)*KFC!$C$5</f>
        <v>81.557759466929141</v>
      </c>
      <c r="R52" s="898">
        <f>(AO52*KFC!$B$16+KFC!$C$16)*KFC!$C$5</f>
        <v>85.656268804483787</v>
      </c>
      <c r="S52" s="898">
        <f>(AP52*KFC!$B$16+KFC!$C$16)*KFC!$C$5</f>
        <v>89.754778142038433</v>
      </c>
      <c r="T52" s="898">
        <f>(AQ52*KFC!$B$16+KFC!$C$16)*KFC!$C$5</f>
        <v>93.853287479593078</v>
      </c>
      <c r="U52" s="898">
        <f>(AR52*KFC!$B$16+KFC!$C$16)*KFC!$C$5</f>
        <v>97.951796817147724</v>
      </c>
      <c r="V52" s="898">
        <f>(AS52*KFC!$B$16+KFC!$C$16)*KFC!$C$5</f>
        <v>102.05030615470237</v>
      </c>
      <c r="W52" s="903">
        <f>(AT52*KFC!$B$16+KFC!$C$16)*KFC!$C$5</f>
        <v>106.14881549225696</v>
      </c>
      <c r="Y52" s="1277"/>
      <c r="Z52" s="649">
        <v>2.1</v>
      </c>
      <c r="AA52" s="882">
        <v>28.277138078718739</v>
      </c>
      <c r="AB52" s="882">
        <v>32.375647416273381</v>
      </c>
      <c r="AC52" s="882">
        <v>36.474156753828034</v>
      </c>
      <c r="AD52" s="882">
        <v>40.572666091382679</v>
      </c>
      <c r="AE52" s="882">
        <v>44.671175428937325</v>
      </c>
      <c r="AF52" s="882">
        <v>48.769684766491963</v>
      </c>
      <c r="AG52" s="882">
        <v>52.868194104046609</v>
      </c>
      <c r="AH52" s="882">
        <v>56.966703441601254</v>
      </c>
      <c r="AI52" s="882">
        <v>61.0652127791559</v>
      </c>
      <c r="AJ52" s="882">
        <v>65.163722116710559</v>
      </c>
      <c r="AK52" s="882">
        <v>69.262231454265205</v>
      </c>
      <c r="AL52" s="882">
        <v>73.36074079181985</v>
      </c>
      <c r="AM52" s="882">
        <v>77.459250129374496</v>
      </c>
      <c r="AN52" s="882">
        <v>81.557759466929141</v>
      </c>
      <c r="AO52" s="882">
        <v>85.656268804483787</v>
      </c>
      <c r="AP52" s="882">
        <v>89.754778142038433</v>
      </c>
      <c r="AQ52" s="882">
        <v>93.853287479593078</v>
      </c>
      <c r="AR52" s="882">
        <v>97.951796817147724</v>
      </c>
      <c r="AS52" s="882">
        <v>102.05030615470237</v>
      </c>
      <c r="AT52" s="882">
        <v>106.14881549225696</v>
      </c>
    </row>
    <row r="53" spans="1:46" ht="15" thickBot="1">
      <c r="A53" s="1428"/>
      <c r="B53" s="1429"/>
      <c r="C53" s="888">
        <v>2.2000000000000002</v>
      </c>
      <c r="D53" s="904">
        <f>(AA53*KFC!$B$16+KFC!$C$16)*KFC!$C$5</f>
        <v>28.844736761339995</v>
      </c>
      <c r="E53" s="905">
        <f>(AB53*KFC!$B$16+KFC!$C$16)*KFC!$C$5</f>
        <v>33.055159187223943</v>
      </c>
      <c r="F53" s="905">
        <f>(AC53*KFC!$B$16+KFC!$C$16)*KFC!$C$5</f>
        <v>37.265581613107891</v>
      </c>
      <c r="G53" s="905">
        <f>(AD53*KFC!$B$16+KFC!$C$16)*KFC!$C$5</f>
        <v>41.476004038991832</v>
      </c>
      <c r="H53" s="905">
        <f>(AE53*KFC!$B$16+KFC!$C$16)*KFC!$C$5</f>
        <v>45.68642646487578</v>
      </c>
      <c r="I53" s="905">
        <f>(AF53*KFC!$B$16+KFC!$C$16)*KFC!$C$5</f>
        <v>49.896848890759721</v>
      </c>
      <c r="J53" s="905">
        <f>(AG53*KFC!$B$16+KFC!$C$16)*KFC!$C$5</f>
        <v>54.107271316643669</v>
      </c>
      <c r="K53" s="905">
        <f>(AH53*KFC!$B$16+KFC!$C$16)*KFC!$C$5</f>
        <v>58.317693742527609</v>
      </c>
      <c r="L53" s="905">
        <f>(AI53*KFC!$B$16+KFC!$C$16)*KFC!$C$5</f>
        <v>62.528116168411557</v>
      </c>
      <c r="M53" s="905">
        <f>(AJ53*KFC!$B$16+KFC!$C$16)*KFC!$C$5</f>
        <v>66.738538594295505</v>
      </c>
      <c r="N53" s="905">
        <f>(AK53*KFC!$B$16+KFC!$C$16)*KFC!$C$5</f>
        <v>70.948961020179453</v>
      </c>
      <c r="O53" s="905">
        <f>(AL53*KFC!$B$16+KFC!$C$16)*KFC!$C$5</f>
        <v>75.159383446063401</v>
      </c>
      <c r="P53" s="905">
        <f>(AM53*KFC!$B$16+KFC!$C$16)*KFC!$C$5</f>
        <v>79.369805871947335</v>
      </c>
      <c r="Q53" s="905">
        <f>(AN53*KFC!$B$16+KFC!$C$16)*KFC!$C$5</f>
        <v>83.580228297831283</v>
      </c>
      <c r="R53" s="905">
        <f>(AO53*KFC!$B$16+KFC!$C$16)*KFC!$C$5</f>
        <v>87.790650723715231</v>
      </c>
      <c r="S53" s="905">
        <f>(AP53*KFC!$B$16+KFC!$C$16)*KFC!$C$5</f>
        <v>92.001073149599179</v>
      </c>
      <c r="T53" s="905">
        <f>(AQ53*KFC!$B$16+KFC!$C$16)*KFC!$C$5</f>
        <v>96.211495575483113</v>
      </c>
      <c r="U53" s="905">
        <f>(AR53*KFC!$B$16+KFC!$C$16)*KFC!$C$5</f>
        <v>100.42191800136706</v>
      </c>
      <c r="V53" s="905">
        <f>(AS53*KFC!$B$16+KFC!$C$16)*KFC!$C$5</f>
        <v>104.63234042725101</v>
      </c>
      <c r="W53" s="906">
        <f>(AT53*KFC!$B$16+KFC!$C$16)*KFC!$C$5</f>
        <v>108.842762853135</v>
      </c>
      <c r="Y53" s="1277"/>
      <c r="Z53" s="649">
        <v>2.2000000000000002</v>
      </c>
      <c r="AA53" s="882">
        <v>28.844736761339995</v>
      </c>
      <c r="AB53" s="882">
        <v>33.055159187223943</v>
      </c>
      <c r="AC53" s="882">
        <v>37.265581613107891</v>
      </c>
      <c r="AD53" s="882">
        <v>41.476004038991832</v>
      </c>
      <c r="AE53" s="882">
        <v>45.68642646487578</v>
      </c>
      <c r="AF53" s="882">
        <v>49.896848890759721</v>
      </c>
      <c r="AG53" s="882">
        <v>54.107271316643669</v>
      </c>
      <c r="AH53" s="882">
        <v>58.317693742527609</v>
      </c>
      <c r="AI53" s="882">
        <v>62.528116168411557</v>
      </c>
      <c r="AJ53" s="882">
        <v>66.738538594295505</v>
      </c>
      <c r="AK53" s="882">
        <v>70.948961020179453</v>
      </c>
      <c r="AL53" s="882">
        <v>75.159383446063401</v>
      </c>
      <c r="AM53" s="882">
        <v>79.369805871947335</v>
      </c>
      <c r="AN53" s="882">
        <v>83.580228297831283</v>
      </c>
      <c r="AO53" s="882">
        <v>87.790650723715231</v>
      </c>
      <c r="AP53" s="882">
        <v>92.001073149599179</v>
      </c>
      <c r="AQ53" s="882">
        <v>96.211495575483113</v>
      </c>
      <c r="AR53" s="882">
        <v>100.42191800136706</v>
      </c>
      <c r="AS53" s="882">
        <v>104.63234042725101</v>
      </c>
      <c r="AT53" s="882">
        <v>108.842762853135</v>
      </c>
    </row>
    <row r="54" spans="1:46">
      <c r="A54" s="16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</row>
    <row r="55" spans="1:46" ht="16.2" thickBot="1">
      <c r="A55" s="1033" t="s">
        <v>1227</v>
      </c>
      <c r="B55" s="1033"/>
      <c r="C55" s="1033"/>
      <c r="D55" s="1033"/>
      <c r="E55" s="1033"/>
      <c r="F55" s="1033"/>
      <c r="G55" s="1033"/>
      <c r="H55" s="1033"/>
      <c r="I55" s="1033"/>
      <c r="J55" s="1033"/>
      <c r="K55" s="1033"/>
      <c r="L55" s="1033"/>
      <c r="M55" s="1033"/>
      <c r="N55" s="1033"/>
      <c r="O55" s="1033"/>
      <c r="P55" s="1033"/>
      <c r="Q55" s="1033"/>
      <c r="R55" s="1033"/>
      <c r="S55" s="1033"/>
      <c r="T55" s="1033"/>
      <c r="U55" s="1033"/>
      <c r="V55" s="1033"/>
      <c r="W55" s="1033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</row>
    <row r="56" spans="1:46" ht="39.75" customHeight="1" thickBot="1">
      <c r="A56" s="1439"/>
      <c r="B56" s="1440"/>
      <c r="C56" s="1441"/>
      <c r="D56" s="1419" t="s">
        <v>207</v>
      </c>
      <c r="E56" s="1420"/>
      <c r="F56" s="1420"/>
      <c r="G56" s="1420"/>
      <c r="H56" s="1420"/>
      <c r="I56" s="1420"/>
      <c r="J56" s="1420"/>
      <c r="K56" s="1420"/>
      <c r="L56" s="1420"/>
      <c r="M56" s="1420"/>
      <c r="N56" s="1420"/>
      <c r="O56" s="1420"/>
      <c r="P56" s="1420"/>
      <c r="Q56" s="1420"/>
      <c r="R56" s="1420"/>
      <c r="S56" s="1420"/>
      <c r="T56" s="1420"/>
      <c r="U56" s="1420"/>
      <c r="V56" s="1420"/>
      <c r="W56" s="1421"/>
      <c r="Y56" s="1278" t="s">
        <v>1202</v>
      </c>
      <c r="Z56" s="1278"/>
      <c r="AA56" s="1279" t="s">
        <v>356</v>
      </c>
      <c r="AB56" s="1279"/>
      <c r="AC56" s="1279"/>
      <c r="AD56" s="1279"/>
      <c r="AE56" s="1279"/>
      <c r="AF56" s="1279"/>
      <c r="AG56" s="1279"/>
      <c r="AH56" s="1279"/>
      <c r="AI56" s="1279"/>
      <c r="AJ56" s="1279"/>
      <c r="AK56" s="1279"/>
      <c r="AL56" s="1279"/>
      <c r="AM56" s="1279"/>
      <c r="AN56" s="1279"/>
      <c r="AO56" s="1279"/>
      <c r="AP56" s="1279"/>
      <c r="AQ56" s="1279"/>
      <c r="AR56" s="1279"/>
      <c r="AS56" s="1279"/>
      <c r="AT56" s="1279"/>
    </row>
    <row r="57" spans="1:46" ht="15" thickBot="1">
      <c r="A57" s="1442"/>
      <c r="B57" s="1443"/>
      <c r="C57" s="1444"/>
      <c r="D57" s="883">
        <v>0.3</v>
      </c>
      <c r="E57" s="884">
        <v>0.4</v>
      </c>
      <c r="F57" s="884">
        <v>0.5</v>
      </c>
      <c r="G57" s="884">
        <v>0.6</v>
      </c>
      <c r="H57" s="884">
        <v>0.7</v>
      </c>
      <c r="I57" s="884">
        <v>0.8</v>
      </c>
      <c r="J57" s="884">
        <v>0.9</v>
      </c>
      <c r="K57" s="884">
        <v>1</v>
      </c>
      <c r="L57" s="884">
        <v>1.1000000000000001</v>
      </c>
      <c r="M57" s="884">
        <v>1.2</v>
      </c>
      <c r="N57" s="884">
        <v>1.3</v>
      </c>
      <c r="O57" s="884">
        <v>1.4</v>
      </c>
      <c r="P57" s="884">
        <v>1.5</v>
      </c>
      <c r="Q57" s="884">
        <v>1.6</v>
      </c>
      <c r="R57" s="884">
        <v>1.7</v>
      </c>
      <c r="S57" s="884">
        <v>1.8</v>
      </c>
      <c r="T57" s="884">
        <v>1.9</v>
      </c>
      <c r="U57" s="884">
        <v>2</v>
      </c>
      <c r="V57" s="884">
        <v>2.1</v>
      </c>
      <c r="W57" s="885">
        <v>2.2000000000000002</v>
      </c>
      <c r="Y57" s="1278"/>
      <c r="Z57" s="1278"/>
      <c r="AA57" s="649">
        <v>0.3</v>
      </c>
      <c r="AB57" s="649">
        <v>0.4</v>
      </c>
      <c r="AC57" s="649">
        <v>0.5</v>
      </c>
      <c r="AD57" s="649">
        <v>0.6</v>
      </c>
      <c r="AE57" s="649">
        <v>0.7</v>
      </c>
      <c r="AF57" s="649">
        <v>0.8</v>
      </c>
      <c r="AG57" s="649">
        <v>0.9</v>
      </c>
      <c r="AH57" s="649">
        <v>1</v>
      </c>
      <c r="AI57" s="649">
        <v>1.1000000000000001</v>
      </c>
      <c r="AJ57" s="649">
        <v>1.2</v>
      </c>
      <c r="AK57" s="649">
        <v>1.3</v>
      </c>
      <c r="AL57" s="649">
        <v>1.4</v>
      </c>
      <c r="AM57" s="649">
        <v>1.5</v>
      </c>
      <c r="AN57" s="649">
        <v>1.6</v>
      </c>
      <c r="AO57" s="649">
        <v>1.7</v>
      </c>
      <c r="AP57" s="649">
        <v>1.8</v>
      </c>
      <c r="AQ57" s="649">
        <v>1.9</v>
      </c>
      <c r="AR57" s="649">
        <v>2</v>
      </c>
      <c r="AS57" s="649">
        <v>2.1</v>
      </c>
      <c r="AT57" s="649">
        <v>2.2000000000000002</v>
      </c>
    </row>
    <row r="58" spans="1:46" ht="15" customHeight="1">
      <c r="A58" s="1426" t="s">
        <v>3</v>
      </c>
      <c r="B58" s="1427"/>
      <c r="C58" s="886">
        <v>0.2</v>
      </c>
      <c r="D58" s="899">
        <f>(AA58*KFC!$B$16+KFC!$C$16)*KFC!$C$5</f>
        <v>17.569078898174997</v>
      </c>
      <c r="E58" s="900">
        <f>(AB58*KFC!$B$16+KFC!$C$16)*KFC!$C$5</f>
        <v>19.570360056006315</v>
      </c>
      <c r="F58" s="900">
        <f>(AC58*KFC!$B$16+KFC!$C$16)*KFC!$C$5</f>
        <v>21.57164121383763</v>
      </c>
      <c r="G58" s="900">
        <f>(AD58*KFC!$B$16+KFC!$C$16)*KFC!$C$5</f>
        <v>23.572922371668945</v>
      </c>
      <c r="H58" s="900">
        <f>(AE58*KFC!$B$16+KFC!$C$16)*KFC!$C$5</f>
        <v>25.574203529500259</v>
      </c>
      <c r="I58" s="900">
        <f>(AF58*KFC!$B$16+KFC!$C$16)*KFC!$C$5</f>
        <v>27.575484687331571</v>
      </c>
      <c r="J58" s="900">
        <f>(AG58*KFC!$B$16+KFC!$C$16)*KFC!$C$5</f>
        <v>29.576765845162885</v>
      </c>
      <c r="K58" s="900">
        <f>(AH58*KFC!$B$16+KFC!$C$16)*KFC!$C$5</f>
        <v>31.5780470029942</v>
      </c>
      <c r="L58" s="900">
        <f>(AI58*KFC!$B$16+KFC!$C$16)*KFC!$C$5</f>
        <v>33.579328160825519</v>
      </c>
      <c r="M58" s="900">
        <f>(AJ58*KFC!$B$16+KFC!$C$16)*KFC!$C$5</f>
        <v>35.580609318656826</v>
      </c>
      <c r="N58" s="900">
        <f>(AK58*KFC!$B$16+KFC!$C$16)*KFC!$C$5</f>
        <v>37.581890476488148</v>
      </c>
      <c r="O58" s="900">
        <f>(AL58*KFC!$B$16+KFC!$C$16)*KFC!$C$5</f>
        <v>39.583171634319463</v>
      </c>
      <c r="P58" s="900">
        <f>(AM58*KFC!$B$16+KFC!$C$16)*KFC!$C$5</f>
        <v>41.584452792150785</v>
      </c>
      <c r="Q58" s="900">
        <f>(AN58*KFC!$B$16+KFC!$C$16)*KFC!$C$5</f>
        <v>43.585733949982107</v>
      </c>
      <c r="R58" s="900">
        <f>(AO58*KFC!$B$16+KFC!$C$16)*KFC!$C$5</f>
        <v>45.587015107813421</v>
      </c>
      <c r="S58" s="900">
        <f>(AP58*KFC!$B$16+KFC!$C$16)*KFC!$C$5</f>
        <v>47.588296265644729</v>
      </c>
      <c r="T58" s="900">
        <f>(AQ58*KFC!$B$16+KFC!$C$16)*KFC!$C$5</f>
        <v>49.589577423476051</v>
      </c>
      <c r="U58" s="900">
        <f>(AR58*KFC!$B$16+KFC!$C$16)*KFC!$C$5</f>
        <v>51.590858581307373</v>
      </c>
      <c r="V58" s="900">
        <f>(AS58*KFC!$B$16+KFC!$C$16)*KFC!$C$5</f>
        <v>53.592139739138688</v>
      </c>
      <c r="W58" s="901">
        <f>(AT58*KFC!$B$16+KFC!$C$16)*KFC!$C$5</f>
        <v>55.593420896969995</v>
      </c>
      <c r="Y58" s="1277" t="s">
        <v>357</v>
      </c>
      <c r="Z58" s="649">
        <v>0.2</v>
      </c>
      <c r="AA58" s="882">
        <v>17.569078898174997</v>
      </c>
      <c r="AB58" s="882">
        <v>19.570360056006315</v>
      </c>
      <c r="AC58" s="882">
        <v>21.57164121383763</v>
      </c>
      <c r="AD58" s="882">
        <v>23.572922371668945</v>
      </c>
      <c r="AE58" s="882">
        <v>25.574203529500259</v>
      </c>
      <c r="AF58" s="882">
        <v>27.575484687331571</v>
      </c>
      <c r="AG58" s="882">
        <v>29.576765845162885</v>
      </c>
      <c r="AH58" s="882">
        <v>31.5780470029942</v>
      </c>
      <c r="AI58" s="882">
        <v>33.579328160825519</v>
      </c>
      <c r="AJ58" s="882">
        <v>35.580609318656826</v>
      </c>
      <c r="AK58" s="882">
        <v>37.581890476488148</v>
      </c>
      <c r="AL58" s="882">
        <v>39.583171634319463</v>
      </c>
      <c r="AM58" s="882">
        <v>41.584452792150785</v>
      </c>
      <c r="AN58" s="882">
        <v>43.585733949982107</v>
      </c>
      <c r="AO58" s="882">
        <v>45.587015107813421</v>
      </c>
      <c r="AP58" s="882">
        <v>47.588296265644729</v>
      </c>
      <c r="AQ58" s="882">
        <v>49.589577423476051</v>
      </c>
      <c r="AR58" s="882">
        <v>51.590858581307373</v>
      </c>
      <c r="AS58" s="882">
        <v>53.592139739138688</v>
      </c>
      <c r="AT58" s="882">
        <v>55.593420896969995</v>
      </c>
    </row>
    <row r="59" spans="1:46">
      <c r="A59" s="1426"/>
      <c r="B59" s="1427"/>
      <c r="C59" s="887">
        <v>0.3</v>
      </c>
      <c r="D59" s="902">
        <f>(AA59*KFC!$B$16+KFC!$C$16)*KFC!$C$5</f>
        <v>18.179605212255002</v>
      </c>
      <c r="E59" s="898">
        <f>(AB59*KFC!$B$16+KFC!$C$16)*KFC!$C$5</f>
        <v>20.306958045633593</v>
      </c>
      <c r="F59" s="898">
        <f>(AC59*KFC!$B$16+KFC!$C$16)*KFC!$C$5</f>
        <v>22.434310879012184</v>
      </c>
      <c r="G59" s="898">
        <f>(AD59*KFC!$B$16+KFC!$C$16)*KFC!$C$5</f>
        <v>24.561663712390775</v>
      </c>
      <c r="H59" s="898">
        <f>(AE59*KFC!$B$16+KFC!$C$16)*KFC!$C$5</f>
        <v>26.689016545769363</v>
      </c>
      <c r="I59" s="898">
        <f>(AF59*KFC!$B$16+KFC!$C$16)*KFC!$C$5</f>
        <v>28.816369379147954</v>
      </c>
      <c r="J59" s="898">
        <f>(AG59*KFC!$B$16+KFC!$C$16)*KFC!$C$5</f>
        <v>30.943722212526545</v>
      </c>
      <c r="K59" s="898">
        <f>(AH59*KFC!$B$16+KFC!$C$16)*KFC!$C$5</f>
        <v>33.07107504590514</v>
      </c>
      <c r="L59" s="898">
        <f>(AI59*KFC!$B$16+KFC!$C$16)*KFC!$C$5</f>
        <v>35.198427879283727</v>
      </c>
      <c r="M59" s="898">
        <f>(AJ59*KFC!$B$16+KFC!$C$16)*KFC!$C$5</f>
        <v>37.325780712662315</v>
      </c>
      <c r="N59" s="898">
        <f>(AK59*KFC!$B$16+KFC!$C$16)*KFC!$C$5</f>
        <v>39.45313354604091</v>
      </c>
      <c r="O59" s="898">
        <f>(AL59*KFC!$B$16+KFC!$C$16)*KFC!$C$5</f>
        <v>41.580486379419504</v>
      </c>
      <c r="P59" s="898">
        <f>(AM59*KFC!$B$16+KFC!$C$16)*KFC!$C$5</f>
        <v>43.707839212798099</v>
      </c>
      <c r="Q59" s="898">
        <f>(AN59*KFC!$B$16+KFC!$C$16)*KFC!$C$5</f>
        <v>45.835192046176694</v>
      </c>
      <c r="R59" s="898">
        <f>(AO59*KFC!$B$16+KFC!$C$16)*KFC!$C$5</f>
        <v>47.962544879555288</v>
      </c>
      <c r="S59" s="898">
        <f>(AP59*KFC!$B$16+KFC!$C$16)*KFC!$C$5</f>
        <v>50.089897712933883</v>
      </c>
      <c r="T59" s="898">
        <f>(AQ59*KFC!$B$16+KFC!$C$16)*KFC!$C$5</f>
        <v>52.217250546312478</v>
      </c>
      <c r="U59" s="898">
        <f>(AR59*KFC!$B$16+KFC!$C$16)*KFC!$C$5</f>
        <v>54.344603379691073</v>
      </c>
      <c r="V59" s="898">
        <f>(AS59*KFC!$B$16+KFC!$C$16)*KFC!$C$5</f>
        <v>56.471956213069667</v>
      </c>
      <c r="W59" s="903">
        <f>(AT59*KFC!$B$16+KFC!$C$16)*KFC!$C$5</f>
        <v>58.599309046448241</v>
      </c>
      <c r="Y59" s="1277"/>
      <c r="Z59" s="649">
        <v>0.3</v>
      </c>
      <c r="AA59" s="882">
        <v>18.179605212255002</v>
      </c>
      <c r="AB59" s="882">
        <v>20.306958045633593</v>
      </c>
      <c r="AC59" s="882">
        <v>22.434310879012184</v>
      </c>
      <c r="AD59" s="882">
        <v>24.561663712390775</v>
      </c>
      <c r="AE59" s="882">
        <v>26.689016545769363</v>
      </c>
      <c r="AF59" s="882">
        <v>28.816369379147954</v>
      </c>
      <c r="AG59" s="882">
        <v>30.943722212526545</v>
      </c>
      <c r="AH59" s="882">
        <v>33.07107504590514</v>
      </c>
      <c r="AI59" s="882">
        <v>35.198427879283727</v>
      </c>
      <c r="AJ59" s="882">
        <v>37.325780712662315</v>
      </c>
      <c r="AK59" s="882">
        <v>39.45313354604091</v>
      </c>
      <c r="AL59" s="882">
        <v>41.580486379419504</v>
      </c>
      <c r="AM59" s="882">
        <v>43.707839212798099</v>
      </c>
      <c r="AN59" s="882">
        <v>45.835192046176694</v>
      </c>
      <c r="AO59" s="882">
        <v>47.962544879555288</v>
      </c>
      <c r="AP59" s="882">
        <v>50.089897712933883</v>
      </c>
      <c r="AQ59" s="882">
        <v>52.217250546312478</v>
      </c>
      <c r="AR59" s="882">
        <v>54.344603379691073</v>
      </c>
      <c r="AS59" s="882">
        <v>56.471956213069667</v>
      </c>
      <c r="AT59" s="882">
        <v>58.599309046448241</v>
      </c>
    </row>
    <row r="60" spans="1:46">
      <c r="A60" s="1426"/>
      <c r="B60" s="1427"/>
      <c r="C60" s="887">
        <v>0.4</v>
      </c>
      <c r="D60" s="902">
        <f>(AA60*KFC!$B$16+KFC!$C$16)*KFC!$C$5</f>
        <v>18.790131526334999</v>
      </c>
      <c r="E60" s="898">
        <f>(AB60*KFC!$B$16+KFC!$C$16)*KFC!$C$5</f>
        <v>21.04355603526087</v>
      </c>
      <c r="F60" s="898">
        <f>(AC60*KFC!$B$16+KFC!$C$16)*KFC!$C$5</f>
        <v>23.296980544186738</v>
      </c>
      <c r="G60" s="898">
        <f>(AD60*KFC!$B$16+KFC!$C$16)*KFC!$C$5</f>
        <v>25.550405053112602</v>
      </c>
      <c r="H60" s="898">
        <f>(AE60*KFC!$B$16+KFC!$C$16)*KFC!$C$5</f>
        <v>27.803829562038469</v>
      </c>
      <c r="I60" s="898">
        <f>(AF60*KFC!$B$16+KFC!$C$16)*KFC!$C$5</f>
        <v>30.057254070964337</v>
      </c>
      <c r="J60" s="898">
        <f>(AG60*KFC!$B$16+KFC!$C$16)*KFC!$C$5</f>
        <v>32.310678579890208</v>
      </c>
      <c r="K60" s="898">
        <f>(AH60*KFC!$B$16+KFC!$C$16)*KFC!$C$5</f>
        <v>34.564103088816076</v>
      </c>
      <c r="L60" s="898">
        <f>(AI60*KFC!$B$16+KFC!$C$16)*KFC!$C$5</f>
        <v>36.817527597741943</v>
      </c>
      <c r="M60" s="898">
        <f>(AJ60*KFC!$B$16+KFC!$C$16)*KFC!$C$5</f>
        <v>39.070952106667818</v>
      </c>
      <c r="N60" s="898">
        <f>(AK60*KFC!$B$16+KFC!$C$16)*KFC!$C$5</f>
        <v>41.324376615593685</v>
      </c>
      <c r="O60" s="898">
        <f>(AL60*KFC!$B$16+KFC!$C$16)*KFC!$C$5</f>
        <v>43.577801124519553</v>
      </c>
      <c r="P60" s="898">
        <f>(AM60*KFC!$B$16+KFC!$C$16)*KFC!$C$5</f>
        <v>45.831225633445428</v>
      </c>
      <c r="Q60" s="898">
        <f>(AN60*KFC!$B$16+KFC!$C$16)*KFC!$C$5</f>
        <v>48.084650142371295</v>
      </c>
      <c r="R60" s="898">
        <f>(AO60*KFC!$B$16+KFC!$C$16)*KFC!$C$5</f>
        <v>50.33807465129717</v>
      </c>
      <c r="S60" s="898">
        <f>(AP60*KFC!$B$16+KFC!$C$16)*KFC!$C$5</f>
        <v>52.591499160223037</v>
      </c>
      <c r="T60" s="898">
        <f>(AQ60*KFC!$B$16+KFC!$C$16)*KFC!$C$5</f>
        <v>54.844923669148912</v>
      </c>
      <c r="U60" s="898">
        <f>(AR60*KFC!$B$16+KFC!$C$16)*KFC!$C$5</f>
        <v>57.098348178074779</v>
      </c>
      <c r="V60" s="898">
        <f>(AS60*KFC!$B$16+KFC!$C$16)*KFC!$C$5</f>
        <v>59.351772687000654</v>
      </c>
      <c r="W60" s="903">
        <f>(AT60*KFC!$B$16+KFC!$C$16)*KFC!$C$5</f>
        <v>61.6051971959265</v>
      </c>
      <c r="Y60" s="1277"/>
      <c r="Z60" s="649">
        <v>0.4</v>
      </c>
      <c r="AA60" s="882">
        <v>18.790131526334999</v>
      </c>
      <c r="AB60" s="882">
        <v>21.04355603526087</v>
      </c>
      <c r="AC60" s="882">
        <v>23.296980544186738</v>
      </c>
      <c r="AD60" s="882">
        <v>25.550405053112602</v>
      </c>
      <c r="AE60" s="882">
        <v>27.803829562038469</v>
      </c>
      <c r="AF60" s="882">
        <v>30.057254070964337</v>
      </c>
      <c r="AG60" s="882">
        <v>32.310678579890208</v>
      </c>
      <c r="AH60" s="882">
        <v>34.564103088816076</v>
      </c>
      <c r="AI60" s="882">
        <v>36.817527597741943</v>
      </c>
      <c r="AJ60" s="882">
        <v>39.070952106667818</v>
      </c>
      <c r="AK60" s="882">
        <v>41.324376615593685</v>
      </c>
      <c r="AL60" s="882">
        <v>43.577801124519553</v>
      </c>
      <c r="AM60" s="882">
        <v>45.831225633445428</v>
      </c>
      <c r="AN60" s="882">
        <v>48.084650142371295</v>
      </c>
      <c r="AO60" s="882">
        <v>50.33807465129717</v>
      </c>
      <c r="AP60" s="882">
        <v>52.591499160223037</v>
      </c>
      <c r="AQ60" s="882">
        <v>54.844923669148912</v>
      </c>
      <c r="AR60" s="882">
        <v>57.098348178074779</v>
      </c>
      <c r="AS60" s="882">
        <v>59.351772687000654</v>
      </c>
      <c r="AT60" s="882">
        <v>61.6051971959265</v>
      </c>
    </row>
    <row r="61" spans="1:46">
      <c r="A61" s="1426"/>
      <c r="B61" s="1427"/>
      <c r="C61" s="887">
        <v>0.5</v>
      </c>
      <c r="D61" s="902">
        <f>(AA61*KFC!$B$16+KFC!$C$16)*KFC!$C$5</f>
        <v>19.400657840415001</v>
      </c>
      <c r="E61" s="898">
        <f>(AB61*KFC!$B$16+KFC!$C$16)*KFC!$C$5</f>
        <v>21.780154024888144</v>
      </c>
      <c r="F61" s="898">
        <f>(AC61*KFC!$B$16+KFC!$C$16)*KFC!$C$5</f>
        <v>24.159650209361288</v>
      </c>
      <c r="G61" s="898">
        <f>(AD61*KFC!$B$16+KFC!$C$16)*KFC!$C$5</f>
        <v>26.539146393834436</v>
      </c>
      <c r="H61" s="898">
        <f>(AE61*KFC!$B$16+KFC!$C$16)*KFC!$C$5</f>
        <v>28.918642578307573</v>
      </c>
      <c r="I61" s="898">
        <f>(AF61*KFC!$B$16+KFC!$C$16)*KFC!$C$5</f>
        <v>31.29813876278072</v>
      </c>
      <c r="J61" s="898">
        <f>(AG61*KFC!$B$16+KFC!$C$16)*KFC!$C$5</f>
        <v>33.677634947253864</v>
      </c>
      <c r="K61" s="898">
        <f>(AH61*KFC!$B$16+KFC!$C$16)*KFC!$C$5</f>
        <v>36.057131131727004</v>
      </c>
      <c r="L61" s="898">
        <f>(AI61*KFC!$B$16+KFC!$C$16)*KFC!$C$5</f>
        <v>38.436627316200159</v>
      </c>
      <c r="M61" s="898">
        <f>(AJ61*KFC!$B$16+KFC!$C$16)*KFC!$C$5</f>
        <v>40.816123500673307</v>
      </c>
      <c r="N61" s="898">
        <f>(AK61*KFC!$B$16+KFC!$C$16)*KFC!$C$5</f>
        <v>43.195619685146454</v>
      </c>
      <c r="O61" s="898">
        <f>(AL61*KFC!$B$16+KFC!$C$16)*KFC!$C$5</f>
        <v>45.575115869619601</v>
      </c>
      <c r="P61" s="898">
        <f>(AM61*KFC!$B$16+KFC!$C$16)*KFC!$C$5</f>
        <v>47.954612054092735</v>
      </c>
      <c r="Q61" s="898">
        <f>(AN61*KFC!$B$16+KFC!$C$16)*KFC!$C$5</f>
        <v>50.334108238565882</v>
      </c>
      <c r="R61" s="898">
        <f>(AO61*KFC!$B$16+KFC!$C$16)*KFC!$C$5</f>
        <v>52.71360442303903</v>
      </c>
      <c r="S61" s="898">
        <f>(AP61*KFC!$B$16+KFC!$C$16)*KFC!$C$5</f>
        <v>55.093100607512184</v>
      </c>
      <c r="T61" s="898">
        <f>(AQ61*KFC!$B$16+KFC!$C$16)*KFC!$C$5</f>
        <v>57.472596791985332</v>
      </c>
      <c r="U61" s="898">
        <f>(AR61*KFC!$B$16+KFC!$C$16)*KFC!$C$5</f>
        <v>59.852092976458479</v>
      </c>
      <c r="V61" s="898">
        <f>(AS61*KFC!$B$16+KFC!$C$16)*KFC!$C$5</f>
        <v>62.231589160931627</v>
      </c>
      <c r="W61" s="903">
        <f>(AT61*KFC!$B$16+KFC!$C$16)*KFC!$C$5</f>
        <v>64.61108534540476</v>
      </c>
      <c r="Y61" s="1277"/>
      <c r="Z61" s="649">
        <v>0.5</v>
      </c>
      <c r="AA61" s="882">
        <v>19.400657840415001</v>
      </c>
      <c r="AB61" s="882">
        <v>21.780154024888144</v>
      </c>
      <c r="AC61" s="882">
        <v>24.159650209361288</v>
      </c>
      <c r="AD61" s="882">
        <v>26.539146393834436</v>
      </c>
      <c r="AE61" s="882">
        <v>28.918642578307573</v>
      </c>
      <c r="AF61" s="882">
        <v>31.29813876278072</v>
      </c>
      <c r="AG61" s="882">
        <v>33.677634947253864</v>
      </c>
      <c r="AH61" s="882">
        <v>36.057131131727004</v>
      </c>
      <c r="AI61" s="882">
        <v>38.436627316200159</v>
      </c>
      <c r="AJ61" s="882">
        <v>40.816123500673307</v>
      </c>
      <c r="AK61" s="882">
        <v>43.195619685146454</v>
      </c>
      <c r="AL61" s="882">
        <v>45.575115869619601</v>
      </c>
      <c r="AM61" s="882">
        <v>47.954612054092735</v>
      </c>
      <c r="AN61" s="882">
        <v>50.334108238565882</v>
      </c>
      <c r="AO61" s="882">
        <v>52.71360442303903</v>
      </c>
      <c r="AP61" s="882">
        <v>55.093100607512184</v>
      </c>
      <c r="AQ61" s="882">
        <v>57.472596791985332</v>
      </c>
      <c r="AR61" s="882">
        <v>59.852092976458479</v>
      </c>
      <c r="AS61" s="882">
        <v>62.231589160931627</v>
      </c>
      <c r="AT61" s="882">
        <v>64.61108534540476</v>
      </c>
    </row>
    <row r="62" spans="1:46">
      <c r="A62" s="1426"/>
      <c r="B62" s="1427"/>
      <c r="C62" s="887">
        <v>0.6</v>
      </c>
      <c r="D62" s="902">
        <f>(AA62*KFC!$B$16+KFC!$C$16)*KFC!$C$5</f>
        <v>20.011184154495002</v>
      </c>
      <c r="E62" s="898">
        <f>(AB62*KFC!$B$16+KFC!$C$16)*KFC!$C$5</f>
        <v>22.516752014515426</v>
      </c>
      <c r="F62" s="898">
        <f>(AC62*KFC!$B$16+KFC!$C$16)*KFC!$C$5</f>
        <v>25.022319874535842</v>
      </c>
      <c r="G62" s="898">
        <f>(AD62*KFC!$B$16+KFC!$C$16)*KFC!$C$5</f>
        <v>27.527887734556263</v>
      </c>
      <c r="H62" s="898">
        <f>(AE62*KFC!$B$16+KFC!$C$16)*KFC!$C$5</f>
        <v>30.033455594576683</v>
      </c>
      <c r="I62" s="898">
        <f>(AF62*KFC!$B$16+KFC!$C$16)*KFC!$C$5</f>
        <v>32.5390234545971</v>
      </c>
      <c r="J62" s="898">
        <f>(AG62*KFC!$B$16+KFC!$C$16)*KFC!$C$5</f>
        <v>35.04459131461752</v>
      </c>
      <c r="K62" s="898">
        <f>(AH62*KFC!$B$16+KFC!$C$16)*KFC!$C$5</f>
        <v>37.55015917463794</v>
      </c>
      <c r="L62" s="898">
        <f>(AI62*KFC!$B$16+KFC!$C$16)*KFC!$C$5</f>
        <v>40.055727034658368</v>
      </c>
      <c r="M62" s="898">
        <f>(AJ62*KFC!$B$16+KFC!$C$16)*KFC!$C$5</f>
        <v>42.561294894678788</v>
      </c>
      <c r="N62" s="898">
        <f>(AK62*KFC!$B$16+KFC!$C$16)*KFC!$C$5</f>
        <v>45.066862754699216</v>
      </c>
      <c r="O62" s="898">
        <f>(AL62*KFC!$B$16+KFC!$C$16)*KFC!$C$5</f>
        <v>47.572430614719636</v>
      </c>
      <c r="P62" s="898">
        <f>(AM62*KFC!$B$16+KFC!$C$16)*KFC!$C$5</f>
        <v>50.077998474740063</v>
      </c>
      <c r="Q62" s="898">
        <f>(AN62*KFC!$B$16+KFC!$C$16)*KFC!$C$5</f>
        <v>52.583566334760484</v>
      </c>
      <c r="R62" s="898">
        <f>(AO62*KFC!$B$16+KFC!$C$16)*KFC!$C$5</f>
        <v>55.089134194780911</v>
      </c>
      <c r="S62" s="898">
        <f>(AP62*KFC!$B$16+KFC!$C$16)*KFC!$C$5</f>
        <v>57.594702054801331</v>
      </c>
      <c r="T62" s="898">
        <f>(AQ62*KFC!$B$16+KFC!$C$16)*KFC!$C$5</f>
        <v>60.100269914821752</v>
      </c>
      <c r="U62" s="898">
        <f>(AR62*KFC!$B$16+KFC!$C$16)*KFC!$C$5</f>
        <v>62.605837774842186</v>
      </c>
      <c r="V62" s="898">
        <f>(AS62*KFC!$B$16+KFC!$C$16)*KFC!$C$5</f>
        <v>65.111405634862606</v>
      </c>
      <c r="W62" s="903">
        <f>(AT62*KFC!$B$16+KFC!$C$16)*KFC!$C$5</f>
        <v>67.616973494882998</v>
      </c>
      <c r="Y62" s="1277"/>
      <c r="Z62" s="649">
        <v>0.6</v>
      </c>
      <c r="AA62" s="882">
        <v>20.011184154495002</v>
      </c>
      <c r="AB62" s="882">
        <v>22.516752014515426</v>
      </c>
      <c r="AC62" s="882">
        <v>25.022319874535842</v>
      </c>
      <c r="AD62" s="882">
        <v>27.527887734556263</v>
      </c>
      <c r="AE62" s="882">
        <v>30.033455594576683</v>
      </c>
      <c r="AF62" s="882">
        <v>32.5390234545971</v>
      </c>
      <c r="AG62" s="882">
        <v>35.04459131461752</v>
      </c>
      <c r="AH62" s="882">
        <v>37.55015917463794</v>
      </c>
      <c r="AI62" s="882">
        <v>40.055727034658368</v>
      </c>
      <c r="AJ62" s="882">
        <v>42.561294894678788</v>
      </c>
      <c r="AK62" s="882">
        <v>45.066862754699216</v>
      </c>
      <c r="AL62" s="882">
        <v>47.572430614719636</v>
      </c>
      <c r="AM62" s="882">
        <v>50.077998474740063</v>
      </c>
      <c r="AN62" s="882">
        <v>52.583566334760484</v>
      </c>
      <c r="AO62" s="882">
        <v>55.089134194780911</v>
      </c>
      <c r="AP62" s="882">
        <v>57.594702054801331</v>
      </c>
      <c r="AQ62" s="882">
        <v>60.100269914821752</v>
      </c>
      <c r="AR62" s="882">
        <v>62.605837774842186</v>
      </c>
      <c r="AS62" s="882">
        <v>65.111405634862606</v>
      </c>
      <c r="AT62" s="882">
        <v>67.616973494882998</v>
      </c>
    </row>
    <row r="63" spans="1:46">
      <c r="A63" s="1426"/>
      <c r="B63" s="1427"/>
      <c r="C63" s="887">
        <v>0.7</v>
      </c>
      <c r="D63" s="902">
        <f>(AA63*KFC!$B$16+KFC!$C$16)*KFC!$C$5</f>
        <v>20.621710468574999</v>
      </c>
      <c r="E63" s="898">
        <f>(AB63*KFC!$B$16+KFC!$C$16)*KFC!$C$5</f>
        <v>23.2533500041427</v>
      </c>
      <c r="F63" s="898">
        <f>(AC63*KFC!$B$16+KFC!$C$16)*KFC!$C$5</f>
        <v>25.884989539710389</v>
      </c>
      <c r="G63" s="898">
        <f>(AD63*KFC!$B$16+KFC!$C$16)*KFC!$C$5</f>
        <v>28.516629075278093</v>
      </c>
      <c r="H63" s="898">
        <f>(AE63*KFC!$B$16+KFC!$C$16)*KFC!$C$5</f>
        <v>31.148268610845783</v>
      </c>
      <c r="I63" s="898">
        <f>(AF63*KFC!$B$16+KFC!$C$16)*KFC!$C$5</f>
        <v>33.779908146413483</v>
      </c>
      <c r="J63" s="898">
        <f>(AG63*KFC!$B$16+KFC!$C$16)*KFC!$C$5</f>
        <v>36.411547681981183</v>
      </c>
      <c r="K63" s="898">
        <f>(AH63*KFC!$B$16+KFC!$C$16)*KFC!$C$5</f>
        <v>39.043187217548876</v>
      </c>
      <c r="L63" s="898">
        <f>(AI63*KFC!$B$16+KFC!$C$16)*KFC!$C$5</f>
        <v>41.674826753116577</v>
      </c>
      <c r="M63" s="898">
        <f>(AJ63*KFC!$B$16+KFC!$C$16)*KFC!$C$5</f>
        <v>44.306466288684277</v>
      </c>
      <c r="N63" s="898">
        <f>(AK63*KFC!$B$16+KFC!$C$16)*KFC!$C$5</f>
        <v>46.938105824251984</v>
      </c>
      <c r="O63" s="898">
        <f>(AL63*KFC!$B$16+KFC!$C$16)*KFC!$C$5</f>
        <v>49.569745359819684</v>
      </c>
      <c r="P63" s="898">
        <f>(AM63*KFC!$B$16+KFC!$C$16)*KFC!$C$5</f>
        <v>52.201384895387385</v>
      </c>
      <c r="Q63" s="898">
        <f>(AN63*KFC!$B$16+KFC!$C$16)*KFC!$C$5</f>
        <v>54.833024430955078</v>
      </c>
      <c r="R63" s="898">
        <f>(AO63*KFC!$B$16+KFC!$C$16)*KFC!$C$5</f>
        <v>57.464663966522778</v>
      </c>
      <c r="S63" s="898">
        <f>(AP63*KFC!$B$16+KFC!$C$16)*KFC!$C$5</f>
        <v>60.096303502090478</v>
      </c>
      <c r="T63" s="898">
        <f>(AQ63*KFC!$B$16+KFC!$C$16)*KFC!$C$5</f>
        <v>62.727943037658179</v>
      </c>
      <c r="U63" s="898">
        <f>(AR63*KFC!$B$16+KFC!$C$16)*KFC!$C$5</f>
        <v>65.359582573225879</v>
      </c>
      <c r="V63" s="898">
        <f>(AS63*KFC!$B$16+KFC!$C$16)*KFC!$C$5</f>
        <v>67.991222108793579</v>
      </c>
      <c r="W63" s="903">
        <f>(AT63*KFC!$B$16+KFC!$C$16)*KFC!$C$5</f>
        <v>70.622861644361251</v>
      </c>
      <c r="Y63" s="1277"/>
      <c r="Z63" s="649">
        <v>0.7</v>
      </c>
      <c r="AA63" s="882">
        <v>20.621710468574999</v>
      </c>
      <c r="AB63" s="882">
        <v>23.2533500041427</v>
      </c>
      <c r="AC63" s="882">
        <v>25.884989539710389</v>
      </c>
      <c r="AD63" s="882">
        <v>28.516629075278093</v>
      </c>
      <c r="AE63" s="882">
        <v>31.148268610845783</v>
      </c>
      <c r="AF63" s="882">
        <v>33.779908146413483</v>
      </c>
      <c r="AG63" s="882">
        <v>36.411547681981183</v>
      </c>
      <c r="AH63" s="882">
        <v>39.043187217548876</v>
      </c>
      <c r="AI63" s="882">
        <v>41.674826753116577</v>
      </c>
      <c r="AJ63" s="882">
        <v>44.306466288684277</v>
      </c>
      <c r="AK63" s="882">
        <v>46.938105824251984</v>
      </c>
      <c r="AL63" s="882">
        <v>49.569745359819684</v>
      </c>
      <c r="AM63" s="882">
        <v>52.201384895387385</v>
      </c>
      <c r="AN63" s="882">
        <v>54.833024430955078</v>
      </c>
      <c r="AO63" s="882">
        <v>57.464663966522778</v>
      </c>
      <c r="AP63" s="882">
        <v>60.096303502090478</v>
      </c>
      <c r="AQ63" s="882">
        <v>62.727943037658179</v>
      </c>
      <c r="AR63" s="882">
        <v>65.359582573225879</v>
      </c>
      <c r="AS63" s="882">
        <v>67.991222108793579</v>
      </c>
      <c r="AT63" s="882">
        <v>70.622861644361251</v>
      </c>
    </row>
    <row r="64" spans="1:46">
      <c r="A64" s="1426"/>
      <c r="B64" s="1427"/>
      <c r="C64" s="887">
        <v>0.8</v>
      </c>
      <c r="D64" s="902">
        <f>(AA64*KFC!$B$16+KFC!$C$16)*KFC!$C$5</f>
        <v>21.232236782655001</v>
      </c>
      <c r="E64" s="898">
        <f>(AB64*KFC!$B$16+KFC!$C$16)*KFC!$C$5</f>
        <v>23.989947993769974</v>
      </c>
      <c r="F64" s="898">
        <f>(AC64*KFC!$B$16+KFC!$C$16)*KFC!$C$5</f>
        <v>26.747659204884947</v>
      </c>
      <c r="G64" s="898">
        <f>(AD64*KFC!$B$16+KFC!$C$16)*KFC!$C$5</f>
        <v>29.50537041599992</v>
      </c>
      <c r="H64" s="898">
        <f>(AE64*KFC!$B$16+KFC!$C$16)*KFC!$C$5</f>
        <v>32.263081627114893</v>
      </c>
      <c r="I64" s="898">
        <f>(AF64*KFC!$B$16+KFC!$C$16)*KFC!$C$5</f>
        <v>35.020792838229866</v>
      </c>
      <c r="J64" s="898">
        <f>(AG64*KFC!$B$16+KFC!$C$16)*KFC!$C$5</f>
        <v>37.778504049344839</v>
      </c>
      <c r="K64" s="898">
        <f>(AH64*KFC!$B$16+KFC!$C$16)*KFC!$C$5</f>
        <v>40.536215260459819</v>
      </c>
      <c r="L64" s="898">
        <f>(AI64*KFC!$B$16+KFC!$C$16)*KFC!$C$5</f>
        <v>43.293926471574792</v>
      </c>
      <c r="M64" s="898">
        <f>(AJ64*KFC!$B$16+KFC!$C$16)*KFC!$C$5</f>
        <v>46.051637682689773</v>
      </c>
      <c r="N64" s="898">
        <f>(AK64*KFC!$B$16+KFC!$C$16)*KFC!$C$5</f>
        <v>48.809348893804746</v>
      </c>
      <c r="O64" s="898">
        <f>(AL64*KFC!$B$16+KFC!$C$16)*KFC!$C$5</f>
        <v>51.567060104919719</v>
      </c>
      <c r="P64" s="898">
        <f>(AM64*KFC!$B$16+KFC!$C$16)*KFC!$C$5</f>
        <v>54.324771316034692</v>
      </c>
      <c r="Q64" s="898">
        <f>(AN64*KFC!$B$16+KFC!$C$16)*KFC!$C$5</f>
        <v>57.082482527149672</v>
      </c>
      <c r="R64" s="898">
        <f>(AO64*KFC!$B$16+KFC!$C$16)*KFC!$C$5</f>
        <v>59.840193738264645</v>
      </c>
      <c r="S64" s="898">
        <f>(AP64*KFC!$B$16+KFC!$C$16)*KFC!$C$5</f>
        <v>62.597904949379632</v>
      </c>
      <c r="T64" s="898">
        <f>(AQ64*KFC!$B$16+KFC!$C$16)*KFC!$C$5</f>
        <v>65.355616160494606</v>
      </c>
      <c r="U64" s="898">
        <f>(AR64*KFC!$B$16+KFC!$C$16)*KFC!$C$5</f>
        <v>68.113327371609572</v>
      </c>
      <c r="V64" s="898">
        <f>(AS64*KFC!$B$16+KFC!$C$16)*KFC!$C$5</f>
        <v>70.871038582724566</v>
      </c>
      <c r="W64" s="903">
        <f>(AT64*KFC!$B$16+KFC!$C$16)*KFC!$C$5</f>
        <v>73.628749793839489</v>
      </c>
      <c r="Y64" s="1277"/>
      <c r="Z64" s="649">
        <v>0.8</v>
      </c>
      <c r="AA64" s="882">
        <v>21.232236782655001</v>
      </c>
      <c r="AB64" s="882">
        <v>23.989947993769974</v>
      </c>
      <c r="AC64" s="882">
        <v>26.747659204884947</v>
      </c>
      <c r="AD64" s="882">
        <v>29.50537041599992</v>
      </c>
      <c r="AE64" s="882">
        <v>32.263081627114893</v>
      </c>
      <c r="AF64" s="882">
        <v>35.020792838229866</v>
      </c>
      <c r="AG64" s="882">
        <v>37.778504049344839</v>
      </c>
      <c r="AH64" s="882">
        <v>40.536215260459819</v>
      </c>
      <c r="AI64" s="882">
        <v>43.293926471574792</v>
      </c>
      <c r="AJ64" s="882">
        <v>46.051637682689773</v>
      </c>
      <c r="AK64" s="882">
        <v>48.809348893804746</v>
      </c>
      <c r="AL64" s="882">
        <v>51.567060104919719</v>
      </c>
      <c r="AM64" s="882">
        <v>54.324771316034692</v>
      </c>
      <c r="AN64" s="882">
        <v>57.082482527149672</v>
      </c>
      <c r="AO64" s="882">
        <v>59.840193738264645</v>
      </c>
      <c r="AP64" s="882">
        <v>62.597904949379632</v>
      </c>
      <c r="AQ64" s="882">
        <v>65.355616160494606</v>
      </c>
      <c r="AR64" s="882">
        <v>68.113327371609572</v>
      </c>
      <c r="AS64" s="882">
        <v>70.871038582724566</v>
      </c>
      <c r="AT64" s="882">
        <v>73.628749793839489</v>
      </c>
    </row>
    <row r="65" spans="1:46">
      <c r="A65" s="1426"/>
      <c r="B65" s="1427"/>
      <c r="C65" s="887">
        <v>0.9</v>
      </c>
      <c r="D65" s="902">
        <f>(AA65*KFC!$B$16+KFC!$C$16)*KFC!$C$5</f>
        <v>21.842763096735002</v>
      </c>
      <c r="E65" s="898">
        <f>(AB65*KFC!$B$16+KFC!$C$16)*KFC!$C$5</f>
        <v>24.726545983397248</v>
      </c>
      <c r="F65" s="898">
        <f>(AC65*KFC!$B$16+KFC!$C$16)*KFC!$C$5</f>
        <v>27.610328870059497</v>
      </c>
      <c r="G65" s="898">
        <f>(AD65*KFC!$B$16+KFC!$C$16)*KFC!$C$5</f>
        <v>30.494111756721747</v>
      </c>
      <c r="H65" s="898">
        <f>(AE65*KFC!$B$16+KFC!$C$16)*KFC!$C$5</f>
        <v>33.377894643383996</v>
      </c>
      <c r="I65" s="898">
        <f>(AF65*KFC!$B$16+KFC!$C$16)*KFC!$C$5</f>
        <v>36.261677530046249</v>
      </c>
      <c r="J65" s="898">
        <f>(AG65*KFC!$B$16+KFC!$C$16)*KFC!$C$5</f>
        <v>39.145460416708495</v>
      </c>
      <c r="K65" s="898">
        <f>(AH65*KFC!$B$16+KFC!$C$16)*KFC!$C$5</f>
        <v>42.029243303370741</v>
      </c>
      <c r="L65" s="898">
        <f>(AI65*KFC!$B$16+KFC!$C$16)*KFC!$C$5</f>
        <v>44.913026190032994</v>
      </c>
      <c r="M65" s="898">
        <f>(AJ65*KFC!$B$16+KFC!$C$16)*KFC!$C$5</f>
        <v>47.79680907669524</v>
      </c>
      <c r="N65" s="898">
        <f>(AK65*KFC!$B$16+KFC!$C$16)*KFC!$C$5</f>
        <v>50.680591963357486</v>
      </c>
      <c r="O65" s="898">
        <f>(AL65*KFC!$B$16+KFC!$C$16)*KFC!$C$5</f>
        <v>53.564374850019732</v>
      </c>
      <c r="P65" s="898">
        <f>(AM65*KFC!$B$16+KFC!$C$16)*KFC!$C$5</f>
        <v>56.448157736681971</v>
      </c>
      <c r="Q65" s="898">
        <f>(AN65*KFC!$B$16+KFC!$C$16)*KFC!$C$5</f>
        <v>59.331940623344217</v>
      </c>
      <c r="R65" s="898">
        <f>(AO65*KFC!$B$16+KFC!$C$16)*KFC!$C$5</f>
        <v>62.215723510006463</v>
      </c>
      <c r="S65" s="898">
        <f>(AP65*KFC!$B$16+KFC!$C$16)*KFC!$C$5</f>
        <v>65.099506396668716</v>
      </c>
      <c r="T65" s="898">
        <f>(AQ65*KFC!$B$16+KFC!$C$16)*KFC!$C$5</f>
        <v>67.983289283330961</v>
      </c>
      <c r="U65" s="898">
        <f>(AR65*KFC!$B$16+KFC!$C$16)*KFC!$C$5</f>
        <v>70.867072169993207</v>
      </c>
      <c r="V65" s="898">
        <f>(AS65*KFC!$B$16+KFC!$C$16)*KFC!$C$5</f>
        <v>73.750855056655439</v>
      </c>
      <c r="W65" s="903">
        <f>(AT65*KFC!$B$16+KFC!$C$16)*KFC!$C$5</f>
        <v>76.634637943317742</v>
      </c>
      <c r="Y65" s="1277"/>
      <c r="Z65" s="649">
        <v>0.9</v>
      </c>
      <c r="AA65" s="882">
        <v>21.842763096735002</v>
      </c>
      <c r="AB65" s="882">
        <v>24.726545983397248</v>
      </c>
      <c r="AC65" s="882">
        <v>27.610328870059497</v>
      </c>
      <c r="AD65" s="882">
        <v>30.494111756721747</v>
      </c>
      <c r="AE65" s="882">
        <v>33.377894643383996</v>
      </c>
      <c r="AF65" s="882">
        <v>36.261677530046249</v>
      </c>
      <c r="AG65" s="882">
        <v>39.145460416708495</v>
      </c>
      <c r="AH65" s="882">
        <v>42.029243303370741</v>
      </c>
      <c r="AI65" s="882">
        <v>44.913026190032994</v>
      </c>
      <c r="AJ65" s="882">
        <v>47.79680907669524</v>
      </c>
      <c r="AK65" s="882">
        <v>50.680591963357486</v>
      </c>
      <c r="AL65" s="882">
        <v>53.564374850019732</v>
      </c>
      <c r="AM65" s="882">
        <v>56.448157736681971</v>
      </c>
      <c r="AN65" s="882">
        <v>59.331940623344217</v>
      </c>
      <c r="AO65" s="882">
        <v>62.215723510006463</v>
      </c>
      <c r="AP65" s="882">
        <v>65.099506396668716</v>
      </c>
      <c r="AQ65" s="882">
        <v>67.983289283330961</v>
      </c>
      <c r="AR65" s="882">
        <v>70.867072169993207</v>
      </c>
      <c r="AS65" s="882">
        <v>73.750855056655439</v>
      </c>
      <c r="AT65" s="882">
        <v>76.634637943317742</v>
      </c>
    </row>
    <row r="66" spans="1:46">
      <c r="A66" s="1426"/>
      <c r="B66" s="1427"/>
      <c r="C66" s="887">
        <v>1</v>
      </c>
      <c r="D66" s="902">
        <f>(AA66*KFC!$B$16+KFC!$C$16)*KFC!$C$5</f>
        <v>22.453289410815003</v>
      </c>
      <c r="E66" s="898">
        <f>(AB66*KFC!$B$16+KFC!$C$16)*KFC!$C$5</f>
        <v>25.463143973024529</v>
      </c>
      <c r="F66" s="898">
        <f>(AC66*KFC!$B$16+KFC!$C$16)*KFC!$C$5</f>
        <v>28.472998535234055</v>
      </c>
      <c r="G66" s="898">
        <f>(AD66*KFC!$B$16+KFC!$C$16)*KFC!$C$5</f>
        <v>31.482853097443581</v>
      </c>
      <c r="H66" s="898">
        <f>(AE66*KFC!$B$16+KFC!$C$16)*KFC!$C$5</f>
        <v>34.492707659653107</v>
      </c>
      <c r="I66" s="898">
        <f>(AF66*KFC!$B$16+KFC!$C$16)*KFC!$C$5</f>
        <v>37.502562221862632</v>
      </c>
      <c r="J66" s="898">
        <f>(AG66*KFC!$B$16+KFC!$C$16)*KFC!$C$5</f>
        <v>40.512416784072151</v>
      </c>
      <c r="K66" s="898">
        <f>(AH66*KFC!$B$16+KFC!$C$16)*KFC!$C$5</f>
        <v>43.52227134628167</v>
      </c>
      <c r="L66" s="898">
        <f>(AI66*KFC!$B$16+KFC!$C$16)*KFC!$C$5</f>
        <v>46.532125908491196</v>
      </c>
      <c r="M66" s="898">
        <f>(AJ66*KFC!$B$16+KFC!$C$16)*KFC!$C$5</f>
        <v>49.541980470700722</v>
      </c>
      <c r="N66" s="898">
        <f>(AK66*KFC!$B$16+KFC!$C$16)*KFC!$C$5</f>
        <v>52.55183503291024</v>
      </c>
      <c r="O66" s="898">
        <f>(AL66*KFC!$B$16+KFC!$C$16)*KFC!$C$5</f>
        <v>55.561689595119766</v>
      </c>
      <c r="P66" s="898">
        <f>(AM66*KFC!$B$16+KFC!$C$16)*KFC!$C$5</f>
        <v>58.571544157329292</v>
      </c>
      <c r="Q66" s="898">
        <f>(AN66*KFC!$B$16+KFC!$C$16)*KFC!$C$5</f>
        <v>61.581398719538811</v>
      </c>
      <c r="R66" s="898">
        <f>(AO66*KFC!$B$16+KFC!$C$16)*KFC!$C$5</f>
        <v>64.591253281748322</v>
      </c>
      <c r="S66" s="898">
        <f>(AP66*KFC!$B$16+KFC!$C$16)*KFC!$C$5</f>
        <v>67.601107843957848</v>
      </c>
      <c r="T66" s="898">
        <f>(AQ66*KFC!$B$16+KFC!$C$16)*KFC!$C$5</f>
        <v>70.610962406167374</v>
      </c>
      <c r="U66" s="898">
        <f>(AR66*KFC!$B$16+KFC!$C$16)*KFC!$C$5</f>
        <v>73.620816968376914</v>
      </c>
      <c r="V66" s="898">
        <f>(AS66*KFC!$B$16+KFC!$C$16)*KFC!$C$5</f>
        <v>76.63067153058644</v>
      </c>
      <c r="W66" s="903">
        <f>(AT66*KFC!$B$16+KFC!$C$16)*KFC!$C$5</f>
        <v>79.64052609279598</v>
      </c>
      <c r="Y66" s="1277"/>
      <c r="Z66" s="649">
        <v>1</v>
      </c>
      <c r="AA66" s="882">
        <v>22.453289410815003</v>
      </c>
      <c r="AB66" s="882">
        <v>25.463143973024529</v>
      </c>
      <c r="AC66" s="882">
        <v>28.472998535234055</v>
      </c>
      <c r="AD66" s="882">
        <v>31.482853097443581</v>
      </c>
      <c r="AE66" s="882">
        <v>34.492707659653107</v>
      </c>
      <c r="AF66" s="882">
        <v>37.502562221862632</v>
      </c>
      <c r="AG66" s="882">
        <v>40.512416784072151</v>
      </c>
      <c r="AH66" s="882">
        <v>43.52227134628167</v>
      </c>
      <c r="AI66" s="882">
        <v>46.532125908491196</v>
      </c>
      <c r="AJ66" s="882">
        <v>49.541980470700722</v>
      </c>
      <c r="AK66" s="882">
        <v>52.55183503291024</v>
      </c>
      <c r="AL66" s="882">
        <v>55.561689595119766</v>
      </c>
      <c r="AM66" s="882">
        <v>58.571544157329292</v>
      </c>
      <c r="AN66" s="882">
        <v>61.581398719538811</v>
      </c>
      <c r="AO66" s="882">
        <v>64.591253281748322</v>
      </c>
      <c r="AP66" s="882">
        <v>67.601107843957848</v>
      </c>
      <c r="AQ66" s="882">
        <v>70.610962406167374</v>
      </c>
      <c r="AR66" s="882">
        <v>73.620816968376914</v>
      </c>
      <c r="AS66" s="882">
        <v>76.63067153058644</v>
      </c>
      <c r="AT66" s="882">
        <v>79.64052609279598</v>
      </c>
    </row>
    <row r="67" spans="1:46">
      <c r="A67" s="1426"/>
      <c r="B67" s="1427"/>
      <c r="C67" s="887">
        <v>1.1000000000000001</v>
      </c>
      <c r="D67" s="902">
        <f>(AA67*KFC!$B$16+KFC!$C$16)*KFC!$C$5</f>
        <v>23.063815724895001</v>
      </c>
      <c r="E67" s="898">
        <f>(AB67*KFC!$B$16+KFC!$C$16)*KFC!$C$5</f>
        <v>26.199741962651803</v>
      </c>
      <c r="F67" s="898">
        <f>(AC67*KFC!$B$16+KFC!$C$16)*KFC!$C$5</f>
        <v>29.335668200408605</v>
      </c>
      <c r="G67" s="898">
        <f>(AD67*KFC!$B$16+KFC!$C$16)*KFC!$C$5</f>
        <v>32.471594438165411</v>
      </c>
      <c r="H67" s="898">
        <f>(AE67*KFC!$B$16+KFC!$C$16)*KFC!$C$5</f>
        <v>35.60752067592221</v>
      </c>
      <c r="I67" s="898">
        <f>(AF67*KFC!$B$16+KFC!$C$16)*KFC!$C$5</f>
        <v>38.743446913679009</v>
      </c>
      <c r="J67" s="898">
        <f>(AG67*KFC!$B$16+KFC!$C$16)*KFC!$C$5</f>
        <v>41.879373151435807</v>
      </c>
      <c r="K67" s="898">
        <f>(AH67*KFC!$B$16+KFC!$C$16)*KFC!$C$5</f>
        <v>45.015299389192606</v>
      </c>
      <c r="L67" s="898">
        <f>(AI67*KFC!$B$16+KFC!$C$16)*KFC!$C$5</f>
        <v>48.151225626949405</v>
      </c>
      <c r="M67" s="898">
        <f>(AJ67*KFC!$B$16+KFC!$C$16)*KFC!$C$5</f>
        <v>51.287151864706203</v>
      </c>
      <c r="N67" s="898">
        <f>(AK67*KFC!$B$16+KFC!$C$16)*KFC!$C$5</f>
        <v>54.423078102463002</v>
      </c>
      <c r="O67" s="898">
        <f>(AL67*KFC!$B$16+KFC!$C$16)*KFC!$C$5</f>
        <v>57.559004340219801</v>
      </c>
      <c r="P67" s="898">
        <f>(AM67*KFC!$B$16+KFC!$C$16)*KFC!$C$5</f>
        <v>60.694930577976614</v>
      </c>
      <c r="Q67" s="898">
        <f>(AN67*KFC!$B$16+KFC!$C$16)*KFC!$C$5</f>
        <v>63.830856815733398</v>
      </c>
      <c r="R67" s="898">
        <f>(AO67*KFC!$B$16+KFC!$C$16)*KFC!$C$5</f>
        <v>66.966783053490204</v>
      </c>
      <c r="S67" s="898">
        <f>(AP67*KFC!$B$16+KFC!$C$16)*KFC!$C$5</f>
        <v>70.10270929124701</v>
      </c>
      <c r="T67" s="898">
        <f>(AQ67*KFC!$B$16+KFC!$C$16)*KFC!$C$5</f>
        <v>73.238635529003801</v>
      </c>
      <c r="U67" s="898">
        <f>(AR67*KFC!$B$16+KFC!$C$16)*KFC!$C$5</f>
        <v>76.374561766760607</v>
      </c>
      <c r="V67" s="898">
        <f>(AS67*KFC!$B$16+KFC!$C$16)*KFC!$C$5</f>
        <v>79.510488004517399</v>
      </c>
      <c r="W67" s="903">
        <f>(AT67*KFC!$B$16+KFC!$C$16)*KFC!$C$5</f>
        <v>82.646414242274233</v>
      </c>
      <c r="Y67" s="1277"/>
      <c r="Z67" s="649">
        <v>1.1000000000000001</v>
      </c>
      <c r="AA67" s="882">
        <v>23.063815724895001</v>
      </c>
      <c r="AB67" s="882">
        <v>26.199741962651803</v>
      </c>
      <c r="AC67" s="882">
        <v>29.335668200408605</v>
      </c>
      <c r="AD67" s="882">
        <v>32.471594438165411</v>
      </c>
      <c r="AE67" s="882">
        <v>35.60752067592221</v>
      </c>
      <c r="AF67" s="882">
        <v>38.743446913679009</v>
      </c>
      <c r="AG67" s="882">
        <v>41.879373151435807</v>
      </c>
      <c r="AH67" s="882">
        <v>45.015299389192606</v>
      </c>
      <c r="AI67" s="882">
        <v>48.151225626949405</v>
      </c>
      <c r="AJ67" s="882">
        <v>51.287151864706203</v>
      </c>
      <c r="AK67" s="882">
        <v>54.423078102463002</v>
      </c>
      <c r="AL67" s="882">
        <v>57.559004340219801</v>
      </c>
      <c r="AM67" s="882">
        <v>60.694930577976614</v>
      </c>
      <c r="AN67" s="882">
        <v>63.830856815733398</v>
      </c>
      <c r="AO67" s="882">
        <v>66.966783053490204</v>
      </c>
      <c r="AP67" s="882">
        <v>70.10270929124701</v>
      </c>
      <c r="AQ67" s="882">
        <v>73.238635529003801</v>
      </c>
      <c r="AR67" s="882">
        <v>76.374561766760607</v>
      </c>
      <c r="AS67" s="882">
        <v>79.510488004517399</v>
      </c>
      <c r="AT67" s="882">
        <v>82.646414242274233</v>
      </c>
    </row>
    <row r="68" spans="1:46">
      <c r="A68" s="1426"/>
      <c r="B68" s="1427"/>
      <c r="C68" s="887">
        <v>1.2</v>
      </c>
      <c r="D68" s="902">
        <f>(AA68*KFC!$B$16+KFC!$C$16)*KFC!$C$5</f>
        <v>23.674342038975002</v>
      </c>
      <c r="E68" s="898">
        <f>(AB68*KFC!$B$16+KFC!$C$16)*KFC!$C$5</f>
        <v>26.936339952279077</v>
      </c>
      <c r="F68" s="898">
        <f>(AC68*KFC!$B$16+KFC!$C$16)*KFC!$C$5</f>
        <v>30.198337865583152</v>
      </c>
      <c r="G68" s="898">
        <f>(AD68*KFC!$B$16+KFC!$C$16)*KFC!$C$5</f>
        <v>33.460335778887227</v>
      </c>
      <c r="H68" s="898">
        <f>(AE68*KFC!$B$16+KFC!$C$16)*KFC!$C$5</f>
        <v>36.722333692191306</v>
      </c>
      <c r="I68" s="898">
        <f>(AF68*KFC!$B$16+KFC!$C$16)*KFC!$C$5</f>
        <v>39.984331605495377</v>
      </c>
      <c r="J68" s="898">
        <f>(AG68*KFC!$B$16+KFC!$C$16)*KFC!$C$5</f>
        <v>43.246329518799449</v>
      </c>
      <c r="K68" s="898">
        <f>(AH68*KFC!$B$16+KFC!$C$16)*KFC!$C$5</f>
        <v>46.508327432103528</v>
      </c>
      <c r="L68" s="898">
        <f>(AI68*KFC!$B$16+KFC!$C$16)*KFC!$C$5</f>
        <v>49.770325345407606</v>
      </c>
      <c r="M68" s="898">
        <f>(AJ68*KFC!$B$16+KFC!$C$16)*KFC!$C$5</f>
        <v>53.032323258711678</v>
      </c>
      <c r="N68" s="898">
        <f>(AK68*KFC!$B$16+KFC!$C$16)*KFC!$C$5</f>
        <v>56.294321172015749</v>
      </c>
      <c r="O68" s="898">
        <f>(AL68*KFC!$B$16+KFC!$C$16)*KFC!$C$5</f>
        <v>59.556319085319828</v>
      </c>
      <c r="P68" s="898">
        <f>(AM68*KFC!$B$16+KFC!$C$16)*KFC!$C$5</f>
        <v>62.818316998623906</v>
      </c>
      <c r="Q68" s="898">
        <f>(AN68*KFC!$B$16+KFC!$C$16)*KFC!$C$5</f>
        <v>66.080314911927985</v>
      </c>
      <c r="R68" s="898">
        <f>(AO68*KFC!$B$16+KFC!$C$16)*KFC!$C$5</f>
        <v>69.342312825232071</v>
      </c>
      <c r="S68" s="898">
        <f>(AP68*KFC!$B$16+KFC!$C$16)*KFC!$C$5</f>
        <v>72.604310738536157</v>
      </c>
      <c r="T68" s="898">
        <f>(AQ68*KFC!$B$16+KFC!$C$16)*KFC!$C$5</f>
        <v>75.866308651840228</v>
      </c>
      <c r="U68" s="898">
        <f>(AR68*KFC!$B$16+KFC!$C$16)*KFC!$C$5</f>
        <v>79.128306565144314</v>
      </c>
      <c r="V68" s="898">
        <f>(AS68*KFC!$B$16+KFC!$C$16)*KFC!$C$5</f>
        <v>82.390304478448385</v>
      </c>
      <c r="W68" s="903">
        <f>(AT68*KFC!$B$16+KFC!$C$16)*KFC!$C$5</f>
        <v>85.652302391752471</v>
      </c>
      <c r="Y68" s="1277"/>
      <c r="Z68" s="649">
        <v>1.2</v>
      </c>
      <c r="AA68" s="882">
        <v>23.674342038975002</v>
      </c>
      <c r="AB68" s="882">
        <v>26.936339952279077</v>
      </c>
      <c r="AC68" s="882">
        <v>30.198337865583152</v>
      </c>
      <c r="AD68" s="882">
        <v>33.460335778887227</v>
      </c>
      <c r="AE68" s="882">
        <v>36.722333692191306</v>
      </c>
      <c r="AF68" s="882">
        <v>39.984331605495377</v>
      </c>
      <c r="AG68" s="882">
        <v>43.246329518799449</v>
      </c>
      <c r="AH68" s="882">
        <v>46.508327432103528</v>
      </c>
      <c r="AI68" s="882">
        <v>49.770325345407606</v>
      </c>
      <c r="AJ68" s="882">
        <v>53.032323258711678</v>
      </c>
      <c r="AK68" s="882">
        <v>56.294321172015749</v>
      </c>
      <c r="AL68" s="882">
        <v>59.556319085319828</v>
      </c>
      <c r="AM68" s="882">
        <v>62.818316998623906</v>
      </c>
      <c r="AN68" s="882">
        <v>66.080314911927985</v>
      </c>
      <c r="AO68" s="882">
        <v>69.342312825232071</v>
      </c>
      <c r="AP68" s="882">
        <v>72.604310738536157</v>
      </c>
      <c r="AQ68" s="882">
        <v>75.866308651840228</v>
      </c>
      <c r="AR68" s="882">
        <v>79.128306565144314</v>
      </c>
      <c r="AS68" s="882">
        <v>82.390304478448385</v>
      </c>
      <c r="AT68" s="882">
        <v>85.652302391752471</v>
      </c>
    </row>
    <row r="69" spans="1:46">
      <c r="A69" s="1426"/>
      <c r="B69" s="1427"/>
      <c r="C69" s="887">
        <v>1.3</v>
      </c>
      <c r="D69" s="902">
        <f>(AA69*KFC!$B$16+KFC!$C$16)*KFC!$C$5</f>
        <v>24.284868353055007</v>
      </c>
      <c r="E69" s="898">
        <f>(AB69*KFC!$B$16+KFC!$C$16)*KFC!$C$5</f>
        <v>27.672937941906351</v>
      </c>
      <c r="F69" s="898">
        <f>(AC69*KFC!$B$16+KFC!$C$16)*KFC!$C$5</f>
        <v>31.06100753075771</v>
      </c>
      <c r="G69" s="898">
        <f>(AD69*KFC!$B$16+KFC!$C$16)*KFC!$C$5</f>
        <v>34.449077119609058</v>
      </c>
      <c r="H69" s="898">
        <f>(AE69*KFC!$B$16+KFC!$C$16)*KFC!$C$5</f>
        <v>37.837146708460416</v>
      </c>
      <c r="I69" s="898">
        <f>(AF69*KFC!$B$16+KFC!$C$16)*KFC!$C$5</f>
        <v>41.225216297311768</v>
      </c>
      <c r="J69" s="898">
        <f>(AG69*KFC!$B$16+KFC!$C$16)*KFC!$C$5</f>
        <v>44.613285886163119</v>
      </c>
      <c r="K69" s="898">
        <f>(AH69*KFC!$B$16+KFC!$C$16)*KFC!$C$5</f>
        <v>48.001355475014471</v>
      </c>
      <c r="L69" s="898">
        <f>(AI69*KFC!$B$16+KFC!$C$16)*KFC!$C$5</f>
        <v>51.389425063865822</v>
      </c>
      <c r="M69" s="898">
        <f>(AJ69*KFC!$B$16+KFC!$C$16)*KFC!$C$5</f>
        <v>54.777494652717174</v>
      </c>
      <c r="N69" s="898">
        <f>(AK69*KFC!$B$16+KFC!$C$16)*KFC!$C$5</f>
        <v>58.165564241568525</v>
      </c>
      <c r="O69" s="898">
        <f>(AL69*KFC!$B$16+KFC!$C$16)*KFC!$C$5</f>
        <v>61.553633830419876</v>
      </c>
      <c r="P69" s="898">
        <f>(AM69*KFC!$B$16+KFC!$C$16)*KFC!$C$5</f>
        <v>64.941703419271235</v>
      </c>
      <c r="Q69" s="898">
        <f>(AN69*KFC!$B$16+KFC!$C$16)*KFC!$C$5</f>
        <v>68.329773008122586</v>
      </c>
      <c r="R69" s="898">
        <f>(AO69*KFC!$B$16+KFC!$C$16)*KFC!$C$5</f>
        <v>71.717842596973938</v>
      </c>
      <c r="S69" s="898">
        <f>(AP69*KFC!$B$16+KFC!$C$16)*KFC!$C$5</f>
        <v>75.105912185825289</v>
      </c>
      <c r="T69" s="898">
        <f>(AQ69*KFC!$B$16+KFC!$C$16)*KFC!$C$5</f>
        <v>78.493981774676641</v>
      </c>
      <c r="U69" s="898">
        <f>(AR69*KFC!$B$16+KFC!$C$16)*KFC!$C$5</f>
        <v>81.882051363527992</v>
      </c>
      <c r="V69" s="898">
        <f>(AS69*KFC!$B$16+KFC!$C$16)*KFC!$C$5</f>
        <v>85.270120952379344</v>
      </c>
      <c r="W69" s="903">
        <f>(AT69*KFC!$B$16+KFC!$C$16)*KFC!$C$5</f>
        <v>88.658190541230724</v>
      </c>
      <c r="Y69" s="1277"/>
      <c r="Z69" s="649">
        <v>1.3</v>
      </c>
      <c r="AA69" s="882">
        <v>24.284868353055007</v>
      </c>
      <c r="AB69" s="882">
        <v>27.672937941906351</v>
      </c>
      <c r="AC69" s="882">
        <v>31.06100753075771</v>
      </c>
      <c r="AD69" s="882">
        <v>34.449077119609058</v>
      </c>
      <c r="AE69" s="882">
        <v>37.837146708460416</v>
      </c>
      <c r="AF69" s="882">
        <v>41.225216297311768</v>
      </c>
      <c r="AG69" s="882">
        <v>44.613285886163119</v>
      </c>
      <c r="AH69" s="882">
        <v>48.001355475014471</v>
      </c>
      <c r="AI69" s="882">
        <v>51.389425063865822</v>
      </c>
      <c r="AJ69" s="882">
        <v>54.777494652717174</v>
      </c>
      <c r="AK69" s="882">
        <v>58.165564241568525</v>
      </c>
      <c r="AL69" s="882">
        <v>61.553633830419876</v>
      </c>
      <c r="AM69" s="882">
        <v>64.941703419271235</v>
      </c>
      <c r="AN69" s="882">
        <v>68.329773008122586</v>
      </c>
      <c r="AO69" s="882">
        <v>71.717842596973938</v>
      </c>
      <c r="AP69" s="882">
        <v>75.105912185825289</v>
      </c>
      <c r="AQ69" s="882">
        <v>78.493981774676641</v>
      </c>
      <c r="AR69" s="882">
        <v>81.882051363527992</v>
      </c>
      <c r="AS69" s="882">
        <v>85.270120952379344</v>
      </c>
      <c r="AT69" s="882">
        <v>88.658190541230724</v>
      </c>
    </row>
    <row r="70" spans="1:46">
      <c r="A70" s="1426"/>
      <c r="B70" s="1427"/>
      <c r="C70" s="887">
        <v>1.4</v>
      </c>
      <c r="D70" s="902">
        <f>(AA70*KFC!$B$16+KFC!$C$16)*KFC!$C$5</f>
        <v>24.895394667135005</v>
      </c>
      <c r="E70" s="898">
        <f>(AB70*KFC!$B$16+KFC!$C$16)*KFC!$C$5</f>
        <v>28.409535931533632</v>
      </c>
      <c r="F70" s="898">
        <f>(AC70*KFC!$B$16+KFC!$C$16)*KFC!$C$5</f>
        <v>31.92367719593226</v>
      </c>
      <c r="G70" s="898">
        <f>(AD70*KFC!$B$16+KFC!$C$16)*KFC!$C$5</f>
        <v>35.437818460330888</v>
      </c>
      <c r="H70" s="898">
        <f>(AE70*KFC!$B$16+KFC!$C$16)*KFC!$C$5</f>
        <v>38.95195972472952</v>
      </c>
      <c r="I70" s="898">
        <f>(AF70*KFC!$B$16+KFC!$C$16)*KFC!$C$5</f>
        <v>42.466100989128144</v>
      </c>
      <c r="J70" s="898">
        <f>(AG70*KFC!$B$16+KFC!$C$16)*KFC!$C$5</f>
        <v>45.980242253526775</v>
      </c>
      <c r="K70" s="898">
        <f>(AH70*KFC!$B$16+KFC!$C$16)*KFC!$C$5</f>
        <v>49.494383517925407</v>
      </c>
      <c r="L70" s="898">
        <f>(AI70*KFC!$B$16+KFC!$C$16)*KFC!$C$5</f>
        <v>53.008524782324031</v>
      </c>
      <c r="M70" s="898">
        <f>(AJ70*KFC!$B$16+KFC!$C$16)*KFC!$C$5</f>
        <v>56.522666046722655</v>
      </c>
      <c r="N70" s="898">
        <f>(AK70*KFC!$B$16+KFC!$C$16)*KFC!$C$5</f>
        <v>60.036807311121287</v>
      </c>
      <c r="O70" s="898">
        <f>(AL70*KFC!$B$16+KFC!$C$16)*KFC!$C$5</f>
        <v>63.550948575519911</v>
      </c>
      <c r="P70" s="898">
        <f>(AM70*KFC!$B$16+KFC!$C$16)*KFC!$C$5</f>
        <v>67.065089839918542</v>
      </c>
      <c r="Q70" s="898">
        <f>(AN70*KFC!$B$16+KFC!$C$16)*KFC!$C$5</f>
        <v>70.579231104317188</v>
      </c>
      <c r="R70" s="898">
        <f>(AO70*KFC!$B$16+KFC!$C$16)*KFC!$C$5</f>
        <v>74.093372368715819</v>
      </c>
      <c r="S70" s="898">
        <f>(AP70*KFC!$B$16+KFC!$C$16)*KFC!$C$5</f>
        <v>77.607513633114451</v>
      </c>
      <c r="T70" s="898">
        <f>(AQ70*KFC!$B$16+KFC!$C$16)*KFC!$C$5</f>
        <v>81.121654897513082</v>
      </c>
      <c r="U70" s="898">
        <f>(AR70*KFC!$B$16+KFC!$C$16)*KFC!$C$5</f>
        <v>84.635796161911728</v>
      </c>
      <c r="V70" s="898">
        <f>(AS70*KFC!$B$16+KFC!$C$16)*KFC!$C$5</f>
        <v>88.149937426310359</v>
      </c>
      <c r="W70" s="903">
        <f>(AT70*KFC!$B$16+KFC!$C$16)*KFC!$C$5</f>
        <v>91.664078690708976</v>
      </c>
      <c r="Y70" s="1277"/>
      <c r="Z70" s="649">
        <v>1.4</v>
      </c>
      <c r="AA70" s="882">
        <v>24.895394667135005</v>
      </c>
      <c r="AB70" s="882">
        <v>28.409535931533632</v>
      </c>
      <c r="AC70" s="882">
        <v>31.92367719593226</v>
      </c>
      <c r="AD70" s="882">
        <v>35.437818460330888</v>
      </c>
      <c r="AE70" s="882">
        <v>38.95195972472952</v>
      </c>
      <c r="AF70" s="882">
        <v>42.466100989128144</v>
      </c>
      <c r="AG70" s="882">
        <v>45.980242253526775</v>
      </c>
      <c r="AH70" s="882">
        <v>49.494383517925407</v>
      </c>
      <c r="AI70" s="882">
        <v>53.008524782324031</v>
      </c>
      <c r="AJ70" s="882">
        <v>56.522666046722655</v>
      </c>
      <c r="AK70" s="882">
        <v>60.036807311121287</v>
      </c>
      <c r="AL70" s="882">
        <v>63.550948575519911</v>
      </c>
      <c r="AM70" s="882">
        <v>67.065089839918542</v>
      </c>
      <c r="AN70" s="882">
        <v>70.579231104317188</v>
      </c>
      <c r="AO70" s="882">
        <v>74.093372368715819</v>
      </c>
      <c r="AP70" s="882">
        <v>77.607513633114451</v>
      </c>
      <c r="AQ70" s="882">
        <v>81.121654897513082</v>
      </c>
      <c r="AR70" s="882">
        <v>84.635796161911728</v>
      </c>
      <c r="AS70" s="882">
        <v>88.149937426310359</v>
      </c>
      <c r="AT70" s="882">
        <v>91.664078690708976</v>
      </c>
    </row>
    <row r="71" spans="1:46">
      <c r="A71" s="1426"/>
      <c r="B71" s="1427"/>
      <c r="C71" s="887">
        <v>1.5</v>
      </c>
      <c r="D71" s="902">
        <f>(AA71*KFC!$B$16+KFC!$C$16)*KFC!$C$5</f>
        <v>25.505920981215002</v>
      </c>
      <c r="E71" s="898">
        <f>(AB71*KFC!$B$16+KFC!$C$16)*KFC!$C$5</f>
        <v>29.146133921160907</v>
      </c>
      <c r="F71" s="898">
        <f>(AC71*KFC!$B$16+KFC!$C$16)*KFC!$C$5</f>
        <v>32.786346861106814</v>
      </c>
      <c r="G71" s="898">
        <f>(AD71*KFC!$B$16+KFC!$C$16)*KFC!$C$5</f>
        <v>36.426559801052719</v>
      </c>
      <c r="H71" s="898">
        <f>(AE71*KFC!$B$16+KFC!$C$16)*KFC!$C$5</f>
        <v>40.066772740998623</v>
      </c>
      <c r="I71" s="898">
        <f>(AF71*KFC!$B$16+KFC!$C$16)*KFC!$C$5</f>
        <v>43.706985680944527</v>
      </c>
      <c r="J71" s="898">
        <f>(AG71*KFC!$B$16+KFC!$C$16)*KFC!$C$5</f>
        <v>47.347198620890431</v>
      </c>
      <c r="K71" s="898">
        <f>(AH71*KFC!$B$16+KFC!$C$16)*KFC!$C$5</f>
        <v>50.987411560836335</v>
      </c>
      <c r="L71" s="898">
        <f>(AI71*KFC!$B$16+KFC!$C$16)*KFC!$C$5</f>
        <v>54.627624500782247</v>
      </c>
      <c r="M71" s="898">
        <f>(AJ71*KFC!$B$16+KFC!$C$16)*KFC!$C$5</f>
        <v>58.267837440728151</v>
      </c>
      <c r="N71" s="898">
        <f>(AK71*KFC!$B$16+KFC!$C$16)*KFC!$C$5</f>
        <v>61.908050380674055</v>
      </c>
      <c r="O71" s="898">
        <f>(AL71*KFC!$B$16+KFC!$C$16)*KFC!$C$5</f>
        <v>65.548263320619967</v>
      </c>
      <c r="P71" s="898">
        <f>(AM71*KFC!$B$16+KFC!$C$16)*KFC!$C$5</f>
        <v>69.188476260565864</v>
      </c>
      <c r="Q71" s="898">
        <f>(AN71*KFC!$B$16+KFC!$C$16)*KFC!$C$5</f>
        <v>72.828689200511775</v>
      </c>
      <c r="R71" s="898">
        <f>(AO71*KFC!$B$16+KFC!$C$16)*KFC!$C$5</f>
        <v>76.468902140457672</v>
      </c>
      <c r="S71" s="898">
        <f>(AP71*KFC!$B$16+KFC!$C$16)*KFC!$C$5</f>
        <v>80.109115080403583</v>
      </c>
      <c r="T71" s="898">
        <f>(AQ71*KFC!$B$16+KFC!$C$16)*KFC!$C$5</f>
        <v>83.749328020349481</v>
      </c>
      <c r="U71" s="898">
        <f>(AR71*KFC!$B$16+KFC!$C$16)*KFC!$C$5</f>
        <v>87.389540960295392</v>
      </c>
      <c r="V71" s="898">
        <f>(AS71*KFC!$B$16+KFC!$C$16)*KFC!$C$5</f>
        <v>91.029753900241303</v>
      </c>
      <c r="W71" s="903">
        <f>(AT71*KFC!$B$16+KFC!$C$16)*KFC!$C$5</f>
        <v>94.669966840187215</v>
      </c>
      <c r="Y71" s="1277"/>
      <c r="Z71" s="649">
        <v>1.5</v>
      </c>
      <c r="AA71" s="882">
        <v>25.505920981215002</v>
      </c>
      <c r="AB71" s="882">
        <v>29.146133921160907</v>
      </c>
      <c r="AC71" s="882">
        <v>32.786346861106814</v>
      </c>
      <c r="AD71" s="882">
        <v>36.426559801052719</v>
      </c>
      <c r="AE71" s="882">
        <v>40.066772740998623</v>
      </c>
      <c r="AF71" s="882">
        <v>43.706985680944527</v>
      </c>
      <c r="AG71" s="882">
        <v>47.347198620890431</v>
      </c>
      <c r="AH71" s="882">
        <v>50.987411560836335</v>
      </c>
      <c r="AI71" s="882">
        <v>54.627624500782247</v>
      </c>
      <c r="AJ71" s="882">
        <v>58.267837440728151</v>
      </c>
      <c r="AK71" s="882">
        <v>61.908050380674055</v>
      </c>
      <c r="AL71" s="882">
        <v>65.548263320619967</v>
      </c>
      <c r="AM71" s="882">
        <v>69.188476260565864</v>
      </c>
      <c r="AN71" s="882">
        <v>72.828689200511775</v>
      </c>
      <c r="AO71" s="882">
        <v>76.468902140457672</v>
      </c>
      <c r="AP71" s="882">
        <v>80.109115080403583</v>
      </c>
      <c r="AQ71" s="882">
        <v>83.749328020349481</v>
      </c>
      <c r="AR71" s="882">
        <v>87.389540960295392</v>
      </c>
      <c r="AS71" s="882">
        <v>91.029753900241303</v>
      </c>
      <c r="AT71" s="882">
        <v>94.669966840187215</v>
      </c>
    </row>
    <row r="72" spans="1:46">
      <c r="A72" s="1426"/>
      <c r="B72" s="1427"/>
      <c r="C72" s="887">
        <v>1.6</v>
      </c>
      <c r="D72" s="902">
        <f>(AA72*KFC!$B$16+KFC!$C$16)*KFC!$C$5</f>
        <v>26.116447295295004</v>
      </c>
      <c r="E72" s="898">
        <f>(AB72*KFC!$B$16+KFC!$C$16)*KFC!$C$5</f>
        <v>29.882731910788188</v>
      </c>
      <c r="F72" s="898">
        <f>(AC72*KFC!$B$16+KFC!$C$16)*KFC!$C$5</f>
        <v>33.649016526281372</v>
      </c>
      <c r="G72" s="898">
        <f>(AD72*KFC!$B$16+KFC!$C$16)*KFC!$C$5</f>
        <v>37.415301141774549</v>
      </c>
      <c r="H72" s="898">
        <f>(AE72*KFC!$B$16+KFC!$C$16)*KFC!$C$5</f>
        <v>41.181585757267726</v>
      </c>
      <c r="I72" s="898">
        <f>(AF72*KFC!$B$16+KFC!$C$16)*KFC!$C$5</f>
        <v>44.947870372760917</v>
      </c>
      <c r="J72" s="898">
        <f>(AG72*KFC!$B$16+KFC!$C$16)*KFC!$C$5</f>
        <v>48.714154988254094</v>
      </c>
      <c r="K72" s="898">
        <f>(AH72*KFC!$B$16+KFC!$C$16)*KFC!$C$5</f>
        <v>52.480439603747271</v>
      </c>
      <c r="L72" s="898">
        <f>(AI72*KFC!$B$16+KFC!$C$16)*KFC!$C$5</f>
        <v>56.246724219240456</v>
      </c>
      <c r="M72" s="898">
        <f>(AJ72*KFC!$B$16+KFC!$C$16)*KFC!$C$5</f>
        <v>60.01300883473364</v>
      </c>
      <c r="N72" s="898">
        <f>(AK72*KFC!$B$16+KFC!$C$16)*KFC!$C$5</f>
        <v>63.779293450226817</v>
      </c>
      <c r="O72" s="898">
        <f>(AL72*KFC!$B$16+KFC!$C$16)*KFC!$C$5</f>
        <v>67.545578065719994</v>
      </c>
      <c r="P72" s="898">
        <f>(AM72*KFC!$B$16+KFC!$C$16)*KFC!$C$5</f>
        <v>71.311862681213185</v>
      </c>
      <c r="Q72" s="898">
        <f>(AN72*KFC!$B$16+KFC!$C$16)*KFC!$C$5</f>
        <v>75.078147296706376</v>
      </c>
      <c r="R72" s="898">
        <f>(AO72*KFC!$B$16+KFC!$C$16)*KFC!$C$5</f>
        <v>78.844431912199553</v>
      </c>
      <c r="S72" s="898">
        <f>(AP72*KFC!$B$16+KFC!$C$16)*KFC!$C$5</f>
        <v>82.610716527692759</v>
      </c>
      <c r="T72" s="898">
        <f>(AQ72*KFC!$B$16+KFC!$C$16)*KFC!$C$5</f>
        <v>86.37700114318595</v>
      </c>
      <c r="U72" s="898">
        <f>(AR72*KFC!$B$16+KFC!$C$16)*KFC!$C$5</f>
        <v>90.143285758679141</v>
      </c>
      <c r="V72" s="898">
        <f>(AS72*KFC!$B$16+KFC!$C$16)*KFC!$C$5</f>
        <v>93.909570374172318</v>
      </c>
      <c r="W72" s="903">
        <f>(AT72*KFC!$B$16+KFC!$C$16)*KFC!$C$5</f>
        <v>97.675854989665453</v>
      </c>
      <c r="Y72" s="1277"/>
      <c r="Z72" s="649">
        <v>1.6</v>
      </c>
      <c r="AA72" s="882">
        <v>26.116447295295004</v>
      </c>
      <c r="AB72" s="882">
        <v>29.882731910788188</v>
      </c>
      <c r="AC72" s="882">
        <v>33.649016526281372</v>
      </c>
      <c r="AD72" s="882">
        <v>37.415301141774549</v>
      </c>
      <c r="AE72" s="882">
        <v>41.181585757267726</v>
      </c>
      <c r="AF72" s="882">
        <v>44.947870372760917</v>
      </c>
      <c r="AG72" s="882">
        <v>48.714154988254094</v>
      </c>
      <c r="AH72" s="882">
        <v>52.480439603747271</v>
      </c>
      <c r="AI72" s="882">
        <v>56.246724219240456</v>
      </c>
      <c r="AJ72" s="882">
        <v>60.01300883473364</v>
      </c>
      <c r="AK72" s="882">
        <v>63.779293450226817</v>
      </c>
      <c r="AL72" s="882">
        <v>67.545578065719994</v>
      </c>
      <c r="AM72" s="882">
        <v>71.311862681213185</v>
      </c>
      <c r="AN72" s="882">
        <v>75.078147296706376</v>
      </c>
      <c r="AO72" s="882">
        <v>78.844431912199553</v>
      </c>
      <c r="AP72" s="882">
        <v>82.610716527692759</v>
      </c>
      <c r="AQ72" s="882">
        <v>86.37700114318595</v>
      </c>
      <c r="AR72" s="882">
        <v>90.143285758679141</v>
      </c>
      <c r="AS72" s="882">
        <v>93.909570374172318</v>
      </c>
      <c r="AT72" s="882">
        <v>97.675854989665453</v>
      </c>
    </row>
    <row r="73" spans="1:46">
      <c r="A73" s="1426"/>
      <c r="B73" s="1427"/>
      <c r="C73" s="887">
        <v>1.7</v>
      </c>
      <c r="D73" s="902">
        <f>(AA73*KFC!$B$16+KFC!$C$16)*KFC!$C$5</f>
        <v>26.726973609375008</v>
      </c>
      <c r="E73" s="898">
        <f>(AB73*KFC!$B$16+KFC!$C$16)*KFC!$C$5</f>
        <v>30.619329900415462</v>
      </c>
      <c r="F73" s="898">
        <f>(AC73*KFC!$B$16+KFC!$C$16)*KFC!$C$5</f>
        <v>34.511686191455922</v>
      </c>
      <c r="G73" s="898">
        <f>(AD73*KFC!$B$16+KFC!$C$16)*KFC!$C$5</f>
        <v>38.404042482496379</v>
      </c>
      <c r="H73" s="898">
        <f>(AE73*KFC!$B$16+KFC!$C$16)*KFC!$C$5</f>
        <v>42.296398773536829</v>
      </c>
      <c r="I73" s="898">
        <f>(AF73*KFC!$B$16+KFC!$C$16)*KFC!$C$5</f>
        <v>46.188755064577293</v>
      </c>
      <c r="J73" s="898">
        <f>(AG73*KFC!$B$16+KFC!$C$16)*KFC!$C$5</f>
        <v>50.08111135561775</v>
      </c>
      <c r="K73" s="898">
        <f>(AH73*KFC!$B$16+KFC!$C$16)*KFC!$C$5</f>
        <v>53.973467646658207</v>
      </c>
      <c r="L73" s="898">
        <f>(AI73*KFC!$B$16+KFC!$C$16)*KFC!$C$5</f>
        <v>57.865823937698664</v>
      </c>
      <c r="M73" s="898">
        <f>(AJ73*KFC!$B$16+KFC!$C$16)*KFC!$C$5</f>
        <v>61.758180228739128</v>
      </c>
      <c r="N73" s="898">
        <f>(AK73*KFC!$B$16+KFC!$C$16)*KFC!$C$5</f>
        <v>65.650536519779578</v>
      </c>
      <c r="O73" s="898">
        <f>(AL73*KFC!$B$16+KFC!$C$16)*KFC!$C$5</f>
        <v>69.542892810820035</v>
      </c>
      <c r="P73" s="898">
        <f>(AM73*KFC!$B$16+KFC!$C$16)*KFC!$C$5</f>
        <v>73.435249101860492</v>
      </c>
      <c r="Q73" s="898">
        <f>(AN73*KFC!$B$16+KFC!$C$16)*KFC!$C$5</f>
        <v>77.327605392900949</v>
      </c>
      <c r="R73" s="898">
        <f>(AO73*KFC!$B$16+KFC!$C$16)*KFC!$C$5</f>
        <v>81.219961683941406</v>
      </c>
      <c r="S73" s="898">
        <f>(AP73*KFC!$B$16+KFC!$C$16)*KFC!$C$5</f>
        <v>85.112317974981863</v>
      </c>
      <c r="T73" s="898">
        <f>(AQ73*KFC!$B$16+KFC!$C$16)*KFC!$C$5</f>
        <v>89.00467426602232</v>
      </c>
      <c r="U73" s="898">
        <f>(AR73*KFC!$B$16+KFC!$C$16)*KFC!$C$5</f>
        <v>92.897030557062763</v>
      </c>
      <c r="V73" s="898">
        <f>(AS73*KFC!$B$16+KFC!$C$16)*KFC!$C$5</f>
        <v>96.789386848103234</v>
      </c>
      <c r="W73" s="903">
        <f>(AT73*KFC!$B$16+KFC!$C$16)*KFC!$C$5</f>
        <v>100.68174313914371</v>
      </c>
      <c r="Y73" s="1277"/>
      <c r="Z73" s="649">
        <v>1.7</v>
      </c>
      <c r="AA73" s="882">
        <v>26.726973609375008</v>
      </c>
      <c r="AB73" s="882">
        <v>30.619329900415462</v>
      </c>
      <c r="AC73" s="882">
        <v>34.511686191455922</v>
      </c>
      <c r="AD73" s="882">
        <v>38.404042482496379</v>
      </c>
      <c r="AE73" s="882">
        <v>42.296398773536829</v>
      </c>
      <c r="AF73" s="882">
        <v>46.188755064577293</v>
      </c>
      <c r="AG73" s="882">
        <v>50.08111135561775</v>
      </c>
      <c r="AH73" s="882">
        <v>53.973467646658207</v>
      </c>
      <c r="AI73" s="882">
        <v>57.865823937698664</v>
      </c>
      <c r="AJ73" s="882">
        <v>61.758180228739128</v>
      </c>
      <c r="AK73" s="882">
        <v>65.650536519779578</v>
      </c>
      <c r="AL73" s="882">
        <v>69.542892810820035</v>
      </c>
      <c r="AM73" s="882">
        <v>73.435249101860492</v>
      </c>
      <c r="AN73" s="882">
        <v>77.327605392900949</v>
      </c>
      <c r="AO73" s="882">
        <v>81.219961683941406</v>
      </c>
      <c r="AP73" s="882">
        <v>85.112317974981863</v>
      </c>
      <c r="AQ73" s="882">
        <v>89.00467426602232</v>
      </c>
      <c r="AR73" s="882">
        <v>92.897030557062763</v>
      </c>
      <c r="AS73" s="882">
        <v>96.789386848103234</v>
      </c>
      <c r="AT73" s="882">
        <v>100.68174313914371</v>
      </c>
    </row>
    <row r="74" spans="1:46">
      <c r="A74" s="1426"/>
      <c r="B74" s="1427"/>
      <c r="C74" s="887">
        <v>1.8</v>
      </c>
      <c r="D74" s="902">
        <f>(AA74*KFC!$B$16+KFC!$C$16)*KFC!$C$5</f>
        <v>27.337499923455006</v>
      </c>
      <c r="E74" s="898">
        <f>(AB74*KFC!$B$16+KFC!$C$16)*KFC!$C$5</f>
        <v>31.355927890042739</v>
      </c>
      <c r="F74" s="898">
        <f>(AC74*KFC!$B$16+KFC!$C$16)*KFC!$C$5</f>
        <v>35.374355856630473</v>
      </c>
      <c r="G74" s="898">
        <f>(AD74*KFC!$B$16+KFC!$C$16)*KFC!$C$5</f>
        <v>39.39278382321821</v>
      </c>
      <c r="H74" s="898">
        <f>(AE74*KFC!$B$16+KFC!$C$16)*KFC!$C$5</f>
        <v>43.41121178980594</v>
      </c>
      <c r="I74" s="898">
        <f>(AF74*KFC!$B$16+KFC!$C$16)*KFC!$C$5</f>
        <v>47.429639756393676</v>
      </c>
      <c r="J74" s="898">
        <f>(AG74*KFC!$B$16+KFC!$C$16)*KFC!$C$5</f>
        <v>51.448067722981406</v>
      </c>
      <c r="K74" s="898">
        <f>(AH74*KFC!$B$16+KFC!$C$16)*KFC!$C$5</f>
        <v>55.46649568956915</v>
      </c>
      <c r="L74" s="898">
        <f>(AI74*KFC!$B$16+KFC!$C$16)*KFC!$C$5</f>
        <v>59.48492365615688</v>
      </c>
      <c r="M74" s="898">
        <f>(AJ74*KFC!$B$16+KFC!$C$16)*KFC!$C$5</f>
        <v>63.50335162274461</v>
      </c>
      <c r="N74" s="898">
        <f>(AK74*KFC!$B$16+KFC!$C$16)*KFC!$C$5</f>
        <v>67.52177958933234</v>
      </c>
      <c r="O74" s="898">
        <f>(AL74*KFC!$B$16+KFC!$C$16)*KFC!$C$5</f>
        <v>71.540207555920077</v>
      </c>
      <c r="P74" s="898">
        <f>(AM74*KFC!$B$16+KFC!$C$16)*KFC!$C$5</f>
        <v>75.558635522507814</v>
      </c>
      <c r="Q74" s="898">
        <f>(AN74*KFC!$B$16+KFC!$C$16)*KFC!$C$5</f>
        <v>79.577063489095565</v>
      </c>
      <c r="R74" s="898">
        <f>(AO74*KFC!$B$16+KFC!$C$16)*KFC!$C$5</f>
        <v>83.595491455683302</v>
      </c>
      <c r="S74" s="898">
        <f>(AP74*KFC!$B$16+KFC!$C$16)*KFC!$C$5</f>
        <v>87.613919422271053</v>
      </c>
      <c r="T74" s="898">
        <f>(AQ74*KFC!$B$16+KFC!$C$16)*KFC!$C$5</f>
        <v>91.632347388858776</v>
      </c>
      <c r="U74" s="898">
        <f>(AR74*KFC!$B$16+KFC!$C$16)*KFC!$C$5</f>
        <v>95.650775355446527</v>
      </c>
      <c r="V74" s="898">
        <f>(AS74*KFC!$B$16+KFC!$C$16)*KFC!$C$5</f>
        <v>99.669203322034264</v>
      </c>
      <c r="W74" s="903">
        <f>(AT74*KFC!$B$16+KFC!$C$16)*KFC!$C$5</f>
        <v>103.68763128862196</v>
      </c>
      <c r="Y74" s="1277"/>
      <c r="Z74" s="649">
        <v>1.8</v>
      </c>
      <c r="AA74" s="882">
        <v>27.337499923455006</v>
      </c>
      <c r="AB74" s="882">
        <v>31.355927890042739</v>
      </c>
      <c r="AC74" s="882">
        <v>35.374355856630473</v>
      </c>
      <c r="AD74" s="882">
        <v>39.39278382321821</v>
      </c>
      <c r="AE74" s="882">
        <v>43.41121178980594</v>
      </c>
      <c r="AF74" s="882">
        <v>47.429639756393676</v>
      </c>
      <c r="AG74" s="882">
        <v>51.448067722981406</v>
      </c>
      <c r="AH74" s="882">
        <v>55.46649568956915</v>
      </c>
      <c r="AI74" s="882">
        <v>59.48492365615688</v>
      </c>
      <c r="AJ74" s="882">
        <v>63.50335162274461</v>
      </c>
      <c r="AK74" s="882">
        <v>67.52177958933234</v>
      </c>
      <c r="AL74" s="882">
        <v>71.540207555920077</v>
      </c>
      <c r="AM74" s="882">
        <v>75.558635522507814</v>
      </c>
      <c r="AN74" s="882">
        <v>79.577063489095565</v>
      </c>
      <c r="AO74" s="882">
        <v>83.595491455683302</v>
      </c>
      <c r="AP74" s="882">
        <v>87.613919422271053</v>
      </c>
      <c r="AQ74" s="882">
        <v>91.632347388858776</v>
      </c>
      <c r="AR74" s="882">
        <v>95.650775355446527</v>
      </c>
      <c r="AS74" s="882">
        <v>99.669203322034264</v>
      </c>
      <c r="AT74" s="882">
        <v>103.68763128862196</v>
      </c>
    </row>
    <row r="75" spans="1:46">
      <c r="A75" s="1426"/>
      <c r="B75" s="1427"/>
      <c r="C75" s="887">
        <v>1.9</v>
      </c>
      <c r="D75" s="902">
        <f>(AA75*KFC!$B$16+KFC!$C$16)*KFC!$C$5</f>
        <v>27.948026237535004</v>
      </c>
      <c r="E75" s="898">
        <f>(AB75*KFC!$B$16+KFC!$C$16)*KFC!$C$5</f>
        <v>32.092525879670013</v>
      </c>
      <c r="F75" s="898">
        <f>(AC75*KFC!$B$16+KFC!$C$16)*KFC!$C$5</f>
        <v>36.23702552180503</v>
      </c>
      <c r="G75" s="898">
        <f>(AD75*KFC!$B$16+KFC!$C$16)*KFC!$C$5</f>
        <v>40.38152516394004</v>
      </c>
      <c r="H75" s="898">
        <f>(AE75*KFC!$B$16+KFC!$C$16)*KFC!$C$5</f>
        <v>44.526024806075043</v>
      </c>
      <c r="I75" s="898">
        <f>(AF75*KFC!$B$16+KFC!$C$16)*KFC!$C$5</f>
        <v>48.670524448210053</v>
      </c>
      <c r="J75" s="898">
        <f>(AG75*KFC!$B$16+KFC!$C$16)*KFC!$C$5</f>
        <v>52.815024090345069</v>
      </c>
      <c r="K75" s="898">
        <f>(AH75*KFC!$B$16+KFC!$C$16)*KFC!$C$5</f>
        <v>56.959523732480079</v>
      </c>
      <c r="L75" s="898">
        <f>(AI75*KFC!$B$16+KFC!$C$16)*KFC!$C$5</f>
        <v>61.104023374615089</v>
      </c>
      <c r="M75" s="898">
        <f>(AJ75*KFC!$B$16+KFC!$C$16)*KFC!$C$5</f>
        <v>65.248523016750099</v>
      </c>
      <c r="N75" s="898">
        <f>(AK75*KFC!$B$16+KFC!$C$16)*KFC!$C$5</f>
        <v>69.393022658885101</v>
      </c>
      <c r="O75" s="898">
        <f>(AL75*KFC!$B$16+KFC!$C$16)*KFC!$C$5</f>
        <v>73.537522301020118</v>
      </c>
      <c r="P75" s="898">
        <f>(AM75*KFC!$B$16+KFC!$C$16)*KFC!$C$5</f>
        <v>77.682021943155121</v>
      </c>
      <c r="Q75" s="898">
        <f>(AN75*KFC!$B$16+KFC!$C$16)*KFC!$C$5</f>
        <v>81.826521585290138</v>
      </c>
      <c r="R75" s="898">
        <f>(AO75*KFC!$B$16+KFC!$C$16)*KFC!$C$5</f>
        <v>85.97102122742514</v>
      </c>
      <c r="S75" s="898">
        <f>(AP75*KFC!$B$16+KFC!$C$16)*KFC!$C$5</f>
        <v>90.115520869560157</v>
      </c>
      <c r="T75" s="898">
        <f>(AQ75*KFC!$B$16+KFC!$C$16)*KFC!$C$5</f>
        <v>94.260020511695174</v>
      </c>
      <c r="U75" s="898">
        <f>(AR75*KFC!$B$16+KFC!$C$16)*KFC!$C$5</f>
        <v>98.404520153830177</v>
      </c>
      <c r="V75" s="898">
        <f>(AS75*KFC!$B$16+KFC!$C$16)*KFC!$C$5</f>
        <v>102.54901979596519</v>
      </c>
      <c r="W75" s="903">
        <f>(AT75*KFC!$B$16+KFC!$C$16)*KFC!$C$5</f>
        <v>106.6935194381002</v>
      </c>
      <c r="Y75" s="1277"/>
      <c r="Z75" s="649">
        <v>1.9</v>
      </c>
      <c r="AA75" s="882">
        <v>27.948026237535004</v>
      </c>
      <c r="AB75" s="882">
        <v>32.092525879670013</v>
      </c>
      <c r="AC75" s="882">
        <v>36.23702552180503</v>
      </c>
      <c r="AD75" s="882">
        <v>40.38152516394004</v>
      </c>
      <c r="AE75" s="882">
        <v>44.526024806075043</v>
      </c>
      <c r="AF75" s="882">
        <v>48.670524448210053</v>
      </c>
      <c r="AG75" s="882">
        <v>52.815024090345069</v>
      </c>
      <c r="AH75" s="882">
        <v>56.959523732480079</v>
      </c>
      <c r="AI75" s="882">
        <v>61.104023374615089</v>
      </c>
      <c r="AJ75" s="882">
        <v>65.248523016750099</v>
      </c>
      <c r="AK75" s="882">
        <v>69.393022658885101</v>
      </c>
      <c r="AL75" s="882">
        <v>73.537522301020118</v>
      </c>
      <c r="AM75" s="882">
        <v>77.682021943155121</v>
      </c>
      <c r="AN75" s="882">
        <v>81.826521585290138</v>
      </c>
      <c r="AO75" s="882">
        <v>85.97102122742514</v>
      </c>
      <c r="AP75" s="882">
        <v>90.115520869560157</v>
      </c>
      <c r="AQ75" s="882">
        <v>94.260020511695174</v>
      </c>
      <c r="AR75" s="882">
        <v>98.404520153830177</v>
      </c>
      <c r="AS75" s="882">
        <v>102.54901979596519</v>
      </c>
      <c r="AT75" s="882">
        <v>106.6935194381002</v>
      </c>
    </row>
    <row r="76" spans="1:46">
      <c r="A76" s="1426"/>
      <c r="B76" s="1427"/>
      <c r="C76" s="887">
        <v>2</v>
      </c>
      <c r="D76" s="902">
        <f>(AA76*KFC!$B$16+KFC!$C$16)*KFC!$C$5</f>
        <v>28.558552551615005</v>
      </c>
      <c r="E76" s="898">
        <f>(AB76*KFC!$B$16+KFC!$C$16)*KFC!$C$5</f>
        <v>32.829123869297298</v>
      </c>
      <c r="F76" s="898">
        <f>(AC76*KFC!$B$16+KFC!$C$16)*KFC!$C$5</f>
        <v>37.099695186979581</v>
      </c>
      <c r="G76" s="898">
        <f>(AD76*KFC!$B$16+KFC!$C$16)*KFC!$C$5</f>
        <v>41.37026650466187</v>
      </c>
      <c r="H76" s="898">
        <f>(AE76*KFC!$B$16+KFC!$C$16)*KFC!$C$5</f>
        <v>45.640837822344153</v>
      </c>
      <c r="I76" s="898">
        <f>(AF76*KFC!$B$16+KFC!$C$16)*KFC!$C$5</f>
        <v>49.911409140026443</v>
      </c>
      <c r="J76" s="898">
        <f>(AG76*KFC!$B$16+KFC!$C$16)*KFC!$C$5</f>
        <v>54.181980457708733</v>
      </c>
      <c r="K76" s="898">
        <f>(AH76*KFC!$B$16+KFC!$C$16)*KFC!$C$5</f>
        <v>58.452551775391015</v>
      </c>
      <c r="L76" s="898">
        <f>(AI76*KFC!$B$16+KFC!$C$16)*KFC!$C$5</f>
        <v>62.723123093073305</v>
      </c>
      <c r="M76" s="898">
        <f>(AJ76*KFC!$B$16+KFC!$C$16)*KFC!$C$5</f>
        <v>66.99369441075558</v>
      </c>
      <c r="N76" s="898">
        <f>(AK76*KFC!$B$16+KFC!$C$16)*KFC!$C$5</f>
        <v>71.264265728437863</v>
      </c>
      <c r="O76" s="898">
        <f>(AL76*KFC!$B$16+KFC!$C$16)*KFC!$C$5</f>
        <v>75.534837046120145</v>
      </c>
      <c r="P76" s="898">
        <f>(AM76*KFC!$B$16+KFC!$C$16)*KFC!$C$5</f>
        <v>79.805408363802428</v>
      </c>
      <c r="Q76" s="898">
        <f>(AN76*KFC!$B$16+KFC!$C$16)*KFC!$C$5</f>
        <v>84.075979681484711</v>
      </c>
      <c r="R76" s="898">
        <f>(AO76*KFC!$B$16+KFC!$C$16)*KFC!$C$5</f>
        <v>88.346550999166993</v>
      </c>
      <c r="S76" s="898">
        <f>(AP76*KFC!$B$16+KFC!$C$16)*KFC!$C$5</f>
        <v>92.617122316849262</v>
      </c>
      <c r="T76" s="898">
        <f>(AQ76*KFC!$B$16+KFC!$C$16)*KFC!$C$5</f>
        <v>96.887693634531558</v>
      </c>
      <c r="U76" s="898">
        <f>(AR76*KFC!$B$16+KFC!$C$16)*KFC!$C$5</f>
        <v>101.15826495221383</v>
      </c>
      <c r="V76" s="898">
        <f>(AS76*KFC!$B$16+KFC!$C$16)*KFC!$C$5</f>
        <v>105.42883626989611</v>
      </c>
      <c r="W76" s="903">
        <f>(AT76*KFC!$B$16+KFC!$C$16)*KFC!$C$5</f>
        <v>109.69940758757843</v>
      </c>
      <c r="Y76" s="1277"/>
      <c r="Z76" s="649">
        <v>2</v>
      </c>
      <c r="AA76" s="882">
        <v>28.558552551615005</v>
      </c>
      <c r="AB76" s="882">
        <v>32.829123869297298</v>
      </c>
      <c r="AC76" s="882">
        <v>37.099695186979581</v>
      </c>
      <c r="AD76" s="882">
        <v>41.37026650466187</v>
      </c>
      <c r="AE76" s="882">
        <v>45.640837822344153</v>
      </c>
      <c r="AF76" s="882">
        <v>49.911409140026443</v>
      </c>
      <c r="AG76" s="882">
        <v>54.181980457708733</v>
      </c>
      <c r="AH76" s="882">
        <v>58.452551775391015</v>
      </c>
      <c r="AI76" s="882">
        <v>62.723123093073305</v>
      </c>
      <c r="AJ76" s="882">
        <v>66.99369441075558</v>
      </c>
      <c r="AK76" s="882">
        <v>71.264265728437863</v>
      </c>
      <c r="AL76" s="882">
        <v>75.534837046120145</v>
      </c>
      <c r="AM76" s="882">
        <v>79.805408363802428</v>
      </c>
      <c r="AN76" s="882">
        <v>84.075979681484711</v>
      </c>
      <c r="AO76" s="882">
        <v>88.346550999166993</v>
      </c>
      <c r="AP76" s="882">
        <v>92.617122316849262</v>
      </c>
      <c r="AQ76" s="882">
        <v>96.887693634531558</v>
      </c>
      <c r="AR76" s="882">
        <v>101.15826495221383</v>
      </c>
      <c r="AS76" s="882">
        <v>105.42883626989611</v>
      </c>
      <c r="AT76" s="882">
        <v>109.69940758757843</v>
      </c>
    </row>
    <row r="77" spans="1:46">
      <c r="A77" s="1426"/>
      <c r="B77" s="1427"/>
      <c r="C77" s="887">
        <v>2.1</v>
      </c>
      <c r="D77" s="902">
        <f>(AA77*KFC!$B$16+KFC!$C$16)*KFC!$C$5</f>
        <v>29.16907886569501</v>
      </c>
      <c r="E77" s="898">
        <f>(AB77*KFC!$B$16+KFC!$C$16)*KFC!$C$5</f>
        <v>33.565721858924569</v>
      </c>
      <c r="F77" s="898">
        <f>(AC77*KFC!$B$16+KFC!$C$16)*KFC!$C$5</f>
        <v>37.962364852154138</v>
      </c>
      <c r="G77" s="898">
        <f>(AD77*KFC!$B$16+KFC!$C$16)*KFC!$C$5</f>
        <v>42.359007845383694</v>
      </c>
      <c r="H77" s="898">
        <f>(AE77*KFC!$B$16+KFC!$C$16)*KFC!$C$5</f>
        <v>46.755650838613263</v>
      </c>
      <c r="I77" s="898">
        <f>(AF77*KFC!$B$16+KFC!$C$16)*KFC!$C$5</f>
        <v>51.152293831842826</v>
      </c>
      <c r="J77" s="898">
        <f>(AG77*KFC!$B$16+KFC!$C$16)*KFC!$C$5</f>
        <v>55.548936825072381</v>
      </c>
      <c r="K77" s="898">
        <f>(AH77*KFC!$B$16+KFC!$C$16)*KFC!$C$5</f>
        <v>59.945579818301951</v>
      </c>
      <c r="L77" s="898">
        <f>(AI77*KFC!$B$16+KFC!$C$16)*KFC!$C$5</f>
        <v>64.342222811531514</v>
      </c>
      <c r="M77" s="898">
        <f>(AJ77*KFC!$B$16+KFC!$C$16)*KFC!$C$5</f>
        <v>68.738865804761076</v>
      </c>
      <c r="N77" s="898">
        <f>(AK77*KFC!$B$16+KFC!$C$16)*KFC!$C$5</f>
        <v>73.135508797990639</v>
      </c>
      <c r="O77" s="898">
        <f>(AL77*KFC!$B$16+KFC!$C$16)*KFC!$C$5</f>
        <v>77.532151791220201</v>
      </c>
      <c r="P77" s="898">
        <f>(AM77*KFC!$B$16+KFC!$C$16)*KFC!$C$5</f>
        <v>81.928794784449749</v>
      </c>
      <c r="Q77" s="898">
        <f>(AN77*KFC!$B$16+KFC!$C$16)*KFC!$C$5</f>
        <v>86.325437777679326</v>
      </c>
      <c r="R77" s="898">
        <f>(AO77*KFC!$B$16+KFC!$C$16)*KFC!$C$5</f>
        <v>90.722080770908889</v>
      </c>
      <c r="S77" s="898">
        <f>(AP77*KFC!$B$16+KFC!$C$16)*KFC!$C$5</f>
        <v>95.118723764138437</v>
      </c>
      <c r="T77" s="898">
        <f>(AQ77*KFC!$B$16+KFC!$C$16)*KFC!$C$5</f>
        <v>99.515366757368014</v>
      </c>
      <c r="U77" s="898">
        <f>(AR77*KFC!$B$16+KFC!$C$16)*KFC!$C$5</f>
        <v>103.91200975059758</v>
      </c>
      <c r="V77" s="898">
        <f>(AS77*KFC!$B$16+KFC!$C$16)*KFC!$C$5</f>
        <v>108.30865274382715</v>
      </c>
      <c r="W77" s="903">
        <f>(AT77*KFC!$B$16+KFC!$C$16)*KFC!$C$5</f>
        <v>112.70529573705669</v>
      </c>
      <c r="Y77" s="1277"/>
      <c r="Z77" s="649">
        <v>2.1</v>
      </c>
      <c r="AA77" s="882">
        <v>29.16907886569501</v>
      </c>
      <c r="AB77" s="882">
        <v>33.565721858924569</v>
      </c>
      <c r="AC77" s="882">
        <v>37.962364852154138</v>
      </c>
      <c r="AD77" s="882">
        <v>42.359007845383694</v>
      </c>
      <c r="AE77" s="882">
        <v>46.755650838613263</v>
      </c>
      <c r="AF77" s="882">
        <v>51.152293831842826</v>
      </c>
      <c r="AG77" s="882">
        <v>55.548936825072381</v>
      </c>
      <c r="AH77" s="882">
        <v>59.945579818301951</v>
      </c>
      <c r="AI77" s="882">
        <v>64.342222811531514</v>
      </c>
      <c r="AJ77" s="882">
        <v>68.738865804761076</v>
      </c>
      <c r="AK77" s="882">
        <v>73.135508797990639</v>
      </c>
      <c r="AL77" s="882">
        <v>77.532151791220201</v>
      </c>
      <c r="AM77" s="882">
        <v>81.928794784449749</v>
      </c>
      <c r="AN77" s="882">
        <v>86.325437777679326</v>
      </c>
      <c r="AO77" s="882">
        <v>90.722080770908889</v>
      </c>
      <c r="AP77" s="882">
        <v>95.118723764138437</v>
      </c>
      <c r="AQ77" s="882">
        <v>99.515366757368014</v>
      </c>
      <c r="AR77" s="882">
        <v>103.91200975059758</v>
      </c>
      <c r="AS77" s="882">
        <v>108.30865274382715</v>
      </c>
      <c r="AT77" s="882">
        <v>112.70529573705669</v>
      </c>
    </row>
    <row r="78" spans="1:46" ht="15" thickBot="1">
      <c r="A78" s="1428"/>
      <c r="B78" s="1429"/>
      <c r="C78" s="888">
        <v>2.2000000000000002</v>
      </c>
      <c r="D78" s="904">
        <f>(AA78*KFC!$B$16+KFC!$C$16)*KFC!$C$5</f>
        <v>29.779605179774997</v>
      </c>
      <c r="E78" s="905">
        <f>(AB78*KFC!$B$16+KFC!$C$16)*KFC!$C$5</f>
        <v>34.302319848551839</v>
      </c>
      <c r="F78" s="905">
        <f>(AC78*KFC!$B$16+KFC!$C$16)*KFC!$C$5</f>
        <v>38.825034517328682</v>
      </c>
      <c r="G78" s="905">
        <f>(AD78*KFC!$B$16+KFC!$C$16)*KFC!$C$5</f>
        <v>43.347749186105517</v>
      </c>
      <c r="H78" s="905">
        <f>(AE78*KFC!$B$16+KFC!$C$16)*KFC!$C$5</f>
        <v>47.87046385488236</v>
      </c>
      <c r="I78" s="905">
        <f>(AF78*KFC!$B$16+KFC!$C$16)*KFC!$C$5</f>
        <v>52.393178523659202</v>
      </c>
      <c r="J78" s="905">
        <f>(AG78*KFC!$B$16+KFC!$C$16)*KFC!$C$5</f>
        <v>56.915893192436045</v>
      </c>
      <c r="K78" s="905">
        <f>(AH78*KFC!$B$16+KFC!$C$16)*KFC!$C$5</f>
        <v>61.43860786121288</v>
      </c>
      <c r="L78" s="905">
        <f>(AI78*KFC!$B$16+KFC!$C$16)*KFC!$C$5</f>
        <v>65.961322529989729</v>
      </c>
      <c r="M78" s="905">
        <f>(AJ78*KFC!$B$16+KFC!$C$16)*KFC!$C$5</f>
        <v>70.484037198766558</v>
      </c>
      <c r="N78" s="905">
        <f>(AK78*KFC!$B$16+KFC!$C$16)*KFC!$C$5</f>
        <v>75.006751867543414</v>
      </c>
      <c r="O78" s="905">
        <f>(AL78*KFC!$B$16+KFC!$C$16)*KFC!$C$5</f>
        <v>79.529466536320257</v>
      </c>
      <c r="P78" s="905">
        <f>(AM78*KFC!$B$16+KFC!$C$16)*KFC!$C$5</f>
        <v>84.052181205097114</v>
      </c>
      <c r="Q78" s="905">
        <f>(AN78*KFC!$B$16+KFC!$C$16)*KFC!$C$5</f>
        <v>88.574895873873956</v>
      </c>
      <c r="R78" s="905">
        <f>(AO78*KFC!$B$16+KFC!$C$16)*KFC!$C$5</f>
        <v>93.097610542650798</v>
      </c>
      <c r="S78" s="905">
        <f>(AP78*KFC!$B$16+KFC!$C$16)*KFC!$C$5</f>
        <v>97.620325211427655</v>
      </c>
      <c r="T78" s="905">
        <f>(AQ78*KFC!$B$16+KFC!$C$16)*KFC!$C$5</f>
        <v>102.1430398802045</v>
      </c>
      <c r="U78" s="905">
        <f>(AR78*KFC!$B$16+KFC!$C$16)*KFC!$C$5</f>
        <v>106.66575454898134</v>
      </c>
      <c r="V78" s="905">
        <f>(AS78*KFC!$B$16+KFC!$C$16)*KFC!$C$5</f>
        <v>111.1884692177582</v>
      </c>
      <c r="W78" s="906">
        <f>(AT78*KFC!$B$16+KFC!$C$16)*KFC!$C$5</f>
        <v>115.711183886535</v>
      </c>
      <c r="Y78" s="1277"/>
      <c r="Z78" s="649">
        <v>2.2000000000000002</v>
      </c>
      <c r="AA78" s="882">
        <v>29.779605179774997</v>
      </c>
      <c r="AB78" s="882">
        <v>34.302319848551839</v>
      </c>
      <c r="AC78" s="882">
        <v>38.825034517328682</v>
      </c>
      <c r="AD78" s="882">
        <v>43.347749186105517</v>
      </c>
      <c r="AE78" s="882">
        <v>47.87046385488236</v>
      </c>
      <c r="AF78" s="882">
        <v>52.393178523659202</v>
      </c>
      <c r="AG78" s="882">
        <v>56.915893192436045</v>
      </c>
      <c r="AH78" s="882">
        <v>61.43860786121288</v>
      </c>
      <c r="AI78" s="882">
        <v>65.961322529989729</v>
      </c>
      <c r="AJ78" s="882">
        <v>70.484037198766558</v>
      </c>
      <c r="AK78" s="882">
        <v>75.006751867543414</v>
      </c>
      <c r="AL78" s="882">
        <v>79.529466536320257</v>
      </c>
      <c r="AM78" s="882">
        <v>84.052181205097114</v>
      </c>
      <c r="AN78" s="882">
        <v>88.574895873873956</v>
      </c>
      <c r="AO78" s="882">
        <v>93.097610542650798</v>
      </c>
      <c r="AP78" s="882">
        <v>97.620325211427655</v>
      </c>
      <c r="AQ78" s="882">
        <v>102.1430398802045</v>
      </c>
      <c r="AR78" s="882">
        <v>106.66575454898134</v>
      </c>
      <c r="AS78" s="882">
        <v>111.1884692177582</v>
      </c>
      <c r="AT78" s="882">
        <v>115.711183886535</v>
      </c>
    </row>
    <row r="79" spans="1:46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</row>
    <row r="80" spans="1:46" ht="48" customHeight="1" thickBot="1">
      <c r="A80" s="1033" t="s">
        <v>1224</v>
      </c>
      <c r="B80" s="1033"/>
      <c r="C80" s="1033"/>
      <c r="D80" s="1033"/>
      <c r="E80" s="1033"/>
      <c r="F80" s="1033"/>
      <c r="G80" s="1033"/>
      <c r="H80" s="1033"/>
      <c r="I80" s="1033"/>
      <c r="J80" s="1033"/>
      <c r="K80" s="1033"/>
      <c r="L80" s="1033"/>
      <c r="M80" s="1033"/>
      <c r="N80" s="1033"/>
      <c r="O80" s="1033"/>
      <c r="P80" s="1033"/>
      <c r="Q80" s="1033"/>
      <c r="R80" s="1033"/>
      <c r="S80" s="1033"/>
      <c r="T80" s="1033"/>
      <c r="U80" s="1033"/>
      <c r="V80" s="1033"/>
      <c r="W80" s="1033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</row>
    <row r="81" spans="1:46" ht="38.25" customHeight="1" thickBot="1">
      <c r="A81" s="1439"/>
      <c r="B81" s="1440"/>
      <c r="C81" s="1441"/>
      <c r="D81" s="1419" t="s">
        <v>207</v>
      </c>
      <c r="E81" s="1420"/>
      <c r="F81" s="1420"/>
      <c r="G81" s="1420"/>
      <c r="H81" s="1420"/>
      <c r="I81" s="1420"/>
      <c r="J81" s="1420"/>
      <c r="K81" s="1420"/>
      <c r="L81" s="1420"/>
      <c r="M81" s="1420"/>
      <c r="N81" s="1420"/>
      <c r="O81" s="1420"/>
      <c r="P81" s="1420"/>
      <c r="Q81" s="1420"/>
      <c r="R81" s="1420"/>
      <c r="S81" s="1420"/>
      <c r="T81" s="1420"/>
      <c r="U81" s="1420"/>
      <c r="V81" s="1420"/>
      <c r="W81" s="1421"/>
      <c r="Y81" s="1278" t="s">
        <v>1198</v>
      </c>
      <c r="Z81" s="1278"/>
      <c r="AA81" s="1279" t="s">
        <v>356</v>
      </c>
      <c r="AB81" s="1279"/>
      <c r="AC81" s="1279"/>
      <c r="AD81" s="1279"/>
      <c r="AE81" s="1279"/>
      <c r="AF81" s="1279"/>
      <c r="AG81" s="1279"/>
      <c r="AH81" s="1279"/>
      <c r="AI81" s="1279"/>
      <c r="AJ81" s="1279"/>
      <c r="AK81" s="1279"/>
      <c r="AL81" s="1279"/>
      <c r="AM81" s="1279"/>
      <c r="AN81" s="1279"/>
      <c r="AO81" s="1279"/>
      <c r="AP81" s="1279"/>
      <c r="AQ81" s="1279"/>
      <c r="AR81" s="1279"/>
      <c r="AS81" s="1279"/>
      <c r="AT81" s="1279"/>
    </row>
    <row r="82" spans="1:46" ht="14.4" customHeight="1" thickBot="1">
      <c r="A82" s="1442"/>
      <c r="B82" s="1443"/>
      <c r="C82" s="1444"/>
      <c r="D82" s="883">
        <v>0.3</v>
      </c>
      <c r="E82" s="884">
        <v>0.4</v>
      </c>
      <c r="F82" s="884">
        <v>0.5</v>
      </c>
      <c r="G82" s="884">
        <v>0.6</v>
      </c>
      <c r="H82" s="884">
        <v>0.7</v>
      </c>
      <c r="I82" s="884">
        <v>0.8</v>
      </c>
      <c r="J82" s="884">
        <v>0.9</v>
      </c>
      <c r="K82" s="884">
        <v>1</v>
      </c>
      <c r="L82" s="884">
        <v>1.1000000000000001</v>
      </c>
      <c r="M82" s="884">
        <v>1.2</v>
      </c>
      <c r="N82" s="884">
        <v>1.3</v>
      </c>
      <c r="O82" s="884">
        <v>1.4</v>
      </c>
      <c r="P82" s="884">
        <v>1.5</v>
      </c>
      <c r="Q82" s="884">
        <v>1.6</v>
      </c>
      <c r="R82" s="884">
        <v>1.7</v>
      </c>
      <c r="S82" s="884">
        <v>1.8</v>
      </c>
      <c r="T82" s="884">
        <v>1.9</v>
      </c>
      <c r="U82" s="884">
        <v>2</v>
      </c>
      <c r="V82" s="884">
        <v>2.1</v>
      </c>
      <c r="W82" s="885">
        <v>2.2000000000000002</v>
      </c>
      <c r="Y82" s="1278"/>
      <c r="Z82" s="1278"/>
      <c r="AA82" s="649">
        <v>0.3</v>
      </c>
      <c r="AB82" s="649">
        <v>0.4</v>
      </c>
      <c r="AC82" s="649">
        <v>0.5</v>
      </c>
      <c r="AD82" s="649">
        <v>0.6</v>
      </c>
      <c r="AE82" s="649">
        <v>0.7</v>
      </c>
      <c r="AF82" s="649">
        <v>0.8</v>
      </c>
      <c r="AG82" s="649">
        <v>0.9</v>
      </c>
      <c r="AH82" s="649">
        <v>1</v>
      </c>
      <c r="AI82" s="649">
        <v>1.1000000000000001</v>
      </c>
      <c r="AJ82" s="649">
        <v>1.2</v>
      </c>
      <c r="AK82" s="649">
        <v>1.3</v>
      </c>
      <c r="AL82" s="649">
        <v>1.4</v>
      </c>
      <c r="AM82" s="649">
        <v>1.5</v>
      </c>
      <c r="AN82" s="649">
        <v>1.6</v>
      </c>
      <c r="AO82" s="649">
        <v>1.7</v>
      </c>
      <c r="AP82" s="649">
        <v>1.8</v>
      </c>
      <c r="AQ82" s="649">
        <v>1.9</v>
      </c>
      <c r="AR82" s="649">
        <v>2</v>
      </c>
      <c r="AS82" s="649">
        <v>2.1</v>
      </c>
      <c r="AT82" s="649">
        <v>2.2000000000000002</v>
      </c>
    </row>
    <row r="83" spans="1:46" ht="15" customHeight="1">
      <c r="A83" s="1426" t="s">
        <v>3</v>
      </c>
      <c r="B83" s="1427"/>
      <c r="C83" s="886">
        <v>0.2</v>
      </c>
      <c r="D83" s="899">
        <f>(AA83*KFC!$B$16+KFC!$C$16)*KFC!$C$5</f>
        <v>17.683552582064998</v>
      </c>
      <c r="E83" s="900">
        <f>(AB83*KFC!$B$16+KFC!$C$16)*KFC!$C$5</f>
        <v>19.718975014038943</v>
      </c>
      <c r="F83" s="900">
        <f>(AC83*KFC!$B$16+KFC!$C$16)*KFC!$C$5</f>
        <v>21.754397446012895</v>
      </c>
      <c r="G83" s="900">
        <f>(AD83*KFC!$B$16+KFC!$C$16)*KFC!$C$5</f>
        <v>23.789819877986837</v>
      </c>
      <c r="H83" s="900">
        <f>(AE83*KFC!$B$16+KFC!$C$16)*KFC!$C$5</f>
        <v>25.825242309960782</v>
      </c>
      <c r="I83" s="900">
        <f>(AF83*KFC!$B$16+KFC!$C$16)*KFC!$C$5</f>
        <v>27.86066474193473</v>
      </c>
      <c r="J83" s="900">
        <f>(AG83*KFC!$B$16+KFC!$C$16)*KFC!$C$5</f>
        <v>29.896087173908683</v>
      </c>
      <c r="K83" s="900">
        <f>(AH83*KFC!$B$16+KFC!$C$16)*KFC!$C$5</f>
        <v>31.931509605882624</v>
      </c>
      <c r="L83" s="900">
        <f>(AI83*KFC!$B$16+KFC!$C$16)*KFC!$C$5</f>
        <v>33.966932037856573</v>
      </c>
      <c r="M83" s="900">
        <f>(AJ83*KFC!$B$16+KFC!$C$16)*KFC!$C$5</f>
        <v>36.002354469830514</v>
      </c>
      <c r="N83" s="900">
        <f>(AK83*KFC!$B$16+KFC!$C$16)*KFC!$C$5</f>
        <v>38.03777690180447</v>
      </c>
      <c r="O83" s="900">
        <f>(AL83*KFC!$B$16+KFC!$C$16)*KFC!$C$5</f>
        <v>40.073199333778419</v>
      </c>
      <c r="P83" s="900">
        <f>(AM83*KFC!$B$16+KFC!$C$16)*KFC!$C$5</f>
        <v>42.108621765752368</v>
      </c>
      <c r="Q83" s="900">
        <f>(AN83*KFC!$B$16+KFC!$C$16)*KFC!$C$5</f>
        <v>44.144044197726323</v>
      </c>
      <c r="R83" s="900">
        <f>(AO83*KFC!$B$16+KFC!$C$16)*KFC!$C$5</f>
        <v>46.179466629700272</v>
      </c>
      <c r="S83" s="900">
        <f>(AP83*KFC!$B$16+KFC!$C$16)*KFC!$C$5</f>
        <v>48.214889061674214</v>
      </c>
      <c r="T83" s="900">
        <f>(AQ83*KFC!$B$16+KFC!$C$16)*KFC!$C$5</f>
        <v>50.250311493648162</v>
      </c>
      <c r="U83" s="900">
        <f>(AR83*KFC!$B$16+KFC!$C$16)*KFC!$C$5</f>
        <v>52.285733925622118</v>
      </c>
      <c r="V83" s="900">
        <f>(AS83*KFC!$B$16+KFC!$C$16)*KFC!$C$5</f>
        <v>54.321156357596067</v>
      </c>
      <c r="W83" s="901">
        <f>(AT83*KFC!$B$16+KFC!$C$16)*KFC!$C$5</f>
        <v>56.356578789570001</v>
      </c>
      <c r="Y83" s="1277" t="s">
        <v>357</v>
      </c>
      <c r="Z83" s="649">
        <v>0.2</v>
      </c>
      <c r="AA83" s="882">
        <v>17.683552582064998</v>
      </c>
      <c r="AB83" s="882">
        <v>19.718975014038943</v>
      </c>
      <c r="AC83" s="882">
        <v>21.754397446012895</v>
      </c>
      <c r="AD83" s="882">
        <v>23.789819877986837</v>
      </c>
      <c r="AE83" s="882">
        <v>25.825242309960782</v>
      </c>
      <c r="AF83" s="882">
        <v>27.86066474193473</v>
      </c>
      <c r="AG83" s="882">
        <v>29.896087173908683</v>
      </c>
      <c r="AH83" s="882">
        <v>31.931509605882624</v>
      </c>
      <c r="AI83" s="882">
        <v>33.966932037856573</v>
      </c>
      <c r="AJ83" s="882">
        <v>36.002354469830514</v>
      </c>
      <c r="AK83" s="882">
        <v>38.03777690180447</v>
      </c>
      <c r="AL83" s="882">
        <v>40.073199333778419</v>
      </c>
      <c r="AM83" s="882">
        <v>42.108621765752368</v>
      </c>
      <c r="AN83" s="882">
        <v>44.144044197726323</v>
      </c>
      <c r="AO83" s="882">
        <v>46.179466629700272</v>
      </c>
      <c r="AP83" s="882">
        <v>48.214889061674214</v>
      </c>
      <c r="AQ83" s="882">
        <v>50.250311493648162</v>
      </c>
      <c r="AR83" s="882">
        <v>52.285733925622118</v>
      </c>
      <c r="AS83" s="882">
        <v>54.321156357596067</v>
      </c>
      <c r="AT83" s="882">
        <v>56.356578789570001</v>
      </c>
    </row>
    <row r="84" spans="1:46" ht="14.4" customHeight="1">
      <c r="A84" s="1426"/>
      <c r="B84" s="1427"/>
      <c r="C84" s="887">
        <v>0.3</v>
      </c>
      <c r="D84" s="902">
        <f>(AA84*KFC!$B$16+KFC!$C$16)*KFC!$C$5</f>
        <v>18.346546001261249</v>
      </c>
      <c r="E84" s="898">
        <f>(AB84*KFC!$B$16+KFC!$C$16)*KFC!$C$5</f>
        <v>20.52586386219517</v>
      </c>
      <c r="F84" s="898">
        <f>(AC84*KFC!$B$16+KFC!$C$16)*KFC!$C$5</f>
        <v>22.705181723129094</v>
      </c>
      <c r="G84" s="898">
        <f>(AD84*KFC!$B$16+KFC!$C$16)*KFC!$C$5</f>
        <v>24.884499584063015</v>
      </c>
      <c r="H84" s="898">
        <f>(AE84*KFC!$B$16+KFC!$C$16)*KFC!$C$5</f>
        <v>27.063817444996936</v>
      </c>
      <c r="I84" s="898">
        <f>(AF84*KFC!$B$16+KFC!$C$16)*KFC!$C$5</f>
        <v>29.243135305930856</v>
      </c>
      <c r="J84" s="898">
        <f>(AG84*KFC!$B$16+KFC!$C$16)*KFC!$C$5</f>
        <v>31.422453166864777</v>
      </c>
      <c r="K84" s="898">
        <f>(AH84*KFC!$B$16+KFC!$C$16)*KFC!$C$5</f>
        <v>33.601771027798698</v>
      </c>
      <c r="L84" s="898">
        <f>(AI84*KFC!$B$16+KFC!$C$16)*KFC!$C$5</f>
        <v>35.781088888732619</v>
      </c>
      <c r="M84" s="898">
        <f>(AJ84*KFC!$B$16+KFC!$C$16)*KFC!$C$5</f>
        <v>37.960406749666539</v>
      </c>
      <c r="N84" s="898">
        <f>(AK84*KFC!$B$16+KFC!$C$16)*KFC!$C$5</f>
        <v>40.13972461060046</v>
      </c>
      <c r="O84" s="898">
        <f>(AL84*KFC!$B$16+KFC!$C$16)*KFC!$C$5</f>
        <v>42.319042471534381</v>
      </c>
      <c r="P84" s="898">
        <f>(AM84*KFC!$B$16+KFC!$C$16)*KFC!$C$5</f>
        <v>44.498360332468309</v>
      </c>
      <c r="Q84" s="898">
        <f>(AN84*KFC!$B$16+KFC!$C$16)*KFC!$C$5</f>
        <v>46.677678193402237</v>
      </c>
      <c r="R84" s="898">
        <f>(AO84*KFC!$B$16+KFC!$C$16)*KFC!$C$5</f>
        <v>48.856996054336157</v>
      </c>
      <c r="S84" s="898">
        <f>(AP84*KFC!$B$16+KFC!$C$16)*KFC!$C$5</f>
        <v>51.036313915270085</v>
      </c>
      <c r="T84" s="898">
        <f>(AQ84*KFC!$B$16+KFC!$C$16)*KFC!$C$5</f>
        <v>53.215631776204013</v>
      </c>
      <c r="U84" s="898">
        <f>(AR84*KFC!$B$16+KFC!$C$16)*KFC!$C$5</f>
        <v>55.394949637137934</v>
      </c>
      <c r="V84" s="898">
        <f>(AS84*KFC!$B$16+KFC!$C$16)*KFC!$C$5</f>
        <v>57.574267498071862</v>
      </c>
      <c r="W84" s="903">
        <f>(AT84*KFC!$B$16+KFC!$C$16)*KFC!$C$5</f>
        <v>59.753585359005747</v>
      </c>
      <c r="Y84" s="1277"/>
      <c r="Z84" s="649">
        <v>0.3</v>
      </c>
      <c r="AA84" s="882">
        <v>18.346546001261249</v>
      </c>
      <c r="AB84" s="882">
        <v>20.52586386219517</v>
      </c>
      <c r="AC84" s="882">
        <v>22.705181723129094</v>
      </c>
      <c r="AD84" s="882">
        <v>24.884499584063015</v>
      </c>
      <c r="AE84" s="882">
        <v>27.063817444996936</v>
      </c>
      <c r="AF84" s="882">
        <v>29.243135305930856</v>
      </c>
      <c r="AG84" s="882">
        <v>31.422453166864777</v>
      </c>
      <c r="AH84" s="882">
        <v>33.601771027798698</v>
      </c>
      <c r="AI84" s="882">
        <v>35.781088888732619</v>
      </c>
      <c r="AJ84" s="882">
        <v>37.960406749666539</v>
      </c>
      <c r="AK84" s="882">
        <v>40.13972461060046</v>
      </c>
      <c r="AL84" s="882">
        <v>42.319042471534381</v>
      </c>
      <c r="AM84" s="882">
        <v>44.498360332468309</v>
      </c>
      <c r="AN84" s="882">
        <v>46.677678193402237</v>
      </c>
      <c r="AO84" s="882">
        <v>48.856996054336157</v>
      </c>
      <c r="AP84" s="882">
        <v>51.036313915270085</v>
      </c>
      <c r="AQ84" s="882">
        <v>53.215631776204013</v>
      </c>
      <c r="AR84" s="882">
        <v>55.394949637137934</v>
      </c>
      <c r="AS84" s="882">
        <v>57.574267498071862</v>
      </c>
      <c r="AT84" s="882">
        <v>59.753585359005747</v>
      </c>
    </row>
    <row r="85" spans="1:46">
      <c r="A85" s="1426"/>
      <c r="B85" s="1427"/>
      <c r="C85" s="887">
        <v>0.4</v>
      </c>
      <c r="D85" s="902">
        <f>(AA85*KFC!$B$16+KFC!$C$16)*KFC!$C$5</f>
        <v>19.0095394204575</v>
      </c>
      <c r="E85" s="898">
        <f>(AB85*KFC!$B$16+KFC!$C$16)*KFC!$C$5</f>
        <v>21.332752710351393</v>
      </c>
      <c r="F85" s="898">
        <f>(AC85*KFC!$B$16+KFC!$C$16)*KFC!$C$5</f>
        <v>23.655966000245293</v>
      </c>
      <c r="G85" s="898">
        <f>(AD85*KFC!$B$16+KFC!$C$16)*KFC!$C$5</f>
        <v>25.979179290139186</v>
      </c>
      <c r="H85" s="898">
        <f>(AE85*KFC!$B$16+KFC!$C$16)*KFC!$C$5</f>
        <v>28.302392580033082</v>
      </c>
      <c r="I85" s="898">
        <f>(AF85*KFC!$B$16+KFC!$C$16)*KFC!$C$5</f>
        <v>30.625605869926982</v>
      </c>
      <c r="J85" s="898">
        <f>(AG85*KFC!$B$16+KFC!$C$16)*KFC!$C$5</f>
        <v>32.948819159820879</v>
      </c>
      <c r="K85" s="898">
        <f>(AH85*KFC!$B$16+KFC!$C$16)*KFC!$C$5</f>
        <v>35.272032449714771</v>
      </c>
      <c r="L85" s="898">
        <f>(AI85*KFC!$B$16+KFC!$C$16)*KFC!$C$5</f>
        <v>37.595245739608664</v>
      </c>
      <c r="M85" s="898">
        <f>(AJ85*KFC!$B$16+KFC!$C$16)*KFC!$C$5</f>
        <v>39.918459029502557</v>
      </c>
      <c r="N85" s="898">
        <f>(AK85*KFC!$B$16+KFC!$C$16)*KFC!$C$5</f>
        <v>42.24167231939645</v>
      </c>
      <c r="O85" s="898">
        <f>(AL85*KFC!$B$16+KFC!$C$16)*KFC!$C$5</f>
        <v>44.564885609290343</v>
      </c>
      <c r="P85" s="898">
        <f>(AM85*KFC!$B$16+KFC!$C$16)*KFC!$C$5</f>
        <v>46.888098899184229</v>
      </c>
      <c r="Q85" s="898">
        <f>(AN85*KFC!$B$16+KFC!$C$16)*KFC!$C$5</f>
        <v>49.211312189078129</v>
      </c>
      <c r="R85" s="898">
        <f>(AO85*KFC!$B$16+KFC!$C$16)*KFC!$C$5</f>
        <v>51.534525478972022</v>
      </c>
      <c r="S85" s="898">
        <f>(AP85*KFC!$B$16+KFC!$C$16)*KFC!$C$5</f>
        <v>53.857738768865914</v>
      </c>
      <c r="T85" s="898">
        <f>(AQ85*KFC!$B$16+KFC!$C$16)*KFC!$C$5</f>
        <v>56.180952058759807</v>
      </c>
      <c r="U85" s="898">
        <f>(AR85*KFC!$B$16+KFC!$C$16)*KFC!$C$5</f>
        <v>58.5041653486537</v>
      </c>
      <c r="V85" s="898">
        <f>(AS85*KFC!$B$16+KFC!$C$16)*KFC!$C$5</f>
        <v>60.827378638547586</v>
      </c>
      <c r="W85" s="903">
        <f>(AT85*KFC!$B$16+KFC!$C$16)*KFC!$C$5</f>
        <v>63.150591928441493</v>
      </c>
      <c r="Y85" s="1277"/>
      <c r="Z85" s="649">
        <v>0.4</v>
      </c>
      <c r="AA85" s="882">
        <v>19.0095394204575</v>
      </c>
      <c r="AB85" s="882">
        <v>21.332752710351393</v>
      </c>
      <c r="AC85" s="882">
        <v>23.655966000245293</v>
      </c>
      <c r="AD85" s="882">
        <v>25.979179290139186</v>
      </c>
      <c r="AE85" s="882">
        <v>28.302392580033082</v>
      </c>
      <c r="AF85" s="882">
        <v>30.625605869926982</v>
      </c>
      <c r="AG85" s="882">
        <v>32.948819159820879</v>
      </c>
      <c r="AH85" s="882">
        <v>35.272032449714771</v>
      </c>
      <c r="AI85" s="882">
        <v>37.595245739608664</v>
      </c>
      <c r="AJ85" s="882">
        <v>39.918459029502557</v>
      </c>
      <c r="AK85" s="882">
        <v>42.24167231939645</v>
      </c>
      <c r="AL85" s="882">
        <v>44.564885609290343</v>
      </c>
      <c r="AM85" s="882">
        <v>46.888098899184229</v>
      </c>
      <c r="AN85" s="882">
        <v>49.211312189078129</v>
      </c>
      <c r="AO85" s="882">
        <v>51.534525478972022</v>
      </c>
      <c r="AP85" s="882">
        <v>53.857738768865914</v>
      </c>
      <c r="AQ85" s="882">
        <v>56.180952058759807</v>
      </c>
      <c r="AR85" s="882">
        <v>58.5041653486537</v>
      </c>
      <c r="AS85" s="882">
        <v>60.827378638547586</v>
      </c>
      <c r="AT85" s="882">
        <v>63.150591928441493</v>
      </c>
    </row>
    <row r="86" spans="1:46">
      <c r="A86" s="1426"/>
      <c r="B86" s="1427"/>
      <c r="C86" s="887">
        <v>0.5</v>
      </c>
      <c r="D86" s="902">
        <f>(AA86*KFC!$B$16+KFC!$C$16)*KFC!$C$5</f>
        <v>19.672532839653751</v>
      </c>
      <c r="E86" s="898">
        <f>(AB86*KFC!$B$16+KFC!$C$16)*KFC!$C$5</f>
        <v>22.13964155850762</v>
      </c>
      <c r="F86" s="898">
        <f>(AC86*KFC!$B$16+KFC!$C$16)*KFC!$C$5</f>
        <v>24.606750277361481</v>
      </c>
      <c r="G86" s="898">
        <f>(AD86*KFC!$B$16+KFC!$C$16)*KFC!$C$5</f>
        <v>27.07385899621535</v>
      </c>
      <c r="H86" s="898">
        <f>(AE86*KFC!$B$16+KFC!$C$16)*KFC!$C$5</f>
        <v>29.540967715069218</v>
      </c>
      <c r="I86" s="898">
        <f>(AF86*KFC!$B$16+KFC!$C$16)*KFC!$C$5</f>
        <v>32.008076433923087</v>
      </c>
      <c r="J86" s="898">
        <f>(AG86*KFC!$B$16+KFC!$C$16)*KFC!$C$5</f>
        <v>34.475185152776952</v>
      </c>
      <c r="K86" s="898">
        <f>(AH86*KFC!$B$16+KFC!$C$16)*KFC!$C$5</f>
        <v>36.942293871630824</v>
      </c>
      <c r="L86" s="898">
        <f>(AI86*KFC!$B$16+KFC!$C$16)*KFC!$C$5</f>
        <v>39.409402590484696</v>
      </c>
      <c r="M86" s="898">
        <f>(AJ86*KFC!$B$16+KFC!$C$16)*KFC!$C$5</f>
        <v>41.876511309338561</v>
      </c>
      <c r="N86" s="898">
        <f>(AK86*KFC!$B$16+KFC!$C$16)*KFC!$C$5</f>
        <v>44.343620028192433</v>
      </c>
      <c r="O86" s="898">
        <f>(AL86*KFC!$B$16+KFC!$C$16)*KFC!$C$5</f>
        <v>46.810728747046298</v>
      </c>
      <c r="P86" s="898">
        <f>(AM86*KFC!$B$16+KFC!$C$16)*KFC!$C$5</f>
        <v>49.277837465900163</v>
      </c>
      <c r="Q86" s="898">
        <f>(AN86*KFC!$B$16+KFC!$C$16)*KFC!$C$5</f>
        <v>51.744946184754035</v>
      </c>
      <c r="R86" s="898">
        <f>(AO86*KFC!$B$16+KFC!$C$16)*KFC!$C$5</f>
        <v>54.2120549036079</v>
      </c>
      <c r="S86" s="898">
        <f>(AP86*KFC!$B$16+KFC!$C$16)*KFC!$C$5</f>
        <v>56.679163622461758</v>
      </c>
      <c r="T86" s="898">
        <f>(AQ86*KFC!$B$16+KFC!$C$16)*KFC!$C$5</f>
        <v>59.146272341315637</v>
      </c>
      <c r="U86" s="898">
        <f>(AR86*KFC!$B$16+KFC!$C$16)*KFC!$C$5</f>
        <v>61.613381060169495</v>
      </c>
      <c r="V86" s="898">
        <f>(AS86*KFC!$B$16+KFC!$C$16)*KFC!$C$5</f>
        <v>64.080489779023367</v>
      </c>
      <c r="W86" s="903">
        <f>(AT86*KFC!$B$16+KFC!$C$16)*KFC!$C$5</f>
        <v>66.547598497877246</v>
      </c>
      <c r="Y86" s="1277"/>
      <c r="Z86" s="649">
        <v>0.5</v>
      </c>
      <c r="AA86" s="882">
        <v>19.672532839653751</v>
      </c>
      <c r="AB86" s="882">
        <v>22.13964155850762</v>
      </c>
      <c r="AC86" s="882">
        <v>24.606750277361481</v>
      </c>
      <c r="AD86" s="882">
        <v>27.07385899621535</v>
      </c>
      <c r="AE86" s="882">
        <v>29.540967715069218</v>
      </c>
      <c r="AF86" s="882">
        <v>32.008076433923087</v>
      </c>
      <c r="AG86" s="882">
        <v>34.475185152776952</v>
      </c>
      <c r="AH86" s="882">
        <v>36.942293871630824</v>
      </c>
      <c r="AI86" s="882">
        <v>39.409402590484696</v>
      </c>
      <c r="AJ86" s="882">
        <v>41.876511309338561</v>
      </c>
      <c r="AK86" s="882">
        <v>44.343620028192433</v>
      </c>
      <c r="AL86" s="882">
        <v>46.810728747046298</v>
      </c>
      <c r="AM86" s="882">
        <v>49.277837465900163</v>
      </c>
      <c r="AN86" s="882">
        <v>51.744946184754035</v>
      </c>
      <c r="AO86" s="882">
        <v>54.2120549036079</v>
      </c>
      <c r="AP86" s="882">
        <v>56.679163622461758</v>
      </c>
      <c r="AQ86" s="882">
        <v>59.146272341315637</v>
      </c>
      <c r="AR86" s="882">
        <v>61.613381060169495</v>
      </c>
      <c r="AS86" s="882">
        <v>64.080489779023367</v>
      </c>
      <c r="AT86" s="882">
        <v>66.547598497877246</v>
      </c>
    </row>
    <row r="87" spans="1:46">
      <c r="A87" s="1426"/>
      <c r="B87" s="1427"/>
      <c r="C87" s="887">
        <v>0.6</v>
      </c>
      <c r="D87" s="902">
        <f>(AA87*KFC!$B$16+KFC!$C$16)*KFC!$C$5</f>
        <v>20.335526258849999</v>
      </c>
      <c r="E87" s="898">
        <f>(AB87*KFC!$B$16+KFC!$C$16)*KFC!$C$5</f>
        <v>22.946530406663843</v>
      </c>
      <c r="F87" s="898">
        <f>(AC87*KFC!$B$16+KFC!$C$16)*KFC!$C$5</f>
        <v>25.55753455447768</v>
      </c>
      <c r="G87" s="898">
        <f>(AD87*KFC!$B$16+KFC!$C$16)*KFC!$C$5</f>
        <v>28.168538702291528</v>
      </c>
      <c r="H87" s="898">
        <f>(AE87*KFC!$B$16+KFC!$C$16)*KFC!$C$5</f>
        <v>30.779542850105369</v>
      </c>
      <c r="I87" s="898">
        <f>(AF87*KFC!$B$16+KFC!$C$16)*KFC!$C$5</f>
        <v>33.390546997919209</v>
      </c>
      <c r="J87" s="898">
        <f>(AG87*KFC!$B$16+KFC!$C$16)*KFC!$C$5</f>
        <v>36.001551145733046</v>
      </c>
      <c r="K87" s="898">
        <f>(AH87*KFC!$B$16+KFC!$C$16)*KFC!$C$5</f>
        <v>38.61255529354689</v>
      </c>
      <c r="L87" s="898">
        <f>(AI87*KFC!$B$16+KFC!$C$16)*KFC!$C$5</f>
        <v>41.223559441360734</v>
      </c>
      <c r="M87" s="898">
        <f>(AJ87*KFC!$B$16+KFC!$C$16)*KFC!$C$5</f>
        <v>43.834563589174579</v>
      </c>
      <c r="N87" s="898">
        <f>(AK87*KFC!$B$16+KFC!$C$16)*KFC!$C$5</f>
        <v>46.445567736988416</v>
      </c>
      <c r="O87" s="898">
        <f>(AL87*KFC!$B$16+KFC!$C$16)*KFC!$C$5</f>
        <v>49.05657188480226</v>
      </c>
      <c r="P87" s="898">
        <f>(AM87*KFC!$B$16+KFC!$C$16)*KFC!$C$5</f>
        <v>51.667576032616097</v>
      </c>
      <c r="Q87" s="898">
        <f>(AN87*KFC!$B$16+KFC!$C$16)*KFC!$C$5</f>
        <v>54.278580180429948</v>
      </c>
      <c r="R87" s="898">
        <f>(AO87*KFC!$B$16+KFC!$C$16)*KFC!$C$5</f>
        <v>56.889584328243785</v>
      </c>
      <c r="S87" s="898">
        <f>(AP87*KFC!$B$16+KFC!$C$16)*KFC!$C$5</f>
        <v>59.500588476057622</v>
      </c>
      <c r="T87" s="898">
        <f>(AQ87*KFC!$B$16+KFC!$C$16)*KFC!$C$5</f>
        <v>62.111592623871466</v>
      </c>
      <c r="U87" s="898">
        <f>(AR87*KFC!$B$16+KFC!$C$16)*KFC!$C$5</f>
        <v>64.722596771685318</v>
      </c>
      <c r="V87" s="898">
        <f>(AS87*KFC!$B$16+KFC!$C$16)*KFC!$C$5</f>
        <v>67.333600919499148</v>
      </c>
      <c r="W87" s="903">
        <f>(AT87*KFC!$B$16+KFC!$C$16)*KFC!$C$5</f>
        <v>69.944605067313006</v>
      </c>
      <c r="Y87" s="1277"/>
      <c r="Z87" s="649">
        <v>0.6</v>
      </c>
      <c r="AA87" s="882">
        <v>20.335526258849999</v>
      </c>
      <c r="AB87" s="882">
        <v>22.946530406663843</v>
      </c>
      <c r="AC87" s="882">
        <v>25.55753455447768</v>
      </c>
      <c r="AD87" s="882">
        <v>28.168538702291528</v>
      </c>
      <c r="AE87" s="882">
        <v>30.779542850105369</v>
      </c>
      <c r="AF87" s="882">
        <v>33.390546997919209</v>
      </c>
      <c r="AG87" s="882">
        <v>36.001551145733046</v>
      </c>
      <c r="AH87" s="882">
        <v>38.61255529354689</v>
      </c>
      <c r="AI87" s="882">
        <v>41.223559441360734</v>
      </c>
      <c r="AJ87" s="882">
        <v>43.834563589174579</v>
      </c>
      <c r="AK87" s="882">
        <v>46.445567736988416</v>
      </c>
      <c r="AL87" s="882">
        <v>49.05657188480226</v>
      </c>
      <c r="AM87" s="882">
        <v>51.667576032616097</v>
      </c>
      <c r="AN87" s="882">
        <v>54.278580180429948</v>
      </c>
      <c r="AO87" s="882">
        <v>56.889584328243785</v>
      </c>
      <c r="AP87" s="882">
        <v>59.500588476057622</v>
      </c>
      <c r="AQ87" s="882">
        <v>62.111592623871466</v>
      </c>
      <c r="AR87" s="882">
        <v>64.722596771685318</v>
      </c>
      <c r="AS87" s="882">
        <v>67.333600919499148</v>
      </c>
      <c r="AT87" s="882">
        <v>69.944605067313006</v>
      </c>
    </row>
    <row r="88" spans="1:46">
      <c r="A88" s="1426"/>
      <c r="B88" s="1427"/>
      <c r="C88" s="887">
        <v>0.7</v>
      </c>
      <c r="D88" s="902">
        <f>(AA88*KFC!$B$16+KFC!$C$16)*KFC!$C$5</f>
        <v>20.99851967804625</v>
      </c>
      <c r="E88" s="898">
        <f>(AB88*KFC!$B$16+KFC!$C$16)*KFC!$C$5</f>
        <v>23.75341925482007</v>
      </c>
      <c r="F88" s="898">
        <f>(AC88*KFC!$B$16+KFC!$C$16)*KFC!$C$5</f>
        <v>26.508318831593879</v>
      </c>
      <c r="G88" s="898">
        <f>(AD88*KFC!$B$16+KFC!$C$16)*KFC!$C$5</f>
        <v>29.263218408367702</v>
      </c>
      <c r="H88" s="898">
        <f>(AE88*KFC!$B$16+KFC!$C$16)*KFC!$C$5</f>
        <v>32.018117985141515</v>
      </c>
      <c r="I88" s="898">
        <f>(AF88*KFC!$B$16+KFC!$C$16)*KFC!$C$5</f>
        <v>34.773017561915339</v>
      </c>
      <c r="J88" s="898">
        <f>(AG88*KFC!$B$16+KFC!$C$16)*KFC!$C$5</f>
        <v>37.527917138689148</v>
      </c>
      <c r="K88" s="898">
        <f>(AH88*KFC!$B$16+KFC!$C$16)*KFC!$C$5</f>
        <v>40.282816715462964</v>
      </c>
      <c r="L88" s="898">
        <f>(AI88*KFC!$B$16+KFC!$C$16)*KFC!$C$5</f>
        <v>43.03771629223678</v>
      </c>
      <c r="M88" s="898">
        <f>(AJ88*KFC!$B$16+KFC!$C$16)*KFC!$C$5</f>
        <v>45.792615869010604</v>
      </c>
      <c r="N88" s="898">
        <f>(AK88*KFC!$B$16+KFC!$C$16)*KFC!$C$5</f>
        <v>48.547515445784413</v>
      </c>
      <c r="O88" s="898">
        <f>(AL88*KFC!$B$16+KFC!$C$16)*KFC!$C$5</f>
        <v>51.302415022558236</v>
      </c>
      <c r="P88" s="898">
        <f>(AM88*KFC!$B$16+KFC!$C$16)*KFC!$C$5</f>
        <v>54.057314599332045</v>
      </c>
      <c r="Q88" s="898">
        <f>(AN88*KFC!$B$16+KFC!$C$16)*KFC!$C$5</f>
        <v>56.812214176105869</v>
      </c>
      <c r="R88" s="898">
        <f>(AO88*KFC!$B$16+KFC!$C$16)*KFC!$C$5</f>
        <v>59.567113752879678</v>
      </c>
      <c r="S88" s="898">
        <f>(AP88*KFC!$B$16+KFC!$C$16)*KFC!$C$5</f>
        <v>62.322013329653501</v>
      </c>
      <c r="T88" s="898">
        <f>(AQ88*KFC!$B$16+KFC!$C$16)*KFC!$C$5</f>
        <v>65.07691290642731</v>
      </c>
      <c r="U88" s="898">
        <f>(AR88*KFC!$B$16+KFC!$C$16)*KFC!$C$5</f>
        <v>67.831812483201134</v>
      </c>
      <c r="V88" s="898">
        <f>(AS88*KFC!$B$16+KFC!$C$16)*KFC!$C$5</f>
        <v>70.586712059974943</v>
      </c>
      <c r="W88" s="903">
        <f>(AT88*KFC!$B$16+KFC!$C$16)*KFC!$C$5</f>
        <v>73.341611636748752</v>
      </c>
      <c r="Y88" s="1277"/>
      <c r="Z88" s="649">
        <v>0.7</v>
      </c>
      <c r="AA88" s="882">
        <v>20.99851967804625</v>
      </c>
      <c r="AB88" s="882">
        <v>23.75341925482007</v>
      </c>
      <c r="AC88" s="882">
        <v>26.508318831593879</v>
      </c>
      <c r="AD88" s="882">
        <v>29.263218408367702</v>
      </c>
      <c r="AE88" s="882">
        <v>32.018117985141515</v>
      </c>
      <c r="AF88" s="882">
        <v>34.773017561915339</v>
      </c>
      <c r="AG88" s="882">
        <v>37.527917138689148</v>
      </c>
      <c r="AH88" s="882">
        <v>40.282816715462964</v>
      </c>
      <c r="AI88" s="882">
        <v>43.03771629223678</v>
      </c>
      <c r="AJ88" s="882">
        <v>45.792615869010604</v>
      </c>
      <c r="AK88" s="882">
        <v>48.547515445784413</v>
      </c>
      <c r="AL88" s="882">
        <v>51.302415022558236</v>
      </c>
      <c r="AM88" s="882">
        <v>54.057314599332045</v>
      </c>
      <c r="AN88" s="882">
        <v>56.812214176105869</v>
      </c>
      <c r="AO88" s="882">
        <v>59.567113752879678</v>
      </c>
      <c r="AP88" s="882">
        <v>62.322013329653501</v>
      </c>
      <c r="AQ88" s="882">
        <v>65.07691290642731</v>
      </c>
      <c r="AR88" s="882">
        <v>67.831812483201134</v>
      </c>
      <c r="AS88" s="882">
        <v>70.586712059974943</v>
      </c>
      <c r="AT88" s="882">
        <v>73.341611636748752</v>
      </c>
    </row>
    <row r="89" spans="1:46">
      <c r="A89" s="1426"/>
      <c r="B89" s="1427"/>
      <c r="C89" s="887">
        <v>0.8</v>
      </c>
      <c r="D89" s="902">
        <f>(AA89*KFC!$B$16+KFC!$C$16)*KFC!$C$5</f>
        <v>21.661513097242498</v>
      </c>
      <c r="E89" s="898">
        <f>(AB89*KFC!$B$16+KFC!$C$16)*KFC!$C$5</f>
        <v>24.560308102976293</v>
      </c>
      <c r="F89" s="898">
        <f>(AC89*KFC!$B$16+KFC!$C$16)*KFC!$C$5</f>
        <v>27.459103108710085</v>
      </c>
      <c r="G89" s="898">
        <f>(AD89*KFC!$B$16+KFC!$C$16)*KFC!$C$5</f>
        <v>30.357898114443874</v>
      </c>
      <c r="H89" s="898">
        <f>(AE89*KFC!$B$16+KFC!$C$16)*KFC!$C$5</f>
        <v>33.256693120177665</v>
      </c>
      <c r="I89" s="898">
        <f>(AF89*KFC!$B$16+KFC!$C$16)*KFC!$C$5</f>
        <v>36.155488125911454</v>
      </c>
      <c r="J89" s="898">
        <f>(AG89*KFC!$B$16+KFC!$C$16)*KFC!$C$5</f>
        <v>39.054283131645249</v>
      </c>
      <c r="K89" s="898">
        <f>(AH89*KFC!$B$16+KFC!$C$16)*KFC!$C$5</f>
        <v>41.953078137379038</v>
      </c>
      <c r="L89" s="898">
        <f>(AI89*KFC!$B$16+KFC!$C$16)*KFC!$C$5</f>
        <v>44.851873143112833</v>
      </c>
      <c r="M89" s="898">
        <f>(AJ89*KFC!$B$16+KFC!$C$16)*KFC!$C$5</f>
        <v>47.750668148846621</v>
      </c>
      <c r="N89" s="898">
        <f>(AK89*KFC!$B$16+KFC!$C$16)*KFC!$C$5</f>
        <v>50.649463154580417</v>
      </c>
      <c r="O89" s="898">
        <f>(AL89*KFC!$B$16+KFC!$C$16)*KFC!$C$5</f>
        <v>53.548258160314198</v>
      </c>
      <c r="P89" s="898">
        <f>(AM89*KFC!$B$16+KFC!$C$16)*KFC!$C$5</f>
        <v>56.447053166047993</v>
      </c>
      <c r="Q89" s="898">
        <f>(AN89*KFC!$B$16+KFC!$C$16)*KFC!$C$5</f>
        <v>59.345848171781789</v>
      </c>
      <c r="R89" s="898">
        <f>(AO89*KFC!$B$16+KFC!$C$16)*KFC!$C$5</f>
        <v>62.244643177515577</v>
      </c>
      <c r="S89" s="898">
        <f>(AP89*KFC!$B$16+KFC!$C$16)*KFC!$C$5</f>
        <v>65.143438183249373</v>
      </c>
      <c r="T89" s="898">
        <f>(AQ89*KFC!$B$16+KFC!$C$16)*KFC!$C$5</f>
        <v>68.042233188983161</v>
      </c>
      <c r="U89" s="898">
        <f>(AR89*KFC!$B$16+KFC!$C$16)*KFC!$C$5</f>
        <v>70.941028194716949</v>
      </c>
      <c r="V89" s="898">
        <f>(AS89*KFC!$B$16+KFC!$C$16)*KFC!$C$5</f>
        <v>73.839823200450738</v>
      </c>
      <c r="W89" s="903">
        <f>(AT89*KFC!$B$16+KFC!$C$16)*KFC!$C$5</f>
        <v>76.738618206184512</v>
      </c>
      <c r="Y89" s="1277"/>
      <c r="Z89" s="649">
        <v>0.8</v>
      </c>
      <c r="AA89" s="882">
        <v>21.661513097242498</v>
      </c>
      <c r="AB89" s="882">
        <v>24.560308102976293</v>
      </c>
      <c r="AC89" s="882">
        <v>27.459103108710085</v>
      </c>
      <c r="AD89" s="882">
        <v>30.357898114443874</v>
      </c>
      <c r="AE89" s="882">
        <v>33.256693120177665</v>
      </c>
      <c r="AF89" s="882">
        <v>36.155488125911454</v>
      </c>
      <c r="AG89" s="882">
        <v>39.054283131645249</v>
      </c>
      <c r="AH89" s="882">
        <v>41.953078137379038</v>
      </c>
      <c r="AI89" s="882">
        <v>44.851873143112833</v>
      </c>
      <c r="AJ89" s="882">
        <v>47.750668148846621</v>
      </c>
      <c r="AK89" s="882">
        <v>50.649463154580417</v>
      </c>
      <c r="AL89" s="882">
        <v>53.548258160314198</v>
      </c>
      <c r="AM89" s="882">
        <v>56.447053166047993</v>
      </c>
      <c r="AN89" s="882">
        <v>59.345848171781789</v>
      </c>
      <c r="AO89" s="882">
        <v>62.244643177515577</v>
      </c>
      <c r="AP89" s="882">
        <v>65.143438183249373</v>
      </c>
      <c r="AQ89" s="882">
        <v>68.042233188983161</v>
      </c>
      <c r="AR89" s="882">
        <v>70.941028194716949</v>
      </c>
      <c r="AS89" s="882">
        <v>73.839823200450738</v>
      </c>
      <c r="AT89" s="882">
        <v>76.738618206184512</v>
      </c>
    </row>
    <row r="90" spans="1:46">
      <c r="A90" s="1426"/>
      <c r="B90" s="1427"/>
      <c r="C90" s="887">
        <v>0.9</v>
      </c>
      <c r="D90" s="902">
        <f>(AA90*KFC!$B$16+KFC!$C$16)*KFC!$C$5</f>
        <v>22.324506516438749</v>
      </c>
      <c r="E90" s="898">
        <f>(AB90*KFC!$B$16+KFC!$C$16)*KFC!$C$5</f>
        <v>25.367196951132513</v>
      </c>
      <c r="F90" s="898">
        <f>(AC90*KFC!$B$16+KFC!$C$16)*KFC!$C$5</f>
        <v>28.409887385826277</v>
      </c>
      <c r="G90" s="898">
        <f>(AD90*KFC!$B$16+KFC!$C$16)*KFC!$C$5</f>
        <v>31.452577820520037</v>
      </c>
      <c r="H90" s="898">
        <f>(AE90*KFC!$B$16+KFC!$C$16)*KFC!$C$5</f>
        <v>34.495268255213801</v>
      </c>
      <c r="I90" s="898">
        <f>(AF90*KFC!$B$16+KFC!$C$16)*KFC!$C$5</f>
        <v>37.537958689907562</v>
      </c>
      <c r="J90" s="898">
        <f>(AG90*KFC!$B$16+KFC!$C$16)*KFC!$C$5</f>
        <v>40.580649124601329</v>
      </c>
      <c r="K90" s="898">
        <f>(AH90*KFC!$B$16+KFC!$C$16)*KFC!$C$5</f>
        <v>43.623339559295097</v>
      </c>
      <c r="L90" s="898">
        <f>(AI90*KFC!$B$16+KFC!$C$16)*KFC!$C$5</f>
        <v>46.666029993988857</v>
      </c>
      <c r="M90" s="898">
        <f>(AJ90*KFC!$B$16+KFC!$C$16)*KFC!$C$5</f>
        <v>49.708720428682625</v>
      </c>
      <c r="N90" s="898">
        <f>(AK90*KFC!$B$16+KFC!$C$16)*KFC!$C$5</f>
        <v>52.7514108633764</v>
      </c>
      <c r="O90" s="898">
        <f>(AL90*KFC!$B$16+KFC!$C$16)*KFC!$C$5</f>
        <v>55.794101298070167</v>
      </c>
      <c r="P90" s="898">
        <f>(AM90*KFC!$B$16+KFC!$C$16)*KFC!$C$5</f>
        <v>58.836791732763928</v>
      </c>
      <c r="Q90" s="898">
        <f>(AN90*KFC!$B$16+KFC!$C$16)*KFC!$C$5</f>
        <v>61.879482167457695</v>
      </c>
      <c r="R90" s="898">
        <f>(AO90*KFC!$B$16+KFC!$C$16)*KFC!$C$5</f>
        <v>64.922172602151448</v>
      </c>
      <c r="S90" s="898">
        <f>(AP90*KFC!$B$16+KFC!$C$16)*KFC!$C$5</f>
        <v>67.96486303684523</v>
      </c>
      <c r="T90" s="898">
        <f>(AQ90*KFC!$B$16+KFC!$C$16)*KFC!$C$5</f>
        <v>71.007553471538998</v>
      </c>
      <c r="U90" s="898">
        <f>(AR90*KFC!$B$16+KFC!$C$16)*KFC!$C$5</f>
        <v>74.050243906232751</v>
      </c>
      <c r="V90" s="898">
        <f>(AS90*KFC!$B$16+KFC!$C$16)*KFC!$C$5</f>
        <v>77.092934340926519</v>
      </c>
      <c r="W90" s="903">
        <f>(AT90*KFC!$B$16+KFC!$C$16)*KFC!$C$5</f>
        <v>80.135624775620258</v>
      </c>
      <c r="Y90" s="1277"/>
      <c r="Z90" s="649">
        <v>0.9</v>
      </c>
      <c r="AA90" s="882">
        <v>22.324506516438749</v>
      </c>
      <c r="AB90" s="882">
        <v>25.367196951132513</v>
      </c>
      <c r="AC90" s="882">
        <v>28.409887385826277</v>
      </c>
      <c r="AD90" s="882">
        <v>31.452577820520037</v>
      </c>
      <c r="AE90" s="882">
        <v>34.495268255213801</v>
      </c>
      <c r="AF90" s="882">
        <v>37.537958689907562</v>
      </c>
      <c r="AG90" s="882">
        <v>40.580649124601329</v>
      </c>
      <c r="AH90" s="882">
        <v>43.623339559295097</v>
      </c>
      <c r="AI90" s="882">
        <v>46.666029993988857</v>
      </c>
      <c r="AJ90" s="882">
        <v>49.708720428682625</v>
      </c>
      <c r="AK90" s="882">
        <v>52.7514108633764</v>
      </c>
      <c r="AL90" s="882">
        <v>55.794101298070167</v>
      </c>
      <c r="AM90" s="882">
        <v>58.836791732763928</v>
      </c>
      <c r="AN90" s="882">
        <v>61.879482167457695</v>
      </c>
      <c r="AO90" s="882">
        <v>64.922172602151448</v>
      </c>
      <c r="AP90" s="882">
        <v>67.96486303684523</v>
      </c>
      <c r="AQ90" s="882">
        <v>71.007553471538998</v>
      </c>
      <c r="AR90" s="882">
        <v>74.050243906232751</v>
      </c>
      <c r="AS90" s="882">
        <v>77.092934340926519</v>
      </c>
      <c r="AT90" s="882">
        <v>80.135624775620258</v>
      </c>
    </row>
    <row r="91" spans="1:46">
      <c r="A91" s="1426"/>
      <c r="B91" s="1427"/>
      <c r="C91" s="887">
        <v>1</v>
      </c>
      <c r="D91" s="902">
        <f>(AA91*KFC!$B$16+KFC!$C$16)*KFC!$C$5</f>
        <v>22.987499935635</v>
      </c>
      <c r="E91" s="898">
        <f>(AB91*KFC!$B$16+KFC!$C$16)*KFC!$C$5</f>
        <v>26.17408579928874</v>
      </c>
      <c r="F91" s="898">
        <f>(AC91*KFC!$B$16+KFC!$C$16)*KFC!$C$5</f>
        <v>29.360671662942476</v>
      </c>
      <c r="G91" s="898">
        <f>(AD91*KFC!$B$16+KFC!$C$16)*KFC!$C$5</f>
        <v>32.547257526596212</v>
      </c>
      <c r="H91" s="898">
        <f>(AE91*KFC!$B$16+KFC!$C$16)*KFC!$C$5</f>
        <v>35.733843390249952</v>
      </c>
      <c r="I91" s="898">
        <f>(AF91*KFC!$B$16+KFC!$C$16)*KFC!$C$5</f>
        <v>38.920429253903691</v>
      </c>
      <c r="J91" s="898">
        <f>(AG91*KFC!$B$16+KFC!$C$16)*KFC!$C$5</f>
        <v>42.107015117557431</v>
      </c>
      <c r="K91" s="898">
        <f>(AH91*KFC!$B$16+KFC!$C$16)*KFC!$C$5</f>
        <v>45.293600981211178</v>
      </c>
      <c r="L91" s="898">
        <f>(AI91*KFC!$B$16+KFC!$C$16)*KFC!$C$5</f>
        <v>48.48018684486491</v>
      </c>
      <c r="M91" s="898">
        <f>(AJ91*KFC!$B$16+KFC!$C$16)*KFC!$C$5</f>
        <v>51.66677270851865</v>
      </c>
      <c r="N91" s="898">
        <f>(AK91*KFC!$B$16+KFC!$C$16)*KFC!$C$5</f>
        <v>54.853358572172397</v>
      </c>
      <c r="O91" s="898">
        <f>(AL91*KFC!$B$16+KFC!$C$16)*KFC!$C$5</f>
        <v>58.039944435826129</v>
      </c>
      <c r="P91" s="898">
        <f>(AM91*KFC!$B$16+KFC!$C$16)*KFC!$C$5</f>
        <v>61.226530299479876</v>
      </c>
      <c r="Q91" s="898">
        <f>(AN91*KFC!$B$16+KFC!$C$16)*KFC!$C$5</f>
        <v>64.413116163133623</v>
      </c>
      <c r="R91" s="898">
        <f>(AO91*KFC!$B$16+KFC!$C$16)*KFC!$C$5</f>
        <v>67.599702026787355</v>
      </c>
      <c r="S91" s="898">
        <f>(AP91*KFC!$B$16+KFC!$C$16)*KFC!$C$5</f>
        <v>70.786287890441102</v>
      </c>
      <c r="T91" s="898">
        <f>(AQ91*KFC!$B$16+KFC!$C$16)*KFC!$C$5</f>
        <v>73.972873754094834</v>
      </c>
      <c r="U91" s="898">
        <f>(AR91*KFC!$B$16+KFC!$C$16)*KFC!$C$5</f>
        <v>77.159459617748581</v>
      </c>
      <c r="V91" s="898">
        <f>(AS91*KFC!$B$16+KFC!$C$16)*KFC!$C$5</f>
        <v>80.346045481402328</v>
      </c>
      <c r="W91" s="903">
        <f>(AT91*KFC!$B$16+KFC!$C$16)*KFC!$C$5</f>
        <v>83.532631345056018</v>
      </c>
      <c r="Y91" s="1277"/>
      <c r="Z91" s="649">
        <v>1</v>
      </c>
      <c r="AA91" s="882">
        <v>22.987499935635</v>
      </c>
      <c r="AB91" s="882">
        <v>26.17408579928874</v>
      </c>
      <c r="AC91" s="882">
        <v>29.360671662942476</v>
      </c>
      <c r="AD91" s="882">
        <v>32.547257526596212</v>
      </c>
      <c r="AE91" s="882">
        <v>35.733843390249952</v>
      </c>
      <c r="AF91" s="882">
        <v>38.920429253903691</v>
      </c>
      <c r="AG91" s="882">
        <v>42.107015117557431</v>
      </c>
      <c r="AH91" s="882">
        <v>45.293600981211178</v>
      </c>
      <c r="AI91" s="882">
        <v>48.48018684486491</v>
      </c>
      <c r="AJ91" s="882">
        <v>51.66677270851865</v>
      </c>
      <c r="AK91" s="882">
        <v>54.853358572172397</v>
      </c>
      <c r="AL91" s="882">
        <v>58.039944435826129</v>
      </c>
      <c r="AM91" s="882">
        <v>61.226530299479876</v>
      </c>
      <c r="AN91" s="882">
        <v>64.413116163133623</v>
      </c>
      <c r="AO91" s="882">
        <v>67.599702026787355</v>
      </c>
      <c r="AP91" s="882">
        <v>70.786287890441102</v>
      </c>
      <c r="AQ91" s="882">
        <v>73.972873754094834</v>
      </c>
      <c r="AR91" s="882">
        <v>77.159459617748581</v>
      </c>
      <c r="AS91" s="882">
        <v>80.346045481402328</v>
      </c>
      <c r="AT91" s="882">
        <v>83.532631345056018</v>
      </c>
    </row>
    <row r="92" spans="1:46">
      <c r="A92" s="1426"/>
      <c r="B92" s="1427"/>
      <c r="C92" s="887">
        <v>1.1000000000000001</v>
      </c>
      <c r="D92" s="902">
        <f>(AA92*KFC!$B$16+KFC!$C$16)*KFC!$C$5</f>
        <v>23.650493354831251</v>
      </c>
      <c r="E92" s="898">
        <f>(AB92*KFC!$B$16+KFC!$C$16)*KFC!$C$5</f>
        <v>26.980974647444963</v>
      </c>
      <c r="F92" s="898">
        <f>(AC92*KFC!$B$16+KFC!$C$16)*KFC!$C$5</f>
        <v>30.311455940058675</v>
      </c>
      <c r="G92" s="898">
        <f>(AD92*KFC!$B$16+KFC!$C$16)*KFC!$C$5</f>
        <v>33.64193723267239</v>
      </c>
      <c r="H92" s="898">
        <f>(AE92*KFC!$B$16+KFC!$C$16)*KFC!$C$5</f>
        <v>36.972418525286095</v>
      </c>
      <c r="I92" s="898">
        <f>(AF92*KFC!$B$16+KFC!$C$16)*KFC!$C$5</f>
        <v>40.302899817899807</v>
      </c>
      <c r="J92" s="898">
        <f>(AG92*KFC!$B$16+KFC!$C$16)*KFC!$C$5</f>
        <v>43.633381110513518</v>
      </c>
      <c r="K92" s="898">
        <f>(AH92*KFC!$B$16+KFC!$C$16)*KFC!$C$5</f>
        <v>46.963862403127223</v>
      </c>
      <c r="L92" s="898">
        <f>(AI92*KFC!$B$16+KFC!$C$16)*KFC!$C$5</f>
        <v>50.294343695740935</v>
      </c>
      <c r="M92" s="898">
        <f>(AJ92*KFC!$B$16+KFC!$C$16)*KFC!$C$5</f>
        <v>53.624824988354639</v>
      </c>
      <c r="N92" s="898">
        <f>(AK92*KFC!$B$16+KFC!$C$16)*KFC!$C$5</f>
        <v>56.955306280968351</v>
      </c>
      <c r="O92" s="898">
        <f>(AL92*KFC!$B$16+KFC!$C$16)*KFC!$C$5</f>
        <v>60.285787573582056</v>
      </c>
      <c r="P92" s="898">
        <f>(AM92*KFC!$B$16+KFC!$C$16)*KFC!$C$5</f>
        <v>63.616268866195774</v>
      </c>
      <c r="Q92" s="898">
        <f>(AN92*KFC!$B$16+KFC!$C$16)*KFC!$C$5</f>
        <v>66.946750158809479</v>
      </c>
      <c r="R92" s="898">
        <f>(AO92*KFC!$B$16+KFC!$C$16)*KFC!$C$5</f>
        <v>70.277231451423191</v>
      </c>
      <c r="S92" s="898">
        <f>(AP92*KFC!$B$16+KFC!$C$16)*KFC!$C$5</f>
        <v>73.607712744036903</v>
      </c>
      <c r="T92" s="898">
        <f>(AQ92*KFC!$B$16+KFC!$C$16)*KFC!$C$5</f>
        <v>76.938194036650614</v>
      </c>
      <c r="U92" s="898">
        <f>(AR92*KFC!$B$16+KFC!$C$16)*KFC!$C$5</f>
        <v>80.268675329264326</v>
      </c>
      <c r="V92" s="898">
        <f>(AS92*KFC!$B$16+KFC!$C$16)*KFC!$C$5</f>
        <v>83.599156621878024</v>
      </c>
      <c r="W92" s="903">
        <f>(AT92*KFC!$B$16+KFC!$C$16)*KFC!$C$5</f>
        <v>86.929637914491778</v>
      </c>
      <c r="Y92" s="1277"/>
      <c r="Z92" s="649">
        <v>1.1000000000000001</v>
      </c>
      <c r="AA92" s="882">
        <v>23.650493354831251</v>
      </c>
      <c r="AB92" s="882">
        <v>26.980974647444963</v>
      </c>
      <c r="AC92" s="882">
        <v>30.311455940058675</v>
      </c>
      <c r="AD92" s="882">
        <v>33.64193723267239</v>
      </c>
      <c r="AE92" s="882">
        <v>36.972418525286095</v>
      </c>
      <c r="AF92" s="882">
        <v>40.302899817899807</v>
      </c>
      <c r="AG92" s="882">
        <v>43.633381110513518</v>
      </c>
      <c r="AH92" s="882">
        <v>46.963862403127223</v>
      </c>
      <c r="AI92" s="882">
        <v>50.294343695740935</v>
      </c>
      <c r="AJ92" s="882">
        <v>53.624824988354639</v>
      </c>
      <c r="AK92" s="882">
        <v>56.955306280968351</v>
      </c>
      <c r="AL92" s="882">
        <v>60.285787573582056</v>
      </c>
      <c r="AM92" s="882">
        <v>63.616268866195774</v>
      </c>
      <c r="AN92" s="882">
        <v>66.946750158809479</v>
      </c>
      <c r="AO92" s="882">
        <v>70.277231451423191</v>
      </c>
      <c r="AP92" s="882">
        <v>73.607712744036903</v>
      </c>
      <c r="AQ92" s="882">
        <v>76.938194036650614</v>
      </c>
      <c r="AR92" s="882">
        <v>80.268675329264326</v>
      </c>
      <c r="AS92" s="882">
        <v>83.599156621878024</v>
      </c>
      <c r="AT92" s="882">
        <v>86.929637914491778</v>
      </c>
    </row>
    <row r="93" spans="1:46">
      <c r="A93" s="1426"/>
      <c r="B93" s="1427"/>
      <c r="C93" s="887">
        <v>1.2</v>
      </c>
      <c r="D93" s="902">
        <f>(AA93*KFC!$B$16+KFC!$C$16)*KFC!$C$5</f>
        <v>24.313486774027503</v>
      </c>
      <c r="E93" s="898">
        <f>(AB93*KFC!$B$16+KFC!$C$16)*KFC!$C$5</f>
        <v>27.78786349560119</v>
      </c>
      <c r="F93" s="898">
        <f>(AC93*KFC!$B$16+KFC!$C$16)*KFC!$C$5</f>
        <v>31.262240217174874</v>
      </c>
      <c r="G93" s="898">
        <f>(AD93*KFC!$B$16+KFC!$C$16)*KFC!$C$5</f>
        <v>34.736616938748561</v>
      </c>
      <c r="H93" s="898">
        <f>(AE93*KFC!$B$16+KFC!$C$16)*KFC!$C$5</f>
        <v>38.210993660322245</v>
      </c>
      <c r="I93" s="898">
        <f>(AF93*KFC!$B$16+KFC!$C$16)*KFC!$C$5</f>
        <v>41.685370381895929</v>
      </c>
      <c r="J93" s="898">
        <f>(AG93*KFC!$B$16+KFC!$C$16)*KFC!$C$5</f>
        <v>45.159747103469613</v>
      </c>
      <c r="K93" s="898">
        <f>(AH93*KFC!$B$16+KFC!$C$16)*KFC!$C$5</f>
        <v>48.634123825043297</v>
      </c>
      <c r="L93" s="898">
        <f>(AI93*KFC!$B$16+KFC!$C$16)*KFC!$C$5</f>
        <v>52.10850054661698</v>
      </c>
      <c r="M93" s="898">
        <f>(AJ93*KFC!$B$16+KFC!$C$16)*KFC!$C$5</f>
        <v>55.582877268190671</v>
      </c>
      <c r="N93" s="898">
        <f>(AK93*KFC!$B$16+KFC!$C$16)*KFC!$C$5</f>
        <v>59.057253989764348</v>
      </c>
      <c r="O93" s="898">
        <f>(AL93*KFC!$B$16+KFC!$C$16)*KFC!$C$5</f>
        <v>62.531630711338032</v>
      </c>
      <c r="P93" s="898">
        <f>(AM93*KFC!$B$16+KFC!$C$16)*KFC!$C$5</f>
        <v>66.006007432911716</v>
      </c>
      <c r="Q93" s="898">
        <f>(AN93*KFC!$B$16+KFC!$C$16)*KFC!$C$5</f>
        <v>69.480384154485407</v>
      </c>
      <c r="R93" s="898">
        <f>(AO93*KFC!$B$16+KFC!$C$16)*KFC!$C$5</f>
        <v>72.954760876059098</v>
      </c>
      <c r="S93" s="898">
        <f>(AP93*KFC!$B$16+KFC!$C$16)*KFC!$C$5</f>
        <v>76.429137597632788</v>
      </c>
      <c r="T93" s="898">
        <f>(AQ93*KFC!$B$16+KFC!$C$16)*KFC!$C$5</f>
        <v>79.903514319206479</v>
      </c>
      <c r="U93" s="898">
        <f>(AR93*KFC!$B$16+KFC!$C$16)*KFC!$C$5</f>
        <v>83.37789104078017</v>
      </c>
      <c r="V93" s="898">
        <f>(AS93*KFC!$B$16+KFC!$C$16)*KFC!$C$5</f>
        <v>86.852267762353861</v>
      </c>
      <c r="W93" s="903">
        <f>(AT93*KFC!$B$16+KFC!$C$16)*KFC!$C$5</f>
        <v>90.326644483927538</v>
      </c>
      <c r="Y93" s="1277"/>
      <c r="Z93" s="649">
        <v>1.2</v>
      </c>
      <c r="AA93" s="882">
        <v>24.313486774027503</v>
      </c>
      <c r="AB93" s="882">
        <v>27.78786349560119</v>
      </c>
      <c r="AC93" s="882">
        <v>31.262240217174874</v>
      </c>
      <c r="AD93" s="882">
        <v>34.736616938748561</v>
      </c>
      <c r="AE93" s="882">
        <v>38.210993660322245</v>
      </c>
      <c r="AF93" s="882">
        <v>41.685370381895929</v>
      </c>
      <c r="AG93" s="882">
        <v>45.159747103469613</v>
      </c>
      <c r="AH93" s="882">
        <v>48.634123825043297</v>
      </c>
      <c r="AI93" s="882">
        <v>52.10850054661698</v>
      </c>
      <c r="AJ93" s="882">
        <v>55.582877268190671</v>
      </c>
      <c r="AK93" s="882">
        <v>59.057253989764348</v>
      </c>
      <c r="AL93" s="882">
        <v>62.531630711338032</v>
      </c>
      <c r="AM93" s="882">
        <v>66.006007432911716</v>
      </c>
      <c r="AN93" s="882">
        <v>69.480384154485407</v>
      </c>
      <c r="AO93" s="882">
        <v>72.954760876059098</v>
      </c>
      <c r="AP93" s="882">
        <v>76.429137597632788</v>
      </c>
      <c r="AQ93" s="882">
        <v>79.903514319206479</v>
      </c>
      <c r="AR93" s="882">
        <v>83.37789104078017</v>
      </c>
      <c r="AS93" s="882">
        <v>86.852267762353861</v>
      </c>
      <c r="AT93" s="882">
        <v>90.326644483927538</v>
      </c>
    </row>
    <row r="94" spans="1:46">
      <c r="A94" s="1426"/>
      <c r="B94" s="1427"/>
      <c r="C94" s="887">
        <v>1.3</v>
      </c>
      <c r="D94" s="902">
        <f>(AA94*KFC!$B$16+KFC!$C$16)*KFC!$C$5</f>
        <v>24.976480193223754</v>
      </c>
      <c r="E94" s="898">
        <f>(AB94*KFC!$B$16+KFC!$C$16)*KFC!$C$5</f>
        <v>28.59475234375741</v>
      </c>
      <c r="F94" s="898">
        <f>(AC94*KFC!$B$16+KFC!$C$16)*KFC!$C$5</f>
        <v>32.213024494291062</v>
      </c>
      <c r="G94" s="898">
        <f>(AD94*KFC!$B$16+KFC!$C$16)*KFC!$C$5</f>
        <v>35.831296644824732</v>
      </c>
      <c r="H94" s="898">
        <f>(AE94*KFC!$B$16+KFC!$C$16)*KFC!$C$5</f>
        <v>39.449568795358388</v>
      </c>
      <c r="I94" s="898">
        <f>(AF94*KFC!$B$16+KFC!$C$16)*KFC!$C$5</f>
        <v>43.067840945892051</v>
      </c>
      <c r="J94" s="898">
        <f>(AG94*KFC!$B$16+KFC!$C$16)*KFC!$C$5</f>
        <v>46.686113096425707</v>
      </c>
      <c r="K94" s="898">
        <f>(AH94*KFC!$B$16+KFC!$C$16)*KFC!$C$5</f>
        <v>50.304385246959363</v>
      </c>
      <c r="L94" s="898">
        <f>(AI94*KFC!$B$16+KFC!$C$16)*KFC!$C$5</f>
        <v>53.922657397493019</v>
      </c>
      <c r="M94" s="898">
        <f>(AJ94*KFC!$B$16+KFC!$C$16)*KFC!$C$5</f>
        <v>57.540929548026675</v>
      </c>
      <c r="N94" s="898">
        <f>(AK94*KFC!$B$16+KFC!$C$16)*KFC!$C$5</f>
        <v>61.159201698560345</v>
      </c>
      <c r="O94" s="898">
        <f>(AL94*KFC!$B$16+KFC!$C$16)*KFC!$C$5</f>
        <v>64.777473849093994</v>
      </c>
      <c r="P94" s="898">
        <f>(AM94*KFC!$B$16+KFC!$C$16)*KFC!$C$5</f>
        <v>68.39574599962765</v>
      </c>
      <c r="Q94" s="898">
        <f>(AN94*KFC!$B$16+KFC!$C$16)*KFC!$C$5</f>
        <v>72.014018150161306</v>
      </c>
      <c r="R94" s="898">
        <f>(AO94*KFC!$B$16+KFC!$C$16)*KFC!$C$5</f>
        <v>75.632290300694976</v>
      </c>
      <c r="S94" s="898">
        <f>(AP94*KFC!$B$16+KFC!$C$16)*KFC!$C$5</f>
        <v>79.250562451228632</v>
      </c>
      <c r="T94" s="898">
        <f>(AQ94*KFC!$B$16+KFC!$C$16)*KFC!$C$5</f>
        <v>82.868834601762288</v>
      </c>
      <c r="U94" s="898">
        <f>(AR94*KFC!$B$16+KFC!$C$16)*KFC!$C$5</f>
        <v>86.487106752295944</v>
      </c>
      <c r="V94" s="898">
        <f>(AS94*KFC!$B$16+KFC!$C$16)*KFC!$C$5</f>
        <v>90.105378902829614</v>
      </c>
      <c r="W94" s="903">
        <f>(AT94*KFC!$B$16+KFC!$C$16)*KFC!$C$5</f>
        <v>93.723651053363298</v>
      </c>
      <c r="Y94" s="1277"/>
      <c r="Z94" s="649">
        <v>1.3</v>
      </c>
      <c r="AA94" s="882">
        <v>24.976480193223754</v>
      </c>
      <c r="AB94" s="882">
        <v>28.59475234375741</v>
      </c>
      <c r="AC94" s="882">
        <v>32.213024494291062</v>
      </c>
      <c r="AD94" s="882">
        <v>35.831296644824732</v>
      </c>
      <c r="AE94" s="882">
        <v>39.449568795358388</v>
      </c>
      <c r="AF94" s="882">
        <v>43.067840945892051</v>
      </c>
      <c r="AG94" s="882">
        <v>46.686113096425707</v>
      </c>
      <c r="AH94" s="882">
        <v>50.304385246959363</v>
      </c>
      <c r="AI94" s="882">
        <v>53.922657397493019</v>
      </c>
      <c r="AJ94" s="882">
        <v>57.540929548026675</v>
      </c>
      <c r="AK94" s="882">
        <v>61.159201698560345</v>
      </c>
      <c r="AL94" s="882">
        <v>64.777473849093994</v>
      </c>
      <c r="AM94" s="882">
        <v>68.39574599962765</v>
      </c>
      <c r="AN94" s="882">
        <v>72.014018150161306</v>
      </c>
      <c r="AO94" s="882">
        <v>75.632290300694976</v>
      </c>
      <c r="AP94" s="882">
        <v>79.250562451228632</v>
      </c>
      <c r="AQ94" s="882">
        <v>82.868834601762288</v>
      </c>
      <c r="AR94" s="882">
        <v>86.487106752295944</v>
      </c>
      <c r="AS94" s="882">
        <v>90.105378902829614</v>
      </c>
      <c r="AT94" s="882">
        <v>93.723651053363298</v>
      </c>
    </row>
    <row r="95" spans="1:46">
      <c r="A95" s="1426"/>
      <c r="B95" s="1427"/>
      <c r="C95" s="887">
        <v>1.4</v>
      </c>
      <c r="D95" s="902">
        <f>(AA95*KFC!$B$16+KFC!$C$16)*KFC!$C$5</f>
        <v>25.639473612420005</v>
      </c>
      <c r="E95" s="898">
        <f>(AB95*KFC!$B$16+KFC!$C$16)*KFC!$C$5</f>
        <v>29.401641191913633</v>
      </c>
      <c r="F95" s="898">
        <f>(AC95*KFC!$B$16+KFC!$C$16)*KFC!$C$5</f>
        <v>33.163808771407268</v>
      </c>
      <c r="G95" s="898">
        <f>(AD95*KFC!$B$16+KFC!$C$16)*KFC!$C$5</f>
        <v>36.925976350900903</v>
      </c>
      <c r="H95" s="898">
        <f>(AE95*KFC!$B$16+KFC!$C$16)*KFC!$C$5</f>
        <v>40.688143930394538</v>
      </c>
      <c r="I95" s="898">
        <f>(AF95*KFC!$B$16+KFC!$C$16)*KFC!$C$5</f>
        <v>44.450311509888174</v>
      </c>
      <c r="J95" s="898">
        <f>(AG95*KFC!$B$16+KFC!$C$16)*KFC!$C$5</f>
        <v>48.212479089381802</v>
      </c>
      <c r="K95" s="898">
        <f>(AH95*KFC!$B$16+KFC!$C$16)*KFC!$C$5</f>
        <v>51.974646668875437</v>
      </c>
      <c r="L95" s="898">
        <f>(AI95*KFC!$B$16+KFC!$C$16)*KFC!$C$5</f>
        <v>55.736814248369072</v>
      </c>
      <c r="M95" s="898">
        <f>(AJ95*KFC!$B$16+KFC!$C$16)*KFC!$C$5</f>
        <v>59.4989818278627</v>
      </c>
      <c r="N95" s="898">
        <f>(AK95*KFC!$B$16+KFC!$C$16)*KFC!$C$5</f>
        <v>63.261149407356342</v>
      </c>
      <c r="O95" s="898">
        <f>(AL95*KFC!$B$16+KFC!$C$16)*KFC!$C$5</f>
        <v>67.023316986849977</v>
      </c>
      <c r="P95" s="898">
        <f>(AM95*KFC!$B$16+KFC!$C$16)*KFC!$C$5</f>
        <v>70.785484566343612</v>
      </c>
      <c r="Q95" s="898">
        <f>(AN95*KFC!$B$16+KFC!$C$16)*KFC!$C$5</f>
        <v>74.547652145837247</v>
      </c>
      <c r="R95" s="898">
        <f>(AO95*KFC!$B$16+KFC!$C$16)*KFC!$C$5</f>
        <v>78.309819725330897</v>
      </c>
      <c r="S95" s="898">
        <f>(AP95*KFC!$B$16+KFC!$C$16)*KFC!$C$5</f>
        <v>82.071987304824532</v>
      </c>
      <c r="T95" s="898">
        <f>(AQ95*KFC!$B$16+KFC!$C$16)*KFC!$C$5</f>
        <v>85.834154884318181</v>
      </c>
      <c r="U95" s="898">
        <f>(AR95*KFC!$B$16+KFC!$C$16)*KFC!$C$5</f>
        <v>89.596322463811816</v>
      </c>
      <c r="V95" s="898">
        <f>(AS95*KFC!$B$16+KFC!$C$16)*KFC!$C$5</f>
        <v>93.358490043305437</v>
      </c>
      <c r="W95" s="903">
        <f>(AT95*KFC!$B$16+KFC!$C$16)*KFC!$C$5</f>
        <v>97.120657622799058</v>
      </c>
      <c r="Y95" s="1277"/>
      <c r="Z95" s="649">
        <v>1.4</v>
      </c>
      <c r="AA95" s="882">
        <v>25.639473612420005</v>
      </c>
      <c r="AB95" s="882">
        <v>29.401641191913633</v>
      </c>
      <c r="AC95" s="882">
        <v>33.163808771407268</v>
      </c>
      <c r="AD95" s="882">
        <v>36.925976350900903</v>
      </c>
      <c r="AE95" s="882">
        <v>40.688143930394538</v>
      </c>
      <c r="AF95" s="882">
        <v>44.450311509888174</v>
      </c>
      <c r="AG95" s="882">
        <v>48.212479089381802</v>
      </c>
      <c r="AH95" s="882">
        <v>51.974646668875437</v>
      </c>
      <c r="AI95" s="882">
        <v>55.736814248369072</v>
      </c>
      <c r="AJ95" s="882">
        <v>59.4989818278627</v>
      </c>
      <c r="AK95" s="882">
        <v>63.261149407356342</v>
      </c>
      <c r="AL95" s="882">
        <v>67.023316986849977</v>
      </c>
      <c r="AM95" s="882">
        <v>70.785484566343612</v>
      </c>
      <c r="AN95" s="882">
        <v>74.547652145837247</v>
      </c>
      <c r="AO95" s="882">
        <v>78.309819725330897</v>
      </c>
      <c r="AP95" s="882">
        <v>82.071987304824532</v>
      </c>
      <c r="AQ95" s="882">
        <v>85.834154884318181</v>
      </c>
      <c r="AR95" s="882">
        <v>89.596322463811816</v>
      </c>
      <c r="AS95" s="882">
        <v>93.358490043305437</v>
      </c>
      <c r="AT95" s="882">
        <v>97.120657622799058</v>
      </c>
    </row>
    <row r="96" spans="1:46">
      <c r="A96" s="1426"/>
      <c r="B96" s="1427"/>
      <c r="C96" s="887">
        <v>1.5</v>
      </c>
      <c r="D96" s="902">
        <f>(AA96*KFC!$B$16+KFC!$C$16)*KFC!$C$5</f>
        <v>26.302467031616249</v>
      </c>
      <c r="E96" s="898">
        <f>(AB96*KFC!$B$16+KFC!$C$16)*KFC!$C$5</f>
        <v>30.20853004006986</v>
      </c>
      <c r="F96" s="898">
        <f>(AC96*KFC!$B$16+KFC!$C$16)*KFC!$C$5</f>
        <v>34.114593048523467</v>
      </c>
      <c r="G96" s="898">
        <f>(AD96*KFC!$B$16+KFC!$C$16)*KFC!$C$5</f>
        <v>38.020656056977074</v>
      </c>
      <c r="H96" s="898">
        <f>(AE96*KFC!$B$16+KFC!$C$16)*KFC!$C$5</f>
        <v>41.926719065430689</v>
      </c>
      <c r="I96" s="898">
        <f>(AF96*KFC!$B$16+KFC!$C$16)*KFC!$C$5</f>
        <v>45.832782073884296</v>
      </c>
      <c r="J96" s="898">
        <f>(AG96*KFC!$B$16+KFC!$C$16)*KFC!$C$5</f>
        <v>49.738845082337896</v>
      </c>
      <c r="K96" s="898">
        <f>(AH96*KFC!$B$16+KFC!$C$16)*KFC!$C$5</f>
        <v>53.64490809079151</v>
      </c>
      <c r="L96" s="898">
        <f>(AI96*KFC!$B$16+KFC!$C$16)*KFC!$C$5</f>
        <v>57.550971099245118</v>
      </c>
      <c r="M96" s="898">
        <f>(AJ96*KFC!$B$16+KFC!$C$16)*KFC!$C$5</f>
        <v>61.457034107698732</v>
      </c>
      <c r="N96" s="898">
        <f>(AK96*KFC!$B$16+KFC!$C$16)*KFC!$C$5</f>
        <v>65.363097116152332</v>
      </c>
      <c r="O96" s="898">
        <f>(AL96*KFC!$B$16+KFC!$C$16)*KFC!$C$5</f>
        <v>69.269160124605932</v>
      </c>
      <c r="P96" s="898">
        <f>(AM96*KFC!$B$16+KFC!$C$16)*KFC!$C$5</f>
        <v>73.175223133059546</v>
      </c>
      <c r="Q96" s="898">
        <f>(AN96*KFC!$B$16+KFC!$C$16)*KFC!$C$5</f>
        <v>77.081286141513161</v>
      </c>
      <c r="R96" s="898">
        <f>(AO96*KFC!$B$16+KFC!$C$16)*KFC!$C$5</f>
        <v>80.987349149966761</v>
      </c>
      <c r="S96" s="898">
        <f>(AP96*KFC!$B$16+KFC!$C$16)*KFC!$C$5</f>
        <v>84.893412158420375</v>
      </c>
      <c r="T96" s="898">
        <f>(AQ96*KFC!$B$16+KFC!$C$16)*KFC!$C$5</f>
        <v>88.799475166873989</v>
      </c>
      <c r="U96" s="898">
        <f>(AR96*KFC!$B$16+KFC!$C$16)*KFC!$C$5</f>
        <v>92.705538175327604</v>
      </c>
      <c r="V96" s="898">
        <f>(AS96*KFC!$B$16+KFC!$C$16)*KFC!$C$5</f>
        <v>96.61160118378119</v>
      </c>
      <c r="W96" s="903">
        <f>(AT96*KFC!$B$16+KFC!$C$16)*KFC!$C$5</f>
        <v>100.5176641922348</v>
      </c>
      <c r="Y96" s="1277"/>
      <c r="Z96" s="649">
        <v>1.5</v>
      </c>
      <c r="AA96" s="882">
        <v>26.302467031616249</v>
      </c>
      <c r="AB96" s="882">
        <v>30.20853004006986</v>
      </c>
      <c r="AC96" s="882">
        <v>34.114593048523467</v>
      </c>
      <c r="AD96" s="882">
        <v>38.020656056977074</v>
      </c>
      <c r="AE96" s="882">
        <v>41.926719065430689</v>
      </c>
      <c r="AF96" s="882">
        <v>45.832782073884296</v>
      </c>
      <c r="AG96" s="882">
        <v>49.738845082337896</v>
      </c>
      <c r="AH96" s="882">
        <v>53.64490809079151</v>
      </c>
      <c r="AI96" s="882">
        <v>57.550971099245118</v>
      </c>
      <c r="AJ96" s="882">
        <v>61.457034107698732</v>
      </c>
      <c r="AK96" s="882">
        <v>65.363097116152332</v>
      </c>
      <c r="AL96" s="882">
        <v>69.269160124605932</v>
      </c>
      <c r="AM96" s="882">
        <v>73.175223133059546</v>
      </c>
      <c r="AN96" s="882">
        <v>77.081286141513161</v>
      </c>
      <c r="AO96" s="882">
        <v>80.987349149966761</v>
      </c>
      <c r="AP96" s="882">
        <v>84.893412158420375</v>
      </c>
      <c r="AQ96" s="882">
        <v>88.799475166873989</v>
      </c>
      <c r="AR96" s="882">
        <v>92.705538175327604</v>
      </c>
      <c r="AS96" s="882">
        <v>96.61160118378119</v>
      </c>
      <c r="AT96" s="882">
        <v>100.5176641922348</v>
      </c>
    </row>
    <row r="97" spans="1:46">
      <c r="A97" s="1426"/>
      <c r="B97" s="1427"/>
      <c r="C97" s="887">
        <v>1.6</v>
      </c>
      <c r="D97" s="902">
        <f>(AA97*KFC!$B$16+KFC!$C$16)*KFC!$C$5</f>
        <v>26.9654604508125</v>
      </c>
      <c r="E97" s="898">
        <f>(AB97*KFC!$B$16+KFC!$C$16)*KFC!$C$5</f>
        <v>31.015418888226083</v>
      </c>
      <c r="F97" s="898">
        <f>(AC97*KFC!$B$16+KFC!$C$16)*KFC!$C$5</f>
        <v>35.065377325639666</v>
      </c>
      <c r="G97" s="898">
        <f>(AD97*KFC!$B$16+KFC!$C$16)*KFC!$C$5</f>
        <v>39.115335763053253</v>
      </c>
      <c r="H97" s="898">
        <f>(AE97*KFC!$B$16+KFC!$C$16)*KFC!$C$5</f>
        <v>43.165294200466839</v>
      </c>
      <c r="I97" s="898">
        <f>(AF97*KFC!$B$16+KFC!$C$16)*KFC!$C$5</f>
        <v>47.215252637880418</v>
      </c>
      <c r="J97" s="898">
        <f>(AG97*KFC!$B$16+KFC!$C$16)*KFC!$C$5</f>
        <v>51.26521107529399</v>
      </c>
      <c r="K97" s="898">
        <f>(AH97*KFC!$B$16+KFC!$C$16)*KFC!$C$5</f>
        <v>55.315169512707584</v>
      </c>
      <c r="L97" s="898">
        <f>(AI97*KFC!$B$16+KFC!$C$16)*KFC!$C$5</f>
        <v>59.36512795012117</v>
      </c>
      <c r="M97" s="898">
        <f>(AJ97*KFC!$B$16+KFC!$C$16)*KFC!$C$5</f>
        <v>63.41508638753475</v>
      </c>
      <c r="N97" s="898">
        <f>(AK97*KFC!$B$16+KFC!$C$16)*KFC!$C$5</f>
        <v>67.465044824948336</v>
      </c>
      <c r="O97" s="898">
        <f>(AL97*KFC!$B$16+KFC!$C$16)*KFC!$C$5</f>
        <v>71.515003262361915</v>
      </c>
      <c r="P97" s="898">
        <f>(AM97*KFC!$B$16+KFC!$C$16)*KFC!$C$5</f>
        <v>75.564961699775523</v>
      </c>
      <c r="Q97" s="898">
        <f>(AN97*KFC!$B$16+KFC!$C$16)*KFC!$C$5</f>
        <v>79.614920137189102</v>
      </c>
      <c r="R97" s="898">
        <f>(AO97*KFC!$B$16+KFC!$C$16)*KFC!$C$5</f>
        <v>83.664878574602696</v>
      </c>
      <c r="S97" s="898">
        <f>(AP97*KFC!$B$16+KFC!$C$16)*KFC!$C$5</f>
        <v>87.714837012016289</v>
      </c>
      <c r="T97" s="898">
        <f>(AQ97*KFC!$B$16+KFC!$C$16)*KFC!$C$5</f>
        <v>91.764795449429869</v>
      </c>
      <c r="U97" s="898">
        <f>(AR97*KFC!$B$16+KFC!$C$16)*KFC!$C$5</f>
        <v>95.814753886843462</v>
      </c>
      <c r="V97" s="898">
        <f>(AS97*KFC!$B$16+KFC!$C$16)*KFC!$C$5</f>
        <v>99.86471232425707</v>
      </c>
      <c r="W97" s="903">
        <f>(AT97*KFC!$B$16+KFC!$C$16)*KFC!$C$5</f>
        <v>103.91467076167055</v>
      </c>
      <c r="Y97" s="1277"/>
      <c r="Z97" s="649">
        <v>1.6</v>
      </c>
      <c r="AA97" s="882">
        <v>26.9654604508125</v>
      </c>
      <c r="AB97" s="882">
        <v>31.015418888226083</v>
      </c>
      <c r="AC97" s="882">
        <v>35.065377325639666</v>
      </c>
      <c r="AD97" s="882">
        <v>39.115335763053253</v>
      </c>
      <c r="AE97" s="882">
        <v>43.165294200466839</v>
      </c>
      <c r="AF97" s="882">
        <v>47.215252637880418</v>
      </c>
      <c r="AG97" s="882">
        <v>51.26521107529399</v>
      </c>
      <c r="AH97" s="882">
        <v>55.315169512707584</v>
      </c>
      <c r="AI97" s="882">
        <v>59.36512795012117</v>
      </c>
      <c r="AJ97" s="882">
        <v>63.41508638753475</v>
      </c>
      <c r="AK97" s="882">
        <v>67.465044824948336</v>
      </c>
      <c r="AL97" s="882">
        <v>71.515003262361915</v>
      </c>
      <c r="AM97" s="882">
        <v>75.564961699775523</v>
      </c>
      <c r="AN97" s="882">
        <v>79.614920137189102</v>
      </c>
      <c r="AO97" s="882">
        <v>83.664878574602696</v>
      </c>
      <c r="AP97" s="882">
        <v>87.714837012016289</v>
      </c>
      <c r="AQ97" s="882">
        <v>91.764795449429869</v>
      </c>
      <c r="AR97" s="882">
        <v>95.814753886843462</v>
      </c>
      <c r="AS97" s="882">
        <v>99.86471232425707</v>
      </c>
      <c r="AT97" s="882">
        <v>103.91467076167055</v>
      </c>
    </row>
    <row r="98" spans="1:46">
      <c r="A98" s="1426"/>
      <c r="B98" s="1427"/>
      <c r="C98" s="887">
        <v>1.7</v>
      </c>
      <c r="D98" s="902">
        <f>(AA98*KFC!$B$16+KFC!$C$16)*KFC!$C$5</f>
        <v>27.628453870008752</v>
      </c>
      <c r="E98" s="898">
        <f>(AB98*KFC!$B$16+KFC!$C$16)*KFC!$C$5</f>
        <v>31.822307736382303</v>
      </c>
      <c r="F98" s="898">
        <f>(AC98*KFC!$B$16+KFC!$C$16)*KFC!$C$5</f>
        <v>36.016161602755858</v>
      </c>
      <c r="G98" s="898">
        <f>(AD98*KFC!$B$16+KFC!$C$16)*KFC!$C$5</f>
        <v>40.210015469129424</v>
      </c>
      <c r="H98" s="898">
        <f>(AE98*KFC!$B$16+KFC!$C$16)*KFC!$C$5</f>
        <v>44.403869335502975</v>
      </c>
      <c r="I98" s="898">
        <f>(AF98*KFC!$B$16+KFC!$C$16)*KFC!$C$5</f>
        <v>48.597723201876533</v>
      </c>
      <c r="J98" s="898">
        <f>(AG98*KFC!$B$16+KFC!$C$16)*KFC!$C$5</f>
        <v>52.791577068250099</v>
      </c>
      <c r="K98" s="898">
        <f>(AH98*KFC!$B$16+KFC!$C$16)*KFC!$C$5</f>
        <v>56.985430934623651</v>
      </c>
      <c r="L98" s="898">
        <f>(AI98*KFC!$B$16+KFC!$C$16)*KFC!$C$5</f>
        <v>61.179284800997209</v>
      </c>
      <c r="M98" s="898">
        <f>(AJ98*KFC!$B$16+KFC!$C$16)*KFC!$C$5</f>
        <v>65.373138667370768</v>
      </c>
      <c r="N98" s="898">
        <f>(AK98*KFC!$B$16+KFC!$C$16)*KFC!$C$5</f>
        <v>69.566992533744312</v>
      </c>
      <c r="O98" s="898">
        <f>(AL98*KFC!$B$16+KFC!$C$16)*KFC!$C$5</f>
        <v>73.76084640011787</v>
      </c>
      <c r="P98" s="898">
        <f>(AM98*KFC!$B$16+KFC!$C$16)*KFC!$C$5</f>
        <v>77.954700266491429</v>
      </c>
      <c r="Q98" s="898">
        <f>(AN98*KFC!$B$16+KFC!$C$16)*KFC!$C$5</f>
        <v>82.148554132864987</v>
      </c>
      <c r="R98" s="898">
        <f>(AO98*KFC!$B$16+KFC!$C$16)*KFC!$C$5</f>
        <v>86.342407999238532</v>
      </c>
      <c r="S98" s="898">
        <f>(AP98*KFC!$B$16+KFC!$C$16)*KFC!$C$5</f>
        <v>90.53626186561209</v>
      </c>
      <c r="T98" s="898">
        <f>(AQ98*KFC!$B$16+KFC!$C$16)*KFC!$C$5</f>
        <v>94.730115731985663</v>
      </c>
      <c r="U98" s="898">
        <f>(AR98*KFC!$B$16+KFC!$C$16)*KFC!$C$5</f>
        <v>98.923969598359221</v>
      </c>
      <c r="V98" s="898">
        <f>(AS98*KFC!$B$16+KFC!$C$16)*KFC!$C$5</f>
        <v>103.11782346473278</v>
      </c>
      <c r="W98" s="903">
        <f>(AT98*KFC!$B$16+KFC!$C$16)*KFC!$C$5</f>
        <v>107.31167733110632</v>
      </c>
      <c r="Y98" s="1277"/>
      <c r="Z98" s="649">
        <v>1.7</v>
      </c>
      <c r="AA98" s="882">
        <v>27.628453870008752</v>
      </c>
      <c r="AB98" s="882">
        <v>31.822307736382303</v>
      </c>
      <c r="AC98" s="882">
        <v>36.016161602755858</v>
      </c>
      <c r="AD98" s="882">
        <v>40.210015469129424</v>
      </c>
      <c r="AE98" s="882">
        <v>44.403869335502975</v>
      </c>
      <c r="AF98" s="882">
        <v>48.597723201876533</v>
      </c>
      <c r="AG98" s="882">
        <v>52.791577068250099</v>
      </c>
      <c r="AH98" s="882">
        <v>56.985430934623651</v>
      </c>
      <c r="AI98" s="882">
        <v>61.179284800997209</v>
      </c>
      <c r="AJ98" s="882">
        <v>65.373138667370768</v>
      </c>
      <c r="AK98" s="882">
        <v>69.566992533744312</v>
      </c>
      <c r="AL98" s="882">
        <v>73.76084640011787</v>
      </c>
      <c r="AM98" s="882">
        <v>77.954700266491429</v>
      </c>
      <c r="AN98" s="882">
        <v>82.148554132864987</v>
      </c>
      <c r="AO98" s="882">
        <v>86.342407999238532</v>
      </c>
      <c r="AP98" s="882">
        <v>90.53626186561209</v>
      </c>
      <c r="AQ98" s="882">
        <v>94.730115731985663</v>
      </c>
      <c r="AR98" s="882">
        <v>98.923969598359221</v>
      </c>
      <c r="AS98" s="882">
        <v>103.11782346473278</v>
      </c>
      <c r="AT98" s="882">
        <v>107.31167733110632</v>
      </c>
    </row>
    <row r="99" spans="1:46">
      <c r="A99" s="1426"/>
      <c r="B99" s="1427"/>
      <c r="C99" s="887">
        <v>1.8</v>
      </c>
      <c r="D99" s="902">
        <f>(AA99*KFC!$B$16+KFC!$C$16)*KFC!$C$5</f>
        <v>28.291447289205003</v>
      </c>
      <c r="E99" s="898">
        <f>(AB99*KFC!$B$16+KFC!$C$16)*KFC!$C$5</f>
        <v>32.629196584538533</v>
      </c>
      <c r="F99" s="898">
        <f>(AC99*KFC!$B$16+KFC!$C$16)*KFC!$C$5</f>
        <v>36.966945879872064</v>
      </c>
      <c r="G99" s="898">
        <f>(AD99*KFC!$B$16+KFC!$C$16)*KFC!$C$5</f>
        <v>41.304695175205595</v>
      </c>
      <c r="H99" s="898">
        <f>(AE99*KFC!$B$16+KFC!$C$16)*KFC!$C$5</f>
        <v>45.642444470539132</v>
      </c>
      <c r="I99" s="898">
        <f>(AF99*KFC!$B$16+KFC!$C$16)*KFC!$C$5</f>
        <v>49.980193765872656</v>
      </c>
      <c r="J99" s="898">
        <f>(AG99*KFC!$B$16+KFC!$C$16)*KFC!$C$5</f>
        <v>54.317943061206194</v>
      </c>
      <c r="K99" s="898">
        <f>(AH99*KFC!$B$16+KFC!$C$16)*KFC!$C$5</f>
        <v>58.655692356539731</v>
      </c>
      <c r="L99" s="898">
        <f>(AI99*KFC!$B$16+KFC!$C$16)*KFC!$C$5</f>
        <v>62.993441651873255</v>
      </c>
      <c r="M99" s="898">
        <f>(AJ99*KFC!$B$16+KFC!$C$16)*KFC!$C$5</f>
        <v>67.331190947206778</v>
      </c>
      <c r="N99" s="898">
        <f>(AK99*KFC!$B$16+KFC!$C$16)*KFC!$C$5</f>
        <v>71.668940242540302</v>
      </c>
      <c r="O99" s="898">
        <f>(AL99*KFC!$B$16+KFC!$C$16)*KFC!$C$5</f>
        <v>76.006689537873839</v>
      </c>
      <c r="P99" s="898">
        <f>(AM99*KFC!$B$16+KFC!$C$16)*KFC!$C$5</f>
        <v>80.344438833207363</v>
      </c>
      <c r="Q99" s="898">
        <f>(AN99*KFC!$B$16+KFC!$C$16)*KFC!$C$5</f>
        <v>84.682188128540886</v>
      </c>
      <c r="R99" s="898">
        <f>(AO99*KFC!$B$16+KFC!$C$16)*KFC!$C$5</f>
        <v>89.01993742387441</v>
      </c>
      <c r="S99" s="898">
        <f>(AP99*KFC!$B$16+KFC!$C$16)*KFC!$C$5</f>
        <v>93.357686719207919</v>
      </c>
      <c r="T99" s="898">
        <f>(AQ99*KFC!$B$16+KFC!$C$16)*KFC!$C$5</f>
        <v>97.695436014541443</v>
      </c>
      <c r="U99" s="898">
        <f>(AR99*KFC!$B$16+KFC!$C$16)*KFC!$C$5</f>
        <v>102.03318530987497</v>
      </c>
      <c r="V99" s="898">
        <f>(AS99*KFC!$B$16+KFC!$C$16)*KFC!$C$5</f>
        <v>106.37093460520852</v>
      </c>
      <c r="W99" s="903">
        <f>(AT99*KFC!$B$16+KFC!$C$16)*KFC!$C$5</f>
        <v>110.70868390054206</v>
      </c>
      <c r="Y99" s="1277"/>
      <c r="Z99" s="649">
        <v>1.8</v>
      </c>
      <c r="AA99" s="882">
        <v>28.291447289205003</v>
      </c>
      <c r="AB99" s="882">
        <v>32.629196584538533</v>
      </c>
      <c r="AC99" s="882">
        <v>36.966945879872064</v>
      </c>
      <c r="AD99" s="882">
        <v>41.304695175205595</v>
      </c>
      <c r="AE99" s="882">
        <v>45.642444470539132</v>
      </c>
      <c r="AF99" s="882">
        <v>49.980193765872656</v>
      </c>
      <c r="AG99" s="882">
        <v>54.317943061206194</v>
      </c>
      <c r="AH99" s="882">
        <v>58.655692356539731</v>
      </c>
      <c r="AI99" s="882">
        <v>62.993441651873255</v>
      </c>
      <c r="AJ99" s="882">
        <v>67.331190947206778</v>
      </c>
      <c r="AK99" s="882">
        <v>71.668940242540302</v>
      </c>
      <c r="AL99" s="882">
        <v>76.006689537873839</v>
      </c>
      <c r="AM99" s="882">
        <v>80.344438833207363</v>
      </c>
      <c r="AN99" s="882">
        <v>84.682188128540886</v>
      </c>
      <c r="AO99" s="882">
        <v>89.01993742387441</v>
      </c>
      <c r="AP99" s="882">
        <v>93.357686719207919</v>
      </c>
      <c r="AQ99" s="882">
        <v>97.695436014541443</v>
      </c>
      <c r="AR99" s="882">
        <v>102.03318530987497</v>
      </c>
      <c r="AS99" s="882">
        <v>106.37093460520852</v>
      </c>
      <c r="AT99" s="882">
        <v>110.70868390054206</v>
      </c>
    </row>
    <row r="100" spans="1:46">
      <c r="A100" s="1426"/>
      <c r="B100" s="1427"/>
      <c r="C100" s="887">
        <v>1.9</v>
      </c>
      <c r="D100" s="902">
        <f>(AA100*KFC!$B$16+KFC!$C$16)*KFC!$C$5</f>
        <v>28.954440708401254</v>
      </c>
      <c r="E100" s="898">
        <f>(AB100*KFC!$B$16+KFC!$C$16)*KFC!$C$5</f>
        <v>33.436085432694753</v>
      </c>
      <c r="F100" s="898">
        <f>(AC100*KFC!$B$16+KFC!$C$16)*KFC!$C$5</f>
        <v>37.917730156988263</v>
      </c>
      <c r="G100" s="898">
        <f>(AD100*KFC!$B$16+KFC!$C$16)*KFC!$C$5</f>
        <v>42.399374881281766</v>
      </c>
      <c r="H100" s="898">
        <f>(AE100*KFC!$B$16+KFC!$C$16)*KFC!$C$5</f>
        <v>46.881019605575275</v>
      </c>
      <c r="I100" s="898">
        <f>(AF100*KFC!$B$16+KFC!$C$16)*KFC!$C$5</f>
        <v>51.362664329868778</v>
      </c>
      <c r="J100" s="898">
        <f>(AG100*KFC!$B$16+KFC!$C$16)*KFC!$C$5</f>
        <v>55.844309054162288</v>
      </c>
      <c r="K100" s="898">
        <f>(AH100*KFC!$B$16+KFC!$C$16)*KFC!$C$5</f>
        <v>60.325953778455798</v>
      </c>
      <c r="L100" s="898">
        <f>(AI100*KFC!$B$16+KFC!$C$16)*KFC!$C$5</f>
        <v>64.8075985027493</v>
      </c>
      <c r="M100" s="898">
        <f>(AJ100*KFC!$B$16+KFC!$C$16)*KFC!$C$5</f>
        <v>69.289243227042803</v>
      </c>
      <c r="N100" s="898">
        <f>(AK100*KFC!$B$16+KFC!$C$16)*KFC!$C$5</f>
        <v>73.770887951336306</v>
      </c>
      <c r="O100" s="898">
        <f>(AL100*KFC!$B$16+KFC!$C$16)*KFC!$C$5</f>
        <v>78.252532675629823</v>
      </c>
      <c r="P100" s="898">
        <f>(AM100*KFC!$B$16+KFC!$C$16)*KFC!$C$5</f>
        <v>82.734177399923325</v>
      </c>
      <c r="Q100" s="898">
        <f>(AN100*KFC!$B$16+KFC!$C$16)*KFC!$C$5</f>
        <v>87.215822124216842</v>
      </c>
      <c r="R100" s="898">
        <f>(AO100*KFC!$B$16+KFC!$C$16)*KFC!$C$5</f>
        <v>91.697466848510331</v>
      </c>
      <c r="S100" s="898">
        <f>(AP100*KFC!$B$16+KFC!$C$16)*KFC!$C$5</f>
        <v>96.179111572803862</v>
      </c>
      <c r="T100" s="898">
        <f>(AQ100*KFC!$B$16+KFC!$C$16)*KFC!$C$5</f>
        <v>100.66075629709735</v>
      </c>
      <c r="U100" s="898">
        <f>(AR100*KFC!$B$16+KFC!$C$16)*KFC!$C$5</f>
        <v>105.14240102139085</v>
      </c>
      <c r="V100" s="898">
        <f>(AS100*KFC!$B$16+KFC!$C$16)*KFC!$C$5</f>
        <v>109.62404574568437</v>
      </c>
      <c r="W100" s="903">
        <f>(AT100*KFC!$B$16+KFC!$C$16)*KFC!$C$5</f>
        <v>114.10569046997784</v>
      </c>
      <c r="Y100" s="1277"/>
      <c r="Z100" s="649">
        <v>1.9</v>
      </c>
      <c r="AA100" s="882">
        <v>28.954440708401254</v>
      </c>
      <c r="AB100" s="882">
        <v>33.436085432694753</v>
      </c>
      <c r="AC100" s="882">
        <v>37.917730156988263</v>
      </c>
      <c r="AD100" s="882">
        <v>42.399374881281766</v>
      </c>
      <c r="AE100" s="882">
        <v>46.881019605575275</v>
      </c>
      <c r="AF100" s="882">
        <v>51.362664329868778</v>
      </c>
      <c r="AG100" s="882">
        <v>55.844309054162288</v>
      </c>
      <c r="AH100" s="882">
        <v>60.325953778455798</v>
      </c>
      <c r="AI100" s="882">
        <v>64.8075985027493</v>
      </c>
      <c r="AJ100" s="882">
        <v>69.289243227042803</v>
      </c>
      <c r="AK100" s="882">
        <v>73.770887951336306</v>
      </c>
      <c r="AL100" s="882">
        <v>78.252532675629823</v>
      </c>
      <c r="AM100" s="882">
        <v>82.734177399923325</v>
      </c>
      <c r="AN100" s="882">
        <v>87.215822124216842</v>
      </c>
      <c r="AO100" s="882">
        <v>91.697466848510331</v>
      </c>
      <c r="AP100" s="882">
        <v>96.179111572803862</v>
      </c>
      <c r="AQ100" s="882">
        <v>100.66075629709735</v>
      </c>
      <c r="AR100" s="882">
        <v>105.14240102139085</v>
      </c>
      <c r="AS100" s="882">
        <v>109.62404574568437</v>
      </c>
      <c r="AT100" s="882">
        <v>114.10569046997784</v>
      </c>
    </row>
    <row r="101" spans="1:46">
      <c r="A101" s="1426"/>
      <c r="B101" s="1427"/>
      <c r="C101" s="887">
        <v>2</v>
      </c>
      <c r="D101" s="902">
        <f>(AA101*KFC!$B$16+KFC!$C$16)*KFC!$C$5</f>
        <v>29.617434127597498</v>
      </c>
      <c r="E101" s="898">
        <f>(AB101*KFC!$B$16+KFC!$C$16)*KFC!$C$5</f>
        <v>34.24297428085098</v>
      </c>
      <c r="F101" s="898">
        <f>(AC101*KFC!$B$16+KFC!$C$16)*KFC!$C$5</f>
        <v>38.868514434104462</v>
      </c>
      <c r="G101" s="898">
        <f>(AD101*KFC!$B$16+KFC!$C$16)*KFC!$C$5</f>
        <v>43.49405458735793</v>
      </c>
      <c r="H101" s="898">
        <f>(AE101*KFC!$B$16+KFC!$C$16)*KFC!$C$5</f>
        <v>48.119594740611404</v>
      </c>
      <c r="I101" s="898">
        <f>(AF101*KFC!$B$16+KFC!$C$16)*KFC!$C$5</f>
        <v>52.745134893864879</v>
      </c>
      <c r="J101" s="898">
        <f>(AG101*KFC!$B$16+KFC!$C$16)*KFC!$C$5</f>
        <v>57.370675047118354</v>
      </c>
      <c r="K101" s="898">
        <f>(AH101*KFC!$B$16+KFC!$C$16)*KFC!$C$5</f>
        <v>61.996215200371836</v>
      </c>
      <c r="L101" s="898">
        <f>(AI101*KFC!$B$16+KFC!$C$16)*KFC!$C$5</f>
        <v>66.621755353625318</v>
      </c>
      <c r="M101" s="898">
        <f>(AJ101*KFC!$B$16+KFC!$C$16)*KFC!$C$5</f>
        <v>71.247295506878785</v>
      </c>
      <c r="N101" s="898">
        <f>(AK101*KFC!$B$16+KFC!$C$16)*KFC!$C$5</f>
        <v>75.872835660132267</v>
      </c>
      <c r="O101" s="898">
        <f>(AL101*KFC!$B$16+KFC!$C$16)*KFC!$C$5</f>
        <v>80.498375813385735</v>
      </c>
      <c r="P101" s="898">
        <f>(AM101*KFC!$B$16+KFC!$C$16)*KFC!$C$5</f>
        <v>85.123915966639203</v>
      </c>
      <c r="Q101" s="898">
        <f>(AN101*KFC!$B$16+KFC!$C$16)*KFC!$C$5</f>
        <v>89.749456119892699</v>
      </c>
      <c r="R101" s="898">
        <f>(AO101*KFC!$B$16+KFC!$C$16)*KFC!$C$5</f>
        <v>94.374996273146152</v>
      </c>
      <c r="S101" s="898">
        <f>(AP101*KFC!$B$16+KFC!$C$16)*KFC!$C$5</f>
        <v>99.000536426399648</v>
      </c>
      <c r="T101" s="898">
        <f>(AQ101*KFC!$B$16+KFC!$C$16)*KFC!$C$5</f>
        <v>103.62607657965312</v>
      </c>
      <c r="U101" s="898">
        <f>(AR101*KFC!$B$16+KFC!$C$16)*KFC!$C$5</f>
        <v>108.2516167329066</v>
      </c>
      <c r="V101" s="898">
        <f>(AS101*KFC!$B$16+KFC!$C$16)*KFC!$C$5</f>
        <v>112.87715688616007</v>
      </c>
      <c r="W101" s="903">
        <f>(AT101*KFC!$B$16+KFC!$C$16)*KFC!$C$5</f>
        <v>117.50269703941358</v>
      </c>
      <c r="Y101" s="1277"/>
      <c r="Z101" s="649">
        <v>2</v>
      </c>
      <c r="AA101" s="882">
        <v>29.617434127597498</v>
      </c>
      <c r="AB101" s="882">
        <v>34.24297428085098</v>
      </c>
      <c r="AC101" s="882">
        <v>38.868514434104462</v>
      </c>
      <c r="AD101" s="882">
        <v>43.49405458735793</v>
      </c>
      <c r="AE101" s="882">
        <v>48.119594740611404</v>
      </c>
      <c r="AF101" s="882">
        <v>52.745134893864879</v>
      </c>
      <c r="AG101" s="882">
        <v>57.370675047118354</v>
      </c>
      <c r="AH101" s="882">
        <v>61.996215200371836</v>
      </c>
      <c r="AI101" s="882">
        <v>66.621755353625318</v>
      </c>
      <c r="AJ101" s="882">
        <v>71.247295506878785</v>
      </c>
      <c r="AK101" s="882">
        <v>75.872835660132267</v>
      </c>
      <c r="AL101" s="882">
        <v>80.498375813385735</v>
      </c>
      <c r="AM101" s="882">
        <v>85.123915966639203</v>
      </c>
      <c r="AN101" s="882">
        <v>89.749456119892699</v>
      </c>
      <c r="AO101" s="882">
        <v>94.374996273146152</v>
      </c>
      <c r="AP101" s="882">
        <v>99.000536426399648</v>
      </c>
      <c r="AQ101" s="882">
        <v>103.62607657965312</v>
      </c>
      <c r="AR101" s="882">
        <v>108.2516167329066</v>
      </c>
      <c r="AS101" s="882">
        <v>112.87715688616007</v>
      </c>
      <c r="AT101" s="882">
        <v>117.50269703941358</v>
      </c>
    </row>
    <row r="102" spans="1:46">
      <c r="A102" s="1426"/>
      <c r="B102" s="1427"/>
      <c r="C102" s="887">
        <v>2.1</v>
      </c>
      <c r="D102" s="902">
        <f>(AA102*KFC!$B$16+KFC!$C$16)*KFC!$C$5</f>
        <v>30.280427546793749</v>
      </c>
      <c r="E102" s="898">
        <f>(AB102*KFC!$B$16+KFC!$C$16)*KFC!$C$5</f>
        <v>35.049863129007207</v>
      </c>
      <c r="F102" s="898">
        <f>(AC102*KFC!$B$16+KFC!$C$16)*KFC!$C$5</f>
        <v>39.819298711220654</v>
      </c>
      <c r="G102" s="898">
        <f>(AD102*KFC!$B$16+KFC!$C$16)*KFC!$C$5</f>
        <v>44.588734293434108</v>
      </c>
      <c r="H102" s="898">
        <f>(AE102*KFC!$B$16+KFC!$C$16)*KFC!$C$5</f>
        <v>49.358169875647555</v>
      </c>
      <c r="I102" s="898">
        <f>(AF102*KFC!$B$16+KFC!$C$16)*KFC!$C$5</f>
        <v>54.127605457861002</v>
      </c>
      <c r="J102" s="898">
        <f>(AG102*KFC!$B$16+KFC!$C$16)*KFC!$C$5</f>
        <v>58.897041040074448</v>
      </c>
      <c r="K102" s="898">
        <f>(AH102*KFC!$B$16+KFC!$C$16)*KFC!$C$5</f>
        <v>63.666476622287895</v>
      </c>
      <c r="L102" s="898">
        <f>(AI102*KFC!$B$16+KFC!$C$16)*KFC!$C$5</f>
        <v>68.435912204501349</v>
      </c>
      <c r="M102" s="898">
        <f>(AJ102*KFC!$B$16+KFC!$C$16)*KFC!$C$5</f>
        <v>73.20534778671481</v>
      </c>
      <c r="N102" s="898">
        <f>(AK102*KFC!$B$16+KFC!$C$16)*KFC!$C$5</f>
        <v>77.974783368928257</v>
      </c>
      <c r="O102" s="898">
        <f>(AL102*KFC!$B$16+KFC!$C$16)*KFC!$C$5</f>
        <v>82.744218951141718</v>
      </c>
      <c r="P102" s="898">
        <f>(AM102*KFC!$B$16+KFC!$C$16)*KFC!$C$5</f>
        <v>87.513654533355165</v>
      </c>
      <c r="Q102" s="898">
        <f>(AN102*KFC!$B$16+KFC!$C$16)*KFC!$C$5</f>
        <v>92.283090115568626</v>
      </c>
      <c r="R102" s="898">
        <f>(AO102*KFC!$B$16+KFC!$C$16)*KFC!$C$5</f>
        <v>97.052525697782087</v>
      </c>
      <c r="S102" s="898">
        <f>(AP102*KFC!$B$16+KFC!$C$16)*KFC!$C$5</f>
        <v>101.82196127999555</v>
      </c>
      <c r="T102" s="898">
        <f>(AQ102*KFC!$B$16+KFC!$C$16)*KFC!$C$5</f>
        <v>106.591396862209</v>
      </c>
      <c r="U102" s="898">
        <f>(AR102*KFC!$B$16+KFC!$C$16)*KFC!$C$5</f>
        <v>111.36083244442246</v>
      </c>
      <c r="V102" s="898">
        <f>(AS102*KFC!$B$16+KFC!$C$16)*KFC!$C$5</f>
        <v>116.13026802663592</v>
      </c>
      <c r="W102" s="903">
        <f>(AT102*KFC!$B$16+KFC!$C$16)*KFC!$C$5</f>
        <v>120.89970360884934</v>
      </c>
      <c r="Y102" s="1277"/>
      <c r="Z102" s="649">
        <v>2.1</v>
      </c>
      <c r="AA102" s="882">
        <v>30.280427546793749</v>
      </c>
      <c r="AB102" s="882">
        <v>35.049863129007207</v>
      </c>
      <c r="AC102" s="882">
        <v>39.819298711220654</v>
      </c>
      <c r="AD102" s="882">
        <v>44.588734293434108</v>
      </c>
      <c r="AE102" s="882">
        <v>49.358169875647555</v>
      </c>
      <c r="AF102" s="882">
        <v>54.127605457861002</v>
      </c>
      <c r="AG102" s="882">
        <v>58.897041040074448</v>
      </c>
      <c r="AH102" s="882">
        <v>63.666476622287895</v>
      </c>
      <c r="AI102" s="882">
        <v>68.435912204501349</v>
      </c>
      <c r="AJ102" s="882">
        <v>73.20534778671481</v>
      </c>
      <c r="AK102" s="882">
        <v>77.974783368928257</v>
      </c>
      <c r="AL102" s="882">
        <v>82.744218951141718</v>
      </c>
      <c r="AM102" s="882">
        <v>87.513654533355165</v>
      </c>
      <c r="AN102" s="882">
        <v>92.283090115568626</v>
      </c>
      <c r="AO102" s="882">
        <v>97.052525697782087</v>
      </c>
      <c r="AP102" s="882">
        <v>101.82196127999555</v>
      </c>
      <c r="AQ102" s="882">
        <v>106.591396862209</v>
      </c>
      <c r="AR102" s="882">
        <v>111.36083244442246</v>
      </c>
      <c r="AS102" s="882">
        <v>116.13026802663592</v>
      </c>
      <c r="AT102" s="882">
        <v>120.89970360884934</v>
      </c>
    </row>
    <row r="103" spans="1:46" ht="15" thickBot="1">
      <c r="A103" s="1428"/>
      <c r="B103" s="1429"/>
      <c r="C103" s="888">
        <v>2.2000000000000002</v>
      </c>
      <c r="D103" s="904">
        <f>(AA103*KFC!$B$16+KFC!$C$16)*KFC!$C$5</f>
        <v>30.943420965990001</v>
      </c>
      <c r="E103" s="905">
        <f>(AB103*KFC!$B$16+KFC!$C$16)*KFC!$C$5</f>
        <v>35.856751977163427</v>
      </c>
      <c r="F103" s="905">
        <f>(AC103*KFC!$B$16+KFC!$C$16)*KFC!$C$5</f>
        <v>40.770082988336846</v>
      </c>
      <c r="G103" s="905">
        <f>(AD103*KFC!$B$16+KFC!$C$16)*KFC!$C$5</f>
        <v>45.683413999510279</v>
      </c>
      <c r="H103" s="905">
        <f>(AE103*KFC!$B$16+KFC!$C$16)*KFC!$C$5</f>
        <v>50.596745010683698</v>
      </c>
      <c r="I103" s="905">
        <f>(AF103*KFC!$B$16+KFC!$C$16)*KFC!$C$5</f>
        <v>55.510076021857124</v>
      </c>
      <c r="J103" s="905">
        <f>(AG103*KFC!$B$16+KFC!$C$16)*KFC!$C$5</f>
        <v>60.423407033030543</v>
      </c>
      <c r="K103" s="905">
        <f>(AH103*KFC!$B$16+KFC!$C$16)*KFC!$C$5</f>
        <v>65.336738044203969</v>
      </c>
      <c r="L103" s="905">
        <f>(AI103*KFC!$B$16+KFC!$C$16)*KFC!$C$5</f>
        <v>70.250069055377395</v>
      </c>
      <c r="M103" s="905">
        <f>(AJ103*KFC!$B$16+KFC!$C$16)*KFC!$C$5</f>
        <v>75.163400066550807</v>
      </c>
      <c r="N103" s="905">
        <f>(AK103*KFC!$B$16+KFC!$C$16)*KFC!$C$5</f>
        <v>80.076731077724233</v>
      </c>
      <c r="O103" s="905">
        <f>(AL103*KFC!$B$16+KFC!$C$16)*KFC!$C$5</f>
        <v>84.990062088897673</v>
      </c>
      <c r="P103" s="905">
        <f>(AM103*KFC!$B$16+KFC!$C$16)*KFC!$C$5</f>
        <v>89.903393100071099</v>
      </c>
      <c r="Q103" s="905">
        <f>(AN103*KFC!$B$16+KFC!$C$16)*KFC!$C$5</f>
        <v>94.816724111244525</v>
      </c>
      <c r="R103" s="905">
        <f>(AO103*KFC!$B$16+KFC!$C$16)*KFC!$C$5</f>
        <v>99.730055122417937</v>
      </c>
      <c r="S103" s="905">
        <f>(AP103*KFC!$B$16+KFC!$C$16)*KFC!$C$5</f>
        <v>104.64338613359136</v>
      </c>
      <c r="T103" s="905">
        <f>(AQ103*KFC!$B$16+KFC!$C$16)*KFC!$C$5</f>
        <v>109.55671714476479</v>
      </c>
      <c r="U103" s="905">
        <f>(AR103*KFC!$B$16+KFC!$C$16)*KFC!$C$5</f>
        <v>114.47004815593822</v>
      </c>
      <c r="V103" s="905">
        <f>(AS103*KFC!$B$16+KFC!$C$16)*KFC!$C$5</f>
        <v>119.38337916711163</v>
      </c>
      <c r="W103" s="906">
        <f>(AT103*KFC!$B$16+KFC!$C$16)*KFC!$C$5</f>
        <v>124.296710178285</v>
      </c>
      <c r="Y103" s="1277"/>
      <c r="Z103" s="649">
        <v>2.2000000000000002</v>
      </c>
      <c r="AA103" s="882">
        <v>30.943420965990001</v>
      </c>
      <c r="AB103" s="882">
        <v>35.856751977163427</v>
      </c>
      <c r="AC103" s="882">
        <v>40.770082988336846</v>
      </c>
      <c r="AD103" s="882">
        <v>45.683413999510279</v>
      </c>
      <c r="AE103" s="882">
        <v>50.596745010683698</v>
      </c>
      <c r="AF103" s="882">
        <v>55.510076021857124</v>
      </c>
      <c r="AG103" s="882">
        <v>60.423407033030543</v>
      </c>
      <c r="AH103" s="882">
        <v>65.336738044203969</v>
      </c>
      <c r="AI103" s="882">
        <v>70.250069055377395</v>
      </c>
      <c r="AJ103" s="882">
        <v>75.163400066550807</v>
      </c>
      <c r="AK103" s="882">
        <v>80.076731077724233</v>
      </c>
      <c r="AL103" s="882">
        <v>84.990062088897673</v>
      </c>
      <c r="AM103" s="882">
        <v>89.903393100071099</v>
      </c>
      <c r="AN103" s="882">
        <v>94.816724111244525</v>
      </c>
      <c r="AO103" s="882">
        <v>99.730055122417937</v>
      </c>
      <c r="AP103" s="882">
        <v>104.64338613359136</v>
      </c>
      <c r="AQ103" s="882">
        <v>109.55671714476479</v>
      </c>
      <c r="AR103" s="882">
        <v>114.47004815593822</v>
      </c>
      <c r="AS103" s="882">
        <v>119.38337916711163</v>
      </c>
      <c r="AT103" s="882">
        <v>124.296710178285</v>
      </c>
    </row>
    <row r="104" spans="1:46" ht="16.2" thickBot="1">
      <c r="A104" s="380"/>
      <c r="B104" s="380"/>
      <c r="C104" s="380"/>
      <c r="D104" s="380"/>
      <c r="E104" s="380"/>
      <c r="F104" s="380"/>
      <c r="G104" s="380"/>
      <c r="H104" s="380"/>
      <c r="I104" s="380"/>
      <c r="J104" s="380"/>
      <c r="K104" s="380"/>
      <c r="L104" s="380"/>
      <c r="M104" s="380"/>
      <c r="N104" s="380"/>
      <c r="O104" s="380"/>
      <c r="P104" s="380"/>
      <c r="Q104" s="380"/>
      <c r="R104" s="380"/>
      <c r="S104" s="380"/>
      <c r="T104" s="380"/>
      <c r="U104" s="380"/>
      <c r="V104" s="380"/>
      <c r="W104" s="380"/>
    </row>
    <row r="105" spans="1:46" ht="16.5" customHeight="1" thickBot="1">
      <c r="A105" s="1445" t="s">
        <v>448</v>
      </c>
      <c r="B105" s="1446"/>
      <c r="C105" s="1446"/>
      <c r="D105" s="1446"/>
      <c r="E105" s="1446"/>
      <c r="F105" s="1446"/>
      <c r="G105" s="1446"/>
      <c r="H105" s="1446"/>
      <c r="I105" s="1446"/>
      <c r="J105" s="1446"/>
      <c r="K105" s="1446"/>
      <c r="L105" s="1446"/>
      <c r="M105" s="1446"/>
      <c r="N105" s="1446"/>
      <c r="O105" s="1446"/>
      <c r="P105" s="1446"/>
      <c r="Q105" s="1446"/>
      <c r="R105" s="1446"/>
      <c r="S105" s="1446"/>
      <c r="T105" s="1446"/>
      <c r="U105" s="1446"/>
      <c r="V105" s="1446"/>
      <c r="W105" s="1447"/>
    </row>
    <row r="106" spans="1:46" ht="15.6">
      <c r="A106" s="1448"/>
      <c r="B106" s="1449"/>
      <c r="C106" s="1449"/>
      <c r="D106" s="1449"/>
      <c r="E106" s="1449"/>
      <c r="F106" s="1449"/>
      <c r="G106" s="1449"/>
      <c r="H106" s="1449"/>
      <c r="I106" s="1449"/>
      <c r="J106" s="1449"/>
      <c r="K106" s="1450"/>
      <c r="L106" s="1454" t="s">
        <v>449</v>
      </c>
      <c r="M106" s="1455"/>
      <c r="N106" s="1455"/>
      <c r="O106" s="1456"/>
      <c r="P106" s="1457" t="s">
        <v>450</v>
      </c>
      <c r="Q106" s="1458"/>
      <c r="R106" s="1458"/>
      <c r="S106" s="1459"/>
      <c r="T106" s="1454" t="s">
        <v>451</v>
      </c>
      <c r="U106" s="1455"/>
      <c r="V106" s="1455"/>
      <c r="W106" s="1456"/>
    </row>
    <row r="107" spans="1:46" ht="15.6">
      <c r="A107" s="1451"/>
      <c r="B107" s="1452"/>
      <c r="C107" s="1452"/>
      <c r="D107" s="1452"/>
      <c r="E107" s="1452"/>
      <c r="F107" s="1452"/>
      <c r="G107" s="1452"/>
      <c r="H107" s="1452"/>
      <c r="I107" s="1452"/>
      <c r="J107" s="1452"/>
      <c r="K107" s="1453"/>
      <c r="L107" s="1460" t="s">
        <v>452</v>
      </c>
      <c r="M107" s="1461"/>
      <c r="N107" s="1461" t="s">
        <v>453</v>
      </c>
      <c r="O107" s="1462"/>
      <c r="P107" s="1463" t="s">
        <v>452</v>
      </c>
      <c r="Q107" s="1464"/>
      <c r="R107" s="1464" t="s">
        <v>453</v>
      </c>
      <c r="S107" s="1465"/>
      <c r="T107" s="1460" t="s">
        <v>452</v>
      </c>
      <c r="U107" s="1461"/>
      <c r="V107" s="1461" t="s">
        <v>453</v>
      </c>
      <c r="W107" s="1462"/>
    </row>
    <row r="108" spans="1:46" ht="15.6">
      <c r="A108" s="1466" t="s">
        <v>454</v>
      </c>
      <c r="B108" s="1467"/>
      <c r="C108" s="1467"/>
      <c r="D108" s="1467"/>
      <c r="E108" s="1467"/>
      <c r="F108" s="1467"/>
      <c r="G108" s="1467"/>
      <c r="H108" s="1467"/>
      <c r="I108" s="1467"/>
      <c r="J108" s="1467"/>
      <c r="K108" s="1468"/>
      <c r="L108" s="1460">
        <v>23</v>
      </c>
      <c r="M108" s="1461"/>
      <c r="N108" s="1461">
        <v>23</v>
      </c>
      <c r="O108" s="1462"/>
      <c r="P108" s="1463">
        <v>23</v>
      </c>
      <c r="Q108" s="1464"/>
      <c r="R108" s="1464">
        <v>23</v>
      </c>
      <c r="S108" s="1465"/>
      <c r="T108" s="1460">
        <v>23</v>
      </c>
      <c r="U108" s="1461"/>
      <c r="V108" s="1461">
        <v>23</v>
      </c>
      <c r="W108" s="1462"/>
    </row>
    <row r="109" spans="1:46" ht="15.6">
      <c r="A109" s="1466" t="s">
        <v>455</v>
      </c>
      <c r="B109" s="1467"/>
      <c r="C109" s="1467"/>
      <c r="D109" s="1467"/>
      <c r="E109" s="1467"/>
      <c r="F109" s="1467"/>
      <c r="G109" s="1467"/>
      <c r="H109" s="1467"/>
      <c r="I109" s="1467"/>
      <c r="J109" s="1467"/>
      <c r="K109" s="1468"/>
      <c r="L109" s="1460">
        <v>240</v>
      </c>
      <c r="M109" s="1461"/>
      <c r="N109" s="1461">
        <v>170</v>
      </c>
      <c r="O109" s="1462"/>
      <c r="P109" s="1463">
        <v>200</v>
      </c>
      <c r="Q109" s="1464"/>
      <c r="R109" s="1464">
        <v>170</v>
      </c>
      <c r="S109" s="1465"/>
      <c r="T109" s="1460">
        <v>200</v>
      </c>
      <c r="U109" s="1461"/>
      <c r="V109" s="1461">
        <v>170</v>
      </c>
      <c r="W109" s="1462"/>
    </row>
    <row r="110" spans="1:46" ht="18" thickBot="1">
      <c r="A110" s="1475" t="s">
        <v>456</v>
      </c>
      <c r="B110" s="1476"/>
      <c r="C110" s="1476"/>
      <c r="D110" s="1476"/>
      <c r="E110" s="1476"/>
      <c r="F110" s="1476"/>
      <c r="G110" s="1476"/>
      <c r="H110" s="1476"/>
      <c r="I110" s="1476"/>
      <c r="J110" s="1476"/>
      <c r="K110" s="1477"/>
      <c r="L110" s="1478">
        <v>2.5</v>
      </c>
      <c r="M110" s="1479"/>
      <c r="N110" s="1479">
        <v>2.5</v>
      </c>
      <c r="O110" s="1480"/>
      <c r="P110" s="1481">
        <v>2.5</v>
      </c>
      <c r="Q110" s="1482"/>
      <c r="R110" s="1483">
        <v>2</v>
      </c>
      <c r="S110" s="1484"/>
      <c r="T110" s="1478">
        <v>2.5</v>
      </c>
      <c r="U110" s="1479"/>
      <c r="V110" s="1485">
        <v>2</v>
      </c>
      <c r="W110" s="1486"/>
    </row>
    <row r="111" spans="1:46" ht="16.2" thickBot="1">
      <c r="A111" s="6"/>
      <c r="B111" s="1"/>
      <c r="C111" s="379"/>
      <c r="D111" s="381"/>
      <c r="E111" s="381"/>
      <c r="F111" s="381"/>
      <c r="G111" s="381"/>
      <c r="H111" s="381"/>
      <c r="I111" s="380"/>
      <c r="J111" s="380"/>
      <c r="K111" s="380"/>
      <c r="L111" s="380"/>
      <c r="M111" s="380"/>
      <c r="N111" s="380"/>
      <c r="O111" s="380"/>
      <c r="P111" s="380"/>
      <c r="Q111" s="380"/>
      <c r="R111" s="380"/>
      <c r="S111" s="380"/>
      <c r="T111" s="380"/>
      <c r="U111" s="380"/>
      <c r="V111" s="380"/>
      <c r="W111" s="380"/>
    </row>
    <row r="112" spans="1:46" ht="16.2" thickBot="1">
      <c r="A112" s="6" t="s">
        <v>44</v>
      </c>
      <c r="B112" s="1"/>
      <c r="C112" s="379"/>
      <c r="D112" s="382"/>
      <c r="E112" s="382"/>
      <c r="F112" s="382"/>
      <c r="G112" s="382"/>
      <c r="H112" s="382"/>
      <c r="I112" s="382"/>
      <c r="J112" s="380"/>
      <c r="K112" s="380"/>
      <c r="L112" s="380"/>
      <c r="M112" s="380"/>
      <c r="N112" s="380"/>
      <c r="O112" s="380"/>
      <c r="P112" s="380"/>
      <c r="Q112" s="380"/>
      <c r="R112" s="380"/>
      <c r="S112" s="380"/>
      <c r="T112" s="380"/>
      <c r="U112" s="380"/>
      <c r="V112" s="380"/>
      <c r="W112" s="380"/>
    </row>
    <row r="113" spans="1:23" ht="16.2" thickBot="1">
      <c r="A113" s="1487" t="s">
        <v>1229</v>
      </c>
      <c r="B113" s="1488"/>
      <c r="C113" s="1488"/>
      <c r="D113" s="1488"/>
      <c r="E113" s="1488"/>
      <c r="F113" s="1488"/>
      <c r="G113" s="1488"/>
      <c r="H113" s="1488"/>
      <c r="I113" s="1488"/>
      <c r="J113" s="1488"/>
      <c r="K113" s="1489"/>
      <c r="L113" s="1493">
        <f>(1.34*KFC!$B$16+KFC!$C$16)*KFC!$C$5</f>
        <v>1.34</v>
      </c>
      <c r="M113" s="1473" t="s">
        <v>409</v>
      </c>
      <c r="N113" s="380"/>
      <c r="O113" s="380"/>
      <c r="P113" s="380"/>
      <c r="Q113" s="380"/>
      <c r="R113" s="380"/>
      <c r="S113" s="380"/>
      <c r="T113" s="380"/>
      <c r="U113" s="380"/>
      <c r="V113" s="380"/>
      <c r="W113" s="380"/>
    </row>
    <row r="114" spans="1:23" ht="28.5" customHeight="1" thickBot="1">
      <c r="A114" s="1490"/>
      <c r="B114" s="1491"/>
      <c r="C114" s="1491"/>
      <c r="D114" s="1491"/>
      <c r="E114" s="1491"/>
      <c r="F114" s="1491"/>
      <c r="G114" s="1491"/>
      <c r="H114" s="1491"/>
      <c r="I114" s="1491"/>
      <c r="J114" s="1491"/>
      <c r="K114" s="1492"/>
      <c r="L114" s="1494"/>
      <c r="M114" s="1495"/>
      <c r="N114" s="380"/>
      <c r="O114" s="380"/>
      <c r="P114" s="380"/>
      <c r="Q114" s="380"/>
      <c r="R114" s="380"/>
      <c r="S114" s="380"/>
      <c r="T114" s="380"/>
      <c r="U114" s="380"/>
      <c r="V114" s="380"/>
      <c r="W114" s="380"/>
    </row>
    <row r="115" spans="1:23" ht="16.2" thickBot="1">
      <c r="A115" s="895" t="s">
        <v>228</v>
      </c>
      <c r="B115" s="896"/>
      <c r="C115" s="896"/>
      <c r="D115" s="896"/>
      <c r="E115" s="896"/>
      <c r="F115" s="896"/>
      <c r="G115" s="896"/>
      <c r="H115" s="896"/>
      <c r="I115" s="897"/>
      <c r="J115" s="897"/>
      <c r="K115" s="897"/>
      <c r="L115" s="897"/>
      <c r="M115" s="897"/>
      <c r="N115" s="380"/>
      <c r="O115" s="380"/>
      <c r="P115" s="380"/>
      <c r="Q115" s="380"/>
      <c r="R115" s="380"/>
      <c r="S115" s="380"/>
      <c r="T115" s="380"/>
      <c r="U115" s="380"/>
      <c r="V115" s="380"/>
      <c r="W115" s="380"/>
    </row>
  </sheetData>
  <mergeCells count="65">
    <mergeCell ref="A113:K114"/>
    <mergeCell ref="L113:L114"/>
    <mergeCell ref="M113:M114"/>
    <mergeCell ref="V109:W109"/>
    <mergeCell ref="A110:K110"/>
    <mergeCell ref="L110:M110"/>
    <mergeCell ref="N110:O110"/>
    <mergeCell ref="P110:Q110"/>
    <mergeCell ref="R110:S110"/>
    <mergeCell ref="T110:U110"/>
    <mergeCell ref="V110:W110"/>
    <mergeCell ref="A109:K109"/>
    <mergeCell ref="L109:M109"/>
    <mergeCell ref="N109:O109"/>
    <mergeCell ref="P109:Q109"/>
    <mergeCell ref="R109:S109"/>
    <mergeCell ref="T109:U109"/>
    <mergeCell ref="R107:S107"/>
    <mergeCell ref="T107:U107"/>
    <mergeCell ref="V107:W107"/>
    <mergeCell ref="A108:K108"/>
    <mergeCell ref="L108:M108"/>
    <mergeCell ref="N108:O108"/>
    <mergeCell ref="P108:Q108"/>
    <mergeCell ref="R108:S108"/>
    <mergeCell ref="T108:U108"/>
    <mergeCell ref="V108:W108"/>
    <mergeCell ref="A83:B103"/>
    <mergeCell ref="Y83:Y103"/>
    <mergeCell ref="A105:W105"/>
    <mergeCell ref="A106:K107"/>
    <mergeCell ref="L106:O106"/>
    <mergeCell ref="P106:S106"/>
    <mergeCell ref="T106:W106"/>
    <mergeCell ref="L107:M107"/>
    <mergeCell ref="N107:O107"/>
    <mergeCell ref="P107:Q107"/>
    <mergeCell ref="AA81:AT81"/>
    <mergeCell ref="A80:W80"/>
    <mergeCell ref="A33:B53"/>
    <mergeCell ref="Y33:Y53"/>
    <mergeCell ref="A56:C57"/>
    <mergeCell ref="D56:W56"/>
    <mergeCell ref="Y56:Z57"/>
    <mergeCell ref="AA56:AT56"/>
    <mergeCell ref="A55:W55"/>
    <mergeCell ref="A58:B78"/>
    <mergeCell ref="Y58:Y78"/>
    <mergeCell ref="A81:C82"/>
    <mergeCell ref="D81:W81"/>
    <mergeCell ref="Y81:Z82"/>
    <mergeCell ref="AA31:AT31"/>
    <mergeCell ref="A30:W30"/>
    <mergeCell ref="A1:W2"/>
    <mergeCell ref="A3:W4"/>
    <mergeCell ref="A6:C7"/>
    <mergeCell ref="D6:W6"/>
    <mergeCell ref="Y6:Z7"/>
    <mergeCell ref="AA6:AT6"/>
    <mergeCell ref="A5:W5"/>
    <mergeCell ref="A8:B28"/>
    <mergeCell ref="Y8:Y28"/>
    <mergeCell ref="A31:C32"/>
    <mergeCell ref="D31:W31"/>
    <mergeCell ref="Y31:Z32"/>
  </mergeCells>
  <pageMargins left="0.70866141732283472" right="0.70866141732283472" top="0.74803149606299213" bottom="0.74803149606299213" header="0.31496062992125984" footer="0.31496062992125984"/>
  <pageSetup paperSize="9" scale="65" orientation="landscape" r:id="rId1"/>
  <rowBreaks count="2" manualBreakCount="2">
    <brk id="30" max="45" man="1"/>
    <brk id="78" max="45" man="1"/>
  </rowBreaks>
  <colBreaks count="1" manualBreakCount="1">
    <brk id="46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C593F3-C8F2-440E-B6F7-3E546BCB9A3D}">
  <sheetPr>
    <tabColor rgb="FFFF0000"/>
  </sheetPr>
  <dimension ref="A1:IU65"/>
  <sheetViews>
    <sheetView view="pageBreakPreview" zoomScale="80" zoomScaleNormal="80" zoomScaleSheetLayoutView="80" workbookViewId="0">
      <selection activeCell="AX9" sqref="AX9"/>
    </sheetView>
  </sheetViews>
  <sheetFormatPr defaultColWidth="9.109375" defaultRowHeight="14.4"/>
  <cols>
    <col min="1" max="1" width="9.109375" style="880"/>
    <col min="2" max="3" width="5.44140625" style="880" bestFit="1" customWidth="1"/>
    <col min="4" max="4" width="6.6640625" style="880" customWidth="1"/>
    <col min="5" max="5" width="7" style="880" customWidth="1"/>
    <col min="6" max="7" width="6.5546875" style="880" customWidth="1"/>
    <col min="8" max="8" width="6.6640625" style="880" customWidth="1"/>
    <col min="9" max="10" width="6.109375" style="880" customWidth="1"/>
    <col min="11" max="11" width="6.6640625" style="880" customWidth="1"/>
    <col min="12" max="12" width="6.33203125" style="880" customWidth="1"/>
    <col min="13" max="13" width="6.109375" style="880" customWidth="1"/>
    <col min="14" max="14" width="6.5546875" style="880" customWidth="1"/>
    <col min="15" max="15" width="6.88671875" style="880" customWidth="1"/>
    <col min="16" max="17" width="6.44140625" style="880" bestFit="1" customWidth="1"/>
    <col min="18" max="18" width="7.88671875" style="880" customWidth="1"/>
    <col min="19" max="19" width="9" style="880" customWidth="1"/>
    <col min="20" max="20" width="7.5546875" style="880" customWidth="1"/>
    <col min="21" max="21" width="7.88671875" style="880" customWidth="1"/>
    <col min="22" max="22" width="8" style="880" customWidth="1"/>
    <col min="23" max="23" width="6.88671875" style="880" customWidth="1"/>
    <col min="24" max="46" width="9.109375" style="880" hidden="1" customWidth="1"/>
    <col min="47" max="16384" width="9.109375" style="880"/>
  </cols>
  <sheetData>
    <row r="1" spans="1:255" ht="15" customHeight="1">
      <c r="A1" s="1033" t="s">
        <v>1209</v>
      </c>
      <c r="B1" s="1033"/>
      <c r="C1" s="1033"/>
      <c r="D1" s="1033"/>
      <c r="E1" s="1033"/>
      <c r="F1" s="1033"/>
      <c r="G1" s="1033"/>
      <c r="H1" s="1033"/>
      <c r="I1" s="1033"/>
      <c r="J1" s="1033"/>
      <c r="K1" s="1033"/>
      <c r="L1" s="1033"/>
      <c r="M1" s="1033"/>
      <c r="N1" s="1033"/>
      <c r="O1" s="1033"/>
      <c r="P1" s="1033"/>
      <c r="Q1" s="1033"/>
      <c r="R1" s="1033"/>
      <c r="S1" s="1033"/>
      <c r="T1" s="1033"/>
      <c r="U1" s="1033"/>
      <c r="V1" s="1033"/>
      <c r="W1" s="1033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  <c r="AZ1" s="16"/>
      <c r="BA1" s="16"/>
      <c r="BB1" s="16"/>
      <c r="BC1" s="16"/>
      <c r="BD1" s="16"/>
      <c r="BE1" s="16"/>
      <c r="BF1" s="16"/>
      <c r="BG1" s="16"/>
      <c r="BH1" s="16"/>
      <c r="BI1" s="16"/>
      <c r="BJ1" s="16"/>
      <c r="BK1" s="16"/>
      <c r="BL1" s="16"/>
      <c r="BM1" s="16"/>
      <c r="BN1" s="16"/>
      <c r="BO1" s="16"/>
      <c r="BP1" s="16"/>
      <c r="BQ1" s="16"/>
      <c r="BR1" s="16"/>
      <c r="BS1" s="16"/>
      <c r="BT1" s="16"/>
      <c r="BU1" s="16"/>
      <c r="BV1" s="16"/>
      <c r="BW1" s="16"/>
      <c r="BX1" s="16"/>
      <c r="BY1" s="16"/>
      <c r="BZ1" s="16"/>
      <c r="CA1" s="16"/>
      <c r="CB1" s="16"/>
      <c r="CC1" s="16"/>
      <c r="CD1" s="16"/>
      <c r="CE1" s="16"/>
      <c r="CF1" s="16"/>
      <c r="CG1" s="16"/>
      <c r="CH1" s="16"/>
      <c r="CI1" s="16"/>
      <c r="CJ1" s="16"/>
      <c r="CK1" s="16"/>
      <c r="CL1" s="16"/>
      <c r="CM1" s="16"/>
      <c r="CN1" s="16"/>
      <c r="CO1" s="16"/>
      <c r="CP1" s="16"/>
      <c r="CQ1" s="16"/>
      <c r="CR1" s="16"/>
      <c r="CS1" s="16"/>
      <c r="CT1" s="16"/>
      <c r="CU1" s="16"/>
      <c r="CV1" s="16"/>
      <c r="CW1" s="16"/>
      <c r="CX1" s="16"/>
      <c r="CY1" s="16"/>
      <c r="CZ1" s="16"/>
      <c r="DA1" s="16"/>
      <c r="DB1" s="16"/>
      <c r="DC1" s="16"/>
      <c r="DD1" s="16"/>
      <c r="DE1" s="16"/>
      <c r="DF1" s="16"/>
      <c r="DG1" s="16"/>
      <c r="DH1" s="16"/>
      <c r="DI1" s="16"/>
      <c r="DJ1" s="16"/>
      <c r="DK1" s="16"/>
      <c r="DL1" s="16"/>
      <c r="DM1" s="16"/>
      <c r="DN1" s="16"/>
      <c r="DO1" s="16"/>
      <c r="DP1" s="16"/>
      <c r="DQ1" s="16"/>
      <c r="DR1" s="16"/>
      <c r="DS1" s="16"/>
      <c r="DT1" s="16"/>
      <c r="DU1" s="16"/>
      <c r="DV1" s="16"/>
      <c r="DW1" s="16"/>
      <c r="DX1" s="16"/>
      <c r="DY1" s="16"/>
      <c r="DZ1" s="16"/>
      <c r="EA1" s="16"/>
      <c r="EB1" s="16"/>
      <c r="EC1" s="16"/>
      <c r="ED1" s="16"/>
      <c r="EE1" s="16"/>
      <c r="EF1" s="16"/>
      <c r="EG1" s="16"/>
      <c r="EH1" s="16"/>
      <c r="EI1" s="16"/>
      <c r="EJ1" s="16"/>
      <c r="EK1" s="16"/>
      <c r="EL1" s="16"/>
      <c r="EM1" s="16"/>
      <c r="EN1" s="16"/>
      <c r="EO1" s="16"/>
      <c r="EP1" s="16"/>
      <c r="EQ1" s="16"/>
      <c r="ER1" s="16"/>
      <c r="ES1" s="16"/>
      <c r="ET1" s="16"/>
      <c r="EU1" s="16"/>
      <c r="EV1" s="16"/>
      <c r="EW1" s="16"/>
      <c r="EX1" s="16"/>
      <c r="EY1" s="16"/>
      <c r="EZ1" s="16"/>
      <c r="FA1" s="16"/>
      <c r="FB1" s="16"/>
      <c r="FC1" s="16"/>
      <c r="FD1" s="16"/>
      <c r="FE1" s="16"/>
      <c r="FF1" s="16"/>
      <c r="FG1" s="16"/>
      <c r="FH1" s="16"/>
      <c r="FI1" s="16"/>
      <c r="FJ1" s="16"/>
      <c r="FK1" s="16"/>
      <c r="FL1" s="16"/>
      <c r="FM1" s="16"/>
      <c r="FN1" s="16"/>
      <c r="FO1" s="16"/>
      <c r="FP1" s="16"/>
      <c r="FQ1" s="16"/>
      <c r="FR1" s="16"/>
      <c r="FS1" s="16"/>
      <c r="FT1" s="16"/>
      <c r="FU1" s="16"/>
      <c r="FV1" s="16"/>
      <c r="FW1" s="16"/>
      <c r="FX1" s="16"/>
      <c r="FY1" s="16"/>
      <c r="FZ1" s="16"/>
      <c r="GA1" s="16"/>
      <c r="GB1" s="16"/>
      <c r="GC1" s="16"/>
      <c r="GD1" s="16"/>
      <c r="GE1" s="16"/>
      <c r="GF1" s="16"/>
      <c r="GG1" s="16"/>
      <c r="GH1" s="16"/>
      <c r="GI1" s="16"/>
      <c r="GJ1" s="16"/>
      <c r="GK1" s="16"/>
      <c r="GL1" s="16"/>
      <c r="GM1" s="16"/>
      <c r="GN1" s="16"/>
      <c r="GO1" s="16"/>
      <c r="GP1" s="16"/>
      <c r="GQ1" s="16"/>
      <c r="GR1" s="16"/>
      <c r="GS1" s="16"/>
      <c r="GT1" s="16"/>
      <c r="GU1" s="16"/>
      <c r="GV1" s="16"/>
      <c r="GW1" s="16"/>
      <c r="GX1" s="16"/>
      <c r="GY1" s="16"/>
      <c r="GZ1" s="16"/>
      <c r="HA1" s="16"/>
      <c r="HB1" s="16"/>
      <c r="HC1" s="16"/>
      <c r="HD1" s="16"/>
      <c r="HE1" s="16"/>
      <c r="HF1" s="16"/>
      <c r="HG1" s="16"/>
      <c r="HH1" s="16"/>
      <c r="HI1" s="16"/>
      <c r="HJ1" s="16"/>
      <c r="HK1" s="16"/>
      <c r="HL1" s="16"/>
      <c r="HM1" s="16"/>
      <c r="HN1" s="16"/>
      <c r="HO1" s="16"/>
      <c r="HP1" s="16"/>
      <c r="HQ1" s="16"/>
      <c r="HR1" s="16"/>
      <c r="HS1" s="16"/>
      <c r="HT1" s="16"/>
      <c r="HU1" s="16"/>
      <c r="HV1" s="16"/>
      <c r="HW1" s="16"/>
      <c r="HX1" s="16"/>
      <c r="HY1" s="16"/>
      <c r="HZ1" s="16"/>
      <c r="IA1" s="16"/>
      <c r="IB1" s="16"/>
      <c r="IC1" s="16"/>
      <c r="ID1" s="16"/>
      <c r="IE1" s="16"/>
      <c r="IF1" s="16"/>
      <c r="IG1" s="16"/>
      <c r="IH1" s="16"/>
      <c r="II1" s="16"/>
      <c r="IJ1" s="16"/>
      <c r="IK1" s="16"/>
      <c r="IL1" s="16"/>
      <c r="IM1" s="16"/>
      <c r="IN1" s="16"/>
      <c r="IO1" s="16"/>
      <c r="IP1" s="16"/>
      <c r="IQ1" s="16"/>
      <c r="IR1" s="16"/>
      <c r="IS1" s="16"/>
      <c r="IT1" s="16"/>
      <c r="IU1" s="16"/>
    </row>
    <row r="2" spans="1:255" ht="15" customHeight="1">
      <c r="A2" s="1033"/>
      <c r="B2" s="1033"/>
      <c r="C2" s="1033"/>
      <c r="D2" s="1033"/>
      <c r="E2" s="1033"/>
      <c r="F2" s="1033"/>
      <c r="G2" s="1033"/>
      <c r="H2" s="1033"/>
      <c r="I2" s="1033"/>
      <c r="J2" s="1033"/>
      <c r="K2" s="1033"/>
      <c r="L2" s="1033"/>
      <c r="M2" s="1033"/>
      <c r="N2" s="1033"/>
      <c r="O2" s="1033"/>
      <c r="P2" s="1033"/>
      <c r="Q2" s="1033"/>
      <c r="R2" s="1033"/>
      <c r="S2" s="1033"/>
      <c r="T2" s="1033"/>
      <c r="U2" s="1033"/>
      <c r="V2" s="1033"/>
      <c r="W2" s="1033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16"/>
      <c r="CS2" s="16"/>
      <c r="CT2" s="16"/>
      <c r="CU2" s="16"/>
      <c r="CV2" s="16"/>
      <c r="CW2" s="16"/>
      <c r="CX2" s="16"/>
      <c r="CY2" s="16"/>
      <c r="CZ2" s="16"/>
      <c r="DA2" s="16"/>
      <c r="DB2" s="16"/>
      <c r="DC2" s="16"/>
      <c r="DD2" s="16"/>
      <c r="DE2" s="16"/>
      <c r="DF2" s="16"/>
      <c r="DG2" s="16"/>
      <c r="DH2" s="16"/>
      <c r="DI2" s="16"/>
      <c r="DJ2" s="16"/>
      <c r="DK2" s="16"/>
      <c r="DL2" s="16"/>
      <c r="DM2" s="16"/>
      <c r="DN2" s="16"/>
      <c r="DO2" s="16"/>
      <c r="DP2" s="16"/>
      <c r="DQ2" s="16"/>
      <c r="DR2" s="16"/>
      <c r="DS2" s="16"/>
      <c r="DT2" s="16"/>
      <c r="DU2" s="16"/>
      <c r="DV2" s="16"/>
      <c r="DW2" s="16"/>
      <c r="DX2" s="16"/>
      <c r="DY2" s="16"/>
      <c r="DZ2" s="16"/>
      <c r="EA2" s="16"/>
      <c r="EB2" s="16"/>
      <c r="EC2" s="16"/>
      <c r="ED2" s="16"/>
      <c r="EE2" s="16"/>
      <c r="EF2" s="16"/>
      <c r="EG2" s="16"/>
      <c r="EH2" s="16"/>
      <c r="EI2" s="16"/>
      <c r="EJ2" s="16"/>
      <c r="EK2" s="16"/>
      <c r="EL2" s="16"/>
      <c r="EM2" s="16"/>
      <c r="EN2" s="16"/>
      <c r="EO2" s="16"/>
      <c r="EP2" s="16"/>
      <c r="EQ2" s="16"/>
      <c r="ER2" s="16"/>
      <c r="ES2" s="16"/>
      <c r="ET2" s="16"/>
      <c r="EU2" s="16"/>
      <c r="EV2" s="16"/>
      <c r="EW2" s="16"/>
      <c r="EX2" s="16"/>
      <c r="EY2" s="16"/>
      <c r="EZ2" s="16"/>
      <c r="FA2" s="16"/>
      <c r="FB2" s="16"/>
      <c r="FC2" s="16"/>
      <c r="FD2" s="16"/>
      <c r="FE2" s="16"/>
      <c r="FF2" s="16"/>
      <c r="FG2" s="16"/>
      <c r="FH2" s="16"/>
      <c r="FI2" s="16"/>
      <c r="FJ2" s="16"/>
      <c r="FK2" s="16"/>
      <c r="FL2" s="16"/>
      <c r="FM2" s="16"/>
      <c r="FN2" s="16"/>
      <c r="FO2" s="16"/>
      <c r="FP2" s="16"/>
      <c r="FQ2" s="16"/>
      <c r="FR2" s="16"/>
      <c r="FS2" s="16"/>
      <c r="FT2" s="16"/>
      <c r="FU2" s="16"/>
      <c r="FV2" s="16"/>
      <c r="FW2" s="16"/>
      <c r="FX2" s="16"/>
      <c r="FY2" s="16"/>
      <c r="FZ2" s="16"/>
      <c r="GA2" s="16"/>
      <c r="GB2" s="16"/>
      <c r="GC2" s="16"/>
      <c r="GD2" s="16"/>
      <c r="GE2" s="16"/>
      <c r="GF2" s="16"/>
      <c r="GG2" s="16"/>
      <c r="GH2" s="16"/>
      <c r="GI2" s="16"/>
      <c r="GJ2" s="16"/>
      <c r="GK2" s="16"/>
      <c r="GL2" s="16"/>
      <c r="GM2" s="16"/>
      <c r="GN2" s="16"/>
      <c r="GO2" s="16"/>
      <c r="GP2" s="16"/>
      <c r="GQ2" s="16"/>
      <c r="GR2" s="16"/>
      <c r="GS2" s="16"/>
      <c r="GT2" s="16"/>
      <c r="GU2" s="16"/>
      <c r="GV2" s="16"/>
      <c r="GW2" s="16"/>
      <c r="GX2" s="16"/>
      <c r="GY2" s="16"/>
      <c r="GZ2" s="16"/>
      <c r="HA2" s="16"/>
      <c r="HB2" s="16"/>
      <c r="HC2" s="16"/>
      <c r="HD2" s="16"/>
      <c r="HE2" s="16"/>
      <c r="HF2" s="16"/>
      <c r="HG2" s="16"/>
      <c r="HH2" s="16"/>
      <c r="HI2" s="16"/>
      <c r="HJ2" s="16"/>
      <c r="HK2" s="16"/>
      <c r="HL2" s="16"/>
      <c r="HM2" s="16"/>
      <c r="HN2" s="16"/>
      <c r="HO2" s="16"/>
      <c r="HP2" s="16"/>
      <c r="HQ2" s="16"/>
      <c r="HR2" s="16"/>
      <c r="HS2" s="16"/>
      <c r="HT2" s="16"/>
      <c r="HU2" s="16"/>
      <c r="HV2" s="16"/>
      <c r="HW2" s="16"/>
      <c r="HX2" s="16"/>
      <c r="HY2" s="16"/>
      <c r="HZ2" s="16"/>
      <c r="IA2" s="16"/>
      <c r="IB2" s="16"/>
      <c r="IC2" s="16"/>
      <c r="ID2" s="16"/>
      <c r="IE2" s="16"/>
      <c r="IF2" s="16"/>
      <c r="IG2" s="16"/>
      <c r="IH2" s="16"/>
      <c r="II2" s="16"/>
      <c r="IJ2" s="16"/>
      <c r="IK2" s="16"/>
      <c r="IL2" s="16"/>
      <c r="IM2" s="16"/>
      <c r="IN2" s="16"/>
      <c r="IO2" s="16"/>
      <c r="IP2" s="16"/>
      <c r="IQ2" s="16"/>
      <c r="IR2" s="16"/>
      <c r="IS2" s="16"/>
      <c r="IT2" s="16"/>
      <c r="IU2" s="16"/>
    </row>
    <row r="3" spans="1:255" ht="15" customHeight="1">
      <c r="A3" s="1033" t="s">
        <v>1210</v>
      </c>
      <c r="B3" s="1033"/>
      <c r="C3" s="1033"/>
      <c r="D3" s="1033"/>
      <c r="E3" s="1033"/>
      <c r="F3" s="1033"/>
      <c r="G3" s="1033"/>
      <c r="H3" s="1033"/>
      <c r="I3" s="1033"/>
      <c r="J3" s="1033"/>
      <c r="K3" s="1033"/>
      <c r="L3" s="1033"/>
      <c r="M3" s="1033"/>
      <c r="N3" s="1033"/>
      <c r="O3" s="1033"/>
      <c r="P3" s="1033"/>
      <c r="Q3" s="1033"/>
      <c r="R3" s="1033"/>
      <c r="S3" s="1033"/>
      <c r="T3" s="1033"/>
      <c r="U3" s="1033"/>
      <c r="V3" s="1033"/>
      <c r="W3" s="1033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/>
      <c r="BC3" s="16"/>
      <c r="BD3" s="16"/>
      <c r="BE3" s="16"/>
      <c r="BF3" s="16"/>
      <c r="BG3" s="16"/>
      <c r="BH3" s="16"/>
      <c r="BI3" s="16"/>
      <c r="BJ3" s="16"/>
      <c r="BK3" s="16"/>
      <c r="BL3" s="16"/>
      <c r="BM3" s="16"/>
      <c r="BN3" s="16"/>
      <c r="BO3" s="16"/>
      <c r="BP3" s="16"/>
      <c r="BQ3" s="16"/>
      <c r="BR3" s="16"/>
      <c r="BS3" s="16"/>
      <c r="BT3" s="16"/>
      <c r="BU3" s="16"/>
      <c r="BV3" s="16"/>
      <c r="BW3" s="16"/>
      <c r="BX3" s="16"/>
      <c r="BY3" s="16"/>
      <c r="BZ3" s="16"/>
      <c r="CA3" s="16"/>
      <c r="CB3" s="16"/>
      <c r="CC3" s="16"/>
      <c r="CD3" s="16"/>
      <c r="CE3" s="16"/>
      <c r="CF3" s="16"/>
      <c r="CG3" s="16"/>
      <c r="CH3" s="16"/>
      <c r="CI3" s="16"/>
      <c r="CJ3" s="16"/>
      <c r="CK3" s="16"/>
      <c r="CL3" s="16"/>
      <c r="CM3" s="16"/>
      <c r="CN3" s="16"/>
      <c r="CO3" s="16"/>
      <c r="CP3" s="16"/>
      <c r="CQ3" s="16"/>
      <c r="CR3" s="16"/>
      <c r="CS3" s="16"/>
      <c r="CT3" s="16"/>
      <c r="CU3" s="16"/>
      <c r="CV3" s="16"/>
      <c r="CW3" s="16"/>
      <c r="CX3" s="16"/>
      <c r="CY3" s="16"/>
      <c r="CZ3" s="16"/>
      <c r="DA3" s="16"/>
      <c r="DB3" s="16"/>
      <c r="DC3" s="16"/>
      <c r="DD3" s="16"/>
      <c r="DE3" s="16"/>
      <c r="DF3" s="16"/>
      <c r="DG3" s="16"/>
      <c r="DH3" s="16"/>
      <c r="DI3" s="16"/>
      <c r="DJ3" s="16"/>
      <c r="DK3" s="16"/>
      <c r="DL3" s="16"/>
      <c r="DM3" s="16"/>
      <c r="DN3" s="16"/>
      <c r="DO3" s="16"/>
      <c r="DP3" s="16"/>
      <c r="DQ3" s="16"/>
      <c r="DR3" s="16"/>
      <c r="DS3" s="16"/>
      <c r="DT3" s="16"/>
      <c r="DU3" s="16"/>
      <c r="DV3" s="16"/>
      <c r="DW3" s="16"/>
      <c r="DX3" s="16"/>
      <c r="DY3" s="16"/>
      <c r="DZ3" s="16"/>
      <c r="EA3" s="16"/>
      <c r="EB3" s="16"/>
      <c r="EC3" s="16"/>
      <c r="ED3" s="16"/>
      <c r="EE3" s="16"/>
      <c r="EF3" s="16"/>
      <c r="EG3" s="16"/>
      <c r="EH3" s="16"/>
      <c r="EI3" s="16"/>
      <c r="EJ3" s="16"/>
      <c r="EK3" s="16"/>
      <c r="EL3" s="16"/>
      <c r="EM3" s="16"/>
      <c r="EN3" s="16"/>
      <c r="EO3" s="16"/>
      <c r="EP3" s="16"/>
      <c r="EQ3" s="16"/>
      <c r="ER3" s="16"/>
      <c r="ES3" s="16"/>
      <c r="ET3" s="16"/>
      <c r="EU3" s="16"/>
      <c r="EV3" s="16"/>
      <c r="EW3" s="16"/>
      <c r="EX3" s="16"/>
      <c r="EY3" s="16"/>
      <c r="EZ3" s="16"/>
      <c r="FA3" s="16"/>
      <c r="FB3" s="16"/>
      <c r="FC3" s="16"/>
      <c r="FD3" s="16"/>
      <c r="FE3" s="16"/>
      <c r="FF3" s="16"/>
      <c r="FG3" s="16"/>
      <c r="FH3" s="16"/>
      <c r="FI3" s="16"/>
      <c r="FJ3" s="16"/>
      <c r="FK3" s="16"/>
      <c r="FL3" s="16"/>
      <c r="FM3" s="16"/>
      <c r="FN3" s="16"/>
      <c r="FO3" s="16"/>
      <c r="FP3" s="16"/>
      <c r="FQ3" s="16"/>
      <c r="FR3" s="16"/>
      <c r="FS3" s="16"/>
      <c r="FT3" s="16"/>
      <c r="FU3" s="16"/>
      <c r="FV3" s="16"/>
      <c r="FW3" s="16"/>
      <c r="FX3" s="16"/>
      <c r="FY3" s="16"/>
      <c r="FZ3" s="16"/>
      <c r="GA3" s="16"/>
      <c r="GB3" s="16"/>
      <c r="GC3" s="16"/>
      <c r="GD3" s="16"/>
      <c r="GE3" s="16"/>
      <c r="GF3" s="16"/>
      <c r="GG3" s="16"/>
      <c r="GH3" s="16"/>
      <c r="GI3" s="16"/>
      <c r="GJ3" s="16"/>
      <c r="GK3" s="16"/>
      <c r="GL3" s="16"/>
      <c r="GM3" s="16"/>
      <c r="GN3" s="16"/>
      <c r="GO3" s="16"/>
      <c r="GP3" s="16"/>
      <c r="GQ3" s="16"/>
      <c r="GR3" s="16"/>
      <c r="GS3" s="16"/>
      <c r="GT3" s="16"/>
      <c r="GU3" s="16"/>
      <c r="GV3" s="16"/>
      <c r="GW3" s="16"/>
      <c r="GX3" s="16"/>
      <c r="GY3" s="16"/>
      <c r="GZ3" s="16"/>
      <c r="HA3" s="16"/>
      <c r="HB3" s="16"/>
      <c r="HC3" s="16"/>
      <c r="HD3" s="16"/>
      <c r="HE3" s="16"/>
      <c r="HF3" s="16"/>
      <c r="HG3" s="16"/>
      <c r="HH3" s="16"/>
      <c r="HI3" s="16"/>
      <c r="HJ3" s="16"/>
      <c r="HK3" s="16"/>
      <c r="HL3" s="16"/>
      <c r="HM3" s="16"/>
      <c r="HN3" s="16"/>
      <c r="HO3" s="16"/>
      <c r="HP3" s="16"/>
      <c r="HQ3" s="16"/>
      <c r="HR3" s="16"/>
      <c r="HS3" s="16"/>
      <c r="HT3" s="16"/>
      <c r="HU3" s="16"/>
      <c r="HV3" s="16"/>
      <c r="HW3" s="16"/>
      <c r="HX3" s="16"/>
      <c r="HY3" s="16"/>
      <c r="HZ3" s="16"/>
      <c r="IA3" s="16"/>
      <c r="IB3" s="16"/>
      <c r="IC3" s="16"/>
      <c r="ID3" s="16"/>
      <c r="IE3" s="16"/>
      <c r="IF3" s="16"/>
      <c r="IG3" s="16"/>
      <c r="IH3" s="16"/>
      <c r="II3" s="16"/>
      <c r="IJ3" s="16"/>
      <c r="IK3" s="16"/>
      <c r="IL3" s="16"/>
      <c r="IM3" s="16"/>
      <c r="IN3" s="16"/>
      <c r="IO3" s="16"/>
      <c r="IP3" s="16"/>
      <c r="IQ3" s="16"/>
      <c r="IR3" s="16"/>
      <c r="IS3" s="16"/>
      <c r="IT3" s="16"/>
      <c r="IU3" s="16"/>
    </row>
    <row r="4" spans="1:255" ht="15" customHeight="1">
      <c r="A4" s="1033"/>
      <c r="B4" s="1033"/>
      <c r="C4" s="1033"/>
      <c r="D4" s="1033"/>
      <c r="E4" s="1033"/>
      <c r="F4" s="1033"/>
      <c r="G4" s="1033"/>
      <c r="H4" s="1033"/>
      <c r="I4" s="1033"/>
      <c r="J4" s="1033"/>
      <c r="K4" s="1033"/>
      <c r="L4" s="1033"/>
      <c r="M4" s="1033"/>
      <c r="N4" s="1033"/>
      <c r="O4" s="1033"/>
      <c r="P4" s="1033"/>
      <c r="Q4" s="1033"/>
      <c r="R4" s="1033"/>
      <c r="S4" s="1033"/>
      <c r="T4" s="1033"/>
      <c r="U4" s="1033"/>
      <c r="V4" s="1033"/>
      <c r="W4" s="1033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6"/>
      <c r="DB4" s="16"/>
      <c r="DC4" s="16"/>
      <c r="DD4" s="16"/>
      <c r="DE4" s="16"/>
      <c r="DF4" s="16"/>
      <c r="DG4" s="16"/>
      <c r="DH4" s="16"/>
      <c r="DI4" s="16"/>
      <c r="DJ4" s="16"/>
      <c r="DK4" s="16"/>
      <c r="DL4" s="16"/>
      <c r="DM4" s="16"/>
      <c r="DN4" s="16"/>
      <c r="DO4" s="16"/>
      <c r="DP4" s="16"/>
      <c r="DQ4" s="16"/>
      <c r="DR4" s="16"/>
      <c r="DS4" s="16"/>
      <c r="DT4" s="16"/>
      <c r="DU4" s="16"/>
      <c r="DV4" s="16"/>
      <c r="DW4" s="16"/>
      <c r="DX4" s="16"/>
      <c r="DY4" s="16"/>
      <c r="DZ4" s="16"/>
      <c r="EA4" s="16"/>
      <c r="EB4" s="16"/>
      <c r="EC4" s="16"/>
      <c r="ED4" s="16"/>
      <c r="EE4" s="16"/>
      <c r="EF4" s="16"/>
      <c r="EG4" s="16"/>
      <c r="EH4" s="16"/>
      <c r="EI4" s="16"/>
      <c r="EJ4" s="16"/>
      <c r="EK4" s="16"/>
      <c r="EL4" s="16"/>
      <c r="EM4" s="16"/>
      <c r="EN4" s="16"/>
      <c r="EO4" s="16"/>
      <c r="EP4" s="16"/>
      <c r="EQ4" s="16"/>
      <c r="ER4" s="16"/>
      <c r="ES4" s="16"/>
      <c r="ET4" s="16"/>
      <c r="EU4" s="16"/>
      <c r="EV4" s="16"/>
      <c r="EW4" s="16"/>
      <c r="EX4" s="16"/>
      <c r="EY4" s="16"/>
      <c r="EZ4" s="16"/>
      <c r="FA4" s="16"/>
      <c r="FB4" s="16"/>
      <c r="FC4" s="16"/>
      <c r="FD4" s="16"/>
      <c r="FE4" s="16"/>
      <c r="FF4" s="16"/>
      <c r="FG4" s="16"/>
      <c r="FH4" s="16"/>
      <c r="FI4" s="16"/>
      <c r="FJ4" s="16"/>
      <c r="FK4" s="16"/>
      <c r="FL4" s="16"/>
      <c r="FM4" s="16"/>
      <c r="FN4" s="16"/>
      <c r="FO4" s="16"/>
      <c r="FP4" s="16"/>
      <c r="FQ4" s="16"/>
      <c r="FR4" s="16"/>
      <c r="FS4" s="16"/>
      <c r="FT4" s="16"/>
      <c r="FU4" s="16"/>
      <c r="FV4" s="16"/>
      <c r="FW4" s="16"/>
      <c r="FX4" s="16"/>
      <c r="FY4" s="16"/>
      <c r="FZ4" s="16"/>
      <c r="GA4" s="16"/>
      <c r="GB4" s="16"/>
      <c r="GC4" s="16"/>
      <c r="GD4" s="16"/>
      <c r="GE4" s="16"/>
      <c r="GF4" s="16"/>
      <c r="GG4" s="16"/>
      <c r="GH4" s="16"/>
      <c r="GI4" s="16"/>
      <c r="GJ4" s="16"/>
      <c r="GK4" s="16"/>
      <c r="GL4" s="16"/>
      <c r="GM4" s="16"/>
      <c r="GN4" s="16"/>
      <c r="GO4" s="16"/>
      <c r="GP4" s="16"/>
      <c r="GQ4" s="16"/>
      <c r="GR4" s="16"/>
      <c r="GS4" s="16"/>
      <c r="GT4" s="16"/>
      <c r="GU4" s="16"/>
      <c r="GV4" s="16"/>
      <c r="GW4" s="16"/>
      <c r="GX4" s="16"/>
      <c r="GY4" s="16"/>
      <c r="GZ4" s="16"/>
      <c r="HA4" s="16"/>
      <c r="HB4" s="16"/>
      <c r="HC4" s="16"/>
      <c r="HD4" s="16"/>
      <c r="HE4" s="16"/>
      <c r="HF4" s="16"/>
      <c r="HG4" s="16"/>
      <c r="HH4" s="16"/>
      <c r="HI4" s="16"/>
      <c r="HJ4" s="16"/>
      <c r="HK4" s="16"/>
      <c r="HL4" s="16"/>
      <c r="HM4" s="16"/>
      <c r="HN4" s="16"/>
      <c r="HO4" s="16"/>
      <c r="HP4" s="16"/>
      <c r="HQ4" s="16"/>
      <c r="HR4" s="16"/>
      <c r="HS4" s="16"/>
      <c r="HT4" s="16"/>
      <c r="HU4" s="16"/>
      <c r="HV4" s="16"/>
      <c r="HW4" s="16"/>
      <c r="HX4" s="16"/>
      <c r="HY4" s="16"/>
      <c r="HZ4" s="16"/>
      <c r="IA4" s="16"/>
      <c r="IB4" s="16"/>
      <c r="IC4" s="16"/>
      <c r="ID4" s="16"/>
      <c r="IE4" s="16"/>
      <c r="IF4" s="16"/>
      <c r="IG4" s="16"/>
      <c r="IH4" s="16"/>
      <c r="II4" s="16"/>
      <c r="IJ4" s="16"/>
      <c r="IK4" s="16"/>
      <c r="IL4" s="16"/>
      <c r="IM4" s="16"/>
      <c r="IN4" s="16"/>
      <c r="IO4" s="16"/>
      <c r="IP4" s="16"/>
      <c r="IQ4" s="16"/>
      <c r="IR4" s="16"/>
      <c r="IS4" s="16"/>
      <c r="IT4" s="16"/>
      <c r="IU4" s="16"/>
    </row>
    <row r="5" spans="1:255" ht="16.2" thickBot="1">
      <c r="A5" s="1033" t="s">
        <v>1225</v>
      </c>
      <c r="B5" s="1033"/>
      <c r="C5" s="1033"/>
      <c r="D5" s="1033"/>
      <c r="E5" s="1033"/>
      <c r="F5" s="1033"/>
      <c r="G5" s="1033"/>
      <c r="H5" s="1033"/>
      <c r="I5" s="1033"/>
      <c r="J5" s="1033"/>
      <c r="K5" s="1033"/>
      <c r="L5" s="1033"/>
      <c r="M5" s="1033"/>
      <c r="N5" s="1033"/>
      <c r="O5" s="1033"/>
      <c r="P5" s="1033"/>
      <c r="Q5" s="1033"/>
      <c r="R5" s="1033"/>
      <c r="S5" s="1033"/>
      <c r="T5" s="1033"/>
      <c r="U5" s="1033"/>
      <c r="V5" s="1033"/>
      <c r="W5" s="1033"/>
    </row>
    <row r="6" spans="1:255" ht="34.5" customHeight="1" thickBot="1">
      <c r="A6" s="1413"/>
      <c r="B6" s="1414"/>
      <c r="C6" s="1415"/>
      <c r="D6" s="1419" t="s">
        <v>207</v>
      </c>
      <c r="E6" s="1420"/>
      <c r="F6" s="1420"/>
      <c r="G6" s="1420"/>
      <c r="H6" s="1420"/>
      <c r="I6" s="1420"/>
      <c r="J6" s="1420"/>
      <c r="K6" s="1420"/>
      <c r="L6" s="1420"/>
      <c r="M6" s="1420"/>
      <c r="N6" s="1420"/>
      <c r="O6" s="1420"/>
      <c r="P6" s="1420"/>
      <c r="Q6" s="1420"/>
      <c r="R6" s="1420"/>
      <c r="S6" s="1420"/>
      <c r="T6" s="1420"/>
      <c r="U6" s="1420"/>
      <c r="V6" s="1420"/>
      <c r="W6" s="1421"/>
      <c r="Y6" s="1278" t="s">
        <v>1196</v>
      </c>
      <c r="Z6" s="1278"/>
      <c r="AA6" s="1279" t="s">
        <v>356</v>
      </c>
      <c r="AB6" s="1279"/>
      <c r="AC6" s="1279"/>
      <c r="AD6" s="1279"/>
      <c r="AE6" s="1279"/>
      <c r="AF6" s="1279"/>
      <c r="AG6" s="1279"/>
      <c r="AH6" s="1279"/>
      <c r="AI6" s="1279"/>
      <c r="AJ6" s="1279"/>
      <c r="AK6" s="1279"/>
      <c r="AL6" s="1279"/>
      <c r="AM6" s="1279"/>
      <c r="AN6" s="1279"/>
      <c r="AO6" s="1279"/>
      <c r="AP6" s="1279"/>
      <c r="AQ6" s="1279"/>
      <c r="AR6" s="1279"/>
      <c r="AS6" s="1279"/>
      <c r="AT6" s="1279"/>
    </row>
    <row r="7" spans="1:255" ht="14.25" customHeight="1" thickBot="1">
      <c r="A7" s="1416"/>
      <c r="B7" s="1417"/>
      <c r="C7" s="1418"/>
      <c r="D7" s="909">
        <v>0.3</v>
      </c>
      <c r="E7" s="910">
        <v>0.4</v>
      </c>
      <c r="F7" s="910">
        <v>0.5</v>
      </c>
      <c r="G7" s="910">
        <v>0.6</v>
      </c>
      <c r="H7" s="910">
        <v>0.7</v>
      </c>
      <c r="I7" s="910">
        <v>0.8</v>
      </c>
      <c r="J7" s="910">
        <v>0.9</v>
      </c>
      <c r="K7" s="910">
        <v>1</v>
      </c>
      <c r="L7" s="910">
        <v>1.1000000000000001</v>
      </c>
      <c r="M7" s="910">
        <v>1.2</v>
      </c>
      <c r="N7" s="910">
        <v>1.3</v>
      </c>
      <c r="O7" s="910">
        <v>1.4</v>
      </c>
      <c r="P7" s="910">
        <v>1.5</v>
      </c>
      <c r="Q7" s="910">
        <v>1.6</v>
      </c>
      <c r="R7" s="910">
        <v>1.7</v>
      </c>
      <c r="S7" s="910">
        <v>1.8</v>
      </c>
      <c r="T7" s="910">
        <v>1.9</v>
      </c>
      <c r="U7" s="910">
        <v>2</v>
      </c>
      <c r="V7" s="910">
        <v>2.1</v>
      </c>
      <c r="W7" s="911">
        <v>2.2000000000000002</v>
      </c>
      <c r="Y7" s="1278"/>
      <c r="Z7" s="1278"/>
      <c r="AA7" s="649">
        <v>0.3</v>
      </c>
      <c r="AB7" s="649">
        <v>0.4</v>
      </c>
      <c r="AC7" s="649">
        <v>0.5</v>
      </c>
      <c r="AD7" s="649">
        <v>0.6</v>
      </c>
      <c r="AE7" s="649">
        <v>0.7</v>
      </c>
      <c r="AF7" s="649">
        <v>0.8</v>
      </c>
      <c r="AG7" s="649">
        <v>0.9</v>
      </c>
      <c r="AH7" s="649">
        <v>1</v>
      </c>
      <c r="AI7" s="649">
        <v>1.1000000000000001</v>
      </c>
      <c r="AJ7" s="649">
        <v>1.2</v>
      </c>
      <c r="AK7" s="649">
        <v>1.3</v>
      </c>
      <c r="AL7" s="649">
        <v>1.4</v>
      </c>
      <c r="AM7" s="649">
        <v>1.5</v>
      </c>
      <c r="AN7" s="649">
        <v>1.6</v>
      </c>
      <c r="AO7" s="649">
        <v>1.7</v>
      </c>
      <c r="AP7" s="649">
        <v>1.8</v>
      </c>
      <c r="AQ7" s="649">
        <v>1.9</v>
      </c>
      <c r="AR7" s="649">
        <v>2</v>
      </c>
      <c r="AS7" s="649">
        <v>2.1</v>
      </c>
      <c r="AT7" s="649">
        <v>2.2000000000000002</v>
      </c>
    </row>
    <row r="8" spans="1:255" ht="20.25" customHeight="1">
      <c r="A8" s="1426" t="s">
        <v>3</v>
      </c>
      <c r="B8" s="1427"/>
      <c r="C8" s="907">
        <v>0.2</v>
      </c>
      <c r="D8" s="899">
        <f>(AA8*KFC!$B$17+KFC!$C$17)*KFC!$C$5</f>
        <v>15.45131574621</v>
      </c>
      <c r="E8" s="913">
        <f>(AB8*KFC!$B$17+KFC!$C$17)*KFC!$C$5</f>
        <v>16.781821282650789</v>
      </c>
      <c r="F8" s="913">
        <f>(AC8*KFC!$B$17+KFC!$C$17)*KFC!$C$5</f>
        <v>18.112326819091578</v>
      </c>
      <c r="G8" s="913">
        <f>(AD8*KFC!$B$17+KFC!$C$17)*KFC!$C$5</f>
        <v>19.442832355532367</v>
      </c>
      <c r="H8" s="913">
        <f>(AE8*KFC!$B$17+KFC!$C$17)*KFC!$C$5</f>
        <v>20.773337891973156</v>
      </c>
      <c r="I8" s="913">
        <f>(AF8*KFC!$B$17+KFC!$C$17)*KFC!$C$5</f>
        <v>22.103843428413949</v>
      </c>
      <c r="J8" s="913">
        <f>(AG8*KFC!$B$17+KFC!$C$17)*KFC!$C$5</f>
        <v>23.434348964854738</v>
      </c>
      <c r="K8" s="913">
        <f>(AH8*KFC!$B$17+KFC!$C$17)*KFC!$C$5</f>
        <v>24.764854501295527</v>
      </c>
      <c r="L8" s="913">
        <f>(AI8*KFC!$B$17+KFC!$C$17)*KFC!$C$5</f>
        <v>26.09536003773632</v>
      </c>
      <c r="M8" s="913">
        <f>(AJ8*KFC!$B$17+KFC!$C$17)*KFC!$C$5</f>
        <v>27.425865574177109</v>
      </c>
      <c r="N8" s="913">
        <f>(AK8*KFC!$B$17+KFC!$C$17)*KFC!$C$5</f>
        <v>28.756371110617899</v>
      </c>
      <c r="O8" s="913">
        <f>(AL8*KFC!$B$17+KFC!$C$17)*KFC!$C$5</f>
        <v>30.086876647058684</v>
      </c>
      <c r="P8" s="913">
        <f>(AM8*KFC!$B$17+KFC!$C$17)*KFC!$C$5</f>
        <v>31.417382183499477</v>
      </c>
      <c r="Q8" s="913">
        <f>(AN8*KFC!$B$17+KFC!$C$17)*KFC!$C$5</f>
        <v>32.747887719940266</v>
      </c>
      <c r="R8" s="913">
        <f>(AO8*KFC!$B$17+KFC!$C$17)*KFC!$C$5</f>
        <v>34.078393256381055</v>
      </c>
      <c r="S8" s="913">
        <f>(AP8*KFC!$B$17+KFC!$C$17)*KFC!$C$5</f>
        <v>35.408898792821844</v>
      </c>
      <c r="T8" s="913">
        <f>(AQ8*KFC!$B$17+KFC!$C$17)*KFC!$C$5</f>
        <v>36.739404329262634</v>
      </c>
      <c r="U8" s="913">
        <f>(AR8*KFC!$B$17+KFC!$C$17)*KFC!$C$5</f>
        <v>38.06990986570343</v>
      </c>
      <c r="V8" s="913">
        <f>(AS8*KFC!$B$17+KFC!$C$17)*KFC!$C$5</f>
        <v>39.400415402144205</v>
      </c>
      <c r="W8" s="914">
        <f>(AT8*KFC!$B$17+KFC!$C$17)*KFC!$C$5</f>
        <v>40.730920938585001</v>
      </c>
      <c r="Y8" s="1277" t="s">
        <v>357</v>
      </c>
      <c r="Z8" s="649">
        <v>0.2</v>
      </c>
      <c r="AA8" s="882">
        <v>15.45131574621</v>
      </c>
      <c r="AB8" s="882">
        <v>16.781821282650789</v>
      </c>
      <c r="AC8" s="882">
        <v>18.112326819091578</v>
      </c>
      <c r="AD8" s="882">
        <v>19.442832355532367</v>
      </c>
      <c r="AE8" s="882">
        <v>20.773337891973156</v>
      </c>
      <c r="AF8" s="882">
        <v>22.103843428413949</v>
      </c>
      <c r="AG8" s="882">
        <v>23.434348964854738</v>
      </c>
      <c r="AH8" s="882">
        <v>24.764854501295527</v>
      </c>
      <c r="AI8" s="882">
        <v>26.09536003773632</v>
      </c>
      <c r="AJ8" s="882">
        <v>27.425865574177109</v>
      </c>
      <c r="AK8" s="882">
        <v>28.756371110617899</v>
      </c>
      <c r="AL8" s="882">
        <v>30.086876647058684</v>
      </c>
      <c r="AM8" s="882">
        <v>31.417382183499477</v>
      </c>
      <c r="AN8" s="882">
        <v>32.747887719940266</v>
      </c>
      <c r="AO8" s="882">
        <v>34.078393256381055</v>
      </c>
      <c r="AP8" s="882">
        <v>35.408898792821844</v>
      </c>
      <c r="AQ8" s="882">
        <v>36.739404329262634</v>
      </c>
      <c r="AR8" s="882">
        <v>38.06990986570343</v>
      </c>
      <c r="AS8" s="882">
        <v>39.400415402144205</v>
      </c>
      <c r="AT8" s="882">
        <v>40.730920938585001</v>
      </c>
    </row>
    <row r="9" spans="1:255" ht="14.4" customHeight="1">
      <c r="A9" s="1426"/>
      <c r="B9" s="1427"/>
      <c r="C9" s="881">
        <v>0.3</v>
      </c>
      <c r="D9" s="915">
        <f>(AA9*KFC!$B$17+KFC!$C$17)*KFC!$C$5</f>
        <v>15.936874955376748</v>
      </c>
      <c r="E9" s="912">
        <f>(AB9*KFC!$B$17+KFC!$C$17)*KFC!$C$5</f>
        <v>17.376331322537407</v>
      </c>
      <c r="F9" s="912">
        <f>(AC9*KFC!$B$17+KFC!$C$17)*KFC!$C$5</f>
        <v>18.815787689698066</v>
      </c>
      <c r="G9" s="912">
        <f>(AD9*KFC!$B$17+KFC!$C$17)*KFC!$C$5</f>
        <v>20.255244056858722</v>
      </c>
      <c r="H9" s="912">
        <f>(AE9*KFC!$B$17+KFC!$C$17)*KFC!$C$5</f>
        <v>21.694700424019384</v>
      </c>
      <c r="I9" s="912">
        <f>(AF9*KFC!$B$17+KFC!$C$17)*KFC!$C$5</f>
        <v>23.13415679118004</v>
      </c>
      <c r="J9" s="912">
        <f>(AG9*KFC!$B$17+KFC!$C$17)*KFC!$C$5</f>
        <v>24.573613158340699</v>
      </c>
      <c r="K9" s="912">
        <f>(AH9*KFC!$B$17+KFC!$C$17)*KFC!$C$5</f>
        <v>26.013069525501361</v>
      </c>
      <c r="L9" s="912">
        <f>(AI9*KFC!$B$17+KFC!$C$17)*KFC!$C$5</f>
        <v>27.452525892662017</v>
      </c>
      <c r="M9" s="912">
        <f>(AJ9*KFC!$B$17+KFC!$C$17)*KFC!$C$5</f>
        <v>28.891982259822679</v>
      </c>
      <c r="N9" s="912">
        <f>(AK9*KFC!$B$17+KFC!$C$17)*KFC!$C$5</f>
        <v>30.331438626983338</v>
      </c>
      <c r="O9" s="912">
        <f>(AL9*KFC!$B$17+KFC!$C$17)*KFC!$C$5</f>
        <v>31.770894994144001</v>
      </c>
      <c r="P9" s="912">
        <f>(AM9*KFC!$B$17+KFC!$C$17)*KFC!$C$5</f>
        <v>33.21035136130466</v>
      </c>
      <c r="Q9" s="912">
        <f>(AN9*KFC!$B$17+KFC!$C$17)*KFC!$C$5</f>
        <v>34.649807728465312</v>
      </c>
      <c r="R9" s="912">
        <f>(AO9*KFC!$B$17+KFC!$C$17)*KFC!$C$5</f>
        <v>36.089264095625978</v>
      </c>
      <c r="S9" s="912">
        <f>(AP9*KFC!$B$17+KFC!$C$17)*KFC!$C$5</f>
        <v>37.528720462786637</v>
      </c>
      <c r="T9" s="912">
        <f>(AQ9*KFC!$B$17+KFC!$C$17)*KFC!$C$5</f>
        <v>38.968176829947296</v>
      </c>
      <c r="U9" s="912">
        <f>(AR9*KFC!$B$17+KFC!$C$17)*KFC!$C$5</f>
        <v>40.407633197107955</v>
      </c>
      <c r="V9" s="912">
        <f>(AS9*KFC!$B$17+KFC!$C$17)*KFC!$C$5</f>
        <v>41.847089564268614</v>
      </c>
      <c r="W9" s="916">
        <f>(AT9*KFC!$B$17+KFC!$C$17)*KFC!$C$5</f>
        <v>43.286545931429252</v>
      </c>
      <c r="Y9" s="1277"/>
      <c r="Z9" s="649">
        <v>0.3</v>
      </c>
      <c r="AA9" s="882">
        <v>15.936874955376748</v>
      </c>
      <c r="AB9" s="882">
        <v>17.376331322537407</v>
      </c>
      <c r="AC9" s="882">
        <v>18.815787689698066</v>
      </c>
      <c r="AD9" s="882">
        <v>20.255244056858722</v>
      </c>
      <c r="AE9" s="882">
        <v>21.694700424019384</v>
      </c>
      <c r="AF9" s="882">
        <v>23.13415679118004</v>
      </c>
      <c r="AG9" s="882">
        <v>24.573613158340699</v>
      </c>
      <c r="AH9" s="882">
        <v>26.013069525501361</v>
      </c>
      <c r="AI9" s="882">
        <v>27.452525892662017</v>
      </c>
      <c r="AJ9" s="882">
        <v>28.891982259822679</v>
      </c>
      <c r="AK9" s="882">
        <v>30.331438626983338</v>
      </c>
      <c r="AL9" s="882">
        <v>31.770894994144001</v>
      </c>
      <c r="AM9" s="882">
        <v>33.21035136130466</v>
      </c>
      <c r="AN9" s="882">
        <v>34.649807728465312</v>
      </c>
      <c r="AO9" s="882">
        <v>36.089264095625978</v>
      </c>
      <c r="AP9" s="882">
        <v>37.528720462786637</v>
      </c>
      <c r="AQ9" s="882">
        <v>38.968176829947296</v>
      </c>
      <c r="AR9" s="882">
        <v>40.407633197107955</v>
      </c>
      <c r="AS9" s="882">
        <v>41.847089564268614</v>
      </c>
      <c r="AT9" s="882">
        <v>43.286545931429252</v>
      </c>
    </row>
    <row r="10" spans="1:255">
      <c r="A10" s="1426"/>
      <c r="B10" s="1427"/>
      <c r="C10" s="881">
        <v>0.4</v>
      </c>
      <c r="D10" s="915">
        <f>(AA10*KFC!$B$17+KFC!$C$17)*KFC!$C$5</f>
        <v>16.4224341645435</v>
      </c>
      <c r="E10" s="912">
        <f>(AB10*KFC!$B$17+KFC!$C$17)*KFC!$C$5</f>
        <v>17.970841362424025</v>
      </c>
      <c r="F10" s="912">
        <f>(AC10*KFC!$B$17+KFC!$C$17)*KFC!$C$5</f>
        <v>19.51924856030455</v>
      </c>
      <c r="G10" s="912">
        <f>(AD10*KFC!$B$17+KFC!$C$17)*KFC!$C$5</f>
        <v>21.067655758185079</v>
      </c>
      <c r="H10" s="912">
        <f>(AE10*KFC!$B$17+KFC!$C$17)*KFC!$C$5</f>
        <v>22.616062956065601</v>
      </c>
      <c r="I10" s="912">
        <f>(AF10*KFC!$B$17+KFC!$C$17)*KFC!$C$5</f>
        <v>24.164470153946127</v>
      </c>
      <c r="J10" s="912">
        <f>(AG10*KFC!$B$17+KFC!$C$17)*KFC!$C$5</f>
        <v>25.712877351826652</v>
      </c>
      <c r="K10" s="912">
        <f>(AH10*KFC!$B$17+KFC!$C$17)*KFC!$C$5</f>
        <v>27.261284549707181</v>
      </c>
      <c r="L10" s="912">
        <f>(AI10*KFC!$B$17+KFC!$C$17)*KFC!$C$5</f>
        <v>28.809691747587706</v>
      </c>
      <c r="M10" s="912">
        <f>(AJ10*KFC!$B$17+KFC!$C$17)*KFC!$C$5</f>
        <v>30.358098945468235</v>
      </c>
      <c r="N10" s="912">
        <f>(AK10*KFC!$B$17+KFC!$C$17)*KFC!$C$5</f>
        <v>31.906506143348761</v>
      </c>
      <c r="O10" s="912">
        <f>(AL10*KFC!$B$17+KFC!$C$17)*KFC!$C$5</f>
        <v>33.454913341229286</v>
      </c>
      <c r="P10" s="912">
        <f>(AM10*KFC!$B$17+KFC!$C$17)*KFC!$C$5</f>
        <v>35.003320539109808</v>
      </c>
      <c r="Q10" s="912">
        <f>(AN10*KFC!$B$17+KFC!$C$17)*KFC!$C$5</f>
        <v>36.551727736990337</v>
      </c>
      <c r="R10" s="912">
        <f>(AO10*KFC!$B$17+KFC!$C$17)*KFC!$C$5</f>
        <v>38.100134934870866</v>
      </c>
      <c r="S10" s="912">
        <f>(AP10*KFC!$B$17+KFC!$C$17)*KFC!$C$5</f>
        <v>39.648542132751388</v>
      </c>
      <c r="T10" s="912">
        <f>(AQ10*KFC!$B$17+KFC!$C$17)*KFC!$C$5</f>
        <v>41.196949330631917</v>
      </c>
      <c r="U10" s="912">
        <f>(AR10*KFC!$B$17+KFC!$C$17)*KFC!$C$5</f>
        <v>42.745356528512445</v>
      </c>
      <c r="V10" s="912">
        <f>(AS10*KFC!$B$17+KFC!$C$17)*KFC!$C$5</f>
        <v>44.293763726392967</v>
      </c>
      <c r="W10" s="916">
        <f>(AT10*KFC!$B$17+KFC!$C$17)*KFC!$C$5</f>
        <v>45.842170924273503</v>
      </c>
      <c r="Y10" s="1277"/>
      <c r="Z10" s="649">
        <v>0.4</v>
      </c>
      <c r="AA10" s="882">
        <v>16.4224341645435</v>
      </c>
      <c r="AB10" s="882">
        <v>17.970841362424025</v>
      </c>
      <c r="AC10" s="882">
        <v>19.51924856030455</v>
      </c>
      <c r="AD10" s="882">
        <v>21.067655758185079</v>
      </c>
      <c r="AE10" s="882">
        <v>22.616062956065601</v>
      </c>
      <c r="AF10" s="882">
        <v>24.164470153946127</v>
      </c>
      <c r="AG10" s="882">
        <v>25.712877351826652</v>
      </c>
      <c r="AH10" s="882">
        <v>27.261284549707181</v>
      </c>
      <c r="AI10" s="882">
        <v>28.809691747587706</v>
      </c>
      <c r="AJ10" s="882">
        <v>30.358098945468235</v>
      </c>
      <c r="AK10" s="882">
        <v>31.906506143348761</v>
      </c>
      <c r="AL10" s="882">
        <v>33.454913341229286</v>
      </c>
      <c r="AM10" s="882">
        <v>35.003320539109808</v>
      </c>
      <c r="AN10" s="882">
        <v>36.551727736990337</v>
      </c>
      <c r="AO10" s="882">
        <v>38.100134934870866</v>
      </c>
      <c r="AP10" s="882">
        <v>39.648542132751388</v>
      </c>
      <c r="AQ10" s="882">
        <v>41.196949330631917</v>
      </c>
      <c r="AR10" s="882">
        <v>42.745356528512445</v>
      </c>
      <c r="AS10" s="882">
        <v>44.293763726392967</v>
      </c>
      <c r="AT10" s="882">
        <v>45.842170924273503</v>
      </c>
    </row>
    <row r="11" spans="1:255">
      <c r="A11" s="1426"/>
      <c r="B11" s="1427"/>
      <c r="C11" s="881">
        <v>0.5</v>
      </c>
      <c r="D11" s="915">
        <f>(AA11*KFC!$B$17+KFC!$C$17)*KFC!$C$5</f>
        <v>16.907993373710248</v>
      </c>
      <c r="E11" s="912">
        <f>(AB11*KFC!$B$17+KFC!$C$17)*KFC!$C$5</f>
        <v>18.565351402310647</v>
      </c>
      <c r="F11" s="912">
        <f>(AC11*KFC!$B$17+KFC!$C$17)*KFC!$C$5</f>
        <v>20.222709430911042</v>
      </c>
      <c r="G11" s="912">
        <f>(AD11*KFC!$B$17+KFC!$C$17)*KFC!$C$5</f>
        <v>21.880067459511434</v>
      </c>
      <c r="H11" s="912">
        <f>(AE11*KFC!$B$17+KFC!$C$17)*KFC!$C$5</f>
        <v>23.537425488111833</v>
      </c>
      <c r="I11" s="912">
        <f>(AF11*KFC!$B$17+KFC!$C$17)*KFC!$C$5</f>
        <v>25.194783516712228</v>
      </c>
      <c r="J11" s="912">
        <f>(AG11*KFC!$B$17+KFC!$C$17)*KFC!$C$5</f>
        <v>26.852141545312627</v>
      </c>
      <c r="K11" s="912">
        <f>(AH11*KFC!$B$17+KFC!$C$17)*KFC!$C$5</f>
        <v>28.509499573913022</v>
      </c>
      <c r="L11" s="912">
        <f>(AI11*KFC!$B$17+KFC!$C$17)*KFC!$C$5</f>
        <v>30.166857602513414</v>
      </c>
      <c r="M11" s="912">
        <f>(AJ11*KFC!$B$17+KFC!$C$17)*KFC!$C$5</f>
        <v>31.824215631113812</v>
      </c>
      <c r="N11" s="912">
        <f>(AK11*KFC!$B$17+KFC!$C$17)*KFC!$C$5</f>
        <v>33.481573659714208</v>
      </c>
      <c r="O11" s="912">
        <f>(AL11*KFC!$B$17+KFC!$C$17)*KFC!$C$5</f>
        <v>35.138931688314599</v>
      </c>
      <c r="P11" s="912">
        <f>(AM11*KFC!$B$17+KFC!$C$17)*KFC!$C$5</f>
        <v>36.796289716914998</v>
      </c>
      <c r="Q11" s="912">
        <f>(AN11*KFC!$B$17+KFC!$C$17)*KFC!$C$5</f>
        <v>38.45364774551539</v>
      </c>
      <c r="R11" s="912">
        <f>(AO11*KFC!$B$17+KFC!$C$17)*KFC!$C$5</f>
        <v>40.111005774115782</v>
      </c>
      <c r="S11" s="912">
        <f>(AP11*KFC!$B$17+KFC!$C$17)*KFC!$C$5</f>
        <v>41.768363802716181</v>
      </c>
      <c r="T11" s="912">
        <f>(AQ11*KFC!$B$17+KFC!$C$17)*KFC!$C$5</f>
        <v>43.425721831316565</v>
      </c>
      <c r="U11" s="912">
        <f>(AR11*KFC!$B$17+KFC!$C$17)*KFC!$C$5</f>
        <v>45.083079859916964</v>
      </c>
      <c r="V11" s="912">
        <f>(AS11*KFC!$B$17+KFC!$C$17)*KFC!$C$5</f>
        <v>46.740437888517349</v>
      </c>
      <c r="W11" s="916">
        <f>(AT11*KFC!$B$17+KFC!$C$17)*KFC!$C$5</f>
        <v>48.397795917117747</v>
      </c>
      <c r="Y11" s="1277"/>
      <c r="Z11" s="649">
        <v>0.5</v>
      </c>
      <c r="AA11" s="882">
        <v>16.907993373710248</v>
      </c>
      <c r="AB11" s="882">
        <v>18.565351402310647</v>
      </c>
      <c r="AC11" s="882">
        <v>20.222709430911042</v>
      </c>
      <c r="AD11" s="882">
        <v>21.880067459511434</v>
      </c>
      <c r="AE11" s="882">
        <v>23.537425488111833</v>
      </c>
      <c r="AF11" s="882">
        <v>25.194783516712228</v>
      </c>
      <c r="AG11" s="882">
        <v>26.852141545312627</v>
      </c>
      <c r="AH11" s="882">
        <v>28.509499573913022</v>
      </c>
      <c r="AI11" s="882">
        <v>30.166857602513414</v>
      </c>
      <c r="AJ11" s="882">
        <v>31.824215631113812</v>
      </c>
      <c r="AK11" s="882">
        <v>33.481573659714208</v>
      </c>
      <c r="AL11" s="882">
        <v>35.138931688314599</v>
      </c>
      <c r="AM11" s="882">
        <v>36.796289716914998</v>
      </c>
      <c r="AN11" s="882">
        <v>38.45364774551539</v>
      </c>
      <c r="AO11" s="882">
        <v>40.111005774115782</v>
      </c>
      <c r="AP11" s="882">
        <v>41.768363802716181</v>
      </c>
      <c r="AQ11" s="882">
        <v>43.425721831316565</v>
      </c>
      <c r="AR11" s="882">
        <v>45.083079859916964</v>
      </c>
      <c r="AS11" s="882">
        <v>46.740437888517349</v>
      </c>
      <c r="AT11" s="882">
        <v>48.397795917117747</v>
      </c>
    </row>
    <row r="12" spans="1:255">
      <c r="A12" s="1426"/>
      <c r="B12" s="1427"/>
      <c r="C12" s="881">
        <v>0.6</v>
      </c>
      <c r="D12" s="915">
        <f>(AA12*KFC!$B$17+KFC!$C$17)*KFC!$C$5</f>
        <v>17.393552582877</v>
      </c>
      <c r="E12" s="912">
        <f>(AB12*KFC!$B$17+KFC!$C$17)*KFC!$C$5</f>
        <v>19.159861442197265</v>
      </c>
      <c r="F12" s="912">
        <f>(AC12*KFC!$B$17+KFC!$C$17)*KFC!$C$5</f>
        <v>20.92617030151753</v>
      </c>
      <c r="G12" s="912">
        <f>(AD12*KFC!$B$17+KFC!$C$17)*KFC!$C$5</f>
        <v>22.692479160837792</v>
      </c>
      <c r="H12" s="912">
        <f>(AE12*KFC!$B$17+KFC!$C$17)*KFC!$C$5</f>
        <v>24.458788020158053</v>
      </c>
      <c r="I12" s="912">
        <f>(AF12*KFC!$B$17+KFC!$C$17)*KFC!$C$5</f>
        <v>26.225096879478311</v>
      </c>
      <c r="J12" s="912">
        <f>(AG12*KFC!$B$17+KFC!$C$17)*KFC!$C$5</f>
        <v>27.991405738798576</v>
      </c>
      <c r="K12" s="912">
        <f>(AH12*KFC!$B$17+KFC!$C$17)*KFC!$C$5</f>
        <v>29.757714598118838</v>
      </c>
      <c r="L12" s="912">
        <f>(AI12*KFC!$B$17+KFC!$C$17)*KFC!$C$5</f>
        <v>31.5240234574391</v>
      </c>
      <c r="M12" s="912">
        <f>(AJ12*KFC!$B$17+KFC!$C$17)*KFC!$C$5</f>
        <v>33.290332316759361</v>
      </c>
      <c r="N12" s="912">
        <f>(AK12*KFC!$B$17+KFC!$C$17)*KFC!$C$5</f>
        <v>35.056641176079623</v>
      </c>
      <c r="O12" s="912">
        <f>(AL12*KFC!$B$17+KFC!$C$17)*KFC!$C$5</f>
        <v>36.822950035399884</v>
      </c>
      <c r="P12" s="912">
        <f>(AM12*KFC!$B$17+KFC!$C$17)*KFC!$C$5</f>
        <v>38.589258894720153</v>
      </c>
      <c r="Q12" s="912">
        <f>(AN12*KFC!$B$17+KFC!$C$17)*KFC!$C$5</f>
        <v>40.355567754040415</v>
      </c>
      <c r="R12" s="912">
        <f>(AO12*KFC!$B$17+KFC!$C$17)*KFC!$C$5</f>
        <v>42.121876613360683</v>
      </c>
      <c r="S12" s="912">
        <f>(AP12*KFC!$B$17+KFC!$C$17)*KFC!$C$5</f>
        <v>43.888185472680952</v>
      </c>
      <c r="T12" s="912">
        <f>(AQ12*KFC!$B$17+KFC!$C$17)*KFC!$C$5</f>
        <v>45.654494332001214</v>
      </c>
      <c r="U12" s="912">
        <f>(AR12*KFC!$B$17+KFC!$C$17)*KFC!$C$5</f>
        <v>47.420803191321482</v>
      </c>
      <c r="V12" s="912">
        <f>(AS12*KFC!$B$17+KFC!$C$17)*KFC!$C$5</f>
        <v>49.187112050641751</v>
      </c>
      <c r="W12" s="916">
        <f>(AT12*KFC!$B$17+KFC!$C$17)*KFC!$C$5</f>
        <v>50.953420909961999</v>
      </c>
      <c r="Y12" s="1277"/>
      <c r="Z12" s="649">
        <v>0.6</v>
      </c>
      <c r="AA12" s="882">
        <v>17.393552582877</v>
      </c>
      <c r="AB12" s="882">
        <v>19.159861442197265</v>
      </c>
      <c r="AC12" s="882">
        <v>20.92617030151753</v>
      </c>
      <c r="AD12" s="882">
        <v>22.692479160837792</v>
      </c>
      <c r="AE12" s="882">
        <v>24.458788020158053</v>
      </c>
      <c r="AF12" s="882">
        <v>26.225096879478311</v>
      </c>
      <c r="AG12" s="882">
        <v>27.991405738798576</v>
      </c>
      <c r="AH12" s="882">
        <v>29.757714598118838</v>
      </c>
      <c r="AI12" s="882">
        <v>31.5240234574391</v>
      </c>
      <c r="AJ12" s="882">
        <v>33.290332316759361</v>
      </c>
      <c r="AK12" s="882">
        <v>35.056641176079623</v>
      </c>
      <c r="AL12" s="882">
        <v>36.822950035399884</v>
      </c>
      <c r="AM12" s="882">
        <v>38.589258894720153</v>
      </c>
      <c r="AN12" s="882">
        <v>40.355567754040415</v>
      </c>
      <c r="AO12" s="882">
        <v>42.121876613360683</v>
      </c>
      <c r="AP12" s="882">
        <v>43.888185472680952</v>
      </c>
      <c r="AQ12" s="882">
        <v>45.654494332001214</v>
      </c>
      <c r="AR12" s="882">
        <v>47.420803191321482</v>
      </c>
      <c r="AS12" s="882">
        <v>49.187112050641751</v>
      </c>
      <c r="AT12" s="882">
        <v>50.953420909961999</v>
      </c>
    </row>
    <row r="13" spans="1:255">
      <c r="A13" s="1426"/>
      <c r="B13" s="1427"/>
      <c r="C13" s="881">
        <v>0.7</v>
      </c>
      <c r="D13" s="915">
        <f>(AA13*KFC!$B$17+KFC!$C$17)*KFC!$C$5</f>
        <v>17.879111792043751</v>
      </c>
      <c r="E13" s="912">
        <f>(AB13*KFC!$B$17+KFC!$C$17)*KFC!$C$5</f>
        <v>19.754371482083883</v>
      </c>
      <c r="F13" s="912">
        <f>(AC13*KFC!$B$17+KFC!$C$17)*KFC!$C$5</f>
        <v>21.629631172124014</v>
      </c>
      <c r="G13" s="912">
        <f>(AD13*KFC!$B$17+KFC!$C$17)*KFC!$C$5</f>
        <v>23.504890862164146</v>
      </c>
      <c r="H13" s="912">
        <f>(AE13*KFC!$B$17+KFC!$C$17)*KFC!$C$5</f>
        <v>25.380150552204277</v>
      </c>
      <c r="I13" s="912">
        <f>(AF13*KFC!$B$17+KFC!$C$17)*KFC!$C$5</f>
        <v>27.255410242244409</v>
      </c>
      <c r="J13" s="912">
        <f>(AG13*KFC!$B$17+KFC!$C$17)*KFC!$C$5</f>
        <v>29.130669932284544</v>
      </c>
      <c r="K13" s="912">
        <f>(AH13*KFC!$B$17+KFC!$C$17)*KFC!$C$5</f>
        <v>31.005929622324675</v>
      </c>
      <c r="L13" s="912">
        <f>(AI13*KFC!$B$17+KFC!$C$17)*KFC!$C$5</f>
        <v>32.881189312364803</v>
      </c>
      <c r="M13" s="912">
        <f>(AJ13*KFC!$B$17+KFC!$C$17)*KFC!$C$5</f>
        <v>34.756449002404935</v>
      </c>
      <c r="N13" s="912">
        <f>(AK13*KFC!$B$17+KFC!$C$17)*KFC!$C$5</f>
        <v>36.631708692445066</v>
      </c>
      <c r="O13" s="912">
        <f>(AL13*KFC!$B$17+KFC!$C$17)*KFC!$C$5</f>
        <v>38.506968382485198</v>
      </c>
      <c r="P13" s="912">
        <f>(AM13*KFC!$B$17+KFC!$C$17)*KFC!$C$5</f>
        <v>40.382228072525329</v>
      </c>
      <c r="Q13" s="912">
        <f>(AN13*KFC!$B$17+KFC!$C$17)*KFC!$C$5</f>
        <v>42.257487762565461</v>
      </c>
      <c r="R13" s="912">
        <f>(AO13*KFC!$B$17+KFC!$C$17)*KFC!$C$5</f>
        <v>44.132747452605592</v>
      </c>
      <c r="S13" s="912">
        <f>(AP13*KFC!$B$17+KFC!$C$17)*KFC!$C$5</f>
        <v>46.008007142645724</v>
      </c>
      <c r="T13" s="912">
        <f>(AQ13*KFC!$B$17+KFC!$C$17)*KFC!$C$5</f>
        <v>47.883266832685855</v>
      </c>
      <c r="U13" s="912">
        <f>(AR13*KFC!$B$17+KFC!$C$17)*KFC!$C$5</f>
        <v>49.758526522725987</v>
      </c>
      <c r="V13" s="912">
        <f>(AS13*KFC!$B$17+KFC!$C$17)*KFC!$C$5</f>
        <v>51.633786212766118</v>
      </c>
      <c r="W13" s="916">
        <f>(AT13*KFC!$B$17+KFC!$C$17)*KFC!$C$5</f>
        <v>53.50904590280625</v>
      </c>
      <c r="Y13" s="1277"/>
      <c r="Z13" s="649">
        <v>0.7</v>
      </c>
      <c r="AA13" s="882">
        <v>17.879111792043751</v>
      </c>
      <c r="AB13" s="882">
        <v>19.754371482083883</v>
      </c>
      <c r="AC13" s="882">
        <v>21.629631172124014</v>
      </c>
      <c r="AD13" s="882">
        <v>23.504890862164146</v>
      </c>
      <c r="AE13" s="882">
        <v>25.380150552204277</v>
      </c>
      <c r="AF13" s="882">
        <v>27.255410242244409</v>
      </c>
      <c r="AG13" s="882">
        <v>29.130669932284544</v>
      </c>
      <c r="AH13" s="882">
        <v>31.005929622324675</v>
      </c>
      <c r="AI13" s="882">
        <v>32.881189312364803</v>
      </c>
      <c r="AJ13" s="882">
        <v>34.756449002404935</v>
      </c>
      <c r="AK13" s="882">
        <v>36.631708692445066</v>
      </c>
      <c r="AL13" s="882">
        <v>38.506968382485198</v>
      </c>
      <c r="AM13" s="882">
        <v>40.382228072525329</v>
      </c>
      <c r="AN13" s="882">
        <v>42.257487762565461</v>
      </c>
      <c r="AO13" s="882">
        <v>44.132747452605592</v>
      </c>
      <c r="AP13" s="882">
        <v>46.008007142645724</v>
      </c>
      <c r="AQ13" s="882">
        <v>47.883266832685855</v>
      </c>
      <c r="AR13" s="882">
        <v>49.758526522725987</v>
      </c>
      <c r="AS13" s="882">
        <v>51.633786212766118</v>
      </c>
      <c r="AT13" s="882">
        <v>53.50904590280625</v>
      </c>
    </row>
    <row r="14" spans="1:255">
      <c r="A14" s="1426"/>
      <c r="B14" s="1427"/>
      <c r="C14" s="881">
        <v>0.8</v>
      </c>
      <c r="D14" s="915">
        <f>(AA14*KFC!$B$17+KFC!$C$17)*KFC!$C$5</f>
        <v>18.364671001210503</v>
      </c>
      <c r="E14" s="912">
        <f>(AB14*KFC!$B$17+KFC!$C$17)*KFC!$C$5</f>
        <v>20.348881521970501</v>
      </c>
      <c r="F14" s="912">
        <f>(AC14*KFC!$B$17+KFC!$C$17)*KFC!$C$5</f>
        <v>22.333092042730499</v>
      </c>
      <c r="G14" s="912">
        <f>(AD14*KFC!$B$17+KFC!$C$17)*KFC!$C$5</f>
        <v>24.317302563490504</v>
      </c>
      <c r="H14" s="912">
        <f>(AE14*KFC!$B$17+KFC!$C$17)*KFC!$C$5</f>
        <v>26.301513084250502</v>
      </c>
      <c r="I14" s="912">
        <f>(AF14*KFC!$B$17+KFC!$C$17)*KFC!$C$5</f>
        <v>28.285723605010503</v>
      </c>
      <c r="J14" s="912">
        <f>(AG14*KFC!$B$17+KFC!$C$17)*KFC!$C$5</f>
        <v>30.269934125770508</v>
      </c>
      <c r="K14" s="912">
        <f>(AH14*KFC!$B$17+KFC!$C$17)*KFC!$C$5</f>
        <v>32.254144646530506</v>
      </c>
      <c r="L14" s="912">
        <f>(AI14*KFC!$B$17+KFC!$C$17)*KFC!$C$5</f>
        <v>34.238355167290507</v>
      </c>
      <c r="M14" s="912">
        <f>(AJ14*KFC!$B$17+KFC!$C$17)*KFC!$C$5</f>
        <v>36.222565688050516</v>
      </c>
      <c r="N14" s="912">
        <f>(AK14*KFC!$B$17+KFC!$C$17)*KFC!$C$5</f>
        <v>38.20677620881051</v>
      </c>
      <c r="O14" s="912">
        <f>(AL14*KFC!$B$17+KFC!$C$17)*KFC!$C$5</f>
        <v>40.190986729570504</v>
      </c>
      <c r="P14" s="912">
        <f>(AM14*KFC!$B$17+KFC!$C$17)*KFC!$C$5</f>
        <v>42.175197250330513</v>
      </c>
      <c r="Q14" s="912">
        <f>(AN14*KFC!$B$17+KFC!$C$17)*KFC!$C$5</f>
        <v>44.159407771090507</v>
      </c>
      <c r="R14" s="912">
        <f>(AO14*KFC!$B$17+KFC!$C$17)*KFC!$C$5</f>
        <v>46.143618291850508</v>
      </c>
      <c r="S14" s="912">
        <f>(AP14*KFC!$B$17+KFC!$C$17)*KFC!$C$5</f>
        <v>48.127828812610502</v>
      </c>
      <c r="T14" s="912">
        <f>(AQ14*KFC!$B$17+KFC!$C$17)*KFC!$C$5</f>
        <v>50.112039333370497</v>
      </c>
      <c r="U14" s="912">
        <f>(AR14*KFC!$B$17+KFC!$C$17)*KFC!$C$5</f>
        <v>52.096249854130498</v>
      </c>
      <c r="V14" s="912">
        <f>(AS14*KFC!$B$17+KFC!$C$17)*KFC!$C$5</f>
        <v>54.080460374890492</v>
      </c>
      <c r="W14" s="916">
        <f>(AT14*KFC!$B$17+KFC!$C$17)*KFC!$C$5</f>
        <v>56.064670895650515</v>
      </c>
      <c r="Y14" s="1277"/>
      <c r="Z14" s="649">
        <v>0.8</v>
      </c>
      <c r="AA14" s="882">
        <v>18.364671001210503</v>
      </c>
      <c r="AB14" s="882">
        <v>20.348881521970501</v>
      </c>
      <c r="AC14" s="882">
        <v>22.333092042730499</v>
      </c>
      <c r="AD14" s="882">
        <v>24.317302563490504</v>
      </c>
      <c r="AE14" s="882">
        <v>26.301513084250502</v>
      </c>
      <c r="AF14" s="882">
        <v>28.285723605010503</v>
      </c>
      <c r="AG14" s="882">
        <v>30.269934125770508</v>
      </c>
      <c r="AH14" s="882">
        <v>32.254144646530506</v>
      </c>
      <c r="AI14" s="882">
        <v>34.238355167290507</v>
      </c>
      <c r="AJ14" s="882">
        <v>36.222565688050516</v>
      </c>
      <c r="AK14" s="882">
        <v>38.20677620881051</v>
      </c>
      <c r="AL14" s="882">
        <v>40.190986729570504</v>
      </c>
      <c r="AM14" s="882">
        <v>42.175197250330513</v>
      </c>
      <c r="AN14" s="882">
        <v>44.159407771090507</v>
      </c>
      <c r="AO14" s="882">
        <v>46.143618291850508</v>
      </c>
      <c r="AP14" s="882">
        <v>48.127828812610502</v>
      </c>
      <c r="AQ14" s="882">
        <v>50.112039333370497</v>
      </c>
      <c r="AR14" s="882">
        <v>52.096249854130498</v>
      </c>
      <c r="AS14" s="882">
        <v>54.080460374890492</v>
      </c>
      <c r="AT14" s="882">
        <v>56.064670895650515</v>
      </c>
    </row>
    <row r="15" spans="1:255">
      <c r="A15" s="1426"/>
      <c r="B15" s="1427"/>
      <c r="C15" s="881">
        <v>0.9</v>
      </c>
      <c r="D15" s="915">
        <f>(AA15*KFC!$B$17+KFC!$C$17)*KFC!$C$5</f>
        <v>18.850230210377251</v>
      </c>
      <c r="E15" s="912">
        <f>(AB15*KFC!$B$17+KFC!$C$17)*KFC!$C$5</f>
        <v>20.943391561857119</v>
      </c>
      <c r="F15" s="912">
        <f>(AC15*KFC!$B$17+KFC!$C$17)*KFC!$C$5</f>
        <v>23.03655291333699</v>
      </c>
      <c r="G15" s="912">
        <f>(AD15*KFC!$B$17+KFC!$C$17)*KFC!$C$5</f>
        <v>25.129714264816855</v>
      </c>
      <c r="H15" s="912">
        <f>(AE15*KFC!$B$17+KFC!$C$17)*KFC!$C$5</f>
        <v>27.222875616296722</v>
      </c>
      <c r="I15" s="912">
        <f>(AF15*KFC!$B$17+KFC!$C$17)*KFC!$C$5</f>
        <v>29.31603696777659</v>
      </c>
      <c r="J15" s="912">
        <f>(AG15*KFC!$B$17+KFC!$C$17)*KFC!$C$5</f>
        <v>31.409198319256458</v>
      </c>
      <c r="K15" s="912">
        <f>(AH15*KFC!$B$17+KFC!$C$17)*KFC!$C$5</f>
        <v>33.502359670736325</v>
      </c>
      <c r="L15" s="912">
        <f>(AI15*KFC!$B$17+KFC!$C$17)*KFC!$C$5</f>
        <v>35.595521022216197</v>
      </c>
      <c r="M15" s="912">
        <f>(AJ15*KFC!$B$17+KFC!$C$17)*KFC!$C$5</f>
        <v>37.688682373696068</v>
      </c>
      <c r="N15" s="912">
        <f>(AK15*KFC!$B$17+KFC!$C$17)*KFC!$C$5</f>
        <v>39.781843725175932</v>
      </c>
      <c r="O15" s="912">
        <f>(AL15*KFC!$B$17+KFC!$C$17)*KFC!$C$5</f>
        <v>41.87500507665581</v>
      </c>
      <c r="P15" s="912">
        <f>(AM15*KFC!$B$17+KFC!$C$17)*KFC!$C$5</f>
        <v>43.968166428135689</v>
      </c>
      <c r="Q15" s="912">
        <f>(AN15*KFC!$B$17+KFC!$C$17)*KFC!$C$5</f>
        <v>46.061327779615553</v>
      </c>
      <c r="R15" s="912">
        <f>(AO15*KFC!$B$17+KFC!$C$17)*KFC!$C$5</f>
        <v>48.154489131095417</v>
      </c>
      <c r="S15" s="912">
        <f>(AP15*KFC!$B$17+KFC!$C$17)*KFC!$C$5</f>
        <v>50.247650482575295</v>
      </c>
      <c r="T15" s="912">
        <f>(AQ15*KFC!$B$17+KFC!$C$17)*KFC!$C$5</f>
        <v>52.340811834055167</v>
      </c>
      <c r="U15" s="912">
        <f>(AR15*KFC!$B$17+KFC!$C$17)*KFC!$C$5</f>
        <v>54.433973185535038</v>
      </c>
      <c r="V15" s="912">
        <f>(AS15*KFC!$B$17+KFC!$C$17)*KFC!$C$5</f>
        <v>56.527134537014909</v>
      </c>
      <c r="W15" s="916">
        <f>(AT15*KFC!$B$17+KFC!$C$17)*KFC!$C$5</f>
        <v>58.620295888494759</v>
      </c>
      <c r="Y15" s="1277"/>
      <c r="Z15" s="649">
        <v>0.9</v>
      </c>
      <c r="AA15" s="882">
        <v>18.850230210377251</v>
      </c>
      <c r="AB15" s="882">
        <v>20.943391561857119</v>
      </c>
      <c r="AC15" s="882">
        <v>23.03655291333699</v>
      </c>
      <c r="AD15" s="882">
        <v>25.129714264816855</v>
      </c>
      <c r="AE15" s="882">
        <v>27.222875616296722</v>
      </c>
      <c r="AF15" s="882">
        <v>29.31603696777659</v>
      </c>
      <c r="AG15" s="882">
        <v>31.409198319256458</v>
      </c>
      <c r="AH15" s="882">
        <v>33.502359670736325</v>
      </c>
      <c r="AI15" s="882">
        <v>35.595521022216197</v>
      </c>
      <c r="AJ15" s="882">
        <v>37.688682373696068</v>
      </c>
      <c r="AK15" s="882">
        <v>39.781843725175932</v>
      </c>
      <c r="AL15" s="882">
        <v>41.87500507665581</v>
      </c>
      <c r="AM15" s="882">
        <v>43.968166428135689</v>
      </c>
      <c r="AN15" s="882">
        <v>46.061327779615553</v>
      </c>
      <c r="AO15" s="882">
        <v>48.154489131095417</v>
      </c>
      <c r="AP15" s="882">
        <v>50.247650482575295</v>
      </c>
      <c r="AQ15" s="882">
        <v>52.340811834055167</v>
      </c>
      <c r="AR15" s="882">
        <v>54.433973185535038</v>
      </c>
      <c r="AS15" s="882">
        <v>56.527134537014909</v>
      </c>
      <c r="AT15" s="882">
        <v>58.620295888494759</v>
      </c>
    </row>
    <row r="16" spans="1:255">
      <c r="A16" s="1426"/>
      <c r="B16" s="1427"/>
      <c r="C16" s="881">
        <v>1</v>
      </c>
      <c r="D16" s="915">
        <f>(AA16*KFC!$B$17+KFC!$C$17)*KFC!$C$5</f>
        <v>19.335789419544</v>
      </c>
      <c r="E16" s="912">
        <f>(AB16*KFC!$B$17+KFC!$C$17)*KFC!$C$5</f>
        <v>21.537901601743737</v>
      </c>
      <c r="F16" s="912">
        <f>(AC16*KFC!$B$17+KFC!$C$17)*KFC!$C$5</f>
        <v>23.740013783943475</v>
      </c>
      <c r="G16" s="912">
        <f>(AD16*KFC!$B$17+KFC!$C$17)*KFC!$C$5</f>
        <v>25.942125966143212</v>
      </c>
      <c r="H16" s="912">
        <f>(AE16*KFC!$B$17+KFC!$C$17)*KFC!$C$5</f>
        <v>28.14423814834295</v>
      </c>
      <c r="I16" s="912">
        <f>(AF16*KFC!$B$17+KFC!$C$17)*KFC!$C$5</f>
        <v>30.346350330542688</v>
      </c>
      <c r="J16" s="912">
        <f>(AG16*KFC!$B$17+KFC!$C$17)*KFC!$C$5</f>
        <v>32.548462512742425</v>
      </c>
      <c r="K16" s="912">
        <f>(AH16*KFC!$B$17+KFC!$C$17)*KFC!$C$5</f>
        <v>34.750574694942166</v>
      </c>
      <c r="L16" s="912">
        <f>(AI16*KFC!$B$17+KFC!$C$17)*KFC!$C$5</f>
        <v>36.9526868771419</v>
      </c>
      <c r="M16" s="912">
        <f>(AJ16*KFC!$B$17+KFC!$C$17)*KFC!$C$5</f>
        <v>39.154799059341642</v>
      </c>
      <c r="N16" s="912">
        <f>(AK16*KFC!$B$17+KFC!$C$17)*KFC!$C$5</f>
        <v>41.356911241541376</v>
      </c>
      <c r="O16" s="912">
        <f>(AL16*KFC!$B$17+KFC!$C$17)*KFC!$C$5</f>
        <v>43.559023423741117</v>
      </c>
      <c r="P16" s="912">
        <f>(AM16*KFC!$B$17+KFC!$C$17)*KFC!$C$5</f>
        <v>45.761135605940851</v>
      </c>
      <c r="Q16" s="912">
        <f>(AN16*KFC!$B$17+KFC!$C$17)*KFC!$C$5</f>
        <v>47.963247788140592</v>
      </c>
      <c r="R16" s="912">
        <f>(AO16*KFC!$B$17+KFC!$C$17)*KFC!$C$5</f>
        <v>50.165359970340333</v>
      </c>
      <c r="S16" s="912">
        <f>(AP16*KFC!$B$17+KFC!$C$17)*KFC!$C$5</f>
        <v>52.367472152540067</v>
      </c>
      <c r="T16" s="912">
        <f>(AQ16*KFC!$B$17+KFC!$C$17)*KFC!$C$5</f>
        <v>54.569584334739808</v>
      </c>
      <c r="U16" s="912">
        <f>(AR16*KFC!$B$17+KFC!$C$17)*KFC!$C$5</f>
        <v>56.771696516939542</v>
      </c>
      <c r="V16" s="912">
        <f>(AS16*KFC!$B$17+KFC!$C$17)*KFC!$C$5</f>
        <v>58.973808699139283</v>
      </c>
      <c r="W16" s="916">
        <f>(AT16*KFC!$B$17+KFC!$C$17)*KFC!$C$5</f>
        <v>61.17592088133901</v>
      </c>
      <c r="Y16" s="1277"/>
      <c r="Z16" s="649">
        <v>1</v>
      </c>
      <c r="AA16" s="882">
        <v>19.335789419544</v>
      </c>
      <c r="AB16" s="882">
        <v>21.537901601743737</v>
      </c>
      <c r="AC16" s="882">
        <v>23.740013783943475</v>
      </c>
      <c r="AD16" s="882">
        <v>25.942125966143212</v>
      </c>
      <c r="AE16" s="882">
        <v>28.14423814834295</v>
      </c>
      <c r="AF16" s="882">
        <v>30.346350330542688</v>
      </c>
      <c r="AG16" s="882">
        <v>32.548462512742425</v>
      </c>
      <c r="AH16" s="882">
        <v>34.750574694942166</v>
      </c>
      <c r="AI16" s="882">
        <v>36.9526868771419</v>
      </c>
      <c r="AJ16" s="882">
        <v>39.154799059341642</v>
      </c>
      <c r="AK16" s="882">
        <v>41.356911241541376</v>
      </c>
      <c r="AL16" s="882">
        <v>43.559023423741117</v>
      </c>
      <c r="AM16" s="882">
        <v>45.761135605940851</v>
      </c>
      <c r="AN16" s="882">
        <v>47.963247788140592</v>
      </c>
      <c r="AO16" s="882">
        <v>50.165359970340333</v>
      </c>
      <c r="AP16" s="882">
        <v>52.367472152540067</v>
      </c>
      <c r="AQ16" s="882">
        <v>54.569584334739808</v>
      </c>
      <c r="AR16" s="882">
        <v>56.771696516939542</v>
      </c>
      <c r="AS16" s="882">
        <v>58.973808699139283</v>
      </c>
      <c r="AT16" s="882">
        <v>61.17592088133901</v>
      </c>
    </row>
    <row r="17" spans="1:46">
      <c r="A17" s="1426"/>
      <c r="B17" s="1427"/>
      <c r="C17" s="881">
        <v>1.1000000000000001</v>
      </c>
      <c r="D17" s="915">
        <f>(AA17*KFC!$B$17+KFC!$C$17)*KFC!$C$5</f>
        <v>19.821348628710751</v>
      </c>
      <c r="E17" s="912">
        <f>(AB17*KFC!$B$17+KFC!$C$17)*KFC!$C$5</f>
        <v>22.132411641630355</v>
      </c>
      <c r="F17" s="912">
        <f>(AC17*KFC!$B$17+KFC!$C$17)*KFC!$C$5</f>
        <v>24.443474654549959</v>
      </c>
      <c r="G17" s="912">
        <f>(AD17*KFC!$B$17+KFC!$C$17)*KFC!$C$5</f>
        <v>26.754537667469563</v>
      </c>
      <c r="H17" s="912">
        <f>(AE17*KFC!$B$17+KFC!$C$17)*KFC!$C$5</f>
        <v>29.065600680389171</v>
      </c>
      <c r="I17" s="912">
        <f>(AF17*KFC!$B$17+KFC!$C$17)*KFC!$C$5</f>
        <v>31.376663693308771</v>
      </c>
      <c r="J17" s="912">
        <f>(AG17*KFC!$B$17+KFC!$C$17)*KFC!$C$5</f>
        <v>33.687726706228375</v>
      </c>
      <c r="K17" s="912">
        <f>(AH17*KFC!$B$17+KFC!$C$17)*KFC!$C$5</f>
        <v>35.998789719147979</v>
      </c>
      <c r="L17" s="912">
        <f>(AI17*KFC!$B$17+KFC!$C$17)*KFC!$C$5</f>
        <v>38.309852732067583</v>
      </c>
      <c r="M17" s="912">
        <f>(AJ17*KFC!$B$17+KFC!$C$17)*KFC!$C$5</f>
        <v>40.620915744987194</v>
      </c>
      <c r="N17" s="912">
        <f>(AK17*KFC!$B$17+KFC!$C$17)*KFC!$C$5</f>
        <v>42.931978757906791</v>
      </c>
      <c r="O17" s="912">
        <f>(AL17*KFC!$B$17+KFC!$C$17)*KFC!$C$5</f>
        <v>45.243041770826402</v>
      </c>
      <c r="P17" s="912">
        <f>(AM17*KFC!$B$17+KFC!$C$17)*KFC!$C$5</f>
        <v>47.554104783746006</v>
      </c>
      <c r="Q17" s="912">
        <f>(AN17*KFC!$B$17+KFC!$C$17)*KFC!$C$5</f>
        <v>49.865167796665602</v>
      </c>
      <c r="R17" s="912">
        <f>(AO17*KFC!$B$17+KFC!$C$17)*KFC!$C$5</f>
        <v>52.176230809585206</v>
      </c>
      <c r="S17" s="912">
        <f>(AP17*KFC!$B$17+KFC!$C$17)*KFC!$C$5</f>
        <v>54.487293822504817</v>
      </c>
      <c r="T17" s="912">
        <f>(AQ17*KFC!$B$17+KFC!$C$17)*KFC!$C$5</f>
        <v>56.798356835424414</v>
      </c>
      <c r="U17" s="912">
        <f>(AR17*KFC!$B$17+KFC!$C$17)*KFC!$C$5</f>
        <v>59.109419848344025</v>
      </c>
      <c r="V17" s="912">
        <f>(AS17*KFC!$B$17+KFC!$C$17)*KFC!$C$5</f>
        <v>61.420482861263622</v>
      </c>
      <c r="W17" s="916">
        <f>(AT17*KFC!$B$17+KFC!$C$17)*KFC!$C$5</f>
        <v>63.731545874183261</v>
      </c>
      <c r="Y17" s="1277"/>
      <c r="Z17" s="649">
        <v>1.1000000000000001</v>
      </c>
      <c r="AA17" s="882">
        <v>19.821348628710751</v>
      </c>
      <c r="AB17" s="882">
        <v>22.132411641630355</v>
      </c>
      <c r="AC17" s="882">
        <v>24.443474654549959</v>
      </c>
      <c r="AD17" s="882">
        <v>26.754537667469563</v>
      </c>
      <c r="AE17" s="882">
        <v>29.065600680389171</v>
      </c>
      <c r="AF17" s="882">
        <v>31.376663693308771</v>
      </c>
      <c r="AG17" s="882">
        <v>33.687726706228375</v>
      </c>
      <c r="AH17" s="882">
        <v>35.998789719147979</v>
      </c>
      <c r="AI17" s="882">
        <v>38.309852732067583</v>
      </c>
      <c r="AJ17" s="882">
        <v>40.620915744987194</v>
      </c>
      <c r="AK17" s="882">
        <v>42.931978757906791</v>
      </c>
      <c r="AL17" s="882">
        <v>45.243041770826402</v>
      </c>
      <c r="AM17" s="882">
        <v>47.554104783746006</v>
      </c>
      <c r="AN17" s="882">
        <v>49.865167796665602</v>
      </c>
      <c r="AO17" s="882">
        <v>52.176230809585206</v>
      </c>
      <c r="AP17" s="882">
        <v>54.487293822504817</v>
      </c>
      <c r="AQ17" s="882">
        <v>56.798356835424414</v>
      </c>
      <c r="AR17" s="882">
        <v>59.109419848344025</v>
      </c>
      <c r="AS17" s="882">
        <v>61.420482861263622</v>
      </c>
      <c r="AT17" s="882">
        <v>63.731545874183261</v>
      </c>
    </row>
    <row r="18" spans="1:46">
      <c r="A18" s="1426"/>
      <c r="B18" s="1427"/>
      <c r="C18" s="881">
        <v>1.2</v>
      </c>
      <c r="D18" s="915">
        <f>(AA18*KFC!$B$17+KFC!$C$17)*KFC!$C$5</f>
        <v>20.3069078378775</v>
      </c>
      <c r="E18" s="912">
        <f>(AB18*KFC!$B$17+KFC!$C$17)*KFC!$C$5</f>
        <v>22.726921681516977</v>
      </c>
      <c r="F18" s="912">
        <f>(AC18*KFC!$B$17+KFC!$C$17)*KFC!$C$5</f>
        <v>25.146935525156451</v>
      </c>
      <c r="G18" s="912">
        <f>(AD18*KFC!$B$17+KFC!$C$17)*KFC!$C$5</f>
        <v>27.566949368795921</v>
      </c>
      <c r="H18" s="912">
        <f>(AE18*KFC!$B$17+KFC!$C$17)*KFC!$C$5</f>
        <v>29.986963212435398</v>
      </c>
      <c r="I18" s="912">
        <f>(AF18*KFC!$B$17+KFC!$C$17)*KFC!$C$5</f>
        <v>32.406977056074872</v>
      </c>
      <c r="J18" s="912">
        <f>(AG18*KFC!$B$17+KFC!$C$17)*KFC!$C$5</f>
        <v>34.826990899714346</v>
      </c>
      <c r="K18" s="912">
        <f>(AH18*KFC!$B$17+KFC!$C$17)*KFC!$C$5</f>
        <v>37.24700474335382</v>
      </c>
      <c r="L18" s="912">
        <f>(AI18*KFC!$B$17+KFC!$C$17)*KFC!$C$5</f>
        <v>39.667018586993301</v>
      </c>
      <c r="M18" s="912">
        <f>(AJ18*KFC!$B$17+KFC!$C$17)*KFC!$C$5</f>
        <v>42.087032430632775</v>
      </c>
      <c r="N18" s="912">
        <f>(AK18*KFC!$B$17+KFC!$C$17)*KFC!$C$5</f>
        <v>44.507046274272255</v>
      </c>
      <c r="O18" s="912">
        <f>(AL18*KFC!$B$17+KFC!$C$17)*KFC!$C$5</f>
        <v>46.927060117911729</v>
      </c>
      <c r="P18" s="912">
        <f>(AM18*KFC!$B$17+KFC!$C$17)*KFC!$C$5</f>
        <v>49.34707396155121</v>
      </c>
      <c r="Q18" s="912">
        <f>(AN18*KFC!$B$17+KFC!$C$17)*KFC!$C$5</f>
        <v>51.767087805190691</v>
      </c>
      <c r="R18" s="912">
        <f>(AO18*KFC!$B$17+KFC!$C$17)*KFC!$C$5</f>
        <v>54.187101648830165</v>
      </c>
      <c r="S18" s="912">
        <f>(AP18*KFC!$B$17+KFC!$C$17)*KFC!$C$5</f>
        <v>56.607115492469646</v>
      </c>
      <c r="T18" s="912">
        <f>(AQ18*KFC!$B$17+KFC!$C$17)*KFC!$C$5</f>
        <v>59.02712933610912</v>
      </c>
      <c r="U18" s="912">
        <f>(AR18*KFC!$B$17+KFC!$C$17)*KFC!$C$5</f>
        <v>61.447143179748586</v>
      </c>
      <c r="V18" s="912">
        <f>(AS18*KFC!$B$17+KFC!$C$17)*KFC!$C$5</f>
        <v>63.867157023388074</v>
      </c>
      <c r="W18" s="916">
        <f>(AT18*KFC!$B$17+KFC!$C$17)*KFC!$C$5</f>
        <v>66.287170867027513</v>
      </c>
      <c r="Y18" s="1277"/>
      <c r="Z18" s="649">
        <v>1.2</v>
      </c>
      <c r="AA18" s="882">
        <v>20.3069078378775</v>
      </c>
      <c r="AB18" s="882">
        <v>22.726921681516977</v>
      </c>
      <c r="AC18" s="882">
        <v>25.146935525156451</v>
      </c>
      <c r="AD18" s="882">
        <v>27.566949368795921</v>
      </c>
      <c r="AE18" s="882">
        <v>29.986963212435398</v>
      </c>
      <c r="AF18" s="882">
        <v>32.406977056074872</v>
      </c>
      <c r="AG18" s="882">
        <v>34.826990899714346</v>
      </c>
      <c r="AH18" s="882">
        <v>37.24700474335382</v>
      </c>
      <c r="AI18" s="882">
        <v>39.667018586993301</v>
      </c>
      <c r="AJ18" s="882">
        <v>42.087032430632775</v>
      </c>
      <c r="AK18" s="882">
        <v>44.507046274272255</v>
      </c>
      <c r="AL18" s="882">
        <v>46.927060117911729</v>
      </c>
      <c r="AM18" s="882">
        <v>49.34707396155121</v>
      </c>
      <c r="AN18" s="882">
        <v>51.767087805190691</v>
      </c>
      <c r="AO18" s="882">
        <v>54.187101648830165</v>
      </c>
      <c r="AP18" s="882">
        <v>56.607115492469646</v>
      </c>
      <c r="AQ18" s="882">
        <v>59.02712933610912</v>
      </c>
      <c r="AR18" s="882">
        <v>61.447143179748586</v>
      </c>
      <c r="AS18" s="882">
        <v>63.867157023388074</v>
      </c>
      <c r="AT18" s="882">
        <v>66.287170867027513</v>
      </c>
    </row>
    <row r="19" spans="1:46">
      <c r="A19" s="1426"/>
      <c r="B19" s="1427"/>
      <c r="C19" s="881">
        <v>1.3</v>
      </c>
      <c r="D19" s="915">
        <f>(AA19*KFC!$B$17+KFC!$C$17)*KFC!$C$5</f>
        <v>20.792467047044251</v>
      </c>
      <c r="E19" s="912">
        <f>(AB19*KFC!$B$17+KFC!$C$17)*KFC!$C$5</f>
        <v>23.321431721403595</v>
      </c>
      <c r="F19" s="912">
        <f>(AC19*KFC!$B$17+KFC!$C$17)*KFC!$C$5</f>
        <v>25.850396395762939</v>
      </c>
      <c r="G19" s="912">
        <f>(AD19*KFC!$B$17+KFC!$C$17)*KFC!$C$5</f>
        <v>28.379361070122282</v>
      </c>
      <c r="H19" s="912">
        <f>(AE19*KFC!$B$17+KFC!$C$17)*KFC!$C$5</f>
        <v>30.90832574448163</v>
      </c>
      <c r="I19" s="912">
        <f>(AF19*KFC!$B$17+KFC!$C$17)*KFC!$C$5</f>
        <v>33.437290418840966</v>
      </c>
      <c r="J19" s="912">
        <f>(AG19*KFC!$B$17+KFC!$C$17)*KFC!$C$5</f>
        <v>35.96625509320031</v>
      </c>
      <c r="K19" s="912">
        <f>(AH19*KFC!$B$17+KFC!$C$17)*KFC!$C$5</f>
        <v>38.495219767559661</v>
      </c>
      <c r="L19" s="912">
        <f>(AI19*KFC!$B$17+KFC!$C$17)*KFC!$C$5</f>
        <v>41.024184441918997</v>
      </c>
      <c r="M19" s="912">
        <f>(AJ19*KFC!$B$17+KFC!$C$17)*KFC!$C$5</f>
        <v>43.553149116278341</v>
      </c>
      <c r="N19" s="912">
        <f>(AK19*KFC!$B$17+KFC!$C$17)*KFC!$C$5</f>
        <v>46.082113790637685</v>
      </c>
      <c r="O19" s="912">
        <f>(AL19*KFC!$B$17+KFC!$C$17)*KFC!$C$5</f>
        <v>48.611078464997028</v>
      </c>
      <c r="P19" s="912">
        <f>(AM19*KFC!$B$17+KFC!$C$17)*KFC!$C$5</f>
        <v>51.140043139356372</v>
      </c>
      <c r="Q19" s="912">
        <f>(AN19*KFC!$B$17+KFC!$C$17)*KFC!$C$5</f>
        <v>53.669007813715723</v>
      </c>
      <c r="R19" s="912">
        <f>(AO19*KFC!$B$17+KFC!$C$17)*KFC!$C$5</f>
        <v>56.197972488075067</v>
      </c>
      <c r="S19" s="912">
        <f>(AP19*KFC!$B$17+KFC!$C$17)*KFC!$C$5</f>
        <v>58.72693716243441</v>
      </c>
      <c r="T19" s="912">
        <f>(AQ19*KFC!$B$17+KFC!$C$17)*KFC!$C$5</f>
        <v>61.255901836793754</v>
      </c>
      <c r="U19" s="912">
        <f>(AR19*KFC!$B$17+KFC!$C$17)*KFC!$C$5</f>
        <v>63.784866511153091</v>
      </c>
      <c r="V19" s="912">
        <f>(AS19*KFC!$B$17+KFC!$C$17)*KFC!$C$5</f>
        <v>66.313831185512427</v>
      </c>
      <c r="W19" s="916">
        <f>(AT19*KFC!$B$17+KFC!$C$17)*KFC!$C$5</f>
        <v>68.842795859871757</v>
      </c>
      <c r="Y19" s="1277"/>
      <c r="Z19" s="649">
        <v>1.3</v>
      </c>
      <c r="AA19" s="882">
        <v>20.792467047044251</v>
      </c>
      <c r="AB19" s="882">
        <v>23.321431721403595</v>
      </c>
      <c r="AC19" s="882">
        <v>25.850396395762939</v>
      </c>
      <c r="AD19" s="882">
        <v>28.379361070122282</v>
      </c>
      <c r="AE19" s="882">
        <v>30.90832574448163</v>
      </c>
      <c r="AF19" s="882">
        <v>33.437290418840966</v>
      </c>
      <c r="AG19" s="882">
        <v>35.96625509320031</v>
      </c>
      <c r="AH19" s="882">
        <v>38.495219767559661</v>
      </c>
      <c r="AI19" s="882">
        <v>41.024184441918997</v>
      </c>
      <c r="AJ19" s="882">
        <v>43.553149116278341</v>
      </c>
      <c r="AK19" s="882">
        <v>46.082113790637685</v>
      </c>
      <c r="AL19" s="882">
        <v>48.611078464997028</v>
      </c>
      <c r="AM19" s="882">
        <v>51.140043139356372</v>
      </c>
      <c r="AN19" s="882">
        <v>53.669007813715723</v>
      </c>
      <c r="AO19" s="882">
        <v>56.197972488075067</v>
      </c>
      <c r="AP19" s="882">
        <v>58.72693716243441</v>
      </c>
      <c r="AQ19" s="882">
        <v>61.255901836793754</v>
      </c>
      <c r="AR19" s="882">
        <v>63.784866511153091</v>
      </c>
      <c r="AS19" s="882">
        <v>66.313831185512427</v>
      </c>
      <c r="AT19" s="882">
        <v>68.842795859871757</v>
      </c>
    </row>
    <row r="20" spans="1:46">
      <c r="A20" s="1426"/>
      <c r="B20" s="1427"/>
      <c r="C20" s="881">
        <v>1.4</v>
      </c>
      <c r="D20" s="915">
        <f>(AA20*KFC!$B$17+KFC!$C$17)*KFC!$C$5</f>
        <v>21.278026256211</v>
      </c>
      <c r="E20" s="912">
        <f>(AB20*KFC!$B$17+KFC!$C$17)*KFC!$C$5</f>
        <v>23.915941761290213</v>
      </c>
      <c r="F20" s="912">
        <f>(AC20*KFC!$B$17+KFC!$C$17)*KFC!$C$5</f>
        <v>26.553857266369427</v>
      </c>
      <c r="G20" s="912">
        <f>(AD20*KFC!$B$17+KFC!$C$17)*KFC!$C$5</f>
        <v>29.191772771448633</v>
      </c>
      <c r="H20" s="912">
        <f>(AE20*KFC!$B$17+KFC!$C$17)*KFC!$C$5</f>
        <v>31.82968827652784</v>
      </c>
      <c r="I20" s="912">
        <f>(AF20*KFC!$B$17+KFC!$C$17)*KFC!$C$5</f>
        <v>34.467603781607053</v>
      </c>
      <c r="J20" s="912">
        <f>(AG20*KFC!$B$17+KFC!$C$17)*KFC!$C$5</f>
        <v>37.10551928668626</v>
      </c>
      <c r="K20" s="912">
        <f>(AH20*KFC!$B$17+KFC!$C$17)*KFC!$C$5</f>
        <v>39.743434791765473</v>
      </c>
      <c r="L20" s="912">
        <f>(AI20*KFC!$B$17+KFC!$C$17)*KFC!$C$5</f>
        <v>42.38135029684468</v>
      </c>
      <c r="M20" s="912">
        <f>(AJ20*KFC!$B$17+KFC!$C$17)*KFC!$C$5</f>
        <v>45.019265801923893</v>
      </c>
      <c r="N20" s="912">
        <f>(AK20*KFC!$B$17+KFC!$C$17)*KFC!$C$5</f>
        <v>47.6571813070031</v>
      </c>
      <c r="O20" s="912">
        <f>(AL20*KFC!$B$17+KFC!$C$17)*KFC!$C$5</f>
        <v>50.295096812082321</v>
      </c>
      <c r="P20" s="912">
        <f>(AM20*KFC!$B$17+KFC!$C$17)*KFC!$C$5</f>
        <v>52.933012317161527</v>
      </c>
      <c r="Q20" s="912">
        <f>(AN20*KFC!$B$17+KFC!$C$17)*KFC!$C$5</f>
        <v>55.570927822240733</v>
      </c>
      <c r="R20" s="912">
        <f>(AO20*KFC!$B$17+KFC!$C$17)*KFC!$C$5</f>
        <v>58.20884332731994</v>
      </c>
      <c r="S20" s="912">
        <f>(AP20*KFC!$B$17+KFC!$C$17)*KFC!$C$5</f>
        <v>60.846758832399146</v>
      </c>
      <c r="T20" s="912">
        <f>(AQ20*KFC!$B$17+KFC!$C$17)*KFC!$C$5</f>
        <v>63.48467433747836</v>
      </c>
      <c r="U20" s="912">
        <f>(AR20*KFC!$B$17+KFC!$C$17)*KFC!$C$5</f>
        <v>66.122589842557574</v>
      </c>
      <c r="V20" s="912">
        <f>(AS20*KFC!$B$17+KFC!$C$17)*KFC!$C$5</f>
        <v>68.76050534763678</v>
      </c>
      <c r="W20" s="916">
        <f>(AT20*KFC!$B$17+KFC!$C$17)*KFC!$C$5</f>
        <v>71.398420852716015</v>
      </c>
      <c r="Y20" s="1277"/>
      <c r="Z20" s="649">
        <v>1.4</v>
      </c>
      <c r="AA20" s="882">
        <v>21.278026256211</v>
      </c>
      <c r="AB20" s="882">
        <v>23.915941761290213</v>
      </c>
      <c r="AC20" s="882">
        <v>26.553857266369427</v>
      </c>
      <c r="AD20" s="882">
        <v>29.191772771448633</v>
      </c>
      <c r="AE20" s="882">
        <v>31.82968827652784</v>
      </c>
      <c r="AF20" s="882">
        <v>34.467603781607053</v>
      </c>
      <c r="AG20" s="882">
        <v>37.10551928668626</v>
      </c>
      <c r="AH20" s="882">
        <v>39.743434791765473</v>
      </c>
      <c r="AI20" s="882">
        <v>42.38135029684468</v>
      </c>
      <c r="AJ20" s="882">
        <v>45.019265801923893</v>
      </c>
      <c r="AK20" s="882">
        <v>47.6571813070031</v>
      </c>
      <c r="AL20" s="882">
        <v>50.295096812082321</v>
      </c>
      <c r="AM20" s="882">
        <v>52.933012317161527</v>
      </c>
      <c r="AN20" s="882">
        <v>55.570927822240733</v>
      </c>
      <c r="AO20" s="882">
        <v>58.20884332731994</v>
      </c>
      <c r="AP20" s="882">
        <v>60.846758832399146</v>
      </c>
      <c r="AQ20" s="882">
        <v>63.48467433747836</v>
      </c>
      <c r="AR20" s="882">
        <v>66.122589842557574</v>
      </c>
      <c r="AS20" s="882">
        <v>68.76050534763678</v>
      </c>
      <c r="AT20" s="882">
        <v>71.398420852716015</v>
      </c>
    </row>
    <row r="21" spans="1:46">
      <c r="A21" s="1426"/>
      <c r="B21" s="1427"/>
      <c r="C21" s="881">
        <v>1.5</v>
      </c>
      <c r="D21" s="915">
        <f>(AA21*KFC!$B$17+KFC!$C$17)*KFC!$C$5</f>
        <v>21.763585465377751</v>
      </c>
      <c r="E21" s="912">
        <f>(AB21*KFC!$B$17+KFC!$C$17)*KFC!$C$5</f>
        <v>24.510451801176831</v>
      </c>
      <c r="F21" s="912">
        <f>(AC21*KFC!$B$17+KFC!$C$17)*KFC!$C$5</f>
        <v>27.257318136975911</v>
      </c>
      <c r="G21" s="912">
        <f>(AD21*KFC!$B$17+KFC!$C$17)*KFC!$C$5</f>
        <v>30.004184472774991</v>
      </c>
      <c r="H21" s="912">
        <f>(AE21*KFC!$B$17+KFC!$C$17)*KFC!$C$5</f>
        <v>32.751050808574071</v>
      </c>
      <c r="I21" s="912">
        <f>(AF21*KFC!$B$17+KFC!$C$17)*KFC!$C$5</f>
        <v>35.497917144373147</v>
      </c>
      <c r="J21" s="912">
        <f>(AG21*KFC!$B$17+KFC!$C$17)*KFC!$C$5</f>
        <v>38.244783480172231</v>
      </c>
      <c r="K21" s="912">
        <f>(AH21*KFC!$B$17+KFC!$C$17)*KFC!$C$5</f>
        <v>40.991649815971307</v>
      </c>
      <c r="L21" s="912">
        <f>(AI21*KFC!$B$17+KFC!$C$17)*KFC!$C$5</f>
        <v>43.738516151770384</v>
      </c>
      <c r="M21" s="912">
        <f>(AJ21*KFC!$B$17+KFC!$C$17)*KFC!$C$5</f>
        <v>46.485382487569467</v>
      </c>
      <c r="N21" s="912">
        <f>(AK21*KFC!$B$17+KFC!$C$17)*KFC!$C$5</f>
        <v>49.232248823368536</v>
      </c>
      <c r="O21" s="912">
        <f>(AL21*KFC!$B$17+KFC!$C$17)*KFC!$C$5</f>
        <v>51.979115159167613</v>
      </c>
      <c r="P21" s="912">
        <f>(AM21*KFC!$B$17+KFC!$C$17)*KFC!$C$5</f>
        <v>54.725981494966689</v>
      </c>
      <c r="Q21" s="912">
        <f>(AN21*KFC!$B$17+KFC!$C$17)*KFC!$C$5</f>
        <v>57.472847830765765</v>
      </c>
      <c r="R21" s="912">
        <f>(AO21*KFC!$B$17+KFC!$C$17)*KFC!$C$5</f>
        <v>60.219714166564842</v>
      </c>
      <c r="S21" s="912">
        <f>(AP21*KFC!$B$17+KFC!$C$17)*KFC!$C$5</f>
        <v>62.966580502363918</v>
      </c>
      <c r="T21" s="912">
        <f>(AQ21*KFC!$B$17+KFC!$C$17)*KFC!$C$5</f>
        <v>65.713446838162994</v>
      </c>
      <c r="U21" s="912">
        <f>(AR21*KFC!$B$17+KFC!$C$17)*KFC!$C$5</f>
        <v>68.460313173962064</v>
      </c>
      <c r="V21" s="912">
        <f>(AS21*KFC!$B$17+KFC!$C$17)*KFC!$C$5</f>
        <v>71.207179509761147</v>
      </c>
      <c r="W21" s="916">
        <f>(AT21*KFC!$B$17+KFC!$C$17)*KFC!$C$5</f>
        <v>73.954045845560259</v>
      </c>
      <c r="Y21" s="1277"/>
      <c r="Z21" s="649">
        <v>1.5</v>
      </c>
      <c r="AA21" s="882">
        <v>21.763585465377751</v>
      </c>
      <c r="AB21" s="882">
        <v>24.510451801176831</v>
      </c>
      <c r="AC21" s="882">
        <v>27.257318136975911</v>
      </c>
      <c r="AD21" s="882">
        <v>30.004184472774991</v>
      </c>
      <c r="AE21" s="882">
        <v>32.751050808574071</v>
      </c>
      <c r="AF21" s="882">
        <v>35.497917144373147</v>
      </c>
      <c r="AG21" s="882">
        <v>38.244783480172231</v>
      </c>
      <c r="AH21" s="882">
        <v>40.991649815971307</v>
      </c>
      <c r="AI21" s="882">
        <v>43.738516151770384</v>
      </c>
      <c r="AJ21" s="882">
        <v>46.485382487569467</v>
      </c>
      <c r="AK21" s="882">
        <v>49.232248823368536</v>
      </c>
      <c r="AL21" s="882">
        <v>51.979115159167613</v>
      </c>
      <c r="AM21" s="882">
        <v>54.725981494966689</v>
      </c>
      <c r="AN21" s="882">
        <v>57.472847830765765</v>
      </c>
      <c r="AO21" s="882">
        <v>60.219714166564842</v>
      </c>
      <c r="AP21" s="882">
        <v>62.966580502363918</v>
      </c>
      <c r="AQ21" s="882">
        <v>65.713446838162994</v>
      </c>
      <c r="AR21" s="882">
        <v>68.460313173962064</v>
      </c>
      <c r="AS21" s="882">
        <v>71.207179509761147</v>
      </c>
      <c r="AT21" s="882">
        <v>73.954045845560259</v>
      </c>
    </row>
    <row r="22" spans="1:46">
      <c r="A22" s="1426"/>
      <c r="B22" s="1427"/>
      <c r="C22" s="881">
        <v>1.6</v>
      </c>
      <c r="D22" s="915">
        <f>(AA22*KFC!$B$17+KFC!$C$17)*KFC!$C$5</f>
        <v>22.249144674544503</v>
      </c>
      <c r="E22" s="912">
        <f>(AB22*KFC!$B$17+KFC!$C$17)*KFC!$C$5</f>
        <v>25.104961841063453</v>
      </c>
      <c r="F22" s="912">
        <f>(AC22*KFC!$B$17+KFC!$C$17)*KFC!$C$5</f>
        <v>27.960779007582406</v>
      </c>
      <c r="G22" s="912">
        <f>(AD22*KFC!$B$17+KFC!$C$17)*KFC!$C$5</f>
        <v>30.816596174101353</v>
      </c>
      <c r="H22" s="912">
        <f>(AE22*KFC!$B$17+KFC!$C$17)*KFC!$C$5</f>
        <v>33.672413340620295</v>
      </c>
      <c r="I22" s="912">
        <f>(AF22*KFC!$B$17+KFC!$C$17)*KFC!$C$5</f>
        <v>36.528230507139249</v>
      </c>
      <c r="J22" s="912">
        <f>(AG22*KFC!$B$17+KFC!$C$17)*KFC!$C$5</f>
        <v>39.384047673658202</v>
      </c>
      <c r="K22" s="912">
        <f>(AH22*KFC!$B$17+KFC!$C$17)*KFC!$C$5</f>
        <v>42.239864840177148</v>
      </c>
      <c r="L22" s="912">
        <f>(AI22*KFC!$B$17+KFC!$C$17)*KFC!$C$5</f>
        <v>45.095682006696094</v>
      </c>
      <c r="M22" s="912">
        <f>(AJ22*KFC!$B$17+KFC!$C$17)*KFC!$C$5</f>
        <v>47.951499173215041</v>
      </c>
      <c r="N22" s="912">
        <f>(AK22*KFC!$B$17+KFC!$C$17)*KFC!$C$5</f>
        <v>50.807316339733994</v>
      </c>
      <c r="O22" s="912">
        <f>(AL22*KFC!$B$17+KFC!$C$17)*KFC!$C$5</f>
        <v>53.663133506252947</v>
      </c>
      <c r="P22" s="912">
        <f>(AM22*KFC!$B$17+KFC!$C$17)*KFC!$C$5</f>
        <v>56.518950672771894</v>
      </c>
      <c r="Q22" s="912">
        <f>(AN22*KFC!$B$17+KFC!$C$17)*KFC!$C$5</f>
        <v>59.374767839290847</v>
      </c>
      <c r="R22" s="912">
        <f>(AO22*KFC!$B$17+KFC!$C$17)*KFC!$C$5</f>
        <v>62.2305850058098</v>
      </c>
      <c r="S22" s="912">
        <f>(AP22*KFC!$B$17+KFC!$C$17)*KFC!$C$5</f>
        <v>65.086402172328746</v>
      </c>
      <c r="T22" s="912">
        <f>(AQ22*KFC!$B$17+KFC!$C$17)*KFC!$C$5</f>
        <v>67.942219338847679</v>
      </c>
      <c r="U22" s="912">
        <f>(AR22*KFC!$B$17+KFC!$C$17)*KFC!$C$5</f>
        <v>70.798036505366639</v>
      </c>
      <c r="V22" s="912">
        <f>(AS22*KFC!$B$17+KFC!$C$17)*KFC!$C$5</f>
        <v>73.653853671885571</v>
      </c>
      <c r="W22" s="916">
        <f>(AT22*KFC!$B$17+KFC!$C$17)*KFC!$C$5</f>
        <v>76.509670838404517</v>
      </c>
      <c r="Y22" s="1277"/>
      <c r="Z22" s="649">
        <v>1.6</v>
      </c>
      <c r="AA22" s="882">
        <v>22.249144674544503</v>
      </c>
      <c r="AB22" s="882">
        <v>25.104961841063453</v>
      </c>
      <c r="AC22" s="882">
        <v>27.960779007582406</v>
      </c>
      <c r="AD22" s="882">
        <v>30.816596174101353</v>
      </c>
      <c r="AE22" s="882">
        <v>33.672413340620295</v>
      </c>
      <c r="AF22" s="882">
        <v>36.528230507139249</v>
      </c>
      <c r="AG22" s="882">
        <v>39.384047673658202</v>
      </c>
      <c r="AH22" s="882">
        <v>42.239864840177148</v>
      </c>
      <c r="AI22" s="882">
        <v>45.095682006696094</v>
      </c>
      <c r="AJ22" s="882">
        <v>47.951499173215041</v>
      </c>
      <c r="AK22" s="882">
        <v>50.807316339733994</v>
      </c>
      <c r="AL22" s="882">
        <v>53.663133506252947</v>
      </c>
      <c r="AM22" s="882">
        <v>56.518950672771894</v>
      </c>
      <c r="AN22" s="882">
        <v>59.374767839290847</v>
      </c>
      <c r="AO22" s="882">
        <v>62.2305850058098</v>
      </c>
      <c r="AP22" s="882">
        <v>65.086402172328746</v>
      </c>
      <c r="AQ22" s="882">
        <v>67.942219338847679</v>
      </c>
      <c r="AR22" s="882">
        <v>70.798036505366639</v>
      </c>
      <c r="AS22" s="882">
        <v>73.653853671885571</v>
      </c>
      <c r="AT22" s="882">
        <v>76.509670838404517</v>
      </c>
    </row>
    <row r="23" spans="1:46">
      <c r="A23" s="1426"/>
      <c r="B23" s="1427"/>
      <c r="C23" s="881">
        <v>1.7</v>
      </c>
      <c r="D23" s="915">
        <f>(AA23*KFC!$B$17+KFC!$C$17)*KFC!$C$5</f>
        <v>22.734703883711255</v>
      </c>
      <c r="E23" s="912">
        <f>(AB23*KFC!$B$17+KFC!$C$17)*KFC!$C$5</f>
        <v>25.699471880950068</v>
      </c>
      <c r="F23" s="912">
        <f>(AC23*KFC!$B$17+KFC!$C$17)*KFC!$C$5</f>
        <v>28.664239878188887</v>
      </c>
      <c r="G23" s="912">
        <f>(AD23*KFC!$B$17+KFC!$C$17)*KFC!$C$5</f>
        <v>31.6290078754277</v>
      </c>
      <c r="H23" s="912">
        <f>(AE23*KFC!$B$17+KFC!$C$17)*KFC!$C$5</f>
        <v>34.593775872666519</v>
      </c>
      <c r="I23" s="912">
        <f>(AF23*KFC!$B$17+KFC!$C$17)*KFC!$C$5</f>
        <v>37.558543869905328</v>
      </c>
      <c r="J23" s="912">
        <f>(AG23*KFC!$B$17+KFC!$C$17)*KFC!$C$5</f>
        <v>40.523311867144145</v>
      </c>
      <c r="K23" s="912">
        <f>(AH23*KFC!$B$17+KFC!$C$17)*KFC!$C$5</f>
        <v>43.488079864382961</v>
      </c>
      <c r="L23" s="912">
        <f>(AI23*KFC!$B$17+KFC!$C$17)*KFC!$C$5</f>
        <v>46.452847861621784</v>
      </c>
      <c r="M23" s="912">
        <f>(AJ23*KFC!$B$17+KFC!$C$17)*KFC!$C$5</f>
        <v>49.417615858860593</v>
      </c>
      <c r="N23" s="912">
        <f>(AK23*KFC!$B$17+KFC!$C$17)*KFC!$C$5</f>
        <v>52.382383856099409</v>
      </c>
      <c r="O23" s="912">
        <f>(AL23*KFC!$B$17+KFC!$C$17)*KFC!$C$5</f>
        <v>55.347151853338225</v>
      </c>
      <c r="P23" s="912">
        <f>(AM23*KFC!$B$17+KFC!$C$17)*KFC!$C$5</f>
        <v>58.311919850577048</v>
      </c>
      <c r="Q23" s="912">
        <f>(AN23*KFC!$B$17+KFC!$C$17)*KFC!$C$5</f>
        <v>61.276687847815857</v>
      </c>
      <c r="R23" s="912">
        <f>(AO23*KFC!$B$17+KFC!$C$17)*KFC!$C$5</f>
        <v>64.241455845054674</v>
      </c>
      <c r="S23" s="912">
        <f>(AP23*KFC!$B$17+KFC!$C$17)*KFC!$C$5</f>
        <v>67.206223842293483</v>
      </c>
      <c r="T23" s="912">
        <f>(AQ23*KFC!$B$17+KFC!$C$17)*KFC!$C$5</f>
        <v>70.170991839532306</v>
      </c>
      <c r="U23" s="912">
        <f>(AR23*KFC!$B$17+KFC!$C$17)*KFC!$C$5</f>
        <v>73.135759836771129</v>
      </c>
      <c r="V23" s="912">
        <f>(AS23*KFC!$B$17+KFC!$C$17)*KFC!$C$5</f>
        <v>76.100527834009952</v>
      </c>
      <c r="W23" s="916">
        <f>(AT23*KFC!$B$17+KFC!$C$17)*KFC!$C$5</f>
        <v>79.065295831248761</v>
      </c>
      <c r="Y23" s="1277"/>
      <c r="Z23" s="649">
        <v>1.7</v>
      </c>
      <c r="AA23" s="882">
        <v>22.734703883711255</v>
      </c>
      <c r="AB23" s="882">
        <v>25.699471880950068</v>
      </c>
      <c r="AC23" s="882">
        <v>28.664239878188887</v>
      </c>
      <c r="AD23" s="882">
        <v>31.6290078754277</v>
      </c>
      <c r="AE23" s="882">
        <v>34.593775872666519</v>
      </c>
      <c r="AF23" s="882">
        <v>37.558543869905328</v>
      </c>
      <c r="AG23" s="882">
        <v>40.523311867144145</v>
      </c>
      <c r="AH23" s="882">
        <v>43.488079864382961</v>
      </c>
      <c r="AI23" s="882">
        <v>46.452847861621784</v>
      </c>
      <c r="AJ23" s="882">
        <v>49.417615858860593</v>
      </c>
      <c r="AK23" s="882">
        <v>52.382383856099409</v>
      </c>
      <c r="AL23" s="882">
        <v>55.347151853338225</v>
      </c>
      <c r="AM23" s="882">
        <v>58.311919850577048</v>
      </c>
      <c r="AN23" s="882">
        <v>61.276687847815857</v>
      </c>
      <c r="AO23" s="882">
        <v>64.241455845054674</v>
      </c>
      <c r="AP23" s="882">
        <v>67.206223842293483</v>
      </c>
      <c r="AQ23" s="882">
        <v>70.170991839532306</v>
      </c>
      <c r="AR23" s="882">
        <v>73.135759836771129</v>
      </c>
      <c r="AS23" s="882">
        <v>76.100527834009952</v>
      </c>
      <c r="AT23" s="882">
        <v>79.065295831248761</v>
      </c>
    </row>
    <row r="24" spans="1:46">
      <c r="A24" s="1426"/>
      <c r="B24" s="1427"/>
      <c r="C24" s="881">
        <v>1.8</v>
      </c>
      <c r="D24" s="915">
        <f>(AA24*KFC!$B$17+KFC!$C$17)*KFC!$C$5</f>
        <v>23.220263092878003</v>
      </c>
      <c r="E24" s="912">
        <f>(AB24*KFC!$B$17+KFC!$C$17)*KFC!$C$5</f>
        <v>26.293981920836689</v>
      </c>
      <c r="F24" s="912">
        <f>(AC24*KFC!$B$17+KFC!$C$17)*KFC!$C$5</f>
        <v>29.367700748795375</v>
      </c>
      <c r="G24" s="912">
        <f>(AD24*KFC!$B$17+KFC!$C$17)*KFC!$C$5</f>
        <v>32.441419576754065</v>
      </c>
      <c r="H24" s="912">
        <f>(AE24*KFC!$B$17+KFC!$C$17)*KFC!$C$5</f>
        <v>35.515138404712744</v>
      </c>
      <c r="I24" s="912">
        <f>(AF24*KFC!$B$17+KFC!$C$17)*KFC!$C$5</f>
        <v>38.58885723267143</v>
      </c>
      <c r="J24" s="912">
        <f>(AG24*KFC!$B$17+KFC!$C$17)*KFC!$C$5</f>
        <v>41.662576060630109</v>
      </c>
      <c r="K24" s="912">
        <f>(AH24*KFC!$B$17+KFC!$C$17)*KFC!$C$5</f>
        <v>44.736294888588795</v>
      </c>
      <c r="L24" s="912">
        <f>(AI24*KFC!$B$17+KFC!$C$17)*KFC!$C$5</f>
        <v>47.810013716547473</v>
      </c>
      <c r="M24" s="912">
        <f>(AJ24*KFC!$B$17+KFC!$C$17)*KFC!$C$5</f>
        <v>50.883732544506159</v>
      </c>
      <c r="N24" s="912">
        <f>(AK24*KFC!$B$17+KFC!$C$17)*KFC!$C$5</f>
        <v>53.957451372464845</v>
      </c>
      <c r="O24" s="912">
        <f>(AL24*KFC!$B$17+KFC!$C$17)*KFC!$C$5</f>
        <v>57.031170200423517</v>
      </c>
      <c r="P24" s="912">
        <f>(AM24*KFC!$B$17+KFC!$C$17)*KFC!$C$5</f>
        <v>60.104889028382203</v>
      </c>
      <c r="Q24" s="912">
        <f>(AN24*KFC!$B$17+KFC!$C$17)*KFC!$C$5</f>
        <v>63.178607856340882</v>
      </c>
      <c r="R24" s="912">
        <f>(AO24*KFC!$B$17+KFC!$C$17)*KFC!$C$5</f>
        <v>66.252326684299561</v>
      </c>
      <c r="S24" s="912">
        <f>(AP24*KFC!$B$17+KFC!$C$17)*KFC!$C$5</f>
        <v>69.326045512258247</v>
      </c>
      <c r="T24" s="912">
        <f>(AQ24*KFC!$B$17+KFC!$C$17)*KFC!$C$5</f>
        <v>72.399764340216933</v>
      </c>
      <c r="U24" s="912">
        <f>(AR24*KFC!$B$17+KFC!$C$17)*KFC!$C$5</f>
        <v>75.473483168175633</v>
      </c>
      <c r="V24" s="912">
        <f>(AS24*KFC!$B$17+KFC!$C$17)*KFC!$C$5</f>
        <v>78.547201996134319</v>
      </c>
      <c r="W24" s="916">
        <f>(AT24*KFC!$B$17+KFC!$C$17)*KFC!$C$5</f>
        <v>81.62092082409302</v>
      </c>
      <c r="Y24" s="1277"/>
      <c r="Z24" s="649">
        <v>1.8</v>
      </c>
      <c r="AA24" s="882">
        <v>23.220263092878003</v>
      </c>
      <c r="AB24" s="882">
        <v>26.293981920836689</v>
      </c>
      <c r="AC24" s="882">
        <v>29.367700748795375</v>
      </c>
      <c r="AD24" s="882">
        <v>32.441419576754065</v>
      </c>
      <c r="AE24" s="882">
        <v>35.515138404712744</v>
      </c>
      <c r="AF24" s="882">
        <v>38.58885723267143</v>
      </c>
      <c r="AG24" s="882">
        <v>41.662576060630109</v>
      </c>
      <c r="AH24" s="882">
        <v>44.736294888588795</v>
      </c>
      <c r="AI24" s="882">
        <v>47.810013716547473</v>
      </c>
      <c r="AJ24" s="882">
        <v>50.883732544506159</v>
      </c>
      <c r="AK24" s="882">
        <v>53.957451372464845</v>
      </c>
      <c r="AL24" s="882">
        <v>57.031170200423517</v>
      </c>
      <c r="AM24" s="882">
        <v>60.104889028382203</v>
      </c>
      <c r="AN24" s="882">
        <v>63.178607856340882</v>
      </c>
      <c r="AO24" s="882">
        <v>66.252326684299561</v>
      </c>
      <c r="AP24" s="882">
        <v>69.326045512258247</v>
      </c>
      <c r="AQ24" s="882">
        <v>72.399764340216933</v>
      </c>
      <c r="AR24" s="882">
        <v>75.473483168175633</v>
      </c>
      <c r="AS24" s="882">
        <v>78.547201996134319</v>
      </c>
      <c r="AT24" s="882">
        <v>81.62092082409302</v>
      </c>
    </row>
    <row r="25" spans="1:46">
      <c r="A25" s="1426"/>
      <c r="B25" s="1427"/>
      <c r="C25" s="881">
        <v>1.9</v>
      </c>
      <c r="D25" s="915">
        <f>(AA25*KFC!$B$17+KFC!$C$17)*KFC!$C$5</f>
        <v>23.705822302044755</v>
      </c>
      <c r="E25" s="912">
        <f>(AB25*KFC!$B$17+KFC!$C$17)*KFC!$C$5</f>
        <v>26.888491960723307</v>
      </c>
      <c r="F25" s="912">
        <f>(AC25*KFC!$B$17+KFC!$C$17)*KFC!$C$5</f>
        <v>30.071161619401867</v>
      </c>
      <c r="G25" s="912">
        <f>(AD25*KFC!$B$17+KFC!$C$17)*KFC!$C$5</f>
        <v>33.253831278080419</v>
      </c>
      <c r="H25" s="912">
        <f>(AE25*KFC!$B$17+KFC!$C$17)*KFC!$C$5</f>
        <v>36.436500936758975</v>
      </c>
      <c r="I25" s="912">
        <f>(AF25*KFC!$B$17+KFC!$C$17)*KFC!$C$5</f>
        <v>39.619170595437531</v>
      </c>
      <c r="J25" s="912">
        <f>(AG25*KFC!$B$17+KFC!$C$17)*KFC!$C$5</f>
        <v>42.801840254116094</v>
      </c>
      <c r="K25" s="912">
        <f>(AH25*KFC!$B$17+KFC!$C$17)*KFC!$C$5</f>
        <v>45.984509912794643</v>
      </c>
      <c r="L25" s="912">
        <f>(AI25*KFC!$B$17+KFC!$C$17)*KFC!$C$5</f>
        <v>49.167179571473199</v>
      </c>
      <c r="M25" s="912">
        <f>(AJ25*KFC!$B$17+KFC!$C$17)*KFC!$C$5</f>
        <v>52.349849230151754</v>
      </c>
      <c r="N25" s="912">
        <f>(AK25*KFC!$B$17+KFC!$C$17)*KFC!$C$5</f>
        <v>55.532518888830303</v>
      </c>
      <c r="O25" s="912">
        <f>(AL25*KFC!$B$17+KFC!$C$17)*KFC!$C$5</f>
        <v>58.715188547508859</v>
      </c>
      <c r="P25" s="912">
        <f>(AM25*KFC!$B$17+KFC!$C$17)*KFC!$C$5</f>
        <v>61.897858206187422</v>
      </c>
      <c r="Q25" s="912">
        <f>(AN25*KFC!$B$17+KFC!$C$17)*KFC!$C$5</f>
        <v>65.080527864865971</v>
      </c>
      <c r="R25" s="912">
        <f>(AO25*KFC!$B$17+KFC!$C$17)*KFC!$C$5</f>
        <v>68.26319752354452</v>
      </c>
      <c r="S25" s="912">
        <f>(AP25*KFC!$B$17+KFC!$C$17)*KFC!$C$5</f>
        <v>71.445867182223068</v>
      </c>
      <c r="T25" s="912">
        <f>(AQ25*KFC!$B$17+KFC!$C$17)*KFC!$C$5</f>
        <v>74.628536840901631</v>
      </c>
      <c r="U25" s="912">
        <f>(AR25*KFC!$B$17+KFC!$C$17)*KFC!$C$5</f>
        <v>77.811206499580194</v>
      </c>
      <c r="V25" s="912">
        <f>(AS25*KFC!$B$17+KFC!$C$17)*KFC!$C$5</f>
        <v>80.993876158258743</v>
      </c>
      <c r="W25" s="916">
        <f>(AT25*KFC!$B$17+KFC!$C$17)*KFC!$C$5</f>
        <v>84.176545816937264</v>
      </c>
      <c r="Y25" s="1277"/>
      <c r="Z25" s="649">
        <v>1.9</v>
      </c>
      <c r="AA25" s="882">
        <v>23.705822302044755</v>
      </c>
      <c r="AB25" s="882">
        <v>26.888491960723307</v>
      </c>
      <c r="AC25" s="882">
        <v>30.071161619401867</v>
      </c>
      <c r="AD25" s="882">
        <v>33.253831278080419</v>
      </c>
      <c r="AE25" s="882">
        <v>36.436500936758975</v>
      </c>
      <c r="AF25" s="882">
        <v>39.619170595437531</v>
      </c>
      <c r="AG25" s="882">
        <v>42.801840254116094</v>
      </c>
      <c r="AH25" s="882">
        <v>45.984509912794643</v>
      </c>
      <c r="AI25" s="882">
        <v>49.167179571473199</v>
      </c>
      <c r="AJ25" s="882">
        <v>52.349849230151754</v>
      </c>
      <c r="AK25" s="882">
        <v>55.532518888830303</v>
      </c>
      <c r="AL25" s="882">
        <v>58.715188547508859</v>
      </c>
      <c r="AM25" s="882">
        <v>61.897858206187422</v>
      </c>
      <c r="AN25" s="882">
        <v>65.080527864865971</v>
      </c>
      <c r="AO25" s="882">
        <v>68.26319752354452</v>
      </c>
      <c r="AP25" s="882">
        <v>71.445867182223068</v>
      </c>
      <c r="AQ25" s="882">
        <v>74.628536840901631</v>
      </c>
      <c r="AR25" s="882">
        <v>77.811206499580194</v>
      </c>
      <c r="AS25" s="882">
        <v>80.993876158258743</v>
      </c>
      <c r="AT25" s="882">
        <v>84.176545816937264</v>
      </c>
    </row>
    <row r="26" spans="1:46">
      <c r="A26" s="1426"/>
      <c r="B26" s="1427"/>
      <c r="C26" s="881">
        <v>2</v>
      </c>
      <c r="D26" s="915">
        <f>(AA26*KFC!$B$17+KFC!$C$17)*KFC!$C$5</f>
        <v>24.191381511211507</v>
      </c>
      <c r="E26" s="912">
        <f>(AB26*KFC!$B$17+KFC!$C$17)*KFC!$C$5</f>
        <v>27.483002000609925</v>
      </c>
      <c r="F26" s="912">
        <f>(AC26*KFC!$B$17+KFC!$C$17)*KFC!$C$5</f>
        <v>30.774622490008348</v>
      </c>
      <c r="G26" s="912">
        <f>(AD26*KFC!$B$17+KFC!$C$17)*KFC!$C$5</f>
        <v>34.066242979406766</v>
      </c>
      <c r="H26" s="912">
        <f>(AE26*KFC!$B$17+KFC!$C$17)*KFC!$C$5</f>
        <v>37.357863468805185</v>
      </c>
      <c r="I26" s="912">
        <f>(AF26*KFC!$B$17+KFC!$C$17)*KFC!$C$5</f>
        <v>40.649483958203611</v>
      </c>
      <c r="J26" s="912">
        <f>(AG26*KFC!$B$17+KFC!$C$17)*KFC!$C$5</f>
        <v>43.941104447602036</v>
      </c>
      <c r="K26" s="912">
        <f>(AH26*KFC!$B$17+KFC!$C$17)*KFC!$C$5</f>
        <v>47.232724937000455</v>
      </c>
      <c r="L26" s="912">
        <f>(AI26*KFC!$B$17+KFC!$C$17)*KFC!$C$5</f>
        <v>50.524345426398874</v>
      </c>
      <c r="M26" s="912">
        <f>(AJ26*KFC!$B$17+KFC!$C$17)*KFC!$C$5</f>
        <v>53.8159659157973</v>
      </c>
      <c r="N26" s="912">
        <f>(AK26*KFC!$B$17+KFC!$C$17)*KFC!$C$5</f>
        <v>57.107586405195718</v>
      </c>
      <c r="O26" s="912">
        <f>(AL26*KFC!$B$17+KFC!$C$17)*KFC!$C$5</f>
        <v>60.399206894594144</v>
      </c>
      <c r="P26" s="912">
        <f>(AM26*KFC!$B$17+KFC!$C$17)*KFC!$C$5</f>
        <v>63.69082738399257</v>
      </c>
      <c r="Q26" s="912">
        <f>(AN26*KFC!$B$17+KFC!$C$17)*KFC!$C$5</f>
        <v>66.982447873390981</v>
      </c>
      <c r="R26" s="912">
        <f>(AO26*KFC!$B$17+KFC!$C$17)*KFC!$C$5</f>
        <v>70.274068362789407</v>
      </c>
      <c r="S26" s="912">
        <f>(AP26*KFC!$B$17+KFC!$C$17)*KFC!$C$5</f>
        <v>73.565688852187833</v>
      </c>
      <c r="T26" s="912">
        <f>(AQ26*KFC!$B$17+KFC!$C$17)*KFC!$C$5</f>
        <v>76.857309341586259</v>
      </c>
      <c r="U26" s="912">
        <f>(AR26*KFC!$B$17+KFC!$C$17)*KFC!$C$5</f>
        <v>80.148929830984684</v>
      </c>
      <c r="V26" s="912">
        <f>(AS26*KFC!$B$17+KFC!$C$17)*KFC!$C$5</f>
        <v>83.44055032038311</v>
      </c>
      <c r="W26" s="916">
        <f>(AT26*KFC!$B$17+KFC!$C$17)*KFC!$C$5</f>
        <v>86.732170809781522</v>
      </c>
      <c r="Y26" s="1277"/>
      <c r="Z26" s="649">
        <v>2</v>
      </c>
      <c r="AA26" s="882">
        <v>24.191381511211507</v>
      </c>
      <c r="AB26" s="882">
        <v>27.483002000609925</v>
      </c>
      <c r="AC26" s="882">
        <v>30.774622490008348</v>
      </c>
      <c r="AD26" s="882">
        <v>34.066242979406766</v>
      </c>
      <c r="AE26" s="882">
        <v>37.357863468805185</v>
      </c>
      <c r="AF26" s="882">
        <v>40.649483958203611</v>
      </c>
      <c r="AG26" s="882">
        <v>43.941104447602036</v>
      </c>
      <c r="AH26" s="882">
        <v>47.232724937000455</v>
      </c>
      <c r="AI26" s="882">
        <v>50.524345426398874</v>
      </c>
      <c r="AJ26" s="882">
        <v>53.8159659157973</v>
      </c>
      <c r="AK26" s="882">
        <v>57.107586405195718</v>
      </c>
      <c r="AL26" s="882">
        <v>60.399206894594144</v>
      </c>
      <c r="AM26" s="882">
        <v>63.69082738399257</v>
      </c>
      <c r="AN26" s="882">
        <v>66.982447873390981</v>
      </c>
      <c r="AO26" s="882">
        <v>70.274068362789407</v>
      </c>
      <c r="AP26" s="882">
        <v>73.565688852187833</v>
      </c>
      <c r="AQ26" s="882">
        <v>76.857309341586259</v>
      </c>
      <c r="AR26" s="882">
        <v>80.148929830984684</v>
      </c>
      <c r="AS26" s="882">
        <v>83.44055032038311</v>
      </c>
      <c r="AT26" s="882">
        <v>86.732170809781522</v>
      </c>
    </row>
    <row r="27" spans="1:46">
      <c r="A27" s="1426"/>
      <c r="B27" s="1427"/>
      <c r="C27" s="881">
        <v>2.1</v>
      </c>
      <c r="D27" s="915">
        <f>(AA27*KFC!$B$17+KFC!$C$17)*KFC!$C$5</f>
        <v>24.676940720378258</v>
      </c>
      <c r="E27" s="912">
        <f>(AB27*KFC!$B$17+KFC!$C$17)*KFC!$C$5</f>
        <v>28.077512040496543</v>
      </c>
      <c r="F27" s="912">
        <f>(AC27*KFC!$B$17+KFC!$C$17)*KFC!$C$5</f>
        <v>31.478083360614836</v>
      </c>
      <c r="G27" s="912">
        <f>(AD27*KFC!$B$17+KFC!$C$17)*KFC!$C$5</f>
        <v>34.878654680733128</v>
      </c>
      <c r="H27" s="912">
        <f>(AE27*KFC!$B$17+KFC!$C$17)*KFC!$C$5</f>
        <v>38.279226000851416</v>
      </c>
      <c r="I27" s="912">
        <f>(AF27*KFC!$B$17+KFC!$C$17)*KFC!$C$5</f>
        <v>41.679797320969712</v>
      </c>
      <c r="J27" s="912">
        <f>(AG27*KFC!$B$17+KFC!$C$17)*KFC!$C$5</f>
        <v>45.080368641088</v>
      </c>
      <c r="K27" s="912">
        <f>(AH27*KFC!$B$17+KFC!$C$17)*KFC!$C$5</f>
        <v>48.480939961206282</v>
      </c>
      <c r="L27" s="912">
        <f>(AI27*KFC!$B$17+KFC!$C$17)*KFC!$C$5</f>
        <v>51.881511281324578</v>
      </c>
      <c r="M27" s="912">
        <f>(AJ27*KFC!$B$17+KFC!$C$17)*KFC!$C$5</f>
        <v>55.282082601442859</v>
      </c>
      <c r="N27" s="912">
        <f>(AK27*KFC!$B$17+KFC!$C$17)*KFC!$C$5</f>
        <v>58.682653921561148</v>
      </c>
      <c r="O27" s="912">
        <f>(AL27*KFC!$B$17+KFC!$C$17)*KFC!$C$5</f>
        <v>62.083225241679436</v>
      </c>
      <c r="P27" s="912">
        <f>(AM27*KFC!$B$17+KFC!$C$17)*KFC!$C$5</f>
        <v>65.483796561797732</v>
      </c>
      <c r="Q27" s="912">
        <f>(AN27*KFC!$B$17+KFC!$C$17)*KFC!$C$5</f>
        <v>68.88436788191602</v>
      </c>
      <c r="R27" s="912">
        <f>(AO27*KFC!$B$17+KFC!$C$17)*KFC!$C$5</f>
        <v>72.284939202034309</v>
      </c>
      <c r="S27" s="912">
        <f>(AP27*KFC!$B$17+KFC!$C$17)*KFC!$C$5</f>
        <v>75.685510522152597</v>
      </c>
      <c r="T27" s="912">
        <f>(AQ27*KFC!$B$17+KFC!$C$17)*KFC!$C$5</f>
        <v>79.086081842270886</v>
      </c>
      <c r="U27" s="912">
        <f>(AR27*KFC!$B$17+KFC!$C$17)*KFC!$C$5</f>
        <v>82.486653162389175</v>
      </c>
      <c r="V27" s="912">
        <f>(AS27*KFC!$B$17+KFC!$C$17)*KFC!$C$5</f>
        <v>85.887224482507449</v>
      </c>
      <c r="W27" s="916">
        <f>(AT27*KFC!$B$17+KFC!$C$17)*KFC!$C$5</f>
        <v>89.287795802625766</v>
      </c>
      <c r="Y27" s="1277"/>
      <c r="Z27" s="649">
        <v>2.1</v>
      </c>
      <c r="AA27" s="882">
        <v>24.676940720378258</v>
      </c>
      <c r="AB27" s="882">
        <v>28.077512040496543</v>
      </c>
      <c r="AC27" s="882">
        <v>31.478083360614836</v>
      </c>
      <c r="AD27" s="882">
        <v>34.878654680733128</v>
      </c>
      <c r="AE27" s="882">
        <v>38.279226000851416</v>
      </c>
      <c r="AF27" s="882">
        <v>41.679797320969712</v>
      </c>
      <c r="AG27" s="882">
        <v>45.080368641088</v>
      </c>
      <c r="AH27" s="882">
        <v>48.480939961206282</v>
      </c>
      <c r="AI27" s="882">
        <v>51.881511281324578</v>
      </c>
      <c r="AJ27" s="882">
        <v>55.282082601442859</v>
      </c>
      <c r="AK27" s="882">
        <v>58.682653921561148</v>
      </c>
      <c r="AL27" s="882">
        <v>62.083225241679436</v>
      </c>
      <c r="AM27" s="882">
        <v>65.483796561797732</v>
      </c>
      <c r="AN27" s="882">
        <v>68.88436788191602</v>
      </c>
      <c r="AO27" s="882">
        <v>72.284939202034309</v>
      </c>
      <c r="AP27" s="882">
        <v>75.685510522152597</v>
      </c>
      <c r="AQ27" s="882">
        <v>79.086081842270886</v>
      </c>
      <c r="AR27" s="882">
        <v>82.486653162389175</v>
      </c>
      <c r="AS27" s="882">
        <v>85.887224482507449</v>
      </c>
      <c r="AT27" s="882">
        <v>89.287795802625766</v>
      </c>
    </row>
    <row r="28" spans="1:46" ht="15" thickBot="1">
      <c r="A28" s="1428"/>
      <c r="B28" s="1429"/>
      <c r="C28" s="908">
        <v>2.2000000000000002</v>
      </c>
      <c r="D28" s="917">
        <f>(AA28*KFC!$B$17+KFC!$C$17)*KFC!$C$5</f>
        <v>25.162499929545</v>
      </c>
      <c r="E28" s="918">
        <f>(AB28*KFC!$B$17+KFC!$C$17)*KFC!$C$5</f>
        <v>28.672022080383154</v>
      </c>
      <c r="F28" s="918">
        <f>(AC28*KFC!$B$17+KFC!$C$17)*KFC!$C$5</f>
        <v>32.181544231221309</v>
      </c>
      <c r="G28" s="918">
        <f>(AD28*KFC!$B$17+KFC!$C$17)*KFC!$C$5</f>
        <v>35.691066382059475</v>
      </c>
      <c r="H28" s="918">
        <f>(AE28*KFC!$B$17+KFC!$C$17)*KFC!$C$5</f>
        <v>39.200588532897626</v>
      </c>
      <c r="I28" s="918">
        <f>(AF28*KFC!$B$17+KFC!$C$17)*KFC!$C$5</f>
        <v>42.710110683735785</v>
      </c>
      <c r="J28" s="918">
        <f>(AG28*KFC!$B$17+KFC!$C$17)*KFC!$C$5</f>
        <v>46.219632834573936</v>
      </c>
      <c r="K28" s="918">
        <f>(AH28*KFC!$B$17+KFC!$C$17)*KFC!$C$5</f>
        <v>49.729154985412094</v>
      </c>
      <c r="L28" s="918">
        <f>(AI28*KFC!$B$17+KFC!$C$17)*KFC!$C$5</f>
        <v>53.238677136250246</v>
      </c>
      <c r="M28" s="918">
        <f>(AJ28*KFC!$B$17+KFC!$C$17)*KFC!$C$5</f>
        <v>56.748199287088404</v>
      </c>
      <c r="N28" s="918">
        <f>(AK28*KFC!$B$17+KFC!$C$17)*KFC!$C$5</f>
        <v>60.257721437926556</v>
      </c>
      <c r="O28" s="918">
        <f>(AL28*KFC!$B$17+KFC!$C$17)*KFC!$C$5</f>
        <v>63.767243588764714</v>
      </c>
      <c r="P28" s="918">
        <f>(AM28*KFC!$B$17+KFC!$C$17)*KFC!$C$5</f>
        <v>67.276765739602865</v>
      </c>
      <c r="Q28" s="918">
        <f>(AN28*KFC!$B$17+KFC!$C$17)*KFC!$C$5</f>
        <v>70.786287890441017</v>
      </c>
      <c r="R28" s="918">
        <f>(AO28*KFC!$B$17+KFC!$C$17)*KFC!$C$5</f>
        <v>74.295810041279168</v>
      </c>
      <c r="S28" s="918">
        <f>(AP28*KFC!$B$17+KFC!$C$17)*KFC!$C$5</f>
        <v>77.805332192117319</v>
      </c>
      <c r="T28" s="918">
        <f>(AQ28*KFC!$B$17+KFC!$C$17)*KFC!$C$5</f>
        <v>81.314854342955485</v>
      </c>
      <c r="U28" s="918">
        <f>(AR28*KFC!$B$17+KFC!$C$17)*KFC!$C$5</f>
        <v>84.824376493793636</v>
      </c>
      <c r="V28" s="918">
        <f>(AS28*KFC!$B$17+KFC!$C$17)*KFC!$C$5</f>
        <v>88.333898644631788</v>
      </c>
      <c r="W28" s="919">
        <f>(AT28*KFC!$B$17+KFC!$C$17)*KFC!$C$5</f>
        <v>91.843420795469996</v>
      </c>
      <c r="Y28" s="1277"/>
      <c r="Z28" s="649">
        <v>2.2000000000000002</v>
      </c>
      <c r="AA28" s="882">
        <v>25.162499929545</v>
      </c>
      <c r="AB28" s="882">
        <v>28.672022080383154</v>
      </c>
      <c r="AC28" s="882">
        <v>32.181544231221309</v>
      </c>
      <c r="AD28" s="882">
        <v>35.691066382059475</v>
      </c>
      <c r="AE28" s="882">
        <v>39.200588532897626</v>
      </c>
      <c r="AF28" s="882">
        <v>42.710110683735785</v>
      </c>
      <c r="AG28" s="882">
        <v>46.219632834573936</v>
      </c>
      <c r="AH28" s="882">
        <v>49.729154985412094</v>
      </c>
      <c r="AI28" s="882">
        <v>53.238677136250246</v>
      </c>
      <c r="AJ28" s="882">
        <v>56.748199287088404</v>
      </c>
      <c r="AK28" s="882">
        <v>60.257721437926556</v>
      </c>
      <c r="AL28" s="882">
        <v>63.767243588764714</v>
      </c>
      <c r="AM28" s="882">
        <v>67.276765739602865</v>
      </c>
      <c r="AN28" s="882">
        <v>70.786287890441017</v>
      </c>
      <c r="AO28" s="882">
        <v>74.295810041279168</v>
      </c>
      <c r="AP28" s="882">
        <v>77.805332192117319</v>
      </c>
      <c r="AQ28" s="882">
        <v>81.314854342955485</v>
      </c>
      <c r="AR28" s="882">
        <v>84.824376493793636</v>
      </c>
      <c r="AS28" s="882">
        <v>88.333898644631788</v>
      </c>
      <c r="AT28" s="882">
        <v>91.843420795469996</v>
      </c>
    </row>
    <row r="29" spans="1:46">
      <c r="A29" s="16"/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</row>
    <row r="30" spans="1:46" ht="16.2" thickBot="1">
      <c r="A30" s="1033" t="s">
        <v>1226</v>
      </c>
      <c r="B30" s="1033"/>
      <c r="C30" s="1033"/>
      <c r="D30" s="1033"/>
      <c r="E30" s="1033"/>
      <c r="F30" s="1033"/>
      <c r="G30" s="1033"/>
      <c r="H30" s="1033"/>
      <c r="I30" s="1033"/>
      <c r="J30" s="1033"/>
      <c r="K30" s="1033"/>
      <c r="L30" s="1033"/>
      <c r="M30" s="1033"/>
      <c r="N30" s="1033"/>
      <c r="O30" s="1033"/>
      <c r="P30" s="1033"/>
      <c r="Q30" s="1033"/>
      <c r="R30" s="1033"/>
      <c r="S30" s="1033"/>
      <c r="T30" s="1033"/>
      <c r="U30" s="1033"/>
      <c r="V30" s="1033"/>
      <c r="W30" s="1033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</row>
    <row r="31" spans="1:46" ht="44.25" customHeight="1" thickBot="1">
      <c r="A31" s="1439"/>
      <c r="B31" s="1440"/>
      <c r="C31" s="1441"/>
      <c r="D31" s="1419" t="s">
        <v>207</v>
      </c>
      <c r="E31" s="1420"/>
      <c r="F31" s="1420"/>
      <c r="G31" s="1420"/>
      <c r="H31" s="1420"/>
      <c r="I31" s="1420"/>
      <c r="J31" s="1420"/>
      <c r="K31" s="1420"/>
      <c r="L31" s="1420"/>
      <c r="M31" s="1420"/>
      <c r="N31" s="1420"/>
      <c r="O31" s="1420"/>
      <c r="P31" s="1420"/>
      <c r="Q31" s="1420"/>
      <c r="R31" s="1420"/>
      <c r="S31" s="1420"/>
      <c r="T31" s="1420"/>
      <c r="U31" s="1420"/>
      <c r="V31" s="1420"/>
      <c r="W31" s="1421"/>
      <c r="Y31" s="1278" t="s">
        <v>1204</v>
      </c>
      <c r="Z31" s="1278"/>
      <c r="AA31" s="1279" t="s">
        <v>356</v>
      </c>
      <c r="AB31" s="1279"/>
      <c r="AC31" s="1279"/>
      <c r="AD31" s="1279"/>
      <c r="AE31" s="1279"/>
      <c r="AF31" s="1279"/>
      <c r="AG31" s="1279"/>
      <c r="AH31" s="1279"/>
      <c r="AI31" s="1279"/>
      <c r="AJ31" s="1279"/>
      <c r="AK31" s="1279"/>
      <c r="AL31" s="1279"/>
      <c r="AM31" s="1279"/>
      <c r="AN31" s="1279"/>
      <c r="AO31" s="1279"/>
      <c r="AP31" s="1279"/>
      <c r="AQ31" s="1279"/>
      <c r="AR31" s="1279"/>
      <c r="AS31" s="1279"/>
      <c r="AT31" s="1279"/>
    </row>
    <row r="32" spans="1:46" ht="14.4" customHeight="1" thickBot="1">
      <c r="A32" s="1442"/>
      <c r="B32" s="1443"/>
      <c r="C32" s="1444"/>
      <c r="D32" s="883">
        <v>0.3</v>
      </c>
      <c r="E32" s="884">
        <v>0.4</v>
      </c>
      <c r="F32" s="884">
        <v>0.5</v>
      </c>
      <c r="G32" s="884">
        <v>0.6</v>
      </c>
      <c r="H32" s="884">
        <v>0.7</v>
      </c>
      <c r="I32" s="884">
        <v>0.8</v>
      </c>
      <c r="J32" s="884">
        <v>0.9</v>
      </c>
      <c r="K32" s="884">
        <v>1</v>
      </c>
      <c r="L32" s="884">
        <v>1.1000000000000001</v>
      </c>
      <c r="M32" s="884">
        <v>1.2</v>
      </c>
      <c r="N32" s="884">
        <v>1.3</v>
      </c>
      <c r="O32" s="884">
        <v>1.4</v>
      </c>
      <c r="P32" s="884">
        <v>1.5</v>
      </c>
      <c r="Q32" s="884">
        <v>1.6</v>
      </c>
      <c r="R32" s="884">
        <v>1.7</v>
      </c>
      <c r="S32" s="884">
        <v>1.8</v>
      </c>
      <c r="T32" s="884">
        <v>1.9</v>
      </c>
      <c r="U32" s="884">
        <v>2</v>
      </c>
      <c r="V32" s="884">
        <v>2.1</v>
      </c>
      <c r="W32" s="885">
        <v>2.2000000000000002</v>
      </c>
      <c r="Y32" s="1278"/>
      <c r="Z32" s="1278"/>
      <c r="AA32" s="649">
        <v>0.3</v>
      </c>
      <c r="AB32" s="649">
        <v>0.4</v>
      </c>
      <c r="AC32" s="649">
        <v>0.5</v>
      </c>
      <c r="AD32" s="649">
        <v>0.6</v>
      </c>
      <c r="AE32" s="649">
        <v>0.7</v>
      </c>
      <c r="AF32" s="649">
        <v>0.8</v>
      </c>
      <c r="AG32" s="649">
        <v>0.9</v>
      </c>
      <c r="AH32" s="649">
        <v>1</v>
      </c>
      <c r="AI32" s="649">
        <v>1.1000000000000001</v>
      </c>
      <c r="AJ32" s="649">
        <v>1.2</v>
      </c>
      <c r="AK32" s="649">
        <v>1.3</v>
      </c>
      <c r="AL32" s="649">
        <v>1.4</v>
      </c>
      <c r="AM32" s="649">
        <v>1.5</v>
      </c>
      <c r="AN32" s="649">
        <v>1.6</v>
      </c>
      <c r="AO32" s="649">
        <v>1.7</v>
      </c>
      <c r="AP32" s="649">
        <v>1.8</v>
      </c>
      <c r="AQ32" s="649">
        <v>1.9</v>
      </c>
      <c r="AR32" s="649">
        <v>2</v>
      </c>
      <c r="AS32" s="649">
        <v>2.1</v>
      </c>
      <c r="AT32" s="649">
        <v>2.2000000000000002</v>
      </c>
    </row>
    <row r="33" spans="1:46" ht="15" customHeight="1">
      <c r="A33" s="1426" t="s">
        <v>3</v>
      </c>
      <c r="B33" s="1427"/>
      <c r="C33" s="886">
        <v>0.2</v>
      </c>
      <c r="D33" s="899">
        <f>(AA33*KFC!$B$17+KFC!$C$17)*KFC!$C$5</f>
        <v>15.647828903554499</v>
      </c>
      <c r="E33" s="913">
        <f>(AB33*KFC!$B$17+KFC!$C$17)*KFC!$C$5</f>
        <v>17.042299121256629</v>
      </c>
      <c r="F33" s="913">
        <f>(AC33*KFC!$B$17+KFC!$C$17)*KFC!$C$5</f>
        <v>18.436769338958758</v>
      </c>
      <c r="G33" s="913">
        <f>(AD33*KFC!$B$17+KFC!$C$17)*KFC!$C$5</f>
        <v>19.83123955666089</v>
      </c>
      <c r="H33" s="913">
        <f>(AE33*KFC!$B$17+KFC!$C$17)*KFC!$C$5</f>
        <v>21.225709774363018</v>
      </c>
      <c r="I33" s="913">
        <f>(AF33*KFC!$B$17+KFC!$C$17)*KFC!$C$5</f>
        <v>22.62017999206515</v>
      </c>
      <c r="J33" s="913">
        <f>(AG33*KFC!$B$17+KFC!$C$17)*KFC!$C$5</f>
        <v>24.014650209767279</v>
      </c>
      <c r="K33" s="913">
        <f>(AH33*KFC!$B$17+KFC!$C$17)*KFC!$C$5</f>
        <v>25.409120427469414</v>
      </c>
      <c r="L33" s="913">
        <f>(AI33*KFC!$B$17+KFC!$C$17)*KFC!$C$5</f>
        <v>26.803590645171546</v>
      </c>
      <c r="M33" s="913">
        <f>(AJ33*KFC!$B$17+KFC!$C$17)*KFC!$C$5</f>
        <v>28.198060862873675</v>
      </c>
      <c r="N33" s="913">
        <f>(AK33*KFC!$B$17+KFC!$C$17)*KFC!$C$5</f>
        <v>29.592531080575803</v>
      </c>
      <c r="O33" s="913">
        <f>(AL33*KFC!$B$17+KFC!$C$17)*KFC!$C$5</f>
        <v>30.987001298277935</v>
      </c>
      <c r="P33" s="913">
        <f>(AM33*KFC!$B$17+KFC!$C$17)*KFC!$C$5</f>
        <v>32.381471515980067</v>
      </c>
      <c r="Q33" s="913">
        <f>(AN33*KFC!$B$17+KFC!$C$17)*KFC!$C$5</f>
        <v>33.775941733682203</v>
      </c>
      <c r="R33" s="913">
        <f>(AO33*KFC!$B$17+KFC!$C$17)*KFC!$C$5</f>
        <v>35.170411951384324</v>
      </c>
      <c r="S33" s="913">
        <f>(AP33*KFC!$B$17+KFC!$C$17)*KFC!$C$5</f>
        <v>36.564882169086459</v>
      </c>
      <c r="T33" s="913">
        <f>(AQ33*KFC!$B$17+KFC!$C$17)*KFC!$C$5</f>
        <v>37.959352386788588</v>
      </c>
      <c r="U33" s="913">
        <f>(AR33*KFC!$B$17+KFC!$C$17)*KFC!$C$5</f>
        <v>39.35382260449073</v>
      </c>
      <c r="V33" s="913">
        <f>(AS33*KFC!$B$17+KFC!$C$17)*KFC!$C$5</f>
        <v>40.748292822192859</v>
      </c>
      <c r="W33" s="914">
        <f>(AT33*KFC!$B$17+KFC!$C$17)*KFC!$C$5</f>
        <v>42.142763039894987</v>
      </c>
      <c r="Y33" s="1277" t="s">
        <v>357</v>
      </c>
      <c r="Z33" s="649">
        <v>0.2</v>
      </c>
      <c r="AA33" s="882">
        <v>15.647828903554499</v>
      </c>
      <c r="AB33" s="882">
        <v>17.042299121256629</v>
      </c>
      <c r="AC33" s="882">
        <v>18.436769338958758</v>
      </c>
      <c r="AD33" s="882">
        <v>19.83123955666089</v>
      </c>
      <c r="AE33" s="882">
        <v>21.225709774363018</v>
      </c>
      <c r="AF33" s="882">
        <v>22.62017999206515</v>
      </c>
      <c r="AG33" s="882">
        <v>24.014650209767279</v>
      </c>
      <c r="AH33" s="882">
        <v>25.409120427469414</v>
      </c>
      <c r="AI33" s="882">
        <v>26.803590645171546</v>
      </c>
      <c r="AJ33" s="882">
        <v>28.198060862873675</v>
      </c>
      <c r="AK33" s="882">
        <v>29.592531080575803</v>
      </c>
      <c r="AL33" s="882">
        <v>30.987001298277935</v>
      </c>
      <c r="AM33" s="882">
        <v>32.381471515980067</v>
      </c>
      <c r="AN33" s="882">
        <v>33.775941733682203</v>
      </c>
      <c r="AO33" s="882">
        <v>35.170411951384324</v>
      </c>
      <c r="AP33" s="882">
        <v>36.564882169086459</v>
      </c>
      <c r="AQ33" s="882">
        <v>37.959352386788588</v>
      </c>
      <c r="AR33" s="882">
        <v>39.35382260449073</v>
      </c>
      <c r="AS33" s="882">
        <v>40.748292822192859</v>
      </c>
      <c r="AT33" s="882">
        <v>42.142763039894987</v>
      </c>
    </row>
    <row r="34" spans="1:46" ht="14.4" customHeight="1">
      <c r="A34" s="1426"/>
      <c r="B34" s="1427"/>
      <c r="C34" s="887">
        <v>0.3</v>
      </c>
      <c r="D34" s="915">
        <f>(AA34*KFC!$B$17+KFC!$C$17)*KFC!$C$5</f>
        <v>16.229450612452275</v>
      </c>
      <c r="E34" s="912">
        <f>(AB34*KFC!$B$17+KFC!$C$17)*KFC!$C$5</f>
        <v>17.764919271587864</v>
      </c>
      <c r="F34" s="912">
        <f>(AC34*KFC!$B$17+KFC!$C$17)*KFC!$C$5</f>
        <v>19.300387930723453</v>
      </c>
      <c r="G34" s="912">
        <f>(AD34*KFC!$B$17+KFC!$C$17)*KFC!$C$5</f>
        <v>20.835856589859045</v>
      </c>
      <c r="H34" s="912">
        <f>(AE34*KFC!$B$17+KFC!$C$17)*KFC!$C$5</f>
        <v>22.371325248994633</v>
      </c>
      <c r="I34" s="912">
        <f>(AF34*KFC!$B$17+KFC!$C$17)*KFC!$C$5</f>
        <v>23.906793908130226</v>
      </c>
      <c r="J34" s="912">
        <f>(AG34*KFC!$B$17+KFC!$C$17)*KFC!$C$5</f>
        <v>25.442262567265818</v>
      </c>
      <c r="K34" s="912">
        <f>(AH34*KFC!$B$17+KFC!$C$17)*KFC!$C$5</f>
        <v>26.977731226401406</v>
      </c>
      <c r="L34" s="912">
        <f>(AI34*KFC!$B$17+KFC!$C$17)*KFC!$C$5</f>
        <v>28.513199885536999</v>
      </c>
      <c r="M34" s="912">
        <f>(AJ34*KFC!$B$17+KFC!$C$17)*KFC!$C$5</f>
        <v>30.048668544672591</v>
      </c>
      <c r="N34" s="912">
        <f>(AK34*KFC!$B$17+KFC!$C$17)*KFC!$C$5</f>
        <v>31.584137203808176</v>
      </c>
      <c r="O34" s="912">
        <f>(AL34*KFC!$B$17+KFC!$C$17)*KFC!$C$5</f>
        <v>33.119605862943772</v>
      </c>
      <c r="P34" s="912">
        <f>(AM34*KFC!$B$17+KFC!$C$17)*KFC!$C$5</f>
        <v>34.65507452207936</v>
      </c>
      <c r="Q34" s="912">
        <f>(AN34*KFC!$B$17+KFC!$C$17)*KFC!$C$5</f>
        <v>36.190543181214949</v>
      </c>
      <c r="R34" s="912">
        <f>(AO34*KFC!$B$17+KFC!$C$17)*KFC!$C$5</f>
        <v>37.726011840350537</v>
      </c>
      <c r="S34" s="912">
        <f>(AP34*KFC!$B$17+KFC!$C$17)*KFC!$C$5</f>
        <v>39.261480499486126</v>
      </c>
      <c r="T34" s="912">
        <f>(AQ34*KFC!$B$17+KFC!$C$17)*KFC!$C$5</f>
        <v>40.796949158621722</v>
      </c>
      <c r="U34" s="912">
        <f>(AR34*KFC!$B$17+KFC!$C$17)*KFC!$C$5</f>
        <v>42.33241781775731</v>
      </c>
      <c r="V34" s="912">
        <f>(AS34*KFC!$B$17+KFC!$C$17)*KFC!$C$5</f>
        <v>43.867886476892899</v>
      </c>
      <c r="W34" s="916">
        <f>(AT34*KFC!$B$17+KFC!$C$17)*KFC!$C$5</f>
        <v>45.403355136028495</v>
      </c>
      <c r="Y34" s="1277"/>
      <c r="Z34" s="649">
        <v>0.3</v>
      </c>
      <c r="AA34" s="882">
        <v>16.229450612452275</v>
      </c>
      <c r="AB34" s="882">
        <v>17.764919271587864</v>
      </c>
      <c r="AC34" s="882">
        <v>19.300387930723453</v>
      </c>
      <c r="AD34" s="882">
        <v>20.835856589859045</v>
      </c>
      <c r="AE34" s="882">
        <v>22.371325248994633</v>
      </c>
      <c r="AF34" s="882">
        <v>23.906793908130226</v>
      </c>
      <c r="AG34" s="882">
        <v>25.442262567265818</v>
      </c>
      <c r="AH34" s="882">
        <v>26.977731226401406</v>
      </c>
      <c r="AI34" s="882">
        <v>28.513199885536999</v>
      </c>
      <c r="AJ34" s="882">
        <v>30.048668544672591</v>
      </c>
      <c r="AK34" s="882">
        <v>31.584137203808176</v>
      </c>
      <c r="AL34" s="882">
        <v>33.119605862943772</v>
      </c>
      <c r="AM34" s="882">
        <v>34.65507452207936</v>
      </c>
      <c r="AN34" s="882">
        <v>36.190543181214949</v>
      </c>
      <c r="AO34" s="882">
        <v>37.726011840350537</v>
      </c>
      <c r="AP34" s="882">
        <v>39.261480499486126</v>
      </c>
      <c r="AQ34" s="882">
        <v>40.796949158621722</v>
      </c>
      <c r="AR34" s="882">
        <v>42.33241781775731</v>
      </c>
      <c r="AS34" s="882">
        <v>43.867886476892899</v>
      </c>
      <c r="AT34" s="882">
        <v>45.403355136028495</v>
      </c>
    </row>
    <row r="35" spans="1:46">
      <c r="A35" s="1426"/>
      <c r="B35" s="1427"/>
      <c r="C35" s="887">
        <v>0.4</v>
      </c>
      <c r="D35" s="915">
        <f>(AA35*KFC!$B$17+KFC!$C$17)*KFC!$C$5</f>
        <v>16.81107232135005</v>
      </c>
      <c r="E35" s="912">
        <f>(AB35*KFC!$B$17+KFC!$C$17)*KFC!$C$5</f>
        <v>18.487539421919099</v>
      </c>
      <c r="F35" s="912">
        <f>(AC35*KFC!$B$17+KFC!$C$17)*KFC!$C$5</f>
        <v>20.164006522488148</v>
      </c>
      <c r="G35" s="912">
        <f>(AD35*KFC!$B$17+KFC!$C$17)*KFC!$C$5</f>
        <v>21.840473623057196</v>
      </c>
      <c r="H35" s="912">
        <f>(AE35*KFC!$B$17+KFC!$C$17)*KFC!$C$5</f>
        <v>23.516940723626249</v>
      </c>
      <c r="I35" s="912">
        <f>(AF35*KFC!$B$17+KFC!$C$17)*KFC!$C$5</f>
        <v>25.193407824195301</v>
      </c>
      <c r="J35" s="912">
        <f>(AG35*KFC!$B$17+KFC!$C$17)*KFC!$C$5</f>
        <v>26.86987492476435</v>
      </c>
      <c r="K35" s="912">
        <f>(AH35*KFC!$B$17+KFC!$C$17)*KFC!$C$5</f>
        <v>28.546342025333402</v>
      </c>
      <c r="L35" s="912">
        <f>(AI35*KFC!$B$17+KFC!$C$17)*KFC!$C$5</f>
        <v>30.222809125902447</v>
      </c>
      <c r="M35" s="912">
        <f>(AJ35*KFC!$B$17+KFC!$C$17)*KFC!$C$5</f>
        <v>31.8992762264715</v>
      </c>
      <c r="N35" s="912">
        <f>(AK35*KFC!$B$17+KFC!$C$17)*KFC!$C$5</f>
        <v>33.575743327040556</v>
      </c>
      <c r="O35" s="912">
        <f>(AL35*KFC!$B$17+KFC!$C$17)*KFC!$C$5</f>
        <v>35.252210427609604</v>
      </c>
      <c r="P35" s="912">
        <f>(AM35*KFC!$B$17+KFC!$C$17)*KFC!$C$5</f>
        <v>36.928677528178646</v>
      </c>
      <c r="Q35" s="912">
        <f>(AN35*KFC!$B$17+KFC!$C$17)*KFC!$C$5</f>
        <v>38.605144628747695</v>
      </c>
      <c r="R35" s="912">
        <f>(AO35*KFC!$B$17+KFC!$C$17)*KFC!$C$5</f>
        <v>40.281611729316744</v>
      </c>
      <c r="S35" s="912">
        <f>(AP35*KFC!$B$17+KFC!$C$17)*KFC!$C$5</f>
        <v>41.958078829885785</v>
      </c>
      <c r="T35" s="912">
        <f>(AQ35*KFC!$B$17+KFC!$C$17)*KFC!$C$5</f>
        <v>43.634545930454841</v>
      </c>
      <c r="U35" s="912">
        <f>(AR35*KFC!$B$17+KFC!$C$17)*KFC!$C$5</f>
        <v>45.311013031023883</v>
      </c>
      <c r="V35" s="912">
        <f>(AS35*KFC!$B$17+KFC!$C$17)*KFC!$C$5</f>
        <v>46.987480131592932</v>
      </c>
      <c r="W35" s="916">
        <f>(AT35*KFC!$B$17+KFC!$C$17)*KFC!$C$5</f>
        <v>48.663947232161995</v>
      </c>
      <c r="Y35" s="1277"/>
      <c r="Z35" s="649">
        <v>0.4</v>
      </c>
      <c r="AA35" s="882">
        <v>16.81107232135005</v>
      </c>
      <c r="AB35" s="882">
        <v>18.487539421919099</v>
      </c>
      <c r="AC35" s="882">
        <v>20.164006522488148</v>
      </c>
      <c r="AD35" s="882">
        <v>21.840473623057196</v>
      </c>
      <c r="AE35" s="882">
        <v>23.516940723626249</v>
      </c>
      <c r="AF35" s="882">
        <v>25.193407824195301</v>
      </c>
      <c r="AG35" s="882">
        <v>26.86987492476435</v>
      </c>
      <c r="AH35" s="882">
        <v>28.546342025333402</v>
      </c>
      <c r="AI35" s="882">
        <v>30.222809125902447</v>
      </c>
      <c r="AJ35" s="882">
        <v>31.8992762264715</v>
      </c>
      <c r="AK35" s="882">
        <v>33.575743327040556</v>
      </c>
      <c r="AL35" s="882">
        <v>35.252210427609604</v>
      </c>
      <c r="AM35" s="882">
        <v>36.928677528178646</v>
      </c>
      <c r="AN35" s="882">
        <v>38.605144628747695</v>
      </c>
      <c r="AO35" s="882">
        <v>40.281611729316744</v>
      </c>
      <c r="AP35" s="882">
        <v>41.958078829885785</v>
      </c>
      <c r="AQ35" s="882">
        <v>43.634545930454841</v>
      </c>
      <c r="AR35" s="882">
        <v>45.311013031023883</v>
      </c>
      <c r="AS35" s="882">
        <v>46.987480131592932</v>
      </c>
      <c r="AT35" s="882">
        <v>48.663947232161995</v>
      </c>
    </row>
    <row r="36" spans="1:46">
      <c r="A36" s="1426"/>
      <c r="B36" s="1427"/>
      <c r="C36" s="887">
        <v>0.5</v>
      </c>
      <c r="D36" s="915">
        <f>(AA36*KFC!$B$17+KFC!$C$17)*KFC!$C$5</f>
        <v>17.392694030247824</v>
      </c>
      <c r="E36" s="912">
        <f>(AB36*KFC!$B$17+KFC!$C$17)*KFC!$C$5</f>
        <v>19.210159572250333</v>
      </c>
      <c r="F36" s="912">
        <f>(AC36*KFC!$B$17+KFC!$C$17)*KFC!$C$5</f>
        <v>21.027625114252842</v>
      </c>
      <c r="G36" s="912">
        <f>(AD36*KFC!$B$17+KFC!$C$17)*KFC!$C$5</f>
        <v>22.845090656255351</v>
      </c>
      <c r="H36" s="912">
        <f>(AE36*KFC!$B$17+KFC!$C$17)*KFC!$C$5</f>
        <v>24.662556198257864</v>
      </c>
      <c r="I36" s="912">
        <f>(AF36*KFC!$B$17+KFC!$C$17)*KFC!$C$5</f>
        <v>26.480021740260373</v>
      </c>
      <c r="J36" s="912">
        <f>(AG36*KFC!$B$17+KFC!$C$17)*KFC!$C$5</f>
        <v>28.297487282262882</v>
      </c>
      <c r="K36" s="912">
        <f>(AH36*KFC!$B$17+KFC!$C$17)*KFC!$C$5</f>
        <v>30.114952824265394</v>
      </c>
      <c r="L36" s="912">
        <f>(AI36*KFC!$B$17+KFC!$C$17)*KFC!$C$5</f>
        <v>31.932418366267903</v>
      </c>
      <c r="M36" s="912">
        <f>(AJ36*KFC!$B$17+KFC!$C$17)*KFC!$C$5</f>
        <v>33.749883908270412</v>
      </c>
      <c r="N36" s="912">
        <f>(AK36*KFC!$B$17+KFC!$C$17)*KFC!$C$5</f>
        <v>35.567349450272928</v>
      </c>
      <c r="O36" s="912">
        <f>(AL36*KFC!$B$17+KFC!$C$17)*KFC!$C$5</f>
        <v>37.38481499227543</v>
      </c>
      <c r="P36" s="912">
        <f>(AM36*KFC!$B$17+KFC!$C$17)*KFC!$C$5</f>
        <v>39.202280534277939</v>
      </c>
      <c r="Q36" s="912">
        <f>(AN36*KFC!$B$17+KFC!$C$17)*KFC!$C$5</f>
        <v>41.019746076280448</v>
      </c>
      <c r="R36" s="912">
        <f>(AO36*KFC!$B$17+KFC!$C$17)*KFC!$C$5</f>
        <v>42.837211618282964</v>
      </c>
      <c r="S36" s="912">
        <f>(AP36*KFC!$B$17+KFC!$C$17)*KFC!$C$5</f>
        <v>44.654677160285473</v>
      </c>
      <c r="T36" s="912">
        <f>(AQ36*KFC!$B$17+KFC!$C$17)*KFC!$C$5</f>
        <v>46.472142702287982</v>
      </c>
      <c r="U36" s="912">
        <f>(AR36*KFC!$B$17+KFC!$C$17)*KFC!$C$5</f>
        <v>48.289608244290491</v>
      </c>
      <c r="V36" s="912">
        <f>(AS36*KFC!$B$17+KFC!$C$17)*KFC!$C$5</f>
        <v>50.107073786293007</v>
      </c>
      <c r="W36" s="916">
        <f>(AT36*KFC!$B$17+KFC!$C$17)*KFC!$C$5</f>
        <v>51.924539328295495</v>
      </c>
      <c r="Y36" s="1277"/>
      <c r="Z36" s="649">
        <v>0.5</v>
      </c>
      <c r="AA36" s="882">
        <v>17.392694030247824</v>
      </c>
      <c r="AB36" s="882">
        <v>19.210159572250333</v>
      </c>
      <c r="AC36" s="882">
        <v>21.027625114252842</v>
      </c>
      <c r="AD36" s="882">
        <v>22.845090656255351</v>
      </c>
      <c r="AE36" s="882">
        <v>24.662556198257864</v>
      </c>
      <c r="AF36" s="882">
        <v>26.480021740260373</v>
      </c>
      <c r="AG36" s="882">
        <v>28.297487282262882</v>
      </c>
      <c r="AH36" s="882">
        <v>30.114952824265394</v>
      </c>
      <c r="AI36" s="882">
        <v>31.932418366267903</v>
      </c>
      <c r="AJ36" s="882">
        <v>33.749883908270412</v>
      </c>
      <c r="AK36" s="882">
        <v>35.567349450272928</v>
      </c>
      <c r="AL36" s="882">
        <v>37.38481499227543</v>
      </c>
      <c r="AM36" s="882">
        <v>39.202280534277939</v>
      </c>
      <c r="AN36" s="882">
        <v>41.019746076280448</v>
      </c>
      <c r="AO36" s="882">
        <v>42.837211618282964</v>
      </c>
      <c r="AP36" s="882">
        <v>44.654677160285473</v>
      </c>
      <c r="AQ36" s="882">
        <v>46.472142702287982</v>
      </c>
      <c r="AR36" s="882">
        <v>48.289608244290491</v>
      </c>
      <c r="AS36" s="882">
        <v>50.107073786293007</v>
      </c>
      <c r="AT36" s="882">
        <v>51.924539328295495</v>
      </c>
    </row>
    <row r="37" spans="1:46">
      <c r="A37" s="1426"/>
      <c r="B37" s="1427"/>
      <c r="C37" s="887">
        <v>0.6</v>
      </c>
      <c r="D37" s="915">
        <f>(AA37*KFC!$B$17+KFC!$C$17)*KFC!$C$5</f>
        <v>17.974315739145599</v>
      </c>
      <c r="E37" s="912">
        <f>(AB37*KFC!$B$17+KFC!$C$17)*KFC!$C$5</f>
        <v>19.932779722581564</v>
      </c>
      <c r="F37" s="912">
        <f>(AC37*KFC!$B$17+KFC!$C$17)*KFC!$C$5</f>
        <v>21.891243706017537</v>
      </c>
      <c r="G37" s="912">
        <f>(AD37*KFC!$B$17+KFC!$C$17)*KFC!$C$5</f>
        <v>23.849707689453503</v>
      </c>
      <c r="H37" s="912">
        <f>(AE37*KFC!$B$17+KFC!$C$17)*KFC!$C$5</f>
        <v>25.808171672889468</v>
      </c>
      <c r="I37" s="912">
        <f>(AF37*KFC!$B$17+KFC!$C$17)*KFC!$C$5</f>
        <v>27.766635656325434</v>
      </c>
      <c r="J37" s="912">
        <f>(AG37*KFC!$B$17+KFC!$C$17)*KFC!$C$5</f>
        <v>29.7250996397614</v>
      </c>
      <c r="K37" s="912">
        <f>(AH37*KFC!$B$17+KFC!$C$17)*KFC!$C$5</f>
        <v>31.683563623197369</v>
      </c>
      <c r="L37" s="912">
        <f>(AI37*KFC!$B$17+KFC!$C$17)*KFC!$C$5</f>
        <v>33.642027606633334</v>
      </c>
      <c r="M37" s="912">
        <f>(AJ37*KFC!$B$17+KFC!$C$17)*KFC!$C$5</f>
        <v>35.600491590069304</v>
      </c>
      <c r="N37" s="912">
        <f>(AK37*KFC!$B$17+KFC!$C$17)*KFC!$C$5</f>
        <v>37.558955573505273</v>
      </c>
      <c r="O37" s="912">
        <f>(AL37*KFC!$B$17+KFC!$C$17)*KFC!$C$5</f>
        <v>39.517419556941235</v>
      </c>
      <c r="P37" s="912">
        <f>(AM37*KFC!$B$17+KFC!$C$17)*KFC!$C$5</f>
        <v>41.475883540377204</v>
      </c>
      <c r="Q37" s="912">
        <f>(AN37*KFC!$B$17+KFC!$C$17)*KFC!$C$5</f>
        <v>43.434347523813166</v>
      </c>
      <c r="R37" s="912">
        <f>(AO37*KFC!$B$17+KFC!$C$17)*KFC!$C$5</f>
        <v>45.392811507249142</v>
      </c>
      <c r="S37" s="912">
        <f>(AP37*KFC!$B$17+KFC!$C$17)*KFC!$C$5</f>
        <v>47.351275490685104</v>
      </c>
      <c r="T37" s="912">
        <f>(AQ37*KFC!$B$17+KFC!$C$17)*KFC!$C$5</f>
        <v>49.309739474121073</v>
      </c>
      <c r="U37" s="912">
        <f>(AR37*KFC!$B$17+KFC!$C$17)*KFC!$C$5</f>
        <v>51.268203457557036</v>
      </c>
      <c r="V37" s="912">
        <f>(AS37*KFC!$B$17+KFC!$C$17)*KFC!$C$5</f>
        <v>53.226667440993005</v>
      </c>
      <c r="W37" s="916">
        <f>(AT37*KFC!$B$17+KFC!$C$17)*KFC!$C$5</f>
        <v>55.185131424428988</v>
      </c>
      <c r="Y37" s="1277"/>
      <c r="Z37" s="649">
        <v>0.6</v>
      </c>
      <c r="AA37" s="882">
        <v>17.974315739145599</v>
      </c>
      <c r="AB37" s="882">
        <v>19.932779722581564</v>
      </c>
      <c r="AC37" s="882">
        <v>21.891243706017537</v>
      </c>
      <c r="AD37" s="882">
        <v>23.849707689453503</v>
      </c>
      <c r="AE37" s="882">
        <v>25.808171672889468</v>
      </c>
      <c r="AF37" s="882">
        <v>27.766635656325434</v>
      </c>
      <c r="AG37" s="882">
        <v>29.7250996397614</v>
      </c>
      <c r="AH37" s="882">
        <v>31.683563623197369</v>
      </c>
      <c r="AI37" s="882">
        <v>33.642027606633334</v>
      </c>
      <c r="AJ37" s="882">
        <v>35.600491590069304</v>
      </c>
      <c r="AK37" s="882">
        <v>37.558955573505273</v>
      </c>
      <c r="AL37" s="882">
        <v>39.517419556941235</v>
      </c>
      <c r="AM37" s="882">
        <v>41.475883540377204</v>
      </c>
      <c r="AN37" s="882">
        <v>43.434347523813166</v>
      </c>
      <c r="AO37" s="882">
        <v>45.392811507249142</v>
      </c>
      <c r="AP37" s="882">
        <v>47.351275490685104</v>
      </c>
      <c r="AQ37" s="882">
        <v>49.309739474121073</v>
      </c>
      <c r="AR37" s="882">
        <v>51.268203457557036</v>
      </c>
      <c r="AS37" s="882">
        <v>53.226667440993005</v>
      </c>
      <c r="AT37" s="882">
        <v>55.185131424428988</v>
      </c>
    </row>
    <row r="38" spans="1:46">
      <c r="A38" s="1426"/>
      <c r="B38" s="1427"/>
      <c r="C38" s="887">
        <v>0.7</v>
      </c>
      <c r="D38" s="915">
        <f>(AA38*KFC!$B$17+KFC!$C$17)*KFC!$C$5</f>
        <v>18.555937448043373</v>
      </c>
      <c r="E38" s="912">
        <f>(AB38*KFC!$B$17+KFC!$C$17)*KFC!$C$5</f>
        <v>20.655399872912799</v>
      </c>
      <c r="F38" s="912">
        <f>(AC38*KFC!$B$17+KFC!$C$17)*KFC!$C$5</f>
        <v>22.754862297782225</v>
      </c>
      <c r="G38" s="912">
        <f>(AD38*KFC!$B$17+KFC!$C$17)*KFC!$C$5</f>
        <v>24.854324722651654</v>
      </c>
      <c r="H38" s="912">
        <f>(AE38*KFC!$B$17+KFC!$C$17)*KFC!$C$5</f>
        <v>26.95378714752108</v>
      </c>
      <c r="I38" s="912">
        <f>(AF38*KFC!$B$17+KFC!$C$17)*KFC!$C$5</f>
        <v>29.053249572390506</v>
      </c>
      <c r="J38" s="912">
        <f>(AG38*KFC!$B$17+KFC!$C$17)*KFC!$C$5</f>
        <v>31.152711997259935</v>
      </c>
      <c r="K38" s="912">
        <f>(AH38*KFC!$B$17+KFC!$C$17)*KFC!$C$5</f>
        <v>33.252174422129357</v>
      </c>
      <c r="L38" s="912">
        <f>(AI38*KFC!$B$17+KFC!$C$17)*KFC!$C$5</f>
        <v>35.351636846998787</v>
      </c>
      <c r="M38" s="912">
        <f>(AJ38*KFC!$B$17+KFC!$C$17)*KFC!$C$5</f>
        <v>37.451099271868216</v>
      </c>
      <c r="N38" s="912">
        <f>(AK38*KFC!$B$17+KFC!$C$17)*KFC!$C$5</f>
        <v>39.550561696737645</v>
      </c>
      <c r="O38" s="912">
        <f>(AL38*KFC!$B$17+KFC!$C$17)*KFC!$C$5</f>
        <v>41.650024121607082</v>
      </c>
      <c r="P38" s="912">
        <f>(AM38*KFC!$B$17+KFC!$C$17)*KFC!$C$5</f>
        <v>43.749486546476504</v>
      </c>
      <c r="Q38" s="912">
        <f>(AN38*KFC!$B$17+KFC!$C$17)*KFC!$C$5</f>
        <v>45.848948971345941</v>
      </c>
      <c r="R38" s="912">
        <f>(AO38*KFC!$B$17+KFC!$C$17)*KFC!$C$5</f>
        <v>47.94841139621537</v>
      </c>
      <c r="S38" s="912">
        <f>(AP38*KFC!$B$17+KFC!$C$17)*KFC!$C$5</f>
        <v>50.047873821084792</v>
      </c>
      <c r="T38" s="912">
        <f>(AQ38*KFC!$B$17+KFC!$C$17)*KFC!$C$5</f>
        <v>52.147336245954222</v>
      </c>
      <c r="U38" s="912">
        <f>(AR38*KFC!$B$17+KFC!$C$17)*KFC!$C$5</f>
        <v>54.246798670823658</v>
      </c>
      <c r="V38" s="912">
        <f>(AS38*KFC!$B$17+KFC!$C$17)*KFC!$C$5</f>
        <v>56.346261095693094</v>
      </c>
      <c r="W38" s="916">
        <f>(AT38*KFC!$B$17+KFC!$C$17)*KFC!$C$5</f>
        <v>58.445723520562488</v>
      </c>
      <c r="Y38" s="1277"/>
      <c r="Z38" s="649">
        <v>0.7</v>
      </c>
      <c r="AA38" s="882">
        <v>18.555937448043373</v>
      </c>
      <c r="AB38" s="882">
        <v>20.655399872912799</v>
      </c>
      <c r="AC38" s="882">
        <v>22.754862297782225</v>
      </c>
      <c r="AD38" s="882">
        <v>24.854324722651654</v>
      </c>
      <c r="AE38" s="882">
        <v>26.95378714752108</v>
      </c>
      <c r="AF38" s="882">
        <v>29.053249572390506</v>
      </c>
      <c r="AG38" s="882">
        <v>31.152711997259935</v>
      </c>
      <c r="AH38" s="882">
        <v>33.252174422129357</v>
      </c>
      <c r="AI38" s="882">
        <v>35.351636846998787</v>
      </c>
      <c r="AJ38" s="882">
        <v>37.451099271868216</v>
      </c>
      <c r="AK38" s="882">
        <v>39.550561696737645</v>
      </c>
      <c r="AL38" s="882">
        <v>41.650024121607082</v>
      </c>
      <c r="AM38" s="882">
        <v>43.749486546476504</v>
      </c>
      <c r="AN38" s="882">
        <v>45.848948971345941</v>
      </c>
      <c r="AO38" s="882">
        <v>47.94841139621537</v>
      </c>
      <c r="AP38" s="882">
        <v>50.047873821084792</v>
      </c>
      <c r="AQ38" s="882">
        <v>52.147336245954222</v>
      </c>
      <c r="AR38" s="882">
        <v>54.246798670823658</v>
      </c>
      <c r="AS38" s="882">
        <v>56.346261095693094</v>
      </c>
      <c r="AT38" s="882">
        <v>58.445723520562488</v>
      </c>
    </row>
    <row r="39" spans="1:46">
      <c r="A39" s="1426"/>
      <c r="B39" s="1427"/>
      <c r="C39" s="887">
        <v>0.8</v>
      </c>
      <c r="D39" s="915">
        <f>(AA39*KFC!$B$17+KFC!$C$17)*KFC!$C$5</f>
        <v>19.137559156941148</v>
      </c>
      <c r="E39" s="912">
        <f>(AB39*KFC!$B$17+KFC!$C$17)*KFC!$C$5</f>
        <v>21.378020023244037</v>
      </c>
      <c r="F39" s="912">
        <f>(AC39*KFC!$B$17+KFC!$C$17)*KFC!$C$5</f>
        <v>23.618480889546923</v>
      </c>
      <c r="G39" s="912">
        <f>(AD39*KFC!$B$17+KFC!$C$17)*KFC!$C$5</f>
        <v>25.858941755849809</v>
      </c>
      <c r="H39" s="912">
        <f>(AE39*KFC!$B$17+KFC!$C$17)*KFC!$C$5</f>
        <v>28.099402622152695</v>
      </c>
      <c r="I39" s="912">
        <f>(AF39*KFC!$B$17+KFC!$C$17)*KFC!$C$5</f>
        <v>30.339863488455581</v>
      </c>
      <c r="J39" s="912">
        <f>(AG39*KFC!$B$17+KFC!$C$17)*KFC!$C$5</f>
        <v>32.580324354758467</v>
      </c>
      <c r="K39" s="912">
        <f>(AH39*KFC!$B$17+KFC!$C$17)*KFC!$C$5</f>
        <v>34.82078522106135</v>
      </c>
      <c r="L39" s="912">
        <f>(AI39*KFC!$B$17+KFC!$C$17)*KFC!$C$5</f>
        <v>37.061246087364239</v>
      </c>
      <c r="M39" s="912">
        <f>(AJ39*KFC!$B$17+KFC!$C$17)*KFC!$C$5</f>
        <v>39.301706953667122</v>
      </c>
      <c r="N39" s="912">
        <f>(AK39*KFC!$B$17+KFC!$C$17)*KFC!$C$5</f>
        <v>41.542167819970011</v>
      </c>
      <c r="O39" s="912">
        <f>(AL39*KFC!$B$17+KFC!$C$17)*KFC!$C$5</f>
        <v>43.782628686272894</v>
      </c>
      <c r="P39" s="912">
        <f>(AM39*KFC!$B$17+KFC!$C$17)*KFC!$C$5</f>
        <v>46.023089552575783</v>
      </c>
      <c r="Q39" s="912">
        <f>(AN39*KFC!$B$17+KFC!$C$17)*KFC!$C$5</f>
        <v>48.263550418878665</v>
      </c>
      <c r="R39" s="912">
        <f>(AO39*KFC!$B$17+KFC!$C$17)*KFC!$C$5</f>
        <v>50.504011285181555</v>
      </c>
      <c r="S39" s="912">
        <f>(AP39*KFC!$B$17+KFC!$C$17)*KFC!$C$5</f>
        <v>52.744472151484445</v>
      </c>
      <c r="T39" s="912">
        <f>(AQ39*KFC!$B$17+KFC!$C$17)*KFC!$C$5</f>
        <v>54.984933017787334</v>
      </c>
      <c r="U39" s="912">
        <f>(AR39*KFC!$B$17+KFC!$C$17)*KFC!$C$5</f>
        <v>57.225393884090217</v>
      </c>
      <c r="V39" s="912">
        <f>(AS39*KFC!$B$17+KFC!$C$17)*KFC!$C$5</f>
        <v>59.465854750393106</v>
      </c>
      <c r="W39" s="916">
        <f>(AT39*KFC!$B$17+KFC!$C$17)*KFC!$C$5</f>
        <v>61.706315616695981</v>
      </c>
      <c r="Y39" s="1277"/>
      <c r="Z39" s="649">
        <v>0.8</v>
      </c>
      <c r="AA39" s="882">
        <v>19.137559156941148</v>
      </c>
      <c r="AB39" s="882">
        <v>21.378020023244037</v>
      </c>
      <c r="AC39" s="882">
        <v>23.618480889546923</v>
      </c>
      <c r="AD39" s="882">
        <v>25.858941755849809</v>
      </c>
      <c r="AE39" s="882">
        <v>28.099402622152695</v>
      </c>
      <c r="AF39" s="882">
        <v>30.339863488455581</v>
      </c>
      <c r="AG39" s="882">
        <v>32.580324354758467</v>
      </c>
      <c r="AH39" s="882">
        <v>34.82078522106135</v>
      </c>
      <c r="AI39" s="882">
        <v>37.061246087364239</v>
      </c>
      <c r="AJ39" s="882">
        <v>39.301706953667122</v>
      </c>
      <c r="AK39" s="882">
        <v>41.542167819970011</v>
      </c>
      <c r="AL39" s="882">
        <v>43.782628686272894</v>
      </c>
      <c r="AM39" s="882">
        <v>46.023089552575783</v>
      </c>
      <c r="AN39" s="882">
        <v>48.263550418878665</v>
      </c>
      <c r="AO39" s="882">
        <v>50.504011285181555</v>
      </c>
      <c r="AP39" s="882">
        <v>52.744472151484445</v>
      </c>
      <c r="AQ39" s="882">
        <v>54.984933017787334</v>
      </c>
      <c r="AR39" s="882">
        <v>57.225393884090217</v>
      </c>
      <c r="AS39" s="882">
        <v>59.465854750393106</v>
      </c>
      <c r="AT39" s="882">
        <v>61.706315616695981</v>
      </c>
    </row>
    <row r="40" spans="1:46">
      <c r="A40" s="1426"/>
      <c r="B40" s="1427"/>
      <c r="C40" s="887">
        <v>0.9</v>
      </c>
      <c r="D40" s="915">
        <f>(AA40*KFC!$B$17+KFC!$C$17)*KFC!$C$5</f>
        <v>19.719180865838926</v>
      </c>
      <c r="E40" s="912">
        <f>(AB40*KFC!$B$17+KFC!$C$17)*KFC!$C$5</f>
        <v>22.100640173575268</v>
      </c>
      <c r="F40" s="912">
        <f>(AC40*KFC!$B$17+KFC!$C$17)*KFC!$C$5</f>
        <v>24.482099481311614</v>
      </c>
      <c r="G40" s="912">
        <f>(AD40*KFC!$B$17+KFC!$C$17)*KFC!$C$5</f>
        <v>26.863558789047964</v>
      </c>
      <c r="H40" s="912">
        <f>(AE40*KFC!$B$17+KFC!$C$17)*KFC!$C$5</f>
        <v>29.245018096784307</v>
      </c>
      <c r="I40" s="912">
        <f>(AF40*KFC!$B$17+KFC!$C$17)*KFC!$C$5</f>
        <v>31.626477404520653</v>
      </c>
      <c r="J40" s="912">
        <f>(AG40*KFC!$B$17+KFC!$C$17)*KFC!$C$5</f>
        <v>34.007936712256999</v>
      </c>
      <c r="K40" s="912">
        <f>(AH40*KFC!$B$17+KFC!$C$17)*KFC!$C$5</f>
        <v>36.389396019993349</v>
      </c>
      <c r="L40" s="912">
        <f>(AI40*KFC!$B$17+KFC!$C$17)*KFC!$C$5</f>
        <v>38.770855327729691</v>
      </c>
      <c r="M40" s="912">
        <f>(AJ40*KFC!$B$17+KFC!$C$17)*KFC!$C$5</f>
        <v>41.152314635466027</v>
      </c>
      <c r="N40" s="912">
        <f>(AK40*KFC!$B$17+KFC!$C$17)*KFC!$C$5</f>
        <v>43.53377394320237</v>
      </c>
      <c r="O40" s="912">
        <f>(AL40*KFC!$B$17+KFC!$C$17)*KFC!$C$5</f>
        <v>45.915233250938719</v>
      </c>
      <c r="P40" s="912">
        <f>(AM40*KFC!$B$17+KFC!$C$17)*KFC!$C$5</f>
        <v>48.296692558675055</v>
      </c>
      <c r="Q40" s="912">
        <f>(AN40*KFC!$B$17+KFC!$C$17)*KFC!$C$5</f>
        <v>50.678151866411405</v>
      </c>
      <c r="R40" s="912">
        <f>(AO40*KFC!$B$17+KFC!$C$17)*KFC!$C$5</f>
        <v>53.059611174147747</v>
      </c>
      <c r="S40" s="912">
        <f>(AP40*KFC!$B$17+KFC!$C$17)*KFC!$C$5</f>
        <v>55.441070481884097</v>
      </c>
      <c r="T40" s="912">
        <f>(AQ40*KFC!$B$17+KFC!$C$17)*KFC!$C$5</f>
        <v>57.822529789620432</v>
      </c>
      <c r="U40" s="912">
        <f>(AR40*KFC!$B$17+KFC!$C$17)*KFC!$C$5</f>
        <v>60.203989097356775</v>
      </c>
      <c r="V40" s="912">
        <f>(AS40*KFC!$B$17+KFC!$C$17)*KFC!$C$5</f>
        <v>62.585448405093125</v>
      </c>
      <c r="W40" s="916">
        <f>(AT40*KFC!$B$17+KFC!$C$17)*KFC!$C$5</f>
        <v>64.966907712829496</v>
      </c>
      <c r="Y40" s="1277"/>
      <c r="Z40" s="649">
        <v>0.9</v>
      </c>
      <c r="AA40" s="882">
        <v>19.719180865838926</v>
      </c>
      <c r="AB40" s="882">
        <v>22.100640173575268</v>
      </c>
      <c r="AC40" s="882">
        <v>24.482099481311614</v>
      </c>
      <c r="AD40" s="882">
        <v>26.863558789047964</v>
      </c>
      <c r="AE40" s="882">
        <v>29.245018096784307</v>
      </c>
      <c r="AF40" s="882">
        <v>31.626477404520653</v>
      </c>
      <c r="AG40" s="882">
        <v>34.007936712256999</v>
      </c>
      <c r="AH40" s="882">
        <v>36.389396019993349</v>
      </c>
      <c r="AI40" s="882">
        <v>38.770855327729691</v>
      </c>
      <c r="AJ40" s="882">
        <v>41.152314635466027</v>
      </c>
      <c r="AK40" s="882">
        <v>43.53377394320237</v>
      </c>
      <c r="AL40" s="882">
        <v>45.915233250938719</v>
      </c>
      <c r="AM40" s="882">
        <v>48.296692558675055</v>
      </c>
      <c r="AN40" s="882">
        <v>50.678151866411405</v>
      </c>
      <c r="AO40" s="882">
        <v>53.059611174147747</v>
      </c>
      <c r="AP40" s="882">
        <v>55.441070481884097</v>
      </c>
      <c r="AQ40" s="882">
        <v>57.822529789620432</v>
      </c>
      <c r="AR40" s="882">
        <v>60.203989097356775</v>
      </c>
      <c r="AS40" s="882">
        <v>62.585448405093125</v>
      </c>
      <c r="AT40" s="882">
        <v>64.966907712829496</v>
      </c>
    </row>
    <row r="41" spans="1:46">
      <c r="A41" s="1426"/>
      <c r="B41" s="1427"/>
      <c r="C41" s="887">
        <v>1</v>
      </c>
      <c r="D41" s="915">
        <f>(AA41*KFC!$B$17+KFC!$C$17)*KFC!$C$5</f>
        <v>20.300802574736696</v>
      </c>
      <c r="E41" s="912">
        <f>(AB41*KFC!$B$17+KFC!$C$17)*KFC!$C$5</f>
        <v>22.823260323906506</v>
      </c>
      <c r="F41" s="912">
        <f>(AC41*KFC!$B$17+KFC!$C$17)*KFC!$C$5</f>
        <v>25.345718073076313</v>
      </c>
      <c r="G41" s="912">
        <f>(AD41*KFC!$B$17+KFC!$C$17)*KFC!$C$5</f>
        <v>27.868175822246119</v>
      </c>
      <c r="H41" s="912">
        <f>(AE41*KFC!$B$17+KFC!$C$17)*KFC!$C$5</f>
        <v>30.390633571415922</v>
      </c>
      <c r="I41" s="912">
        <f>(AF41*KFC!$B$17+KFC!$C$17)*KFC!$C$5</f>
        <v>32.913091320585728</v>
      </c>
      <c r="J41" s="912">
        <f>(AG41*KFC!$B$17+KFC!$C$17)*KFC!$C$5</f>
        <v>35.435549069755538</v>
      </c>
      <c r="K41" s="912">
        <f>(AH41*KFC!$B$17+KFC!$C$17)*KFC!$C$5</f>
        <v>37.958006818925341</v>
      </c>
      <c r="L41" s="912">
        <f>(AI41*KFC!$B$17+KFC!$C$17)*KFC!$C$5</f>
        <v>40.480464568095144</v>
      </c>
      <c r="M41" s="912">
        <f>(AJ41*KFC!$B$17+KFC!$C$17)*KFC!$C$5</f>
        <v>43.002922317264947</v>
      </c>
      <c r="N41" s="912">
        <f>(AK41*KFC!$B$17+KFC!$C$17)*KFC!$C$5</f>
        <v>45.525380066434757</v>
      </c>
      <c r="O41" s="912">
        <f>(AL41*KFC!$B$17+KFC!$C$17)*KFC!$C$5</f>
        <v>48.047837815604559</v>
      </c>
      <c r="P41" s="912">
        <f>(AM41*KFC!$B$17+KFC!$C$17)*KFC!$C$5</f>
        <v>50.570295564774369</v>
      </c>
      <c r="Q41" s="912">
        <f>(AN41*KFC!$B$17+KFC!$C$17)*KFC!$C$5</f>
        <v>53.092753313944179</v>
      </c>
      <c r="R41" s="912">
        <f>(AO41*KFC!$B$17+KFC!$C$17)*KFC!$C$5</f>
        <v>55.615211063113982</v>
      </c>
      <c r="S41" s="912">
        <f>(AP41*KFC!$B$17+KFC!$C$17)*KFC!$C$5</f>
        <v>58.137668812283792</v>
      </c>
      <c r="T41" s="912">
        <f>(AQ41*KFC!$B$17+KFC!$C$17)*KFC!$C$5</f>
        <v>60.660126561453588</v>
      </c>
      <c r="U41" s="912">
        <f>(AR41*KFC!$B$17+KFC!$C$17)*KFC!$C$5</f>
        <v>63.182584310623398</v>
      </c>
      <c r="V41" s="912">
        <f>(AS41*KFC!$B$17+KFC!$C$17)*KFC!$C$5</f>
        <v>65.705042059793215</v>
      </c>
      <c r="W41" s="916">
        <f>(AT41*KFC!$B$17+KFC!$C$17)*KFC!$C$5</f>
        <v>68.227499808962989</v>
      </c>
      <c r="Y41" s="1277"/>
      <c r="Z41" s="649">
        <v>1</v>
      </c>
      <c r="AA41" s="882">
        <v>20.300802574736696</v>
      </c>
      <c r="AB41" s="882">
        <v>22.823260323906506</v>
      </c>
      <c r="AC41" s="882">
        <v>25.345718073076313</v>
      </c>
      <c r="AD41" s="882">
        <v>27.868175822246119</v>
      </c>
      <c r="AE41" s="882">
        <v>30.390633571415922</v>
      </c>
      <c r="AF41" s="882">
        <v>32.913091320585728</v>
      </c>
      <c r="AG41" s="882">
        <v>35.435549069755538</v>
      </c>
      <c r="AH41" s="882">
        <v>37.958006818925341</v>
      </c>
      <c r="AI41" s="882">
        <v>40.480464568095144</v>
      </c>
      <c r="AJ41" s="882">
        <v>43.002922317264947</v>
      </c>
      <c r="AK41" s="882">
        <v>45.525380066434757</v>
      </c>
      <c r="AL41" s="882">
        <v>48.047837815604559</v>
      </c>
      <c r="AM41" s="882">
        <v>50.570295564774369</v>
      </c>
      <c r="AN41" s="882">
        <v>53.092753313944179</v>
      </c>
      <c r="AO41" s="882">
        <v>55.615211063113982</v>
      </c>
      <c r="AP41" s="882">
        <v>58.137668812283792</v>
      </c>
      <c r="AQ41" s="882">
        <v>60.660126561453588</v>
      </c>
      <c r="AR41" s="882">
        <v>63.182584310623398</v>
      </c>
      <c r="AS41" s="882">
        <v>65.705042059793215</v>
      </c>
      <c r="AT41" s="882">
        <v>68.227499808962989</v>
      </c>
    </row>
    <row r="42" spans="1:46">
      <c r="A42" s="1426"/>
      <c r="B42" s="1427"/>
      <c r="C42" s="887">
        <v>1.1000000000000001</v>
      </c>
      <c r="D42" s="915">
        <f>(AA42*KFC!$B$17+KFC!$C$17)*KFC!$C$5</f>
        <v>20.882424283634474</v>
      </c>
      <c r="E42" s="912">
        <f>(AB42*KFC!$B$17+KFC!$C$17)*KFC!$C$5</f>
        <v>23.545880474237737</v>
      </c>
      <c r="F42" s="912">
        <f>(AC42*KFC!$B$17+KFC!$C$17)*KFC!$C$5</f>
        <v>26.209336664841</v>
      </c>
      <c r="G42" s="912">
        <f>(AD42*KFC!$B$17+KFC!$C$17)*KFC!$C$5</f>
        <v>28.872792855444263</v>
      </c>
      <c r="H42" s="912">
        <f>(AE42*KFC!$B$17+KFC!$C$17)*KFC!$C$5</f>
        <v>31.536249046047523</v>
      </c>
      <c r="I42" s="912">
        <f>(AF42*KFC!$B$17+KFC!$C$17)*KFC!$C$5</f>
        <v>34.199705236650786</v>
      </c>
      <c r="J42" s="912">
        <f>(AG42*KFC!$B$17+KFC!$C$17)*KFC!$C$5</f>
        <v>36.863161427254049</v>
      </c>
      <c r="K42" s="912">
        <f>(AH42*KFC!$B$17+KFC!$C$17)*KFC!$C$5</f>
        <v>39.526617617857312</v>
      </c>
      <c r="L42" s="912">
        <f>(AI42*KFC!$B$17+KFC!$C$17)*KFC!$C$5</f>
        <v>42.190073808460568</v>
      </c>
      <c r="M42" s="912">
        <f>(AJ42*KFC!$B$17+KFC!$C$17)*KFC!$C$5</f>
        <v>44.853529999063845</v>
      </c>
      <c r="N42" s="912">
        <f>(AK42*KFC!$B$17+KFC!$C$17)*KFC!$C$5</f>
        <v>47.516986189667101</v>
      </c>
      <c r="O42" s="912">
        <f>(AL42*KFC!$B$17+KFC!$C$17)*KFC!$C$5</f>
        <v>50.180442380270364</v>
      </c>
      <c r="P42" s="912">
        <f>(AM42*KFC!$B$17+KFC!$C$17)*KFC!$C$5</f>
        <v>52.843898570873627</v>
      </c>
      <c r="Q42" s="912">
        <f>(AN42*KFC!$B$17+KFC!$C$17)*KFC!$C$5</f>
        <v>55.50735476147689</v>
      </c>
      <c r="R42" s="912">
        <f>(AO42*KFC!$B$17+KFC!$C$17)*KFC!$C$5</f>
        <v>58.170810952080153</v>
      </c>
      <c r="S42" s="912">
        <f>(AP42*KFC!$B$17+KFC!$C$17)*KFC!$C$5</f>
        <v>60.834267142683416</v>
      </c>
      <c r="T42" s="912">
        <f>(AQ42*KFC!$B$17+KFC!$C$17)*KFC!$C$5</f>
        <v>63.497723333286672</v>
      </c>
      <c r="U42" s="912">
        <f>(AR42*KFC!$B$17+KFC!$C$17)*KFC!$C$5</f>
        <v>66.161179523889942</v>
      </c>
      <c r="V42" s="912">
        <f>(AS42*KFC!$B$17+KFC!$C$17)*KFC!$C$5</f>
        <v>68.824635714493212</v>
      </c>
      <c r="W42" s="916">
        <f>(AT42*KFC!$B$17+KFC!$C$17)*KFC!$C$5</f>
        <v>71.488091905096496</v>
      </c>
      <c r="Y42" s="1277"/>
      <c r="Z42" s="649">
        <v>1.1000000000000001</v>
      </c>
      <c r="AA42" s="882">
        <v>20.882424283634474</v>
      </c>
      <c r="AB42" s="882">
        <v>23.545880474237737</v>
      </c>
      <c r="AC42" s="882">
        <v>26.209336664841</v>
      </c>
      <c r="AD42" s="882">
        <v>28.872792855444263</v>
      </c>
      <c r="AE42" s="882">
        <v>31.536249046047523</v>
      </c>
      <c r="AF42" s="882">
        <v>34.199705236650786</v>
      </c>
      <c r="AG42" s="882">
        <v>36.863161427254049</v>
      </c>
      <c r="AH42" s="882">
        <v>39.526617617857312</v>
      </c>
      <c r="AI42" s="882">
        <v>42.190073808460568</v>
      </c>
      <c r="AJ42" s="882">
        <v>44.853529999063845</v>
      </c>
      <c r="AK42" s="882">
        <v>47.516986189667101</v>
      </c>
      <c r="AL42" s="882">
        <v>50.180442380270364</v>
      </c>
      <c r="AM42" s="882">
        <v>52.843898570873627</v>
      </c>
      <c r="AN42" s="882">
        <v>55.50735476147689</v>
      </c>
      <c r="AO42" s="882">
        <v>58.170810952080153</v>
      </c>
      <c r="AP42" s="882">
        <v>60.834267142683416</v>
      </c>
      <c r="AQ42" s="882">
        <v>63.497723333286672</v>
      </c>
      <c r="AR42" s="882">
        <v>66.161179523889942</v>
      </c>
      <c r="AS42" s="882">
        <v>68.824635714493212</v>
      </c>
      <c r="AT42" s="882">
        <v>71.488091905096496</v>
      </c>
    </row>
    <row r="43" spans="1:46">
      <c r="A43" s="1426"/>
      <c r="B43" s="1427"/>
      <c r="C43" s="887">
        <v>1.2</v>
      </c>
      <c r="D43" s="915">
        <f>(AA43*KFC!$B$17+KFC!$C$17)*KFC!$C$5</f>
        <v>21.464045992532245</v>
      </c>
      <c r="E43" s="912">
        <f>(AB43*KFC!$B$17+KFC!$C$17)*KFC!$C$5</f>
        <v>24.268500624568969</v>
      </c>
      <c r="F43" s="912">
        <f>(AC43*KFC!$B$17+KFC!$C$17)*KFC!$C$5</f>
        <v>27.072955256605692</v>
      </c>
      <c r="G43" s="912">
        <f>(AD43*KFC!$B$17+KFC!$C$17)*KFC!$C$5</f>
        <v>29.877409888642415</v>
      </c>
      <c r="H43" s="912">
        <f>(AE43*KFC!$B$17+KFC!$C$17)*KFC!$C$5</f>
        <v>32.681864520679142</v>
      </c>
      <c r="I43" s="912">
        <f>(AF43*KFC!$B$17+KFC!$C$17)*KFC!$C$5</f>
        <v>35.486319152715865</v>
      </c>
      <c r="J43" s="912">
        <f>(AG43*KFC!$B$17+KFC!$C$17)*KFC!$C$5</f>
        <v>38.290773784752588</v>
      </c>
      <c r="K43" s="912">
        <f>(AH43*KFC!$B$17+KFC!$C$17)*KFC!$C$5</f>
        <v>41.095228416789318</v>
      </c>
      <c r="L43" s="912">
        <f>(AI43*KFC!$B$17+KFC!$C$17)*KFC!$C$5</f>
        <v>43.899683048826041</v>
      </c>
      <c r="M43" s="912">
        <f>(AJ43*KFC!$B$17+KFC!$C$17)*KFC!$C$5</f>
        <v>46.704137680862765</v>
      </c>
      <c r="N43" s="912">
        <f>(AK43*KFC!$B$17+KFC!$C$17)*KFC!$C$5</f>
        <v>49.508592312899495</v>
      </c>
      <c r="O43" s="912">
        <f>(AL43*KFC!$B$17+KFC!$C$17)*KFC!$C$5</f>
        <v>52.313046944936218</v>
      </c>
      <c r="P43" s="912">
        <f>(AM43*KFC!$B$17+KFC!$C$17)*KFC!$C$5</f>
        <v>55.117501576972941</v>
      </c>
      <c r="Q43" s="912">
        <f>(AN43*KFC!$B$17+KFC!$C$17)*KFC!$C$5</f>
        <v>57.921956209009672</v>
      </c>
      <c r="R43" s="912">
        <f>(AO43*KFC!$B$17+KFC!$C$17)*KFC!$C$5</f>
        <v>60.726410841046395</v>
      </c>
      <c r="S43" s="912">
        <f>(AP43*KFC!$B$17+KFC!$C$17)*KFC!$C$5</f>
        <v>63.530865473083118</v>
      </c>
      <c r="T43" s="912">
        <f>(AQ43*KFC!$B$17+KFC!$C$17)*KFC!$C$5</f>
        <v>66.335320105119848</v>
      </c>
      <c r="U43" s="912">
        <f>(AR43*KFC!$B$17+KFC!$C$17)*KFC!$C$5</f>
        <v>69.139774737156557</v>
      </c>
      <c r="V43" s="912">
        <f>(AS43*KFC!$B$17+KFC!$C$17)*KFC!$C$5</f>
        <v>71.94422936919328</v>
      </c>
      <c r="W43" s="916">
        <f>(AT43*KFC!$B$17+KFC!$C$17)*KFC!$C$5</f>
        <v>74.748684001229989</v>
      </c>
      <c r="Y43" s="1277"/>
      <c r="Z43" s="649">
        <v>1.2</v>
      </c>
      <c r="AA43" s="882">
        <v>21.464045992532245</v>
      </c>
      <c r="AB43" s="882">
        <v>24.268500624568969</v>
      </c>
      <c r="AC43" s="882">
        <v>27.072955256605692</v>
      </c>
      <c r="AD43" s="882">
        <v>29.877409888642415</v>
      </c>
      <c r="AE43" s="882">
        <v>32.681864520679142</v>
      </c>
      <c r="AF43" s="882">
        <v>35.486319152715865</v>
      </c>
      <c r="AG43" s="882">
        <v>38.290773784752588</v>
      </c>
      <c r="AH43" s="882">
        <v>41.095228416789318</v>
      </c>
      <c r="AI43" s="882">
        <v>43.899683048826041</v>
      </c>
      <c r="AJ43" s="882">
        <v>46.704137680862765</v>
      </c>
      <c r="AK43" s="882">
        <v>49.508592312899495</v>
      </c>
      <c r="AL43" s="882">
        <v>52.313046944936218</v>
      </c>
      <c r="AM43" s="882">
        <v>55.117501576972941</v>
      </c>
      <c r="AN43" s="882">
        <v>57.921956209009672</v>
      </c>
      <c r="AO43" s="882">
        <v>60.726410841046395</v>
      </c>
      <c r="AP43" s="882">
        <v>63.530865473083118</v>
      </c>
      <c r="AQ43" s="882">
        <v>66.335320105119848</v>
      </c>
      <c r="AR43" s="882">
        <v>69.139774737156557</v>
      </c>
      <c r="AS43" s="882">
        <v>71.94422936919328</v>
      </c>
      <c r="AT43" s="882">
        <v>74.748684001229989</v>
      </c>
    </row>
    <row r="44" spans="1:46">
      <c r="A44" s="1426"/>
      <c r="B44" s="1427"/>
      <c r="C44" s="887">
        <v>1.3</v>
      </c>
      <c r="D44" s="915">
        <f>(AA44*KFC!$B$17+KFC!$C$17)*KFC!$C$5</f>
        <v>22.045667701430027</v>
      </c>
      <c r="E44" s="912">
        <f>(AB44*KFC!$B$17+KFC!$C$17)*KFC!$C$5</f>
        <v>24.991120774900207</v>
      </c>
      <c r="F44" s="912">
        <f>(AC44*KFC!$B$17+KFC!$C$17)*KFC!$C$5</f>
        <v>27.93657384837039</v>
      </c>
      <c r="G44" s="912">
        <f>(AD44*KFC!$B$17+KFC!$C$17)*KFC!$C$5</f>
        <v>30.88202692184057</v>
      </c>
      <c r="H44" s="912">
        <f>(AE44*KFC!$B$17+KFC!$C$17)*KFC!$C$5</f>
        <v>33.827479995310753</v>
      </c>
      <c r="I44" s="912">
        <f>(AF44*KFC!$B$17+KFC!$C$17)*KFC!$C$5</f>
        <v>36.772933068780937</v>
      </c>
      <c r="J44" s="912">
        <f>(AG44*KFC!$B$17+KFC!$C$17)*KFC!$C$5</f>
        <v>39.71838614225112</v>
      </c>
      <c r="K44" s="912">
        <f>(AH44*KFC!$B$17+KFC!$C$17)*KFC!$C$5</f>
        <v>42.663839215721296</v>
      </c>
      <c r="L44" s="912">
        <f>(AI44*KFC!$B$17+KFC!$C$17)*KFC!$C$5</f>
        <v>45.609292289191487</v>
      </c>
      <c r="M44" s="912">
        <f>(AJ44*KFC!$B$17+KFC!$C$17)*KFC!$C$5</f>
        <v>48.554745362661663</v>
      </c>
      <c r="N44" s="912">
        <f>(AK44*KFC!$B$17+KFC!$C$17)*KFC!$C$5</f>
        <v>51.500198436131846</v>
      </c>
      <c r="O44" s="912">
        <f>(AL44*KFC!$B$17+KFC!$C$17)*KFC!$C$5</f>
        <v>54.44565150960203</v>
      </c>
      <c r="P44" s="912">
        <f>(AM44*KFC!$B$17+KFC!$C$17)*KFC!$C$5</f>
        <v>57.391104583072206</v>
      </c>
      <c r="Q44" s="912">
        <f>(AN44*KFC!$B$17+KFC!$C$17)*KFC!$C$5</f>
        <v>60.336557656542404</v>
      </c>
      <c r="R44" s="912">
        <f>(AO44*KFC!$B$17+KFC!$C$17)*KFC!$C$5</f>
        <v>63.282010730012573</v>
      </c>
      <c r="S44" s="912">
        <f>(AP44*KFC!$B$17+KFC!$C$17)*KFC!$C$5</f>
        <v>66.227463803482763</v>
      </c>
      <c r="T44" s="912">
        <f>(AQ44*KFC!$B$17+KFC!$C$17)*KFC!$C$5</f>
        <v>69.172916876952954</v>
      </c>
      <c r="U44" s="912">
        <f>(AR44*KFC!$B$17+KFC!$C$17)*KFC!$C$5</f>
        <v>72.11836995042313</v>
      </c>
      <c r="V44" s="912">
        <f>(AS44*KFC!$B$17+KFC!$C$17)*KFC!$C$5</f>
        <v>75.063823023893335</v>
      </c>
      <c r="W44" s="916">
        <f>(AT44*KFC!$B$17+KFC!$C$17)*KFC!$C$5</f>
        <v>78.009276097363511</v>
      </c>
      <c r="Y44" s="1277"/>
      <c r="Z44" s="649">
        <v>1.3</v>
      </c>
      <c r="AA44" s="882">
        <v>22.045667701430027</v>
      </c>
      <c r="AB44" s="882">
        <v>24.991120774900207</v>
      </c>
      <c r="AC44" s="882">
        <v>27.93657384837039</v>
      </c>
      <c r="AD44" s="882">
        <v>30.88202692184057</v>
      </c>
      <c r="AE44" s="882">
        <v>33.827479995310753</v>
      </c>
      <c r="AF44" s="882">
        <v>36.772933068780937</v>
      </c>
      <c r="AG44" s="882">
        <v>39.71838614225112</v>
      </c>
      <c r="AH44" s="882">
        <v>42.663839215721296</v>
      </c>
      <c r="AI44" s="882">
        <v>45.609292289191487</v>
      </c>
      <c r="AJ44" s="882">
        <v>48.554745362661663</v>
      </c>
      <c r="AK44" s="882">
        <v>51.500198436131846</v>
      </c>
      <c r="AL44" s="882">
        <v>54.44565150960203</v>
      </c>
      <c r="AM44" s="882">
        <v>57.391104583072206</v>
      </c>
      <c r="AN44" s="882">
        <v>60.336557656542404</v>
      </c>
      <c r="AO44" s="882">
        <v>63.282010730012573</v>
      </c>
      <c r="AP44" s="882">
        <v>66.227463803482763</v>
      </c>
      <c r="AQ44" s="882">
        <v>69.172916876952954</v>
      </c>
      <c r="AR44" s="882">
        <v>72.11836995042313</v>
      </c>
      <c r="AS44" s="882">
        <v>75.063823023893335</v>
      </c>
      <c r="AT44" s="882">
        <v>78.009276097363511</v>
      </c>
    </row>
    <row r="45" spans="1:46">
      <c r="A45" s="1426"/>
      <c r="B45" s="1427"/>
      <c r="C45" s="887">
        <v>1.4</v>
      </c>
      <c r="D45" s="915">
        <f>(AA45*KFC!$B$17+KFC!$C$17)*KFC!$C$5</f>
        <v>22.627289410327801</v>
      </c>
      <c r="E45" s="912">
        <f>(AB45*KFC!$B$17+KFC!$C$17)*KFC!$C$5</f>
        <v>25.713740925231441</v>
      </c>
      <c r="F45" s="912">
        <f>(AC45*KFC!$B$17+KFC!$C$17)*KFC!$C$5</f>
        <v>28.800192440135088</v>
      </c>
      <c r="G45" s="912">
        <f>(AD45*KFC!$B$17+KFC!$C$17)*KFC!$C$5</f>
        <v>31.886643955038728</v>
      </c>
      <c r="H45" s="912">
        <f>(AE45*KFC!$B$17+KFC!$C$17)*KFC!$C$5</f>
        <v>34.973095469942365</v>
      </c>
      <c r="I45" s="912">
        <f>(AF45*KFC!$B$17+KFC!$C$17)*KFC!$C$5</f>
        <v>38.059546984846016</v>
      </c>
      <c r="J45" s="912">
        <f>(AG45*KFC!$B$17+KFC!$C$17)*KFC!$C$5</f>
        <v>41.145998499749659</v>
      </c>
      <c r="K45" s="912">
        <f>(AH45*KFC!$B$17+KFC!$C$17)*KFC!$C$5</f>
        <v>44.232450014653303</v>
      </c>
      <c r="L45" s="912">
        <f>(AI45*KFC!$B$17+KFC!$C$17)*KFC!$C$5</f>
        <v>47.318901529556946</v>
      </c>
      <c r="M45" s="912">
        <f>(AJ45*KFC!$B$17+KFC!$C$17)*KFC!$C$5</f>
        <v>50.405353044460597</v>
      </c>
      <c r="N45" s="912">
        <f>(AK45*KFC!$B$17+KFC!$C$17)*KFC!$C$5</f>
        <v>53.49180455936424</v>
      </c>
      <c r="O45" s="912">
        <f>(AL45*KFC!$B$17+KFC!$C$17)*KFC!$C$5</f>
        <v>56.578256074267884</v>
      </c>
      <c r="P45" s="912">
        <f>(AM45*KFC!$B$17+KFC!$C$17)*KFC!$C$5</f>
        <v>59.664707589171528</v>
      </c>
      <c r="Q45" s="912">
        <f>(AN45*KFC!$B$17+KFC!$C$17)*KFC!$C$5</f>
        <v>62.751159104075178</v>
      </c>
      <c r="R45" s="912">
        <f>(AO45*KFC!$B$17+KFC!$C$17)*KFC!$C$5</f>
        <v>65.837610618978815</v>
      </c>
      <c r="S45" s="912">
        <f>(AP45*KFC!$B$17+KFC!$C$17)*KFC!$C$5</f>
        <v>68.924062133882458</v>
      </c>
      <c r="T45" s="912">
        <f>(AQ45*KFC!$B$17+KFC!$C$17)*KFC!$C$5</f>
        <v>72.010513648786116</v>
      </c>
      <c r="U45" s="912">
        <f>(AR45*KFC!$B$17+KFC!$C$17)*KFC!$C$5</f>
        <v>75.096965163689759</v>
      </c>
      <c r="V45" s="912">
        <f>(AS45*KFC!$B$17+KFC!$C$17)*KFC!$C$5</f>
        <v>78.183416678593403</v>
      </c>
      <c r="W45" s="916">
        <f>(AT45*KFC!$B$17+KFC!$C$17)*KFC!$C$5</f>
        <v>81.269868193497004</v>
      </c>
      <c r="Y45" s="1277"/>
      <c r="Z45" s="649">
        <v>1.4</v>
      </c>
      <c r="AA45" s="882">
        <v>22.627289410327801</v>
      </c>
      <c r="AB45" s="882">
        <v>25.713740925231441</v>
      </c>
      <c r="AC45" s="882">
        <v>28.800192440135088</v>
      </c>
      <c r="AD45" s="882">
        <v>31.886643955038728</v>
      </c>
      <c r="AE45" s="882">
        <v>34.973095469942365</v>
      </c>
      <c r="AF45" s="882">
        <v>38.059546984846016</v>
      </c>
      <c r="AG45" s="882">
        <v>41.145998499749659</v>
      </c>
      <c r="AH45" s="882">
        <v>44.232450014653303</v>
      </c>
      <c r="AI45" s="882">
        <v>47.318901529556946</v>
      </c>
      <c r="AJ45" s="882">
        <v>50.405353044460597</v>
      </c>
      <c r="AK45" s="882">
        <v>53.49180455936424</v>
      </c>
      <c r="AL45" s="882">
        <v>56.578256074267884</v>
      </c>
      <c r="AM45" s="882">
        <v>59.664707589171528</v>
      </c>
      <c r="AN45" s="882">
        <v>62.751159104075178</v>
      </c>
      <c r="AO45" s="882">
        <v>65.837610618978815</v>
      </c>
      <c r="AP45" s="882">
        <v>68.924062133882458</v>
      </c>
      <c r="AQ45" s="882">
        <v>72.010513648786116</v>
      </c>
      <c r="AR45" s="882">
        <v>75.096965163689759</v>
      </c>
      <c r="AS45" s="882">
        <v>78.183416678593403</v>
      </c>
      <c r="AT45" s="882">
        <v>81.269868193497004</v>
      </c>
    </row>
    <row r="46" spans="1:46">
      <c r="A46" s="1426"/>
      <c r="B46" s="1427"/>
      <c r="C46" s="887">
        <v>1.5</v>
      </c>
      <c r="D46" s="915">
        <f>(AA46*KFC!$B$17+KFC!$C$17)*KFC!$C$5</f>
        <v>23.208911119225576</v>
      </c>
      <c r="E46" s="912">
        <f>(AB46*KFC!$B$17+KFC!$C$17)*KFC!$C$5</f>
        <v>26.436361075562676</v>
      </c>
      <c r="F46" s="912">
        <f>(AC46*KFC!$B$17+KFC!$C$17)*KFC!$C$5</f>
        <v>29.66381103189978</v>
      </c>
      <c r="G46" s="912">
        <f>(AD46*KFC!$B$17+KFC!$C$17)*KFC!$C$5</f>
        <v>32.89126098823688</v>
      </c>
      <c r="H46" s="912">
        <f>(AE46*KFC!$B$17+KFC!$C$17)*KFC!$C$5</f>
        <v>36.118710944573984</v>
      </c>
      <c r="I46" s="912">
        <f>(AF46*KFC!$B$17+KFC!$C$17)*KFC!$C$5</f>
        <v>39.346160900911087</v>
      </c>
      <c r="J46" s="912">
        <f>(AG46*KFC!$B$17+KFC!$C$17)*KFC!$C$5</f>
        <v>42.573610857248184</v>
      </c>
      <c r="K46" s="912">
        <f>(AH46*KFC!$B$17+KFC!$C$17)*KFC!$C$5</f>
        <v>45.801060813585295</v>
      </c>
      <c r="L46" s="912">
        <f>(AI46*KFC!$B$17+KFC!$C$17)*KFC!$C$5</f>
        <v>49.028510769922391</v>
      </c>
      <c r="M46" s="912">
        <f>(AJ46*KFC!$B$17+KFC!$C$17)*KFC!$C$5</f>
        <v>52.255960726259495</v>
      </c>
      <c r="N46" s="912">
        <f>(AK46*KFC!$B$17+KFC!$C$17)*KFC!$C$5</f>
        <v>55.483410682596599</v>
      </c>
      <c r="O46" s="912">
        <f>(AL46*KFC!$B$17+KFC!$C$17)*KFC!$C$5</f>
        <v>58.710860638933696</v>
      </c>
      <c r="P46" s="912">
        <f>(AM46*KFC!$B$17+KFC!$C$17)*KFC!$C$5</f>
        <v>61.938310595270799</v>
      </c>
      <c r="Q46" s="912">
        <f>(AN46*KFC!$B$17+KFC!$C$17)*KFC!$C$5</f>
        <v>65.165760551607903</v>
      </c>
      <c r="R46" s="912">
        <f>(AO46*KFC!$B$17+KFC!$C$17)*KFC!$C$5</f>
        <v>68.393210507945014</v>
      </c>
      <c r="S46" s="912">
        <f>(AP46*KFC!$B$17+KFC!$C$17)*KFC!$C$5</f>
        <v>71.620660464282111</v>
      </c>
      <c r="T46" s="912">
        <f>(AQ46*KFC!$B$17+KFC!$C$17)*KFC!$C$5</f>
        <v>74.848110420619207</v>
      </c>
      <c r="U46" s="912">
        <f>(AR46*KFC!$B$17+KFC!$C$17)*KFC!$C$5</f>
        <v>78.075560376956318</v>
      </c>
      <c r="V46" s="912">
        <f>(AS46*KFC!$B$17+KFC!$C$17)*KFC!$C$5</f>
        <v>81.303010333293415</v>
      </c>
      <c r="W46" s="916">
        <f>(AT46*KFC!$B$17+KFC!$C$17)*KFC!$C$5</f>
        <v>84.530460289630511</v>
      </c>
      <c r="Y46" s="1277"/>
      <c r="Z46" s="649">
        <v>1.5</v>
      </c>
      <c r="AA46" s="882">
        <v>23.208911119225576</v>
      </c>
      <c r="AB46" s="882">
        <v>26.436361075562676</v>
      </c>
      <c r="AC46" s="882">
        <v>29.66381103189978</v>
      </c>
      <c r="AD46" s="882">
        <v>32.89126098823688</v>
      </c>
      <c r="AE46" s="882">
        <v>36.118710944573984</v>
      </c>
      <c r="AF46" s="882">
        <v>39.346160900911087</v>
      </c>
      <c r="AG46" s="882">
        <v>42.573610857248184</v>
      </c>
      <c r="AH46" s="882">
        <v>45.801060813585295</v>
      </c>
      <c r="AI46" s="882">
        <v>49.028510769922391</v>
      </c>
      <c r="AJ46" s="882">
        <v>52.255960726259495</v>
      </c>
      <c r="AK46" s="882">
        <v>55.483410682596599</v>
      </c>
      <c r="AL46" s="882">
        <v>58.710860638933696</v>
      </c>
      <c r="AM46" s="882">
        <v>61.938310595270799</v>
      </c>
      <c r="AN46" s="882">
        <v>65.165760551607903</v>
      </c>
      <c r="AO46" s="882">
        <v>68.393210507945014</v>
      </c>
      <c r="AP46" s="882">
        <v>71.620660464282111</v>
      </c>
      <c r="AQ46" s="882">
        <v>74.848110420619207</v>
      </c>
      <c r="AR46" s="882">
        <v>78.075560376956318</v>
      </c>
      <c r="AS46" s="882">
        <v>81.303010333293415</v>
      </c>
      <c r="AT46" s="882">
        <v>84.530460289630511</v>
      </c>
    </row>
    <row r="47" spans="1:46">
      <c r="A47" s="1426"/>
      <c r="B47" s="1427"/>
      <c r="C47" s="887">
        <v>1.6</v>
      </c>
      <c r="D47" s="915">
        <f>(AA47*KFC!$B$17+KFC!$C$17)*KFC!$C$5</f>
        <v>23.79053282812335</v>
      </c>
      <c r="E47" s="912">
        <f>(AB47*KFC!$B$17+KFC!$C$17)*KFC!$C$5</f>
        <v>27.158981225893914</v>
      </c>
      <c r="F47" s="912">
        <f>(AC47*KFC!$B$17+KFC!$C$17)*KFC!$C$5</f>
        <v>30.527429623664471</v>
      </c>
      <c r="G47" s="912">
        <f>(AD47*KFC!$B$17+KFC!$C$17)*KFC!$C$5</f>
        <v>33.895878021435031</v>
      </c>
      <c r="H47" s="912">
        <f>(AE47*KFC!$B$17+KFC!$C$17)*KFC!$C$5</f>
        <v>37.264326419205595</v>
      </c>
      <c r="I47" s="912">
        <f>(AF47*KFC!$B$17+KFC!$C$17)*KFC!$C$5</f>
        <v>40.632774816976152</v>
      </c>
      <c r="J47" s="912">
        <f>(AG47*KFC!$B$17+KFC!$C$17)*KFC!$C$5</f>
        <v>44.001223214746716</v>
      </c>
      <c r="K47" s="912">
        <f>(AH47*KFC!$B$17+KFC!$C$17)*KFC!$C$5</f>
        <v>47.369671612517273</v>
      </c>
      <c r="L47" s="912">
        <f>(AI47*KFC!$B$17+KFC!$C$17)*KFC!$C$5</f>
        <v>50.73812001028783</v>
      </c>
      <c r="M47" s="912">
        <f>(AJ47*KFC!$B$17+KFC!$C$17)*KFC!$C$5</f>
        <v>54.106568408058386</v>
      </c>
      <c r="N47" s="912">
        <f>(AK47*KFC!$B$17+KFC!$C$17)*KFC!$C$5</f>
        <v>57.475016805828943</v>
      </c>
      <c r="O47" s="912">
        <f>(AL47*KFC!$B$17+KFC!$C$17)*KFC!$C$5</f>
        <v>60.843465203599507</v>
      </c>
      <c r="P47" s="912">
        <f>(AM47*KFC!$B$17+KFC!$C$17)*KFC!$C$5</f>
        <v>64.211913601370057</v>
      </c>
      <c r="Q47" s="912">
        <f>(AN47*KFC!$B$17+KFC!$C$17)*KFC!$C$5</f>
        <v>67.580361999140635</v>
      </c>
      <c r="R47" s="912">
        <f>(AO47*KFC!$B$17+KFC!$C$17)*KFC!$C$5</f>
        <v>70.948810396911185</v>
      </c>
      <c r="S47" s="912">
        <f>(AP47*KFC!$B$17+KFC!$C$17)*KFC!$C$5</f>
        <v>74.317258794681749</v>
      </c>
      <c r="T47" s="912">
        <f>(AQ47*KFC!$B$17+KFC!$C$17)*KFC!$C$5</f>
        <v>77.685707192452298</v>
      </c>
      <c r="U47" s="912">
        <f>(AR47*KFC!$B$17+KFC!$C$17)*KFC!$C$5</f>
        <v>81.054155590222862</v>
      </c>
      <c r="V47" s="912">
        <f>(AS47*KFC!$B$17+KFC!$C$17)*KFC!$C$5</f>
        <v>84.422603987993426</v>
      </c>
      <c r="W47" s="916">
        <f>(AT47*KFC!$B$17+KFC!$C$17)*KFC!$C$5</f>
        <v>87.791052385764033</v>
      </c>
      <c r="Y47" s="1277"/>
      <c r="Z47" s="649">
        <v>1.6</v>
      </c>
      <c r="AA47" s="882">
        <v>23.79053282812335</v>
      </c>
      <c r="AB47" s="882">
        <v>27.158981225893914</v>
      </c>
      <c r="AC47" s="882">
        <v>30.527429623664471</v>
      </c>
      <c r="AD47" s="882">
        <v>33.895878021435031</v>
      </c>
      <c r="AE47" s="882">
        <v>37.264326419205595</v>
      </c>
      <c r="AF47" s="882">
        <v>40.632774816976152</v>
      </c>
      <c r="AG47" s="882">
        <v>44.001223214746716</v>
      </c>
      <c r="AH47" s="882">
        <v>47.369671612517273</v>
      </c>
      <c r="AI47" s="882">
        <v>50.73812001028783</v>
      </c>
      <c r="AJ47" s="882">
        <v>54.106568408058386</v>
      </c>
      <c r="AK47" s="882">
        <v>57.475016805828943</v>
      </c>
      <c r="AL47" s="882">
        <v>60.843465203599507</v>
      </c>
      <c r="AM47" s="882">
        <v>64.211913601370057</v>
      </c>
      <c r="AN47" s="882">
        <v>67.580361999140635</v>
      </c>
      <c r="AO47" s="882">
        <v>70.948810396911185</v>
      </c>
      <c r="AP47" s="882">
        <v>74.317258794681749</v>
      </c>
      <c r="AQ47" s="882">
        <v>77.685707192452298</v>
      </c>
      <c r="AR47" s="882">
        <v>81.054155590222862</v>
      </c>
      <c r="AS47" s="882">
        <v>84.422603987993426</v>
      </c>
      <c r="AT47" s="882">
        <v>87.791052385764033</v>
      </c>
    </row>
    <row r="48" spans="1:46">
      <c r="A48" s="1426"/>
      <c r="B48" s="1427"/>
      <c r="C48" s="887">
        <v>1.7</v>
      </c>
      <c r="D48" s="915">
        <f>(AA48*KFC!$B$17+KFC!$C$17)*KFC!$C$5</f>
        <v>24.372154537021125</v>
      </c>
      <c r="E48" s="912">
        <f>(AB48*KFC!$B$17+KFC!$C$17)*KFC!$C$5</f>
        <v>27.881601376225145</v>
      </c>
      <c r="F48" s="912">
        <f>(AC48*KFC!$B$17+KFC!$C$17)*KFC!$C$5</f>
        <v>31.391048215429169</v>
      </c>
      <c r="G48" s="912">
        <f>(AD48*KFC!$B$17+KFC!$C$17)*KFC!$C$5</f>
        <v>34.90049505463319</v>
      </c>
      <c r="H48" s="912">
        <f>(AE48*KFC!$B$17+KFC!$C$17)*KFC!$C$5</f>
        <v>38.409941893837214</v>
      </c>
      <c r="I48" s="912">
        <f>(AF48*KFC!$B$17+KFC!$C$17)*KFC!$C$5</f>
        <v>41.919388733041231</v>
      </c>
      <c r="J48" s="912">
        <f>(AG48*KFC!$B$17+KFC!$C$17)*KFC!$C$5</f>
        <v>45.428835572245248</v>
      </c>
      <c r="K48" s="912">
        <f>(AH48*KFC!$B$17+KFC!$C$17)*KFC!$C$5</f>
        <v>48.938282411449279</v>
      </c>
      <c r="L48" s="912">
        <f>(AI48*KFC!$B$17+KFC!$C$17)*KFC!$C$5</f>
        <v>52.447729250653296</v>
      </c>
      <c r="M48" s="912">
        <f>(AJ48*KFC!$B$17+KFC!$C$17)*KFC!$C$5</f>
        <v>55.957176089857327</v>
      </c>
      <c r="N48" s="912">
        <f>(AK48*KFC!$B$17+KFC!$C$17)*KFC!$C$5</f>
        <v>59.466622929061344</v>
      </c>
      <c r="O48" s="912">
        <f>(AL48*KFC!$B$17+KFC!$C$17)*KFC!$C$5</f>
        <v>62.976069768265369</v>
      </c>
      <c r="P48" s="912">
        <f>(AM48*KFC!$B$17+KFC!$C$17)*KFC!$C$5</f>
        <v>66.485516607469378</v>
      </c>
      <c r="Q48" s="912">
        <f>(AN48*KFC!$B$17+KFC!$C$17)*KFC!$C$5</f>
        <v>69.994963446673395</v>
      </c>
      <c r="R48" s="912">
        <f>(AO48*KFC!$B$17+KFC!$C$17)*KFC!$C$5</f>
        <v>73.504410285877398</v>
      </c>
      <c r="S48" s="912">
        <f>(AP48*KFC!$B$17+KFC!$C$17)*KFC!$C$5</f>
        <v>77.013857125081429</v>
      </c>
      <c r="T48" s="912">
        <f>(AQ48*KFC!$B$17+KFC!$C$17)*KFC!$C$5</f>
        <v>80.523303964285446</v>
      </c>
      <c r="U48" s="912">
        <f>(AR48*KFC!$B$17+KFC!$C$17)*KFC!$C$5</f>
        <v>84.032750803489449</v>
      </c>
      <c r="V48" s="912">
        <f>(AS48*KFC!$B$17+KFC!$C$17)*KFC!$C$5</f>
        <v>87.54219764269348</v>
      </c>
      <c r="W48" s="916">
        <f>(AT48*KFC!$B$17+KFC!$C$17)*KFC!$C$5</f>
        <v>91.05164448189754</v>
      </c>
      <c r="Y48" s="1277"/>
      <c r="Z48" s="649">
        <v>1.7</v>
      </c>
      <c r="AA48" s="882">
        <v>24.372154537021125</v>
      </c>
      <c r="AB48" s="882">
        <v>27.881601376225145</v>
      </c>
      <c r="AC48" s="882">
        <v>31.391048215429169</v>
      </c>
      <c r="AD48" s="882">
        <v>34.90049505463319</v>
      </c>
      <c r="AE48" s="882">
        <v>38.409941893837214</v>
      </c>
      <c r="AF48" s="882">
        <v>41.919388733041231</v>
      </c>
      <c r="AG48" s="882">
        <v>45.428835572245248</v>
      </c>
      <c r="AH48" s="882">
        <v>48.938282411449279</v>
      </c>
      <c r="AI48" s="882">
        <v>52.447729250653296</v>
      </c>
      <c r="AJ48" s="882">
        <v>55.957176089857327</v>
      </c>
      <c r="AK48" s="882">
        <v>59.466622929061344</v>
      </c>
      <c r="AL48" s="882">
        <v>62.976069768265369</v>
      </c>
      <c r="AM48" s="882">
        <v>66.485516607469378</v>
      </c>
      <c r="AN48" s="882">
        <v>69.994963446673395</v>
      </c>
      <c r="AO48" s="882">
        <v>73.504410285877398</v>
      </c>
      <c r="AP48" s="882">
        <v>77.013857125081429</v>
      </c>
      <c r="AQ48" s="882">
        <v>80.523303964285446</v>
      </c>
      <c r="AR48" s="882">
        <v>84.032750803489449</v>
      </c>
      <c r="AS48" s="882">
        <v>87.54219764269348</v>
      </c>
      <c r="AT48" s="882">
        <v>91.05164448189754</v>
      </c>
    </row>
    <row r="49" spans="1:46">
      <c r="A49" s="1426"/>
      <c r="B49" s="1427"/>
      <c r="C49" s="887">
        <v>1.8</v>
      </c>
      <c r="D49" s="915">
        <f>(AA49*KFC!$B$17+KFC!$C$17)*KFC!$C$5</f>
        <v>24.953776245918899</v>
      </c>
      <c r="E49" s="912">
        <f>(AB49*KFC!$B$17+KFC!$C$17)*KFC!$C$5</f>
        <v>28.60422152655638</v>
      </c>
      <c r="F49" s="912">
        <f>(AC49*KFC!$B$17+KFC!$C$17)*KFC!$C$5</f>
        <v>32.254666807193864</v>
      </c>
      <c r="G49" s="912">
        <f>(AD49*KFC!$B$17+KFC!$C$17)*KFC!$C$5</f>
        <v>35.905112087831348</v>
      </c>
      <c r="H49" s="912">
        <f>(AE49*KFC!$B$17+KFC!$C$17)*KFC!$C$5</f>
        <v>39.555557368468826</v>
      </c>
      <c r="I49" s="912">
        <f>(AF49*KFC!$B$17+KFC!$C$17)*KFC!$C$5</f>
        <v>43.20600264910631</v>
      </c>
      <c r="J49" s="912">
        <f>(AG49*KFC!$B$17+KFC!$C$17)*KFC!$C$5</f>
        <v>46.85644792974378</v>
      </c>
      <c r="K49" s="912">
        <f>(AH49*KFC!$B$17+KFC!$C$17)*KFC!$C$5</f>
        <v>50.506893210381257</v>
      </c>
      <c r="L49" s="912">
        <f>(AI49*KFC!$B$17+KFC!$C$17)*KFC!$C$5</f>
        <v>54.157338491018727</v>
      </c>
      <c r="M49" s="912">
        <f>(AJ49*KFC!$B$17+KFC!$C$17)*KFC!$C$5</f>
        <v>57.807783771656212</v>
      </c>
      <c r="N49" s="912">
        <f>(AK49*KFC!$B$17+KFC!$C$17)*KFC!$C$5</f>
        <v>61.458229052293689</v>
      </c>
      <c r="O49" s="912">
        <f>(AL49*KFC!$B$17+KFC!$C$17)*KFC!$C$5</f>
        <v>65.108674332931173</v>
      </c>
      <c r="P49" s="912">
        <f>(AM49*KFC!$B$17+KFC!$C$17)*KFC!$C$5</f>
        <v>68.759119613568657</v>
      </c>
      <c r="Q49" s="912">
        <f>(AN49*KFC!$B$17+KFC!$C$17)*KFC!$C$5</f>
        <v>72.409564894206127</v>
      </c>
      <c r="R49" s="912">
        <f>(AO49*KFC!$B$17+KFC!$C$17)*KFC!$C$5</f>
        <v>76.060010174843626</v>
      </c>
      <c r="S49" s="912">
        <f>(AP49*KFC!$B$17+KFC!$C$17)*KFC!$C$5</f>
        <v>79.71045545548111</v>
      </c>
      <c r="T49" s="912">
        <f>(AQ49*KFC!$B$17+KFC!$C$17)*KFC!$C$5</f>
        <v>83.360900736118595</v>
      </c>
      <c r="U49" s="912">
        <f>(AR49*KFC!$B$17+KFC!$C$17)*KFC!$C$5</f>
        <v>87.011346016756079</v>
      </c>
      <c r="V49" s="912">
        <f>(AS49*KFC!$B$17+KFC!$C$17)*KFC!$C$5</f>
        <v>90.661791297393577</v>
      </c>
      <c r="W49" s="916">
        <f>(AT49*KFC!$B$17+KFC!$C$17)*KFC!$C$5</f>
        <v>94.312236578031033</v>
      </c>
      <c r="Y49" s="1277"/>
      <c r="Z49" s="649">
        <v>1.8</v>
      </c>
      <c r="AA49" s="882">
        <v>24.953776245918899</v>
      </c>
      <c r="AB49" s="882">
        <v>28.60422152655638</v>
      </c>
      <c r="AC49" s="882">
        <v>32.254666807193864</v>
      </c>
      <c r="AD49" s="882">
        <v>35.905112087831348</v>
      </c>
      <c r="AE49" s="882">
        <v>39.555557368468826</v>
      </c>
      <c r="AF49" s="882">
        <v>43.20600264910631</v>
      </c>
      <c r="AG49" s="882">
        <v>46.85644792974378</v>
      </c>
      <c r="AH49" s="882">
        <v>50.506893210381257</v>
      </c>
      <c r="AI49" s="882">
        <v>54.157338491018727</v>
      </c>
      <c r="AJ49" s="882">
        <v>57.807783771656212</v>
      </c>
      <c r="AK49" s="882">
        <v>61.458229052293689</v>
      </c>
      <c r="AL49" s="882">
        <v>65.108674332931173</v>
      </c>
      <c r="AM49" s="882">
        <v>68.759119613568657</v>
      </c>
      <c r="AN49" s="882">
        <v>72.409564894206127</v>
      </c>
      <c r="AO49" s="882">
        <v>76.060010174843626</v>
      </c>
      <c r="AP49" s="882">
        <v>79.71045545548111</v>
      </c>
      <c r="AQ49" s="882">
        <v>83.360900736118595</v>
      </c>
      <c r="AR49" s="882">
        <v>87.011346016756079</v>
      </c>
      <c r="AS49" s="882">
        <v>90.661791297393577</v>
      </c>
      <c r="AT49" s="882">
        <v>94.312236578031033</v>
      </c>
    </row>
    <row r="50" spans="1:46">
      <c r="A50" s="1426"/>
      <c r="B50" s="1427"/>
      <c r="C50" s="887">
        <v>1.9</v>
      </c>
      <c r="D50" s="915">
        <f>(AA50*KFC!$B$17+KFC!$C$17)*KFC!$C$5</f>
        <v>25.535397954816673</v>
      </c>
      <c r="E50" s="912">
        <f>(AB50*KFC!$B$17+KFC!$C$17)*KFC!$C$5</f>
        <v>29.326841676887618</v>
      </c>
      <c r="F50" s="912">
        <f>(AC50*KFC!$B$17+KFC!$C$17)*KFC!$C$5</f>
        <v>33.118285398958555</v>
      </c>
      <c r="G50" s="912">
        <f>(AD50*KFC!$B$17+KFC!$C$17)*KFC!$C$5</f>
        <v>36.9097291210295</v>
      </c>
      <c r="H50" s="912">
        <f>(AE50*KFC!$B$17+KFC!$C$17)*KFC!$C$5</f>
        <v>40.701172843100444</v>
      </c>
      <c r="I50" s="912">
        <f>(AF50*KFC!$B$17+KFC!$C$17)*KFC!$C$5</f>
        <v>44.492616565171382</v>
      </c>
      <c r="J50" s="912">
        <f>(AG50*KFC!$B$17+KFC!$C$17)*KFC!$C$5</f>
        <v>48.284060287242326</v>
      </c>
      <c r="K50" s="912">
        <f>(AH50*KFC!$B$17+KFC!$C$17)*KFC!$C$5</f>
        <v>52.075504009313264</v>
      </c>
      <c r="L50" s="912">
        <f>(AI50*KFC!$B$17+KFC!$C$17)*KFC!$C$5</f>
        <v>55.866947731384208</v>
      </c>
      <c r="M50" s="912">
        <f>(AJ50*KFC!$B$17+KFC!$C$17)*KFC!$C$5</f>
        <v>59.658391453455152</v>
      </c>
      <c r="N50" s="912">
        <f>(AK50*KFC!$B$17+KFC!$C$17)*KFC!$C$5</f>
        <v>63.44983517552609</v>
      </c>
      <c r="O50" s="912">
        <f>(AL50*KFC!$B$17+KFC!$C$17)*KFC!$C$5</f>
        <v>67.241278897597027</v>
      </c>
      <c r="P50" s="912">
        <f>(AM50*KFC!$B$17+KFC!$C$17)*KFC!$C$5</f>
        <v>71.032722619667979</v>
      </c>
      <c r="Q50" s="912">
        <f>(AN50*KFC!$B$17+KFC!$C$17)*KFC!$C$5</f>
        <v>74.824166341738916</v>
      </c>
      <c r="R50" s="912">
        <f>(AO50*KFC!$B$17+KFC!$C$17)*KFC!$C$5</f>
        <v>78.615610063809854</v>
      </c>
      <c r="S50" s="912">
        <f>(AP50*KFC!$B$17+KFC!$C$17)*KFC!$C$5</f>
        <v>82.407053785880805</v>
      </c>
      <c r="T50" s="912">
        <f>(AQ50*KFC!$B$17+KFC!$C$17)*KFC!$C$5</f>
        <v>86.198497507951743</v>
      </c>
      <c r="U50" s="912">
        <f>(AR50*KFC!$B$17+KFC!$C$17)*KFC!$C$5</f>
        <v>89.98994123002268</v>
      </c>
      <c r="V50" s="912">
        <f>(AS50*KFC!$B$17+KFC!$C$17)*KFC!$C$5</f>
        <v>93.781384952093617</v>
      </c>
      <c r="W50" s="916">
        <f>(AT50*KFC!$B$17+KFC!$C$17)*KFC!$C$5</f>
        <v>97.572828674164526</v>
      </c>
      <c r="Y50" s="1277"/>
      <c r="Z50" s="649">
        <v>1.9</v>
      </c>
      <c r="AA50" s="882">
        <v>25.535397954816673</v>
      </c>
      <c r="AB50" s="882">
        <v>29.326841676887618</v>
      </c>
      <c r="AC50" s="882">
        <v>33.118285398958555</v>
      </c>
      <c r="AD50" s="882">
        <v>36.9097291210295</v>
      </c>
      <c r="AE50" s="882">
        <v>40.701172843100444</v>
      </c>
      <c r="AF50" s="882">
        <v>44.492616565171382</v>
      </c>
      <c r="AG50" s="882">
        <v>48.284060287242326</v>
      </c>
      <c r="AH50" s="882">
        <v>52.075504009313264</v>
      </c>
      <c r="AI50" s="882">
        <v>55.866947731384208</v>
      </c>
      <c r="AJ50" s="882">
        <v>59.658391453455152</v>
      </c>
      <c r="AK50" s="882">
        <v>63.44983517552609</v>
      </c>
      <c r="AL50" s="882">
        <v>67.241278897597027</v>
      </c>
      <c r="AM50" s="882">
        <v>71.032722619667979</v>
      </c>
      <c r="AN50" s="882">
        <v>74.824166341738916</v>
      </c>
      <c r="AO50" s="882">
        <v>78.615610063809854</v>
      </c>
      <c r="AP50" s="882">
        <v>82.407053785880805</v>
      </c>
      <c r="AQ50" s="882">
        <v>86.198497507951743</v>
      </c>
      <c r="AR50" s="882">
        <v>89.98994123002268</v>
      </c>
      <c r="AS50" s="882">
        <v>93.781384952093617</v>
      </c>
      <c r="AT50" s="882">
        <v>97.572828674164526</v>
      </c>
    </row>
    <row r="51" spans="1:46">
      <c r="A51" s="1426"/>
      <c r="B51" s="1427"/>
      <c r="C51" s="887">
        <v>2</v>
      </c>
      <c r="D51" s="915">
        <f>(AA51*KFC!$B$17+KFC!$C$17)*KFC!$C$5</f>
        <v>26.117019663714448</v>
      </c>
      <c r="E51" s="912">
        <f>(AB51*KFC!$B$17+KFC!$C$17)*KFC!$C$5</f>
        <v>30.049461827218853</v>
      </c>
      <c r="F51" s="912">
        <f>(AC51*KFC!$B$17+KFC!$C$17)*KFC!$C$5</f>
        <v>33.981903990723254</v>
      </c>
      <c r="G51" s="912">
        <f>(AD51*KFC!$B$17+KFC!$C$17)*KFC!$C$5</f>
        <v>37.914346154227651</v>
      </c>
      <c r="H51" s="912">
        <f>(AE51*KFC!$B$17+KFC!$C$17)*KFC!$C$5</f>
        <v>41.846788317732049</v>
      </c>
      <c r="I51" s="912">
        <f>(AF51*KFC!$B$17+KFC!$C$17)*KFC!$C$5</f>
        <v>45.779230481236439</v>
      </c>
      <c r="J51" s="912">
        <f>(AG51*KFC!$B$17+KFC!$C$17)*KFC!$C$5</f>
        <v>49.711672644740844</v>
      </c>
      <c r="K51" s="912">
        <f>(AH51*KFC!$B$17+KFC!$C$17)*KFC!$C$5</f>
        <v>53.644114808245249</v>
      </c>
      <c r="L51" s="912">
        <f>(AI51*KFC!$B$17+KFC!$C$17)*KFC!$C$5</f>
        <v>57.576556971749639</v>
      </c>
      <c r="M51" s="912">
        <f>(AJ51*KFC!$B$17+KFC!$C$17)*KFC!$C$5</f>
        <v>61.50899913525403</v>
      </c>
      <c r="N51" s="912">
        <f>(AK51*KFC!$B$17+KFC!$C$17)*KFC!$C$5</f>
        <v>65.441441298758434</v>
      </c>
      <c r="O51" s="912">
        <f>(AL51*KFC!$B$17+KFC!$C$17)*KFC!$C$5</f>
        <v>69.373883462262839</v>
      </c>
      <c r="P51" s="912">
        <f>(AM51*KFC!$B$17+KFC!$C$17)*KFC!$C$5</f>
        <v>73.306325625767229</v>
      </c>
      <c r="Q51" s="912">
        <f>(AN51*KFC!$B$17+KFC!$C$17)*KFC!$C$5</f>
        <v>77.23876778927162</v>
      </c>
      <c r="R51" s="912">
        <f>(AO51*KFC!$B$17+KFC!$C$17)*KFC!$C$5</f>
        <v>81.171209952776024</v>
      </c>
      <c r="S51" s="912">
        <f>(AP51*KFC!$B$17+KFC!$C$17)*KFC!$C$5</f>
        <v>85.103652116280429</v>
      </c>
      <c r="T51" s="912">
        <f>(AQ51*KFC!$B$17+KFC!$C$17)*KFC!$C$5</f>
        <v>89.036094279784834</v>
      </c>
      <c r="U51" s="912">
        <f>(AR51*KFC!$B$17+KFC!$C$17)*KFC!$C$5</f>
        <v>92.968536443289224</v>
      </c>
      <c r="V51" s="912">
        <f>(AS51*KFC!$B$17+KFC!$C$17)*KFC!$C$5</f>
        <v>96.900978606793615</v>
      </c>
      <c r="W51" s="916">
        <f>(AT51*KFC!$B$17+KFC!$C$17)*KFC!$C$5</f>
        <v>100.83342077029805</v>
      </c>
      <c r="Y51" s="1277"/>
      <c r="Z51" s="649">
        <v>2</v>
      </c>
      <c r="AA51" s="882">
        <v>26.117019663714448</v>
      </c>
      <c r="AB51" s="882">
        <v>30.049461827218853</v>
      </c>
      <c r="AC51" s="882">
        <v>33.981903990723254</v>
      </c>
      <c r="AD51" s="882">
        <v>37.914346154227651</v>
      </c>
      <c r="AE51" s="882">
        <v>41.846788317732049</v>
      </c>
      <c r="AF51" s="882">
        <v>45.779230481236439</v>
      </c>
      <c r="AG51" s="882">
        <v>49.711672644740844</v>
      </c>
      <c r="AH51" s="882">
        <v>53.644114808245249</v>
      </c>
      <c r="AI51" s="882">
        <v>57.576556971749639</v>
      </c>
      <c r="AJ51" s="882">
        <v>61.50899913525403</v>
      </c>
      <c r="AK51" s="882">
        <v>65.441441298758434</v>
      </c>
      <c r="AL51" s="882">
        <v>69.373883462262839</v>
      </c>
      <c r="AM51" s="882">
        <v>73.306325625767229</v>
      </c>
      <c r="AN51" s="882">
        <v>77.23876778927162</v>
      </c>
      <c r="AO51" s="882">
        <v>81.171209952776024</v>
      </c>
      <c r="AP51" s="882">
        <v>85.103652116280429</v>
      </c>
      <c r="AQ51" s="882">
        <v>89.036094279784834</v>
      </c>
      <c r="AR51" s="882">
        <v>92.968536443289224</v>
      </c>
      <c r="AS51" s="882">
        <v>96.900978606793615</v>
      </c>
      <c r="AT51" s="882">
        <v>100.83342077029805</v>
      </c>
    </row>
    <row r="52" spans="1:46">
      <c r="A52" s="1426"/>
      <c r="B52" s="1427"/>
      <c r="C52" s="887">
        <v>2.1</v>
      </c>
      <c r="D52" s="915">
        <f>(AA52*KFC!$B$17+KFC!$C$17)*KFC!$C$5</f>
        <v>26.698641372612222</v>
      </c>
      <c r="E52" s="912">
        <f>(AB52*KFC!$B$17+KFC!$C$17)*KFC!$C$5</f>
        <v>30.772081977550084</v>
      </c>
      <c r="F52" s="912">
        <f>(AC52*KFC!$B$17+KFC!$C$17)*KFC!$C$5</f>
        <v>34.845522582487945</v>
      </c>
      <c r="G52" s="912">
        <f>(AD52*KFC!$B$17+KFC!$C$17)*KFC!$C$5</f>
        <v>38.918963187425803</v>
      </c>
      <c r="H52" s="912">
        <f>(AE52*KFC!$B$17+KFC!$C$17)*KFC!$C$5</f>
        <v>42.99240379236366</v>
      </c>
      <c r="I52" s="912">
        <f>(AF52*KFC!$B$17+KFC!$C$17)*KFC!$C$5</f>
        <v>47.065844397301525</v>
      </c>
      <c r="J52" s="912">
        <f>(AG52*KFC!$B$17+KFC!$C$17)*KFC!$C$5</f>
        <v>51.13928500223939</v>
      </c>
      <c r="K52" s="912">
        <f>(AH52*KFC!$B$17+KFC!$C$17)*KFC!$C$5</f>
        <v>55.212725607177241</v>
      </c>
      <c r="L52" s="912">
        <f>(AI52*KFC!$B$17+KFC!$C$17)*KFC!$C$5</f>
        <v>59.286166212115106</v>
      </c>
      <c r="M52" s="912">
        <f>(AJ52*KFC!$B$17+KFC!$C$17)*KFC!$C$5</f>
        <v>63.35960681705297</v>
      </c>
      <c r="N52" s="912">
        <f>(AK52*KFC!$B$17+KFC!$C$17)*KFC!$C$5</f>
        <v>67.433047421990835</v>
      </c>
      <c r="O52" s="912">
        <f>(AL52*KFC!$B$17+KFC!$C$17)*KFC!$C$5</f>
        <v>71.506488026928693</v>
      </c>
      <c r="P52" s="912">
        <f>(AM52*KFC!$B$17+KFC!$C$17)*KFC!$C$5</f>
        <v>75.579928631866551</v>
      </c>
      <c r="Q52" s="912">
        <f>(AN52*KFC!$B$17+KFC!$C$17)*KFC!$C$5</f>
        <v>79.653369236804394</v>
      </c>
      <c r="R52" s="912">
        <f>(AO52*KFC!$B$17+KFC!$C$17)*KFC!$C$5</f>
        <v>83.726809841742252</v>
      </c>
      <c r="S52" s="912">
        <f>(AP52*KFC!$B$17+KFC!$C$17)*KFC!$C$5</f>
        <v>87.800250446680096</v>
      </c>
      <c r="T52" s="912">
        <f>(AQ52*KFC!$B$17+KFC!$C$17)*KFC!$C$5</f>
        <v>91.873691051617968</v>
      </c>
      <c r="U52" s="912">
        <f>(AR52*KFC!$B$17+KFC!$C$17)*KFC!$C$5</f>
        <v>95.947131656555825</v>
      </c>
      <c r="V52" s="912">
        <f>(AS52*KFC!$B$17+KFC!$C$17)*KFC!$C$5</f>
        <v>100.02057226149367</v>
      </c>
      <c r="W52" s="916">
        <f>(AT52*KFC!$B$17+KFC!$C$17)*KFC!$C$5</f>
        <v>104.09401286643156</v>
      </c>
      <c r="Y52" s="1277"/>
      <c r="Z52" s="649">
        <v>2.1</v>
      </c>
      <c r="AA52" s="882">
        <v>26.698641372612222</v>
      </c>
      <c r="AB52" s="882">
        <v>30.772081977550084</v>
      </c>
      <c r="AC52" s="882">
        <v>34.845522582487945</v>
      </c>
      <c r="AD52" s="882">
        <v>38.918963187425803</v>
      </c>
      <c r="AE52" s="882">
        <v>42.99240379236366</v>
      </c>
      <c r="AF52" s="882">
        <v>47.065844397301525</v>
      </c>
      <c r="AG52" s="882">
        <v>51.13928500223939</v>
      </c>
      <c r="AH52" s="882">
        <v>55.212725607177241</v>
      </c>
      <c r="AI52" s="882">
        <v>59.286166212115106</v>
      </c>
      <c r="AJ52" s="882">
        <v>63.35960681705297</v>
      </c>
      <c r="AK52" s="882">
        <v>67.433047421990835</v>
      </c>
      <c r="AL52" s="882">
        <v>71.506488026928693</v>
      </c>
      <c r="AM52" s="882">
        <v>75.579928631866551</v>
      </c>
      <c r="AN52" s="882">
        <v>79.653369236804394</v>
      </c>
      <c r="AO52" s="882">
        <v>83.726809841742252</v>
      </c>
      <c r="AP52" s="882">
        <v>87.800250446680096</v>
      </c>
      <c r="AQ52" s="882">
        <v>91.873691051617968</v>
      </c>
      <c r="AR52" s="882">
        <v>95.947131656555825</v>
      </c>
      <c r="AS52" s="882">
        <v>100.02057226149367</v>
      </c>
      <c r="AT52" s="882">
        <v>104.09401286643156</v>
      </c>
    </row>
    <row r="53" spans="1:46" ht="15" thickBot="1">
      <c r="A53" s="1428"/>
      <c r="B53" s="1429"/>
      <c r="C53" s="888">
        <v>2.2000000000000002</v>
      </c>
      <c r="D53" s="917">
        <f>(AA53*KFC!$B$17+KFC!$C$17)*KFC!$C$5</f>
        <v>27.280263081509993</v>
      </c>
      <c r="E53" s="918">
        <f>(AB53*KFC!$B$17+KFC!$C$17)*KFC!$C$5</f>
        <v>31.494702127881311</v>
      </c>
      <c r="F53" s="918">
        <f>(AC53*KFC!$B$17+KFC!$C$17)*KFC!$C$5</f>
        <v>35.709141174252629</v>
      </c>
      <c r="G53" s="918">
        <f>(AD53*KFC!$B$17+KFC!$C$17)*KFC!$C$5</f>
        <v>39.92358022062394</v>
      </c>
      <c r="H53" s="918">
        <f>(AE53*KFC!$B$17+KFC!$C$17)*KFC!$C$5</f>
        <v>44.138019266995265</v>
      </c>
      <c r="I53" s="918">
        <f>(AF53*KFC!$B$17+KFC!$C$17)*KFC!$C$5</f>
        <v>48.352458313366583</v>
      </c>
      <c r="J53" s="918">
        <f>(AG53*KFC!$B$17+KFC!$C$17)*KFC!$C$5</f>
        <v>52.566897359737901</v>
      </c>
      <c r="K53" s="918">
        <f>(AH53*KFC!$B$17+KFC!$C$17)*KFC!$C$5</f>
        <v>56.781336406109212</v>
      </c>
      <c r="L53" s="918">
        <f>(AI53*KFC!$B$17+KFC!$C$17)*KFC!$C$5</f>
        <v>60.99577545248053</v>
      </c>
      <c r="M53" s="918">
        <f>(AJ53*KFC!$B$17+KFC!$C$17)*KFC!$C$5</f>
        <v>65.210214498851855</v>
      </c>
      <c r="N53" s="918">
        <f>(AK53*KFC!$B$17+KFC!$C$17)*KFC!$C$5</f>
        <v>69.424653545223165</v>
      </c>
      <c r="O53" s="918">
        <f>(AL53*KFC!$B$17+KFC!$C$17)*KFC!$C$5</f>
        <v>73.639092591594462</v>
      </c>
      <c r="P53" s="918">
        <f>(AM53*KFC!$B$17+KFC!$C$17)*KFC!$C$5</f>
        <v>77.853531637965787</v>
      </c>
      <c r="Q53" s="918">
        <f>(AN53*KFC!$B$17+KFC!$C$17)*KFC!$C$5</f>
        <v>82.067970684337098</v>
      </c>
      <c r="R53" s="918">
        <f>(AO53*KFC!$B$17+KFC!$C$17)*KFC!$C$5</f>
        <v>86.282409730708409</v>
      </c>
      <c r="S53" s="918">
        <f>(AP53*KFC!$B$17+KFC!$C$17)*KFC!$C$5</f>
        <v>90.496848777079705</v>
      </c>
      <c r="T53" s="918">
        <f>(AQ53*KFC!$B$17+KFC!$C$17)*KFC!$C$5</f>
        <v>94.711287823451016</v>
      </c>
      <c r="U53" s="918">
        <f>(AR53*KFC!$B$17+KFC!$C$17)*KFC!$C$5</f>
        <v>98.925726869822327</v>
      </c>
      <c r="V53" s="918">
        <f>(AS53*KFC!$B$17+KFC!$C$17)*KFC!$C$5</f>
        <v>103.14016591619365</v>
      </c>
      <c r="W53" s="919">
        <f>(AT53*KFC!$B$17+KFC!$C$17)*KFC!$C$5</f>
        <v>107.35460496256499</v>
      </c>
      <c r="Y53" s="1277"/>
      <c r="Z53" s="649">
        <v>2.2000000000000002</v>
      </c>
      <c r="AA53" s="882">
        <v>27.280263081509993</v>
      </c>
      <c r="AB53" s="882">
        <v>31.494702127881311</v>
      </c>
      <c r="AC53" s="882">
        <v>35.709141174252629</v>
      </c>
      <c r="AD53" s="882">
        <v>39.92358022062394</v>
      </c>
      <c r="AE53" s="882">
        <v>44.138019266995265</v>
      </c>
      <c r="AF53" s="882">
        <v>48.352458313366583</v>
      </c>
      <c r="AG53" s="882">
        <v>52.566897359737901</v>
      </c>
      <c r="AH53" s="882">
        <v>56.781336406109212</v>
      </c>
      <c r="AI53" s="882">
        <v>60.99577545248053</v>
      </c>
      <c r="AJ53" s="882">
        <v>65.210214498851855</v>
      </c>
      <c r="AK53" s="882">
        <v>69.424653545223165</v>
      </c>
      <c r="AL53" s="882">
        <v>73.639092591594462</v>
      </c>
      <c r="AM53" s="882">
        <v>77.853531637965787</v>
      </c>
      <c r="AN53" s="882">
        <v>82.067970684337098</v>
      </c>
      <c r="AO53" s="882">
        <v>86.282409730708409</v>
      </c>
      <c r="AP53" s="882">
        <v>90.496848777079705</v>
      </c>
      <c r="AQ53" s="882">
        <v>94.711287823451016</v>
      </c>
      <c r="AR53" s="882">
        <v>98.925726869822327</v>
      </c>
      <c r="AS53" s="882">
        <v>103.14016591619365</v>
      </c>
      <c r="AT53" s="882">
        <v>107.35460496256499</v>
      </c>
    </row>
    <row r="54" spans="1:46" ht="16.2" thickBot="1">
      <c r="A54" s="380"/>
      <c r="B54" s="380"/>
      <c r="C54" s="380"/>
      <c r="D54" s="380"/>
      <c r="E54" s="380"/>
      <c r="F54" s="380"/>
      <c r="G54" s="380"/>
      <c r="H54" s="380"/>
      <c r="I54" s="380"/>
      <c r="J54" s="380"/>
      <c r="K54" s="380"/>
      <c r="L54" s="380"/>
      <c r="M54" s="380"/>
      <c r="N54" s="380"/>
      <c r="O54" s="380"/>
      <c r="P54" s="380"/>
      <c r="Q54" s="380"/>
      <c r="R54" s="380"/>
      <c r="S54" s="380"/>
      <c r="T54" s="380"/>
      <c r="U54" s="380"/>
      <c r="V54" s="380"/>
      <c r="W54" s="380"/>
    </row>
    <row r="55" spans="1:46" ht="16.5" customHeight="1" thickBot="1">
      <c r="A55" s="1445" t="s">
        <v>448</v>
      </c>
      <c r="B55" s="1446"/>
      <c r="C55" s="1446"/>
      <c r="D55" s="1446"/>
      <c r="E55" s="1446"/>
      <c r="F55" s="1446"/>
      <c r="G55" s="1446"/>
      <c r="H55" s="1446"/>
      <c r="I55" s="1446"/>
      <c r="J55" s="1446"/>
      <c r="K55" s="1446"/>
      <c r="L55" s="1446"/>
      <c r="M55" s="1446"/>
      <c r="N55" s="1446"/>
      <c r="O55" s="1446"/>
      <c r="P55" s="1446"/>
      <c r="Q55" s="1446"/>
      <c r="R55" s="1446"/>
      <c r="S55" s="1446"/>
      <c r="T55" s="1446"/>
      <c r="U55" s="1446"/>
      <c r="V55" s="1446"/>
      <c r="W55" s="1447"/>
    </row>
    <row r="56" spans="1:46" ht="15.6">
      <c r="A56" s="1448"/>
      <c r="B56" s="1449"/>
      <c r="C56" s="1449"/>
      <c r="D56" s="1449"/>
      <c r="E56" s="1449"/>
      <c r="F56" s="1449"/>
      <c r="G56" s="1449"/>
      <c r="H56" s="1449"/>
      <c r="I56" s="1449"/>
      <c r="J56" s="1449"/>
      <c r="K56" s="1450"/>
      <c r="L56" s="1454" t="s">
        <v>449</v>
      </c>
      <c r="M56" s="1455"/>
      <c r="N56" s="1455"/>
      <c r="O56" s="1456"/>
      <c r="P56" s="1457" t="s">
        <v>450</v>
      </c>
      <c r="Q56" s="1458"/>
      <c r="R56" s="1458"/>
      <c r="S56" s="1459"/>
      <c r="T56" s="1454" t="s">
        <v>451</v>
      </c>
      <c r="U56" s="1455"/>
      <c r="V56" s="1455"/>
      <c r="W56" s="1456"/>
    </row>
    <row r="57" spans="1:46" ht="15.6">
      <c r="A57" s="1451"/>
      <c r="B57" s="1452"/>
      <c r="C57" s="1452"/>
      <c r="D57" s="1452"/>
      <c r="E57" s="1452"/>
      <c r="F57" s="1452"/>
      <c r="G57" s="1452"/>
      <c r="H57" s="1452"/>
      <c r="I57" s="1452"/>
      <c r="J57" s="1452"/>
      <c r="K57" s="1453"/>
      <c r="L57" s="1460" t="s">
        <v>452</v>
      </c>
      <c r="M57" s="1461"/>
      <c r="N57" s="1461" t="s">
        <v>453</v>
      </c>
      <c r="O57" s="1462"/>
      <c r="P57" s="1463" t="s">
        <v>452</v>
      </c>
      <c r="Q57" s="1464"/>
      <c r="R57" s="1464" t="s">
        <v>453</v>
      </c>
      <c r="S57" s="1465"/>
      <c r="T57" s="1460" t="s">
        <v>452</v>
      </c>
      <c r="U57" s="1461"/>
      <c r="V57" s="1461" t="s">
        <v>453</v>
      </c>
      <c r="W57" s="1462"/>
    </row>
    <row r="58" spans="1:46" ht="15.6">
      <c r="A58" s="1466" t="s">
        <v>454</v>
      </c>
      <c r="B58" s="1467"/>
      <c r="C58" s="1467"/>
      <c r="D58" s="1467"/>
      <c r="E58" s="1467"/>
      <c r="F58" s="1467"/>
      <c r="G58" s="1467"/>
      <c r="H58" s="1467"/>
      <c r="I58" s="1467"/>
      <c r="J58" s="1467"/>
      <c r="K58" s="1468"/>
      <c r="L58" s="1460">
        <v>23</v>
      </c>
      <c r="M58" s="1461"/>
      <c r="N58" s="1461">
        <v>23</v>
      </c>
      <c r="O58" s="1462"/>
      <c r="P58" s="1463">
        <v>23</v>
      </c>
      <c r="Q58" s="1464"/>
      <c r="R58" s="1464">
        <v>23</v>
      </c>
      <c r="S58" s="1465"/>
      <c r="T58" s="1460">
        <v>23</v>
      </c>
      <c r="U58" s="1461"/>
      <c r="V58" s="1461">
        <v>23</v>
      </c>
      <c r="W58" s="1462"/>
    </row>
    <row r="59" spans="1:46" ht="15.6">
      <c r="A59" s="1466" t="s">
        <v>455</v>
      </c>
      <c r="B59" s="1467"/>
      <c r="C59" s="1467"/>
      <c r="D59" s="1467"/>
      <c r="E59" s="1467"/>
      <c r="F59" s="1467"/>
      <c r="G59" s="1467"/>
      <c r="H59" s="1467"/>
      <c r="I59" s="1467"/>
      <c r="J59" s="1467"/>
      <c r="K59" s="1468"/>
      <c r="L59" s="1460">
        <v>240</v>
      </c>
      <c r="M59" s="1461"/>
      <c r="N59" s="1461">
        <v>170</v>
      </c>
      <c r="O59" s="1462"/>
      <c r="P59" s="1463">
        <v>200</v>
      </c>
      <c r="Q59" s="1464"/>
      <c r="R59" s="1464">
        <v>170</v>
      </c>
      <c r="S59" s="1465"/>
      <c r="T59" s="1460">
        <v>200</v>
      </c>
      <c r="U59" s="1461"/>
      <c r="V59" s="1461">
        <v>170</v>
      </c>
      <c r="W59" s="1462"/>
    </row>
    <row r="60" spans="1:46" ht="18" thickBot="1">
      <c r="A60" s="1475" t="s">
        <v>456</v>
      </c>
      <c r="B60" s="1476"/>
      <c r="C60" s="1476"/>
      <c r="D60" s="1476"/>
      <c r="E60" s="1476"/>
      <c r="F60" s="1476"/>
      <c r="G60" s="1476"/>
      <c r="H60" s="1476"/>
      <c r="I60" s="1476"/>
      <c r="J60" s="1476"/>
      <c r="K60" s="1477"/>
      <c r="L60" s="1478">
        <v>2.5</v>
      </c>
      <c r="M60" s="1479"/>
      <c r="N60" s="1479">
        <v>2.5</v>
      </c>
      <c r="O60" s="1480"/>
      <c r="P60" s="1481">
        <v>2.5</v>
      </c>
      <c r="Q60" s="1482"/>
      <c r="R60" s="1483">
        <v>2</v>
      </c>
      <c r="S60" s="1484"/>
      <c r="T60" s="1478">
        <v>2.5</v>
      </c>
      <c r="U60" s="1479"/>
      <c r="V60" s="1485">
        <v>2</v>
      </c>
      <c r="W60" s="1486"/>
    </row>
    <row r="61" spans="1:46" ht="16.2" thickBot="1">
      <c r="A61" s="6"/>
      <c r="B61" s="1"/>
      <c r="C61" s="379"/>
      <c r="D61" s="381"/>
      <c r="E61" s="381"/>
      <c r="F61" s="381"/>
      <c r="G61" s="381"/>
      <c r="H61" s="381"/>
      <c r="I61" s="380"/>
      <c r="J61" s="380"/>
      <c r="K61" s="380"/>
      <c r="L61" s="380"/>
      <c r="M61" s="380"/>
      <c r="N61" s="380"/>
      <c r="O61" s="380"/>
      <c r="P61" s="380"/>
      <c r="Q61" s="380"/>
      <c r="R61" s="380"/>
      <c r="S61" s="380"/>
      <c r="T61" s="380"/>
      <c r="U61" s="380"/>
      <c r="V61" s="380"/>
      <c r="W61" s="380"/>
    </row>
    <row r="62" spans="1:46" ht="16.2" thickBot="1">
      <c r="A62" s="6" t="s">
        <v>44</v>
      </c>
      <c r="B62" s="1"/>
      <c r="C62" s="379"/>
      <c r="D62" s="382"/>
      <c r="E62" s="382"/>
      <c r="F62" s="382"/>
      <c r="G62" s="382"/>
      <c r="H62" s="382"/>
      <c r="I62" s="382"/>
      <c r="J62" s="380"/>
      <c r="K62" s="380"/>
      <c r="L62" s="380"/>
      <c r="M62" s="380"/>
      <c r="N62" s="380"/>
      <c r="O62" s="380"/>
      <c r="P62" s="380"/>
      <c r="Q62" s="380"/>
      <c r="R62" s="380"/>
      <c r="S62" s="380"/>
      <c r="T62" s="380"/>
      <c r="U62" s="380"/>
      <c r="V62" s="380"/>
      <c r="W62" s="380"/>
    </row>
    <row r="63" spans="1:46" ht="16.2" thickBot="1">
      <c r="A63" s="1487" t="s">
        <v>1230</v>
      </c>
      <c r="B63" s="1488"/>
      <c r="C63" s="1488"/>
      <c r="D63" s="1488"/>
      <c r="E63" s="1488"/>
      <c r="F63" s="1488"/>
      <c r="G63" s="1488"/>
      <c r="H63" s="1488"/>
      <c r="I63" s="1488"/>
      <c r="J63" s="1488"/>
      <c r="K63" s="1489"/>
      <c r="L63" s="1493">
        <f>(1.34*KFC!$B$17+KFC!$C$17)*KFC!$C$5</f>
        <v>1.34</v>
      </c>
      <c r="M63" s="1473" t="s">
        <v>409</v>
      </c>
      <c r="N63" s="380"/>
      <c r="O63" s="380"/>
      <c r="P63" s="380"/>
      <c r="Q63" s="380"/>
      <c r="R63" s="380"/>
      <c r="S63" s="380"/>
      <c r="T63" s="380"/>
      <c r="U63" s="380"/>
      <c r="V63" s="380"/>
      <c r="W63" s="380"/>
    </row>
    <row r="64" spans="1:46" ht="28.5" customHeight="1" thickBot="1">
      <c r="A64" s="1490"/>
      <c r="B64" s="1491"/>
      <c r="C64" s="1491"/>
      <c r="D64" s="1491"/>
      <c r="E64" s="1491"/>
      <c r="F64" s="1491"/>
      <c r="G64" s="1491"/>
      <c r="H64" s="1491"/>
      <c r="I64" s="1491"/>
      <c r="J64" s="1491"/>
      <c r="K64" s="1492"/>
      <c r="L64" s="1494"/>
      <c r="M64" s="1495"/>
      <c r="N64" s="380"/>
      <c r="O64" s="380"/>
      <c r="P64" s="380"/>
      <c r="Q64" s="380"/>
      <c r="R64" s="380"/>
      <c r="S64" s="380"/>
      <c r="T64" s="380"/>
      <c r="U64" s="380"/>
      <c r="V64" s="380"/>
      <c r="W64" s="380"/>
    </row>
    <row r="65" spans="1:23" ht="16.2" thickBot="1">
      <c r="A65" s="895" t="s">
        <v>228</v>
      </c>
      <c r="B65" s="896"/>
      <c r="C65" s="896"/>
      <c r="D65" s="896"/>
      <c r="E65" s="896"/>
      <c r="F65" s="896"/>
      <c r="G65" s="896"/>
      <c r="H65" s="896"/>
      <c r="I65" s="897"/>
      <c r="J65" s="897"/>
      <c r="K65" s="897"/>
      <c r="L65" s="897"/>
      <c r="M65" s="897"/>
      <c r="N65" s="380"/>
      <c r="O65" s="380"/>
      <c r="P65" s="380"/>
      <c r="Q65" s="380"/>
      <c r="R65" s="380"/>
      <c r="S65" s="380"/>
      <c r="T65" s="380"/>
      <c r="U65" s="380"/>
      <c r="V65" s="380"/>
      <c r="W65" s="380"/>
    </row>
  </sheetData>
  <mergeCells count="51">
    <mergeCell ref="A63:K64"/>
    <mergeCell ref="L63:L64"/>
    <mergeCell ref="M63:M64"/>
    <mergeCell ref="V59:W59"/>
    <mergeCell ref="A60:K60"/>
    <mergeCell ref="L60:M60"/>
    <mergeCell ref="N60:O60"/>
    <mergeCell ref="P60:Q60"/>
    <mergeCell ref="R60:S60"/>
    <mergeCell ref="T60:U60"/>
    <mergeCell ref="V60:W60"/>
    <mergeCell ref="A59:K59"/>
    <mergeCell ref="L59:M59"/>
    <mergeCell ref="N59:O59"/>
    <mergeCell ref="P59:Q59"/>
    <mergeCell ref="R59:S59"/>
    <mergeCell ref="T59:U59"/>
    <mergeCell ref="R57:S57"/>
    <mergeCell ref="T57:U57"/>
    <mergeCell ref="V57:W57"/>
    <mergeCell ref="A58:K58"/>
    <mergeCell ref="L58:M58"/>
    <mergeCell ref="N58:O58"/>
    <mergeCell ref="P58:Q58"/>
    <mergeCell ref="R58:S58"/>
    <mergeCell ref="T58:U58"/>
    <mergeCell ref="V58:W58"/>
    <mergeCell ref="A33:B53"/>
    <mergeCell ref="Y33:Y53"/>
    <mergeCell ref="A55:W55"/>
    <mergeCell ref="A56:K57"/>
    <mergeCell ref="L56:O56"/>
    <mergeCell ref="P56:S56"/>
    <mergeCell ref="T56:W56"/>
    <mergeCell ref="L57:M57"/>
    <mergeCell ref="N57:O57"/>
    <mergeCell ref="P57:Q57"/>
    <mergeCell ref="A31:C32"/>
    <mergeCell ref="D31:W31"/>
    <mergeCell ref="Y31:Z32"/>
    <mergeCell ref="AA31:AT31"/>
    <mergeCell ref="A8:B28"/>
    <mergeCell ref="Y8:Y28"/>
    <mergeCell ref="A30:W30"/>
    <mergeCell ref="AA6:AT6"/>
    <mergeCell ref="A5:W5"/>
    <mergeCell ref="A1:W2"/>
    <mergeCell ref="A3:W4"/>
    <mergeCell ref="A6:C7"/>
    <mergeCell ref="D6:W6"/>
    <mergeCell ref="Y6:Z7"/>
  </mergeCells>
  <pageMargins left="0.70866141732283472" right="0.70866141732283472" top="0.74803149606299213" bottom="0.74803149606299213" header="0.31496062992125984" footer="0.31496062992125984"/>
  <pageSetup paperSize="9" scale="84" orientation="landscape" r:id="rId1"/>
  <colBreaks count="1" manualBreakCount="1">
    <brk id="46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F738C7-B22A-4780-B9EF-E0526472BDCD}">
  <sheetPr>
    <tabColor rgb="FFFF0000"/>
  </sheetPr>
  <dimension ref="A1:IU65"/>
  <sheetViews>
    <sheetView view="pageBreakPreview" zoomScale="80" zoomScaleNormal="80" zoomScaleSheetLayoutView="80" workbookViewId="0">
      <selection sqref="A1:IV4"/>
    </sheetView>
  </sheetViews>
  <sheetFormatPr defaultColWidth="9.109375" defaultRowHeight="14.4"/>
  <cols>
    <col min="1" max="1" width="9.109375" style="880"/>
    <col min="2" max="3" width="5.44140625" style="880" bestFit="1" customWidth="1"/>
    <col min="4" max="4" width="6.6640625" style="880" customWidth="1"/>
    <col min="5" max="5" width="7" style="880" customWidth="1"/>
    <col min="6" max="7" width="6.5546875" style="880" customWidth="1"/>
    <col min="8" max="8" width="6.6640625" style="880" customWidth="1"/>
    <col min="9" max="10" width="6.109375" style="880" customWidth="1"/>
    <col min="11" max="11" width="6.6640625" style="880" customWidth="1"/>
    <col min="12" max="12" width="6.33203125" style="880" customWidth="1"/>
    <col min="13" max="13" width="6.109375" style="880" customWidth="1"/>
    <col min="14" max="14" width="6.5546875" style="880" customWidth="1"/>
    <col min="15" max="15" width="6.88671875" style="880" customWidth="1"/>
    <col min="16" max="17" width="6.44140625" style="880" bestFit="1" customWidth="1"/>
    <col min="18" max="18" width="7.88671875" style="880" customWidth="1"/>
    <col min="19" max="19" width="9" style="880" customWidth="1"/>
    <col min="20" max="20" width="7.5546875" style="880" customWidth="1"/>
    <col min="21" max="21" width="7.88671875" style="880" customWidth="1"/>
    <col min="22" max="22" width="8" style="880" customWidth="1"/>
    <col min="23" max="23" width="6.88671875" style="880" customWidth="1"/>
    <col min="24" max="46" width="9.109375" style="880" hidden="1" customWidth="1"/>
    <col min="47" max="16384" width="9.109375" style="880"/>
  </cols>
  <sheetData>
    <row r="1" spans="1:255" ht="15" customHeight="1">
      <c r="A1" s="1033" t="s">
        <v>1209</v>
      </c>
      <c r="B1" s="1033"/>
      <c r="C1" s="1033"/>
      <c r="D1" s="1033"/>
      <c r="E1" s="1033"/>
      <c r="F1" s="1033"/>
      <c r="G1" s="1033"/>
      <c r="H1" s="1033"/>
      <c r="I1" s="1033"/>
      <c r="J1" s="1033"/>
      <c r="K1" s="1033"/>
      <c r="L1" s="1033"/>
      <c r="M1" s="1033"/>
      <c r="N1" s="1033"/>
      <c r="O1" s="1033"/>
      <c r="P1" s="1033"/>
      <c r="Q1" s="1033"/>
      <c r="R1" s="1033"/>
      <c r="S1" s="1033"/>
      <c r="T1" s="1033"/>
      <c r="U1" s="1033"/>
      <c r="V1" s="1033"/>
      <c r="W1" s="1033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  <c r="AZ1" s="16"/>
      <c r="BA1" s="16"/>
      <c r="BB1" s="16"/>
      <c r="BC1" s="16"/>
      <c r="BD1" s="16"/>
      <c r="BE1" s="16"/>
      <c r="BF1" s="16"/>
      <c r="BG1" s="16"/>
      <c r="BH1" s="16"/>
      <c r="BI1" s="16"/>
      <c r="BJ1" s="16"/>
      <c r="BK1" s="16"/>
      <c r="BL1" s="16"/>
      <c r="BM1" s="16"/>
      <c r="BN1" s="16"/>
      <c r="BO1" s="16"/>
      <c r="BP1" s="16"/>
      <c r="BQ1" s="16"/>
      <c r="BR1" s="16"/>
      <c r="BS1" s="16"/>
      <c r="BT1" s="16"/>
      <c r="BU1" s="16"/>
      <c r="BV1" s="16"/>
      <c r="BW1" s="16"/>
      <c r="BX1" s="16"/>
      <c r="BY1" s="16"/>
      <c r="BZ1" s="16"/>
      <c r="CA1" s="16"/>
      <c r="CB1" s="16"/>
      <c r="CC1" s="16"/>
      <c r="CD1" s="16"/>
      <c r="CE1" s="16"/>
      <c r="CF1" s="16"/>
      <c r="CG1" s="16"/>
      <c r="CH1" s="16"/>
      <c r="CI1" s="16"/>
      <c r="CJ1" s="16"/>
      <c r="CK1" s="16"/>
      <c r="CL1" s="16"/>
      <c r="CM1" s="16"/>
      <c r="CN1" s="16"/>
      <c r="CO1" s="16"/>
      <c r="CP1" s="16"/>
      <c r="CQ1" s="16"/>
      <c r="CR1" s="16"/>
      <c r="CS1" s="16"/>
      <c r="CT1" s="16"/>
      <c r="CU1" s="16"/>
      <c r="CV1" s="16"/>
      <c r="CW1" s="16"/>
      <c r="CX1" s="16"/>
      <c r="CY1" s="16"/>
      <c r="CZ1" s="16"/>
      <c r="DA1" s="16"/>
      <c r="DB1" s="16"/>
      <c r="DC1" s="16"/>
      <c r="DD1" s="16"/>
      <c r="DE1" s="16"/>
      <c r="DF1" s="16"/>
      <c r="DG1" s="16"/>
      <c r="DH1" s="16"/>
      <c r="DI1" s="16"/>
      <c r="DJ1" s="16"/>
      <c r="DK1" s="16"/>
      <c r="DL1" s="16"/>
      <c r="DM1" s="16"/>
      <c r="DN1" s="16"/>
      <c r="DO1" s="16"/>
      <c r="DP1" s="16"/>
      <c r="DQ1" s="16"/>
      <c r="DR1" s="16"/>
      <c r="DS1" s="16"/>
      <c r="DT1" s="16"/>
      <c r="DU1" s="16"/>
      <c r="DV1" s="16"/>
      <c r="DW1" s="16"/>
      <c r="DX1" s="16"/>
      <c r="DY1" s="16"/>
      <c r="DZ1" s="16"/>
      <c r="EA1" s="16"/>
      <c r="EB1" s="16"/>
      <c r="EC1" s="16"/>
      <c r="ED1" s="16"/>
      <c r="EE1" s="16"/>
      <c r="EF1" s="16"/>
      <c r="EG1" s="16"/>
      <c r="EH1" s="16"/>
      <c r="EI1" s="16"/>
      <c r="EJ1" s="16"/>
      <c r="EK1" s="16"/>
      <c r="EL1" s="16"/>
      <c r="EM1" s="16"/>
      <c r="EN1" s="16"/>
      <c r="EO1" s="16"/>
      <c r="EP1" s="16"/>
      <c r="EQ1" s="16"/>
      <c r="ER1" s="16"/>
      <c r="ES1" s="16"/>
      <c r="ET1" s="16"/>
      <c r="EU1" s="16"/>
      <c r="EV1" s="16"/>
      <c r="EW1" s="16"/>
      <c r="EX1" s="16"/>
      <c r="EY1" s="16"/>
      <c r="EZ1" s="16"/>
      <c r="FA1" s="16"/>
      <c r="FB1" s="16"/>
      <c r="FC1" s="16"/>
      <c r="FD1" s="16"/>
      <c r="FE1" s="16"/>
      <c r="FF1" s="16"/>
      <c r="FG1" s="16"/>
      <c r="FH1" s="16"/>
      <c r="FI1" s="16"/>
      <c r="FJ1" s="16"/>
      <c r="FK1" s="16"/>
      <c r="FL1" s="16"/>
      <c r="FM1" s="16"/>
      <c r="FN1" s="16"/>
      <c r="FO1" s="16"/>
      <c r="FP1" s="16"/>
      <c r="FQ1" s="16"/>
      <c r="FR1" s="16"/>
      <c r="FS1" s="16"/>
      <c r="FT1" s="16"/>
      <c r="FU1" s="16"/>
      <c r="FV1" s="16"/>
      <c r="FW1" s="16"/>
      <c r="FX1" s="16"/>
      <c r="FY1" s="16"/>
      <c r="FZ1" s="16"/>
      <c r="GA1" s="16"/>
      <c r="GB1" s="16"/>
      <c r="GC1" s="16"/>
      <c r="GD1" s="16"/>
      <c r="GE1" s="16"/>
      <c r="GF1" s="16"/>
      <c r="GG1" s="16"/>
      <c r="GH1" s="16"/>
      <c r="GI1" s="16"/>
      <c r="GJ1" s="16"/>
      <c r="GK1" s="16"/>
      <c r="GL1" s="16"/>
      <c r="GM1" s="16"/>
      <c r="GN1" s="16"/>
      <c r="GO1" s="16"/>
      <c r="GP1" s="16"/>
      <c r="GQ1" s="16"/>
      <c r="GR1" s="16"/>
      <c r="GS1" s="16"/>
      <c r="GT1" s="16"/>
      <c r="GU1" s="16"/>
      <c r="GV1" s="16"/>
      <c r="GW1" s="16"/>
      <c r="GX1" s="16"/>
      <c r="GY1" s="16"/>
      <c r="GZ1" s="16"/>
      <c r="HA1" s="16"/>
      <c r="HB1" s="16"/>
      <c r="HC1" s="16"/>
      <c r="HD1" s="16"/>
      <c r="HE1" s="16"/>
      <c r="HF1" s="16"/>
      <c r="HG1" s="16"/>
      <c r="HH1" s="16"/>
      <c r="HI1" s="16"/>
      <c r="HJ1" s="16"/>
      <c r="HK1" s="16"/>
      <c r="HL1" s="16"/>
      <c r="HM1" s="16"/>
      <c r="HN1" s="16"/>
      <c r="HO1" s="16"/>
      <c r="HP1" s="16"/>
      <c r="HQ1" s="16"/>
      <c r="HR1" s="16"/>
      <c r="HS1" s="16"/>
      <c r="HT1" s="16"/>
      <c r="HU1" s="16"/>
      <c r="HV1" s="16"/>
      <c r="HW1" s="16"/>
      <c r="HX1" s="16"/>
      <c r="HY1" s="16"/>
      <c r="HZ1" s="16"/>
      <c r="IA1" s="16"/>
      <c r="IB1" s="16"/>
      <c r="IC1" s="16"/>
      <c r="ID1" s="16"/>
      <c r="IE1" s="16"/>
      <c r="IF1" s="16"/>
      <c r="IG1" s="16"/>
      <c r="IH1" s="16"/>
      <c r="II1" s="16"/>
      <c r="IJ1" s="16"/>
      <c r="IK1" s="16"/>
      <c r="IL1" s="16"/>
      <c r="IM1" s="16"/>
      <c r="IN1" s="16"/>
      <c r="IO1" s="16"/>
      <c r="IP1" s="16"/>
      <c r="IQ1" s="16"/>
      <c r="IR1" s="16"/>
      <c r="IS1" s="16"/>
      <c r="IT1" s="16"/>
      <c r="IU1" s="16"/>
    </row>
    <row r="2" spans="1:255" ht="15" customHeight="1">
      <c r="A2" s="1033"/>
      <c r="B2" s="1033"/>
      <c r="C2" s="1033"/>
      <c r="D2" s="1033"/>
      <c r="E2" s="1033"/>
      <c r="F2" s="1033"/>
      <c r="G2" s="1033"/>
      <c r="H2" s="1033"/>
      <c r="I2" s="1033"/>
      <c r="J2" s="1033"/>
      <c r="K2" s="1033"/>
      <c r="L2" s="1033"/>
      <c r="M2" s="1033"/>
      <c r="N2" s="1033"/>
      <c r="O2" s="1033"/>
      <c r="P2" s="1033"/>
      <c r="Q2" s="1033"/>
      <c r="R2" s="1033"/>
      <c r="S2" s="1033"/>
      <c r="T2" s="1033"/>
      <c r="U2" s="1033"/>
      <c r="V2" s="1033"/>
      <c r="W2" s="1033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16"/>
      <c r="CS2" s="16"/>
      <c r="CT2" s="16"/>
      <c r="CU2" s="16"/>
      <c r="CV2" s="16"/>
      <c r="CW2" s="16"/>
      <c r="CX2" s="16"/>
      <c r="CY2" s="16"/>
      <c r="CZ2" s="16"/>
      <c r="DA2" s="16"/>
      <c r="DB2" s="16"/>
      <c r="DC2" s="16"/>
      <c r="DD2" s="16"/>
      <c r="DE2" s="16"/>
      <c r="DF2" s="16"/>
      <c r="DG2" s="16"/>
      <c r="DH2" s="16"/>
      <c r="DI2" s="16"/>
      <c r="DJ2" s="16"/>
      <c r="DK2" s="16"/>
      <c r="DL2" s="16"/>
      <c r="DM2" s="16"/>
      <c r="DN2" s="16"/>
      <c r="DO2" s="16"/>
      <c r="DP2" s="16"/>
      <c r="DQ2" s="16"/>
      <c r="DR2" s="16"/>
      <c r="DS2" s="16"/>
      <c r="DT2" s="16"/>
      <c r="DU2" s="16"/>
      <c r="DV2" s="16"/>
      <c r="DW2" s="16"/>
      <c r="DX2" s="16"/>
      <c r="DY2" s="16"/>
      <c r="DZ2" s="16"/>
      <c r="EA2" s="16"/>
      <c r="EB2" s="16"/>
      <c r="EC2" s="16"/>
      <c r="ED2" s="16"/>
      <c r="EE2" s="16"/>
      <c r="EF2" s="16"/>
      <c r="EG2" s="16"/>
      <c r="EH2" s="16"/>
      <c r="EI2" s="16"/>
      <c r="EJ2" s="16"/>
      <c r="EK2" s="16"/>
      <c r="EL2" s="16"/>
      <c r="EM2" s="16"/>
      <c r="EN2" s="16"/>
      <c r="EO2" s="16"/>
      <c r="EP2" s="16"/>
      <c r="EQ2" s="16"/>
      <c r="ER2" s="16"/>
      <c r="ES2" s="16"/>
      <c r="ET2" s="16"/>
      <c r="EU2" s="16"/>
      <c r="EV2" s="16"/>
      <c r="EW2" s="16"/>
      <c r="EX2" s="16"/>
      <c r="EY2" s="16"/>
      <c r="EZ2" s="16"/>
      <c r="FA2" s="16"/>
      <c r="FB2" s="16"/>
      <c r="FC2" s="16"/>
      <c r="FD2" s="16"/>
      <c r="FE2" s="16"/>
      <c r="FF2" s="16"/>
      <c r="FG2" s="16"/>
      <c r="FH2" s="16"/>
      <c r="FI2" s="16"/>
      <c r="FJ2" s="16"/>
      <c r="FK2" s="16"/>
      <c r="FL2" s="16"/>
      <c r="FM2" s="16"/>
      <c r="FN2" s="16"/>
      <c r="FO2" s="16"/>
      <c r="FP2" s="16"/>
      <c r="FQ2" s="16"/>
      <c r="FR2" s="16"/>
      <c r="FS2" s="16"/>
      <c r="FT2" s="16"/>
      <c r="FU2" s="16"/>
      <c r="FV2" s="16"/>
      <c r="FW2" s="16"/>
      <c r="FX2" s="16"/>
      <c r="FY2" s="16"/>
      <c r="FZ2" s="16"/>
      <c r="GA2" s="16"/>
      <c r="GB2" s="16"/>
      <c r="GC2" s="16"/>
      <c r="GD2" s="16"/>
      <c r="GE2" s="16"/>
      <c r="GF2" s="16"/>
      <c r="GG2" s="16"/>
      <c r="GH2" s="16"/>
      <c r="GI2" s="16"/>
      <c r="GJ2" s="16"/>
      <c r="GK2" s="16"/>
      <c r="GL2" s="16"/>
      <c r="GM2" s="16"/>
      <c r="GN2" s="16"/>
      <c r="GO2" s="16"/>
      <c r="GP2" s="16"/>
      <c r="GQ2" s="16"/>
      <c r="GR2" s="16"/>
      <c r="GS2" s="16"/>
      <c r="GT2" s="16"/>
      <c r="GU2" s="16"/>
      <c r="GV2" s="16"/>
      <c r="GW2" s="16"/>
      <c r="GX2" s="16"/>
      <c r="GY2" s="16"/>
      <c r="GZ2" s="16"/>
      <c r="HA2" s="16"/>
      <c r="HB2" s="16"/>
      <c r="HC2" s="16"/>
      <c r="HD2" s="16"/>
      <c r="HE2" s="16"/>
      <c r="HF2" s="16"/>
      <c r="HG2" s="16"/>
      <c r="HH2" s="16"/>
      <c r="HI2" s="16"/>
      <c r="HJ2" s="16"/>
      <c r="HK2" s="16"/>
      <c r="HL2" s="16"/>
      <c r="HM2" s="16"/>
      <c r="HN2" s="16"/>
      <c r="HO2" s="16"/>
      <c r="HP2" s="16"/>
      <c r="HQ2" s="16"/>
      <c r="HR2" s="16"/>
      <c r="HS2" s="16"/>
      <c r="HT2" s="16"/>
      <c r="HU2" s="16"/>
      <c r="HV2" s="16"/>
      <c r="HW2" s="16"/>
      <c r="HX2" s="16"/>
      <c r="HY2" s="16"/>
      <c r="HZ2" s="16"/>
      <c r="IA2" s="16"/>
      <c r="IB2" s="16"/>
      <c r="IC2" s="16"/>
      <c r="ID2" s="16"/>
      <c r="IE2" s="16"/>
      <c r="IF2" s="16"/>
      <c r="IG2" s="16"/>
      <c r="IH2" s="16"/>
      <c r="II2" s="16"/>
      <c r="IJ2" s="16"/>
      <c r="IK2" s="16"/>
      <c r="IL2" s="16"/>
      <c r="IM2" s="16"/>
      <c r="IN2" s="16"/>
      <c r="IO2" s="16"/>
      <c r="IP2" s="16"/>
      <c r="IQ2" s="16"/>
      <c r="IR2" s="16"/>
      <c r="IS2" s="16"/>
      <c r="IT2" s="16"/>
      <c r="IU2" s="16"/>
    </row>
    <row r="3" spans="1:255" ht="15" customHeight="1">
      <c r="A3" s="1033" t="s">
        <v>1211</v>
      </c>
      <c r="B3" s="1033"/>
      <c r="C3" s="1033"/>
      <c r="D3" s="1033"/>
      <c r="E3" s="1033"/>
      <c r="F3" s="1033"/>
      <c r="G3" s="1033"/>
      <c r="H3" s="1033"/>
      <c r="I3" s="1033"/>
      <c r="J3" s="1033"/>
      <c r="K3" s="1033"/>
      <c r="L3" s="1033"/>
      <c r="M3" s="1033"/>
      <c r="N3" s="1033"/>
      <c r="O3" s="1033"/>
      <c r="P3" s="1033"/>
      <c r="Q3" s="1033"/>
      <c r="R3" s="1033"/>
      <c r="S3" s="1033"/>
      <c r="T3" s="1033"/>
      <c r="U3" s="1033"/>
      <c r="V3" s="1033"/>
      <c r="W3" s="1033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/>
      <c r="BC3" s="16"/>
      <c r="BD3" s="16"/>
      <c r="BE3" s="16"/>
      <c r="BF3" s="16"/>
      <c r="BG3" s="16"/>
      <c r="BH3" s="16"/>
      <c r="BI3" s="16"/>
      <c r="BJ3" s="16"/>
      <c r="BK3" s="16"/>
      <c r="BL3" s="16"/>
      <c r="BM3" s="16"/>
      <c r="BN3" s="16"/>
      <c r="BO3" s="16"/>
      <c r="BP3" s="16"/>
      <c r="BQ3" s="16"/>
      <c r="BR3" s="16"/>
      <c r="BS3" s="16"/>
      <c r="BT3" s="16"/>
      <c r="BU3" s="16"/>
      <c r="BV3" s="16"/>
      <c r="BW3" s="16"/>
      <c r="BX3" s="16"/>
      <c r="BY3" s="16"/>
      <c r="BZ3" s="16"/>
      <c r="CA3" s="16"/>
      <c r="CB3" s="16"/>
      <c r="CC3" s="16"/>
      <c r="CD3" s="16"/>
      <c r="CE3" s="16"/>
      <c r="CF3" s="16"/>
      <c r="CG3" s="16"/>
      <c r="CH3" s="16"/>
      <c r="CI3" s="16"/>
      <c r="CJ3" s="16"/>
      <c r="CK3" s="16"/>
      <c r="CL3" s="16"/>
      <c r="CM3" s="16"/>
      <c r="CN3" s="16"/>
      <c r="CO3" s="16"/>
      <c r="CP3" s="16"/>
      <c r="CQ3" s="16"/>
      <c r="CR3" s="16"/>
      <c r="CS3" s="16"/>
      <c r="CT3" s="16"/>
      <c r="CU3" s="16"/>
      <c r="CV3" s="16"/>
      <c r="CW3" s="16"/>
      <c r="CX3" s="16"/>
      <c r="CY3" s="16"/>
      <c r="CZ3" s="16"/>
      <c r="DA3" s="16"/>
      <c r="DB3" s="16"/>
      <c r="DC3" s="16"/>
      <c r="DD3" s="16"/>
      <c r="DE3" s="16"/>
      <c r="DF3" s="16"/>
      <c r="DG3" s="16"/>
      <c r="DH3" s="16"/>
      <c r="DI3" s="16"/>
      <c r="DJ3" s="16"/>
      <c r="DK3" s="16"/>
      <c r="DL3" s="16"/>
      <c r="DM3" s="16"/>
      <c r="DN3" s="16"/>
      <c r="DO3" s="16"/>
      <c r="DP3" s="16"/>
      <c r="DQ3" s="16"/>
      <c r="DR3" s="16"/>
      <c r="DS3" s="16"/>
      <c r="DT3" s="16"/>
      <c r="DU3" s="16"/>
      <c r="DV3" s="16"/>
      <c r="DW3" s="16"/>
      <c r="DX3" s="16"/>
      <c r="DY3" s="16"/>
      <c r="DZ3" s="16"/>
      <c r="EA3" s="16"/>
      <c r="EB3" s="16"/>
      <c r="EC3" s="16"/>
      <c r="ED3" s="16"/>
      <c r="EE3" s="16"/>
      <c r="EF3" s="16"/>
      <c r="EG3" s="16"/>
      <c r="EH3" s="16"/>
      <c r="EI3" s="16"/>
      <c r="EJ3" s="16"/>
      <c r="EK3" s="16"/>
      <c r="EL3" s="16"/>
      <c r="EM3" s="16"/>
      <c r="EN3" s="16"/>
      <c r="EO3" s="16"/>
      <c r="EP3" s="16"/>
      <c r="EQ3" s="16"/>
      <c r="ER3" s="16"/>
      <c r="ES3" s="16"/>
      <c r="ET3" s="16"/>
      <c r="EU3" s="16"/>
      <c r="EV3" s="16"/>
      <c r="EW3" s="16"/>
      <c r="EX3" s="16"/>
      <c r="EY3" s="16"/>
      <c r="EZ3" s="16"/>
      <c r="FA3" s="16"/>
      <c r="FB3" s="16"/>
      <c r="FC3" s="16"/>
      <c r="FD3" s="16"/>
      <c r="FE3" s="16"/>
      <c r="FF3" s="16"/>
      <c r="FG3" s="16"/>
      <c r="FH3" s="16"/>
      <c r="FI3" s="16"/>
      <c r="FJ3" s="16"/>
      <c r="FK3" s="16"/>
      <c r="FL3" s="16"/>
      <c r="FM3" s="16"/>
      <c r="FN3" s="16"/>
      <c r="FO3" s="16"/>
      <c r="FP3" s="16"/>
      <c r="FQ3" s="16"/>
      <c r="FR3" s="16"/>
      <c r="FS3" s="16"/>
      <c r="FT3" s="16"/>
      <c r="FU3" s="16"/>
      <c r="FV3" s="16"/>
      <c r="FW3" s="16"/>
      <c r="FX3" s="16"/>
      <c r="FY3" s="16"/>
      <c r="FZ3" s="16"/>
      <c r="GA3" s="16"/>
      <c r="GB3" s="16"/>
      <c r="GC3" s="16"/>
      <c r="GD3" s="16"/>
      <c r="GE3" s="16"/>
      <c r="GF3" s="16"/>
      <c r="GG3" s="16"/>
      <c r="GH3" s="16"/>
      <c r="GI3" s="16"/>
      <c r="GJ3" s="16"/>
      <c r="GK3" s="16"/>
      <c r="GL3" s="16"/>
      <c r="GM3" s="16"/>
      <c r="GN3" s="16"/>
      <c r="GO3" s="16"/>
      <c r="GP3" s="16"/>
      <c r="GQ3" s="16"/>
      <c r="GR3" s="16"/>
      <c r="GS3" s="16"/>
      <c r="GT3" s="16"/>
      <c r="GU3" s="16"/>
      <c r="GV3" s="16"/>
      <c r="GW3" s="16"/>
      <c r="GX3" s="16"/>
      <c r="GY3" s="16"/>
      <c r="GZ3" s="16"/>
      <c r="HA3" s="16"/>
      <c r="HB3" s="16"/>
      <c r="HC3" s="16"/>
      <c r="HD3" s="16"/>
      <c r="HE3" s="16"/>
      <c r="HF3" s="16"/>
      <c r="HG3" s="16"/>
      <c r="HH3" s="16"/>
      <c r="HI3" s="16"/>
      <c r="HJ3" s="16"/>
      <c r="HK3" s="16"/>
      <c r="HL3" s="16"/>
      <c r="HM3" s="16"/>
      <c r="HN3" s="16"/>
      <c r="HO3" s="16"/>
      <c r="HP3" s="16"/>
      <c r="HQ3" s="16"/>
      <c r="HR3" s="16"/>
      <c r="HS3" s="16"/>
      <c r="HT3" s="16"/>
      <c r="HU3" s="16"/>
      <c r="HV3" s="16"/>
      <c r="HW3" s="16"/>
      <c r="HX3" s="16"/>
      <c r="HY3" s="16"/>
      <c r="HZ3" s="16"/>
      <c r="IA3" s="16"/>
      <c r="IB3" s="16"/>
      <c r="IC3" s="16"/>
      <c r="ID3" s="16"/>
      <c r="IE3" s="16"/>
      <c r="IF3" s="16"/>
      <c r="IG3" s="16"/>
      <c r="IH3" s="16"/>
      <c r="II3" s="16"/>
      <c r="IJ3" s="16"/>
      <c r="IK3" s="16"/>
      <c r="IL3" s="16"/>
      <c r="IM3" s="16"/>
      <c r="IN3" s="16"/>
      <c r="IO3" s="16"/>
      <c r="IP3" s="16"/>
      <c r="IQ3" s="16"/>
      <c r="IR3" s="16"/>
      <c r="IS3" s="16"/>
      <c r="IT3" s="16"/>
      <c r="IU3" s="16"/>
    </row>
    <row r="4" spans="1:255" ht="15" customHeight="1">
      <c r="A4" s="1033"/>
      <c r="B4" s="1033"/>
      <c r="C4" s="1033"/>
      <c r="D4" s="1033"/>
      <c r="E4" s="1033"/>
      <c r="F4" s="1033"/>
      <c r="G4" s="1033"/>
      <c r="H4" s="1033"/>
      <c r="I4" s="1033"/>
      <c r="J4" s="1033"/>
      <c r="K4" s="1033"/>
      <c r="L4" s="1033"/>
      <c r="M4" s="1033"/>
      <c r="N4" s="1033"/>
      <c r="O4" s="1033"/>
      <c r="P4" s="1033"/>
      <c r="Q4" s="1033"/>
      <c r="R4" s="1033"/>
      <c r="S4" s="1033"/>
      <c r="T4" s="1033"/>
      <c r="U4" s="1033"/>
      <c r="V4" s="1033"/>
      <c r="W4" s="1033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6"/>
      <c r="DB4" s="16"/>
      <c r="DC4" s="16"/>
      <c r="DD4" s="16"/>
      <c r="DE4" s="16"/>
      <c r="DF4" s="16"/>
      <c r="DG4" s="16"/>
      <c r="DH4" s="16"/>
      <c r="DI4" s="16"/>
      <c r="DJ4" s="16"/>
      <c r="DK4" s="16"/>
      <c r="DL4" s="16"/>
      <c r="DM4" s="16"/>
      <c r="DN4" s="16"/>
      <c r="DO4" s="16"/>
      <c r="DP4" s="16"/>
      <c r="DQ4" s="16"/>
      <c r="DR4" s="16"/>
      <c r="DS4" s="16"/>
      <c r="DT4" s="16"/>
      <c r="DU4" s="16"/>
      <c r="DV4" s="16"/>
      <c r="DW4" s="16"/>
      <c r="DX4" s="16"/>
      <c r="DY4" s="16"/>
      <c r="DZ4" s="16"/>
      <c r="EA4" s="16"/>
      <c r="EB4" s="16"/>
      <c r="EC4" s="16"/>
      <c r="ED4" s="16"/>
      <c r="EE4" s="16"/>
      <c r="EF4" s="16"/>
      <c r="EG4" s="16"/>
      <c r="EH4" s="16"/>
      <c r="EI4" s="16"/>
      <c r="EJ4" s="16"/>
      <c r="EK4" s="16"/>
      <c r="EL4" s="16"/>
      <c r="EM4" s="16"/>
      <c r="EN4" s="16"/>
      <c r="EO4" s="16"/>
      <c r="EP4" s="16"/>
      <c r="EQ4" s="16"/>
      <c r="ER4" s="16"/>
      <c r="ES4" s="16"/>
      <c r="ET4" s="16"/>
      <c r="EU4" s="16"/>
      <c r="EV4" s="16"/>
      <c r="EW4" s="16"/>
      <c r="EX4" s="16"/>
      <c r="EY4" s="16"/>
      <c r="EZ4" s="16"/>
      <c r="FA4" s="16"/>
      <c r="FB4" s="16"/>
      <c r="FC4" s="16"/>
      <c r="FD4" s="16"/>
      <c r="FE4" s="16"/>
      <c r="FF4" s="16"/>
      <c r="FG4" s="16"/>
      <c r="FH4" s="16"/>
      <c r="FI4" s="16"/>
      <c r="FJ4" s="16"/>
      <c r="FK4" s="16"/>
      <c r="FL4" s="16"/>
      <c r="FM4" s="16"/>
      <c r="FN4" s="16"/>
      <c r="FO4" s="16"/>
      <c r="FP4" s="16"/>
      <c r="FQ4" s="16"/>
      <c r="FR4" s="16"/>
      <c r="FS4" s="16"/>
      <c r="FT4" s="16"/>
      <c r="FU4" s="16"/>
      <c r="FV4" s="16"/>
      <c r="FW4" s="16"/>
      <c r="FX4" s="16"/>
      <c r="FY4" s="16"/>
      <c r="FZ4" s="16"/>
      <c r="GA4" s="16"/>
      <c r="GB4" s="16"/>
      <c r="GC4" s="16"/>
      <c r="GD4" s="16"/>
      <c r="GE4" s="16"/>
      <c r="GF4" s="16"/>
      <c r="GG4" s="16"/>
      <c r="GH4" s="16"/>
      <c r="GI4" s="16"/>
      <c r="GJ4" s="16"/>
      <c r="GK4" s="16"/>
      <c r="GL4" s="16"/>
      <c r="GM4" s="16"/>
      <c r="GN4" s="16"/>
      <c r="GO4" s="16"/>
      <c r="GP4" s="16"/>
      <c r="GQ4" s="16"/>
      <c r="GR4" s="16"/>
      <c r="GS4" s="16"/>
      <c r="GT4" s="16"/>
      <c r="GU4" s="16"/>
      <c r="GV4" s="16"/>
      <c r="GW4" s="16"/>
      <c r="GX4" s="16"/>
      <c r="GY4" s="16"/>
      <c r="GZ4" s="16"/>
      <c r="HA4" s="16"/>
      <c r="HB4" s="16"/>
      <c r="HC4" s="16"/>
      <c r="HD4" s="16"/>
      <c r="HE4" s="16"/>
      <c r="HF4" s="16"/>
      <c r="HG4" s="16"/>
      <c r="HH4" s="16"/>
      <c r="HI4" s="16"/>
      <c r="HJ4" s="16"/>
      <c r="HK4" s="16"/>
      <c r="HL4" s="16"/>
      <c r="HM4" s="16"/>
      <c r="HN4" s="16"/>
      <c r="HO4" s="16"/>
      <c r="HP4" s="16"/>
      <c r="HQ4" s="16"/>
      <c r="HR4" s="16"/>
      <c r="HS4" s="16"/>
      <c r="HT4" s="16"/>
      <c r="HU4" s="16"/>
      <c r="HV4" s="16"/>
      <c r="HW4" s="16"/>
      <c r="HX4" s="16"/>
      <c r="HY4" s="16"/>
      <c r="HZ4" s="16"/>
      <c r="IA4" s="16"/>
      <c r="IB4" s="16"/>
      <c r="IC4" s="16"/>
      <c r="ID4" s="16"/>
      <c r="IE4" s="16"/>
      <c r="IF4" s="16"/>
      <c r="IG4" s="16"/>
      <c r="IH4" s="16"/>
      <c r="II4" s="16"/>
      <c r="IJ4" s="16"/>
      <c r="IK4" s="16"/>
      <c r="IL4" s="16"/>
      <c r="IM4" s="16"/>
      <c r="IN4" s="16"/>
      <c r="IO4" s="16"/>
      <c r="IP4" s="16"/>
      <c r="IQ4" s="16"/>
      <c r="IR4" s="16"/>
      <c r="IS4" s="16"/>
      <c r="IT4" s="16"/>
      <c r="IU4" s="16"/>
    </row>
    <row r="5" spans="1:255" ht="16.2" thickBot="1">
      <c r="A5" s="1033" t="s">
        <v>1225</v>
      </c>
      <c r="B5" s="1033"/>
      <c r="C5" s="1033"/>
      <c r="D5" s="1033"/>
      <c r="E5" s="1033"/>
      <c r="F5" s="1033"/>
      <c r="G5" s="1033"/>
      <c r="H5" s="1033"/>
      <c r="I5" s="1033"/>
      <c r="J5" s="1033"/>
      <c r="K5" s="1033"/>
      <c r="L5" s="1033"/>
      <c r="M5" s="1033"/>
      <c r="N5" s="1033"/>
      <c r="O5" s="1033"/>
      <c r="P5" s="1033"/>
      <c r="Q5" s="1033"/>
      <c r="R5" s="1033"/>
      <c r="S5" s="1033"/>
      <c r="T5" s="1033"/>
      <c r="U5" s="1033"/>
      <c r="V5" s="1033"/>
      <c r="W5" s="1033"/>
    </row>
    <row r="6" spans="1:255" ht="36" customHeight="1" thickBot="1">
      <c r="A6" s="1413"/>
      <c r="B6" s="1414"/>
      <c r="C6" s="1415"/>
      <c r="D6" s="1419" t="s">
        <v>207</v>
      </c>
      <c r="E6" s="1420"/>
      <c r="F6" s="1420"/>
      <c r="G6" s="1420"/>
      <c r="H6" s="1420"/>
      <c r="I6" s="1420"/>
      <c r="J6" s="1420"/>
      <c r="K6" s="1420"/>
      <c r="L6" s="1420"/>
      <c r="M6" s="1420"/>
      <c r="N6" s="1420"/>
      <c r="O6" s="1420"/>
      <c r="P6" s="1420"/>
      <c r="Q6" s="1420"/>
      <c r="R6" s="1420"/>
      <c r="S6" s="1420"/>
      <c r="T6" s="1420"/>
      <c r="U6" s="1420"/>
      <c r="V6" s="1420"/>
      <c r="W6" s="1421"/>
      <c r="Y6" s="1278" t="s">
        <v>1196</v>
      </c>
      <c r="Z6" s="1278"/>
      <c r="AA6" s="1279" t="s">
        <v>356</v>
      </c>
      <c r="AB6" s="1279"/>
      <c r="AC6" s="1279"/>
      <c r="AD6" s="1279"/>
      <c r="AE6" s="1279"/>
      <c r="AF6" s="1279"/>
      <c r="AG6" s="1279"/>
      <c r="AH6" s="1279"/>
      <c r="AI6" s="1279"/>
      <c r="AJ6" s="1279"/>
      <c r="AK6" s="1279"/>
      <c r="AL6" s="1279"/>
      <c r="AM6" s="1279"/>
      <c r="AN6" s="1279"/>
      <c r="AO6" s="1279"/>
      <c r="AP6" s="1279"/>
      <c r="AQ6" s="1279"/>
      <c r="AR6" s="1279"/>
      <c r="AS6" s="1279"/>
      <c r="AT6" s="1279"/>
    </row>
    <row r="7" spans="1:255" ht="14.25" customHeight="1" thickBot="1">
      <c r="A7" s="1416"/>
      <c r="B7" s="1417"/>
      <c r="C7" s="1418"/>
      <c r="D7" s="909">
        <v>0.3</v>
      </c>
      <c r="E7" s="910">
        <v>0.4</v>
      </c>
      <c r="F7" s="910">
        <v>0.5</v>
      </c>
      <c r="G7" s="910">
        <v>0.6</v>
      </c>
      <c r="H7" s="910">
        <v>0.7</v>
      </c>
      <c r="I7" s="910">
        <v>0.8</v>
      </c>
      <c r="J7" s="910">
        <v>0.9</v>
      </c>
      <c r="K7" s="910">
        <v>1</v>
      </c>
      <c r="L7" s="910">
        <v>1.1000000000000001</v>
      </c>
      <c r="M7" s="910">
        <v>1.2</v>
      </c>
      <c r="N7" s="910">
        <v>1.3</v>
      </c>
      <c r="O7" s="910">
        <v>1.4</v>
      </c>
      <c r="P7" s="910">
        <v>1.5</v>
      </c>
      <c r="Q7" s="910">
        <v>1.6</v>
      </c>
      <c r="R7" s="910">
        <v>1.7</v>
      </c>
      <c r="S7" s="910">
        <v>1.8</v>
      </c>
      <c r="T7" s="910">
        <v>1.9</v>
      </c>
      <c r="U7" s="910">
        <v>2</v>
      </c>
      <c r="V7" s="910">
        <v>2.1</v>
      </c>
      <c r="W7" s="911">
        <v>2.2000000000000002</v>
      </c>
      <c r="Y7" s="1278"/>
      <c r="Z7" s="1278"/>
      <c r="AA7" s="649">
        <v>0.3</v>
      </c>
      <c r="AB7" s="649">
        <v>0.4</v>
      </c>
      <c r="AC7" s="649">
        <v>0.5</v>
      </c>
      <c r="AD7" s="649">
        <v>0.6</v>
      </c>
      <c r="AE7" s="649">
        <v>0.7</v>
      </c>
      <c r="AF7" s="649">
        <v>0.8</v>
      </c>
      <c r="AG7" s="649">
        <v>0.9</v>
      </c>
      <c r="AH7" s="649">
        <v>1</v>
      </c>
      <c r="AI7" s="649">
        <v>1.1000000000000001</v>
      </c>
      <c r="AJ7" s="649">
        <v>1.2</v>
      </c>
      <c r="AK7" s="649">
        <v>1.3</v>
      </c>
      <c r="AL7" s="649">
        <v>1.4</v>
      </c>
      <c r="AM7" s="649">
        <v>1.5</v>
      </c>
      <c r="AN7" s="649">
        <v>1.6</v>
      </c>
      <c r="AO7" s="649">
        <v>1.7</v>
      </c>
      <c r="AP7" s="649">
        <v>1.8</v>
      </c>
      <c r="AQ7" s="649">
        <v>1.9</v>
      </c>
      <c r="AR7" s="649">
        <v>2</v>
      </c>
      <c r="AS7" s="649">
        <v>2.1</v>
      </c>
      <c r="AT7" s="649">
        <v>2.2000000000000002</v>
      </c>
    </row>
    <row r="8" spans="1:255" ht="20.25" customHeight="1">
      <c r="A8" s="1426" t="s">
        <v>3</v>
      </c>
      <c r="B8" s="1427"/>
      <c r="C8" s="907">
        <v>0.2</v>
      </c>
      <c r="D8" s="899">
        <f>(AA8*KFC!$B$17+KFC!$C$17)*KFC!$C$5</f>
        <v>17.473684161600001</v>
      </c>
      <c r="E8" s="913">
        <f>(AB8*KFC!$B$17+KFC!$C$17)*KFC!$C$5</f>
        <v>19.442832355532367</v>
      </c>
      <c r="F8" s="913">
        <f>(AC8*KFC!$B$17+KFC!$C$17)*KFC!$C$5</f>
        <v>21.411980549464737</v>
      </c>
      <c r="G8" s="913">
        <f>(AD8*KFC!$B$17+KFC!$C$17)*KFC!$C$5</f>
        <v>23.381128743397106</v>
      </c>
      <c r="H8" s="913">
        <f>(AE8*KFC!$B$17+KFC!$C$17)*KFC!$C$5</f>
        <v>25.350276937329475</v>
      </c>
      <c r="I8" s="913">
        <f>(AF8*KFC!$B$17+KFC!$C$17)*KFC!$C$5</f>
        <v>27.319425131261841</v>
      </c>
      <c r="J8" s="913">
        <f>(AG8*KFC!$B$17+KFC!$C$17)*KFC!$C$5</f>
        <v>29.288573325194214</v>
      </c>
      <c r="K8" s="913">
        <f>(AH8*KFC!$B$17+KFC!$C$17)*KFC!$C$5</f>
        <v>31.257721519126584</v>
      </c>
      <c r="L8" s="913">
        <f>(AI8*KFC!$B$17+KFC!$C$17)*KFC!$C$5</f>
        <v>33.226869713058953</v>
      </c>
      <c r="M8" s="913">
        <f>(AJ8*KFC!$B$17+KFC!$C$17)*KFC!$C$5</f>
        <v>35.196017906991322</v>
      </c>
      <c r="N8" s="913">
        <f>(AK8*KFC!$B$17+KFC!$C$17)*KFC!$C$5</f>
        <v>37.165166100923685</v>
      </c>
      <c r="O8" s="913">
        <f>(AL8*KFC!$B$17+KFC!$C$17)*KFC!$C$5</f>
        <v>39.134314294856054</v>
      </c>
      <c r="P8" s="913">
        <f>(AM8*KFC!$B$17+KFC!$C$17)*KFC!$C$5</f>
        <v>41.103462488788423</v>
      </c>
      <c r="Q8" s="913">
        <f>(AN8*KFC!$B$17+KFC!$C$17)*KFC!$C$5</f>
        <v>43.072610682720793</v>
      </c>
      <c r="R8" s="913">
        <f>(AO8*KFC!$B$17+KFC!$C$17)*KFC!$C$5</f>
        <v>45.041758876653155</v>
      </c>
      <c r="S8" s="913">
        <f>(AP8*KFC!$B$17+KFC!$C$17)*KFC!$C$5</f>
        <v>47.010907070585525</v>
      </c>
      <c r="T8" s="913">
        <f>(AQ8*KFC!$B$17+KFC!$C$17)*KFC!$C$5</f>
        <v>48.980055264517901</v>
      </c>
      <c r="U8" s="913">
        <f>(AR8*KFC!$B$17+KFC!$C$17)*KFC!$C$5</f>
        <v>50.94920345845027</v>
      </c>
      <c r="V8" s="913">
        <f>(AS8*KFC!$B$17+KFC!$C$17)*KFC!$C$5</f>
        <v>52.918351652382633</v>
      </c>
      <c r="W8" s="914">
        <f>(AT8*KFC!$B$17+KFC!$C$17)*KFC!$C$5</f>
        <v>54.887499846314995</v>
      </c>
      <c r="Y8" s="1277" t="s">
        <v>357</v>
      </c>
      <c r="Z8" s="649">
        <v>0.2</v>
      </c>
      <c r="AA8" s="882">
        <v>17.473684161600001</v>
      </c>
      <c r="AB8" s="882">
        <v>19.442832355532367</v>
      </c>
      <c r="AC8" s="882">
        <v>21.411980549464737</v>
      </c>
      <c r="AD8" s="882">
        <v>23.381128743397106</v>
      </c>
      <c r="AE8" s="882">
        <v>25.350276937329475</v>
      </c>
      <c r="AF8" s="882">
        <v>27.319425131261841</v>
      </c>
      <c r="AG8" s="882">
        <v>29.288573325194214</v>
      </c>
      <c r="AH8" s="882">
        <v>31.257721519126584</v>
      </c>
      <c r="AI8" s="882">
        <v>33.226869713058953</v>
      </c>
      <c r="AJ8" s="882">
        <v>35.196017906991322</v>
      </c>
      <c r="AK8" s="882">
        <v>37.165166100923685</v>
      </c>
      <c r="AL8" s="882">
        <v>39.134314294856054</v>
      </c>
      <c r="AM8" s="882">
        <v>41.103462488788423</v>
      </c>
      <c r="AN8" s="882">
        <v>43.072610682720793</v>
      </c>
      <c r="AO8" s="882">
        <v>45.041758876653155</v>
      </c>
      <c r="AP8" s="882">
        <v>47.010907070585525</v>
      </c>
      <c r="AQ8" s="882">
        <v>48.980055264517901</v>
      </c>
      <c r="AR8" s="882">
        <v>50.94920345845027</v>
      </c>
      <c r="AS8" s="882">
        <v>52.918351652382633</v>
      </c>
      <c r="AT8" s="882">
        <v>54.887499846314995</v>
      </c>
    </row>
    <row r="9" spans="1:255" ht="14.4" customHeight="1">
      <c r="A9" s="1426"/>
      <c r="B9" s="1427"/>
      <c r="C9" s="881">
        <v>0.3</v>
      </c>
      <c r="D9" s="915">
        <f>(AA9*KFC!$B$17+KFC!$C$17)*KFC!$C$5</f>
        <v>18.037467054758249</v>
      </c>
      <c r="E9" s="912">
        <f>(AB9*KFC!$B$17+KFC!$C$17)*KFC!$C$5</f>
        <v>20.117022104337156</v>
      </c>
      <c r="F9" s="912">
        <f>(AC9*KFC!$B$17+KFC!$C$17)*KFC!$C$5</f>
        <v>22.196577153916063</v>
      </c>
      <c r="G9" s="912">
        <f>(AD9*KFC!$B$17+KFC!$C$17)*KFC!$C$5</f>
        <v>24.276132203494974</v>
      </c>
      <c r="H9" s="912">
        <f>(AE9*KFC!$B$17+KFC!$C$17)*KFC!$C$5</f>
        <v>26.355687253073881</v>
      </c>
      <c r="I9" s="912">
        <f>(AF9*KFC!$B$17+KFC!$C$17)*KFC!$C$5</f>
        <v>28.435242302652792</v>
      </c>
      <c r="J9" s="912">
        <f>(AG9*KFC!$B$17+KFC!$C$17)*KFC!$C$5</f>
        <v>30.514797352231703</v>
      </c>
      <c r="K9" s="912">
        <f>(AH9*KFC!$B$17+KFC!$C$17)*KFC!$C$5</f>
        <v>32.59435240181061</v>
      </c>
      <c r="L9" s="912">
        <f>(AI9*KFC!$B$17+KFC!$C$17)*KFC!$C$5</f>
        <v>34.673907451389518</v>
      </c>
      <c r="M9" s="912">
        <f>(AJ9*KFC!$B$17+KFC!$C$17)*KFC!$C$5</f>
        <v>36.753462500968432</v>
      </c>
      <c r="N9" s="912">
        <f>(AK9*KFC!$B$17+KFC!$C$17)*KFC!$C$5</f>
        <v>38.833017550547339</v>
      </c>
      <c r="O9" s="912">
        <f>(AL9*KFC!$B$17+KFC!$C$17)*KFC!$C$5</f>
        <v>40.912572600126246</v>
      </c>
      <c r="P9" s="912">
        <f>(AM9*KFC!$B$17+KFC!$C$17)*KFC!$C$5</f>
        <v>42.992127649705154</v>
      </c>
      <c r="Q9" s="912">
        <f>(AN9*KFC!$B$17+KFC!$C$17)*KFC!$C$5</f>
        <v>45.071682699284068</v>
      </c>
      <c r="R9" s="912">
        <f>(AO9*KFC!$B$17+KFC!$C$17)*KFC!$C$5</f>
        <v>47.151237748862975</v>
      </c>
      <c r="S9" s="912">
        <f>(AP9*KFC!$B$17+KFC!$C$17)*KFC!$C$5</f>
        <v>49.230792798441875</v>
      </c>
      <c r="T9" s="912">
        <f>(AQ9*KFC!$B$17+KFC!$C$17)*KFC!$C$5</f>
        <v>51.31034784802079</v>
      </c>
      <c r="U9" s="912">
        <f>(AR9*KFC!$B$17+KFC!$C$17)*KFC!$C$5</f>
        <v>53.389902897599697</v>
      </c>
      <c r="V9" s="912">
        <f>(AS9*KFC!$B$17+KFC!$C$17)*KFC!$C$5</f>
        <v>55.469457947178611</v>
      </c>
      <c r="W9" s="916">
        <f>(AT9*KFC!$B$17+KFC!$C$17)*KFC!$C$5</f>
        <v>57.549012996757497</v>
      </c>
      <c r="Y9" s="1277"/>
      <c r="Z9" s="649">
        <v>0.3</v>
      </c>
      <c r="AA9" s="882">
        <v>18.037467054758249</v>
      </c>
      <c r="AB9" s="882">
        <v>20.117022104337156</v>
      </c>
      <c r="AC9" s="882">
        <v>22.196577153916063</v>
      </c>
      <c r="AD9" s="882">
        <v>24.276132203494974</v>
      </c>
      <c r="AE9" s="882">
        <v>26.355687253073881</v>
      </c>
      <c r="AF9" s="882">
        <v>28.435242302652792</v>
      </c>
      <c r="AG9" s="882">
        <v>30.514797352231703</v>
      </c>
      <c r="AH9" s="882">
        <v>32.59435240181061</v>
      </c>
      <c r="AI9" s="882">
        <v>34.673907451389518</v>
      </c>
      <c r="AJ9" s="882">
        <v>36.753462500968432</v>
      </c>
      <c r="AK9" s="882">
        <v>38.833017550547339</v>
      </c>
      <c r="AL9" s="882">
        <v>40.912572600126246</v>
      </c>
      <c r="AM9" s="882">
        <v>42.992127649705154</v>
      </c>
      <c r="AN9" s="882">
        <v>45.071682699284068</v>
      </c>
      <c r="AO9" s="882">
        <v>47.151237748862975</v>
      </c>
      <c r="AP9" s="882">
        <v>49.230792798441875</v>
      </c>
      <c r="AQ9" s="882">
        <v>51.31034784802079</v>
      </c>
      <c r="AR9" s="882">
        <v>53.389902897599697</v>
      </c>
      <c r="AS9" s="882">
        <v>55.469457947178611</v>
      </c>
      <c r="AT9" s="882">
        <v>57.549012996757497</v>
      </c>
    </row>
    <row r="10" spans="1:255">
      <c r="A10" s="1426"/>
      <c r="B10" s="1427"/>
      <c r="C10" s="881">
        <v>0.4</v>
      </c>
      <c r="D10" s="915">
        <f>(AA10*KFC!$B$17+KFC!$C$17)*KFC!$C$5</f>
        <v>18.601249947916497</v>
      </c>
      <c r="E10" s="912">
        <f>(AB10*KFC!$B$17+KFC!$C$17)*KFC!$C$5</f>
        <v>20.791211853141945</v>
      </c>
      <c r="F10" s="912">
        <f>(AC10*KFC!$B$17+KFC!$C$17)*KFC!$C$5</f>
        <v>22.981173758367394</v>
      </c>
      <c r="G10" s="912">
        <f>(AD10*KFC!$B$17+KFC!$C$17)*KFC!$C$5</f>
        <v>25.171135663592842</v>
      </c>
      <c r="H10" s="912">
        <f>(AE10*KFC!$B$17+KFC!$C$17)*KFC!$C$5</f>
        <v>27.361097568818295</v>
      </c>
      <c r="I10" s="912">
        <f>(AF10*KFC!$B$17+KFC!$C$17)*KFC!$C$5</f>
        <v>29.55105947404374</v>
      </c>
      <c r="J10" s="912">
        <f>(AG10*KFC!$B$17+KFC!$C$17)*KFC!$C$5</f>
        <v>31.741021379269192</v>
      </c>
      <c r="K10" s="912">
        <f>(AH10*KFC!$B$17+KFC!$C$17)*KFC!$C$5</f>
        <v>33.930983284494644</v>
      </c>
      <c r="L10" s="912">
        <f>(AI10*KFC!$B$17+KFC!$C$17)*KFC!$C$5</f>
        <v>36.120945189720089</v>
      </c>
      <c r="M10" s="912">
        <f>(AJ10*KFC!$B$17+KFC!$C$17)*KFC!$C$5</f>
        <v>38.310907094945541</v>
      </c>
      <c r="N10" s="912">
        <f>(AK10*KFC!$B$17+KFC!$C$17)*KFC!$C$5</f>
        <v>40.500869000170987</v>
      </c>
      <c r="O10" s="912">
        <f>(AL10*KFC!$B$17+KFC!$C$17)*KFC!$C$5</f>
        <v>42.690830905396439</v>
      </c>
      <c r="P10" s="912">
        <f>(AM10*KFC!$B$17+KFC!$C$17)*KFC!$C$5</f>
        <v>44.880792810621891</v>
      </c>
      <c r="Q10" s="912">
        <f>(AN10*KFC!$B$17+KFC!$C$17)*KFC!$C$5</f>
        <v>47.070754715847336</v>
      </c>
      <c r="R10" s="912">
        <f>(AO10*KFC!$B$17+KFC!$C$17)*KFC!$C$5</f>
        <v>49.260716621072788</v>
      </c>
      <c r="S10" s="912">
        <f>(AP10*KFC!$B$17+KFC!$C$17)*KFC!$C$5</f>
        <v>51.450678526298233</v>
      </c>
      <c r="T10" s="912">
        <f>(AQ10*KFC!$B$17+KFC!$C$17)*KFC!$C$5</f>
        <v>53.640640431523686</v>
      </c>
      <c r="U10" s="912">
        <f>(AR10*KFC!$B$17+KFC!$C$17)*KFC!$C$5</f>
        <v>55.830602336749131</v>
      </c>
      <c r="V10" s="912">
        <f>(AS10*KFC!$B$17+KFC!$C$17)*KFC!$C$5</f>
        <v>58.020564241974583</v>
      </c>
      <c r="W10" s="916">
        <f>(AT10*KFC!$B$17+KFC!$C$17)*KFC!$C$5</f>
        <v>60.2105261472</v>
      </c>
      <c r="Y10" s="1277"/>
      <c r="Z10" s="649">
        <v>0.4</v>
      </c>
      <c r="AA10" s="882">
        <v>18.601249947916497</v>
      </c>
      <c r="AB10" s="882">
        <v>20.791211853141945</v>
      </c>
      <c r="AC10" s="882">
        <v>22.981173758367394</v>
      </c>
      <c r="AD10" s="882">
        <v>25.171135663592842</v>
      </c>
      <c r="AE10" s="882">
        <v>27.361097568818295</v>
      </c>
      <c r="AF10" s="882">
        <v>29.55105947404374</v>
      </c>
      <c r="AG10" s="882">
        <v>31.741021379269192</v>
      </c>
      <c r="AH10" s="882">
        <v>33.930983284494644</v>
      </c>
      <c r="AI10" s="882">
        <v>36.120945189720089</v>
      </c>
      <c r="AJ10" s="882">
        <v>38.310907094945541</v>
      </c>
      <c r="AK10" s="882">
        <v>40.500869000170987</v>
      </c>
      <c r="AL10" s="882">
        <v>42.690830905396439</v>
      </c>
      <c r="AM10" s="882">
        <v>44.880792810621891</v>
      </c>
      <c r="AN10" s="882">
        <v>47.070754715847336</v>
      </c>
      <c r="AO10" s="882">
        <v>49.260716621072788</v>
      </c>
      <c r="AP10" s="882">
        <v>51.450678526298233</v>
      </c>
      <c r="AQ10" s="882">
        <v>53.640640431523686</v>
      </c>
      <c r="AR10" s="882">
        <v>55.830602336749131</v>
      </c>
      <c r="AS10" s="882">
        <v>58.020564241974583</v>
      </c>
      <c r="AT10" s="882">
        <v>60.2105261472</v>
      </c>
    </row>
    <row r="11" spans="1:255">
      <c r="A11" s="1426"/>
      <c r="B11" s="1427"/>
      <c r="C11" s="881">
        <v>0.5</v>
      </c>
      <c r="D11" s="915">
        <f>(AA11*KFC!$B$17+KFC!$C$17)*KFC!$C$5</f>
        <v>19.165032841074748</v>
      </c>
      <c r="E11" s="912">
        <f>(AB11*KFC!$B$17+KFC!$C$17)*KFC!$C$5</f>
        <v>21.465401601946731</v>
      </c>
      <c r="F11" s="912">
        <f>(AC11*KFC!$B$17+KFC!$C$17)*KFC!$C$5</f>
        <v>23.765770362818721</v>
      </c>
      <c r="G11" s="912">
        <f>(AD11*KFC!$B$17+KFC!$C$17)*KFC!$C$5</f>
        <v>26.066139123690707</v>
      </c>
      <c r="H11" s="912">
        <f>(AE11*KFC!$B$17+KFC!$C$17)*KFC!$C$5</f>
        <v>28.366507884562694</v>
      </c>
      <c r="I11" s="912">
        <f>(AF11*KFC!$B$17+KFC!$C$17)*KFC!$C$5</f>
        <v>30.66687664543468</v>
      </c>
      <c r="J11" s="912">
        <f>(AG11*KFC!$B$17+KFC!$C$17)*KFC!$C$5</f>
        <v>32.96724540630666</v>
      </c>
      <c r="K11" s="912">
        <f>(AH11*KFC!$B$17+KFC!$C$17)*KFC!$C$5</f>
        <v>35.26761416717865</v>
      </c>
      <c r="L11" s="912">
        <f>(AI11*KFC!$B$17+KFC!$C$17)*KFC!$C$5</f>
        <v>37.567982928050633</v>
      </c>
      <c r="M11" s="912">
        <f>(AJ11*KFC!$B$17+KFC!$C$17)*KFC!$C$5</f>
        <v>39.86835168892263</v>
      </c>
      <c r="N11" s="912">
        <f>(AK11*KFC!$B$17+KFC!$C$17)*KFC!$C$5</f>
        <v>42.168720449794613</v>
      </c>
      <c r="O11" s="912">
        <f>(AL11*KFC!$B$17+KFC!$C$17)*KFC!$C$5</f>
        <v>44.469089210666603</v>
      </c>
      <c r="P11" s="912">
        <f>(AM11*KFC!$B$17+KFC!$C$17)*KFC!$C$5</f>
        <v>46.7694579715386</v>
      </c>
      <c r="Q11" s="912">
        <f>(AN11*KFC!$B$17+KFC!$C$17)*KFC!$C$5</f>
        <v>49.069826732410583</v>
      </c>
      <c r="R11" s="912">
        <f>(AO11*KFC!$B$17+KFC!$C$17)*KFC!$C$5</f>
        <v>51.370195493282573</v>
      </c>
      <c r="S11" s="912">
        <f>(AP11*KFC!$B$17+KFC!$C$17)*KFC!$C$5</f>
        <v>53.670564254154556</v>
      </c>
      <c r="T11" s="912">
        <f>(AQ11*KFC!$B$17+KFC!$C$17)*KFC!$C$5</f>
        <v>55.970933015026546</v>
      </c>
      <c r="U11" s="912">
        <f>(AR11*KFC!$B$17+KFC!$C$17)*KFC!$C$5</f>
        <v>58.271301775898543</v>
      </c>
      <c r="V11" s="912">
        <f>(AS11*KFC!$B$17+KFC!$C$17)*KFC!$C$5</f>
        <v>60.571670536770526</v>
      </c>
      <c r="W11" s="916">
        <f>(AT11*KFC!$B$17+KFC!$C$17)*KFC!$C$5</f>
        <v>62.872039297642495</v>
      </c>
      <c r="Y11" s="1277"/>
      <c r="Z11" s="649">
        <v>0.5</v>
      </c>
      <c r="AA11" s="882">
        <v>19.165032841074748</v>
      </c>
      <c r="AB11" s="882">
        <v>21.465401601946731</v>
      </c>
      <c r="AC11" s="882">
        <v>23.765770362818721</v>
      </c>
      <c r="AD11" s="882">
        <v>26.066139123690707</v>
      </c>
      <c r="AE11" s="882">
        <v>28.366507884562694</v>
      </c>
      <c r="AF11" s="882">
        <v>30.66687664543468</v>
      </c>
      <c r="AG11" s="882">
        <v>32.96724540630666</v>
      </c>
      <c r="AH11" s="882">
        <v>35.26761416717865</v>
      </c>
      <c r="AI11" s="882">
        <v>37.567982928050633</v>
      </c>
      <c r="AJ11" s="882">
        <v>39.86835168892263</v>
      </c>
      <c r="AK11" s="882">
        <v>42.168720449794613</v>
      </c>
      <c r="AL11" s="882">
        <v>44.469089210666603</v>
      </c>
      <c r="AM11" s="882">
        <v>46.7694579715386</v>
      </c>
      <c r="AN11" s="882">
        <v>49.069826732410583</v>
      </c>
      <c r="AO11" s="882">
        <v>51.370195493282573</v>
      </c>
      <c r="AP11" s="882">
        <v>53.670564254154556</v>
      </c>
      <c r="AQ11" s="882">
        <v>55.970933015026546</v>
      </c>
      <c r="AR11" s="882">
        <v>58.271301775898543</v>
      </c>
      <c r="AS11" s="882">
        <v>60.571670536770526</v>
      </c>
      <c r="AT11" s="882">
        <v>62.872039297642495</v>
      </c>
    </row>
    <row r="12" spans="1:255">
      <c r="A12" s="1426"/>
      <c r="B12" s="1427"/>
      <c r="C12" s="881">
        <v>0.6</v>
      </c>
      <c r="D12" s="915">
        <f>(AA12*KFC!$B$17+KFC!$C$17)*KFC!$C$5</f>
        <v>19.728815734232995</v>
      </c>
      <c r="E12" s="912">
        <f>(AB12*KFC!$B$17+KFC!$C$17)*KFC!$C$5</f>
        <v>22.139591350751523</v>
      </c>
      <c r="F12" s="912">
        <f>(AC12*KFC!$B$17+KFC!$C$17)*KFC!$C$5</f>
        <v>24.550366967270048</v>
      </c>
      <c r="G12" s="912">
        <f>(AD12*KFC!$B$17+KFC!$C$17)*KFC!$C$5</f>
        <v>26.961142583788575</v>
      </c>
      <c r="H12" s="912">
        <f>(AE12*KFC!$B$17+KFC!$C$17)*KFC!$C$5</f>
        <v>29.371918200307103</v>
      </c>
      <c r="I12" s="912">
        <f>(AF12*KFC!$B$17+KFC!$C$17)*KFC!$C$5</f>
        <v>31.782693816825628</v>
      </c>
      <c r="J12" s="912">
        <f>(AG12*KFC!$B$17+KFC!$C$17)*KFC!$C$5</f>
        <v>34.193469433344156</v>
      </c>
      <c r="K12" s="912">
        <f>(AH12*KFC!$B$17+KFC!$C$17)*KFC!$C$5</f>
        <v>36.604245049862676</v>
      </c>
      <c r="L12" s="912">
        <f>(AI12*KFC!$B$17+KFC!$C$17)*KFC!$C$5</f>
        <v>39.015020666381211</v>
      </c>
      <c r="M12" s="912">
        <f>(AJ12*KFC!$B$17+KFC!$C$17)*KFC!$C$5</f>
        <v>41.425796282899739</v>
      </c>
      <c r="N12" s="912">
        <f>(AK12*KFC!$B$17+KFC!$C$17)*KFC!$C$5</f>
        <v>43.83657189941826</v>
      </c>
      <c r="O12" s="912">
        <f>(AL12*KFC!$B$17+KFC!$C$17)*KFC!$C$5</f>
        <v>46.247347515936795</v>
      </c>
      <c r="P12" s="912">
        <f>(AM12*KFC!$B$17+KFC!$C$17)*KFC!$C$5</f>
        <v>48.658123132455323</v>
      </c>
      <c r="Q12" s="912">
        <f>(AN12*KFC!$B$17+KFC!$C$17)*KFC!$C$5</f>
        <v>51.068898748973858</v>
      </c>
      <c r="R12" s="912">
        <f>(AO12*KFC!$B$17+KFC!$C$17)*KFC!$C$5</f>
        <v>53.479674365492379</v>
      </c>
      <c r="S12" s="912">
        <f>(AP12*KFC!$B$17+KFC!$C$17)*KFC!$C$5</f>
        <v>55.890449982010914</v>
      </c>
      <c r="T12" s="912">
        <f>(AQ12*KFC!$B$17+KFC!$C$17)*KFC!$C$5</f>
        <v>58.301225598529442</v>
      </c>
      <c r="U12" s="912">
        <f>(AR12*KFC!$B$17+KFC!$C$17)*KFC!$C$5</f>
        <v>60.712001215047977</v>
      </c>
      <c r="V12" s="912">
        <f>(AS12*KFC!$B$17+KFC!$C$17)*KFC!$C$5</f>
        <v>63.122776831566505</v>
      </c>
      <c r="W12" s="916">
        <f>(AT12*KFC!$B$17+KFC!$C$17)*KFC!$C$5</f>
        <v>65.53355244808499</v>
      </c>
      <c r="Y12" s="1277"/>
      <c r="Z12" s="649">
        <v>0.6</v>
      </c>
      <c r="AA12" s="882">
        <v>19.728815734232995</v>
      </c>
      <c r="AB12" s="882">
        <v>22.139591350751523</v>
      </c>
      <c r="AC12" s="882">
        <v>24.550366967270048</v>
      </c>
      <c r="AD12" s="882">
        <v>26.961142583788575</v>
      </c>
      <c r="AE12" s="882">
        <v>29.371918200307103</v>
      </c>
      <c r="AF12" s="882">
        <v>31.782693816825628</v>
      </c>
      <c r="AG12" s="882">
        <v>34.193469433344156</v>
      </c>
      <c r="AH12" s="882">
        <v>36.604245049862676</v>
      </c>
      <c r="AI12" s="882">
        <v>39.015020666381211</v>
      </c>
      <c r="AJ12" s="882">
        <v>41.425796282899739</v>
      </c>
      <c r="AK12" s="882">
        <v>43.83657189941826</v>
      </c>
      <c r="AL12" s="882">
        <v>46.247347515936795</v>
      </c>
      <c r="AM12" s="882">
        <v>48.658123132455323</v>
      </c>
      <c r="AN12" s="882">
        <v>51.068898748973858</v>
      </c>
      <c r="AO12" s="882">
        <v>53.479674365492379</v>
      </c>
      <c r="AP12" s="882">
        <v>55.890449982010914</v>
      </c>
      <c r="AQ12" s="882">
        <v>58.301225598529442</v>
      </c>
      <c r="AR12" s="882">
        <v>60.712001215047977</v>
      </c>
      <c r="AS12" s="882">
        <v>63.122776831566505</v>
      </c>
      <c r="AT12" s="882">
        <v>65.53355244808499</v>
      </c>
    </row>
    <row r="13" spans="1:255">
      <c r="A13" s="1426"/>
      <c r="B13" s="1427"/>
      <c r="C13" s="881">
        <v>0.7</v>
      </c>
      <c r="D13" s="915">
        <f>(AA13*KFC!$B$17+KFC!$C$17)*KFC!$C$5</f>
        <v>20.292598627391246</v>
      </c>
      <c r="E13" s="912">
        <f>(AB13*KFC!$B$17+KFC!$C$17)*KFC!$C$5</f>
        <v>22.813781099556316</v>
      </c>
      <c r="F13" s="912">
        <f>(AC13*KFC!$B$17+KFC!$C$17)*KFC!$C$5</f>
        <v>25.334963571721378</v>
      </c>
      <c r="G13" s="912">
        <f>(AD13*KFC!$B$17+KFC!$C$17)*KFC!$C$5</f>
        <v>27.856146043886447</v>
      </c>
      <c r="H13" s="912">
        <f>(AE13*KFC!$B$17+KFC!$C$17)*KFC!$C$5</f>
        <v>30.377328516051513</v>
      </c>
      <c r="I13" s="912">
        <f>(AF13*KFC!$B$17+KFC!$C$17)*KFC!$C$5</f>
        <v>32.898510988216579</v>
      </c>
      <c r="J13" s="912">
        <f>(AG13*KFC!$B$17+KFC!$C$17)*KFC!$C$5</f>
        <v>35.419693460381637</v>
      </c>
      <c r="K13" s="912">
        <f>(AH13*KFC!$B$17+KFC!$C$17)*KFC!$C$5</f>
        <v>37.94087593254671</v>
      </c>
      <c r="L13" s="912">
        <f>(AI13*KFC!$B$17+KFC!$C$17)*KFC!$C$5</f>
        <v>40.462058404711769</v>
      </c>
      <c r="M13" s="912">
        <f>(AJ13*KFC!$B$17+KFC!$C$17)*KFC!$C$5</f>
        <v>42.983240876876842</v>
      </c>
      <c r="N13" s="912">
        <f>(AK13*KFC!$B$17+KFC!$C$17)*KFC!$C$5</f>
        <v>45.504423349041915</v>
      </c>
      <c r="O13" s="912">
        <f>(AL13*KFC!$B$17+KFC!$C$17)*KFC!$C$5</f>
        <v>48.025605821206987</v>
      </c>
      <c r="P13" s="912">
        <f>(AM13*KFC!$B$17+KFC!$C$17)*KFC!$C$5</f>
        <v>50.546788293372046</v>
      </c>
      <c r="Q13" s="912">
        <f>(AN13*KFC!$B$17+KFC!$C$17)*KFC!$C$5</f>
        <v>53.067970765537119</v>
      </c>
      <c r="R13" s="912">
        <f>(AO13*KFC!$B$17+KFC!$C$17)*KFC!$C$5</f>
        <v>55.589153237702185</v>
      </c>
      <c r="S13" s="912">
        <f>(AP13*KFC!$B$17+KFC!$C$17)*KFC!$C$5</f>
        <v>58.110335709867257</v>
      </c>
      <c r="T13" s="912">
        <f>(AQ13*KFC!$B$17+KFC!$C$17)*KFC!$C$5</f>
        <v>60.631518182032323</v>
      </c>
      <c r="U13" s="912">
        <f>(AR13*KFC!$B$17+KFC!$C$17)*KFC!$C$5</f>
        <v>63.152700654197403</v>
      </c>
      <c r="V13" s="912">
        <f>(AS13*KFC!$B$17+KFC!$C$17)*KFC!$C$5</f>
        <v>65.673883126362469</v>
      </c>
      <c r="W13" s="916">
        <f>(AT13*KFC!$B$17+KFC!$C$17)*KFC!$C$5</f>
        <v>68.195065598527492</v>
      </c>
      <c r="Y13" s="1277"/>
      <c r="Z13" s="649">
        <v>0.7</v>
      </c>
      <c r="AA13" s="882">
        <v>20.292598627391246</v>
      </c>
      <c r="AB13" s="882">
        <v>22.813781099556316</v>
      </c>
      <c r="AC13" s="882">
        <v>25.334963571721378</v>
      </c>
      <c r="AD13" s="882">
        <v>27.856146043886447</v>
      </c>
      <c r="AE13" s="882">
        <v>30.377328516051513</v>
      </c>
      <c r="AF13" s="882">
        <v>32.898510988216579</v>
      </c>
      <c r="AG13" s="882">
        <v>35.419693460381637</v>
      </c>
      <c r="AH13" s="882">
        <v>37.94087593254671</v>
      </c>
      <c r="AI13" s="882">
        <v>40.462058404711769</v>
      </c>
      <c r="AJ13" s="882">
        <v>42.983240876876842</v>
      </c>
      <c r="AK13" s="882">
        <v>45.504423349041915</v>
      </c>
      <c r="AL13" s="882">
        <v>48.025605821206987</v>
      </c>
      <c r="AM13" s="882">
        <v>50.546788293372046</v>
      </c>
      <c r="AN13" s="882">
        <v>53.067970765537119</v>
      </c>
      <c r="AO13" s="882">
        <v>55.589153237702185</v>
      </c>
      <c r="AP13" s="882">
        <v>58.110335709867257</v>
      </c>
      <c r="AQ13" s="882">
        <v>60.631518182032323</v>
      </c>
      <c r="AR13" s="882">
        <v>63.152700654197403</v>
      </c>
      <c r="AS13" s="882">
        <v>65.673883126362469</v>
      </c>
      <c r="AT13" s="882">
        <v>68.195065598527492</v>
      </c>
    </row>
    <row r="14" spans="1:255">
      <c r="A14" s="1426"/>
      <c r="B14" s="1427"/>
      <c r="C14" s="881">
        <v>0.8</v>
      </c>
      <c r="D14" s="915">
        <f>(AA14*KFC!$B$17+KFC!$C$17)*KFC!$C$5</f>
        <v>20.856381520549494</v>
      </c>
      <c r="E14" s="912">
        <f>(AB14*KFC!$B$17+KFC!$C$17)*KFC!$C$5</f>
        <v>23.487970848361101</v>
      </c>
      <c r="F14" s="912">
        <f>(AC14*KFC!$B$17+KFC!$C$17)*KFC!$C$5</f>
        <v>26.119560176172708</v>
      </c>
      <c r="G14" s="912">
        <f>(AD14*KFC!$B$17+KFC!$C$17)*KFC!$C$5</f>
        <v>28.751149503984315</v>
      </c>
      <c r="H14" s="912">
        <f>(AE14*KFC!$B$17+KFC!$C$17)*KFC!$C$5</f>
        <v>31.382738831795919</v>
      </c>
      <c r="I14" s="912">
        <f>(AF14*KFC!$B$17+KFC!$C$17)*KFC!$C$5</f>
        <v>34.01432815960753</v>
      </c>
      <c r="J14" s="912">
        <f>(AG14*KFC!$B$17+KFC!$C$17)*KFC!$C$5</f>
        <v>36.645917487419133</v>
      </c>
      <c r="K14" s="912">
        <f>(AH14*KFC!$B$17+KFC!$C$17)*KFC!$C$5</f>
        <v>39.277506815230737</v>
      </c>
      <c r="L14" s="912">
        <f>(AI14*KFC!$B$17+KFC!$C$17)*KFC!$C$5</f>
        <v>41.909096143042341</v>
      </c>
      <c r="M14" s="912">
        <f>(AJ14*KFC!$B$17+KFC!$C$17)*KFC!$C$5</f>
        <v>44.540685470853944</v>
      </c>
      <c r="N14" s="912">
        <f>(AK14*KFC!$B$17+KFC!$C$17)*KFC!$C$5</f>
        <v>47.172274798665541</v>
      </c>
      <c r="O14" s="912">
        <f>(AL14*KFC!$B$17+KFC!$C$17)*KFC!$C$5</f>
        <v>49.803864126477144</v>
      </c>
      <c r="P14" s="912">
        <f>(AM14*KFC!$B$17+KFC!$C$17)*KFC!$C$5</f>
        <v>52.435453454288748</v>
      </c>
      <c r="Q14" s="912">
        <f>(AN14*KFC!$B$17+KFC!$C$17)*KFC!$C$5</f>
        <v>55.067042782100344</v>
      </c>
      <c r="R14" s="912">
        <f>(AO14*KFC!$B$17+KFC!$C$17)*KFC!$C$5</f>
        <v>57.698632109911948</v>
      </c>
      <c r="S14" s="912">
        <f>(AP14*KFC!$B$17+KFC!$C$17)*KFC!$C$5</f>
        <v>60.330221437723552</v>
      </c>
      <c r="T14" s="912">
        <f>(AQ14*KFC!$B$17+KFC!$C$17)*KFC!$C$5</f>
        <v>62.961810765535162</v>
      </c>
      <c r="U14" s="912">
        <f>(AR14*KFC!$B$17+KFC!$C$17)*KFC!$C$5</f>
        <v>65.593400093346759</v>
      </c>
      <c r="V14" s="912">
        <f>(AS14*KFC!$B$17+KFC!$C$17)*KFC!$C$5</f>
        <v>68.224989421158369</v>
      </c>
      <c r="W14" s="916">
        <f>(AT14*KFC!$B$17+KFC!$C$17)*KFC!$C$5</f>
        <v>70.856578748970009</v>
      </c>
      <c r="Y14" s="1277"/>
      <c r="Z14" s="649">
        <v>0.8</v>
      </c>
      <c r="AA14" s="882">
        <v>20.856381520549494</v>
      </c>
      <c r="AB14" s="882">
        <v>23.487970848361101</v>
      </c>
      <c r="AC14" s="882">
        <v>26.119560176172708</v>
      </c>
      <c r="AD14" s="882">
        <v>28.751149503984315</v>
      </c>
      <c r="AE14" s="882">
        <v>31.382738831795919</v>
      </c>
      <c r="AF14" s="882">
        <v>34.01432815960753</v>
      </c>
      <c r="AG14" s="882">
        <v>36.645917487419133</v>
      </c>
      <c r="AH14" s="882">
        <v>39.277506815230737</v>
      </c>
      <c r="AI14" s="882">
        <v>41.909096143042341</v>
      </c>
      <c r="AJ14" s="882">
        <v>44.540685470853944</v>
      </c>
      <c r="AK14" s="882">
        <v>47.172274798665541</v>
      </c>
      <c r="AL14" s="882">
        <v>49.803864126477144</v>
      </c>
      <c r="AM14" s="882">
        <v>52.435453454288748</v>
      </c>
      <c r="AN14" s="882">
        <v>55.067042782100344</v>
      </c>
      <c r="AO14" s="882">
        <v>57.698632109911948</v>
      </c>
      <c r="AP14" s="882">
        <v>60.330221437723552</v>
      </c>
      <c r="AQ14" s="882">
        <v>62.961810765535162</v>
      </c>
      <c r="AR14" s="882">
        <v>65.593400093346759</v>
      </c>
      <c r="AS14" s="882">
        <v>68.224989421158369</v>
      </c>
      <c r="AT14" s="882">
        <v>70.856578748970009</v>
      </c>
    </row>
    <row r="15" spans="1:255">
      <c r="A15" s="1426"/>
      <c r="B15" s="1427"/>
      <c r="C15" s="881">
        <v>0.9</v>
      </c>
      <c r="D15" s="915">
        <f>(AA15*KFC!$B$17+KFC!$C$17)*KFC!$C$5</f>
        <v>21.420164413707749</v>
      </c>
      <c r="E15" s="912">
        <f>(AB15*KFC!$B$17+KFC!$C$17)*KFC!$C$5</f>
        <v>24.162160597165894</v>
      </c>
      <c r="F15" s="912">
        <f>(AC15*KFC!$B$17+KFC!$C$17)*KFC!$C$5</f>
        <v>26.904156780624039</v>
      </c>
      <c r="G15" s="912">
        <f>(AD15*KFC!$B$17+KFC!$C$17)*KFC!$C$5</f>
        <v>29.646152964082187</v>
      </c>
      <c r="H15" s="912">
        <f>(AE15*KFC!$B$17+KFC!$C$17)*KFC!$C$5</f>
        <v>32.388149147540332</v>
      </c>
      <c r="I15" s="912">
        <f>(AF15*KFC!$B$17+KFC!$C$17)*KFC!$C$5</f>
        <v>35.130145330998474</v>
      </c>
      <c r="J15" s="912">
        <f>(AG15*KFC!$B$17+KFC!$C$17)*KFC!$C$5</f>
        <v>37.872141514456622</v>
      </c>
      <c r="K15" s="912">
        <f>(AH15*KFC!$B$17+KFC!$C$17)*KFC!$C$5</f>
        <v>40.614137697914764</v>
      </c>
      <c r="L15" s="912">
        <f>(AI15*KFC!$B$17+KFC!$C$17)*KFC!$C$5</f>
        <v>43.356133881372905</v>
      </c>
      <c r="M15" s="912">
        <f>(AJ15*KFC!$B$17+KFC!$C$17)*KFC!$C$5</f>
        <v>46.098130064831054</v>
      </c>
      <c r="N15" s="912">
        <f>(AK15*KFC!$B$17+KFC!$C$17)*KFC!$C$5</f>
        <v>48.840126248289195</v>
      </c>
      <c r="O15" s="912">
        <f>(AL15*KFC!$B$17+KFC!$C$17)*KFC!$C$5</f>
        <v>51.582122431747344</v>
      </c>
      <c r="P15" s="912">
        <f>(AM15*KFC!$B$17+KFC!$C$17)*KFC!$C$5</f>
        <v>54.324118615205478</v>
      </c>
      <c r="Q15" s="912">
        <f>(AN15*KFC!$B$17+KFC!$C$17)*KFC!$C$5</f>
        <v>57.066114798663619</v>
      </c>
      <c r="R15" s="912">
        <f>(AO15*KFC!$B$17+KFC!$C$17)*KFC!$C$5</f>
        <v>59.808110982121761</v>
      </c>
      <c r="S15" s="912">
        <f>(AP15*KFC!$B$17+KFC!$C$17)*KFC!$C$5</f>
        <v>62.550107165579909</v>
      </c>
      <c r="T15" s="912">
        <f>(AQ15*KFC!$B$17+KFC!$C$17)*KFC!$C$5</f>
        <v>65.292103349038044</v>
      </c>
      <c r="U15" s="912">
        <f>(AR15*KFC!$B$17+KFC!$C$17)*KFC!$C$5</f>
        <v>68.034099532496199</v>
      </c>
      <c r="V15" s="912">
        <f>(AS15*KFC!$B$17+KFC!$C$17)*KFC!$C$5</f>
        <v>70.776095715954341</v>
      </c>
      <c r="W15" s="916">
        <f>(AT15*KFC!$B$17+KFC!$C$17)*KFC!$C$5</f>
        <v>73.518091899412511</v>
      </c>
      <c r="Y15" s="1277"/>
      <c r="Z15" s="649">
        <v>0.9</v>
      </c>
      <c r="AA15" s="882">
        <v>21.420164413707749</v>
      </c>
      <c r="AB15" s="882">
        <v>24.162160597165894</v>
      </c>
      <c r="AC15" s="882">
        <v>26.904156780624039</v>
      </c>
      <c r="AD15" s="882">
        <v>29.646152964082187</v>
      </c>
      <c r="AE15" s="882">
        <v>32.388149147540332</v>
      </c>
      <c r="AF15" s="882">
        <v>35.130145330998474</v>
      </c>
      <c r="AG15" s="882">
        <v>37.872141514456622</v>
      </c>
      <c r="AH15" s="882">
        <v>40.614137697914764</v>
      </c>
      <c r="AI15" s="882">
        <v>43.356133881372905</v>
      </c>
      <c r="AJ15" s="882">
        <v>46.098130064831054</v>
      </c>
      <c r="AK15" s="882">
        <v>48.840126248289195</v>
      </c>
      <c r="AL15" s="882">
        <v>51.582122431747344</v>
      </c>
      <c r="AM15" s="882">
        <v>54.324118615205478</v>
      </c>
      <c r="AN15" s="882">
        <v>57.066114798663619</v>
      </c>
      <c r="AO15" s="882">
        <v>59.808110982121761</v>
      </c>
      <c r="AP15" s="882">
        <v>62.550107165579909</v>
      </c>
      <c r="AQ15" s="882">
        <v>65.292103349038044</v>
      </c>
      <c r="AR15" s="882">
        <v>68.034099532496199</v>
      </c>
      <c r="AS15" s="882">
        <v>70.776095715954341</v>
      </c>
      <c r="AT15" s="882">
        <v>73.518091899412511</v>
      </c>
    </row>
    <row r="16" spans="1:255">
      <c r="A16" s="1426"/>
      <c r="B16" s="1427"/>
      <c r="C16" s="881">
        <v>1</v>
      </c>
      <c r="D16" s="915">
        <f>(AA16*KFC!$B$17+KFC!$C$17)*KFC!$C$5</f>
        <v>21.983947306865996</v>
      </c>
      <c r="E16" s="912">
        <f>(AB16*KFC!$B$17+KFC!$C$17)*KFC!$C$5</f>
        <v>24.836350345970683</v>
      </c>
      <c r="F16" s="912">
        <f>(AC16*KFC!$B$17+KFC!$C$17)*KFC!$C$5</f>
        <v>27.688753385075373</v>
      </c>
      <c r="G16" s="912">
        <f>(AD16*KFC!$B$17+KFC!$C$17)*KFC!$C$5</f>
        <v>30.541156424180059</v>
      </c>
      <c r="H16" s="912">
        <f>(AE16*KFC!$B$17+KFC!$C$17)*KFC!$C$5</f>
        <v>33.393559463284738</v>
      </c>
      <c r="I16" s="912">
        <f>(AF16*KFC!$B$17+KFC!$C$17)*KFC!$C$5</f>
        <v>36.245962502389425</v>
      </c>
      <c r="J16" s="912">
        <f>(AG16*KFC!$B$17+KFC!$C$17)*KFC!$C$5</f>
        <v>39.098365541494111</v>
      </c>
      <c r="K16" s="912">
        <f>(AH16*KFC!$B$17+KFC!$C$17)*KFC!$C$5</f>
        <v>41.95076858059879</v>
      </c>
      <c r="L16" s="912">
        <f>(AI16*KFC!$B$17+KFC!$C$17)*KFC!$C$5</f>
        <v>44.803171619703477</v>
      </c>
      <c r="M16" s="912">
        <f>(AJ16*KFC!$B$17+KFC!$C$17)*KFC!$C$5</f>
        <v>47.655574658808156</v>
      </c>
      <c r="N16" s="912">
        <f>(AK16*KFC!$B$17+KFC!$C$17)*KFC!$C$5</f>
        <v>50.507977697912843</v>
      </c>
      <c r="O16" s="912">
        <f>(AL16*KFC!$B$17+KFC!$C$17)*KFC!$C$5</f>
        <v>53.360380737017522</v>
      </c>
      <c r="P16" s="912">
        <f>(AM16*KFC!$B$17+KFC!$C$17)*KFC!$C$5</f>
        <v>56.212783776122208</v>
      </c>
      <c r="Q16" s="912">
        <f>(AN16*KFC!$B$17+KFC!$C$17)*KFC!$C$5</f>
        <v>59.065186815226895</v>
      </c>
      <c r="R16" s="912">
        <f>(AO16*KFC!$B$17+KFC!$C$17)*KFC!$C$5</f>
        <v>61.917589854331574</v>
      </c>
      <c r="S16" s="912">
        <f>(AP16*KFC!$B$17+KFC!$C$17)*KFC!$C$5</f>
        <v>64.769992893436253</v>
      </c>
      <c r="T16" s="912">
        <f>(AQ16*KFC!$B$17+KFC!$C$17)*KFC!$C$5</f>
        <v>67.62239593254094</v>
      </c>
      <c r="U16" s="912">
        <f>(AR16*KFC!$B$17+KFC!$C$17)*KFC!$C$5</f>
        <v>70.47479897164564</v>
      </c>
      <c r="V16" s="912">
        <f>(AS16*KFC!$B$17+KFC!$C$17)*KFC!$C$5</f>
        <v>73.327202010750327</v>
      </c>
      <c r="W16" s="916">
        <f>(AT16*KFC!$B$17+KFC!$C$17)*KFC!$C$5</f>
        <v>76.179605049855013</v>
      </c>
      <c r="Y16" s="1277"/>
      <c r="Z16" s="649">
        <v>1</v>
      </c>
      <c r="AA16" s="882">
        <v>21.983947306865996</v>
      </c>
      <c r="AB16" s="882">
        <v>24.836350345970683</v>
      </c>
      <c r="AC16" s="882">
        <v>27.688753385075373</v>
      </c>
      <c r="AD16" s="882">
        <v>30.541156424180059</v>
      </c>
      <c r="AE16" s="882">
        <v>33.393559463284738</v>
      </c>
      <c r="AF16" s="882">
        <v>36.245962502389425</v>
      </c>
      <c r="AG16" s="882">
        <v>39.098365541494111</v>
      </c>
      <c r="AH16" s="882">
        <v>41.95076858059879</v>
      </c>
      <c r="AI16" s="882">
        <v>44.803171619703477</v>
      </c>
      <c r="AJ16" s="882">
        <v>47.655574658808156</v>
      </c>
      <c r="AK16" s="882">
        <v>50.507977697912843</v>
      </c>
      <c r="AL16" s="882">
        <v>53.360380737017522</v>
      </c>
      <c r="AM16" s="882">
        <v>56.212783776122208</v>
      </c>
      <c r="AN16" s="882">
        <v>59.065186815226895</v>
      </c>
      <c r="AO16" s="882">
        <v>61.917589854331574</v>
      </c>
      <c r="AP16" s="882">
        <v>64.769992893436253</v>
      </c>
      <c r="AQ16" s="882">
        <v>67.62239593254094</v>
      </c>
      <c r="AR16" s="882">
        <v>70.47479897164564</v>
      </c>
      <c r="AS16" s="882">
        <v>73.327202010750327</v>
      </c>
      <c r="AT16" s="882">
        <v>76.179605049855013</v>
      </c>
    </row>
    <row r="17" spans="1:46">
      <c r="A17" s="1426"/>
      <c r="B17" s="1427"/>
      <c r="C17" s="881">
        <v>1.1000000000000001</v>
      </c>
      <c r="D17" s="915">
        <f>(AA17*KFC!$B$17+KFC!$C$17)*KFC!$C$5</f>
        <v>22.547730200024251</v>
      </c>
      <c r="E17" s="912">
        <f>(AB17*KFC!$B$17+KFC!$C$17)*KFC!$C$5</f>
        <v>25.510540094775472</v>
      </c>
      <c r="F17" s="912">
        <f>(AC17*KFC!$B$17+KFC!$C$17)*KFC!$C$5</f>
        <v>28.473349989526696</v>
      </c>
      <c r="G17" s="912">
        <f>(AD17*KFC!$B$17+KFC!$C$17)*KFC!$C$5</f>
        <v>31.436159884277917</v>
      </c>
      <c r="H17" s="912">
        <f>(AE17*KFC!$B$17+KFC!$C$17)*KFC!$C$5</f>
        <v>34.398969779029137</v>
      </c>
      <c r="I17" s="912">
        <f>(AF17*KFC!$B$17+KFC!$C$17)*KFC!$C$5</f>
        <v>37.361779673780362</v>
      </c>
      <c r="J17" s="912">
        <f>(AG17*KFC!$B$17+KFC!$C$17)*KFC!$C$5</f>
        <v>40.324589568531586</v>
      </c>
      <c r="K17" s="912">
        <f>(AH17*KFC!$B$17+KFC!$C$17)*KFC!$C$5</f>
        <v>43.287399463282803</v>
      </c>
      <c r="L17" s="912">
        <f>(AI17*KFC!$B$17+KFC!$C$17)*KFC!$C$5</f>
        <v>46.250209358034027</v>
      </c>
      <c r="M17" s="912">
        <f>(AJ17*KFC!$B$17+KFC!$C$17)*KFC!$C$5</f>
        <v>49.213019252785259</v>
      </c>
      <c r="N17" s="912">
        <f>(AK17*KFC!$B$17+KFC!$C$17)*KFC!$C$5</f>
        <v>52.175829147536483</v>
      </c>
      <c r="O17" s="912">
        <f>(AL17*KFC!$B$17+KFC!$C$17)*KFC!$C$5</f>
        <v>55.1386390422877</v>
      </c>
      <c r="P17" s="912">
        <f>(AM17*KFC!$B$17+KFC!$C$17)*KFC!$C$5</f>
        <v>58.101448937038924</v>
      </c>
      <c r="Q17" s="912">
        <f>(AN17*KFC!$B$17+KFC!$C$17)*KFC!$C$5</f>
        <v>61.064258831790148</v>
      </c>
      <c r="R17" s="912">
        <f>(AO17*KFC!$B$17+KFC!$C$17)*KFC!$C$5</f>
        <v>64.027068726541359</v>
      </c>
      <c r="S17" s="912">
        <f>(AP17*KFC!$B$17+KFC!$C$17)*KFC!$C$5</f>
        <v>66.989878621292604</v>
      </c>
      <c r="T17" s="912">
        <f>(AQ17*KFC!$B$17+KFC!$C$17)*KFC!$C$5</f>
        <v>69.952688516043835</v>
      </c>
      <c r="U17" s="912">
        <f>(AR17*KFC!$B$17+KFC!$C$17)*KFC!$C$5</f>
        <v>72.915498410795053</v>
      </c>
      <c r="V17" s="912">
        <f>(AS17*KFC!$B$17+KFC!$C$17)*KFC!$C$5</f>
        <v>75.878308305546284</v>
      </c>
      <c r="W17" s="916">
        <f>(AT17*KFC!$B$17+KFC!$C$17)*KFC!$C$5</f>
        <v>78.841118200297515</v>
      </c>
      <c r="Y17" s="1277"/>
      <c r="Z17" s="649">
        <v>1.1000000000000001</v>
      </c>
      <c r="AA17" s="882">
        <v>22.547730200024251</v>
      </c>
      <c r="AB17" s="882">
        <v>25.510540094775472</v>
      </c>
      <c r="AC17" s="882">
        <v>28.473349989526696</v>
      </c>
      <c r="AD17" s="882">
        <v>31.436159884277917</v>
      </c>
      <c r="AE17" s="882">
        <v>34.398969779029137</v>
      </c>
      <c r="AF17" s="882">
        <v>37.361779673780362</v>
      </c>
      <c r="AG17" s="882">
        <v>40.324589568531586</v>
      </c>
      <c r="AH17" s="882">
        <v>43.287399463282803</v>
      </c>
      <c r="AI17" s="882">
        <v>46.250209358034027</v>
      </c>
      <c r="AJ17" s="882">
        <v>49.213019252785259</v>
      </c>
      <c r="AK17" s="882">
        <v>52.175829147536483</v>
      </c>
      <c r="AL17" s="882">
        <v>55.1386390422877</v>
      </c>
      <c r="AM17" s="882">
        <v>58.101448937038924</v>
      </c>
      <c r="AN17" s="882">
        <v>61.064258831790148</v>
      </c>
      <c r="AO17" s="882">
        <v>64.027068726541359</v>
      </c>
      <c r="AP17" s="882">
        <v>66.989878621292604</v>
      </c>
      <c r="AQ17" s="882">
        <v>69.952688516043835</v>
      </c>
      <c r="AR17" s="882">
        <v>72.915498410795053</v>
      </c>
      <c r="AS17" s="882">
        <v>75.878308305546284</v>
      </c>
      <c r="AT17" s="882">
        <v>78.841118200297515</v>
      </c>
    </row>
    <row r="18" spans="1:46">
      <c r="A18" s="1426"/>
      <c r="B18" s="1427"/>
      <c r="C18" s="881">
        <v>1.2</v>
      </c>
      <c r="D18" s="915">
        <f>(AA18*KFC!$B$17+KFC!$C$17)*KFC!$C$5</f>
        <v>23.111513093182499</v>
      </c>
      <c r="E18" s="912">
        <f>(AB18*KFC!$B$17+KFC!$C$17)*KFC!$C$5</f>
        <v>26.184729843580261</v>
      </c>
      <c r="F18" s="912">
        <f>(AC18*KFC!$B$17+KFC!$C$17)*KFC!$C$5</f>
        <v>29.257946593978026</v>
      </c>
      <c r="G18" s="912">
        <f>(AD18*KFC!$B$17+KFC!$C$17)*KFC!$C$5</f>
        <v>32.331163344375781</v>
      </c>
      <c r="H18" s="912">
        <f>(AE18*KFC!$B$17+KFC!$C$17)*KFC!$C$5</f>
        <v>35.404380094773551</v>
      </c>
      <c r="I18" s="912">
        <f>(AF18*KFC!$B$17+KFC!$C$17)*KFC!$C$5</f>
        <v>38.477596845171313</v>
      </c>
      <c r="J18" s="912">
        <f>(AG18*KFC!$B$17+KFC!$C$17)*KFC!$C$5</f>
        <v>41.550813595569075</v>
      </c>
      <c r="K18" s="912">
        <f>(AH18*KFC!$B$17+KFC!$C$17)*KFC!$C$5</f>
        <v>44.624030345966837</v>
      </c>
      <c r="L18" s="912">
        <f>(AI18*KFC!$B$17+KFC!$C$17)*KFC!$C$5</f>
        <v>47.697247096364606</v>
      </c>
      <c r="M18" s="912">
        <f>(AJ18*KFC!$B$17+KFC!$C$17)*KFC!$C$5</f>
        <v>50.770463846762368</v>
      </c>
      <c r="N18" s="912">
        <f>(AK18*KFC!$B$17+KFC!$C$17)*KFC!$C$5</f>
        <v>53.84368059716013</v>
      </c>
      <c r="O18" s="912">
        <f>(AL18*KFC!$B$17+KFC!$C$17)*KFC!$C$5</f>
        <v>56.916897347557892</v>
      </c>
      <c r="P18" s="912">
        <f>(AM18*KFC!$B$17+KFC!$C$17)*KFC!$C$5</f>
        <v>59.990114097955647</v>
      </c>
      <c r="Q18" s="912">
        <f>(AN18*KFC!$B$17+KFC!$C$17)*KFC!$C$5</f>
        <v>63.063330848353424</v>
      </c>
      <c r="R18" s="912">
        <f>(AO18*KFC!$B$17+KFC!$C$17)*KFC!$C$5</f>
        <v>66.136547598751179</v>
      </c>
      <c r="S18" s="912">
        <f>(AP18*KFC!$B$17+KFC!$C$17)*KFC!$C$5</f>
        <v>69.209764349148955</v>
      </c>
      <c r="T18" s="912">
        <f>(AQ18*KFC!$B$17+KFC!$C$17)*KFC!$C$5</f>
        <v>72.282981099546717</v>
      </c>
      <c r="U18" s="912">
        <f>(AR18*KFC!$B$17+KFC!$C$17)*KFC!$C$5</f>
        <v>75.356197849944479</v>
      </c>
      <c r="V18" s="912">
        <f>(AS18*KFC!$B$17+KFC!$C$17)*KFC!$C$5</f>
        <v>78.429414600342255</v>
      </c>
      <c r="W18" s="916">
        <f>(AT18*KFC!$B$17+KFC!$C$17)*KFC!$C$5</f>
        <v>81.502631350740018</v>
      </c>
      <c r="Y18" s="1277"/>
      <c r="Z18" s="649">
        <v>1.2</v>
      </c>
      <c r="AA18" s="882">
        <v>23.111513093182499</v>
      </c>
      <c r="AB18" s="882">
        <v>26.184729843580261</v>
      </c>
      <c r="AC18" s="882">
        <v>29.257946593978026</v>
      </c>
      <c r="AD18" s="882">
        <v>32.331163344375781</v>
      </c>
      <c r="AE18" s="882">
        <v>35.404380094773551</v>
      </c>
      <c r="AF18" s="882">
        <v>38.477596845171313</v>
      </c>
      <c r="AG18" s="882">
        <v>41.550813595569075</v>
      </c>
      <c r="AH18" s="882">
        <v>44.624030345966837</v>
      </c>
      <c r="AI18" s="882">
        <v>47.697247096364606</v>
      </c>
      <c r="AJ18" s="882">
        <v>50.770463846762368</v>
      </c>
      <c r="AK18" s="882">
        <v>53.84368059716013</v>
      </c>
      <c r="AL18" s="882">
        <v>56.916897347557892</v>
      </c>
      <c r="AM18" s="882">
        <v>59.990114097955647</v>
      </c>
      <c r="AN18" s="882">
        <v>63.063330848353424</v>
      </c>
      <c r="AO18" s="882">
        <v>66.136547598751179</v>
      </c>
      <c r="AP18" s="882">
        <v>69.209764349148955</v>
      </c>
      <c r="AQ18" s="882">
        <v>72.282981099546717</v>
      </c>
      <c r="AR18" s="882">
        <v>75.356197849944479</v>
      </c>
      <c r="AS18" s="882">
        <v>78.429414600342255</v>
      </c>
      <c r="AT18" s="882">
        <v>81.502631350740018</v>
      </c>
    </row>
    <row r="19" spans="1:46">
      <c r="A19" s="1426"/>
      <c r="B19" s="1427"/>
      <c r="C19" s="881">
        <v>1.3</v>
      </c>
      <c r="D19" s="915">
        <f>(AA19*KFC!$B$17+KFC!$C$17)*KFC!$C$5</f>
        <v>23.675295986340753</v>
      </c>
      <c r="E19" s="912">
        <f>(AB19*KFC!$B$17+KFC!$C$17)*KFC!$C$5</f>
        <v>26.858919592385053</v>
      </c>
      <c r="F19" s="912">
        <f>(AC19*KFC!$B$17+KFC!$C$17)*KFC!$C$5</f>
        <v>30.042543198429357</v>
      </c>
      <c r="G19" s="912">
        <f>(AD19*KFC!$B$17+KFC!$C$17)*KFC!$C$5</f>
        <v>33.226166804473657</v>
      </c>
      <c r="H19" s="912">
        <f>(AE19*KFC!$B$17+KFC!$C$17)*KFC!$C$5</f>
        <v>36.409790410517964</v>
      </c>
      <c r="I19" s="912">
        <f>(AF19*KFC!$B$17+KFC!$C$17)*KFC!$C$5</f>
        <v>39.593414016562264</v>
      </c>
      <c r="J19" s="912">
        <f>(AG19*KFC!$B$17+KFC!$C$17)*KFC!$C$5</f>
        <v>42.777037622606571</v>
      </c>
      <c r="K19" s="912">
        <f>(AH19*KFC!$B$17+KFC!$C$17)*KFC!$C$5</f>
        <v>45.960661228650871</v>
      </c>
      <c r="L19" s="912">
        <f>(AI19*KFC!$B$17+KFC!$C$17)*KFC!$C$5</f>
        <v>49.144284834695178</v>
      </c>
      <c r="M19" s="912">
        <f>(AJ19*KFC!$B$17+KFC!$C$17)*KFC!$C$5</f>
        <v>52.327908440739478</v>
      </c>
      <c r="N19" s="912">
        <f>(AK19*KFC!$B$17+KFC!$C$17)*KFC!$C$5</f>
        <v>55.511532046783778</v>
      </c>
      <c r="O19" s="912">
        <f>(AL19*KFC!$B$17+KFC!$C$17)*KFC!$C$5</f>
        <v>58.695155652828085</v>
      </c>
      <c r="P19" s="912">
        <f>(AM19*KFC!$B$17+KFC!$C$17)*KFC!$C$5</f>
        <v>61.878779258872385</v>
      </c>
      <c r="Q19" s="912">
        <f>(AN19*KFC!$B$17+KFC!$C$17)*KFC!$C$5</f>
        <v>65.062402864916692</v>
      </c>
      <c r="R19" s="912">
        <f>(AO19*KFC!$B$17+KFC!$C$17)*KFC!$C$5</f>
        <v>68.246026470960999</v>
      </c>
      <c r="S19" s="912">
        <f>(AP19*KFC!$B$17+KFC!$C$17)*KFC!$C$5</f>
        <v>71.429650077005292</v>
      </c>
      <c r="T19" s="912">
        <f>(AQ19*KFC!$B$17+KFC!$C$17)*KFC!$C$5</f>
        <v>74.613273683049613</v>
      </c>
      <c r="U19" s="912">
        <f>(AR19*KFC!$B$17+KFC!$C$17)*KFC!$C$5</f>
        <v>77.79689728909392</v>
      </c>
      <c r="V19" s="912">
        <f>(AS19*KFC!$B$17+KFC!$C$17)*KFC!$C$5</f>
        <v>80.980520895138227</v>
      </c>
      <c r="W19" s="916">
        <f>(AT19*KFC!$B$17+KFC!$C$17)*KFC!$C$5</f>
        <v>84.16414450118252</v>
      </c>
      <c r="Y19" s="1277"/>
      <c r="Z19" s="649">
        <v>1.3</v>
      </c>
      <c r="AA19" s="882">
        <v>23.675295986340753</v>
      </c>
      <c r="AB19" s="882">
        <v>26.858919592385053</v>
      </c>
      <c r="AC19" s="882">
        <v>30.042543198429357</v>
      </c>
      <c r="AD19" s="882">
        <v>33.226166804473657</v>
      </c>
      <c r="AE19" s="882">
        <v>36.409790410517964</v>
      </c>
      <c r="AF19" s="882">
        <v>39.593414016562264</v>
      </c>
      <c r="AG19" s="882">
        <v>42.777037622606571</v>
      </c>
      <c r="AH19" s="882">
        <v>45.960661228650871</v>
      </c>
      <c r="AI19" s="882">
        <v>49.144284834695178</v>
      </c>
      <c r="AJ19" s="882">
        <v>52.327908440739478</v>
      </c>
      <c r="AK19" s="882">
        <v>55.511532046783778</v>
      </c>
      <c r="AL19" s="882">
        <v>58.695155652828085</v>
      </c>
      <c r="AM19" s="882">
        <v>61.878779258872385</v>
      </c>
      <c r="AN19" s="882">
        <v>65.062402864916692</v>
      </c>
      <c r="AO19" s="882">
        <v>68.246026470960999</v>
      </c>
      <c r="AP19" s="882">
        <v>71.429650077005292</v>
      </c>
      <c r="AQ19" s="882">
        <v>74.613273683049613</v>
      </c>
      <c r="AR19" s="882">
        <v>77.79689728909392</v>
      </c>
      <c r="AS19" s="882">
        <v>80.980520895138227</v>
      </c>
      <c r="AT19" s="882">
        <v>84.16414450118252</v>
      </c>
    </row>
    <row r="20" spans="1:46">
      <c r="A20" s="1426"/>
      <c r="B20" s="1427"/>
      <c r="C20" s="881">
        <v>1.4</v>
      </c>
      <c r="D20" s="915">
        <f>(AA20*KFC!$B$17+KFC!$C$17)*KFC!$C$5</f>
        <v>24.239078879499001</v>
      </c>
      <c r="E20" s="912">
        <f>(AB20*KFC!$B$17+KFC!$C$17)*KFC!$C$5</f>
        <v>27.533109341189846</v>
      </c>
      <c r="F20" s="912">
        <f>(AC20*KFC!$B$17+KFC!$C$17)*KFC!$C$5</f>
        <v>30.827139802880691</v>
      </c>
      <c r="G20" s="912">
        <f>(AD20*KFC!$B$17+KFC!$C$17)*KFC!$C$5</f>
        <v>34.121170264571532</v>
      </c>
      <c r="H20" s="912">
        <f>(AE20*KFC!$B$17+KFC!$C$17)*KFC!$C$5</f>
        <v>37.415200726262377</v>
      </c>
      <c r="I20" s="912">
        <f>(AF20*KFC!$B$17+KFC!$C$17)*KFC!$C$5</f>
        <v>40.709231187953222</v>
      </c>
      <c r="J20" s="912">
        <f>(AG20*KFC!$B$17+KFC!$C$17)*KFC!$C$5</f>
        <v>44.00326164964406</v>
      </c>
      <c r="K20" s="912">
        <f>(AH20*KFC!$B$17+KFC!$C$17)*KFC!$C$5</f>
        <v>47.297292111334912</v>
      </c>
      <c r="L20" s="912">
        <f>(AI20*KFC!$B$17+KFC!$C$17)*KFC!$C$5</f>
        <v>50.591322573025749</v>
      </c>
      <c r="M20" s="912">
        <f>(AJ20*KFC!$B$17+KFC!$C$17)*KFC!$C$5</f>
        <v>53.885353034716587</v>
      </c>
      <c r="N20" s="912">
        <f>(AK20*KFC!$B$17+KFC!$C$17)*KFC!$C$5</f>
        <v>57.179383496407439</v>
      </c>
      <c r="O20" s="912">
        <f>(AL20*KFC!$B$17+KFC!$C$17)*KFC!$C$5</f>
        <v>60.473413958098277</v>
      </c>
      <c r="P20" s="912">
        <f>(AM20*KFC!$B$17+KFC!$C$17)*KFC!$C$5</f>
        <v>63.767444419789122</v>
      </c>
      <c r="Q20" s="912">
        <f>(AN20*KFC!$B$17+KFC!$C$17)*KFC!$C$5</f>
        <v>67.061474881479967</v>
      </c>
      <c r="R20" s="912">
        <f>(AO20*KFC!$B$17+KFC!$C$17)*KFC!$C$5</f>
        <v>70.355505343170819</v>
      </c>
      <c r="S20" s="912">
        <f>(AP20*KFC!$B$17+KFC!$C$17)*KFC!$C$5</f>
        <v>73.649535804861671</v>
      </c>
      <c r="T20" s="912">
        <f>(AQ20*KFC!$B$17+KFC!$C$17)*KFC!$C$5</f>
        <v>76.943566266552523</v>
      </c>
      <c r="U20" s="912">
        <f>(AR20*KFC!$B$17+KFC!$C$17)*KFC!$C$5</f>
        <v>80.237596728243361</v>
      </c>
      <c r="V20" s="912">
        <f>(AS20*KFC!$B$17+KFC!$C$17)*KFC!$C$5</f>
        <v>83.531627189934213</v>
      </c>
      <c r="W20" s="916">
        <f>(AT20*KFC!$B$17+KFC!$C$17)*KFC!$C$5</f>
        <v>86.825657651625022</v>
      </c>
      <c r="Y20" s="1277"/>
      <c r="Z20" s="649">
        <v>1.4</v>
      </c>
      <c r="AA20" s="882">
        <v>24.239078879499001</v>
      </c>
      <c r="AB20" s="882">
        <v>27.533109341189846</v>
      </c>
      <c r="AC20" s="882">
        <v>30.827139802880691</v>
      </c>
      <c r="AD20" s="882">
        <v>34.121170264571532</v>
      </c>
      <c r="AE20" s="882">
        <v>37.415200726262377</v>
      </c>
      <c r="AF20" s="882">
        <v>40.709231187953222</v>
      </c>
      <c r="AG20" s="882">
        <v>44.00326164964406</v>
      </c>
      <c r="AH20" s="882">
        <v>47.297292111334912</v>
      </c>
      <c r="AI20" s="882">
        <v>50.591322573025749</v>
      </c>
      <c r="AJ20" s="882">
        <v>53.885353034716587</v>
      </c>
      <c r="AK20" s="882">
        <v>57.179383496407439</v>
      </c>
      <c r="AL20" s="882">
        <v>60.473413958098277</v>
      </c>
      <c r="AM20" s="882">
        <v>63.767444419789122</v>
      </c>
      <c r="AN20" s="882">
        <v>67.061474881479967</v>
      </c>
      <c r="AO20" s="882">
        <v>70.355505343170819</v>
      </c>
      <c r="AP20" s="882">
        <v>73.649535804861671</v>
      </c>
      <c r="AQ20" s="882">
        <v>76.943566266552523</v>
      </c>
      <c r="AR20" s="882">
        <v>80.237596728243361</v>
      </c>
      <c r="AS20" s="882">
        <v>83.531627189934213</v>
      </c>
      <c r="AT20" s="882">
        <v>86.825657651625022</v>
      </c>
    </row>
    <row r="21" spans="1:46">
      <c r="A21" s="1426"/>
      <c r="B21" s="1427"/>
      <c r="C21" s="881">
        <v>1.5</v>
      </c>
      <c r="D21" s="915">
        <f>(AA21*KFC!$B$17+KFC!$C$17)*KFC!$C$5</f>
        <v>24.802861772657252</v>
      </c>
      <c r="E21" s="912">
        <f>(AB21*KFC!$B$17+KFC!$C$17)*KFC!$C$5</f>
        <v>28.207299089994635</v>
      </c>
      <c r="F21" s="912">
        <f>(AC21*KFC!$B$17+KFC!$C$17)*KFC!$C$5</f>
        <v>31.611736407332018</v>
      </c>
      <c r="G21" s="912">
        <f>(AD21*KFC!$B$17+KFC!$C$17)*KFC!$C$5</f>
        <v>35.0161737246694</v>
      </c>
      <c r="H21" s="912">
        <f>(AE21*KFC!$B$17+KFC!$C$17)*KFC!$C$5</f>
        <v>38.420611042006783</v>
      </c>
      <c r="I21" s="912">
        <f>(AF21*KFC!$B$17+KFC!$C$17)*KFC!$C$5</f>
        <v>41.825048359344166</v>
      </c>
      <c r="J21" s="912">
        <f>(AG21*KFC!$B$17+KFC!$C$17)*KFC!$C$5</f>
        <v>45.229485676681549</v>
      </c>
      <c r="K21" s="912">
        <f>(AH21*KFC!$B$17+KFC!$C$17)*KFC!$C$5</f>
        <v>48.633922994018931</v>
      </c>
      <c r="L21" s="912">
        <f>(AI21*KFC!$B$17+KFC!$C$17)*KFC!$C$5</f>
        <v>52.038360311356321</v>
      </c>
      <c r="M21" s="912">
        <f>(AJ21*KFC!$B$17+KFC!$C$17)*KFC!$C$5</f>
        <v>55.442797628693697</v>
      </c>
      <c r="N21" s="912">
        <f>(AK21*KFC!$B$17+KFC!$C$17)*KFC!$C$5</f>
        <v>58.847234946031087</v>
      </c>
      <c r="O21" s="912">
        <f>(AL21*KFC!$B$17+KFC!$C$17)*KFC!$C$5</f>
        <v>62.251672263368469</v>
      </c>
      <c r="P21" s="912">
        <f>(AM21*KFC!$B$17+KFC!$C$17)*KFC!$C$5</f>
        <v>65.656109580705859</v>
      </c>
      <c r="Q21" s="912">
        <f>(AN21*KFC!$B$17+KFC!$C$17)*KFC!$C$5</f>
        <v>69.060546898043242</v>
      </c>
      <c r="R21" s="912">
        <f>(AO21*KFC!$B$17+KFC!$C$17)*KFC!$C$5</f>
        <v>72.464984215380625</v>
      </c>
      <c r="S21" s="912">
        <f>(AP21*KFC!$B$17+KFC!$C$17)*KFC!$C$5</f>
        <v>75.869421532718022</v>
      </c>
      <c r="T21" s="912">
        <f>(AQ21*KFC!$B$17+KFC!$C$17)*KFC!$C$5</f>
        <v>79.273858850055404</v>
      </c>
      <c r="U21" s="912">
        <f>(AR21*KFC!$B$17+KFC!$C$17)*KFC!$C$5</f>
        <v>82.678296167392801</v>
      </c>
      <c r="V21" s="912">
        <f>(AS21*KFC!$B$17+KFC!$C$17)*KFC!$C$5</f>
        <v>86.082733484730198</v>
      </c>
      <c r="W21" s="916">
        <f>(AT21*KFC!$B$17+KFC!$C$17)*KFC!$C$5</f>
        <v>89.487170802067553</v>
      </c>
      <c r="Y21" s="1277"/>
      <c r="Z21" s="649">
        <v>1.5</v>
      </c>
      <c r="AA21" s="882">
        <v>24.802861772657252</v>
      </c>
      <c r="AB21" s="882">
        <v>28.207299089994635</v>
      </c>
      <c r="AC21" s="882">
        <v>31.611736407332018</v>
      </c>
      <c r="AD21" s="882">
        <v>35.0161737246694</v>
      </c>
      <c r="AE21" s="882">
        <v>38.420611042006783</v>
      </c>
      <c r="AF21" s="882">
        <v>41.825048359344166</v>
      </c>
      <c r="AG21" s="882">
        <v>45.229485676681549</v>
      </c>
      <c r="AH21" s="882">
        <v>48.633922994018931</v>
      </c>
      <c r="AI21" s="882">
        <v>52.038360311356321</v>
      </c>
      <c r="AJ21" s="882">
        <v>55.442797628693697</v>
      </c>
      <c r="AK21" s="882">
        <v>58.847234946031087</v>
      </c>
      <c r="AL21" s="882">
        <v>62.251672263368469</v>
      </c>
      <c r="AM21" s="882">
        <v>65.656109580705859</v>
      </c>
      <c r="AN21" s="882">
        <v>69.060546898043242</v>
      </c>
      <c r="AO21" s="882">
        <v>72.464984215380625</v>
      </c>
      <c r="AP21" s="882">
        <v>75.869421532718022</v>
      </c>
      <c r="AQ21" s="882">
        <v>79.273858850055404</v>
      </c>
      <c r="AR21" s="882">
        <v>82.678296167392801</v>
      </c>
      <c r="AS21" s="882">
        <v>86.082733484730198</v>
      </c>
      <c r="AT21" s="882">
        <v>89.487170802067553</v>
      </c>
    </row>
    <row r="22" spans="1:46">
      <c r="A22" s="1426"/>
      <c r="B22" s="1427"/>
      <c r="C22" s="881">
        <v>1.6</v>
      </c>
      <c r="D22" s="915">
        <f>(AA22*KFC!$B$17+KFC!$C$17)*KFC!$C$5</f>
        <v>25.366644665815507</v>
      </c>
      <c r="E22" s="912">
        <f>(AB22*KFC!$B$17+KFC!$C$17)*KFC!$C$5</f>
        <v>28.881488838799427</v>
      </c>
      <c r="F22" s="912">
        <f>(AC22*KFC!$B$17+KFC!$C$17)*KFC!$C$5</f>
        <v>32.396333011783348</v>
      </c>
      <c r="G22" s="912">
        <f>(AD22*KFC!$B$17+KFC!$C$17)*KFC!$C$5</f>
        <v>35.911177184767276</v>
      </c>
      <c r="H22" s="912">
        <f>(AE22*KFC!$B$17+KFC!$C$17)*KFC!$C$5</f>
        <v>39.426021357751196</v>
      </c>
      <c r="I22" s="912">
        <f>(AF22*KFC!$B$17+KFC!$C$17)*KFC!$C$5</f>
        <v>42.940865530735117</v>
      </c>
      <c r="J22" s="912">
        <f>(AG22*KFC!$B$17+KFC!$C$17)*KFC!$C$5</f>
        <v>46.455709703719045</v>
      </c>
      <c r="K22" s="912">
        <f>(AH22*KFC!$B$17+KFC!$C$17)*KFC!$C$5</f>
        <v>49.970553876702965</v>
      </c>
      <c r="L22" s="912">
        <f>(AI22*KFC!$B$17+KFC!$C$17)*KFC!$C$5</f>
        <v>53.485398049686886</v>
      </c>
      <c r="M22" s="912">
        <f>(AJ22*KFC!$B$17+KFC!$C$17)*KFC!$C$5</f>
        <v>57.000242222670813</v>
      </c>
      <c r="N22" s="912">
        <f>(AK22*KFC!$B$17+KFC!$C$17)*KFC!$C$5</f>
        <v>60.515086395654734</v>
      </c>
      <c r="O22" s="912">
        <f>(AL22*KFC!$B$17+KFC!$C$17)*KFC!$C$5</f>
        <v>64.029930568638662</v>
      </c>
      <c r="P22" s="912">
        <f>(AM22*KFC!$B$17+KFC!$C$17)*KFC!$C$5</f>
        <v>67.544774741622589</v>
      </c>
      <c r="Q22" s="912">
        <f>(AN22*KFC!$B$17+KFC!$C$17)*KFC!$C$5</f>
        <v>71.059618914606517</v>
      </c>
      <c r="R22" s="912">
        <f>(AO22*KFC!$B$17+KFC!$C$17)*KFC!$C$5</f>
        <v>74.574463087590445</v>
      </c>
      <c r="S22" s="912">
        <f>(AP22*KFC!$B$17+KFC!$C$17)*KFC!$C$5</f>
        <v>78.089307260574387</v>
      </c>
      <c r="T22" s="912">
        <f>(AQ22*KFC!$B$17+KFC!$C$17)*KFC!$C$5</f>
        <v>81.604151433558314</v>
      </c>
      <c r="U22" s="912">
        <f>(AR22*KFC!$B$17+KFC!$C$17)*KFC!$C$5</f>
        <v>85.118995606542242</v>
      </c>
      <c r="V22" s="912">
        <f>(AS22*KFC!$B$17+KFC!$C$17)*KFC!$C$5</f>
        <v>88.633839779526156</v>
      </c>
      <c r="W22" s="916">
        <f>(AT22*KFC!$B$17+KFC!$C$17)*KFC!$C$5</f>
        <v>92.148683952510055</v>
      </c>
      <c r="Y22" s="1277"/>
      <c r="Z22" s="649">
        <v>1.6</v>
      </c>
      <c r="AA22" s="882">
        <v>25.366644665815507</v>
      </c>
      <c r="AB22" s="882">
        <v>28.881488838799427</v>
      </c>
      <c r="AC22" s="882">
        <v>32.396333011783348</v>
      </c>
      <c r="AD22" s="882">
        <v>35.911177184767276</v>
      </c>
      <c r="AE22" s="882">
        <v>39.426021357751196</v>
      </c>
      <c r="AF22" s="882">
        <v>42.940865530735117</v>
      </c>
      <c r="AG22" s="882">
        <v>46.455709703719045</v>
      </c>
      <c r="AH22" s="882">
        <v>49.970553876702965</v>
      </c>
      <c r="AI22" s="882">
        <v>53.485398049686886</v>
      </c>
      <c r="AJ22" s="882">
        <v>57.000242222670813</v>
      </c>
      <c r="AK22" s="882">
        <v>60.515086395654734</v>
      </c>
      <c r="AL22" s="882">
        <v>64.029930568638662</v>
      </c>
      <c r="AM22" s="882">
        <v>67.544774741622589</v>
      </c>
      <c r="AN22" s="882">
        <v>71.059618914606517</v>
      </c>
      <c r="AO22" s="882">
        <v>74.574463087590445</v>
      </c>
      <c r="AP22" s="882">
        <v>78.089307260574387</v>
      </c>
      <c r="AQ22" s="882">
        <v>81.604151433558314</v>
      </c>
      <c r="AR22" s="882">
        <v>85.118995606542242</v>
      </c>
      <c r="AS22" s="882">
        <v>88.633839779526156</v>
      </c>
      <c r="AT22" s="882">
        <v>92.148683952510055</v>
      </c>
    </row>
    <row r="23" spans="1:46">
      <c r="A23" s="1426"/>
      <c r="B23" s="1427"/>
      <c r="C23" s="881">
        <v>1.7</v>
      </c>
      <c r="D23" s="915">
        <f>(AA23*KFC!$B$17+KFC!$C$17)*KFC!$C$5</f>
        <v>25.930427558973754</v>
      </c>
      <c r="E23" s="912">
        <f>(AB23*KFC!$B$17+KFC!$C$17)*KFC!$C$5</f>
        <v>29.55567858760422</v>
      </c>
      <c r="F23" s="912">
        <f>(AC23*KFC!$B$17+KFC!$C$17)*KFC!$C$5</f>
        <v>33.180929616234685</v>
      </c>
      <c r="G23" s="912">
        <f>(AD23*KFC!$B$17+KFC!$C$17)*KFC!$C$5</f>
        <v>36.806180644865144</v>
      </c>
      <c r="H23" s="912">
        <f>(AE23*KFC!$B$17+KFC!$C$17)*KFC!$C$5</f>
        <v>40.431431673495609</v>
      </c>
      <c r="I23" s="912">
        <f>(AF23*KFC!$B$17+KFC!$C$17)*KFC!$C$5</f>
        <v>44.056682702126075</v>
      </c>
      <c r="J23" s="912">
        <f>(AG23*KFC!$B$17+KFC!$C$17)*KFC!$C$5</f>
        <v>47.681933730756541</v>
      </c>
      <c r="K23" s="912">
        <f>(AH23*KFC!$B$17+KFC!$C$17)*KFC!$C$5</f>
        <v>51.307184759387006</v>
      </c>
      <c r="L23" s="912">
        <f>(AI23*KFC!$B$17+KFC!$C$17)*KFC!$C$5</f>
        <v>54.932435788017465</v>
      </c>
      <c r="M23" s="912">
        <f>(AJ23*KFC!$B$17+KFC!$C$17)*KFC!$C$5</f>
        <v>58.55768681664793</v>
      </c>
      <c r="N23" s="912">
        <f>(AK23*KFC!$B$17+KFC!$C$17)*KFC!$C$5</f>
        <v>62.182937845278389</v>
      </c>
      <c r="O23" s="912">
        <f>(AL23*KFC!$B$17+KFC!$C$17)*KFC!$C$5</f>
        <v>65.808188873908847</v>
      </c>
      <c r="P23" s="912">
        <f>(AM23*KFC!$B$17+KFC!$C$17)*KFC!$C$5</f>
        <v>69.43343990253932</v>
      </c>
      <c r="Q23" s="912">
        <f>(AN23*KFC!$B$17+KFC!$C$17)*KFC!$C$5</f>
        <v>73.058690931169764</v>
      </c>
      <c r="R23" s="912">
        <f>(AO23*KFC!$B$17+KFC!$C$17)*KFC!$C$5</f>
        <v>76.683941959800237</v>
      </c>
      <c r="S23" s="912">
        <f>(AP23*KFC!$B$17+KFC!$C$17)*KFC!$C$5</f>
        <v>80.309192988430695</v>
      </c>
      <c r="T23" s="912">
        <f>(AQ23*KFC!$B$17+KFC!$C$17)*KFC!$C$5</f>
        <v>83.934444017061139</v>
      </c>
      <c r="U23" s="912">
        <f>(AR23*KFC!$B$17+KFC!$C$17)*KFC!$C$5</f>
        <v>87.559695045691583</v>
      </c>
      <c r="V23" s="912">
        <f>(AS23*KFC!$B$17+KFC!$C$17)*KFC!$C$5</f>
        <v>91.184946074322056</v>
      </c>
      <c r="W23" s="916">
        <f>(AT23*KFC!$B$17+KFC!$C$17)*KFC!$C$5</f>
        <v>94.810197102952557</v>
      </c>
      <c r="Y23" s="1277"/>
      <c r="Z23" s="649">
        <v>1.7</v>
      </c>
      <c r="AA23" s="882">
        <v>25.930427558973754</v>
      </c>
      <c r="AB23" s="882">
        <v>29.55567858760422</v>
      </c>
      <c r="AC23" s="882">
        <v>33.180929616234685</v>
      </c>
      <c r="AD23" s="882">
        <v>36.806180644865144</v>
      </c>
      <c r="AE23" s="882">
        <v>40.431431673495609</v>
      </c>
      <c r="AF23" s="882">
        <v>44.056682702126075</v>
      </c>
      <c r="AG23" s="882">
        <v>47.681933730756541</v>
      </c>
      <c r="AH23" s="882">
        <v>51.307184759387006</v>
      </c>
      <c r="AI23" s="882">
        <v>54.932435788017465</v>
      </c>
      <c r="AJ23" s="882">
        <v>58.55768681664793</v>
      </c>
      <c r="AK23" s="882">
        <v>62.182937845278389</v>
      </c>
      <c r="AL23" s="882">
        <v>65.808188873908847</v>
      </c>
      <c r="AM23" s="882">
        <v>69.43343990253932</v>
      </c>
      <c r="AN23" s="882">
        <v>73.058690931169764</v>
      </c>
      <c r="AO23" s="882">
        <v>76.683941959800237</v>
      </c>
      <c r="AP23" s="882">
        <v>80.309192988430695</v>
      </c>
      <c r="AQ23" s="882">
        <v>83.934444017061139</v>
      </c>
      <c r="AR23" s="882">
        <v>87.559695045691583</v>
      </c>
      <c r="AS23" s="882">
        <v>91.184946074322056</v>
      </c>
      <c r="AT23" s="882">
        <v>94.810197102952557</v>
      </c>
    </row>
    <row r="24" spans="1:46">
      <c r="A24" s="1426"/>
      <c r="B24" s="1427"/>
      <c r="C24" s="881">
        <v>1.8</v>
      </c>
      <c r="D24" s="915">
        <f>(AA24*KFC!$B$17+KFC!$C$17)*KFC!$C$5</f>
        <v>26.494210452132002</v>
      </c>
      <c r="E24" s="912">
        <f>(AB24*KFC!$B$17+KFC!$C$17)*KFC!$C$5</f>
        <v>30.229868336409009</v>
      </c>
      <c r="F24" s="912">
        <f>(AC24*KFC!$B$17+KFC!$C$17)*KFC!$C$5</f>
        <v>33.965526220686016</v>
      </c>
      <c r="G24" s="912">
        <f>(AD24*KFC!$B$17+KFC!$C$17)*KFC!$C$5</f>
        <v>37.701184104963012</v>
      </c>
      <c r="H24" s="912">
        <f>(AE24*KFC!$B$17+KFC!$C$17)*KFC!$C$5</f>
        <v>41.436841989240023</v>
      </c>
      <c r="I24" s="912">
        <f>(AF24*KFC!$B$17+KFC!$C$17)*KFC!$C$5</f>
        <v>45.172499873517026</v>
      </c>
      <c r="J24" s="912">
        <f>(AG24*KFC!$B$17+KFC!$C$17)*KFC!$C$5</f>
        <v>48.908157757794029</v>
      </c>
      <c r="K24" s="912">
        <f>(AH24*KFC!$B$17+KFC!$C$17)*KFC!$C$5</f>
        <v>52.643815642071026</v>
      </c>
      <c r="L24" s="912">
        <f>(AI24*KFC!$B$17+KFC!$C$17)*KFC!$C$5</f>
        <v>56.379473526348029</v>
      </c>
      <c r="M24" s="912">
        <f>(AJ24*KFC!$B$17+KFC!$C$17)*KFC!$C$5</f>
        <v>60.115131410625033</v>
      </c>
      <c r="N24" s="912">
        <f>(AK24*KFC!$B$17+KFC!$C$17)*KFC!$C$5</f>
        <v>63.850789294902036</v>
      </c>
      <c r="O24" s="912">
        <f>(AL24*KFC!$B$17+KFC!$C$17)*KFC!$C$5</f>
        <v>67.586447179179046</v>
      </c>
      <c r="P24" s="912">
        <f>(AM24*KFC!$B$17+KFC!$C$17)*KFC!$C$5</f>
        <v>71.322105063456036</v>
      </c>
      <c r="Q24" s="912">
        <f>(AN24*KFC!$B$17+KFC!$C$17)*KFC!$C$5</f>
        <v>75.057762947733039</v>
      </c>
      <c r="R24" s="912">
        <f>(AO24*KFC!$B$17+KFC!$C$17)*KFC!$C$5</f>
        <v>78.793420832010028</v>
      </c>
      <c r="S24" s="912">
        <f>(AP24*KFC!$B$17+KFC!$C$17)*KFC!$C$5</f>
        <v>82.529078716287032</v>
      </c>
      <c r="T24" s="912">
        <f>(AQ24*KFC!$B$17+KFC!$C$17)*KFC!$C$5</f>
        <v>86.264736600564035</v>
      </c>
      <c r="U24" s="912">
        <f>(AR24*KFC!$B$17+KFC!$C$17)*KFC!$C$5</f>
        <v>90.00039448484101</v>
      </c>
      <c r="V24" s="912">
        <f>(AS24*KFC!$B$17+KFC!$C$17)*KFC!$C$5</f>
        <v>93.736052369118013</v>
      </c>
      <c r="W24" s="916">
        <f>(AT24*KFC!$B$17+KFC!$C$17)*KFC!$C$5</f>
        <v>97.471710253395059</v>
      </c>
      <c r="Y24" s="1277"/>
      <c r="Z24" s="649">
        <v>1.8</v>
      </c>
      <c r="AA24" s="882">
        <v>26.494210452132002</v>
      </c>
      <c r="AB24" s="882">
        <v>30.229868336409009</v>
      </c>
      <c r="AC24" s="882">
        <v>33.965526220686016</v>
      </c>
      <c r="AD24" s="882">
        <v>37.701184104963012</v>
      </c>
      <c r="AE24" s="882">
        <v>41.436841989240023</v>
      </c>
      <c r="AF24" s="882">
        <v>45.172499873517026</v>
      </c>
      <c r="AG24" s="882">
        <v>48.908157757794029</v>
      </c>
      <c r="AH24" s="882">
        <v>52.643815642071026</v>
      </c>
      <c r="AI24" s="882">
        <v>56.379473526348029</v>
      </c>
      <c r="AJ24" s="882">
        <v>60.115131410625033</v>
      </c>
      <c r="AK24" s="882">
        <v>63.850789294902036</v>
      </c>
      <c r="AL24" s="882">
        <v>67.586447179179046</v>
      </c>
      <c r="AM24" s="882">
        <v>71.322105063456036</v>
      </c>
      <c r="AN24" s="882">
        <v>75.057762947733039</v>
      </c>
      <c r="AO24" s="882">
        <v>78.793420832010028</v>
      </c>
      <c r="AP24" s="882">
        <v>82.529078716287032</v>
      </c>
      <c r="AQ24" s="882">
        <v>86.264736600564035</v>
      </c>
      <c r="AR24" s="882">
        <v>90.00039448484101</v>
      </c>
      <c r="AS24" s="882">
        <v>93.736052369118013</v>
      </c>
      <c r="AT24" s="882">
        <v>97.471710253395059</v>
      </c>
    </row>
    <row r="25" spans="1:46">
      <c r="A25" s="1426"/>
      <c r="B25" s="1427"/>
      <c r="C25" s="881">
        <v>1.9</v>
      </c>
      <c r="D25" s="915">
        <f>(AA25*KFC!$B$17+KFC!$C$17)*KFC!$C$5</f>
        <v>27.057993345290257</v>
      </c>
      <c r="E25" s="912">
        <f>(AB25*KFC!$B$17+KFC!$C$17)*KFC!$C$5</f>
        <v>30.904058085213801</v>
      </c>
      <c r="F25" s="912">
        <f>(AC25*KFC!$B$17+KFC!$C$17)*KFC!$C$5</f>
        <v>34.750122825137339</v>
      </c>
      <c r="G25" s="912">
        <f>(AD25*KFC!$B$17+KFC!$C$17)*KFC!$C$5</f>
        <v>38.596187565060887</v>
      </c>
      <c r="H25" s="912">
        <f>(AE25*KFC!$B$17+KFC!$C$17)*KFC!$C$5</f>
        <v>42.442252304984429</v>
      </c>
      <c r="I25" s="912">
        <f>(AF25*KFC!$B$17+KFC!$C$17)*KFC!$C$5</f>
        <v>46.28831704490797</v>
      </c>
      <c r="J25" s="912">
        <f>(AG25*KFC!$B$17+KFC!$C$17)*KFC!$C$5</f>
        <v>50.134381784831511</v>
      </c>
      <c r="K25" s="912">
        <f>(AH25*KFC!$B$17+KFC!$C$17)*KFC!$C$5</f>
        <v>53.98044652475506</v>
      </c>
      <c r="L25" s="912">
        <f>(AI25*KFC!$B$17+KFC!$C$17)*KFC!$C$5</f>
        <v>57.826511264678601</v>
      </c>
      <c r="M25" s="912">
        <f>(AJ25*KFC!$B$17+KFC!$C$17)*KFC!$C$5</f>
        <v>61.672576004602156</v>
      </c>
      <c r="N25" s="912">
        <f>(AK25*KFC!$B$17+KFC!$C$17)*KFC!$C$5</f>
        <v>65.518640744525698</v>
      </c>
      <c r="O25" s="912">
        <f>(AL25*KFC!$B$17+KFC!$C$17)*KFC!$C$5</f>
        <v>69.364705484449232</v>
      </c>
      <c r="P25" s="912">
        <f>(AM25*KFC!$B$17+KFC!$C$17)*KFC!$C$5</f>
        <v>73.210770224372766</v>
      </c>
      <c r="Q25" s="912">
        <f>(AN25*KFC!$B$17+KFC!$C$17)*KFC!$C$5</f>
        <v>77.0568349642963</v>
      </c>
      <c r="R25" s="912">
        <f>(AO25*KFC!$B$17+KFC!$C$17)*KFC!$C$5</f>
        <v>80.902899704219834</v>
      </c>
      <c r="S25" s="912">
        <f>(AP25*KFC!$B$17+KFC!$C$17)*KFC!$C$5</f>
        <v>84.748964444143382</v>
      </c>
      <c r="T25" s="912">
        <f>(AQ25*KFC!$B$17+KFC!$C$17)*KFC!$C$5</f>
        <v>88.595029184066902</v>
      </c>
      <c r="U25" s="912">
        <f>(AR25*KFC!$B$17+KFC!$C$17)*KFC!$C$5</f>
        <v>92.441093923990437</v>
      </c>
      <c r="V25" s="912">
        <f>(AS25*KFC!$B$17+KFC!$C$17)*KFC!$C$5</f>
        <v>96.287158663913985</v>
      </c>
      <c r="W25" s="916">
        <f>(AT25*KFC!$B$17+KFC!$C$17)*KFC!$C$5</f>
        <v>100.13322340383756</v>
      </c>
      <c r="Y25" s="1277"/>
      <c r="Z25" s="649">
        <v>1.9</v>
      </c>
      <c r="AA25" s="882">
        <v>27.057993345290257</v>
      </c>
      <c r="AB25" s="882">
        <v>30.904058085213801</v>
      </c>
      <c r="AC25" s="882">
        <v>34.750122825137339</v>
      </c>
      <c r="AD25" s="882">
        <v>38.596187565060887</v>
      </c>
      <c r="AE25" s="882">
        <v>42.442252304984429</v>
      </c>
      <c r="AF25" s="882">
        <v>46.28831704490797</v>
      </c>
      <c r="AG25" s="882">
        <v>50.134381784831511</v>
      </c>
      <c r="AH25" s="882">
        <v>53.98044652475506</v>
      </c>
      <c r="AI25" s="882">
        <v>57.826511264678601</v>
      </c>
      <c r="AJ25" s="882">
        <v>61.672576004602156</v>
      </c>
      <c r="AK25" s="882">
        <v>65.518640744525698</v>
      </c>
      <c r="AL25" s="882">
        <v>69.364705484449232</v>
      </c>
      <c r="AM25" s="882">
        <v>73.210770224372766</v>
      </c>
      <c r="AN25" s="882">
        <v>77.0568349642963</v>
      </c>
      <c r="AO25" s="882">
        <v>80.902899704219834</v>
      </c>
      <c r="AP25" s="882">
        <v>84.748964444143382</v>
      </c>
      <c r="AQ25" s="882">
        <v>88.595029184066902</v>
      </c>
      <c r="AR25" s="882">
        <v>92.441093923990437</v>
      </c>
      <c r="AS25" s="882">
        <v>96.287158663913985</v>
      </c>
      <c r="AT25" s="882">
        <v>100.13322340383756</v>
      </c>
    </row>
    <row r="26" spans="1:46">
      <c r="A26" s="1426"/>
      <c r="B26" s="1427"/>
      <c r="C26" s="881">
        <v>2</v>
      </c>
      <c r="D26" s="915">
        <f>(AA26*KFC!$B$17+KFC!$C$17)*KFC!$C$5</f>
        <v>27.621776238448508</v>
      </c>
      <c r="E26" s="912">
        <f>(AB26*KFC!$B$17+KFC!$C$17)*KFC!$C$5</f>
        <v>31.578247834018594</v>
      </c>
      <c r="F26" s="912">
        <f>(AC26*KFC!$B$17+KFC!$C$17)*KFC!$C$5</f>
        <v>35.534719429588677</v>
      </c>
      <c r="G26" s="912">
        <f>(AD26*KFC!$B$17+KFC!$C$17)*KFC!$C$5</f>
        <v>39.491191025158756</v>
      </c>
      <c r="H26" s="912">
        <f>(AE26*KFC!$B$17+KFC!$C$17)*KFC!$C$5</f>
        <v>43.447662620728842</v>
      </c>
      <c r="I26" s="912">
        <f>(AF26*KFC!$B$17+KFC!$C$17)*KFC!$C$5</f>
        <v>47.404134216298921</v>
      </c>
      <c r="J26" s="912">
        <f>(AG26*KFC!$B$17+KFC!$C$17)*KFC!$C$5</f>
        <v>51.360605811869007</v>
      </c>
      <c r="K26" s="912">
        <f>(AH26*KFC!$B$17+KFC!$C$17)*KFC!$C$5</f>
        <v>55.317077407439086</v>
      </c>
      <c r="L26" s="912">
        <f>(AI26*KFC!$B$17+KFC!$C$17)*KFC!$C$5</f>
        <v>59.27354900300918</v>
      </c>
      <c r="M26" s="912">
        <f>(AJ26*KFC!$B$17+KFC!$C$17)*KFC!$C$5</f>
        <v>63.230020598579266</v>
      </c>
      <c r="N26" s="912">
        <f>(AK26*KFC!$B$17+KFC!$C$17)*KFC!$C$5</f>
        <v>67.186492194149338</v>
      </c>
      <c r="O26" s="912">
        <f>(AL26*KFC!$B$17+KFC!$C$17)*KFC!$C$5</f>
        <v>71.142963789719417</v>
      </c>
      <c r="P26" s="912">
        <f>(AM26*KFC!$B$17+KFC!$C$17)*KFC!$C$5</f>
        <v>75.099435385289496</v>
      </c>
      <c r="Q26" s="912">
        <f>(AN26*KFC!$B$17+KFC!$C$17)*KFC!$C$5</f>
        <v>79.055906980859575</v>
      </c>
      <c r="R26" s="912">
        <f>(AO26*KFC!$B$17+KFC!$C$17)*KFC!$C$5</f>
        <v>83.012378576429654</v>
      </c>
      <c r="S26" s="912">
        <f>(AP26*KFC!$B$17+KFC!$C$17)*KFC!$C$5</f>
        <v>86.968850171999733</v>
      </c>
      <c r="T26" s="912">
        <f>(AQ26*KFC!$B$17+KFC!$C$17)*KFC!$C$5</f>
        <v>90.925321767569784</v>
      </c>
      <c r="U26" s="912">
        <f>(AR26*KFC!$B$17+KFC!$C$17)*KFC!$C$5</f>
        <v>94.881793363139863</v>
      </c>
      <c r="V26" s="912">
        <f>(AS26*KFC!$B$17+KFC!$C$17)*KFC!$C$5</f>
        <v>98.838264958709942</v>
      </c>
      <c r="W26" s="916">
        <f>(AT26*KFC!$B$17+KFC!$C$17)*KFC!$C$5</f>
        <v>102.79473655428006</v>
      </c>
      <c r="Y26" s="1277"/>
      <c r="Z26" s="649">
        <v>2</v>
      </c>
      <c r="AA26" s="882">
        <v>27.621776238448508</v>
      </c>
      <c r="AB26" s="882">
        <v>31.578247834018594</v>
      </c>
      <c r="AC26" s="882">
        <v>35.534719429588677</v>
      </c>
      <c r="AD26" s="882">
        <v>39.491191025158756</v>
      </c>
      <c r="AE26" s="882">
        <v>43.447662620728842</v>
      </c>
      <c r="AF26" s="882">
        <v>47.404134216298921</v>
      </c>
      <c r="AG26" s="882">
        <v>51.360605811869007</v>
      </c>
      <c r="AH26" s="882">
        <v>55.317077407439086</v>
      </c>
      <c r="AI26" s="882">
        <v>59.27354900300918</v>
      </c>
      <c r="AJ26" s="882">
        <v>63.230020598579266</v>
      </c>
      <c r="AK26" s="882">
        <v>67.186492194149338</v>
      </c>
      <c r="AL26" s="882">
        <v>71.142963789719417</v>
      </c>
      <c r="AM26" s="882">
        <v>75.099435385289496</v>
      </c>
      <c r="AN26" s="882">
        <v>79.055906980859575</v>
      </c>
      <c r="AO26" s="882">
        <v>83.012378576429654</v>
      </c>
      <c r="AP26" s="882">
        <v>86.968850171999733</v>
      </c>
      <c r="AQ26" s="882">
        <v>90.925321767569784</v>
      </c>
      <c r="AR26" s="882">
        <v>94.881793363139863</v>
      </c>
      <c r="AS26" s="882">
        <v>98.838264958709942</v>
      </c>
      <c r="AT26" s="882">
        <v>102.79473655428006</v>
      </c>
    </row>
    <row r="27" spans="1:46">
      <c r="A27" s="1426"/>
      <c r="B27" s="1427"/>
      <c r="C27" s="881">
        <v>2.1</v>
      </c>
      <c r="D27" s="915">
        <f>(AA27*KFC!$B$17+KFC!$C$17)*KFC!$C$5</f>
        <v>28.185559131606759</v>
      </c>
      <c r="E27" s="912">
        <f>(AB27*KFC!$B$17+KFC!$C$17)*KFC!$C$5</f>
        <v>32.252437582823383</v>
      </c>
      <c r="F27" s="912">
        <f>(AC27*KFC!$B$17+KFC!$C$17)*KFC!$C$5</f>
        <v>36.319316034040007</v>
      </c>
      <c r="G27" s="912">
        <f>(AD27*KFC!$B$17+KFC!$C$17)*KFC!$C$5</f>
        <v>40.386194485256624</v>
      </c>
      <c r="H27" s="912">
        <f>(AE27*KFC!$B$17+KFC!$C$17)*KFC!$C$5</f>
        <v>44.453072936473255</v>
      </c>
      <c r="I27" s="912">
        <f>(AF27*KFC!$B$17+KFC!$C$17)*KFC!$C$5</f>
        <v>48.519951387689879</v>
      </c>
      <c r="J27" s="912">
        <f>(AG27*KFC!$B$17+KFC!$C$17)*KFC!$C$5</f>
        <v>52.586829838906503</v>
      </c>
      <c r="K27" s="912">
        <f>(AH27*KFC!$B$17+KFC!$C$17)*KFC!$C$5</f>
        <v>56.65370829012312</v>
      </c>
      <c r="L27" s="912">
        <f>(AI27*KFC!$B$17+KFC!$C$17)*KFC!$C$5</f>
        <v>60.720586741339751</v>
      </c>
      <c r="M27" s="912">
        <f>(AJ27*KFC!$B$17+KFC!$C$17)*KFC!$C$5</f>
        <v>64.787465192556382</v>
      </c>
      <c r="N27" s="912">
        <f>(AK27*KFC!$B$17+KFC!$C$17)*KFC!$C$5</f>
        <v>68.854343643772992</v>
      </c>
      <c r="O27" s="912">
        <f>(AL27*KFC!$B$17+KFC!$C$17)*KFC!$C$5</f>
        <v>72.921222094989616</v>
      </c>
      <c r="P27" s="912">
        <f>(AM27*KFC!$B$17+KFC!$C$17)*KFC!$C$5</f>
        <v>76.988100546206226</v>
      </c>
      <c r="Q27" s="912">
        <f>(AN27*KFC!$B$17+KFC!$C$17)*KFC!$C$5</f>
        <v>81.05497899742285</v>
      </c>
      <c r="R27" s="912">
        <f>(AO27*KFC!$B$17+KFC!$C$17)*KFC!$C$5</f>
        <v>85.12185744863946</v>
      </c>
      <c r="S27" s="912">
        <f>(AP27*KFC!$B$17+KFC!$C$17)*KFC!$C$5</f>
        <v>89.188735899856084</v>
      </c>
      <c r="T27" s="912">
        <f>(AQ27*KFC!$B$17+KFC!$C$17)*KFC!$C$5</f>
        <v>93.255614351072694</v>
      </c>
      <c r="U27" s="912">
        <f>(AR27*KFC!$B$17+KFC!$C$17)*KFC!$C$5</f>
        <v>97.322492802289318</v>
      </c>
      <c r="V27" s="912">
        <f>(AS27*KFC!$B$17+KFC!$C$17)*KFC!$C$5</f>
        <v>101.38937125350593</v>
      </c>
      <c r="W27" s="916">
        <f>(AT27*KFC!$B$17+KFC!$C$17)*KFC!$C$5</f>
        <v>105.45624970472258</v>
      </c>
      <c r="Y27" s="1277"/>
      <c r="Z27" s="649">
        <v>2.1</v>
      </c>
      <c r="AA27" s="882">
        <v>28.185559131606759</v>
      </c>
      <c r="AB27" s="882">
        <v>32.252437582823383</v>
      </c>
      <c r="AC27" s="882">
        <v>36.319316034040007</v>
      </c>
      <c r="AD27" s="882">
        <v>40.386194485256624</v>
      </c>
      <c r="AE27" s="882">
        <v>44.453072936473255</v>
      </c>
      <c r="AF27" s="882">
        <v>48.519951387689879</v>
      </c>
      <c r="AG27" s="882">
        <v>52.586829838906503</v>
      </c>
      <c r="AH27" s="882">
        <v>56.65370829012312</v>
      </c>
      <c r="AI27" s="882">
        <v>60.720586741339751</v>
      </c>
      <c r="AJ27" s="882">
        <v>64.787465192556382</v>
      </c>
      <c r="AK27" s="882">
        <v>68.854343643772992</v>
      </c>
      <c r="AL27" s="882">
        <v>72.921222094989616</v>
      </c>
      <c r="AM27" s="882">
        <v>76.988100546206226</v>
      </c>
      <c r="AN27" s="882">
        <v>81.05497899742285</v>
      </c>
      <c r="AO27" s="882">
        <v>85.12185744863946</v>
      </c>
      <c r="AP27" s="882">
        <v>89.188735899856084</v>
      </c>
      <c r="AQ27" s="882">
        <v>93.255614351072694</v>
      </c>
      <c r="AR27" s="882">
        <v>97.322492802289318</v>
      </c>
      <c r="AS27" s="882">
        <v>101.38937125350593</v>
      </c>
      <c r="AT27" s="882">
        <v>105.45624970472258</v>
      </c>
    </row>
    <row r="28" spans="1:46" ht="15" thickBot="1">
      <c r="A28" s="1428"/>
      <c r="B28" s="1429"/>
      <c r="C28" s="908">
        <v>2.2000000000000002</v>
      </c>
      <c r="D28" s="917">
        <f>(AA28*KFC!$B$17+KFC!$C$17)*KFC!$C$5</f>
        <v>28.749342024764996</v>
      </c>
      <c r="E28" s="918">
        <f>(AB28*KFC!$B$17+KFC!$C$17)*KFC!$C$5</f>
        <v>32.926627331628154</v>
      </c>
      <c r="F28" s="918">
        <f>(AC28*KFC!$B$17+KFC!$C$17)*KFC!$C$5</f>
        <v>37.103912638491316</v>
      </c>
      <c r="G28" s="918">
        <f>(AD28*KFC!$B$17+KFC!$C$17)*KFC!$C$5</f>
        <v>41.281197945354471</v>
      </c>
      <c r="H28" s="918">
        <f>(AE28*KFC!$B$17+KFC!$C$17)*KFC!$C$5</f>
        <v>45.458483252217626</v>
      </c>
      <c r="I28" s="918">
        <f>(AF28*KFC!$B$17+KFC!$C$17)*KFC!$C$5</f>
        <v>49.63576855908078</v>
      </c>
      <c r="J28" s="918">
        <f>(AG28*KFC!$B$17+KFC!$C$17)*KFC!$C$5</f>
        <v>53.813053865943949</v>
      </c>
      <c r="K28" s="918">
        <f>(AH28*KFC!$B$17+KFC!$C$17)*KFC!$C$5</f>
        <v>57.990339172807104</v>
      </c>
      <c r="L28" s="918">
        <f>(AI28*KFC!$B$17+KFC!$C$17)*KFC!$C$5</f>
        <v>62.167624479670259</v>
      </c>
      <c r="M28" s="918">
        <f>(AJ28*KFC!$B$17+KFC!$C$17)*KFC!$C$5</f>
        <v>66.344909786533421</v>
      </c>
      <c r="N28" s="918">
        <f>(AK28*KFC!$B$17+KFC!$C$17)*KFC!$C$5</f>
        <v>70.522195093396576</v>
      </c>
      <c r="O28" s="918">
        <f>(AL28*KFC!$B$17+KFC!$C$17)*KFC!$C$5</f>
        <v>74.699480400259731</v>
      </c>
      <c r="P28" s="918">
        <f>(AM28*KFC!$B$17+KFC!$C$17)*KFC!$C$5</f>
        <v>78.876765707122885</v>
      </c>
      <c r="Q28" s="918">
        <f>(AN28*KFC!$B$17+KFC!$C$17)*KFC!$C$5</f>
        <v>83.05405101398604</v>
      </c>
      <c r="R28" s="918">
        <f>(AO28*KFC!$B$17+KFC!$C$17)*KFC!$C$5</f>
        <v>87.231336320849195</v>
      </c>
      <c r="S28" s="918">
        <f>(AP28*KFC!$B$17+KFC!$C$17)*KFC!$C$5</f>
        <v>91.40862162771235</v>
      </c>
      <c r="T28" s="918">
        <f>(AQ28*KFC!$B$17+KFC!$C$17)*KFC!$C$5</f>
        <v>95.585906934575519</v>
      </c>
      <c r="U28" s="918">
        <f>(AR28*KFC!$B$17+KFC!$C$17)*KFC!$C$5</f>
        <v>99.763192241438659</v>
      </c>
      <c r="V28" s="918">
        <f>(AS28*KFC!$B$17+KFC!$C$17)*KFC!$C$5</f>
        <v>103.94047754830184</v>
      </c>
      <c r="W28" s="919">
        <f>(AT28*KFC!$B$17+KFC!$C$17)*KFC!$C$5</f>
        <v>108.117762855165</v>
      </c>
      <c r="Y28" s="1277"/>
      <c r="Z28" s="649">
        <v>2.2000000000000002</v>
      </c>
      <c r="AA28" s="882">
        <v>28.749342024764996</v>
      </c>
      <c r="AB28" s="882">
        <v>32.926627331628154</v>
      </c>
      <c r="AC28" s="882">
        <v>37.103912638491316</v>
      </c>
      <c r="AD28" s="882">
        <v>41.281197945354471</v>
      </c>
      <c r="AE28" s="882">
        <v>45.458483252217626</v>
      </c>
      <c r="AF28" s="882">
        <v>49.63576855908078</v>
      </c>
      <c r="AG28" s="882">
        <v>53.813053865943949</v>
      </c>
      <c r="AH28" s="882">
        <v>57.990339172807104</v>
      </c>
      <c r="AI28" s="882">
        <v>62.167624479670259</v>
      </c>
      <c r="AJ28" s="882">
        <v>66.344909786533421</v>
      </c>
      <c r="AK28" s="882">
        <v>70.522195093396576</v>
      </c>
      <c r="AL28" s="882">
        <v>74.699480400259731</v>
      </c>
      <c r="AM28" s="882">
        <v>78.876765707122885</v>
      </c>
      <c r="AN28" s="882">
        <v>83.05405101398604</v>
      </c>
      <c r="AO28" s="882">
        <v>87.231336320849195</v>
      </c>
      <c r="AP28" s="882">
        <v>91.40862162771235</v>
      </c>
      <c r="AQ28" s="882">
        <v>95.585906934575519</v>
      </c>
      <c r="AR28" s="882">
        <v>99.763192241438659</v>
      </c>
      <c r="AS28" s="882">
        <v>103.94047754830184</v>
      </c>
      <c r="AT28" s="882">
        <v>108.117762855165</v>
      </c>
    </row>
    <row r="29" spans="1:46">
      <c r="A29" s="16"/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</row>
    <row r="30" spans="1:46" ht="16.2" thickBot="1">
      <c r="A30" s="1033" t="s">
        <v>1226</v>
      </c>
      <c r="B30" s="1033"/>
      <c r="C30" s="1033"/>
      <c r="D30" s="1033"/>
      <c r="E30" s="1033"/>
      <c r="F30" s="1033"/>
      <c r="G30" s="1033"/>
      <c r="H30" s="1033"/>
      <c r="I30" s="1033"/>
      <c r="J30" s="1033"/>
      <c r="K30" s="1033"/>
      <c r="L30" s="1033"/>
      <c r="M30" s="1033"/>
      <c r="N30" s="1033"/>
      <c r="O30" s="1033"/>
      <c r="P30" s="1033"/>
      <c r="Q30" s="1033"/>
      <c r="R30" s="1033"/>
      <c r="S30" s="1033"/>
      <c r="T30" s="1033"/>
      <c r="U30" s="1033"/>
      <c r="V30" s="1033"/>
      <c r="W30" s="1033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</row>
    <row r="31" spans="1:46" ht="36.75" customHeight="1" thickBot="1">
      <c r="A31" s="1439"/>
      <c r="B31" s="1440"/>
      <c r="C31" s="1441"/>
      <c r="D31" s="1419" t="s">
        <v>207</v>
      </c>
      <c r="E31" s="1420"/>
      <c r="F31" s="1420"/>
      <c r="G31" s="1420"/>
      <c r="H31" s="1420"/>
      <c r="I31" s="1420"/>
      <c r="J31" s="1420"/>
      <c r="K31" s="1420"/>
      <c r="L31" s="1420"/>
      <c r="M31" s="1420"/>
      <c r="N31" s="1420"/>
      <c r="O31" s="1420"/>
      <c r="P31" s="1420"/>
      <c r="Q31" s="1420"/>
      <c r="R31" s="1420"/>
      <c r="S31" s="1420"/>
      <c r="T31" s="1420"/>
      <c r="U31" s="1420"/>
      <c r="V31" s="1420"/>
      <c r="W31" s="1421"/>
      <c r="Y31" s="1278" t="s">
        <v>1204</v>
      </c>
      <c r="Z31" s="1278"/>
      <c r="AA31" s="1279" t="s">
        <v>356</v>
      </c>
      <c r="AB31" s="1279"/>
      <c r="AC31" s="1279"/>
      <c r="AD31" s="1279"/>
      <c r="AE31" s="1279"/>
      <c r="AF31" s="1279"/>
      <c r="AG31" s="1279"/>
      <c r="AH31" s="1279"/>
      <c r="AI31" s="1279"/>
      <c r="AJ31" s="1279"/>
      <c r="AK31" s="1279"/>
      <c r="AL31" s="1279"/>
      <c r="AM31" s="1279"/>
      <c r="AN31" s="1279"/>
      <c r="AO31" s="1279"/>
      <c r="AP31" s="1279"/>
      <c r="AQ31" s="1279"/>
      <c r="AR31" s="1279"/>
      <c r="AS31" s="1279"/>
      <c r="AT31" s="1279"/>
    </row>
    <row r="32" spans="1:46" ht="14.4" customHeight="1" thickBot="1">
      <c r="A32" s="1442"/>
      <c r="B32" s="1443"/>
      <c r="C32" s="1444"/>
      <c r="D32" s="883">
        <v>0.3</v>
      </c>
      <c r="E32" s="884">
        <v>0.4</v>
      </c>
      <c r="F32" s="884">
        <v>0.5</v>
      </c>
      <c r="G32" s="884">
        <v>0.6</v>
      </c>
      <c r="H32" s="884">
        <v>0.7</v>
      </c>
      <c r="I32" s="884">
        <v>0.8</v>
      </c>
      <c r="J32" s="884">
        <v>0.9</v>
      </c>
      <c r="K32" s="884">
        <v>1</v>
      </c>
      <c r="L32" s="884">
        <v>1.1000000000000001</v>
      </c>
      <c r="M32" s="884">
        <v>1.2</v>
      </c>
      <c r="N32" s="884">
        <v>1.3</v>
      </c>
      <c r="O32" s="884">
        <v>1.4</v>
      </c>
      <c r="P32" s="884">
        <v>1.5</v>
      </c>
      <c r="Q32" s="884">
        <v>1.6</v>
      </c>
      <c r="R32" s="884">
        <v>1.7</v>
      </c>
      <c r="S32" s="884">
        <v>1.8</v>
      </c>
      <c r="T32" s="884">
        <v>1.9</v>
      </c>
      <c r="U32" s="884">
        <v>2</v>
      </c>
      <c r="V32" s="884">
        <v>2.1</v>
      </c>
      <c r="W32" s="885">
        <v>2.2000000000000002</v>
      </c>
      <c r="Y32" s="1278"/>
      <c r="Z32" s="1278"/>
      <c r="AA32" s="649">
        <v>0.3</v>
      </c>
      <c r="AB32" s="649">
        <v>0.4</v>
      </c>
      <c r="AC32" s="649">
        <v>0.5</v>
      </c>
      <c r="AD32" s="649">
        <v>0.6</v>
      </c>
      <c r="AE32" s="649">
        <v>0.7</v>
      </c>
      <c r="AF32" s="649">
        <v>0.8</v>
      </c>
      <c r="AG32" s="649">
        <v>0.9</v>
      </c>
      <c r="AH32" s="649">
        <v>1</v>
      </c>
      <c r="AI32" s="649">
        <v>1.1000000000000001</v>
      </c>
      <c r="AJ32" s="649">
        <v>1.2</v>
      </c>
      <c r="AK32" s="649">
        <v>1.3</v>
      </c>
      <c r="AL32" s="649">
        <v>1.4</v>
      </c>
      <c r="AM32" s="649">
        <v>1.5</v>
      </c>
      <c r="AN32" s="649">
        <v>1.6</v>
      </c>
      <c r="AO32" s="649">
        <v>1.7</v>
      </c>
      <c r="AP32" s="649">
        <v>1.8</v>
      </c>
      <c r="AQ32" s="649">
        <v>1.9</v>
      </c>
      <c r="AR32" s="649">
        <v>2</v>
      </c>
      <c r="AS32" s="649">
        <v>2.1</v>
      </c>
      <c r="AT32" s="649">
        <v>2.2000000000000002</v>
      </c>
    </row>
    <row r="33" spans="1:46" ht="15" customHeight="1">
      <c r="A33" s="1426" t="s">
        <v>3</v>
      </c>
      <c r="B33" s="1427"/>
      <c r="C33" s="886">
        <v>0.2</v>
      </c>
      <c r="D33" s="899">
        <f>(AA33*KFC!$B$17+KFC!$C$17)*KFC!$C$5</f>
        <v>17.664473634749999</v>
      </c>
      <c r="E33" s="913">
        <f>(AB33*KFC!$B$17+KFC!$C$17)*KFC!$C$5</f>
        <v>19.697887756480263</v>
      </c>
      <c r="F33" s="913">
        <f>(AC33*KFC!$B$17+KFC!$C$17)*KFC!$C$5</f>
        <v>21.731301878210527</v>
      </c>
      <c r="G33" s="913">
        <f>(AD33*KFC!$B$17+KFC!$C$17)*KFC!$C$5</f>
        <v>23.76471599994079</v>
      </c>
      <c r="H33" s="913">
        <f>(AE33*KFC!$B$17+KFC!$C$17)*KFC!$C$5</f>
        <v>25.798130121671054</v>
      </c>
      <c r="I33" s="913">
        <f>(AF33*KFC!$B$17+KFC!$C$17)*KFC!$C$5</f>
        <v>27.831544243401318</v>
      </c>
      <c r="J33" s="913">
        <f>(AG33*KFC!$B$17+KFC!$C$17)*KFC!$C$5</f>
        <v>29.864958365131578</v>
      </c>
      <c r="K33" s="913">
        <f>(AH33*KFC!$B$17+KFC!$C$17)*KFC!$C$5</f>
        <v>31.898372486861842</v>
      </c>
      <c r="L33" s="913">
        <f>(AI33*KFC!$B$17+KFC!$C$17)*KFC!$C$5</f>
        <v>33.931786608592105</v>
      </c>
      <c r="M33" s="913">
        <f>(AJ33*KFC!$B$17+KFC!$C$17)*KFC!$C$5</f>
        <v>35.965200730322373</v>
      </c>
      <c r="N33" s="913">
        <f>(AK33*KFC!$B$17+KFC!$C$17)*KFC!$C$5</f>
        <v>37.99861485205264</v>
      </c>
      <c r="O33" s="913">
        <f>(AL33*KFC!$B$17+KFC!$C$17)*KFC!$C$5</f>
        <v>40.0320289737829</v>
      </c>
      <c r="P33" s="913">
        <f>(AM33*KFC!$B$17+KFC!$C$17)*KFC!$C$5</f>
        <v>42.065443095513174</v>
      </c>
      <c r="Q33" s="913">
        <f>(AN33*KFC!$B$17+KFC!$C$17)*KFC!$C$5</f>
        <v>44.098857217243435</v>
      </c>
      <c r="R33" s="913">
        <f>(AO33*KFC!$B$17+KFC!$C$17)*KFC!$C$5</f>
        <v>46.132271338973702</v>
      </c>
      <c r="S33" s="913">
        <f>(AP33*KFC!$B$17+KFC!$C$17)*KFC!$C$5</f>
        <v>48.165685460703976</v>
      </c>
      <c r="T33" s="913">
        <f>(AQ33*KFC!$B$17+KFC!$C$17)*KFC!$C$5</f>
        <v>50.199099582434236</v>
      </c>
      <c r="U33" s="913">
        <f>(AR33*KFC!$B$17+KFC!$C$17)*KFC!$C$5</f>
        <v>52.232513704164496</v>
      </c>
      <c r="V33" s="913">
        <f>(AS33*KFC!$B$17+KFC!$C$17)*KFC!$C$5</f>
        <v>54.265927825894771</v>
      </c>
      <c r="W33" s="914">
        <f>(AT33*KFC!$B$17+KFC!$C$17)*KFC!$C$5</f>
        <v>56.299341947624995</v>
      </c>
      <c r="Y33" s="1277" t="s">
        <v>357</v>
      </c>
      <c r="Z33" s="649">
        <v>0.2</v>
      </c>
      <c r="AA33" s="882">
        <v>17.664473634749999</v>
      </c>
      <c r="AB33" s="882">
        <v>19.697887756480263</v>
      </c>
      <c r="AC33" s="882">
        <v>21.731301878210527</v>
      </c>
      <c r="AD33" s="882">
        <v>23.76471599994079</v>
      </c>
      <c r="AE33" s="882">
        <v>25.798130121671054</v>
      </c>
      <c r="AF33" s="882">
        <v>27.831544243401318</v>
      </c>
      <c r="AG33" s="882">
        <v>29.864958365131578</v>
      </c>
      <c r="AH33" s="882">
        <v>31.898372486861842</v>
      </c>
      <c r="AI33" s="882">
        <v>33.931786608592105</v>
      </c>
      <c r="AJ33" s="882">
        <v>35.965200730322373</v>
      </c>
      <c r="AK33" s="882">
        <v>37.99861485205264</v>
      </c>
      <c r="AL33" s="882">
        <v>40.0320289737829</v>
      </c>
      <c r="AM33" s="882">
        <v>42.065443095513174</v>
      </c>
      <c r="AN33" s="882">
        <v>44.098857217243435</v>
      </c>
      <c r="AO33" s="882">
        <v>46.132271338973702</v>
      </c>
      <c r="AP33" s="882">
        <v>48.165685460703976</v>
      </c>
      <c r="AQ33" s="882">
        <v>50.199099582434236</v>
      </c>
      <c r="AR33" s="882">
        <v>52.232513704164496</v>
      </c>
      <c r="AS33" s="882">
        <v>54.265927825894771</v>
      </c>
      <c r="AT33" s="882">
        <v>56.299341947624995</v>
      </c>
    </row>
    <row r="34" spans="1:46" ht="14.4" customHeight="1">
      <c r="A34" s="1426"/>
      <c r="B34" s="1427"/>
      <c r="C34" s="887">
        <v>0.3</v>
      </c>
      <c r="D34" s="915">
        <f>(AA34*KFC!$B$17+KFC!$C$17)*KFC!$C$5</f>
        <v>18.324605211849001</v>
      </c>
      <c r="E34" s="912">
        <f>(AB34*KFC!$B$17+KFC!$C$17)*KFC!$C$5</f>
        <v>20.500458737612565</v>
      </c>
      <c r="F34" s="912">
        <f>(AC34*KFC!$B$17+KFC!$C$17)*KFC!$C$5</f>
        <v>22.676312263376133</v>
      </c>
      <c r="G34" s="912">
        <f>(AD34*KFC!$B$17+KFC!$C$17)*KFC!$C$5</f>
        <v>24.852165789139693</v>
      </c>
      <c r="H34" s="912">
        <f>(AE34*KFC!$B$17+KFC!$C$17)*KFC!$C$5</f>
        <v>27.028019314903261</v>
      </c>
      <c r="I34" s="912">
        <f>(AF34*KFC!$B$17+KFC!$C$17)*KFC!$C$5</f>
        <v>29.203872840666822</v>
      </c>
      <c r="J34" s="912">
        <f>(AG34*KFC!$B$17+KFC!$C$17)*KFC!$C$5</f>
        <v>31.37972636643039</v>
      </c>
      <c r="K34" s="912">
        <f>(AH34*KFC!$B$17+KFC!$C$17)*KFC!$C$5</f>
        <v>33.555579892193954</v>
      </c>
      <c r="L34" s="912">
        <f>(AI34*KFC!$B$17+KFC!$C$17)*KFC!$C$5</f>
        <v>35.731433417957518</v>
      </c>
      <c r="M34" s="912">
        <f>(AJ34*KFC!$B$17+KFC!$C$17)*KFC!$C$5</f>
        <v>37.907286943721076</v>
      </c>
      <c r="N34" s="912">
        <f>(AK34*KFC!$B$17+KFC!$C$17)*KFC!$C$5</f>
        <v>40.083140469484647</v>
      </c>
      <c r="O34" s="912">
        <f>(AL34*KFC!$B$17+KFC!$C$17)*KFC!$C$5</f>
        <v>42.258993995248211</v>
      </c>
      <c r="P34" s="912">
        <f>(AM34*KFC!$B$17+KFC!$C$17)*KFC!$C$5</f>
        <v>44.434847521011783</v>
      </c>
      <c r="Q34" s="912">
        <f>(AN34*KFC!$B$17+KFC!$C$17)*KFC!$C$5</f>
        <v>46.610701046775354</v>
      </c>
      <c r="R34" s="912">
        <f>(AO34*KFC!$B$17+KFC!$C$17)*KFC!$C$5</f>
        <v>48.786554572538918</v>
      </c>
      <c r="S34" s="912">
        <f>(AP34*KFC!$B$17+KFC!$C$17)*KFC!$C$5</f>
        <v>50.962408098302483</v>
      </c>
      <c r="T34" s="912">
        <f>(AQ34*KFC!$B$17+KFC!$C$17)*KFC!$C$5</f>
        <v>53.138261624066054</v>
      </c>
      <c r="U34" s="912">
        <f>(AR34*KFC!$B$17+KFC!$C$17)*KFC!$C$5</f>
        <v>55.314115149829618</v>
      </c>
      <c r="V34" s="912">
        <f>(AS34*KFC!$B$17+KFC!$C$17)*KFC!$C$5</f>
        <v>57.48996867559319</v>
      </c>
      <c r="W34" s="916">
        <f>(AT34*KFC!$B$17+KFC!$C$17)*KFC!$C$5</f>
        <v>59.66582220135674</v>
      </c>
      <c r="Y34" s="1277"/>
      <c r="Z34" s="649">
        <v>0.3</v>
      </c>
      <c r="AA34" s="882">
        <v>18.324605211849001</v>
      </c>
      <c r="AB34" s="882">
        <v>20.500458737612565</v>
      </c>
      <c r="AC34" s="882">
        <v>22.676312263376133</v>
      </c>
      <c r="AD34" s="882">
        <v>24.852165789139693</v>
      </c>
      <c r="AE34" s="882">
        <v>27.028019314903261</v>
      </c>
      <c r="AF34" s="882">
        <v>29.203872840666822</v>
      </c>
      <c r="AG34" s="882">
        <v>31.37972636643039</v>
      </c>
      <c r="AH34" s="882">
        <v>33.555579892193954</v>
      </c>
      <c r="AI34" s="882">
        <v>35.731433417957518</v>
      </c>
      <c r="AJ34" s="882">
        <v>37.907286943721076</v>
      </c>
      <c r="AK34" s="882">
        <v>40.083140469484647</v>
      </c>
      <c r="AL34" s="882">
        <v>42.258993995248211</v>
      </c>
      <c r="AM34" s="882">
        <v>44.434847521011783</v>
      </c>
      <c r="AN34" s="882">
        <v>46.610701046775354</v>
      </c>
      <c r="AO34" s="882">
        <v>48.786554572538918</v>
      </c>
      <c r="AP34" s="882">
        <v>50.962408098302483</v>
      </c>
      <c r="AQ34" s="882">
        <v>53.138261624066054</v>
      </c>
      <c r="AR34" s="882">
        <v>55.314115149829618</v>
      </c>
      <c r="AS34" s="882">
        <v>57.48996867559319</v>
      </c>
      <c r="AT34" s="882">
        <v>59.66582220135674</v>
      </c>
    </row>
    <row r="35" spans="1:46">
      <c r="A35" s="1426"/>
      <c r="B35" s="1427"/>
      <c r="C35" s="887">
        <v>0.4</v>
      </c>
      <c r="D35" s="915">
        <f>(AA35*KFC!$B$17+KFC!$C$17)*KFC!$C$5</f>
        <v>18.984736788947998</v>
      </c>
      <c r="E35" s="912">
        <f>(AB35*KFC!$B$17+KFC!$C$17)*KFC!$C$5</f>
        <v>21.303029718744867</v>
      </c>
      <c r="F35" s="912">
        <f>(AC35*KFC!$B$17+KFC!$C$17)*KFC!$C$5</f>
        <v>23.621322648541739</v>
      </c>
      <c r="G35" s="912">
        <f>(AD35*KFC!$B$17+KFC!$C$17)*KFC!$C$5</f>
        <v>25.939615578338604</v>
      </c>
      <c r="H35" s="912">
        <f>(AE35*KFC!$B$17+KFC!$C$17)*KFC!$C$5</f>
        <v>28.257908508135472</v>
      </c>
      <c r="I35" s="912">
        <f>(AF35*KFC!$B$17+KFC!$C$17)*KFC!$C$5</f>
        <v>30.57620143793234</v>
      </c>
      <c r="J35" s="912">
        <f>(AG35*KFC!$B$17+KFC!$C$17)*KFC!$C$5</f>
        <v>32.894494367729209</v>
      </c>
      <c r="K35" s="912">
        <f>(AH35*KFC!$B$17+KFC!$C$17)*KFC!$C$5</f>
        <v>35.212787297526077</v>
      </c>
      <c r="L35" s="912">
        <f>(AI35*KFC!$B$17+KFC!$C$17)*KFC!$C$5</f>
        <v>37.531080227322953</v>
      </c>
      <c r="M35" s="912">
        <f>(AJ35*KFC!$B$17+KFC!$C$17)*KFC!$C$5</f>
        <v>39.849373157119821</v>
      </c>
      <c r="N35" s="912">
        <f>(AK35*KFC!$B$17+KFC!$C$17)*KFC!$C$5</f>
        <v>42.167666086916689</v>
      </c>
      <c r="O35" s="912">
        <f>(AL35*KFC!$B$17+KFC!$C$17)*KFC!$C$5</f>
        <v>44.485959016713558</v>
      </c>
      <c r="P35" s="912">
        <f>(AM35*KFC!$B$17+KFC!$C$17)*KFC!$C$5</f>
        <v>46.804251946510426</v>
      </c>
      <c r="Q35" s="912">
        <f>(AN35*KFC!$B$17+KFC!$C$17)*KFC!$C$5</f>
        <v>49.122544876307288</v>
      </c>
      <c r="R35" s="912">
        <f>(AO35*KFC!$B$17+KFC!$C$17)*KFC!$C$5</f>
        <v>51.440837806104156</v>
      </c>
      <c r="S35" s="912">
        <f>(AP35*KFC!$B$17+KFC!$C$17)*KFC!$C$5</f>
        <v>53.759130735901024</v>
      </c>
      <c r="T35" s="912">
        <f>(AQ35*KFC!$B$17+KFC!$C$17)*KFC!$C$5</f>
        <v>56.0774236656979</v>
      </c>
      <c r="U35" s="912">
        <f>(AR35*KFC!$B$17+KFC!$C$17)*KFC!$C$5</f>
        <v>58.395716595494768</v>
      </c>
      <c r="V35" s="912">
        <f>(AS35*KFC!$B$17+KFC!$C$17)*KFC!$C$5</f>
        <v>60.71400952529163</v>
      </c>
      <c r="W35" s="916">
        <f>(AT35*KFC!$B$17+KFC!$C$17)*KFC!$C$5</f>
        <v>63.032302455088484</v>
      </c>
      <c r="Y35" s="1277"/>
      <c r="Z35" s="649">
        <v>0.4</v>
      </c>
      <c r="AA35" s="882">
        <v>18.984736788947998</v>
      </c>
      <c r="AB35" s="882">
        <v>21.303029718744867</v>
      </c>
      <c r="AC35" s="882">
        <v>23.621322648541739</v>
      </c>
      <c r="AD35" s="882">
        <v>25.939615578338604</v>
      </c>
      <c r="AE35" s="882">
        <v>28.257908508135472</v>
      </c>
      <c r="AF35" s="882">
        <v>30.57620143793234</v>
      </c>
      <c r="AG35" s="882">
        <v>32.894494367729209</v>
      </c>
      <c r="AH35" s="882">
        <v>35.212787297526077</v>
      </c>
      <c r="AI35" s="882">
        <v>37.531080227322953</v>
      </c>
      <c r="AJ35" s="882">
        <v>39.849373157119821</v>
      </c>
      <c r="AK35" s="882">
        <v>42.167666086916689</v>
      </c>
      <c r="AL35" s="882">
        <v>44.485959016713558</v>
      </c>
      <c r="AM35" s="882">
        <v>46.804251946510426</v>
      </c>
      <c r="AN35" s="882">
        <v>49.122544876307288</v>
      </c>
      <c r="AO35" s="882">
        <v>51.440837806104156</v>
      </c>
      <c r="AP35" s="882">
        <v>53.759130735901024</v>
      </c>
      <c r="AQ35" s="882">
        <v>56.0774236656979</v>
      </c>
      <c r="AR35" s="882">
        <v>58.395716595494768</v>
      </c>
      <c r="AS35" s="882">
        <v>60.71400952529163</v>
      </c>
      <c r="AT35" s="882">
        <v>63.032302455088484</v>
      </c>
    </row>
    <row r="36" spans="1:46">
      <c r="A36" s="1426"/>
      <c r="B36" s="1427"/>
      <c r="C36" s="887">
        <v>0.5</v>
      </c>
      <c r="D36" s="915">
        <f>(AA36*KFC!$B$17+KFC!$C$17)*KFC!$C$5</f>
        <v>19.644868366047</v>
      </c>
      <c r="E36" s="912">
        <f>(AB36*KFC!$B$17+KFC!$C$17)*KFC!$C$5</f>
        <v>22.105600699877172</v>
      </c>
      <c r="F36" s="912">
        <f>(AC36*KFC!$B$17+KFC!$C$17)*KFC!$C$5</f>
        <v>24.566333033707338</v>
      </c>
      <c r="G36" s="912">
        <f>(AD36*KFC!$B$17+KFC!$C$17)*KFC!$C$5</f>
        <v>27.027065367537507</v>
      </c>
      <c r="H36" s="912">
        <f>(AE36*KFC!$B$17+KFC!$C$17)*KFC!$C$5</f>
        <v>29.487797701367679</v>
      </c>
      <c r="I36" s="912">
        <f>(AF36*KFC!$B$17+KFC!$C$17)*KFC!$C$5</f>
        <v>31.948530035197848</v>
      </c>
      <c r="J36" s="912">
        <f>(AG36*KFC!$B$17+KFC!$C$17)*KFC!$C$5</f>
        <v>34.409262369028021</v>
      </c>
      <c r="K36" s="912">
        <f>(AH36*KFC!$B$17+KFC!$C$17)*KFC!$C$5</f>
        <v>36.869994702858186</v>
      </c>
      <c r="L36" s="912">
        <f>(AI36*KFC!$B$17+KFC!$C$17)*KFC!$C$5</f>
        <v>39.330727036688359</v>
      </c>
      <c r="M36" s="912">
        <f>(AJ36*KFC!$B$17+KFC!$C$17)*KFC!$C$5</f>
        <v>41.791459370518524</v>
      </c>
      <c r="N36" s="912">
        <f>(AK36*KFC!$B$17+KFC!$C$17)*KFC!$C$5</f>
        <v>44.252191704348689</v>
      </c>
      <c r="O36" s="912">
        <f>(AL36*KFC!$B$17+KFC!$C$17)*KFC!$C$5</f>
        <v>46.712924038178869</v>
      </c>
      <c r="P36" s="912">
        <f>(AM36*KFC!$B$17+KFC!$C$17)*KFC!$C$5</f>
        <v>49.173656372009034</v>
      </c>
      <c r="Q36" s="912">
        <f>(AN36*KFC!$B$17+KFC!$C$17)*KFC!$C$5</f>
        <v>51.634388705839207</v>
      </c>
      <c r="R36" s="912">
        <f>(AO36*KFC!$B$17+KFC!$C$17)*KFC!$C$5</f>
        <v>54.095121039669372</v>
      </c>
      <c r="S36" s="912">
        <f>(AP36*KFC!$B$17+KFC!$C$17)*KFC!$C$5</f>
        <v>56.555853373499538</v>
      </c>
      <c r="T36" s="912">
        <f>(AQ36*KFC!$B$17+KFC!$C$17)*KFC!$C$5</f>
        <v>59.016585707329718</v>
      </c>
      <c r="U36" s="912">
        <f>(AR36*KFC!$B$17+KFC!$C$17)*KFC!$C$5</f>
        <v>61.477318041159883</v>
      </c>
      <c r="V36" s="912">
        <f>(AS36*KFC!$B$17+KFC!$C$17)*KFC!$C$5</f>
        <v>63.938050374990056</v>
      </c>
      <c r="W36" s="916">
        <f>(AT36*KFC!$B$17+KFC!$C$17)*KFC!$C$5</f>
        <v>66.398782708820235</v>
      </c>
      <c r="Y36" s="1277"/>
      <c r="Z36" s="649">
        <v>0.5</v>
      </c>
      <c r="AA36" s="882">
        <v>19.644868366047</v>
      </c>
      <c r="AB36" s="882">
        <v>22.105600699877172</v>
      </c>
      <c r="AC36" s="882">
        <v>24.566333033707338</v>
      </c>
      <c r="AD36" s="882">
        <v>27.027065367537507</v>
      </c>
      <c r="AE36" s="882">
        <v>29.487797701367679</v>
      </c>
      <c r="AF36" s="882">
        <v>31.948530035197848</v>
      </c>
      <c r="AG36" s="882">
        <v>34.409262369028021</v>
      </c>
      <c r="AH36" s="882">
        <v>36.869994702858186</v>
      </c>
      <c r="AI36" s="882">
        <v>39.330727036688359</v>
      </c>
      <c r="AJ36" s="882">
        <v>41.791459370518524</v>
      </c>
      <c r="AK36" s="882">
        <v>44.252191704348689</v>
      </c>
      <c r="AL36" s="882">
        <v>46.712924038178869</v>
      </c>
      <c r="AM36" s="882">
        <v>49.173656372009034</v>
      </c>
      <c r="AN36" s="882">
        <v>51.634388705839207</v>
      </c>
      <c r="AO36" s="882">
        <v>54.095121039669372</v>
      </c>
      <c r="AP36" s="882">
        <v>56.555853373499538</v>
      </c>
      <c r="AQ36" s="882">
        <v>59.016585707329718</v>
      </c>
      <c r="AR36" s="882">
        <v>61.477318041159883</v>
      </c>
      <c r="AS36" s="882">
        <v>63.938050374990056</v>
      </c>
      <c r="AT36" s="882">
        <v>66.398782708820235</v>
      </c>
    </row>
    <row r="37" spans="1:46">
      <c r="A37" s="1426"/>
      <c r="B37" s="1427"/>
      <c r="C37" s="887">
        <v>0.6</v>
      </c>
      <c r="D37" s="915">
        <f>(AA37*KFC!$B$17+KFC!$C$17)*KFC!$C$5</f>
        <v>20.304999943146001</v>
      </c>
      <c r="E37" s="912">
        <f>(AB37*KFC!$B$17+KFC!$C$17)*KFC!$C$5</f>
        <v>22.908171681009474</v>
      </c>
      <c r="F37" s="912">
        <f>(AC37*KFC!$B$17+KFC!$C$17)*KFC!$C$5</f>
        <v>25.511343418872947</v>
      </c>
      <c r="G37" s="912">
        <f>(AD37*KFC!$B$17+KFC!$C$17)*KFC!$C$5</f>
        <v>28.11451515673642</v>
      </c>
      <c r="H37" s="912">
        <f>(AE37*KFC!$B$17+KFC!$C$17)*KFC!$C$5</f>
        <v>30.717686894599897</v>
      </c>
      <c r="I37" s="912">
        <f>(AF37*KFC!$B$17+KFC!$C$17)*KFC!$C$5</f>
        <v>33.32085863246337</v>
      </c>
      <c r="J37" s="912">
        <f>(AG37*KFC!$B$17+KFC!$C$17)*KFC!$C$5</f>
        <v>35.92403037032684</v>
      </c>
      <c r="K37" s="912">
        <f>(AH37*KFC!$B$17+KFC!$C$17)*KFC!$C$5</f>
        <v>38.527202108190316</v>
      </c>
      <c r="L37" s="912">
        <f>(AI37*KFC!$B$17+KFC!$C$17)*KFC!$C$5</f>
        <v>41.130373846053786</v>
      </c>
      <c r="M37" s="912">
        <f>(AJ37*KFC!$B$17+KFC!$C$17)*KFC!$C$5</f>
        <v>43.733545583917255</v>
      </c>
      <c r="N37" s="912">
        <f>(AK37*KFC!$B$17+KFC!$C$17)*KFC!$C$5</f>
        <v>46.336717321780725</v>
      </c>
      <c r="O37" s="912">
        <f>(AL37*KFC!$B$17+KFC!$C$17)*KFC!$C$5</f>
        <v>48.939889059644194</v>
      </c>
      <c r="P37" s="912">
        <f>(AM37*KFC!$B$17+KFC!$C$17)*KFC!$C$5</f>
        <v>51.543060797507664</v>
      </c>
      <c r="Q37" s="912">
        <f>(AN37*KFC!$B$17+KFC!$C$17)*KFC!$C$5</f>
        <v>54.146232535371141</v>
      </c>
      <c r="R37" s="912">
        <f>(AO37*KFC!$B$17+KFC!$C$17)*KFC!$C$5</f>
        <v>56.749404273234603</v>
      </c>
      <c r="S37" s="912">
        <f>(AP37*KFC!$B$17+KFC!$C$17)*KFC!$C$5</f>
        <v>59.35257601109808</v>
      </c>
      <c r="T37" s="912">
        <f>(AQ37*KFC!$B$17+KFC!$C$17)*KFC!$C$5</f>
        <v>61.955747748961549</v>
      </c>
      <c r="U37" s="912">
        <f>(AR37*KFC!$B$17+KFC!$C$17)*KFC!$C$5</f>
        <v>64.558919486825019</v>
      </c>
      <c r="V37" s="912">
        <f>(AS37*KFC!$B$17+KFC!$C$17)*KFC!$C$5</f>
        <v>67.162091224688496</v>
      </c>
      <c r="W37" s="916">
        <f>(AT37*KFC!$B$17+KFC!$C$17)*KFC!$C$5</f>
        <v>69.765262962551986</v>
      </c>
      <c r="Y37" s="1277"/>
      <c r="Z37" s="649">
        <v>0.6</v>
      </c>
      <c r="AA37" s="882">
        <v>20.304999943146001</v>
      </c>
      <c r="AB37" s="882">
        <v>22.908171681009474</v>
      </c>
      <c r="AC37" s="882">
        <v>25.511343418872947</v>
      </c>
      <c r="AD37" s="882">
        <v>28.11451515673642</v>
      </c>
      <c r="AE37" s="882">
        <v>30.717686894599897</v>
      </c>
      <c r="AF37" s="882">
        <v>33.32085863246337</v>
      </c>
      <c r="AG37" s="882">
        <v>35.92403037032684</v>
      </c>
      <c r="AH37" s="882">
        <v>38.527202108190316</v>
      </c>
      <c r="AI37" s="882">
        <v>41.130373846053786</v>
      </c>
      <c r="AJ37" s="882">
        <v>43.733545583917255</v>
      </c>
      <c r="AK37" s="882">
        <v>46.336717321780725</v>
      </c>
      <c r="AL37" s="882">
        <v>48.939889059644194</v>
      </c>
      <c r="AM37" s="882">
        <v>51.543060797507664</v>
      </c>
      <c r="AN37" s="882">
        <v>54.146232535371141</v>
      </c>
      <c r="AO37" s="882">
        <v>56.749404273234603</v>
      </c>
      <c r="AP37" s="882">
        <v>59.35257601109808</v>
      </c>
      <c r="AQ37" s="882">
        <v>61.955747748961549</v>
      </c>
      <c r="AR37" s="882">
        <v>64.558919486825019</v>
      </c>
      <c r="AS37" s="882">
        <v>67.162091224688496</v>
      </c>
      <c r="AT37" s="882">
        <v>69.765262962551986</v>
      </c>
    </row>
    <row r="38" spans="1:46">
      <c r="A38" s="1426"/>
      <c r="B38" s="1427"/>
      <c r="C38" s="887">
        <v>0.7</v>
      </c>
      <c r="D38" s="915">
        <f>(AA38*KFC!$B$17+KFC!$C$17)*KFC!$C$5</f>
        <v>20.965131520244999</v>
      </c>
      <c r="E38" s="912">
        <f>(AB38*KFC!$B$17+KFC!$C$17)*KFC!$C$5</f>
        <v>23.710742662141776</v>
      </c>
      <c r="F38" s="912">
        <f>(AC38*KFC!$B$17+KFC!$C$17)*KFC!$C$5</f>
        <v>26.45635380403855</v>
      </c>
      <c r="G38" s="912">
        <f>(AD38*KFC!$B$17+KFC!$C$17)*KFC!$C$5</f>
        <v>29.201964945935323</v>
      </c>
      <c r="H38" s="912">
        <f>(AE38*KFC!$B$17+KFC!$C$17)*KFC!$C$5</f>
        <v>31.947576087832097</v>
      </c>
      <c r="I38" s="912">
        <f>(AF38*KFC!$B$17+KFC!$C$17)*KFC!$C$5</f>
        <v>34.693187229728871</v>
      </c>
      <c r="J38" s="912">
        <f>(AG38*KFC!$B$17+KFC!$C$17)*KFC!$C$5</f>
        <v>37.438798371625644</v>
      </c>
      <c r="K38" s="912">
        <f>(AH38*KFC!$B$17+KFC!$C$17)*KFC!$C$5</f>
        <v>40.184409513522432</v>
      </c>
      <c r="L38" s="912">
        <f>(AI38*KFC!$B$17+KFC!$C$17)*KFC!$C$5</f>
        <v>42.930020655419206</v>
      </c>
      <c r="M38" s="912">
        <f>(AJ38*KFC!$B$17+KFC!$C$17)*KFC!$C$5</f>
        <v>45.675631797315987</v>
      </c>
      <c r="N38" s="912">
        <f>(AK38*KFC!$B$17+KFC!$C$17)*KFC!$C$5</f>
        <v>48.42124293921276</v>
      </c>
      <c r="O38" s="912">
        <f>(AL38*KFC!$B$17+KFC!$C$17)*KFC!$C$5</f>
        <v>51.166854081109548</v>
      </c>
      <c r="P38" s="912">
        <f>(AM38*KFC!$B$17+KFC!$C$17)*KFC!$C$5</f>
        <v>53.912465223006322</v>
      </c>
      <c r="Q38" s="912">
        <f>(AN38*KFC!$B$17+KFC!$C$17)*KFC!$C$5</f>
        <v>56.658076364903096</v>
      </c>
      <c r="R38" s="912">
        <f>(AO38*KFC!$B$17+KFC!$C$17)*KFC!$C$5</f>
        <v>59.403687506799876</v>
      </c>
      <c r="S38" s="912">
        <f>(AP38*KFC!$B$17+KFC!$C$17)*KFC!$C$5</f>
        <v>62.14929864869665</v>
      </c>
      <c r="T38" s="912">
        <f>(AQ38*KFC!$B$17+KFC!$C$17)*KFC!$C$5</f>
        <v>64.894909790593431</v>
      </c>
      <c r="U38" s="912">
        <f>(AR38*KFC!$B$17+KFC!$C$17)*KFC!$C$5</f>
        <v>67.640520932490205</v>
      </c>
      <c r="V38" s="912">
        <f>(AS38*KFC!$B$17+KFC!$C$17)*KFC!$C$5</f>
        <v>70.386132074386978</v>
      </c>
      <c r="W38" s="916">
        <f>(AT38*KFC!$B$17+KFC!$C$17)*KFC!$C$5</f>
        <v>73.131743216283724</v>
      </c>
      <c r="Y38" s="1277"/>
      <c r="Z38" s="649">
        <v>0.7</v>
      </c>
      <c r="AA38" s="882">
        <v>20.965131520244999</v>
      </c>
      <c r="AB38" s="882">
        <v>23.710742662141776</v>
      </c>
      <c r="AC38" s="882">
        <v>26.45635380403855</v>
      </c>
      <c r="AD38" s="882">
        <v>29.201964945935323</v>
      </c>
      <c r="AE38" s="882">
        <v>31.947576087832097</v>
      </c>
      <c r="AF38" s="882">
        <v>34.693187229728871</v>
      </c>
      <c r="AG38" s="882">
        <v>37.438798371625644</v>
      </c>
      <c r="AH38" s="882">
        <v>40.184409513522432</v>
      </c>
      <c r="AI38" s="882">
        <v>42.930020655419206</v>
      </c>
      <c r="AJ38" s="882">
        <v>45.675631797315987</v>
      </c>
      <c r="AK38" s="882">
        <v>48.42124293921276</v>
      </c>
      <c r="AL38" s="882">
        <v>51.166854081109548</v>
      </c>
      <c r="AM38" s="882">
        <v>53.912465223006322</v>
      </c>
      <c r="AN38" s="882">
        <v>56.658076364903096</v>
      </c>
      <c r="AO38" s="882">
        <v>59.403687506799876</v>
      </c>
      <c r="AP38" s="882">
        <v>62.14929864869665</v>
      </c>
      <c r="AQ38" s="882">
        <v>64.894909790593431</v>
      </c>
      <c r="AR38" s="882">
        <v>67.640520932490205</v>
      </c>
      <c r="AS38" s="882">
        <v>70.386132074386978</v>
      </c>
      <c r="AT38" s="882">
        <v>73.131743216283724</v>
      </c>
    </row>
    <row r="39" spans="1:46">
      <c r="A39" s="1426"/>
      <c r="B39" s="1427"/>
      <c r="C39" s="887">
        <v>0.8</v>
      </c>
      <c r="D39" s="915">
        <f>(AA39*KFC!$B$17+KFC!$C$17)*KFC!$C$5</f>
        <v>21.625263097344</v>
      </c>
      <c r="E39" s="912">
        <f>(AB39*KFC!$B$17+KFC!$C$17)*KFC!$C$5</f>
        <v>24.513313643274078</v>
      </c>
      <c r="F39" s="912">
        <f>(AC39*KFC!$B$17+KFC!$C$17)*KFC!$C$5</f>
        <v>27.401364189204159</v>
      </c>
      <c r="G39" s="912">
        <f>(AD39*KFC!$B$17+KFC!$C$17)*KFC!$C$5</f>
        <v>30.289414735134237</v>
      </c>
      <c r="H39" s="912">
        <f>(AE39*KFC!$B$17+KFC!$C$17)*KFC!$C$5</f>
        <v>33.177465281064322</v>
      </c>
      <c r="I39" s="912">
        <f>(AF39*KFC!$B$17+KFC!$C$17)*KFC!$C$5</f>
        <v>36.0655158269944</v>
      </c>
      <c r="J39" s="912">
        <f>(AG39*KFC!$B$17+KFC!$C$17)*KFC!$C$5</f>
        <v>38.95356637292447</v>
      </c>
      <c r="K39" s="912">
        <f>(AH39*KFC!$B$17+KFC!$C$17)*KFC!$C$5</f>
        <v>41.841616918854555</v>
      </c>
      <c r="L39" s="912">
        <f>(AI39*KFC!$B$17+KFC!$C$17)*KFC!$C$5</f>
        <v>44.72966746478464</v>
      </c>
      <c r="M39" s="912">
        <f>(AJ39*KFC!$B$17+KFC!$C$17)*KFC!$C$5</f>
        <v>47.617718010714711</v>
      </c>
      <c r="N39" s="912">
        <f>(AK39*KFC!$B$17+KFC!$C$17)*KFC!$C$5</f>
        <v>50.505768556644789</v>
      </c>
      <c r="O39" s="912">
        <f>(AL39*KFC!$B$17+KFC!$C$17)*KFC!$C$5</f>
        <v>53.393819102574874</v>
      </c>
      <c r="P39" s="912">
        <f>(AM39*KFC!$B$17+KFC!$C$17)*KFC!$C$5</f>
        <v>56.281869648504959</v>
      </c>
      <c r="Q39" s="912">
        <f>(AN39*KFC!$B$17+KFC!$C$17)*KFC!$C$5</f>
        <v>59.169920194435036</v>
      </c>
      <c r="R39" s="912">
        <f>(AO39*KFC!$B$17+KFC!$C$17)*KFC!$C$5</f>
        <v>62.057970740365114</v>
      </c>
      <c r="S39" s="912">
        <f>(AP39*KFC!$B$17+KFC!$C$17)*KFC!$C$5</f>
        <v>64.946021286295192</v>
      </c>
      <c r="T39" s="912">
        <f>(AQ39*KFC!$B$17+KFC!$C$17)*KFC!$C$5</f>
        <v>67.834071832225263</v>
      </c>
      <c r="U39" s="912">
        <f>(AR39*KFC!$B$17+KFC!$C$17)*KFC!$C$5</f>
        <v>70.722122378155348</v>
      </c>
      <c r="V39" s="912">
        <f>(AS39*KFC!$B$17+KFC!$C$17)*KFC!$C$5</f>
        <v>73.610172924085404</v>
      </c>
      <c r="W39" s="916">
        <f>(AT39*KFC!$B$17+KFC!$C$17)*KFC!$C$5</f>
        <v>76.498223470015475</v>
      </c>
      <c r="Y39" s="1277"/>
      <c r="Z39" s="649">
        <v>0.8</v>
      </c>
      <c r="AA39" s="882">
        <v>21.625263097344</v>
      </c>
      <c r="AB39" s="882">
        <v>24.513313643274078</v>
      </c>
      <c r="AC39" s="882">
        <v>27.401364189204159</v>
      </c>
      <c r="AD39" s="882">
        <v>30.289414735134237</v>
      </c>
      <c r="AE39" s="882">
        <v>33.177465281064322</v>
      </c>
      <c r="AF39" s="882">
        <v>36.0655158269944</v>
      </c>
      <c r="AG39" s="882">
        <v>38.95356637292447</v>
      </c>
      <c r="AH39" s="882">
        <v>41.841616918854555</v>
      </c>
      <c r="AI39" s="882">
        <v>44.72966746478464</v>
      </c>
      <c r="AJ39" s="882">
        <v>47.617718010714711</v>
      </c>
      <c r="AK39" s="882">
        <v>50.505768556644789</v>
      </c>
      <c r="AL39" s="882">
        <v>53.393819102574874</v>
      </c>
      <c r="AM39" s="882">
        <v>56.281869648504959</v>
      </c>
      <c r="AN39" s="882">
        <v>59.169920194435036</v>
      </c>
      <c r="AO39" s="882">
        <v>62.057970740365114</v>
      </c>
      <c r="AP39" s="882">
        <v>64.946021286295192</v>
      </c>
      <c r="AQ39" s="882">
        <v>67.834071832225263</v>
      </c>
      <c r="AR39" s="882">
        <v>70.722122378155348</v>
      </c>
      <c r="AS39" s="882">
        <v>73.610172924085404</v>
      </c>
      <c r="AT39" s="882">
        <v>76.498223470015475</v>
      </c>
    </row>
    <row r="40" spans="1:46">
      <c r="A40" s="1426"/>
      <c r="B40" s="1427"/>
      <c r="C40" s="887">
        <v>0.9</v>
      </c>
      <c r="D40" s="915">
        <f>(AA40*KFC!$B$17+KFC!$C$17)*KFC!$C$5</f>
        <v>22.285394674443001</v>
      </c>
      <c r="E40" s="912">
        <f>(AB40*KFC!$B$17+KFC!$C$17)*KFC!$C$5</f>
        <v>25.31588462440638</v>
      </c>
      <c r="F40" s="912">
        <f>(AC40*KFC!$B$17+KFC!$C$17)*KFC!$C$5</f>
        <v>28.346374574369761</v>
      </c>
      <c r="G40" s="912">
        <f>(AD40*KFC!$B$17+KFC!$C$17)*KFC!$C$5</f>
        <v>31.37686452433314</v>
      </c>
      <c r="H40" s="912">
        <f>(AE40*KFC!$B$17+KFC!$C$17)*KFC!$C$5</f>
        <v>34.407354474296518</v>
      </c>
      <c r="I40" s="912">
        <f>(AF40*KFC!$B$17+KFC!$C$17)*KFC!$C$5</f>
        <v>37.4378444242599</v>
      </c>
      <c r="J40" s="912">
        <f>(AG40*KFC!$B$17+KFC!$C$17)*KFC!$C$5</f>
        <v>40.468334374223282</v>
      </c>
      <c r="K40" s="912">
        <f>(AH40*KFC!$B$17+KFC!$C$17)*KFC!$C$5</f>
        <v>43.498824324186664</v>
      </c>
      <c r="L40" s="912">
        <f>(AI40*KFC!$B$17+KFC!$C$17)*KFC!$C$5</f>
        <v>46.529314274150046</v>
      </c>
      <c r="M40" s="912">
        <f>(AJ40*KFC!$B$17+KFC!$C$17)*KFC!$C$5</f>
        <v>49.559804224113421</v>
      </c>
      <c r="N40" s="912">
        <f>(AK40*KFC!$B$17+KFC!$C$17)*KFC!$C$5</f>
        <v>52.590294174076803</v>
      </c>
      <c r="O40" s="912">
        <f>(AL40*KFC!$B$17+KFC!$C$17)*KFC!$C$5</f>
        <v>55.620784124040185</v>
      </c>
      <c r="P40" s="912">
        <f>(AM40*KFC!$B$17+KFC!$C$17)*KFC!$C$5</f>
        <v>58.651274074003567</v>
      </c>
      <c r="Q40" s="912">
        <f>(AN40*KFC!$B$17+KFC!$C$17)*KFC!$C$5</f>
        <v>61.681764023966949</v>
      </c>
      <c r="R40" s="912">
        <f>(AO40*KFC!$B$17+KFC!$C$17)*KFC!$C$5</f>
        <v>64.712253973930331</v>
      </c>
      <c r="S40" s="912">
        <f>(AP40*KFC!$B$17+KFC!$C$17)*KFC!$C$5</f>
        <v>67.742743923893698</v>
      </c>
      <c r="T40" s="912">
        <f>(AQ40*KFC!$B$17+KFC!$C$17)*KFC!$C$5</f>
        <v>70.77323387385708</v>
      </c>
      <c r="U40" s="912">
        <f>(AR40*KFC!$B$17+KFC!$C$17)*KFC!$C$5</f>
        <v>73.803723823820462</v>
      </c>
      <c r="V40" s="912">
        <f>(AS40*KFC!$B$17+KFC!$C$17)*KFC!$C$5</f>
        <v>76.834213773783844</v>
      </c>
      <c r="W40" s="916">
        <f>(AT40*KFC!$B$17+KFC!$C$17)*KFC!$C$5</f>
        <v>79.864703723747212</v>
      </c>
      <c r="Y40" s="1277"/>
      <c r="Z40" s="649">
        <v>0.9</v>
      </c>
      <c r="AA40" s="882">
        <v>22.285394674443001</v>
      </c>
      <c r="AB40" s="882">
        <v>25.31588462440638</v>
      </c>
      <c r="AC40" s="882">
        <v>28.346374574369761</v>
      </c>
      <c r="AD40" s="882">
        <v>31.37686452433314</v>
      </c>
      <c r="AE40" s="882">
        <v>34.407354474296518</v>
      </c>
      <c r="AF40" s="882">
        <v>37.4378444242599</v>
      </c>
      <c r="AG40" s="882">
        <v>40.468334374223282</v>
      </c>
      <c r="AH40" s="882">
        <v>43.498824324186664</v>
      </c>
      <c r="AI40" s="882">
        <v>46.529314274150046</v>
      </c>
      <c r="AJ40" s="882">
        <v>49.559804224113421</v>
      </c>
      <c r="AK40" s="882">
        <v>52.590294174076803</v>
      </c>
      <c r="AL40" s="882">
        <v>55.620784124040185</v>
      </c>
      <c r="AM40" s="882">
        <v>58.651274074003567</v>
      </c>
      <c r="AN40" s="882">
        <v>61.681764023966949</v>
      </c>
      <c r="AO40" s="882">
        <v>64.712253973930331</v>
      </c>
      <c r="AP40" s="882">
        <v>67.742743923893698</v>
      </c>
      <c r="AQ40" s="882">
        <v>70.77323387385708</v>
      </c>
      <c r="AR40" s="882">
        <v>73.803723823820462</v>
      </c>
      <c r="AS40" s="882">
        <v>76.834213773783844</v>
      </c>
      <c r="AT40" s="882">
        <v>79.864703723747212</v>
      </c>
    </row>
    <row r="41" spans="1:46">
      <c r="A41" s="1426"/>
      <c r="B41" s="1427"/>
      <c r="C41" s="887">
        <v>1</v>
      </c>
      <c r="D41" s="915">
        <f>(AA41*KFC!$B$17+KFC!$C$17)*KFC!$C$5</f>
        <v>22.945526251541999</v>
      </c>
      <c r="E41" s="912">
        <f>(AB41*KFC!$B$17+KFC!$C$17)*KFC!$C$5</f>
        <v>26.118455605538678</v>
      </c>
      <c r="F41" s="912">
        <f>(AC41*KFC!$B$17+KFC!$C$17)*KFC!$C$5</f>
        <v>29.29138495953536</v>
      </c>
      <c r="G41" s="912">
        <f>(AD41*KFC!$B$17+KFC!$C$17)*KFC!$C$5</f>
        <v>32.464314313532043</v>
      </c>
      <c r="H41" s="912">
        <f>(AE41*KFC!$B$17+KFC!$C$17)*KFC!$C$5</f>
        <v>35.637243667528722</v>
      </c>
      <c r="I41" s="912">
        <f>(AF41*KFC!$B$17+KFC!$C$17)*KFC!$C$5</f>
        <v>38.810173021525408</v>
      </c>
      <c r="J41" s="912">
        <f>(AG41*KFC!$B$17+KFC!$C$17)*KFC!$C$5</f>
        <v>41.983102375522094</v>
      </c>
      <c r="K41" s="912">
        <f>(AH41*KFC!$B$17+KFC!$C$17)*KFC!$C$5</f>
        <v>45.156031729518773</v>
      </c>
      <c r="L41" s="912">
        <f>(AI41*KFC!$B$17+KFC!$C$17)*KFC!$C$5</f>
        <v>48.328961083515452</v>
      </c>
      <c r="M41" s="912">
        <f>(AJ41*KFC!$B$17+KFC!$C$17)*KFC!$C$5</f>
        <v>51.501890437512138</v>
      </c>
      <c r="N41" s="912">
        <f>(AK41*KFC!$B$17+KFC!$C$17)*KFC!$C$5</f>
        <v>54.674819791508817</v>
      </c>
      <c r="O41" s="912">
        <f>(AL41*KFC!$B$17+KFC!$C$17)*KFC!$C$5</f>
        <v>57.847749145505496</v>
      </c>
      <c r="P41" s="912">
        <f>(AM41*KFC!$B$17+KFC!$C$17)*KFC!$C$5</f>
        <v>61.020678499502175</v>
      </c>
      <c r="Q41" s="912">
        <f>(AN41*KFC!$B$17+KFC!$C$17)*KFC!$C$5</f>
        <v>64.193607853498847</v>
      </c>
      <c r="R41" s="912">
        <f>(AO41*KFC!$B$17+KFC!$C$17)*KFC!$C$5</f>
        <v>67.36653720749554</v>
      </c>
      <c r="S41" s="912">
        <f>(AP41*KFC!$B$17+KFC!$C$17)*KFC!$C$5</f>
        <v>70.539466561492233</v>
      </c>
      <c r="T41" s="912">
        <f>(AQ41*KFC!$B$17+KFC!$C$17)*KFC!$C$5</f>
        <v>73.712395915488912</v>
      </c>
      <c r="U41" s="912">
        <f>(AR41*KFC!$B$17+KFC!$C$17)*KFC!$C$5</f>
        <v>76.885325269485605</v>
      </c>
      <c r="V41" s="912">
        <f>(AS41*KFC!$B$17+KFC!$C$17)*KFC!$C$5</f>
        <v>80.058254623482298</v>
      </c>
      <c r="W41" s="916">
        <f>(AT41*KFC!$B$17+KFC!$C$17)*KFC!$C$5</f>
        <v>83.231183977478963</v>
      </c>
      <c r="Y41" s="1277"/>
      <c r="Z41" s="649">
        <v>1</v>
      </c>
      <c r="AA41" s="882">
        <v>22.945526251541999</v>
      </c>
      <c r="AB41" s="882">
        <v>26.118455605538678</v>
      </c>
      <c r="AC41" s="882">
        <v>29.29138495953536</v>
      </c>
      <c r="AD41" s="882">
        <v>32.464314313532043</v>
      </c>
      <c r="AE41" s="882">
        <v>35.637243667528722</v>
      </c>
      <c r="AF41" s="882">
        <v>38.810173021525408</v>
      </c>
      <c r="AG41" s="882">
        <v>41.983102375522094</v>
      </c>
      <c r="AH41" s="882">
        <v>45.156031729518773</v>
      </c>
      <c r="AI41" s="882">
        <v>48.328961083515452</v>
      </c>
      <c r="AJ41" s="882">
        <v>51.501890437512138</v>
      </c>
      <c r="AK41" s="882">
        <v>54.674819791508817</v>
      </c>
      <c r="AL41" s="882">
        <v>57.847749145505496</v>
      </c>
      <c r="AM41" s="882">
        <v>61.020678499502175</v>
      </c>
      <c r="AN41" s="882">
        <v>64.193607853498847</v>
      </c>
      <c r="AO41" s="882">
        <v>67.36653720749554</v>
      </c>
      <c r="AP41" s="882">
        <v>70.539466561492233</v>
      </c>
      <c r="AQ41" s="882">
        <v>73.712395915488912</v>
      </c>
      <c r="AR41" s="882">
        <v>76.885325269485605</v>
      </c>
      <c r="AS41" s="882">
        <v>80.058254623482298</v>
      </c>
      <c r="AT41" s="882">
        <v>83.231183977478963</v>
      </c>
    </row>
    <row r="42" spans="1:46">
      <c r="A42" s="1426"/>
      <c r="B42" s="1427"/>
      <c r="C42" s="887">
        <v>1.1000000000000001</v>
      </c>
      <c r="D42" s="915">
        <f>(AA42*KFC!$B$17+KFC!$C$17)*KFC!$C$5</f>
        <v>23.605657828641</v>
      </c>
      <c r="E42" s="912">
        <f>(AB42*KFC!$B$17+KFC!$C$17)*KFC!$C$5</f>
        <v>26.921026586670987</v>
      </c>
      <c r="F42" s="912">
        <f>(AC42*KFC!$B$17+KFC!$C$17)*KFC!$C$5</f>
        <v>30.236395344700973</v>
      </c>
      <c r="G42" s="912">
        <f>(AD42*KFC!$B$17+KFC!$C$17)*KFC!$C$5</f>
        <v>33.551764102730957</v>
      </c>
      <c r="H42" s="912">
        <f>(AE42*KFC!$B$17+KFC!$C$17)*KFC!$C$5</f>
        <v>36.867132860760947</v>
      </c>
      <c r="I42" s="912">
        <f>(AF42*KFC!$B$17+KFC!$C$17)*KFC!$C$5</f>
        <v>40.182501618790923</v>
      </c>
      <c r="J42" s="912">
        <f>(AG42*KFC!$B$17+KFC!$C$17)*KFC!$C$5</f>
        <v>43.497870376820906</v>
      </c>
      <c r="K42" s="912">
        <f>(AH42*KFC!$B$17+KFC!$C$17)*KFC!$C$5</f>
        <v>46.813239134850896</v>
      </c>
      <c r="L42" s="912">
        <f>(AI42*KFC!$B$17+KFC!$C$17)*KFC!$C$5</f>
        <v>50.128607892880872</v>
      </c>
      <c r="M42" s="912">
        <f>(AJ42*KFC!$B$17+KFC!$C$17)*KFC!$C$5</f>
        <v>53.443976650910848</v>
      </c>
      <c r="N42" s="912">
        <f>(AK42*KFC!$B$17+KFC!$C$17)*KFC!$C$5</f>
        <v>56.759345408940838</v>
      </c>
      <c r="O42" s="912">
        <f>(AL42*KFC!$B$17+KFC!$C$17)*KFC!$C$5</f>
        <v>60.074714166970821</v>
      </c>
      <c r="P42" s="912">
        <f>(AM42*KFC!$B$17+KFC!$C$17)*KFC!$C$5</f>
        <v>63.390082925000797</v>
      </c>
      <c r="Q42" s="912">
        <f>(AN42*KFC!$B$17+KFC!$C$17)*KFC!$C$5</f>
        <v>66.705451683030788</v>
      </c>
      <c r="R42" s="912">
        <f>(AO42*KFC!$B$17+KFC!$C$17)*KFC!$C$5</f>
        <v>70.020820441060778</v>
      </c>
      <c r="S42" s="912">
        <f>(AP42*KFC!$B$17+KFC!$C$17)*KFC!$C$5</f>
        <v>73.336189199090754</v>
      </c>
      <c r="T42" s="912">
        <f>(AQ42*KFC!$B$17+KFC!$C$17)*KFC!$C$5</f>
        <v>76.651557957120744</v>
      </c>
      <c r="U42" s="912">
        <f>(AR42*KFC!$B$17+KFC!$C$17)*KFC!$C$5</f>
        <v>79.96692671515072</v>
      </c>
      <c r="V42" s="912">
        <f>(AS42*KFC!$B$17+KFC!$C$17)*KFC!$C$5</f>
        <v>83.282295473180696</v>
      </c>
      <c r="W42" s="916">
        <f>(AT42*KFC!$B$17+KFC!$C$17)*KFC!$C$5</f>
        <v>86.597664231210715</v>
      </c>
      <c r="Y42" s="1277"/>
      <c r="Z42" s="649">
        <v>1.1000000000000001</v>
      </c>
      <c r="AA42" s="882">
        <v>23.605657828641</v>
      </c>
      <c r="AB42" s="882">
        <v>26.921026586670987</v>
      </c>
      <c r="AC42" s="882">
        <v>30.236395344700973</v>
      </c>
      <c r="AD42" s="882">
        <v>33.551764102730957</v>
      </c>
      <c r="AE42" s="882">
        <v>36.867132860760947</v>
      </c>
      <c r="AF42" s="882">
        <v>40.182501618790923</v>
      </c>
      <c r="AG42" s="882">
        <v>43.497870376820906</v>
      </c>
      <c r="AH42" s="882">
        <v>46.813239134850896</v>
      </c>
      <c r="AI42" s="882">
        <v>50.128607892880872</v>
      </c>
      <c r="AJ42" s="882">
        <v>53.443976650910848</v>
      </c>
      <c r="AK42" s="882">
        <v>56.759345408940838</v>
      </c>
      <c r="AL42" s="882">
        <v>60.074714166970821</v>
      </c>
      <c r="AM42" s="882">
        <v>63.390082925000797</v>
      </c>
      <c r="AN42" s="882">
        <v>66.705451683030788</v>
      </c>
      <c r="AO42" s="882">
        <v>70.020820441060778</v>
      </c>
      <c r="AP42" s="882">
        <v>73.336189199090754</v>
      </c>
      <c r="AQ42" s="882">
        <v>76.651557957120744</v>
      </c>
      <c r="AR42" s="882">
        <v>79.96692671515072</v>
      </c>
      <c r="AS42" s="882">
        <v>83.282295473180696</v>
      </c>
      <c r="AT42" s="882">
        <v>86.597664231210715</v>
      </c>
    </row>
    <row r="43" spans="1:46">
      <c r="A43" s="1426"/>
      <c r="B43" s="1427"/>
      <c r="C43" s="887">
        <v>1.2</v>
      </c>
      <c r="D43" s="915">
        <f>(AA43*KFC!$B$17+KFC!$C$17)*KFC!$C$5</f>
        <v>24.265789405739998</v>
      </c>
      <c r="E43" s="912">
        <f>(AB43*KFC!$B$17+KFC!$C$17)*KFC!$C$5</f>
        <v>27.723597567803289</v>
      </c>
      <c r="F43" s="912">
        <f>(AC43*KFC!$B$17+KFC!$C$17)*KFC!$C$5</f>
        <v>31.181405729866572</v>
      </c>
      <c r="G43" s="912">
        <f>(AD43*KFC!$B$17+KFC!$C$17)*KFC!$C$5</f>
        <v>34.639213891929863</v>
      </c>
      <c r="H43" s="912">
        <f>(AE43*KFC!$B$17+KFC!$C$17)*KFC!$C$5</f>
        <v>38.09702205399315</v>
      </c>
      <c r="I43" s="912">
        <f>(AF43*KFC!$B$17+KFC!$C$17)*KFC!$C$5</f>
        <v>41.554830216056438</v>
      </c>
      <c r="J43" s="912">
        <f>(AG43*KFC!$B$17+KFC!$C$17)*KFC!$C$5</f>
        <v>45.012638378119725</v>
      </c>
      <c r="K43" s="912">
        <f>(AH43*KFC!$B$17+KFC!$C$17)*KFC!$C$5</f>
        <v>48.470446540183012</v>
      </c>
      <c r="L43" s="912">
        <f>(AI43*KFC!$B$17+KFC!$C$17)*KFC!$C$5</f>
        <v>51.928254702246306</v>
      </c>
      <c r="M43" s="912">
        <f>(AJ43*KFC!$B$17+KFC!$C$17)*KFC!$C$5</f>
        <v>55.386062864309601</v>
      </c>
      <c r="N43" s="912">
        <f>(AK43*KFC!$B$17+KFC!$C$17)*KFC!$C$5</f>
        <v>58.843871026372888</v>
      </c>
      <c r="O43" s="912">
        <f>(AL43*KFC!$B$17+KFC!$C$17)*KFC!$C$5</f>
        <v>62.301679188436168</v>
      </c>
      <c r="P43" s="912">
        <f>(AM43*KFC!$B$17+KFC!$C$17)*KFC!$C$5</f>
        <v>65.759487350499469</v>
      </c>
      <c r="Q43" s="912">
        <f>(AN43*KFC!$B$17+KFC!$C$17)*KFC!$C$5</f>
        <v>69.217295512562757</v>
      </c>
      <c r="R43" s="912">
        <f>(AO43*KFC!$B$17+KFC!$C$17)*KFC!$C$5</f>
        <v>72.675103674626058</v>
      </c>
      <c r="S43" s="912">
        <f>(AP43*KFC!$B$17+KFC!$C$17)*KFC!$C$5</f>
        <v>76.132911836689345</v>
      </c>
      <c r="T43" s="912">
        <f>(AQ43*KFC!$B$17+KFC!$C$17)*KFC!$C$5</f>
        <v>79.590719998752618</v>
      </c>
      <c r="U43" s="912">
        <f>(AR43*KFC!$B$17+KFC!$C$17)*KFC!$C$5</f>
        <v>83.04852816081592</v>
      </c>
      <c r="V43" s="912">
        <f>(AS43*KFC!$B$17+KFC!$C$17)*KFC!$C$5</f>
        <v>86.506336322879207</v>
      </c>
      <c r="W43" s="916">
        <f>(AT43*KFC!$B$17+KFC!$C$17)*KFC!$C$5</f>
        <v>89.964144484942452</v>
      </c>
      <c r="Y43" s="1277"/>
      <c r="Z43" s="649">
        <v>1.2</v>
      </c>
      <c r="AA43" s="882">
        <v>24.265789405739998</v>
      </c>
      <c r="AB43" s="882">
        <v>27.723597567803289</v>
      </c>
      <c r="AC43" s="882">
        <v>31.181405729866572</v>
      </c>
      <c r="AD43" s="882">
        <v>34.639213891929863</v>
      </c>
      <c r="AE43" s="882">
        <v>38.09702205399315</v>
      </c>
      <c r="AF43" s="882">
        <v>41.554830216056438</v>
      </c>
      <c r="AG43" s="882">
        <v>45.012638378119725</v>
      </c>
      <c r="AH43" s="882">
        <v>48.470446540183012</v>
      </c>
      <c r="AI43" s="882">
        <v>51.928254702246306</v>
      </c>
      <c r="AJ43" s="882">
        <v>55.386062864309601</v>
      </c>
      <c r="AK43" s="882">
        <v>58.843871026372888</v>
      </c>
      <c r="AL43" s="882">
        <v>62.301679188436168</v>
      </c>
      <c r="AM43" s="882">
        <v>65.759487350499469</v>
      </c>
      <c r="AN43" s="882">
        <v>69.217295512562757</v>
      </c>
      <c r="AO43" s="882">
        <v>72.675103674626058</v>
      </c>
      <c r="AP43" s="882">
        <v>76.132911836689345</v>
      </c>
      <c r="AQ43" s="882">
        <v>79.590719998752618</v>
      </c>
      <c r="AR43" s="882">
        <v>83.04852816081592</v>
      </c>
      <c r="AS43" s="882">
        <v>86.506336322879207</v>
      </c>
      <c r="AT43" s="882">
        <v>89.964144484942452</v>
      </c>
    </row>
    <row r="44" spans="1:46">
      <c r="A44" s="1426"/>
      <c r="B44" s="1427"/>
      <c r="C44" s="887">
        <v>1.3</v>
      </c>
      <c r="D44" s="915">
        <f>(AA44*KFC!$B$17+KFC!$C$17)*KFC!$C$5</f>
        <v>24.925920982838999</v>
      </c>
      <c r="E44" s="912">
        <f>(AB44*KFC!$B$17+KFC!$C$17)*KFC!$C$5</f>
        <v>28.526168548935591</v>
      </c>
      <c r="F44" s="912">
        <f>(AC44*KFC!$B$17+KFC!$C$17)*KFC!$C$5</f>
        <v>32.126416115032185</v>
      </c>
      <c r="G44" s="912">
        <f>(AD44*KFC!$B$17+KFC!$C$17)*KFC!$C$5</f>
        <v>35.72666368112877</v>
      </c>
      <c r="H44" s="912">
        <f>(AE44*KFC!$B$17+KFC!$C$17)*KFC!$C$5</f>
        <v>39.326911247225361</v>
      </c>
      <c r="I44" s="912">
        <f>(AF44*KFC!$B$17+KFC!$C$17)*KFC!$C$5</f>
        <v>42.927158813321952</v>
      </c>
      <c r="J44" s="912">
        <f>(AG44*KFC!$B$17+KFC!$C$17)*KFC!$C$5</f>
        <v>46.527406379418544</v>
      </c>
      <c r="K44" s="912">
        <f>(AH44*KFC!$B$17+KFC!$C$17)*KFC!$C$5</f>
        <v>50.127653945515135</v>
      </c>
      <c r="L44" s="912">
        <f>(AI44*KFC!$B$17+KFC!$C$17)*KFC!$C$5</f>
        <v>53.727901511611734</v>
      </c>
      <c r="M44" s="912">
        <f>(AJ44*KFC!$B$17+KFC!$C$17)*KFC!$C$5</f>
        <v>57.328149077708318</v>
      </c>
      <c r="N44" s="912">
        <f>(AK44*KFC!$B$17+KFC!$C$17)*KFC!$C$5</f>
        <v>60.928396643804916</v>
      </c>
      <c r="O44" s="912">
        <f>(AL44*KFC!$B$17+KFC!$C$17)*KFC!$C$5</f>
        <v>64.528644209901501</v>
      </c>
      <c r="P44" s="912">
        <f>(AM44*KFC!$B$17+KFC!$C$17)*KFC!$C$5</f>
        <v>68.128891775998085</v>
      </c>
      <c r="Q44" s="912">
        <f>(AN44*KFC!$B$17+KFC!$C$17)*KFC!$C$5</f>
        <v>71.729139342094669</v>
      </c>
      <c r="R44" s="912">
        <f>(AO44*KFC!$B$17+KFC!$C$17)*KFC!$C$5</f>
        <v>75.329386908191253</v>
      </c>
      <c r="S44" s="912">
        <f>(AP44*KFC!$B$17+KFC!$C$17)*KFC!$C$5</f>
        <v>78.929634474287838</v>
      </c>
      <c r="T44" s="912">
        <f>(AQ44*KFC!$B$17+KFC!$C$17)*KFC!$C$5</f>
        <v>82.529882040384422</v>
      </c>
      <c r="U44" s="912">
        <f>(AR44*KFC!$B$17+KFC!$C$17)*KFC!$C$5</f>
        <v>86.130129606481006</v>
      </c>
      <c r="V44" s="912">
        <f>(AS44*KFC!$B$17+KFC!$C$17)*KFC!$C$5</f>
        <v>89.73037717257759</v>
      </c>
      <c r="W44" s="916">
        <f>(AT44*KFC!$B$17+KFC!$C$17)*KFC!$C$5</f>
        <v>93.330624738674203</v>
      </c>
      <c r="Y44" s="1277"/>
      <c r="Z44" s="649">
        <v>1.3</v>
      </c>
      <c r="AA44" s="882">
        <v>24.925920982838999</v>
      </c>
      <c r="AB44" s="882">
        <v>28.526168548935591</v>
      </c>
      <c r="AC44" s="882">
        <v>32.126416115032185</v>
      </c>
      <c r="AD44" s="882">
        <v>35.72666368112877</v>
      </c>
      <c r="AE44" s="882">
        <v>39.326911247225361</v>
      </c>
      <c r="AF44" s="882">
        <v>42.927158813321952</v>
      </c>
      <c r="AG44" s="882">
        <v>46.527406379418544</v>
      </c>
      <c r="AH44" s="882">
        <v>50.127653945515135</v>
      </c>
      <c r="AI44" s="882">
        <v>53.727901511611734</v>
      </c>
      <c r="AJ44" s="882">
        <v>57.328149077708318</v>
      </c>
      <c r="AK44" s="882">
        <v>60.928396643804916</v>
      </c>
      <c r="AL44" s="882">
        <v>64.528644209901501</v>
      </c>
      <c r="AM44" s="882">
        <v>68.128891775998085</v>
      </c>
      <c r="AN44" s="882">
        <v>71.729139342094669</v>
      </c>
      <c r="AO44" s="882">
        <v>75.329386908191253</v>
      </c>
      <c r="AP44" s="882">
        <v>78.929634474287838</v>
      </c>
      <c r="AQ44" s="882">
        <v>82.529882040384422</v>
      </c>
      <c r="AR44" s="882">
        <v>86.130129606481006</v>
      </c>
      <c r="AS44" s="882">
        <v>89.73037717257759</v>
      </c>
      <c r="AT44" s="882">
        <v>93.330624738674203</v>
      </c>
    </row>
    <row r="45" spans="1:46">
      <c r="A45" s="1426"/>
      <c r="B45" s="1427"/>
      <c r="C45" s="887">
        <v>1.4</v>
      </c>
      <c r="D45" s="915">
        <f>(AA45*KFC!$B$17+KFC!$C$17)*KFC!$C$5</f>
        <v>25.586052559937997</v>
      </c>
      <c r="E45" s="912">
        <f>(AB45*KFC!$B$17+KFC!$C$17)*KFC!$C$5</f>
        <v>29.328739530067892</v>
      </c>
      <c r="F45" s="912">
        <f>(AC45*KFC!$B$17+KFC!$C$17)*KFC!$C$5</f>
        <v>33.071426500197788</v>
      </c>
      <c r="G45" s="912">
        <f>(AD45*KFC!$B$17+KFC!$C$17)*KFC!$C$5</f>
        <v>36.814113470327676</v>
      </c>
      <c r="H45" s="912">
        <f>(AE45*KFC!$B$17+KFC!$C$17)*KFC!$C$5</f>
        <v>40.556800440457572</v>
      </c>
      <c r="I45" s="912">
        <f>(AF45*KFC!$B$17+KFC!$C$17)*KFC!$C$5</f>
        <v>44.29948741058746</v>
      </c>
      <c r="J45" s="912">
        <f>(AG45*KFC!$B$17+KFC!$C$17)*KFC!$C$5</f>
        <v>48.042174380717356</v>
      </c>
      <c r="K45" s="912">
        <f>(AH45*KFC!$B$17+KFC!$C$17)*KFC!$C$5</f>
        <v>51.784861350847244</v>
      </c>
      <c r="L45" s="912">
        <f>(AI45*KFC!$B$17+KFC!$C$17)*KFC!$C$5</f>
        <v>55.527548320977139</v>
      </c>
      <c r="M45" s="912">
        <f>(AJ45*KFC!$B$17+KFC!$C$17)*KFC!$C$5</f>
        <v>59.270235291107028</v>
      </c>
      <c r="N45" s="912">
        <f>(AK45*KFC!$B$17+KFC!$C$17)*KFC!$C$5</f>
        <v>63.012922261236916</v>
      </c>
      <c r="O45" s="912">
        <f>(AL45*KFC!$B$17+KFC!$C$17)*KFC!$C$5</f>
        <v>66.755609231366805</v>
      </c>
      <c r="P45" s="912">
        <f>(AM45*KFC!$B$17+KFC!$C$17)*KFC!$C$5</f>
        <v>70.4982962014967</v>
      </c>
      <c r="Q45" s="912">
        <f>(AN45*KFC!$B$17+KFC!$C$17)*KFC!$C$5</f>
        <v>74.240983171626596</v>
      </c>
      <c r="R45" s="912">
        <f>(AO45*KFC!$B$17+KFC!$C$17)*KFC!$C$5</f>
        <v>77.983670141756491</v>
      </c>
      <c r="S45" s="912">
        <f>(AP45*KFC!$B$17+KFC!$C$17)*KFC!$C$5</f>
        <v>81.726357111886387</v>
      </c>
      <c r="T45" s="912">
        <f>(AQ45*KFC!$B$17+KFC!$C$17)*KFC!$C$5</f>
        <v>85.469044082016268</v>
      </c>
      <c r="U45" s="912">
        <f>(AR45*KFC!$B$17+KFC!$C$17)*KFC!$C$5</f>
        <v>89.211731052146177</v>
      </c>
      <c r="V45" s="912">
        <f>(AS45*KFC!$B$17+KFC!$C$17)*KFC!$C$5</f>
        <v>92.954418022276045</v>
      </c>
      <c r="W45" s="916">
        <f>(AT45*KFC!$B$17+KFC!$C$17)*KFC!$C$5</f>
        <v>96.697104992405954</v>
      </c>
      <c r="Y45" s="1277"/>
      <c r="Z45" s="649">
        <v>1.4</v>
      </c>
      <c r="AA45" s="882">
        <v>25.586052559937997</v>
      </c>
      <c r="AB45" s="882">
        <v>29.328739530067892</v>
      </c>
      <c r="AC45" s="882">
        <v>33.071426500197788</v>
      </c>
      <c r="AD45" s="882">
        <v>36.814113470327676</v>
      </c>
      <c r="AE45" s="882">
        <v>40.556800440457572</v>
      </c>
      <c r="AF45" s="882">
        <v>44.29948741058746</v>
      </c>
      <c r="AG45" s="882">
        <v>48.042174380717356</v>
      </c>
      <c r="AH45" s="882">
        <v>51.784861350847244</v>
      </c>
      <c r="AI45" s="882">
        <v>55.527548320977139</v>
      </c>
      <c r="AJ45" s="882">
        <v>59.270235291107028</v>
      </c>
      <c r="AK45" s="882">
        <v>63.012922261236916</v>
      </c>
      <c r="AL45" s="882">
        <v>66.755609231366805</v>
      </c>
      <c r="AM45" s="882">
        <v>70.4982962014967</v>
      </c>
      <c r="AN45" s="882">
        <v>74.240983171626596</v>
      </c>
      <c r="AO45" s="882">
        <v>77.983670141756491</v>
      </c>
      <c r="AP45" s="882">
        <v>81.726357111886387</v>
      </c>
      <c r="AQ45" s="882">
        <v>85.469044082016268</v>
      </c>
      <c r="AR45" s="882">
        <v>89.211731052146177</v>
      </c>
      <c r="AS45" s="882">
        <v>92.954418022276045</v>
      </c>
      <c r="AT45" s="882">
        <v>96.697104992405954</v>
      </c>
    </row>
    <row r="46" spans="1:46">
      <c r="A46" s="1426"/>
      <c r="B46" s="1427"/>
      <c r="C46" s="887">
        <v>1.5</v>
      </c>
      <c r="D46" s="915">
        <f>(AA46*KFC!$B$17+KFC!$C$17)*KFC!$C$5</f>
        <v>26.246184137037002</v>
      </c>
      <c r="E46" s="912">
        <f>(AB46*KFC!$B$17+KFC!$C$17)*KFC!$C$5</f>
        <v>30.131310511200191</v>
      </c>
      <c r="F46" s="912">
        <f>(AC46*KFC!$B$17+KFC!$C$17)*KFC!$C$5</f>
        <v>34.016436885363383</v>
      </c>
      <c r="G46" s="912">
        <f>(AD46*KFC!$B$17+KFC!$C$17)*KFC!$C$5</f>
        <v>37.901563259526583</v>
      </c>
      <c r="H46" s="912">
        <f>(AE46*KFC!$B$17+KFC!$C$17)*KFC!$C$5</f>
        <v>41.786689633689775</v>
      </c>
      <c r="I46" s="912">
        <f>(AF46*KFC!$B$17+KFC!$C$17)*KFC!$C$5</f>
        <v>45.671816007852961</v>
      </c>
      <c r="J46" s="912">
        <f>(AG46*KFC!$B$17+KFC!$C$17)*KFC!$C$5</f>
        <v>49.55694238201616</v>
      </c>
      <c r="K46" s="912">
        <f>(AH46*KFC!$B$17+KFC!$C$17)*KFC!$C$5</f>
        <v>53.442068756179353</v>
      </c>
      <c r="L46" s="912">
        <f>(AI46*KFC!$B$17+KFC!$C$17)*KFC!$C$5</f>
        <v>57.327195130342545</v>
      </c>
      <c r="M46" s="912">
        <f>(AJ46*KFC!$B$17+KFC!$C$17)*KFC!$C$5</f>
        <v>61.212321504505738</v>
      </c>
      <c r="N46" s="912">
        <f>(AK46*KFC!$B$17+KFC!$C$17)*KFC!$C$5</f>
        <v>65.09744787866893</v>
      </c>
      <c r="O46" s="912">
        <f>(AL46*KFC!$B$17+KFC!$C$17)*KFC!$C$5</f>
        <v>68.982574252832123</v>
      </c>
      <c r="P46" s="912">
        <f>(AM46*KFC!$B$17+KFC!$C$17)*KFC!$C$5</f>
        <v>72.86770062699533</v>
      </c>
      <c r="Q46" s="912">
        <f>(AN46*KFC!$B$17+KFC!$C$17)*KFC!$C$5</f>
        <v>76.752827001158522</v>
      </c>
      <c r="R46" s="912">
        <f>(AO46*KFC!$B$17+KFC!$C$17)*KFC!$C$5</f>
        <v>80.637953375321729</v>
      </c>
      <c r="S46" s="912">
        <f>(AP46*KFC!$B$17+KFC!$C$17)*KFC!$C$5</f>
        <v>84.523079749484921</v>
      </c>
      <c r="T46" s="912">
        <f>(AQ46*KFC!$B$17+KFC!$C$17)*KFC!$C$5</f>
        <v>88.408206123648114</v>
      </c>
      <c r="U46" s="912">
        <f>(AR46*KFC!$B$17+KFC!$C$17)*KFC!$C$5</f>
        <v>92.293332497811321</v>
      </c>
      <c r="V46" s="912">
        <f>(AS46*KFC!$B$17+KFC!$C$17)*KFC!$C$5</f>
        <v>96.178458871974527</v>
      </c>
      <c r="W46" s="916">
        <f>(AT46*KFC!$B$17+KFC!$C$17)*KFC!$C$5</f>
        <v>100.06358524613769</v>
      </c>
      <c r="Y46" s="1277"/>
      <c r="Z46" s="649">
        <v>1.5</v>
      </c>
      <c r="AA46" s="882">
        <v>26.246184137037002</v>
      </c>
      <c r="AB46" s="882">
        <v>30.131310511200191</v>
      </c>
      <c r="AC46" s="882">
        <v>34.016436885363383</v>
      </c>
      <c r="AD46" s="882">
        <v>37.901563259526583</v>
      </c>
      <c r="AE46" s="882">
        <v>41.786689633689775</v>
      </c>
      <c r="AF46" s="882">
        <v>45.671816007852961</v>
      </c>
      <c r="AG46" s="882">
        <v>49.55694238201616</v>
      </c>
      <c r="AH46" s="882">
        <v>53.442068756179353</v>
      </c>
      <c r="AI46" s="882">
        <v>57.327195130342545</v>
      </c>
      <c r="AJ46" s="882">
        <v>61.212321504505738</v>
      </c>
      <c r="AK46" s="882">
        <v>65.09744787866893</v>
      </c>
      <c r="AL46" s="882">
        <v>68.982574252832123</v>
      </c>
      <c r="AM46" s="882">
        <v>72.86770062699533</v>
      </c>
      <c r="AN46" s="882">
        <v>76.752827001158522</v>
      </c>
      <c r="AO46" s="882">
        <v>80.637953375321729</v>
      </c>
      <c r="AP46" s="882">
        <v>84.523079749484921</v>
      </c>
      <c r="AQ46" s="882">
        <v>88.408206123648114</v>
      </c>
      <c r="AR46" s="882">
        <v>92.293332497811321</v>
      </c>
      <c r="AS46" s="882">
        <v>96.178458871974527</v>
      </c>
      <c r="AT46" s="882">
        <v>100.06358524613769</v>
      </c>
    </row>
    <row r="47" spans="1:46">
      <c r="A47" s="1426"/>
      <c r="B47" s="1427"/>
      <c r="C47" s="887">
        <v>1.6</v>
      </c>
      <c r="D47" s="915">
        <f>(AA47*KFC!$B$17+KFC!$C$17)*KFC!$C$5</f>
        <v>26.906315714135999</v>
      </c>
      <c r="E47" s="912">
        <f>(AB47*KFC!$B$17+KFC!$C$17)*KFC!$C$5</f>
        <v>30.9338814923325</v>
      </c>
      <c r="F47" s="912">
        <f>(AC47*KFC!$B$17+KFC!$C$17)*KFC!$C$5</f>
        <v>34.961447270528993</v>
      </c>
      <c r="G47" s="912">
        <f>(AD47*KFC!$B$17+KFC!$C$17)*KFC!$C$5</f>
        <v>38.989013048725489</v>
      </c>
      <c r="H47" s="912">
        <f>(AE47*KFC!$B$17+KFC!$C$17)*KFC!$C$5</f>
        <v>43.016578826921986</v>
      </c>
      <c r="I47" s="912">
        <f>(AF47*KFC!$B$17+KFC!$C$17)*KFC!$C$5</f>
        <v>47.044144605118483</v>
      </c>
      <c r="J47" s="912">
        <f>(AG47*KFC!$B$17+KFC!$C$17)*KFC!$C$5</f>
        <v>51.071710383314972</v>
      </c>
      <c r="K47" s="912">
        <f>(AH47*KFC!$B$17+KFC!$C$17)*KFC!$C$5</f>
        <v>55.099276161511469</v>
      </c>
      <c r="L47" s="912">
        <f>(AI47*KFC!$B$17+KFC!$C$17)*KFC!$C$5</f>
        <v>59.126841939707958</v>
      </c>
      <c r="M47" s="912">
        <f>(AJ47*KFC!$B$17+KFC!$C$17)*KFC!$C$5</f>
        <v>63.154407717904455</v>
      </c>
      <c r="N47" s="912">
        <f>(AK47*KFC!$B$17+KFC!$C$17)*KFC!$C$5</f>
        <v>67.181973496100966</v>
      </c>
      <c r="O47" s="912">
        <f>(AL47*KFC!$B$17+KFC!$C$17)*KFC!$C$5</f>
        <v>71.209539274297455</v>
      </c>
      <c r="P47" s="912">
        <f>(AM47*KFC!$B$17+KFC!$C$17)*KFC!$C$5</f>
        <v>75.237105052493931</v>
      </c>
      <c r="Q47" s="912">
        <f>(AN47*KFC!$B$17+KFC!$C$17)*KFC!$C$5</f>
        <v>79.264670830690434</v>
      </c>
      <c r="R47" s="912">
        <f>(AO47*KFC!$B$17+KFC!$C$17)*KFC!$C$5</f>
        <v>83.292236608886938</v>
      </c>
      <c r="S47" s="912">
        <f>(AP47*KFC!$B$17+KFC!$C$17)*KFC!$C$5</f>
        <v>87.319802387083413</v>
      </c>
      <c r="T47" s="912">
        <f>(AQ47*KFC!$B$17+KFC!$C$17)*KFC!$C$5</f>
        <v>91.347368165279931</v>
      </c>
      <c r="U47" s="912">
        <f>(AR47*KFC!$B$17+KFC!$C$17)*KFC!$C$5</f>
        <v>95.374933943476421</v>
      </c>
      <c r="V47" s="912">
        <f>(AS47*KFC!$B$17+KFC!$C$17)*KFC!$C$5</f>
        <v>99.40249972167291</v>
      </c>
      <c r="W47" s="916">
        <f>(AT47*KFC!$B$17+KFC!$C$17)*KFC!$C$5</f>
        <v>103.43006549986944</v>
      </c>
      <c r="Y47" s="1277"/>
      <c r="Z47" s="649">
        <v>1.6</v>
      </c>
      <c r="AA47" s="882">
        <v>26.906315714135999</v>
      </c>
      <c r="AB47" s="882">
        <v>30.9338814923325</v>
      </c>
      <c r="AC47" s="882">
        <v>34.961447270528993</v>
      </c>
      <c r="AD47" s="882">
        <v>38.989013048725489</v>
      </c>
      <c r="AE47" s="882">
        <v>43.016578826921986</v>
      </c>
      <c r="AF47" s="882">
        <v>47.044144605118483</v>
      </c>
      <c r="AG47" s="882">
        <v>51.071710383314972</v>
      </c>
      <c r="AH47" s="882">
        <v>55.099276161511469</v>
      </c>
      <c r="AI47" s="882">
        <v>59.126841939707958</v>
      </c>
      <c r="AJ47" s="882">
        <v>63.154407717904455</v>
      </c>
      <c r="AK47" s="882">
        <v>67.181973496100966</v>
      </c>
      <c r="AL47" s="882">
        <v>71.209539274297455</v>
      </c>
      <c r="AM47" s="882">
        <v>75.237105052493931</v>
      </c>
      <c r="AN47" s="882">
        <v>79.264670830690434</v>
      </c>
      <c r="AO47" s="882">
        <v>83.292236608886938</v>
      </c>
      <c r="AP47" s="882">
        <v>87.319802387083413</v>
      </c>
      <c r="AQ47" s="882">
        <v>91.347368165279931</v>
      </c>
      <c r="AR47" s="882">
        <v>95.374933943476421</v>
      </c>
      <c r="AS47" s="882">
        <v>99.40249972167291</v>
      </c>
      <c r="AT47" s="882">
        <v>103.43006549986944</v>
      </c>
    </row>
    <row r="48" spans="1:46">
      <c r="A48" s="1426"/>
      <c r="B48" s="1427"/>
      <c r="C48" s="887">
        <v>1.7</v>
      </c>
      <c r="D48" s="915">
        <f>(AA48*KFC!$B$17+KFC!$C$17)*KFC!$C$5</f>
        <v>27.566447291235001</v>
      </c>
      <c r="E48" s="912">
        <f>(AB48*KFC!$B$17+KFC!$C$17)*KFC!$C$5</f>
        <v>31.736452473464801</v>
      </c>
      <c r="F48" s="912">
        <f>(AC48*KFC!$B$17+KFC!$C$17)*KFC!$C$5</f>
        <v>35.906457655694595</v>
      </c>
      <c r="G48" s="912">
        <f>(AD48*KFC!$B$17+KFC!$C$17)*KFC!$C$5</f>
        <v>40.076462837924403</v>
      </c>
      <c r="H48" s="912">
        <f>(AE48*KFC!$B$17+KFC!$C$17)*KFC!$C$5</f>
        <v>44.246468020154204</v>
      </c>
      <c r="I48" s="912">
        <f>(AF48*KFC!$B$17+KFC!$C$17)*KFC!$C$5</f>
        <v>48.416473202384005</v>
      </c>
      <c r="J48" s="912">
        <f>(AG48*KFC!$B$17+KFC!$C$17)*KFC!$C$5</f>
        <v>52.586478384613805</v>
      </c>
      <c r="K48" s="912">
        <f>(AH48*KFC!$B$17+KFC!$C$17)*KFC!$C$5</f>
        <v>56.756483566843606</v>
      </c>
      <c r="L48" s="912">
        <f>(AI48*KFC!$B$17+KFC!$C$17)*KFC!$C$5</f>
        <v>60.926488749073407</v>
      </c>
      <c r="M48" s="912">
        <f>(AJ48*KFC!$B$17+KFC!$C$17)*KFC!$C$5</f>
        <v>65.096493931303215</v>
      </c>
      <c r="N48" s="912">
        <f>(AK48*KFC!$B$17+KFC!$C$17)*KFC!$C$5</f>
        <v>69.266499113533015</v>
      </c>
      <c r="O48" s="912">
        <f>(AL48*KFC!$B$17+KFC!$C$17)*KFC!$C$5</f>
        <v>73.436504295762816</v>
      </c>
      <c r="P48" s="912">
        <f>(AM48*KFC!$B$17+KFC!$C$17)*KFC!$C$5</f>
        <v>77.606509477992617</v>
      </c>
      <c r="Q48" s="912">
        <f>(AN48*KFC!$B$17+KFC!$C$17)*KFC!$C$5</f>
        <v>81.776514660222418</v>
      </c>
      <c r="R48" s="912">
        <f>(AO48*KFC!$B$17+KFC!$C$17)*KFC!$C$5</f>
        <v>85.946519842452219</v>
      </c>
      <c r="S48" s="912">
        <f>(AP48*KFC!$B$17+KFC!$C$17)*KFC!$C$5</f>
        <v>90.116525024682019</v>
      </c>
      <c r="T48" s="912">
        <f>(AQ48*KFC!$B$17+KFC!$C$17)*KFC!$C$5</f>
        <v>94.286530206911834</v>
      </c>
      <c r="U48" s="912">
        <f>(AR48*KFC!$B$17+KFC!$C$17)*KFC!$C$5</f>
        <v>98.456535389141635</v>
      </c>
      <c r="V48" s="912">
        <f>(AS48*KFC!$B$17+KFC!$C$17)*KFC!$C$5</f>
        <v>102.62654057137142</v>
      </c>
      <c r="W48" s="916">
        <f>(AT48*KFC!$B$17+KFC!$C$17)*KFC!$C$5</f>
        <v>106.79654575360118</v>
      </c>
      <c r="Y48" s="1277"/>
      <c r="Z48" s="649">
        <v>1.7</v>
      </c>
      <c r="AA48" s="882">
        <v>27.566447291235001</v>
      </c>
      <c r="AB48" s="882">
        <v>31.736452473464801</v>
      </c>
      <c r="AC48" s="882">
        <v>35.906457655694595</v>
      </c>
      <c r="AD48" s="882">
        <v>40.076462837924403</v>
      </c>
      <c r="AE48" s="882">
        <v>44.246468020154204</v>
      </c>
      <c r="AF48" s="882">
        <v>48.416473202384005</v>
      </c>
      <c r="AG48" s="882">
        <v>52.586478384613805</v>
      </c>
      <c r="AH48" s="882">
        <v>56.756483566843606</v>
      </c>
      <c r="AI48" s="882">
        <v>60.926488749073407</v>
      </c>
      <c r="AJ48" s="882">
        <v>65.096493931303215</v>
      </c>
      <c r="AK48" s="882">
        <v>69.266499113533015</v>
      </c>
      <c r="AL48" s="882">
        <v>73.436504295762816</v>
      </c>
      <c r="AM48" s="882">
        <v>77.606509477992617</v>
      </c>
      <c r="AN48" s="882">
        <v>81.776514660222418</v>
      </c>
      <c r="AO48" s="882">
        <v>85.946519842452219</v>
      </c>
      <c r="AP48" s="882">
        <v>90.116525024682019</v>
      </c>
      <c r="AQ48" s="882">
        <v>94.286530206911834</v>
      </c>
      <c r="AR48" s="882">
        <v>98.456535389141635</v>
      </c>
      <c r="AS48" s="882">
        <v>102.62654057137142</v>
      </c>
      <c r="AT48" s="882">
        <v>106.79654575360118</v>
      </c>
    </row>
    <row r="49" spans="1:46">
      <c r="A49" s="1426"/>
      <c r="B49" s="1427"/>
      <c r="C49" s="887">
        <v>1.8</v>
      </c>
      <c r="D49" s="915">
        <f>(AA49*KFC!$B$17+KFC!$C$17)*KFC!$C$5</f>
        <v>28.226578868333998</v>
      </c>
      <c r="E49" s="912">
        <f>(AB49*KFC!$B$17+KFC!$C$17)*KFC!$C$5</f>
        <v>32.5390234545971</v>
      </c>
      <c r="F49" s="912">
        <f>(AC49*KFC!$B$17+KFC!$C$17)*KFC!$C$5</f>
        <v>36.851468040860205</v>
      </c>
      <c r="G49" s="912">
        <f>(AD49*KFC!$B$17+KFC!$C$17)*KFC!$C$5</f>
        <v>41.16391262712331</v>
      </c>
      <c r="H49" s="912">
        <f>(AE49*KFC!$B$17+KFC!$C$17)*KFC!$C$5</f>
        <v>45.476357213386407</v>
      </c>
      <c r="I49" s="912">
        <f>(AF49*KFC!$B$17+KFC!$C$17)*KFC!$C$5</f>
        <v>49.788801799649512</v>
      </c>
      <c r="J49" s="912">
        <f>(AG49*KFC!$B$17+KFC!$C$17)*KFC!$C$5</f>
        <v>54.101246385912617</v>
      </c>
      <c r="K49" s="912">
        <f>(AH49*KFC!$B$17+KFC!$C$17)*KFC!$C$5</f>
        <v>58.413690972175722</v>
      </c>
      <c r="L49" s="912">
        <f>(AI49*KFC!$B$17+KFC!$C$17)*KFC!$C$5</f>
        <v>62.726135558438827</v>
      </c>
      <c r="M49" s="912">
        <f>(AJ49*KFC!$B$17+KFC!$C$17)*KFC!$C$5</f>
        <v>67.038580144701925</v>
      </c>
      <c r="N49" s="912">
        <f>(AK49*KFC!$B$17+KFC!$C$17)*KFC!$C$5</f>
        <v>71.351024730965008</v>
      </c>
      <c r="O49" s="912">
        <f>(AL49*KFC!$B$17+KFC!$C$17)*KFC!$C$5</f>
        <v>75.663469317228106</v>
      </c>
      <c r="P49" s="912">
        <f>(AM49*KFC!$B$17+KFC!$C$17)*KFC!$C$5</f>
        <v>79.975913903491204</v>
      </c>
      <c r="Q49" s="912">
        <f>(AN49*KFC!$B$17+KFC!$C$17)*KFC!$C$5</f>
        <v>84.288358489754316</v>
      </c>
      <c r="R49" s="912">
        <f>(AO49*KFC!$B$17+KFC!$C$17)*KFC!$C$5</f>
        <v>88.600803076017399</v>
      </c>
      <c r="S49" s="912">
        <f>(AP49*KFC!$B$17+KFC!$C$17)*KFC!$C$5</f>
        <v>92.913247662280497</v>
      </c>
      <c r="T49" s="912">
        <f>(AQ49*KFC!$B$17+KFC!$C$17)*KFC!$C$5</f>
        <v>97.225692248543595</v>
      </c>
      <c r="U49" s="912">
        <f>(AR49*KFC!$B$17+KFC!$C$17)*KFC!$C$5</f>
        <v>101.53813683480669</v>
      </c>
      <c r="V49" s="912">
        <f>(AS49*KFC!$B$17+KFC!$C$17)*KFC!$C$5</f>
        <v>105.85058142106979</v>
      </c>
      <c r="W49" s="916">
        <f>(AT49*KFC!$B$17+KFC!$C$17)*KFC!$C$5</f>
        <v>110.16302600733293</v>
      </c>
      <c r="Y49" s="1277"/>
      <c r="Z49" s="649">
        <v>1.8</v>
      </c>
      <c r="AA49" s="882">
        <v>28.226578868333998</v>
      </c>
      <c r="AB49" s="882">
        <v>32.5390234545971</v>
      </c>
      <c r="AC49" s="882">
        <v>36.851468040860205</v>
      </c>
      <c r="AD49" s="882">
        <v>41.16391262712331</v>
      </c>
      <c r="AE49" s="882">
        <v>45.476357213386407</v>
      </c>
      <c r="AF49" s="882">
        <v>49.788801799649512</v>
      </c>
      <c r="AG49" s="882">
        <v>54.101246385912617</v>
      </c>
      <c r="AH49" s="882">
        <v>58.413690972175722</v>
      </c>
      <c r="AI49" s="882">
        <v>62.726135558438827</v>
      </c>
      <c r="AJ49" s="882">
        <v>67.038580144701925</v>
      </c>
      <c r="AK49" s="882">
        <v>71.351024730965008</v>
      </c>
      <c r="AL49" s="882">
        <v>75.663469317228106</v>
      </c>
      <c r="AM49" s="882">
        <v>79.975913903491204</v>
      </c>
      <c r="AN49" s="882">
        <v>84.288358489754316</v>
      </c>
      <c r="AO49" s="882">
        <v>88.600803076017399</v>
      </c>
      <c r="AP49" s="882">
        <v>92.913247662280497</v>
      </c>
      <c r="AQ49" s="882">
        <v>97.225692248543595</v>
      </c>
      <c r="AR49" s="882">
        <v>101.53813683480669</v>
      </c>
      <c r="AS49" s="882">
        <v>105.85058142106979</v>
      </c>
      <c r="AT49" s="882">
        <v>110.16302600733293</v>
      </c>
    </row>
    <row r="50" spans="1:46">
      <c r="A50" s="1426"/>
      <c r="B50" s="1427"/>
      <c r="C50" s="887">
        <v>1.9</v>
      </c>
      <c r="D50" s="915">
        <f>(AA50*KFC!$B$17+KFC!$C$17)*KFC!$C$5</f>
        <v>28.886710445433</v>
      </c>
      <c r="E50" s="912">
        <f>(AB50*KFC!$B$17+KFC!$C$17)*KFC!$C$5</f>
        <v>33.341594435729405</v>
      </c>
      <c r="F50" s="912">
        <f>(AC50*KFC!$B$17+KFC!$C$17)*KFC!$C$5</f>
        <v>37.796478426025807</v>
      </c>
      <c r="G50" s="912">
        <f>(AD50*KFC!$B$17+KFC!$C$17)*KFC!$C$5</f>
        <v>42.251362416322209</v>
      </c>
      <c r="H50" s="912">
        <f>(AE50*KFC!$B$17+KFC!$C$17)*KFC!$C$5</f>
        <v>46.706246406618611</v>
      </c>
      <c r="I50" s="912">
        <f>(AF50*KFC!$B$17+KFC!$C$17)*KFC!$C$5</f>
        <v>51.161130396915027</v>
      </c>
      <c r="J50" s="912">
        <f>(AG50*KFC!$B$17+KFC!$C$17)*KFC!$C$5</f>
        <v>55.616014387211429</v>
      </c>
      <c r="K50" s="912">
        <f>(AH50*KFC!$B$17+KFC!$C$17)*KFC!$C$5</f>
        <v>60.070898377507831</v>
      </c>
      <c r="L50" s="912">
        <f>(AI50*KFC!$B$17+KFC!$C$17)*KFC!$C$5</f>
        <v>64.525782367804226</v>
      </c>
      <c r="M50" s="912">
        <f>(AJ50*KFC!$B$17+KFC!$C$17)*KFC!$C$5</f>
        <v>68.980666358100635</v>
      </c>
      <c r="N50" s="912">
        <f>(AK50*KFC!$B$17+KFC!$C$17)*KFC!$C$5</f>
        <v>73.435550348397044</v>
      </c>
      <c r="O50" s="912">
        <f>(AL50*KFC!$B$17+KFC!$C$17)*KFC!$C$5</f>
        <v>77.890434338693453</v>
      </c>
      <c r="P50" s="912">
        <f>(AM50*KFC!$B$17+KFC!$C$17)*KFC!$C$5</f>
        <v>82.345318328989862</v>
      </c>
      <c r="Q50" s="912">
        <f>(AN50*KFC!$B$17+KFC!$C$17)*KFC!$C$5</f>
        <v>86.800202319286257</v>
      </c>
      <c r="R50" s="912">
        <f>(AO50*KFC!$B$17+KFC!$C$17)*KFC!$C$5</f>
        <v>91.255086309582651</v>
      </c>
      <c r="S50" s="912">
        <f>(AP50*KFC!$B$17+KFC!$C$17)*KFC!$C$5</f>
        <v>95.70997029987906</v>
      </c>
      <c r="T50" s="912">
        <f>(AQ50*KFC!$B$17+KFC!$C$17)*KFC!$C$5</f>
        <v>100.16485429017547</v>
      </c>
      <c r="U50" s="912">
        <f>(AR50*KFC!$B$17+KFC!$C$17)*KFC!$C$5</f>
        <v>104.61973828047186</v>
      </c>
      <c r="V50" s="912">
        <f>(AS50*KFC!$B$17+KFC!$C$17)*KFC!$C$5</f>
        <v>109.07462227076827</v>
      </c>
      <c r="W50" s="916">
        <f>(AT50*KFC!$B$17+KFC!$C$17)*KFC!$C$5</f>
        <v>113.5295062610647</v>
      </c>
      <c r="Y50" s="1277"/>
      <c r="Z50" s="649">
        <v>1.9</v>
      </c>
      <c r="AA50" s="882">
        <v>28.886710445433</v>
      </c>
      <c r="AB50" s="882">
        <v>33.341594435729405</v>
      </c>
      <c r="AC50" s="882">
        <v>37.796478426025807</v>
      </c>
      <c r="AD50" s="882">
        <v>42.251362416322209</v>
      </c>
      <c r="AE50" s="882">
        <v>46.706246406618611</v>
      </c>
      <c r="AF50" s="882">
        <v>51.161130396915027</v>
      </c>
      <c r="AG50" s="882">
        <v>55.616014387211429</v>
      </c>
      <c r="AH50" s="882">
        <v>60.070898377507831</v>
      </c>
      <c r="AI50" s="882">
        <v>64.525782367804226</v>
      </c>
      <c r="AJ50" s="882">
        <v>68.980666358100635</v>
      </c>
      <c r="AK50" s="882">
        <v>73.435550348397044</v>
      </c>
      <c r="AL50" s="882">
        <v>77.890434338693453</v>
      </c>
      <c r="AM50" s="882">
        <v>82.345318328989862</v>
      </c>
      <c r="AN50" s="882">
        <v>86.800202319286257</v>
      </c>
      <c r="AO50" s="882">
        <v>91.255086309582651</v>
      </c>
      <c r="AP50" s="882">
        <v>95.70997029987906</v>
      </c>
      <c r="AQ50" s="882">
        <v>100.16485429017547</v>
      </c>
      <c r="AR50" s="882">
        <v>104.61973828047186</v>
      </c>
      <c r="AS50" s="882">
        <v>109.07462227076827</v>
      </c>
      <c r="AT50" s="882">
        <v>113.5295062610647</v>
      </c>
    </row>
    <row r="51" spans="1:46">
      <c r="A51" s="1426"/>
      <c r="B51" s="1427"/>
      <c r="C51" s="887">
        <v>2</v>
      </c>
      <c r="D51" s="915">
        <f>(AA51*KFC!$B$17+KFC!$C$17)*KFC!$C$5</f>
        <v>29.546842022532005</v>
      </c>
      <c r="E51" s="912">
        <f>(AB51*KFC!$B$17+KFC!$C$17)*KFC!$C$5</f>
        <v>34.144165416861703</v>
      </c>
      <c r="F51" s="912">
        <f>(AC51*KFC!$B$17+KFC!$C$17)*KFC!$C$5</f>
        <v>38.741488811191417</v>
      </c>
      <c r="G51" s="912">
        <f>(AD51*KFC!$B$17+KFC!$C$17)*KFC!$C$5</f>
        <v>43.338812205521116</v>
      </c>
      <c r="H51" s="912">
        <f>(AE51*KFC!$B$17+KFC!$C$17)*KFC!$C$5</f>
        <v>47.936135599850822</v>
      </c>
      <c r="I51" s="912">
        <f>(AF51*KFC!$B$17+KFC!$C$17)*KFC!$C$5</f>
        <v>52.533458994180528</v>
      </c>
      <c r="J51" s="912">
        <f>(AG51*KFC!$B$17+KFC!$C$17)*KFC!$C$5</f>
        <v>57.130782388510227</v>
      </c>
      <c r="K51" s="912">
        <f>(AH51*KFC!$B$17+KFC!$C$17)*KFC!$C$5</f>
        <v>61.728105782839933</v>
      </c>
      <c r="L51" s="912">
        <f>(AI51*KFC!$B$17+KFC!$C$17)*KFC!$C$5</f>
        <v>66.325429177169639</v>
      </c>
      <c r="M51" s="912">
        <f>(AJ51*KFC!$B$17+KFC!$C$17)*KFC!$C$5</f>
        <v>70.922752571499359</v>
      </c>
      <c r="N51" s="912">
        <f>(AK51*KFC!$B$17+KFC!$C$17)*KFC!$C$5</f>
        <v>75.520075965829065</v>
      </c>
      <c r="O51" s="912">
        <f>(AL51*KFC!$B$17+KFC!$C$17)*KFC!$C$5</f>
        <v>80.117399360158771</v>
      </c>
      <c r="P51" s="912">
        <f>(AM51*KFC!$B$17+KFC!$C$17)*KFC!$C$5</f>
        <v>84.714722754488491</v>
      </c>
      <c r="Q51" s="912">
        <f>(AN51*KFC!$B$17+KFC!$C$17)*KFC!$C$5</f>
        <v>89.312046148818197</v>
      </c>
      <c r="R51" s="912">
        <f>(AO51*KFC!$B$17+KFC!$C$17)*KFC!$C$5</f>
        <v>93.909369543147903</v>
      </c>
      <c r="S51" s="912">
        <f>(AP51*KFC!$B$17+KFC!$C$17)*KFC!$C$5</f>
        <v>98.506692937477624</v>
      </c>
      <c r="T51" s="912">
        <f>(AQ51*KFC!$B$17+KFC!$C$17)*KFC!$C$5</f>
        <v>103.10401633180733</v>
      </c>
      <c r="U51" s="912">
        <f>(AR51*KFC!$B$17+KFC!$C$17)*KFC!$C$5</f>
        <v>107.70133972613705</v>
      </c>
      <c r="V51" s="912">
        <f>(AS51*KFC!$B$17+KFC!$C$17)*KFC!$C$5</f>
        <v>112.29866312046676</v>
      </c>
      <c r="W51" s="916">
        <f>(AT51*KFC!$B$17+KFC!$C$17)*KFC!$C$5</f>
        <v>116.89598651479642</v>
      </c>
      <c r="Y51" s="1277"/>
      <c r="Z51" s="649">
        <v>2</v>
      </c>
      <c r="AA51" s="882">
        <v>29.546842022532005</v>
      </c>
      <c r="AB51" s="882">
        <v>34.144165416861703</v>
      </c>
      <c r="AC51" s="882">
        <v>38.741488811191417</v>
      </c>
      <c r="AD51" s="882">
        <v>43.338812205521116</v>
      </c>
      <c r="AE51" s="882">
        <v>47.936135599850822</v>
      </c>
      <c r="AF51" s="882">
        <v>52.533458994180528</v>
      </c>
      <c r="AG51" s="882">
        <v>57.130782388510227</v>
      </c>
      <c r="AH51" s="882">
        <v>61.728105782839933</v>
      </c>
      <c r="AI51" s="882">
        <v>66.325429177169639</v>
      </c>
      <c r="AJ51" s="882">
        <v>70.922752571499359</v>
      </c>
      <c r="AK51" s="882">
        <v>75.520075965829065</v>
      </c>
      <c r="AL51" s="882">
        <v>80.117399360158771</v>
      </c>
      <c r="AM51" s="882">
        <v>84.714722754488491</v>
      </c>
      <c r="AN51" s="882">
        <v>89.312046148818197</v>
      </c>
      <c r="AO51" s="882">
        <v>93.909369543147903</v>
      </c>
      <c r="AP51" s="882">
        <v>98.506692937477624</v>
      </c>
      <c r="AQ51" s="882">
        <v>103.10401633180733</v>
      </c>
      <c r="AR51" s="882">
        <v>107.70133972613705</v>
      </c>
      <c r="AS51" s="882">
        <v>112.29866312046676</v>
      </c>
      <c r="AT51" s="882">
        <v>116.89598651479642</v>
      </c>
    </row>
    <row r="52" spans="1:46">
      <c r="A52" s="1426"/>
      <c r="B52" s="1427"/>
      <c r="C52" s="887">
        <v>2.1</v>
      </c>
      <c r="D52" s="915">
        <f>(AA52*KFC!$B$17+KFC!$C$17)*KFC!$C$5</f>
        <v>30.206973599631002</v>
      </c>
      <c r="E52" s="912">
        <f>(AB52*KFC!$B$17+KFC!$C$17)*KFC!$C$5</f>
        <v>34.946736397994009</v>
      </c>
      <c r="F52" s="912">
        <f>(AC52*KFC!$B$17+KFC!$C$17)*KFC!$C$5</f>
        <v>39.686499196357019</v>
      </c>
      <c r="G52" s="912">
        <f>(AD52*KFC!$B$17+KFC!$C$17)*KFC!$C$5</f>
        <v>44.426261994720029</v>
      </c>
      <c r="H52" s="912">
        <f>(AE52*KFC!$B$17+KFC!$C$17)*KFC!$C$5</f>
        <v>49.166024793083032</v>
      </c>
      <c r="I52" s="912">
        <f>(AF52*KFC!$B$17+KFC!$C$17)*KFC!$C$5</f>
        <v>53.905787591446042</v>
      </c>
      <c r="J52" s="912">
        <f>(AG52*KFC!$B$17+KFC!$C$17)*KFC!$C$5</f>
        <v>58.645550389809046</v>
      </c>
      <c r="K52" s="912">
        <f>(AH52*KFC!$B$17+KFC!$C$17)*KFC!$C$5</f>
        <v>63.385313188172049</v>
      </c>
      <c r="L52" s="912">
        <f>(AI52*KFC!$B$17+KFC!$C$17)*KFC!$C$5</f>
        <v>68.125075986535052</v>
      </c>
      <c r="M52" s="912">
        <f>(AJ52*KFC!$B$17+KFC!$C$17)*KFC!$C$5</f>
        <v>72.864838784898055</v>
      </c>
      <c r="N52" s="912">
        <f>(AK52*KFC!$B$17+KFC!$C$17)*KFC!$C$5</f>
        <v>77.604601583261072</v>
      </c>
      <c r="O52" s="912">
        <f>(AL52*KFC!$B$17+KFC!$C$17)*KFC!$C$5</f>
        <v>82.344364381624075</v>
      </c>
      <c r="P52" s="912">
        <f>(AM52*KFC!$B$17+KFC!$C$17)*KFC!$C$5</f>
        <v>87.084127179987078</v>
      </c>
      <c r="Q52" s="912">
        <f>(AN52*KFC!$B$17+KFC!$C$17)*KFC!$C$5</f>
        <v>91.823889978350067</v>
      </c>
      <c r="R52" s="912">
        <f>(AO52*KFC!$B$17+KFC!$C$17)*KFC!$C$5</f>
        <v>96.563652776713099</v>
      </c>
      <c r="S52" s="912">
        <f>(AP52*KFC!$B$17+KFC!$C$17)*KFC!$C$5</f>
        <v>101.30341557507609</v>
      </c>
      <c r="T52" s="912">
        <f>(AQ52*KFC!$B$17+KFC!$C$17)*KFC!$C$5</f>
        <v>106.0431783734391</v>
      </c>
      <c r="U52" s="912">
        <f>(AR52*KFC!$B$17+KFC!$C$17)*KFC!$C$5</f>
        <v>110.78294117180211</v>
      </c>
      <c r="V52" s="912">
        <f>(AS52*KFC!$B$17+KFC!$C$17)*KFC!$C$5</f>
        <v>115.52270397016511</v>
      </c>
      <c r="W52" s="916">
        <f>(AT52*KFC!$B$17+KFC!$C$17)*KFC!$C$5</f>
        <v>120.26246676852818</v>
      </c>
      <c r="Y52" s="1277"/>
      <c r="Z52" s="649">
        <v>2.1</v>
      </c>
      <c r="AA52" s="882">
        <v>30.206973599631002</v>
      </c>
      <c r="AB52" s="882">
        <v>34.946736397994009</v>
      </c>
      <c r="AC52" s="882">
        <v>39.686499196357019</v>
      </c>
      <c r="AD52" s="882">
        <v>44.426261994720029</v>
      </c>
      <c r="AE52" s="882">
        <v>49.166024793083032</v>
      </c>
      <c r="AF52" s="882">
        <v>53.905787591446042</v>
      </c>
      <c r="AG52" s="882">
        <v>58.645550389809046</v>
      </c>
      <c r="AH52" s="882">
        <v>63.385313188172049</v>
      </c>
      <c r="AI52" s="882">
        <v>68.125075986535052</v>
      </c>
      <c r="AJ52" s="882">
        <v>72.864838784898055</v>
      </c>
      <c r="AK52" s="882">
        <v>77.604601583261072</v>
      </c>
      <c r="AL52" s="882">
        <v>82.344364381624075</v>
      </c>
      <c r="AM52" s="882">
        <v>87.084127179987078</v>
      </c>
      <c r="AN52" s="882">
        <v>91.823889978350067</v>
      </c>
      <c r="AO52" s="882">
        <v>96.563652776713099</v>
      </c>
      <c r="AP52" s="882">
        <v>101.30341557507609</v>
      </c>
      <c r="AQ52" s="882">
        <v>106.0431783734391</v>
      </c>
      <c r="AR52" s="882">
        <v>110.78294117180211</v>
      </c>
      <c r="AS52" s="882">
        <v>115.52270397016511</v>
      </c>
      <c r="AT52" s="882">
        <v>120.26246676852818</v>
      </c>
    </row>
    <row r="53" spans="1:46" ht="15" thickBot="1">
      <c r="A53" s="1428"/>
      <c r="B53" s="1429"/>
      <c r="C53" s="888">
        <v>2.2000000000000002</v>
      </c>
      <c r="D53" s="917">
        <f>(AA53*KFC!$B$17+KFC!$C$17)*KFC!$C$5</f>
        <v>30.867105176729996</v>
      </c>
      <c r="E53" s="918">
        <f>(AB53*KFC!$B$17+KFC!$C$17)*KFC!$C$5</f>
        <v>35.749307379126314</v>
      </c>
      <c r="F53" s="918">
        <f>(AC53*KFC!$B$17+KFC!$C$17)*KFC!$C$5</f>
        <v>40.631509581522621</v>
      </c>
      <c r="G53" s="918">
        <f>(AD53*KFC!$B$17+KFC!$C$17)*KFC!$C$5</f>
        <v>45.513711783918943</v>
      </c>
      <c r="H53" s="918">
        <f>(AE53*KFC!$B$17+KFC!$C$17)*KFC!$C$5</f>
        <v>50.395913986315257</v>
      </c>
      <c r="I53" s="918">
        <f>(AF53*KFC!$B$17+KFC!$C$17)*KFC!$C$5</f>
        <v>55.278116188711572</v>
      </c>
      <c r="J53" s="918">
        <f>(AG53*KFC!$B$17+KFC!$C$17)*KFC!$C$5</f>
        <v>60.160318391107879</v>
      </c>
      <c r="K53" s="918">
        <f>(AH53*KFC!$B$17+KFC!$C$17)*KFC!$C$5</f>
        <v>65.042520593504193</v>
      </c>
      <c r="L53" s="918">
        <f>(AI53*KFC!$B$17+KFC!$C$17)*KFC!$C$5</f>
        <v>69.924722795900507</v>
      </c>
      <c r="M53" s="918">
        <f>(AJ53*KFC!$B$17+KFC!$C$17)*KFC!$C$5</f>
        <v>74.806924998296822</v>
      </c>
      <c r="N53" s="918">
        <f>(AK53*KFC!$B$17+KFC!$C$17)*KFC!$C$5</f>
        <v>79.68912720069315</v>
      </c>
      <c r="O53" s="918">
        <f>(AL53*KFC!$B$17+KFC!$C$17)*KFC!$C$5</f>
        <v>84.571329403089464</v>
      </c>
      <c r="P53" s="918">
        <f>(AM53*KFC!$B$17+KFC!$C$17)*KFC!$C$5</f>
        <v>89.453531605485765</v>
      </c>
      <c r="Q53" s="918">
        <f>(AN53*KFC!$B$17+KFC!$C$17)*KFC!$C$5</f>
        <v>94.335733807882079</v>
      </c>
      <c r="R53" s="918">
        <f>(AO53*KFC!$B$17+KFC!$C$17)*KFC!$C$5</f>
        <v>99.217936010278393</v>
      </c>
      <c r="S53" s="918">
        <f>(AP53*KFC!$B$17+KFC!$C$17)*KFC!$C$5</f>
        <v>104.10013821267471</v>
      </c>
      <c r="T53" s="918">
        <f>(AQ53*KFC!$B$17+KFC!$C$17)*KFC!$C$5</f>
        <v>108.98234041507102</v>
      </c>
      <c r="U53" s="918">
        <f>(AR53*KFC!$B$17+KFC!$C$17)*KFC!$C$5</f>
        <v>113.86454261746734</v>
      </c>
      <c r="V53" s="918">
        <f>(AS53*KFC!$B$17+KFC!$C$17)*KFC!$C$5</f>
        <v>118.74674481986365</v>
      </c>
      <c r="W53" s="919">
        <f>(AT53*KFC!$B$17+KFC!$C$17)*KFC!$C$5</f>
        <v>123.62894702225999</v>
      </c>
      <c r="Y53" s="1277"/>
      <c r="Z53" s="649">
        <v>2.2000000000000002</v>
      </c>
      <c r="AA53" s="882">
        <v>30.867105176729996</v>
      </c>
      <c r="AB53" s="882">
        <v>35.749307379126314</v>
      </c>
      <c r="AC53" s="882">
        <v>40.631509581522621</v>
      </c>
      <c r="AD53" s="882">
        <v>45.513711783918943</v>
      </c>
      <c r="AE53" s="882">
        <v>50.395913986315257</v>
      </c>
      <c r="AF53" s="882">
        <v>55.278116188711572</v>
      </c>
      <c r="AG53" s="882">
        <v>60.160318391107879</v>
      </c>
      <c r="AH53" s="882">
        <v>65.042520593504193</v>
      </c>
      <c r="AI53" s="882">
        <v>69.924722795900507</v>
      </c>
      <c r="AJ53" s="882">
        <v>74.806924998296822</v>
      </c>
      <c r="AK53" s="882">
        <v>79.68912720069315</v>
      </c>
      <c r="AL53" s="882">
        <v>84.571329403089464</v>
      </c>
      <c r="AM53" s="882">
        <v>89.453531605485765</v>
      </c>
      <c r="AN53" s="882">
        <v>94.335733807882079</v>
      </c>
      <c r="AO53" s="882">
        <v>99.217936010278393</v>
      </c>
      <c r="AP53" s="882">
        <v>104.10013821267471</v>
      </c>
      <c r="AQ53" s="882">
        <v>108.98234041507102</v>
      </c>
      <c r="AR53" s="882">
        <v>113.86454261746734</v>
      </c>
      <c r="AS53" s="882">
        <v>118.74674481986365</v>
      </c>
      <c r="AT53" s="882">
        <v>123.62894702225999</v>
      </c>
    </row>
    <row r="54" spans="1:46" ht="16.2" thickBot="1">
      <c r="A54" s="380"/>
      <c r="B54" s="380"/>
      <c r="C54" s="380"/>
      <c r="D54" s="380"/>
      <c r="E54" s="380"/>
      <c r="F54" s="380"/>
      <c r="G54" s="380"/>
      <c r="H54" s="380"/>
      <c r="I54" s="380"/>
      <c r="J54" s="380"/>
      <c r="K54" s="380"/>
      <c r="L54" s="380"/>
      <c r="M54" s="380"/>
      <c r="N54" s="380"/>
      <c r="O54" s="380"/>
      <c r="P54" s="380"/>
      <c r="Q54" s="380"/>
      <c r="R54" s="380"/>
      <c r="S54" s="380"/>
      <c r="T54" s="380"/>
      <c r="U54" s="380"/>
      <c r="V54" s="380"/>
      <c r="W54" s="380"/>
    </row>
    <row r="55" spans="1:46" ht="16.5" customHeight="1" thickBot="1">
      <c r="A55" s="1445" t="s">
        <v>448</v>
      </c>
      <c r="B55" s="1446"/>
      <c r="C55" s="1446"/>
      <c r="D55" s="1446"/>
      <c r="E55" s="1446"/>
      <c r="F55" s="1446"/>
      <c r="G55" s="1446"/>
      <c r="H55" s="1446"/>
      <c r="I55" s="1446"/>
      <c r="J55" s="1446"/>
      <c r="K55" s="1446"/>
      <c r="L55" s="1446"/>
      <c r="M55" s="1446"/>
      <c r="N55" s="1446"/>
      <c r="O55" s="1446"/>
      <c r="P55" s="1446"/>
      <c r="Q55" s="1446"/>
      <c r="R55" s="1446"/>
      <c r="S55" s="1446"/>
      <c r="T55" s="1446"/>
      <c r="U55" s="1446"/>
      <c r="V55" s="1446"/>
      <c r="W55" s="1447"/>
    </row>
    <row r="56" spans="1:46" ht="15.6">
      <c r="A56" s="1448"/>
      <c r="B56" s="1449"/>
      <c r="C56" s="1449"/>
      <c r="D56" s="1449"/>
      <c r="E56" s="1449"/>
      <c r="F56" s="1449"/>
      <c r="G56" s="1449"/>
      <c r="H56" s="1449"/>
      <c r="I56" s="1449"/>
      <c r="J56" s="1449"/>
      <c r="K56" s="1450"/>
      <c r="L56" s="1454" t="s">
        <v>449</v>
      </c>
      <c r="M56" s="1455"/>
      <c r="N56" s="1455"/>
      <c r="O56" s="1456"/>
      <c r="P56" s="1457" t="s">
        <v>450</v>
      </c>
      <c r="Q56" s="1458"/>
      <c r="R56" s="1458"/>
      <c r="S56" s="1459"/>
      <c r="T56" s="1454" t="s">
        <v>451</v>
      </c>
      <c r="U56" s="1455"/>
      <c r="V56" s="1455"/>
      <c r="W56" s="1456"/>
    </row>
    <row r="57" spans="1:46" ht="15.6">
      <c r="A57" s="1451"/>
      <c r="B57" s="1452"/>
      <c r="C57" s="1452"/>
      <c r="D57" s="1452"/>
      <c r="E57" s="1452"/>
      <c r="F57" s="1452"/>
      <c r="G57" s="1452"/>
      <c r="H57" s="1452"/>
      <c r="I57" s="1452"/>
      <c r="J57" s="1452"/>
      <c r="K57" s="1453"/>
      <c r="L57" s="1460" t="s">
        <v>452</v>
      </c>
      <c r="M57" s="1461"/>
      <c r="N57" s="1461" t="s">
        <v>453</v>
      </c>
      <c r="O57" s="1462"/>
      <c r="P57" s="1463" t="s">
        <v>452</v>
      </c>
      <c r="Q57" s="1464"/>
      <c r="R57" s="1464" t="s">
        <v>453</v>
      </c>
      <c r="S57" s="1465"/>
      <c r="T57" s="1460" t="s">
        <v>452</v>
      </c>
      <c r="U57" s="1461"/>
      <c r="V57" s="1461" t="s">
        <v>453</v>
      </c>
      <c r="W57" s="1462"/>
    </row>
    <row r="58" spans="1:46" ht="15.6">
      <c r="A58" s="1466" t="s">
        <v>454</v>
      </c>
      <c r="B58" s="1467"/>
      <c r="C58" s="1467"/>
      <c r="D58" s="1467"/>
      <c r="E58" s="1467"/>
      <c r="F58" s="1467"/>
      <c r="G58" s="1467"/>
      <c r="H58" s="1467"/>
      <c r="I58" s="1467"/>
      <c r="J58" s="1467"/>
      <c r="K58" s="1468"/>
      <c r="L58" s="1460">
        <v>23</v>
      </c>
      <c r="M58" s="1461"/>
      <c r="N58" s="1461">
        <v>23</v>
      </c>
      <c r="O58" s="1462"/>
      <c r="P58" s="1463">
        <v>23</v>
      </c>
      <c r="Q58" s="1464"/>
      <c r="R58" s="1464">
        <v>23</v>
      </c>
      <c r="S58" s="1465"/>
      <c r="T58" s="1460">
        <v>23</v>
      </c>
      <c r="U58" s="1461"/>
      <c r="V58" s="1461">
        <v>23</v>
      </c>
      <c r="W58" s="1462"/>
    </row>
    <row r="59" spans="1:46" ht="15.6">
      <c r="A59" s="1466" t="s">
        <v>455</v>
      </c>
      <c r="B59" s="1467"/>
      <c r="C59" s="1467"/>
      <c r="D59" s="1467"/>
      <c r="E59" s="1467"/>
      <c r="F59" s="1467"/>
      <c r="G59" s="1467"/>
      <c r="H59" s="1467"/>
      <c r="I59" s="1467"/>
      <c r="J59" s="1467"/>
      <c r="K59" s="1468"/>
      <c r="L59" s="1460">
        <v>240</v>
      </c>
      <c r="M59" s="1461"/>
      <c r="N59" s="1461">
        <v>170</v>
      </c>
      <c r="O59" s="1462"/>
      <c r="P59" s="1463">
        <v>200</v>
      </c>
      <c r="Q59" s="1464"/>
      <c r="R59" s="1464">
        <v>170</v>
      </c>
      <c r="S59" s="1465"/>
      <c r="T59" s="1460">
        <v>200</v>
      </c>
      <c r="U59" s="1461"/>
      <c r="V59" s="1461">
        <v>170</v>
      </c>
      <c r="W59" s="1462"/>
    </row>
    <row r="60" spans="1:46" ht="18" thickBot="1">
      <c r="A60" s="1475" t="s">
        <v>456</v>
      </c>
      <c r="B60" s="1476"/>
      <c r="C60" s="1476"/>
      <c r="D60" s="1476"/>
      <c r="E60" s="1476"/>
      <c r="F60" s="1476"/>
      <c r="G60" s="1476"/>
      <c r="H60" s="1476"/>
      <c r="I60" s="1476"/>
      <c r="J60" s="1476"/>
      <c r="K60" s="1477"/>
      <c r="L60" s="1478">
        <v>2.5</v>
      </c>
      <c r="M60" s="1479"/>
      <c r="N60" s="1479">
        <v>2.5</v>
      </c>
      <c r="O60" s="1480"/>
      <c r="P60" s="1481">
        <v>2.5</v>
      </c>
      <c r="Q60" s="1482"/>
      <c r="R60" s="1483">
        <v>2</v>
      </c>
      <c r="S60" s="1484"/>
      <c r="T60" s="1478">
        <v>2.5</v>
      </c>
      <c r="U60" s="1479"/>
      <c r="V60" s="1485">
        <v>2</v>
      </c>
      <c r="W60" s="1486"/>
    </row>
    <row r="61" spans="1:46" ht="16.2" thickBot="1">
      <c r="A61" s="6"/>
      <c r="B61" s="1"/>
      <c r="C61" s="379"/>
      <c r="D61" s="381"/>
      <c r="E61" s="381"/>
      <c r="F61" s="381"/>
      <c r="G61" s="381"/>
      <c r="H61" s="381"/>
      <c r="I61" s="380"/>
      <c r="J61" s="380"/>
      <c r="K61" s="380"/>
      <c r="L61" s="380"/>
      <c r="M61" s="380"/>
      <c r="N61" s="380"/>
      <c r="O61" s="380"/>
      <c r="P61" s="380"/>
      <c r="Q61" s="380"/>
      <c r="R61" s="380"/>
      <c r="S61" s="380"/>
      <c r="T61" s="380"/>
      <c r="U61" s="380"/>
      <c r="V61" s="380"/>
      <c r="W61" s="380"/>
    </row>
    <row r="62" spans="1:46" ht="16.2" thickBot="1">
      <c r="A62" s="6" t="s">
        <v>44</v>
      </c>
      <c r="B62" s="1"/>
      <c r="C62" s="379"/>
      <c r="D62" s="382"/>
      <c r="E62" s="382"/>
      <c r="F62" s="382"/>
      <c r="G62" s="382"/>
      <c r="H62" s="382"/>
      <c r="I62" s="382"/>
      <c r="J62" s="380"/>
      <c r="K62" s="380"/>
      <c r="L62" s="380"/>
      <c r="M62" s="380"/>
      <c r="N62" s="380"/>
      <c r="O62" s="380"/>
      <c r="P62" s="380"/>
      <c r="Q62" s="380"/>
      <c r="R62" s="380"/>
      <c r="S62" s="380"/>
      <c r="T62" s="380"/>
      <c r="U62" s="380"/>
      <c r="V62" s="380"/>
      <c r="W62" s="380"/>
    </row>
    <row r="63" spans="1:46" ht="16.2" thickBot="1">
      <c r="A63" s="1487" t="s">
        <v>1230</v>
      </c>
      <c r="B63" s="1488"/>
      <c r="C63" s="1488"/>
      <c r="D63" s="1488"/>
      <c r="E63" s="1488"/>
      <c r="F63" s="1488"/>
      <c r="G63" s="1488"/>
      <c r="H63" s="1488"/>
      <c r="I63" s="1488"/>
      <c r="J63" s="1488"/>
      <c r="K63" s="1489"/>
      <c r="L63" s="1493">
        <f>(1.34*KFC!$B$17+KFC!$C$17)*KFC!$C$5</f>
        <v>1.34</v>
      </c>
      <c r="M63" s="1473" t="s">
        <v>409</v>
      </c>
      <c r="N63" s="380"/>
      <c r="O63" s="380"/>
      <c r="P63" s="380"/>
      <c r="Q63" s="380"/>
      <c r="R63" s="380"/>
      <c r="S63" s="380"/>
      <c r="T63" s="380"/>
      <c r="U63" s="380"/>
      <c r="V63" s="380"/>
      <c r="W63" s="380"/>
    </row>
    <row r="64" spans="1:46" ht="28.5" customHeight="1" thickBot="1">
      <c r="A64" s="1490"/>
      <c r="B64" s="1491"/>
      <c r="C64" s="1491"/>
      <c r="D64" s="1491"/>
      <c r="E64" s="1491"/>
      <c r="F64" s="1491"/>
      <c r="G64" s="1491"/>
      <c r="H64" s="1491"/>
      <c r="I64" s="1491"/>
      <c r="J64" s="1491"/>
      <c r="K64" s="1492"/>
      <c r="L64" s="1494"/>
      <c r="M64" s="1495"/>
      <c r="N64" s="380"/>
      <c r="O64" s="380"/>
      <c r="P64" s="380"/>
      <c r="Q64" s="380"/>
      <c r="R64" s="380"/>
      <c r="S64" s="380"/>
      <c r="T64" s="380"/>
      <c r="U64" s="380"/>
      <c r="V64" s="380"/>
      <c r="W64" s="380"/>
    </row>
    <row r="65" spans="1:23" ht="16.2" thickBot="1">
      <c r="A65" s="895" t="s">
        <v>228</v>
      </c>
      <c r="B65" s="896"/>
      <c r="C65" s="896"/>
      <c r="D65" s="896"/>
      <c r="E65" s="896"/>
      <c r="F65" s="896"/>
      <c r="G65" s="896"/>
      <c r="H65" s="896"/>
      <c r="I65" s="897"/>
      <c r="J65" s="897"/>
      <c r="K65" s="897"/>
      <c r="L65" s="897"/>
      <c r="M65" s="897"/>
      <c r="N65" s="380"/>
      <c r="O65" s="380"/>
      <c r="P65" s="380"/>
      <c r="Q65" s="380"/>
      <c r="R65" s="380"/>
      <c r="S65" s="380"/>
      <c r="T65" s="380"/>
      <c r="U65" s="380"/>
      <c r="V65" s="380"/>
      <c r="W65" s="380"/>
    </row>
  </sheetData>
  <mergeCells count="51">
    <mergeCell ref="A63:K64"/>
    <mergeCell ref="L63:L64"/>
    <mergeCell ref="M63:M64"/>
    <mergeCell ref="V59:W59"/>
    <mergeCell ref="A60:K60"/>
    <mergeCell ref="L60:M60"/>
    <mergeCell ref="N60:O60"/>
    <mergeCell ref="P60:Q60"/>
    <mergeCell ref="R60:S60"/>
    <mergeCell ref="T60:U60"/>
    <mergeCell ref="V60:W60"/>
    <mergeCell ref="A59:K59"/>
    <mergeCell ref="L59:M59"/>
    <mergeCell ref="N59:O59"/>
    <mergeCell ref="P59:Q59"/>
    <mergeCell ref="R59:S59"/>
    <mergeCell ref="T59:U59"/>
    <mergeCell ref="R57:S57"/>
    <mergeCell ref="T57:U57"/>
    <mergeCell ref="V57:W57"/>
    <mergeCell ref="A58:K58"/>
    <mergeCell ref="L58:M58"/>
    <mergeCell ref="N58:O58"/>
    <mergeCell ref="P58:Q58"/>
    <mergeCell ref="R58:S58"/>
    <mergeCell ref="T58:U58"/>
    <mergeCell ref="V58:W58"/>
    <mergeCell ref="A33:B53"/>
    <mergeCell ref="Y33:Y53"/>
    <mergeCell ref="A55:W55"/>
    <mergeCell ref="A56:K57"/>
    <mergeCell ref="L56:O56"/>
    <mergeCell ref="P56:S56"/>
    <mergeCell ref="T56:W56"/>
    <mergeCell ref="L57:M57"/>
    <mergeCell ref="N57:O57"/>
    <mergeCell ref="P57:Q57"/>
    <mergeCell ref="AA31:AT31"/>
    <mergeCell ref="A30:W30"/>
    <mergeCell ref="A1:W2"/>
    <mergeCell ref="A3:W4"/>
    <mergeCell ref="A6:C7"/>
    <mergeCell ref="D6:W6"/>
    <mergeCell ref="Y6:Z7"/>
    <mergeCell ref="AA6:AT6"/>
    <mergeCell ref="A5:W5"/>
    <mergeCell ref="A8:B28"/>
    <mergeCell ref="Y8:Y28"/>
    <mergeCell ref="A31:C32"/>
    <mergeCell ref="D31:W31"/>
    <mergeCell ref="Y31:Z32"/>
  </mergeCells>
  <pageMargins left="0.70866141732283472" right="0.70866141732283472" top="0.74803149606299213" bottom="0.74803149606299213" header="0.31496062992125984" footer="0.31496062992125984"/>
  <pageSetup paperSize="9" scale="84" orientation="landscape" r:id="rId1"/>
  <colBreaks count="1" manualBreakCount="1">
    <brk id="46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FDFE8C-9564-491B-872C-A0794EFFB6BF}">
  <sheetPr codeName="Лист1">
    <tabColor indexed="29"/>
  </sheetPr>
  <dimension ref="A1:L59"/>
  <sheetViews>
    <sheetView zoomScaleNormal="100" zoomScaleSheetLayoutView="110" workbookViewId="0">
      <pane ySplit="10" topLeftCell="A11" activePane="bottomLeft" state="frozen"/>
      <selection pane="bottomLeft" activeCell="R17" sqref="R17"/>
    </sheetView>
  </sheetViews>
  <sheetFormatPr defaultColWidth="9.109375" defaultRowHeight="13.2"/>
  <cols>
    <col min="1" max="1" width="10.33203125" style="1" customWidth="1"/>
    <col min="2" max="2" width="12.5546875" style="1" customWidth="1"/>
    <col min="3" max="3" width="10.88671875" style="1" customWidth="1"/>
    <col min="4" max="4" width="3.5546875" style="1" customWidth="1"/>
    <col min="5" max="5" width="7.6640625" style="1" customWidth="1"/>
    <col min="6" max="6" width="4.109375" style="1" customWidth="1"/>
    <col min="7" max="7" width="8.109375" style="1" customWidth="1"/>
    <col min="8" max="9" width="3.6640625" style="1" customWidth="1"/>
    <col min="10" max="10" width="4.33203125" style="1" customWidth="1"/>
    <col min="11" max="11" width="2" style="1" customWidth="1"/>
    <col min="12" max="12" width="17.33203125" style="1" customWidth="1"/>
    <col min="13" max="13" width="12.44140625" style="1" customWidth="1"/>
    <col min="14" max="14" width="10.109375" style="1" customWidth="1"/>
    <col min="15" max="15" width="9.33203125" style="1" customWidth="1"/>
    <col min="16" max="16384" width="9.109375" style="1"/>
  </cols>
  <sheetData>
    <row r="1" spans="1:12" ht="9" customHeight="1">
      <c r="A1" s="51"/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</row>
    <row r="2" spans="1:12" s="51" customFormat="1" ht="13.8">
      <c r="C2" s="981"/>
      <c r="D2" s="981"/>
      <c r="E2" s="981"/>
      <c r="F2" s="981"/>
      <c r="G2" s="981"/>
      <c r="H2" s="981"/>
      <c r="I2" s="981"/>
      <c r="J2" s="981"/>
      <c r="K2" s="981"/>
      <c r="L2" s="981"/>
    </row>
    <row r="3" spans="1:12" s="51" customFormat="1" ht="13.8">
      <c r="B3" s="981"/>
      <c r="C3" s="981"/>
      <c r="D3" s="981"/>
      <c r="E3" s="981"/>
      <c r="F3" s="981"/>
      <c r="G3" s="981"/>
      <c r="H3" s="981"/>
      <c r="I3" s="981"/>
      <c r="J3" s="981"/>
      <c r="K3" s="981"/>
      <c r="L3" s="981"/>
    </row>
    <row r="4" spans="1:12" s="51" customFormat="1" ht="13.8">
      <c r="C4" s="981"/>
      <c r="D4" s="981"/>
      <c r="E4" s="981"/>
      <c r="F4" s="981"/>
      <c r="G4" s="981"/>
      <c r="H4" s="981"/>
      <c r="I4" s="981"/>
      <c r="J4" s="981"/>
      <c r="K4" s="981"/>
      <c r="L4" s="981"/>
    </row>
    <row r="5" spans="1:12" s="51" customFormat="1" ht="21.6" customHeight="1">
      <c r="C5" s="947"/>
      <c r="D5" s="947"/>
      <c r="E5" s="947"/>
      <c r="F5" s="947"/>
      <c r="G5" s="947"/>
      <c r="H5" s="947"/>
      <c r="I5" s="947"/>
      <c r="J5" s="947"/>
      <c r="K5" s="947"/>
      <c r="L5" s="947"/>
    </row>
    <row r="6" spans="1:12" s="51" customFormat="1" ht="13.8">
      <c r="B6" s="982" t="s">
        <v>1243</v>
      </c>
      <c r="C6" s="982"/>
      <c r="D6" s="983" t="s">
        <v>1244</v>
      </c>
      <c r="E6" s="983"/>
      <c r="F6" s="983"/>
      <c r="G6" s="983"/>
      <c r="H6" s="983" t="s">
        <v>1245</v>
      </c>
      <c r="I6" s="983"/>
      <c r="J6" s="983"/>
      <c r="K6" s="983"/>
      <c r="L6" s="983"/>
    </row>
    <row r="7" spans="1:12" s="51" customFormat="1" ht="13.8">
      <c r="B7" s="982" t="s">
        <v>1246</v>
      </c>
      <c r="C7" s="982"/>
      <c r="D7" s="984" t="s">
        <v>1247</v>
      </c>
      <c r="E7" s="983"/>
      <c r="F7" s="983"/>
      <c r="G7" s="983"/>
      <c r="H7" s="985" t="s">
        <v>1248</v>
      </c>
      <c r="I7" s="985"/>
      <c r="J7" s="985"/>
      <c r="K7" s="985"/>
      <c r="L7" s="985"/>
    </row>
    <row r="8" spans="1:12" s="51" customFormat="1" ht="13.8">
      <c r="B8" s="982" t="s">
        <v>1249</v>
      </c>
      <c r="C8" s="982"/>
      <c r="D8" s="984" t="s">
        <v>1250</v>
      </c>
      <c r="E8" s="983"/>
      <c r="F8" s="983"/>
      <c r="G8" s="983"/>
      <c r="H8" s="985" t="s">
        <v>1251</v>
      </c>
      <c r="I8" s="985"/>
      <c r="J8" s="985"/>
      <c r="K8" s="985"/>
      <c r="L8" s="985"/>
    </row>
    <row r="9" spans="1:12" s="51" customFormat="1" ht="14.25" customHeight="1">
      <c r="B9" s="982" t="s">
        <v>1252</v>
      </c>
      <c r="C9" s="982"/>
      <c r="D9" s="984" t="s">
        <v>1253</v>
      </c>
      <c r="E9" s="983"/>
      <c r="F9" s="983"/>
      <c r="G9" s="983"/>
      <c r="H9" s="985" t="s">
        <v>1254</v>
      </c>
      <c r="I9" s="985"/>
      <c r="J9" s="985"/>
      <c r="K9" s="985"/>
      <c r="L9" s="985"/>
    </row>
    <row r="10" spans="1:12" ht="12.75" customHeight="1">
      <c r="B10" s="13"/>
      <c r="C10" s="13"/>
      <c r="D10" s="13"/>
    </row>
    <row r="11" spans="1:12" s="18" customFormat="1" ht="22.5" customHeight="1">
      <c r="A11" s="979" t="s">
        <v>276</v>
      </c>
      <c r="B11" s="979"/>
      <c r="C11" s="979"/>
      <c r="D11" s="979"/>
      <c r="E11" s="979"/>
      <c r="F11" s="979"/>
      <c r="G11" s="979"/>
      <c r="H11" s="979"/>
      <c r="I11" s="979"/>
      <c r="J11" s="979"/>
      <c r="K11" s="979"/>
      <c r="L11" s="979"/>
    </row>
    <row r="12" spans="1:12" ht="15.75" customHeight="1">
      <c r="A12" s="99" t="s">
        <v>192</v>
      </c>
      <c r="B12" s="48" t="s">
        <v>193</v>
      </c>
      <c r="C12" s="48"/>
      <c r="D12" s="48"/>
      <c r="F12" s="99" t="s">
        <v>192</v>
      </c>
      <c r="G12" s="48" t="s">
        <v>196</v>
      </c>
      <c r="H12" s="48"/>
      <c r="I12" s="48"/>
      <c r="J12" s="48"/>
      <c r="K12" s="48"/>
    </row>
    <row r="13" spans="1:12" ht="15.75" customHeight="1">
      <c r="A13" s="99" t="s">
        <v>192</v>
      </c>
      <c r="B13" s="48" t="s">
        <v>194</v>
      </c>
      <c r="C13" s="48"/>
      <c r="D13" s="48"/>
      <c r="F13" s="99" t="s">
        <v>192</v>
      </c>
      <c r="G13" s="48" t="s">
        <v>254</v>
      </c>
    </row>
    <row r="14" spans="1:12" ht="15.75" customHeight="1">
      <c r="A14" s="99" t="s">
        <v>192</v>
      </c>
      <c r="B14" s="48" t="s">
        <v>195</v>
      </c>
      <c r="C14" s="48"/>
      <c r="D14" s="48"/>
    </row>
    <row r="15" spans="1:12" ht="15.75" customHeight="1">
      <c r="B15" s="99" t="s">
        <v>192</v>
      </c>
      <c r="C15" s="48" t="s">
        <v>585</v>
      </c>
      <c r="F15" s="99"/>
      <c r="G15" s="48"/>
    </row>
    <row r="16" spans="1:12" s="18" customFormat="1" ht="24" customHeight="1">
      <c r="A16" s="979" t="s">
        <v>277</v>
      </c>
      <c r="B16" s="979"/>
      <c r="C16" s="979"/>
      <c r="D16" s="979"/>
      <c r="E16" s="979"/>
      <c r="F16" s="979"/>
      <c r="G16" s="979"/>
      <c r="H16" s="979"/>
      <c r="I16" s="979"/>
      <c r="J16" s="979"/>
      <c r="K16" s="979"/>
      <c r="L16" s="979"/>
    </row>
    <row r="17" spans="1:12" ht="15.6">
      <c r="A17" s="99" t="s">
        <v>192</v>
      </c>
      <c r="B17" s="48" t="s">
        <v>189</v>
      </c>
      <c r="F17" s="99" t="s">
        <v>192</v>
      </c>
      <c r="G17" s="48" t="s">
        <v>55</v>
      </c>
    </row>
    <row r="18" spans="1:12" ht="15.6">
      <c r="A18" s="99" t="s">
        <v>192</v>
      </c>
      <c r="B18" s="48" t="s">
        <v>188</v>
      </c>
      <c r="C18" s="48"/>
      <c r="D18" s="48"/>
      <c r="F18" s="99" t="s">
        <v>192</v>
      </c>
      <c r="G18" s="101" t="s">
        <v>197</v>
      </c>
    </row>
    <row r="19" spans="1:12" ht="24" customHeight="1">
      <c r="A19" s="979" t="s">
        <v>278</v>
      </c>
      <c r="B19" s="979"/>
      <c r="C19" s="979"/>
      <c r="D19" s="979"/>
      <c r="E19" s="979"/>
      <c r="F19" s="979"/>
      <c r="G19" s="979"/>
      <c r="H19" s="979"/>
      <c r="I19" s="979"/>
      <c r="J19" s="979"/>
      <c r="K19" s="979"/>
      <c r="L19" s="979"/>
    </row>
    <row r="20" spans="1:12" ht="15.6">
      <c r="A20" s="99" t="s">
        <v>192</v>
      </c>
      <c r="B20" s="48" t="s">
        <v>190</v>
      </c>
      <c r="F20" s="99" t="s">
        <v>192</v>
      </c>
      <c r="G20" s="100" t="s">
        <v>191</v>
      </c>
    </row>
    <row r="21" spans="1:12" ht="15.6">
      <c r="A21" s="99" t="s">
        <v>192</v>
      </c>
      <c r="B21" s="48" t="s">
        <v>785</v>
      </c>
      <c r="F21" s="99" t="s">
        <v>192</v>
      </c>
      <c r="G21" s="48" t="s">
        <v>786</v>
      </c>
    </row>
    <row r="22" spans="1:12" s="18" customFormat="1" ht="21.75" customHeight="1">
      <c r="A22" s="980" t="s">
        <v>279</v>
      </c>
      <c r="B22" s="980"/>
      <c r="C22" s="980"/>
      <c r="D22" s="980"/>
      <c r="E22" s="980"/>
      <c r="F22" s="980"/>
      <c r="G22" s="980"/>
      <c r="H22" s="980"/>
      <c r="I22" s="980"/>
      <c r="J22" s="980"/>
      <c r="K22" s="980"/>
      <c r="L22" s="980"/>
    </row>
    <row r="23" spans="1:12" ht="15.6">
      <c r="A23" s="99" t="s">
        <v>192</v>
      </c>
      <c r="B23" s="48" t="s">
        <v>1215</v>
      </c>
      <c r="C23" s="48"/>
      <c r="D23" s="48"/>
      <c r="F23" s="99" t="s">
        <v>192</v>
      </c>
      <c r="G23" s="48" t="s">
        <v>1217</v>
      </c>
      <c r="H23" s="48"/>
      <c r="I23" s="48"/>
      <c r="J23" s="49"/>
      <c r="K23" s="49"/>
    </row>
    <row r="24" spans="1:12" ht="15.6">
      <c r="A24" s="99" t="s">
        <v>192</v>
      </c>
      <c r="B24" s="48" t="s">
        <v>1216</v>
      </c>
      <c r="C24" s="48"/>
      <c r="D24" s="48"/>
      <c r="F24" s="99" t="s">
        <v>192</v>
      </c>
      <c r="G24" s="48" t="s">
        <v>1218</v>
      </c>
      <c r="H24" s="48"/>
      <c r="I24" s="48"/>
      <c r="J24" s="49"/>
      <c r="K24" s="49"/>
    </row>
    <row r="25" spans="1:12" ht="15.6">
      <c r="A25" s="99" t="s">
        <v>192</v>
      </c>
      <c r="B25" s="48" t="s">
        <v>25</v>
      </c>
      <c r="C25" s="48"/>
      <c r="D25" s="48"/>
      <c r="F25" s="99" t="s">
        <v>192</v>
      </c>
      <c r="G25" s="100" t="s">
        <v>27</v>
      </c>
      <c r="H25"/>
      <c r="I25"/>
      <c r="J25"/>
      <c r="K25" s="48"/>
    </row>
    <row r="26" spans="1:12" ht="15.6">
      <c r="A26" s="99" t="s">
        <v>192</v>
      </c>
      <c r="B26" s="48" t="s">
        <v>26</v>
      </c>
      <c r="C26" s="48"/>
      <c r="D26" s="48"/>
      <c r="F26" s="99" t="s">
        <v>192</v>
      </c>
      <c r="G26" s="100" t="s">
        <v>28</v>
      </c>
      <c r="H26"/>
      <c r="I26"/>
      <c r="J26"/>
      <c r="K26" s="48"/>
    </row>
    <row r="27" spans="1:12" ht="15.6">
      <c r="A27" s="99" t="s">
        <v>192</v>
      </c>
      <c r="B27" s="48" t="s">
        <v>1219</v>
      </c>
      <c r="C27" s="48"/>
      <c r="D27" s="48"/>
      <c r="F27" s="99" t="s">
        <v>192</v>
      </c>
      <c r="G27" s="100" t="s">
        <v>1220</v>
      </c>
      <c r="H27"/>
      <c r="I27"/>
      <c r="J27"/>
      <c r="K27" s="48"/>
    </row>
    <row r="28" spans="1:12" ht="15.6">
      <c r="A28" s="99" t="s">
        <v>192</v>
      </c>
      <c r="B28" s="50" t="s">
        <v>274</v>
      </c>
    </row>
    <row r="29" spans="1:12" s="18" customFormat="1" ht="19.5" customHeight="1">
      <c r="A29" s="980" t="s">
        <v>280</v>
      </c>
      <c r="B29" s="980"/>
      <c r="C29" s="980"/>
      <c r="D29" s="980"/>
      <c r="E29" s="980"/>
      <c r="F29" s="980"/>
      <c r="G29" s="980"/>
      <c r="H29" s="980"/>
      <c r="I29" s="980"/>
      <c r="J29" s="980"/>
      <c r="K29" s="980"/>
      <c r="L29" s="980"/>
    </row>
    <row r="30" spans="1:12" s="18" customFormat="1" ht="15.6">
      <c r="A30" s="99" t="s">
        <v>192</v>
      </c>
      <c r="B30" s="50" t="s">
        <v>322</v>
      </c>
      <c r="D30" s="63"/>
      <c r="F30" s="99" t="s">
        <v>192</v>
      </c>
      <c r="G30" s="48" t="s">
        <v>479</v>
      </c>
      <c r="K30" s="99"/>
      <c r="L30" s="48"/>
    </row>
    <row r="31" spans="1:12" ht="15.6">
      <c r="A31" s="99" t="s">
        <v>192</v>
      </c>
      <c r="B31" s="48" t="s">
        <v>187</v>
      </c>
      <c r="F31" s="99" t="s">
        <v>192</v>
      </c>
      <c r="G31" s="48" t="s">
        <v>756</v>
      </c>
      <c r="J31" s="48"/>
      <c r="K31" s="48"/>
    </row>
    <row r="32" spans="1:12" ht="15.6">
      <c r="A32" s="99" t="s">
        <v>192</v>
      </c>
      <c r="B32" s="48" t="s">
        <v>1238</v>
      </c>
      <c r="F32" s="99" t="s">
        <v>192</v>
      </c>
      <c r="G32" s="743" t="s">
        <v>1073</v>
      </c>
    </row>
    <row r="33" spans="1:12" ht="15.6">
      <c r="A33" s="99" t="s">
        <v>192</v>
      </c>
      <c r="B33" s="48" t="s">
        <v>1120</v>
      </c>
      <c r="F33" s="99" t="s">
        <v>192</v>
      </c>
      <c r="G33" s="743" t="s">
        <v>1074</v>
      </c>
    </row>
    <row r="34" spans="1:12" ht="15.6">
      <c r="A34" s="99" t="s">
        <v>192</v>
      </c>
      <c r="B34" s="48" t="s">
        <v>1121</v>
      </c>
    </row>
    <row r="35" spans="1:12" ht="15.6">
      <c r="A35" s="99"/>
      <c r="B35" s="48"/>
    </row>
    <row r="36" spans="1:12" s="18" customFormat="1" ht="18" customHeight="1">
      <c r="A36" s="980" t="s">
        <v>281</v>
      </c>
      <c r="B36" s="980"/>
      <c r="C36" s="980"/>
      <c r="D36" s="980"/>
      <c r="E36" s="980"/>
      <c r="F36" s="980"/>
      <c r="G36" s="980"/>
      <c r="H36" s="980"/>
      <c r="I36" s="980"/>
      <c r="J36" s="980"/>
      <c r="K36" s="980"/>
      <c r="L36" s="980"/>
    </row>
    <row r="37" spans="1:12" s="18" customFormat="1" ht="13.5" customHeight="1">
      <c r="A37" s="99" t="s">
        <v>192</v>
      </c>
      <c r="B37" s="48" t="s">
        <v>1032</v>
      </c>
      <c r="C37" s="1"/>
      <c r="D37" s="63"/>
      <c r="E37" s="63"/>
      <c r="F37" s="99" t="s">
        <v>192</v>
      </c>
      <c r="G37" s="50" t="s">
        <v>347</v>
      </c>
      <c r="H37" s="1"/>
      <c r="I37" s="63"/>
      <c r="J37" s="63"/>
      <c r="K37" s="63"/>
      <c r="L37" s="63"/>
    </row>
    <row r="38" spans="1:12" ht="15.6">
      <c r="A38" s="99" t="s">
        <v>192</v>
      </c>
      <c r="B38" s="50" t="s">
        <v>23</v>
      </c>
      <c r="C38" s="50"/>
      <c r="D38" s="50"/>
      <c r="F38" s="99" t="s">
        <v>192</v>
      </c>
      <c r="G38" s="50" t="s">
        <v>317</v>
      </c>
    </row>
    <row r="39" spans="1:12" ht="15.6">
      <c r="A39" s="99" t="s">
        <v>192</v>
      </c>
      <c r="B39" s="50" t="s">
        <v>413</v>
      </c>
      <c r="C39" s="50"/>
      <c r="D39" s="50"/>
      <c r="F39" s="99" t="s">
        <v>192</v>
      </c>
      <c r="G39" s="48" t="s">
        <v>253</v>
      </c>
    </row>
    <row r="40" spans="1:12" ht="15.6">
      <c r="A40" s="99" t="s">
        <v>192</v>
      </c>
      <c r="B40" s="50" t="s">
        <v>346</v>
      </c>
      <c r="F40" s="99"/>
      <c r="G40" s="50"/>
    </row>
    <row r="41" spans="1:12" ht="15.6">
      <c r="A41" s="99" t="s">
        <v>192</v>
      </c>
      <c r="B41" s="50" t="s">
        <v>412</v>
      </c>
    </row>
    <row r="42" spans="1:12" ht="15.75" customHeight="1"/>
    <row r="43" spans="1:12" ht="15.75" customHeight="1">
      <c r="A43" s="980" t="s">
        <v>282</v>
      </c>
      <c r="B43" s="980"/>
      <c r="C43" s="980"/>
      <c r="D43" s="980"/>
      <c r="E43" s="980"/>
      <c r="F43" s="980"/>
      <c r="G43" s="980"/>
      <c r="H43" s="980"/>
      <c r="I43" s="980"/>
      <c r="J43" s="980"/>
      <c r="K43" s="980"/>
      <c r="L43" s="980"/>
    </row>
    <row r="44" spans="1:12" ht="15.75" customHeight="1">
      <c r="A44" s="99" t="s">
        <v>192</v>
      </c>
      <c r="B44" s="50" t="s">
        <v>310</v>
      </c>
      <c r="F44" s="99" t="s">
        <v>192</v>
      </c>
      <c r="G44" s="50" t="s">
        <v>1124</v>
      </c>
    </row>
    <row r="45" spans="1:12" ht="15.75" customHeight="1">
      <c r="A45" s="99" t="s">
        <v>192</v>
      </c>
      <c r="B45" s="50" t="s">
        <v>330</v>
      </c>
      <c r="F45" s="99" t="s">
        <v>192</v>
      </c>
      <c r="G45" s="50" t="s">
        <v>1123</v>
      </c>
    </row>
    <row r="46" spans="1:12" ht="15.75" customHeight="1">
      <c r="A46" s="99" t="s">
        <v>192</v>
      </c>
      <c r="B46" s="50" t="s">
        <v>331</v>
      </c>
      <c r="F46" s="99" t="s">
        <v>192</v>
      </c>
      <c r="G46" s="48" t="s">
        <v>120</v>
      </c>
    </row>
    <row r="47" spans="1:12" ht="15.75" customHeight="1">
      <c r="A47" s="99" t="s">
        <v>192</v>
      </c>
      <c r="B47" s="50" t="s">
        <v>787</v>
      </c>
    </row>
    <row r="48" spans="1:12" ht="15.75" customHeight="1">
      <c r="F48" s="99"/>
      <c r="G48" s="48"/>
    </row>
    <row r="49" spans="1:12" ht="15.75" customHeight="1">
      <c r="A49" s="980" t="s">
        <v>283</v>
      </c>
      <c r="B49" s="980"/>
      <c r="C49" s="980"/>
      <c r="D49" s="980"/>
      <c r="E49" s="980"/>
      <c r="F49" s="980"/>
      <c r="G49" s="980"/>
      <c r="H49" s="980"/>
      <c r="I49" s="980"/>
      <c r="J49" s="980"/>
      <c r="K49" s="980"/>
      <c r="L49" s="980"/>
    </row>
    <row r="50" spans="1:12" ht="15.75" customHeight="1">
      <c r="A50" s="99" t="s">
        <v>192</v>
      </c>
      <c r="B50" s="100" t="s">
        <v>574</v>
      </c>
      <c r="D50" s="85"/>
      <c r="F50" s="99" t="s">
        <v>192</v>
      </c>
      <c r="G50" s="50" t="s">
        <v>198</v>
      </c>
    </row>
    <row r="51" spans="1:12" ht="15.6">
      <c r="A51" s="99" t="s">
        <v>192</v>
      </c>
      <c r="B51" s="50" t="s">
        <v>275</v>
      </c>
      <c r="C51" s="99"/>
      <c r="D51" s="50"/>
      <c r="E51" s="99"/>
      <c r="F51" s="99" t="s">
        <v>192</v>
      </c>
      <c r="G51" s="50" t="s">
        <v>1031</v>
      </c>
    </row>
    <row r="52" spans="1:12" ht="15.6">
      <c r="A52" s="99"/>
      <c r="B52" s="100"/>
      <c r="E52" s="228"/>
      <c r="F52" s="99"/>
      <c r="G52" s="50"/>
      <c r="H52" s="99"/>
      <c r="I52" s="50"/>
      <c r="J52" s="99"/>
      <c r="K52" s="99"/>
      <c r="L52" s="50"/>
    </row>
    <row r="53" spans="1:12" ht="17.25" customHeight="1">
      <c r="A53" s="979" t="s">
        <v>775</v>
      </c>
      <c r="B53" s="979"/>
      <c r="C53" s="979"/>
      <c r="D53" s="979"/>
      <c r="E53" s="979"/>
      <c r="F53" s="979"/>
      <c r="G53" s="979"/>
      <c r="H53" s="979"/>
      <c r="I53" s="979"/>
      <c r="J53" s="979"/>
      <c r="K53" s="979"/>
      <c r="L53" s="979"/>
    </row>
    <row r="54" spans="1:12" ht="16.5" customHeight="1">
      <c r="A54" s="99" t="s">
        <v>192</v>
      </c>
      <c r="B54" s="48" t="s">
        <v>956</v>
      </c>
      <c r="C54" s="616"/>
      <c r="D54" s="616"/>
      <c r="E54" s="616"/>
      <c r="F54" s="616"/>
      <c r="G54" s="616"/>
      <c r="L54" s="175"/>
    </row>
    <row r="55" spans="1:12" ht="16.5" customHeight="1">
      <c r="A55" s="980" t="s">
        <v>776</v>
      </c>
      <c r="B55" s="980"/>
      <c r="C55" s="980"/>
      <c r="D55" s="980"/>
      <c r="E55" s="980"/>
      <c r="F55" s="980"/>
      <c r="G55" s="980"/>
      <c r="H55" s="980"/>
      <c r="I55" s="980"/>
      <c r="J55" s="980"/>
      <c r="K55" s="980"/>
      <c r="L55" s="980"/>
    </row>
    <row r="56" spans="1:12" ht="16.5" customHeight="1">
      <c r="A56" s="99" t="s">
        <v>192</v>
      </c>
      <c r="B56" s="48" t="s">
        <v>273</v>
      </c>
      <c r="D56" s="99" t="s">
        <v>192</v>
      </c>
      <c r="E56" s="48" t="s">
        <v>539</v>
      </c>
      <c r="F56" s="48"/>
      <c r="H56" s="99" t="s">
        <v>192</v>
      </c>
      <c r="I56" s="48" t="s">
        <v>543</v>
      </c>
    </row>
    <row r="57" spans="1:12" ht="12.75" customHeight="1">
      <c r="A57" s="979" t="s">
        <v>777</v>
      </c>
      <c r="B57" s="979"/>
      <c r="C57" s="979"/>
      <c r="D57" s="979"/>
      <c r="E57" s="979"/>
      <c r="F57" s="979"/>
      <c r="G57" s="979"/>
      <c r="H57" s="979"/>
      <c r="I57" s="979"/>
      <c r="J57" s="979"/>
      <c r="K57" s="979"/>
      <c r="L57" s="979"/>
    </row>
    <row r="58" spans="1:12" ht="18" customHeight="1">
      <c r="A58" s="99"/>
      <c r="B58" s="48"/>
      <c r="E58" s="99" t="s">
        <v>192</v>
      </c>
      <c r="F58" s="48" t="s">
        <v>551</v>
      </c>
    </row>
    <row r="59" spans="1:12" ht="15.6">
      <c r="A59" s="99"/>
      <c r="B59" s="48"/>
      <c r="E59" s="99"/>
      <c r="F59" s="48"/>
    </row>
  </sheetData>
  <mergeCells count="26">
    <mergeCell ref="B9:C9"/>
    <mergeCell ref="D9:G9"/>
    <mergeCell ref="H9:L9"/>
    <mergeCell ref="B7:C7"/>
    <mergeCell ref="D7:G7"/>
    <mergeCell ref="H7:L7"/>
    <mergeCell ref="B8:C8"/>
    <mergeCell ref="D8:G8"/>
    <mergeCell ref="H8:L8"/>
    <mergeCell ref="C2:L2"/>
    <mergeCell ref="B3:L3"/>
    <mergeCell ref="C4:L4"/>
    <mergeCell ref="B6:C6"/>
    <mergeCell ref="D6:G6"/>
    <mergeCell ref="H6:L6"/>
    <mergeCell ref="A36:L36"/>
    <mergeCell ref="A16:L16"/>
    <mergeCell ref="A11:L11"/>
    <mergeCell ref="A19:L19"/>
    <mergeCell ref="A22:L22"/>
    <mergeCell ref="A29:L29"/>
    <mergeCell ref="A53:L53"/>
    <mergeCell ref="A43:L43"/>
    <mergeCell ref="A49:L49"/>
    <mergeCell ref="A57:L57"/>
    <mergeCell ref="A55:L55"/>
  </mergeCells>
  <phoneticPr fontId="7" type="noConversion"/>
  <hyperlinks>
    <hyperlink ref="B12" location="Вертикальные!R1C1" display="ТКАНЕВЫЕ*" xr:uid="{C800596E-BF81-4887-9371-698B558D136C}"/>
    <hyperlink ref="B13" location="Вертикальные!R30C1" display="ПЛАСТИКОВЫЕ 89 мм" xr:uid="{3574AA19-F7EB-4371-B286-95C25000799D}"/>
    <hyperlink ref="B17:B18" location="'Горизонтальные '!R1C1" display="АЛЮМИНЕВЫЕ 25 мм*" xr:uid="{D678E2D8-51E5-468A-88A2-923D0BE8B460}"/>
    <hyperlink ref="B23:B25" location="'Изолайт, исотра 25 мм'!R1C1" display="ISOLITE * 25мм" xr:uid="{3FFED8D9-B713-4975-810B-D15081067009}"/>
    <hyperlink ref="B28" location="'V-LITE'!R1C1" display="V-LITE" xr:uid="{BE097B08-37E5-44EB-8696-93CF9B11FF5D}"/>
    <hyperlink ref="B31" location="'Рулонные СТАНДАРТ'!R1C1" display="РУЛОННЫЕ ШТОРЫ ТКАНЕВЫЕ* " xr:uid="{F192A4AB-A4B1-46BF-AB34-393C8D45244E}"/>
    <hyperlink ref="B33" location="'Рулонные Люкс(Премиум,Дабл)'!A1" display="ЛЮКС/ ЛЮКС Премиум/ Дабл ЛЮКС" xr:uid="{849DB2BB-FF35-4C77-813A-8875B862E81F}"/>
    <hyperlink ref="G20" location="'Дерево, бамбук 25 мм'!A1" display="БАМБУКОВЫЕ 25 мм" xr:uid="{CDCDC90E-61D1-4EF2-9CEB-D8FB4A7275C6}"/>
    <hyperlink ref="B18" location="'Горизонтальные алюминиевые '!R17C1" display="АЛЮМИНЕВЫЕ 16 мм" xr:uid="{560A9BF0-CBDD-4B6F-8B8C-F4F0EFEDD62C}"/>
    <hyperlink ref="B39" location="'Уни - 1'!R1C1" display="УНИ-1" xr:uid="{BD93D21B-7F2E-4702-8081-70AB423C64BD}"/>
    <hyperlink ref="B41" location="'Уни - 2'!R1C1" display="УНИ-2" xr:uid="{4EECF4CA-DD0C-4A4C-889E-08B0B587649A}"/>
    <hyperlink ref="B38" location="Мини!R1C1" display="СИСТЕМА МИНИ" xr:uid="{D5AC196C-F732-4B71-9527-77A362731D22}"/>
    <hyperlink ref="B27" location="'Исотра Хит 2 25мм ламинация'!Область_печати" display="ИСОТРА ХИТ 2  25мм ламинация" xr:uid="{B6FB682D-639E-4AE1-85FC-D26019D9B444}"/>
    <hyperlink ref="B17" location="'Горизонтальные алюминиевые '!R12C1" display="АЛЮМИНЕВЫЕ 25 мм*" xr:uid="{58AE8CAB-2903-4C6C-BDC1-08ABC4C59CE7}"/>
    <hyperlink ref="B20" location="'Дерево, бамбук 25 мм'!A1" display="ДЕРЕВЯННЫЕ 25 мм" xr:uid="{F2BEEAFE-6D66-4FC8-A62D-FB8A1374CDE8}"/>
    <hyperlink ref="B25" location="'Исотра 25мм'!Область_печати" display="ИСОТРА ХИТ 25мм" xr:uid="{1B8EE8EB-479C-4875-9B7F-7C9337FFC4F7}"/>
    <hyperlink ref="B46" location="'КОМБО В-52 Люкс'!R1C1" display="В-52 Люкс" xr:uid="{B5CD8B6D-82CB-415D-B48C-2BF15CBC2857}"/>
    <hyperlink ref="G50" location="'Комбо УНИ-2 (лам)'!R1C1" display="КОМБО УНИ-2 (ламинация) " xr:uid="{94E91EC8-F9B6-48A5-986F-222166539ECB}"/>
    <hyperlink ref="G18" location="'Готовые горизонтальные жалюзи'!R1C1" display="ГОТОВЫЕ ГОРИЗОНТАЛЬНЫЕ ЖАЛЮЗИ" xr:uid="{5288FFDD-30BE-4EA9-992F-2A00B27EAF5B}"/>
    <hyperlink ref="B54" location="'Римские шторы Компакт и XL '!A1" display="Римские шторы Компакт и XL" xr:uid="{446932E9-DA15-4400-ABDF-23BC4DCFA64C}"/>
    <hyperlink ref="G39" location="'Замена ткани рулонной'!R1C1" display="Замена рулонной ткани" xr:uid="{E665327D-736F-464C-B238-713572CB8C15}"/>
    <hyperlink ref="G13" location="'Замена ткани вертикальной'!R1C1" display="Замена материала" xr:uid="{5DEF9E7A-3F83-4515-9008-0AFEDE060AB6}"/>
    <hyperlink ref="G17" location="'Горизонтальные алюминиевые '!R20C1" display="АЛЮМИНИЙ 50 мм" xr:uid="{4CA1F8B8-E22C-4BC3-8571-3F589BBC6C91}"/>
    <hyperlink ref="E56" location="Образцы!R29C1" display="Нарезка фурнитуры" xr:uid="{A84D0D14-65AD-4233-9D32-FB72E6191056}"/>
    <hyperlink ref="B56" location="Образцы!R1C1" display="ОБРАЗЦЫ, КАТАЛОГИ, СТОЙКИ " xr:uid="{9887164C-0F5E-46F3-B7D4-05E43D481F48}"/>
    <hyperlink ref="I56" location="Образцы!R34C1" display="Печатная продукция" xr:uid="{31B5DCB3-D04A-4D9F-B98F-2F199F5A3267}"/>
    <hyperlink ref="G12:J12" location="Вертикальные!R1C1" display="МУЛЬТИФАКТУРНЫЕ 89 мм " xr:uid="{1447CF88-41A0-4FAC-B361-20352C5D5B78}"/>
    <hyperlink ref="G23:I23" location="'Изолайт, исотра 25 мм'!R1C1" display="ИЗОЛАЙТ  16мм " xr:uid="{FBEA8760-995A-49B1-A47B-552E372DD276}"/>
    <hyperlink ref="G38" location="'Р-ЛАЙТ'!R1C1" display="Р-ЛАЙТ" xr:uid="{FCA553E3-CCAE-429F-9F56-3DA101C6674F}"/>
    <hyperlink ref="B44" location="'Ткани КОМБО по категориям'!R1C1" display="Ткани КОМБО по категориям" xr:uid="{1E7CEE58-3EA8-42FD-9824-63152620D298}"/>
    <hyperlink ref="B30" location="'Ткани по категориям'!R1C1" display="Ткани рулонные по категориям" xr:uid="{5966D026-29F3-42D6-8614-F479EF3CA75D}"/>
    <hyperlink ref="B45" location="'КОМБО В-52 Стандарт'!R1C1" display="В-52 Стандарт" xr:uid="{E3459EE8-2760-4DBB-96CC-362309E6AA5B}"/>
    <hyperlink ref="B40" location="'Уни - 1 ламинация'!A1" display="УНИ-1 ламинация" xr:uid="{8D4D7A85-4A43-40C4-8215-CDC4505EF7BE}"/>
    <hyperlink ref="G37" location="'Уни - 2 ламинация'!A1" display="УНИ-2 ламинация" xr:uid="{E33B4AC4-B55C-44D2-8852-5083FFE2FDA3}"/>
    <hyperlink ref="G30" location="'Руло ГРАНД'!R1C1" display="ГРАНД" xr:uid="{443347D6-98AD-401F-8D39-CA7E9A689172}"/>
    <hyperlink ref="F58" location="'Огран. для электр. КОМБО'!R1C1" display="Электро комбо" xr:uid="{8E72B333-B602-4B59-8664-FD8D3F97B5E2}"/>
    <hyperlink ref="B14" location="Вертикальные!R37C1" display="АЛЮМИНИВЫЕ 89 мм" xr:uid="{31EA399C-A70C-40EE-93AD-F82020975342}"/>
    <hyperlink ref="G12" location="Вертикальные!R47C1" display="МУЛЬТИФАКТУРНЫЕ 89 мм " xr:uid="{3B15EF2A-59A4-410C-B889-AD1A12421547}"/>
    <hyperlink ref="B50" location="'Комбо Уни-1 (белый)'!R1C1" display="КОМБО УНИ-1 (белая фурнитура)" xr:uid="{A0C0286B-83AC-4BE3-B6ED-520AC1FBCC6F}"/>
    <hyperlink ref="C15" location="'Расчёт кол-ва ламелей'!A1" display="Расчет кол-ва ламелей для вертикальных жалюзи 89мм" xr:uid="{DAAB3C83-1104-4E2C-8C82-698336447F48}"/>
    <hyperlink ref="F31" location="'Рулонные ЛЮКС'!R1C1" display="РУЛОННЫЕ ШТОРЫ ТКАНЕВЫЕ ЛЮКС " xr:uid="{63FF002B-6598-4A53-BC90-BBE6D2ECD07A}"/>
    <hyperlink ref="G31" location="'Рулонные СПРИНГ'!A1" display="СПРИНГ" xr:uid="{72FEAEF1-709E-4D81-9B0B-FFCADE706CAC}"/>
    <hyperlink ref="B34" location="'Рулонные Классик(Премиум,Дабл)'!A1" display="КЛАССИК Премиум / Дабл Классик" xr:uid="{FE5AF2F5-AC97-4BF4-8FA9-D87EEAE668C2}"/>
    <hyperlink ref="G21" location="'Дерево, бамбук 50 мм АБСОЛЮТ'!A1" display="Абсолют БАМБУКОВЫЕ 50 мм" xr:uid="{2A730884-3BA0-4742-9425-35E0CFFD43F4}"/>
    <hyperlink ref="B21" location="'Дерево, бамбук 50 мм АБСОЛЮТ'!A1" display="Абсолют ДЕРЕВЯННЫЕ 50 мм" xr:uid="{FFEC8C78-DC50-4748-A263-A9F4F734981B}"/>
    <hyperlink ref="G51" location="'КОМБО Мини Нью'!A1" display="КОМБО МИНИ НЬЮ" xr:uid="{D1EBCAC8-F96F-4EC1-8185-52BFB176CC84}"/>
    <hyperlink ref="F32:F33" location="'Рулонные ЛЮКС'!R1C1" display="РУЛОННЫЕ ШТОРЫ ТКАНЕВЫЕ ЛЮКС " xr:uid="{C7537203-C860-4510-9858-F88B31085744}"/>
    <hyperlink ref="G32" location="'Рулонные КВАТРО Классик'!A1" display="'Алюминиевые АБСОЛЮТ 50 мм'!A1" xr:uid="{E6A1941A-491C-40AF-8886-C7D0061C8B99}"/>
    <hyperlink ref="G33" location="'Рулонные КВАТРО Люкс'!A1" display="'Рулонные КВАТРО Люкс'!A1" xr:uid="{5C1C9D6F-4B4A-4198-8830-8F7DE82AC8BB}"/>
    <hyperlink ref="B37" location="'Мини Нью'!A1" display="МИНИ НЬЮ" xr:uid="{6882966C-1B8D-43A5-9331-8C6CEE1B0CC2}"/>
    <hyperlink ref="B51" location="'Комбо УНИ-2 (белый)'!R1C1" display="КОМБО УНИ-2 (белая фур-ра)" xr:uid="{7649CCDD-C8EF-40F0-B62D-205C6FD59C05}"/>
    <hyperlink ref="G46" location="'Замена ткани КОМБО'!A1" display="Замена ткани КОМБО" xr:uid="{A4E0BB21-2399-4A9A-B49F-C3CDDA411D83}"/>
    <hyperlink ref="G45" location="'Комбо Кватро Люкс'!A1" display="Кватро Люкс" xr:uid="{7ACC5C85-DE90-455A-90B4-EE79248CAD90}"/>
    <hyperlink ref="B47" location="'КОМБО Классик'!A1" display="Классик" xr:uid="{46825ECB-9B3C-4BC2-935C-276EAADFA6B2}"/>
    <hyperlink ref="G44" location="'Комбо Кватро Классик'!A1" display="Кватро Классик" xr:uid="{9AA407BF-96F3-44EB-9B35-13DE9BCAEB48}"/>
    <hyperlink ref="B23" location="'Изолайт 25мм белая фурнитура '!Область_печати" display="ИЗОЛАЙТ 25мм" xr:uid="{7B16BAD1-FC3D-47EB-9E4F-46E3494D9FB2}"/>
    <hyperlink ref="B24" location="'Изолайт 25мм цветная фурнитура'!Область_печати" display="ИЗОЛАЙТ 25мм цветная фурнитура" xr:uid="{0AB3ED4F-976F-43D0-97C7-218A0E5A3BDA}"/>
    <hyperlink ref="G23" location="'Изолайт 16мм белая фурнитура'!Область_печати" display="ИЗОЛАЙТ  16мм белая фурнитура" xr:uid="{D8E52446-B326-41D5-AE0F-C06AF18D0E37}"/>
    <hyperlink ref="G24:I24" location="'Изолайт, исотра 25 мм'!R1C1" display="ИЗОЛАЙТ  16мм " xr:uid="{DD9981A3-2042-4F90-A85E-E716BCB3EFC5}"/>
    <hyperlink ref="G24" location="'Изолайт 16мм цветная фурнитура'!Область_печати" display="ИЗОЛАЙТ  16мм цветная фурнитура" xr:uid="{8DF3BAA7-8DA7-450F-A3EB-AE3FA9D77682}"/>
    <hyperlink ref="B26" location="'Исотра Хит 2 25мм'!Область_печати" display="ИСОТРА ХИТ 2  25мм" xr:uid="{EF9FD410-ECAB-42F6-BF02-45CB85D703F7}"/>
    <hyperlink ref="G26" location="'Исотра Хит 2 16мм '!Область_печати" display="ИСОТРА ХИТ 2 16мм" xr:uid="{AAA3AC49-39E8-4E4A-A6C7-4F554E6E5BFD}"/>
    <hyperlink ref="G27" location="'Исотра Хит 2 16мм ламинация'!Область_печати" display="ИСОТРА ХИТ 2 16мм ламинация" xr:uid="{ED2651FA-9E4D-4EEE-96E1-093954E7FED5}"/>
    <hyperlink ref="G25" location="'Исотра 16мм'!Область_печати" display="ИСОТРА ХИТ  16мм" xr:uid="{EA5140D9-A7D3-498E-B8CB-5F606CA796C7}"/>
    <hyperlink ref="B32" location="'Рулонные КОМФОРТ'!A1" display="КОМФОРТ" xr:uid="{2F651AB6-9DA8-4456-B107-F26C58795A09}"/>
    <hyperlink ref="D7" r:id="rId1" xr:uid="{79D27ED0-C231-423B-8B1B-C8BB2A95670B}"/>
    <hyperlink ref="D8" r:id="rId2" xr:uid="{D2869F50-9C62-4B1D-B860-77278AF08980}"/>
    <hyperlink ref="D9" r:id="rId3" xr:uid="{078362D2-F94D-435E-B131-DDB21C097AC7}"/>
  </hyperlinks>
  <pageMargins left="0.45" right="0" top="0.19685039370078741" bottom="0" header="0" footer="0"/>
  <pageSetup paperSize="9" scale="88" orientation="portrait" horizontalDpi="200" verticalDpi="200" r:id="rId4"/>
  <drawing r:id="rId5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6B0F1E-6E77-413E-B647-7B6129893B06}">
  <sheetPr>
    <tabColor rgb="FFFF0000"/>
  </sheetPr>
  <dimension ref="A1:IU115"/>
  <sheetViews>
    <sheetView view="pageBreakPreview" topLeftCell="A25" zoomScale="80" zoomScaleNormal="80" zoomScaleSheetLayoutView="80" workbookViewId="0">
      <selection activeCell="I46" sqref="I46"/>
    </sheetView>
  </sheetViews>
  <sheetFormatPr defaultColWidth="9.109375" defaultRowHeight="14.4"/>
  <cols>
    <col min="1" max="1" width="9.109375" style="880"/>
    <col min="2" max="3" width="5.44140625" style="880" bestFit="1" customWidth="1"/>
    <col min="4" max="4" width="6.6640625" style="880" customWidth="1"/>
    <col min="5" max="5" width="7" style="880" customWidth="1"/>
    <col min="6" max="7" width="6.5546875" style="880" customWidth="1"/>
    <col min="8" max="8" width="6.6640625" style="880" customWidth="1"/>
    <col min="9" max="10" width="6.109375" style="880" customWidth="1"/>
    <col min="11" max="11" width="6.6640625" style="880" customWidth="1"/>
    <col min="12" max="12" width="6.33203125" style="880" customWidth="1"/>
    <col min="13" max="13" width="6.109375" style="880" customWidth="1"/>
    <col min="14" max="14" width="6.5546875" style="880" customWidth="1"/>
    <col min="15" max="15" width="6.88671875" style="880" customWidth="1"/>
    <col min="16" max="17" width="6.44140625" style="880" bestFit="1" customWidth="1"/>
    <col min="18" max="18" width="7.88671875" style="880" customWidth="1"/>
    <col min="19" max="19" width="9" style="880" customWidth="1"/>
    <col min="20" max="20" width="7.5546875" style="880" customWidth="1"/>
    <col min="21" max="21" width="7.88671875" style="880" customWidth="1"/>
    <col min="22" max="22" width="8" style="880" customWidth="1"/>
    <col min="23" max="23" width="6.88671875" style="880" customWidth="1"/>
    <col min="24" max="46" width="9.109375" style="880" hidden="1" customWidth="1"/>
    <col min="47" max="16384" width="9.109375" style="880"/>
  </cols>
  <sheetData>
    <row r="1" spans="1:255" ht="15" customHeight="1">
      <c r="A1" s="1033" t="s">
        <v>1213</v>
      </c>
      <c r="B1" s="1033"/>
      <c r="C1" s="1033"/>
      <c r="D1" s="1033"/>
      <c r="E1" s="1033"/>
      <c r="F1" s="1033"/>
      <c r="G1" s="1033"/>
      <c r="H1" s="1033"/>
      <c r="I1" s="1033"/>
      <c r="J1" s="1033"/>
      <c r="K1" s="1033"/>
      <c r="L1" s="1033"/>
      <c r="M1" s="1033"/>
      <c r="N1" s="1033"/>
      <c r="O1" s="1033"/>
      <c r="P1" s="1033"/>
      <c r="Q1" s="1033"/>
      <c r="R1" s="1033"/>
      <c r="S1" s="1033"/>
      <c r="T1" s="1033"/>
      <c r="U1" s="1033"/>
      <c r="V1" s="1033"/>
      <c r="W1" s="1033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  <c r="AZ1" s="16"/>
      <c r="BA1" s="16"/>
      <c r="BB1" s="16"/>
      <c r="BC1" s="16"/>
      <c r="BD1" s="16"/>
      <c r="BE1" s="16"/>
      <c r="BF1" s="16"/>
      <c r="BG1" s="16"/>
      <c r="BH1" s="16"/>
      <c r="BI1" s="16"/>
      <c r="BJ1" s="16"/>
      <c r="BK1" s="16"/>
      <c r="BL1" s="16"/>
      <c r="BM1" s="16"/>
      <c r="BN1" s="16"/>
      <c r="BO1" s="16"/>
      <c r="BP1" s="16"/>
      <c r="BQ1" s="16"/>
      <c r="BR1" s="16"/>
      <c r="BS1" s="16"/>
      <c r="BT1" s="16"/>
      <c r="BU1" s="16"/>
      <c r="BV1" s="16"/>
      <c r="BW1" s="16"/>
      <c r="BX1" s="16"/>
      <c r="BY1" s="16"/>
      <c r="BZ1" s="16"/>
      <c r="CA1" s="16"/>
      <c r="CB1" s="16"/>
      <c r="CC1" s="16"/>
      <c r="CD1" s="16"/>
      <c r="CE1" s="16"/>
      <c r="CF1" s="16"/>
      <c r="CG1" s="16"/>
      <c r="CH1" s="16"/>
      <c r="CI1" s="16"/>
      <c r="CJ1" s="16"/>
      <c r="CK1" s="16"/>
      <c r="CL1" s="16"/>
      <c r="CM1" s="16"/>
      <c r="CN1" s="16"/>
      <c r="CO1" s="16"/>
      <c r="CP1" s="16"/>
      <c r="CQ1" s="16"/>
      <c r="CR1" s="16"/>
      <c r="CS1" s="16"/>
      <c r="CT1" s="16"/>
      <c r="CU1" s="16"/>
      <c r="CV1" s="16"/>
      <c r="CW1" s="16"/>
      <c r="CX1" s="16"/>
      <c r="CY1" s="16"/>
      <c r="CZ1" s="16"/>
      <c r="DA1" s="16"/>
      <c r="DB1" s="16"/>
      <c r="DC1" s="16"/>
      <c r="DD1" s="16"/>
      <c r="DE1" s="16"/>
      <c r="DF1" s="16"/>
      <c r="DG1" s="16"/>
      <c r="DH1" s="16"/>
      <c r="DI1" s="16"/>
      <c r="DJ1" s="16"/>
      <c r="DK1" s="16"/>
      <c r="DL1" s="16"/>
      <c r="DM1" s="16"/>
      <c r="DN1" s="16"/>
      <c r="DO1" s="16"/>
      <c r="DP1" s="16"/>
      <c r="DQ1" s="16"/>
      <c r="DR1" s="16"/>
      <c r="DS1" s="16"/>
      <c r="DT1" s="16"/>
      <c r="DU1" s="16"/>
      <c r="DV1" s="16"/>
      <c r="DW1" s="16"/>
      <c r="DX1" s="16"/>
      <c r="DY1" s="16"/>
      <c r="DZ1" s="16"/>
      <c r="EA1" s="16"/>
      <c r="EB1" s="16"/>
      <c r="EC1" s="16"/>
      <c r="ED1" s="16"/>
      <c r="EE1" s="16"/>
      <c r="EF1" s="16"/>
      <c r="EG1" s="16"/>
      <c r="EH1" s="16"/>
      <c r="EI1" s="16"/>
      <c r="EJ1" s="16"/>
      <c r="EK1" s="16"/>
      <c r="EL1" s="16"/>
      <c r="EM1" s="16"/>
      <c r="EN1" s="16"/>
      <c r="EO1" s="16"/>
      <c r="EP1" s="16"/>
      <c r="EQ1" s="16"/>
      <c r="ER1" s="16"/>
      <c r="ES1" s="16"/>
      <c r="ET1" s="16"/>
      <c r="EU1" s="16"/>
      <c r="EV1" s="16"/>
      <c r="EW1" s="16"/>
      <c r="EX1" s="16"/>
      <c r="EY1" s="16"/>
      <c r="EZ1" s="16"/>
      <c r="FA1" s="16"/>
      <c r="FB1" s="16"/>
      <c r="FC1" s="16"/>
      <c r="FD1" s="16"/>
      <c r="FE1" s="16"/>
      <c r="FF1" s="16"/>
      <c r="FG1" s="16"/>
      <c r="FH1" s="16"/>
      <c r="FI1" s="16"/>
      <c r="FJ1" s="16"/>
      <c r="FK1" s="16"/>
      <c r="FL1" s="16"/>
      <c r="FM1" s="16"/>
      <c r="FN1" s="16"/>
      <c r="FO1" s="16"/>
      <c r="FP1" s="16"/>
      <c r="FQ1" s="16"/>
      <c r="FR1" s="16"/>
      <c r="FS1" s="16"/>
      <c r="FT1" s="16"/>
      <c r="FU1" s="16"/>
      <c r="FV1" s="16"/>
      <c r="FW1" s="16"/>
      <c r="FX1" s="16"/>
      <c r="FY1" s="16"/>
      <c r="FZ1" s="16"/>
      <c r="GA1" s="16"/>
      <c r="GB1" s="16"/>
      <c r="GC1" s="16"/>
      <c r="GD1" s="16"/>
      <c r="GE1" s="16"/>
      <c r="GF1" s="16"/>
      <c r="GG1" s="16"/>
      <c r="GH1" s="16"/>
      <c r="GI1" s="16"/>
      <c r="GJ1" s="16"/>
      <c r="GK1" s="16"/>
      <c r="GL1" s="16"/>
      <c r="GM1" s="16"/>
      <c r="GN1" s="16"/>
      <c r="GO1" s="16"/>
      <c r="GP1" s="16"/>
      <c r="GQ1" s="16"/>
      <c r="GR1" s="16"/>
      <c r="GS1" s="16"/>
      <c r="GT1" s="16"/>
      <c r="GU1" s="16"/>
      <c r="GV1" s="16"/>
      <c r="GW1" s="16"/>
      <c r="GX1" s="16"/>
      <c r="GY1" s="16"/>
      <c r="GZ1" s="16"/>
      <c r="HA1" s="16"/>
      <c r="HB1" s="16"/>
      <c r="HC1" s="16"/>
      <c r="HD1" s="16"/>
      <c r="HE1" s="16"/>
      <c r="HF1" s="16"/>
      <c r="HG1" s="16"/>
      <c r="HH1" s="16"/>
      <c r="HI1" s="16"/>
      <c r="HJ1" s="16"/>
      <c r="HK1" s="16"/>
      <c r="HL1" s="16"/>
      <c r="HM1" s="16"/>
      <c r="HN1" s="16"/>
      <c r="HO1" s="16"/>
      <c r="HP1" s="16"/>
      <c r="HQ1" s="16"/>
      <c r="HR1" s="16"/>
      <c r="HS1" s="16"/>
      <c r="HT1" s="16"/>
      <c r="HU1" s="16"/>
      <c r="HV1" s="16"/>
      <c r="HW1" s="16"/>
      <c r="HX1" s="16"/>
      <c r="HY1" s="16"/>
      <c r="HZ1" s="16"/>
      <c r="IA1" s="16"/>
      <c r="IB1" s="16"/>
      <c r="IC1" s="16"/>
      <c r="ID1" s="16"/>
      <c r="IE1" s="16"/>
      <c r="IF1" s="16"/>
      <c r="IG1" s="16"/>
      <c r="IH1" s="16"/>
      <c r="II1" s="16"/>
      <c r="IJ1" s="16"/>
      <c r="IK1" s="16"/>
      <c r="IL1" s="16"/>
      <c r="IM1" s="16"/>
      <c r="IN1" s="16"/>
      <c r="IO1" s="16"/>
      <c r="IP1" s="16"/>
      <c r="IQ1" s="16"/>
      <c r="IR1" s="16"/>
      <c r="IS1" s="16"/>
      <c r="IT1" s="16"/>
      <c r="IU1" s="16"/>
    </row>
    <row r="2" spans="1:255" ht="15" customHeight="1">
      <c r="A2" s="1033"/>
      <c r="B2" s="1033"/>
      <c r="C2" s="1033"/>
      <c r="D2" s="1033"/>
      <c r="E2" s="1033"/>
      <c r="F2" s="1033"/>
      <c r="G2" s="1033"/>
      <c r="H2" s="1033"/>
      <c r="I2" s="1033"/>
      <c r="J2" s="1033"/>
      <c r="K2" s="1033"/>
      <c r="L2" s="1033"/>
      <c r="M2" s="1033"/>
      <c r="N2" s="1033"/>
      <c r="O2" s="1033"/>
      <c r="P2" s="1033"/>
      <c r="Q2" s="1033"/>
      <c r="R2" s="1033"/>
      <c r="S2" s="1033"/>
      <c r="T2" s="1033"/>
      <c r="U2" s="1033"/>
      <c r="V2" s="1033"/>
      <c r="W2" s="1033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16"/>
      <c r="CS2" s="16"/>
      <c r="CT2" s="16"/>
      <c r="CU2" s="16"/>
      <c r="CV2" s="16"/>
      <c r="CW2" s="16"/>
      <c r="CX2" s="16"/>
      <c r="CY2" s="16"/>
      <c r="CZ2" s="16"/>
      <c r="DA2" s="16"/>
      <c r="DB2" s="16"/>
      <c r="DC2" s="16"/>
      <c r="DD2" s="16"/>
      <c r="DE2" s="16"/>
      <c r="DF2" s="16"/>
      <c r="DG2" s="16"/>
      <c r="DH2" s="16"/>
      <c r="DI2" s="16"/>
      <c r="DJ2" s="16"/>
      <c r="DK2" s="16"/>
      <c r="DL2" s="16"/>
      <c r="DM2" s="16"/>
      <c r="DN2" s="16"/>
      <c r="DO2" s="16"/>
      <c r="DP2" s="16"/>
      <c r="DQ2" s="16"/>
      <c r="DR2" s="16"/>
      <c r="DS2" s="16"/>
      <c r="DT2" s="16"/>
      <c r="DU2" s="16"/>
      <c r="DV2" s="16"/>
      <c r="DW2" s="16"/>
      <c r="DX2" s="16"/>
      <c r="DY2" s="16"/>
      <c r="DZ2" s="16"/>
      <c r="EA2" s="16"/>
      <c r="EB2" s="16"/>
      <c r="EC2" s="16"/>
      <c r="ED2" s="16"/>
      <c r="EE2" s="16"/>
      <c r="EF2" s="16"/>
      <c r="EG2" s="16"/>
      <c r="EH2" s="16"/>
      <c r="EI2" s="16"/>
      <c r="EJ2" s="16"/>
      <c r="EK2" s="16"/>
      <c r="EL2" s="16"/>
      <c r="EM2" s="16"/>
      <c r="EN2" s="16"/>
      <c r="EO2" s="16"/>
      <c r="EP2" s="16"/>
      <c r="EQ2" s="16"/>
      <c r="ER2" s="16"/>
      <c r="ES2" s="16"/>
      <c r="ET2" s="16"/>
      <c r="EU2" s="16"/>
      <c r="EV2" s="16"/>
      <c r="EW2" s="16"/>
      <c r="EX2" s="16"/>
      <c r="EY2" s="16"/>
      <c r="EZ2" s="16"/>
      <c r="FA2" s="16"/>
      <c r="FB2" s="16"/>
      <c r="FC2" s="16"/>
      <c r="FD2" s="16"/>
      <c r="FE2" s="16"/>
      <c r="FF2" s="16"/>
      <c r="FG2" s="16"/>
      <c r="FH2" s="16"/>
      <c r="FI2" s="16"/>
      <c r="FJ2" s="16"/>
      <c r="FK2" s="16"/>
      <c r="FL2" s="16"/>
      <c r="FM2" s="16"/>
      <c r="FN2" s="16"/>
      <c r="FO2" s="16"/>
      <c r="FP2" s="16"/>
      <c r="FQ2" s="16"/>
      <c r="FR2" s="16"/>
      <c r="FS2" s="16"/>
      <c r="FT2" s="16"/>
      <c r="FU2" s="16"/>
      <c r="FV2" s="16"/>
      <c r="FW2" s="16"/>
      <c r="FX2" s="16"/>
      <c r="FY2" s="16"/>
      <c r="FZ2" s="16"/>
      <c r="GA2" s="16"/>
      <c r="GB2" s="16"/>
      <c r="GC2" s="16"/>
      <c r="GD2" s="16"/>
      <c r="GE2" s="16"/>
      <c r="GF2" s="16"/>
      <c r="GG2" s="16"/>
      <c r="GH2" s="16"/>
      <c r="GI2" s="16"/>
      <c r="GJ2" s="16"/>
      <c r="GK2" s="16"/>
      <c r="GL2" s="16"/>
      <c r="GM2" s="16"/>
      <c r="GN2" s="16"/>
      <c r="GO2" s="16"/>
      <c r="GP2" s="16"/>
      <c r="GQ2" s="16"/>
      <c r="GR2" s="16"/>
      <c r="GS2" s="16"/>
      <c r="GT2" s="16"/>
      <c r="GU2" s="16"/>
      <c r="GV2" s="16"/>
      <c r="GW2" s="16"/>
      <c r="GX2" s="16"/>
      <c r="GY2" s="16"/>
      <c r="GZ2" s="16"/>
      <c r="HA2" s="16"/>
      <c r="HB2" s="16"/>
      <c r="HC2" s="16"/>
      <c r="HD2" s="16"/>
      <c r="HE2" s="16"/>
      <c r="HF2" s="16"/>
      <c r="HG2" s="16"/>
      <c r="HH2" s="16"/>
      <c r="HI2" s="16"/>
      <c r="HJ2" s="16"/>
      <c r="HK2" s="16"/>
      <c r="HL2" s="16"/>
      <c r="HM2" s="16"/>
      <c r="HN2" s="16"/>
      <c r="HO2" s="16"/>
      <c r="HP2" s="16"/>
      <c r="HQ2" s="16"/>
      <c r="HR2" s="16"/>
      <c r="HS2" s="16"/>
      <c r="HT2" s="16"/>
      <c r="HU2" s="16"/>
      <c r="HV2" s="16"/>
      <c r="HW2" s="16"/>
      <c r="HX2" s="16"/>
      <c r="HY2" s="16"/>
      <c r="HZ2" s="16"/>
      <c r="IA2" s="16"/>
      <c r="IB2" s="16"/>
      <c r="IC2" s="16"/>
      <c r="ID2" s="16"/>
      <c r="IE2" s="16"/>
      <c r="IF2" s="16"/>
      <c r="IG2" s="16"/>
      <c r="IH2" s="16"/>
      <c r="II2" s="16"/>
      <c r="IJ2" s="16"/>
      <c r="IK2" s="16"/>
      <c r="IL2" s="16"/>
      <c r="IM2" s="16"/>
      <c r="IN2" s="16"/>
      <c r="IO2" s="16"/>
      <c r="IP2" s="16"/>
      <c r="IQ2" s="16"/>
      <c r="IR2" s="16"/>
      <c r="IS2" s="16"/>
      <c r="IT2" s="16"/>
      <c r="IU2" s="16"/>
    </row>
    <row r="3" spans="1:255" ht="15" customHeight="1">
      <c r="A3" s="1033" t="s">
        <v>1212</v>
      </c>
      <c r="B3" s="1033"/>
      <c r="C3" s="1033"/>
      <c r="D3" s="1033"/>
      <c r="E3" s="1033"/>
      <c r="F3" s="1033"/>
      <c r="G3" s="1033"/>
      <c r="H3" s="1033"/>
      <c r="I3" s="1033"/>
      <c r="J3" s="1033"/>
      <c r="K3" s="1033"/>
      <c r="L3" s="1033"/>
      <c r="M3" s="1033"/>
      <c r="N3" s="1033"/>
      <c r="O3" s="1033"/>
      <c r="P3" s="1033"/>
      <c r="Q3" s="1033"/>
      <c r="R3" s="1033"/>
      <c r="S3" s="1033"/>
      <c r="T3" s="1033"/>
      <c r="U3" s="1033"/>
      <c r="V3" s="1033"/>
      <c r="W3" s="1033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/>
      <c r="BC3" s="16"/>
      <c r="BD3" s="16"/>
      <c r="BE3" s="16"/>
      <c r="BF3" s="16"/>
      <c r="BG3" s="16"/>
      <c r="BH3" s="16"/>
      <c r="BI3" s="16"/>
      <c r="BJ3" s="16"/>
      <c r="BK3" s="16"/>
      <c r="BL3" s="16"/>
      <c r="BM3" s="16"/>
      <c r="BN3" s="16"/>
      <c r="BO3" s="16"/>
      <c r="BP3" s="16"/>
      <c r="BQ3" s="16"/>
      <c r="BR3" s="16"/>
      <c r="BS3" s="16"/>
      <c r="BT3" s="16"/>
      <c r="BU3" s="16"/>
      <c r="BV3" s="16"/>
      <c r="BW3" s="16"/>
      <c r="BX3" s="16"/>
      <c r="BY3" s="16"/>
      <c r="BZ3" s="16"/>
      <c r="CA3" s="16"/>
      <c r="CB3" s="16"/>
      <c r="CC3" s="16"/>
      <c r="CD3" s="16"/>
      <c r="CE3" s="16"/>
      <c r="CF3" s="16"/>
      <c r="CG3" s="16"/>
      <c r="CH3" s="16"/>
      <c r="CI3" s="16"/>
      <c r="CJ3" s="16"/>
      <c r="CK3" s="16"/>
      <c r="CL3" s="16"/>
      <c r="CM3" s="16"/>
      <c r="CN3" s="16"/>
      <c r="CO3" s="16"/>
      <c r="CP3" s="16"/>
      <c r="CQ3" s="16"/>
      <c r="CR3" s="16"/>
      <c r="CS3" s="16"/>
      <c r="CT3" s="16"/>
      <c r="CU3" s="16"/>
      <c r="CV3" s="16"/>
      <c r="CW3" s="16"/>
      <c r="CX3" s="16"/>
      <c r="CY3" s="16"/>
      <c r="CZ3" s="16"/>
      <c r="DA3" s="16"/>
      <c r="DB3" s="16"/>
      <c r="DC3" s="16"/>
      <c r="DD3" s="16"/>
      <c r="DE3" s="16"/>
      <c r="DF3" s="16"/>
      <c r="DG3" s="16"/>
      <c r="DH3" s="16"/>
      <c r="DI3" s="16"/>
      <c r="DJ3" s="16"/>
      <c r="DK3" s="16"/>
      <c r="DL3" s="16"/>
      <c r="DM3" s="16"/>
      <c r="DN3" s="16"/>
      <c r="DO3" s="16"/>
      <c r="DP3" s="16"/>
      <c r="DQ3" s="16"/>
      <c r="DR3" s="16"/>
      <c r="DS3" s="16"/>
      <c r="DT3" s="16"/>
      <c r="DU3" s="16"/>
      <c r="DV3" s="16"/>
      <c r="DW3" s="16"/>
      <c r="DX3" s="16"/>
      <c r="DY3" s="16"/>
      <c r="DZ3" s="16"/>
      <c r="EA3" s="16"/>
      <c r="EB3" s="16"/>
      <c r="EC3" s="16"/>
      <c r="ED3" s="16"/>
      <c r="EE3" s="16"/>
      <c r="EF3" s="16"/>
      <c r="EG3" s="16"/>
      <c r="EH3" s="16"/>
      <c r="EI3" s="16"/>
      <c r="EJ3" s="16"/>
      <c r="EK3" s="16"/>
      <c r="EL3" s="16"/>
      <c r="EM3" s="16"/>
      <c r="EN3" s="16"/>
      <c r="EO3" s="16"/>
      <c r="EP3" s="16"/>
      <c r="EQ3" s="16"/>
      <c r="ER3" s="16"/>
      <c r="ES3" s="16"/>
      <c r="ET3" s="16"/>
      <c r="EU3" s="16"/>
      <c r="EV3" s="16"/>
      <c r="EW3" s="16"/>
      <c r="EX3" s="16"/>
      <c r="EY3" s="16"/>
      <c r="EZ3" s="16"/>
      <c r="FA3" s="16"/>
      <c r="FB3" s="16"/>
      <c r="FC3" s="16"/>
      <c r="FD3" s="16"/>
      <c r="FE3" s="16"/>
      <c r="FF3" s="16"/>
      <c r="FG3" s="16"/>
      <c r="FH3" s="16"/>
      <c r="FI3" s="16"/>
      <c r="FJ3" s="16"/>
      <c r="FK3" s="16"/>
      <c r="FL3" s="16"/>
      <c r="FM3" s="16"/>
      <c r="FN3" s="16"/>
      <c r="FO3" s="16"/>
      <c r="FP3" s="16"/>
      <c r="FQ3" s="16"/>
      <c r="FR3" s="16"/>
      <c r="FS3" s="16"/>
      <c r="FT3" s="16"/>
      <c r="FU3" s="16"/>
      <c r="FV3" s="16"/>
      <c r="FW3" s="16"/>
      <c r="FX3" s="16"/>
      <c r="FY3" s="16"/>
      <c r="FZ3" s="16"/>
      <c r="GA3" s="16"/>
      <c r="GB3" s="16"/>
      <c r="GC3" s="16"/>
      <c r="GD3" s="16"/>
      <c r="GE3" s="16"/>
      <c r="GF3" s="16"/>
      <c r="GG3" s="16"/>
      <c r="GH3" s="16"/>
      <c r="GI3" s="16"/>
      <c r="GJ3" s="16"/>
      <c r="GK3" s="16"/>
      <c r="GL3" s="16"/>
      <c r="GM3" s="16"/>
      <c r="GN3" s="16"/>
      <c r="GO3" s="16"/>
      <c r="GP3" s="16"/>
      <c r="GQ3" s="16"/>
      <c r="GR3" s="16"/>
      <c r="GS3" s="16"/>
      <c r="GT3" s="16"/>
      <c r="GU3" s="16"/>
      <c r="GV3" s="16"/>
      <c r="GW3" s="16"/>
      <c r="GX3" s="16"/>
      <c r="GY3" s="16"/>
      <c r="GZ3" s="16"/>
      <c r="HA3" s="16"/>
      <c r="HB3" s="16"/>
      <c r="HC3" s="16"/>
      <c r="HD3" s="16"/>
      <c r="HE3" s="16"/>
      <c r="HF3" s="16"/>
      <c r="HG3" s="16"/>
      <c r="HH3" s="16"/>
      <c r="HI3" s="16"/>
      <c r="HJ3" s="16"/>
      <c r="HK3" s="16"/>
      <c r="HL3" s="16"/>
      <c r="HM3" s="16"/>
      <c r="HN3" s="16"/>
      <c r="HO3" s="16"/>
      <c r="HP3" s="16"/>
      <c r="HQ3" s="16"/>
      <c r="HR3" s="16"/>
      <c r="HS3" s="16"/>
      <c r="HT3" s="16"/>
      <c r="HU3" s="16"/>
      <c r="HV3" s="16"/>
      <c r="HW3" s="16"/>
      <c r="HX3" s="16"/>
      <c r="HY3" s="16"/>
      <c r="HZ3" s="16"/>
      <c r="IA3" s="16"/>
      <c r="IB3" s="16"/>
      <c r="IC3" s="16"/>
      <c r="ID3" s="16"/>
      <c r="IE3" s="16"/>
      <c r="IF3" s="16"/>
      <c r="IG3" s="16"/>
      <c r="IH3" s="16"/>
      <c r="II3" s="16"/>
      <c r="IJ3" s="16"/>
      <c r="IK3" s="16"/>
      <c r="IL3" s="16"/>
      <c r="IM3" s="16"/>
      <c r="IN3" s="16"/>
      <c r="IO3" s="16"/>
      <c r="IP3" s="16"/>
      <c r="IQ3" s="16"/>
      <c r="IR3" s="16"/>
      <c r="IS3" s="16"/>
      <c r="IT3" s="16"/>
      <c r="IU3" s="16"/>
    </row>
    <row r="4" spans="1:255" ht="15" customHeight="1">
      <c r="A4" s="1033"/>
      <c r="B4" s="1033"/>
      <c r="C4" s="1033"/>
      <c r="D4" s="1033"/>
      <c r="E4" s="1033"/>
      <c r="F4" s="1033"/>
      <c r="G4" s="1033"/>
      <c r="H4" s="1033"/>
      <c r="I4" s="1033"/>
      <c r="J4" s="1033"/>
      <c r="K4" s="1033"/>
      <c r="L4" s="1033"/>
      <c r="M4" s="1033"/>
      <c r="N4" s="1033"/>
      <c r="O4" s="1033"/>
      <c r="P4" s="1033"/>
      <c r="Q4" s="1033"/>
      <c r="R4" s="1033"/>
      <c r="S4" s="1033"/>
      <c r="T4" s="1033"/>
      <c r="U4" s="1033"/>
      <c r="V4" s="1033"/>
      <c r="W4" s="1033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6"/>
      <c r="DB4" s="16"/>
      <c r="DC4" s="16"/>
      <c r="DD4" s="16"/>
      <c r="DE4" s="16"/>
      <c r="DF4" s="16"/>
      <c r="DG4" s="16"/>
      <c r="DH4" s="16"/>
      <c r="DI4" s="16"/>
      <c r="DJ4" s="16"/>
      <c r="DK4" s="16"/>
      <c r="DL4" s="16"/>
      <c r="DM4" s="16"/>
      <c r="DN4" s="16"/>
      <c r="DO4" s="16"/>
      <c r="DP4" s="16"/>
      <c r="DQ4" s="16"/>
      <c r="DR4" s="16"/>
      <c r="DS4" s="16"/>
      <c r="DT4" s="16"/>
      <c r="DU4" s="16"/>
      <c r="DV4" s="16"/>
      <c r="DW4" s="16"/>
      <c r="DX4" s="16"/>
      <c r="DY4" s="16"/>
      <c r="DZ4" s="16"/>
      <c r="EA4" s="16"/>
      <c r="EB4" s="16"/>
      <c r="EC4" s="16"/>
      <c r="ED4" s="16"/>
      <c r="EE4" s="16"/>
      <c r="EF4" s="16"/>
      <c r="EG4" s="16"/>
      <c r="EH4" s="16"/>
      <c r="EI4" s="16"/>
      <c r="EJ4" s="16"/>
      <c r="EK4" s="16"/>
      <c r="EL4" s="16"/>
      <c r="EM4" s="16"/>
      <c r="EN4" s="16"/>
      <c r="EO4" s="16"/>
      <c r="EP4" s="16"/>
      <c r="EQ4" s="16"/>
      <c r="ER4" s="16"/>
      <c r="ES4" s="16"/>
      <c r="ET4" s="16"/>
      <c r="EU4" s="16"/>
      <c r="EV4" s="16"/>
      <c r="EW4" s="16"/>
      <c r="EX4" s="16"/>
      <c r="EY4" s="16"/>
      <c r="EZ4" s="16"/>
      <c r="FA4" s="16"/>
      <c r="FB4" s="16"/>
      <c r="FC4" s="16"/>
      <c r="FD4" s="16"/>
      <c r="FE4" s="16"/>
      <c r="FF4" s="16"/>
      <c r="FG4" s="16"/>
      <c r="FH4" s="16"/>
      <c r="FI4" s="16"/>
      <c r="FJ4" s="16"/>
      <c r="FK4" s="16"/>
      <c r="FL4" s="16"/>
      <c r="FM4" s="16"/>
      <c r="FN4" s="16"/>
      <c r="FO4" s="16"/>
      <c r="FP4" s="16"/>
      <c r="FQ4" s="16"/>
      <c r="FR4" s="16"/>
      <c r="FS4" s="16"/>
      <c r="FT4" s="16"/>
      <c r="FU4" s="16"/>
      <c r="FV4" s="16"/>
      <c r="FW4" s="16"/>
      <c r="FX4" s="16"/>
      <c r="FY4" s="16"/>
      <c r="FZ4" s="16"/>
      <c r="GA4" s="16"/>
      <c r="GB4" s="16"/>
      <c r="GC4" s="16"/>
      <c r="GD4" s="16"/>
      <c r="GE4" s="16"/>
      <c r="GF4" s="16"/>
      <c r="GG4" s="16"/>
      <c r="GH4" s="16"/>
      <c r="GI4" s="16"/>
      <c r="GJ4" s="16"/>
      <c r="GK4" s="16"/>
      <c r="GL4" s="16"/>
      <c r="GM4" s="16"/>
      <c r="GN4" s="16"/>
      <c r="GO4" s="16"/>
      <c r="GP4" s="16"/>
      <c r="GQ4" s="16"/>
      <c r="GR4" s="16"/>
      <c r="GS4" s="16"/>
      <c r="GT4" s="16"/>
      <c r="GU4" s="16"/>
      <c r="GV4" s="16"/>
      <c r="GW4" s="16"/>
      <c r="GX4" s="16"/>
      <c r="GY4" s="16"/>
      <c r="GZ4" s="16"/>
      <c r="HA4" s="16"/>
      <c r="HB4" s="16"/>
      <c r="HC4" s="16"/>
      <c r="HD4" s="16"/>
      <c r="HE4" s="16"/>
      <c r="HF4" s="16"/>
      <c r="HG4" s="16"/>
      <c r="HH4" s="16"/>
      <c r="HI4" s="16"/>
      <c r="HJ4" s="16"/>
      <c r="HK4" s="16"/>
      <c r="HL4" s="16"/>
      <c r="HM4" s="16"/>
      <c r="HN4" s="16"/>
      <c r="HO4" s="16"/>
      <c r="HP4" s="16"/>
      <c r="HQ4" s="16"/>
      <c r="HR4" s="16"/>
      <c r="HS4" s="16"/>
      <c r="HT4" s="16"/>
      <c r="HU4" s="16"/>
      <c r="HV4" s="16"/>
      <c r="HW4" s="16"/>
      <c r="HX4" s="16"/>
      <c r="HY4" s="16"/>
      <c r="HZ4" s="16"/>
      <c r="IA4" s="16"/>
      <c r="IB4" s="16"/>
      <c r="IC4" s="16"/>
      <c r="ID4" s="16"/>
      <c r="IE4" s="16"/>
      <c r="IF4" s="16"/>
      <c r="IG4" s="16"/>
      <c r="IH4" s="16"/>
      <c r="II4" s="16"/>
      <c r="IJ4" s="16"/>
      <c r="IK4" s="16"/>
      <c r="IL4" s="16"/>
      <c r="IM4" s="16"/>
      <c r="IN4" s="16"/>
      <c r="IO4" s="16"/>
      <c r="IP4" s="16"/>
      <c r="IQ4" s="16"/>
      <c r="IR4" s="16"/>
      <c r="IS4" s="16"/>
      <c r="IT4" s="16"/>
      <c r="IU4" s="16"/>
    </row>
    <row r="5" spans="1:255" ht="16.2" thickBot="1">
      <c r="A5" s="1033" t="s">
        <v>1221</v>
      </c>
      <c r="B5" s="1033"/>
      <c r="C5" s="1033"/>
      <c r="D5" s="1033"/>
      <c r="E5" s="1033"/>
      <c r="F5" s="1033"/>
      <c r="G5" s="1033"/>
      <c r="H5" s="1033"/>
      <c r="I5" s="1033"/>
      <c r="J5" s="1033"/>
      <c r="K5" s="1033"/>
      <c r="L5" s="1033"/>
      <c r="M5" s="1033"/>
      <c r="N5" s="1033"/>
      <c r="O5" s="1033"/>
      <c r="P5" s="1033"/>
      <c r="Q5" s="1033"/>
      <c r="R5" s="1033"/>
      <c r="S5" s="1033"/>
      <c r="T5" s="1033"/>
      <c r="U5" s="1033"/>
      <c r="V5" s="1033"/>
      <c r="W5" s="1033"/>
    </row>
    <row r="6" spans="1:255" ht="35.25" customHeight="1" thickBot="1">
      <c r="A6" s="1413"/>
      <c r="B6" s="1414"/>
      <c r="C6" s="1415"/>
      <c r="D6" s="1419" t="s">
        <v>207</v>
      </c>
      <c r="E6" s="1420"/>
      <c r="F6" s="1420"/>
      <c r="G6" s="1420"/>
      <c r="H6" s="1420"/>
      <c r="I6" s="1420"/>
      <c r="J6" s="1420"/>
      <c r="K6" s="1420"/>
      <c r="L6" s="1420"/>
      <c r="M6" s="1420"/>
      <c r="N6" s="1420"/>
      <c r="O6" s="1420"/>
      <c r="P6" s="1420"/>
      <c r="Q6" s="1420"/>
      <c r="R6" s="1420"/>
      <c r="S6" s="1420"/>
      <c r="T6" s="1420"/>
      <c r="U6" s="1420"/>
      <c r="V6" s="1420"/>
      <c r="W6" s="1421"/>
      <c r="Y6" s="1278" t="s">
        <v>1196</v>
      </c>
      <c r="Z6" s="1278"/>
      <c r="AA6" s="1279" t="s">
        <v>356</v>
      </c>
      <c r="AB6" s="1279"/>
      <c r="AC6" s="1279"/>
      <c r="AD6" s="1279"/>
      <c r="AE6" s="1279"/>
      <c r="AF6" s="1279"/>
      <c r="AG6" s="1279"/>
      <c r="AH6" s="1279"/>
      <c r="AI6" s="1279"/>
      <c r="AJ6" s="1279"/>
      <c r="AK6" s="1279"/>
      <c r="AL6" s="1279"/>
      <c r="AM6" s="1279"/>
      <c r="AN6" s="1279"/>
      <c r="AO6" s="1279"/>
      <c r="AP6" s="1279"/>
      <c r="AQ6" s="1279"/>
      <c r="AR6" s="1279"/>
      <c r="AS6" s="1279"/>
      <c r="AT6" s="1279"/>
    </row>
    <row r="7" spans="1:255" ht="14.25" customHeight="1" thickBot="1">
      <c r="A7" s="1416"/>
      <c r="B7" s="1417"/>
      <c r="C7" s="1418"/>
      <c r="D7" s="883">
        <v>0.3</v>
      </c>
      <c r="E7" s="884">
        <v>0.4</v>
      </c>
      <c r="F7" s="884">
        <v>0.5</v>
      </c>
      <c r="G7" s="884">
        <v>0.6</v>
      </c>
      <c r="H7" s="884">
        <v>0.7</v>
      </c>
      <c r="I7" s="884">
        <v>0.8</v>
      </c>
      <c r="J7" s="884">
        <v>0.9</v>
      </c>
      <c r="K7" s="884">
        <v>1</v>
      </c>
      <c r="L7" s="884">
        <v>1.1000000000000001</v>
      </c>
      <c r="M7" s="884">
        <v>1.2</v>
      </c>
      <c r="N7" s="884">
        <v>1.3</v>
      </c>
      <c r="O7" s="884">
        <v>1.4</v>
      </c>
      <c r="P7" s="884">
        <v>1.5</v>
      </c>
      <c r="Q7" s="884">
        <v>1.6</v>
      </c>
      <c r="R7" s="884">
        <v>1.7</v>
      </c>
      <c r="S7" s="884">
        <v>1.8</v>
      </c>
      <c r="T7" s="884">
        <v>1.9</v>
      </c>
      <c r="U7" s="884">
        <v>2</v>
      </c>
      <c r="V7" s="884">
        <v>2.1</v>
      </c>
      <c r="W7" s="885">
        <v>2.2000000000000002</v>
      </c>
      <c r="Y7" s="1278"/>
      <c r="Z7" s="1278"/>
      <c r="AA7" s="649">
        <v>0.3</v>
      </c>
      <c r="AB7" s="649">
        <v>0.4</v>
      </c>
      <c r="AC7" s="649">
        <v>0.5</v>
      </c>
      <c r="AD7" s="649">
        <v>0.6</v>
      </c>
      <c r="AE7" s="649">
        <v>0.7</v>
      </c>
      <c r="AF7" s="649">
        <v>0.8</v>
      </c>
      <c r="AG7" s="649">
        <v>0.9</v>
      </c>
      <c r="AH7" s="649">
        <v>1</v>
      </c>
      <c r="AI7" s="649">
        <v>1.1000000000000001</v>
      </c>
      <c r="AJ7" s="649">
        <v>1.2</v>
      </c>
      <c r="AK7" s="649">
        <v>1.3</v>
      </c>
      <c r="AL7" s="649">
        <v>1.4</v>
      </c>
      <c r="AM7" s="649">
        <v>1.5</v>
      </c>
      <c r="AN7" s="649">
        <v>1.6</v>
      </c>
      <c r="AO7" s="649">
        <v>1.7</v>
      </c>
      <c r="AP7" s="649">
        <v>1.8</v>
      </c>
      <c r="AQ7" s="649">
        <v>1.9</v>
      </c>
      <c r="AR7" s="649">
        <v>2</v>
      </c>
      <c r="AS7" s="649">
        <v>2.1</v>
      </c>
      <c r="AT7" s="649">
        <v>2.2000000000000002</v>
      </c>
    </row>
    <row r="8" spans="1:255" ht="20.25" customHeight="1">
      <c r="A8" s="1426" t="s">
        <v>3</v>
      </c>
      <c r="B8" s="1427"/>
      <c r="C8" s="886">
        <v>0.2</v>
      </c>
      <c r="D8" s="899">
        <f>(AA8*KFC!$B$16+KFC!$C$16)*KFC!$C$5</f>
        <v>14.363815749254998</v>
      </c>
      <c r="E8" s="900">
        <f>(AB8*KFC!$B$16+KFC!$C$16)*KFC!$C$5</f>
        <v>15.006475027233947</v>
      </c>
      <c r="F8" s="900">
        <f>(AC8*KFC!$B$16+KFC!$C$16)*KFC!$C$5</f>
        <v>15.649134305212895</v>
      </c>
      <c r="G8" s="900">
        <f>(AD8*KFC!$B$16+KFC!$C$16)*KFC!$C$5</f>
        <v>16.29179358319184</v>
      </c>
      <c r="H8" s="900">
        <f>(AE8*KFC!$B$16+KFC!$C$16)*KFC!$C$5</f>
        <v>16.93445286117079</v>
      </c>
      <c r="I8" s="900">
        <f>(AF8*KFC!$B$16+KFC!$C$16)*KFC!$C$5</f>
        <v>17.577112139149737</v>
      </c>
      <c r="J8" s="900">
        <f>(AG8*KFC!$B$16+KFC!$C$16)*KFC!$C$5</f>
        <v>18.219771417128683</v>
      </c>
      <c r="K8" s="900">
        <f>(AH8*KFC!$B$16+KFC!$C$16)*KFC!$C$5</f>
        <v>18.862430695107633</v>
      </c>
      <c r="L8" s="900">
        <f>(AI8*KFC!$B$16+KFC!$C$16)*KFC!$C$5</f>
        <v>19.505089973086577</v>
      </c>
      <c r="M8" s="900">
        <f>(AJ8*KFC!$B$16+KFC!$C$16)*KFC!$C$5</f>
        <v>20.147749251065527</v>
      </c>
      <c r="N8" s="900">
        <f>(AK8*KFC!$B$16+KFC!$C$16)*KFC!$C$5</f>
        <v>20.790408529044473</v>
      </c>
      <c r="O8" s="900">
        <f>(AL8*KFC!$B$16+KFC!$C$16)*KFC!$C$5</f>
        <v>21.43306780702342</v>
      </c>
      <c r="P8" s="900">
        <f>(AM8*KFC!$B$16+KFC!$C$16)*KFC!$C$5</f>
        <v>22.07572708500237</v>
      </c>
      <c r="Q8" s="900">
        <f>(AN8*KFC!$B$16+KFC!$C$16)*KFC!$C$5</f>
        <v>22.718386362981313</v>
      </c>
      <c r="R8" s="900">
        <f>(AO8*KFC!$B$16+KFC!$C$16)*KFC!$C$5</f>
        <v>23.361045640960256</v>
      </c>
      <c r="S8" s="900">
        <f>(AP8*KFC!$B$16+KFC!$C$16)*KFC!$C$5</f>
        <v>24.003704918939206</v>
      </c>
      <c r="T8" s="900">
        <f>(AQ8*KFC!$B$16+KFC!$C$16)*KFC!$C$5</f>
        <v>24.64636419691815</v>
      </c>
      <c r="U8" s="900">
        <f>(AR8*KFC!$B$16+KFC!$C$16)*KFC!$C$5</f>
        <v>25.289023474897096</v>
      </c>
      <c r="V8" s="900">
        <f>(AS8*KFC!$B$16+KFC!$C$16)*KFC!$C$5</f>
        <v>25.931682752876039</v>
      </c>
      <c r="W8" s="901">
        <f>(AT8*KFC!$B$16+KFC!$C$16)*KFC!$C$5</f>
        <v>26.574342030855</v>
      </c>
      <c r="Y8" s="1277" t="s">
        <v>357</v>
      </c>
      <c r="Z8" s="649">
        <v>0.2</v>
      </c>
      <c r="AA8" s="882">
        <v>14.363815749254998</v>
      </c>
      <c r="AB8" s="882">
        <v>15.006475027233947</v>
      </c>
      <c r="AC8" s="882">
        <v>15.649134305212895</v>
      </c>
      <c r="AD8" s="882">
        <v>16.29179358319184</v>
      </c>
      <c r="AE8" s="882">
        <v>16.93445286117079</v>
      </c>
      <c r="AF8" s="882">
        <v>17.577112139149737</v>
      </c>
      <c r="AG8" s="882">
        <v>18.219771417128683</v>
      </c>
      <c r="AH8" s="882">
        <v>18.862430695107633</v>
      </c>
      <c r="AI8" s="882">
        <v>19.505089973086577</v>
      </c>
      <c r="AJ8" s="882">
        <v>20.147749251065527</v>
      </c>
      <c r="AK8" s="882">
        <v>20.790408529044473</v>
      </c>
      <c r="AL8" s="882">
        <v>21.43306780702342</v>
      </c>
      <c r="AM8" s="882">
        <v>22.07572708500237</v>
      </c>
      <c r="AN8" s="882">
        <v>22.718386362981313</v>
      </c>
      <c r="AO8" s="882">
        <v>23.361045640960256</v>
      </c>
      <c r="AP8" s="882">
        <v>24.003704918939206</v>
      </c>
      <c r="AQ8" s="882">
        <v>24.64636419691815</v>
      </c>
      <c r="AR8" s="882">
        <v>25.289023474897096</v>
      </c>
      <c r="AS8" s="882">
        <v>25.931682752876039</v>
      </c>
      <c r="AT8" s="882">
        <v>26.574342030855</v>
      </c>
    </row>
    <row r="9" spans="1:255" ht="14.4" customHeight="1">
      <c r="A9" s="1426"/>
      <c r="B9" s="1427"/>
      <c r="C9" s="887">
        <v>0.3</v>
      </c>
      <c r="D9" s="902">
        <f>(AA9*KFC!$B$16+KFC!$C$16)*KFC!$C$5</f>
        <v>14.843651274227248</v>
      </c>
      <c r="E9" s="898">
        <f>(AB9*KFC!$B$16+KFC!$C$16)*KFC!$C$5</f>
        <v>15.58205674307384</v>
      </c>
      <c r="F9" s="898">
        <f>(AC9*KFC!$B$16+KFC!$C$16)*KFC!$C$5</f>
        <v>16.320462211920429</v>
      </c>
      <c r="G9" s="898">
        <f>(AD9*KFC!$B$16+KFC!$C$16)*KFC!$C$5</f>
        <v>17.058867680767023</v>
      </c>
      <c r="H9" s="898">
        <f>(AE9*KFC!$B$16+KFC!$C$16)*KFC!$C$5</f>
        <v>17.797273149613613</v>
      </c>
      <c r="I9" s="898">
        <f>(AF9*KFC!$B$16+KFC!$C$16)*KFC!$C$5</f>
        <v>18.535678618460206</v>
      </c>
      <c r="J9" s="898">
        <f>(AG9*KFC!$B$16+KFC!$C$16)*KFC!$C$5</f>
        <v>19.274084087306797</v>
      </c>
      <c r="K9" s="898">
        <f>(AH9*KFC!$B$16+KFC!$C$16)*KFC!$C$5</f>
        <v>20.012489556153387</v>
      </c>
      <c r="L9" s="898">
        <f>(AI9*KFC!$B$16+KFC!$C$16)*KFC!$C$5</f>
        <v>20.750895024999981</v>
      </c>
      <c r="M9" s="898">
        <f>(AJ9*KFC!$B$16+KFC!$C$16)*KFC!$C$5</f>
        <v>21.489300493846571</v>
      </c>
      <c r="N9" s="898">
        <f>(AK9*KFC!$B$16+KFC!$C$16)*KFC!$C$5</f>
        <v>22.227705962693161</v>
      </c>
      <c r="O9" s="898">
        <f>(AL9*KFC!$B$16+KFC!$C$16)*KFC!$C$5</f>
        <v>22.966111431539755</v>
      </c>
      <c r="P9" s="898">
        <f>(AM9*KFC!$B$16+KFC!$C$16)*KFC!$C$5</f>
        <v>23.704516900386345</v>
      </c>
      <c r="Q9" s="898">
        <f>(AN9*KFC!$B$16+KFC!$C$16)*KFC!$C$5</f>
        <v>24.442922369232939</v>
      </c>
      <c r="R9" s="898">
        <f>(AO9*KFC!$B$16+KFC!$C$16)*KFC!$C$5</f>
        <v>25.181327838079525</v>
      </c>
      <c r="S9" s="898">
        <f>(AP9*KFC!$B$16+KFC!$C$16)*KFC!$C$5</f>
        <v>25.919733306926119</v>
      </c>
      <c r="T9" s="898">
        <f>(AQ9*KFC!$B$16+KFC!$C$16)*KFC!$C$5</f>
        <v>26.658138775772709</v>
      </c>
      <c r="U9" s="898">
        <f>(AR9*KFC!$B$16+KFC!$C$16)*KFC!$C$5</f>
        <v>27.396544244619303</v>
      </c>
      <c r="V9" s="898">
        <f>(AS9*KFC!$B$16+KFC!$C$16)*KFC!$C$5</f>
        <v>28.134949713465893</v>
      </c>
      <c r="W9" s="903">
        <f>(AT9*KFC!$B$16+KFC!$C$16)*KFC!$C$5</f>
        <v>28.873355182312501</v>
      </c>
      <c r="Y9" s="1277"/>
      <c r="Z9" s="649">
        <v>0.3</v>
      </c>
      <c r="AA9" s="882">
        <v>14.843651274227248</v>
      </c>
      <c r="AB9" s="882">
        <v>15.58205674307384</v>
      </c>
      <c r="AC9" s="882">
        <v>16.320462211920429</v>
      </c>
      <c r="AD9" s="882">
        <v>17.058867680767023</v>
      </c>
      <c r="AE9" s="882">
        <v>17.797273149613613</v>
      </c>
      <c r="AF9" s="882">
        <v>18.535678618460206</v>
      </c>
      <c r="AG9" s="882">
        <v>19.274084087306797</v>
      </c>
      <c r="AH9" s="882">
        <v>20.012489556153387</v>
      </c>
      <c r="AI9" s="882">
        <v>20.750895024999981</v>
      </c>
      <c r="AJ9" s="882">
        <v>21.489300493846571</v>
      </c>
      <c r="AK9" s="882">
        <v>22.227705962693161</v>
      </c>
      <c r="AL9" s="882">
        <v>22.966111431539755</v>
      </c>
      <c r="AM9" s="882">
        <v>23.704516900386345</v>
      </c>
      <c r="AN9" s="882">
        <v>24.442922369232939</v>
      </c>
      <c r="AO9" s="882">
        <v>25.181327838079525</v>
      </c>
      <c r="AP9" s="882">
        <v>25.919733306926119</v>
      </c>
      <c r="AQ9" s="882">
        <v>26.658138775772709</v>
      </c>
      <c r="AR9" s="882">
        <v>27.396544244619303</v>
      </c>
      <c r="AS9" s="882">
        <v>28.134949713465893</v>
      </c>
      <c r="AT9" s="882">
        <v>28.873355182312501</v>
      </c>
    </row>
    <row r="10" spans="1:255">
      <c r="A10" s="1426"/>
      <c r="B10" s="1427"/>
      <c r="C10" s="887">
        <v>0.4</v>
      </c>
      <c r="D10" s="902">
        <f>(AA10*KFC!$B$16+KFC!$C$16)*KFC!$C$5</f>
        <v>15.323486799199499</v>
      </c>
      <c r="E10" s="898">
        <f>(AB10*KFC!$B$16+KFC!$C$16)*KFC!$C$5</f>
        <v>16.157638458913738</v>
      </c>
      <c r="F10" s="898">
        <f>(AC10*KFC!$B$16+KFC!$C$16)*KFC!$C$5</f>
        <v>16.991790118627971</v>
      </c>
      <c r="G10" s="898">
        <f>(AD10*KFC!$B$16+KFC!$C$16)*KFC!$C$5</f>
        <v>17.825941778342209</v>
      </c>
      <c r="H10" s="898">
        <f>(AE10*KFC!$B$16+KFC!$C$16)*KFC!$C$5</f>
        <v>18.660093438056446</v>
      </c>
      <c r="I10" s="898">
        <f>(AF10*KFC!$B$16+KFC!$C$16)*KFC!$C$5</f>
        <v>19.49424509777068</v>
      </c>
      <c r="J10" s="898">
        <f>(AG10*KFC!$B$16+KFC!$C$16)*KFC!$C$5</f>
        <v>20.328396757484921</v>
      </c>
      <c r="K10" s="898">
        <f>(AH10*KFC!$B$16+KFC!$C$16)*KFC!$C$5</f>
        <v>21.162548417199154</v>
      </c>
      <c r="L10" s="898">
        <f>(AI10*KFC!$B$16+KFC!$C$16)*KFC!$C$5</f>
        <v>21.996700076913392</v>
      </c>
      <c r="M10" s="898">
        <f>(AJ10*KFC!$B$16+KFC!$C$16)*KFC!$C$5</f>
        <v>22.830851736627629</v>
      </c>
      <c r="N10" s="898">
        <f>(AK10*KFC!$B$16+KFC!$C$16)*KFC!$C$5</f>
        <v>23.665003396341866</v>
      </c>
      <c r="O10" s="898">
        <f>(AL10*KFC!$B$16+KFC!$C$16)*KFC!$C$5</f>
        <v>24.499155056056107</v>
      </c>
      <c r="P10" s="898">
        <f>(AM10*KFC!$B$16+KFC!$C$16)*KFC!$C$5</f>
        <v>25.333306715770341</v>
      </c>
      <c r="Q10" s="898">
        <f>(AN10*KFC!$B$16+KFC!$C$16)*KFC!$C$5</f>
        <v>26.167458375484578</v>
      </c>
      <c r="R10" s="898">
        <f>(AO10*KFC!$B$16+KFC!$C$16)*KFC!$C$5</f>
        <v>27.001610035198812</v>
      </c>
      <c r="S10" s="898">
        <f>(AP10*KFC!$B$16+KFC!$C$16)*KFC!$C$5</f>
        <v>27.83576169491305</v>
      </c>
      <c r="T10" s="898">
        <f>(AQ10*KFC!$B$16+KFC!$C$16)*KFC!$C$5</f>
        <v>28.669913354627283</v>
      </c>
      <c r="U10" s="898">
        <f>(AR10*KFC!$B$16+KFC!$C$16)*KFC!$C$5</f>
        <v>29.504065014341524</v>
      </c>
      <c r="V10" s="898">
        <f>(AS10*KFC!$B$16+KFC!$C$16)*KFC!$C$5</f>
        <v>30.338216674055762</v>
      </c>
      <c r="W10" s="903">
        <f>(AT10*KFC!$B$16+KFC!$C$16)*KFC!$C$5</f>
        <v>31.172368333770002</v>
      </c>
      <c r="Y10" s="1277"/>
      <c r="Z10" s="649">
        <v>0.4</v>
      </c>
      <c r="AA10" s="882">
        <v>15.323486799199499</v>
      </c>
      <c r="AB10" s="882">
        <v>16.157638458913738</v>
      </c>
      <c r="AC10" s="882">
        <v>16.991790118627971</v>
      </c>
      <c r="AD10" s="882">
        <v>17.825941778342209</v>
      </c>
      <c r="AE10" s="882">
        <v>18.660093438056446</v>
      </c>
      <c r="AF10" s="882">
        <v>19.49424509777068</v>
      </c>
      <c r="AG10" s="882">
        <v>20.328396757484921</v>
      </c>
      <c r="AH10" s="882">
        <v>21.162548417199154</v>
      </c>
      <c r="AI10" s="882">
        <v>21.996700076913392</v>
      </c>
      <c r="AJ10" s="882">
        <v>22.830851736627629</v>
      </c>
      <c r="AK10" s="882">
        <v>23.665003396341866</v>
      </c>
      <c r="AL10" s="882">
        <v>24.499155056056107</v>
      </c>
      <c r="AM10" s="882">
        <v>25.333306715770341</v>
      </c>
      <c r="AN10" s="882">
        <v>26.167458375484578</v>
      </c>
      <c r="AO10" s="882">
        <v>27.001610035198812</v>
      </c>
      <c r="AP10" s="882">
        <v>27.83576169491305</v>
      </c>
      <c r="AQ10" s="882">
        <v>28.669913354627283</v>
      </c>
      <c r="AR10" s="882">
        <v>29.504065014341524</v>
      </c>
      <c r="AS10" s="882">
        <v>30.338216674055762</v>
      </c>
      <c r="AT10" s="882">
        <v>31.172368333770002</v>
      </c>
    </row>
    <row r="11" spans="1:255">
      <c r="A11" s="1426"/>
      <c r="B11" s="1427"/>
      <c r="C11" s="887">
        <v>0.5</v>
      </c>
      <c r="D11" s="902">
        <f>(AA11*KFC!$B$16+KFC!$C$16)*KFC!$C$5</f>
        <v>15.803322324171749</v>
      </c>
      <c r="E11" s="898">
        <f>(AB11*KFC!$B$16+KFC!$C$16)*KFC!$C$5</f>
        <v>16.73322017475363</v>
      </c>
      <c r="F11" s="898">
        <f>(AC11*KFC!$B$16+KFC!$C$16)*KFC!$C$5</f>
        <v>17.66311802533551</v>
      </c>
      <c r="G11" s="898">
        <f>(AD11*KFC!$B$16+KFC!$C$16)*KFC!$C$5</f>
        <v>18.593015875917395</v>
      </c>
      <c r="H11" s="898">
        <f>(AE11*KFC!$B$16+KFC!$C$16)*KFC!$C$5</f>
        <v>19.522913726499279</v>
      </c>
      <c r="I11" s="898">
        <f>(AF11*KFC!$B$16+KFC!$C$16)*KFC!$C$5</f>
        <v>20.45281157708116</v>
      </c>
      <c r="J11" s="898">
        <f>(AG11*KFC!$B$16+KFC!$C$16)*KFC!$C$5</f>
        <v>21.382709427663041</v>
      </c>
      <c r="K11" s="898">
        <f>(AH11*KFC!$B$16+KFC!$C$16)*KFC!$C$5</f>
        <v>22.312607278244926</v>
      </c>
      <c r="L11" s="898">
        <f>(AI11*KFC!$B$16+KFC!$C$16)*KFC!$C$5</f>
        <v>23.242505128826807</v>
      </c>
      <c r="M11" s="898">
        <f>(AJ11*KFC!$B$16+KFC!$C$16)*KFC!$C$5</f>
        <v>24.172402979408687</v>
      </c>
      <c r="N11" s="898">
        <f>(AK11*KFC!$B$16+KFC!$C$16)*KFC!$C$5</f>
        <v>25.102300829990572</v>
      </c>
      <c r="O11" s="898">
        <f>(AL11*KFC!$B$16+KFC!$C$16)*KFC!$C$5</f>
        <v>26.032198680572453</v>
      </c>
      <c r="P11" s="898">
        <f>(AM11*KFC!$B$16+KFC!$C$16)*KFC!$C$5</f>
        <v>26.962096531154337</v>
      </c>
      <c r="Q11" s="898">
        <f>(AN11*KFC!$B$16+KFC!$C$16)*KFC!$C$5</f>
        <v>27.891994381736215</v>
      </c>
      <c r="R11" s="898">
        <f>(AO11*KFC!$B$16+KFC!$C$16)*KFC!$C$5</f>
        <v>28.821892232318099</v>
      </c>
      <c r="S11" s="898">
        <f>(AP11*KFC!$B$16+KFC!$C$16)*KFC!$C$5</f>
        <v>29.751790082899984</v>
      </c>
      <c r="T11" s="898">
        <f>(AQ11*KFC!$B$16+KFC!$C$16)*KFC!$C$5</f>
        <v>30.681687933481864</v>
      </c>
      <c r="U11" s="898">
        <f>(AR11*KFC!$B$16+KFC!$C$16)*KFC!$C$5</f>
        <v>31.611585784063749</v>
      </c>
      <c r="V11" s="898">
        <f>(AS11*KFC!$B$16+KFC!$C$16)*KFC!$C$5</f>
        <v>32.54148363464563</v>
      </c>
      <c r="W11" s="903">
        <f>(AT11*KFC!$B$16+KFC!$C$16)*KFC!$C$5</f>
        <v>33.471381485227496</v>
      </c>
      <c r="Y11" s="1277"/>
      <c r="Z11" s="649">
        <v>0.5</v>
      </c>
      <c r="AA11" s="882">
        <v>15.803322324171749</v>
      </c>
      <c r="AB11" s="882">
        <v>16.73322017475363</v>
      </c>
      <c r="AC11" s="882">
        <v>17.66311802533551</v>
      </c>
      <c r="AD11" s="882">
        <v>18.593015875917395</v>
      </c>
      <c r="AE11" s="882">
        <v>19.522913726499279</v>
      </c>
      <c r="AF11" s="882">
        <v>20.45281157708116</v>
      </c>
      <c r="AG11" s="882">
        <v>21.382709427663041</v>
      </c>
      <c r="AH11" s="882">
        <v>22.312607278244926</v>
      </c>
      <c r="AI11" s="882">
        <v>23.242505128826807</v>
      </c>
      <c r="AJ11" s="882">
        <v>24.172402979408687</v>
      </c>
      <c r="AK11" s="882">
        <v>25.102300829990572</v>
      </c>
      <c r="AL11" s="882">
        <v>26.032198680572453</v>
      </c>
      <c r="AM11" s="882">
        <v>26.962096531154337</v>
      </c>
      <c r="AN11" s="882">
        <v>27.891994381736215</v>
      </c>
      <c r="AO11" s="882">
        <v>28.821892232318099</v>
      </c>
      <c r="AP11" s="882">
        <v>29.751790082899984</v>
      </c>
      <c r="AQ11" s="882">
        <v>30.681687933481864</v>
      </c>
      <c r="AR11" s="882">
        <v>31.611585784063749</v>
      </c>
      <c r="AS11" s="882">
        <v>32.54148363464563</v>
      </c>
      <c r="AT11" s="882">
        <v>33.471381485227496</v>
      </c>
    </row>
    <row r="12" spans="1:255">
      <c r="A12" s="1426"/>
      <c r="B12" s="1427"/>
      <c r="C12" s="887">
        <v>0.6</v>
      </c>
      <c r="D12" s="902">
        <f>(AA12*KFC!$B$16+KFC!$C$16)*KFC!$C$5</f>
        <v>16.283157849143997</v>
      </c>
      <c r="E12" s="898">
        <f>(AB12*KFC!$B$16+KFC!$C$16)*KFC!$C$5</f>
        <v>17.308801890593525</v>
      </c>
      <c r="F12" s="898">
        <f>(AC12*KFC!$B$16+KFC!$C$16)*KFC!$C$5</f>
        <v>18.334445932043053</v>
      </c>
      <c r="G12" s="898">
        <f>(AD12*KFC!$B$16+KFC!$C$16)*KFC!$C$5</f>
        <v>19.360089973492578</v>
      </c>
      <c r="H12" s="898">
        <f>(AE12*KFC!$B$16+KFC!$C$16)*KFC!$C$5</f>
        <v>20.385734014942102</v>
      </c>
      <c r="I12" s="898">
        <f>(AF12*KFC!$B$16+KFC!$C$16)*KFC!$C$5</f>
        <v>21.411378056391634</v>
      </c>
      <c r="J12" s="898">
        <f>(AG12*KFC!$B$16+KFC!$C$16)*KFC!$C$5</f>
        <v>22.437022097841155</v>
      </c>
      <c r="K12" s="898">
        <f>(AH12*KFC!$B$16+KFC!$C$16)*KFC!$C$5</f>
        <v>23.46266613929069</v>
      </c>
      <c r="L12" s="898">
        <f>(AI12*KFC!$B$16+KFC!$C$16)*KFC!$C$5</f>
        <v>24.488310180740211</v>
      </c>
      <c r="M12" s="898">
        <f>(AJ12*KFC!$B$16+KFC!$C$16)*KFC!$C$5</f>
        <v>25.513954222189739</v>
      </c>
      <c r="N12" s="898">
        <f>(AK12*KFC!$B$16+KFC!$C$16)*KFC!$C$5</f>
        <v>26.539598263639267</v>
      </c>
      <c r="O12" s="898">
        <f>(AL12*KFC!$B$16+KFC!$C$16)*KFC!$C$5</f>
        <v>27.565242305088798</v>
      </c>
      <c r="P12" s="898">
        <f>(AM12*KFC!$B$16+KFC!$C$16)*KFC!$C$5</f>
        <v>28.590886346538323</v>
      </c>
      <c r="Q12" s="898">
        <f>(AN12*KFC!$B$16+KFC!$C$16)*KFC!$C$5</f>
        <v>29.616530387987854</v>
      </c>
      <c r="R12" s="898">
        <f>(AO12*KFC!$B$16+KFC!$C$16)*KFC!$C$5</f>
        <v>30.642174429437379</v>
      </c>
      <c r="S12" s="898">
        <f>(AP12*KFC!$B$16+KFC!$C$16)*KFC!$C$5</f>
        <v>31.667818470886907</v>
      </c>
      <c r="T12" s="898">
        <f>(AQ12*KFC!$B$16+KFC!$C$16)*KFC!$C$5</f>
        <v>32.693462512336431</v>
      </c>
      <c r="U12" s="898">
        <f>(AR12*KFC!$B$16+KFC!$C$16)*KFC!$C$5</f>
        <v>33.719106553785963</v>
      </c>
      <c r="V12" s="898">
        <f>(AS12*KFC!$B$16+KFC!$C$16)*KFC!$C$5</f>
        <v>34.744750595235487</v>
      </c>
      <c r="W12" s="903">
        <f>(AT12*KFC!$B$16+KFC!$C$16)*KFC!$C$5</f>
        <v>35.770394636684998</v>
      </c>
      <c r="Y12" s="1277"/>
      <c r="Z12" s="649">
        <v>0.6</v>
      </c>
      <c r="AA12" s="882">
        <v>16.283157849143997</v>
      </c>
      <c r="AB12" s="882">
        <v>17.308801890593525</v>
      </c>
      <c r="AC12" s="882">
        <v>18.334445932043053</v>
      </c>
      <c r="AD12" s="882">
        <v>19.360089973492578</v>
      </c>
      <c r="AE12" s="882">
        <v>20.385734014942102</v>
      </c>
      <c r="AF12" s="882">
        <v>21.411378056391634</v>
      </c>
      <c r="AG12" s="882">
        <v>22.437022097841155</v>
      </c>
      <c r="AH12" s="882">
        <v>23.46266613929069</v>
      </c>
      <c r="AI12" s="882">
        <v>24.488310180740211</v>
      </c>
      <c r="AJ12" s="882">
        <v>25.513954222189739</v>
      </c>
      <c r="AK12" s="882">
        <v>26.539598263639267</v>
      </c>
      <c r="AL12" s="882">
        <v>27.565242305088798</v>
      </c>
      <c r="AM12" s="882">
        <v>28.590886346538323</v>
      </c>
      <c r="AN12" s="882">
        <v>29.616530387987854</v>
      </c>
      <c r="AO12" s="882">
        <v>30.642174429437379</v>
      </c>
      <c r="AP12" s="882">
        <v>31.667818470886907</v>
      </c>
      <c r="AQ12" s="882">
        <v>32.693462512336431</v>
      </c>
      <c r="AR12" s="882">
        <v>33.719106553785963</v>
      </c>
      <c r="AS12" s="882">
        <v>34.744750595235487</v>
      </c>
      <c r="AT12" s="882">
        <v>35.770394636684998</v>
      </c>
    </row>
    <row r="13" spans="1:255">
      <c r="A13" s="1426"/>
      <c r="B13" s="1427"/>
      <c r="C13" s="887">
        <v>0.7</v>
      </c>
      <c r="D13" s="902">
        <f>(AA13*KFC!$B$16+KFC!$C$16)*KFC!$C$5</f>
        <v>16.762993374116249</v>
      </c>
      <c r="E13" s="898">
        <f>(AB13*KFC!$B$16+KFC!$C$16)*KFC!$C$5</f>
        <v>17.884383606433421</v>
      </c>
      <c r="F13" s="898">
        <f>(AC13*KFC!$B$16+KFC!$C$16)*KFC!$C$5</f>
        <v>19.005773838750592</v>
      </c>
      <c r="G13" s="898">
        <f>(AD13*KFC!$B$16+KFC!$C$16)*KFC!$C$5</f>
        <v>20.127164071067764</v>
      </c>
      <c r="H13" s="898">
        <f>(AE13*KFC!$B$16+KFC!$C$16)*KFC!$C$5</f>
        <v>21.248554303384932</v>
      </c>
      <c r="I13" s="898">
        <f>(AF13*KFC!$B$16+KFC!$C$16)*KFC!$C$5</f>
        <v>22.369944535702103</v>
      </c>
      <c r="J13" s="898">
        <f>(AG13*KFC!$B$16+KFC!$C$16)*KFC!$C$5</f>
        <v>23.491334768019275</v>
      </c>
      <c r="K13" s="898">
        <f>(AH13*KFC!$B$16+KFC!$C$16)*KFC!$C$5</f>
        <v>24.612725000336443</v>
      </c>
      <c r="L13" s="898">
        <f>(AI13*KFC!$B$16+KFC!$C$16)*KFC!$C$5</f>
        <v>25.734115232653615</v>
      </c>
      <c r="M13" s="898">
        <f>(AJ13*KFC!$B$16+KFC!$C$16)*KFC!$C$5</f>
        <v>26.855505464970779</v>
      </c>
      <c r="N13" s="898">
        <f>(AK13*KFC!$B$16+KFC!$C$16)*KFC!$C$5</f>
        <v>27.976895697287951</v>
      </c>
      <c r="O13" s="898">
        <f>(AL13*KFC!$B$16+KFC!$C$16)*KFC!$C$5</f>
        <v>29.098285929605122</v>
      </c>
      <c r="P13" s="898">
        <f>(AM13*KFC!$B$16+KFC!$C$16)*KFC!$C$5</f>
        <v>30.219676161922294</v>
      </c>
      <c r="Q13" s="898">
        <f>(AN13*KFC!$B$16+KFC!$C$16)*KFC!$C$5</f>
        <v>31.341066394239462</v>
      </c>
      <c r="R13" s="898">
        <f>(AO13*KFC!$B$16+KFC!$C$16)*KFC!$C$5</f>
        <v>32.46245662655663</v>
      </c>
      <c r="S13" s="898">
        <f>(AP13*KFC!$B$16+KFC!$C$16)*KFC!$C$5</f>
        <v>33.583846858873798</v>
      </c>
      <c r="T13" s="898">
        <f>(AQ13*KFC!$B$16+KFC!$C$16)*KFC!$C$5</f>
        <v>34.705237091190973</v>
      </c>
      <c r="U13" s="898">
        <f>(AR13*KFC!$B$16+KFC!$C$16)*KFC!$C$5</f>
        <v>35.826627323508141</v>
      </c>
      <c r="V13" s="898">
        <f>(AS13*KFC!$B$16+KFC!$C$16)*KFC!$C$5</f>
        <v>36.948017555825317</v>
      </c>
      <c r="W13" s="903">
        <f>(AT13*KFC!$B$16+KFC!$C$16)*KFC!$C$5</f>
        <v>38.069407788142499</v>
      </c>
      <c r="Y13" s="1277"/>
      <c r="Z13" s="649">
        <v>0.7</v>
      </c>
      <c r="AA13" s="882">
        <v>16.762993374116249</v>
      </c>
      <c r="AB13" s="882">
        <v>17.884383606433421</v>
      </c>
      <c r="AC13" s="882">
        <v>19.005773838750592</v>
      </c>
      <c r="AD13" s="882">
        <v>20.127164071067764</v>
      </c>
      <c r="AE13" s="882">
        <v>21.248554303384932</v>
      </c>
      <c r="AF13" s="882">
        <v>22.369944535702103</v>
      </c>
      <c r="AG13" s="882">
        <v>23.491334768019275</v>
      </c>
      <c r="AH13" s="882">
        <v>24.612725000336443</v>
      </c>
      <c r="AI13" s="882">
        <v>25.734115232653615</v>
      </c>
      <c r="AJ13" s="882">
        <v>26.855505464970779</v>
      </c>
      <c r="AK13" s="882">
        <v>27.976895697287951</v>
      </c>
      <c r="AL13" s="882">
        <v>29.098285929605122</v>
      </c>
      <c r="AM13" s="882">
        <v>30.219676161922294</v>
      </c>
      <c r="AN13" s="882">
        <v>31.341066394239462</v>
      </c>
      <c r="AO13" s="882">
        <v>32.46245662655663</v>
      </c>
      <c r="AP13" s="882">
        <v>33.583846858873798</v>
      </c>
      <c r="AQ13" s="882">
        <v>34.705237091190973</v>
      </c>
      <c r="AR13" s="882">
        <v>35.826627323508141</v>
      </c>
      <c r="AS13" s="882">
        <v>36.948017555825317</v>
      </c>
      <c r="AT13" s="882">
        <v>38.069407788142499</v>
      </c>
    </row>
    <row r="14" spans="1:255">
      <c r="A14" s="1426"/>
      <c r="B14" s="1427"/>
      <c r="C14" s="887">
        <v>0.8</v>
      </c>
      <c r="D14" s="902">
        <f>(AA14*KFC!$B$16+KFC!$C$16)*KFC!$C$5</f>
        <v>17.242828899088497</v>
      </c>
      <c r="E14" s="898">
        <f>(AB14*KFC!$B$16+KFC!$C$16)*KFC!$C$5</f>
        <v>18.459965322273312</v>
      </c>
      <c r="F14" s="898">
        <f>(AC14*KFC!$B$16+KFC!$C$16)*KFC!$C$5</f>
        <v>19.677101745458128</v>
      </c>
      <c r="G14" s="898">
        <f>(AD14*KFC!$B$16+KFC!$C$16)*KFC!$C$5</f>
        <v>20.894238168642943</v>
      </c>
      <c r="H14" s="898">
        <f>(AE14*KFC!$B$16+KFC!$C$16)*KFC!$C$5</f>
        <v>22.111374591827758</v>
      </c>
      <c r="I14" s="898">
        <f>(AF14*KFC!$B$16+KFC!$C$16)*KFC!$C$5</f>
        <v>23.328511015012573</v>
      </c>
      <c r="J14" s="898">
        <f>(AG14*KFC!$B$16+KFC!$C$16)*KFC!$C$5</f>
        <v>24.545647438197388</v>
      </c>
      <c r="K14" s="898">
        <f>(AH14*KFC!$B$16+KFC!$C$16)*KFC!$C$5</f>
        <v>25.762783861382204</v>
      </c>
      <c r="L14" s="898">
        <f>(AI14*KFC!$B$16+KFC!$C$16)*KFC!$C$5</f>
        <v>26.979920284567019</v>
      </c>
      <c r="M14" s="898">
        <f>(AJ14*KFC!$B$16+KFC!$C$16)*KFC!$C$5</f>
        <v>28.197056707751834</v>
      </c>
      <c r="N14" s="898">
        <f>(AK14*KFC!$B$16+KFC!$C$16)*KFC!$C$5</f>
        <v>29.414193130936649</v>
      </c>
      <c r="O14" s="898">
        <f>(AL14*KFC!$B$16+KFC!$C$16)*KFC!$C$5</f>
        <v>30.631329554121464</v>
      </c>
      <c r="P14" s="898">
        <f>(AM14*KFC!$B$16+KFC!$C$16)*KFC!$C$5</f>
        <v>31.848465977306279</v>
      </c>
      <c r="Q14" s="898">
        <f>(AN14*KFC!$B$16+KFC!$C$16)*KFC!$C$5</f>
        <v>33.065602400491095</v>
      </c>
      <c r="R14" s="898">
        <f>(AO14*KFC!$B$16+KFC!$C$16)*KFC!$C$5</f>
        <v>34.282738823675913</v>
      </c>
      <c r="S14" s="898">
        <f>(AP14*KFC!$B$16+KFC!$C$16)*KFC!$C$5</f>
        <v>35.499875246860725</v>
      </c>
      <c r="T14" s="898">
        <f>(AQ14*KFC!$B$16+KFC!$C$16)*KFC!$C$5</f>
        <v>36.717011670045544</v>
      </c>
      <c r="U14" s="898">
        <f>(AR14*KFC!$B$16+KFC!$C$16)*KFC!$C$5</f>
        <v>37.934148093230355</v>
      </c>
      <c r="V14" s="898">
        <f>(AS14*KFC!$B$16+KFC!$C$16)*KFC!$C$5</f>
        <v>39.151284516415174</v>
      </c>
      <c r="W14" s="903">
        <f>(AT14*KFC!$B$16+KFC!$C$16)*KFC!$C$5</f>
        <v>40.3684209396</v>
      </c>
      <c r="Y14" s="1277"/>
      <c r="Z14" s="649">
        <v>0.8</v>
      </c>
      <c r="AA14" s="882">
        <v>17.242828899088497</v>
      </c>
      <c r="AB14" s="882">
        <v>18.459965322273312</v>
      </c>
      <c r="AC14" s="882">
        <v>19.677101745458128</v>
      </c>
      <c r="AD14" s="882">
        <v>20.894238168642943</v>
      </c>
      <c r="AE14" s="882">
        <v>22.111374591827758</v>
      </c>
      <c r="AF14" s="882">
        <v>23.328511015012573</v>
      </c>
      <c r="AG14" s="882">
        <v>24.545647438197388</v>
      </c>
      <c r="AH14" s="882">
        <v>25.762783861382204</v>
      </c>
      <c r="AI14" s="882">
        <v>26.979920284567019</v>
      </c>
      <c r="AJ14" s="882">
        <v>28.197056707751834</v>
      </c>
      <c r="AK14" s="882">
        <v>29.414193130936649</v>
      </c>
      <c r="AL14" s="882">
        <v>30.631329554121464</v>
      </c>
      <c r="AM14" s="882">
        <v>31.848465977306279</v>
      </c>
      <c r="AN14" s="882">
        <v>33.065602400491095</v>
      </c>
      <c r="AO14" s="882">
        <v>34.282738823675913</v>
      </c>
      <c r="AP14" s="882">
        <v>35.499875246860725</v>
      </c>
      <c r="AQ14" s="882">
        <v>36.717011670045544</v>
      </c>
      <c r="AR14" s="882">
        <v>37.934148093230355</v>
      </c>
      <c r="AS14" s="882">
        <v>39.151284516415174</v>
      </c>
      <c r="AT14" s="882">
        <v>40.3684209396</v>
      </c>
    </row>
    <row r="15" spans="1:255">
      <c r="A15" s="1426"/>
      <c r="B15" s="1427"/>
      <c r="C15" s="887">
        <v>0.9</v>
      </c>
      <c r="D15" s="902">
        <f>(AA15*KFC!$B$16+KFC!$C$16)*KFC!$C$5</f>
        <v>17.722664424060749</v>
      </c>
      <c r="E15" s="898">
        <f>(AB15*KFC!$B$16+KFC!$C$16)*KFC!$C$5</f>
        <v>19.035547038113208</v>
      </c>
      <c r="F15" s="898">
        <f>(AC15*KFC!$B$16+KFC!$C$16)*KFC!$C$5</f>
        <v>20.34842965216567</v>
      </c>
      <c r="G15" s="898">
        <f>(AD15*KFC!$B$16+KFC!$C$16)*KFC!$C$5</f>
        <v>21.661312266218133</v>
      </c>
      <c r="H15" s="898">
        <f>(AE15*KFC!$B$16+KFC!$C$16)*KFC!$C$5</f>
        <v>22.974194880270591</v>
      </c>
      <c r="I15" s="898">
        <f>(AF15*KFC!$B$16+KFC!$C$16)*KFC!$C$5</f>
        <v>24.287077494323054</v>
      </c>
      <c r="J15" s="898">
        <f>(AG15*KFC!$B$16+KFC!$C$16)*KFC!$C$5</f>
        <v>25.599960108375512</v>
      </c>
      <c r="K15" s="898">
        <f>(AH15*KFC!$B$16+KFC!$C$16)*KFC!$C$5</f>
        <v>26.912842722427971</v>
      </c>
      <c r="L15" s="898">
        <f>(AI15*KFC!$B$16+KFC!$C$16)*KFC!$C$5</f>
        <v>28.22572533648043</v>
      </c>
      <c r="M15" s="898">
        <f>(AJ15*KFC!$B$16+KFC!$C$16)*KFC!$C$5</f>
        <v>29.538607950532896</v>
      </c>
      <c r="N15" s="898">
        <f>(AK15*KFC!$B$16+KFC!$C$16)*KFC!$C$5</f>
        <v>30.851490564585355</v>
      </c>
      <c r="O15" s="898">
        <f>(AL15*KFC!$B$16+KFC!$C$16)*KFC!$C$5</f>
        <v>32.164373178637817</v>
      </c>
      <c r="P15" s="898">
        <f>(AM15*KFC!$B$16+KFC!$C$16)*KFC!$C$5</f>
        <v>33.477255792690279</v>
      </c>
      <c r="Q15" s="898">
        <f>(AN15*KFC!$B$16+KFC!$C$16)*KFC!$C$5</f>
        <v>34.790138406742734</v>
      </c>
      <c r="R15" s="898">
        <f>(AO15*KFC!$B$16+KFC!$C$16)*KFC!$C$5</f>
        <v>36.103021020795197</v>
      </c>
      <c r="S15" s="898">
        <f>(AP15*KFC!$B$16+KFC!$C$16)*KFC!$C$5</f>
        <v>37.415903634847652</v>
      </c>
      <c r="T15" s="898">
        <f>(AQ15*KFC!$B$16+KFC!$C$16)*KFC!$C$5</f>
        <v>38.728786248900114</v>
      </c>
      <c r="U15" s="898">
        <f>(AR15*KFC!$B$16+KFC!$C$16)*KFC!$C$5</f>
        <v>40.041668862952569</v>
      </c>
      <c r="V15" s="898">
        <f>(AS15*KFC!$B$16+KFC!$C$16)*KFC!$C$5</f>
        <v>41.354551477005032</v>
      </c>
      <c r="W15" s="903">
        <f>(AT15*KFC!$B$16+KFC!$C$16)*KFC!$C$5</f>
        <v>42.667434091057487</v>
      </c>
      <c r="Y15" s="1277"/>
      <c r="Z15" s="649">
        <v>0.9</v>
      </c>
      <c r="AA15" s="882">
        <v>17.722664424060749</v>
      </c>
      <c r="AB15" s="882">
        <v>19.035547038113208</v>
      </c>
      <c r="AC15" s="882">
        <v>20.34842965216567</v>
      </c>
      <c r="AD15" s="882">
        <v>21.661312266218133</v>
      </c>
      <c r="AE15" s="882">
        <v>22.974194880270591</v>
      </c>
      <c r="AF15" s="882">
        <v>24.287077494323054</v>
      </c>
      <c r="AG15" s="882">
        <v>25.599960108375512</v>
      </c>
      <c r="AH15" s="882">
        <v>26.912842722427971</v>
      </c>
      <c r="AI15" s="882">
        <v>28.22572533648043</v>
      </c>
      <c r="AJ15" s="882">
        <v>29.538607950532896</v>
      </c>
      <c r="AK15" s="882">
        <v>30.851490564585355</v>
      </c>
      <c r="AL15" s="882">
        <v>32.164373178637817</v>
      </c>
      <c r="AM15" s="882">
        <v>33.477255792690279</v>
      </c>
      <c r="AN15" s="882">
        <v>34.790138406742734</v>
      </c>
      <c r="AO15" s="882">
        <v>36.103021020795197</v>
      </c>
      <c r="AP15" s="882">
        <v>37.415903634847652</v>
      </c>
      <c r="AQ15" s="882">
        <v>38.728786248900114</v>
      </c>
      <c r="AR15" s="882">
        <v>40.041668862952569</v>
      </c>
      <c r="AS15" s="882">
        <v>41.354551477005032</v>
      </c>
      <c r="AT15" s="882">
        <v>42.667434091057487</v>
      </c>
    </row>
    <row r="16" spans="1:255">
      <c r="A16" s="1426"/>
      <c r="B16" s="1427"/>
      <c r="C16" s="887">
        <v>1</v>
      </c>
      <c r="D16" s="902">
        <f>(AA16*KFC!$B$16+KFC!$C$16)*KFC!$C$5</f>
        <v>18.202499949032998</v>
      </c>
      <c r="E16" s="898">
        <f>(AB16*KFC!$B$16+KFC!$C$16)*KFC!$C$5</f>
        <v>19.611128753953103</v>
      </c>
      <c r="F16" s="898">
        <f>(AC16*KFC!$B$16+KFC!$C$16)*KFC!$C$5</f>
        <v>21.019757558873209</v>
      </c>
      <c r="G16" s="898">
        <f>(AD16*KFC!$B$16+KFC!$C$16)*KFC!$C$5</f>
        <v>22.428386363793312</v>
      </c>
      <c r="H16" s="898">
        <f>(AE16*KFC!$B$16+KFC!$C$16)*KFC!$C$5</f>
        <v>23.837015168713418</v>
      </c>
      <c r="I16" s="898">
        <f>(AF16*KFC!$B$16+KFC!$C$16)*KFC!$C$5</f>
        <v>25.245643973633527</v>
      </c>
      <c r="J16" s="898">
        <f>(AG16*KFC!$B$16+KFC!$C$16)*KFC!$C$5</f>
        <v>26.654272778553633</v>
      </c>
      <c r="K16" s="898">
        <f>(AH16*KFC!$B$16+KFC!$C$16)*KFC!$C$5</f>
        <v>28.062901583473739</v>
      </c>
      <c r="L16" s="898">
        <f>(AI16*KFC!$B$16+KFC!$C$16)*KFC!$C$5</f>
        <v>29.471530388393848</v>
      </c>
      <c r="M16" s="898">
        <f>(AJ16*KFC!$B$16+KFC!$C$16)*KFC!$C$5</f>
        <v>30.880159193313951</v>
      </c>
      <c r="N16" s="898">
        <f>(AK16*KFC!$B$16+KFC!$C$16)*KFC!$C$5</f>
        <v>32.288787998234056</v>
      </c>
      <c r="O16" s="898">
        <f>(AL16*KFC!$B$16+KFC!$C$16)*KFC!$C$5</f>
        <v>33.697416803154162</v>
      </c>
      <c r="P16" s="898">
        <f>(AM16*KFC!$B$16+KFC!$C$16)*KFC!$C$5</f>
        <v>35.106045608074268</v>
      </c>
      <c r="Q16" s="898">
        <f>(AN16*KFC!$B$16+KFC!$C$16)*KFC!$C$5</f>
        <v>36.514674412994367</v>
      </c>
      <c r="R16" s="898">
        <f>(AO16*KFC!$B$16+KFC!$C$16)*KFC!$C$5</f>
        <v>37.92330321791448</v>
      </c>
      <c r="S16" s="898">
        <f>(AP16*KFC!$B$16+KFC!$C$16)*KFC!$C$5</f>
        <v>39.331932022834586</v>
      </c>
      <c r="T16" s="898">
        <f>(AQ16*KFC!$B$16+KFC!$C$16)*KFC!$C$5</f>
        <v>40.740560827754685</v>
      </c>
      <c r="U16" s="898">
        <f>(AR16*KFC!$B$16+KFC!$C$16)*KFC!$C$5</f>
        <v>42.149189632674791</v>
      </c>
      <c r="V16" s="898">
        <f>(AS16*KFC!$B$16+KFC!$C$16)*KFC!$C$5</f>
        <v>43.557818437594904</v>
      </c>
      <c r="W16" s="903">
        <f>(AT16*KFC!$B$16+KFC!$C$16)*KFC!$C$5</f>
        <v>44.966447242514988</v>
      </c>
      <c r="Y16" s="1277"/>
      <c r="Z16" s="649">
        <v>1</v>
      </c>
      <c r="AA16" s="882">
        <v>18.202499949032998</v>
      </c>
      <c r="AB16" s="882">
        <v>19.611128753953103</v>
      </c>
      <c r="AC16" s="882">
        <v>21.019757558873209</v>
      </c>
      <c r="AD16" s="882">
        <v>22.428386363793312</v>
      </c>
      <c r="AE16" s="882">
        <v>23.837015168713418</v>
      </c>
      <c r="AF16" s="882">
        <v>25.245643973633527</v>
      </c>
      <c r="AG16" s="882">
        <v>26.654272778553633</v>
      </c>
      <c r="AH16" s="882">
        <v>28.062901583473739</v>
      </c>
      <c r="AI16" s="882">
        <v>29.471530388393848</v>
      </c>
      <c r="AJ16" s="882">
        <v>30.880159193313951</v>
      </c>
      <c r="AK16" s="882">
        <v>32.288787998234056</v>
      </c>
      <c r="AL16" s="882">
        <v>33.697416803154162</v>
      </c>
      <c r="AM16" s="882">
        <v>35.106045608074268</v>
      </c>
      <c r="AN16" s="882">
        <v>36.514674412994367</v>
      </c>
      <c r="AO16" s="882">
        <v>37.92330321791448</v>
      </c>
      <c r="AP16" s="882">
        <v>39.331932022834586</v>
      </c>
      <c r="AQ16" s="882">
        <v>40.740560827754685</v>
      </c>
      <c r="AR16" s="882">
        <v>42.149189632674791</v>
      </c>
      <c r="AS16" s="882">
        <v>43.557818437594904</v>
      </c>
      <c r="AT16" s="882">
        <v>44.966447242514988</v>
      </c>
    </row>
    <row r="17" spans="1:46">
      <c r="A17" s="1426"/>
      <c r="B17" s="1427"/>
      <c r="C17" s="887">
        <v>1.1000000000000001</v>
      </c>
      <c r="D17" s="902">
        <f>(AA17*KFC!$B$16+KFC!$C$16)*KFC!$C$5</f>
        <v>18.682335474005249</v>
      </c>
      <c r="E17" s="898">
        <f>(AB17*KFC!$B$16+KFC!$C$16)*KFC!$C$5</f>
        <v>20.186710469792999</v>
      </c>
      <c r="F17" s="898">
        <f>(AC17*KFC!$B$16+KFC!$C$16)*KFC!$C$5</f>
        <v>21.691085465580748</v>
      </c>
      <c r="G17" s="898">
        <f>(AD17*KFC!$B$16+KFC!$C$16)*KFC!$C$5</f>
        <v>23.195460461368494</v>
      </c>
      <c r="H17" s="898">
        <f>(AE17*KFC!$B$16+KFC!$C$16)*KFC!$C$5</f>
        <v>24.699835457156244</v>
      </c>
      <c r="I17" s="898">
        <f>(AF17*KFC!$B$16+KFC!$C$16)*KFC!$C$5</f>
        <v>26.204210452943993</v>
      </c>
      <c r="J17" s="898">
        <f>(AG17*KFC!$B$16+KFC!$C$16)*KFC!$C$5</f>
        <v>27.708585448731743</v>
      </c>
      <c r="K17" s="898">
        <f>(AH17*KFC!$B$16+KFC!$C$16)*KFC!$C$5</f>
        <v>29.212960444519489</v>
      </c>
      <c r="L17" s="898">
        <f>(AI17*KFC!$B$16+KFC!$C$16)*KFC!$C$5</f>
        <v>30.717335440307235</v>
      </c>
      <c r="M17" s="898">
        <f>(AJ17*KFC!$B$16+KFC!$C$16)*KFC!$C$5</f>
        <v>32.221710436094988</v>
      </c>
      <c r="N17" s="898">
        <f>(AK17*KFC!$B$16+KFC!$C$16)*KFC!$C$5</f>
        <v>33.72608543188273</v>
      </c>
      <c r="O17" s="898">
        <f>(AL17*KFC!$B$16+KFC!$C$16)*KFC!$C$5</f>
        <v>35.230460427670486</v>
      </c>
      <c r="P17" s="898">
        <f>(AM17*KFC!$B$16+KFC!$C$16)*KFC!$C$5</f>
        <v>36.734835423458236</v>
      </c>
      <c r="Q17" s="898">
        <f>(AN17*KFC!$B$16+KFC!$C$16)*KFC!$C$5</f>
        <v>38.239210419245978</v>
      </c>
      <c r="R17" s="898">
        <f>(AO17*KFC!$B$16+KFC!$C$16)*KFC!$C$5</f>
        <v>39.743585415033735</v>
      </c>
      <c r="S17" s="898">
        <f>(AP17*KFC!$B$16+KFC!$C$16)*KFC!$C$5</f>
        <v>41.247960410821477</v>
      </c>
      <c r="T17" s="898">
        <f>(AQ17*KFC!$B$16+KFC!$C$16)*KFC!$C$5</f>
        <v>42.752335406609227</v>
      </c>
      <c r="U17" s="898">
        <f>(AR17*KFC!$B$16+KFC!$C$16)*KFC!$C$5</f>
        <v>44.256710402396969</v>
      </c>
      <c r="V17" s="898">
        <f>(AS17*KFC!$B$16+KFC!$C$16)*KFC!$C$5</f>
        <v>45.761085398184726</v>
      </c>
      <c r="W17" s="903">
        <f>(AT17*KFC!$B$16+KFC!$C$16)*KFC!$C$5</f>
        <v>47.265460393972482</v>
      </c>
      <c r="Y17" s="1277"/>
      <c r="Z17" s="649">
        <v>1.1000000000000001</v>
      </c>
      <c r="AA17" s="882">
        <v>18.682335474005249</v>
      </c>
      <c r="AB17" s="882">
        <v>20.186710469792999</v>
      </c>
      <c r="AC17" s="882">
        <v>21.691085465580748</v>
      </c>
      <c r="AD17" s="882">
        <v>23.195460461368494</v>
      </c>
      <c r="AE17" s="882">
        <v>24.699835457156244</v>
      </c>
      <c r="AF17" s="882">
        <v>26.204210452943993</v>
      </c>
      <c r="AG17" s="882">
        <v>27.708585448731743</v>
      </c>
      <c r="AH17" s="882">
        <v>29.212960444519489</v>
      </c>
      <c r="AI17" s="882">
        <v>30.717335440307235</v>
      </c>
      <c r="AJ17" s="882">
        <v>32.221710436094988</v>
      </c>
      <c r="AK17" s="882">
        <v>33.72608543188273</v>
      </c>
      <c r="AL17" s="882">
        <v>35.230460427670486</v>
      </c>
      <c r="AM17" s="882">
        <v>36.734835423458236</v>
      </c>
      <c r="AN17" s="882">
        <v>38.239210419245978</v>
      </c>
      <c r="AO17" s="882">
        <v>39.743585415033735</v>
      </c>
      <c r="AP17" s="882">
        <v>41.247960410821477</v>
      </c>
      <c r="AQ17" s="882">
        <v>42.752335406609227</v>
      </c>
      <c r="AR17" s="882">
        <v>44.256710402396969</v>
      </c>
      <c r="AS17" s="882">
        <v>45.761085398184726</v>
      </c>
      <c r="AT17" s="882">
        <v>47.265460393972482</v>
      </c>
    </row>
    <row r="18" spans="1:46">
      <c r="A18" s="1426"/>
      <c r="B18" s="1427"/>
      <c r="C18" s="887">
        <v>1.2</v>
      </c>
      <c r="D18" s="902">
        <f>(AA18*KFC!$B$16+KFC!$C$16)*KFC!$C$5</f>
        <v>19.162170998977498</v>
      </c>
      <c r="E18" s="898">
        <f>(AB18*KFC!$B$16+KFC!$C$16)*KFC!$C$5</f>
        <v>20.762292185632894</v>
      </c>
      <c r="F18" s="898">
        <f>(AC18*KFC!$B$16+KFC!$C$16)*KFC!$C$5</f>
        <v>22.362413372288287</v>
      </c>
      <c r="G18" s="898">
        <f>(AD18*KFC!$B$16+KFC!$C$16)*KFC!$C$5</f>
        <v>23.962534558943677</v>
      </c>
      <c r="H18" s="898">
        <f>(AE18*KFC!$B$16+KFC!$C$16)*KFC!$C$5</f>
        <v>25.562655745599073</v>
      </c>
      <c r="I18" s="898">
        <f>(AF18*KFC!$B$16+KFC!$C$16)*KFC!$C$5</f>
        <v>27.162776932254467</v>
      </c>
      <c r="J18" s="898">
        <f>(AG18*KFC!$B$16+KFC!$C$16)*KFC!$C$5</f>
        <v>28.762898118909863</v>
      </c>
      <c r="K18" s="898">
        <f>(AH18*KFC!$B$16+KFC!$C$16)*KFC!$C$5</f>
        <v>30.363019305565256</v>
      </c>
      <c r="L18" s="898">
        <f>(AI18*KFC!$B$16+KFC!$C$16)*KFC!$C$5</f>
        <v>31.963140492220653</v>
      </c>
      <c r="M18" s="898">
        <f>(AJ18*KFC!$B$16+KFC!$C$16)*KFC!$C$5</f>
        <v>33.563261678876039</v>
      </c>
      <c r="N18" s="898">
        <f>(AK18*KFC!$B$16+KFC!$C$16)*KFC!$C$5</f>
        <v>35.163382865531439</v>
      </c>
      <c r="O18" s="898">
        <f>(AL18*KFC!$B$16+KFC!$C$16)*KFC!$C$5</f>
        <v>36.763504052186832</v>
      </c>
      <c r="P18" s="898">
        <f>(AM18*KFC!$B$16+KFC!$C$16)*KFC!$C$5</f>
        <v>38.363625238842232</v>
      </c>
      <c r="Q18" s="898">
        <f>(AN18*KFC!$B$16+KFC!$C$16)*KFC!$C$5</f>
        <v>39.963746425497625</v>
      </c>
      <c r="R18" s="898">
        <f>(AO18*KFC!$B$16+KFC!$C$16)*KFC!$C$5</f>
        <v>41.563867612153025</v>
      </c>
      <c r="S18" s="898">
        <f>(AP18*KFC!$B$16+KFC!$C$16)*KFC!$C$5</f>
        <v>43.163988798808411</v>
      </c>
      <c r="T18" s="898">
        <f>(AQ18*KFC!$B$16+KFC!$C$16)*KFC!$C$5</f>
        <v>44.764109985463818</v>
      </c>
      <c r="U18" s="898">
        <f>(AR18*KFC!$B$16+KFC!$C$16)*KFC!$C$5</f>
        <v>46.364231172119212</v>
      </c>
      <c r="V18" s="898">
        <f>(AS18*KFC!$B$16+KFC!$C$16)*KFC!$C$5</f>
        <v>47.964352358774605</v>
      </c>
      <c r="W18" s="903">
        <f>(AT18*KFC!$B$16+KFC!$C$16)*KFC!$C$5</f>
        <v>49.564473545429983</v>
      </c>
      <c r="Y18" s="1277"/>
      <c r="Z18" s="649">
        <v>1.2</v>
      </c>
      <c r="AA18" s="882">
        <v>19.162170998977498</v>
      </c>
      <c r="AB18" s="882">
        <v>20.762292185632894</v>
      </c>
      <c r="AC18" s="882">
        <v>22.362413372288287</v>
      </c>
      <c r="AD18" s="882">
        <v>23.962534558943677</v>
      </c>
      <c r="AE18" s="882">
        <v>25.562655745599073</v>
      </c>
      <c r="AF18" s="882">
        <v>27.162776932254467</v>
      </c>
      <c r="AG18" s="882">
        <v>28.762898118909863</v>
      </c>
      <c r="AH18" s="882">
        <v>30.363019305565256</v>
      </c>
      <c r="AI18" s="882">
        <v>31.963140492220653</v>
      </c>
      <c r="AJ18" s="882">
        <v>33.563261678876039</v>
      </c>
      <c r="AK18" s="882">
        <v>35.163382865531439</v>
      </c>
      <c r="AL18" s="882">
        <v>36.763504052186832</v>
      </c>
      <c r="AM18" s="882">
        <v>38.363625238842232</v>
      </c>
      <c r="AN18" s="882">
        <v>39.963746425497625</v>
      </c>
      <c r="AO18" s="882">
        <v>41.563867612153025</v>
      </c>
      <c r="AP18" s="882">
        <v>43.163988798808411</v>
      </c>
      <c r="AQ18" s="882">
        <v>44.764109985463818</v>
      </c>
      <c r="AR18" s="882">
        <v>46.364231172119212</v>
      </c>
      <c r="AS18" s="882">
        <v>47.964352358774605</v>
      </c>
      <c r="AT18" s="882">
        <v>49.564473545429983</v>
      </c>
    </row>
    <row r="19" spans="1:46">
      <c r="A19" s="1426"/>
      <c r="B19" s="1427"/>
      <c r="C19" s="887">
        <v>1.3</v>
      </c>
      <c r="D19" s="902">
        <f>(AA19*KFC!$B$16+KFC!$C$16)*KFC!$C$5</f>
        <v>19.64200652394975</v>
      </c>
      <c r="E19" s="898">
        <f>(AB19*KFC!$B$16+KFC!$C$16)*KFC!$C$5</f>
        <v>21.33787390147279</v>
      </c>
      <c r="F19" s="898">
        <f>(AC19*KFC!$B$16+KFC!$C$16)*KFC!$C$5</f>
        <v>23.033741278995826</v>
      </c>
      <c r="G19" s="898">
        <f>(AD19*KFC!$B$16+KFC!$C$16)*KFC!$C$5</f>
        <v>24.729608656518867</v>
      </c>
      <c r="H19" s="898">
        <f>(AE19*KFC!$B$16+KFC!$C$16)*KFC!$C$5</f>
        <v>26.425476034041903</v>
      </c>
      <c r="I19" s="898">
        <f>(AF19*KFC!$B$16+KFC!$C$16)*KFC!$C$5</f>
        <v>28.121343411564943</v>
      </c>
      <c r="J19" s="898">
        <f>(AG19*KFC!$B$16+KFC!$C$16)*KFC!$C$5</f>
        <v>29.81721078908798</v>
      </c>
      <c r="K19" s="898">
        <f>(AH19*KFC!$B$16+KFC!$C$16)*KFC!$C$5</f>
        <v>31.513078166611024</v>
      </c>
      <c r="L19" s="898">
        <f>(AI19*KFC!$B$16+KFC!$C$16)*KFC!$C$5</f>
        <v>33.20894554413406</v>
      </c>
      <c r="M19" s="898">
        <f>(AJ19*KFC!$B$16+KFC!$C$16)*KFC!$C$5</f>
        <v>34.904812921657104</v>
      </c>
      <c r="N19" s="898">
        <f>(AK19*KFC!$B$16+KFC!$C$16)*KFC!$C$5</f>
        <v>36.600680299180141</v>
      </c>
      <c r="O19" s="898">
        <f>(AL19*KFC!$B$16+KFC!$C$16)*KFC!$C$5</f>
        <v>38.296547676703177</v>
      </c>
      <c r="P19" s="898">
        <f>(AM19*KFC!$B$16+KFC!$C$16)*KFC!$C$5</f>
        <v>39.992415054226214</v>
      </c>
      <c r="Q19" s="898">
        <f>(AN19*KFC!$B$16+KFC!$C$16)*KFC!$C$5</f>
        <v>41.688282431749258</v>
      </c>
      <c r="R19" s="898">
        <f>(AO19*KFC!$B$16+KFC!$C$16)*KFC!$C$5</f>
        <v>43.384149809272294</v>
      </c>
      <c r="S19" s="898">
        <f>(AP19*KFC!$B$16+KFC!$C$16)*KFC!$C$5</f>
        <v>45.080017186795331</v>
      </c>
      <c r="T19" s="898">
        <f>(AQ19*KFC!$B$16+KFC!$C$16)*KFC!$C$5</f>
        <v>46.775884564318375</v>
      </c>
      <c r="U19" s="898">
        <f>(AR19*KFC!$B$16+KFC!$C$16)*KFC!$C$5</f>
        <v>48.471751941841418</v>
      </c>
      <c r="V19" s="898">
        <f>(AS19*KFC!$B$16+KFC!$C$16)*KFC!$C$5</f>
        <v>50.167619319364448</v>
      </c>
      <c r="W19" s="903">
        <f>(AT19*KFC!$B$16+KFC!$C$16)*KFC!$C$5</f>
        <v>51.863486696887477</v>
      </c>
      <c r="Y19" s="1277"/>
      <c r="Z19" s="649">
        <v>1.3</v>
      </c>
      <c r="AA19" s="882">
        <v>19.64200652394975</v>
      </c>
      <c r="AB19" s="882">
        <v>21.33787390147279</v>
      </c>
      <c r="AC19" s="882">
        <v>23.033741278995826</v>
      </c>
      <c r="AD19" s="882">
        <v>24.729608656518867</v>
      </c>
      <c r="AE19" s="882">
        <v>26.425476034041903</v>
      </c>
      <c r="AF19" s="882">
        <v>28.121343411564943</v>
      </c>
      <c r="AG19" s="882">
        <v>29.81721078908798</v>
      </c>
      <c r="AH19" s="882">
        <v>31.513078166611024</v>
      </c>
      <c r="AI19" s="882">
        <v>33.20894554413406</v>
      </c>
      <c r="AJ19" s="882">
        <v>34.904812921657104</v>
      </c>
      <c r="AK19" s="882">
        <v>36.600680299180141</v>
      </c>
      <c r="AL19" s="882">
        <v>38.296547676703177</v>
      </c>
      <c r="AM19" s="882">
        <v>39.992415054226214</v>
      </c>
      <c r="AN19" s="882">
        <v>41.688282431749258</v>
      </c>
      <c r="AO19" s="882">
        <v>43.384149809272294</v>
      </c>
      <c r="AP19" s="882">
        <v>45.080017186795331</v>
      </c>
      <c r="AQ19" s="882">
        <v>46.775884564318375</v>
      </c>
      <c r="AR19" s="882">
        <v>48.471751941841418</v>
      </c>
      <c r="AS19" s="882">
        <v>50.167619319364448</v>
      </c>
      <c r="AT19" s="882">
        <v>51.863486696887477</v>
      </c>
    </row>
    <row r="20" spans="1:46">
      <c r="A20" s="1426"/>
      <c r="B20" s="1427"/>
      <c r="C20" s="887">
        <v>1.4</v>
      </c>
      <c r="D20" s="902">
        <f>(AA20*KFC!$B$16+KFC!$C$16)*KFC!$C$5</f>
        <v>20.121842048921998</v>
      </c>
      <c r="E20" s="898">
        <f>(AB20*KFC!$B$16+KFC!$C$16)*KFC!$C$5</f>
        <v>21.913455617312682</v>
      </c>
      <c r="F20" s="898">
        <f>(AC20*KFC!$B$16+KFC!$C$16)*KFC!$C$5</f>
        <v>23.705069185703362</v>
      </c>
      <c r="G20" s="898">
        <f>(AD20*KFC!$B$16+KFC!$C$16)*KFC!$C$5</f>
        <v>25.496682754094046</v>
      </c>
      <c r="H20" s="898">
        <f>(AE20*KFC!$B$16+KFC!$C$16)*KFC!$C$5</f>
        <v>27.288296322484722</v>
      </c>
      <c r="I20" s="898">
        <f>(AF20*KFC!$B$16+KFC!$C$16)*KFC!$C$5</f>
        <v>29.079909890875403</v>
      </c>
      <c r="J20" s="898">
        <f>(AG20*KFC!$B$16+KFC!$C$16)*KFC!$C$5</f>
        <v>30.871523459266086</v>
      </c>
      <c r="K20" s="898">
        <f>(AH20*KFC!$B$16+KFC!$C$16)*KFC!$C$5</f>
        <v>32.663137027656767</v>
      </c>
      <c r="L20" s="898">
        <f>(AI20*KFC!$B$16+KFC!$C$16)*KFC!$C$5</f>
        <v>34.454750596047447</v>
      </c>
      <c r="M20" s="898">
        <f>(AJ20*KFC!$B$16+KFC!$C$16)*KFC!$C$5</f>
        <v>36.246364164438127</v>
      </c>
      <c r="N20" s="898">
        <f>(AK20*KFC!$B$16+KFC!$C$16)*KFC!$C$5</f>
        <v>38.037977732828807</v>
      </c>
      <c r="O20" s="898">
        <f>(AL20*KFC!$B$16+KFC!$C$16)*KFC!$C$5</f>
        <v>39.829591301219494</v>
      </c>
      <c r="P20" s="898">
        <f>(AM20*KFC!$B$16+KFC!$C$16)*KFC!$C$5</f>
        <v>41.621204869610175</v>
      </c>
      <c r="Q20" s="898">
        <f>(AN20*KFC!$B$16+KFC!$C$16)*KFC!$C$5</f>
        <v>43.412818438000855</v>
      </c>
      <c r="R20" s="898">
        <f>(AO20*KFC!$B$16+KFC!$C$16)*KFC!$C$5</f>
        <v>45.204432006391535</v>
      </c>
      <c r="S20" s="898">
        <f>(AP20*KFC!$B$16+KFC!$C$16)*KFC!$C$5</f>
        <v>46.996045574782208</v>
      </c>
      <c r="T20" s="898">
        <f>(AQ20*KFC!$B$16+KFC!$C$16)*KFC!$C$5</f>
        <v>48.787659143172903</v>
      </c>
      <c r="U20" s="898">
        <f>(AR20*KFC!$B$16+KFC!$C$16)*KFC!$C$5</f>
        <v>50.579272711563576</v>
      </c>
      <c r="V20" s="898">
        <f>(AS20*KFC!$B$16+KFC!$C$16)*KFC!$C$5</f>
        <v>52.370886279954256</v>
      </c>
      <c r="W20" s="903">
        <f>(AT20*KFC!$B$16+KFC!$C$16)*KFC!$C$5</f>
        <v>54.162499848344979</v>
      </c>
      <c r="Y20" s="1277"/>
      <c r="Z20" s="649">
        <v>1.4</v>
      </c>
      <c r="AA20" s="882">
        <v>20.121842048921998</v>
      </c>
      <c r="AB20" s="882">
        <v>21.913455617312682</v>
      </c>
      <c r="AC20" s="882">
        <v>23.705069185703362</v>
      </c>
      <c r="AD20" s="882">
        <v>25.496682754094046</v>
      </c>
      <c r="AE20" s="882">
        <v>27.288296322484722</v>
      </c>
      <c r="AF20" s="882">
        <v>29.079909890875403</v>
      </c>
      <c r="AG20" s="882">
        <v>30.871523459266086</v>
      </c>
      <c r="AH20" s="882">
        <v>32.663137027656767</v>
      </c>
      <c r="AI20" s="882">
        <v>34.454750596047447</v>
      </c>
      <c r="AJ20" s="882">
        <v>36.246364164438127</v>
      </c>
      <c r="AK20" s="882">
        <v>38.037977732828807</v>
      </c>
      <c r="AL20" s="882">
        <v>39.829591301219494</v>
      </c>
      <c r="AM20" s="882">
        <v>41.621204869610175</v>
      </c>
      <c r="AN20" s="882">
        <v>43.412818438000855</v>
      </c>
      <c r="AO20" s="882">
        <v>45.204432006391535</v>
      </c>
      <c r="AP20" s="882">
        <v>46.996045574782208</v>
      </c>
      <c r="AQ20" s="882">
        <v>48.787659143172903</v>
      </c>
      <c r="AR20" s="882">
        <v>50.579272711563576</v>
      </c>
      <c r="AS20" s="882">
        <v>52.370886279954256</v>
      </c>
      <c r="AT20" s="882">
        <v>54.162499848344979</v>
      </c>
    </row>
    <row r="21" spans="1:46">
      <c r="A21" s="1426"/>
      <c r="B21" s="1427"/>
      <c r="C21" s="887">
        <v>1.5</v>
      </c>
      <c r="D21" s="902">
        <f>(AA21*KFC!$B$16+KFC!$C$16)*KFC!$C$5</f>
        <v>20.60167757389425</v>
      </c>
      <c r="E21" s="898">
        <f>(AB21*KFC!$B$16+KFC!$C$16)*KFC!$C$5</f>
        <v>22.489037333152577</v>
      </c>
      <c r="F21" s="898">
        <f>(AC21*KFC!$B$16+KFC!$C$16)*KFC!$C$5</f>
        <v>24.376397092410901</v>
      </c>
      <c r="G21" s="898">
        <f>(AD21*KFC!$B$16+KFC!$C$16)*KFC!$C$5</f>
        <v>26.263756851669228</v>
      </c>
      <c r="H21" s="898">
        <f>(AE21*KFC!$B$16+KFC!$C$16)*KFC!$C$5</f>
        <v>28.151116610927556</v>
      </c>
      <c r="I21" s="898">
        <f>(AF21*KFC!$B$16+KFC!$C$16)*KFC!$C$5</f>
        <v>30.038476370185879</v>
      </c>
      <c r="J21" s="898">
        <f>(AG21*KFC!$B$16+KFC!$C$16)*KFC!$C$5</f>
        <v>31.92583612944421</v>
      </c>
      <c r="K21" s="898">
        <f>(AH21*KFC!$B$16+KFC!$C$16)*KFC!$C$5</f>
        <v>33.813195888702538</v>
      </c>
      <c r="L21" s="898">
        <f>(AI21*KFC!$B$16+KFC!$C$16)*KFC!$C$5</f>
        <v>35.700555647960861</v>
      </c>
      <c r="M21" s="898">
        <f>(AJ21*KFC!$B$16+KFC!$C$16)*KFC!$C$5</f>
        <v>37.587915407219192</v>
      </c>
      <c r="N21" s="898">
        <f>(AK21*KFC!$B$16+KFC!$C$16)*KFC!$C$5</f>
        <v>39.475275166477523</v>
      </c>
      <c r="O21" s="898">
        <f>(AL21*KFC!$B$16+KFC!$C$16)*KFC!$C$5</f>
        <v>41.362634925735854</v>
      </c>
      <c r="P21" s="898">
        <f>(AM21*KFC!$B$16+KFC!$C$16)*KFC!$C$5</f>
        <v>43.249994684994185</v>
      </c>
      <c r="Q21" s="898">
        <f>(AN21*KFC!$B$16+KFC!$C$16)*KFC!$C$5</f>
        <v>45.137354444252516</v>
      </c>
      <c r="R21" s="898">
        <f>(AO21*KFC!$B$16+KFC!$C$16)*KFC!$C$5</f>
        <v>47.024714203510833</v>
      </c>
      <c r="S21" s="898">
        <f>(AP21*KFC!$B$16+KFC!$C$16)*KFC!$C$5</f>
        <v>48.912073962769163</v>
      </c>
      <c r="T21" s="898">
        <f>(AQ21*KFC!$B$16+KFC!$C$16)*KFC!$C$5</f>
        <v>50.799433722027494</v>
      </c>
      <c r="U21" s="898">
        <f>(AR21*KFC!$B$16+KFC!$C$16)*KFC!$C$5</f>
        <v>52.686793481285825</v>
      </c>
      <c r="V21" s="898">
        <f>(AS21*KFC!$B$16+KFC!$C$16)*KFC!$C$5</f>
        <v>54.574153240544156</v>
      </c>
      <c r="W21" s="903">
        <f>(AT21*KFC!$B$16+KFC!$C$16)*KFC!$C$5</f>
        <v>56.461512999802466</v>
      </c>
      <c r="Y21" s="1277"/>
      <c r="Z21" s="649">
        <v>1.5</v>
      </c>
      <c r="AA21" s="882">
        <v>20.60167757389425</v>
      </c>
      <c r="AB21" s="882">
        <v>22.489037333152577</v>
      </c>
      <c r="AC21" s="882">
        <v>24.376397092410901</v>
      </c>
      <c r="AD21" s="882">
        <v>26.263756851669228</v>
      </c>
      <c r="AE21" s="882">
        <v>28.151116610927556</v>
      </c>
      <c r="AF21" s="882">
        <v>30.038476370185879</v>
      </c>
      <c r="AG21" s="882">
        <v>31.92583612944421</v>
      </c>
      <c r="AH21" s="882">
        <v>33.813195888702538</v>
      </c>
      <c r="AI21" s="882">
        <v>35.700555647960861</v>
      </c>
      <c r="AJ21" s="882">
        <v>37.587915407219192</v>
      </c>
      <c r="AK21" s="882">
        <v>39.475275166477523</v>
      </c>
      <c r="AL21" s="882">
        <v>41.362634925735854</v>
      </c>
      <c r="AM21" s="882">
        <v>43.249994684994185</v>
      </c>
      <c r="AN21" s="882">
        <v>45.137354444252516</v>
      </c>
      <c r="AO21" s="882">
        <v>47.024714203510833</v>
      </c>
      <c r="AP21" s="882">
        <v>48.912073962769163</v>
      </c>
      <c r="AQ21" s="882">
        <v>50.799433722027494</v>
      </c>
      <c r="AR21" s="882">
        <v>52.686793481285825</v>
      </c>
      <c r="AS21" s="882">
        <v>54.574153240544156</v>
      </c>
      <c r="AT21" s="882">
        <v>56.461512999802466</v>
      </c>
    </row>
    <row r="22" spans="1:46">
      <c r="A22" s="1426"/>
      <c r="B22" s="1427"/>
      <c r="C22" s="887">
        <v>1.6</v>
      </c>
      <c r="D22" s="902">
        <f>(AA22*KFC!$B$16+KFC!$C$16)*KFC!$C$5</f>
        <v>21.081513098866498</v>
      </c>
      <c r="E22" s="898">
        <f>(AB22*KFC!$B$16+KFC!$C$16)*KFC!$C$5</f>
        <v>23.064619048992473</v>
      </c>
      <c r="F22" s="898">
        <f>(AC22*KFC!$B$16+KFC!$C$16)*KFC!$C$5</f>
        <v>25.047724999118444</v>
      </c>
      <c r="G22" s="898">
        <f>(AD22*KFC!$B$16+KFC!$C$16)*KFC!$C$5</f>
        <v>27.030830949244418</v>
      </c>
      <c r="H22" s="898">
        <f>(AE22*KFC!$B$16+KFC!$C$16)*KFC!$C$5</f>
        <v>29.013936899370385</v>
      </c>
      <c r="I22" s="898">
        <f>(AF22*KFC!$B$16+KFC!$C$16)*KFC!$C$5</f>
        <v>30.99704284949636</v>
      </c>
      <c r="J22" s="898">
        <f>(AG22*KFC!$B$16+KFC!$C$16)*KFC!$C$5</f>
        <v>32.980148799622327</v>
      </c>
      <c r="K22" s="898">
        <f>(AH22*KFC!$B$16+KFC!$C$16)*KFC!$C$5</f>
        <v>34.963254749748302</v>
      </c>
      <c r="L22" s="898">
        <f>(AI22*KFC!$B$16+KFC!$C$16)*KFC!$C$5</f>
        <v>36.946360699874276</v>
      </c>
      <c r="M22" s="898">
        <f>(AJ22*KFC!$B$16+KFC!$C$16)*KFC!$C$5</f>
        <v>38.929466650000251</v>
      </c>
      <c r="N22" s="898">
        <f>(AK22*KFC!$B$16+KFC!$C$16)*KFC!$C$5</f>
        <v>40.912572600126218</v>
      </c>
      <c r="O22" s="898">
        <f>(AL22*KFC!$B$16+KFC!$C$16)*KFC!$C$5</f>
        <v>42.895678550252185</v>
      </c>
      <c r="P22" s="898">
        <f>(AM22*KFC!$B$16+KFC!$C$16)*KFC!$C$5</f>
        <v>44.878784500378167</v>
      </c>
      <c r="Q22" s="898">
        <f>(AN22*KFC!$B$16+KFC!$C$16)*KFC!$C$5</f>
        <v>46.861890450504134</v>
      </c>
      <c r="R22" s="898">
        <f>(AO22*KFC!$B$16+KFC!$C$16)*KFC!$C$5</f>
        <v>48.844996400630102</v>
      </c>
      <c r="S22" s="898">
        <f>(AP22*KFC!$B$16+KFC!$C$16)*KFC!$C$5</f>
        <v>50.828102350756083</v>
      </c>
      <c r="T22" s="898">
        <f>(AQ22*KFC!$B$16+KFC!$C$16)*KFC!$C$5</f>
        <v>52.811208300882051</v>
      </c>
      <c r="U22" s="898">
        <f>(AR22*KFC!$B$16+KFC!$C$16)*KFC!$C$5</f>
        <v>54.794314251008018</v>
      </c>
      <c r="V22" s="898">
        <f>(AS22*KFC!$B$16+KFC!$C$16)*KFC!$C$5</f>
        <v>56.777420201133992</v>
      </c>
      <c r="W22" s="903">
        <f>(AT22*KFC!$B$16+KFC!$C$16)*KFC!$C$5</f>
        <v>58.760526151259967</v>
      </c>
      <c r="Y22" s="1277"/>
      <c r="Z22" s="649">
        <v>1.6</v>
      </c>
      <c r="AA22" s="882">
        <v>21.081513098866498</v>
      </c>
      <c r="AB22" s="882">
        <v>23.064619048992473</v>
      </c>
      <c r="AC22" s="882">
        <v>25.047724999118444</v>
      </c>
      <c r="AD22" s="882">
        <v>27.030830949244418</v>
      </c>
      <c r="AE22" s="882">
        <v>29.013936899370385</v>
      </c>
      <c r="AF22" s="882">
        <v>30.99704284949636</v>
      </c>
      <c r="AG22" s="882">
        <v>32.980148799622327</v>
      </c>
      <c r="AH22" s="882">
        <v>34.963254749748302</v>
      </c>
      <c r="AI22" s="882">
        <v>36.946360699874276</v>
      </c>
      <c r="AJ22" s="882">
        <v>38.929466650000251</v>
      </c>
      <c r="AK22" s="882">
        <v>40.912572600126218</v>
      </c>
      <c r="AL22" s="882">
        <v>42.895678550252185</v>
      </c>
      <c r="AM22" s="882">
        <v>44.878784500378167</v>
      </c>
      <c r="AN22" s="882">
        <v>46.861890450504134</v>
      </c>
      <c r="AO22" s="882">
        <v>48.844996400630102</v>
      </c>
      <c r="AP22" s="882">
        <v>50.828102350756083</v>
      </c>
      <c r="AQ22" s="882">
        <v>52.811208300882051</v>
      </c>
      <c r="AR22" s="882">
        <v>54.794314251008018</v>
      </c>
      <c r="AS22" s="882">
        <v>56.777420201133992</v>
      </c>
      <c r="AT22" s="882">
        <v>58.760526151259967</v>
      </c>
    </row>
    <row r="23" spans="1:46">
      <c r="A23" s="1426"/>
      <c r="B23" s="1427"/>
      <c r="C23" s="887">
        <v>1.7</v>
      </c>
      <c r="D23" s="902">
        <f>(AA23*KFC!$B$16+KFC!$C$16)*KFC!$C$5</f>
        <v>21.56134862383875</v>
      </c>
      <c r="E23" s="898">
        <f>(AB23*KFC!$B$16+KFC!$C$16)*KFC!$C$5</f>
        <v>23.640200764832368</v>
      </c>
      <c r="F23" s="898">
        <f>(AC23*KFC!$B$16+KFC!$C$16)*KFC!$C$5</f>
        <v>25.719052905825986</v>
      </c>
      <c r="G23" s="898">
        <f>(AD23*KFC!$B$16+KFC!$C$16)*KFC!$C$5</f>
        <v>27.797905046819604</v>
      </c>
      <c r="H23" s="898">
        <f>(AE23*KFC!$B$16+KFC!$C$16)*KFC!$C$5</f>
        <v>29.876757187813219</v>
      </c>
      <c r="I23" s="898">
        <f>(AF23*KFC!$B$16+KFC!$C$16)*KFC!$C$5</f>
        <v>31.955609328806837</v>
      </c>
      <c r="J23" s="898">
        <f>(AG23*KFC!$B$16+KFC!$C$16)*KFC!$C$5</f>
        <v>34.034461469800455</v>
      </c>
      <c r="K23" s="898">
        <f>(AH23*KFC!$B$16+KFC!$C$16)*KFC!$C$5</f>
        <v>36.113313610794066</v>
      </c>
      <c r="L23" s="898">
        <f>(AI23*KFC!$B$16+KFC!$C$16)*KFC!$C$5</f>
        <v>38.192165751787684</v>
      </c>
      <c r="M23" s="898">
        <f>(AJ23*KFC!$B$16+KFC!$C$16)*KFC!$C$5</f>
        <v>40.271017892781295</v>
      </c>
      <c r="N23" s="898">
        <f>(AK23*KFC!$B$16+KFC!$C$16)*KFC!$C$5</f>
        <v>42.349870033774913</v>
      </c>
      <c r="O23" s="898">
        <f>(AL23*KFC!$B$16+KFC!$C$16)*KFC!$C$5</f>
        <v>44.428722174768531</v>
      </c>
      <c r="P23" s="898">
        <f>(AM23*KFC!$B$16+KFC!$C$16)*KFC!$C$5</f>
        <v>46.507574315762135</v>
      </c>
      <c r="Q23" s="898">
        <f>(AN23*KFC!$B$16+KFC!$C$16)*KFC!$C$5</f>
        <v>48.586426456755753</v>
      </c>
      <c r="R23" s="898">
        <f>(AO23*KFC!$B$16+KFC!$C$16)*KFC!$C$5</f>
        <v>50.665278597749364</v>
      </c>
      <c r="S23" s="898">
        <f>(AP23*KFC!$B$16+KFC!$C$16)*KFC!$C$5</f>
        <v>52.744130738742982</v>
      </c>
      <c r="T23" s="898">
        <f>(AQ23*KFC!$B$16+KFC!$C$16)*KFC!$C$5</f>
        <v>54.8229828797366</v>
      </c>
      <c r="U23" s="898">
        <f>(AR23*KFC!$B$16+KFC!$C$16)*KFC!$C$5</f>
        <v>56.901835020730203</v>
      </c>
      <c r="V23" s="898">
        <f>(AS23*KFC!$B$16+KFC!$C$16)*KFC!$C$5</f>
        <v>58.980687161723822</v>
      </c>
      <c r="W23" s="903">
        <f>(AT23*KFC!$B$16+KFC!$C$16)*KFC!$C$5</f>
        <v>61.059539302717461</v>
      </c>
      <c r="Y23" s="1277"/>
      <c r="Z23" s="649">
        <v>1.7</v>
      </c>
      <c r="AA23" s="882">
        <v>21.56134862383875</v>
      </c>
      <c r="AB23" s="882">
        <v>23.640200764832368</v>
      </c>
      <c r="AC23" s="882">
        <v>25.719052905825986</v>
      </c>
      <c r="AD23" s="882">
        <v>27.797905046819604</v>
      </c>
      <c r="AE23" s="882">
        <v>29.876757187813219</v>
      </c>
      <c r="AF23" s="882">
        <v>31.955609328806837</v>
      </c>
      <c r="AG23" s="882">
        <v>34.034461469800455</v>
      </c>
      <c r="AH23" s="882">
        <v>36.113313610794066</v>
      </c>
      <c r="AI23" s="882">
        <v>38.192165751787684</v>
      </c>
      <c r="AJ23" s="882">
        <v>40.271017892781295</v>
      </c>
      <c r="AK23" s="882">
        <v>42.349870033774913</v>
      </c>
      <c r="AL23" s="882">
        <v>44.428722174768531</v>
      </c>
      <c r="AM23" s="882">
        <v>46.507574315762135</v>
      </c>
      <c r="AN23" s="882">
        <v>48.586426456755753</v>
      </c>
      <c r="AO23" s="882">
        <v>50.665278597749364</v>
      </c>
      <c r="AP23" s="882">
        <v>52.744130738742982</v>
      </c>
      <c r="AQ23" s="882">
        <v>54.8229828797366</v>
      </c>
      <c r="AR23" s="882">
        <v>56.901835020730203</v>
      </c>
      <c r="AS23" s="882">
        <v>58.980687161723822</v>
      </c>
      <c r="AT23" s="882">
        <v>61.059539302717461</v>
      </c>
    </row>
    <row r="24" spans="1:46">
      <c r="A24" s="1426"/>
      <c r="B24" s="1427"/>
      <c r="C24" s="887">
        <v>1.8</v>
      </c>
      <c r="D24" s="902">
        <f>(AA24*KFC!$B$16+KFC!$C$16)*KFC!$C$5</f>
        <v>22.041184148810999</v>
      </c>
      <c r="E24" s="898">
        <f>(AB24*KFC!$B$16+KFC!$C$16)*KFC!$C$5</f>
        <v>24.21578248067226</v>
      </c>
      <c r="F24" s="898">
        <f>(AC24*KFC!$B$16+KFC!$C$16)*KFC!$C$5</f>
        <v>26.390380812533522</v>
      </c>
      <c r="G24" s="898">
        <f>(AD24*KFC!$B$16+KFC!$C$16)*KFC!$C$5</f>
        <v>28.564979144394787</v>
      </c>
      <c r="H24" s="898">
        <f>(AE24*KFC!$B$16+KFC!$C$16)*KFC!$C$5</f>
        <v>30.739577476256049</v>
      </c>
      <c r="I24" s="898">
        <f>(AF24*KFC!$B$16+KFC!$C$16)*KFC!$C$5</f>
        <v>32.914175808117314</v>
      </c>
      <c r="J24" s="898">
        <f>(AG24*KFC!$B$16+KFC!$C$16)*KFC!$C$5</f>
        <v>35.088774139978575</v>
      </c>
      <c r="K24" s="898">
        <f>(AH24*KFC!$B$16+KFC!$C$16)*KFC!$C$5</f>
        <v>37.263372471839837</v>
      </c>
      <c r="L24" s="898">
        <f>(AI24*KFC!$B$16+KFC!$C$16)*KFC!$C$5</f>
        <v>39.437970803701099</v>
      </c>
      <c r="M24" s="898">
        <f>(AJ24*KFC!$B$16+KFC!$C$16)*KFC!$C$5</f>
        <v>41.612569135562367</v>
      </c>
      <c r="N24" s="898">
        <f>(AK24*KFC!$B$16+KFC!$C$16)*KFC!$C$5</f>
        <v>43.787167467423622</v>
      </c>
      <c r="O24" s="898">
        <f>(AL24*KFC!$B$16+KFC!$C$16)*KFC!$C$5</f>
        <v>45.96176579928489</v>
      </c>
      <c r="P24" s="898">
        <f>(AM24*KFC!$B$16+KFC!$C$16)*KFC!$C$5</f>
        <v>48.136364131146152</v>
      </c>
      <c r="Q24" s="898">
        <f>(AN24*KFC!$B$16+KFC!$C$16)*KFC!$C$5</f>
        <v>50.310962463007421</v>
      </c>
      <c r="R24" s="898">
        <f>(AO24*KFC!$B$16+KFC!$C$16)*KFC!$C$5</f>
        <v>52.485560794868675</v>
      </c>
      <c r="S24" s="898">
        <f>(AP24*KFC!$B$16+KFC!$C$16)*KFC!$C$5</f>
        <v>54.660159126729944</v>
      </c>
      <c r="T24" s="898">
        <f>(AQ24*KFC!$B$16+KFC!$C$16)*KFC!$C$5</f>
        <v>56.834757458591199</v>
      </c>
      <c r="U24" s="898">
        <f>(AR24*KFC!$B$16+KFC!$C$16)*KFC!$C$5</f>
        <v>59.009355790452467</v>
      </c>
      <c r="V24" s="898">
        <f>(AS24*KFC!$B$16+KFC!$C$16)*KFC!$C$5</f>
        <v>61.183954122313736</v>
      </c>
      <c r="W24" s="903">
        <f>(AT24*KFC!$B$16+KFC!$C$16)*KFC!$C$5</f>
        <v>63.358552454174962</v>
      </c>
      <c r="Y24" s="1277"/>
      <c r="Z24" s="649">
        <v>1.8</v>
      </c>
      <c r="AA24" s="882">
        <v>22.041184148810999</v>
      </c>
      <c r="AB24" s="882">
        <v>24.21578248067226</v>
      </c>
      <c r="AC24" s="882">
        <v>26.390380812533522</v>
      </c>
      <c r="AD24" s="882">
        <v>28.564979144394787</v>
      </c>
      <c r="AE24" s="882">
        <v>30.739577476256049</v>
      </c>
      <c r="AF24" s="882">
        <v>32.914175808117314</v>
      </c>
      <c r="AG24" s="882">
        <v>35.088774139978575</v>
      </c>
      <c r="AH24" s="882">
        <v>37.263372471839837</v>
      </c>
      <c r="AI24" s="882">
        <v>39.437970803701099</v>
      </c>
      <c r="AJ24" s="882">
        <v>41.612569135562367</v>
      </c>
      <c r="AK24" s="882">
        <v>43.787167467423622</v>
      </c>
      <c r="AL24" s="882">
        <v>45.96176579928489</v>
      </c>
      <c r="AM24" s="882">
        <v>48.136364131146152</v>
      </c>
      <c r="AN24" s="882">
        <v>50.310962463007421</v>
      </c>
      <c r="AO24" s="882">
        <v>52.485560794868675</v>
      </c>
      <c r="AP24" s="882">
        <v>54.660159126729944</v>
      </c>
      <c r="AQ24" s="882">
        <v>56.834757458591199</v>
      </c>
      <c r="AR24" s="882">
        <v>59.009355790452467</v>
      </c>
      <c r="AS24" s="882">
        <v>61.183954122313736</v>
      </c>
      <c r="AT24" s="882">
        <v>63.358552454174962</v>
      </c>
    </row>
    <row r="25" spans="1:46">
      <c r="A25" s="1426"/>
      <c r="B25" s="1427"/>
      <c r="C25" s="887">
        <v>1.9</v>
      </c>
      <c r="D25" s="902">
        <f>(AA25*KFC!$B$16+KFC!$C$16)*KFC!$C$5</f>
        <v>22.521019673783247</v>
      </c>
      <c r="E25" s="898">
        <f>(AB25*KFC!$B$16+KFC!$C$16)*KFC!$C$5</f>
        <v>24.791364196512152</v>
      </c>
      <c r="F25" s="898">
        <f>(AC25*KFC!$B$16+KFC!$C$16)*KFC!$C$5</f>
        <v>27.061708719241057</v>
      </c>
      <c r="G25" s="898">
        <f>(AD25*KFC!$B$16+KFC!$C$16)*KFC!$C$5</f>
        <v>29.332053241969962</v>
      </c>
      <c r="H25" s="898">
        <f>(AE25*KFC!$B$16+KFC!$C$16)*KFC!$C$5</f>
        <v>31.602397764698868</v>
      </c>
      <c r="I25" s="898">
        <f>(AF25*KFC!$B$16+KFC!$C$16)*KFC!$C$5</f>
        <v>33.872742287427769</v>
      </c>
      <c r="J25" s="898">
        <f>(AG25*KFC!$B$16+KFC!$C$16)*KFC!$C$5</f>
        <v>36.143086810156674</v>
      </c>
      <c r="K25" s="898">
        <f>(AH25*KFC!$B$16+KFC!$C$16)*KFC!$C$5</f>
        <v>38.41343133288558</v>
      </c>
      <c r="L25" s="898">
        <f>(AI25*KFC!$B$16+KFC!$C$16)*KFC!$C$5</f>
        <v>40.683775855614485</v>
      </c>
      <c r="M25" s="898">
        <f>(AJ25*KFC!$B$16+KFC!$C$16)*KFC!$C$5</f>
        <v>42.95412037834339</v>
      </c>
      <c r="N25" s="898">
        <f>(AK25*KFC!$B$16+KFC!$C$16)*KFC!$C$5</f>
        <v>45.224464901072295</v>
      </c>
      <c r="O25" s="898">
        <f>(AL25*KFC!$B$16+KFC!$C$16)*KFC!$C$5</f>
        <v>47.4948094238012</v>
      </c>
      <c r="P25" s="898">
        <f>(AM25*KFC!$B$16+KFC!$C$16)*KFC!$C$5</f>
        <v>49.765153946530106</v>
      </c>
      <c r="Q25" s="898">
        <f>(AN25*KFC!$B$16+KFC!$C$16)*KFC!$C$5</f>
        <v>52.035498469259011</v>
      </c>
      <c r="R25" s="898">
        <f>(AO25*KFC!$B$16+KFC!$C$16)*KFC!$C$5</f>
        <v>54.305842991987916</v>
      </c>
      <c r="S25" s="898">
        <f>(AP25*KFC!$B$16+KFC!$C$16)*KFC!$C$5</f>
        <v>56.576187514716821</v>
      </c>
      <c r="T25" s="898">
        <f>(AQ25*KFC!$B$16+KFC!$C$16)*KFC!$C$5</f>
        <v>58.846532037445726</v>
      </c>
      <c r="U25" s="898">
        <f>(AR25*KFC!$B$16+KFC!$C$16)*KFC!$C$5</f>
        <v>61.116876560174632</v>
      </c>
      <c r="V25" s="898">
        <f>(AS25*KFC!$B$16+KFC!$C$16)*KFC!$C$5</f>
        <v>63.387221082903537</v>
      </c>
      <c r="W25" s="903">
        <f>(AT25*KFC!$B$16+KFC!$C$16)*KFC!$C$5</f>
        <v>65.657565605632456</v>
      </c>
      <c r="Y25" s="1277"/>
      <c r="Z25" s="649">
        <v>1.9</v>
      </c>
      <c r="AA25" s="882">
        <v>22.521019673783247</v>
      </c>
      <c r="AB25" s="882">
        <v>24.791364196512152</v>
      </c>
      <c r="AC25" s="882">
        <v>27.061708719241057</v>
      </c>
      <c r="AD25" s="882">
        <v>29.332053241969962</v>
      </c>
      <c r="AE25" s="882">
        <v>31.602397764698868</v>
      </c>
      <c r="AF25" s="882">
        <v>33.872742287427769</v>
      </c>
      <c r="AG25" s="882">
        <v>36.143086810156674</v>
      </c>
      <c r="AH25" s="882">
        <v>38.41343133288558</v>
      </c>
      <c r="AI25" s="882">
        <v>40.683775855614485</v>
      </c>
      <c r="AJ25" s="882">
        <v>42.95412037834339</v>
      </c>
      <c r="AK25" s="882">
        <v>45.224464901072295</v>
      </c>
      <c r="AL25" s="882">
        <v>47.4948094238012</v>
      </c>
      <c r="AM25" s="882">
        <v>49.765153946530106</v>
      </c>
      <c r="AN25" s="882">
        <v>52.035498469259011</v>
      </c>
      <c r="AO25" s="882">
        <v>54.305842991987916</v>
      </c>
      <c r="AP25" s="882">
        <v>56.576187514716821</v>
      </c>
      <c r="AQ25" s="882">
        <v>58.846532037445726</v>
      </c>
      <c r="AR25" s="882">
        <v>61.116876560174632</v>
      </c>
      <c r="AS25" s="882">
        <v>63.387221082903537</v>
      </c>
      <c r="AT25" s="882">
        <v>65.657565605632456</v>
      </c>
    </row>
    <row r="26" spans="1:46">
      <c r="A26" s="1426"/>
      <c r="B26" s="1427"/>
      <c r="C26" s="887">
        <v>2</v>
      </c>
      <c r="D26" s="902">
        <f>(AA26*KFC!$B$16+KFC!$C$16)*KFC!$C$5</f>
        <v>23.000855198755499</v>
      </c>
      <c r="E26" s="898">
        <f>(AB26*KFC!$B$16+KFC!$C$16)*KFC!$C$5</f>
        <v>25.366945912352048</v>
      </c>
      <c r="F26" s="898">
        <f>(AC26*KFC!$B$16+KFC!$C$16)*KFC!$C$5</f>
        <v>27.733036625948603</v>
      </c>
      <c r="G26" s="898">
        <f>(AD26*KFC!$B$16+KFC!$C$16)*KFC!$C$5</f>
        <v>30.099127339545152</v>
      </c>
      <c r="H26" s="898">
        <f>(AE26*KFC!$B$16+KFC!$C$16)*KFC!$C$5</f>
        <v>32.465218053141697</v>
      </c>
      <c r="I26" s="898">
        <f>(AF26*KFC!$B$16+KFC!$C$16)*KFC!$C$5</f>
        <v>34.831308766738253</v>
      </c>
      <c r="J26" s="898">
        <f>(AG26*KFC!$B$16+KFC!$C$16)*KFC!$C$5</f>
        <v>37.197399480334802</v>
      </c>
      <c r="K26" s="898">
        <f>(AH26*KFC!$B$16+KFC!$C$16)*KFC!$C$5</f>
        <v>39.563490193931351</v>
      </c>
      <c r="L26" s="898">
        <f>(AI26*KFC!$B$16+KFC!$C$16)*KFC!$C$5</f>
        <v>41.929580907527892</v>
      </c>
      <c r="M26" s="898">
        <f>(AJ26*KFC!$B$16+KFC!$C$16)*KFC!$C$5</f>
        <v>44.295671621124448</v>
      </c>
      <c r="N26" s="898">
        <f>(AK26*KFC!$B$16+KFC!$C$16)*KFC!$C$5</f>
        <v>46.66176233472099</v>
      </c>
      <c r="O26" s="898">
        <f>(AL26*KFC!$B$16+KFC!$C$16)*KFC!$C$5</f>
        <v>49.027853048317539</v>
      </c>
      <c r="P26" s="898">
        <f>(AM26*KFC!$B$16+KFC!$C$16)*KFC!$C$5</f>
        <v>51.39394376191408</v>
      </c>
      <c r="Q26" s="898">
        <f>(AN26*KFC!$B$16+KFC!$C$16)*KFC!$C$5</f>
        <v>53.760034475510622</v>
      </c>
      <c r="R26" s="898">
        <f>(AO26*KFC!$B$16+KFC!$C$16)*KFC!$C$5</f>
        <v>56.126125189107178</v>
      </c>
      <c r="S26" s="898">
        <f>(AP26*KFC!$B$16+KFC!$C$16)*KFC!$C$5</f>
        <v>58.49221590270372</v>
      </c>
      <c r="T26" s="898">
        <f>(AQ26*KFC!$B$16+KFC!$C$16)*KFC!$C$5</f>
        <v>60.858306616300275</v>
      </c>
      <c r="U26" s="898">
        <f>(AR26*KFC!$B$16+KFC!$C$16)*KFC!$C$5</f>
        <v>63.224397329896817</v>
      </c>
      <c r="V26" s="898">
        <f>(AS26*KFC!$B$16+KFC!$C$16)*KFC!$C$5</f>
        <v>65.590488043493366</v>
      </c>
      <c r="W26" s="903">
        <f>(AT26*KFC!$B$16+KFC!$C$16)*KFC!$C$5</f>
        <v>67.956578757089943</v>
      </c>
      <c r="Y26" s="1277"/>
      <c r="Z26" s="649">
        <v>2</v>
      </c>
      <c r="AA26" s="882">
        <v>23.000855198755499</v>
      </c>
      <c r="AB26" s="882">
        <v>25.366945912352048</v>
      </c>
      <c r="AC26" s="882">
        <v>27.733036625948603</v>
      </c>
      <c r="AD26" s="882">
        <v>30.099127339545152</v>
      </c>
      <c r="AE26" s="882">
        <v>32.465218053141697</v>
      </c>
      <c r="AF26" s="882">
        <v>34.831308766738253</v>
      </c>
      <c r="AG26" s="882">
        <v>37.197399480334802</v>
      </c>
      <c r="AH26" s="882">
        <v>39.563490193931351</v>
      </c>
      <c r="AI26" s="882">
        <v>41.929580907527892</v>
      </c>
      <c r="AJ26" s="882">
        <v>44.295671621124448</v>
      </c>
      <c r="AK26" s="882">
        <v>46.66176233472099</v>
      </c>
      <c r="AL26" s="882">
        <v>49.027853048317539</v>
      </c>
      <c r="AM26" s="882">
        <v>51.39394376191408</v>
      </c>
      <c r="AN26" s="882">
        <v>53.760034475510622</v>
      </c>
      <c r="AO26" s="882">
        <v>56.126125189107178</v>
      </c>
      <c r="AP26" s="882">
        <v>58.49221590270372</v>
      </c>
      <c r="AQ26" s="882">
        <v>60.858306616300275</v>
      </c>
      <c r="AR26" s="882">
        <v>63.224397329896817</v>
      </c>
      <c r="AS26" s="882">
        <v>65.590488043493366</v>
      </c>
      <c r="AT26" s="882">
        <v>67.956578757089943</v>
      </c>
    </row>
    <row r="27" spans="1:46">
      <c r="A27" s="1426"/>
      <c r="B27" s="1427"/>
      <c r="C27" s="887">
        <v>2.1</v>
      </c>
      <c r="D27" s="902">
        <f>(AA27*KFC!$B$16+KFC!$C$16)*KFC!$C$5</f>
        <v>23.480690723727751</v>
      </c>
      <c r="E27" s="898">
        <f>(AB27*KFC!$B$16+KFC!$C$16)*KFC!$C$5</f>
        <v>25.942527628191943</v>
      </c>
      <c r="F27" s="898">
        <f>(AC27*KFC!$B$16+KFC!$C$16)*KFC!$C$5</f>
        <v>28.404364532656142</v>
      </c>
      <c r="G27" s="898">
        <f>(AD27*KFC!$B$16+KFC!$C$16)*KFC!$C$5</f>
        <v>30.866201437120338</v>
      </c>
      <c r="H27" s="898">
        <f>(AE27*KFC!$B$16+KFC!$C$16)*KFC!$C$5</f>
        <v>33.328038341584531</v>
      </c>
      <c r="I27" s="898">
        <f>(AF27*KFC!$B$16+KFC!$C$16)*KFC!$C$5</f>
        <v>35.78987524604873</v>
      </c>
      <c r="J27" s="898">
        <f>(AG27*KFC!$B$16+KFC!$C$16)*KFC!$C$5</f>
        <v>38.251712150512923</v>
      </c>
      <c r="K27" s="898">
        <f>(AH27*KFC!$B$16+KFC!$C$16)*KFC!$C$5</f>
        <v>40.713549054977115</v>
      </c>
      <c r="L27" s="898">
        <f>(AI27*KFC!$B$16+KFC!$C$16)*KFC!$C$5</f>
        <v>43.175385959441314</v>
      </c>
      <c r="M27" s="898">
        <f>(AJ27*KFC!$B$16+KFC!$C$16)*KFC!$C$5</f>
        <v>45.637222863905514</v>
      </c>
      <c r="N27" s="898">
        <f>(AK27*KFC!$B$16+KFC!$C$16)*KFC!$C$5</f>
        <v>48.099059768369706</v>
      </c>
      <c r="O27" s="898">
        <f>(AL27*KFC!$B$16+KFC!$C$16)*KFC!$C$5</f>
        <v>50.560896672833906</v>
      </c>
      <c r="P27" s="898">
        <f>(AM27*KFC!$B$16+KFC!$C$16)*KFC!$C$5</f>
        <v>53.022733577298098</v>
      </c>
      <c r="Q27" s="898">
        <f>(AN27*KFC!$B$16+KFC!$C$16)*KFC!$C$5</f>
        <v>55.484570481762304</v>
      </c>
      <c r="R27" s="898">
        <f>(AO27*KFC!$B$16+KFC!$C$16)*KFC!$C$5</f>
        <v>57.946407386226483</v>
      </c>
      <c r="S27" s="898">
        <f>(AP27*KFC!$B$16+KFC!$C$16)*KFC!$C$5</f>
        <v>60.408244290690689</v>
      </c>
      <c r="T27" s="898">
        <f>(AQ27*KFC!$B$16+KFC!$C$16)*KFC!$C$5</f>
        <v>62.870081195154881</v>
      </c>
      <c r="U27" s="898">
        <f>(AR27*KFC!$B$16+KFC!$C$16)*KFC!$C$5</f>
        <v>65.331918099619088</v>
      </c>
      <c r="V27" s="898">
        <f>(AS27*KFC!$B$16+KFC!$C$16)*KFC!$C$5</f>
        <v>67.793755004083266</v>
      </c>
      <c r="W27" s="903">
        <f>(AT27*KFC!$B$16+KFC!$C$16)*KFC!$C$5</f>
        <v>70.255591908547459</v>
      </c>
      <c r="Y27" s="1277"/>
      <c r="Z27" s="649">
        <v>2.1</v>
      </c>
      <c r="AA27" s="882">
        <v>23.480690723727751</v>
      </c>
      <c r="AB27" s="882">
        <v>25.942527628191943</v>
      </c>
      <c r="AC27" s="882">
        <v>28.404364532656142</v>
      </c>
      <c r="AD27" s="882">
        <v>30.866201437120338</v>
      </c>
      <c r="AE27" s="882">
        <v>33.328038341584531</v>
      </c>
      <c r="AF27" s="882">
        <v>35.78987524604873</v>
      </c>
      <c r="AG27" s="882">
        <v>38.251712150512923</v>
      </c>
      <c r="AH27" s="882">
        <v>40.713549054977115</v>
      </c>
      <c r="AI27" s="882">
        <v>43.175385959441314</v>
      </c>
      <c r="AJ27" s="882">
        <v>45.637222863905514</v>
      </c>
      <c r="AK27" s="882">
        <v>48.099059768369706</v>
      </c>
      <c r="AL27" s="882">
        <v>50.560896672833906</v>
      </c>
      <c r="AM27" s="882">
        <v>53.022733577298098</v>
      </c>
      <c r="AN27" s="882">
        <v>55.484570481762304</v>
      </c>
      <c r="AO27" s="882">
        <v>57.946407386226483</v>
      </c>
      <c r="AP27" s="882">
        <v>60.408244290690689</v>
      </c>
      <c r="AQ27" s="882">
        <v>62.870081195154881</v>
      </c>
      <c r="AR27" s="882">
        <v>65.331918099619088</v>
      </c>
      <c r="AS27" s="882">
        <v>67.793755004083266</v>
      </c>
      <c r="AT27" s="882">
        <v>70.255591908547459</v>
      </c>
    </row>
    <row r="28" spans="1:46" ht="15" thickBot="1">
      <c r="A28" s="1428"/>
      <c r="B28" s="1429"/>
      <c r="C28" s="888">
        <v>2.2000000000000002</v>
      </c>
      <c r="D28" s="904">
        <f>(AA28*KFC!$B$16+KFC!$C$16)*KFC!$C$5</f>
        <v>23.960526248699999</v>
      </c>
      <c r="E28" s="905">
        <f>(AB28*KFC!$B$16+KFC!$C$16)*KFC!$C$5</f>
        <v>26.518109344031842</v>
      </c>
      <c r="F28" s="905">
        <f>(AC28*KFC!$B$16+KFC!$C$16)*KFC!$C$5</f>
        <v>29.075692439363682</v>
      </c>
      <c r="G28" s="905">
        <f>(AD28*KFC!$B$16+KFC!$C$16)*KFC!$C$5</f>
        <v>31.633275534695521</v>
      </c>
      <c r="H28" s="905">
        <f>(AE28*KFC!$B$16+KFC!$C$16)*KFC!$C$5</f>
        <v>34.190858630027364</v>
      </c>
      <c r="I28" s="905">
        <f>(AF28*KFC!$B$16+KFC!$C$16)*KFC!$C$5</f>
        <v>36.748441725359207</v>
      </c>
      <c r="J28" s="905">
        <f>(AG28*KFC!$B$16+KFC!$C$16)*KFC!$C$5</f>
        <v>39.306024820691057</v>
      </c>
      <c r="K28" s="905">
        <f>(AH28*KFC!$B$16+KFC!$C$16)*KFC!$C$5</f>
        <v>41.863607916022893</v>
      </c>
      <c r="L28" s="905">
        <f>(AI28*KFC!$B$16+KFC!$C$16)*KFC!$C$5</f>
        <v>44.421191011354743</v>
      </c>
      <c r="M28" s="905">
        <f>(AJ28*KFC!$B$16+KFC!$C$16)*KFC!$C$5</f>
        <v>46.978774106686586</v>
      </c>
      <c r="N28" s="905">
        <f>(AK28*KFC!$B$16+KFC!$C$16)*KFC!$C$5</f>
        <v>49.536357202018436</v>
      </c>
      <c r="O28" s="905">
        <f>(AL28*KFC!$B$16+KFC!$C$16)*KFC!$C$5</f>
        <v>52.093940297350279</v>
      </c>
      <c r="P28" s="905">
        <f>(AM28*KFC!$B$16+KFC!$C$16)*KFC!$C$5</f>
        <v>54.651523392682115</v>
      </c>
      <c r="Q28" s="905">
        <f>(AN28*KFC!$B$16+KFC!$C$16)*KFC!$C$5</f>
        <v>57.209106488013965</v>
      </c>
      <c r="R28" s="905">
        <f>(AO28*KFC!$B$16+KFC!$C$16)*KFC!$C$5</f>
        <v>59.766689583345809</v>
      </c>
      <c r="S28" s="905">
        <f>(AP28*KFC!$B$16+KFC!$C$16)*KFC!$C$5</f>
        <v>62.324272678677659</v>
      </c>
      <c r="T28" s="905">
        <f>(AQ28*KFC!$B$16+KFC!$C$16)*KFC!$C$5</f>
        <v>64.881855774009495</v>
      </c>
      <c r="U28" s="905">
        <f>(AR28*KFC!$B$16+KFC!$C$16)*KFC!$C$5</f>
        <v>67.439438869341345</v>
      </c>
      <c r="V28" s="905">
        <f>(AS28*KFC!$B$16+KFC!$C$16)*KFC!$C$5</f>
        <v>69.997021964673181</v>
      </c>
      <c r="W28" s="906">
        <f>(AT28*KFC!$B$16+KFC!$C$16)*KFC!$C$5</f>
        <v>72.554605060005002</v>
      </c>
      <c r="Y28" s="1277"/>
      <c r="Z28" s="649">
        <v>2.2000000000000002</v>
      </c>
      <c r="AA28" s="882">
        <v>23.960526248699999</v>
      </c>
      <c r="AB28" s="882">
        <v>26.518109344031842</v>
      </c>
      <c r="AC28" s="882">
        <v>29.075692439363682</v>
      </c>
      <c r="AD28" s="882">
        <v>31.633275534695521</v>
      </c>
      <c r="AE28" s="882">
        <v>34.190858630027364</v>
      </c>
      <c r="AF28" s="882">
        <v>36.748441725359207</v>
      </c>
      <c r="AG28" s="882">
        <v>39.306024820691057</v>
      </c>
      <c r="AH28" s="882">
        <v>41.863607916022893</v>
      </c>
      <c r="AI28" s="882">
        <v>44.421191011354743</v>
      </c>
      <c r="AJ28" s="882">
        <v>46.978774106686586</v>
      </c>
      <c r="AK28" s="882">
        <v>49.536357202018436</v>
      </c>
      <c r="AL28" s="882">
        <v>52.093940297350279</v>
      </c>
      <c r="AM28" s="882">
        <v>54.651523392682115</v>
      </c>
      <c r="AN28" s="882">
        <v>57.209106488013965</v>
      </c>
      <c r="AO28" s="882">
        <v>59.766689583345809</v>
      </c>
      <c r="AP28" s="882">
        <v>62.324272678677659</v>
      </c>
      <c r="AQ28" s="882">
        <v>64.881855774009495</v>
      </c>
      <c r="AR28" s="882">
        <v>67.439438869341345</v>
      </c>
      <c r="AS28" s="882">
        <v>69.997021964673181</v>
      </c>
      <c r="AT28" s="882">
        <v>72.554605060005002</v>
      </c>
    </row>
    <row r="29" spans="1:46">
      <c r="A29" s="16"/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</row>
    <row r="30" spans="1:46" ht="47.25" customHeight="1" thickBot="1">
      <c r="A30" s="1033" t="s">
        <v>1200</v>
      </c>
      <c r="B30" s="1033"/>
      <c r="C30" s="1033"/>
      <c r="D30" s="1033"/>
      <c r="E30" s="1033"/>
      <c r="F30" s="1033"/>
      <c r="G30" s="1033"/>
      <c r="H30" s="1033"/>
      <c r="I30" s="1033"/>
      <c r="J30" s="1033"/>
      <c r="K30" s="1033"/>
      <c r="L30" s="1033"/>
      <c r="M30" s="1033"/>
      <c r="N30" s="1033"/>
      <c r="O30" s="1033"/>
      <c r="P30" s="1033"/>
      <c r="Q30" s="1033"/>
      <c r="R30" s="1033"/>
      <c r="S30" s="1033"/>
      <c r="T30" s="1033"/>
      <c r="U30" s="1033"/>
      <c r="V30" s="1033"/>
      <c r="W30" s="1033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</row>
    <row r="31" spans="1:46" ht="33.75" customHeight="1" thickBot="1">
      <c r="A31" s="1433"/>
      <c r="B31" s="1434"/>
      <c r="C31" s="1435"/>
      <c r="D31" s="1419" t="s">
        <v>207</v>
      </c>
      <c r="E31" s="1420"/>
      <c r="F31" s="1420"/>
      <c r="G31" s="1420"/>
      <c r="H31" s="1420"/>
      <c r="I31" s="1420"/>
      <c r="J31" s="1420"/>
      <c r="K31" s="1420"/>
      <c r="L31" s="1420"/>
      <c r="M31" s="1420"/>
      <c r="N31" s="1420"/>
      <c r="O31" s="1420"/>
      <c r="P31" s="1420"/>
      <c r="Q31" s="1420"/>
      <c r="R31" s="1420"/>
      <c r="S31" s="1420"/>
      <c r="T31" s="1420"/>
      <c r="U31" s="1420"/>
      <c r="V31" s="1420"/>
      <c r="W31" s="1421"/>
      <c r="Y31" s="1278" t="s">
        <v>1197</v>
      </c>
      <c r="Z31" s="1278"/>
      <c r="AA31" s="1279" t="s">
        <v>356</v>
      </c>
      <c r="AB31" s="1279"/>
      <c r="AC31" s="1279"/>
      <c r="AD31" s="1279"/>
      <c r="AE31" s="1279"/>
      <c r="AF31" s="1279"/>
      <c r="AG31" s="1279"/>
      <c r="AH31" s="1279"/>
      <c r="AI31" s="1279"/>
      <c r="AJ31" s="1279"/>
      <c r="AK31" s="1279"/>
      <c r="AL31" s="1279"/>
      <c r="AM31" s="1279"/>
      <c r="AN31" s="1279"/>
      <c r="AO31" s="1279"/>
      <c r="AP31" s="1279"/>
      <c r="AQ31" s="1279"/>
      <c r="AR31" s="1279"/>
      <c r="AS31" s="1279"/>
      <c r="AT31" s="1279"/>
    </row>
    <row r="32" spans="1:46" ht="14.4" customHeight="1" thickBot="1">
      <c r="A32" s="1436"/>
      <c r="B32" s="1437"/>
      <c r="C32" s="1438"/>
      <c r="D32" s="883">
        <v>0.3</v>
      </c>
      <c r="E32" s="884">
        <v>0.4</v>
      </c>
      <c r="F32" s="884">
        <v>0.5</v>
      </c>
      <c r="G32" s="884">
        <v>0.6</v>
      </c>
      <c r="H32" s="884">
        <v>0.7</v>
      </c>
      <c r="I32" s="884">
        <v>0.8</v>
      </c>
      <c r="J32" s="884">
        <v>0.9</v>
      </c>
      <c r="K32" s="884">
        <v>1</v>
      </c>
      <c r="L32" s="884">
        <v>1.1000000000000001</v>
      </c>
      <c r="M32" s="884">
        <v>1.2</v>
      </c>
      <c r="N32" s="884">
        <v>1.3</v>
      </c>
      <c r="O32" s="884">
        <v>1.4</v>
      </c>
      <c r="P32" s="884">
        <v>1.5</v>
      </c>
      <c r="Q32" s="884">
        <v>1.6</v>
      </c>
      <c r="R32" s="884">
        <v>1.7</v>
      </c>
      <c r="S32" s="884">
        <v>1.8</v>
      </c>
      <c r="T32" s="884">
        <v>1.9</v>
      </c>
      <c r="U32" s="884">
        <v>2</v>
      </c>
      <c r="V32" s="884">
        <v>2.1</v>
      </c>
      <c r="W32" s="885">
        <v>2.2000000000000002</v>
      </c>
      <c r="Y32" s="1278"/>
      <c r="Z32" s="1278"/>
      <c r="AA32" s="649">
        <v>0.3</v>
      </c>
      <c r="AB32" s="649">
        <v>0.4</v>
      </c>
      <c r="AC32" s="649">
        <v>0.5</v>
      </c>
      <c r="AD32" s="649">
        <v>0.6</v>
      </c>
      <c r="AE32" s="649">
        <v>0.7</v>
      </c>
      <c r="AF32" s="649">
        <v>0.8</v>
      </c>
      <c r="AG32" s="649">
        <v>0.9</v>
      </c>
      <c r="AH32" s="649">
        <v>1</v>
      </c>
      <c r="AI32" s="649">
        <v>1.1000000000000001</v>
      </c>
      <c r="AJ32" s="649">
        <v>1.2</v>
      </c>
      <c r="AK32" s="649">
        <v>1.3</v>
      </c>
      <c r="AL32" s="649">
        <v>1.4</v>
      </c>
      <c r="AM32" s="649">
        <v>1.5</v>
      </c>
      <c r="AN32" s="649">
        <v>1.6</v>
      </c>
      <c r="AO32" s="649">
        <v>1.7</v>
      </c>
      <c r="AP32" s="649">
        <v>1.8</v>
      </c>
      <c r="AQ32" s="649">
        <v>1.9</v>
      </c>
      <c r="AR32" s="649">
        <v>2</v>
      </c>
      <c r="AS32" s="649">
        <v>2.1</v>
      </c>
      <c r="AT32" s="649">
        <v>2.2000000000000002</v>
      </c>
    </row>
    <row r="33" spans="1:46" ht="15" customHeight="1">
      <c r="A33" s="1426" t="s">
        <v>3</v>
      </c>
      <c r="B33" s="1427"/>
      <c r="C33" s="886">
        <v>0.2</v>
      </c>
      <c r="D33" s="958">
        <f>(AA33*KFC!$B$16+KFC!$C$16)*KFC!$C$5</f>
        <v>14.38289469657</v>
      </c>
      <c r="E33" s="959">
        <f>(AB33*KFC!$B$16+KFC!$C$16)*KFC!$C$5</f>
        <v>15.032583060401842</v>
      </c>
      <c r="F33" s="959">
        <f>(AC33*KFC!$B$16+KFC!$C$16)*KFC!$C$5</f>
        <v>15.682271424233681</v>
      </c>
      <c r="G33" s="959">
        <f>(AD33*KFC!$B$16+KFC!$C$16)*KFC!$C$5</f>
        <v>16.331959788065525</v>
      </c>
      <c r="H33" s="959">
        <f>(AE33*KFC!$B$16+KFC!$C$16)*KFC!$C$5</f>
        <v>16.981648151897364</v>
      </c>
      <c r="I33" s="959">
        <f>(AF33*KFC!$B$16+KFC!$C$16)*KFC!$C$5</f>
        <v>17.631336515729206</v>
      </c>
      <c r="J33" s="959">
        <f>(AG33*KFC!$B$16+KFC!$C$16)*KFC!$C$5</f>
        <v>18.281024879561048</v>
      </c>
      <c r="K33" s="959">
        <f>(AH33*KFC!$B$16+KFC!$C$16)*KFC!$C$5</f>
        <v>18.930713243392891</v>
      </c>
      <c r="L33" s="959">
        <f>(AI33*KFC!$B$16+KFC!$C$16)*KFC!$C$5</f>
        <v>19.580401607224733</v>
      </c>
      <c r="M33" s="959">
        <f>(AJ33*KFC!$B$16+KFC!$C$16)*KFC!$C$5</f>
        <v>20.230089971056575</v>
      </c>
      <c r="N33" s="959">
        <f>(AK33*KFC!$B$16+KFC!$C$16)*KFC!$C$5</f>
        <v>20.879778334888414</v>
      </c>
      <c r="O33" s="959">
        <f>(AL33*KFC!$B$16+KFC!$C$16)*KFC!$C$5</f>
        <v>21.529466698720256</v>
      </c>
      <c r="P33" s="959">
        <f>(AM33*KFC!$B$16+KFC!$C$16)*KFC!$C$5</f>
        <v>22.179155062552098</v>
      </c>
      <c r="Q33" s="959">
        <f>(AN33*KFC!$B$16+KFC!$C$16)*KFC!$C$5</f>
        <v>22.828843426383937</v>
      </c>
      <c r="R33" s="959">
        <f>(AO33*KFC!$B$16+KFC!$C$16)*KFC!$C$5</f>
        <v>23.478531790215783</v>
      </c>
      <c r="S33" s="959">
        <f>(AP33*KFC!$B$16+KFC!$C$16)*KFC!$C$5</f>
        <v>24.128220154047622</v>
      </c>
      <c r="T33" s="959">
        <f>(AQ33*KFC!$B$16+KFC!$C$16)*KFC!$C$5</f>
        <v>24.777908517879464</v>
      </c>
      <c r="U33" s="959">
        <f>(AR33*KFC!$B$16+KFC!$C$16)*KFC!$C$5</f>
        <v>25.427596881711306</v>
      </c>
      <c r="V33" s="959">
        <f>(AS33*KFC!$B$16+KFC!$C$16)*KFC!$C$5</f>
        <v>26.077285245543148</v>
      </c>
      <c r="W33" s="960">
        <f>(AT33*KFC!$B$16+KFC!$C$16)*KFC!$C$5</f>
        <v>26.726973609374998</v>
      </c>
      <c r="Y33" s="1277" t="s">
        <v>357</v>
      </c>
      <c r="Z33" s="649">
        <v>0.2</v>
      </c>
      <c r="AA33" s="882">
        <v>14.38289469657</v>
      </c>
      <c r="AB33" s="882">
        <v>15.032583060401842</v>
      </c>
      <c r="AC33" s="882">
        <v>15.682271424233681</v>
      </c>
      <c r="AD33" s="882">
        <v>16.331959788065525</v>
      </c>
      <c r="AE33" s="882">
        <v>16.981648151897364</v>
      </c>
      <c r="AF33" s="882">
        <v>17.631336515729206</v>
      </c>
      <c r="AG33" s="882">
        <v>18.281024879561048</v>
      </c>
      <c r="AH33" s="882">
        <v>18.930713243392891</v>
      </c>
      <c r="AI33" s="882">
        <v>19.580401607224733</v>
      </c>
      <c r="AJ33" s="882">
        <v>20.230089971056575</v>
      </c>
      <c r="AK33" s="882">
        <v>20.879778334888414</v>
      </c>
      <c r="AL33" s="882">
        <v>21.529466698720256</v>
      </c>
      <c r="AM33" s="882">
        <v>22.179155062552098</v>
      </c>
      <c r="AN33" s="882">
        <v>22.828843426383937</v>
      </c>
      <c r="AO33" s="882">
        <v>23.478531790215783</v>
      </c>
      <c r="AP33" s="882">
        <v>24.128220154047622</v>
      </c>
      <c r="AQ33" s="882">
        <v>24.777908517879464</v>
      </c>
      <c r="AR33" s="882">
        <v>25.427596881711306</v>
      </c>
      <c r="AS33" s="882">
        <v>26.077285245543148</v>
      </c>
      <c r="AT33" s="882">
        <v>26.726973609374998</v>
      </c>
    </row>
    <row r="34" spans="1:46" ht="14.4" customHeight="1">
      <c r="A34" s="1426"/>
      <c r="B34" s="1427"/>
      <c r="C34" s="887">
        <v>0.3</v>
      </c>
      <c r="D34" s="961">
        <f>(AA34*KFC!$B$16+KFC!$C$16)*KFC!$C$5</f>
        <v>14.873223642565499</v>
      </c>
      <c r="E34" s="962">
        <f>(AB34*KFC!$B$16+KFC!$C$16)*KFC!$C$5</f>
        <v>15.622222947947526</v>
      </c>
      <c r="F34" s="962">
        <f>(AC34*KFC!$B$16+KFC!$C$16)*KFC!$C$5</f>
        <v>16.371222253329552</v>
      </c>
      <c r="G34" s="962">
        <f>(AD34*KFC!$B$16+KFC!$C$16)*KFC!$C$5</f>
        <v>17.120221558711577</v>
      </c>
      <c r="H34" s="962">
        <f>(AE34*KFC!$B$16+KFC!$C$16)*KFC!$C$5</f>
        <v>17.869220864093606</v>
      </c>
      <c r="I34" s="962">
        <f>(AF34*KFC!$B$16+KFC!$C$16)*KFC!$C$5</f>
        <v>18.618220169475634</v>
      </c>
      <c r="J34" s="962">
        <f>(AG34*KFC!$B$16+KFC!$C$16)*KFC!$C$5</f>
        <v>19.367219474857659</v>
      </c>
      <c r="K34" s="962">
        <f>(AH34*KFC!$B$16+KFC!$C$16)*KFC!$C$5</f>
        <v>20.116218780239684</v>
      </c>
      <c r="L34" s="962">
        <f>(AI34*KFC!$B$16+KFC!$C$16)*KFC!$C$5</f>
        <v>20.865218085621709</v>
      </c>
      <c r="M34" s="962">
        <f>(AJ34*KFC!$B$16+KFC!$C$16)*KFC!$C$5</f>
        <v>21.614217391003738</v>
      </c>
      <c r="N34" s="962">
        <f>(AK34*KFC!$B$16+KFC!$C$16)*KFC!$C$5</f>
        <v>22.363216696385763</v>
      </c>
      <c r="O34" s="962">
        <f>(AL34*KFC!$B$16+KFC!$C$16)*KFC!$C$5</f>
        <v>23.112216001767788</v>
      </c>
      <c r="P34" s="962">
        <f>(AM34*KFC!$B$16+KFC!$C$16)*KFC!$C$5</f>
        <v>23.861215307149813</v>
      </c>
      <c r="Q34" s="962">
        <f>(AN34*KFC!$B$16+KFC!$C$16)*KFC!$C$5</f>
        <v>24.610214612531838</v>
      </c>
      <c r="R34" s="962">
        <f>(AO34*KFC!$B$16+KFC!$C$16)*KFC!$C$5</f>
        <v>25.359213917913863</v>
      </c>
      <c r="S34" s="962">
        <f>(AP34*KFC!$B$16+KFC!$C$16)*KFC!$C$5</f>
        <v>26.108213223295888</v>
      </c>
      <c r="T34" s="962">
        <f>(AQ34*KFC!$B$16+KFC!$C$16)*KFC!$C$5</f>
        <v>26.857212528677913</v>
      </c>
      <c r="U34" s="962">
        <f>(AR34*KFC!$B$16+KFC!$C$16)*KFC!$C$5</f>
        <v>27.606211834059938</v>
      </c>
      <c r="V34" s="962">
        <f>(AS34*KFC!$B$16+KFC!$C$16)*KFC!$C$5</f>
        <v>28.355211139441963</v>
      </c>
      <c r="W34" s="963">
        <f>(AT34*KFC!$B$16+KFC!$C$16)*KFC!$C$5</f>
        <v>29.104210444823998</v>
      </c>
      <c r="Y34" s="1277"/>
      <c r="Z34" s="649">
        <v>0.3</v>
      </c>
      <c r="AA34" s="882">
        <v>14.873223642565499</v>
      </c>
      <c r="AB34" s="882">
        <v>15.622222947947526</v>
      </c>
      <c r="AC34" s="882">
        <v>16.371222253329552</v>
      </c>
      <c r="AD34" s="882">
        <v>17.120221558711577</v>
      </c>
      <c r="AE34" s="882">
        <v>17.869220864093606</v>
      </c>
      <c r="AF34" s="882">
        <v>18.618220169475634</v>
      </c>
      <c r="AG34" s="882">
        <v>19.367219474857659</v>
      </c>
      <c r="AH34" s="882">
        <v>20.116218780239684</v>
      </c>
      <c r="AI34" s="882">
        <v>20.865218085621709</v>
      </c>
      <c r="AJ34" s="882">
        <v>21.614217391003738</v>
      </c>
      <c r="AK34" s="882">
        <v>22.363216696385763</v>
      </c>
      <c r="AL34" s="882">
        <v>23.112216001767788</v>
      </c>
      <c r="AM34" s="882">
        <v>23.861215307149813</v>
      </c>
      <c r="AN34" s="882">
        <v>24.610214612531838</v>
      </c>
      <c r="AO34" s="882">
        <v>25.359213917913863</v>
      </c>
      <c r="AP34" s="882">
        <v>26.108213223295888</v>
      </c>
      <c r="AQ34" s="882">
        <v>26.857212528677913</v>
      </c>
      <c r="AR34" s="882">
        <v>27.606211834059938</v>
      </c>
      <c r="AS34" s="882">
        <v>28.355211139441963</v>
      </c>
      <c r="AT34" s="882">
        <v>29.104210444823998</v>
      </c>
    </row>
    <row r="35" spans="1:46">
      <c r="A35" s="1426"/>
      <c r="B35" s="1427"/>
      <c r="C35" s="887">
        <v>0.4</v>
      </c>
      <c r="D35" s="961">
        <f>(AA35*KFC!$B$16+KFC!$C$16)*KFC!$C$5</f>
        <v>15.363552588560998</v>
      </c>
      <c r="E35" s="962">
        <f>(AB35*KFC!$B$16+KFC!$C$16)*KFC!$C$5</f>
        <v>16.211862835493211</v>
      </c>
      <c r="F35" s="962">
        <f>(AC35*KFC!$B$16+KFC!$C$16)*KFC!$C$5</f>
        <v>17.060173082425418</v>
      </c>
      <c r="G35" s="962">
        <f>(AD35*KFC!$B$16+KFC!$C$16)*KFC!$C$5</f>
        <v>17.90848332935763</v>
      </c>
      <c r="H35" s="962">
        <f>(AE35*KFC!$B$16+KFC!$C$16)*KFC!$C$5</f>
        <v>18.756793576289841</v>
      </c>
      <c r="I35" s="962">
        <f>(AF35*KFC!$B$16+KFC!$C$16)*KFC!$C$5</f>
        <v>19.605103823222052</v>
      </c>
      <c r="J35" s="962">
        <f>(AG35*KFC!$B$16+KFC!$C$16)*KFC!$C$5</f>
        <v>20.453414070154263</v>
      </c>
      <c r="K35" s="962">
        <f>(AH35*KFC!$B$16+KFC!$C$16)*KFC!$C$5</f>
        <v>21.301724317086475</v>
      </c>
      <c r="L35" s="962">
        <f>(AI35*KFC!$B$16+KFC!$C$16)*KFC!$C$5</f>
        <v>22.150034564018682</v>
      </c>
      <c r="M35" s="962">
        <f>(AJ35*KFC!$B$16+KFC!$C$16)*KFC!$C$5</f>
        <v>22.99834481095089</v>
      </c>
      <c r="N35" s="962">
        <f>(AK35*KFC!$B$16+KFC!$C$16)*KFC!$C$5</f>
        <v>23.846655057883098</v>
      </c>
      <c r="O35" s="962">
        <f>(AL35*KFC!$B$16+KFC!$C$16)*KFC!$C$5</f>
        <v>24.694965304815305</v>
      </c>
      <c r="P35" s="962">
        <f>(AM35*KFC!$B$16+KFC!$C$16)*KFC!$C$5</f>
        <v>25.543275551747513</v>
      </c>
      <c r="Q35" s="962">
        <f>(AN35*KFC!$B$16+KFC!$C$16)*KFC!$C$5</f>
        <v>26.391585798679728</v>
      </c>
      <c r="R35" s="962">
        <f>(AO35*KFC!$B$16+KFC!$C$16)*KFC!$C$5</f>
        <v>27.239896045611932</v>
      </c>
      <c r="S35" s="962">
        <f>(AP35*KFC!$B$16+KFC!$C$16)*KFC!$C$5</f>
        <v>28.088206292544143</v>
      </c>
      <c r="T35" s="962">
        <f>(AQ35*KFC!$B$16+KFC!$C$16)*KFC!$C$5</f>
        <v>28.936516539476351</v>
      </c>
      <c r="U35" s="962">
        <f>(AR35*KFC!$B$16+KFC!$C$16)*KFC!$C$5</f>
        <v>29.784826786408562</v>
      </c>
      <c r="V35" s="962">
        <f>(AS35*KFC!$B$16+KFC!$C$16)*KFC!$C$5</f>
        <v>30.63313703334077</v>
      </c>
      <c r="W35" s="963">
        <f>(AT35*KFC!$B$16+KFC!$C$16)*KFC!$C$5</f>
        <v>31.481447280272995</v>
      </c>
      <c r="Y35" s="1277"/>
      <c r="Z35" s="649">
        <v>0.4</v>
      </c>
      <c r="AA35" s="882">
        <v>15.363552588560998</v>
      </c>
      <c r="AB35" s="882">
        <v>16.211862835493211</v>
      </c>
      <c r="AC35" s="882">
        <v>17.060173082425418</v>
      </c>
      <c r="AD35" s="882">
        <v>17.90848332935763</v>
      </c>
      <c r="AE35" s="882">
        <v>18.756793576289841</v>
      </c>
      <c r="AF35" s="882">
        <v>19.605103823222052</v>
      </c>
      <c r="AG35" s="882">
        <v>20.453414070154263</v>
      </c>
      <c r="AH35" s="882">
        <v>21.301724317086475</v>
      </c>
      <c r="AI35" s="882">
        <v>22.150034564018682</v>
      </c>
      <c r="AJ35" s="882">
        <v>22.99834481095089</v>
      </c>
      <c r="AK35" s="882">
        <v>23.846655057883098</v>
      </c>
      <c r="AL35" s="882">
        <v>24.694965304815305</v>
      </c>
      <c r="AM35" s="882">
        <v>25.543275551747513</v>
      </c>
      <c r="AN35" s="882">
        <v>26.391585798679728</v>
      </c>
      <c r="AO35" s="882">
        <v>27.239896045611932</v>
      </c>
      <c r="AP35" s="882">
        <v>28.088206292544143</v>
      </c>
      <c r="AQ35" s="882">
        <v>28.936516539476351</v>
      </c>
      <c r="AR35" s="882">
        <v>29.784826786408562</v>
      </c>
      <c r="AS35" s="882">
        <v>30.63313703334077</v>
      </c>
      <c r="AT35" s="882">
        <v>31.481447280272995</v>
      </c>
    </row>
    <row r="36" spans="1:46">
      <c r="A36" s="1426"/>
      <c r="B36" s="1427"/>
      <c r="C36" s="887">
        <v>0.5</v>
      </c>
      <c r="D36" s="961">
        <f>(AA36*KFC!$B$16+KFC!$C$16)*KFC!$C$5</f>
        <v>15.853881534556496</v>
      </c>
      <c r="E36" s="962">
        <f>(AB36*KFC!$B$16+KFC!$C$16)*KFC!$C$5</f>
        <v>16.801502723038894</v>
      </c>
      <c r="F36" s="962">
        <f>(AC36*KFC!$B$16+KFC!$C$16)*KFC!$C$5</f>
        <v>17.749123911521284</v>
      </c>
      <c r="G36" s="962">
        <f>(AD36*KFC!$B$16+KFC!$C$16)*KFC!$C$5</f>
        <v>18.696745100003678</v>
      </c>
      <c r="H36" s="962">
        <f>(AE36*KFC!$B$16+KFC!$C$16)*KFC!$C$5</f>
        <v>19.644366288486076</v>
      </c>
      <c r="I36" s="962">
        <f>(AF36*KFC!$B$16+KFC!$C$16)*KFC!$C$5</f>
        <v>20.591987476968466</v>
      </c>
      <c r="J36" s="962">
        <f>(AG36*KFC!$B$16+KFC!$C$16)*KFC!$C$5</f>
        <v>21.539608665450864</v>
      </c>
      <c r="K36" s="962">
        <f>(AH36*KFC!$B$16+KFC!$C$16)*KFC!$C$5</f>
        <v>22.487229853933261</v>
      </c>
      <c r="L36" s="962">
        <f>(AI36*KFC!$B$16+KFC!$C$16)*KFC!$C$5</f>
        <v>23.434851042415655</v>
      </c>
      <c r="M36" s="962">
        <f>(AJ36*KFC!$B$16+KFC!$C$16)*KFC!$C$5</f>
        <v>24.382472230898053</v>
      </c>
      <c r="N36" s="962">
        <f>(AK36*KFC!$B$16+KFC!$C$16)*KFC!$C$5</f>
        <v>25.330093419380447</v>
      </c>
      <c r="O36" s="962">
        <f>(AL36*KFC!$B$16+KFC!$C$16)*KFC!$C$5</f>
        <v>26.277714607862844</v>
      </c>
      <c r="P36" s="962">
        <f>(AM36*KFC!$B$16+KFC!$C$16)*KFC!$C$5</f>
        <v>27.225335796345242</v>
      </c>
      <c r="Q36" s="962">
        <f>(AN36*KFC!$B$16+KFC!$C$16)*KFC!$C$5</f>
        <v>28.172956984827636</v>
      </c>
      <c r="R36" s="962">
        <f>(AO36*KFC!$B$16+KFC!$C$16)*KFC!$C$5</f>
        <v>29.120578173310033</v>
      </c>
      <c r="S36" s="962">
        <f>(AP36*KFC!$B$16+KFC!$C$16)*KFC!$C$5</f>
        <v>30.068199361792431</v>
      </c>
      <c r="T36" s="962">
        <f>(AQ36*KFC!$B$16+KFC!$C$16)*KFC!$C$5</f>
        <v>31.015820550274825</v>
      </c>
      <c r="U36" s="962">
        <f>(AR36*KFC!$B$16+KFC!$C$16)*KFC!$C$5</f>
        <v>31.963441738757222</v>
      </c>
      <c r="V36" s="962">
        <f>(AS36*KFC!$B$16+KFC!$C$16)*KFC!$C$5</f>
        <v>32.91106292723962</v>
      </c>
      <c r="W36" s="963">
        <f>(AT36*KFC!$B$16+KFC!$C$16)*KFC!$C$5</f>
        <v>33.858684115721999</v>
      </c>
      <c r="Y36" s="1277"/>
      <c r="Z36" s="649">
        <v>0.5</v>
      </c>
      <c r="AA36" s="882">
        <v>15.853881534556496</v>
      </c>
      <c r="AB36" s="882">
        <v>16.801502723038894</v>
      </c>
      <c r="AC36" s="882">
        <v>17.749123911521284</v>
      </c>
      <c r="AD36" s="882">
        <v>18.696745100003678</v>
      </c>
      <c r="AE36" s="882">
        <v>19.644366288486076</v>
      </c>
      <c r="AF36" s="882">
        <v>20.591987476968466</v>
      </c>
      <c r="AG36" s="882">
        <v>21.539608665450864</v>
      </c>
      <c r="AH36" s="882">
        <v>22.487229853933261</v>
      </c>
      <c r="AI36" s="882">
        <v>23.434851042415655</v>
      </c>
      <c r="AJ36" s="882">
        <v>24.382472230898053</v>
      </c>
      <c r="AK36" s="882">
        <v>25.330093419380447</v>
      </c>
      <c r="AL36" s="882">
        <v>26.277714607862844</v>
      </c>
      <c r="AM36" s="882">
        <v>27.225335796345242</v>
      </c>
      <c r="AN36" s="882">
        <v>28.172956984827636</v>
      </c>
      <c r="AO36" s="882">
        <v>29.120578173310033</v>
      </c>
      <c r="AP36" s="882">
        <v>30.068199361792431</v>
      </c>
      <c r="AQ36" s="882">
        <v>31.015820550274825</v>
      </c>
      <c r="AR36" s="882">
        <v>31.963441738757222</v>
      </c>
      <c r="AS36" s="882">
        <v>32.91106292723962</v>
      </c>
      <c r="AT36" s="882">
        <v>33.858684115721999</v>
      </c>
    </row>
    <row r="37" spans="1:46">
      <c r="A37" s="1426"/>
      <c r="B37" s="1427"/>
      <c r="C37" s="887">
        <v>0.6</v>
      </c>
      <c r="D37" s="961">
        <f>(AA37*KFC!$B$16+KFC!$C$16)*KFC!$C$5</f>
        <v>16.344210480551997</v>
      </c>
      <c r="E37" s="962">
        <f>(AB37*KFC!$B$16+KFC!$C$16)*KFC!$C$5</f>
        <v>17.391142610584577</v>
      </c>
      <c r="F37" s="962">
        <f>(AC37*KFC!$B$16+KFC!$C$16)*KFC!$C$5</f>
        <v>18.438074740617154</v>
      </c>
      <c r="G37" s="962">
        <f>(AD37*KFC!$B$16+KFC!$C$16)*KFC!$C$5</f>
        <v>19.485006870649737</v>
      </c>
      <c r="H37" s="962">
        <f>(AE37*KFC!$B$16+KFC!$C$16)*KFC!$C$5</f>
        <v>20.531939000682314</v>
      </c>
      <c r="I37" s="962">
        <f>(AF37*KFC!$B$16+KFC!$C$16)*KFC!$C$5</f>
        <v>21.578871130714894</v>
      </c>
      <c r="J37" s="962">
        <f>(AG37*KFC!$B$16+KFC!$C$16)*KFC!$C$5</f>
        <v>22.625803260747471</v>
      </c>
      <c r="K37" s="962">
        <f>(AH37*KFC!$B$16+KFC!$C$16)*KFC!$C$5</f>
        <v>23.672735390780051</v>
      </c>
      <c r="L37" s="962">
        <f>(AI37*KFC!$B$16+KFC!$C$16)*KFC!$C$5</f>
        <v>24.719667520812632</v>
      </c>
      <c r="M37" s="962">
        <f>(AJ37*KFC!$B$16+KFC!$C$16)*KFC!$C$5</f>
        <v>25.766599650845215</v>
      </c>
      <c r="N37" s="962">
        <f>(AK37*KFC!$B$16+KFC!$C$16)*KFC!$C$5</f>
        <v>26.813531780877796</v>
      </c>
      <c r="O37" s="962">
        <f>(AL37*KFC!$B$16+KFC!$C$16)*KFC!$C$5</f>
        <v>27.860463910910372</v>
      </c>
      <c r="P37" s="962">
        <f>(AM37*KFC!$B$16+KFC!$C$16)*KFC!$C$5</f>
        <v>28.907396040942952</v>
      </c>
      <c r="Q37" s="962">
        <f>(AN37*KFC!$B$16+KFC!$C$16)*KFC!$C$5</f>
        <v>29.954328170975533</v>
      </c>
      <c r="R37" s="962">
        <f>(AO37*KFC!$B$16+KFC!$C$16)*KFC!$C$5</f>
        <v>31.001260301008113</v>
      </c>
      <c r="S37" s="962">
        <f>(AP37*KFC!$B$16+KFC!$C$16)*KFC!$C$5</f>
        <v>32.04819243104069</v>
      </c>
      <c r="T37" s="962">
        <f>(AQ37*KFC!$B$16+KFC!$C$16)*KFC!$C$5</f>
        <v>33.09512456107327</v>
      </c>
      <c r="U37" s="962">
        <f>(AR37*KFC!$B$16+KFC!$C$16)*KFC!$C$5</f>
        <v>34.14205669110585</v>
      </c>
      <c r="V37" s="962">
        <f>(AS37*KFC!$B$16+KFC!$C$16)*KFC!$C$5</f>
        <v>35.18898882113843</v>
      </c>
      <c r="W37" s="963">
        <f>(AT37*KFC!$B$16+KFC!$C$16)*KFC!$C$5</f>
        <v>36.235920951171003</v>
      </c>
      <c r="Y37" s="1277"/>
      <c r="Z37" s="649">
        <v>0.6</v>
      </c>
      <c r="AA37" s="882">
        <v>16.344210480551997</v>
      </c>
      <c r="AB37" s="882">
        <v>17.391142610584577</v>
      </c>
      <c r="AC37" s="882">
        <v>18.438074740617154</v>
      </c>
      <c r="AD37" s="882">
        <v>19.485006870649737</v>
      </c>
      <c r="AE37" s="882">
        <v>20.531939000682314</v>
      </c>
      <c r="AF37" s="882">
        <v>21.578871130714894</v>
      </c>
      <c r="AG37" s="882">
        <v>22.625803260747471</v>
      </c>
      <c r="AH37" s="882">
        <v>23.672735390780051</v>
      </c>
      <c r="AI37" s="882">
        <v>24.719667520812632</v>
      </c>
      <c r="AJ37" s="882">
        <v>25.766599650845215</v>
      </c>
      <c r="AK37" s="882">
        <v>26.813531780877796</v>
      </c>
      <c r="AL37" s="882">
        <v>27.860463910910372</v>
      </c>
      <c r="AM37" s="882">
        <v>28.907396040942952</v>
      </c>
      <c r="AN37" s="882">
        <v>29.954328170975533</v>
      </c>
      <c r="AO37" s="882">
        <v>31.001260301008113</v>
      </c>
      <c r="AP37" s="882">
        <v>32.04819243104069</v>
      </c>
      <c r="AQ37" s="882">
        <v>33.09512456107327</v>
      </c>
      <c r="AR37" s="882">
        <v>34.14205669110585</v>
      </c>
      <c r="AS37" s="882">
        <v>35.18898882113843</v>
      </c>
      <c r="AT37" s="882">
        <v>36.235920951171003</v>
      </c>
    </row>
    <row r="38" spans="1:46">
      <c r="A38" s="1426"/>
      <c r="B38" s="1427"/>
      <c r="C38" s="887">
        <v>0.7</v>
      </c>
      <c r="D38" s="961">
        <f>(AA38*KFC!$B$16+KFC!$C$16)*KFC!$C$5</f>
        <v>16.834539426547497</v>
      </c>
      <c r="E38" s="962">
        <f>(AB38*KFC!$B$16+KFC!$C$16)*KFC!$C$5</f>
        <v>17.98078249813026</v>
      </c>
      <c r="F38" s="962">
        <f>(AC38*KFC!$B$16+KFC!$C$16)*KFC!$C$5</f>
        <v>19.127025569713023</v>
      </c>
      <c r="G38" s="962">
        <f>(AD38*KFC!$B$16+KFC!$C$16)*KFC!$C$5</f>
        <v>20.27326864129579</v>
      </c>
      <c r="H38" s="962">
        <f>(AE38*KFC!$B$16+KFC!$C$16)*KFC!$C$5</f>
        <v>21.419511712878545</v>
      </c>
      <c r="I38" s="962">
        <f>(AF38*KFC!$B$16+KFC!$C$16)*KFC!$C$5</f>
        <v>22.565754784461312</v>
      </c>
      <c r="J38" s="962">
        <f>(AG38*KFC!$B$16+KFC!$C$16)*KFC!$C$5</f>
        <v>23.711997856044075</v>
      </c>
      <c r="K38" s="962">
        <f>(AH38*KFC!$B$16+KFC!$C$16)*KFC!$C$5</f>
        <v>24.858240927626838</v>
      </c>
      <c r="L38" s="962">
        <f>(AI38*KFC!$B$16+KFC!$C$16)*KFC!$C$5</f>
        <v>26.004483999209601</v>
      </c>
      <c r="M38" s="962">
        <f>(AJ38*KFC!$B$16+KFC!$C$16)*KFC!$C$5</f>
        <v>27.150727070792367</v>
      </c>
      <c r="N38" s="962">
        <f>(AK38*KFC!$B$16+KFC!$C$16)*KFC!$C$5</f>
        <v>28.29697014237513</v>
      </c>
      <c r="O38" s="962">
        <f>(AL38*KFC!$B$16+KFC!$C$16)*KFC!$C$5</f>
        <v>29.443213213957893</v>
      </c>
      <c r="P38" s="962">
        <f>(AM38*KFC!$B$16+KFC!$C$16)*KFC!$C$5</f>
        <v>30.589456285540656</v>
      </c>
      <c r="Q38" s="962">
        <f>(AN38*KFC!$B$16+KFC!$C$16)*KFC!$C$5</f>
        <v>31.735699357123419</v>
      </c>
      <c r="R38" s="962">
        <f>(AO38*KFC!$B$16+KFC!$C$16)*KFC!$C$5</f>
        <v>32.881942428706182</v>
      </c>
      <c r="S38" s="962">
        <f>(AP38*KFC!$B$16+KFC!$C$16)*KFC!$C$5</f>
        <v>34.028185500288949</v>
      </c>
      <c r="T38" s="962">
        <f>(AQ38*KFC!$B$16+KFC!$C$16)*KFC!$C$5</f>
        <v>35.174428571871708</v>
      </c>
      <c r="U38" s="962">
        <f>(AR38*KFC!$B$16+KFC!$C$16)*KFC!$C$5</f>
        <v>36.320671643454475</v>
      </c>
      <c r="V38" s="962">
        <f>(AS38*KFC!$B$16+KFC!$C$16)*KFC!$C$5</f>
        <v>37.466914715037227</v>
      </c>
      <c r="W38" s="963">
        <f>(AT38*KFC!$B$16+KFC!$C$16)*KFC!$C$5</f>
        <v>38.61315778662</v>
      </c>
      <c r="Y38" s="1277"/>
      <c r="Z38" s="649">
        <v>0.7</v>
      </c>
      <c r="AA38" s="882">
        <v>16.834539426547497</v>
      </c>
      <c r="AB38" s="882">
        <v>17.98078249813026</v>
      </c>
      <c r="AC38" s="882">
        <v>19.127025569713023</v>
      </c>
      <c r="AD38" s="882">
        <v>20.27326864129579</v>
      </c>
      <c r="AE38" s="882">
        <v>21.419511712878545</v>
      </c>
      <c r="AF38" s="882">
        <v>22.565754784461312</v>
      </c>
      <c r="AG38" s="882">
        <v>23.711997856044075</v>
      </c>
      <c r="AH38" s="882">
        <v>24.858240927626838</v>
      </c>
      <c r="AI38" s="882">
        <v>26.004483999209601</v>
      </c>
      <c r="AJ38" s="882">
        <v>27.150727070792367</v>
      </c>
      <c r="AK38" s="882">
        <v>28.29697014237513</v>
      </c>
      <c r="AL38" s="882">
        <v>29.443213213957893</v>
      </c>
      <c r="AM38" s="882">
        <v>30.589456285540656</v>
      </c>
      <c r="AN38" s="882">
        <v>31.735699357123419</v>
      </c>
      <c r="AO38" s="882">
        <v>32.881942428706182</v>
      </c>
      <c r="AP38" s="882">
        <v>34.028185500288949</v>
      </c>
      <c r="AQ38" s="882">
        <v>35.174428571871708</v>
      </c>
      <c r="AR38" s="882">
        <v>36.320671643454475</v>
      </c>
      <c r="AS38" s="882">
        <v>37.466914715037227</v>
      </c>
      <c r="AT38" s="882">
        <v>38.61315778662</v>
      </c>
    </row>
    <row r="39" spans="1:46">
      <c r="A39" s="1426"/>
      <c r="B39" s="1427"/>
      <c r="C39" s="887">
        <v>0.8</v>
      </c>
      <c r="D39" s="961">
        <f>(AA39*KFC!$B$16+KFC!$C$16)*KFC!$C$5</f>
        <v>17.324868372542998</v>
      </c>
      <c r="E39" s="962">
        <f>(AB39*KFC!$B$16+KFC!$C$16)*KFC!$C$5</f>
        <v>18.570422385675943</v>
      </c>
      <c r="F39" s="962">
        <f>(AC39*KFC!$B$16+KFC!$C$16)*KFC!$C$5</f>
        <v>19.815976398808889</v>
      </c>
      <c r="G39" s="962">
        <f>(AD39*KFC!$B$16+KFC!$C$16)*KFC!$C$5</f>
        <v>21.061530411941838</v>
      </c>
      <c r="H39" s="962">
        <f>(AE39*KFC!$B$16+KFC!$C$16)*KFC!$C$5</f>
        <v>22.307084425074788</v>
      </c>
      <c r="I39" s="962">
        <f>(AF39*KFC!$B$16+KFC!$C$16)*KFC!$C$5</f>
        <v>23.552638438207733</v>
      </c>
      <c r="J39" s="962">
        <f>(AG39*KFC!$B$16+KFC!$C$16)*KFC!$C$5</f>
        <v>24.798192451340679</v>
      </c>
      <c r="K39" s="962">
        <f>(AH39*KFC!$B$16+KFC!$C$16)*KFC!$C$5</f>
        <v>26.043746464473632</v>
      </c>
      <c r="L39" s="962">
        <f>(AI39*KFC!$B$16+KFC!$C$16)*KFC!$C$5</f>
        <v>27.289300477606577</v>
      </c>
      <c r="M39" s="962">
        <f>(AJ39*KFC!$B$16+KFC!$C$16)*KFC!$C$5</f>
        <v>28.534854490739523</v>
      </c>
      <c r="N39" s="962">
        <f>(AK39*KFC!$B$16+KFC!$C$16)*KFC!$C$5</f>
        <v>29.780408503872472</v>
      </c>
      <c r="O39" s="962">
        <f>(AL39*KFC!$B$16+KFC!$C$16)*KFC!$C$5</f>
        <v>31.025962517005418</v>
      </c>
      <c r="P39" s="962">
        <f>(AM39*KFC!$B$16+KFC!$C$16)*KFC!$C$5</f>
        <v>32.271516530138364</v>
      </c>
      <c r="Q39" s="962">
        <f>(AN39*KFC!$B$16+KFC!$C$16)*KFC!$C$5</f>
        <v>33.517070543271316</v>
      </c>
      <c r="R39" s="962">
        <f>(AO39*KFC!$B$16+KFC!$C$16)*KFC!$C$5</f>
        <v>34.762624556404262</v>
      </c>
      <c r="S39" s="962">
        <f>(AP39*KFC!$B$16+KFC!$C$16)*KFC!$C$5</f>
        <v>36.008178569537208</v>
      </c>
      <c r="T39" s="962">
        <f>(AQ39*KFC!$B$16+KFC!$C$16)*KFC!$C$5</f>
        <v>37.253732582670153</v>
      </c>
      <c r="U39" s="962">
        <f>(AR39*KFC!$B$16+KFC!$C$16)*KFC!$C$5</f>
        <v>38.499286595803099</v>
      </c>
      <c r="V39" s="962">
        <f>(AS39*KFC!$B$16+KFC!$C$16)*KFC!$C$5</f>
        <v>39.744840608936045</v>
      </c>
      <c r="W39" s="963">
        <f>(AT39*KFC!$B$16+KFC!$C$16)*KFC!$C$5</f>
        <v>40.990394622068997</v>
      </c>
      <c r="Y39" s="1277"/>
      <c r="Z39" s="649">
        <v>0.8</v>
      </c>
      <c r="AA39" s="882">
        <v>17.324868372542998</v>
      </c>
      <c r="AB39" s="882">
        <v>18.570422385675943</v>
      </c>
      <c r="AC39" s="882">
        <v>19.815976398808889</v>
      </c>
      <c r="AD39" s="882">
        <v>21.061530411941838</v>
      </c>
      <c r="AE39" s="882">
        <v>22.307084425074788</v>
      </c>
      <c r="AF39" s="882">
        <v>23.552638438207733</v>
      </c>
      <c r="AG39" s="882">
        <v>24.798192451340679</v>
      </c>
      <c r="AH39" s="882">
        <v>26.043746464473632</v>
      </c>
      <c r="AI39" s="882">
        <v>27.289300477606577</v>
      </c>
      <c r="AJ39" s="882">
        <v>28.534854490739523</v>
      </c>
      <c r="AK39" s="882">
        <v>29.780408503872472</v>
      </c>
      <c r="AL39" s="882">
        <v>31.025962517005418</v>
      </c>
      <c r="AM39" s="882">
        <v>32.271516530138364</v>
      </c>
      <c r="AN39" s="882">
        <v>33.517070543271316</v>
      </c>
      <c r="AO39" s="882">
        <v>34.762624556404262</v>
      </c>
      <c r="AP39" s="882">
        <v>36.008178569537208</v>
      </c>
      <c r="AQ39" s="882">
        <v>37.253732582670153</v>
      </c>
      <c r="AR39" s="882">
        <v>38.499286595803099</v>
      </c>
      <c r="AS39" s="882">
        <v>39.744840608936045</v>
      </c>
      <c r="AT39" s="882">
        <v>40.990394622068997</v>
      </c>
    </row>
    <row r="40" spans="1:46">
      <c r="A40" s="1426"/>
      <c r="B40" s="1427"/>
      <c r="C40" s="887">
        <v>0.9</v>
      </c>
      <c r="D40" s="961">
        <f>(AA40*KFC!$B$16+KFC!$C$16)*KFC!$C$5</f>
        <v>17.815197318538495</v>
      </c>
      <c r="E40" s="962">
        <f>(AB40*KFC!$B$16+KFC!$C$16)*KFC!$C$5</f>
        <v>19.160062273221627</v>
      </c>
      <c r="F40" s="962">
        <f>(AC40*KFC!$B$16+KFC!$C$16)*KFC!$C$5</f>
        <v>20.504927227904755</v>
      </c>
      <c r="G40" s="962">
        <f>(AD40*KFC!$B$16+KFC!$C$16)*KFC!$C$5</f>
        <v>21.849792182587894</v>
      </c>
      <c r="H40" s="962">
        <f>(AE40*KFC!$B$16+KFC!$C$16)*KFC!$C$5</f>
        <v>23.194657137271022</v>
      </c>
      <c r="I40" s="962">
        <f>(AF40*KFC!$B$16+KFC!$C$16)*KFC!$C$5</f>
        <v>24.539522091954151</v>
      </c>
      <c r="J40" s="962">
        <f>(AG40*KFC!$B$16+KFC!$C$16)*KFC!$C$5</f>
        <v>25.884387046637283</v>
      </c>
      <c r="K40" s="962">
        <f>(AH40*KFC!$B$16+KFC!$C$16)*KFC!$C$5</f>
        <v>27.229252001320411</v>
      </c>
      <c r="L40" s="962">
        <f>(AI40*KFC!$B$16+KFC!$C$16)*KFC!$C$5</f>
        <v>28.574116956003547</v>
      </c>
      <c r="M40" s="962">
        <f>(AJ40*KFC!$B$16+KFC!$C$16)*KFC!$C$5</f>
        <v>29.918981910686675</v>
      </c>
      <c r="N40" s="962">
        <f>(AK40*KFC!$B$16+KFC!$C$16)*KFC!$C$5</f>
        <v>31.263846865369807</v>
      </c>
      <c r="O40" s="962">
        <f>(AL40*KFC!$B$16+KFC!$C$16)*KFC!$C$5</f>
        <v>32.608711820052939</v>
      </c>
      <c r="P40" s="962">
        <f>(AM40*KFC!$B$16+KFC!$C$16)*KFC!$C$5</f>
        <v>33.953576774736071</v>
      </c>
      <c r="Q40" s="962">
        <f>(AN40*KFC!$B$16+KFC!$C$16)*KFC!$C$5</f>
        <v>35.298441729419196</v>
      </c>
      <c r="R40" s="962">
        <f>(AO40*KFC!$B$16+KFC!$C$16)*KFC!$C$5</f>
        <v>36.643306684102335</v>
      </c>
      <c r="S40" s="962">
        <f>(AP40*KFC!$B$16+KFC!$C$16)*KFC!$C$5</f>
        <v>37.988171638785467</v>
      </c>
      <c r="T40" s="962">
        <f>(AQ40*KFC!$B$16+KFC!$C$16)*KFC!$C$5</f>
        <v>39.333036593468606</v>
      </c>
      <c r="U40" s="962">
        <f>(AR40*KFC!$B$16+KFC!$C$16)*KFC!$C$5</f>
        <v>40.677901548151738</v>
      </c>
      <c r="V40" s="962">
        <f>(AS40*KFC!$B$16+KFC!$C$16)*KFC!$C$5</f>
        <v>42.02276650283487</v>
      </c>
      <c r="W40" s="963">
        <f>(AT40*KFC!$B$16+KFC!$C$16)*KFC!$C$5</f>
        <v>43.367631457517987</v>
      </c>
      <c r="Y40" s="1277"/>
      <c r="Z40" s="649">
        <v>0.9</v>
      </c>
      <c r="AA40" s="882">
        <v>17.815197318538495</v>
      </c>
      <c r="AB40" s="882">
        <v>19.160062273221627</v>
      </c>
      <c r="AC40" s="882">
        <v>20.504927227904755</v>
      </c>
      <c r="AD40" s="882">
        <v>21.849792182587894</v>
      </c>
      <c r="AE40" s="882">
        <v>23.194657137271022</v>
      </c>
      <c r="AF40" s="882">
        <v>24.539522091954151</v>
      </c>
      <c r="AG40" s="882">
        <v>25.884387046637283</v>
      </c>
      <c r="AH40" s="882">
        <v>27.229252001320411</v>
      </c>
      <c r="AI40" s="882">
        <v>28.574116956003547</v>
      </c>
      <c r="AJ40" s="882">
        <v>29.918981910686675</v>
      </c>
      <c r="AK40" s="882">
        <v>31.263846865369807</v>
      </c>
      <c r="AL40" s="882">
        <v>32.608711820052939</v>
      </c>
      <c r="AM40" s="882">
        <v>33.953576774736071</v>
      </c>
      <c r="AN40" s="882">
        <v>35.298441729419196</v>
      </c>
      <c r="AO40" s="882">
        <v>36.643306684102335</v>
      </c>
      <c r="AP40" s="882">
        <v>37.988171638785467</v>
      </c>
      <c r="AQ40" s="882">
        <v>39.333036593468606</v>
      </c>
      <c r="AR40" s="882">
        <v>40.677901548151738</v>
      </c>
      <c r="AS40" s="882">
        <v>42.02276650283487</v>
      </c>
      <c r="AT40" s="882">
        <v>43.367631457517987</v>
      </c>
    </row>
    <row r="41" spans="1:46">
      <c r="A41" s="1426"/>
      <c r="B41" s="1427"/>
      <c r="C41" s="887">
        <v>1</v>
      </c>
      <c r="D41" s="961">
        <f>(AA41*KFC!$B$16+KFC!$C$16)*KFC!$C$5</f>
        <v>18.305526264533995</v>
      </c>
      <c r="E41" s="962">
        <f>(AB41*KFC!$B$16+KFC!$C$16)*KFC!$C$5</f>
        <v>19.74970216076731</v>
      </c>
      <c r="F41" s="962">
        <f>(AC41*KFC!$B$16+KFC!$C$16)*KFC!$C$5</f>
        <v>21.193878057000624</v>
      </c>
      <c r="G41" s="962">
        <f>(AD41*KFC!$B$16+KFC!$C$16)*KFC!$C$5</f>
        <v>22.638053953233943</v>
      </c>
      <c r="H41" s="962">
        <f>(AE41*KFC!$B$16+KFC!$C$16)*KFC!$C$5</f>
        <v>24.082229849467254</v>
      </c>
      <c r="I41" s="962">
        <f>(AF41*KFC!$B$16+KFC!$C$16)*KFC!$C$5</f>
        <v>25.526405745700572</v>
      </c>
      <c r="J41" s="962">
        <f>(AG41*KFC!$B$16+KFC!$C$16)*KFC!$C$5</f>
        <v>26.970581641933883</v>
      </c>
      <c r="K41" s="962">
        <f>(AH41*KFC!$B$16+KFC!$C$16)*KFC!$C$5</f>
        <v>28.414757538167198</v>
      </c>
      <c r="L41" s="962">
        <f>(AI41*KFC!$B$16+KFC!$C$16)*KFC!$C$5</f>
        <v>29.858933434400512</v>
      </c>
      <c r="M41" s="962">
        <f>(AJ41*KFC!$B$16+KFC!$C$16)*KFC!$C$5</f>
        <v>31.303109330633827</v>
      </c>
      <c r="N41" s="962">
        <f>(AK41*KFC!$B$16+KFC!$C$16)*KFC!$C$5</f>
        <v>32.747285226867142</v>
      </c>
      <c r="O41" s="962">
        <f>(AL41*KFC!$B$16+KFC!$C$16)*KFC!$C$5</f>
        <v>34.191461123100453</v>
      </c>
      <c r="P41" s="962">
        <f>(AM41*KFC!$B$16+KFC!$C$16)*KFC!$C$5</f>
        <v>35.635637019333771</v>
      </c>
      <c r="Q41" s="962">
        <f>(AN41*KFC!$B$16+KFC!$C$16)*KFC!$C$5</f>
        <v>37.079812915567089</v>
      </c>
      <c r="R41" s="962">
        <f>(AO41*KFC!$B$16+KFC!$C$16)*KFC!$C$5</f>
        <v>38.5239888118004</v>
      </c>
      <c r="S41" s="962">
        <f>(AP41*KFC!$B$16+KFC!$C$16)*KFC!$C$5</f>
        <v>39.968164708033719</v>
      </c>
      <c r="T41" s="962">
        <f>(AQ41*KFC!$B$16+KFC!$C$16)*KFC!$C$5</f>
        <v>41.412340604267037</v>
      </c>
      <c r="U41" s="962">
        <f>(AR41*KFC!$B$16+KFC!$C$16)*KFC!$C$5</f>
        <v>42.856516500500348</v>
      </c>
      <c r="V41" s="962">
        <f>(AS41*KFC!$B$16+KFC!$C$16)*KFC!$C$5</f>
        <v>44.300692396733659</v>
      </c>
      <c r="W41" s="963">
        <f>(AT41*KFC!$B$16+KFC!$C$16)*KFC!$C$5</f>
        <v>45.744868292966991</v>
      </c>
      <c r="Y41" s="1277"/>
      <c r="Z41" s="649">
        <v>1</v>
      </c>
      <c r="AA41" s="882">
        <v>18.305526264533995</v>
      </c>
      <c r="AB41" s="882">
        <v>19.74970216076731</v>
      </c>
      <c r="AC41" s="882">
        <v>21.193878057000624</v>
      </c>
      <c r="AD41" s="882">
        <v>22.638053953233943</v>
      </c>
      <c r="AE41" s="882">
        <v>24.082229849467254</v>
      </c>
      <c r="AF41" s="882">
        <v>25.526405745700572</v>
      </c>
      <c r="AG41" s="882">
        <v>26.970581641933883</v>
      </c>
      <c r="AH41" s="882">
        <v>28.414757538167198</v>
      </c>
      <c r="AI41" s="882">
        <v>29.858933434400512</v>
      </c>
      <c r="AJ41" s="882">
        <v>31.303109330633827</v>
      </c>
      <c r="AK41" s="882">
        <v>32.747285226867142</v>
      </c>
      <c r="AL41" s="882">
        <v>34.191461123100453</v>
      </c>
      <c r="AM41" s="882">
        <v>35.635637019333771</v>
      </c>
      <c r="AN41" s="882">
        <v>37.079812915567089</v>
      </c>
      <c r="AO41" s="882">
        <v>38.5239888118004</v>
      </c>
      <c r="AP41" s="882">
        <v>39.968164708033719</v>
      </c>
      <c r="AQ41" s="882">
        <v>41.412340604267037</v>
      </c>
      <c r="AR41" s="882">
        <v>42.856516500500348</v>
      </c>
      <c r="AS41" s="882">
        <v>44.300692396733659</v>
      </c>
      <c r="AT41" s="882">
        <v>45.744868292966991</v>
      </c>
    </row>
    <row r="42" spans="1:46">
      <c r="A42" s="1426"/>
      <c r="B42" s="1427"/>
      <c r="C42" s="887">
        <v>1.1000000000000001</v>
      </c>
      <c r="D42" s="961">
        <f>(AA42*KFC!$B$16+KFC!$C$16)*KFC!$C$5</f>
        <v>18.795855210529492</v>
      </c>
      <c r="E42" s="962">
        <f>(AB42*KFC!$B$16+KFC!$C$16)*KFC!$C$5</f>
        <v>20.339342048312993</v>
      </c>
      <c r="F42" s="962">
        <f>(AC42*KFC!$B$16+KFC!$C$16)*KFC!$C$5</f>
        <v>21.88282888609649</v>
      </c>
      <c r="G42" s="962">
        <f>(AD42*KFC!$B$16+KFC!$C$16)*KFC!$C$5</f>
        <v>23.426315723879991</v>
      </c>
      <c r="H42" s="962">
        <f>(AE42*KFC!$B$16+KFC!$C$16)*KFC!$C$5</f>
        <v>24.969802561663485</v>
      </c>
      <c r="I42" s="962">
        <f>(AF42*KFC!$B$16+KFC!$C$16)*KFC!$C$5</f>
        <v>26.513289399446986</v>
      </c>
      <c r="J42" s="962">
        <f>(AG42*KFC!$B$16+KFC!$C$16)*KFC!$C$5</f>
        <v>28.056776237230487</v>
      </c>
      <c r="K42" s="962">
        <f>(AH42*KFC!$B$16+KFC!$C$16)*KFC!$C$5</f>
        <v>29.600263075013981</v>
      </c>
      <c r="L42" s="962">
        <f>(AI42*KFC!$B$16+KFC!$C$16)*KFC!$C$5</f>
        <v>31.143749912797482</v>
      </c>
      <c r="M42" s="962">
        <f>(AJ42*KFC!$B$16+KFC!$C$16)*KFC!$C$5</f>
        <v>32.687236750580979</v>
      </c>
      <c r="N42" s="962">
        <f>(AK42*KFC!$B$16+KFC!$C$16)*KFC!$C$5</f>
        <v>34.230723588364484</v>
      </c>
      <c r="O42" s="962">
        <f>(AL42*KFC!$B$16+KFC!$C$16)*KFC!$C$5</f>
        <v>35.774210426147981</v>
      </c>
      <c r="P42" s="962">
        <f>(AM42*KFC!$B$16+KFC!$C$16)*KFC!$C$5</f>
        <v>37.317697263931478</v>
      </c>
      <c r="Q42" s="962">
        <f>(AN42*KFC!$B$16+KFC!$C$16)*KFC!$C$5</f>
        <v>38.861184101714983</v>
      </c>
      <c r="R42" s="962">
        <f>(AO42*KFC!$B$16+KFC!$C$16)*KFC!$C$5</f>
        <v>40.404670939498487</v>
      </c>
      <c r="S42" s="962">
        <f>(AP42*KFC!$B$16+KFC!$C$16)*KFC!$C$5</f>
        <v>41.948157777281992</v>
      </c>
      <c r="T42" s="962">
        <f>(AQ42*KFC!$B$16+KFC!$C$16)*KFC!$C$5</f>
        <v>43.491644615065482</v>
      </c>
      <c r="U42" s="962">
        <f>(AR42*KFC!$B$16+KFC!$C$16)*KFC!$C$5</f>
        <v>45.035131452848987</v>
      </c>
      <c r="V42" s="962">
        <f>(AS42*KFC!$B$16+KFC!$C$16)*KFC!$C$5</f>
        <v>46.578618290632491</v>
      </c>
      <c r="W42" s="963">
        <f>(AT42*KFC!$B$16+KFC!$C$16)*KFC!$C$5</f>
        <v>48.122105128415988</v>
      </c>
      <c r="Y42" s="1277"/>
      <c r="Z42" s="649">
        <v>1.1000000000000001</v>
      </c>
      <c r="AA42" s="882">
        <v>18.795855210529492</v>
      </c>
      <c r="AB42" s="882">
        <v>20.339342048312993</v>
      </c>
      <c r="AC42" s="882">
        <v>21.88282888609649</v>
      </c>
      <c r="AD42" s="882">
        <v>23.426315723879991</v>
      </c>
      <c r="AE42" s="882">
        <v>24.969802561663485</v>
      </c>
      <c r="AF42" s="882">
        <v>26.513289399446986</v>
      </c>
      <c r="AG42" s="882">
        <v>28.056776237230487</v>
      </c>
      <c r="AH42" s="882">
        <v>29.600263075013981</v>
      </c>
      <c r="AI42" s="882">
        <v>31.143749912797482</v>
      </c>
      <c r="AJ42" s="882">
        <v>32.687236750580979</v>
      </c>
      <c r="AK42" s="882">
        <v>34.230723588364484</v>
      </c>
      <c r="AL42" s="882">
        <v>35.774210426147981</v>
      </c>
      <c r="AM42" s="882">
        <v>37.317697263931478</v>
      </c>
      <c r="AN42" s="882">
        <v>38.861184101714983</v>
      </c>
      <c r="AO42" s="882">
        <v>40.404670939498487</v>
      </c>
      <c r="AP42" s="882">
        <v>41.948157777281992</v>
      </c>
      <c r="AQ42" s="882">
        <v>43.491644615065482</v>
      </c>
      <c r="AR42" s="882">
        <v>45.035131452848987</v>
      </c>
      <c r="AS42" s="882">
        <v>46.578618290632491</v>
      </c>
      <c r="AT42" s="882">
        <v>48.122105128415988</v>
      </c>
    </row>
    <row r="43" spans="1:46">
      <c r="A43" s="1426"/>
      <c r="B43" s="1427"/>
      <c r="C43" s="887">
        <v>1.2</v>
      </c>
      <c r="D43" s="961">
        <f>(AA43*KFC!$B$16+KFC!$C$16)*KFC!$C$5</f>
        <v>19.286184156524993</v>
      </c>
      <c r="E43" s="962">
        <f>(AB43*KFC!$B$16+KFC!$C$16)*KFC!$C$5</f>
        <v>20.928981935858676</v>
      </c>
      <c r="F43" s="962">
        <f>(AC43*KFC!$B$16+KFC!$C$16)*KFC!$C$5</f>
        <v>22.57177971519236</v>
      </c>
      <c r="G43" s="962">
        <f>(AD43*KFC!$B$16+KFC!$C$16)*KFC!$C$5</f>
        <v>24.21457749452604</v>
      </c>
      <c r="H43" s="962">
        <f>(AE43*KFC!$B$16+KFC!$C$16)*KFC!$C$5</f>
        <v>25.857375273859724</v>
      </c>
      <c r="I43" s="962">
        <f>(AF43*KFC!$B$16+KFC!$C$16)*KFC!$C$5</f>
        <v>27.500173053193407</v>
      </c>
      <c r="J43" s="962">
        <f>(AG43*KFC!$B$16+KFC!$C$16)*KFC!$C$5</f>
        <v>29.142970832527084</v>
      </c>
      <c r="K43" s="962">
        <f>(AH43*KFC!$B$16+KFC!$C$16)*KFC!$C$5</f>
        <v>30.785768611860767</v>
      </c>
      <c r="L43" s="962">
        <f>(AI43*KFC!$B$16+KFC!$C$16)*KFC!$C$5</f>
        <v>32.428566391194451</v>
      </c>
      <c r="M43" s="962">
        <f>(AJ43*KFC!$B$16+KFC!$C$16)*KFC!$C$5</f>
        <v>34.071364170528135</v>
      </c>
      <c r="N43" s="962">
        <f>(AK43*KFC!$B$16+KFC!$C$16)*KFC!$C$5</f>
        <v>35.714161949861818</v>
      </c>
      <c r="O43" s="962">
        <f>(AL43*KFC!$B$16+KFC!$C$16)*KFC!$C$5</f>
        <v>37.356959729195502</v>
      </c>
      <c r="P43" s="962">
        <f>(AM43*KFC!$B$16+KFC!$C$16)*KFC!$C$5</f>
        <v>38.999757508529186</v>
      </c>
      <c r="Q43" s="962">
        <f>(AN43*KFC!$B$16+KFC!$C$16)*KFC!$C$5</f>
        <v>40.642555287862862</v>
      </c>
      <c r="R43" s="962">
        <f>(AO43*KFC!$B$16+KFC!$C$16)*KFC!$C$5</f>
        <v>42.285353067196546</v>
      </c>
      <c r="S43" s="962">
        <f>(AP43*KFC!$B$16+KFC!$C$16)*KFC!$C$5</f>
        <v>43.92815084653023</v>
      </c>
      <c r="T43" s="962">
        <f>(AQ43*KFC!$B$16+KFC!$C$16)*KFC!$C$5</f>
        <v>45.570948625863906</v>
      </c>
      <c r="U43" s="962">
        <f>(AR43*KFC!$B$16+KFC!$C$16)*KFC!$C$5</f>
        <v>47.213746405197597</v>
      </c>
      <c r="V43" s="962">
        <f>(AS43*KFC!$B$16+KFC!$C$16)*KFC!$C$5</f>
        <v>48.856544184531273</v>
      </c>
      <c r="W43" s="963">
        <f>(AT43*KFC!$B$16+KFC!$C$16)*KFC!$C$5</f>
        <v>50.499341963864985</v>
      </c>
      <c r="Y43" s="1277"/>
      <c r="Z43" s="649">
        <v>1.2</v>
      </c>
      <c r="AA43" s="882">
        <v>19.286184156524993</v>
      </c>
      <c r="AB43" s="882">
        <v>20.928981935858676</v>
      </c>
      <c r="AC43" s="882">
        <v>22.57177971519236</v>
      </c>
      <c r="AD43" s="882">
        <v>24.21457749452604</v>
      </c>
      <c r="AE43" s="882">
        <v>25.857375273859724</v>
      </c>
      <c r="AF43" s="882">
        <v>27.500173053193407</v>
      </c>
      <c r="AG43" s="882">
        <v>29.142970832527084</v>
      </c>
      <c r="AH43" s="882">
        <v>30.785768611860767</v>
      </c>
      <c r="AI43" s="882">
        <v>32.428566391194451</v>
      </c>
      <c r="AJ43" s="882">
        <v>34.071364170528135</v>
      </c>
      <c r="AK43" s="882">
        <v>35.714161949861818</v>
      </c>
      <c r="AL43" s="882">
        <v>37.356959729195502</v>
      </c>
      <c r="AM43" s="882">
        <v>38.999757508529186</v>
      </c>
      <c r="AN43" s="882">
        <v>40.642555287862862</v>
      </c>
      <c r="AO43" s="882">
        <v>42.285353067196546</v>
      </c>
      <c r="AP43" s="882">
        <v>43.92815084653023</v>
      </c>
      <c r="AQ43" s="882">
        <v>45.570948625863906</v>
      </c>
      <c r="AR43" s="882">
        <v>47.213746405197597</v>
      </c>
      <c r="AS43" s="882">
        <v>48.856544184531273</v>
      </c>
      <c r="AT43" s="882">
        <v>50.499341963864985</v>
      </c>
    </row>
    <row r="44" spans="1:46">
      <c r="A44" s="1426"/>
      <c r="B44" s="1427"/>
      <c r="C44" s="887">
        <v>1.3</v>
      </c>
      <c r="D44" s="961">
        <f>(AA44*KFC!$B$16+KFC!$C$16)*KFC!$C$5</f>
        <v>19.776513102520493</v>
      </c>
      <c r="E44" s="962">
        <f>(AB44*KFC!$B$16+KFC!$C$16)*KFC!$C$5</f>
        <v>21.518621823404359</v>
      </c>
      <c r="F44" s="962">
        <f>(AC44*KFC!$B$16+KFC!$C$16)*KFC!$C$5</f>
        <v>23.260730544288229</v>
      </c>
      <c r="G44" s="962">
        <f>(AD44*KFC!$B$16+KFC!$C$16)*KFC!$C$5</f>
        <v>25.002839265172099</v>
      </c>
      <c r="H44" s="962">
        <f>(AE44*KFC!$B$16+KFC!$C$16)*KFC!$C$5</f>
        <v>26.744947986055966</v>
      </c>
      <c r="I44" s="962">
        <f>(AF44*KFC!$B$16+KFC!$C$16)*KFC!$C$5</f>
        <v>28.487056706939835</v>
      </c>
      <c r="J44" s="962">
        <f>(AG44*KFC!$B$16+KFC!$C$16)*KFC!$C$5</f>
        <v>30.229165427823709</v>
      </c>
      <c r="K44" s="962">
        <f>(AH44*KFC!$B$16+KFC!$C$16)*KFC!$C$5</f>
        <v>31.971274148707575</v>
      </c>
      <c r="L44" s="962">
        <f>(AI44*KFC!$B$16+KFC!$C$16)*KFC!$C$5</f>
        <v>33.713382869591442</v>
      </c>
      <c r="M44" s="962">
        <f>(AJ44*KFC!$B$16+KFC!$C$16)*KFC!$C$5</f>
        <v>35.455491590475319</v>
      </c>
      <c r="N44" s="962">
        <f>(AK44*KFC!$B$16+KFC!$C$16)*KFC!$C$5</f>
        <v>37.197600311359189</v>
      </c>
      <c r="O44" s="962">
        <f>(AL44*KFC!$B$16+KFC!$C$16)*KFC!$C$5</f>
        <v>38.939709032243051</v>
      </c>
      <c r="P44" s="962">
        <f>(AM44*KFC!$B$16+KFC!$C$16)*KFC!$C$5</f>
        <v>40.681817753126921</v>
      </c>
      <c r="Q44" s="962">
        <f>(AN44*KFC!$B$16+KFC!$C$16)*KFC!$C$5</f>
        <v>42.423926474010791</v>
      </c>
      <c r="R44" s="962">
        <f>(AO44*KFC!$B$16+KFC!$C$16)*KFC!$C$5</f>
        <v>44.166035194894661</v>
      </c>
      <c r="S44" s="962">
        <f>(AP44*KFC!$B$16+KFC!$C$16)*KFC!$C$5</f>
        <v>45.908143915778531</v>
      </c>
      <c r="T44" s="962">
        <f>(AQ44*KFC!$B$16+KFC!$C$16)*KFC!$C$5</f>
        <v>47.650252636662401</v>
      </c>
      <c r="U44" s="962">
        <f>(AR44*KFC!$B$16+KFC!$C$16)*KFC!$C$5</f>
        <v>49.392361357546271</v>
      </c>
      <c r="V44" s="962">
        <f>(AS44*KFC!$B$16+KFC!$C$16)*KFC!$C$5</f>
        <v>51.134470078430141</v>
      </c>
      <c r="W44" s="963">
        <f>(AT44*KFC!$B$16+KFC!$C$16)*KFC!$C$5</f>
        <v>52.87657879931399</v>
      </c>
      <c r="Y44" s="1277"/>
      <c r="Z44" s="649">
        <v>1.3</v>
      </c>
      <c r="AA44" s="882">
        <v>19.776513102520493</v>
      </c>
      <c r="AB44" s="882">
        <v>21.518621823404359</v>
      </c>
      <c r="AC44" s="882">
        <v>23.260730544288229</v>
      </c>
      <c r="AD44" s="882">
        <v>25.002839265172099</v>
      </c>
      <c r="AE44" s="882">
        <v>26.744947986055966</v>
      </c>
      <c r="AF44" s="882">
        <v>28.487056706939835</v>
      </c>
      <c r="AG44" s="882">
        <v>30.229165427823709</v>
      </c>
      <c r="AH44" s="882">
        <v>31.971274148707575</v>
      </c>
      <c r="AI44" s="882">
        <v>33.713382869591442</v>
      </c>
      <c r="AJ44" s="882">
        <v>35.455491590475319</v>
      </c>
      <c r="AK44" s="882">
        <v>37.197600311359189</v>
      </c>
      <c r="AL44" s="882">
        <v>38.939709032243051</v>
      </c>
      <c r="AM44" s="882">
        <v>40.681817753126921</v>
      </c>
      <c r="AN44" s="882">
        <v>42.423926474010791</v>
      </c>
      <c r="AO44" s="882">
        <v>44.166035194894661</v>
      </c>
      <c r="AP44" s="882">
        <v>45.908143915778531</v>
      </c>
      <c r="AQ44" s="882">
        <v>47.650252636662401</v>
      </c>
      <c r="AR44" s="882">
        <v>49.392361357546271</v>
      </c>
      <c r="AS44" s="882">
        <v>51.134470078430141</v>
      </c>
      <c r="AT44" s="882">
        <v>52.87657879931399</v>
      </c>
    </row>
    <row r="45" spans="1:46">
      <c r="A45" s="1426"/>
      <c r="B45" s="1427"/>
      <c r="C45" s="887">
        <v>1.4</v>
      </c>
      <c r="D45" s="961">
        <f>(AA45*KFC!$B$16+KFC!$C$16)*KFC!$C$5</f>
        <v>20.266842048515993</v>
      </c>
      <c r="E45" s="962">
        <f>(AB45*KFC!$B$16+KFC!$C$16)*KFC!$C$5</f>
        <v>22.108261710950043</v>
      </c>
      <c r="F45" s="962">
        <f>(AC45*KFC!$B$16+KFC!$C$16)*KFC!$C$5</f>
        <v>23.949681373384095</v>
      </c>
      <c r="G45" s="962">
        <f>(AD45*KFC!$B$16+KFC!$C$16)*KFC!$C$5</f>
        <v>25.791101035818151</v>
      </c>
      <c r="H45" s="962">
        <f>(AE45*KFC!$B$16+KFC!$C$16)*KFC!$C$5</f>
        <v>27.632520698252204</v>
      </c>
      <c r="I45" s="962">
        <f>(AF45*KFC!$B$16+KFC!$C$16)*KFC!$C$5</f>
        <v>29.473940360686253</v>
      </c>
      <c r="J45" s="962">
        <f>(AG45*KFC!$B$16+KFC!$C$16)*KFC!$C$5</f>
        <v>31.315360023120306</v>
      </c>
      <c r="K45" s="962">
        <f>(AH45*KFC!$B$16+KFC!$C$16)*KFC!$C$5</f>
        <v>33.156779685554362</v>
      </c>
      <c r="L45" s="962">
        <f>(AI45*KFC!$B$16+KFC!$C$16)*KFC!$C$5</f>
        <v>34.998199347988418</v>
      </c>
      <c r="M45" s="962">
        <f>(AJ45*KFC!$B$16+KFC!$C$16)*KFC!$C$5</f>
        <v>36.839619010422467</v>
      </c>
      <c r="N45" s="962">
        <f>(AK45*KFC!$B$16+KFC!$C$16)*KFC!$C$5</f>
        <v>38.681038672856516</v>
      </c>
      <c r="O45" s="962">
        <f>(AL45*KFC!$B$16+KFC!$C$16)*KFC!$C$5</f>
        <v>40.522458335290565</v>
      </c>
      <c r="P45" s="962">
        <f>(AM45*KFC!$B$16+KFC!$C$16)*KFC!$C$5</f>
        <v>42.363877997724614</v>
      </c>
      <c r="Q45" s="962">
        <f>(AN45*KFC!$B$16+KFC!$C$16)*KFC!$C$5</f>
        <v>44.205297660158671</v>
      </c>
      <c r="R45" s="962">
        <f>(AO45*KFC!$B$16+KFC!$C$16)*KFC!$C$5</f>
        <v>46.046717322592713</v>
      </c>
      <c r="S45" s="962">
        <f>(AP45*KFC!$B$16+KFC!$C$16)*KFC!$C$5</f>
        <v>47.888136985026769</v>
      </c>
      <c r="T45" s="962">
        <f>(AQ45*KFC!$B$16+KFC!$C$16)*KFC!$C$5</f>
        <v>49.729556647460811</v>
      </c>
      <c r="U45" s="962">
        <f>(AR45*KFC!$B$16+KFC!$C$16)*KFC!$C$5</f>
        <v>51.570976309894867</v>
      </c>
      <c r="V45" s="962">
        <f>(AS45*KFC!$B$16+KFC!$C$16)*KFC!$C$5</f>
        <v>53.412395972328909</v>
      </c>
      <c r="W45" s="963">
        <f>(AT45*KFC!$B$16+KFC!$C$16)*KFC!$C$5</f>
        <v>55.253815634762987</v>
      </c>
      <c r="Y45" s="1277"/>
      <c r="Z45" s="649">
        <v>1.4</v>
      </c>
      <c r="AA45" s="882">
        <v>20.266842048515993</v>
      </c>
      <c r="AB45" s="882">
        <v>22.108261710950043</v>
      </c>
      <c r="AC45" s="882">
        <v>23.949681373384095</v>
      </c>
      <c r="AD45" s="882">
        <v>25.791101035818151</v>
      </c>
      <c r="AE45" s="882">
        <v>27.632520698252204</v>
      </c>
      <c r="AF45" s="882">
        <v>29.473940360686253</v>
      </c>
      <c r="AG45" s="882">
        <v>31.315360023120306</v>
      </c>
      <c r="AH45" s="882">
        <v>33.156779685554362</v>
      </c>
      <c r="AI45" s="882">
        <v>34.998199347988418</v>
      </c>
      <c r="AJ45" s="882">
        <v>36.839619010422467</v>
      </c>
      <c r="AK45" s="882">
        <v>38.681038672856516</v>
      </c>
      <c r="AL45" s="882">
        <v>40.522458335290565</v>
      </c>
      <c r="AM45" s="882">
        <v>42.363877997724614</v>
      </c>
      <c r="AN45" s="882">
        <v>44.205297660158671</v>
      </c>
      <c r="AO45" s="882">
        <v>46.046717322592713</v>
      </c>
      <c r="AP45" s="882">
        <v>47.888136985026769</v>
      </c>
      <c r="AQ45" s="882">
        <v>49.729556647460811</v>
      </c>
      <c r="AR45" s="882">
        <v>51.570976309894867</v>
      </c>
      <c r="AS45" s="882">
        <v>53.412395972328909</v>
      </c>
      <c r="AT45" s="882">
        <v>55.253815634762987</v>
      </c>
    </row>
    <row r="46" spans="1:46">
      <c r="A46" s="1426"/>
      <c r="B46" s="1427"/>
      <c r="C46" s="887">
        <v>1.5</v>
      </c>
      <c r="D46" s="961">
        <f>(AA46*KFC!$B$16+KFC!$C$16)*KFC!$C$5</f>
        <v>20.757170994511494</v>
      </c>
      <c r="E46" s="962">
        <f>(AB46*KFC!$B$16+KFC!$C$16)*KFC!$C$5</f>
        <v>22.697901598495729</v>
      </c>
      <c r="F46" s="962">
        <f>(AC46*KFC!$B$16+KFC!$C$16)*KFC!$C$5</f>
        <v>24.638632202479968</v>
      </c>
      <c r="G46" s="962">
        <f>(AD46*KFC!$B$16+KFC!$C$16)*KFC!$C$5</f>
        <v>26.579362806464204</v>
      </c>
      <c r="H46" s="962">
        <f>(AE46*KFC!$B$16+KFC!$C$16)*KFC!$C$5</f>
        <v>28.520093410448442</v>
      </c>
      <c r="I46" s="962">
        <f>(AF46*KFC!$B$16+KFC!$C$16)*KFC!$C$5</f>
        <v>30.460824014432674</v>
      </c>
      <c r="J46" s="962">
        <f>(AG46*KFC!$B$16+KFC!$C$16)*KFC!$C$5</f>
        <v>32.40155461841691</v>
      </c>
      <c r="K46" s="962">
        <f>(AH46*KFC!$B$16+KFC!$C$16)*KFC!$C$5</f>
        <v>34.342285222401145</v>
      </c>
      <c r="L46" s="962">
        <f>(AI46*KFC!$B$16+KFC!$C$16)*KFC!$C$5</f>
        <v>36.283015826385387</v>
      </c>
      <c r="M46" s="962">
        <f>(AJ46*KFC!$B$16+KFC!$C$16)*KFC!$C$5</f>
        <v>38.223746430369623</v>
      </c>
      <c r="N46" s="962">
        <f>(AK46*KFC!$B$16+KFC!$C$16)*KFC!$C$5</f>
        <v>40.164477034353858</v>
      </c>
      <c r="O46" s="962">
        <f>(AL46*KFC!$B$16+KFC!$C$16)*KFC!$C$5</f>
        <v>42.105207638338094</v>
      </c>
      <c r="P46" s="962">
        <f>(AM46*KFC!$B$16+KFC!$C$16)*KFC!$C$5</f>
        <v>44.045938242322336</v>
      </c>
      <c r="Q46" s="962">
        <f>(AN46*KFC!$B$16+KFC!$C$16)*KFC!$C$5</f>
        <v>45.986668846306571</v>
      </c>
      <c r="R46" s="962">
        <f>(AO46*KFC!$B$16+KFC!$C$16)*KFC!$C$5</f>
        <v>47.927399450290807</v>
      </c>
      <c r="S46" s="962">
        <f>(AP46*KFC!$B$16+KFC!$C$16)*KFC!$C$5</f>
        <v>49.868130054275042</v>
      </c>
      <c r="T46" s="962">
        <f>(AQ46*KFC!$B$16+KFC!$C$16)*KFC!$C$5</f>
        <v>51.808860658259285</v>
      </c>
      <c r="U46" s="962">
        <f>(AR46*KFC!$B$16+KFC!$C$16)*KFC!$C$5</f>
        <v>53.74959126224352</v>
      </c>
      <c r="V46" s="962">
        <f>(AS46*KFC!$B$16+KFC!$C$16)*KFC!$C$5</f>
        <v>55.690321866227755</v>
      </c>
      <c r="W46" s="963">
        <f>(AT46*KFC!$B$16+KFC!$C$16)*KFC!$C$5</f>
        <v>57.631052470211976</v>
      </c>
      <c r="Y46" s="1277"/>
      <c r="Z46" s="649">
        <v>1.5</v>
      </c>
      <c r="AA46" s="882">
        <v>20.757170994511494</v>
      </c>
      <c r="AB46" s="882">
        <v>22.697901598495729</v>
      </c>
      <c r="AC46" s="882">
        <v>24.638632202479968</v>
      </c>
      <c r="AD46" s="882">
        <v>26.579362806464204</v>
      </c>
      <c r="AE46" s="882">
        <v>28.520093410448442</v>
      </c>
      <c r="AF46" s="882">
        <v>30.460824014432674</v>
      </c>
      <c r="AG46" s="882">
        <v>32.40155461841691</v>
      </c>
      <c r="AH46" s="882">
        <v>34.342285222401145</v>
      </c>
      <c r="AI46" s="882">
        <v>36.283015826385387</v>
      </c>
      <c r="AJ46" s="882">
        <v>38.223746430369623</v>
      </c>
      <c r="AK46" s="882">
        <v>40.164477034353858</v>
      </c>
      <c r="AL46" s="882">
        <v>42.105207638338094</v>
      </c>
      <c r="AM46" s="882">
        <v>44.045938242322336</v>
      </c>
      <c r="AN46" s="882">
        <v>45.986668846306571</v>
      </c>
      <c r="AO46" s="882">
        <v>47.927399450290807</v>
      </c>
      <c r="AP46" s="882">
        <v>49.868130054275042</v>
      </c>
      <c r="AQ46" s="882">
        <v>51.808860658259285</v>
      </c>
      <c r="AR46" s="882">
        <v>53.74959126224352</v>
      </c>
      <c r="AS46" s="882">
        <v>55.690321866227755</v>
      </c>
      <c r="AT46" s="882">
        <v>57.631052470211976</v>
      </c>
    </row>
    <row r="47" spans="1:46">
      <c r="A47" s="1426"/>
      <c r="B47" s="1427"/>
      <c r="C47" s="887">
        <v>1.6</v>
      </c>
      <c r="D47" s="961">
        <f>(AA47*KFC!$B$16+KFC!$C$16)*KFC!$C$5</f>
        <v>21.247499940506987</v>
      </c>
      <c r="E47" s="962">
        <f>(AB47*KFC!$B$16+KFC!$C$16)*KFC!$C$5</f>
        <v>23.287541486041412</v>
      </c>
      <c r="F47" s="962">
        <f>(AC47*KFC!$B$16+KFC!$C$16)*KFC!$C$5</f>
        <v>25.327583031575834</v>
      </c>
      <c r="G47" s="962">
        <f>(AD47*KFC!$B$16+KFC!$C$16)*KFC!$C$5</f>
        <v>27.367624577110252</v>
      </c>
      <c r="H47" s="962">
        <f>(AE47*KFC!$B$16+KFC!$C$16)*KFC!$C$5</f>
        <v>29.407666122644674</v>
      </c>
      <c r="I47" s="962">
        <f>(AF47*KFC!$B$16+KFC!$C$16)*KFC!$C$5</f>
        <v>31.447707668179095</v>
      </c>
      <c r="J47" s="962">
        <f>(AG47*KFC!$B$16+KFC!$C$16)*KFC!$C$5</f>
        <v>33.487749213713514</v>
      </c>
      <c r="K47" s="962">
        <f>(AH47*KFC!$B$16+KFC!$C$16)*KFC!$C$5</f>
        <v>35.527790759247935</v>
      </c>
      <c r="L47" s="962">
        <f>(AI47*KFC!$B$16+KFC!$C$16)*KFC!$C$5</f>
        <v>37.567832304782357</v>
      </c>
      <c r="M47" s="962">
        <f>(AJ47*KFC!$B$16+KFC!$C$16)*KFC!$C$5</f>
        <v>39.607873850316778</v>
      </c>
      <c r="N47" s="962">
        <f>(AK47*KFC!$B$16+KFC!$C$16)*KFC!$C$5</f>
        <v>41.647915395851193</v>
      </c>
      <c r="O47" s="962">
        <f>(AL47*KFC!$B$16+KFC!$C$16)*KFC!$C$5</f>
        <v>43.687956941385615</v>
      </c>
      <c r="P47" s="962">
        <f>(AM47*KFC!$B$16+KFC!$C$16)*KFC!$C$5</f>
        <v>45.727998486920022</v>
      </c>
      <c r="Q47" s="962">
        <f>(AN47*KFC!$B$16+KFC!$C$16)*KFC!$C$5</f>
        <v>47.768040032454444</v>
      </c>
      <c r="R47" s="962">
        <f>(AO47*KFC!$B$16+KFC!$C$16)*KFC!$C$5</f>
        <v>49.808081577988865</v>
      </c>
      <c r="S47" s="962">
        <f>(AP47*KFC!$B$16+KFC!$C$16)*KFC!$C$5</f>
        <v>51.84812312352328</v>
      </c>
      <c r="T47" s="962">
        <f>(AQ47*KFC!$B$16+KFC!$C$16)*KFC!$C$5</f>
        <v>53.888164669057694</v>
      </c>
      <c r="U47" s="962">
        <f>(AR47*KFC!$B$16+KFC!$C$16)*KFC!$C$5</f>
        <v>55.928206214592116</v>
      </c>
      <c r="V47" s="962">
        <f>(AS47*KFC!$B$16+KFC!$C$16)*KFC!$C$5</f>
        <v>57.968247760126523</v>
      </c>
      <c r="W47" s="963">
        <f>(AT47*KFC!$B$16+KFC!$C$16)*KFC!$C$5</f>
        <v>60.008289305660973</v>
      </c>
      <c r="Y47" s="1277"/>
      <c r="Z47" s="649">
        <v>1.6</v>
      </c>
      <c r="AA47" s="882">
        <v>21.247499940506987</v>
      </c>
      <c r="AB47" s="882">
        <v>23.287541486041412</v>
      </c>
      <c r="AC47" s="882">
        <v>25.327583031575834</v>
      </c>
      <c r="AD47" s="882">
        <v>27.367624577110252</v>
      </c>
      <c r="AE47" s="882">
        <v>29.407666122644674</v>
      </c>
      <c r="AF47" s="882">
        <v>31.447707668179095</v>
      </c>
      <c r="AG47" s="882">
        <v>33.487749213713514</v>
      </c>
      <c r="AH47" s="882">
        <v>35.527790759247935</v>
      </c>
      <c r="AI47" s="882">
        <v>37.567832304782357</v>
      </c>
      <c r="AJ47" s="882">
        <v>39.607873850316778</v>
      </c>
      <c r="AK47" s="882">
        <v>41.647915395851193</v>
      </c>
      <c r="AL47" s="882">
        <v>43.687956941385615</v>
      </c>
      <c r="AM47" s="882">
        <v>45.727998486920022</v>
      </c>
      <c r="AN47" s="882">
        <v>47.768040032454444</v>
      </c>
      <c r="AO47" s="882">
        <v>49.808081577988865</v>
      </c>
      <c r="AP47" s="882">
        <v>51.84812312352328</v>
      </c>
      <c r="AQ47" s="882">
        <v>53.888164669057694</v>
      </c>
      <c r="AR47" s="882">
        <v>55.928206214592116</v>
      </c>
      <c r="AS47" s="882">
        <v>57.968247760126523</v>
      </c>
      <c r="AT47" s="882">
        <v>60.008289305660973</v>
      </c>
    </row>
    <row r="48" spans="1:46">
      <c r="A48" s="1426"/>
      <c r="B48" s="1427"/>
      <c r="C48" s="887">
        <v>1.7</v>
      </c>
      <c r="D48" s="961">
        <f>(AA48*KFC!$B$16+KFC!$C$16)*KFC!$C$5</f>
        <v>21.737828886502488</v>
      </c>
      <c r="E48" s="962">
        <f>(AB48*KFC!$B$16+KFC!$C$16)*KFC!$C$5</f>
        <v>23.877181373587096</v>
      </c>
      <c r="F48" s="962">
        <f>(AC48*KFC!$B$16+KFC!$C$16)*KFC!$C$5</f>
        <v>26.0165338606717</v>
      </c>
      <c r="G48" s="962">
        <f>(AD48*KFC!$B$16+KFC!$C$16)*KFC!$C$5</f>
        <v>28.155886347756304</v>
      </c>
      <c r="H48" s="962">
        <f>(AE48*KFC!$B$16+KFC!$C$16)*KFC!$C$5</f>
        <v>30.295238834840912</v>
      </c>
      <c r="I48" s="962">
        <f>(AF48*KFC!$B$16+KFC!$C$16)*KFC!$C$5</f>
        <v>32.434591321925517</v>
      </c>
      <c r="J48" s="962">
        <f>(AG48*KFC!$B$16+KFC!$C$16)*KFC!$C$5</f>
        <v>34.573943809010117</v>
      </c>
      <c r="K48" s="962">
        <f>(AH48*KFC!$B$16+KFC!$C$16)*KFC!$C$5</f>
        <v>36.713296296094725</v>
      </c>
      <c r="L48" s="962">
        <f>(AI48*KFC!$B$16+KFC!$C$16)*KFC!$C$5</f>
        <v>38.852648783179333</v>
      </c>
      <c r="M48" s="962">
        <f>(AJ48*KFC!$B$16+KFC!$C$16)*KFC!$C$5</f>
        <v>40.992001270263934</v>
      </c>
      <c r="N48" s="962">
        <f>(AK48*KFC!$B$16+KFC!$C$16)*KFC!$C$5</f>
        <v>43.131353757348542</v>
      </c>
      <c r="O48" s="962">
        <f>(AL48*KFC!$B$16+KFC!$C$16)*KFC!$C$5</f>
        <v>45.270706244433143</v>
      </c>
      <c r="P48" s="962">
        <f>(AM48*KFC!$B$16+KFC!$C$16)*KFC!$C$5</f>
        <v>47.410058731517751</v>
      </c>
      <c r="Q48" s="962">
        <f>(AN48*KFC!$B$16+KFC!$C$16)*KFC!$C$5</f>
        <v>49.549411218602351</v>
      </c>
      <c r="R48" s="962">
        <f>(AO48*KFC!$B$16+KFC!$C$16)*KFC!$C$5</f>
        <v>51.688763705686952</v>
      </c>
      <c r="S48" s="962">
        <f>(AP48*KFC!$B$16+KFC!$C$16)*KFC!$C$5</f>
        <v>53.82811619277156</v>
      </c>
      <c r="T48" s="962">
        <f>(AQ48*KFC!$B$16+KFC!$C$16)*KFC!$C$5</f>
        <v>55.967468679856161</v>
      </c>
      <c r="U48" s="962">
        <f>(AR48*KFC!$B$16+KFC!$C$16)*KFC!$C$5</f>
        <v>58.106821166940769</v>
      </c>
      <c r="V48" s="962">
        <f>(AS48*KFC!$B$16+KFC!$C$16)*KFC!$C$5</f>
        <v>60.24617365402537</v>
      </c>
      <c r="W48" s="963">
        <f>(AT48*KFC!$B$16+KFC!$C$16)*KFC!$C$5</f>
        <v>62.38552614110997</v>
      </c>
      <c r="Y48" s="1277"/>
      <c r="Z48" s="649">
        <v>1.7</v>
      </c>
      <c r="AA48" s="882">
        <v>21.737828886502488</v>
      </c>
      <c r="AB48" s="882">
        <v>23.877181373587096</v>
      </c>
      <c r="AC48" s="882">
        <v>26.0165338606717</v>
      </c>
      <c r="AD48" s="882">
        <v>28.155886347756304</v>
      </c>
      <c r="AE48" s="882">
        <v>30.295238834840912</v>
      </c>
      <c r="AF48" s="882">
        <v>32.434591321925517</v>
      </c>
      <c r="AG48" s="882">
        <v>34.573943809010117</v>
      </c>
      <c r="AH48" s="882">
        <v>36.713296296094725</v>
      </c>
      <c r="AI48" s="882">
        <v>38.852648783179333</v>
      </c>
      <c r="AJ48" s="882">
        <v>40.992001270263934</v>
      </c>
      <c r="AK48" s="882">
        <v>43.131353757348542</v>
      </c>
      <c r="AL48" s="882">
        <v>45.270706244433143</v>
      </c>
      <c r="AM48" s="882">
        <v>47.410058731517751</v>
      </c>
      <c r="AN48" s="882">
        <v>49.549411218602351</v>
      </c>
      <c r="AO48" s="882">
        <v>51.688763705686952</v>
      </c>
      <c r="AP48" s="882">
        <v>53.82811619277156</v>
      </c>
      <c r="AQ48" s="882">
        <v>55.967468679856161</v>
      </c>
      <c r="AR48" s="882">
        <v>58.106821166940769</v>
      </c>
      <c r="AS48" s="882">
        <v>60.24617365402537</v>
      </c>
      <c r="AT48" s="882">
        <v>62.38552614110997</v>
      </c>
    </row>
    <row r="49" spans="1:46">
      <c r="A49" s="1426"/>
      <c r="B49" s="1427"/>
      <c r="C49" s="887">
        <v>1.8</v>
      </c>
      <c r="D49" s="961">
        <f>(AA49*KFC!$B$16+KFC!$C$16)*KFC!$C$5</f>
        <v>22.228157832497988</v>
      </c>
      <c r="E49" s="962">
        <f>(AB49*KFC!$B$16+KFC!$C$16)*KFC!$C$5</f>
        <v>24.466821261132779</v>
      </c>
      <c r="F49" s="962">
        <f>(AC49*KFC!$B$16+KFC!$C$16)*KFC!$C$5</f>
        <v>26.705484689767566</v>
      </c>
      <c r="G49" s="962">
        <f>(AD49*KFC!$B$16+KFC!$C$16)*KFC!$C$5</f>
        <v>28.944148118402353</v>
      </c>
      <c r="H49" s="962">
        <f>(AE49*KFC!$B$16+KFC!$C$16)*KFC!$C$5</f>
        <v>31.182811547037144</v>
      </c>
      <c r="I49" s="962">
        <f>(AF49*KFC!$B$16+KFC!$C$16)*KFC!$C$5</f>
        <v>33.421474975671934</v>
      </c>
      <c r="J49" s="962">
        <f>(AG49*KFC!$B$16+KFC!$C$16)*KFC!$C$5</f>
        <v>35.660138404306714</v>
      </c>
      <c r="K49" s="962">
        <f>(AH49*KFC!$B$16+KFC!$C$16)*KFC!$C$5</f>
        <v>37.898801832941515</v>
      </c>
      <c r="L49" s="962">
        <f>(AI49*KFC!$B$16+KFC!$C$16)*KFC!$C$5</f>
        <v>40.137465261576295</v>
      </c>
      <c r="M49" s="962">
        <f>(AJ49*KFC!$B$16+KFC!$C$16)*KFC!$C$5</f>
        <v>42.376128690211075</v>
      </c>
      <c r="N49" s="962">
        <f>(AK49*KFC!$B$16+KFC!$C$16)*KFC!$C$5</f>
        <v>44.614792118845862</v>
      </c>
      <c r="O49" s="962">
        <f>(AL49*KFC!$B$16+KFC!$C$16)*KFC!$C$5</f>
        <v>46.85345554748065</v>
      </c>
      <c r="P49" s="962">
        <f>(AM49*KFC!$B$16+KFC!$C$16)*KFC!$C$5</f>
        <v>49.092118976115437</v>
      </c>
      <c r="Q49" s="962">
        <f>(AN49*KFC!$B$16+KFC!$C$16)*KFC!$C$5</f>
        <v>51.330782404750224</v>
      </c>
      <c r="R49" s="962">
        <f>(AO49*KFC!$B$16+KFC!$C$16)*KFC!$C$5</f>
        <v>53.569445833385004</v>
      </c>
      <c r="S49" s="962">
        <f>(AP49*KFC!$B$16+KFC!$C$16)*KFC!$C$5</f>
        <v>55.808109262019791</v>
      </c>
      <c r="T49" s="962">
        <f>(AQ49*KFC!$B$16+KFC!$C$16)*KFC!$C$5</f>
        <v>58.046772690654571</v>
      </c>
      <c r="U49" s="962">
        <f>(AR49*KFC!$B$16+KFC!$C$16)*KFC!$C$5</f>
        <v>60.285436119289358</v>
      </c>
      <c r="V49" s="962">
        <f>(AS49*KFC!$B$16+KFC!$C$16)*KFC!$C$5</f>
        <v>62.524099547924138</v>
      </c>
      <c r="W49" s="963">
        <f>(AT49*KFC!$B$16+KFC!$C$16)*KFC!$C$5</f>
        <v>64.762762976558975</v>
      </c>
      <c r="Y49" s="1277"/>
      <c r="Z49" s="649">
        <v>1.8</v>
      </c>
      <c r="AA49" s="882">
        <v>22.228157832497988</v>
      </c>
      <c r="AB49" s="882">
        <v>24.466821261132779</v>
      </c>
      <c r="AC49" s="882">
        <v>26.705484689767566</v>
      </c>
      <c r="AD49" s="882">
        <v>28.944148118402353</v>
      </c>
      <c r="AE49" s="882">
        <v>31.182811547037144</v>
      </c>
      <c r="AF49" s="882">
        <v>33.421474975671934</v>
      </c>
      <c r="AG49" s="882">
        <v>35.660138404306714</v>
      </c>
      <c r="AH49" s="882">
        <v>37.898801832941515</v>
      </c>
      <c r="AI49" s="882">
        <v>40.137465261576295</v>
      </c>
      <c r="AJ49" s="882">
        <v>42.376128690211075</v>
      </c>
      <c r="AK49" s="882">
        <v>44.614792118845862</v>
      </c>
      <c r="AL49" s="882">
        <v>46.85345554748065</v>
      </c>
      <c r="AM49" s="882">
        <v>49.092118976115437</v>
      </c>
      <c r="AN49" s="882">
        <v>51.330782404750224</v>
      </c>
      <c r="AO49" s="882">
        <v>53.569445833385004</v>
      </c>
      <c r="AP49" s="882">
        <v>55.808109262019791</v>
      </c>
      <c r="AQ49" s="882">
        <v>58.046772690654571</v>
      </c>
      <c r="AR49" s="882">
        <v>60.285436119289358</v>
      </c>
      <c r="AS49" s="882">
        <v>62.524099547924138</v>
      </c>
      <c r="AT49" s="882">
        <v>64.762762976558975</v>
      </c>
    </row>
    <row r="50" spans="1:46">
      <c r="A50" s="1426"/>
      <c r="B50" s="1427"/>
      <c r="C50" s="887">
        <v>1.9</v>
      </c>
      <c r="D50" s="961">
        <f>(AA50*KFC!$B$16+KFC!$C$16)*KFC!$C$5</f>
        <v>22.718486778493489</v>
      </c>
      <c r="E50" s="962">
        <f>(AB50*KFC!$B$16+KFC!$C$16)*KFC!$C$5</f>
        <v>25.056461148678459</v>
      </c>
      <c r="F50" s="962">
        <f>(AC50*KFC!$B$16+KFC!$C$16)*KFC!$C$5</f>
        <v>27.394435518863432</v>
      </c>
      <c r="G50" s="962">
        <f>(AD50*KFC!$B$16+KFC!$C$16)*KFC!$C$5</f>
        <v>29.732409889048409</v>
      </c>
      <c r="H50" s="962">
        <f>(AE50*KFC!$B$16+KFC!$C$16)*KFC!$C$5</f>
        <v>32.070384259233379</v>
      </c>
      <c r="I50" s="962">
        <f>(AF50*KFC!$B$16+KFC!$C$16)*KFC!$C$5</f>
        <v>34.408358629418345</v>
      </c>
      <c r="J50" s="962">
        <f>(AG50*KFC!$B$16+KFC!$C$16)*KFC!$C$5</f>
        <v>36.746332999603325</v>
      </c>
      <c r="K50" s="962">
        <f>(AH50*KFC!$B$16+KFC!$C$16)*KFC!$C$5</f>
        <v>39.084307369788299</v>
      </c>
      <c r="L50" s="962">
        <f>(AI50*KFC!$B$16+KFC!$C$16)*KFC!$C$5</f>
        <v>41.422281739973265</v>
      </c>
      <c r="M50" s="962">
        <f>(AJ50*KFC!$B$16+KFC!$C$16)*KFC!$C$5</f>
        <v>43.760256110158238</v>
      </c>
      <c r="N50" s="962">
        <f>(AK50*KFC!$B$16+KFC!$C$16)*KFC!$C$5</f>
        <v>46.098230480343211</v>
      </c>
      <c r="O50" s="962">
        <f>(AL50*KFC!$B$16+KFC!$C$16)*KFC!$C$5</f>
        <v>48.436204850528185</v>
      </c>
      <c r="P50" s="962">
        <f>(AM50*KFC!$B$16+KFC!$C$16)*KFC!$C$5</f>
        <v>50.774179220713151</v>
      </c>
      <c r="Q50" s="962">
        <f>(AN50*KFC!$B$16+KFC!$C$16)*KFC!$C$5</f>
        <v>53.112153590898124</v>
      </c>
      <c r="R50" s="962">
        <f>(AO50*KFC!$B$16+KFC!$C$16)*KFC!$C$5</f>
        <v>55.450127961083105</v>
      </c>
      <c r="S50" s="962">
        <f>(AP50*KFC!$B$16+KFC!$C$16)*KFC!$C$5</f>
        <v>57.788102331268071</v>
      </c>
      <c r="T50" s="962">
        <f>(AQ50*KFC!$B$16+KFC!$C$16)*KFC!$C$5</f>
        <v>60.126076701453044</v>
      </c>
      <c r="U50" s="962">
        <f>(AR50*KFC!$B$16+KFC!$C$16)*KFC!$C$5</f>
        <v>62.464051071638011</v>
      </c>
      <c r="V50" s="962">
        <f>(AS50*KFC!$B$16+KFC!$C$16)*KFC!$C$5</f>
        <v>64.802025441822977</v>
      </c>
      <c r="W50" s="963">
        <f>(AT50*KFC!$B$16+KFC!$C$16)*KFC!$C$5</f>
        <v>67.139999812007972</v>
      </c>
      <c r="Y50" s="1277"/>
      <c r="Z50" s="649">
        <v>1.9</v>
      </c>
      <c r="AA50" s="882">
        <v>22.718486778493489</v>
      </c>
      <c r="AB50" s="882">
        <v>25.056461148678459</v>
      </c>
      <c r="AC50" s="882">
        <v>27.394435518863432</v>
      </c>
      <c r="AD50" s="882">
        <v>29.732409889048409</v>
      </c>
      <c r="AE50" s="882">
        <v>32.070384259233379</v>
      </c>
      <c r="AF50" s="882">
        <v>34.408358629418345</v>
      </c>
      <c r="AG50" s="882">
        <v>36.746332999603325</v>
      </c>
      <c r="AH50" s="882">
        <v>39.084307369788299</v>
      </c>
      <c r="AI50" s="882">
        <v>41.422281739973265</v>
      </c>
      <c r="AJ50" s="882">
        <v>43.760256110158238</v>
      </c>
      <c r="AK50" s="882">
        <v>46.098230480343211</v>
      </c>
      <c r="AL50" s="882">
        <v>48.436204850528185</v>
      </c>
      <c r="AM50" s="882">
        <v>50.774179220713151</v>
      </c>
      <c r="AN50" s="882">
        <v>53.112153590898124</v>
      </c>
      <c r="AO50" s="882">
        <v>55.450127961083105</v>
      </c>
      <c r="AP50" s="882">
        <v>57.788102331268071</v>
      </c>
      <c r="AQ50" s="882">
        <v>60.126076701453044</v>
      </c>
      <c r="AR50" s="882">
        <v>62.464051071638011</v>
      </c>
      <c r="AS50" s="882">
        <v>64.802025441822977</v>
      </c>
      <c r="AT50" s="882">
        <v>67.139999812007972</v>
      </c>
    </row>
    <row r="51" spans="1:46">
      <c r="A51" s="1426"/>
      <c r="B51" s="1427"/>
      <c r="C51" s="887">
        <v>2</v>
      </c>
      <c r="D51" s="961">
        <f>(AA51*KFC!$B$16+KFC!$C$16)*KFC!$C$5</f>
        <v>23.208815724488989</v>
      </c>
      <c r="E51" s="962">
        <f>(AB51*KFC!$B$16+KFC!$C$16)*KFC!$C$5</f>
        <v>25.646101036224145</v>
      </c>
      <c r="F51" s="962">
        <f>(AC51*KFC!$B$16+KFC!$C$16)*KFC!$C$5</f>
        <v>28.083386347959308</v>
      </c>
      <c r="G51" s="962">
        <f>(AD51*KFC!$B$16+KFC!$C$16)*KFC!$C$5</f>
        <v>30.520671659694468</v>
      </c>
      <c r="H51" s="962">
        <f>(AE51*KFC!$B$16+KFC!$C$16)*KFC!$C$5</f>
        <v>32.957956971429631</v>
      </c>
      <c r="I51" s="962">
        <f>(AF51*KFC!$B$16+KFC!$C$16)*KFC!$C$5</f>
        <v>35.395242283164784</v>
      </c>
      <c r="J51" s="962">
        <f>(AG51*KFC!$B$16+KFC!$C$16)*KFC!$C$5</f>
        <v>37.832527594899943</v>
      </c>
      <c r="K51" s="962">
        <f>(AH51*KFC!$B$16+KFC!$C$16)*KFC!$C$5</f>
        <v>40.269812906635103</v>
      </c>
      <c r="L51" s="962">
        <f>(AI51*KFC!$B$16+KFC!$C$16)*KFC!$C$5</f>
        <v>42.707098218370263</v>
      </c>
      <c r="M51" s="962">
        <f>(AJ51*KFC!$B$16+KFC!$C$16)*KFC!$C$5</f>
        <v>45.144383530105422</v>
      </c>
      <c r="N51" s="962">
        <f>(AK51*KFC!$B$16+KFC!$C$16)*KFC!$C$5</f>
        <v>47.581668841840582</v>
      </c>
      <c r="O51" s="962">
        <f>(AL51*KFC!$B$16+KFC!$C$16)*KFC!$C$5</f>
        <v>50.018954153575734</v>
      </c>
      <c r="P51" s="962">
        <f>(AM51*KFC!$B$16+KFC!$C$16)*KFC!$C$5</f>
        <v>52.456239465310901</v>
      </c>
      <c r="Q51" s="962">
        <f>(AN51*KFC!$B$16+KFC!$C$16)*KFC!$C$5</f>
        <v>54.893524777046061</v>
      </c>
      <c r="R51" s="962">
        <f>(AO51*KFC!$B$16+KFC!$C$16)*KFC!$C$5</f>
        <v>57.330810088781213</v>
      </c>
      <c r="S51" s="962">
        <f>(AP51*KFC!$B$16+KFC!$C$16)*KFC!$C$5</f>
        <v>59.76809540051638</v>
      </c>
      <c r="T51" s="962">
        <f>(AQ51*KFC!$B$16+KFC!$C$16)*KFC!$C$5</f>
        <v>62.205380712251539</v>
      </c>
      <c r="U51" s="962">
        <f>(AR51*KFC!$B$16+KFC!$C$16)*KFC!$C$5</f>
        <v>64.642666023986692</v>
      </c>
      <c r="V51" s="962">
        <f>(AS51*KFC!$B$16+KFC!$C$16)*KFC!$C$5</f>
        <v>67.079951335721844</v>
      </c>
      <c r="W51" s="963">
        <f>(AT51*KFC!$B$16+KFC!$C$16)*KFC!$C$5</f>
        <v>69.517236647456983</v>
      </c>
      <c r="Y51" s="1277"/>
      <c r="Z51" s="649">
        <v>2</v>
      </c>
      <c r="AA51" s="882">
        <v>23.208815724488989</v>
      </c>
      <c r="AB51" s="882">
        <v>25.646101036224145</v>
      </c>
      <c r="AC51" s="882">
        <v>28.083386347959308</v>
      </c>
      <c r="AD51" s="882">
        <v>30.520671659694468</v>
      </c>
      <c r="AE51" s="882">
        <v>32.957956971429631</v>
      </c>
      <c r="AF51" s="882">
        <v>35.395242283164784</v>
      </c>
      <c r="AG51" s="882">
        <v>37.832527594899943</v>
      </c>
      <c r="AH51" s="882">
        <v>40.269812906635103</v>
      </c>
      <c r="AI51" s="882">
        <v>42.707098218370263</v>
      </c>
      <c r="AJ51" s="882">
        <v>45.144383530105422</v>
      </c>
      <c r="AK51" s="882">
        <v>47.581668841840582</v>
      </c>
      <c r="AL51" s="882">
        <v>50.018954153575734</v>
      </c>
      <c r="AM51" s="882">
        <v>52.456239465310901</v>
      </c>
      <c r="AN51" s="882">
        <v>54.893524777046061</v>
      </c>
      <c r="AO51" s="882">
        <v>57.330810088781213</v>
      </c>
      <c r="AP51" s="882">
        <v>59.76809540051638</v>
      </c>
      <c r="AQ51" s="882">
        <v>62.205380712251539</v>
      </c>
      <c r="AR51" s="882">
        <v>64.642666023986692</v>
      </c>
      <c r="AS51" s="882">
        <v>67.079951335721844</v>
      </c>
      <c r="AT51" s="882">
        <v>69.517236647456983</v>
      </c>
    </row>
    <row r="52" spans="1:46">
      <c r="A52" s="1426"/>
      <c r="B52" s="1427"/>
      <c r="C52" s="887">
        <v>2.1</v>
      </c>
      <c r="D52" s="961">
        <f>(AA52*KFC!$B$16+KFC!$C$16)*KFC!$C$5</f>
        <v>23.69914467048449</v>
      </c>
      <c r="E52" s="962">
        <f>(AB52*KFC!$B$16+KFC!$C$16)*KFC!$C$5</f>
        <v>26.235740923769828</v>
      </c>
      <c r="F52" s="962">
        <f>(AC52*KFC!$B$16+KFC!$C$16)*KFC!$C$5</f>
        <v>28.772337177055174</v>
      </c>
      <c r="G52" s="962">
        <f>(AD52*KFC!$B$16+KFC!$C$16)*KFC!$C$5</f>
        <v>31.308933430340517</v>
      </c>
      <c r="H52" s="962">
        <f>(AE52*KFC!$B$16+KFC!$C$16)*KFC!$C$5</f>
        <v>33.845529683625863</v>
      </c>
      <c r="I52" s="962">
        <f>(AF52*KFC!$B$16+KFC!$C$16)*KFC!$C$5</f>
        <v>36.382125936911201</v>
      </c>
      <c r="J52" s="962">
        <f>(AG52*KFC!$B$16+KFC!$C$16)*KFC!$C$5</f>
        <v>38.91872219019654</v>
      </c>
      <c r="K52" s="962">
        <f>(AH52*KFC!$B$16+KFC!$C$16)*KFC!$C$5</f>
        <v>41.455318443481879</v>
      </c>
      <c r="L52" s="962">
        <f>(AI52*KFC!$B$16+KFC!$C$16)*KFC!$C$5</f>
        <v>43.991914696767218</v>
      </c>
      <c r="M52" s="962">
        <f>(AJ52*KFC!$B$16+KFC!$C$16)*KFC!$C$5</f>
        <v>46.528510950052564</v>
      </c>
      <c r="N52" s="962">
        <f>(AK52*KFC!$B$16+KFC!$C$16)*KFC!$C$5</f>
        <v>49.065107203337895</v>
      </c>
      <c r="O52" s="962">
        <f>(AL52*KFC!$B$16+KFC!$C$16)*KFC!$C$5</f>
        <v>51.601703456623241</v>
      </c>
      <c r="P52" s="962">
        <f>(AM52*KFC!$B$16+KFC!$C$16)*KFC!$C$5</f>
        <v>54.13829970990858</v>
      </c>
      <c r="Q52" s="962">
        <f>(AN52*KFC!$B$16+KFC!$C$16)*KFC!$C$5</f>
        <v>56.674895963193912</v>
      </c>
      <c r="R52" s="962">
        <f>(AO52*KFC!$B$16+KFC!$C$16)*KFC!$C$5</f>
        <v>59.21149221647925</v>
      </c>
      <c r="S52" s="962">
        <f>(AP52*KFC!$B$16+KFC!$C$16)*KFC!$C$5</f>
        <v>61.748088469764596</v>
      </c>
      <c r="T52" s="962">
        <f>(AQ52*KFC!$B$16+KFC!$C$16)*KFC!$C$5</f>
        <v>64.284684723049935</v>
      </c>
      <c r="U52" s="962">
        <f>(AR52*KFC!$B$16+KFC!$C$16)*KFC!$C$5</f>
        <v>66.821280976335274</v>
      </c>
      <c r="V52" s="962">
        <f>(AS52*KFC!$B$16+KFC!$C$16)*KFC!$C$5</f>
        <v>69.357877229620613</v>
      </c>
      <c r="W52" s="963">
        <f>(AT52*KFC!$B$16+KFC!$C$16)*KFC!$C$5</f>
        <v>71.89447348290598</v>
      </c>
      <c r="Y52" s="1277"/>
      <c r="Z52" s="649">
        <v>2.1</v>
      </c>
      <c r="AA52" s="882">
        <v>23.69914467048449</v>
      </c>
      <c r="AB52" s="882">
        <v>26.235740923769828</v>
      </c>
      <c r="AC52" s="882">
        <v>28.772337177055174</v>
      </c>
      <c r="AD52" s="882">
        <v>31.308933430340517</v>
      </c>
      <c r="AE52" s="882">
        <v>33.845529683625863</v>
      </c>
      <c r="AF52" s="882">
        <v>36.382125936911201</v>
      </c>
      <c r="AG52" s="882">
        <v>38.91872219019654</v>
      </c>
      <c r="AH52" s="882">
        <v>41.455318443481879</v>
      </c>
      <c r="AI52" s="882">
        <v>43.991914696767218</v>
      </c>
      <c r="AJ52" s="882">
        <v>46.528510950052564</v>
      </c>
      <c r="AK52" s="882">
        <v>49.065107203337895</v>
      </c>
      <c r="AL52" s="882">
        <v>51.601703456623241</v>
      </c>
      <c r="AM52" s="882">
        <v>54.13829970990858</v>
      </c>
      <c r="AN52" s="882">
        <v>56.674895963193912</v>
      </c>
      <c r="AO52" s="882">
        <v>59.21149221647925</v>
      </c>
      <c r="AP52" s="882">
        <v>61.748088469764596</v>
      </c>
      <c r="AQ52" s="882">
        <v>64.284684723049935</v>
      </c>
      <c r="AR52" s="882">
        <v>66.821280976335274</v>
      </c>
      <c r="AS52" s="882">
        <v>69.357877229620613</v>
      </c>
      <c r="AT52" s="882">
        <v>71.89447348290598</v>
      </c>
    </row>
    <row r="53" spans="1:46" ht="15" thickBot="1">
      <c r="A53" s="1428"/>
      <c r="B53" s="1429"/>
      <c r="C53" s="888">
        <v>2.2000000000000002</v>
      </c>
      <c r="D53" s="964">
        <f>(AA53*KFC!$B$16+KFC!$C$16)*KFC!$C$5</f>
        <v>24.189473616479997</v>
      </c>
      <c r="E53" s="965">
        <f>(AB53*KFC!$B$16+KFC!$C$16)*KFC!$C$5</f>
        <v>26.825380811315526</v>
      </c>
      <c r="F53" s="965">
        <f>(AC53*KFC!$B$16+KFC!$C$16)*KFC!$C$5</f>
        <v>29.461288006151051</v>
      </c>
      <c r="G53" s="965">
        <f>(AD53*KFC!$B$16+KFC!$C$16)*KFC!$C$5</f>
        <v>32.097195200986576</v>
      </c>
      <c r="H53" s="965">
        <f>(AE53*KFC!$B$16+KFC!$C$16)*KFC!$C$5</f>
        <v>34.733102395822101</v>
      </c>
      <c r="I53" s="965">
        <f>(AF53*KFC!$B$16+KFC!$C$16)*KFC!$C$5</f>
        <v>37.369009590657626</v>
      </c>
      <c r="J53" s="965">
        <f>(AG53*KFC!$B$16+KFC!$C$16)*KFC!$C$5</f>
        <v>40.004916785493151</v>
      </c>
      <c r="K53" s="965">
        <f>(AH53*KFC!$B$16+KFC!$C$16)*KFC!$C$5</f>
        <v>42.640823980328683</v>
      </c>
      <c r="L53" s="965">
        <f>(AI53*KFC!$B$16+KFC!$C$16)*KFC!$C$5</f>
        <v>45.276731175164208</v>
      </c>
      <c r="M53" s="965">
        <f>(AJ53*KFC!$B$16+KFC!$C$16)*KFC!$C$5</f>
        <v>47.912638369999726</v>
      </c>
      <c r="N53" s="965">
        <f>(AK53*KFC!$B$16+KFC!$C$16)*KFC!$C$5</f>
        <v>50.548545564835258</v>
      </c>
      <c r="O53" s="965">
        <f>(AL53*KFC!$B$16+KFC!$C$16)*KFC!$C$5</f>
        <v>53.184452759670783</v>
      </c>
      <c r="P53" s="965">
        <f>(AM53*KFC!$B$16+KFC!$C$16)*KFC!$C$5</f>
        <v>55.820359954506316</v>
      </c>
      <c r="Q53" s="965">
        <f>(AN53*KFC!$B$16+KFC!$C$16)*KFC!$C$5</f>
        <v>58.456267149341841</v>
      </c>
      <c r="R53" s="965">
        <f>(AO53*KFC!$B$16+KFC!$C$16)*KFC!$C$5</f>
        <v>61.092174344177359</v>
      </c>
      <c r="S53" s="965">
        <f>(AP53*KFC!$B$16+KFC!$C$16)*KFC!$C$5</f>
        <v>63.728081539012891</v>
      </c>
      <c r="T53" s="965">
        <f>(AQ53*KFC!$B$16+KFC!$C$16)*KFC!$C$5</f>
        <v>66.363988733848416</v>
      </c>
      <c r="U53" s="965">
        <f>(AR53*KFC!$B$16+KFC!$C$16)*KFC!$C$5</f>
        <v>68.999895928683941</v>
      </c>
      <c r="V53" s="965">
        <f>(AS53*KFC!$B$16+KFC!$C$16)*KFC!$C$5</f>
        <v>71.635803123519452</v>
      </c>
      <c r="W53" s="966">
        <f>(AT53*KFC!$B$16+KFC!$C$16)*KFC!$C$5</f>
        <v>74.271710318354991</v>
      </c>
      <c r="Y53" s="1277"/>
      <c r="Z53" s="649">
        <v>2.2000000000000002</v>
      </c>
      <c r="AA53" s="882">
        <v>24.189473616479997</v>
      </c>
      <c r="AB53" s="882">
        <v>26.825380811315526</v>
      </c>
      <c r="AC53" s="882">
        <v>29.461288006151051</v>
      </c>
      <c r="AD53" s="882">
        <v>32.097195200986576</v>
      </c>
      <c r="AE53" s="882">
        <v>34.733102395822101</v>
      </c>
      <c r="AF53" s="882">
        <v>37.369009590657626</v>
      </c>
      <c r="AG53" s="882">
        <v>40.004916785493151</v>
      </c>
      <c r="AH53" s="882">
        <v>42.640823980328683</v>
      </c>
      <c r="AI53" s="882">
        <v>45.276731175164208</v>
      </c>
      <c r="AJ53" s="882">
        <v>47.912638369999726</v>
      </c>
      <c r="AK53" s="882">
        <v>50.548545564835258</v>
      </c>
      <c r="AL53" s="882">
        <v>53.184452759670783</v>
      </c>
      <c r="AM53" s="882">
        <v>55.820359954506316</v>
      </c>
      <c r="AN53" s="882">
        <v>58.456267149341841</v>
      </c>
      <c r="AO53" s="882">
        <v>61.092174344177359</v>
      </c>
      <c r="AP53" s="882">
        <v>63.728081539012891</v>
      </c>
      <c r="AQ53" s="882">
        <v>66.363988733848416</v>
      </c>
      <c r="AR53" s="882">
        <v>68.999895928683941</v>
      </c>
      <c r="AS53" s="882">
        <v>71.635803123519452</v>
      </c>
      <c r="AT53" s="882">
        <v>74.271710318354991</v>
      </c>
    </row>
    <row r="54" spans="1:46">
      <c r="A54" s="16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</row>
    <row r="55" spans="1:46" ht="16.2" thickBot="1">
      <c r="A55" s="1033" t="s">
        <v>1227</v>
      </c>
      <c r="B55" s="1033"/>
      <c r="C55" s="1033"/>
      <c r="D55" s="1033"/>
      <c r="E55" s="1033"/>
      <c r="F55" s="1033"/>
      <c r="G55" s="1033"/>
      <c r="H55" s="1033"/>
      <c r="I55" s="1033"/>
      <c r="J55" s="1033"/>
      <c r="K55" s="1033"/>
      <c r="L55" s="1033"/>
      <c r="M55" s="1033"/>
      <c r="N55" s="1033"/>
      <c r="O55" s="1033"/>
      <c r="P55" s="1033"/>
      <c r="Q55" s="1033"/>
      <c r="R55" s="1033"/>
      <c r="S55" s="1033"/>
      <c r="T55" s="1033"/>
      <c r="U55" s="1033"/>
      <c r="V55" s="1033"/>
      <c r="W55" s="1033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</row>
    <row r="56" spans="1:46" ht="38.25" customHeight="1" thickBot="1">
      <c r="A56" s="1439"/>
      <c r="B56" s="1440"/>
      <c r="C56" s="1441"/>
      <c r="D56" s="1419" t="s">
        <v>207</v>
      </c>
      <c r="E56" s="1420"/>
      <c r="F56" s="1420"/>
      <c r="G56" s="1420"/>
      <c r="H56" s="1420"/>
      <c r="I56" s="1420"/>
      <c r="J56" s="1420"/>
      <c r="K56" s="1420"/>
      <c r="L56" s="1420"/>
      <c r="M56" s="1420"/>
      <c r="N56" s="1420"/>
      <c r="O56" s="1420"/>
      <c r="P56" s="1420"/>
      <c r="Q56" s="1420"/>
      <c r="R56" s="1420"/>
      <c r="S56" s="1420"/>
      <c r="T56" s="1420"/>
      <c r="U56" s="1420"/>
      <c r="V56" s="1420"/>
      <c r="W56" s="1421"/>
      <c r="Y56" s="1278" t="s">
        <v>1202</v>
      </c>
      <c r="Z56" s="1278"/>
      <c r="AA56" s="1279" t="s">
        <v>356</v>
      </c>
      <c r="AB56" s="1279"/>
      <c r="AC56" s="1279"/>
      <c r="AD56" s="1279"/>
      <c r="AE56" s="1279"/>
      <c r="AF56" s="1279"/>
      <c r="AG56" s="1279"/>
      <c r="AH56" s="1279"/>
      <c r="AI56" s="1279"/>
      <c r="AJ56" s="1279"/>
      <c r="AK56" s="1279"/>
      <c r="AL56" s="1279"/>
      <c r="AM56" s="1279"/>
      <c r="AN56" s="1279"/>
      <c r="AO56" s="1279"/>
      <c r="AP56" s="1279"/>
      <c r="AQ56" s="1279"/>
      <c r="AR56" s="1279"/>
      <c r="AS56" s="1279"/>
      <c r="AT56" s="1279"/>
    </row>
    <row r="57" spans="1:46" ht="15" thickBot="1">
      <c r="A57" s="1442"/>
      <c r="B57" s="1443"/>
      <c r="C57" s="1444"/>
      <c r="D57" s="883">
        <v>0.3</v>
      </c>
      <c r="E57" s="884">
        <v>0.4</v>
      </c>
      <c r="F57" s="884">
        <v>0.5</v>
      </c>
      <c r="G57" s="884">
        <v>0.6</v>
      </c>
      <c r="H57" s="884">
        <v>0.7</v>
      </c>
      <c r="I57" s="884">
        <v>0.8</v>
      </c>
      <c r="J57" s="884">
        <v>0.9</v>
      </c>
      <c r="K57" s="884">
        <v>1</v>
      </c>
      <c r="L57" s="884">
        <v>1.1000000000000001</v>
      </c>
      <c r="M57" s="884">
        <v>1.2</v>
      </c>
      <c r="N57" s="884">
        <v>1.3</v>
      </c>
      <c r="O57" s="884">
        <v>1.4</v>
      </c>
      <c r="P57" s="884">
        <v>1.5</v>
      </c>
      <c r="Q57" s="884">
        <v>1.6</v>
      </c>
      <c r="R57" s="884">
        <v>1.7</v>
      </c>
      <c r="S57" s="884">
        <v>1.8</v>
      </c>
      <c r="T57" s="884">
        <v>1.9</v>
      </c>
      <c r="U57" s="884">
        <v>2</v>
      </c>
      <c r="V57" s="884">
        <v>2.1</v>
      </c>
      <c r="W57" s="885">
        <v>2.2000000000000002</v>
      </c>
      <c r="Y57" s="1278"/>
      <c r="Z57" s="1278"/>
      <c r="AA57" s="649">
        <v>0.3</v>
      </c>
      <c r="AB57" s="649">
        <v>0.4</v>
      </c>
      <c r="AC57" s="649">
        <v>0.5</v>
      </c>
      <c r="AD57" s="649">
        <v>0.6</v>
      </c>
      <c r="AE57" s="649">
        <v>0.7</v>
      </c>
      <c r="AF57" s="649">
        <v>0.8</v>
      </c>
      <c r="AG57" s="649">
        <v>0.9</v>
      </c>
      <c r="AH57" s="649">
        <v>1</v>
      </c>
      <c r="AI57" s="649">
        <v>1.1000000000000001</v>
      </c>
      <c r="AJ57" s="649">
        <v>1.2</v>
      </c>
      <c r="AK57" s="649">
        <v>1.3</v>
      </c>
      <c r="AL57" s="649">
        <v>1.4</v>
      </c>
      <c r="AM57" s="649">
        <v>1.5</v>
      </c>
      <c r="AN57" s="649">
        <v>1.6</v>
      </c>
      <c r="AO57" s="649">
        <v>1.7</v>
      </c>
      <c r="AP57" s="649">
        <v>1.8</v>
      </c>
      <c r="AQ57" s="649">
        <v>1.9</v>
      </c>
      <c r="AR57" s="649">
        <v>2</v>
      </c>
      <c r="AS57" s="649">
        <v>2.1</v>
      </c>
      <c r="AT57" s="649">
        <v>2.2000000000000002</v>
      </c>
    </row>
    <row r="58" spans="1:46" ht="15" customHeight="1">
      <c r="A58" s="1426" t="s">
        <v>3</v>
      </c>
      <c r="B58" s="1427"/>
      <c r="C58" s="886">
        <v>0.2</v>
      </c>
      <c r="D58" s="899">
        <f>(AA58*KFC!$B$16+KFC!$C$16)*KFC!$C$5</f>
        <v>22.777631515169997</v>
      </c>
      <c r="E58" s="900">
        <f>(AB58*KFC!$B$16+KFC!$C$16)*KFC!$C$5</f>
        <v>24.616239543262893</v>
      </c>
      <c r="F58" s="900">
        <f>(AC58*KFC!$B$16+KFC!$C$16)*KFC!$C$5</f>
        <v>26.454847571355785</v>
      </c>
      <c r="G58" s="900">
        <f>(AD58*KFC!$B$16+KFC!$C$16)*KFC!$C$5</f>
        <v>28.293455599448677</v>
      </c>
      <c r="H58" s="900">
        <f>(AE58*KFC!$B$16+KFC!$C$16)*KFC!$C$5</f>
        <v>30.132063627541569</v>
      </c>
      <c r="I58" s="900">
        <f>(AF58*KFC!$B$16+KFC!$C$16)*KFC!$C$5</f>
        <v>31.970671655634465</v>
      </c>
      <c r="J58" s="900">
        <f>(AG58*KFC!$B$16+KFC!$C$16)*KFC!$C$5</f>
        <v>33.809279683727361</v>
      </c>
      <c r="K58" s="900">
        <f>(AH58*KFC!$B$16+KFC!$C$16)*KFC!$C$5</f>
        <v>35.647887711820253</v>
      </c>
      <c r="L58" s="900">
        <f>(AI58*KFC!$B$16+KFC!$C$16)*KFC!$C$5</f>
        <v>37.486495739913153</v>
      </c>
      <c r="M58" s="900">
        <f>(AJ58*KFC!$B$16+KFC!$C$16)*KFC!$C$5</f>
        <v>39.325103768006045</v>
      </c>
      <c r="N58" s="900">
        <f>(AK58*KFC!$B$16+KFC!$C$16)*KFC!$C$5</f>
        <v>41.163711796098937</v>
      </c>
      <c r="O58" s="900">
        <f>(AL58*KFC!$B$16+KFC!$C$16)*KFC!$C$5</f>
        <v>43.002319824191837</v>
      </c>
      <c r="P58" s="900">
        <f>(AM58*KFC!$B$16+KFC!$C$16)*KFC!$C$5</f>
        <v>44.840927852284743</v>
      </c>
      <c r="Q58" s="900">
        <f>(AN58*KFC!$B$16+KFC!$C$16)*KFC!$C$5</f>
        <v>46.679535880377635</v>
      </c>
      <c r="R58" s="900">
        <f>(AO58*KFC!$B$16+KFC!$C$16)*KFC!$C$5</f>
        <v>48.518143908470527</v>
      </c>
      <c r="S58" s="900">
        <f>(AP58*KFC!$B$16+KFC!$C$16)*KFC!$C$5</f>
        <v>50.356751936563427</v>
      </c>
      <c r="T58" s="900">
        <f>(AQ58*KFC!$B$16+KFC!$C$16)*KFC!$C$5</f>
        <v>52.195359964656319</v>
      </c>
      <c r="U58" s="900">
        <f>(AR58*KFC!$B$16+KFC!$C$16)*KFC!$C$5</f>
        <v>54.033967992749226</v>
      </c>
      <c r="V58" s="900">
        <f>(AS58*KFC!$B$16+KFC!$C$16)*KFC!$C$5</f>
        <v>55.872576020842118</v>
      </c>
      <c r="W58" s="901">
        <f>(AT58*KFC!$B$16+KFC!$C$16)*KFC!$C$5</f>
        <v>57.711184048934996</v>
      </c>
      <c r="Y58" s="1277" t="s">
        <v>357</v>
      </c>
      <c r="Z58" s="649">
        <v>0.2</v>
      </c>
      <c r="AA58" s="882">
        <v>22.777631515169997</v>
      </c>
      <c r="AB58" s="882">
        <v>24.616239543262893</v>
      </c>
      <c r="AC58" s="882">
        <v>26.454847571355785</v>
      </c>
      <c r="AD58" s="882">
        <v>28.293455599448677</v>
      </c>
      <c r="AE58" s="882">
        <v>30.132063627541569</v>
      </c>
      <c r="AF58" s="882">
        <v>31.970671655634465</v>
      </c>
      <c r="AG58" s="882">
        <v>33.809279683727361</v>
      </c>
      <c r="AH58" s="882">
        <v>35.647887711820253</v>
      </c>
      <c r="AI58" s="882">
        <v>37.486495739913153</v>
      </c>
      <c r="AJ58" s="882">
        <v>39.325103768006045</v>
      </c>
      <c r="AK58" s="882">
        <v>41.163711796098937</v>
      </c>
      <c r="AL58" s="882">
        <v>43.002319824191837</v>
      </c>
      <c r="AM58" s="882">
        <v>44.840927852284743</v>
      </c>
      <c r="AN58" s="882">
        <v>46.679535880377635</v>
      </c>
      <c r="AO58" s="882">
        <v>48.518143908470527</v>
      </c>
      <c r="AP58" s="882">
        <v>50.356751936563427</v>
      </c>
      <c r="AQ58" s="882">
        <v>52.195359964656319</v>
      </c>
      <c r="AR58" s="882">
        <v>54.033967992749226</v>
      </c>
      <c r="AS58" s="882">
        <v>55.872576020842118</v>
      </c>
      <c r="AT58" s="882">
        <v>57.711184048934996</v>
      </c>
    </row>
    <row r="59" spans="1:46">
      <c r="A59" s="1426"/>
      <c r="B59" s="1427"/>
      <c r="C59" s="887">
        <v>0.3</v>
      </c>
      <c r="D59" s="902">
        <f>(AA59*KFC!$B$16+KFC!$C$16)*KFC!$C$5</f>
        <v>23.308980197892744</v>
      </c>
      <c r="E59" s="898">
        <f>(AB59*KFC!$B$16+KFC!$C$16)*KFC!$C$5</f>
        <v>25.272254084362334</v>
      </c>
      <c r="F59" s="898">
        <f>(AC59*KFC!$B$16+KFC!$C$16)*KFC!$C$5</f>
        <v>27.235527970831928</v>
      </c>
      <c r="G59" s="898">
        <f>(AD59*KFC!$B$16+KFC!$C$16)*KFC!$C$5</f>
        <v>29.198801857301515</v>
      </c>
      <c r="H59" s="898">
        <f>(AE59*KFC!$B$16+KFC!$C$16)*KFC!$C$5</f>
        <v>31.162075743771108</v>
      </c>
      <c r="I59" s="898">
        <f>(AF59*KFC!$B$16+KFC!$C$16)*KFC!$C$5</f>
        <v>33.125349630240699</v>
      </c>
      <c r="J59" s="898">
        <f>(AG59*KFC!$B$16+KFC!$C$16)*KFC!$C$5</f>
        <v>35.088623516710285</v>
      </c>
      <c r="K59" s="898">
        <f>(AH59*KFC!$B$16+KFC!$C$16)*KFC!$C$5</f>
        <v>37.051897403179879</v>
      </c>
      <c r="L59" s="898">
        <f>(AI59*KFC!$B$16+KFC!$C$16)*KFC!$C$5</f>
        <v>39.015171289649473</v>
      </c>
      <c r="M59" s="898">
        <f>(AJ59*KFC!$B$16+KFC!$C$16)*KFC!$C$5</f>
        <v>40.978445176119067</v>
      </c>
      <c r="N59" s="898">
        <f>(AK59*KFC!$B$16+KFC!$C$16)*KFC!$C$5</f>
        <v>42.941719062588653</v>
      </c>
      <c r="O59" s="898">
        <f>(AL59*KFC!$B$16+KFC!$C$16)*KFC!$C$5</f>
        <v>44.90499294905824</v>
      </c>
      <c r="P59" s="898">
        <f>(AM59*KFC!$B$16+KFC!$C$16)*KFC!$C$5</f>
        <v>46.868266835527827</v>
      </c>
      <c r="Q59" s="898">
        <f>(AN59*KFC!$B$16+KFC!$C$16)*KFC!$C$5</f>
        <v>48.83154072199742</v>
      </c>
      <c r="R59" s="898">
        <f>(AO59*KFC!$B$16+KFC!$C$16)*KFC!$C$5</f>
        <v>50.794814608467014</v>
      </c>
      <c r="S59" s="898">
        <f>(AP59*KFC!$B$16+KFC!$C$16)*KFC!$C$5</f>
        <v>52.758088494936608</v>
      </c>
      <c r="T59" s="898">
        <f>(AQ59*KFC!$B$16+KFC!$C$16)*KFC!$C$5</f>
        <v>54.721362381406195</v>
      </c>
      <c r="U59" s="898">
        <f>(AR59*KFC!$B$16+KFC!$C$16)*KFC!$C$5</f>
        <v>56.684636267875781</v>
      </c>
      <c r="V59" s="898">
        <f>(AS59*KFC!$B$16+KFC!$C$16)*KFC!$C$5</f>
        <v>58.647910154345375</v>
      </c>
      <c r="W59" s="903">
        <f>(AT59*KFC!$B$16+KFC!$C$16)*KFC!$C$5</f>
        <v>60.61118404081499</v>
      </c>
      <c r="Y59" s="1277"/>
      <c r="Z59" s="649">
        <v>0.3</v>
      </c>
      <c r="AA59" s="882">
        <v>23.308980197892744</v>
      </c>
      <c r="AB59" s="882">
        <v>25.272254084362334</v>
      </c>
      <c r="AC59" s="882">
        <v>27.235527970831928</v>
      </c>
      <c r="AD59" s="882">
        <v>29.198801857301515</v>
      </c>
      <c r="AE59" s="882">
        <v>31.162075743771108</v>
      </c>
      <c r="AF59" s="882">
        <v>33.125349630240699</v>
      </c>
      <c r="AG59" s="882">
        <v>35.088623516710285</v>
      </c>
      <c r="AH59" s="882">
        <v>37.051897403179879</v>
      </c>
      <c r="AI59" s="882">
        <v>39.015171289649473</v>
      </c>
      <c r="AJ59" s="882">
        <v>40.978445176119067</v>
      </c>
      <c r="AK59" s="882">
        <v>42.941719062588653</v>
      </c>
      <c r="AL59" s="882">
        <v>44.90499294905824</v>
      </c>
      <c r="AM59" s="882">
        <v>46.868266835527827</v>
      </c>
      <c r="AN59" s="882">
        <v>48.83154072199742</v>
      </c>
      <c r="AO59" s="882">
        <v>50.794814608467014</v>
      </c>
      <c r="AP59" s="882">
        <v>52.758088494936608</v>
      </c>
      <c r="AQ59" s="882">
        <v>54.721362381406195</v>
      </c>
      <c r="AR59" s="882">
        <v>56.684636267875781</v>
      </c>
      <c r="AS59" s="882">
        <v>58.647910154345375</v>
      </c>
      <c r="AT59" s="882">
        <v>60.61118404081499</v>
      </c>
    </row>
    <row r="60" spans="1:46">
      <c r="A60" s="1426"/>
      <c r="B60" s="1427"/>
      <c r="C60" s="887">
        <v>0.4</v>
      </c>
      <c r="D60" s="902">
        <f>(AA60*KFC!$B$16+KFC!$C$16)*KFC!$C$5</f>
        <v>23.840328880615491</v>
      </c>
      <c r="E60" s="898">
        <f>(AB60*KFC!$B$16+KFC!$C$16)*KFC!$C$5</f>
        <v>25.928268625461786</v>
      </c>
      <c r="F60" s="898">
        <f>(AC60*KFC!$B$16+KFC!$C$16)*KFC!$C$5</f>
        <v>28.016208370308075</v>
      </c>
      <c r="G60" s="898">
        <f>(AD60*KFC!$B$16+KFC!$C$16)*KFC!$C$5</f>
        <v>30.104148115154366</v>
      </c>
      <c r="H60" s="898">
        <f>(AE60*KFC!$B$16+KFC!$C$16)*KFC!$C$5</f>
        <v>32.192087860000662</v>
      </c>
      <c r="I60" s="898">
        <f>(AF60*KFC!$B$16+KFC!$C$16)*KFC!$C$5</f>
        <v>34.280027604846943</v>
      </c>
      <c r="J60" s="898">
        <f>(AG60*KFC!$B$16+KFC!$C$16)*KFC!$C$5</f>
        <v>36.367967349693238</v>
      </c>
      <c r="K60" s="898">
        <f>(AH60*KFC!$B$16+KFC!$C$16)*KFC!$C$5</f>
        <v>38.455907094539526</v>
      </c>
      <c r="L60" s="898">
        <f>(AI60*KFC!$B$16+KFC!$C$16)*KFC!$C$5</f>
        <v>40.543846839385822</v>
      </c>
      <c r="M60" s="898">
        <f>(AJ60*KFC!$B$16+KFC!$C$16)*KFC!$C$5</f>
        <v>42.63178658423211</v>
      </c>
      <c r="N60" s="898">
        <f>(AK60*KFC!$B$16+KFC!$C$16)*KFC!$C$5</f>
        <v>44.719726329078398</v>
      </c>
      <c r="O60" s="898">
        <f>(AL60*KFC!$B$16+KFC!$C$16)*KFC!$C$5</f>
        <v>46.807666073924679</v>
      </c>
      <c r="P60" s="898">
        <f>(AM60*KFC!$B$16+KFC!$C$16)*KFC!$C$5</f>
        <v>48.895605818770974</v>
      </c>
      <c r="Q60" s="898">
        <f>(AN60*KFC!$B$16+KFC!$C$16)*KFC!$C$5</f>
        <v>50.98354556361727</v>
      </c>
      <c r="R60" s="898">
        <f>(AO60*KFC!$B$16+KFC!$C$16)*KFC!$C$5</f>
        <v>53.071485308463565</v>
      </c>
      <c r="S60" s="898">
        <f>(AP60*KFC!$B$16+KFC!$C$16)*KFC!$C$5</f>
        <v>55.159425053309853</v>
      </c>
      <c r="T60" s="898">
        <f>(AQ60*KFC!$B$16+KFC!$C$16)*KFC!$C$5</f>
        <v>57.247364798156141</v>
      </c>
      <c r="U60" s="898">
        <f>(AR60*KFC!$B$16+KFC!$C$16)*KFC!$C$5</f>
        <v>59.33530454300243</v>
      </c>
      <c r="V60" s="898">
        <f>(AS60*KFC!$B$16+KFC!$C$16)*KFC!$C$5</f>
        <v>61.423244287848725</v>
      </c>
      <c r="W60" s="903">
        <f>(AT60*KFC!$B$16+KFC!$C$16)*KFC!$C$5</f>
        <v>63.511184032694992</v>
      </c>
      <c r="Y60" s="1277"/>
      <c r="Z60" s="649">
        <v>0.4</v>
      </c>
      <c r="AA60" s="882">
        <v>23.840328880615491</v>
      </c>
      <c r="AB60" s="882">
        <v>25.928268625461786</v>
      </c>
      <c r="AC60" s="882">
        <v>28.016208370308075</v>
      </c>
      <c r="AD60" s="882">
        <v>30.104148115154366</v>
      </c>
      <c r="AE60" s="882">
        <v>32.192087860000662</v>
      </c>
      <c r="AF60" s="882">
        <v>34.280027604846943</v>
      </c>
      <c r="AG60" s="882">
        <v>36.367967349693238</v>
      </c>
      <c r="AH60" s="882">
        <v>38.455907094539526</v>
      </c>
      <c r="AI60" s="882">
        <v>40.543846839385822</v>
      </c>
      <c r="AJ60" s="882">
        <v>42.63178658423211</v>
      </c>
      <c r="AK60" s="882">
        <v>44.719726329078398</v>
      </c>
      <c r="AL60" s="882">
        <v>46.807666073924679</v>
      </c>
      <c r="AM60" s="882">
        <v>48.895605818770974</v>
      </c>
      <c r="AN60" s="882">
        <v>50.98354556361727</v>
      </c>
      <c r="AO60" s="882">
        <v>53.071485308463565</v>
      </c>
      <c r="AP60" s="882">
        <v>55.159425053309853</v>
      </c>
      <c r="AQ60" s="882">
        <v>57.247364798156141</v>
      </c>
      <c r="AR60" s="882">
        <v>59.33530454300243</v>
      </c>
      <c r="AS60" s="882">
        <v>61.423244287848725</v>
      </c>
      <c r="AT60" s="882">
        <v>63.511184032694992</v>
      </c>
    </row>
    <row r="61" spans="1:46">
      <c r="A61" s="1426"/>
      <c r="B61" s="1427"/>
      <c r="C61" s="887">
        <v>0.5</v>
      </c>
      <c r="D61" s="902">
        <f>(AA61*KFC!$B$16+KFC!$C$16)*KFC!$C$5</f>
        <v>24.371677563338242</v>
      </c>
      <c r="E61" s="898">
        <f>(AB61*KFC!$B$16+KFC!$C$16)*KFC!$C$5</f>
        <v>26.584283166561228</v>
      </c>
      <c r="F61" s="898">
        <f>(AC61*KFC!$B$16+KFC!$C$16)*KFC!$C$5</f>
        <v>28.796888769784221</v>
      </c>
      <c r="G61" s="898">
        <f>(AD61*KFC!$B$16+KFC!$C$16)*KFC!$C$5</f>
        <v>31.009494373007204</v>
      </c>
      <c r="H61" s="898">
        <f>(AE61*KFC!$B$16+KFC!$C$16)*KFC!$C$5</f>
        <v>33.22209997623019</v>
      </c>
      <c r="I61" s="898">
        <f>(AF61*KFC!$B$16+KFC!$C$16)*KFC!$C$5</f>
        <v>35.43470557945318</v>
      </c>
      <c r="J61" s="898">
        <f>(AG61*KFC!$B$16+KFC!$C$16)*KFC!$C$5</f>
        <v>37.647311182676169</v>
      </c>
      <c r="K61" s="898">
        <f>(AH61*KFC!$B$16+KFC!$C$16)*KFC!$C$5</f>
        <v>39.859916785899159</v>
      </c>
      <c r="L61" s="898">
        <f>(AI61*KFC!$B$16+KFC!$C$16)*KFC!$C$5</f>
        <v>42.072522389122156</v>
      </c>
      <c r="M61" s="898">
        <f>(AJ61*KFC!$B$16+KFC!$C$16)*KFC!$C$5</f>
        <v>44.285127992345146</v>
      </c>
      <c r="N61" s="898">
        <f>(AK61*KFC!$B$16+KFC!$C$16)*KFC!$C$5</f>
        <v>46.497733595568135</v>
      </c>
      <c r="O61" s="898">
        <f>(AL61*KFC!$B$16+KFC!$C$16)*KFC!$C$5</f>
        <v>48.710339198791125</v>
      </c>
      <c r="P61" s="898">
        <f>(AM61*KFC!$B$16+KFC!$C$16)*KFC!$C$5</f>
        <v>50.922944802014115</v>
      </c>
      <c r="Q61" s="898">
        <f>(AN61*KFC!$B$16+KFC!$C$16)*KFC!$C$5</f>
        <v>53.135550405237105</v>
      </c>
      <c r="R61" s="898">
        <f>(AO61*KFC!$B$16+KFC!$C$16)*KFC!$C$5</f>
        <v>55.348156008460094</v>
      </c>
      <c r="S61" s="898">
        <f>(AP61*KFC!$B$16+KFC!$C$16)*KFC!$C$5</f>
        <v>57.560761611683084</v>
      </c>
      <c r="T61" s="898">
        <f>(AQ61*KFC!$B$16+KFC!$C$16)*KFC!$C$5</f>
        <v>59.773367214906074</v>
      </c>
      <c r="U61" s="898">
        <f>(AR61*KFC!$B$16+KFC!$C$16)*KFC!$C$5</f>
        <v>61.985972818129063</v>
      </c>
      <c r="V61" s="898">
        <f>(AS61*KFC!$B$16+KFC!$C$16)*KFC!$C$5</f>
        <v>64.198578421352053</v>
      </c>
      <c r="W61" s="903">
        <f>(AT61*KFC!$B$16+KFC!$C$16)*KFC!$C$5</f>
        <v>66.411184024574993</v>
      </c>
      <c r="Y61" s="1277"/>
      <c r="Z61" s="649">
        <v>0.5</v>
      </c>
      <c r="AA61" s="882">
        <v>24.371677563338242</v>
      </c>
      <c r="AB61" s="882">
        <v>26.584283166561228</v>
      </c>
      <c r="AC61" s="882">
        <v>28.796888769784221</v>
      </c>
      <c r="AD61" s="882">
        <v>31.009494373007204</v>
      </c>
      <c r="AE61" s="882">
        <v>33.22209997623019</v>
      </c>
      <c r="AF61" s="882">
        <v>35.43470557945318</v>
      </c>
      <c r="AG61" s="882">
        <v>37.647311182676169</v>
      </c>
      <c r="AH61" s="882">
        <v>39.859916785899159</v>
      </c>
      <c r="AI61" s="882">
        <v>42.072522389122156</v>
      </c>
      <c r="AJ61" s="882">
        <v>44.285127992345146</v>
      </c>
      <c r="AK61" s="882">
        <v>46.497733595568135</v>
      </c>
      <c r="AL61" s="882">
        <v>48.710339198791125</v>
      </c>
      <c r="AM61" s="882">
        <v>50.922944802014115</v>
      </c>
      <c r="AN61" s="882">
        <v>53.135550405237105</v>
      </c>
      <c r="AO61" s="882">
        <v>55.348156008460094</v>
      </c>
      <c r="AP61" s="882">
        <v>57.560761611683084</v>
      </c>
      <c r="AQ61" s="882">
        <v>59.773367214906074</v>
      </c>
      <c r="AR61" s="882">
        <v>61.985972818129063</v>
      </c>
      <c r="AS61" s="882">
        <v>64.198578421352053</v>
      </c>
      <c r="AT61" s="882">
        <v>66.411184024574993</v>
      </c>
    </row>
    <row r="62" spans="1:46">
      <c r="A62" s="1426"/>
      <c r="B62" s="1427"/>
      <c r="C62" s="887">
        <v>0.6</v>
      </c>
      <c r="D62" s="902">
        <f>(AA62*KFC!$B$16+KFC!$C$16)*KFC!$C$5</f>
        <v>24.903026246060989</v>
      </c>
      <c r="E62" s="898">
        <f>(AB62*KFC!$B$16+KFC!$C$16)*KFC!$C$5</f>
        <v>27.240297707660677</v>
      </c>
      <c r="F62" s="898">
        <f>(AC62*KFC!$B$16+KFC!$C$16)*KFC!$C$5</f>
        <v>29.577569169260357</v>
      </c>
      <c r="G62" s="898">
        <f>(AD62*KFC!$B$16+KFC!$C$16)*KFC!$C$5</f>
        <v>31.914840630860045</v>
      </c>
      <c r="H62" s="898">
        <f>(AE62*KFC!$B$16+KFC!$C$16)*KFC!$C$5</f>
        <v>34.252112092459726</v>
      </c>
      <c r="I62" s="898">
        <f>(AF62*KFC!$B$16+KFC!$C$16)*KFC!$C$5</f>
        <v>36.58938355405941</v>
      </c>
      <c r="J62" s="898">
        <f>(AG62*KFC!$B$16+KFC!$C$16)*KFC!$C$5</f>
        <v>38.926655015659094</v>
      </c>
      <c r="K62" s="898">
        <f>(AH62*KFC!$B$16+KFC!$C$16)*KFC!$C$5</f>
        <v>41.263926477258778</v>
      </c>
      <c r="L62" s="898">
        <f>(AI62*KFC!$B$16+KFC!$C$16)*KFC!$C$5</f>
        <v>43.601197938858462</v>
      </c>
      <c r="M62" s="898">
        <f>(AJ62*KFC!$B$16+KFC!$C$16)*KFC!$C$5</f>
        <v>45.938469400458146</v>
      </c>
      <c r="N62" s="898">
        <f>(AK62*KFC!$B$16+KFC!$C$16)*KFC!$C$5</f>
        <v>48.27574086205783</v>
      </c>
      <c r="O62" s="898">
        <f>(AL62*KFC!$B$16+KFC!$C$16)*KFC!$C$5</f>
        <v>50.613012323657507</v>
      </c>
      <c r="P62" s="898">
        <f>(AM62*KFC!$B$16+KFC!$C$16)*KFC!$C$5</f>
        <v>52.950283785257199</v>
      </c>
      <c r="Q62" s="898">
        <f>(AN62*KFC!$B$16+KFC!$C$16)*KFC!$C$5</f>
        <v>55.287555246856883</v>
      </c>
      <c r="R62" s="898">
        <f>(AO62*KFC!$B$16+KFC!$C$16)*KFC!$C$5</f>
        <v>57.624826708456567</v>
      </c>
      <c r="S62" s="898">
        <f>(AP62*KFC!$B$16+KFC!$C$16)*KFC!$C$5</f>
        <v>59.962098170056244</v>
      </c>
      <c r="T62" s="898">
        <f>(AQ62*KFC!$B$16+KFC!$C$16)*KFC!$C$5</f>
        <v>62.299369631655935</v>
      </c>
      <c r="U62" s="898">
        <f>(AR62*KFC!$B$16+KFC!$C$16)*KFC!$C$5</f>
        <v>64.636641093255619</v>
      </c>
      <c r="V62" s="898">
        <f>(AS62*KFC!$B$16+KFC!$C$16)*KFC!$C$5</f>
        <v>66.973912554855289</v>
      </c>
      <c r="W62" s="903">
        <f>(AT62*KFC!$B$16+KFC!$C$16)*KFC!$C$5</f>
        <v>69.311184016455002</v>
      </c>
      <c r="Y62" s="1277"/>
      <c r="Z62" s="649">
        <v>0.6</v>
      </c>
      <c r="AA62" s="882">
        <v>24.903026246060989</v>
      </c>
      <c r="AB62" s="882">
        <v>27.240297707660677</v>
      </c>
      <c r="AC62" s="882">
        <v>29.577569169260357</v>
      </c>
      <c r="AD62" s="882">
        <v>31.914840630860045</v>
      </c>
      <c r="AE62" s="882">
        <v>34.252112092459726</v>
      </c>
      <c r="AF62" s="882">
        <v>36.58938355405941</v>
      </c>
      <c r="AG62" s="882">
        <v>38.926655015659094</v>
      </c>
      <c r="AH62" s="882">
        <v>41.263926477258778</v>
      </c>
      <c r="AI62" s="882">
        <v>43.601197938858462</v>
      </c>
      <c r="AJ62" s="882">
        <v>45.938469400458146</v>
      </c>
      <c r="AK62" s="882">
        <v>48.27574086205783</v>
      </c>
      <c r="AL62" s="882">
        <v>50.613012323657507</v>
      </c>
      <c r="AM62" s="882">
        <v>52.950283785257199</v>
      </c>
      <c r="AN62" s="882">
        <v>55.287555246856883</v>
      </c>
      <c r="AO62" s="882">
        <v>57.624826708456567</v>
      </c>
      <c r="AP62" s="882">
        <v>59.962098170056244</v>
      </c>
      <c r="AQ62" s="882">
        <v>62.299369631655935</v>
      </c>
      <c r="AR62" s="882">
        <v>64.636641093255619</v>
      </c>
      <c r="AS62" s="882">
        <v>66.973912554855289</v>
      </c>
      <c r="AT62" s="882">
        <v>69.311184016455002</v>
      </c>
    </row>
    <row r="63" spans="1:46">
      <c r="A63" s="1426"/>
      <c r="B63" s="1427"/>
      <c r="C63" s="887">
        <v>0.7</v>
      </c>
      <c r="D63" s="902">
        <f>(AA63*KFC!$B$16+KFC!$C$16)*KFC!$C$5</f>
        <v>25.434374928783743</v>
      </c>
      <c r="E63" s="898">
        <f>(AB63*KFC!$B$16+KFC!$C$16)*KFC!$C$5</f>
        <v>27.896312248760125</v>
      </c>
      <c r="F63" s="898">
        <f>(AC63*KFC!$B$16+KFC!$C$16)*KFC!$C$5</f>
        <v>30.358249568736507</v>
      </c>
      <c r="G63" s="898">
        <f>(AD63*KFC!$B$16+KFC!$C$16)*KFC!$C$5</f>
        <v>32.82018688871289</v>
      </c>
      <c r="H63" s="898">
        <f>(AE63*KFC!$B$16+KFC!$C$16)*KFC!$C$5</f>
        <v>35.282124208689275</v>
      </c>
      <c r="I63" s="898">
        <f>(AF63*KFC!$B$16+KFC!$C$16)*KFC!$C$5</f>
        <v>37.744061528665654</v>
      </c>
      <c r="J63" s="898">
        <f>(AG63*KFC!$B$16+KFC!$C$16)*KFC!$C$5</f>
        <v>40.205998848642039</v>
      </c>
      <c r="K63" s="898">
        <f>(AH63*KFC!$B$16+KFC!$C$16)*KFC!$C$5</f>
        <v>42.667936168618418</v>
      </c>
      <c r="L63" s="898">
        <f>(AI63*KFC!$B$16+KFC!$C$16)*KFC!$C$5</f>
        <v>45.129873488594804</v>
      </c>
      <c r="M63" s="898">
        <f>(AJ63*KFC!$B$16+KFC!$C$16)*KFC!$C$5</f>
        <v>47.591810808571196</v>
      </c>
      <c r="N63" s="898">
        <f>(AK63*KFC!$B$16+KFC!$C$16)*KFC!$C$5</f>
        <v>50.053748128547568</v>
      </c>
      <c r="O63" s="898">
        <f>(AL63*KFC!$B$16+KFC!$C$16)*KFC!$C$5</f>
        <v>52.515685448523961</v>
      </c>
      <c r="P63" s="898">
        <f>(AM63*KFC!$B$16+KFC!$C$16)*KFC!$C$5</f>
        <v>54.977622768500339</v>
      </c>
      <c r="Q63" s="898">
        <f>(AN63*KFC!$B$16+KFC!$C$16)*KFC!$C$5</f>
        <v>57.439560088476725</v>
      </c>
      <c r="R63" s="898">
        <f>(AO63*KFC!$B$16+KFC!$C$16)*KFC!$C$5</f>
        <v>59.90149740845311</v>
      </c>
      <c r="S63" s="898">
        <f>(AP63*KFC!$B$16+KFC!$C$16)*KFC!$C$5</f>
        <v>62.363434728429489</v>
      </c>
      <c r="T63" s="898">
        <f>(AQ63*KFC!$B$16+KFC!$C$16)*KFC!$C$5</f>
        <v>64.825372048405882</v>
      </c>
      <c r="U63" s="898">
        <f>(AR63*KFC!$B$16+KFC!$C$16)*KFC!$C$5</f>
        <v>67.287309368382267</v>
      </c>
      <c r="V63" s="898">
        <f>(AS63*KFC!$B$16+KFC!$C$16)*KFC!$C$5</f>
        <v>69.749246688358639</v>
      </c>
      <c r="W63" s="903">
        <f>(AT63*KFC!$B$16+KFC!$C$16)*KFC!$C$5</f>
        <v>72.211184008334996</v>
      </c>
      <c r="Y63" s="1277"/>
      <c r="Z63" s="649">
        <v>0.7</v>
      </c>
      <c r="AA63" s="882">
        <v>25.434374928783743</v>
      </c>
      <c r="AB63" s="882">
        <v>27.896312248760125</v>
      </c>
      <c r="AC63" s="882">
        <v>30.358249568736507</v>
      </c>
      <c r="AD63" s="882">
        <v>32.82018688871289</v>
      </c>
      <c r="AE63" s="882">
        <v>35.282124208689275</v>
      </c>
      <c r="AF63" s="882">
        <v>37.744061528665654</v>
      </c>
      <c r="AG63" s="882">
        <v>40.205998848642039</v>
      </c>
      <c r="AH63" s="882">
        <v>42.667936168618418</v>
      </c>
      <c r="AI63" s="882">
        <v>45.129873488594804</v>
      </c>
      <c r="AJ63" s="882">
        <v>47.591810808571196</v>
      </c>
      <c r="AK63" s="882">
        <v>50.053748128547568</v>
      </c>
      <c r="AL63" s="882">
        <v>52.515685448523961</v>
      </c>
      <c r="AM63" s="882">
        <v>54.977622768500339</v>
      </c>
      <c r="AN63" s="882">
        <v>57.439560088476725</v>
      </c>
      <c r="AO63" s="882">
        <v>59.90149740845311</v>
      </c>
      <c r="AP63" s="882">
        <v>62.363434728429489</v>
      </c>
      <c r="AQ63" s="882">
        <v>64.825372048405882</v>
      </c>
      <c r="AR63" s="882">
        <v>67.287309368382267</v>
      </c>
      <c r="AS63" s="882">
        <v>69.749246688358639</v>
      </c>
      <c r="AT63" s="882">
        <v>72.211184008334996</v>
      </c>
    </row>
    <row r="64" spans="1:46">
      <c r="A64" s="1426"/>
      <c r="B64" s="1427"/>
      <c r="C64" s="887">
        <v>0.8</v>
      </c>
      <c r="D64" s="902">
        <f>(AA64*KFC!$B$16+KFC!$C$16)*KFC!$C$5</f>
        <v>25.96572361150649</v>
      </c>
      <c r="E64" s="898">
        <f>(AB64*KFC!$B$16+KFC!$C$16)*KFC!$C$5</f>
        <v>28.552326789859571</v>
      </c>
      <c r="F64" s="898">
        <f>(AC64*KFC!$B$16+KFC!$C$16)*KFC!$C$5</f>
        <v>31.138929968212651</v>
      </c>
      <c r="G64" s="898">
        <f>(AD64*KFC!$B$16+KFC!$C$16)*KFC!$C$5</f>
        <v>33.725533146565738</v>
      </c>
      <c r="H64" s="898">
        <f>(AE64*KFC!$B$16+KFC!$C$16)*KFC!$C$5</f>
        <v>36.312136324918811</v>
      </c>
      <c r="I64" s="898">
        <f>(AF64*KFC!$B$16+KFC!$C$16)*KFC!$C$5</f>
        <v>38.898739503271884</v>
      </c>
      <c r="J64" s="898">
        <f>(AG64*KFC!$B$16+KFC!$C$16)*KFC!$C$5</f>
        <v>41.485342681624964</v>
      </c>
      <c r="K64" s="898">
        <f>(AH64*KFC!$B$16+KFC!$C$16)*KFC!$C$5</f>
        <v>44.071945859978037</v>
      </c>
      <c r="L64" s="898">
        <f>(AI64*KFC!$B$16+KFC!$C$16)*KFC!$C$5</f>
        <v>46.658549038331117</v>
      </c>
      <c r="M64" s="898">
        <f>(AJ64*KFC!$B$16+KFC!$C$16)*KFC!$C$5</f>
        <v>49.245152216684197</v>
      </c>
      <c r="N64" s="898">
        <f>(AK64*KFC!$B$16+KFC!$C$16)*KFC!$C$5</f>
        <v>51.831755395037277</v>
      </c>
      <c r="O64" s="898">
        <f>(AL64*KFC!$B$16+KFC!$C$16)*KFC!$C$5</f>
        <v>54.418358573390357</v>
      </c>
      <c r="P64" s="898">
        <f>(AM64*KFC!$B$16+KFC!$C$16)*KFC!$C$5</f>
        <v>57.00496175174343</v>
      </c>
      <c r="Q64" s="898">
        <f>(AN64*KFC!$B$16+KFC!$C$16)*KFC!$C$5</f>
        <v>59.591564930096503</v>
      </c>
      <c r="R64" s="898">
        <f>(AO64*KFC!$B$16+KFC!$C$16)*KFC!$C$5</f>
        <v>62.178168108449583</v>
      </c>
      <c r="S64" s="898">
        <f>(AP64*KFC!$B$16+KFC!$C$16)*KFC!$C$5</f>
        <v>64.764771286802656</v>
      </c>
      <c r="T64" s="898">
        <f>(AQ64*KFC!$B$16+KFC!$C$16)*KFC!$C$5</f>
        <v>67.351374465155743</v>
      </c>
      <c r="U64" s="898">
        <f>(AR64*KFC!$B$16+KFC!$C$16)*KFC!$C$5</f>
        <v>69.93797764350883</v>
      </c>
      <c r="V64" s="898">
        <f>(AS64*KFC!$B$16+KFC!$C$16)*KFC!$C$5</f>
        <v>72.524580821861903</v>
      </c>
      <c r="W64" s="903">
        <f>(AT64*KFC!$B$16+KFC!$C$16)*KFC!$C$5</f>
        <v>75.111184000215005</v>
      </c>
      <c r="Y64" s="1277"/>
      <c r="Z64" s="649">
        <v>0.8</v>
      </c>
      <c r="AA64" s="882">
        <v>25.96572361150649</v>
      </c>
      <c r="AB64" s="882">
        <v>28.552326789859571</v>
      </c>
      <c r="AC64" s="882">
        <v>31.138929968212651</v>
      </c>
      <c r="AD64" s="882">
        <v>33.725533146565738</v>
      </c>
      <c r="AE64" s="882">
        <v>36.312136324918811</v>
      </c>
      <c r="AF64" s="882">
        <v>38.898739503271884</v>
      </c>
      <c r="AG64" s="882">
        <v>41.485342681624964</v>
      </c>
      <c r="AH64" s="882">
        <v>44.071945859978037</v>
      </c>
      <c r="AI64" s="882">
        <v>46.658549038331117</v>
      </c>
      <c r="AJ64" s="882">
        <v>49.245152216684197</v>
      </c>
      <c r="AK64" s="882">
        <v>51.831755395037277</v>
      </c>
      <c r="AL64" s="882">
        <v>54.418358573390357</v>
      </c>
      <c r="AM64" s="882">
        <v>57.00496175174343</v>
      </c>
      <c r="AN64" s="882">
        <v>59.591564930096503</v>
      </c>
      <c r="AO64" s="882">
        <v>62.178168108449583</v>
      </c>
      <c r="AP64" s="882">
        <v>64.764771286802656</v>
      </c>
      <c r="AQ64" s="882">
        <v>67.351374465155743</v>
      </c>
      <c r="AR64" s="882">
        <v>69.93797764350883</v>
      </c>
      <c r="AS64" s="882">
        <v>72.524580821861903</v>
      </c>
      <c r="AT64" s="882">
        <v>75.111184000215005</v>
      </c>
    </row>
    <row r="65" spans="1:46">
      <c r="A65" s="1426"/>
      <c r="B65" s="1427"/>
      <c r="C65" s="887">
        <v>0.9</v>
      </c>
      <c r="D65" s="902">
        <f>(AA65*KFC!$B$16+KFC!$C$16)*KFC!$C$5</f>
        <v>26.497072294229234</v>
      </c>
      <c r="E65" s="898">
        <f>(AB65*KFC!$B$16+KFC!$C$16)*KFC!$C$5</f>
        <v>29.208341330959016</v>
      </c>
      <c r="F65" s="898">
        <f>(AC65*KFC!$B$16+KFC!$C$16)*KFC!$C$5</f>
        <v>31.919610367688794</v>
      </c>
      <c r="G65" s="898">
        <f>(AD65*KFC!$B$16+KFC!$C$16)*KFC!$C$5</f>
        <v>34.630879404418572</v>
      </c>
      <c r="H65" s="898">
        <f>(AE65*KFC!$B$16+KFC!$C$16)*KFC!$C$5</f>
        <v>37.342148441148346</v>
      </c>
      <c r="I65" s="898">
        <f>(AF65*KFC!$B$16+KFC!$C$16)*KFC!$C$5</f>
        <v>40.053417477878128</v>
      </c>
      <c r="J65" s="898">
        <f>(AG65*KFC!$B$16+KFC!$C$16)*KFC!$C$5</f>
        <v>42.764686514607902</v>
      </c>
      <c r="K65" s="898">
        <f>(AH65*KFC!$B$16+KFC!$C$16)*KFC!$C$5</f>
        <v>45.475955551337677</v>
      </c>
      <c r="L65" s="898">
        <f>(AI65*KFC!$B$16+KFC!$C$16)*KFC!$C$5</f>
        <v>48.187224588067451</v>
      </c>
      <c r="M65" s="898">
        <f>(AJ65*KFC!$B$16+KFC!$C$16)*KFC!$C$5</f>
        <v>50.89849362479724</v>
      </c>
      <c r="N65" s="898">
        <f>(AK65*KFC!$B$16+KFC!$C$16)*KFC!$C$5</f>
        <v>53.609762661527014</v>
      </c>
      <c r="O65" s="898">
        <f>(AL65*KFC!$B$16+KFC!$C$16)*KFC!$C$5</f>
        <v>56.321031698256789</v>
      </c>
      <c r="P65" s="898">
        <f>(AM65*KFC!$B$16+KFC!$C$16)*KFC!$C$5</f>
        <v>59.03230073498657</v>
      </c>
      <c r="Q65" s="898">
        <f>(AN65*KFC!$B$16+KFC!$C$16)*KFC!$C$5</f>
        <v>61.743569771716345</v>
      </c>
      <c r="R65" s="898">
        <f>(AO65*KFC!$B$16+KFC!$C$16)*KFC!$C$5</f>
        <v>64.454838808446127</v>
      </c>
      <c r="S65" s="898">
        <f>(AP65*KFC!$B$16+KFC!$C$16)*KFC!$C$5</f>
        <v>67.166107845175901</v>
      </c>
      <c r="T65" s="898">
        <f>(AQ65*KFC!$B$16+KFC!$C$16)*KFC!$C$5</f>
        <v>69.877376881905676</v>
      </c>
      <c r="U65" s="898">
        <f>(AR65*KFC!$B$16+KFC!$C$16)*KFC!$C$5</f>
        <v>72.588645918635464</v>
      </c>
      <c r="V65" s="898">
        <f>(AS65*KFC!$B$16+KFC!$C$16)*KFC!$C$5</f>
        <v>75.299914955365239</v>
      </c>
      <c r="W65" s="903">
        <f>(AT65*KFC!$B$16+KFC!$C$16)*KFC!$C$5</f>
        <v>78.011183992095013</v>
      </c>
      <c r="Y65" s="1277"/>
      <c r="Z65" s="649">
        <v>0.9</v>
      </c>
      <c r="AA65" s="882">
        <v>26.497072294229234</v>
      </c>
      <c r="AB65" s="882">
        <v>29.208341330959016</v>
      </c>
      <c r="AC65" s="882">
        <v>31.919610367688794</v>
      </c>
      <c r="AD65" s="882">
        <v>34.630879404418572</v>
      </c>
      <c r="AE65" s="882">
        <v>37.342148441148346</v>
      </c>
      <c r="AF65" s="882">
        <v>40.053417477878128</v>
      </c>
      <c r="AG65" s="882">
        <v>42.764686514607902</v>
      </c>
      <c r="AH65" s="882">
        <v>45.475955551337677</v>
      </c>
      <c r="AI65" s="882">
        <v>48.187224588067451</v>
      </c>
      <c r="AJ65" s="882">
        <v>50.89849362479724</v>
      </c>
      <c r="AK65" s="882">
        <v>53.609762661527014</v>
      </c>
      <c r="AL65" s="882">
        <v>56.321031698256789</v>
      </c>
      <c r="AM65" s="882">
        <v>59.03230073498657</v>
      </c>
      <c r="AN65" s="882">
        <v>61.743569771716345</v>
      </c>
      <c r="AO65" s="882">
        <v>64.454838808446127</v>
      </c>
      <c r="AP65" s="882">
        <v>67.166107845175901</v>
      </c>
      <c r="AQ65" s="882">
        <v>69.877376881905676</v>
      </c>
      <c r="AR65" s="882">
        <v>72.588645918635464</v>
      </c>
      <c r="AS65" s="882">
        <v>75.299914955365239</v>
      </c>
      <c r="AT65" s="882">
        <v>78.011183992095013</v>
      </c>
    </row>
    <row r="66" spans="1:46">
      <c r="A66" s="1426"/>
      <c r="B66" s="1427"/>
      <c r="C66" s="887">
        <v>1</v>
      </c>
      <c r="D66" s="902">
        <f>(AA66*KFC!$B$16+KFC!$C$16)*KFC!$C$5</f>
        <v>27.028420976951988</v>
      </c>
      <c r="E66" s="898">
        <f>(AB66*KFC!$B$16+KFC!$C$16)*KFC!$C$5</f>
        <v>29.864355872058464</v>
      </c>
      <c r="F66" s="898">
        <f>(AC66*KFC!$B$16+KFC!$C$16)*KFC!$C$5</f>
        <v>32.700290767164944</v>
      </c>
      <c r="G66" s="898">
        <f>(AD66*KFC!$B$16+KFC!$C$16)*KFC!$C$5</f>
        <v>35.53622566227142</v>
      </c>
      <c r="H66" s="898">
        <f>(AE66*KFC!$B$16+KFC!$C$16)*KFC!$C$5</f>
        <v>38.372160557377896</v>
      </c>
      <c r="I66" s="898">
        <f>(AF66*KFC!$B$16+KFC!$C$16)*KFC!$C$5</f>
        <v>41.208095452484372</v>
      </c>
      <c r="J66" s="898">
        <f>(AG66*KFC!$B$16+KFC!$C$16)*KFC!$C$5</f>
        <v>44.044030347590848</v>
      </c>
      <c r="K66" s="898">
        <f>(AH66*KFC!$B$16+KFC!$C$16)*KFC!$C$5</f>
        <v>46.879965242697324</v>
      </c>
      <c r="L66" s="898">
        <f>(AI66*KFC!$B$16+KFC!$C$16)*KFC!$C$5</f>
        <v>49.715900137803807</v>
      </c>
      <c r="M66" s="898">
        <f>(AJ66*KFC!$B$16+KFC!$C$16)*KFC!$C$5</f>
        <v>52.551835032910276</v>
      </c>
      <c r="N66" s="898">
        <f>(AK66*KFC!$B$16+KFC!$C$16)*KFC!$C$5</f>
        <v>55.387769928016759</v>
      </c>
      <c r="O66" s="898">
        <f>(AL66*KFC!$B$16+KFC!$C$16)*KFC!$C$5</f>
        <v>58.223704823123235</v>
      </c>
      <c r="P66" s="898">
        <f>(AM66*KFC!$B$16+KFC!$C$16)*KFC!$C$5</f>
        <v>61.059639718229704</v>
      </c>
      <c r="Q66" s="898">
        <f>(AN66*KFC!$B$16+KFC!$C$16)*KFC!$C$5</f>
        <v>63.895574613336187</v>
      </c>
      <c r="R66" s="898">
        <f>(AO66*KFC!$B$16+KFC!$C$16)*KFC!$C$5</f>
        <v>66.73150950844267</v>
      </c>
      <c r="S66" s="898">
        <f>(AP66*KFC!$B$16+KFC!$C$16)*KFC!$C$5</f>
        <v>69.567444403549132</v>
      </c>
      <c r="T66" s="898">
        <f>(AQ66*KFC!$B$16+KFC!$C$16)*KFC!$C$5</f>
        <v>72.403379298655608</v>
      </c>
      <c r="U66" s="898">
        <f>(AR66*KFC!$B$16+KFC!$C$16)*KFC!$C$5</f>
        <v>75.239314193762084</v>
      </c>
      <c r="V66" s="898">
        <f>(AS66*KFC!$B$16+KFC!$C$16)*KFC!$C$5</f>
        <v>78.075249088868546</v>
      </c>
      <c r="W66" s="903">
        <f>(AT66*KFC!$B$16+KFC!$C$16)*KFC!$C$5</f>
        <v>80.911183983975022</v>
      </c>
      <c r="Y66" s="1277"/>
      <c r="Z66" s="649">
        <v>1</v>
      </c>
      <c r="AA66" s="882">
        <v>27.028420976951988</v>
      </c>
      <c r="AB66" s="882">
        <v>29.864355872058464</v>
      </c>
      <c r="AC66" s="882">
        <v>32.700290767164944</v>
      </c>
      <c r="AD66" s="882">
        <v>35.53622566227142</v>
      </c>
      <c r="AE66" s="882">
        <v>38.372160557377896</v>
      </c>
      <c r="AF66" s="882">
        <v>41.208095452484372</v>
      </c>
      <c r="AG66" s="882">
        <v>44.044030347590848</v>
      </c>
      <c r="AH66" s="882">
        <v>46.879965242697324</v>
      </c>
      <c r="AI66" s="882">
        <v>49.715900137803807</v>
      </c>
      <c r="AJ66" s="882">
        <v>52.551835032910276</v>
      </c>
      <c r="AK66" s="882">
        <v>55.387769928016759</v>
      </c>
      <c r="AL66" s="882">
        <v>58.223704823123235</v>
      </c>
      <c r="AM66" s="882">
        <v>61.059639718229704</v>
      </c>
      <c r="AN66" s="882">
        <v>63.895574613336187</v>
      </c>
      <c r="AO66" s="882">
        <v>66.73150950844267</v>
      </c>
      <c r="AP66" s="882">
        <v>69.567444403549132</v>
      </c>
      <c r="AQ66" s="882">
        <v>72.403379298655608</v>
      </c>
      <c r="AR66" s="882">
        <v>75.239314193762084</v>
      </c>
      <c r="AS66" s="882">
        <v>78.075249088868546</v>
      </c>
      <c r="AT66" s="882">
        <v>80.911183983975022</v>
      </c>
    </row>
    <row r="67" spans="1:46">
      <c r="A67" s="1426"/>
      <c r="B67" s="1427"/>
      <c r="C67" s="887">
        <v>1.1000000000000001</v>
      </c>
      <c r="D67" s="902">
        <f>(AA67*KFC!$B$16+KFC!$C$16)*KFC!$C$5</f>
        <v>27.559769659674735</v>
      </c>
      <c r="E67" s="898">
        <f>(AB67*KFC!$B$16+KFC!$C$16)*KFC!$C$5</f>
        <v>30.520370413157909</v>
      </c>
      <c r="F67" s="898">
        <f>(AC67*KFC!$B$16+KFC!$C$16)*KFC!$C$5</f>
        <v>33.480971166641083</v>
      </c>
      <c r="G67" s="898">
        <f>(AD67*KFC!$B$16+KFC!$C$16)*KFC!$C$5</f>
        <v>36.441571920124261</v>
      </c>
      <c r="H67" s="898">
        <f>(AE67*KFC!$B$16+KFC!$C$16)*KFC!$C$5</f>
        <v>39.402172673607424</v>
      </c>
      <c r="I67" s="898">
        <f>(AF67*KFC!$B$16+KFC!$C$16)*KFC!$C$5</f>
        <v>42.362773427090602</v>
      </c>
      <c r="J67" s="898">
        <f>(AG67*KFC!$B$16+KFC!$C$16)*KFC!$C$5</f>
        <v>45.323374180573765</v>
      </c>
      <c r="K67" s="898">
        <f>(AH67*KFC!$B$16+KFC!$C$16)*KFC!$C$5</f>
        <v>48.283974934056936</v>
      </c>
      <c r="L67" s="898">
        <f>(AI67*KFC!$B$16+KFC!$C$16)*KFC!$C$5</f>
        <v>51.244575687540113</v>
      </c>
      <c r="M67" s="898">
        <f>(AJ67*KFC!$B$16+KFC!$C$16)*KFC!$C$5</f>
        <v>54.205176441023276</v>
      </c>
      <c r="N67" s="898">
        <f>(AK67*KFC!$B$16+KFC!$C$16)*KFC!$C$5</f>
        <v>57.165777194506447</v>
      </c>
      <c r="O67" s="898">
        <f>(AL67*KFC!$B$16+KFC!$C$16)*KFC!$C$5</f>
        <v>60.126377947989624</v>
      </c>
      <c r="P67" s="898">
        <f>(AM67*KFC!$B$16+KFC!$C$16)*KFC!$C$5</f>
        <v>63.086978701472788</v>
      </c>
      <c r="Q67" s="898">
        <f>(AN67*KFC!$B$16+KFC!$C$16)*KFC!$C$5</f>
        <v>66.047579454955951</v>
      </c>
      <c r="R67" s="898">
        <f>(AO67*KFC!$B$16+KFC!$C$16)*KFC!$C$5</f>
        <v>69.008180208439143</v>
      </c>
      <c r="S67" s="898">
        <f>(AP67*KFC!$B$16+KFC!$C$16)*KFC!$C$5</f>
        <v>71.96878096192232</v>
      </c>
      <c r="T67" s="898">
        <f>(AQ67*KFC!$B$16+KFC!$C$16)*KFC!$C$5</f>
        <v>74.929381715405498</v>
      </c>
      <c r="U67" s="898">
        <f>(AR67*KFC!$B$16+KFC!$C$16)*KFC!$C$5</f>
        <v>77.889982468888675</v>
      </c>
      <c r="V67" s="898">
        <f>(AS67*KFC!$B$16+KFC!$C$16)*KFC!$C$5</f>
        <v>80.850583222371853</v>
      </c>
      <c r="W67" s="903">
        <f>(AT67*KFC!$B$16+KFC!$C$16)*KFC!$C$5</f>
        <v>83.81118397585503</v>
      </c>
      <c r="Y67" s="1277"/>
      <c r="Z67" s="649">
        <v>1.1000000000000001</v>
      </c>
      <c r="AA67" s="882">
        <v>27.559769659674735</v>
      </c>
      <c r="AB67" s="882">
        <v>30.520370413157909</v>
      </c>
      <c r="AC67" s="882">
        <v>33.480971166641083</v>
      </c>
      <c r="AD67" s="882">
        <v>36.441571920124261</v>
      </c>
      <c r="AE67" s="882">
        <v>39.402172673607424</v>
      </c>
      <c r="AF67" s="882">
        <v>42.362773427090602</v>
      </c>
      <c r="AG67" s="882">
        <v>45.323374180573765</v>
      </c>
      <c r="AH67" s="882">
        <v>48.283974934056936</v>
      </c>
      <c r="AI67" s="882">
        <v>51.244575687540113</v>
      </c>
      <c r="AJ67" s="882">
        <v>54.205176441023276</v>
      </c>
      <c r="AK67" s="882">
        <v>57.165777194506447</v>
      </c>
      <c r="AL67" s="882">
        <v>60.126377947989624</v>
      </c>
      <c r="AM67" s="882">
        <v>63.086978701472788</v>
      </c>
      <c r="AN67" s="882">
        <v>66.047579454955951</v>
      </c>
      <c r="AO67" s="882">
        <v>69.008180208439143</v>
      </c>
      <c r="AP67" s="882">
        <v>71.96878096192232</v>
      </c>
      <c r="AQ67" s="882">
        <v>74.929381715405498</v>
      </c>
      <c r="AR67" s="882">
        <v>77.889982468888675</v>
      </c>
      <c r="AS67" s="882">
        <v>80.850583222371853</v>
      </c>
      <c r="AT67" s="882">
        <v>83.81118397585503</v>
      </c>
    </row>
    <row r="68" spans="1:46">
      <c r="A68" s="1426"/>
      <c r="B68" s="1427"/>
      <c r="C68" s="887">
        <v>1.2</v>
      </c>
      <c r="D68" s="902">
        <f>(AA68*KFC!$B$16+KFC!$C$16)*KFC!$C$5</f>
        <v>28.091118342397486</v>
      </c>
      <c r="E68" s="898">
        <f>(AB68*KFC!$B$16+KFC!$C$16)*KFC!$C$5</f>
        <v>31.176384954257358</v>
      </c>
      <c r="F68" s="898">
        <f>(AC68*KFC!$B$16+KFC!$C$16)*KFC!$C$5</f>
        <v>34.261651566117223</v>
      </c>
      <c r="G68" s="898">
        <f>(AD68*KFC!$B$16+KFC!$C$16)*KFC!$C$5</f>
        <v>37.346918177977095</v>
      </c>
      <c r="H68" s="898">
        <f>(AE68*KFC!$B$16+KFC!$C$16)*KFC!$C$5</f>
        <v>40.432184789836967</v>
      </c>
      <c r="I68" s="898">
        <f>(AF68*KFC!$B$16+KFC!$C$16)*KFC!$C$5</f>
        <v>43.517451401696839</v>
      </c>
      <c r="J68" s="898">
        <f>(AG68*KFC!$B$16+KFC!$C$16)*KFC!$C$5</f>
        <v>46.602718013556711</v>
      </c>
      <c r="K68" s="898">
        <f>(AH68*KFC!$B$16+KFC!$C$16)*KFC!$C$5</f>
        <v>49.687984625416576</v>
      </c>
      <c r="L68" s="898">
        <f>(AI68*KFC!$B$16+KFC!$C$16)*KFC!$C$5</f>
        <v>52.773251237276448</v>
      </c>
      <c r="M68" s="898">
        <f>(AJ68*KFC!$B$16+KFC!$C$16)*KFC!$C$5</f>
        <v>55.858517849136319</v>
      </c>
      <c r="N68" s="898">
        <f>(AK68*KFC!$B$16+KFC!$C$16)*KFC!$C$5</f>
        <v>58.943784460996191</v>
      </c>
      <c r="O68" s="898">
        <f>(AL68*KFC!$B$16+KFC!$C$16)*KFC!$C$5</f>
        <v>62.029051072856063</v>
      </c>
      <c r="P68" s="898">
        <f>(AM68*KFC!$B$16+KFC!$C$16)*KFC!$C$5</f>
        <v>65.114317684715928</v>
      </c>
      <c r="Q68" s="898">
        <f>(AN68*KFC!$B$16+KFC!$C$16)*KFC!$C$5</f>
        <v>68.199584296575807</v>
      </c>
      <c r="R68" s="898">
        <f>(AO68*KFC!$B$16+KFC!$C$16)*KFC!$C$5</f>
        <v>71.284850908435672</v>
      </c>
      <c r="S68" s="898">
        <f>(AP68*KFC!$B$16+KFC!$C$16)*KFC!$C$5</f>
        <v>74.370117520295551</v>
      </c>
      <c r="T68" s="898">
        <f>(AQ68*KFC!$B$16+KFC!$C$16)*KFC!$C$5</f>
        <v>77.455384132155416</v>
      </c>
      <c r="U68" s="898">
        <f>(AR68*KFC!$B$16+KFC!$C$16)*KFC!$C$5</f>
        <v>80.540650744015281</v>
      </c>
      <c r="V68" s="898">
        <f>(AS68*KFC!$B$16+KFC!$C$16)*KFC!$C$5</f>
        <v>83.62591735587516</v>
      </c>
      <c r="W68" s="903">
        <f>(AT68*KFC!$B$16+KFC!$C$16)*KFC!$C$5</f>
        <v>86.711183967735025</v>
      </c>
      <c r="Y68" s="1277"/>
      <c r="Z68" s="649">
        <v>1.2</v>
      </c>
      <c r="AA68" s="882">
        <v>28.091118342397486</v>
      </c>
      <c r="AB68" s="882">
        <v>31.176384954257358</v>
      </c>
      <c r="AC68" s="882">
        <v>34.261651566117223</v>
      </c>
      <c r="AD68" s="882">
        <v>37.346918177977095</v>
      </c>
      <c r="AE68" s="882">
        <v>40.432184789836967</v>
      </c>
      <c r="AF68" s="882">
        <v>43.517451401696839</v>
      </c>
      <c r="AG68" s="882">
        <v>46.602718013556711</v>
      </c>
      <c r="AH68" s="882">
        <v>49.687984625416576</v>
      </c>
      <c r="AI68" s="882">
        <v>52.773251237276448</v>
      </c>
      <c r="AJ68" s="882">
        <v>55.858517849136319</v>
      </c>
      <c r="AK68" s="882">
        <v>58.943784460996191</v>
      </c>
      <c r="AL68" s="882">
        <v>62.029051072856063</v>
      </c>
      <c r="AM68" s="882">
        <v>65.114317684715928</v>
      </c>
      <c r="AN68" s="882">
        <v>68.199584296575807</v>
      </c>
      <c r="AO68" s="882">
        <v>71.284850908435672</v>
      </c>
      <c r="AP68" s="882">
        <v>74.370117520295551</v>
      </c>
      <c r="AQ68" s="882">
        <v>77.455384132155416</v>
      </c>
      <c r="AR68" s="882">
        <v>80.540650744015281</v>
      </c>
      <c r="AS68" s="882">
        <v>83.62591735587516</v>
      </c>
      <c r="AT68" s="882">
        <v>86.711183967735025</v>
      </c>
    </row>
    <row r="69" spans="1:46">
      <c r="A69" s="1426"/>
      <c r="B69" s="1427"/>
      <c r="C69" s="887">
        <v>1.3</v>
      </c>
      <c r="D69" s="902">
        <f>(AA69*KFC!$B$16+KFC!$C$16)*KFC!$C$5</f>
        <v>28.622467025120233</v>
      </c>
      <c r="E69" s="898">
        <f>(AB69*KFC!$B$16+KFC!$C$16)*KFC!$C$5</f>
        <v>31.8323994953568</v>
      </c>
      <c r="F69" s="898">
        <f>(AC69*KFC!$B$16+KFC!$C$16)*KFC!$C$5</f>
        <v>35.04233196559337</v>
      </c>
      <c r="G69" s="898">
        <f>(AD69*KFC!$B$16+KFC!$C$16)*KFC!$C$5</f>
        <v>38.252264435829943</v>
      </c>
      <c r="H69" s="898">
        <f>(AE69*KFC!$B$16+KFC!$C$16)*KFC!$C$5</f>
        <v>41.462196906066509</v>
      </c>
      <c r="I69" s="898">
        <f>(AF69*KFC!$B$16+KFC!$C$16)*KFC!$C$5</f>
        <v>44.672129376303083</v>
      </c>
      <c r="J69" s="898">
        <f>(AG69*KFC!$B$16+KFC!$C$16)*KFC!$C$5</f>
        <v>47.882061846539649</v>
      </c>
      <c r="K69" s="898">
        <f>(AH69*KFC!$B$16+KFC!$C$16)*KFC!$C$5</f>
        <v>51.09199431677623</v>
      </c>
      <c r="L69" s="898">
        <f>(AI69*KFC!$B$16+KFC!$C$16)*KFC!$C$5</f>
        <v>54.301926787012789</v>
      </c>
      <c r="M69" s="898">
        <f>(AJ69*KFC!$B$16+KFC!$C$16)*KFC!$C$5</f>
        <v>57.51185925724937</v>
      </c>
      <c r="N69" s="898">
        <f>(AK69*KFC!$B$16+KFC!$C$16)*KFC!$C$5</f>
        <v>60.721791727485936</v>
      </c>
      <c r="O69" s="898">
        <f>(AL69*KFC!$B$16+KFC!$C$16)*KFC!$C$5</f>
        <v>63.931724197722502</v>
      </c>
      <c r="P69" s="898">
        <f>(AM69*KFC!$B$16+KFC!$C$16)*KFC!$C$5</f>
        <v>67.141656667959069</v>
      </c>
      <c r="Q69" s="898">
        <f>(AN69*KFC!$B$16+KFC!$C$16)*KFC!$C$5</f>
        <v>70.351589138195635</v>
      </c>
      <c r="R69" s="898">
        <f>(AO69*KFC!$B$16+KFC!$C$16)*KFC!$C$5</f>
        <v>73.561521608432201</v>
      </c>
      <c r="S69" s="898">
        <f>(AP69*KFC!$B$16+KFC!$C$16)*KFC!$C$5</f>
        <v>76.771454078668768</v>
      </c>
      <c r="T69" s="898">
        <f>(AQ69*KFC!$B$16+KFC!$C$16)*KFC!$C$5</f>
        <v>79.981386548905334</v>
      </c>
      <c r="U69" s="898">
        <f>(AR69*KFC!$B$16+KFC!$C$16)*KFC!$C$5</f>
        <v>83.191319019141901</v>
      </c>
      <c r="V69" s="898">
        <f>(AS69*KFC!$B$16+KFC!$C$16)*KFC!$C$5</f>
        <v>86.401251489378453</v>
      </c>
      <c r="W69" s="903">
        <f>(AT69*KFC!$B$16+KFC!$C$16)*KFC!$C$5</f>
        <v>89.611183959615033</v>
      </c>
      <c r="Y69" s="1277"/>
      <c r="Z69" s="649">
        <v>1.3</v>
      </c>
      <c r="AA69" s="882">
        <v>28.622467025120233</v>
      </c>
      <c r="AB69" s="882">
        <v>31.8323994953568</v>
      </c>
      <c r="AC69" s="882">
        <v>35.04233196559337</v>
      </c>
      <c r="AD69" s="882">
        <v>38.252264435829943</v>
      </c>
      <c r="AE69" s="882">
        <v>41.462196906066509</v>
      </c>
      <c r="AF69" s="882">
        <v>44.672129376303083</v>
      </c>
      <c r="AG69" s="882">
        <v>47.882061846539649</v>
      </c>
      <c r="AH69" s="882">
        <v>51.09199431677623</v>
      </c>
      <c r="AI69" s="882">
        <v>54.301926787012789</v>
      </c>
      <c r="AJ69" s="882">
        <v>57.51185925724937</v>
      </c>
      <c r="AK69" s="882">
        <v>60.721791727485936</v>
      </c>
      <c r="AL69" s="882">
        <v>63.931724197722502</v>
      </c>
      <c r="AM69" s="882">
        <v>67.141656667959069</v>
      </c>
      <c r="AN69" s="882">
        <v>70.351589138195635</v>
      </c>
      <c r="AO69" s="882">
        <v>73.561521608432201</v>
      </c>
      <c r="AP69" s="882">
        <v>76.771454078668768</v>
      </c>
      <c r="AQ69" s="882">
        <v>79.981386548905334</v>
      </c>
      <c r="AR69" s="882">
        <v>83.191319019141901</v>
      </c>
      <c r="AS69" s="882">
        <v>86.401251489378453</v>
      </c>
      <c r="AT69" s="882">
        <v>89.611183959615033</v>
      </c>
    </row>
    <row r="70" spans="1:46">
      <c r="A70" s="1426"/>
      <c r="B70" s="1427"/>
      <c r="C70" s="887">
        <v>1.4</v>
      </c>
      <c r="D70" s="902">
        <f>(AA70*KFC!$B$16+KFC!$C$16)*KFC!$C$5</f>
        <v>29.15381570784298</v>
      </c>
      <c r="E70" s="898">
        <f>(AB70*KFC!$B$16+KFC!$C$16)*KFC!$C$5</f>
        <v>32.488414036456248</v>
      </c>
      <c r="F70" s="898">
        <f>(AC70*KFC!$B$16+KFC!$C$16)*KFC!$C$5</f>
        <v>35.823012365069516</v>
      </c>
      <c r="G70" s="898">
        <f>(AD70*KFC!$B$16+KFC!$C$16)*KFC!$C$5</f>
        <v>39.157610693682784</v>
      </c>
      <c r="H70" s="898">
        <f>(AE70*KFC!$B$16+KFC!$C$16)*KFC!$C$5</f>
        <v>42.492209022296045</v>
      </c>
      <c r="I70" s="898">
        <f>(AF70*KFC!$B$16+KFC!$C$16)*KFC!$C$5</f>
        <v>45.826807350909306</v>
      </c>
      <c r="J70" s="898">
        <f>(AG70*KFC!$B$16+KFC!$C$16)*KFC!$C$5</f>
        <v>49.161405679522574</v>
      </c>
      <c r="K70" s="898">
        <f>(AH70*KFC!$B$16+KFC!$C$16)*KFC!$C$5</f>
        <v>52.496004008135834</v>
      </c>
      <c r="L70" s="898">
        <f>(AI70*KFC!$B$16+KFC!$C$16)*KFC!$C$5</f>
        <v>55.830602336749102</v>
      </c>
      <c r="M70" s="898">
        <f>(AJ70*KFC!$B$16+KFC!$C$16)*KFC!$C$5</f>
        <v>59.165200665362363</v>
      </c>
      <c r="N70" s="898">
        <f>(AK70*KFC!$B$16+KFC!$C$16)*KFC!$C$5</f>
        <v>62.499798993975624</v>
      </c>
      <c r="O70" s="898">
        <f>(AL70*KFC!$B$16+KFC!$C$16)*KFC!$C$5</f>
        <v>65.834397322588885</v>
      </c>
      <c r="P70" s="898">
        <f>(AM70*KFC!$B$16+KFC!$C$16)*KFC!$C$5</f>
        <v>69.168995651202167</v>
      </c>
      <c r="Q70" s="898">
        <f>(AN70*KFC!$B$16+KFC!$C$16)*KFC!$C$5</f>
        <v>72.503593979815435</v>
      </c>
      <c r="R70" s="898">
        <f>(AO70*KFC!$B$16+KFC!$C$16)*KFC!$C$5</f>
        <v>75.838192308428702</v>
      </c>
      <c r="S70" s="898">
        <f>(AP70*KFC!$B$16+KFC!$C$16)*KFC!$C$5</f>
        <v>79.17279063704197</v>
      </c>
      <c r="T70" s="898">
        <f>(AQ70*KFC!$B$16+KFC!$C$16)*KFC!$C$5</f>
        <v>82.507388965655238</v>
      </c>
      <c r="U70" s="898">
        <f>(AR70*KFC!$B$16+KFC!$C$16)*KFC!$C$5</f>
        <v>85.84198729426852</v>
      </c>
      <c r="V70" s="898">
        <f>(AS70*KFC!$B$16+KFC!$C$16)*KFC!$C$5</f>
        <v>89.176585622881788</v>
      </c>
      <c r="W70" s="903">
        <f>(AT70*KFC!$B$16+KFC!$C$16)*KFC!$C$5</f>
        <v>92.511183951495042</v>
      </c>
      <c r="Y70" s="1277"/>
      <c r="Z70" s="649">
        <v>1.4</v>
      </c>
      <c r="AA70" s="882">
        <v>29.15381570784298</v>
      </c>
      <c r="AB70" s="882">
        <v>32.488414036456248</v>
      </c>
      <c r="AC70" s="882">
        <v>35.823012365069516</v>
      </c>
      <c r="AD70" s="882">
        <v>39.157610693682784</v>
      </c>
      <c r="AE70" s="882">
        <v>42.492209022296045</v>
      </c>
      <c r="AF70" s="882">
        <v>45.826807350909306</v>
      </c>
      <c r="AG70" s="882">
        <v>49.161405679522574</v>
      </c>
      <c r="AH70" s="882">
        <v>52.496004008135834</v>
      </c>
      <c r="AI70" s="882">
        <v>55.830602336749102</v>
      </c>
      <c r="AJ70" s="882">
        <v>59.165200665362363</v>
      </c>
      <c r="AK70" s="882">
        <v>62.499798993975624</v>
      </c>
      <c r="AL70" s="882">
        <v>65.834397322588885</v>
      </c>
      <c r="AM70" s="882">
        <v>69.168995651202167</v>
      </c>
      <c r="AN70" s="882">
        <v>72.503593979815435</v>
      </c>
      <c r="AO70" s="882">
        <v>75.838192308428702</v>
      </c>
      <c r="AP70" s="882">
        <v>79.17279063704197</v>
      </c>
      <c r="AQ70" s="882">
        <v>82.507388965655238</v>
      </c>
      <c r="AR70" s="882">
        <v>85.84198729426852</v>
      </c>
      <c r="AS70" s="882">
        <v>89.176585622881788</v>
      </c>
      <c r="AT70" s="882">
        <v>92.511183951495042</v>
      </c>
    </row>
    <row r="71" spans="1:46">
      <c r="A71" s="1426"/>
      <c r="B71" s="1427"/>
      <c r="C71" s="887">
        <v>1.5</v>
      </c>
      <c r="D71" s="902">
        <f>(AA71*KFC!$B$16+KFC!$C$16)*KFC!$C$5</f>
        <v>29.685164390565731</v>
      </c>
      <c r="E71" s="898">
        <f>(AB71*KFC!$B$16+KFC!$C$16)*KFC!$C$5</f>
        <v>33.144428577555693</v>
      </c>
      <c r="F71" s="898">
        <f>(AC71*KFC!$B$16+KFC!$C$16)*KFC!$C$5</f>
        <v>36.603692764545663</v>
      </c>
      <c r="G71" s="898">
        <f>(AD71*KFC!$B$16+KFC!$C$16)*KFC!$C$5</f>
        <v>40.062956951535625</v>
      </c>
      <c r="H71" s="898">
        <f>(AE71*KFC!$B$16+KFC!$C$16)*KFC!$C$5</f>
        <v>43.522221138525587</v>
      </c>
      <c r="I71" s="898">
        <f>(AF71*KFC!$B$16+KFC!$C$16)*KFC!$C$5</f>
        <v>46.98148532551555</v>
      </c>
      <c r="J71" s="898">
        <f>(AG71*KFC!$B$16+KFC!$C$16)*KFC!$C$5</f>
        <v>50.440749512505519</v>
      </c>
      <c r="K71" s="898">
        <f>(AH71*KFC!$B$16+KFC!$C$16)*KFC!$C$5</f>
        <v>53.900013699495481</v>
      </c>
      <c r="L71" s="898">
        <f>(AI71*KFC!$B$16+KFC!$C$16)*KFC!$C$5</f>
        <v>57.359277886485437</v>
      </c>
      <c r="M71" s="898">
        <f>(AJ71*KFC!$B$16+KFC!$C$16)*KFC!$C$5</f>
        <v>60.818542073475406</v>
      </c>
      <c r="N71" s="898">
        <f>(AK71*KFC!$B$16+KFC!$C$16)*KFC!$C$5</f>
        <v>64.277806260465368</v>
      </c>
      <c r="O71" s="898">
        <f>(AL71*KFC!$B$16+KFC!$C$16)*KFC!$C$5</f>
        <v>67.737070447455338</v>
      </c>
      <c r="P71" s="898">
        <f>(AM71*KFC!$B$16+KFC!$C$16)*KFC!$C$5</f>
        <v>71.196334634445307</v>
      </c>
      <c r="Q71" s="898">
        <f>(AN71*KFC!$B$16+KFC!$C$16)*KFC!$C$5</f>
        <v>74.655598821435277</v>
      </c>
      <c r="R71" s="898">
        <f>(AO71*KFC!$B$16+KFC!$C$16)*KFC!$C$5</f>
        <v>78.114863008425232</v>
      </c>
      <c r="S71" s="898">
        <f>(AP71*KFC!$B$16+KFC!$C$16)*KFC!$C$5</f>
        <v>81.574127195415187</v>
      </c>
      <c r="T71" s="898">
        <f>(AQ71*KFC!$B$16+KFC!$C$16)*KFC!$C$5</f>
        <v>85.033391382405156</v>
      </c>
      <c r="U71" s="898">
        <f>(AR71*KFC!$B$16+KFC!$C$16)*KFC!$C$5</f>
        <v>88.492655569395112</v>
      </c>
      <c r="V71" s="898">
        <f>(AS71*KFC!$B$16+KFC!$C$16)*KFC!$C$5</f>
        <v>91.951919756385081</v>
      </c>
      <c r="W71" s="903">
        <f>(AT71*KFC!$B$16+KFC!$C$16)*KFC!$C$5</f>
        <v>95.41118394337505</v>
      </c>
      <c r="Y71" s="1277"/>
      <c r="Z71" s="649">
        <v>1.5</v>
      </c>
      <c r="AA71" s="882">
        <v>29.685164390565731</v>
      </c>
      <c r="AB71" s="882">
        <v>33.144428577555693</v>
      </c>
      <c r="AC71" s="882">
        <v>36.603692764545663</v>
      </c>
      <c r="AD71" s="882">
        <v>40.062956951535625</v>
      </c>
      <c r="AE71" s="882">
        <v>43.522221138525587</v>
      </c>
      <c r="AF71" s="882">
        <v>46.98148532551555</v>
      </c>
      <c r="AG71" s="882">
        <v>50.440749512505519</v>
      </c>
      <c r="AH71" s="882">
        <v>53.900013699495481</v>
      </c>
      <c r="AI71" s="882">
        <v>57.359277886485437</v>
      </c>
      <c r="AJ71" s="882">
        <v>60.818542073475406</v>
      </c>
      <c r="AK71" s="882">
        <v>64.277806260465368</v>
      </c>
      <c r="AL71" s="882">
        <v>67.737070447455338</v>
      </c>
      <c r="AM71" s="882">
        <v>71.196334634445307</v>
      </c>
      <c r="AN71" s="882">
        <v>74.655598821435277</v>
      </c>
      <c r="AO71" s="882">
        <v>78.114863008425232</v>
      </c>
      <c r="AP71" s="882">
        <v>81.574127195415187</v>
      </c>
      <c r="AQ71" s="882">
        <v>85.033391382405156</v>
      </c>
      <c r="AR71" s="882">
        <v>88.492655569395112</v>
      </c>
      <c r="AS71" s="882">
        <v>91.951919756385081</v>
      </c>
      <c r="AT71" s="882">
        <v>95.41118394337505</v>
      </c>
    </row>
    <row r="72" spans="1:46">
      <c r="A72" s="1426"/>
      <c r="B72" s="1427"/>
      <c r="C72" s="887">
        <v>1.6</v>
      </c>
      <c r="D72" s="902">
        <f>(AA72*KFC!$B$16+KFC!$C$16)*KFC!$C$5</f>
        <v>30.216513073288478</v>
      </c>
      <c r="E72" s="898">
        <f>(AB72*KFC!$B$16+KFC!$C$16)*KFC!$C$5</f>
        <v>33.800443118655146</v>
      </c>
      <c r="F72" s="898">
        <f>(AC72*KFC!$B$16+KFC!$C$16)*KFC!$C$5</f>
        <v>37.384373164021802</v>
      </c>
      <c r="G72" s="898">
        <f>(AD72*KFC!$B$16+KFC!$C$16)*KFC!$C$5</f>
        <v>40.968303209388473</v>
      </c>
      <c r="H72" s="898">
        <f>(AE72*KFC!$B$16+KFC!$C$16)*KFC!$C$5</f>
        <v>44.55223325475513</v>
      </c>
      <c r="I72" s="898">
        <f>(AF72*KFC!$B$16+KFC!$C$16)*KFC!$C$5</f>
        <v>48.136163300121794</v>
      </c>
      <c r="J72" s="898">
        <f>(AG72*KFC!$B$16+KFC!$C$16)*KFC!$C$5</f>
        <v>51.720093345488458</v>
      </c>
      <c r="K72" s="898">
        <f>(AH72*KFC!$B$16+KFC!$C$16)*KFC!$C$5</f>
        <v>55.304023390855129</v>
      </c>
      <c r="L72" s="898">
        <f>(AI72*KFC!$B$16+KFC!$C$16)*KFC!$C$5</f>
        <v>58.887953436221792</v>
      </c>
      <c r="M72" s="898">
        <f>(AJ72*KFC!$B$16+KFC!$C$16)*KFC!$C$5</f>
        <v>62.471883481588456</v>
      </c>
      <c r="N72" s="898">
        <f>(AK72*KFC!$B$16+KFC!$C$16)*KFC!$C$5</f>
        <v>66.05581352695512</v>
      </c>
      <c r="O72" s="898">
        <f>(AL72*KFC!$B$16+KFC!$C$16)*KFC!$C$5</f>
        <v>69.639743572321777</v>
      </c>
      <c r="P72" s="898">
        <f>(AM72*KFC!$B$16+KFC!$C$16)*KFC!$C$5</f>
        <v>73.223673617688434</v>
      </c>
      <c r="Q72" s="898">
        <f>(AN72*KFC!$B$16+KFC!$C$16)*KFC!$C$5</f>
        <v>76.807603663055104</v>
      </c>
      <c r="R72" s="898">
        <f>(AO72*KFC!$B$16+KFC!$C$16)*KFC!$C$5</f>
        <v>80.391533708421747</v>
      </c>
      <c r="S72" s="898">
        <f>(AP72*KFC!$B$16+KFC!$C$16)*KFC!$C$5</f>
        <v>83.975463753788418</v>
      </c>
      <c r="T72" s="898">
        <f>(AQ72*KFC!$B$16+KFC!$C$16)*KFC!$C$5</f>
        <v>87.55939379915506</v>
      </c>
      <c r="U72" s="898">
        <f>(AR72*KFC!$B$16+KFC!$C$16)*KFC!$C$5</f>
        <v>91.143323844521731</v>
      </c>
      <c r="V72" s="898">
        <f>(AS72*KFC!$B$16+KFC!$C$16)*KFC!$C$5</f>
        <v>94.727253889888374</v>
      </c>
      <c r="W72" s="903">
        <f>(AT72*KFC!$B$16+KFC!$C$16)*KFC!$C$5</f>
        <v>98.311183935255059</v>
      </c>
      <c r="Y72" s="1277"/>
      <c r="Z72" s="649">
        <v>1.6</v>
      </c>
      <c r="AA72" s="882">
        <v>30.216513073288478</v>
      </c>
      <c r="AB72" s="882">
        <v>33.800443118655146</v>
      </c>
      <c r="AC72" s="882">
        <v>37.384373164021802</v>
      </c>
      <c r="AD72" s="882">
        <v>40.968303209388473</v>
      </c>
      <c r="AE72" s="882">
        <v>44.55223325475513</v>
      </c>
      <c r="AF72" s="882">
        <v>48.136163300121794</v>
      </c>
      <c r="AG72" s="882">
        <v>51.720093345488458</v>
      </c>
      <c r="AH72" s="882">
        <v>55.304023390855129</v>
      </c>
      <c r="AI72" s="882">
        <v>58.887953436221792</v>
      </c>
      <c r="AJ72" s="882">
        <v>62.471883481588456</v>
      </c>
      <c r="AK72" s="882">
        <v>66.05581352695512</v>
      </c>
      <c r="AL72" s="882">
        <v>69.639743572321777</v>
      </c>
      <c r="AM72" s="882">
        <v>73.223673617688434</v>
      </c>
      <c r="AN72" s="882">
        <v>76.807603663055104</v>
      </c>
      <c r="AO72" s="882">
        <v>80.391533708421747</v>
      </c>
      <c r="AP72" s="882">
        <v>83.975463753788418</v>
      </c>
      <c r="AQ72" s="882">
        <v>87.55939379915506</v>
      </c>
      <c r="AR72" s="882">
        <v>91.143323844521731</v>
      </c>
      <c r="AS72" s="882">
        <v>94.727253889888374</v>
      </c>
      <c r="AT72" s="882">
        <v>98.311183935255059</v>
      </c>
    </row>
    <row r="73" spans="1:46">
      <c r="A73" s="1426"/>
      <c r="B73" s="1427"/>
      <c r="C73" s="887">
        <v>1.7</v>
      </c>
      <c r="D73" s="902">
        <f>(AA73*KFC!$B$16+KFC!$C$16)*KFC!$C$5</f>
        <v>30.747861756011229</v>
      </c>
      <c r="E73" s="898">
        <f>(AB73*KFC!$B$16+KFC!$C$16)*KFC!$C$5</f>
        <v>34.456457659754584</v>
      </c>
      <c r="F73" s="898">
        <f>(AC73*KFC!$B$16+KFC!$C$16)*KFC!$C$5</f>
        <v>38.165053563497942</v>
      </c>
      <c r="G73" s="898">
        <f>(AD73*KFC!$B$16+KFC!$C$16)*KFC!$C$5</f>
        <v>41.8736494672413</v>
      </c>
      <c r="H73" s="898">
        <f>(AE73*KFC!$B$16+KFC!$C$16)*KFC!$C$5</f>
        <v>45.582245370984658</v>
      </c>
      <c r="I73" s="898">
        <f>(AF73*KFC!$B$16+KFC!$C$16)*KFC!$C$5</f>
        <v>49.290841274728024</v>
      </c>
      <c r="J73" s="898">
        <f>(AG73*KFC!$B$16+KFC!$C$16)*KFC!$C$5</f>
        <v>52.999437178471375</v>
      </c>
      <c r="K73" s="898">
        <f>(AH73*KFC!$B$16+KFC!$C$16)*KFC!$C$5</f>
        <v>56.708033082214726</v>
      </c>
      <c r="L73" s="898">
        <f>(AI73*KFC!$B$16+KFC!$C$16)*KFC!$C$5</f>
        <v>60.416628985958091</v>
      </c>
      <c r="M73" s="898">
        <f>(AJ73*KFC!$B$16+KFC!$C$16)*KFC!$C$5</f>
        <v>64.125224889701457</v>
      </c>
      <c r="N73" s="898">
        <f>(AK73*KFC!$B$16+KFC!$C$16)*KFC!$C$5</f>
        <v>67.833820793444815</v>
      </c>
      <c r="O73" s="898">
        <f>(AL73*KFC!$B$16+KFC!$C$16)*KFC!$C$5</f>
        <v>71.542416697188173</v>
      </c>
      <c r="P73" s="898">
        <f>(AM73*KFC!$B$16+KFC!$C$16)*KFC!$C$5</f>
        <v>75.251012600931531</v>
      </c>
      <c r="Q73" s="898">
        <f>(AN73*KFC!$B$16+KFC!$C$16)*KFC!$C$5</f>
        <v>78.959608504674904</v>
      </c>
      <c r="R73" s="898">
        <f>(AO73*KFC!$B$16+KFC!$C$16)*KFC!$C$5</f>
        <v>82.668204408418262</v>
      </c>
      <c r="S73" s="898">
        <f>(AP73*KFC!$B$16+KFC!$C$16)*KFC!$C$5</f>
        <v>86.37680031216162</v>
      </c>
      <c r="T73" s="898">
        <f>(AQ73*KFC!$B$16+KFC!$C$16)*KFC!$C$5</f>
        <v>90.085396215904993</v>
      </c>
      <c r="U73" s="898">
        <f>(AR73*KFC!$B$16+KFC!$C$16)*KFC!$C$5</f>
        <v>93.793992119648351</v>
      </c>
      <c r="V73" s="898">
        <f>(AS73*KFC!$B$16+KFC!$C$16)*KFC!$C$5</f>
        <v>97.502588023391723</v>
      </c>
      <c r="W73" s="903">
        <f>(AT73*KFC!$B$16+KFC!$C$16)*KFC!$C$5</f>
        <v>101.21118392713505</v>
      </c>
      <c r="Y73" s="1277"/>
      <c r="Z73" s="649">
        <v>1.7</v>
      </c>
      <c r="AA73" s="882">
        <v>30.747861756011229</v>
      </c>
      <c r="AB73" s="882">
        <v>34.456457659754584</v>
      </c>
      <c r="AC73" s="882">
        <v>38.165053563497942</v>
      </c>
      <c r="AD73" s="882">
        <v>41.8736494672413</v>
      </c>
      <c r="AE73" s="882">
        <v>45.582245370984658</v>
      </c>
      <c r="AF73" s="882">
        <v>49.290841274728024</v>
      </c>
      <c r="AG73" s="882">
        <v>52.999437178471375</v>
      </c>
      <c r="AH73" s="882">
        <v>56.708033082214726</v>
      </c>
      <c r="AI73" s="882">
        <v>60.416628985958091</v>
      </c>
      <c r="AJ73" s="882">
        <v>64.125224889701457</v>
      </c>
      <c r="AK73" s="882">
        <v>67.833820793444815</v>
      </c>
      <c r="AL73" s="882">
        <v>71.542416697188173</v>
      </c>
      <c r="AM73" s="882">
        <v>75.251012600931531</v>
      </c>
      <c r="AN73" s="882">
        <v>78.959608504674904</v>
      </c>
      <c r="AO73" s="882">
        <v>82.668204408418262</v>
      </c>
      <c r="AP73" s="882">
        <v>86.37680031216162</v>
      </c>
      <c r="AQ73" s="882">
        <v>90.085396215904993</v>
      </c>
      <c r="AR73" s="882">
        <v>93.793992119648351</v>
      </c>
      <c r="AS73" s="882">
        <v>97.502588023391723</v>
      </c>
      <c r="AT73" s="882">
        <v>101.21118392713505</v>
      </c>
    </row>
    <row r="74" spans="1:46">
      <c r="A74" s="1426"/>
      <c r="B74" s="1427"/>
      <c r="C74" s="887">
        <v>1.8</v>
      </c>
      <c r="D74" s="902">
        <f>(AA74*KFC!$B$16+KFC!$C$16)*KFC!$C$5</f>
        <v>31.279210438733976</v>
      </c>
      <c r="E74" s="898">
        <f>(AB74*KFC!$B$16+KFC!$C$16)*KFC!$C$5</f>
        <v>35.112472200854036</v>
      </c>
      <c r="F74" s="898">
        <f>(AC74*KFC!$B$16+KFC!$C$16)*KFC!$C$5</f>
        <v>38.945733962974096</v>
      </c>
      <c r="G74" s="898">
        <f>(AD74*KFC!$B$16+KFC!$C$16)*KFC!$C$5</f>
        <v>42.778995725094148</v>
      </c>
      <c r="H74" s="898">
        <f>(AE74*KFC!$B$16+KFC!$C$16)*KFC!$C$5</f>
        <v>46.612257487214208</v>
      </c>
      <c r="I74" s="898">
        <f>(AF74*KFC!$B$16+KFC!$C$16)*KFC!$C$5</f>
        <v>50.445519249334268</v>
      </c>
      <c r="J74" s="898">
        <f>(AG74*KFC!$B$16+KFC!$C$16)*KFC!$C$5</f>
        <v>54.278781011454313</v>
      </c>
      <c r="K74" s="898">
        <f>(AH74*KFC!$B$16+KFC!$C$16)*KFC!$C$5</f>
        <v>58.112042773574373</v>
      </c>
      <c r="L74" s="898">
        <f>(AI74*KFC!$B$16+KFC!$C$16)*KFC!$C$5</f>
        <v>61.945304535694433</v>
      </c>
      <c r="M74" s="898">
        <f>(AJ74*KFC!$B$16+KFC!$C$16)*KFC!$C$5</f>
        <v>65.778566297814493</v>
      </c>
      <c r="N74" s="898">
        <f>(AK74*KFC!$B$16+KFC!$C$16)*KFC!$C$5</f>
        <v>69.611828059934552</v>
      </c>
      <c r="O74" s="898">
        <f>(AL74*KFC!$B$16+KFC!$C$16)*KFC!$C$5</f>
        <v>73.445089822054612</v>
      </c>
      <c r="P74" s="898">
        <f>(AM74*KFC!$B$16+KFC!$C$16)*KFC!$C$5</f>
        <v>77.278351584174658</v>
      </c>
      <c r="Q74" s="898">
        <f>(AN74*KFC!$B$16+KFC!$C$16)*KFC!$C$5</f>
        <v>81.111613346294718</v>
      </c>
      <c r="R74" s="898">
        <f>(AO74*KFC!$B$16+KFC!$C$16)*KFC!$C$5</f>
        <v>84.944875108414777</v>
      </c>
      <c r="S74" s="898">
        <f>(AP74*KFC!$B$16+KFC!$C$16)*KFC!$C$5</f>
        <v>88.778136870534837</v>
      </c>
      <c r="T74" s="898">
        <f>(AQ74*KFC!$B$16+KFC!$C$16)*KFC!$C$5</f>
        <v>92.611398632654883</v>
      </c>
      <c r="U74" s="898">
        <f>(AR74*KFC!$B$16+KFC!$C$16)*KFC!$C$5</f>
        <v>96.444660394774942</v>
      </c>
      <c r="V74" s="898">
        <f>(AS74*KFC!$B$16+KFC!$C$16)*KFC!$C$5</f>
        <v>100.277922156895</v>
      </c>
      <c r="W74" s="903">
        <f>(AT74*KFC!$B$16+KFC!$C$16)*KFC!$C$5</f>
        <v>104.11118391901506</v>
      </c>
      <c r="Y74" s="1277"/>
      <c r="Z74" s="649">
        <v>1.8</v>
      </c>
      <c r="AA74" s="882">
        <v>31.279210438733976</v>
      </c>
      <c r="AB74" s="882">
        <v>35.112472200854036</v>
      </c>
      <c r="AC74" s="882">
        <v>38.945733962974096</v>
      </c>
      <c r="AD74" s="882">
        <v>42.778995725094148</v>
      </c>
      <c r="AE74" s="882">
        <v>46.612257487214208</v>
      </c>
      <c r="AF74" s="882">
        <v>50.445519249334268</v>
      </c>
      <c r="AG74" s="882">
        <v>54.278781011454313</v>
      </c>
      <c r="AH74" s="882">
        <v>58.112042773574373</v>
      </c>
      <c r="AI74" s="882">
        <v>61.945304535694433</v>
      </c>
      <c r="AJ74" s="882">
        <v>65.778566297814493</v>
      </c>
      <c r="AK74" s="882">
        <v>69.611828059934552</v>
      </c>
      <c r="AL74" s="882">
        <v>73.445089822054612</v>
      </c>
      <c r="AM74" s="882">
        <v>77.278351584174658</v>
      </c>
      <c r="AN74" s="882">
        <v>81.111613346294718</v>
      </c>
      <c r="AO74" s="882">
        <v>84.944875108414777</v>
      </c>
      <c r="AP74" s="882">
        <v>88.778136870534837</v>
      </c>
      <c r="AQ74" s="882">
        <v>92.611398632654883</v>
      </c>
      <c r="AR74" s="882">
        <v>96.444660394774942</v>
      </c>
      <c r="AS74" s="882">
        <v>100.277922156895</v>
      </c>
      <c r="AT74" s="882">
        <v>104.11118391901506</v>
      </c>
    </row>
    <row r="75" spans="1:46">
      <c r="A75" s="1426"/>
      <c r="B75" s="1427"/>
      <c r="C75" s="887">
        <v>1.9</v>
      </c>
      <c r="D75" s="902">
        <f>(AA75*KFC!$B$16+KFC!$C$16)*KFC!$C$5</f>
        <v>31.810559121456723</v>
      </c>
      <c r="E75" s="898">
        <f>(AB75*KFC!$B$16+KFC!$C$16)*KFC!$C$5</f>
        <v>35.768486741953481</v>
      </c>
      <c r="F75" s="898">
        <f>(AC75*KFC!$B$16+KFC!$C$16)*KFC!$C$5</f>
        <v>39.726414362450235</v>
      </c>
      <c r="G75" s="898">
        <f>(AD75*KFC!$B$16+KFC!$C$16)*KFC!$C$5</f>
        <v>43.684341982946997</v>
      </c>
      <c r="H75" s="898">
        <f>(AE75*KFC!$B$16+KFC!$C$16)*KFC!$C$5</f>
        <v>47.642269603443751</v>
      </c>
      <c r="I75" s="898">
        <f>(AF75*KFC!$B$16+KFC!$C$16)*KFC!$C$5</f>
        <v>51.600197223940505</v>
      </c>
      <c r="J75" s="898">
        <f>(AG75*KFC!$B$16+KFC!$C$16)*KFC!$C$5</f>
        <v>55.558124844437266</v>
      </c>
      <c r="K75" s="898">
        <f>(AH75*KFC!$B$16+KFC!$C$16)*KFC!$C$5</f>
        <v>59.51605246493402</v>
      </c>
      <c r="L75" s="898">
        <f>(AI75*KFC!$B$16+KFC!$C$16)*KFC!$C$5</f>
        <v>63.473980085430775</v>
      </c>
      <c r="M75" s="898">
        <f>(AJ75*KFC!$B$16+KFC!$C$16)*KFC!$C$5</f>
        <v>67.431907705927543</v>
      </c>
      <c r="N75" s="898">
        <f>(AK75*KFC!$B$16+KFC!$C$16)*KFC!$C$5</f>
        <v>71.38983532642429</v>
      </c>
      <c r="O75" s="898">
        <f>(AL75*KFC!$B$16+KFC!$C$16)*KFC!$C$5</f>
        <v>75.347762946921037</v>
      </c>
      <c r="P75" s="898">
        <f>(AM75*KFC!$B$16+KFC!$C$16)*KFC!$C$5</f>
        <v>79.305690567417798</v>
      </c>
      <c r="Q75" s="898">
        <f>(AN75*KFC!$B$16+KFC!$C$16)*KFC!$C$5</f>
        <v>83.263618187914545</v>
      </c>
      <c r="R75" s="898">
        <f>(AO75*KFC!$B$16+KFC!$C$16)*KFC!$C$5</f>
        <v>87.221545808411278</v>
      </c>
      <c r="S75" s="898">
        <f>(AP75*KFC!$B$16+KFC!$C$16)*KFC!$C$5</f>
        <v>91.17947342890804</v>
      </c>
      <c r="T75" s="898">
        <f>(AQ75*KFC!$B$16+KFC!$C$16)*KFC!$C$5</f>
        <v>95.137401049404787</v>
      </c>
      <c r="U75" s="898">
        <f>(AR75*KFC!$B$16+KFC!$C$16)*KFC!$C$5</f>
        <v>99.095328669901548</v>
      </c>
      <c r="V75" s="898">
        <f>(AS75*KFC!$B$16+KFC!$C$16)*KFC!$C$5</f>
        <v>103.05325629039829</v>
      </c>
      <c r="W75" s="903">
        <f>(AT75*KFC!$B$16+KFC!$C$16)*KFC!$C$5</f>
        <v>107.01118391089507</v>
      </c>
      <c r="Y75" s="1277"/>
      <c r="Z75" s="649">
        <v>1.9</v>
      </c>
      <c r="AA75" s="882">
        <v>31.810559121456723</v>
      </c>
      <c r="AB75" s="882">
        <v>35.768486741953481</v>
      </c>
      <c r="AC75" s="882">
        <v>39.726414362450235</v>
      </c>
      <c r="AD75" s="882">
        <v>43.684341982946997</v>
      </c>
      <c r="AE75" s="882">
        <v>47.642269603443751</v>
      </c>
      <c r="AF75" s="882">
        <v>51.600197223940505</v>
      </c>
      <c r="AG75" s="882">
        <v>55.558124844437266</v>
      </c>
      <c r="AH75" s="882">
        <v>59.51605246493402</v>
      </c>
      <c r="AI75" s="882">
        <v>63.473980085430775</v>
      </c>
      <c r="AJ75" s="882">
        <v>67.431907705927543</v>
      </c>
      <c r="AK75" s="882">
        <v>71.38983532642429</v>
      </c>
      <c r="AL75" s="882">
        <v>75.347762946921037</v>
      </c>
      <c r="AM75" s="882">
        <v>79.305690567417798</v>
      </c>
      <c r="AN75" s="882">
        <v>83.263618187914545</v>
      </c>
      <c r="AO75" s="882">
        <v>87.221545808411278</v>
      </c>
      <c r="AP75" s="882">
        <v>91.17947342890804</v>
      </c>
      <c r="AQ75" s="882">
        <v>95.137401049404787</v>
      </c>
      <c r="AR75" s="882">
        <v>99.095328669901548</v>
      </c>
      <c r="AS75" s="882">
        <v>103.05325629039829</v>
      </c>
      <c r="AT75" s="882">
        <v>107.01118391089507</v>
      </c>
    </row>
    <row r="76" spans="1:46">
      <c r="A76" s="1426"/>
      <c r="B76" s="1427"/>
      <c r="C76" s="887">
        <v>2</v>
      </c>
      <c r="D76" s="902">
        <f>(AA76*KFC!$B$16+KFC!$C$16)*KFC!$C$5</f>
        <v>32.341907804179471</v>
      </c>
      <c r="E76" s="898">
        <f>(AB76*KFC!$B$16+KFC!$C$16)*KFC!$C$5</f>
        <v>36.424501283052919</v>
      </c>
      <c r="F76" s="898">
        <f>(AC76*KFC!$B$16+KFC!$C$16)*KFC!$C$5</f>
        <v>40.507094761926368</v>
      </c>
      <c r="G76" s="898">
        <f>(AD76*KFC!$B$16+KFC!$C$16)*KFC!$C$5</f>
        <v>44.589688240799823</v>
      </c>
      <c r="H76" s="898">
        <f>(AE76*KFC!$B$16+KFC!$C$16)*KFC!$C$5</f>
        <v>48.672281719673272</v>
      </c>
      <c r="I76" s="898">
        <f>(AF76*KFC!$B$16+KFC!$C$16)*KFC!$C$5</f>
        <v>52.754875198546721</v>
      </c>
      <c r="J76" s="898">
        <f>(AG76*KFC!$B$16+KFC!$C$16)*KFC!$C$5</f>
        <v>56.837468677420169</v>
      </c>
      <c r="K76" s="898">
        <f>(AH76*KFC!$B$16+KFC!$C$16)*KFC!$C$5</f>
        <v>60.920062156293625</v>
      </c>
      <c r="L76" s="898">
        <f>(AI76*KFC!$B$16+KFC!$C$16)*KFC!$C$5</f>
        <v>65.002655635167073</v>
      </c>
      <c r="M76" s="898">
        <f>(AJ76*KFC!$B$16+KFC!$C$16)*KFC!$C$5</f>
        <v>69.085249114040522</v>
      </c>
      <c r="N76" s="898">
        <f>(AK76*KFC!$B$16+KFC!$C$16)*KFC!$C$5</f>
        <v>73.167842592913999</v>
      </c>
      <c r="O76" s="898">
        <f>(AL76*KFC!$B$16+KFC!$C$16)*KFC!$C$5</f>
        <v>77.250436071787448</v>
      </c>
      <c r="P76" s="898">
        <f>(AM76*KFC!$B$16+KFC!$C$16)*KFC!$C$5</f>
        <v>81.333029550660896</v>
      </c>
      <c r="Q76" s="898">
        <f>(AN76*KFC!$B$16+KFC!$C$16)*KFC!$C$5</f>
        <v>85.415623029534359</v>
      </c>
      <c r="R76" s="898">
        <f>(AO76*KFC!$B$16+KFC!$C$16)*KFC!$C$5</f>
        <v>89.498216508407808</v>
      </c>
      <c r="S76" s="898">
        <f>(AP76*KFC!$B$16+KFC!$C$16)*KFC!$C$5</f>
        <v>93.58080998728127</v>
      </c>
      <c r="T76" s="898">
        <f>(AQ76*KFC!$B$16+KFC!$C$16)*KFC!$C$5</f>
        <v>97.663403466154733</v>
      </c>
      <c r="U76" s="898">
        <f>(AR76*KFC!$B$16+KFC!$C$16)*KFC!$C$5</f>
        <v>101.7459969450282</v>
      </c>
      <c r="V76" s="898">
        <f>(AS76*KFC!$B$16+KFC!$C$16)*KFC!$C$5</f>
        <v>105.82859042390166</v>
      </c>
      <c r="W76" s="903">
        <f>(AT76*KFC!$B$16+KFC!$C$16)*KFC!$C$5</f>
        <v>109.91118390277506</v>
      </c>
      <c r="Y76" s="1277"/>
      <c r="Z76" s="649">
        <v>2</v>
      </c>
      <c r="AA76" s="882">
        <v>32.341907804179471</v>
      </c>
      <c r="AB76" s="882">
        <v>36.424501283052919</v>
      </c>
      <c r="AC76" s="882">
        <v>40.507094761926368</v>
      </c>
      <c r="AD76" s="882">
        <v>44.589688240799823</v>
      </c>
      <c r="AE76" s="882">
        <v>48.672281719673272</v>
      </c>
      <c r="AF76" s="882">
        <v>52.754875198546721</v>
      </c>
      <c r="AG76" s="882">
        <v>56.837468677420169</v>
      </c>
      <c r="AH76" s="882">
        <v>60.920062156293625</v>
      </c>
      <c r="AI76" s="882">
        <v>65.002655635167073</v>
      </c>
      <c r="AJ76" s="882">
        <v>69.085249114040522</v>
      </c>
      <c r="AK76" s="882">
        <v>73.167842592913999</v>
      </c>
      <c r="AL76" s="882">
        <v>77.250436071787448</v>
      </c>
      <c r="AM76" s="882">
        <v>81.333029550660896</v>
      </c>
      <c r="AN76" s="882">
        <v>85.415623029534359</v>
      </c>
      <c r="AO76" s="882">
        <v>89.498216508407808</v>
      </c>
      <c r="AP76" s="882">
        <v>93.58080998728127</v>
      </c>
      <c r="AQ76" s="882">
        <v>97.663403466154733</v>
      </c>
      <c r="AR76" s="882">
        <v>101.7459969450282</v>
      </c>
      <c r="AS76" s="882">
        <v>105.82859042390166</v>
      </c>
      <c r="AT76" s="882">
        <v>109.91118390277506</v>
      </c>
    </row>
    <row r="77" spans="1:46">
      <c r="A77" s="1426"/>
      <c r="B77" s="1427"/>
      <c r="C77" s="887">
        <v>2.1</v>
      </c>
      <c r="D77" s="902">
        <f>(AA77*KFC!$B$16+KFC!$C$16)*KFC!$C$5</f>
        <v>32.873256486902221</v>
      </c>
      <c r="E77" s="898">
        <f>(AB77*KFC!$B$16+KFC!$C$16)*KFC!$C$5</f>
        <v>37.080515824152371</v>
      </c>
      <c r="F77" s="898">
        <f>(AC77*KFC!$B$16+KFC!$C$16)*KFC!$C$5</f>
        <v>41.287775161402521</v>
      </c>
      <c r="G77" s="898">
        <f>(AD77*KFC!$B$16+KFC!$C$16)*KFC!$C$5</f>
        <v>45.495034498652679</v>
      </c>
      <c r="H77" s="898">
        <f>(AE77*KFC!$B$16+KFC!$C$16)*KFC!$C$5</f>
        <v>49.702293835902822</v>
      </c>
      <c r="I77" s="898">
        <f>(AF77*KFC!$B$16+KFC!$C$16)*KFC!$C$5</f>
        <v>53.909553173152972</v>
      </c>
      <c r="J77" s="898">
        <f>(AG77*KFC!$B$16+KFC!$C$16)*KFC!$C$5</f>
        <v>58.116812510403122</v>
      </c>
      <c r="K77" s="898">
        <f>(AH77*KFC!$B$16+KFC!$C$16)*KFC!$C$5</f>
        <v>62.324071847653279</v>
      </c>
      <c r="L77" s="898">
        <f>(AI77*KFC!$B$16+KFC!$C$16)*KFC!$C$5</f>
        <v>66.531331184903422</v>
      </c>
      <c r="M77" s="898">
        <f>(AJ77*KFC!$B$16+KFC!$C$16)*KFC!$C$5</f>
        <v>70.738590522153572</v>
      </c>
      <c r="N77" s="898">
        <f>(AK77*KFC!$B$16+KFC!$C$16)*KFC!$C$5</f>
        <v>74.945849859403722</v>
      </c>
      <c r="O77" s="898">
        <f>(AL77*KFC!$B$16+KFC!$C$16)*KFC!$C$5</f>
        <v>79.153109196653872</v>
      </c>
      <c r="P77" s="898">
        <f>(AM77*KFC!$B$16+KFC!$C$16)*KFC!$C$5</f>
        <v>83.360368533904037</v>
      </c>
      <c r="Q77" s="898">
        <f>(AN77*KFC!$B$16+KFC!$C$16)*KFC!$C$5</f>
        <v>87.567627871154173</v>
      </c>
      <c r="R77" s="898">
        <f>(AO77*KFC!$B$16+KFC!$C$16)*KFC!$C$5</f>
        <v>91.774887208404323</v>
      </c>
      <c r="S77" s="898">
        <f>(AP77*KFC!$B$16+KFC!$C$16)*KFC!$C$5</f>
        <v>95.982146545654487</v>
      </c>
      <c r="T77" s="898">
        <f>(AQ77*KFC!$B$16+KFC!$C$16)*KFC!$C$5</f>
        <v>100.18940588290464</v>
      </c>
      <c r="U77" s="898">
        <f>(AR77*KFC!$B$16+KFC!$C$16)*KFC!$C$5</f>
        <v>104.39666522015479</v>
      </c>
      <c r="V77" s="898">
        <f>(AS77*KFC!$B$16+KFC!$C$16)*KFC!$C$5</f>
        <v>108.60392455740492</v>
      </c>
      <c r="W77" s="903">
        <f>(AT77*KFC!$B$16+KFC!$C$16)*KFC!$C$5</f>
        <v>112.81118389465507</v>
      </c>
      <c r="Y77" s="1277"/>
      <c r="Z77" s="649">
        <v>2.1</v>
      </c>
      <c r="AA77" s="882">
        <v>32.873256486902221</v>
      </c>
      <c r="AB77" s="882">
        <v>37.080515824152371</v>
      </c>
      <c r="AC77" s="882">
        <v>41.287775161402521</v>
      </c>
      <c r="AD77" s="882">
        <v>45.495034498652679</v>
      </c>
      <c r="AE77" s="882">
        <v>49.702293835902822</v>
      </c>
      <c r="AF77" s="882">
        <v>53.909553173152972</v>
      </c>
      <c r="AG77" s="882">
        <v>58.116812510403122</v>
      </c>
      <c r="AH77" s="882">
        <v>62.324071847653279</v>
      </c>
      <c r="AI77" s="882">
        <v>66.531331184903422</v>
      </c>
      <c r="AJ77" s="882">
        <v>70.738590522153572</v>
      </c>
      <c r="AK77" s="882">
        <v>74.945849859403722</v>
      </c>
      <c r="AL77" s="882">
        <v>79.153109196653872</v>
      </c>
      <c r="AM77" s="882">
        <v>83.360368533904037</v>
      </c>
      <c r="AN77" s="882">
        <v>87.567627871154173</v>
      </c>
      <c r="AO77" s="882">
        <v>91.774887208404323</v>
      </c>
      <c r="AP77" s="882">
        <v>95.982146545654487</v>
      </c>
      <c r="AQ77" s="882">
        <v>100.18940588290464</v>
      </c>
      <c r="AR77" s="882">
        <v>104.39666522015479</v>
      </c>
      <c r="AS77" s="882">
        <v>108.60392455740492</v>
      </c>
      <c r="AT77" s="882">
        <v>112.81118389465507</v>
      </c>
    </row>
    <row r="78" spans="1:46" ht="15" thickBot="1">
      <c r="A78" s="1428"/>
      <c r="B78" s="1429"/>
      <c r="C78" s="888">
        <v>2.2000000000000002</v>
      </c>
      <c r="D78" s="904">
        <f>(AA78*KFC!$B$16+KFC!$C$16)*KFC!$C$5</f>
        <v>33.404605169624993</v>
      </c>
      <c r="E78" s="905">
        <f>(AB78*KFC!$B$16+KFC!$C$16)*KFC!$C$5</f>
        <v>37.736530365251845</v>
      </c>
      <c r="F78" s="905">
        <f>(AC78*KFC!$B$16+KFC!$C$16)*KFC!$C$5</f>
        <v>42.068455560878689</v>
      </c>
      <c r="G78" s="905">
        <f>(AD78*KFC!$B$16+KFC!$C$16)*KFC!$C$5</f>
        <v>46.400380756505527</v>
      </c>
      <c r="H78" s="905">
        <f>(AE78*KFC!$B$16+KFC!$C$16)*KFC!$C$5</f>
        <v>50.732305952132371</v>
      </c>
      <c r="I78" s="905">
        <f>(AF78*KFC!$B$16+KFC!$C$16)*KFC!$C$5</f>
        <v>55.064231147759216</v>
      </c>
      <c r="J78" s="905">
        <f>(AG78*KFC!$B$16+KFC!$C$16)*KFC!$C$5</f>
        <v>59.39615634338606</v>
      </c>
      <c r="K78" s="905">
        <f>(AH78*KFC!$B$16+KFC!$C$16)*KFC!$C$5</f>
        <v>63.728081539012898</v>
      </c>
      <c r="L78" s="905">
        <f>(AI78*KFC!$B$16+KFC!$C$16)*KFC!$C$5</f>
        <v>68.060006734639757</v>
      </c>
      <c r="M78" s="905">
        <f>(AJ78*KFC!$B$16+KFC!$C$16)*KFC!$C$5</f>
        <v>72.391931930266594</v>
      </c>
      <c r="N78" s="905">
        <f>(AK78*KFC!$B$16+KFC!$C$16)*KFC!$C$5</f>
        <v>76.723857125893431</v>
      </c>
      <c r="O78" s="905">
        <f>(AL78*KFC!$B$16+KFC!$C$16)*KFC!$C$5</f>
        <v>81.055782321520283</v>
      </c>
      <c r="P78" s="905">
        <f>(AM78*KFC!$B$16+KFC!$C$16)*KFC!$C$5</f>
        <v>85.387707517147135</v>
      </c>
      <c r="Q78" s="905">
        <f>(AN78*KFC!$B$16+KFC!$C$16)*KFC!$C$5</f>
        <v>89.719632712773972</v>
      </c>
      <c r="R78" s="905">
        <f>(AO78*KFC!$B$16+KFC!$C$16)*KFC!$C$5</f>
        <v>94.05155790840081</v>
      </c>
      <c r="S78" s="905">
        <f>(AP78*KFC!$B$16+KFC!$C$16)*KFC!$C$5</f>
        <v>98.383483104027661</v>
      </c>
      <c r="T78" s="905">
        <f>(AQ78*KFC!$B$16+KFC!$C$16)*KFC!$C$5</f>
        <v>102.7154082996545</v>
      </c>
      <c r="U78" s="905">
        <f>(AR78*KFC!$B$16+KFC!$C$16)*KFC!$C$5</f>
        <v>107.04733349528135</v>
      </c>
      <c r="V78" s="905">
        <f>(AS78*KFC!$B$16+KFC!$C$16)*KFC!$C$5</f>
        <v>111.37925869090819</v>
      </c>
      <c r="W78" s="906">
        <f>(AT78*KFC!$B$16+KFC!$C$16)*KFC!$C$5</f>
        <v>115.711183886535</v>
      </c>
      <c r="Y78" s="1277"/>
      <c r="Z78" s="649">
        <v>2.2000000000000002</v>
      </c>
      <c r="AA78" s="882">
        <v>33.404605169624993</v>
      </c>
      <c r="AB78" s="882">
        <v>37.736530365251845</v>
      </c>
      <c r="AC78" s="882">
        <v>42.068455560878689</v>
      </c>
      <c r="AD78" s="882">
        <v>46.400380756505527</v>
      </c>
      <c r="AE78" s="882">
        <v>50.732305952132371</v>
      </c>
      <c r="AF78" s="882">
        <v>55.064231147759216</v>
      </c>
      <c r="AG78" s="882">
        <v>59.39615634338606</v>
      </c>
      <c r="AH78" s="882">
        <v>63.728081539012898</v>
      </c>
      <c r="AI78" s="882">
        <v>68.060006734639757</v>
      </c>
      <c r="AJ78" s="882">
        <v>72.391931930266594</v>
      </c>
      <c r="AK78" s="882">
        <v>76.723857125893431</v>
      </c>
      <c r="AL78" s="882">
        <v>81.055782321520283</v>
      </c>
      <c r="AM78" s="882">
        <v>85.387707517147135</v>
      </c>
      <c r="AN78" s="882">
        <v>89.719632712773972</v>
      </c>
      <c r="AO78" s="882">
        <v>94.05155790840081</v>
      </c>
      <c r="AP78" s="882">
        <v>98.383483104027661</v>
      </c>
      <c r="AQ78" s="882">
        <v>102.7154082996545</v>
      </c>
      <c r="AR78" s="882">
        <v>107.04733349528135</v>
      </c>
      <c r="AS78" s="882">
        <v>111.37925869090819</v>
      </c>
      <c r="AT78" s="882">
        <v>115.711183886535</v>
      </c>
    </row>
    <row r="79" spans="1:46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</row>
    <row r="80" spans="1:46" ht="42.75" customHeight="1" thickBot="1">
      <c r="A80" s="1033" t="s">
        <v>1224</v>
      </c>
      <c r="B80" s="1033"/>
      <c r="C80" s="1033"/>
      <c r="D80" s="1033"/>
      <c r="E80" s="1033"/>
      <c r="F80" s="1033"/>
      <c r="G80" s="1033"/>
      <c r="H80" s="1033"/>
      <c r="I80" s="1033"/>
      <c r="J80" s="1033"/>
      <c r="K80" s="1033"/>
      <c r="L80" s="1033"/>
      <c r="M80" s="1033"/>
      <c r="N80" s="1033"/>
      <c r="O80" s="1033"/>
      <c r="P80" s="1033"/>
      <c r="Q80" s="1033"/>
      <c r="R80" s="1033"/>
      <c r="S80" s="1033"/>
      <c r="T80" s="1033"/>
      <c r="U80" s="1033"/>
      <c r="V80" s="1033"/>
      <c r="W80" s="1033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</row>
    <row r="81" spans="1:46" ht="42.75" customHeight="1" thickBot="1">
      <c r="A81" s="1439"/>
      <c r="B81" s="1440"/>
      <c r="C81" s="1441"/>
      <c r="D81" s="1419" t="s">
        <v>207</v>
      </c>
      <c r="E81" s="1420"/>
      <c r="F81" s="1420"/>
      <c r="G81" s="1420"/>
      <c r="H81" s="1420"/>
      <c r="I81" s="1420"/>
      <c r="J81" s="1420"/>
      <c r="K81" s="1420"/>
      <c r="L81" s="1420"/>
      <c r="M81" s="1420"/>
      <c r="N81" s="1420"/>
      <c r="O81" s="1420"/>
      <c r="P81" s="1420"/>
      <c r="Q81" s="1420"/>
      <c r="R81" s="1420"/>
      <c r="S81" s="1420"/>
      <c r="T81" s="1420"/>
      <c r="U81" s="1420"/>
      <c r="V81" s="1420"/>
      <c r="W81" s="1421"/>
      <c r="Y81" s="1278" t="s">
        <v>1198</v>
      </c>
      <c r="Z81" s="1278"/>
      <c r="AA81" s="1279" t="s">
        <v>356</v>
      </c>
      <c r="AB81" s="1279"/>
      <c r="AC81" s="1279"/>
      <c r="AD81" s="1279"/>
      <c r="AE81" s="1279"/>
      <c r="AF81" s="1279"/>
      <c r="AG81" s="1279"/>
      <c r="AH81" s="1279"/>
      <c r="AI81" s="1279"/>
      <c r="AJ81" s="1279"/>
      <c r="AK81" s="1279"/>
      <c r="AL81" s="1279"/>
      <c r="AM81" s="1279"/>
      <c r="AN81" s="1279"/>
      <c r="AO81" s="1279"/>
      <c r="AP81" s="1279"/>
      <c r="AQ81" s="1279"/>
      <c r="AR81" s="1279"/>
      <c r="AS81" s="1279"/>
      <c r="AT81" s="1279"/>
    </row>
    <row r="82" spans="1:46" ht="14.4" customHeight="1" thickBot="1">
      <c r="A82" s="1442"/>
      <c r="B82" s="1443"/>
      <c r="C82" s="1444"/>
      <c r="D82" s="883">
        <v>0.3</v>
      </c>
      <c r="E82" s="884">
        <v>0.4</v>
      </c>
      <c r="F82" s="884">
        <v>0.5</v>
      </c>
      <c r="G82" s="884">
        <v>0.6</v>
      </c>
      <c r="H82" s="884">
        <v>0.7</v>
      </c>
      <c r="I82" s="884">
        <v>0.8</v>
      </c>
      <c r="J82" s="884">
        <v>0.9</v>
      </c>
      <c r="K82" s="884">
        <v>1</v>
      </c>
      <c r="L82" s="884">
        <v>1.1000000000000001</v>
      </c>
      <c r="M82" s="884">
        <v>1.2</v>
      </c>
      <c r="N82" s="884">
        <v>1.3</v>
      </c>
      <c r="O82" s="884">
        <v>1.4</v>
      </c>
      <c r="P82" s="884">
        <v>1.5</v>
      </c>
      <c r="Q82" s="884">
        <v>1.6</v>
      </c>
      <c r="R82" s="884">
        <v>1.7</v>
      </c>
      <c r="S82" s="884">
        <v>1.8</v>
      </c>
      <c r="T82" s="884">
        <v>1.9</v>
      </c>
      <c r="U82" s="884">
        <v>2</v>
      </c>
      <c r="V82" s="884">
        <v>2.1</v>
      </c>
      <c r="W82" s="885">
        <v>2.2000000000000002</v>
      </c>
      <c r="Y82" s="1278"/>
      <c r="Z82" s="1278"/>
      <c r="AA82" s="649">
        <v>0.3</v>
      </c>
      <c r="AB82" s="649">
        <v>0.4</v>
      </c>
      <c r="AC82" s="649">
        <v>0.5</v>
      </c>
      <c r="AD82" s="649">
        <v>0.6</v>
      </c>
      <c r="AE82" s="649">
        <v>0.7</v>
      </c>
      <c r="AF82" s="649">
        <v>0.8</v>
      </c>
      <c r="AG82" s="649">
        <v>0.9</v>
      </c>
      <c r="AH82" s="649">
        <v>1</v>
      </c>
      <c r="AI82" s="649">
        <v>1.1000000000000001</v>
      </c>
      <c r="AJ82" s="649">
        <v>1.2</v>
      </c>
      <c r="AK82" s="649">
        <v>1.3</v>
      </c>
      <c r="AL82" s="649">
        <v>1.4</v>
      </c>
      <c r="AM82" s="649">
        <v>1.5</v>
      </c>
      <c r="AN82" s="649">
        <v>1.6</v>
      </c>
      <c r="AO82" s="649">
        <v>1.7</v>
      </c>
      <c r="AP82" s="649">
        <v>1.8</v>
      </c>
      <c r="AQ82" s="649">
        <v>1.9</v>
      </c>
      <c r="AR82" s="649">
        <v>2</v>
      </c>
      <c r="AS82" s="649">
        <v>2.1</v>
      </c>
      <c r="AT82" s="649">
        <v>2.2000000000000002</v>
      </c>
    </row>
    <row r="83" spans="1:46" ht="15" customHeight="1">
      <c r="A83" s="1426" t="s">
        <v>3</v>
      </c>
      <c r="B83" s="1427"/>
      <c r="C83" s="886">
        <v>0.2</v>
      </c>
      <c r="D83" s="899">
        <f>(AA83*KFC!$B$16+KFC!$C$16)*KFC!$C$5</f>
        <v>22.873026251744999</v>
      </c>
      <c r="E83" s="900">
        <f>(AB83*KFC!$B$16+KFC!$C$16)*KFC!$C$5</f>
        <v>24.747783864224211</v>
      </c>
      <c r="F83" s="900">
        <f>(AC83*KFC!$B$16+KFC!$C$16)*KFC!$C$5</f>
        <v>26.622541476703418</v>
      </c>
      <c r="G83" s="900">
        <f>(AD83*KFC!$B$16+KFC!$C$16)*KFC!$C$5</f>
        <v>28.497299089182626</v>
      </c>
      <c r="H83" s="900">
        <f>(AE83*KFC!$B$16+KFC!$C$16)*KFC!$C$5</f>
        <v>30.372056701661837</v>
      </c>
      <c r="I83" s="900">
        <f>(AF83*KFC!$B$16+KFC!$C$16)*KFC!$C$5</f>
        <v>32.246814314141048</v>
      </c>
      <c r="J83" s="900">
        <f>(AG83*KFC!$B$16+KFC!$C$16)*KFC!$C$5</f>
        <v>34.121571926620256</v>
      </c>
      <c r="K83" s="900">
        <f>(AH83*KFC!$B$16+KFC!$C$16)*KFC!$C$5</f>
        <v>35.996329539099463</v>
      </c>
      <c r="L83" s="900">
        <f>(AI83*KFC!$B$16+KFC!$C$16)*KFC!$C$5</f>
        <v>37.871087151578678</v>
      </c>
      <c r="M83" s="900">
        <f>(AJ83*KFC!$B$16+KFC!$C$16)*KFC!$C$5</f>
        <v>39.745844764057892</v>
      </c>
      <c r="N83" s="900">
        <f>(AK83*KFC!$B$16+KFC!$C$16)*KFC!$C$5</f>
        <v>41.620602376537107</v>
      </c>
      <c r="O83" s="900">
        <f>(AL83*KFC!$B$16+KFC!$C$16)*KFC!$C$5</f>
        <v>43.495359989016315</v>
      </c>
      <c r="P83" s="900">
        <f>(AM83*KFC!$B$16+KFC!$C$16)*KFC!$C$5</f>
        <v>45.370117601495529</v>
      </c>
      <c r="Q83" s="900">
        <f>(AN83*KFC!$B$16+KFC!$C$16)*KFC!$C$5</f>
        <v>47.244875213974744</v>
      </c>
      <c r="R83" s="900">
        <f>(AO83*KFC!$B$16+KFC!$C$16)*KFC!$C$5</f>
        <v>49.119632826453959</v>
      </c>
      <c r="S83" s="900">
        <f>(AP83*KFC!$B$16+KFC!$C$16)*KFC!$C$5</f>
        <v>50.994390438933173</v>
      </c>
      <c r="T83" s="900">
        <f>(AQ83*KFC!$B$16+KFC!$C$16)*KFC!$C$5</f>
        <v>52.869148051412381</v>
      </c>
      <c r="U83" s="900">
        <f>(AR83*KFC!$B$16+KFC!$C$16)*KFC!$C$5</f>
        <v>54.743905663891596</v>
      </c>
      <c r="V83" s="900">
        <f>(AS83*KFC!$B$16+KFC!$C$16)*KFC!$C$5</f>
        <v>56.618663276370803</v>
      </c>
      <c r="W83" s="901">
        <f>(AT83*KFC!$B$16+KFC!$C$16)*KFC!$C$5</f>
        <v>58.493420888849997</v>
      </c>
      <c r="Y83" s="1277" t="s">
        <v>357</v>
      </c>
      <c r="Z83" s="649">
        <v>0.2</v>
      </c>
      <c r="AA83" s="882">
        <v>22.873026251744999</v>
      </c>
      <c r="AB83" s="882">
        <v>24.747783864224211</v>
      </c>
      <c r="AC83" s="882">
        <v>26.622541476703418</v>
      </c>
      <c r="AD83" s="882">
        <v>28.497299089182626</v>
      </c>
      <c r="AE83" s="882">
        <v>30.372056701661837</v>
      </c>
      <c r="AF83" s="882">
        <v>32.246814314141048</v>
      </c>
      <c r="AG83" s="882">
        <v>34.121571926620256</v>
      </c>
      <c r="AH83" s="882">
        <v>35.996329539099463</v>
      </c>
      <c r="AI83" s="882">
        <v>37.871087151578678</v>
      </c>
      <c r="AJ83" s="882">
        <v>39.745844764057892</v>
      </c>
      <c r="AK83" s="882">
        <v>41.620602376537107</v>
      </c>
      <c r="AL83" s="882">
        <v>43.495359989016315</v>
      </c>
      <c r="AM83" s="882">
        <v>45.370117601495529</v>
      </c>
      <c r="AN83" s="882">
        <v>47.244875213974744</v>
      </c>
      <c r="AO83" s="882">
        <v>49.119632826453959</v>
      </c>
      <c r="AP83" s="882">
        <v>50.994390438933173</v>
      </c>
      <c r="AQ83" s="882">
        <v>52.869148051412381</v>
      </c>
      <c r="AR83" s="882">
        <v>54.743905663891596</v>
      </c>
      <c r="AS83" s="882">
        <v>56.618663276370803</v>
      </c>
      <c r="AT83" s="882">
        <v>58.493420888849997</v>
      </c>
    </row>
    <row r="84" spans="1:46" ht="14.4" customHeight="1">
      <c r="A84" s="1426"/>
      <c r="B84" s="1427"/>
      <c r="C84" s="887">
        <v>0.3</v>
      </c>
      <c r="D84" s="902">
        <f>(AA84*KFC!$B$16+KFC!$C$16)*KFC!$C$5</f>
        <v>23.458749934315502</v>
      </c>
      <c r="E84" s="898">
        <f>(AB84*KFC!$B$16+KFC!$C$16)*KFC!$C$5</f>
        <v>25.475846535315831</v>
      </c>
      <c r="F84" s="898">
        <f>(AC84*KFC!$B$16+KFC!$C$16)*KFC!$C$5</f>
        <v>27.492943136316157</v>
      </c>
      <c r="G84" s="898">
        <f>(AD84*KFC!$B$16+KFC!$C$16)*KFC!$C$5</f>
        <v>29.51003973731649</v>
      </c>
      <c r="H84" s="898">
        <f>(AE84*KFC!$B$16+KFC!$C$16)*KFC!$C$5</f>
        <v>31.527136338316815</v>
      </c>
      <c r="I84" s="898">
        <f>(AF84*KFC!$B$16+KFC!$C$16)*KFC!$C$5</f>
        <v>33.544232939317148</v>
      </c>
      <c r="J84" s="898">
        <f>(AG84*KFC!$B$16+KFC!$C$16)*KFC!$C$5</f>
        <v>35.561329540317473</v>
      </c>
      <c r="K84" s="898">
        <f>(AH84*KFC!$B$16+KFC!$C$16)*KFC!$C$5</f>
        <v>37.578426141317806</v>
      </c>
      <c r="L84" s="898">
        <f>(AI84*KFC!$B$16+KFC!$C$16)*KFC!$C$5</f>
        <v>39.595522742318131</v>
      </c>
      <c r="M84" s="898">
        <f>(AJ84*KFC!$B$16+KFC!$C$16)*KFC!$C$5</f>
        <v>41.612619343318457</v>
      </c>
      <c r="N84" s="898">
        <f>(AK84*KFC!$B$16+KFC!$C$16)*KFC!$C$5</f>
        <v>43.629715944318782</v>
      </c>
      <c r="O84" s="898">
        <f>(AL84*KFC!$B$16+KFC!$C$16)*KFC!$C$5</f>
        <v>45.646812545319101</v>
      </c>
      <c r="P84" s="898">
        <f>(AM84*KFC!$B$16+KFC!$C$16)*KFC!$C$5</f>
        <v>47.66390914631944</v>
      </c>
      <c r="Q84" s="898">
        <f>(AN84*KFC!$B$16+KFC!$C$16)*KFC!$C$5</f>
        <v>49.681005747319759</v>
      </c>
      <c r="R84" s="898">
        <f>(AO84*KFC!$B$16+KFC!$C$16)*KFC!$C$5</f>
        <v>51.698102348320084</v>
      </c>
      <c r="S84" s="898">
        <f>(AP84*KFC!$B$16+KFC!$C$16)*KFC!$C$5</f>
        <v>53.71519894932041</v>
      </c>
      <c r="T84" s="898">
        <f>(AQ84*KFC!$B$16+KFC!$C$16)*KFC!$C$5</f>
        <v>55.732295550320735</v>
      </c>
      <c r="U84" s="898">
        <f>(AR84*KFC!$B$16+KFC!$C$16)*KFC!$C$5</f>
        <v>57.749392151321068</v>
      </c>
      <c r="V84" s="898">
        <f>(AS84*KFC!$B$16+KFC!$C$16)*KFC!$C$5</f>
        <v>59.766488752321386</v>
      </c>
      <c r="W84" s="903">
        <f>(AT84*KFC!$B$16+KFC!$C$16)*KFC!$C$5</f>
        <v>61.78358535332174</v>
      </c>
      <c r="Y84" s="1277"/>
      <c r="Z84" s="649">
        <v>0.3</v>
      </c>
      <c r="AA84" s="882">
        <v>23.458749934315502</v>
      </c>
      <c r="AB84" s="882">
        <v>25.475846535315831</v>
      </c>
      <c r="AC84" s="882">
        <v>27.492943136316157</v>
      </c>
      <c r="AD84" s="882">
        <v>29.51003973731649</v>
      </c>
      <c r="AE84" s="882">
        <v>31.527136338316815</v>
      </c>
      <c r="AF84" s="882">
        <v>33.544232939317148</v>
      </c>
      <c r="AG84" s="882">
        <v>35.561329540317473</v>
      </c>
      <c r="AH84" s="882">
        <v>37.578426141317806</v>
      </c>
      <c r="AI84" s="882">
        <v>39.595522742318131</v>
      </c>
      <c r="AJ84" s="882">
        <v>41.612619343318457</v>
      </c>
      <c r="AK84" s="882">
        <v>43.629715944318782</v>
      </c>
      <c r="AL84" s="882">
        <v>45.646812545319101</v>
      </c>
      <c r="AM84" s="882">
        <v>47.66390914631944</v>
      </c>
      <c r="AN84" s="882">
        <v>49.681005747319759</v>
      </c>
      <c r="AO84" s="882">
        <v>51.698102348320084</v>
      </c>
      <c r="AP84" s="882">
        <v>53.71519894932041</v>
      </c>
      <c r="AQ84" s="882">
        <v>55.732295550320735</v>
      </c>
      <c r="AR84" s="882">
        <v>57.749392151321068</v>
      </c>
      <c r="AS84" s="882">
        <v>59.766488752321386</v>
      </c>
      <c r="AT84" s="882">
        <v>61.78358535332174</v>
      </c>
    </row>
    <row r="85" spans="1:46">
      <c r="A85" s="1426"/>
      <c r="B85" s="1427"/>
      <c r="C85" s="887">
        <v>0.4</v>
      </c>
      <c r="D85" s="902">
        <f>(AA85*KFC!$B$16+KFC!$C$16)*KFC!$C$5</f>
        <v>24.044473616886002</v>
      </c>
      <c r="E85" s="898">
        <f>(AB85*KFC!$B$16+KFC!$C$16)*KFC!$C$5</f>
        <v>26.203909206407445</v>
      </c>
      <c r="F85" s="898">
        <f>(AC85*KFC!$B$16+KFC!$C$16)*KFC!$C$5</f>
        <v>28.363344795928889</v>
      </c>
      <c r="G85" s="898">
        <f>(AD85*KFC!$B$16+KFC!$C$16)*KFC!$C$5</f>
        <v>30.522780385450339</v>
      </c>
      <c r="H85" s="898">
        <f>(AE85*KFC!$B$16+KFC!$C$16)*KFC!$C$5</f>
        <v>32.682215974971783</v>
      </c>
      <c r="I85" s="898">
        <f>(AF85*KFC!$B$16+KFC!$C$16)*KFC!$C$5</f>
        <v>34.841651564493233</v>
      </c>
      <c r="J85" s="898">
        <f>(AG85*KFC!$B$16+KFC!$C$16)*KFC!$C$5</f>
        <v>37.001087154014677</v>
      </c>
      <c r="K85" s="898">
        <f>(AH85*KFC!$B$16+KFC!$C$16)*KFC!$C$5</f>
        <v>39.16052274353612</v>
      </c>
      <c r="L85" s="898">
        <f>(AI85*KFC!$B$16+KFC!$C$16)*KFC!$C$5</f>
        <v>41.319958333057571</v>
      </c>
      <c r="M85" s="898">
        <f>(AJ85*KFC!$B$16+KFC!$C$16)*KFC!$C$5</f>
        <v>43.479393922579014</v>
      </c>
      <c r="N85" s="898">
        <f>(AK85*KFC!$B$16+KFC!$C$16)*KFC!$C$5</f>
        <v>45.638829512100457</v>
      </c>
      <c r="O85" s="898">
        <f>(AL85*KFC!$B$16+KFC!$C$16)*KFC!$C$5</f>
        <v>47.798265101621901</v>
      </c>
      <c r="P85" s="898">
        <f>(AM85*KFC!$B$16+KFC!$C$16)*KFC!$C$5</f>
        <v>49.957700691143351</v>
      </c>
      <c r="Q85" s="898">
        <f>(AN85*KFC!$B$16+KFC!$C$16)*KFC!$C$5</f>
        <v>52.117136280664795</v>
      </c>
      <c r="R85" s="898">
        <f>(AO85*KFC!$B$16+KFC!$C$16)*KFC!$C$5</f>
        <v>54.276571870186238</v>
      </c>
      <c r="S85" s="898">
        <f>(AP85*KFC!$B$16+KFC!$C$16)*KFC!$C$5</f>
        <v>56.436007459707682</v>
      </c>
      <c r="T85" s="898">
        <f>(AQ85*KFC!$B$16+KFC!$C$16)*KFC!$C$5</f>
        <v>58.595443049229132</v>
      </c>
      <c r="U85" s="898">
        <f>(AR85*KFC!$B$16+KFC!$C$16)*KFC!$C$5</f>
        <v>60.754878638750576</v>
      </c>
      <c r="V85" s="898">
        <f>(AS85*KFC!$B$16+KFC!$C$16)*KFC!$C$5</f>
        <v>62.914314228272019</v>
      </c>
      <c r="W85" s="903">
        <f>(AT85*KFC!$B$16+KFC!$C$16)*KFC!$C$5</f>
        <v>65.073749817793498</v>
      </c>
      <c r="Y85" s="1277"/>
      <c r="Z85" s="649">
        <v>0.4</v>
      </c>
      <c r="AA85" s="882">
        <v>24.044473616886002</v>
      </c>
      <c r="AB85" s="882">
        <v>26.203909206407445</v>
      </c>
      <c r="AC85" s="882">
        <v>28.363344795928889</v>
      </c>
      <c r="AD85" s="882">
        <v>30.522780385450339</v>
      </c>
      <c r="AE85" s="882">
        <v>32.682215974971783</v>
      </c>
      <c r="AF85" s="882">
        <v>34.841651564493233</v>
      </c>
      <c r="AG85" s="882">
        <v>37.001087154014677</v>
      </c>
      <c r="AH85" s="882">
        <v>39.16052274353612</v>
      </c>
      <c r="AI85" s="882">
        <v>41.319958333057571</v>
      </c>
      <c r="AJ85" s="882">
        <v>43.479393922579014</v>
      </c>
      <c r="AK85" s="882">
        <v>45.638829512100457</v>
      </c>
      <c r="AL85" s="882">
        <v>47.798265101621901</v>
      </c>
      <c r="AM85" s="882">
        <v>49.957700691143351</v>
      </c>
      <c r="AN85" s="882">
        <v>52.117136280664795</v>
      </c>
      <c r="AO85" s="882">
        <v>54.276571870186238</v>
      </c>
      <c r="AP85" s="882">
        <v>56.436007459707682</v>
      </c>
      <c r="AQ85" s="882">
        <v>58.595443049229132</v>
      </c>
      <c r="AR85" s="882">
        <v>60.754878638750576</v>
      </c>
      <c r="AS85" s="882">
        <v>62.914314228272019</v>
      </c>
      <c r="AT85" s="882">
        <v>65.073749817793498</v>
      </c>
    </row>
    <row r="86" spans="1:46">
      <c r="A86" s="1426"/>
      <c r="B86" s="1427"/>
      <c r="C86" s="887">
        <v>0.5</v>
      </c>
      <c r="D86" s="902">
        <f>(AA86*KFC!$B$16+KFC!$C$16)*KFC!$C$5</f>
        <v>24.630197299456501</v>
      </c>
      <c r="E86" s="898">
        <f>(AB86*KFC!$B$16+KFC!$C$16)*KFC!$C$5</f>
        <v>26.931971877499066</v>
      </c>
      <c r="F86" s="898">
        <f>(AC86*KFC!$B$16+KFC!$C$16)*KFC!$C$5</f>
        <v>29.233746455541631</v>
      </c>
      <c r="G86" s="898">
        <f>(AD86*KFC!$B$16+KFC!$C$16)*KFC!$C$5</f>
        <v>31.535521033584196</v>
      </c>
      <c r="H86" s="898">
        <f>(AE86*KFC!$B$16+KFC!$C$16)*KFC!$C$5</f>
        <v>33.837295611626764</v>
      </c>
      <c r="I86" s="898">
        <f>(AF86*KFC!$B$16+KFC!$C$16)*KFC!$C$5</f>
        <v>36.139070189669326</v>
      </c>
      <c r="J86" s="898">
        <f>(AG86*KFC!$B$16+KFC!$C$16)*KFC!$C$5</f>
        <v>38.440844767711894</v>
      </c>
      <c r="K86" s="898">
        <f>(AH86*KFC!$B$16+KFC!$C$16)*KFC!$C$5</f>
        <v>40.742619345754456</v>
      </c>
      <c r="L86" s="898">
        <f>(AI86*KFC!$B$16+KFC!$C$16)*KFC!$C$5</f>
        <v>43.044393923797031</v>
      </c>
      <c r="M86" s="898">
        <f>(AJ86*KFC!$B$16+KFC!$C$16)*KFC!$C$5</f>
        <v>45.346168501839593</v>
      </c>
      <c r="N86" s="898">
        <f>(AK86*KFC!$B$16+KFC!$C$16)*KFC!$C$5</f>
        <v>47.647943079882154</v>
      </c>
      <c r="O86" s="898">
        <f>(AL86*KFC!$B$16+KFC!$C$16)*KFC!$C$5</f>
        <v>49.949717657924722</v>
      </c>
      <c r="P86" s="898">
        <f>(AM86*KFC!$B$16+KFC!$C$16)*KFC!$C$5</f>
        <v>52.251492235967277</v>
      </c>
      <c r="Q86" s="898">
        <f>(AN86*KFC!$B$16+KFC!$C$16)*KFC!$C$5</f>
        <v>54.553266814009852</v>
      </c>
      <c r="R86" s="898">
        <f>(AO86*KFC!$B$16+KFC!$C$16)*KFC!$C$5</f>
        <v>56.855041392052421</v>
      </c>
      <c r="S86" s="898">
        <f>(AP86*KFC!$B$16+KFC!$C$16)*KFC!$C$5</f>
        <v>59.156815970094975</v>
      </c>
      <c r="T86" s="898">
        <f>(AQ86*KFC!$B$16+KFC!$C$16)*KFC!$C$5</f>
        <v>61.458590548137551</v>
      </c>
      <c r="U86" s="898">
        <f>(AR86*KFC!$B$16+KFC!$C$16)*KFC!$C$5</f>
        <v>63.760365126180112</v>
      </c>
      <c r="V86" s="898">
        <f>(AS86*KFC!$B$16+KFC!$C$16)*KFC!$C$5</f>
        <v>66.062139704222673</v>
      </c>
      <c r="W86" s="903">
        <f>(AT86*KFC!$B$16+KFC!$C$16)*KFC!$C$5</f>
        <v>68.363914282265242</v>
      </c>
      <c r="Y86" s="1277"/>
      <c r="Z86" s="649">
        <v>0.5</v>
      </c>
      <c r="AA86" s="882">
        <v>24.630197299456501</v>
      </c>
      <c r="AB86" s="882">
        <v>26.931971877499066</v>
      </c>
      <c r="AC86" s="882">
        <v>29.233746455541631</v>
      </c>
      <c r="AD86" s="882">
        <v>31.535521033584196</v>
      </c>
      <c r="AE86" s="882">
        <v>33.837295611626764</v>
      </c>
      <c r="AF86" s="882">
        <v>36.139070189669326</v>
      </c>
      <c r="AG86" s="882">
        <v>38.440844767711894</v>
      </c>
      <c r="AH86" s="882">
        <v>40.742619345754456</v>
      </c>
      <c r="AI86" s="882">
        <v>43.044393923797031</v>
      </c>
      <c r="AJ86" s="882">
        <v>45.346168501839593</v>
      </c>
      <c r="AK86" s="882">
        <v>47.647943079882154</v>
      </c>
      <c r="AL86" s="882">
        <v>49.949717657924722</v>
      </c>
      <c r="AM86" s="882">
        <v>52.251492235967277</v>
      </c>
      <c r="AN86" s="882">
        <v>54.553266814009852</v>
      </c>
      <c r="AO86" s="882">
        <v>56.855041392052421</v>
      </c>
      <c r="AP86" s="882">
        <v>59.156815970094975</v>
      </c>
      <c r="AQ86" s="882">
        <v>61.458590548137551</v>
      </c>
      <c r="AR86" s="882">
        <v>63.760365126180112</v>
      </c>
      <c r="AS86" s="882">
        <v>66.062139704222673</v>
      </c>
      <c r="AT86" s="882">
        <v>68.363914282265242</v>
      </c>
    </row>
    <row r="87" spans="1:46">
      <c r="A87" s="1426"/>
      <c r="B87" s="1427"/>
      <c r="C87" s="887">
        <v>0.6</v>
      </c>
      <c r="D87" s="902">
        <f>(AA87*KFC!$B$16+KFC!$C$16)*KFC!$C$5</f>
        <v>25.215920982027004</v>
      </c>
      <c r="E87" s="898">
        <f>(AB87*KFC!$B$16+KFC!$C$16)*KFC!$C$5</f>
        <v>27.660034548590684</v>
      </c>
      <c r="F87" s="898">
        <f>(AC87*KFC!$B$16+KFC!$C$16)*KFC!$C$5</f>
        <v>30.104148115154366</v>
      </c>
      <c r="G87" s="898">
        <f>(AD87*KFC!$B$16+KFC!$C$16)*KFC!$C$5</f>
        <v>32.548261681718046</v>
      </c>
      <c r="H87" s="898">
        <f>(AE87*KFC!$B$16+KFC!$C$16)*KFC!$C$5</f>
        <v>34.992375248281725</v>
      </c>
      <c r="I87" s="898">
        <f>(AF87*KFC!$B$16+KFC!$C$16)*KFC!$C$5</f>
        <v>37.436488814845418</v>
      </c>
      <c r="J87" s="898">
        <f>(AG87*KFC!$B$16+KFC!$C$16)*KFC!$C$5</f>
        <v>39.880602381409105</v>
      </c>
      <c r="K87" s="898">
        <f>(AH87*KFC!$B$16+KFC!$C$16)*KFC!$C$5</f>
        <v>42.324715947972784</v>
      </c>
      <c r="L87" s="898">
        <f>(AI87*KFC!$B$16+KFC!$C$16)*KFC!$C$5</f>
        <v>44.768829514536471</v>
      </c>
      <c r="M87" s="898">
        <f>(AJ87*KFC!$B$16+KFC!$C$16)*KFC!$C$5</f>
        <v>47.212943081100157</v>
      </c>
      <c r="N87" s="898">
        <f>(AK87*KFC!$B$16+KFC!$C$16)*KFC!$C$5</f>
        <v>49.65705664766385</v>
      </c>
      <c r="O87" s="898">
        <f>(AL87*KFC!$B$16+KFC!$C$16)*KFC!$C$5</f>
        <v>52.10117021422753</v>
      </c>
      <c r="P87" s="898">
        <f>(AM87*KFC!$B$16+KFC!$C$16)*KFC!$C$5</f>
        <v>54.545283780791209</v>
      </c>
      <c r="Q87" s="898">
        <f>(AN87*KFC!$B$16+KFC!$C$16)*KFC!$C$5</f>
        <v>56.989397347354895</v>
      </c>
      <c r="R87" s="898">
        <f>(AO87*KFC!$B$16+KFC!$C$16)*KFC!$C$5</f>
        <v>59.433510913918589</v>
      </c>
      <c r="S87" s="898">
        <f>(AP87*KFC!$B$16+KFC!$C$16)*KFC!$C$5</f>
        <v>61.877624480482268</v>
      </c>
      <c r="T87" s="898">
        <f>(AQ87*KFC!$B$16+KFC!$C$16)*KFC!$C$5</f>
        <v>64.321738047045955</v>
      </c>
      <c r="U87" s="898">
        <f>(AR87*KFC!$B$16+KFC!$C$16)*KFC!$C$5</f>
        <v>66.765851613609641</v>
      </c>
      <c r="V87" s="898">
        <f>(AS87*KFC!$B$16+KFC!$C$16)*KFC!$C$5</f>
        <v>69.209965180173313</v>
      </c>
      <c r="W87" s="903">
        <f>(AT87*KFC!$B$16+KFC!$C$16)*KFC!$C$5</f>
        <v>71.654078746736985</v>
      </c>
      <c r="Y87" s="1277"/>
      <c r="Z87" s="649">
        <v>0.6</v>
      </c>
      <c r="AA87" s="882">
        <v>25.215920982027004</v>
      </c>
      <c r="AB87" s="882">
        <v>27.660034548590684</v>
      </c>
      <c r="AC87" s="882">
        <v>30.104148115154366</v>
      </c>
      <c r="AD87" s="882">
        <v>32.548261681718046</v>
      </c>
      <c r="AE87" s="882">
        <v>34.992375248281725</v>
      </c>
      <c r="AF87" s="882">
        <v>37.436488814845418</v>
      </c>
      <c r="AG87" s="882">
        <v>39.880602381409105</v>
      </c>
      <c r="AH87" s="882">
        <v>42.324715947972784</v>
      </c>
      <c r="AI87" s="882">
        <v>44.768829514536471</v>
      </c>
      <c r="AJ87" s="882">
        <v>47.212943081100157</v>
      </c>
      <c r="AK87" s="882">
        <v>49.65705664766385</v>
      </c>
      <c r="AL87" s="882">
        <v>52.10117021422753</v>
      </c>
      <c r="AM87" s="882">
        <v>54.545283780791209</v>
      </c>
      <c r="AN87" s="882">
        <v>56.989397347354895</v>
      </c>
      <c r="AO87" s="882">
        <v>59.433510913918589</v>
      </c>
      <c r="AP87" s="882">
        <v>61.877624480482268</v>
      </c>
      <c r="AQ87" s="882">
        <v>64.321738047045955</v>
      </c>
      <c r="AR87" s="882">
        <v>66.765851613609641</v>
      </c>
      <c r="AS87" s="882">
        <v>69.209965180173313</v>
      </c>
      <c r="AT87" s="882">
        <v>71.654078746736985</v>
      </c>
    </row>
    <row r="88" spans="1:46">
      <c r="A88" s="1426"/>
      <c r="B88" s="1427"/>
      <c r="C88" s="887">
        <v>0.7</v>
      </c>
      <c r="D88" s="902">
        <f>(AA88*KFC!$B$16+KFC!$C$16)*KFC!$C$5</f>
        <v>25.801644664597504</v>
      </c>
      <c r="E88" s="898">
        <f>(AB88*KFC!$B$16+KFC!$C$16)*KFC!$C$5</f>
        <v>28.388097219682304</v>
      </c>
      <c r="F88" s="898">
        <f>(AC88*KFC!$B$16+KFC!$C$16)*KFC!$C$5</f>
        <v>30.974549774767109</v>
      </c>
      <c r="G88" s="898">
        <f>(AD88*KFC!$B$16+KFC!$C$16)*KFC!$C$5</f>
        <v>33.56100232985191</v>
      </c>
      <c r="H88" s="898">
        <f>(AE88*KFC!$B$16+KFC!$C$16)*KFC!$C$5</f>
        <v>36.147454884936707</v>
      </c>
      <c r="I88" s="898">
        <f>(AF88*KFC!$B$16+KFC!$C$16)*KFC!$C$5</f>
        <v>38.733907440021511</v>
      </c>
      <c r="J88" s="898">
        <f>(AG88*KFC!$B$16+KFC!$C$16)*KFC!$C$5</f>
        <v>41.320359995106323</v>
      </c>
      <c r="K88" s="898">
        <f>(AH88*KFC!$B$16+KFC!$C$16)*KFC!$C$5</f>
        <v>43.90681255019112</v>
      </c>
      <c r="L88" s="898">
        <f>(AI88*KFC!$B$16+KFC!$C$16)*KFC!$C$5</f>
        <v>46.493265105275924</v>
      </c>
      <c r="M88" s="898">
        <f>(AJ88*KFC!$B$16+KFC!$C$16)*KFC!$C$5</f>
        <v>49.079717660360735</v>
      </c>
      <c r="N88" s="898">
        <f>(AK88*KFC!$B$16+KFC!$C$16)*KFC!$C$5</f>
        <v>51.66617021544554</v>
      </c>
      <c r="O88" s="898">
        <f>(AL88*KFC!$B$16+KFC!$C$16)*KFC!$C$5</f>
        <v>54.252622770530337</v>
      </c>
      <c r="P88" s="898">
        <f>(AM88*KFC!$B$16+KFC!$C$16)*KFC!$C$5</f>
        <v>56.839075325615148</v>
      </c>
      <c r="Q88" s="898">
        <f>(AN88*KFC!$B$16+KFC!$C$16)*KFC!$C$5</f>
        <v>59.425527880699953</v>
      </c>
      <c r="R88" s="898">
        <f>(AO88*KFC!$B$16+KFC!$C$16)*KFC!$C$5</f>
        <v>62.011980435784764</v>
      </c>
      <c r="S88" s="898">
        <f>(AP88*KFC!$B$16+KFC!$C$16)*KFC!$C$5</f>
        <v>64.598432990869554</v>
      </c>
      <c r="T88" s="898">
        <f>(AQ88*KFC!$B$16+KFC!$C$16)*KFC!$C$5</f>
        <v>67.184885545954373</v>
      </c>
      <c r="U88" s="898">
        <f>(AR88*KFC!$B$16+KFC!$C$16)*KFC!$C$5</f>
        <v>69.771338101039177</v>
      </c>
      <c r="V88" s="898">
        <f>(AS88*KFC!$B$16+KFC!$C$16)*KFC!$C$5</f>
        <v>72.357790656123981</v>
      </c>
      <c r="W88" s="903">
        <f>(AT88*KFC!$B$16+KFC!$C$16)*KFC!$C$5</f>
        <v>74.944243211208729</v>
      </c>
      <c r="Y88" s="1277"/>
      <c r="Z88" s="649">
        <v>0.7</v>
      </c>
      <c r="AA88" s="882">
        <v>25.801644664597504</v>
      </c>
      <c r="AB88" s="882">
        <v>28.388097219682304</v>
      </c>
      <c r="AC88" s="882">
        <v>30.974549774767109</v>
      </c>
      <c r="AD88" s="882">
        <v>33.56100232985191</v>
      </c>
      <c r="AE88" s="882">
        <v>36.147454884936707</v>
      </c>
      <c r="AF88" s="882">
        <v>38.733907440021511</v>
      </c>
      <c r="AG88" s="882">
        <v>41.320359995106323</v>
      </c>
      <c r="AH88" s="882">
        <v>43.90681255019112</v>
      </c>
      <c r="AI88" s="882">
        <v>46.493265105275924</v>
      </c>
      <c r="AJ88" s="882">
        <v>49.079717660360735</v>
      </c>
      <c r="AK88" s="882">
        <v>51.66617021544554</v>
      </c>
      <c r="AL88" s="882">
        <v>54.252622770530337</v>
      </c>
      <c r="AM88" s="882">
        <v>56.839075325615148</v>
      </c>
      <c r="AN88" s="882">
        <v>59.425527880699953</v>
      </c>
      <c r="AO88" s="882">
        <v>62.011980435784764</v>
      </c>
      <c r="AP88" s="882">
        <v>64.598432990869554</v>
      </c>
      <c r="AQ88" s="882">
        <v>67.184885545954373</v>
      </c>
      <c r="AR88" s="882">
        <v>69.771338101039177</v>
      </c>
      <c r="AS88" s="882">
        <v>72.357790656123981</v>
      </c>
      <c r="AT88" s="882">
        <v>74.944243211208729</v>
      </c>
    </row>
    <row r="89" spans="1:46">
      <c r="A89" s="1426"/>
      <c r="B89" s="1427"/>
      <c r="C89" s="887">
        <v>0.8</v>
      </c>
      <c r="D89" s="902">
        <f>(AA89*KFC!$B$16+KFC!$C$16)*KFC!$C$5</f>
        <v>26.387368347168003</v>
      </c>
      <c r="E89" s="898">
        <f>(AB89*KFC!$B$16+KFC!$C$16)*KFC!$C$5</f>
        <v>29.116159890773922</v>
      </c>
      <c r="F89" s="898">
        <f>(AC89*KFC!$B$16+KFC!$C$16)*KFC!$C$5</f>
        <v>31.844951434379841</v>
      </c>
      <c r="G89" s="898">
        <f>(AD89*KFC!$B$16+KFC!$C$16)*KFC!$C$5</f>
        <v>34.573742977985759</v>
      </c>
      <c r="H89" s="898">
        <f>(AE89*KFC!$B$16+KFC!$C$16)*KFC!$C$5</f>
        <v>37.302534521591681</v>
      </c>
      <c r="I89" s="898">
        <f>(AF89*KFC!$B$16+KFC!$C$16)*KFC!$C$5</f>
        <v>40.031326065197597</v>
      </c>
      <c r="J89" s="898">
        <f>(AG89*KFC!$B$16+KFC!$C$16)*KFC!$C$5</f>
        <v>42.760117608803512</v>
      </c>
      <c r="K89" s="898">
        <f>(AH89*KFC!$B$16+KFC!$C$16)*KFC!$C$5</f>
        <v>45.488909152409434</v>
      </c>
      <c r="L89" s="898">
        <f>(AI89*KFC!$B$16+KFC!$C$16)*KFC!$C$5</f>
        <v>48.217700696015349</v>
      </c>
      <c r="M89" s="898">
        <f>(AJ89*KFC!$B$16+KFC!$C$16)*KFC!$C$5</f>
        <v>50.946492239621271</v>
      </c>
      <c r="N89" s="898">
        <f>(AK89*KFC!$B$16+KFC!$C$16)*KFC!$C$5</f>
        <v>53.675283783227187</v>
      </c>
      <c r="O89" s="898">
        <f>(AL89*KFC!$B$16+KFC!$C$16)*KFC!$C$5</f>
        <v>56.404075326833102</v>
      </c>
      <c r="P89" s="898">
        <f>(AM89*KFC!$B$16+KFC!$C$16)*KFC!$C$5</f>
        <v>59.132866870439024</v>
      </c>
      <c r="Q89" s="898">
        <f>(AN89*KFC!$B$16+KFC!$C$16)*KFC!$C$5</f>
        <v>61.861658414044946</v>
      </c>
      <c r="R89" s="898">
        <f>(AO89*KFC!$B$16+KFC!$C$16)*KFC!$C$5</f>
        <v>64.590449957650861</v>
      </c>
      <c r="S89" s="898">
        <f>(AP89*KFC!$B$16+KFC!$C$16)*KFC!$C$5</f>
        <v>67.319241501256784</v>
      </c>
      <c r="T89" s="898">
        <f>(AQ89*KFC!$B$16+KFC!$C$16)*KFC!$C$5</f>
        <v>70.048033044862692</v>
      </c>
      <c r="U89" s="898">
        <f>(AR89*KFC!$B$16+KFC!$C$16)*KFC!$C$5</f>
        <v>72.776824588468614</v>
      </c>
      <c r="V89" s="898">
        <f>(AS89*KFC!$B$16+KFC!$C$16)*KFC!$C$5</f>
        <v>75.505616132074536</v>
      </c>
      <c r="W89" s="903">
        <f>(AT89*KFC!$B$16+KFC!$C$16)*KFC!$C$5</f>
        <v>78.234407675680487</v>
      </c>
      <c r="Y89" s="1277"/>
      <c r="Z89" s="649">
        <v>0.8</v>
      </c>
      <c r="AA89" s="882">
        <v>26.387368347168003</v>
      </c>
      <c r="AB89" s="882">
        <v>29.116159890773922</v>
      </c>
      <c r="AC89" s="882">
        <v>31.844951434379841</v>
      </c>
      <c r="AD89" s="882">
        <v>34.573742977985759</v>
      </c>
      <c r="AE89" s="882">
        <v>37.302534521591681</v>
      </c>
      <c r="AF89" s="882">
        <v>40.031326065197597</v>
      </c>
      <c r="AG89" s="882">
        <v>42.760117608803512</v>
      </c>
      <c r="AH89" s="882">
        <v>45.488909152409434</v>
      </c>
      <c r="AI89" s="882">
        <v>48.217700696015349</v>
      </c>
      <c r="AJ89" s="882">
        <v>50.946492239621271</v>
      </c>
      <c r="AK89" s="882">
        <v>53.675283783227187</v>
      </c>
      <c r="AL89" s="882">
        <v>56.404075326833102</v>
      </c>
      <c r="AM89" s="882">
        <v>59.132866870439024</v>
      </c>
      <c r="AN89" s="882">
        <v>61.861658414044946</v>
      </c>
      <c r="AO89" s="882">
        <v>64.590449957650861</v>
      </c>
      <c r="AP89" s="882">
        <v>67.319241501256784</v>
      </c>
      <c r="AQ89" s="882">
        <v>70.048033044862692</v>
      </c>
      <c r="AR89" s="882">
        <v>72.776824588468614</v>
      </c>
      <c r="AS89" s="882">
        <v>75.505616132074536</v>
      </c>
      <c r="AT89" s="882">
        <v>78.234407675680487</v>
      </c>
    </row>
    <row r="90" spans="1:46">
      <c r="A90" s="1426"/>
      <c r="B90" s="1427"/>
      <c r="C90" s="887">
        <v>0.9</v>
      </c>
      <c r="D90" s="902">
        <f>(AA90*KFC!$B$16+KFC!$C$16)*KFC!$C$5</f>
        <v>26.973092029738506</v>
      </c>
      <c r="E90" s="898">
        <f>(AB90*KFC!$B$16+KFC!$C$16)*KFC!$C$5</f>
        <v>29.844222561865539</v>
      </c>
      <c r="F90" s="898">
        <f>(AC90*KFC!$B$16+KFC!$C$16)*KFC!$C$5</f>
        <v>32.715353093992576</v>
      </c>
      <c r="G90" s="898">
        <f>(AD90*KFC!$B$16+KFC!$C$16)*KFC!$C$5</f>
        <v>35.586483626119616</v>
      </c>
      <c r="H90" s="898">
        <f>(AE90*KFC!$B$16+KFC!$C$16)*KFC!$C$5</f>
        <v>38.457614158246649</v>
      </c>
      <c r="I90" s="898">
        <f>(AF90*KFC!$B$16+KFC!$C$16)*KFC!$C$5</f>
        <v>41.328744690373696</v>
      </c>
      <c r="J90" s="898">
        <f>(AG90*KFC!$B$16+KFC!$C$16)*KFC!$C$5</f>
        <v>44.199875222500729</v>
      </c>
      <c r="K90" s="898">
        <f>(AH90*KFC!$B$16+KFC!$C$16)*KFC!$C$5</f>
        <v>47.07100575462777</v>
      </c>
      <c r="L90" s="898">
        <f>(AI90*KFC!$B$16+KFC!$C$16)*KFC!$C$5</f>
        <v>49.942136286754803</v>
      </c>
      <c r="M90" s="898">
        <f>(AJ90*KFC!$B$16+KFC!$C$16)*KFC!$C$5</f>
        <v>52.81326681888185</v>
      </c>
      <c r="N90" s="898">
        <f>(AK90*KFC!$B$16+KFC!$C$16)*KFC!$C$5</f>
        <v>55.684397351008883</v>
      </c>
      <c r="O90" s="898">
        <f>(AL90*KFC!$B$16+KFC!$C$16)*KFC!$C$5</f>
        <v>58.555527883135916</v>
      </c>
      <c r="P90" s="898">
        <f>(AM90*KFC!$B$16+KFC!$C$16)*KFC!$C$5</f>
        <v>61.426658415262956</v>
      </c>
      <c r="Q90" s="898">
        <f>(AN90*KFC!$B$16+KFC!$C$16)*KFC!$C$5</f>
        <v>64.297788947390004</v>
      </c>
      <c r="R90" s="898">
        <f>(AO90*KFC!$B$16+KFC!$C$16)*KFC!$C$5</f>
        <v>67.168919479517029</v>
      </c>
      <c r="S90" s="898">
        <f>(AP90*KFC!$B$16+KFC!$C$16)*KFC!$C$5</f>
        <v>70.040050011644055</v>
      </c>
      <c r="T90" s="898">
        <f>(AQ90*KFC!$B$16+KFC!$C$16)*KFC!$C$5</f>
        <v>72.911180543771096</v>
      </c>
      <c r="U90" s="898">
        <f>(AR90*KFC!$B$16+KFC!$C$16)*KFC!$C$5</f>
        <v>75.782311075898122</v>
      </c>
      <c r="V90" s="898">
        <f>(AS90*KFC!$B$16+KFC!$C$16)*KFC!$C$5</f>
        <v>78.653441608025162</v>
      </c>
      <c r="W90" s="903">
        <f>(AT90*KFC!$B$16+KFC!$C$16)*KFC!$C$5</f>
        <v>81.52457214015223</v>
      </c>
      <c r="Y90" s="1277"/>
      <c r="Z90" s="649">
        <v>0.9</v>
      </c>
      <c r="AA90" s="882">
        <v>26.973092029738506</v>
      </c>
      <c r="AB90" s="882">
        <v>29.844222561865539</v>
      </c>
      <c r="AC90" s="882">
        <v>32.715353093992576</v>
      </c>
      <c r="AD90" s="882">
        <v>35.586483626119616</v>
      </c>
      <c r="AE90" s="882">
        <v>38.457614158246649</v>
      </c>
      <c r="AF90" s="882">
        <v>41.328744690373696</v>
      </c>
      <c r="AG90" s="882">
        <v>44.199875222500729</v>
      </c>
      <c r="AH90" s="882">
        <v>47.07100575462777</v>
      </c>
      <c r="AI90" s="882">
        <v>49.942136286754803</v>
      </c>
      <c r="AJ90" s="882">
        <v>52.81326681888185</v>
      </c>
      <c r="AK90" s="882">
        <v>55.684397351008883</v>
      </c>
      <c r="AL90" s="882">
        <v>58.555527883135916</v>
      </c>
      <c r="AM90" s="882">
        <v>61.426658415262956</v>
      </c>
      <c r="AN90" s="882">
        <v>64.297788947390004</v>
      </c>
      <c r="AO90" s="882">
        <v>67.168919479517029</v>
      </c>
      <c r="AP90" s="882">
        <v>70.040050011644055</v>
      </c>
      <c r="AQ90" s="882">
        <v>72.911180543771096</v>
      </c>
      <c r="AR90" s="882">
        <v>75.782311075898122</v>
      </c>
      <c r="AS90" s="882">
        <v>78.653441608025162</v>
      </c>
      <c r="AT90" s="882">
        <v>81.52457214015223</v>
      </c>
    </row>
    <row r="91" spans="1:46">
      <c r="A91" s="1426"/>
      <c r="B91" s="1427"/>
      <c r="C91" s="887">
        <v>1</v>
      </c>
      <c r="D91" s="902">
        <f>(AA91*KFC!$B$16+KFC!$C$16)*KFC!$C$5</f>
        <v>27.558815712309006</v>
      </c>
      <c r="E91" s="898">
        <f>(AB91*KFC!$B$16+KFC!$C$16)*KFC!$C$5</f>
        <v>30.572285232957164</v>
      </c>
      <c r="F91" s="898">
        <f>(AC91*KFC!$B$16+KFC!$C$16)*KFC!$C$5</f>
        <v>33.585754753605322</v>
      </c>
      <c r="G91" s="898">
        <f>(AD91*KFC!$B$16+KFC!$C$16)*KFC!$C$5</f>
        <v>36.59922427425348</v>
      </c>
      <c r="H91" s="898">
        <f>(AE91*KFC!$B$16+KFC!$C$16)*KFC!$C$5</f>
        <v>39.612693794901638</v>
      </c>
      <c r="I91" s="898">
        <f>(AF91*KFC!$B$16+KFC!$C$16)*KFC!$C$5</f>
        <v>42.626163315549789</v>
      </c>
      <c r="J91" s="898">
        <f>(AG91*KFC!$B$16+KFC!$C$16)*KFC!$C$5</f>
        <v>45.639632836197954</v>
      </c>
      <c r="K91" s="898">
        <f>(AH91*KFC!$B$16+KFC!$C$16)*KFC!$C$5</f>
        <v>48.653102356846112</v>
      </c>
      <c r="L91" s="898">
        <f>(AI91*KFC!$B$16+KFC!$C$16)*KFC!$C$5</f>
        <v>51.66657187749427</v>
      </c>
      <c r="M91" s="898">
        <f>(AJ91*KFC!$B$16+KFC!$C$16)*KFC!$C$5</f>
        <v>54.680041398142436</v>
      </c>
      <c r="N91" s="898">
        <f>(AK91*KFC!$B$16+KFC!$C$16)*KFC!$C$5</f>
        <v>57.693510918790587</v>
      </c>
      <c r="O91" s="898">
        <f>(AL91*KFC!$B$16+KFC!$C$16)*KFC!$C$5</f>
        <v>60.706980439438738</v>
      </c>
      <c r="P91" s="898">
        <f>(AM91*KFC!$B$16+KFC!$C$16)*KFC!$C$5</f>
        <v>63.720449960086896</v>
      </c>
      <c r="Q91" s="898">
        <f>(AN91*KFC!$B$16+KFC!$C$16)*KFC!$C$5</f>
        <v>66.733919480735054</v>
      </c>
      <c r="R91" s="898">
        <f>(AO91*KFC!$B$16+KFC!$C$16)*KFC!$C$5</f>
        <v>69.747389001383212</v>
      </c>
      <c r="S91" s="898">
        <f>(AP91*KFC!$B$16+KFC!$C$16)*KFC!$C$5</f>
        <v>72.76085852203137</v>
      </c>
      <c r="T91" s="898">
        <f>(AQ91*KFC!$B$16+KFC!$C$16)*KFC!$C$5</f>
        <v>75.774328042679528</v>
      </c>
      <c r="U91" s="898">
        <f>(AR91*KFC!$B$16+KFC!$C$16)*KFC!$C$5</f>
        <v>78.787797563327686</v>
      </c>
      <c r="V91" s="898">
        <f>(AS91*KFC!$B$16+KFC!$C$16)*KFC!$C$5</f>
        <v>81.801267083975844</v>
      </c>
      <c r="W91" s="903">
        <f>(AT91*KFC!$B$16+KFC!$C$16)*KFC!$C$5</f>
        <v>84.814736604623974</v>
      </c>
      <c r="Y91" s="1277"/>
      <c r="Z91" s="649">
        <v>1</v>
      </c>
      <c r="AA91" s="882">
        <v>27.558815712309006</v>
      </c>
      <c r="AB91" s="882">
        <v>30.572285232957164</v>
      </c>
      <c r="AC91" s="882">
        <v>33.585754753605322</v>
      </c>
      <c r="AD91" s="882">
        <v>36.59922427425348</v>
      </c>
      <c r="AE91" s="882">
        <v>39.612693794901638</v>
      </c>
      <c r="AF91" s="882">
        <v>42.626163315549789</v>
      </c>
      <c r="AG91" s="882">
        <v>45.639632836197954</v>
      </c>
      <c r="AH91" s="882">
        <v>48.653102356846112</v>
      </c>
      <c r="AI91" s="882">
        <v>51.66657187749427</v>
      </c>
      <c r="AJ91" s="882">
        <v>54.680041398142436</v>
      </c>
      <c r="AK91" s="882">
        <v>57.693510918790587</v>
      </c>
      <c r="AL91" s="882">
        <v>60.706980439438738</v>
      </c>
      <c r="AM91" s="882">
        <v>63.720449960086896</v>
      </c>
      <c r="AN91" s="882">
        <v>66.733919480735054</v>
      </c>
      <c r="AO91" s="882">
        <v>69.747389001383212</v>
      </c>
      <c r="AP91" s="882">
        <v>72.76085852203137</v>
      </c>
      <c r="AQ91" s="882">
        <v>75.774328042679528</v>
      </c>
      <c r="AR91" s="882">
        <v>78.787797563327686</v>
      </c>
      <c r="AS91" s="882">
        <v>81.801267083975844</v>
      </c>
      <c r="AT91" s="882">
        <v>84.814736604623974</v>
      </c>
    </row>
    <row r="92" spans="1:46">
      <c r="A92" s="1426"/>
      <c r="B92" s="1427"/>
      <c r="C92" s="887">
        <v>1.1000000000000001</v>
      </c>
      <c r="D92" s="902">
        <f>(AA92*KFC!$B$16+KFC!$C$16)*KFC!$C$5</f>
        <v>28.144539394879505</v>
      </c>
      <c r="E92" s="898">
        <f>(AB92*KFC!$B$16+KFC!$C$16)*KFC!$C$5</f>
        <v>31.300347904048781</v>
      </c>
      <c r="F92" s="898">
        <f>(AC92*KFC!$B$16+KFC!$C$16)*KFC!$C$5</f>
        <v>34.456156413218054</v>
      </c>
      <c r="G92" s="898">
        <f>(AD92*KFC!$B$16+KFC!$C$16)*KFC!$C$5</f>
        <v>37.61196492238733</v>
      </c>
      <c r="H92" s="898">
        <f>(AE92*KFC!$B$16+KFC!$C$16)*KFC!$C$5</f>
        <v>40.767773431556598</v>
      </c>
      <c r="I92" s="898">
        <f>(AF92*KFC!$B$16+KFC!$C$16)*KFC!$C$5</f>
        <v>43.923581940725867</v>
      </c>
      <c r="J92" s="898">
        <f>(AG92*KFC!$B$16+KFC!$C$16)*KFC!$C$5</f>
        <v>47.079390449895143</v>
      </c>
      <c r="K92" s="898">
        <f>(AH92*KFC!$B$16+KFC!$C$16)*KFC!$C$5</f>
        <v>50.235198959064412</v>
      </c>
      <c r="L92" s="898">
        <f>(AI92*KFC!$B$16+KFC!$C$16)*KFC!$C$5</f>
        <v>53.391007468233688</v>
      </c>
      <c r="M92" s="898">
        <f>(AJ92*KFC!$B$16+KFC!$C$16)*KFC!$C$5</f>
        <v>56.546815977402957</v>
      </c>
      <c r="N92" s="898">
        <f>(AK92*KFC!$B$16+KFC!$C$16)*KFC!$C$5</f>
        <v>59.702624486572233</v>
      </c>
      <c r="O92" s="898">
        <f>(AL92*KFC!$B$16+KFC!$C$16)*KFC!$C$5</f>
        <v>62.858432995741502</v>
      </c>
      <c r="P92" s="898">
        <f>(AM92*KFC!$B$16+KFC!$C$16)*KFC!$C$5</f>
        <v>66.014241504910771</v>
      </c>
      <c r="Q92" s="898">
        <f>(AN92*KFC!$B$16+KFC!$C$16)*KFC!$C$5</f>
        <v>69.170050014080047</v>
      </c>
      <c r="R92" s="898">
        <f>(AO92*KFC!$B$16+KFC!$C$16)*KFC!$C$5</f>
        <v>72.325858523249323</v>
      </c>
      <c r="S92" s="898">
        <f>(AP92*KFC!$B$16+KFC!$C$16)*KFC!$C$5</f>
        <v>75.481667032418585</v>
      </c>
      <c r="T92" s="898">
        <f>(AQ92*KFC!$B$16+KFC!$C$16)*KFC!$C$5</f>
        <v>78.637475541587861</v>
      </c>
      <c r="U92" s="898">
        <f>(AR92*KFC!$B$16+KFC!$C$16)*KFC!$C$5</f>
        <v>81.793284050757123</v>
      </c>
      <c r="V92" s="898">
        <f>(AS92*KFC!$B$16+KFC!$C$16)*KFC!$C$5</f>
        <v>84.949092559926399</v>
      </c>
      <c r="W92" s="903">
        <f>(AT92*KFC!$B$16+KFC!$C$16)*KFC!$C$5</f>
        <v>88.104901069095732</v>
      </c>
      <c r="Y92" s="1277"/>
      <c r="Z92" s="649">
        <v>1.1000000000000001</v>
      </c>
      <c r="AA92" s="882">
        <v>28.144539394879505</v>
      </c>
      <c r="AB92" s="882">
        <v>31.300347904048781</v>
      </c>
      <c r="AC92" s="882">
        <v>34.456156413218054</v>
      </c>
      <c r="AD92" s="882">
        <v>37.61196492238733</v>
      </c>
      <c r="AE92" s="882">
        <v>40.767773431556598</v>
      </c>
      <c r="AF92" s="882">
        <v>43.923581940725867</v>
      </c>
      <c r="AG92" s="882">
        <v>47.079390449895143</v>
      </c>
      <c r="AH92" s="882">
        <v>50.235198959064412</v>
      </c>
      <c r="AI92" s="882">
        <v>53.391007468233688</v>
      </c>
      <c r="AJ92" s="882">
        <v>56.546815977402957</v>
      </c>
      <c r="AK92" s="882">
        <v>59.702624486572233</v>
      </c>
      <c r="AL92" s="882">
        <v>62.858432995741502</v>
      </c>
      <c r="AM92" s="882">
        <v>66.014241504910771</v>
      </c>
      <c r="AN92" s="882">
        <v>69.170050014080047</v>
      </c>
      <c r="AO92" s="882">
        <v>72.325858523249323</v>
      </c>
      <c r="AP92" s="882">
        <v>75.481667032418585</v>
      </c>
      <c r="AQ92" s="882">
        <v>78.637475541587861</v>
      </c>
      <c r="AR92" s="882">
        <v>81.793284050757123</v>
      </c>
      <c r="AS92" s="882">
        <v>84.949092559926399</v>
      </c>
      <c r="AT92" s="882">
        <v>88.104901069095732</v>
      </c>
    </row>
    <row r="93" spans="1:46">
      <c r="A93" s="1426"/>
      <c r="B93" s="1427"/>
      <c r="C93" s="887">
        <v>1.2</v>
      </c>
      <c r="D93" s="902">
        <f>(AA93*KFC!$B$16+KFC!$C$16)*KFC!$C$5</f>
        <v>28.730263077450008</v>
      </c>
      <c r="E93" s="898">
        <f>(AB93*KFC!$B$16+KFC!$C$16)*KFC!$C$5</f>
        <v>32.028410575140398</v>
      </c>
      <c r="F93" s="898">
        <f>(AC93*KFC!$B$16+KFC!$C$16)*KFC!$C$5</f>
        <v>35.326558072830785</v>
      </c>
      <c r="G93" s="898">
        <f>(AD93*KFC!$B$16+KFC!$C$16)*KFC!$C$5</f>
        <v>38.624705570521179</v>
      </c>
      <c r="H93" s="898">
        <f>(AE93*KFC!$B$16+KFC!$C$16)*KFC!$C$5</f>
        <v>41.922853068211573</v>
      </c>
      <c r="I93" s="898">
        <f>(AF93*KFC!$B$16+KFC!$C$16)*KFC!$C$5</f>
        <v>45.22100056590196</v>
      </c>
      <c r="J93" s="898">
        <f>(AG93*KFC!$B$16+KFC!$C$16)*KFC!$C$5</f>
        <v>48.519148063592347</v>
      </c>
      <c r="K93" s="898">
        <f>(AH93*KFC!$B$16+KFC!$C$16)*KFC!$C$5</f>
        <v>51.817295561282748</v>
      </c>
      <c r="L93" s="898">
        <f>(AI93*KFC!$B$16+KFC!$C$16)*KFC!$C$5</f>
        <v>55.115443058973135</v>
      </c>
      <c r="M93" s="898">
        <f>(AJ93*KFC!$B$16+KFC!$C$16)*KFC!$C$5</f>
        <v>58.413590556663529</v>
      </c>
      <c r="N93" s="898">
        <f>(AK93*KFC!$B$16+KFC!$C$16)*KFC!$C$5</f>
        <v>61.711738054353916</v>
      </c>
      <c r="O93" s="898">
        <f>(AL93*KFC!$B$16+KFC!$C$16)*KFC!$C$5</f>
        <v>65.00988555204431</v>
      </c>
      <c r="P93" s="898">
        <f>(AM93*KFC!$B$16+KFC!$C$16)*KFC!$C$5</f>
        <v>68.308033049734703</v>
      </c>
      <c r="Q93" s="898">
        <f>(AN93*KFC!$B$16+KFC!$C$16)*KFC!$C$5</f>
        <v>71.606180547425097</v>
      </c>
      <c r="R93" s="898">
        <f>(AO93*KFC!$B$16+KFC!$C$16)*KFC!$C$5</f>
        <v>74.904328045115491</v>
      </c>
      <c r="S93" s="898">
        <f>(AP93*KFC!$B$16+KFC!$C$16)*KFC!$C$5</f>
        <v>78.202475542805885</v>
      </c>
      <c r="T93" s="898">
        <f>(AQ93*KFC!$B$16+KFC!$C$16)*KFC!$C$5</f>
        <v>81.500623040496293</v>
      </c>
      <c r="U93" s="898">
        <f>(AR93*KFC!$B$16+KFC!$C$16)*KFC!$C$5</f>
        <v>84.798770538186687</v>
      </c>
      <c r="V93" s="898">
        <f>(AS93*KFC!$B$16+KFC!$C$16)*KFC!$C$5</f>
        <v>88.096918035877096</v>
      </c>
      <c r="W93" s="903">
        <f>(AT93*KFC!$B$16+KFC!$C$16)*KFC!$C$5</f>
        <v>91.395065533567475</v>
      </c>
      <c r="Y93" s="1277"/>
      <c r="Z93" s="649">
        <v>1.2</v>
      </c>
      <c r="AA93" s="882">
        <v>28.730263077450008</v>
      </c>
      <c r="AB93" s="882">
        <v>32.028410575140398</v>
      </c>
      <c r="AC93" s="882">
        <v>35.326558072830785</v>
      </c>
      <c r="AD93" s="882">
        <v>38.624705570521179</v>
      </c>
      <c r="AE93" s="882">
        <v>41.922853068211573</v>
      </c>
      <c r="AF93" s="882">
        <v>45.22100056590196</v>
      </c>
      <c r="AG93" s="882">
        <v>48.519148063592347</v>
      </c>
      <c r="AH93" s="882">
        <v>51.817295561282748</v>
      </c>
      <c r="AI93" s="882">
        <v>55.115443058973135</v>
      </c>
      <c r="AJ93" s="882">
        <v>58.413590556663529</v>
      </c>
      <c r="AK93" s="882">
        <v>61.711738054353916</v>
      </c>
      <c r="AL93" s="882">
        <v>65.00988555204431</v>
      </c>
      <c r="AM93" s="882">
        <v>68.308033049734703</v>
      </c>
      <c r="AN93" s="882">
        <v>71.606180547425097</v>
      </c>
      <c r="AO93" s="882">
        <v>74.904328045115491</v>
      </c>
      <c r="AP93" s="882">
        <v>78.202475542805885</v>
      </c>
      <c r="AQ93" s="882">
        <v>81.500623040496293</v>
      </c>
      <c r="AR93" s="882">
        <v>84.798770538186687</v>
      </c>
      <c r="AS93" s="882">
        <v>88.096918035877096</v>
      </c>
      <c r="AT93" s="882">
        <v>91.395065533567475</v>
      </c>
    </row>
    <row r="94" spans="1:46">
      <c r="A94" s="1426"/>
      <c r="B94" s="1427"/>
      <c r="C94" s="887">
        <v>1.3</v>
      </c>
      <c r="D94" s="902">
        <f>(AA94*KFC!$B$16+KFC!$C$16)*KFC!$C$5</f>
        <v>29.315986760020508</v>
      </c>
      <c r="E94" s="898">
        <f>(AB94*KFC!$B$16+KFC!$C$16)*KFC!$C$5</f>
        <v>32.756473246232019</v>
      </c>
      <c r="F94" s="898">
        <f>(AC94*KFC!$B$16+KFC!$C$16)*KFC!$C$5</f>
        <v>36.196959732443531</v>
      </c>
      <c r="G94" s="898">
        <f>(AD94*KFC!$B$16+KFC!$C$16)*KFC!$C$5</f>
        <v>39.637446218655043</v>
      </c>
      <c r="H94" s="898">
        <f>(AE94*KFC!$B$16+KFC!$C$16)*KFC!$C$5</f>
        <v>43.077932704866555</v>
      </c>
      <c r="I94" s="898">
        <f>(AF94*KFC!$B$16+KFC!$C$16)*KFC!$C$5</f>
        <v>46.518419191078067</v>
      </c>
      <c r="J94" s="898">
        <f>(AG94*KFC!$B$16+KFC!$C$16)*KFC!$C$5</f>
        <v>49.958905677289572</v>
      </c>
      <c r="K94" s="898">
        <f>(AH94*KFC!$B$16+KFC!$C$16)*KFC!$C$5</f>
        <v>53.399392163501091</v>
      </c>
      <c r="L94" s="898">
        <f>(AI94*KFC!$B$16+KFC!$C$16)*KFC!$C$5</f>
        <v>56.839878649712603</v>
      </c>
      <c r="M94" s="898">
        <f>(AJ94*KFC!$B$16+KFC!$C$16)*KFC!$C$5</f>
        <v>60.280365135924114</v>
      </c>
      <c r="N94" s="898">
        <f>(AK94*KFC!$B$16+KFC!$C$16)*KFC!$C$5</f>
        <v>63.720851622135619</v>
      </c>
      <c r="O94" s="898">
        <f>(AL94*KFC!$B$16+KFC!$C$16)*KFC!$C$5</f>
        <v>67.161338108347124</v>
      </c>
      <c r="P94" s="898">
        <f>(AM94*KFC!$B$16+KFC!$C$16)*KFC!$C$5</f>
        <v>70.601824594558636</v>
      </c>
      <c r="Q94" s="898">
        <f>(AN94*KFC!$B$16+KFC!$C$16)*KFC!$C$5</f>
        <v>74.042311080770162</v>
      </c>
      <c r="R94" s="898">
        <f>(AO94*KFC!$B$16+KFC!$C$16)*KFC!$C$5</f>
        <v>77.482797566981674</v>
      </c>
      <c r="S94" s="898">
        <f>(AP94*KFC!$B$16+KFC!$C$16)*KFC!$C$5</f>
        <v>80.923284053193171</v>
      </c>
      <c r="T94" s="898">
        <f>(AQ94*KFC!$B$16+KFC!$C$16)*KFC!$C$5</f>
        <v>84.363770539404683</v>
      </c>
      <c r="U94" s="898">
        <f>(AR94*KFC!$B$16+KFC!$C$16)*KFC!$C$5</f>
        <v>87.804257025616195</v>
      </c>
      <c r="V94" s="898">
        <f>(AS94*KFC!$B$16+KFC!$C$16)*KFC!$C$5</f>
        <v>91.244743511827707</v>
      </c>
      <c r="W94" s="903">
        <f>(AT94*KFC!$B$16+KFC!$C$16)*KFC!$C$5</f>
        <v>94.685229998039219</v>
      </c>
      <c r="Y94" s="1277"/>
      <c r="Z94" s="649">
        <v>1.3</v>
      </c>
      <c r="AA94" s="882">
        <v>29.315986760020508</v>
      </c>
      <c r="AB94" s="882">
        <v>32.756473246232019</v>
      </c>
      <c r="AC94" s="882">
        <v>36.196959732443531</v>
      </c>
      <c r="AD94" s="882">
        <v>39.637446218655043</v>
      </c>
      <c r="AE94" s="882">
        <v>43.077932704866555</v>
      </c>
      <c r="AF94" s="882">
        <v>46.518419191078067</v>
      </c>
      <c r="AG94" s="882">
        <v>49.958905677289572</v>
      </c>
      <c r="AH94" s="882">
        <v>53.399392163501091</v>
      </c>
      <c r="AI94" s="882">
        <v>56.839878649712603</v>
      </c>
      <c r="AJ94" s="882">
        <v>60.280365135924114</v>
      </c>
      <c r="AK94" s="882">
        <v>63.720851622135619</v>
      </c>
      <c r="AL94" s="882">
        <v>67.161338108347124</v>
      </c>
      <c r="AM94" s="882">
        <v>70.601824594558636</v>
      </c>
      <c r="AN94" s="882">
        <v>74.042311080770162</v>
      </c>
      <c r="AO94" s="882">
        <v>77.482797566981674</v>
      </c>
      <c r="AP94" s="882">
        <v>80.923284053193171</v>
      </c>
      <c r="AQ94" s="882">
        <v>84.363770539404683</v>
      </c>
      <c r="AR94" s="882">
        <v>87.804257025616195</v>
      </c>
      <c r="AS94" s="882">
        <v>91.244743511827707</v>
      </c>
      <c r="AT94" s="882">
        <v>94.685229998039219</v>
      </c>
    </row>
    <row r="95" spans="1:46">
      <c r="A95" s="1426"/>
      <c r="B95" s="1427"/>
      <c r="C95" s="887">
        <v>1.4</v>
      </c>
      <c r="D95" s="902">
        <f>(AA95*KFC!$B$16+KFC!$C$16)*KFC!$C$5</f>
        <v>29.901710442591007</v>
      </c>
      <c r="E95" s="898">
        <f>(AB95*KFC!$B$16+KFC!$C$16)*KFC!$C$5</f>
        <v>33.48453591732364</v>
      </c>
      <c r="F95" s="898">
        <f>(AC95*KFC!$B$16+KFC!$C$16)*KFC!$C$5</f>
        <v>37.06736139205627</v>
      </c>
      <c r="G95" s="898">
        <f>(AD95*KFC!$B$16+KFC!$C$16)*KFC!$C$5</f>
        <v>40.6501868667889</v>
      </c>
      <c r="H95" s="898">
        <f>(AE95*KFC!$B$16+KFC!$C$16)*KFC!$C$5</f>
        <v>44.23301234152153</v>
      </c>
      <c r="I95" s="898">
        <f>(AF95*KFC!$B$16+KFC!$C$16)*KFC!$C$5</f>
        <v>47.815837816254167</v>
      </c>
      <c r="J95" s="898">
        <f>(AG95*KFC!$B$16+KFC!$C$16)*KFC!$C$5</f>
        <v>51.398663290986796</v>
      </c>
      <c r="K95" s="898">
        <f>(AH95*KFC!$B$16+KFC!$C$16)*KFC!$C$5</f>
        <v>54.981488765719426</v>
      </c>
      <c r="L95" s="898">
        <f>(AI95*KFC!$B$16+KFC!$C$16)*KFC!$C$5</f>
        <v>58.564314240452063</v>
      </c>
      <c r="M95" s="898">
        <f>(AJ95*KFC!$B$16+KFC!$C$16)*KFC!$C$5</f>
        <v>62.147139715184686</v>
      </c>
      <c r="N95" s="898">
        <f>(AK95*KFC!$B$16+KFC!$C$16)*KFC!$C$5</f>
        <v>65.729965189917309</v>
      </c>
      <c r="O95" s="898">
        <f>(AL95*KFC!$B$16+KFC!$C$16)*KFC!$C$5</f>
        <v>69.312790664649953</v>
      </c>
      <c r="P95" s="898">
        <f>(AM95*KFC!$B$16+KFC!$C$16)*KFC!$C$5</f>
        <v>72.895616139382568</v>
      </c>
      <c r="Q95" s="898">
        <f>(AN95*KFC!$B$16+KFC!$C$16)*KFC!$C$5</f>
        <v>76.478441614115198</v>
      </c>
      <c r="R95" s="898">
        <f>(AO95*KFC!$B$16+KFC!$C$16)*KFC!$C$5</f>
        <v>80.061267088847814</v>
      </c>
      <c r="S95" s="898">
        <f>(AP95*KFC!$B$16+KFC!$C$16)*KFC!$C$5</f>
        <v>83.644092563580443</v>
      </c>
      <c r="T95" s="898">
        <f>(AQ95*KFC!$B$16+KFC!$C$16)*KFC!$C$5</f>
        <v>87.226918038313073</v>
      </c>
      <c r="U95" s="898">
        <f>(AR95*KFC!$B$16+KFC!$C$16)*KFC!$C$5</f>
        <v>90.809743513045703</v>
      </c>
      <c r="V95" s="898">
        <f>(AS95*KFC!$B$16+KFC!$C$16)*KFC!$C$5</f>
        <v>94.392568987778319</v>
      </c>
      <c r="W95" s="903">
        <f>(AT95*KFC!$B$16+KFC!$C$16)*KFC!$C$5</f>
        <v>97.975394462510963</v>
      </c>
      <c r="Y95" s="1277"/>
      <c r="Z95" s="649">
        <v>1.4</v>
      </c>
      <c r="AA95" s="882">
        <v>29.901710442591007</v>
      </c>
      <c r="AB95" s="882">
        <v>33.48453591732364</v>
      </c>
      <c r="AC95" s="882">
        <v>37.06736139205627</v>
      </c>
      <c r="AD95" s="882">
        <v>40.6501868667889</v>
      </c>
      <c r="AE95" s="882">
        <v>44.23301234152153</v>
      </c>
      <c r="AF95" s="882">
        <v>47.815837816254167</v>
      </c>
      <c r="AG95" s="882">
        <v>51.398663290986796</v>
      </c>
      <c r="AH95" s="882">
        <v>54.981488765719426</v>
      </c>
      <c r="AI95" s="882">
        <v>58.564314240452063</v>
      </c>
      <c r="AJ95" s="882">
        <v>62.147139715184686</v>
      </c>
      <c r="AK95" s="882">
        <v>65.729965189917309</v>
      </c>
      <c r="AL95" s="882">
        <v>69.312790664649953</v>
      </c>
      <c r="AM95" s="882">
        <v>72.895616139382568</v>
      </c>
      <c r="AN95" s="882">
        <v>76.478441614115198</v>
      </c>
      <c r="AO95" s="882">
        <v>80.061267088847814</v>
      </c>
      <c r="AP95" s="882">
        <v>83.644092563580443</v>
      </c>
      <c r="AQ95" s="882">
        <v>87.226918038313073</v>
      </c>
      <c r="AR95" s="882">
        <v>90.809743513045703</v>
      </c>
      <c r="AS95" s="882">
        <v>94.392568987778319</v>
      </c>
      <c r="AT95" s="882">
        <v>97.975394462510963</v>
      </c>
    </row>
    <row r="96" spans="1:46">
      <c r="A96" s="1426"/>
      <c r="B96" s="1427"/>
      <c r="C96" s="887">
        <v>1.5</v>
      </c>
      <c r="D96" s="902">
        <f>(AA96*KFC!$B$16+KFC!$C$16)*KFC!$C$5</f>
        <v>30.48743412516151</v>
      </c>
      <c r="E96" s="898">
        <f>(AB96*KFC!$B$16+KFC!$C$16)*KFC!$C$5</f>
        <v>34.212598588415254</v>
      </c>
      <c r="F96" s="898">
        <f>(AC96*KFC!$B$16+KFC!$C$16)*KFC!$C$5</f>
        <v>37.937763051669009</v>
      </c>
      <c r="G96" s="898">
        <f>(AD96*KFC!$B$16+KFC!$C$16)*KFC!$C$5</f>
        <v>41.662927514922757</v>
      </c>
      <c r="H96" s="898">
        <f>(AE96*KFC!$B$16+KFC!$C$16)*KFC!$C$5</f>
        <v>45.388091978176512</v>
      </c>
      <c r="I96" s="898">
        <f>(AF96*KFC!$B$16+KFC!$C$16)*KFC!$C$5</f>
        <v>49.113256441430259</v>
      </c>
      <c r="J96" s="898">
        <f>(AG96*KFC!$B$16+KFC!$C$16)*KFC!$C$5</f>
        <v>52.838420904684007</v>
      </c>
      <c r="K96" s="898">
        <f>(AH96*KFC!$B$16+KFC!$C$16)*KFC!$C$5</f>
        <v>56.563585367937762</v>
      </c>
      <c r="L96" s="898">
        <f>(AI96*KFC!$B$16+KFC!$C$16)*KFC!$C$5</f>
        <v>60.28874983119151</v>
      </c>
      <c r="M96" s="898">
        <f>(AJ96*KFC!$B$16+KFC!$C$16)*KFC!$C$5</f>
        <v>64.013914294445257</v>
      </c>
      <c r="N96" s="898">
        <f>(AK96*KFC!$B$16+KFC!$C$16)*KFC!$C$5</f>
        <v>67.739078757699005</v>
      </c>
      <c r="O96" s="898">
        <f>(AL96*KFC!$B$16+KFC!$C$16)*KFC!$C$5</f>
        <v>71.464243220952753</v>
      </c>
      <c r="P96" s="898">
        <f>(AM96*KFC!$B$16+KFC!$C$16)*KFC!$C$5</f>
        <v>75.189407684206515</v>
      </c>
      <c r="Q96" s="898">
        <f>(AN96*KFC!$B$16+KFC!$C$16)*KFC!$C$5</f>
        <v>78.914572147460262</v>
      </c>
      <c r="R96" s="898">
        <f>(AO96*KFC!$B$16+KFC!$C$16)*KFC!$C$5</f>
        <v>82.639736610714024</v>
      </c>
      <c r="S96" s="898">
        <f>(AP96*KFC!$B$16+KFC!$C$16)*KFC!$C$5</f>
        <v>86.364901073967772</v>
      </c>
      <c r="T96" s="898">
        <f>(AQ96*KFC!$B$16+KFC!$C$16)*KFC!$C$5</f>
        <v>90.09006553722152</v>
      </c>
      <c r="U96" s="898">
        <f>(AR96*KFC!$B$16+KFC!$C$16)*KFC!$C$5</f>
        <v>93.815230000475268</v>
      </c>
      <c r="V96" s="898">
        <f>(AS96*KFC!$B$16+KFC!$C$16)*KFC!$C$5</f>
        <v>97.540394463729015</v>
      </c>
      <c r="W96" s="903">
        <f>(AT96*KFC!$B$16+KFC!$C$16)*KFC!$C$5</f>
        <v>101.26555892698271</v>
      </c>
      <c r="Y96" s="1277"/>
      <c r="Z96" s="649">
        <v>1.5</v>
      </c>
      <c r="AA96" s="882">
        <v>30.48743412516151</v>
      </c>
      <c r="AB96" s="882">
        <v>34.212598588415254</v>
      </c>
      <c r="AC96" s="882">
        <v>37.937763051669009</v>
      </c>
      <c r="AD96" s="882">
        <v>41.662927514922757</v>
      </c>
      <c r="AE96" s="882">
        <v>45.388091978176512</v>
      </c>
      <c r="AF96" s="882">
        <v>49.113256441430259</v>
      </c>
      <c r="AG96" s="882">
        <v>52.838420904684007</v>
      </c>
      <c r="AH96" s="882">
        <v>56.563585367937762</v>
      </c>
      <c r="AI96" s="882">
        <v>60.28874983119151</v>
      </c>
      <c r="AJ96" s="882">
        <v>64.013914294445257</v>
      </c>
      <c r="AK96" s="882">
        <v>67.739078757699005</v>
      </c>
      <c r="AL96" s="882">
        <v>71.464243220952753</v>
      </c>
      <c r="AM96" s="882">
        <v>75.189407684206515</v>
      </c>
      <c r="AN96" s="882">
        <v>78.914572147460262</v>
      </c>
      <c r="AO96" s="882">
        <v>82.639736610714024</v>
      </c>
      <c r="AP96" s="882">
        <v>86.364901073967772</v>
      </c>
      <c r="AQ96" s="882">
        <v>90.09006553722152</v>
      </c>
      <c r="AR96" s="882">
        <v>93.815230000475268</v>
      </c>
      <c r="AS96" s="882">
        <v>97.540394463729015</v>
      </c>
      <c r="AT96" s="882">
        <v>101.26555892698271</v>
      </c>
    </row>
    <row r="97" spans="1:46">
      <c r="A97" s="1426"/>
      <c r="B97" s="1427"/>
      <c r="C97" s="887">
        <v>1.6</v>
      </c>
      <c r="D97" s="902">
        <f>(AA97*KFC!$B$16+KFC!$C$16)*KFC!$C$5</f>
        <v>31.073157807732009</v>
      </c>
      <c r="E97" s="898">
        <f>(AB97*KFC!$B$16+KFC!$C$16)*KFC!$C$5</f>
        <v>34.940661259506875</v>
      </c>
      <c r="F97" s="898">
        <f>(AC97*KFC!$B$16+KFC!$C$16)*KFC!$C$5</f>
        <v>38.808164711281741</v>
      </c>
      <c r="G97" s="898">
        <f>(AD97*KFC!$B$16+KFC!$C$16)*KFC!$C$5</f>
        <v>42.675668163056613</v>
      </c>
      <c r="H97" s="898">
        <f>(AE97*KFC!$B$16+KFC!$C$16)*KFC!$C$5</f>
        <v>46.543171614831472</v>
      </c>
      <c r="I97" s="898">
        <f>(AF97*KFC!$B$16+KFC!$C$16)*KFC!$C$5</f>
        <v>50.410675066606338</v>
      </c>
      <c r="J97" s="898">
        <f>(AG97*KFC!$B$16+KFC!$C$16)*KFC!$C$5</f>
        <v>54.278178518381203</v>
      </c>
      <c r="K97" s="898">
        <f>(AH97*KFC!$B$16+KFC!$C$16)*KFC!$C$5</f>
        <v>58.145681970156062</v>
      </c>
      <c r="L97" s="898">
        <f>(AI97*KFC!$B$16+KFC!$C$16)*KFC!$C$5</f>
        <v>62.013185421930928</v>
      </c>
      <c r="M97" s="898">
        <f>(AJ97*KFC!$B$16+KFC!$C$16)*KFC!$C$5</f>
        <v>65.880688873705793</v>
      </c>
      <c r="N97" s="898">
        <f>(AK97*KFC!$B$16+KFC!$C$16)*KFC!$C$5</f>
        <v>69.748192325480659</v>
      </c>
      <c r="O97" s="898">
        <f>(AL97*KFC!$B$16+KFC!$C$16)*KFC!$C$5</f>
        <v>73.615695777255524</v>
      </c>
      <c r="P97" s="898">
        <f>(AM97*KFC!$B$16+KFC!$C$16)*KFC!$C$5</f>
        <v>77.48319922903039</v>
      </c>
      <c r="Q97" s="898">
        <f>(AN97*KFC!$B$16+KFC!$C$16)*KFC!$C$5</f>
        <v>81.350702680805256</v>
      </c>
      <c r="R97" s="898">
        <f>(AO97*KFC!$B$16+KFC!$C$16)*KFC!$C$5</f>
        <v>85.218206132580121</v>
      </c>
      <c r="S97" s="898">
        <f>(AP97*KFC!$B$16+KFC!$C$16)*KFC!$C$5</f>
        <v>89.085709584354987</v>
      </c>
      <c r="T97" s="898">
        <f>(AQ97*KFC!$B$16+KFC!$C$16)*KFC!$C$5</f>
        <v>92.953213036129839</v>
      </c>
      <c r="U97" s="898">
        <f>(AR97*KFC!$B$16+KFC!$C$16)*KFC!$C$5</f>
        <v>96.820716487904718</v>
      </c>
      <c r="V97" s="898">
        <f>(AS97*KFC!$B$16+KFC!$C$16)*KFC!$C$5</f>
        <v>100.68821993967956</v>
      </c>
      <c r="W97" s="903">
        <f>(AT97*KFC!$B$16+KFC!$C$16)*KFC!$C$5</f>
        <v>104.55572339145448</v>
      </c>
      <c r="Y97" s="1277"/>
      <c r="Z97" s="649">
        <v>1.6</v>
      </c>
      <c r="AA97" s="882">
        <v>31.073157807732009</v>
      </c>
      <c r="AB97" s="882">
        <v>34.940661259506875</v>
      </c>
      <c r="AC97" s="882">
        <v>38.808164711281741</v>
      </c>
      <c r="AD97" s="882">
        <v>42.675668163056613</v>
      </c>
      <c r="AE97" s="882">
        <v>46.543171614831472</v>
      </c>
      <c r="AF97" s="882">
        <v>50.410675066606338</v>
      </c>
      <c r="AG97" s="882">
        <v>54.278178518381203</v>
      </c>
      <c r="AH97" s="882">
        <v>58.145681970156062</v>
      </c>
      <c r="AI97" s="882">
        <v>62.013185421930928</v>
      </c>
      <c r="AJ97" s="882">
        <v>65.880688873705793</v>
      </c>
      <c r="AK97" s="882">
        <v>69.748192325480659</v>
      </c>
      <c r="AL97" s="882">
        <v>73.615695777255524</v>
      </c>
      <c r="AM97" s="882">
        <v>77.48319922903039</v>
      </c>
      <c r="AN97" s="882">
        <v>81.350702680805256</v>
      </c>
      <c r="AO97" s="882">
        <v>85.218206132580121</v>
      </c>
      <c r="AP97" s="882">
        <v>89.085709584354987</v>
      </c>
      <c r="AQ97" s="882">
        <v>92.953213036129839</v>
      </c>
      <c r="AR97" s="882">
        <v>96.820716487904718</v>
      </c>
      <c r="AS97" s="882">
        <v>100.68821993967956</v>
      </c>
      <c r="AT97" s="882">
        <v>104.55572339145448</v>
      </c>
    </row>
    <row r="98" spans="1:46">
      <c r="A98" s="1426"/>
      <c r="B98" s="1427"/>
      <c r="C98" s="887">
        <v>1.7</v>
      </c>
      <c r="D98" s="902">
        <f>(AA98*KFC!$B$16+KFC!$C$16)*KFC!$C$5</f>
        <v>31.658881490302509</v>
      </c>
      <c r="E98" s="898">
        <f>(AB98*KFC!$B$16+KFC!$C$16)*KFC!$C$5</f>
        <v>35.668723930598489</v>
      </c>
      <c r="F98" s="898">
        <f>(AC98*KFC!$B$16+KFC!$C$16)*KFC!$C$5</f>
        <v>39.67856637089448</v>
      </c>
      <c r="G98" s="898">
        <f>(AD98*KFC!$B$16+KFC!$C$16)*KFC!$C$5</f>
        <v>43.688408811190463</v>
      </c>
      <c r="H98" s="898">
        <f>(AE98*KFC!$B$16+KFC!$C$16)*KFC!$C$5</f>
        <v>47.698251251486447</v>
      </c>
      <c r="I98" s="898">
        <f>(AF98*KFC!$B$16+KFC!$C$16)*KFC!$C$5</f>
        <v>51.70809369178243</v>
      </c>
      <c r="J98" s="898">
        <f>(AG98*KFC!$B$16+KFC!$C$16)*KFC!$C$5</f>
        <v>55.717936132078421</v>
      </c>
      <c r="K98" s="898">
        <f>(AH98*KFC!$B$16+KFC!$C$16)*KFC!$C$5</f>
        <v>59.727778572374397</v>
      </c>
      <c r="L98" s="898">
        <f>(AI98*KFC!$B$16+KFC!$C$16)*KFC!$C$5</f>
        <v>63.737621012670381</v>
      </c>
      <c r="M98" s="898">
        <f>(AJ98*KFC!$B$16+KFC!$C$16)*KFC!$C$5</f>
        <v>67.747463452966358</v>
      </c>
      <c r="N98" s="898">
        <f>(AK98*KFC!$B$16+KFC!$C$16)*KFC!$C$5</f>
        <v>71.757305893262327</v>
      </c>
      <c r="O98" s="898">
        <f>(AL98*KFC!$B$16+KFC!$C$16)*KFC!$C$5</f>
        <v>75.76714833355831</v>
      </c>
      <c r="P98" s="898">
        <f>(AM98*KFC!$B$16+KFC!$C$16)*KFC!$C$5</f>
        <v>79.77699077385428</v>
      </c>
      <c r="Q98" s="898">
        <f>(AN98*KFC!$B$16+KFC!$C$16)*KFC!$C$5</f>
        <v>83.786833214150263</v>
      </c>
      <c r="R98" s="898">
        <f>(AO98*KFC!$B$16+KFC!$C$16)*KFC!$C$5</f>
        <v>87.796675654446233</v>
      </c>
      <c r="S98" s="898">
        <f>(AP98*KFC!$B$16+KFC!$C$16)*KFC!$C$5</f>
        <v>91.806518094742216</v>
      </c>
      <c r="T98" s="898">
        <f>(AQ98*KFC!$B$16+KFC!$C$16)*KFC!$C$5</f>
        <v>95.8163605350382</v>
      </c>
      <c r="U98" s="898">
        <f>(AR98*KFC!$B$16+KFC!$C$16)*KFC!$C$5</f>
        <v>99.826202975334169</v>
      </c>
      <c r="V98" s="898">
        <f>(AS98*KFC!$B$16+KFC!$C$16)*KFC!$C$5</f>
        <v>103.83604541563014</v>
      </c>
      <c r="W98" s="903">
        <f>(AT98*KFC!$B$16+KFC!$C$16)*KFC!$C$5</f>
        <v>107.84588785592622</v>
      </c>
      <c r="Y98" s="1277"/>
      <c r="Z98" s="649">
        <v>1.7</v>
      </c>
      <c r="AA98" s="882">
        <v>31.658881490302509</v>
      </c>
      <c r="AB98" s="882">
        <v>35.668723930598489</v>
      </c>
      <c r="AC98" s="882">
        <v>39.67856637089448</v>
      </c>
      <c r="AD98" s="882">
        <v>43.688408811190463</v>
      </c>
      <c r="AE98" s="882">
        <v>47.698251251486447</v>
      </c>
      <c r="AF98" s="882">
        <v>51.70809369178243</v>
      </c>
      <c r="AG98" s="882">
        <v>55.717936132078421</v>
      </c>
      <c r="AH98" s="882">
        <v>59.727778572374397</v>
      </c>
      <c r="AI98" s="882">
        <v>63.737621012670381</v>
      </c>
      <c r="AJ98" s="882">
        <v>67.747463452966358</v>
      </c>
      <c r="AK98" s="882">
        <v>71.757305893262327</v>
      </c>
      <c r="AL98" s="882">
        <v>75.76714833355831</v>
      </c>
      <c r="AM98" s="882">
        <v>79.77699077385428</v>
      </c>
      <c r="AN98" s="882">
        <v>83.786833214150263</v>
      </c>
      <c r="AO98" s="882">
        <v>87.796675654446233</v>
      </c>
      <c r="AP98" s="882">
        <v>91.806518094742216</v>
      </c>
      <c r="AQ98" s="882">
        <v>95.8163605350382</v>
      </c>
      <c r="AR98" s="882">
        <v>99.826202975334169</v>
      </c>
      <c r="AS98" s="882">
        <v>103.83604541563014</v>
      </c>
      <c r="AT98" s="882">
        <v>107.84588785592622</v>
      </c>
    </row>
    <row r="99" spans="1:46">
      <c r="A99" s="1426"/>
      <c r="B99" s="1427"/>
      <c r="C99" s="887">
        <v>1.8</v>
      </c>
      <c r="D99" s="902">
        <f>(AA99*KFC!$B$16+KFC!$C$16)*KFC!$C$5</f>
        <v>32.244605172873015</v>
      </c>
      <c r="E99" s="898">
        <f>(AB99*KFC!$B$16+KFC!$C$16)*KFC!$C$5</f>
        <v>36.396786601690117</v>
      </c>
      <c r="F99" s="898">
        <f>(AC99*KFC!$B$16+KFC!$C$16)*KFC!$C$5</f>
        <v>40.548968030507218</v>
      </c>
      <c r="G99" s="898">
        <f>(AD99*KFC!$B$16+KFC!$C$16)*KFC!$C$5</f>
        <v>44.70114945932432</v>
      </c>
      <c r="H99" s="898">
        <f>(AE99*KFC!$B$16+KFC!$C$16)*KFC!$C$5</f>
        <v>48.853330888141429</v>
      </c>
      <c r="I99" s="898">
        <f>(AF99*KFC!$B$16+KFC!$C$16)*KFC!$C$5</f>
        <v>53.00551231695853</v>
      </c>
      <c r="J99" s="898">
        <f>(AG99*KFC!$B$16+KFC!$C$16)*KFC!$C$5</f>
        <v>57.157693745775632</v>
      </c>
      <c r="K99" s="898">
        <f>(AH99*KFC!$B$16+KFC!$C$16)*KFC!$C$5</f>
        <v>61.309875174592733</v>
      </c>
      <c r="L99" s="898">
        <f>(AI99*KFC!$B$16+KFC!$C$16)*KFC!$C$5</f>
        <v>65.462056603409835</v>
      </c>
      <c r="M99" s="898">
        <f>(AJ99*KFC!$B$16+KFC!$C$16)*KFC!$C$5</f>
        <v>69.614238032226936</v>
      </c>
      <c r="N99" s="898">
        <f>(AK99*KFC!$B$16+KFC!$C$16)*KFC!$C$5</f>
        <v>73.766419461044038</v>
      </c>
      <c r="O99" s="898">
        <f>(AL99*KFC!$B$16+KFC!$C$16)*KFC!$C$5</f>
        <v>77.918600889861139</v>
      </c>
      <c r="P99" s="898">
        <f>(AM99*KFC!$B$16+KFC!$C$16)*KFC!$C$5</f>
        <v>82.070782318678255</v>
      </c>
      <c r="Q99" s="898">
        <f>(AN99*KFC!$B$16+KFC!$C$16)*KFC!$C$5</f>
        <v>86.222963747495371</v>
      </c>
      <c r="R99" s="898">
        <f>(AO99*KFC!$B$16+KFC!$C$16)*KFC!$C$5</f>
        <v>90.375145176312458</v>
      </c>
      <c r="S99" s="898">
        <f>(AP99*KFC!$B$16+KFC!$C$16)*KFC!$C$5</f>
        <v>94.527326605129545</v>
      </c>
      <c r="T99" s="898">
        <f>(AQ99*KFC!$B$16+KFC!$C$16)*KFC!$C$5</f>
        <v>98.679508033946661</v>
      </c>
      <c r="U99" s="898">
        <f>(AR99*KFC!$B$16+KFC!$C$16)*KFC!$C$5</f>
        <v>102.83168946276378</v>
      </c>
      <c r="V99" s="898">
        <f>(AS99*KFC!$B$16+KFC!$C$16)*KFC!$C$5</f>
        <v>106.98387089158086</v>
      </c>
      <c r="W99" s="903">
        <f>(AT99*KFC!$B$16+KFC!$C$16)*KFC!$C$5</f>
        <v>111.13605232039797</v>
      </c>
      <c r="Y99" s="1277"/>
      <c r="Z99" s="649">
        <v>1.8</v>
      </c>
      <c r="AA99" s="882">
        <v>32.244605172873015</v>
      </c>
      <c r="AB99" s="882">
        <v>36.396786601690117</v>
      </c>
      <c r="AC99" s="882">
        <v>40.548968030507218</v>
      </c>
      <c r="AD99" s="882">
        <v>44.70114945932432</v>
      </c>
      <c r="AE99" s="882">
        <v>48.853330888141429</v>
      </c>
      <c r="AF99" s="882">
        <v>53.00551231695853</v>
      </c>
      <c r="AG99" s="882">
        <v>57.157693745775632</v>
      </c>
      <c r="AH99" s="882">
        <v>61.309875174592733</v>
      </c>
      <c r="AI99" s="882">
        <v>65.462056603409835</v>
      </c>
      <c r="AJ99" s="882">
        <v>69.614238032226936</v>
      </c>
      <c r="AK99" s="882">
        <v>73.766419461044038</v>
      </c>
      <c r="AL99" s="882">
        <v>77.918600889861139</v>
      </c>
      <c r="AM99" s="882">
        <v>82.070782318678255</v>
      </c>
      <c r="AN99" s="882">
        <v>86.222963747495371</v>
      </c>
      <c r="AO99" s="882">
        <v>90.375145176312458</v>
      </c>
      <c r="AP99" s="882">
        <v>94.527326605129545</v>
      </c>
      <c r="AQ99" s="882">
        <v>98.679508033946661</v>
      </c>
      <c r="AR99" s="882">
        <v>102.83168946276378</v>
      </c>
      <c r="AS99" s="882">
        <v>106.98387089158086</v>
      </c>
      <c r="AT99" s="882">
        <v>111.13605232039797</v>
      </c>
    </row>
    <row r="100" spans="1:46">
      <c r="A100" s="1426"/>
      <c r="B100" s="1427"/>
      <c r="C100" s="887">
        <v>1.9</v>
      </c>
      <c r="D100" s="902">
        <f>(AA100*KFC!$B$16+KFC!$C$16)*KFC!$C$5</f>
        <v>32.830328855443511</v>
      </c>
      <c r="E100" s="898">
        <f>(AB100*KFC!$B$16+KFC!$C$16)*KFC!$C$5</f>
        <v>37.124849272781731</v>
      </c>
      <c r="F100" s="898">
        <f>(AC100*KFC!$B$16+KFC!$C$16)*KFC!$C$5</f>
        <v>41.41936969011995</v>
      </c>
      <c r="G100" s="898">
        <f>(AD100*KFC!$B$16+KFC!$C$16)*KFC!$C$5</f>
        <v>45.71389010745817</v>
      </c>
      <c r="H100" s="898">
        <f>(AE100*KFC!$B$16+KFC!$C$16)*KFC!$C$5</f>
        <v>50.008410524796403</v>
      </c>
      <c r="I100" s="898">
        <f>(AF100*KFC!$B$16+KFC!$C$16)*KFC!$C$5</f>
        <v>54.302930942134623</v>
      </c>
      <c r="J100" s="898">
        <f>(AG100*KFC!$B$16+KFC!$C$16)*KFC!$C$5</f>
        <v>58.597451359472842</v>
      </c>
      <c r="K100" s="898">
        <f>(AH100*KFC!$B$16+KFC!$C$16)*KFC!$C$5</f>
        <v>62.891971776811076</v>
      </c>
      <c r="L100" s="898">
        <f>(AI100*KFC!$B$16+KFC!$C$16)*KFC!$C$5</f>
        <v>67.186492194149295</v>
      </c>
      <c r="M100" s="898">
        <f>(AJ100*KFC!$B$16+KFC!$C$16)*KFC!$C$5</f>
        <v>71.481012611487515</v>
      </c>
      <c r="N100" s="898">
        <f>(AK100*KFC!$B$16+KFC!$C$16)*KFC!$C$5</f>
        <v>75.775533028825734</v>
      </c>
      <c r="O100" s="898">
        <f>(AL100*KFC!$B$16+KFC!$C$16)*KFC!$C$5</f>
        <v>80.070053446163939</v>
      </c>
      <c r="P100" s="898">
        <f>(AM100*KFC!$B$16+KFC!$C$16)*KFC!$C$5</f>
        <v>84.364573863502159</v>
      </c>
      <c r="Q100" s="898">
        <f>(AN100*KFC!$B$16+KFC!$C$16)*KFC!$C$5</f>
        <v>88.659094280840378</v>
      </c>
      <c r="R100" s="898">
        <f>(AO100*KFC!$B$16+KFC!$C$16)*KFC!$C$5</f>
        <v>92.953614698178598</v>
      </c>
      <c r="S100" s="898">
        <f>(AP100*KFC!$B$16+KFC!$C$16)*KFC!$C$5</f>
        <v>97.248135115516803</v>
      </c>
      <c r="T100" s="898">
        <f>(AQ100*KFC!$B$16+KFC!$C$16)*KFC!$C$5</f>
        <v>101.54265553285502</v>
      </c>
      <c r="U100" s="898">
        <f>(AR100*KFC!$B$16+KFC!$C$16)*KFC!$C$5</f>
        <v>105.83717595019324</v>
      </c>
      <c r="V100" s="898">
        <f>(AS100*KFC!$B$16+KFC!$C$16)*KFC!$C$5</f>
        <v>110.13169636753148</v>
      </c>
      <c r="W100" s="903">
        <f>(AT100*KFC!$B$16+KFC!$C$16)*KFC!$C$5</f>
        <v>114.42621678486971</v>
      </c>
      <c r="Y100" s="1277"/>
      <c r="Z100" s="649">
        <v>1.9</v>
      </c>
      <c r="AA100" s="882">
        <v>32.830328855443511</v>
      </c>
      <c r="AB100" s="882">
        <v>37.124849272781731</v>
      </c>
      <c r="AC100" s="882">
        <v>41.41936969011995</v>
      </c>
      <c r="AD100" s="882">
        <v>45.71389010745817</v>
      </c>
      <c r="AE100" s="882">
        <v>50.008410524796403</v>
      </c>
      <c r="AF100" s="882">
        <v>54.302930942134623</v>
      </c>
      <c r="AG100" s="882">
        <v>58.597451359472842</v>
      </c>
      <c r="AH100" s="882">
        <v>62.891971776811076</v>
      </c>
      <c r="AI100" s="882">
        <v>67.186492194149295</v>
      </c>
      <c r="AJ100" s="882">
        <v>71.481012611487515</v>
      </c>
      <c r="AK100" s="882">
        <v>75.775533028825734</v>
      </c>
      <c r="AL100" s="882">
        <v>80.070053446163939</v>
      </c>
      <c r="AM100" s="882">
        <v>84.364573863502159</v>
      </c>
      <c r="AN100" s="882">
        <v>88.659094280840378</v>
      </c>
      <c r="AO100" s="882">
        <v>92.953614698178598</v>
      </c>
      <c r="AP100" s="882">
        <v>97.248135115516803</v>
      </c>
      <c r="AQ100" s="882">
        <v>101.54265553285502</v>
      </c>
      <c r="AR100" s="882">
        <v>105.83717595019324</v>
      </c>
      <c r="AS100" s="882">
        <v>110.13169636753148</v>
      </c>
      <c r="AT100" s="882">
        <v>114.42621678486971</v>
      </c>
    </row>
    <row r="101" spans="1:46">
      <c r="A101" s="1426"/>
      <c r="B101" s="1427"/>
      <c r="C101" s="887">
        <v>2</v>
      </c>
      <c r="D101" s="902">
        <f>(AA101*KFC!$B$16+KFC!$C$16)*KFC!$C$5</f>
        <v>33.416052538014014</v>
      </c>
      <c r="E101" s="898">
        <f>(AB101*KFC!$B$16+KFC!$C$16)*KFC!$C$5</f>
        <v>37.852911943873345</v>
      </c>
      <c r="F101" s="898">
        <f>(AC101*KFC!$B$16+KFC!$C$16)*KFC!$C$5</f>
        <v>42.289771349732682</v>
      </c>
      <c r="G101" s="898">
        <f>(AD101*KFC!$B$16+KFC!$C$16)*KFC!$C$5</f>
        <v>46.726630755592026</v>
      </c>
      <c r="H101" s="898">
        <f>(AE101*KFC!$B$16+KFC!$C$16)*KFC!$C$5</f>
        <v>51.163490161451364</v>
      </c>
      <c r="I101" s="898">
        <f>(AF101*KFC!$B$16+KFC!$C$16)*KFC!$C$5</f>
        <v>55.600349567310694</v>
      </c>
      <c r="J101" s="898">
        <f>(AG101*KFC!$B$16+KFC!$C$16)*KFC!$C$5</f>
        <v>60.037208973170031</v>
      </c>
      <c r="K101" s="898">
        <f>(AH101*KFC!$B$16+KFC!$C$16)*KFC!$C$5</f>
        <v>64.474068379029376</v>
      </c>
      <c r="L101" s="898">
        <f>(AI101*KFC!$B$16+KFC!$C$16)*KFC!$C$5</f>
        <v>68.910927784888699</v>
      </c>
      <c r="M101" s="898">
        <f>(AJ101*KFC!$B$16+KFC!$C$16)*KFC!$C$5</f>
        <v>73.347787190748051</v>
      </c>
      <c r="N101" s="898">
        <f>(AK101*KFC!$B$16+KFC!$C$16)*KFC!$C$5</f>
        <v>77.784646596607402</v>
      </c>
      <c r="O101" s="898">
        <f>(AL101*KFC!$B$16+KFC!$C$16)*KFC!$C$5</f>
        <v>82.221506002466739</v>
      </c>
      <c r="P101" s="898">
        <f>(AM101*KFC!$B$16+KFC!$C$16)*KFC!$C$5</f>
        <v>86.658365408326077</v>
      </c>
      <c r="Q101" s="898">
        <f>(AN101*KFC!$B$16+KFC!$C$16)*KFC!$C$5</f>
        <v>91.095224814185414</v>
      </c>
      <c r="R101" s="898">
        <f>(AO101*KFC!$B$16+KFC!$C$16)*KFC!$C$5</f>
        <v>95.532084220044766</v>
      </c>
      <c r="S101" s="898">
        <f>(AP101*KFC!$B$16+KFC!$C$16)*KFC!$C$5</f>
        <v>99.968943625904117</v>
      </c>
      <c r="T101" s="898">
        <f>(AQ101*KFC!$B$16+KFC!$C$16)*KFC!$C$5</f>
        <v>104.40580303176344</v>
      </c>
      <c r="U101" s="898">
        <f>(AR101*KFC!$B$16+KFC!$C$16)*KFC!$C$5</f>
        <v>108.84266243762279</v>
      </c>
      <c r="V101" s="898">
        <f>(AS101*KFC!$B$16+KFC!$C$16)*KFC!$C$5</f>
        <v>113.27952184348214</v>
      </c>
      <c r="W101" s="903">
        <f>(AT101*KFC!$B$16+KFC!$C$16)*KFC!$C$5</f>
        <v>117.71638124934145</v>
      </c>
      <c r="Y101" s="1277"/>
      <c r="Z101" s="649">
        <v>2</v>
      </c>
      <c r="AA101" s="882">
        <v>33.416052538014014</v>
      </c>
      <c r="AB101" s="882">
        <v>37.852911943873345</v>
      </c>
      <c r="AC101" s="882">
        <v>42.289771349732682</v>
      </c>
      <c r="AD101" s="882">
        <v>46.726630755592026</v>
      </c>
      <c r="AE101" s="882">
        <v>51.163490161451364</v>
      </c>
      <c r="AF101" s="882">
        <v>55.600349567310694</v>
      </c>
      <c r="AG101" s="882">
        <v>60.037208973170031</v>
      </c>
      <c r="AH101" s="882">
        <v>64.474068379029376</v>
      </c>
      <c r="AI101" s="882">
        <v>68.910927784888699</v>
      </c>
      <c r="AJ101" s="882">
        <v>73.347787190748051</v>
      </c>
      <c r="AK101" s="882">
        <v>77.784646596607402</v>
      </c>
      <c r="AL101" s="882">
        <v>82.221506002466739</v>
      </c>
      <c r="AM101" s="882">
        <v>86.658365408326077</v>
      </c>
      <c r="AN101" s="882">
        <v>91.095224814185414</v>
      </c>
      <c r="AO101" s="882">
        <v>95.532084220044766</v>
      </c>
      <c r="AP101" s="882">
        <v>99.968943625904117</v>
      </c>
      <c r="AQ101" s="882">
        <v>104.40580303176344</v>
      </c>
      <c r="AR101" s="882">
        <v>108.84266243762279</v>
      </c>
      <c r="AS101" s="882">
        <v>113.27952184348214</v>
      </c>
      <c r="AT101" s="882">
        <v>117.71638124934145</v>
      </c>
    </row>
    <row r="102" spans="1:46">
      <c r="A102" s="1426"/>
      <c r="B102" s="1427"/>
      <c r="C102" s="887">
        <v>2.1</v>
      </c>
      <c r="D102" s="902">
        <f>(AA102*KFC!$B$16+KFC!$C$16)*KFC!$C$5</f>
        <v>34.001776220584517</v>
      </c>
      <c r="E102" s="898">
        <f>(AB102*KFC!$B$16+KFC!$C$16)*KFC!$C$5</f>
        <v>38.580974614964973</v>
      </c>
      <c r="F102" s="898">
        <f>(AC102*KFC!$B$16+KFC!$C$16)*KFC!$C$5</f>
        <v>43.160173009345428</v>
      </c>
      <c r="G102" s="898">
        <f>(AD102*KFC!$B$16+KFC!$C$16)*KFC!$C$5</f>
        <v>47.739371403725883</v>
      </c>
      <c r="H102" s="898">
        <f>(AE102*KFC!$B$16+KFC!$C$16)*KFC!$C$5</f>
        <v>52.318569798106338</v>
      </c>
      <c r="I102" s="898">
        <f>(AF102*KFC!$B$16+KFC!$C$16)*KFC!$C$5</f>
        <v>56.897768192486794</v>
      </c>
      <c r="J102" s="898">
        <f>(AG102*KFC!$B$16+KFC!$C$16)*KFC!$C$5</f>
        <v>61.476966586867256</v>
      </c>
      <c r="K102" s="898">
        <f>(AH102*KFC!$B$16+KFC!$C$16)*KFC!$C$5</f>
        <v>66.056164981247704</v>
      </c>
      <c r="L102" s="898">
        <f>(AI102*KFC!$B$16+KFC!$C$16)*KFC!$C$5</f>
        <v>70.63536337562816</v>
      </c>
      <c r="M102" s="898">
        <f>(AJ102*KFC!$B$16+KFC!$C$16)*KFC!$C$5</f>
        <v>75.214561770008629</v>
      </c>
      <c r="N102" s="898">
        <f>(AK102*KFC!$B$16+KFC!$C$16)*KFC!$C$5</f>
        <v>79.793760164389084</v>
      </c>
      <c r="O102" s="898">
        <f>(AL102*KFC!$B$16+KFC!$C$16)*KFC!$C$5</f>
        <v>84.372958558769525</v>
      </c>
      <c r="P102" s="898">
        <f>(AM102*KFC!$B$16+KFC!$C$16)*KFC!$C$5</f>
        <v>88.952156953149981</v>
      </c>
      <c r="Q102" s="898">
        <f>(AN102*KFC!$B$16+KFC!$C$16)*KFC!$C$5</f>
        <v>93.531355347530436</v>
      </c>
      <c r="R102" s="898">
        <f>(AO102*KFC!$B$16+KFC!$C$16)*KFC!$C$5</f>
        <v>98.110553741910891</v>
      </c>
      <c r="S102" s="898">
        <f>(AP102*KFC!$B$16+KFC!$C$16)*KFC!$C$5</f>
        <v>102.68975213629135</v>
      </c>
      <c r="T102" s="898">
        <f>(AQ102*KFC!$B$16+KFC!$C$16)*KFC!$C$5</f>
        <v>107.26895053067182</v>
      </c>
      <c r="U102" s="898">
        <f>(AR102*KFC!$B$16+KFC!$C$16)*KFC!$C$5</f>
        <v>111.84814892505227</v>
      </c>
      <c r="V102" s="898">
        <f>(AS102*KFC!$B$16+KFC!$C$16)*KFC!$C$5</f>
        <v>116.42734731943273</v>
      </c>
      <c r="W102" s="903">
        <f>(AT102*KFC!$B$16+KFC!$C$16)*KFC!$C$5</f>
        <v>121.00654571381321</v>
      </c>
      <c r="Y102" s="1277"/>
      <c r="Z102" s="649">
        <v>2.1</v>
      </c>
      <c r="AA102" s="882">
        <v>34.001776220584517</v>
      </c>
      <c r="AB102" s="882">
        <v>38.580974614964973</v>
      </c>
      <c r="AC102" s="882">
        <v>43.160173009345428</v>
      </c>
      <c r="AD102" s="882">
        <v>47.739371403725883</v>
      </c>
      <c r="AE102" s="882">
        <v>52.318569798106338</v>
      </c>
      <c r="AF102" s="882">
        <v>56.897768192486794</v>
      </c>
      <c r="AG102" s="882">
        <v>61.476966586867256</v>
      </c>
      <c r="AH102" s="882">
        <v>66.056164981247704</v>
      </c>
      <c r="AI102" s="882">
        <v>70.63536337562816</v>
      </c>
      <c r="AJ102" s="882">
        <v>75.214561770008629</v>
      </c>
      <c r="AK102" s="882">
        <v>79.793760164389084</v>
      </c>
      <c r="AL102" s="882">
        <v>84.372958558769525</v>
      </c>
      <c r="AM102" s="882">
        <v>88.952156953149981</v>
      </c>
      <c r="AN102" s="882">
        <v>93.531355347530436</v>
      </c>
      <c r="AO102" s="882">
        <v>98.110553741910891</v>
      </c>
      <c r="AP102" s="882">
        <v>102.68975213629135</v>
      </c>
      <c r="AQ102" s="882">
        <v>107.26895053067182</v>
      </c>
      <c r="AR102" s="882">
        <v>111.84814892505227</v>
      </c>
      <c r="AS102" s="882">
        <v>116.42734731943273</v>
      </c>
      <c r="AT102" s="882">
        <v>121.00654571381321</v>
      </c>
    </row>
    <row r="103" spans="1:46" ht="15" thickBot="1">
      <c r="A103" s="1428"/>
      <c r="B103" s="1429"/>
      <c r="C103" s="888">
        <v>2.2000000000000002</v>
      </c>
      <c r="D103" s="904">
        <f>(AA103*KFC!$B$16+KFC!$C$16)*KFC!$C$5</f>
        <v>34.587499903154999</v>
      </c>
      <c r="E103" s="905">
        <f>(AB103*KFC!$B$16+KFC!$C$16)*KFC!$C$5</f>
        <v>39.309037286056579</v>
      </c>
      <c r="F103" s="905">
        <f>(AC103*KFC!$B$16+KFC!$C$16)*KFC!$C$5</f>
        <v>44.030574668958153</v>
      </c>
      <c r="G103" s="905">
        <f>(AD103*KFC!$B$16+KFC!$C$16)*KFC!$C$5</f>
        <v>48.752112051859733</v>
      </c>
      <c r="H103" s="905">
        <f>(AE103*KFC!$B$16+KFC!$C$16)*KFC!$C$5</f>
        <v>53.473649434761299</v>
      </c>
      <c r="I103" s="905">
        <f>(AF103*KFC!$B$16+KFC!$C$16)*KFC!$C$5</f>
        <v>58.195186817662886</v>
      </c>
      <c r="J103" s="905">
        <f>(AG103*KFC!$B$16+KFC!$C$16)*KFC!$C$5</f>
        <v>62.91672420056446</v>
      </c>
      <c r="K103" s="905">
        <f>(AH103*KFC!$B$16+KFC!$C$16)*KFC!$C$5</f>
        <v>67.638261583466033</v>
      </c>
      <c r="L103" s="905">
        <f>(AI103*KFC!$B$16+KFC!$C$16)*KFC!$C$5</f>
        <v>72.35979896636762</v>
      </c>
      <c r="M103" s="905">
        <f>(AJ103*KFC!$B$16+KFC!$C$16)*KFC!$C$5</f>
        <v>77.081336349269193</v>
      </c>
      <c r="N103" s="905">
        <f>(AK103*KFC!$B$16+KFC!$C$16)*KFC!$C$5</f>
        <v>81.802873732170781</v>
      </c>
      <c r="O103" s="905">
        <f>(AL103*KFC!$B$16+KFC!$C$16)*KFC!$C$5</f>
        <v>86.524411115072368</v>
      </c>
      <c r="P103" s="905">
        <f>(AM103*KFC!$B$16+KFC!$C$16)*KFC!$C$5</f>
        <v>91.245948497973956</v>
      </c>
      <c r="Q103" s="905">
        <f>(AN103*KFC!$B$16+KFC!$C$16)*KFC!$C$5</f>
        <v>95.967485880875529</v>
      </c>
      <c r="R103" s="905">
        <f>(AO103*KFC!$B$16+KFC!$C$16)*KFC!$C$5</f>
        <v>100.68902326377712</v>
      </c>
      <c r="S103" s="905">
        <f>(AP103*KFC!$B$16+KFC!$C$16)*KFC!$C$5</f>
        <v>105.4105606466787</v>
      </c>
      <c r="T103" s="905">
        <f>(AQ103*KFC!$B$16+KFC!$C$16)*KFC!$C$5</f>
        <v>110.13209802958029</v>
      </c>
      <c r="U103" s="905">
        <f>(AR103*KFC!$B$16+KFC!$C$16)*KFC!$C$5</f>
        <v>114.85363541248186</v>
      </c>
      <c r="V103" s="905">
        <f>(AS103*KFC!$B$16+KFC!$C$16)*KFC!$C$5</f>
        <v>119.57517279538345</v>
      </c>
      <c r="W103" s="906">
        <f>(AT103*KFC!$B$16+KFC!$C$16)*KFC!$C$5</f>
        <v>124.296710178285</v>
      </c>
      <c r="Y103" s="1277"/>
      <c r="Z103" s="649">
        <v>2.2000000000000002</v>
      </c>
      <c r="AA103" s="882">
        <v>34.587499903154999</v>
      </c>
      <c r="AB103" s="882">
        <v>39.309037286056579</v>
      </c>
      <c r="AC103" s="882">
        <v>44.030574668958153</v>
      </c>
      <c r="AD103" s="882">
        <v>48.752112051859733</v>
      </c>
      <c r="AE103" s="882">
        <v>53.473649434761299</v>
      </c>
      <c r="AF103" s="882">
        <v>58.195186817662886</v>
      </c>
      <c r="AG103" s="882">
        <v>62.91672420056446</v>
      </c>
      <c r="AH103" s="882">
        <v>67.638261583466033</v>
      </c>
      <c r="AI103" s="882">
        <v>72.35979896636762</v>
      </c>
      <c r="AJ103" s="882">
        <v>77.081336349269193</v>
      </c>
      <c r="AK103" s="882">
        <v>81.802873732170781</v>
      </c>
      <c r="AL103" s="882">
        <v>86.524411115072368</v>
      </c>
      <c r="AM103" s="882">
        <v>91.245948497973956</v>
      </c>
      <c r="AN103" s="882">
        <v>95.967485880875529</v>
      </c>
      <c r="AO103" s="882">
        <v>100.68902326377712</v>
      </c>
      <c r="AP103" s="882">
        <v>105.4105606466787</v>
      </c>
      <c r="AQ103" s="882">
        <v>110.13209802958029</v>
      </c>
      <c r="AR103" s="882">
        <v>114.85363541248186</v>
      </c>
      <c r="AS103" s="882">
        <v>119.57517279538345</v>
      </c>
      <c r="AT103" s="882">
        <v>124.296710178285</v>
      </c>
    </row>
    <row r="104" spans="1:46" ht="16.2" thickBot="1">
      <c r="A104" s="380"/>
      <c r="B104" s="380"/>
      <c r="C104" s="380"/>
      <c r="D104" s="380"/>
      <c r="E104" s="380"/>
      <c r="F104" s="380"/>
      <c r="G104" s="380"/>
      <c r="H104" s="380"/>
      <c r="I104" s="380"/>
      <c r="J104" s="380"/>
      <c r="K104" s="380"/>
      <c r="L104" s="380"/>
      <c r="M104" s="380"/>
      <c r="N104" s="380"/>
      <c r="O104" s="380"/>
      <c r="P104" s="380"/>
      <c r="Q104" s="380"/>
      <c r="R104" s="380"/>
      <c r="S104" s="380"/>
      <c r="T104" s="380"/>
      <c r="U104" s="380"/>
      <c r="V104" s="380"/>
      <c r="W104" s="380"/>
    </row>
    <row r="105" spans="1:46" ht="16.5" customHeight="1" thickBot="1">
      <c r="A105" s="1445" t="s">
        <v>448</v>
      </c>
      <c r="B105" s="1446"/>
      <c r="C105" s="1446"/>
      <c r="D105" s="1446"/>
      <c r="E105" s="1446"/>
      <c r="F105" s="1446"/>
      <c r="G105" s="1446"/>
      <c r="H105" s="1446"/>
      <c r="I105" s="1446"/>
      <c r="J105" s="1446"/>
      <c r="K105" s="1446"/>
      <c r="L105" s="1446"/>
      <c r="M105" s="1446"/>
      <c r="N105" s="1446"/>
      <c r="O105" s="1446"/>
      <c r="P105" s="1446"/>
      <c r="Q105" s="1446"/>
      <c r="R105" s="1446"/>
      <c r="S105" s="1446"/>
      <c r="T105" s="1446"/>
      <c r="U105" s="1446"/>
      <c r="V105" s="1446"/>
      <c r="W105" s="1447"/>
    </row>
    <row r="106" spans="1:46" ht="15.6">
      <c r="A106" s="1448"/>
      <c r="B106" s="1449"/>
      <c r="C106" s="1449"/>
      <c r="D106" s="1449"/>
      <c r="E106" s="1449"/>
      <c r="F106" s="1449"/>
      <c r="G106" s="1449"/>
      <c r="H106" s="1449"/>
      <c r="I106" s="1449"/>
      <c r="J106" s="1449"/>
      <c r="K106" s="1450"/>
      <c r="L106" s="1454" t="s">
        <v>449</v>
      </c>
      <c r="M106" s="1455"/>
      <c r="N106" s="1455"/>
      <c r="O106" s="1456"/>
      <c r="P106" s="1457" t="s">
        <v>450</v>
      </c>
      <c r="Q106" s="1458"/>
      <c r="R106" s="1458"/>
      <c r="S106" s="1459"/>
      <c r="T106" s="1454" t="s">
        <v>451</v>
      </c>
      <c r="U106" s="1455"/>
      <c r="V106" s="1455"/>
      <c r="W106" s="1456"/>
    </row>
    <row r="107" spans="1:46" ht="15.6">
      <c r="A107" s="1451"/>
      <c r="B107" s="1452"/>
      <c r="C107" s="1452"/>
      <c r="D107" s="1452"/>
      <c r="E107" s="1452"/>
      <c r="F107" s="1452"/>
      <c r="G107" s="1452"/>
      <c r="H107" s="1452"/>
      <c r="I107" s="1452"/>
      <c r="J107" s="1452"/>
      <c r="K107" s="1453"/>
      <c r="L107" s="1460" t="s">
        <v>452</v>
      </c>
      <c r="M107" s="1461"/>
      <c r="N107" s="1461" t="s">
        <v>453</v>
      </c>
      <c r="O107" s="1462"/>
      <c r="P107" s="1463" t="s">
        <v>452</v>
      </c>
      <c r="Q107" s="1464"/>
      <c r="R107" s="1464" t="s">
        <v>453</v>
      </c>
      <c r="S107" s="1465"/>
      <c r="T107" s="1460" t="s">
        <v>452</v>
      </c>
      <c r="U107" s="1461"/>
      <c r="V107" s="1461" t="s">
        <v>453</v>
      </c>
      <c r="W107" s="1462"/>
    </row>
    <row r="108" spans="1:46" ht="15.6">
      <c r="A108" s="1466" t="s">
        <v>454</v>
      </c>
      <c r="B108" s="1467"/>
      <c r="C108" s="1467"/>
      <c r="D108" s="1467"/>
      <c r="E108" s="1467"/>
      <c r="F108" s="1467"/>
      <c r="G108" s="1467"/>
      <c r="H108" s="1467"/>
      <c r="I108" s="1467"/>
      <c r="J108" s="1467"/>
      <c r="K108" s="1468"/>
      <c r="L108" s="1460">
        <v>23</v>
      </c>
      <c r="M108" s="1461"/>
      <c r="N108" s="1461">
        <v>23</v>
      </c>
      <c r="O108" s="1462"/>
      <c r="P108" s="1463">
        <v>23</v>
      </c>
      <c r="Q108" s="1464"/>
      <c r="R108" s="1464">
        <v>23</v>
      </c>
      <c r="S108" s="1465"/>
      <c r="T108" s="1460">
        <v>23</v>
      </c>
      <c r="U108" s="1461"/>
      <c r="V108" s="1461">
        <v>23</v>
      </c>
      <c r="W108" s="1462"/>
    </row>
    <row r="109" spans="1:46" ht="15.6">
      <c r="A109" s="1466" t="s">
        <v>455</v>
      </c>
      <c r="B109" s="1467"/>
      <c r="C109" s="1467"/>
      <c r="D109" s="1467"/>
      <c r="E109" s="1467"/>
      <c r="F109" s="1467"/>
      <c r="G109" s="1467"/>
      <c r="H109" s="1467"/>
      <c r="I109" s="1467"/>
      <c r="J109" s="1467"/>
      <c r="K109" s="1468"/>
      <c r="L109" s="1460">
        <v>240</v>
      </c>
      <c r="M109" s="1461"/>
      <c r="N109" s="1461">
        <v>170</v>
      </c>
      <c r="O109" s="1462"/>
      <c r="P109" s="1463">
        <v>200</v>
      </c>
      <c r="Q109" s="1464"/>
      <c r="R109" s="1464">
        <v>170</v>
      </c>
      <c r="S109" s="1465"/>
      <c r="T109" s="1460">
        <v>200</v>
      </c>
      <c r="U109" s="1461"/>
      <c r="V109" s="1461">
        <v>170</v>
      </c>
      <c r="W109" s="1462"/>
    </row>
    <row r="110" spans="1:46" ht="18" thickBot="1">
      <c r="A110" s="1475" t="s">
        <v>456</v>
      </c>
      <c r="B110" s="1476"/>
      <c r="C110" s="1476"/>
      <c r="D110" s="1476"/>
      <c r="E110" s="1476"/>
      <c r="F110" s="1476"/>
      <c r="G110" s="1476"/>
      <c r="H110" s="1476"/>
      <c r="I110" s="1476"/>
      <c r="J110" s="1476"/>
      <c r="K110" s="1477"/>
      <c r="L110" s="1478">
        <v>2.5</v>
      </c>
      <c r="M110" s="1479"/>
      <c r="N110" s="1479">
        <v>2.5</v>
      </c>
      <c r="O110" s="1480"/>
      <c r="P110" s="1481">
        <v>2.5</v>
      </c>
      <c r="Q110" s="1482"/>
      <c r="R110" s="1483">
        <v>2</v>
      </c>
      <c r="S110" s="1484"/>
      <c r="T110" s="1478">
        <v>2.5</v>
      </c>
      <c r="U110" s="1479"/>
      <c r="V110" s="1485">
        <v>2</v>
      </c>
      <c r="W110" s="1486"/>
    </row>
    <row r="111" spans="1:46" ht="16.2" thickBot="1">
      <c r="A111" s="6"/>
      <c r="B111" s="1"/>
      <c r="C111" s="379"/>
      <c r="D111" s="381"/>
      <c r="E111" s="381"/>
      <c r="F111" s="381"/>
      <c r="G111" s="381"/>
      <c r="H111" s="381"/>
      <c r="I111" s="380"/>
      <c r="J111" s="380"/>
      <c r="K111" s="380"/>
      <c r="L111" s="380"/>
      <c r="M111" s="380"/>
      <c r="N111" s="380"/>
      <c r="O111" s="380"/>
      <c r="P111" s="380"/>
      <c r="Q111" s="380"/>
      <c r="R111" s="380"/>
      <c r="S111" s="380"/>
      <c r="T111" s="380"/>
      <c r="U111" s="380"/>
      <c r="V111" s="380"/>
      <c r="W111" s="380"/>
    </row>
    <row r="112" spans="1:46" ht="16.2" thickBot="1">
      <c r="A112" s="6" t="s">
        <v>44</v>
      </c>
      <c r="B112" s="1"/>
      <c r="C112" s="379"/>
      <c r="D112" s="382"/>
      <c r="E112" s="382"/>
      <c r="F112" s="382"/>
      <c r="G112" s="382"/>
      <c r="H112" s="382"/>
      <c r="I112" s="382"/>
      <c r="J112" s="380"/>
      <c r="K112" s="380"/>
      <c r="L112" s="380"/>
      <c r="M112" s="380"/>
      <c r="N112" s="380"/>
      <c r="O112" s="380"/>
      <c r="P112" s="380"/>
      <c r="Q112" s="380"/>
      <c r="R112" s="380"/>
      <c r="S112" s="380"/>
      <c r="T112" s="380"/>
      <c r="U112" s="380"/>
      <c r="V112" s="380"/>
      <c r="W112" s="380"/>
    </row>
    <row r="113" spans="1:23" ht="16.2" thickBot="1">
      <c r="A113" s="1487" t="s">
        <v>1231</v>
      </c>
      <c r="B113" s="1488"/>
      <c r="C113" s="1488"/>
      <c r="D113" s="1488"/>
      <c r="E113" s="1488"/>
      <c r="F113" s="1488"/>
      <c r="G113" s="1488"/>
      <c r="H113" s="1488"/>
      <c r="I113" s="1488"/>
      <c r="J113" s="1488"/>
      <c r="K113" s="1489"/>
      <c r="L113" s="1493">
        <f>(1.34*KFC!$B$16+KFC!$C$16)*KFC!$C$5</f>
        <v>1.34</v>
      </c>
      <c r="M113" s="1473" t="s">
        <v>409</v>
      </c>
      <c r="N113" s="380"/>
      <c r="O113" s="380"/>
      <c r="P113" s="380"/>
      <c r="Q113" s="380"/>
      <c r="R113" s="380"/>
      <c r="S113" s="380"/>
      <c r="T113" s="380"/>
      <c r="U113" s="380"/>
      <c r="V113" s="380"/>
      <c r="W113" s="380"/>
    </row>
    <row r="114" spans="1:23" ht="28.5" customHeight="1" thickBot="1">
      <c r="A114" s="1490"/>
      <c r="B114" s="1491"/>
      <c r="C114" s="1491"/>
      <c r="D114" s="1491"/>
      <c r="E114" s="1491"/>
      <c r="F114" s="1491"/>
      <c r="G114" s="1491"/>
      <c r="H114" s="1491"/>
      <c r="I114" s="1491"/>
      <c r="J114" s="1491"/>
      <c r="K114" s="1492"/>
      <c r="L114" s="1494"/>
      <c r="M114" s="1495"/>
      <c r="N114" s="380"/>
      <c r="O114" s="380"/>
      <c r="P114" s="380"/>
      <c r="Q114" s="380"/>
      <c r="R114" s="380"/>
      <c r="S114" s="380"/>
      <c r="T114" s="380"/>
      <c r="U114" s="380"/>
      <c r="V114" s="380"/>
      <c r="W114" s="380"/>
    </row>
    <row r="115" spans="1:23" ht="16.2" thickBot="1">
      <c r="A115" s="895" t="s">
        <v>228</v>
      </c>
      <c r="B115" s="896"/>
      <c r="C115" s="896"/>
      <c r="D115" s="896"/>
      <c r="E115" s="896"/>
      <c r="F115" s="896"/>
      <c r="G115" s="896"/>
      <c r="H115" s="896"/>
      <c r="I115" s="897"/>
      <c r="J115" s="897"/>
      <c r="K115" s="897"/>
      <c r="L115" s="897"/>
      <c r="M115" s="897"/>
      <c r="N115" s="380"/>
      <c r="O115" s="380"/>
      <c r="P115" s="380"/>
      <c r="Q115" s="380"/>
      <c r="R115" s="380"/>
      <c r="S115" s="380"/>
      <c r="T115" s="380"/>
      <c r="U115" s="380"/>
      <c r="V115" s="380"/>
      <c r="W115" s="380"/>
    </row>
  </sheetData>
  <mergeCells count="65">
    <mergeCell ref="A113:K114"/>
    <mergeCell ref="L113:L114"/>
    <mergeCell ref="M113:M114"/>
    <mergeCell ref="V109:W109"/>
    <mergeCell ref="A110:K110"/>
    <mergeCell ref="L110:M110"/>
    <mergeCell ref="N110:O110"/>
    <mergeCell ref="P110:Q110"/>
    <mergeCell ref="R110:S110"/>
    <mergeCell ref="T110:U110"/>
    <mergeCell ref="V110:W110"/>
    <mergeCell ref="A109:K109"/>
    <mergeCell ref="L109:M109"/>
    <mergeCell ref="N109:O109"/>
    <mergeCell ref="P109:Q109"/>
    <mergeCell ref="R109:S109"/>
    <mergeCell ref="T109:U109"/>
    <mergeCell ref="R107:S107"/>
    <mergeCell ref="T107:U107"/>
    <mergeCell ref="V107:W107"/>
    <mergeCell ref="A108:K108"/>
    <mergeCell ref="L108:M108"/>
    <mergeCell ref="N108:O108"/>
    <mergeCell ref="P108:Q108"/>
    <mergeCell ref="R108:S108"/>
    <mergeCell ref="T108:U108"/>
    <mergeCell ref="V108:W108"/>
    <mergeCell ref="A83:B103"/>
    <mergeCell ref="Y83:Y103"/>
    <mergeCell ref="A105:W105"/>
    <mergeCell ref="A106:K107"/>
    <mergeCell ref="L106:O106"/>
    <mergeCell ref="P106:S106"/>
    <mergeCell ref="T106:W106"/>
    <mergeCell ref="L107:M107"/>
    <mergeCell ref="N107:O107"/>
    <mergeCell ref="P107:Q107"/>
    <mergeCell ref="AA81:AT81"/>
    <mergeCell ref="A80:W80"/>
    <mergeCell ref="A33:B53"/>
    <mergeCell ref="Y33:Y53"/>
    <mergeCell ref="A56:C57"/>
    <mergeCell ref="D56:W56"/>
    <mergeCell ref="Y56:Z57"/>
    <mergeCell ref="AA56:AT56"/>
    <mergeCell ref="A55:W55"/>
    <mergeCell ref="A58:B78"/>
    <mergeCell ref="Y58:Y78"/>
    <mergeCell ref="A81:C82"/>
    <mergeCell ref="D81:W81"/>
    <mergeCell ref="Y81:Z82"/>
    <mergeCell ref="AA31:AT31"/>
    <mergeCell ref="A30:W30"/>
    <mergeCell ref="A1:W2"/>
    <mergeCell ref="A3:W4"/>
    <mergeCell ref="A6:C7"/>
    <mergeCell ref="D6:W6"/>
    <mergeCell ref="Y6:Z7"/>
    <mergeCell ref="AA6:AT6"/>
    <mergeCell ref="A5:W5"/>
    <mergeCell ref="A8:B28"/>
    <mergeCell ref="Y8:Y28"/>
    <mergeCell ref="A31:C32"/>
    <mergeCell ref="D31:W31"/>
    <mergeCell ref="Y31:Z32"/>
  </mergeCells>
  <pageMargins left="0.70866141732283472" right="0.70866141732283472" top="0.74803149606299213" bottom="0.74803149606299213" header="0.31496062992125984" footer="0.31496062992125984"/>
  <pageSetup paperSize="9" scale="65" orientation="landscape" r:id="rId1"/>
  <rowBreaks count="2" manualBreakCount="2">
    <brk id="30" max="45" man="1"/>
    <brk id="78" max="45" man="1"/>
  </rowBreaks>
  <colBreaks count="1" manualBreakCount="1">
    <brk id="46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1D059B-AD6B-479C-A922-7F4A8D861486}">
  <sheetPr>
    <tabColor rgb="FFFF0000"/>
  </sheetPr>
  <dimension ref="A1:IU65"/>
  <sheetViews>
    <sheetView view="pageBreakPreview" zoomScale="80" zoomScaleNormal="80" zoomScaleSheetLayoutView="80" workbookViewId="0">
      <selection activeCell="F19" sqref="F19"/>
    </sheetView>
  </sheetViews>
  <sheetFormatPr defaultColWidth="9.109375" defaultRowHeight="14.4"/>
  <cols>
    <col min="1" max="1" width="9.109375" style="880"/>
    <col min="2" max="3" width="5.44140625" style="880" bestFit="1" customWidth="1"/>
    <col min="4" max="4" width="6.6640625" style="880" customWidth="1"/>
    <col min="5" max="5" width="7" style="880" customWidth="1"/>
    <col min="6" max="7" width="6.5546875" style="880" customWidth="1"/>
    <col min="8" max="8" width="6.6640625" style="880" customWidth="1"/>
    <col min="9" max="10" width="6.109375" style="880" customWidth="1"/>
    <col min="11" max="11" width="6.6640625" style="880" customWidth="1"/>
    <col min="12" max="12" width="6.33203125" style="880" customWidth="1"/>
    <col min="13" max="13" width="6.109375" style="880" customWidth="1"/>
    <col min="14" max="14" width="6.5546875" style="880" customWidth="1"/>
    <col min="15" max="15" width="6.88671875" style="880" customWidth="1"/>
    <col min="16" max="17" width="6.44140625" style="880" bestFit="1" customWidth="1"/>
    <col min="18" max="18" width="7.88671875" style="880" customWidth="1"/>
    <col min="19" max="19" width="9" style="880" customWidth="1"/>
    <col min="20" max="20" width="7.5546875" style="880" customWidth="1"/>
    <col min="21" max="21" width="7.88671875" style="880" customWidth="1"/>
    <col min="22" max="22" width="8" style="880" customWidth="1"/>
    <col min="23" max="23" width="6.88671875" style="880" customWidth="1"/>
    <col min="24" max="46" width="9.109375" style="880" hidden="1" customWidth="1"/>
    <col min="47" max="16384" width="9.109375" style="880"/>
  </cols>
  <sheetData>
    <row r="1" spans="1:255" ht="15" customHeight="1">
      <c r="A1" s="1033" t="s">
        <v>1214</v>
      </c>
      <c r="B1" s="1033"/>
      <c r="C1" s="1033"/>
      <c r="D1" s="1033"/>
      <c r="E1" s="1033"/>
      <c r="F1" s="1033"/>
      <c r="G1" s="1033"/>
      <c r="H1" s="1033"/>
      <c r="I1" s="1033"/>
      <c r="J1" s="1033"/>
      <c r="K1" s="1033"/>
      <c r="L1" s="1033"/>
      <c r="M1" s="1033"/>
      <c r="N1" s="1033"/>
      <c r="O1" s="1033"/>
      <c r="P1" s="1033"/>
      <c r="Q1" s="1033"/>
      <c r="R1" s="1033"/>
      <c r="S1" s="1033"/>
      <c r="T1" s="1033"/>
      <c r="U1" s="1033"/>
      <c r="V1" s="1033"/>
      <c r="W1" s="1033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  <c r="AZ1" s="16"/>
      <c r="BA1" s="16"/>
      <c r="BB1" s="16"/>
      <c r="BC1" s="16"/>
      <c r="BD1" s="16"/>
      <c r="BE1" s="16"/>
      <c r="BF1" s="16"/>
      <c r="BG1" s="16"/>
      <c r="BH1" s="16"/>
      <c r="BI1" s="16"/>
      <c r="BJ1" s="16"/>
      <c r="BK1" s="16"/>
      <c r="BL1" s="16"/>
      <c r="BM1" s="16"/>
      <c r="BN1" s="16"/>
      <c r="BO1" s="16"/>
      <c r="BP1" s="16"/>
      <c r="BQ1" s="16"/>
      <c r="BR1" s="16"/>
      <c r="BS1" s="16"/>
      <c r="BT1" s="16"/>
      <c r="BU1" s="16"/>
      <c r="BV1" s="16"/>
      <c r="BW1" s="16"/>
      <c r="BX1" s="16"/>
      <c r="BY1" s="16"/>
      <c r="BZ1" s="16"/>
      <c r="CA1" s="16"/>
      <c r="CB1" s="16"/>
      <c r="CC1" s="16"/>
      <c r="CD1" s="16"/>
      <c r="CE1" s="16"/>
      <c r="CF1" s="16"/>
      <c r="CG1" s="16"/>
      <c r="CH1" s="16"/>
      <c r="CI1" s="16"/>
      <c r="CJ1" s="16"/>
      <c r="CK1" s="16"/>
      <c r="CL1" s="16"/>
      <c r="CM1" s="16"/>
      <c r="CN1" s="16"/>
      <c r="CO1" s="16"/>
      <c r="CP1" s="16"/>
      <c r="CQ1" s="16"/>
      <c r="CR1" s="16"/>
      <c r="CS1" s="16"/>
      <c r="CT1" s="16"/>
      <c r="CU1" s="16"/>
      <c r="CV1" s="16"/>
      <c r="CW1" s="16"/>
      <c r="CX1" s="16"/>
      <c r="CY1" s="16"/>
      <c r="CZ1" s="16"/>
      <c r="DA1" s="16"/>
      <c r="DB1" s="16"/>
      <c r="DC1" s="16"/>
      <c r="DD1" s="16"/>
      <c r="DE1" s="16"/>
      <c r="DF1" s="16"/>
      <c r="DG1" s="16"/>
      <c r="DH1" s="16"/>
      <c r="DI1" s="16"/>
      <c r="DJ1" s="16"/>
      <c r="DK1" s="16"/>
      <c r="DL1" s="16"/>
      <c r="DM1" s="16"/>
      <c r="DN1" s="16"/>
      <c r="DO1" s="16"/>
      <c r="DP1" s="16"/>
      <c r="DQ1" s="16"/>
      <c r="DR1" s="16"/>
      <c r="DS1" s="16"/>
      <c r="DT1" s="16"/>
      <c r="DU1" s="16"/>
      <c r="DV1" s="16"/>
      <c r="DW1" s="16"/>
      <c r="DX1" s="16"/>
      <c r="DY1" s="16"/>
      <c r="DZ1" s="16"/>
      <c r="EA1" s="16"/>
      <c r="EB1" s="16"/>
      <c r="EC1" s="16"/>
      <c r="ED1" s="16"/>
      <c r="EE1" s="16"/>
      <c r="EF1" s="16"/>
      <c r="EG1" s="16"/>
      <c r="EH1" s="16"/>
      <c r="EI1" s="16"/>
      <c r="EJ1" s="16"/>
      <c r="EK1" s="16"/>
      <c r="EL1" s="16"/>
      <c r="EM1" s="16"/>
      <c r="EN1" s="16"/>
      <c r="EO1" s="16"/>
      <c r="EP1" s="16"/>
      <c r="EQ1" s="16"/>
      <c r="ER1" s="16"/>
      <c r="ES1" s="16"/>
      <c r="ET1" s="16"/>
      <c r="EU1" s="16"/>
      <c r="EV1" s="16"/>
      <c r="EW1" s="16"/>
      <c r="EX1" s="16"/>
      <c r="EY1" s="16"/>
      <c r="EZ1" s="16"/>
      <c r="FA1" s="16"/>
      <c r="FB1" s="16"/>
      <c r="FC1" s="16"/>
      <c r="FD1" s="16"/>
      <c r="FE1" s="16"/>
      <c r="FF1" s="16"/>
      <c r="FG1" s="16"/>
      <c r="FH1" s="16"/>
      <c r="FI1" s="16"/>
      <c r="FJ1" s="16"/>
      <c r="FK1" s="16"/>
      <c r="FL1" s="16"/>
      <c r="FM1" s="16"/>
      <c r="FN1" s="16"/>
      <c r="FO1" s="16"/>
      <c r="FP1" s="16"/>
      <c r="FQ1" s="16"/>
      <c r="FR1" s="16"/>
      <c r="FS1" s="16"/>
      <c r="FT1" s="16"/>
      <c r="FU1" s="16"/>
      <c r="FV1" s="16"/>
      <c r="FW1" s="16"/>
      <c r="FX1" s="16"/>
      <c r="FY1" s="16"/>
      <c r="FZ1" s="16"/>
      <c r="GA1" s="16"/>
      <c r="GB1" s="16"/>
      <c r="GC1" s="16"/>
      <c r="GD1" s="16"/>
      <c r="GE1" s="16"/>
      <c r="GF1" s="16"/>
      <c r="GG1" s="16"/>
      <c r="GH1" s="16"/>
      <c r="GI1" s="16"/>
      <c r="GJ1" s="16"/>
      <c r="GK1" s="16"/>
      <c r="GL1" s="16"/>
      <c r="GM1" s="16"/>
      <c r="GN1" s="16"/>
      <c r="GO1" s="16"/>
      <c r="GP1" s="16"/>
      <c r="GQ1" s="16"/>
      <c r="GR1" s="16"/>
      <c r="GS1" s="16"/>
      <c r="GT1" s="16"/>
      <c r="GU1" s="16"/>
      <c r="GV1" s="16"/>
      <c r="GW1" s="16"/>
      <c r="GX1" s="16"/>
      <c r="GY1" s="16"/>
      <c r="GZ1" s="16"/>
      <c r="HA1" s="16"/>
      <c r="HB1" s="16"/>
      <c r="HC1" s="16"/>
      <c r="HD1" s="16"/>
      <c r="HE1" s="16"/>
      <c r="HF1" s="16"/>
      <c r="HG1" s="16"/>
      <c r="HH1" s="16"/>
      <c r="HI1" s="16"/>
      <c r="HJ1" s="16"/>
      <c r="HK1" s="16"/>
      <c r="HL1" s="16"/>
      <c r="HM1" s="16"/>
      <c r="HN1" s="16"/>
      <c r="HO1" s="16"/>
      <c r="HP1" s="16"/>
      <c r="HQ1" s="16"/>
      <c r="HR1" s="16"/>
      <c r="HS1" s="16"/>
      <c r="HT1" s="16"/>
      <c r="HU1" s="16"/>
      <c r="HV1" s="16"/>
      <c r="HW1" s="16"/>
      <c r="HX1" s="16"/>
      <c r="HY1" s="16"/>
      <c r="HZ1" s="16"/>
      <c r="IA1" s="16"/>
      <c r="IB1" s="16"/>
      <c r="IC1" s="16"/>
      <c r="ID1" s="16"/>
      <c r="IE1" s="16"/>
      <c r="IF1" s="16"/>
      <c r="IG1" s="16"/>
      <c r="IH1" s="16"/>
      <c r="II1" s="16"/>
      <c r="IJ1" s="16"/>
      <c r="IK1" s="16"/>
      <c r="IL1" s="16"/>
      <c r="IM1" s="16"/>
      <c r="IN1" s="16"/>
      <c r="IO1" s="16"/>
      <c r="IP1" s="16"/>
      <c r="IQ1" s="16"/>
      <c r="IR1" s="16"/>
      <c r="IS1" s="16"/>
      <c r="IT1" s="16"/>
      <c r="IU1" s="16"/>
    </row>
    <row r="2" spans="1:255" ht="15" customHeight="1">
      <c r="A2" s="1033"/>
      <c r="B2" s="1033"/>
      <c r="C2" s="1033"/>
      <c r="D2" s="1033"/>
      <c r="E2" s="1033"/>
      <c r="F2" s="1033"/>
      <c r="G2" s="1033"/>
      <c r="H2" s="1033"/>
      <c r="I2" s="1033"/>
      <c r="J2" s="1033"/>
      <c r="K2" s="1033"/>
      <c r="L2" s="1033"/>
      <c r="M2" s="1033"/>
      <c r="N2" s="1033"/>
      <c r="O2" s="1033"/>
      <c r="P2" s="1033"/>
      <c r="Q2" s="1033"/>
      <c r="R2" s="1033"/>
      <c r="S2" s="1033"/>
      <c r="T2" s="1033"/>
      <c r="U2" s="1033"/>
      <c r="V2" s="1033"/>
      <c r="W2" s="1033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16"/>
      <c r="CS2" s="16"/>
      <c r="CT2" s="16"/>
      <c r="CU2" s="16"/>
      <c r="CV2" s="16"/>
      <c r="CW2" s="16"/>
      <c r="CX2" s="16"/>
      <c r="CY2" s="16"/>
      <c r="CZ2" s="16"/>
      <c r="DA2" s="16"/>
      <c r="DB2" s="16"/>
      <c r="DC2" s="16"/>
      <c r="DD2" s="16"/>
      <c r="DE2" s="16"/>
      <c r="DF2" s="16"/>
      <c r="DG2" s="16"/>
      <c r="DH2" s="16"/>
      <c r="DI2" s="16"/>
      <c r="DJ2" s="16"/>
      <c r="DK2" s="16"/>
      <c r="DL2" s="16"/>
      <c r="DM2" s="16"/>
      <c r="DN2" s="16"/>
      <c r="DO2" s="16"/>
      <c r="DP2" s="16"/>
      <c r="DQ2" s="16"/>
      <c r="DR2" s="16"/>
      <c r="DS2" s="16"/>
      <c r="DT2" s="16"/>
      <c r="DU2" s="16"/>
      <c r="DV2" s="16"/>
      <c r="DW2" s="16"/>
      <c r="DX2" s="16"/>
      <c r="DY2" s="16"/>
      <c r="DZ2" s="16"/>
      <c r="EA2" s="16"/>
      <c r="EB2" s="16"/>
      <c r="EC2" s="16"/>
      <c r="ED2" s="16"/>
      <c r="EE2" s="16"/>
      <c r="EF2" s="16"/>
      <c r="EG2" s="16"/>
      <c r="EH2" s="16"/>
      <c r="EI2" s="16"/>
      <c r="EJ2" s="16"/>
      <c r="EK2" s="16"/>
      <c r="EL2" s="16"/>
      <c r="EM2" s="16"/>
      <c r="EN2" s="16"/>
      <c r="EO2" s="16"/>
      <c r="EP2" s="16"/>
      <c r="EQ2" s="16"/>
      <c r="ER2" s="16"/>
      <c r="ES2" s="16"/>
      <c r="ET2" s="16"/>
      <c r="EU2" s="16"/>
      <c r="EV2" s="16"/>
      <c r="EW2" s="16"/>
      <c r="EX2" s="16"/>
      <c r="EY2" s="16"/>
      <c r="EZ2" s="16"/>
      <c r="FA2" s="16"/>
      <c r="FB2" s="16"/>
      <c r="FC2" s="16"/>
      <c r="FD2" s="16"/>
      <c r="FE2" s="16"/>
      <c r="FF2" s="16"/>
      <c r="FG2" s="16"/>
      <c r="FH2" s="16"/>
      <c r="FI2" s="16"/>
      <c r="FJ2" s="16"/>
      <c r="FK2" s="16"/>
      <c r="FL2" s="16"/>
      <c r="FM2" s="16"/>
      <c r="FN2" s="16"/>
      <c r="FO2" s="16"/>
      <c r="FP2" s="16"/>
      <c r="FQ2" s="16"/>
      <c r="FR2" s="16"/>
      <c r="FS2" s="16"/>
      <c r="FT2" s="16"/>
      <c r="FU2" s="16"/>
      <c r="FV2" s="16"/>
      <c r="FW2" s="16"/>
      <c r="FX2" s="16"/>
      <c r="FY2" s="16"/>
      <c r="FZ2" s="16"/>
      <c r="GA2" s="16"/>
      <c r="GB2" s="16"/>
      <c r="GC2" s="16"/>
      <c r="GD2" s="16"/>
      <c r="GE2" s="16"/>
      <c r="GF2" s="16"/>
      <c r="GG2" s="16"/>
      <c r="GH2" s="16"/>
      <c r="GI2" s="16"/>
      <c r="GJ2" s="16"/>
      <c r="GK2" s="16"/>
      <c r="GL2" s="16"/>
      <c r="GM2" s="16"/>
      <c r="GN2" s="16"/>
      <c r="GO2" s="16"/>
      <c r="GP2" s="16"/>
      <c r="GQ2" s="16"/>
      <c r="GR2" s="16"/>
      <c r="GS2" s="16"/>
      <c r="GT2" s="16"/>
      <c r="GU2" s="16"/>
      <c r="GV2" s="16"/>
      <c r="GW2" s="16"/>
      <c r="GX2" s="16"/>
      <c r="GY2" s="16"/>
      <c r="GZ2" s="16"/>
      <c r="HA2" s="16"/>
      <c r="HB2" s="16"/>
      <c r="HC2" s="16"/>
      <c r="HD2" s="16"/>
      <c r="HE2" s="16"/>
      <c r="HF2" s="16"/>
      <c r="HG2" s="16"/>
      <c r="HH2" s="16"/>
      <c r="HI2" s="16"/>
      <c r="HJ2" s="16"/>
      <c r="HK2" s="16"/>
      <c r="HL2" s="16"/>
      <c r="HM2" s="16"/>
      <c r="HN2" s="16"/>
      <c r="HO2" s="16"/>
      <c r="HP2" s="16"/>
      <c r="HQ2" s="16"/>
      <c r="HR2" s="16"/>
      <c r="HS2" s="16"/>
      <c r="HT2" s="16"/>
      <c r="HU2" s="16"/>
      <c r="HV2" s="16"/>
      <c r="HW2" s="16"/>
      <c r="HX2" s="16"/>
      <c r="HY2" s="16"/>
      <c r="HZ2" s="16"/>
      <c r="IA2" s="16"/>
      <c r="IB2" s="16"/>
      <c r="IC2" s="16"/>
      <c r="ID2" s="16"/>
      <c r="IE2" s="16"/>
      <c r="IF2" s="16"/>
      <c r="IG2" s="16"/>
      <c r="IH2" s="16"/>
      <c r="II2" s="16"/>
      <c r="IJ2" s="16"/>
      <c r="IK2" s="16"/>
      <c r="IL2" s="16"/>
      <c r="IM2" s="16"/>
      <c r="IN2" s="16"/>
      <c r="IO2" s="16"/>
      <c r="IP2" s="16"/>
      <c r="IQ2" s="16"/>
      <c r="IR2" s="16"/>
      <c r="IS2" s="16"/>
      <c r="IT2" s="16"/>
      <c r="IU2" s="16"/>
    </row>
    <row r="3" spans="1:255" ht="15" customHeight="1">
      <c r="A3" s="1033" t="s">
        <v>1212</v>
      </c>
      <c r="B3" s="1033"/>
      <c r="C3" s="1033"/>
      <c r="D3" s="1033"/>
      <c r="E3" s="1033"/>
      <c r="F3" s="1033"/>
      <c r="G3" s="1033"/>
      <c r="H3" s="1033"/>
      <c r="I3" s="1033"/>
      <c r="J3" s="1033"/>
      <c r="K3" s="1033"/>
      <c r="L3" s="1033"/>
      <c r="M3" s="1033"/>
      <c r="N3" s="1033"/>
      <c r="O3" s="1033"/>
      <c r="P3" s="1033"/>
      <c r="Q3" s="1033"/>
      <c r="R3" s="1033"/>
      <c r="S3" s="1033"/>
      <c r="T3" s="1033"/>
      <c r="U3" s="1033"/>
      <c r="V3" s="1033"/>
      <c r="W3" s="1033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/>
      <c r="BC3" s="16"/>
      <c r="BD3" s="16"/>
      <c r="BE3" s="16"/>
      <c r="BF3" s="16"/>
      <c r="BG3" s="16"/>
      <c r="BH3" s="16"/>
      <c r="BI3" s="16"/>
      <c r="BJ3" s="16"/>
      <c r="BK3" s="16"/>
      <c r="BL3" s="16"/>
      <c r="BM3" s="16"/>
      <c r="BN3" s="16"/>
      <c r="BO3" s="16"/>
      <c r="BP3" s="16"/>
      <c r="BQ3" s="16"/>
      <c r="BR3" s="16"/>
      <c r="BS3" s="16"/>
      <c r="BT3" s="16"/>
      <c r="BU3" s="16"/>
      <c r="BV3" s="16"/>
      <c r="BW3" s="16"/>
      <c r="BX3" s="16"/>
      <c r="BY3" s="16"/>
      <c r="BZ3" s="16"/>
      <c r="CA3" s="16"/>
      <c r="CB3" s="16"/>
      <c r="CC3" s="16"/>
      <c r="CD3" s="16"/>
      <c r="CE3" s="16"/>
      <c r="CF3" s="16"/>
      <c r="CG3" s="16"/>
      <c r="CH3" s="16"/>
      <c r="CI3" s="16"/>
      <c r="CJ3" s="16"/>
      <c r="CK3" s="16"/>
      <c r="CL3" s="16"/>
      <c r="CM3" s="16"/>
      <c r="CN3" s="16"/>
      <c r="CO3" s="16"/>
      <c r="CP3" s="16"/>
      <c r="CQ3" s="16"/>
      <c r="CR3" s="16"/>
      <c r="CS3" s="16"/>
      <c r="CT3" s="16"/>
      <c r="CU3" s="16"/>
      <c r="CV3" s="16"/>
      <c r="CW3" s="16"/>
      <c r="CX3" s="16"/>
      <c r="CY3" s="16"/>
      <c r="CZ3" s="16"/>
      <c r="DA3" s="16"/>
      <c r="DB3" s="16"/>
      <c r="DC3" s="16"/>
      <c r="DD3" s="16"/>
      <c r="DE3" s="16"/>
      <c r="DF3" s="16"/>
      <c r="DG3" s="16"/>
      <c r="DH3" s="16"/>
      <c r="DI3" s="16"/>
      <c r="DJ3" s="16"/>
      <c r="DK3" s="16"/>
      <c r="DL3" s="16"/>
      <c r="DM3" s="16"/>
      <c r="DN3" s="16"/>
      <c r="DO3" s="16"/>
      <c r="DP3" s="16"/>
      <c r="DQ3" s="16"/>
      <c r="DR3" s="16"/>
      <c r="DS3" s="16"/>
      <c r="DT3" s="16"/>
      <c r="DU3" s="16"/>
      <c r="DV3" s="16"/>
      <c r="DW3" s="16"/>
      <c r="DX3" s="16"/>
      <c r="DY3" s="16"/>
      <c r="DZ3" s="16"/>
      <c r="EA3" s="16"/>
      <c r="EB3" s="16"/>
      <c r="EC3" s="16"/>
      <c r="ED3" s="16"/>
      <c r="EE3" s="16"/>
      <c r="EF3" s="16"/>
      <c r="EG3" s="16"/>
      <c r="EH3" s="16"/>
      <c r="EI3" s="16"/>
      <c r="EJ3" s="16"/>
      <c r="EK3" s="16"/>
      <c r="EL3" s="16"/>
      <c r="EM3" s="16"/>
      <c r="EN3" s="16"/>
      <c r="EO3" s="16"/>
      <c r="EP3" s="16"/>
      <c r="EQ3" s="16"/>
      <c r="ER3" s="16"/>
      <c r="ES3" s="16"/>
      <c r="ET3" s="16"/>
      <c r="EU3" s="16"/>
      <c r="EV3" s="16"/>
      <c r="EW3" s="16"/>
      <c r="EX3" s="16"/>
      <c r="EY3" s="16"/>
      <c r="EZ3" s="16"/>
      <c r="FA3" s="16"/>
      <c r="FB3" s="16"/>
      <c r="FC3" s="16"/>
      <c r="FD3" s="16"/>
      <c r="FE3" s="16"/>
      <c r="FF3" s="16"/>
      <c r="FG3" s="16"/>
      <c r="FH3" s="16"/>
      <c r="FI3" s="16"/>
      <c r="FJ3" s="16"/>
      <c r="FK3" s="16"/>
      <c r="FL3" s="16"/>
      <c r="FM3" s="16"/>
      <c r="FN3" s="16"/>
      <c r="FO3" s="16"/>
      <c r="FP3" s="16"/>
      <c r="FQ3" s="16"/>
      <c r="FR3" s="16"/>
      <c r="FS3" s="16"/>
      <c r="FT3" s="16"/>
      <c r="FU3" s="16"/>
      <c r="FV3" s="16"/>
      <c r="FW3" s="16"/>
      <c r="FX3" s="16"/>
      <c r="FY3" s="16"/>
      <c r="FZ3" s="16"/>
      <c r="GA3" s="16"/>
      <c r="GB3" s="16"/>
      <c r="GC3" s="16"/>
      <c r="GD3" s="16"/>
      <c r="GE3" s="16"/>
      <c r="GF3" s="16"/>
      <c r="GG3" s="16"/>
      <c r="GH3" s="16"/>
      <c r="GI3" s="16"/>
      <c r="GJ3" s="16"/>
      <c r="GK3" s="16"/>
      <c r="GL3" s="16"/>
      <c r="GM3" s="16"/>
      <c r="GN3" s="16"/>
      <c r="GO3" s="16"/>
      <c r="GP3" s="16"/>
      <c r="GQ3" s="16"/>
      <c r="GR3" s="16"/>
      <c r="GS3" s="16"/>
      <c r="GT3" s="16"/>
      <c r="GU3" s="16"/>
      <c r="GV3" s="16"/>
      <c r="GW3" s="16"/>
      <c r="GX3" s="16"/>
      <c r="GY3" s="16"/>
      <c r="GZ3" s="16"/>
      <c r="HA3" s="16"/>
      <c r="HB3" s="16"/>
      <c r="HC3" s="16"/>
      <c r="HD3" s="16"/>
      <c r="HE3" s="16"/>
      <c r="HF3" s="16"/>
      <c r="HG3" s="16"/>
      <c r="HH3" s="16"/>
      <c r="HI3" s="16"/>
      <c r="HJ3" s="16"/>
      <c r="HK3" s="16"/>
      <c r="HL3" s="16"/>
      <c r="HM3" s="16"/>
      <c r="HN3" s="16"/>
      <c r="HO3" s="16"/>
      <c r="HP3" s="16"/>
      <c r="HQ3" s="16"/>
      <c r="HR3" s="16"/>
      <c r="HS3" s="16"/>
      <c r="HT3" s="16"/>
      <c r="HU3" s="16"/>
      <c r="HV3" s="16"/>
      <c r="HW3" s="16"/>
      <c r="HX3" s="16"/>
      <c r="HY3" s="16"/>
      <c r="HZ3" s="16"/>
      <c r="IA3" s="16"/>
      <c r="IB3" s="16"/>
      <c r="IC3" s="16"/>
      <c r="ID3" s="16"/>
      <c r="IE3" s="16"/>
      <c r="IF3" s="16"/>
      <c r="IG3" s="16"/>
      <c r="IH3" s="16"/>
      <c r="II3" s="16"/>
      <c r="IJ3" s="16"/>
      <c r="IK3" s="16"/>
      <c r="IL3" s="16"/>
      <c r="IM3" s="16"/>
      <c r="IN3" s="16"/>
      <c r="IO3" s="16"/>
      <c r="IP3" s="16"/>
      <c r="IQ3" s="16"/>
      <c r="IR3" s="16"/>
      <c r="IS3" s="16"/>
      <c r="IT3" s="16"/>
      <c r="IU3" s="16"/>
    </row>
    <row r="4" spans="1:255" ht="15" customHeight="1">
      <c r="A4" s="1033"/>
      <c r="B4" s="1033"/>
      <c r="C4" s="1033"/>
      <c r="D4" s="1033"/>
      <c r="E4" s="1033"/>
      <c r="F4" s="1033"/>
      <c r="G4" s="1033"/>
      <c r="H4" s="1033"/>
      <c r="I4" s="1033"/>
      <c r="J4" s="1033"/>
      <c r="K4" s="1033"/>
      <c r="L4" s="1033"/>
      <c r="M4" s="1033"/>
      <c r="N4" s="1033"/>
      <c r="O4" s="1033"/>
      <c r="P4" s="1033"/>
      <c r="Q4" s="1033"/>
      <c r="R4" s="1033"/>
      <c r="S4" s="1033"/>
      <c r="T4" s="1033"/>
      <c r="U4" s="1033"/>
      <c r="V4" s="1033"/>
      <c r="W4" s="1033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6"/>
      <c r="DB4" s="16"/>
      <c r="DC4" s="16"/>
      <c r="DD4" s="16"/>
      <c r="DE4" s="16"/>
      <c r="DF4" s="16"/>
      <c r="DG4" s="16"/>
      <c r="DH4" s="16"/>
      <c r="DI4" s="16"/>
      <c r="DJ4" s="16"/>
      <c r="DK4" s="16"/>
      <c r="DL4" s="16"/>
      <c r="DM4" s="16"/>
      <c r="DN4" s="16"/>
      <c r="DO4" s="16"/>
      <c r="DP4" s="16"/>
      <c r="DQ4" s="16"/>
      <c r="DR4" s="16"/>
      <c r="DS4" s="16"/>
      <c r="DT4" s="16"/>
      <c r="DU4" s="16"/>
      <c r="DV4" s="16"/>
      <c r="DW4" s="16"/>
      <c r="DX4" s="16"/>
      <c r="DY4" s="16"/>
      <c r="DZ4" s="16"/>
      <c r="EA4" s="16"/>
      <c r="EB4" s="16"/>
      <c r="EC4" s="16"/>
      <c r="ED4" s="16"/>
      <c r="EE4" s="16"/>
      <c r="EF4" s="16"/>
      <c r="EG4" s="16"/>
      <c r="EH4" s="16"/>
      <c r="EI4" s="16"/>
      <c r="EJ4" s="16"/>
      <c r="EK4" s="16"/>
      <c r="EL4" s="16"/>
      <c r="EM4" s="16"/>
      <c r="EN4" s="16"/>
      <c r="EO4" s="16"/>
      <c r="EP4" s="16"/>
      <c r="EQ4" s="16"/>
      <c r="ER4" s="16"/>
      <c r="ES4" s="16"/>
      <c r="ET4" s="16"/>
      <c r="EU4" s="16"/>
      <c r="EV4" s="16"/>
      <c r="EW4" s="16"/>
      <c r="EX4" s="16"/>
      <c r="EY4" s="16"/>
      <c r="EZ4" s="16"/>
      <c r="FA4" s="16"/>
      <c r="FB4" s="16"/>
      <c r="FC4" s="16"/>
      <c r="FD4" s="16"/>
      <c r="FE4" s="16"/>
      <c r="FF4" s="16"/>
      <c r="FG4" s="16"/>
      <c r="FH4" s="16"/>
      <c r="FI4" s="16"/>
      <c r="FJ4" s="16"/>
      <c r="FK4" s="16"/>
      <c r="FL4" s="16"/>
      <c r="FM4" s="16"/>
      <c r="FN4" s="16"/>
      <c r="FO4" s="16"/>
      <c r="FP4" s="16"/>
      <c r="FQ4" s="16"/>
      <c r="FR4" s="16"/>
      <c r="FS4" s="16"/>
      <c r="FT4" s="16"/>
      <c r="FU4" s="16"/>
      <c r="FV4" s="16"/>
      <c r="FW4" s="16"/>
      <c r="FX4" s="16"/>
      <c r="FY4" s="16"/>
      <c r="FZ4" s="16"/>
      <c r="GA4" s="16"/>
      <c r="GB4" s="16"/>
      <c r="GC4" s="16"/>
      <c r="GD4" s="16"/>
      <c r="GE4" s="16"/>
      <c r="GF4" s="16"/>
      <c r="GG4" s="16"/>
      <c r="GH4" s="16"/>
      <c r="GI4" s="16"/>
      <c r="GJ4" s="16"/>
      <c r="GK4" s="16"/>
      <c r="GL4" s="16"/>
      <c r="GM4" s="16"/>
      <c r="GN4" s="16"/>
      <c r="GO4" s="16"/>
      <c r="GP4" s="16"/>
      <c r="GQ4" s="16"/>
      <c r="GR4" s="16"/>
      <c r="GS4" s="16"/>
      <c r="GT4" s="16"/>
      <c r="GU4" s="16"/>
      <c r="GV4" s="16"/>
      <c r="GW4" s="16"/>
      <c r="GX4" s="16"/>
      <c r="GY4" s="16"/>
      <c r="GZ4" s="16"/>
      <c r="HA4" s="16"/>
      <c r="HB4" s="16"/>
      <c r="HC4" s="16"/>
      <c r="HD4" s="16"/>
      <c r="HE4" s="16"/>
      <c r="HF4" s="16"/>
      <c r="HG4" s="16"/>
      <c r="HH4" s="16"/>
      <c r="HI4" s="16"/>
      <c r="HJ4" s="16"/>
      <c r="HK4" s="16"/>
      <c r="HL4" s="16"/>
      <c r="HM4" s="16"/>
      <c r="HN4" s="16"/>
      <c r="HO4" s="16"/>
      <c r="HP4" s="16"/>
      <c r="HQ4" s="16"/>
      <c r="HR4" s="16"/>
      <c r="HS4" s="16"/>
      <c r="HT4" s="16"/>
      <c r="HU4" s="16"/>
      <c r="HV4" s="16"/>
      <c r="HW4" s="16"/>
      <c r="HX4" s="16"/>
      <c r="HY4" s="16"/>
      <c r="HZ4" s="16"/>
      <c r="IA4" s="16"/>
      <c r="IB4" s="16"/>
      <c r="IC4" s="16"/>
      <c r="ID4" s="16"/>
      <c r="IE4" s="16"/>
      <c r="IF4" s="16"/>
      <c r="IG4" s="16"/>
      <c r="IH4" s="16"/>
      <c r="II4" s="16"/>
      <c r="IJ4" s="16"/>
      <c r="IK4" s="16"/>
      <c r="IL4" s="16"/>
      <c r="IM4" s="16"/>
      <c r="IN4" s="16"/>
      <c r="IO4" s="16"/>
      <c r="IP4" s="16"/>
      <c r="IQ4" s="16"/>
      <c r="IR4" s="16"/>
      <c r="IS4" s="16"/>
      <c r="IT4" s="16"/>
      <c r="IU4" s="16"/>
    </row>
    <row r="5" spans="1:255" ht="16.2" thickBot="1">
      <c r="A5" s="1033" t="s">
        <v>1225</v>
      </c>
      <c r="B5" s="1033"/>
      <c r="C5" s="1033"/>
      <c r="D5" s="1033"/>
      <c r="E5" s="1033"/>
      <c r="F5" s="1033"/>
      <c r="G5" s="1033"/>
      <c r="H5" s="1033"/>
      <c r="I5" s="1033"/>
      <c r="J5" s="1033"/>
      <c r="K5" s="1033"/>
      <c r="L5" s="1033"/>
      <c r="M5" s="1033"/>
      <c r="N5" s="1033"/>
      <c r="O5" s="1033"/>
      <c r="P5" s="1033"/>
      <c r="Q5" s="1033"/>
      <c r="R5" s="1033"/>
      <c r="S5" s="1033"/>
      <c r="T5" s="1033"/>
      <c r="U5" s="1033"/>
      <c r="V5" s="1033"/>
      <c r="W5" s="1033"/>
    </row>
    <row r="6" spans="1:255" ht="33" customHeight="1" thickBot="1">
      <c r="A6" s="1413"/>
      <c r="B6" s="1414"/>
      <c r="C6" s="1415"/>
      <c r="D6" s="1419" t="s">
        <v>207</v>
      </c>
      <c r="E6" s="1420"/>
      <c r="F6" s="1420"/>
      <c r="G6" s="1420"/>
      <c r="H6" s="1420"/>
      <c r="I6" s="1420"/>
      <c r="J6" s="1420"/>
      <c r="K6" s="1420"/>
      <c r="L6" s="1420"/>
      <c r="M6" s="1420"/>
      <c r="N6" s="1420"/>
      <c r="O6" s="1420"/>
      <c r="P6" s="1420"/>
      <c r="Q6" s="1420"/>
      <c r="R6" s="1420"/>
      <c r="S6" s="1420"/>
      <c r="T6" s="1420"/>
      <c r="U6" s="1420"/>
      <c r="V6" s="1420"/>
      <c r="W6" s="1421"/>
      <c r="Y6" s="1278" t="s">
        <v>1196</v>
      </c>
      <c r="Z6" s="1278"/>
      <c r="AA6" s="1279" t="s">
        <v>356</v>
      </c>
      <c r="AB6" s="1279"/>
      <c r="AC6" s="1279"/>
      <c r="AD6" s="1279"/>
      <c r="AE6" s="1279"/>
      <c r="AF6" s="1279"/>
      <c r="AG6" s="1279"/>
      <c r="AH6" s="1279"/>
      <c r="AI6" s="1279"/>
      <c r="AJ6" s="1279"/>
      <c r="AK6" s="1279"/>
      <c r="AL6" s="1279"/>
      <c r="AM6" s="1279"/>
      <c r="AN6" s="1279"/>
      <c r="AO6" s="1279"/>
      <c r="AP6" s="1279"/>
      <c r="AQ6" s="1279"/>
      <c r="AR6" s="1279"/>
      <c r="AS6" s="1279"/>
      <c r="AT6" s="1279"/>
    </row>
    <row r="7" spans="1:255" ht="14.25" customHeight="1" thickBot="1">
      <c r="A7" s="1416"/>
      <c r="B7" s="1417"/>
      <c r="C7" s="1418"/>
      <c r="D7" s="909">
        <v>0.3</v>
      </c>
      <c r="E7" s="910">
        <v>0.4</v>
      </c>
      <c r="F7" s="910">
        <v>0.5</v>
      </c>
      <c r="G7" s="910">
        <v>0.6</v>
      </c>
      <c r="H7" s="910">
        <v>0.7</v>
      </c>
      <c r="I7" s="910">
        <v>0.8</v>
      </c>
      <c r="J7" s="910">
        <v>0.9</v>
      </c>
      <c r="K7" s="910">
        <v>1</v>
      </c>
      <c r="L7" s="910">
        <v>1.1000000000000001</v>
      </c>
      <c r="M7" s="910">
        <v>1.2</v>
      </c>
      <c r="N7" s="910">
        <v>1.3</v>
      </c>
      <c r="O7" s="910">
        <v>1.4</v>
      </c>
      <c r="P7" s="910">
        <v>1.5</v>
      </c>
      <c r="Q7" s="910">
        <v>1.6</v>
      </c>
      <c r="R7" s="910">
        <v>1.7</v>
      </c>
      <c r="S7" s="910">
        <v>1.8</v>
      </c>
      <c r="T7" s="910">
        <v>1.9</v>
      </c>
      <c r="U7" s="910">
        <v>2</v>
      </c>
      <c r="V7" s="910">
        <v>2.1</v>
      </c>
      <c r="W7" s="911">
        <v>2.2000000000000002</v>
      </c>
      <c r="Y7" s="1278"/>
      <c r="Z7" s="1278"/>
      <c r="AA7" s="649">
        <v>0.3</v>
      </c>
      <c r="AB7" s="649">
        <v>0.4</v>
      </c>
      <c r="AC7" s="649">
        <v>0.5</v>
      </c>
      <c r="AD7" s="649">
        <v>0.6</v>
      </c>
      <c r="AE7" s="649">
        <v>0.7</v>
      </c>
      <c r="AF7" s="649">
        <v>0.8</v>
      </c>
      <c r="AG7" s="649">
        <v>0.9</v>
      </c>
      <c r="AH7" s="649">
        <v>1</v>
      </c>
      <c r="AI7" s="649">
        <v>1.1000000000000001</v>
      </c>
      <c r="AJ7" s="649">
        <v>1.2</v>
      </c>
      <c r="AK7" s="649">
        <v>1.3</v>
      </c>
      <c r="AL7" s="649">
        <v>1.4</v>
      </c>
      <c r="AM7" s="649">
        <v>1.5</v>
      </c>
      <c r="AN7" s="649">
        <v>1.6</v>
      </c>
      <c r="AO7" s="649">
        <v>1.7</v>
      </c>
      <c r="AP7" s="649">
        <v>1.8</v>
      </c>
      <c r="AQ7" s="649">
        <v>1.9</v>
      </c>
      <c r="AR7" s="649">
        <v>2</v>
      </c>
      <c r="AS7" s="649">
        <v>2.1</v>
      </c>
      <c r="AT7" s="649">
        <v>2.2000000000000002</v>
      </c>
    </row>
    <row r="8" spans="1:255" ht="20.25" customHeight="1">
      <c r="A8" s="1426" t="s">
        <v>3</v>
      </c>
      <c r="B8" s="1427"/>
      <c r="C8" s="907">
        <v>0.2</v>
      </c>
      <c r="D8" s="899">
        <f>(AA8*KFC!$B$17+KFC!$C$17)*KFC!$C$5</f>
        <v>14.363815749254998</v>
      </c>
      <c r="E8" s="913">
        <f>(AB8*KFC!$B$17+KFC!$C$17)*KFC!$C$5</f>
        <v>15.010491647721315</v>
      </c>
      <c r="F8" s="913">
        <f>(AC8*KFC!$B$17+KFC!$C$17)*KFC!$C$5</f>
        <v>15.65716754618763</v>
      </c>
      <c r="G8" s="913">
        <f>(AD8*KFC!$B$17+KFC!$C$17)*KFC!$C$5</f>
        <v>16.303843444653946</v>
      </c>
      <c r="H8" s="913">
        <f>(AE8*KFC!$B$17+KFC!$C$17)*KFC!$C$5</f>
        <v>16.950519343120263</v>
      </c>
      <c r="I8" s="913">
        <f>(AF8*KFC!$B$17+KFC!$C$17)*KFC!$C$5</f>
        <v>17.597195241586579</v>
      </c>
      <c r="J8" s="913">
        <f>(AG8*KFC!$B$17+KFC!$C$17)*KFC!$C$5</f>
        <v>18.243871140052896</v>
      </c>
      <c r="K8" s="913">
        <f>(AH8*KFC!$B$17+KFC!$C$17)*KFC!$C$5</f>
        <v>18.890547038519212</v>
      </c>
      <c r="L8" s="913">
        <f>(AI8*KFC!$B$17+KFC!$C$17)*KFC!$C$5</f>
        <v>19.537222936985529</v>
      </c>
      <c r="M8" s="913">
        <f>(AJ8*KFC!$B$17+KFC!$C$17)*KFC!$C$5</f>
        <v>20.183898835451846</v>
      </c>
      <c r="N8" s="913">
        <f>(AK8*KFC!$B$17+KFC!$C$17)*KFC!$C$5</f>
        <v>20.830574733918159</v>
      </c>
      <c r="O8" s="913">
        <f>(AL8*KFC!$B$17+KFC!$C$17)*KFC!$C$5</f>
        <v>21.477250632384479</v>
      </c>
      <c r="P8" s="913">
        <f>(AM8*KFC!$B$17+KFC!$C$17)*KFC!$C$5</f>
        <v>22.123926530850795</v>
      </c>
      <c r="Q8" s="913">
        <f>(AN8*KFC!$B$17+KFC!$C$17)*KFC!$C$5</f>
        <v>22.770602429317108</v>
      </c>
      <c r="R8" s="913">
        <f>(AO8*KFC!$B$17+KFC!$C$17)*KFC!$C$5</f>
        <v>23.417278327783425</v>
      </c>
      <c r="S8" s="913">
        <f>(AP8*KFC!$B$17+KFC!$C$17)*KFC!$C$5</f>
        <v>24.063954226249738</v>
      </c>
      <c r="T8" s="913">
        <f>(AQ8*KFC!$B$17+KFC!$C$17)*KFC!$C$5</f>
        <v>24.710630124716058</v>
      </c>
      <c r="U8" s="913">
        <f>(AR8*KFC!$B$17+KFC!$C$17)*KFC!$C$5</f>
        <v>25.357306023182375</v>
      </c>
      <c r="V8" s="913">
        <f>(AS8*KFC!$B$17+KFC!$C$17)*KFC!$C$5</f>
        <v>26.003981921648691</v>
      </c>
      <c r="W8" s="914">
        <f>(AT8*KFC!$B$17+KFC!$C$17)*KFC!$C$5</f>
        <v>26.650657820114997</v>
      </c>
      <c r="Y8" s="1277" t="s">
        <v>357</v>
      </c>
      <c r="Z8" s="649">
        <v>0.2</v>
      </c>
      <c r="AA8" s="882">
        <v>14.363815749254998</v>
      </c>
      <c r="AB8" s="882">
        <v>15.010491647721315</v>
      </c>
      <c r="AC8" s="882">
        <v>15.65716754618763</v>
      </c>
      <c r="AD8" s="882">
        <v>16.303843444653946</v>
      </c>
      <c r="AE8" s="882">
        <v>16.950519343120263</v>
      </c>
      <c r="AF8" s="882">
        <v>17.597195241586579</v>
      </c>
      <c r="AG8" s="882">
        <v>18.243871140052896</v>
      </c>
      <c r="AH8" s="882">
        <v>18.890547038519212</v>
      </c>
      <c r="AI8" s="882">
        <v>19.537222936985529</v>
      </c>
      <c r="AJ8" s="882">
        <v>20.183898835451846</v>
      </c>
      <c r="AK8" s="882">
        <v>20.830574733918159</v>
      </c>
      <c r="AL8" s="882">
        <v>21.477250632384479</v>
      </c>
      <c r="AM8" s="882">
        <v>22.123926530850795</v>
      </c>
      <c r="AN8" s="882">
        <v>22.770602429317108</v>
      </c>
      <c r="AO8" s="882">
        <v>23.417278327783425</v>
      </c>
      <c r="AP8" s="882">
        <v>24.063954226249738</v>
      </c>
      <c r="AQ8" s="882">
        <v>24.710630124716058</v>
      </c>
      <c r="AR8" s="882">
        <v>25.357306023182375</v>
      </c>
      <c r="AS8" s="882">
        <v>26.003981921648691</v>
      </c>
      <c r="AT8" s="882">
        <v>26.650657820114997</v>
      </c>
    </row>
    <row r="9" spans="1:255" ht="14.4" customHeight="1">
      <c r="A9" s="1426"/>
      <c r="B9" s="1427"/>
      <c r="C9" s="881">
        <v>0.3</v>
      </c>
      <c r="D9" s="915">
        <f>(AA9*KFC!$B$17+KFC!$C$17)*KFC!$C$5</f>
        <v>14.850328905787498</v>
      </c>
      <c r="E9" s="912">
        <f>(AB9*KFC!$B$17+KFC!$C$17)*KFC!$C$5</f>
        <v>15.594759305365145</v>
      </c>
      <c r="F9" s="912">
        <f>(AC9*KFC!$B$17+KFC!$C$17)*KFC!$C$5</f>
        <v>16.33918970494279</v>
      </c>
      <c r="G9" s="912">
        <f>(AD9*KFC!$B$17+KFC!$C$17)*KFC!$C$5</f>
        <v>17.083620104520431</v>
      </c>
      <c r="H9" s="912">
        <f>(AE9*KFC!$B$17+KFC!$C$17)*KFC!$C$5</f>
        <v>17.82805050409808</v>
      </c>
      <c r="I9" s="912">
        <f>(AF9*KFC!$B$17+KFC!$C$17)*KFC!$C$5</f>
        <v>18.572480903675721</v>
      </c>
      <c r="J9" s="912">
        <f>(AG9*KFC!$B$17+KFC!$C$17)*KFC!$C$5</f>
        <v>19.31691130325337</v>
      </c>
      <c r="K9" s="912">
        <f>(AH9*KFC!$B$17+KFC!$C$17)*KFC!$C$5</f>
        <v>20.061341702831012</v>
      </c>
      <c r="L9" s="912">
        <f>(AI9*KFC!$B$17+KFC!$C$17)*KFC!$C$5</f>
        <v>20.805772102408657</v>
      </c>
      <c r="M9" s="912">
        <f>(AJ9*KFC!$B$17+KFC!$C$17)*KFC!$C$5</f>
        <v>21.550202501986302</v>
      </c>
      <c r="N9" s="912">
        <f>(AK9*KFC!$B$17+KFC!$C$17)*KFC!$C$5</f>
        <v>22.294632901563947</v>
      </c>
      <c r="O9" s="912">
        <f>(AL9*KFC!$B$17+KFC!$C$17)*KFC!$C$5</f>
        <v>23.039063301141596</v>
      </c>
      <c r="P9" s="912">
        <f>(AM9*KFC!$B$17+KFC!$C$17)*KFC!$C$5</f>
        <v>23.783493700719241</v>
      </c>
      <c r="Q9" s="912">
        <f>(AN9*KFC!$B$17+KFC!$C$17)*KFC!$C$5</f>
        <v>24.527924100296882</v>
      </c>
      <c r="R9" s="912">
        <f>(AO9*KFC!$B$17+KFC!$C$17)*KFC!$C$5</f>
        <v>25.272354499874528</v>
      </c>
      <c r="S9" s="912">
        <f>(AP9*KFC!$B$17+KFC!$C$17)*KFC!$C$5</f>
        <v>26.016784899452176</v>
      </c>
      <c r="T9" s="912">
        <f>(AQ9*KFC!$B$17+KFC!$C$17)*KFC!$C$5</f>
        <v>26.761215299029818</v>
      </c>
      <c r="U9" s="912">
        <f>(AR9*KFC!$B$17+KFC!$C$17)*KFC!$C$5</f>
        <v>27.505645698607463</v>
      </c>
      <c r="V9" s="912">
        <f>(AS9*KFC!$B$17+KFC!$C$17)*KFC!$C$5</f>
        <v>28.250076098185108</v>
      </c>
      <c r="W9" s="916">
        <f>(AT9*KFC!$B$17+KFC!$C$17)*KFC!$C$5</f>
        <v>28.994506497762753</v>
      </c>
      <c r="Y9" s="1277"/>
      <c r="Z9" s="649">
        <v>0.3</v>
      </c>
      <c r="AA9" s="882">
        <v>14.850328905787498</v>
      </c>
      <c r="AB9" s="882">
        <v>15.594759305365145</v>
      </c>
      <c r="AC9" s="882">
        <v>16.33918970494279</v>
      </c>
      <c r="AD9" s="882">
        <v>17.083620104520431</v>
      </c>
      <c r="AE9" s="882">
        <v>17.82805050409808</v>
      </c>
      <c r="AF9" s="882">
        <v>18.572480903675721</v>
      </c>
      <c r="AG9" s="882">
        <v>19.31691130325337</v>
      </c>
      <c r="AH9" s="882">
        <v>20.061341702831012</v>
      </c>
      <c r="AI9" s="882">
        <v>20.805772102408657</v>
      </c>
      <c r="AJ9" s="882">
        <v>21.550202501986302</v>
      </c>
      <c r="AK9" s="882">
        <v>22.294632901563947</v>
      </c>
      <c r="AL9" s="882">
        <v>23.039063301141596</v>
      </c>
      <c r="AM9" s="882">
        <v>23.783493700719241</v>
      </c>
      <c r="AN9" s="882">
        <v>24.527924100296882</v>
      </c>
      <c r="AO9" s="882">
        <v>25.272354499874528</v>
      </c>
      <c r="AP9" s="882">
        <v>26.016784899452176</v>
      </c>
      <c r="AQ9" s="882">
        <v>26.761215299029818</v>
      </c>
      <c r="AR9" s="882">
        <v>27.505645698607463</v>
      </c>
      <c r="AS9" s="882">
        <v>28.250076098185108</v>
      </c>
      <c r="AT9" s="882">
        <v>28.994506497762753</v>
      </c>
    </row>
    <row r="10" spans="1:255">
      <c r="A10" s="1426"/>
      <c r="B10" s="1427"/>
      <c r="C10" s="881">
        <v>0.4</v>
      </c>
      <c r="D10" s="915">
        <f>(AA10*KFC!$B$17+KFC!$C$17)*KFC!$C$5</f>
        <v>15.336842062319997</v>
      </c>
      <c r="E10" s="912">
        <f>(AB10*KFC!$B$17+KFC!$C$17)*KFC!$C$5</f>
        <v>16.179026963008969</v>
      </c>
      <c r="F10" s="912">
        <f>(AC10*KFC!$B$17+KFC!$C$17)*KFC!$C$5</f>
        <v>17.021211863697946</v>
      </c>
      <c r="G10" s="912">
        <f>(AD10*KFC!$B$17+KFC!$C$17)*KFC!$C$5</f>
        <v>17.86339676438692</v>
      </c>
      <c r="H10" s="912">
        <f>(AE10*KFC!$B$17+KFC!$C$17)*KFC!$C$5</f>
        <v>18.705581665075897</v>
      </c>
      <c r="I10" s="912">
        <f>(AF10*KFC!$B$17+KFC!$C$17)*KFC!$C$5</f>
        <v>19.547766565764867</v>
      </c>
      <c r="J10" s="912">
        <f>(AG10*KFC!$B$17+KFC!$C$17)*KFC!$C$5</f>
        <v>20.389951466453841</v>
      </c>
      <c r="K10" s="912">
        <f>(AH10*KFC!$B$17+KFC!$C$17)*KFC!$C$5</f>
        <v>21.232136367142814</v>
      </c>
      <c r="L10" s="912">
        <f>(AI10*KFC!$B$17+KFC!$C$17)*KFC!$C$5</f>
        <v>22.074321267831792</v>
      </c>
      <c r="M10" s="912">
        <f>(AJ10*KFC!$B$17+KFC!$C$17)*KFC!$C$5</f>
        <v>22.916506168520762</v>
      </c>
      <c r="N10" s="912">
        <f>(AK10*KFC!$B$17+KFC!$C$17)*KFC!$C$5</f>
        <v>23.758691069209739</v>
      </c>
      <c r="O10" s="912">
        <f>(AL10*KFC!$B$17+KFC!$C$17)*KFC!$C$5</f>
        <v>24.600875969898713</v>
      </c>
      <c r="P10" s="912">
        <f>(AM10*KFC!$B$17+KFC!$C$17)*KFC!$C$5</f>
        <v>25.443060870587686</v>
      </c>
      <c r="Q10" s="912">
        <f>(AN10*KFC!$B$17+KFC!$C$17)*KFC!$C$5</f>
        <v>26.28524577127666</v>
      </c>
      <c r="R10" s="912">
        <f>(AO10*KFC!$B$17+KFC!$C$17)*KFC!$C$5</f>
        <v>27.127430671965634</v>
      </c>
      <c r="S10" s="912">
        <f>(AP10*KFC!$B$17+KFC!$C$17)*KFC!$C$5</f>
        <v>27.969615572654611</v>
      </c>
      <c r="T10" s="912">
        <f>(AQ10*KFC!$B$17+KFC!$C$17)*KFC!$C$5</f>
        <v>28.811800473343581</v>
      </c>
      <c r="U10" s="912">
        <f>(AR10*KFC!$B$17+KFC!$C$17)*KFC!$C$5</f>
        <v>29.653985374032558</v>
      </c>
      <c r="V10" s="912">
        <f>(AS10*KFC!$B$17+KFC!$C$17)*KFC!$C$5</f>
        <v>30.496170274721532</v>
      </c>
      <c r="W10" s="916">
        <f>(AT10*KFC!$B$17+KFC!$C$17)*KFC!$C$5</f>
        <v>31.338355175410499</v>
      </c>
      <c r="Y10" s="1277"/>
      <c r="Z10" s="649">
        <v>0.4</v>
      </c>
      <c r="AA10" s="882">
        <v>15.336842062319997</v>
      </c>
      <c r="AB10" s="882">
        <v>16.179026963008969</v>
      </c>
      <c r="AC10" s="882">
        <v>17.021211863697946</v>
      </c>
      <c r="AD10" s="882">
        <v>17.86339676438692</v>
      </c>
      <c r="AE10" s="882">
        <v>18.705581665075897</v>
      </c>
      <c r="AF10" s="882">
        <v>19.547766565764867</v>
      </c>
      <c r="AG10" s="882">
        <v>20.389951466453841</v>
      </c>
      <c r="AH10" s="882">
        <v>21.232136367142814</v>
      </c>
      <c r="AI10" s="882">
        <v>22.074321267831792</v>
      </c>
      <c r="AJ10" s="882">
        <v>22.916506168520762</v>
      </c>
      <c r="AK10" s="882">
        <v>23.758691069209739</v>
      </c>
      <c r="AL10" s="882">
        <v>24.600875969898713</v>
      </c>
      <c r="AM10" s="882">
        <v>25.443060870587686</v>
      </c>
      <c r="AN10" s="882">
        <v>26.28524577127666</v>
      </c>
      <c r="AO10" s="882">
        <v>27.127430671965634</v>
      </c>
      <c r="AP10" s="882">
        <v>27.969615572654611</v>
      </c>
      <c r="AQ10" s="882">
        <v>28.811800473343581</v>
      </c>
      <c r="AR10" s="882">
        <v>29.653985374032558</v>
      </c>
      <c r="AS10" s="882">
        <v>30.496170274721532</v>
      </c>
      <c r="AT10" s="882">
        <v>31.338355175410499</v>
      </c>
    </row>
    <row r="11" spans="1:255">
      <c r="A11" s="1426"/>
      <c r="B11" s="1427"/>
      <c r="C11" s="881">
        <v>0.5</v>
      </c>
      <c r="D11" s="915">
        <f>(AA11*KFC!$B$17+KFC!$C$17)*KFC!$C$5</f>
        <v>15.823355218852496</v>
      </c>
      <c r="E11" s="912">
        <f>(AB11*KFC!$B$17+KFC!$C$17)*KFC!$C$5</f>
        <v>16.7632946206528</v>
      </c>
      <c r="F11" s="912">
        <f>(AC11*KFC!$B$17+KFC!$C$17)*KFC!$C$5</f>
        <v>17.703234022453103</v>
      </c>
      <c r="G11" s="912">
        <f>(AD11*KFC!$B$17+KFC!$C$17)*KFC!$C$5</f>
        <v>18.643173424253408</v>
      </c>
      <c r="H11" s="912">
        <f>(AE11*KFC!$B$17+KFC!$C$17)*KFC!$C$5</f>
        <v>19.583112826053707</v>
      </c>
      <c r="I11" s="912">
        <f>(AF11*KFC!$B$17+KFC!$C$17)*KFC!$C$5</f>
        <v>20.523052227854013</v>
      </c>
      <c r="J11" s="912">
        <f>(AG11*KFC!$B$17+KFC!$C$17)*KFC!$C$5</f>
        <v>21.462991629654312</v>
      </c>
      <c r="K11" s="912">
        <f>(AH11*KFC!$B$17+KFC!$C$17)*KFC!$C$5</f>
        <v>22.402931031454617</v>
      </c>
      <c r="L11" s="912">
        <f>(AI11*KFC!$B$17+KFC!$C$17)*KFC!$C$5</f>
        <v>23.342870433254923</v>
      </c>
      <c r="M11" s="912">
        <f>(AJ11*KFC!$B$17+KFC!$C$17)*KFC!$C$5</f>
        <v>24.282809835055222</v>
      </c>
      <c r="N11" s="912">
        <f>(AK11*KFC!$B$17+KFC!$C$17)*KFC!$C$5</f>
        <v>25.222749236855524</v>
      </c>
      <c r="O11" s="912">
        <f>(AL11*KFC!$B$17+KFC!$C$17)*KFC!$C$5</f>
        <v>26.162688638655826</v>
      </c>
      <c r="P11" s="912">
        <f>(AM11*KFC!$B$17+KFC!$C$17)*KFC!$C$5</f>
        <v>27.102628040456132</v>
      </c>
      <c r="Q11" s="912">
        <f>(AN11*KFC!$B$17+KFC!$C$17)*KFC!$C$5</f>
        <v>28.042567442256434</v>
      </c>
      <c r="R11" s="912">
        <f>(AO11*KFC!$B$17+KFC!$C$17)*KFC!$C$5</f>
        <v>28.982506844056736</v>
      </c>
      <c r="S11" s="912">
        <f>(AP11*KFC!$B$17+KFC!$C$17)*KFC!$C$5</f>
        <v>29.922446245857039</v>
      </c>
      <c r="T11" s="912">
        <f>(AQ11*KFC!$B$17+KFC!$C$17)*KFC!$C$5</f>
        <v>30.862385647657344</v>
      </c>
      <c r="U11" s="912">
        <f>(AR11*KFC!$B$17+KFC!$C$17)*KFC!$C$5</f>
        <v>31.802325049457647</v>
      </c>
      <c r="V11" s="912">
        <f>(AS11*KFC!$B$17+KFC!$C$17)*KFC!$C$5</f>
        <v>32.742264451257945</v>
      </c>
      <c r="W11" s="916">
        <f>(AT11*KFC!$B$17+KFC!$C$17)*KFC!$C$5</f>
        <v>33.682203853058255</v>
      </c>
      <c r="Y11" s="1277"/>
      <c r="Z11" s="649">
        <v>0.5</v>
      </c>
      <c r="AA11" s="882">
        <v>15.823355218852496</v>
      </c>
      <c r="AB11" s="882">
        <v>16.7632946206528</v>
      </c>
      <c r="AC11" s="882">
        <v>17.703234022453103</v>
      </c>
      <c r="AD11" s="882">
        <v>18.643173424253408</v>
      </c>
      <c r="AE11" s="882">
        <v>19.583112826053707</v>
      </c>
      <c r="AF11" s="882">
        <v>20.523052227854013</v>
      </c>
      <c r="AG11" s="882">
        <v>21.462991629654312</v>
      </c>
      <c r="AH11" s="882">
        <v>22.402931031454617</v>
      </c>
      <c r="AI11" s="882">
        <v>23.342870433254923</v>
      </c>
      <c r="AJ11" s="882">
        <v>24.282809835055222</v>
      </c>
      <c r="AK11" s="882">
        <v>25.222749236855524</v>
      </c>
      <c r="AL11" s="882">
        <v>26.162688638655826</v>
      </c>
      <c r="AM11" s="882">
        <v>27.102628040456132</v>
      </c>
      <c r="AN11" s="882">
        <v>28.042567442256434</v>
      </c>
      <c r="AO11" s="882">
        <v>28.982506844056736</v>
      </c>
      <c r="AP11" s="882">
        <v>29.922446245857039</v>
      </c>
      <c r="AQ11" s="882">
        <v>30.862385647657344</v>
      </c>
      <c r="AR11" s="882">
        <v>31.802325049457647</v>
      </c>
      <c r="AS11" s="882">
        <v>32.742264451257945</v>
      </c>
      <c r="AT11" s="882">
        <v>33.682203853058255</v>
      </c>
    </row>
    <row r="12" spans="1:255">
      <c r="A12" s="1426"/>
      <c r="B12" s="1427"/>
      <c r="C12" s="881">
        <v>0.6</v>
      </c>
      <c r="D12" s="915">
        <f>(AA12*KFC!$B$17+KFC!$C$17)*KFC!$C$5</f>
        <v>16.309868375384998</v>
      </c>
      <c r="E12" s="912">
        <f>(AB12*KFC!$B$17+KFC!$C$17)*KFC!$C$5</f>
        <v>17.347562278296628</v>
      </c>
      <c r="F12" s="912">
        <f>(AC12*KFC!$B$17+KFC!$C$17)*KFC!$C$5</f>
        <v>18.385256181208259</v>
      </c>
      <c r="G12" s="912">
        <f>(AD12*KFC!$B$17+KFC!$C$17)*KFC!$C$5</f>
        <v>19.422950084119893</v>
      </c>
      <c r="H12" s="912">
        <f>(AE12*KFC!$B$17+KFC!$C$17)*KFC!$C$5</f>
        <v>20.460643987031524</v>
      </c>
      <c r="I12" s="912">
        <f>(AF12*KFC!$B$17+KFC!$C$17)*KFC!$C$5</f>
        <v>21.498337889943155</v>
      </c>
      <c r="J12" s="912">
        <f>(AG12*KFC!$B$17+KFC!$C$17)*KFC!$C$5</f>
        <v>22.536031792854789</v>
      </c>
      <c r="K12" s="912">
        <f>(AH12*KFC!$B$17+KFC!$C$17)*KFC!$C$5</f>
        <v>23.57372569576642</v>
      </c>
      <c r="L12" s="912">
        <f>(AI12*KFC!$B$17+KFC!$C$17)*KFC!$C$5</f>
        <v>24.611419598678051</v>
      </c>
      <c r="M12" s="912">
        <f>(AJ12*KFC!$B$17+KFC!$C$17)*KFC!$C$5</f>
        <v>25.649113501589682</v>
      </c>
      <c r="N12" s="912">
        <f>(AK12*KFC!$B$17+KFC!$C$17)*KFC!$C$5</f>
        <v>26.686807404501316</v>
      </c>
      <c r="O12" s="912">
        <f>(AL12*KFC!$B$17+KFC!$C$17)*KFC!$C$5</f>
        <v>27.724501307412947</v>
      </c>
      <c r="P12" s="912">
        <f>(AM12*KFC!$B$17+KFC!$C$17)*KFC!$C$5</f>
        <v>28.762195210324577</v>
      </c>
      <c r="Q12" s="912">
        <f>(AN12*KFC!$B$17+KFC!$C$17)*KFC!$C$5</f>
        <v>29.799889113236212</v>
      </c>
      <c r="R12" s="912">
        <f>(AO12*KFC!$B$17+KFC!$C$17)*KFC!$C$5</f>
        <v>30.837583016147843</v>
      </c>
      <c r="S12" s="912">
        <f>(AP12*KFC!$B$17+KFC!$C$17)*KFC!$C$5</f>
        <v>31.875276919059473</v>
      </c>
      <c r="T12" s="912">
        <f>(AQ12*KFC!$B$17+KFC!$C$17)*KFC!$C$5</f>
        <v>32.912970821971108</v>
      </c>
      <c r="U12" s="912">
        <f>(AR12*KFC!$B$17+KFC!$C$17)*KFC!$C$5</f>
        <v>33.950664724882735</v>
      </c>
      <c r="V12" s="912">
        <f>(AS12*KFC!$B$17+KFC!$C$17)*KFC!$C$5</f>
        <v>34.988358627794369</v>
      </c>
      <c r="W12" s="916">
        <f>(AT12*KFC!$B$17+KFC!$C$17)*KFC!$C$5</f>
        <v>36.026052530706004</v>
      </c>
      <c r="Y12" s="1277"/>
      <c r="Z12" s="649">
        <v>0.6</v>
      </c>
      <c r="AA12" s="882">
        <v>16.309868375384998</v>
      </c>
      <c r="AB12" s="882">
        <v>17.347562278296628</v>
      </c>
      <c r="AC12" s="882">
        <v>18.385256181208259</v>
      </c>
      <c r="AD12" s="882">
        <v>19.422950084119893</v>
      </c>
      <c r="AE12" s="882">
        <v>20.460643987031524</v>
      </c>
      <c r="AF12" s="882">
        <v>21.498337889943155</v>
      </c>
      <c r="AG12" s="882">
        <v>22.536031792854789</v>
      </c>
      <c r="AH12" s="882">
        <v>23.57372569576642</v>
      </c>
      <c r="AI12" s="882">
        <v>24.611419598678051</v>
      </c>
      <c r="AJ12" s="882">
        <v>25.649113501589682</v>
      </c>
      <c r="AK12" s="882">
        <v>26.686807404501316</v>
      </c>
      <c r="AL12" s="882">
        <v>27.724501307412947</v>
      </c>
      <c r="AM12" s="882">
        <v>28.762195210324577</v>
      </c>
      <c r="AN12" s="882">
        <v>29.799889113236212</v>
      </c>
      <c r="AO12" s="882">
        <v>30.837583016147843</v>
      </c>
      <c r="AP12" s="882">
        <v>31.875276919059473</v>
      </c>
      <c r="AQ12" s="882">
        <v>32.912970821971108</v>
      </c>
      <c r="AR12" s="882">
        <v>33.950664724882735</v>
      </c>
      <c r="AS12" s="882">
        <v>34.988358627794369</v>
      </c>
      <c r="AT12" s="882">
        <v>36.026052530706004</v>
      </c>
    </row>
    <row r="13" spans="1:255">
      <c r="A13" s="1426"/>
      <c r="B13" s="1427"/>
      <c r="C13" s="881">
        <v>0.7</v>
      </c>
      <c r="D13" s="915">
        <f>(AA13*KFC!$B$17+KFC!$C$17)*KFC!$C$5</f>
        <v>16.796381531917497</v>
      </c>
      <c r="E13" s="912">
        <f>(AB13*KFC!$B$17+KFC!$C$17)*KFC!$C$5</f>
        <v>17.931829935940456</v>
      </c>
      <c r="F13" s="912">
        <f>(AC13*KFC!$B$17+KFC!$C$17)*KFC!$C$5</f>
        <v>19.067278339963419</v>
      </c>
      <c r="G13" s="912">
        <f>(AD13*KFC!$B$17+KFC!$C$17)*KFC!$C$5</f>
        <v>20.202726743986378</v>
      </c>
      <c r="H13" s="912">
        <f>(AE13*KFC!$B$17+KFC!$C$17)*KFC!$C$5</f>
        <v>21.338175148009341</v>
      </c>
      <c r="I13" s="912">
        <f>(AF13*KFC!$B$17+KFC!$C$17)*KFC!$C$5</f>
        <v>22.473623552032304</v>
      </c>
      <c r="J13" s="912">
        <f>(AG13*KFC!$B$17+KFC!$C$17)*KFC!$C$5</f>
        <v>23.609071956055264</v>
      </c>
      <c r="K13" s="912">
        <f>(AH13*KFC!$B$17+KFC!$C$17)*KFC!$C$5</f>
        <v>24.744520360078223</v>
      </c>
      <c r="L13" s="912">
        <f>(AI13*KFC!$B$17+KFC!$C$17)*KFC!$C$5</f>
        <v>25.879968764101186</v>
      </c>
      <c r="M13" s="912">
        <f>(AJ13*KFC!$B$17+KFC!$C$17)*KFC!$C$5</f>
        <v>27.015417168124145</v>
      </c>
      <c r="N13" s="912">
        <f>(AK13*KFC!$B$17+KFC!$C$17)*KFC!$C$5</f>
        <v>28.150865572147108</v>
      </c>
      <c r="O13" s="912">
        <f>(AL13*KFC!$B$17+KFC!$C$17)*KFC!$C$5</f>
        <v>29.286313976170067</v>
      </c>
      <c r="P13" s="912">
        <f>(AM13*KFC!$B$17+KFC!$C$17)*KFC!$C$5</f>
        <v>30.421762380193023</v>
      </c>
      <c r="Q13" s="912">
        <f>(AN13*KFC!$B$17+KFC!$C$17)*KFC!$C$5</f>
        <v>31.557210784215989</v>
      </c>
      <c r="R13" s="912">
        <f>(AO13*KFC!$B$17+KFC!$C$17)*KFC!$C$5</f>
        <v>32.692659188238949</v>
      </c>
      <c r="S13" s="912">
        <f>(AP13*KFC!$B$17+KFC!$C$17)*KFC!$C$5</f>
        <v>33.828107592261908</v>
      </c>
      <c r="T13" s="912">
        <f>(AQ13*KFC!$B$17+KFC!$C$17)*KFC!$C$5</f>
        <v>34.963555996284867</v>
      </c>
      <c r="U13" s="912">
        <f>(AR13*KFC!$B$17+KFC!$C$17)*KFC!$C$5</f>
        <v>36.099004400307827</v>
      </c>
      <c r="V13" s="912">
        <f>(AS13*KFC!$B$17+KFC!$C$17)*KFC!$C$5</f>
        <v>37.234452804330793</v>
      </c>
      <c r="W13" s="916">
        <f>(AT13*KFC!$B$17+KFC!$C$17)*KFC!$C$5</f>
        <v>38.369901208353753</v>
      </c>
      <c r="Y13" s="1277"/>
      <c r="Z13" s="649">
        <v>0.7</v>
      </c>
      <c r="AA13" s="882">
        <v>16.796381531917497</v>
      </c>
      <c r="AB13" s="882">
        <v>17.931829935940456</v>
      </c>
      <c r="AC13" s="882">
        <v>19.067278339963419</v>
      </c>
      <c r="AD13" s="882">
        <v>20.202726743986378</v>
      </c>
      <c r="AE13" s="882">
        <v>21.338175148009341</v>
      </c>
      <c r="AF13" s="882">
        <v>22.473623552032304</v>
      </c>
      <c r="AG13" s="882">
        <v>23.609071956055264</v>
      </c>
      <c r="AH13" s="882">
        <v>24.744520360078223</v>
      </c>
      <c r="AI13" s="882">
        <v>25.879968764101186</v>
      </c>
      <c r="AJ13" s="882">
        <v>27.015417168124145</v>
      </c>
      <c r="AK13" s="882">
        <v>28.150865572147108</v>
      </c>
      <c r="AL13" s="882">
        <v>29.286313976170067</v>
      </c>
      <c r="AM13" s="882">
        <v>30.421762380193023</v>
      </c>
      <c r="AN13" s="882">
        <v>31.557210784215989</v>
      </c>
      <c r="AO13" s="882">
        <v>32.692659188238949</v>
      </c>
      <c r="AP13" s="882">
        <v>33.828107592261908</v>
      </c>
      <c r="AQ13" s="882">
        <v>34.963555996284867</v>
      </c>
      <c r="AR13" s="882">
        <v>36.099004400307827</v>
      </c>
      <c r="AS13" s="882">
        <v>37.234452804330793</v>
      </c>
      <c r="AT13" s="882">
        <v>38.369901208353753</v>
      </c>
    </row>
    <row r="14" spans="1:255">
      <c r="A14" s="1426"/>
      <c r="B14" s="1427"/>
      <c r="C14" s="881">
        <v>0.8</v>
      </c>
      <c r="D14" s="915">
        <f>(AA14*KFC!$B$17+KFC!$C$17)*KFC!$C$5</f>
        <v>17.282894688449996</v>
      </c>
      <c r="E14" s="912">
        <f>(AB14*KFC!$B$17+KFC!$C$17)*KFC!$C$5</f>
        <v>18.516097593584288</v>
      </c>
      <c r="F14" s="912">
        <f>(AC14*KFC!$B$17+KFC!$C$17)*KFC!$C$5</f>
        <v>19.749300498718576</v>
      </c>
      <c r="G14" s="912">
        <f>(AD14*KFC!$B$17+KFC!$C$17)*KFC!$C$5</f>
        <v>20.982503403852863</v>
      </c>
      <c r="H14" s="912">
        <f>(AE14*KFC!$B$17+KFC!$C$17)*KFC!$C$5</f>
        <v>22.215706308987158</v>
      </c>
      <c r="I14" s="912">
        <f>(AF14*KFC!$B$17+KFC!$C$17)*KFC!$C$5</f>
        <v>23.448909214121443</v>
      </c>
      <c r="J14" s="912">
        <f>(AG14*KFC!$B$17+KFC!$C$17)*KFC!$C$5</f>
        <v>24.682112119255734</v>
      </c>
      <c r="K14" s="912">
        <f>(AH14*KFC!$B$17+KFC!$C$17)*KFC!$C$5</f>
        <v>25.915315024390022</v>
      </c>
      <c r="L14" s="912">
        <f>(AI14*KFC!$B$17+KFC!$C$17)*KFC!$C$5</f>
        <v>27.148517929524314</v>
      </c>
      <c r="M14" s="912">
        <f>(AJ14*KFC!$B$17+KFC!$C$17)*KFC!$C$5</f>
        <v>28.381720834658605</v>
      </c>
      <c r="N14" s="912">
        <f>(AK14*KFC!$B$17+KFC!$C$17)*KFC!$C$5</f>
        <v>29.614923739792896</v>
      </c>
      <c r="O14" s="912">
        <f>(AL14*KFC!$B$17+KFC!$C$17)*KFC!$C$5</f>
        <v>30.848126644927181</v>
      </c>
      <c r="P14" s="912">
        <f>(AM14*KFC!$B$17+KFC!$C$17)*KFC!$C$5</f>
        <v>32.081329550061469</v>
      </c>
      <c r="Q14" s="912">
        <f>(AN14*KFC!$B$17+KFC!$C$17)*KFC!$C$5</f>
        <v>33.31453245519576</v>
      </c>
      <c r="R14" s="912">
        <f>(AO14*KFC!$B$17+KFC!$C$17)*KFC!$C$5</f>
        <v>34.547735360330051</v>
      </c>
      <c r="S14" s="912">
        <f>(AP14*KFC!$B$17+KFC!$C$17)*KFC!$C$5</f>
        <v>35.780938265464343</v>
      </c>
      <c r="T14" s="912">
        <f>(AQ14*KFC!$B$17+KFC!$C$17)*KFC!$C$5</f>
        <v>37.014141170598634</v>
      </c>
      <c r="U14" s="912">
        <f>(AR14*KFC!$B$17+KFC!$C$17)*KFC!$C$5</f>
        <v>38.247344075732926</v>
      </c>
      <c r="V14" s="912">
        <f>(AS14*KFC!$B$17+KFC!$C$17)*KFC!$C$5</f>
        <v>39.48054698086721</v>
      </c>
      <c r="W14" s="916">
        <f>(AT14*KFC!$B$17+KFC!$C$17)*KFC!$C$5</f>
        <v>40.713749886001501</v>
      </c>
      <c r="Y14" s="1277"/>
      <c r="Z14" s="649">
        <v>0.8</v>
      </c>
      <c r="AA14" s="882">
        <v>17.282894688449996</v>
      </c>
      <c r="AB14" s="882">
        <v>18.516097593584288</v>
      </c>
      <c r="AC14" s="882">
        <v>19.749300498718576</v>
      </c>
      <c r="AD14" s="882">
        <v>20.982503403852863</v>
      </c>
      <c r="AE14" s="882">
        <v>22.215706308987158</v>
      </c>
      <c r="AF14" s="882">
        <v>23.448909214121443</v>
      </c>
      <c r="AG14" s="882">
        <v>24.682112119255734</v>
      </c>
      <c r="AH14" s="882">
        <v>25.915315024390022</v>
      </c>
      <c r="AI14" s="882">
        <v>27.148517929524314</v>
      </c>
      <c r="AJ14" s="882">
        <v>28.381720834658605</v>
      </c>
      <c r="AK14" s="882">
        <v>29.614923739792896</v>
      </c>
      <c r="AL14" s="882">
        <v>30.848126644927181</v>
      </c>
      <c r="AM14" s="882">
        <v>32.081329550061469</v>
      </c>
      <c r="AN14" s="882">
        <v>33.31453245519576</v>
      </c>
      <c r="AO14" s="882">
        <v>34.547735360330051</v>
      </c>
      <c r="AP14" s="882">
        <v>35.780938265464343</v>
      </c>
      <c r="AQ14" s="882">
        <v>37.014141170598634</v>
      </c>
      <c r="AR14" s="882">
        <v>38.247344075732926</v>
      </c>
      <c r="AS14" s="882">
        <v>39.48054698086721</v>
      </c>
      <c r="AT14" s="882">
        <v>40.713749886001501</v>
      </c>
    </row>
    <row r="15" spans="1:255">
      <c r="A15" s="1426"/>
      <c r="B15" s="1427"/>
      <c r="C15" s="881">
        <v>0.9</v>
      </c>
      <c r="D15" s="915">
        <f>(AA15*KFC!$B$17+KFC!$C$17)*KFC!$C$5</f>
        <v>17.769407844982496</v>
      </c>
      <c r="E15" s="912">
        <f>(AB15*KFC!$B$17+KFC!$C$17)*KFC!$C$5</f>
        <v>19.100365251228116</v>
      </c>
      <c r="F15" s="912">
        <f>(AC15*KFC!$B$17+KFC!$C$17)*KFC!$C$5</f>
        <v>20.431322657473736</v>
      </c>
      <c r="G15" s="912">
        <f>(AD15*KFC!$B$17+KFC!$C$17)*KFC!$C$5</f>
        <v>21.762280063719356</v>
      </c>
      <c r="H15" s="912">
        <f>(AE15*KFC!$B$17+KFC!$C$17)*KFC!$C$5</f>
        <v>23.093237469964976</v>
      </c>
      <c r="I15" s="912">
        <f>(AF15*KFC!$B$17+KFC!$C$17)*KFC!$C$5</f>
        <v>24.424194876210592</v>
      </c>
      <c r="J15" s="912">
        <f>(AG15*KFC!$B$17+KFC!$C$17)*KFC!$C$5</f>
        <v>25.755152282456208</v>
      </c>
      <c r="K15" s="912">
        <f>(AH15*KFC!$B$17+KFC!$C$17)*KFC!$C$5</f>
        <v>27.086109688701825</v>
      </c>
      <c r="L15" s="912">
        <f>(AI15*KFC!$B$17+KFC!$C$17)*KFC!$C$5</f>
        <v>28.417067094947448</v>
      </c>
      <c r="M15" s="912">
        <f>(AJ15*KFC!$B$17+KFC!$C$17)*KFC!$C$5</f>
        <v>29.748024501193065</v>
      </c>
      <c r="N15" s="912">
        <f>(AK15*KFC!$B$17+KFC!$C$17)*KFC!$C$5</f>
        <v>31.078981907438681</v>
      </c>
      <c r="O15" s="912">
        <f>(AL15*KFC!$B$17+KFC!$C$17)*KFC!$C$5</f>
        <v>32.409939313684305</v>
      </c>
      <c r="P15" s="912">
        <f>(AM15*KFC!$B$17+KFC!$C$17)*KFC!$C$5</f>
        <v>33.740896719929921</v>
      </c>
      <c r="Q15" s="912">
        <f>(AN15*KFC!$B$17+KFC!$C$17)*KFC!$C$5</f>
        <v>35.071854126175538</v>
      </c>
      <c r="R15" s="912">
        <f>(AO15*KFC!$B$17+KFC!$C$17)*KFC!$C$5</f>
        <v>36.402811532421154</v>
      </c>
      <c r="S15" s="912">
        <f>(AP15*KFC!$B$17+KFC!$C$17)*KFC!$C$5</f>
        <v>37.733768938666778</v>
      </c>
      <c r="T15" s="912">
        <f>(AQ15*KFC!$B$17+KFC!$C$17)*KFC!$C$5</f>
        <v>39.064726344912401</v>
      </c>
      <c r="U15" s="912">
        <f>(AR15*KFC!$B$17+KFC!$C$17)*KFC!$C$5</f>
        <v>40.395683751158025</v>
      </c>
      <c r="V15" s="912">
        <f>(AS15*KFC!$B$17+KFC!$C$17)*KFC!$C$5</f>
        <v>41.726641157403641</v>
      </c>
      <c r="W15" s="916">
        <f>(AT15*KFC!$B$17+KFC!$C$17)*KFC!$C$5</f>
        <v>43.05759856364925</v>
      </c>
      <c r="Y15" s="1277"/>
      <c r="Z15" s="649">
        <v>0.9</v>
      </c>
      <c r="AA15" s="882">
        <v>17.769407844982496</v>
      </c>
      <c r="AB15" s="882">
        <v>19.100365251228116</v>
      </c>
      <c r="AC15" s="882">
        <v>20.431322657473736</v>
      </c>
      <c r="AD15" s="882">
        <v>21.762280063719356</v>
      </c>
      <c r="AE15" s="882">
        <v>23.093237469964976</v>
      </c>
      <c r="AF15" s="882">
        <v>24.424194876210592</v>
      </c>
      <c r="AG15" s="882">
        <v>25.755152282456208</v>
      </c>
      <c r="AH15" s="882">
        <v>27.086109688701825</v>
      </c>
      <c r="AI15" s="882">
        <v>28.417067094947448</v>
      </c>
      <c r="AJ15" s="882">
        <v>29.748024501193065</v>
      </c>
      <c r="AK15" s="882">
        <v>31.078981907438681</v>
      </c>
      <c r="AL15" s="882">
        <v>32.409939313684305</v>
      </c>
      <c r="AM15" s="882">
        <v>33.740896719929921</v>
      </c>
      <c r="AN15" s="882">
        <v>35.071854126175538</v>
      </c>
      <c r="AO15" s="882">
        <v>36.402811532421154</v>
      </c>
      <c r="AP15" s="882">
        <v>37.733768938666778</v>
      </c>
      <c r="AQ15" s="882">
        <v>39.064726344912401</v>
      </c>
      <c r="AR15" s="882">
        <v>40.395683751158025</v>
      </c>
      <c r="AS15" s="882">
        <v>41.726641157403641</v>
      </c>
      <c r="AT15" s="882">
        <v>43.05759856364925</v>
      </c>
    </row>
    <row r="16" spans="1:255">
      <c r="A16" s="1426"/>
      <c r="B16" s="1427"/>
      <c r="C16" s="881">
        <v>1</v>
      </c>
      <c r="D16" s="915">
        <f>(AA16*KFC!$B$17+KFC!$C$17)*KFC!$C$5</f>
        <v>18.255921001514995</v>
      </c>
      <c r="E16" s="912">
        <f>(AB16*KFC!$B$17+KFC!$C$17)*KFC!$C$5</f>
        <v>19.684632908871944</v>
      </c>
      <c r="F16" s="912">
        <f>(AC16*KFC!$B$17+KFC!$C$17)*KFC!$C$5</f>
        <v>21.113344816228892</v>
      </c>
      <c r="G16" s="912">
        <f>(AD16*KFC!$B$17+KFC!$C$17)*KFC!$C$5</f>
        <v>22.542056723585837</v>
      </c>
      <c r="H16" s="912">
        <f>(AE16*KFC!$B$17+KFC!$C$17)*KFC!$C$5</f>
        <v>23.970768630942786</v>
      </c>
      <c r="I16" s="912">
        <f>(AF16*KFC!$B$17+KFC!$C$17)*KFC!$C$5</f>
        <v>25.399480538299734</v>
      </c>
      <c r="J16" s="912">
        <f>(AG16*KFC!$B$17+KFC!$C$17)*KFC!$C$5</f>
        <v>26.828192445656679</v>
      </c>
      <c r="K16" s="912">
        <f>(AH16*KFC!$B$17+KFC!$C$17)*KFC!$C$5</f>
        <v>28.256904353013628</v>
      </c>
      <c r="L16" s="912">
        <f>(AI16*KFC!$B$17+KFC!$C$17)*KFC!$C$5</f>
        <v>29.685616260370576</v>
      </c>
      <c r="M16" s="912">
        <f>(AJ16*KFC!$B$17+KFC!$C$17)*KFC!$C$5</f>
        <v>31.114328167727525</v>
      </c>
      <c r="N16" s="912">
        <f>(AK16*KFC!$B$17+KFC!$C$17)*KFC!$C$5</f>
        <v>32.54304007508447</v>
      </c>
      <c r="O16" s="912">
        <f>(AL16*KFC!$B$17+KFC!$C$17)*KFC!$C$5</f>
        <v>33.971751982441418</v>
      </c>
      <c r="P16" s="912">
        <f>(AM16*KFC!$B$17+KFC!$C$17)*KFC!$C$5</f>
        <v>35.40046388979836</v>
      </c>
      <c r="Q16" s="912">
        <f>(AN16*KFC!$B$17+KFC!$C$17)*KFC!$C$5</f>
        <v>36.829175797155308</v>
      </c>
      <c r="R16" s="912">
        <f>(AO16*KFC!$B$17+KFC!$C$17)*KFC!$C$5</f>
        <v>38.257887704512264</v>
      </c>
      <c r="S16" s="912">
        <f>(AP16*KFC!$B$17+KFC!$C$17)*KFC!$C$5</f>
        <v>39.686599611869212</v>
      </c>
      <c r="T16" s="912">
        <f>(AQ16*KFC!$B$17+KFC!$C$17)*KFC!$C$5</f>
        <v>41.115311519226161</v>
      </c>
      <c r="U16" s="912">
        <f>(AR16*KFC!$B$17+KFC!$C$17)*KFC!$C$5</f>
        <v>42.544023426583095</v>
      </c>
      <c r="V16" s="912">
        <f>(AS16*KFC!$B$17+KFC!$C$17)*KFC!$C$5</f>
        <v>43.972735333940044</v>
      </c>
      <c r="W16" s="916">
        <f>(AT16*KFC!$B$17+KFC!$C$17)*KFC!$C$5</f>
        <v>45.401447241297006</v>
      </c>
      <c r="Y16" s="1277"/>
      <c r="Z16" s="649">
        <v>1</v>
      </c>
      <c r="AA16" s="882">
        <v>18.255921001514995</v>
      </c>
      <c r="AB16" s="882">
        <v>19.684632908871944</v>
      </c>
      <c r="AC16" s="882">
        <v>21.113344816228892</v>
      </c>
      <c r="AD16" s="882">
        <v>22.542056723585837</v>
      </c>
      <c r="AE16" s="882">
        <v>23.970768630942786</v>
      </c>
      <c r="AF16" s="882">
        <v>25.399480538299734</v>
      </c>
      <c r="AG16" s="882">
        <v>26.828192445656679</v>
      </c>
      <c r="AH16" s="882">
        <v>28.256904353013628</v>
      </c>
      <c r="AI16" s="882">
        <v>29.685616260370576</v>
      </c>
      <c r="AJ16" s="882">
        <v>31.114328167727525</v>
      </c>
      <c r="AK16" s="882">
        <v>32.54304007508447</v>
      </c>
      <c r="AL16" s="882">
        <v>33.971751982441418</v>
      </c>
      <c r="AM16" s="882">
        <v>35.40046388979836</v>
      </c>
      <c r="AN16" s="882">
        <v>36.829175797155308</v>
      </c>
      <c r="AO16" s="882">
        <v>38.257887704512264</v>
      </c>
      <c r="AP16" s="882">
        <v>39.686599611869212</v>
      </c>
      <c r="AQ16" s="882">
        <v>41.115311519226161</v>
      </c>
      <c r="AR16" s="882">
        <v>42.544023426583095</v>
      </c>
      <c r="AS16" s="882">
        <v>43.972735333940044</v>
      </c>
      <c r="AT16" s="882">
        <v>45.401447241297006</v>
      </c>
    </row>
    <row r="17" spans="1:46">
      <c r="A17" s="1426"/>
      <c r="B17" s="1427"/>
      <c r="C17" s="881">
        <v>1.1000000000000001</v>
      </c>
      <c r="D17" s="915">
        <f>(AA17*KFC!$B$17+KFC!$C$17)*KFC!$C$5</f>
        <v>18.742434158047494</v>
      </c>
      <c r="E17" s="912">
        <f>(AB17*KFC!$B$17+KFC!$C$17)*KFC!$C$5</f>
        <v>20.268900566515772</v>
      </c>
      <c r="F17" s="912">
        <f>(AC17*KFC!$B$17+KFC!$C$17)*KFC!$C$5</f>
        <v>21.795366974984052</v>
      </c>
      <c r="G17" s="912">
        <f>(AD17*KFC!$B$17+KFC!$C$17)*KFC!$C$5</f>
        <v>23.321833383452326</v>
      </c>
      <c r="H17" s="912">
        <f>(AE17*KFC!$B$17+KFC!$C$17)*KFC!$C$5</f>
        <v>24.848299791920603</v>
      </c>
      <c r="I17" s="912">
        <f>(AF17*KFC!$B$17+KFC!$C$17)*KFC!$C$5</f>
        <v>26.37476620038888</v>
      </c>
      <c r="J17" s="912">
        <f>(AG17*KFC!$B$17+KFC!$C$17)*KFC!$C$5</f>
        <v>27.901232608857153</v>
      </c>
      <c r="K17" s="912">
        <f>(AH17*KFC!$B$17+KFC!$C$17)*KFC!$C$5</f>
        <v>29.42769901732543</v>
      </c>
      <c r="L17" s="912">
        <f>(AI17*KFC!$B$17+KFC!$C$17)*KFC!$C$5</f>
        <v>30.954165425793708</v>
      </c>
      <c r="M17" s="912">
        <f>(AJ17*KFC!$B$17+KFC!$C$17)*KFC!$C$5</f>
        <v>32.480631834261985</v>
      </c>
      <c r="N17" s="912">
        <f>(AK17*KFC!$B$17+KFC!$C$17)*KFC!$C$5</f>
        <v>34.007098242730265</v>
      </c>
      <c r="O17" s="912">
        <f>(AL17*KFC!$B$17+KFC!$C$17)*KFC!$C$5</f>
        <v>35.533564651198539</v>
      </c>
      <c r="P17" s="912">
        <f>(AM17*KFC!$B$17+KFC!$C$17)*KFC!$C$5</f>
        <v>37.060031059666819</v>
      </c>
      <c r="Q17" s="912">
        <f>(AN17*KFC!$B$17+KFC!$C$17)*KFC!$C$5</f>
        <v>38.5864974681351</v>
      </c>
      <c r="R17" s="912">
        <f>(AO17*KFC!$B$17+KFC!$C$17)*KFC!$C$5</f>
        <v>40.112963876603381</v>
      </c>
      <c r="S17" s="912">
        <f>(AP17*KFC!$B$17+KFC!$C$17)*KFC!$C$5</f>
        <v>41.639430285071654</v>
      </c>
      <c r="T17" s="912">
        <f>(AQ17*KFC!$B$17+KFC!$C$17)*KFC!$C$5</f>
        <v>43.165896693539942</v>
      </c>
      <c r="U17" s="912">
        <f>(AR17*KFC!$B$17+KFC!$C$17)*KFC!$C$5</f>
        <v>44.692363102008215</v>
      </c>
      <c r="V17" s="912">
        <f>(AS17*KFC!$B$17+KFC!$C$17)*KFC!$C$5</f>
        <v>46.218829510476489</v>
      </c>
      <c r="W17" s="916">
        <f>(AT17*KFC!$B$17+KFC!$C$17)*KFC!$C$5</f>
        <v>47.745295918944755</v>
      </c>
      <c r="Y17" s="1277"/>
      <c r="Z17" s="649">
        <v>1.1000000000000001</v>
      </c>
      <c r="AA17" s="882">
        <v>18.742434158047494</v>
      </c>
      <c r="AB17" s="882">
        <v>20.268900566515772</v>
      </c>
      <c r="AC17" s="882">
        <v>21.795366974984052</v>
      </c>
      <c r="AD17" s="882">
        <v>23.321833383452326</v>
      </c>
      <c r="AE17" s="882">
        <v>24.848299791920603</v>
      </c>
      <c r="AF17" s="882">
        <v>26.37476620038888</v>
      </c>
      <c r="AG17" s="882">
        <v>27.901232608857153</v>
      </c>
      <c r="AH17" s="882">
        <v>29.42769901732543</v>
      </c>
      <c r="AI17" s="882">
        <v>30.954165425793708</v>
      </c>
      <c r="AJ17" s="882">
        <v>32.480631834261985</v>
      </c>
      <c r="AK17" s="882">
        <v>34.007098242730265</v>
      </c>
      <c r="AL17" s="882">
        <v>35.533564651198539</v>
      </c>
      <c r="AM17" s="882">
        <v>37.060031059666819</v>
      </c>
      <c r="AN17" s="882">
        <v>38.5864974681351</v>
      </c>
      <c r="AO17" s="882">
        <v>40.112963876603381</v>
      </c>
      <c r="AP17" s="882">
        <v>41.639430285071654</v>
      </c>
      <c r="AQ17" s="882">
        <v>43.165896693539942</v>
      </c>
      <c r="AR17" s="882">
        <v>44.692363102008215</v>
      </c>
      <c r="AS17" s="882">
        <v>46.218829510476489</v>
      </c>
      <c r="AT17" s="882">
        <v>47.745295918944755</v>
      </c>
    </row>
    <row r="18" spans="1:46">
      <c r="A18" s="1426"/>
      <c r="B18" s="1427"/>
      <c r="C18" s="881">
        <v>1.2</v>
      </c>
      <c r="D18" s="915">
        <f>(AA18*KFC!$B$17+KFC!$C$17)*KFC!$C$5</f>
        <v>19.228947314579994</v>
      </c>
      <c r="E18" s="912">
        <f>(AB18*KFC!$B$17+KFC!$C$17)*KFC!$C$5</f>
        <v>20.853168224159599</v>
      </c>
      <c r="F18" s="912">
        <f>(AC18*KFC!$B$17+KFC!$C$17)*KFC!$C$5</f>
        <v>22.477389133739205</v>
      </c>
      <c r="G18" s="912">
        <f>(AD18*KFC!$B$17+KFC!$C$17)*KFC!$C$5</f>
        <v>24.101610043318811</v>
      </c>
      <c r="H18" s="912">
        <f>(AE18*KFC!$B$17+KFC!$C$17)*KFC!$C$5</f>
        <v>25.725830952898416</v>
      </c>
      <c r="I18" s="912">
        <f>(AF18*KFC!$B$17+KFC!$C$17)*KFC!$C$5</f>
        <v>27.350051862478022</v>
      </c>
      <c r="J18" s="912">
        <f>(AG18*KFC!$B$17+KFC!$C$17)*KFC!$C$5</f>
        <v>28.974272772057631</v>
      </c>
      <c r="K18" s="912">
        <f>(AH18*KFC!$B$17+KFC!$C$17)*KFC!$C$5</f>
        <v>30.598493681637233</v>
      </c>
      <c r="L18" s="912">
        <f>(AI18*KFC!$B$17+KFC!$C$17)*KFC!$C$5</f>
        <v>32.222714591216835</v>
      </c>
      <c r="M18" s="912">
        <f>(AJ18*KFC!$B$17+KFC!$C$17)*KFC!$C$5</f>
        <v>33.846935500796441</v>
      </c>
      <c r="N18" s="912">
        <f>(AK18*KFC!$B$17+KFC!$C$17)*KFC!$C$5</f>
        <v>35.471156410376047</v>
      </c>
      <c r="O18" s="912">
        <f>(AL18*KFC!$B$17+KFC!$C$17)*KFC!$C$5</f>
        <v>37.095377319955659</v>
      </c>
      <c r="P18" s="912">
        <f>(AM18*KFC!$B$17+KFC!$C$17)*KFC!$C$5</f>
        <v>38.719598229535258</v>
      </c>
      <c r="Q18" s="912">
        <f>(AN18*KFC!$B$17+KFC!$C$17)*KFC!$C$5</f>
        <v>40.343819139114864</v>
      </c>
      <c r="R18" s="912">
        <f>(AO18*KFC!$B$17+KFC!$C$17)*KFC!$C$5</f>
        <v>41.968040048694469</v>
      </c>
      <c r="S18" s="912">
        <f>(AP18*KFC!$B$17+KFC!$C$17)*KFC!$C$5</f>
        <v>43.592260958274075</v>
      </c>
      <c r="T18" s="912">
        <f>(AQ18*KFC!$B$17+KFC!$C$17)*KFC!$C$5</f>
        <v>45.216481867853688</v>
      </c>
      <c r="U18" s="912">
        <f>(AR18*KFC!$B$17+KFC!$C$17)*KFC!$C$5</f>
        <v>46.840702777433286</v>
      </c>
      <c r="V18" s="912">
        <f>(AS18*KFC!$B$17+KFC!$C$17)*KFC!$C$5</f>
        <v>48.464923687012892</v>
      </c>
      <c r="W18" s="916">
        <f>(AT18*KFC!$B$17+KFC!$C$17)*KFC!$C$5</f>
        <v>50.089144596592504</v>
      </c>
      <c r="Y18" s="1277"/>
      <c r="Z18" s="649">
        <v>1.2</v>
      </c>
      <c r="AA18" s="882">
        <v>19.228947314579994</v>
      </c>
      <c r="AB18" s="882">
        <v>20.853168224159599</v>
      </c>
      <c r="AC18" s="882">
        <v>22.477389133739205</v>
      </c>
      <c r="AD18" s="882">
        <v>24.101610043318811</v>
      </c>
      <c r="AE18" s="882">
        <v>25.725830952898416</v>
      </c>
      <c r="AF18" s="882">
        <v>27.350051862478022</v>
      </c>
      <c r="AG18" s="882">
        <v>28.974272772057631</v>
      </c>
      <c r="AH18" s="882">
        <v>30.598493681637233</v>
      </c>
      <c r="AI18" s="882">
        <v>32.222714591216835</v>
      </c>
      <c r="AJ18" s="882">
        <v>33.846935500796441</v>
      </c>
      <c r="AK18" s="882">
        <v>35.471156410376047</v>
      </c>
      <c r="AL18" s="882">
        <v>37.095377319955659</v>
      </c>
      <c r="AM18" s="882">
        <v>38.719598229535258</v>
      </c>
      <c r="AN18" s="882">
        <v>40.343819139114864</v>
      </c>
      <c r="AO18" s="882">
        <v>41.968040048694469</v>
      </c>
      <c r="AP18" s="882">
        <v>43.592260958274075</v>
      </c>
      <c r="AQ18" s="882">
        <v>45.216481867853688</v>
      </c>
      <c r="AR18" s="882">
        <v>46.840702777433286</v>
      </c>
      <c r="AS18" s="882">
        <v>48.464923687012892</v>
      </c>
      <c r="AT18" s="882">
        <v>50.089144596592504</v>
      </c>
    </row>
    <row r="19" spans="1:46">
      <c r="A19" s="1426"/>
      <c r="B19" s="1427"/>
      <c r="C19" s="881">
        <v>1.3</v>
      </c>
      <c r="D19" s="915">
        <f>(AA19*KFC!$B$17+KFC!$C$17)*KFC!$C$5</f>
        <v>19.715460471112493</v>
      </c>
      <c r="E19" s="912">
        <f>(AB19*KFC!$B$17+KFC!$C$17)*KFC!$C$5</f>
        <v>21.437435881803427</v>
      </c>
      <c r="F19" s="912">
        <f>(AC19*KFC!$B$17+KFC!$C$17)*KFC!$C$5</f>
        <v>23.159411292494369</v>
      </c>
      <c r="G19" s="912">
        <f>(AD19*KFC!$B$17+KFC!$C$17)*KFC!$C$5</f>
        <v>24.881386703185296</v>
      </c>
      <c r="H19" s="912">
        <f>(AE19*KFC!$B$17+KFC!$C$17)*KFC!$C$5</f>
        <v>26.603362113876237</v>
      </c>
      <c r="I19" s="912">
        <f>(AF19*KFC!$B$17+KFC!$C$17)*KFC!$C$5</f>
        <v>28.325337524567164</v>
      </c>
      <c r="J19" s="912">
        <f>(AG19*KFC!$B$17+KFC!$C$17)*KFC!$C$5</f>
        <v>30.047312935258098</v>
      </c>
      <c r="K19" s="912">
        <f>(AH19*KFC!$B$17+KFC!$C$17)*KFC!$C$5</f>
        <v>31.769288345949036</v>
      </c>
      <c r="L19" s="912">
        <f>(AI19*KFC!$B$17+KFC!$C$17)*KFC!$C$5</f>
        <v>33.491263756639974</v>
      </c>
      <c r="M19" s="912">
        <f>(AJ19*KFC!$B$17+KFC!$C$17)*KFC!$C$5</f>
        <v>35.213239167330904</v>
      </c>
      <c r="N19" s="912">
        <f>(AK19*KFC!$B$17+KFC!$C$17)*KFC!$C$5</f>
        <v>36.935214578021835</v>
      </c>
      <c r="O19" s="912">
        <f>(AL19*KFC!$B$17+KFC!$C$17)*KFC!$C$5</f>
        <v>38.657189988712773</v>
      </c>
      <c r="P19" s="912">
        <f>(AM19*KFC!$B$17+KFC!$C$17)*KFC!$C$5</f>
        <v>40.379165399403711</v>
      </c>
      <c r="Q19" s="912">
        <f>(AN19*KFC!$B$17+KFC!$C$17)*KFC!$C$5</f>
        <v>42.101140810094648</v>
      </c>
      <c r="R19" s="912">
        <f>(AO19*KFC!$B$17+KFC!$C$17)*KFC!$C$5</f>
        <v>43.823116220785586</v>
      </c>
      <c r="S19" s="912">
        <f>(AP19*KFC!$B$17+KFC!$C$17)*KFC!$C$5</f>
        <v>45.545091631476524</v>
      </c>
      <c r="T19" s="912">
        <f>(AQ19*KFC!$B$17+KFC!$C$17)*KFC!$C$5</f>
        <v>47.267067042167469</v>
      </c>
      <c r="U19" s="912">
        <f>(AR19*KFC!$B$17+KFC!$C$17)*KFC!$C$5</f>
        <v>48.989042452858406</v>
      </c>
      <c r="V19" s="912">
        <f>(AS19*KFC!$B$17+KFC!$C$17)*KFC!$C$5</f>
        <v>50.711017863549344</v>
      </c>
      <c r="W19" s="916">
        <f>(AT19*KFC!$B$17+KFC!$C$17)*KFC!$C$5</f>
        <v>52.432993274240253</v>
      </c>
      <c r="Y19" s="1277"/>
      <c r="Z19" s="649">
        <v>1.3</v>
      </c>
      <c r="AA19" s="882">
        <v>19.715460471112493</v>
      </c>
      <c r="AB19" s="882">
        <v>21.437435881803427</v>
      </c>
      <c r="AC19" s="882">
        <v>23.159411292494369</v>
      </c>
      <c r="AD19" s="882">
        <v>24.881386703185296</v>
      </c>
      <c r="AE19" s="882">
        <v>26.603362113876237</v>
      </c>
      <c r="AF19" s="882">
        <v>28.325337524567164</v>
      </c>
      <c r="AG19" s="882">
        <v>30.047312935258098</v>
      </c>
      <c r="AH19" s="882">
        <v>31.769288345949036</v>
      </c>
      <c r="AI19" s="882">
        <v>33.491263756639974</v>
      </c>
      <c r="AJ19" s="882">
        <v>35.213239167330904</v>
      </c>
      <c r="AK19" s="882">
        <v>36.935214578021835</v>
      </c>
      <c r="AL19" s="882">
        <v>38.657189988712773</v>
      </c>
      <c r="AM19" s="882">
        <v>40.379165399403711</v>
      </c>
      <c r="AN19" s="882">
        <v>42.101140810094648</v>
      </c>
      <c r="AO19" s="882">
        <v>43.823116220785586</v>
      </c>
      <c r="AP19" s="882">
        <v>45.545091631476524</v>
      </c>
      <c r="AQ19" s="882">
        <v>47.267067042167469</v>
      </c>
      <c r="AR19" s="882">
        <v>48.989042452858406</v>
      </c>
      <c r="AS19" s="882">
        <v>50.711017863549344</v>
      </c>
      <c r="AT19" s="882">
        <v>52.432993274240253</v>
      </c>
    </row>
    <row r="20" spans="1:46">
      <c r="A20" s="1426"/>
      <c r="B20" s="1427"/>
      <c r="C20" s="881">
        <v>1.4</v>
      </c>
      <c r="D20" s="915">
        <f>(AA20*KFC!$B$17+KFC!$C$17)*KFC!$C$5</f>
        <v>20.201973627644993</v>
      </c>
      <c r="E20" s="912">
        <f>(AB20*KFC!$B$17+KFC!$C$17)*KFC!$C$5</f>
        <v>22.021703539447259</v>
      </c>
      <c r="F20" s="912">
        <f>(AC20*KFC!$B$17+KFC!$C$17)*KFC!$C$5</f>
        <v>23.841433451249522</v>
      </c>
      <c r="G20" s="912">
        <f>(AD20*KFC!$B$17+KFC!$C$17)*KFC!$C$5</f>
        <v>25.661163363051781</v>
      </c>
      <c r="H20" s="912">
        <f>(AE20*KFC!$B$17+KFC!$C$17)*KFC!$C$5</f>
        <v>27.480893274854047</v>
      </c>
      <c r="I20" s="912">
        <f>(AF20*KFC!$B$17+KFC!$C$17)*KFC!$C$5</f>
        <v>29.30062318665631</v>
      </c>
      <c r="J20" s="912">
        <f>(AG20*KFC!$B$17+KFC!$C$17)*KFC!$C$5</f>
        <v>31.120353098458576</v>
      </c>
      <c r="K20" s="912">
        <f>(AH20*KFC!$B$17+KFC!$C$17)*KFC!$C$5</f>
        <v>32.940083010260835</v>
      </c>
      <c r="L20" s="912">
        <f>(AI20*KFC!$B$17+KFC!$C$17)*KFC!$C$5</f>
        <v>34.759812922063098</v>
      </c>
      <c r="M20" s="912">
        <f>(AJ20*KFC!$B$17+KFC!$C$17)*KFC!$C$5</f>
        <v>36.579542833865361</v>
      </c>
      <c r="N20" s="912">
        <f>(AK20*KFC!$B$17+KFC!$C$17)*KFC!$C$5</f>
        <v>38.399272745667623</v>
      </c>
      <c r="O20" s="912">
        <f>(AL20*KFC!$B$17+KFC!$C$17)*KFC!$C$5</f>
        <v>40.219002657469893</v>
      </c>
      <c r="P20" s="912">
        <f>(AM20*KFC!$B$17+KFC!$C$17)*KFC!$C$5</f>
        <v>42.038732569272149</v>
      </c>
      <c r="Q20" s="912">
        <f>(AN20*KFC!$B$17+KFC!$C$17)*KFC!$C$5</f>
        <v>43.858462481074412</v>
      </c>
      <c r="R20" s="912">
        <f>(AO20*KFC!$B$17+KFC!$C$17)*KFC!$C$5</f>
        <v>45.678192392876682</v>
      </c>
      <c r="S20" s="912">
        <f>(AP20*KFC!$B$17+KFC!$C$17)*KFC!$C$5</f>
        <v>47.497922304678944</v>
      </c>
      <c r="T20" s="912">
        <f>(AQ20*KFC!$B$17+KFC!$C$17)*KFC!$C$5</f>
        <v>49.3176522164812</v>
      </c>
      <c r="U20" s="912">
        <f>(AR20*KFC!$B$17+KFC!$C$17)*KFC!$C$5</f>
        <v>51.13738212828347</v>
      </c>
      <c r="V20" s="912">
        <f>(AS20*KFC!$B$17+KFC!$C$17)*KFC!$C$5</f>
        <v>52.957112040085732</v>
      </c>
      <c r="W20" s="916">
        <f>(AT20*KFC!$B$17+KFC!$C$17)*KFC!$C$5</f>
        <v>54.776841951888009</v>
      </c>
      <c r="Y20" s="1277"/>
      <c r="Z20" s="649">
        <v>1.4</v>
      </c>
      <c r="AA20" s="882">
        <v>20.201973627644993</v>
      </c>
      <c r="AB20" s="882">
        <v>22.021703539447259</v>
      </c>
      <c r="AC20" s="882">
        <v>23.841433451249522</v>
      </c>
      <c r="AD20" s="882">
        <v>25.661163363051781</v>
      </c>
      <c r="AE20" s="882">
        <v>27.480893274854047</v>
      </c>
      <c r="AF20" s="882">
        <v>29.30062318665631</v>
      </c>
      <c r="AG20" s="882">
        <v>31.120353098458576</v>
      </c>
      <c r="AH20" s="882">
        <v>32.940083010260835</v>
      </c>
      <c r="AI20" s="882">
        <v>34.759812922063098</v>
      </c>
      <c r="AJ20" s="882">
        <v>36.579542833865361</v>
      </c>
      <c r="AK20" s="882">
        <v>38.399272745667623</v>
      </c>
      <c r="AL20" s="882">
        <v>40.219002657469893</v>
      </c>
      <c r="AM20" s="882">
        <v>42.038732569272149</v>
      </c>
      <c r="AN20" s="882">
        <v>43.858462481074412</v>
      </c>
      <c r="AO20" s="882">
        <v>45.678192392876682</v>
      </c>
      <c r="AP20" s="882">
        <v>47.497922304678944</v>
      </c>
      <c r="AQ20" s="882">
        <v>49.3176522164812</v>
      </c>
      <c r="AR20" s="882">
        <v>51.13738212828347</v>
      </c>
      <c r="AS20" s="882">
        <v>52.957112040085732</v>
      </c>
      <c r="AT20" s="882">
        <v>54.776841951888009</v>
      </c>
    </row>
    <row r="21" spans="1:46">
      <c r="A21" s="1426"/>
      <c r="B21" s="1427"/>
      <c r="C21" s="881">
        <v>1.5</v>
      </c>
      <c r="D21" s="915">
        <f>(AA21*KFC!$B$17+KFC!$C$17)*KFC!$C$5</f>
        <v>20.688486784177496</v>
      </c>
      <c r="E21" s="912">
        <f>(AB21*KFC!$B$17+KFC!$C$17)*KFC!$C$5</f>
        <v>22.60597119709109</v>
      </c>
      <c r="F21" s="912">
        <f>(AC21*KFC!$B$17+KFC!$C$17)*KFC!$C$5</f>
        <v>24.523455610004678</v>
      </c>
      <c r="G21" s="912">
        <f>(AD21*KFC!$B$17+KFC!$C$17)*KFC!$C$5</f>
        <v>26.440940022918273</v>
      </c>
      <c r="H21" s="912">
        <f>(AE21*KFC!$B$17+KFC!$C$17)*KFC!$C$5</f>
        <v>28.358424435831864</v>
      </c>
      <c r="I21" s="912">
        <f>(AF21*KFC!$B$17+KFC!$C$17)*KFC!$C$5</f>
        <v>30.275908848745459</v>
      </c>
      <c r="J21" s="912">
        <f>(AG21*KFC!$B$17+KFC!$C$17)*KFC!$C$5</f>
        <v>32.193393261659047</v>
      </c>
      <c r="K21" s="912">
        <f>(AH21*KFC!$B$17+KFC!$C$17)*KFC!$C$5</f>
        <v>34.110877674572642</v>
      </c>
      <c r="L21" s="912">
        <f>(AI21*KFC!$B$17+KFC!$C$17)*KFC!$C$5</f>
        <v>36.028362087486236</v>
      </c>
      <c r="M21" s="912">
        <f>(AJ21*KFC!$B$17+KFC!$C$17)*KFC!$C$5</f>
        <v>37.945846500399831</v>
      </c>
      <c r="N21" s="912">
        <f>(AK21*KFC!$B$17+KFC!$C$17)*KFC!$C$5</f>
        <v>39.863330913313426</v>
      </c>
      <c r="O21" s="912">
        <f>(AL21*KFC!$B$17+KFC!$C$17)*KFC!$C$5</f>
        <v>41.780815326227021</v>
      </c>
      <c r="P21" s="912">
        <f>(AM21*KFC!$B$17+KFC!$C$17)*KFC!$C$5</f>
        <v>43.698299739140623</v>
      </c>
      <c r="Q21" s="912">
        <f>(AN21*KFC!$B$17+KFC!$C$17)*KFC!$C$5</f>
        <v>45.615784152054211</v>
      </c>
      <c r="R21" s="912">
        <f>(AO21*KFC!$B$17+KFC!$C$17)*KFC!$C$5</f>
        <v>47.533268564967806</v>
      </c>
      <c r="S21" s="912">
        <f>(AP21*KFC!$B$17+KFC!$C$17)*KFC!$C$5</f>
        <v>49.4507529778814</v>
      </c>
      <c r="T21" s="912">
        <f>(AQ21*KFC!$B$17+KFC!$C$17)*KFC!$C$5</f>
        <v>51.368237390795002</v>
      </c>
      <c r="U21" s="912">
        <f>(AR21*KFC!$B$17+KFC!$C$17)*KFC!$C$5</f>
        <v>53.285721803708597</v>
      </c>
      <c r="V21" s="912">
        <f>(AS21*KFC!$B$17+KFC!$C$17)*KFC!$C$5</f>
        <v>55.203206216622185</v>
      </c>
      <c r="W21" s="916">
        <f>(AT21*KFC!$B$17+KFC!$C$17)*KFC!$C$5</f>
        <v>57.120690629535751</v>
      </c>
      <c r="Y21" s="1277"/>
      <c r="Z21" s="649">
        <v>1.5</v>
      </c>
      <c r="AA21" s="882">
        <v>20.688486784177496</v>
      </c>
      <c r="AB21" s="882">
        <v>22.60597119709109</v>
      </c>
      <c r="AC21" s="882">
        <v>24.523455610004678</v>
      </c>
      <c r="AD21" s="882">
        <v>26.440940022918273</v>
      </c>
      <c r="AE21" s="882">
        <v>28.358424435831864</v>
      </c>
      <c r="AF21" s="882">
        <v>30.275908848745459</v>
      </c>
      <c r="AG21" s="882">
        <v>32.193393261659047</v>
      </c>
      <c r="AH21" s="882">
        <v>34.110877674572642</v>
      </c>
      <c r="AI21" s="882">
        <v>36.028362087486236</v>
      </c>
      <c r="AJ21" s="882">
        <v>37.945846500399831</v>
      </c>
      <c r="AK21" s="882">
        <v>39.863330913313426</v>
      </c>
      <c r="AL21" s="882">
        <v>41.780815326227021</v>
      </c>
      <c r="AM21" s="882">
        <v>43.698299739140623</v>
      </c>
      <c r="AN21" s="882">
        <v>45.615784152054211</v>
      </c>
      <c r="AO21" s="882">
        <v>47.533268564967806</v>
      </c>
      <c r="AP21" s="882">
        <v>49.4507529778814</v>
      </c>
      <c r="AQ21" s="882">
        <v>51.368237390795002</v>
      </c>
      <c r="AR21" s="882">
        <v>53.285721803708597</v>
      </c>
      <c r="AS21" s="882">
        <v>55.203206216622185</v>
      </c>
      <c r="AT21" s="882">
        <v>57.120690629535751</v>
      </c>
    </row>
    <row r="22" spans="1:46">
      <c r="A22" s="1426"/>
      <c r="B22" s="1427"/>
      <c r="C22" s="881">
        <v>1.6</v>
      </c>
      <c r="D22" s="915">
        <f>(AA22*KFC!$B$17+KFC!$C$17)*KFC!$C$5</f>
        <v>21.174999940709998</v>
      </c>
      <c r="E22" s="912">
        <f>(AB22*KFC!$B$17+KFC!$C$17)*KFC!$C$5</f>
        <v>23.190238854734918</v>
      </c>
      <c r="F22" s="912">
        <f>(AC22*KFC!$B$17+KFC!$C$17)*KFC!$C$5</f>
        <v>25.205477768759842</v>
      </c>
      <c r="G22" s="912">
        <f>(AD22*KFC!$B$17+KFC!$C$17)*KFC!$C$5</f>
        <v>27.220716682784762</v>
      </c>
      <c r="H22" s="912">
        <f>(AE22*KFC!$B$17+KFC!$C$17)*KFC!$C$5</f>
        <v>29.235955596809681</v>
      </c>
      <c r="I22" s="912">
        <f>(AF22*KFC!$B$17+KFC!$C$17)*KFC!$C$5</f>
        <v>31.251194510834601</v>
      </c>
      <c r="J22" s="912">
        <f>(AG22*KFC!$B$17+KFC!$C$17)*KFC!$C$5</f>
        <v>33.266433424859521</v>
      </c>
      <c r="K22" s="912">
        <f>(AH22*KFC!$B$17+KFC!$C$17)*KFC!$C$5</f>
        <v>35.281672338884448</v>
      </c>
      <c r="L22" s="912">
        <f>(AI22*KFC!$B$17+KFC!$C$17)*KFC!$C$5</f>
        <v>37.296911252909368</v>
      </c>
      <c r="M22" s="912">
        <f>(AJ22*KFC!$B$17+KFC!$C$17)*KFC!$C$5</f>
        <v>39.312150166934288</v>
      </c>
      <c r="N22" s="912">
        <f>(AK22*KFC!$B$17+KFC!$C$17)*KFC!$C$5</f>
        <v>41.327389080959207</v>
      </c>
      <c r="O22" s="912">
        <f>(AL22*KFC!$B$17+KFC!$C$17)*KFC!$C$5</f>
        <v>43.342627994984127</v>
      </c>
      <c r="P22" s="912">
        <f>(AM22*KFC!$B$17+KFC!$C$17)*KFC!$C$5</f>
        <v>45.357866909009047</v>
      </c>
      <c r="Q22" s="912">
        <f>(AN22*KFC!$B$17+KFC!$C$17)*KFC!$C$5</f>
        <v>47.373105823033967</v>
      </c>
      <c r="R22" s="912">
        <f>(AO22*KFC!$B$17+KFC!$C$17)*KFC!$C$5</f>
        <v>49.388344737058887</v>
      </c>
      <c r="S22" s="912">
        <f>(AP22*KFC!$B$17+KFC!$C$17)*KFC!$C$5</f>
        <v>51.403583651083814</v>
      </c>
      <c r="T22" s="912">
        <f>(AQ22*KFC!$B$17+KFC!$C$17)*KFC!$C$5</f>
        <v>53.418822565108727</v>
      </c>
      <c r="U22" s="912">
        <f>(AR22*KFC!$B$17+KFC!$C$17)*KFC!$C$5</f>
        <v>55.434061479133653</v>
      </c>
      <c r="V22" s="912">
        <f>(AS22*KFC!$B$17+KFC!$C$17)*KFC!$C$5</f>
        <v>57.449300393158573</v>
      </c>
      <c r="W22" s="916">
        <f>(AT22*KFC!$B$17+KFC!$C$17)*KFC!$C$5</f>
        <v>59.464539307183507</v>
      </c>
      <c r="Y22" s="1277"/>
      <c r="Z22" s="649">
        <v>1.6</v>
      </c>
      <c r="AA22" s="882">
        <v>21.174999940709998</v>
      </c>
      <c r="AB22" s="882">
        <v>23.190238854734918</v>
      </c>
      <c r="AC22" s="882">
        <v>25.205477768759842</v>
      </c>
      <c r="AD22" s="882">
        <v>27.220716682784762</v>
      </c>
      <c r="AE22" s="882">
        <v>29.235955596809681</v>
      </c>
      <c r="AF22" s="882">
        <v>31.251194510834601</v>
      </c>
      <c r="AG22" s="882">
        <v>33.266433424859521</v>
      </c>
      <c r="AH22" s="882">
        <v>35.281672338884448</v>
      </c>
      <c r="AI22" s="882">
        <v>37.296911252909368</v>
      </c>
      <c r="AJ22" s="882">
        <v>39.312150166934288</v>
      </c>
      <c r="AK22" s="882">
        <v>41.327389080959207</v>
      </c>
      <c r="AL22" s="882">
        <v>43.342627994984127</v>
      </c>
      <c r="AM22" s="882">
        <v>45.357866909009047</v>
      </c>
      <c r="AN22" s="882">
        <v>47.373105823033967</v>
      </c>
      <c r="AO22" s="882">
        <v>49.388344737058887</v>
      </c>
      <c r="AP22" s="882">
        <v>51.403583651083814</v>
      </c>
      <c r="AQ22" s="882">
        <v>53.418822565108727</v>
      </c>
      <c r="AR22" s="882">
        <v>55.434061479133653</v>
      </c>
      <c r="AS22" s="882">
        <v>57.449300393158573</v>
      </c>
      <c r="AT22" s="882">
        <v>59.464539307183507</v>
      </c>
    </row>
    <row r="23" spans="1:46">
      <c r="A23" s="1426"/>
      <c r="B23" s="1427"/>
      <c r="C23" s="881">
        <v>1.7</v>
      </c>
      <c r="D23" s="915">
        <f>(AA23*KFC!$B$17+KFC!$C$17)*KFC!$C$5</f>
        <v>21.661513097242498</v>
      </c>
      <c r="E23" s="912">
        <f>(AB23*KFC!$B$17+KFC!$C$17)*KFC!$C$5</f>
        <v>23.77450651237875</v>
      </c>
      <c r="F23" s="912">
        <f>(AC23*KFC!$B$17+KFC!$C$17)*KFC!$C$5</f>
        <v>25.887499927515002</v>
      </c>
      <c r="G23" s="912">
        <f>(AD23*KFC!$B$17+KFC!$C$17)*KFC!$C$5</f>
        <v>28.000493342651247</v>
      </c>
      <c r="H23" s="912">
        <f>(AE23*KFC!$B$17+KFC!$C$17)*KFC!$C$5</f>
        <v>30.113486757787499</v>
      </c>
      <c r="I23" s="912">
        <f>(AF23*KFC!$B$17+KFC!$C$17)*KFC!$C$5</f>
        <v>32.22648017292375</v>
      </c>
      <c r="J23" s="912">
        <f>(AG23*KFC!$B$17+KFC!$C$17)*KFC!$C$5</f>
        <v>34.339473588059995</v>
      </c>
      <c r="K23" s="912">
        <f>(AH23*KFC!$B$17+KFC!$C$17)*KFC!$C$5</f>
        <v>36.452467003196247</v>
      </c>
      <c r="L23" s="912">
        <f>(AI23*KFC!$B$17+KFC!$C$17)*KFC!$C$5</f>
        <v>38.565460418332499</v>
      </c>
      <c r="M23" s="912">
        <f>(AJ23*KFC!$B$17+KFC!$C$17)*KFC!$C$5</f>
        <v>40.678453833468751</v>
      </c>
      <c r="N23" s="912">
        <f>(AK23*KFC!$B$17+KFC!$C$17)*KFC!$C$5</f>
        <v>42.791447248605003</v>
      </c>
      <c r="O23" s="912">
        <f>(AL23*KFC!$B$17+KFC!$C$17)*KFC!$C$5</f>
        <v>44.904440663741255</v>
      </c>
      <c r="P23" s="912">
        <f>(AM23*KFC!$B$17+KFC!$C$17)*KFC!$C$5</f>
        <v>47.017434078877514</v>
      </c>
      <c r="Q23" s="912">
        <f>(AN23*KFC!$B$17+KFC!$C$17)*KFC!$C$5</f>
        <v>49.130427494013759</v>
      </c>
      <c r="R23" s="912">
        <f>(AO23*KFC!$B$17+KFC!$C$17)*KFC!$C$5</f>
        <v>51.243420909150018</v>
      </c>
      <c r="S23" s="912">
        <f>(AP23*KFC!$B$17+KFC!$C$17)*KFC!$C$5</f>
        <v>53.35641432428627</v>
      </c>
      <c r="T23" s="912">
        <f>(AQ23*KFC!$B$17+KFC!$C$17)*KFC!$C$5</f>
        <v>55.469407739422529</v>
      </c>
      <c r="U23" s="912">
        <f>(AR23*KFC!$B$17+KFC!$C$17)*KFC!$C$5</f>
        <v>57.582401154558781</v>
      </c>
      <c r="V23" s="912">
        <f>(AS23*KFC!$B$17+KFC!$C$17)*KFC!$C$5</f>
        <v>59.695394569695033</v>
      </c>
      <c r="W23" s="916">
        <f>(AT23*KFC!$B$17+KFC!$C$17)*KFC!$C$5</f>
        <v>61.808387984831256</v>
      </c>
      <c r="Y23" s="1277"/>
      <c r="Z23" s="649">
        <v>1.7</v>
      </c>
      <c r="AA23" s="882">
        <v>21.661513097242498</v>
      </c>
      <c r="AB23" s="882">
        <v>23.77450651237875</v>
      </c>
      <c r="AC23" s="882">
        <v>25.887499927515002</v>
      </c>
      <c r="AD23" s="882">
        <v>28.000493342651247</v>
      </c>
      <c r="AE23" s="882">
        <v>30.113486757787499</v>
      </c>
      <c r="AF23" s="882">
        <v>32.22648017292375</v>
      </c>
      <c r="AG23" s="882">
        <v>34.339473588059995</v>
      </c>
      <c r="AH23" s="882">
        <v>36.452467003196247</v>
      </c>
      <c r="AI23" s="882">
        <v>38.565460418332499</v>
      </c>
      <c r="AJ23" s="882">
        <v>40.678453833468751</v>
      </c>
      <c r="AK23" s="882">
        <v>42.791447248605003</v>
      </c>
      <c r="AL23" s="882">
        <v>44.904440663741255</v>
      </c>
      <c r="AM23" s="882">
        <v>47.017434078877514</v>
      </c>
      <c r="AN23" s="882">
        <v>49.130427494013759</v>
      </c>
      <c r="AO23" s="882">
        <v>51.243420909150018</v>
      </c>
      <c r="AP23" s="882">
        <v>53.35641432428627</v>
      </c>
      <c r="AQ23" s="882">
        <v>55.469407739422529</v>
      </c>
      <c r="AR23" s="882">
        <v>57.582401154558781</v>
      </c>
      <c r="AS23" s="882">
        <v>59.695394569695033</v>
      </c>
      <c r="AT23" s="882">
        <v>61.808387984831256</v>
      </c>
    </row>
    <row r="24" spans="1:46">
      <c r="A24" s="1426"/>
      <c r="B24" s="1427"/>
      <c r="C24" s="881">
        <v>1.8</v>
      </c>
      <c r="D24" s="915">
        <f>(AA24*KFC!$B$17+KFC!$C$17)*KFC!$C$5</f>
        <v>22.148026253775001</v>
      </c>
      <c r="E24" s="912">
        <f>(AB24*KFC!$B$17+KFC!$C$17)*KFC!$C$5</f>
        <v>24.358774170022581</v>
      </c>
      <c r="F24" s="912">
        <f>(AC24*KFC!$B$17+KFC!$C$17)*KFC!$C$5</f>
        <v>26.569522086270158</v>
      </c>
      <c r="G24" s="912">
        <f>(AD24*KFC!$B$17+KFC!$C$17)*KFC!$C$5</f>
        <v>28.780270002517739</v>
      </c>
      <c r="H24" s="912">
        <f>(AE24*KFC!$B$17+KFC!$C$17)*KFC!$C$5</f>
        <v>30.991017918765316</v>
      </c>
      <c r="I24" s="912">
        <f>(AF24*KFC!$B$17+KFC!$C$17)*KFC!$C$5</f>
        <v>33.201765835012893</v>
      </c>
      <c r="J24" s="912">
        <f>(AG24*KFC!$B$17+KFC!$C$17)*KFC!$C$5</f>
        <v>35.41251375126047</v>
      </c>
      <c r="K24" s="912">
        <f>(AH24*KFC!$B$17+KFC!$C$17)*KFC!$C$5</f>
        <v>37.623261667508046</v>
      </c>
      <c r="L24" s="912">
        <f>(AI24*KFC!$B$17+KFC!$C$17)*KFC!$C$5</f>
        <v>39.834009583755631</v>
      </c>
      <c r="M24" s="912">
        <f>(AJ24*KFC!$B$17+KFC!$C$17)*KFC!$C$5</f>
        <v>42.044757500003207</v>
      </c>
      <c r="N24" s="912">
        <f>(AK24*KFC!$B$17+KFC!$C$17)*KFC!$C$5</f>
        <v>44.255505416250784</v>
      </c>
      <c r="O24" s="912">
        <f>(AL24*KFC!$B$17+KFC!$C$17)*KFC!$C$5</f>
        <v>46.466253332498368</v>
      </c>
      <c r="P24" s="912">
        <f>(AM24*KFC!$B$17+KFC!$C$17)*KFC!$C$5</f>
        <v>48.677001248745952</v>
      </c>
      <c r="Q24" s="912">
        <f>(AN24*KFC!$B$17+KFC!$C$17)*KFC!$C$5</f>
        <v>50.887749164993522</v>
      </c>
      <c r="R24" s="912">
        <f>(AO24*KFC!$B$17+KFC!$C$17)*KFC!$C$5</f>
        <v>53.098497081241099</v>
      </c>
      <c r="S24" s="912">
        <f>(AP24*KFC!$B$17+KFC!$C$17)*KFC!$C$5</f>
        <v>55.309244997488676</v>
      </c>
      <c r="T24" s="912">
        <f>(AQ24*KFC!$B$17+KFC!$C$17)*KFC!$C$5</f>
        <v>57.51999291373626</v>
      </c>
      <c r="U24" s="912">
        <f>(AR24*KFC!$B$17+KFC!$C$17)*KFC!$C$5</f>
        <v>59.730740829983837</v>
      </c>
      <c r="V24" s="912">
        <f>(AS24*KFC!$B$17+KFC!$C$17)*KFC!$C$5</f>
        <v>61.941488746231407</v>
      </c>
      <c r="W24" s="916">
        <f>(AT24*KFC!$B$17+KFC!$C$17)*KFC!$C$5</f>
        <v>64.152236662479012</v>
      </c>
      <c r="Y24" s="1277"/>
      <c r="Z24" s="649">
        <v>1.8</v>
      </c>
      <c r="AA24" s="882">
        <v>22.148026253775001</v>
      </c>
      <c r="AB24" s="882">
        <v>24.358774170022581</v>
      </c>
      <c r="AC24" s="882">
        <v>26.569522086270158</v>
      </c>
      <c r="AD24" s="882">
        <v>28.780270002517739</v>
      </c>
      <c r="AE24" s="882">
        <v>30.991017918765316</v>
      </c>
      <c r="AF24" s="882">
        <v>33.201765835012893</v>
      </c>
      <c r="AG24" s="882">
        <v>35.41251375126047</v>
      </c>
      <c r="AH24" s="882">
        <v>37.623261667508046</v>
      </c>
      <c r="AI24" s="882">
        <v>39.834009583755631</v>
      </c>
      <c r="AJ24" s="882">
        <v>42.044757500003207</v>
      </c>
      <c r="AK24" s="882">
        <v>44.255505416250784</v>
      </c>
      <c r="AL24" s="882">
        <v>46.466253332498368</v>
      </c>
      <c r="AM24" s="882">
        <v>48.677001248745952</v>
      </c>
      <c r="AN24" s="882">
        <v>50.887749164993522</v>
      </c>
      <c r="AO24" s="882">
        <v>53.098497081241099</v>
      </c>
      <c r="AP24" s="882">
        <v>55.309244997488676</v>
      </c>
      <c r="AQ24" s="882">
        <v>57.51999291373626</v>
      </c>
      <c r="AR24" s="882">
        <v>59.730740829983837</v>
      </c>
      <c r="AS24" s="882">
        <v>61.941488746231407</v>
      </c>
      <c r="AT24" s="882">
        <v>64.152236662479012</v>
      </c>
    </row>
    <row r="25" spans="1:46">
      <c r="A25" s="1426"/>
      <c r="B25" s="1427"/>
      <c r="C25" s="881">
        <v>1.9</v>
      </c>
      <c r="D25" s="915">
        <f>(AA25*KFC!$B$17+KFC!$C$17)*KFC!$C$5</f>
        <v>22.634539410307504</v>
      </c>
      <c r="E25" s="912">
        <f>(AB25*KFC!$B$17+KFC!$C$17)*KFC!$C$5</f>
        <v>24.943041827666413</v>
      </c>
      <c r="F25" s="912">
        <f>(AC25*KFC!$B$17+KFC!$C$17)*KFC!$C$5</f>
        <v>27.251544245025318</v>
      </c>
      <c r="G25" s="912">
        <f>(AD25*KFC!$B$17+KFC!$C$17)*KFC!$C$5</f>
        <v>29.560046662384227</v>
      </c>
      <c r="H25" s="912">
        <f>(AE25*KFC!$B$17+KFC!$C$17)*KFC!$C$5</f>
        <v>31.868549079743133</v>
      </c>
      <c r="I25" s="912">
        <f>(AF25*KFC!$B$17+KFC!$C$17)*KFC!$C$5</f>
        <v>34.177051497102042</v>
      </c>
      <c r="J25" s="912">
        <f>(AG25*KFC!$B$17+KFC!$C$17)*KFC!$C$5</f>
        <v>36.485553914460944</v>
      </c>
      <c r="K25" s="912">
        <f>(AH25*KFC!$B$17+KFC!$C$17)*KFC!$C$5</f>
        <v>38.794056331819846</v>
      </c>
      <c r="L25" s="912">
        <f>(AI25*KFC!$B$17+KFC!$C$17)*KFC!$C$5</f>
        <v>41.102558749178755</v>
      </c>
      <c r="M25" s="912">
        <f>(AJ25*KFC!$B$17+KFC!$C$17)*KFC!$C$5</f>
        <v>43.411061166537657</v>
      </c>
      <c r="N25" s="912">
        <f>(AK25*KFC!$B$17+KFC!$C$17)*KFC!$C$5</f>
        <v>45.719563583896559</v>
      </c>
      <c r="O25" s="912">
        <f>(AL25*KFC!$B$17+KFC!$C$17)*KFC!$C$5</f>
        <v>48.028066001255468</v>
      </c>
      <c r="P25" s="912">
        <f>(AM25*KFC!$B$17+KFC!$C$17)*KFC!$C$5</f>
        <v>50.33656841861437</v>
      </c>
      <c r="Q25" s="912">
        <f>(AN25*KFC!$B$17+KFC!$C$17)*KFC!$C$5</f>
        <v>52.645070835973264</v>
      </c>
      <c r="R25" s="912">
        <f>(AO25*KFC!$B$17+KFC!$C$17)*KFC!$C$5</f>
        <v>54.953573253332181</v>
      </c>
      <c r="S25" s="912">
        <f>(AP25*KFC!$B$17+KFC!$C$17)*KFC!$C$5</f>
        <v>57.26207567069109</v>
      </c>
      <c r="T25" s="912">
        <f>(AQ25*KFC!$B$17+KFC!$C$17)*KFC!$C$5</f>
        <v>59.570578088049984</v>
      </c>
      <c r="U25" s="912">
        <f>(AR25*KFC!$B$17+KFC!$C$17)*KFC!$C$5</f>
        <v>61.879080505408886</v>
      </c>
      <c r="V25" s="912">
        <f>(AS25*KFC!$B$17+KFC!$C$17)*KFC!$C$5</f>
        <v>64.187582922767788</v>
      </c>
      <c r="W25" s="916">
        <f>(AT25*KFC!$B$17+KFC!$C$17)*KFC!$C$5</f>
        <v>66.49608534012674</v>
      </c>
      <c r="Y25" s="1277"/>
      <c r="Z25" s="649">
        <v>1.9</v>
      </c>
      <c r="AA25" s="882">
        <v>22.634539410307504</v>
      </c>
      <c r="AB25" s="882">
        <v>24.943041827666413</v>
      </c>
      <c r="AC25" s="882">
        <v>27.251544245025318</v>
      </c>
      <c r="AD25" s="882">
        <v>29.560046662384227</v>
      </c>
      <c r="AE25" s="882">
        <v>31.868549079743133</v>
      </c>
      <c r="AF25" s="882">
        <v>34.177051497102042</v>
      </c>
      <c r="AG25" s="882">
        <v>36.485553914460944</v>
      </c>
      <c r="AH25" s="882">
        <v>38.794056331819846</v>
      </c>
      <c r="AI25" s="882">
        <v>41.102558749178755</v>
      </c>
      <c r="AJ25" s="882">
        <v>43.411061166537657</v>
      </c>
      <c r="AK25" s="882">
        <v>45.719563583896559</v>
      </c>
      <c r="AL25" s="882">
        <v>48.028066001255468</v>
      </c>
      <c r="AM25" s="882">
        <v>50.33656841861437</v>
      </c>
      <c r="AN25" s="882">
        <v>52.645070835973264</v>
      </c>
      <c r="AO25" s="882">
        <v>54.953573253332181</v>
      </c>
      <c r="AP25" s="882">
        <v>57.26207567069109</v>
      </c>
      <c r="AQ25" s="882">
        <v>59.570578088049984</v>
      </c>
      <c r="AR25" s="882">
        <v>61.879080505408886</v>
      </c>
      <c r="AS25" s="882">
        <v>64.187582922767788</v>
      </c>
      <c r="AT25" s="882">
        <v>66.49608534012674</v>
      </c>
    </row>
    <row r="26" spans="1:46">
      <c r="A26" s="1426"/>
      <c r="B26" s="1427"/>
      <c r="C26" s="881">
        <v>2</v>
      </c>
      <c r="D26" s="915">
        <f>(AA26*KFC!$B$17+KFC!$C$17)*KFC!$C$5</f>
        <v>23.121052566840003</v>
      </c>
      <c r="E26" s="912">
        <f>(AB26*KFC!$B$17+KFC!$C$17)*KFC!$C$5</f>
        <v>25.527309485310237</v>
      </c>
      <c r="F26" s="912">
        <f>(AC26*KFC!$B$17+KFC!$C$17)*KFC!$C$5</f>
        <v>27.933566403780475</v>
      </c>
      <c r="G26" s="912">
        <f>(AD26*KFC!$B$17+KFC!$C$17)*KFC!$C$5</f>
        <v>30.339823322250712</v>
      </c>
      <c r="H26" s="912">
        <f>(AE26*KFC!$B$17+KFC!$C$17)*KFC!$C$5</f>
        <v>32.74608024072095</v>
      </c>
      <c r="I26" s="912">
        <f>(AF26*KFC!$B$17+KFC!$C$17)*KFC!$C$5</f>
        <v>35.152337159191184</v>
      </c>
      <c r="J26" s="912">
        <f>(AG26*KFC!$B$17+KFC!$C$17)*KFC!$C$5</f>
        <v>37.558594077661425</v>
      </c>
      <c r="K26" s="912">
        <f>(AH26*KFC!$B$17+KFC!$C$17)*KFC!$C$5</f>
        <v>39.964850996131659</v>
      </c>
      <c r="L26" s="912">
        <f>(AI26*KFC!$B$17+KFC!$C$17)*KFC!$C$5</f>
        <v>42.371107914601893</v>
      </c>
      <c r="M26" s="912">
        <f>(AJ26*KFC!$B$17+KFC!$C$17)*KFC!$C$5</f>
        <v>44.777364833072134</v>
      </c>
      <c r="N26" s="912">
        <f>(AK26*KFC!$B$17+KFC!$C$17)*KFC!$C$5</f>
        <v>47.183621751542368</v>
      </c>
      <c r="O26" s="912">
        <f>(AL26*KFC!$B$17+KFC!$C$17)*KFC!$C$5</f>
        <v>49.589878670012602</v>
      </c>
      <c r="P26" s="912">
        <f>(AM26*KFC!$B$17+KFC!$C$17)*KFC!$C$5</f>
        <v>51.996135588482844</v>
      </c>
      <c r="Q26" s="912">
        <f>(AN26*KFC!$B$17+KFC!$C$17)*KFC!$C$5</f>
        <v>54.402392506953078</v>
      </c>
      <c r="R26" s="912">
        <f>(AO26*KFC!$B$17+KFC!$C$17)*KFC!$C$5</f>
        <v>56.808649425423312</v>
      </c>
      <c r="S26" s="912">
        <f>(AP26*KFC!$B$17+KFC!$C$17)*KFC!$C$5</f>
        <v>59.214906343893553</v>
      </c>
      <c r="T26" s="912">
        <f>(AQ26*KFC!$B$17+KFC!$C$17)*KFC!$C$5</f>
        <v>61.621163262363787</v>
      </c>
      <c r="U26" s="912">
        <f>(AR26*KFC!$B$17+KFC!$C$17)*KFC!$C$5</f>
        <v>64.027420180834028</v>
      </c>
      <c r="V26" s="912">
        <f>(AS26*KFC!$B$17+KFC!$C$17)*KFC!$C$5</f>
        <v>66.433677099304276</v>
      </c>
      <c r="W26" s="916">
        <f>(AT26*KFC!$B$17+KFC!$C$17)*KFC!$C$5</f>
        <v>68.839934017774496</v>
      </c>
      <c r="Y26" s="1277"/>
      <c r="Z26" s="649">
        <v>2</v>
      </c>
      <c r="AA26" s="882">
        <v>23.121052566840003</v>
      </c>
      <c r="AB26" s="882">
        <v>25.527309485310237</v>
      </c>
      <c r="AC26" s="882">
        <v>27.933566403780475</v>
      </c>
      <c r="AD26" s="882">
        <v>30.339823322250712</v>
      </c>
      <c r="AE26" s="882">
        <v>32.74608024072095</v>
      </c>
      <c r="AF26" s="882">
        <v>35.152337159191184</v>
      </c>
      <c r="AG26" s="882">
        <v>37.558594077661425</v>
      </c>
      <c r="AH26" s="882">
        <v>39.964850996131659</v>
      </c>
      <c r="AI26" s="882">
        <v>42.371107914601893</v>
      </c>
      <c r="AJ26" s="882">
        <v>44.777364833072134</v>
      </c>
      <c r="AK26" s="882">
        <v>47.183621751542368</v>
      </c>
      <c r="AL26" s="882">
        <v>49.589878670012602</v>
      </c>
      <c r="AM26" s="882">
        <v>51.996135588482844</v>
      </c>
      <c r="AN26" s="882">
        <v>54.402392506953078</v>
      </c>
      <c r="AO26" s="882">
        <v>56.808649425423312</v>
      </c>
      <c r="AP26" s="882">
        <v>59.214906343893553</v>
      </c>
      <c r="AQ26" s="882">
        <v>61.621163262363787</v>
      </c>
      <c r="AR26" s="882">
        <v>64.027420180834028</v>
      </c>
      <c r="AS26" s="882">
        <v>66.433677099304276</v>
      </c>
      <c r="AT26" s="882">
        <v>68.839934017774496</v>
      </c>
    </row>
    <row r="27" spans="1:46">
      <c r="A27" s="1426"/>
      <c r="B27" s="1427"/>
      <c r="C27" s="881">
        <v>2.1</v>
      </c>
      <c r="D27" s="915">
        <f>(AA27*KFC!$B$17+KFC!$C$17)*KFC!$C$5</f>
        <v>23.607565723372506</v>
      </c>
      <c r="E27" s="912">
        <f>(AB27*KFC!$B$17+KFC!$C$17)*KFC!$C$5</f>
        <v>26.111577142954069</v>
      </c>
      <c r="F27" s="912">
        <f>(AC27*KFC!$B$17+KFC!$C$17)*KFC!$C$5</f>
        <v>28.615588562535635</v>
      </c>
      <c r="G27" s="912">
        <f>(AD27*KFC!$B$17+KFC!$C$17)*KFC!$C$5</f>
        <v>31.119599982117201</v>
      </c>
      <c r="H27" s="912">
        <f>(AE27*KFC!$B$17+KFC!$C$17)*KFC!$C$5</f>
        <v>33.623611401698767</v>
      </c>
      <c r="I27" s="912">
        <f>(AF27*KFC!$B$17+KFC!$C$17)*KFC!$C$5</f>
        <v>36.127622821280333</v>
      </c>
      <c r="J27" s="912">
        <f>(AG27*KFC!$B$17+KFC!$C$17)*KFC!$C$5</f>
        <v>38.631634240861899</v>
      </c>
      <c r="K27" s="912">
        <f>(AH27*KFC!$B$17+KFC!$C$17)*KFC!$C$5</f>
        <v>41.135645660443473</v>
      </c>
      <c r="L27" s="912">
        <f>(AI27*KFC!$B$17+KFC!$C$17)*KFC!$C$5</f>
        <v>43.639657080025046</v>
      </c>
      <c r="M27" s="912">
        <f>(AJ27*KFC!$B$17+KFC!$C$17)*KFC!$C$5</f>
        <v>46.143668499606605</v>
      </c>
      <c r="N27" s="912">
        <f>(AK27*KFC!$B$17+KFC!$C$17)*KFC!$C$5</f>
        <v>48.647679919188178</v>
      </c>
      <c r="O27" s="912">
        <f>(AL27*KFC!$B$17+KFC!$C$17)*KFC!$C$5</f>
        <v>51.151691338769744</v>
      </c>
      <c r="P27" s="912">
        <f>(AM27*KFC!$B$17+KFC!$C$17)*KFC!$C$5</f>
        <v>53.655702758351318</v>
      </c>
      <c r="Q27" s="912">
        <f>(AN27*KFC!$B$17+KFC!$C$17)*KFC!$C$5</f>
        <v>56.159714177932877</v>
      </c>
      <c r="R27" s="912">
        <f>(AO27*KFC!$B$17+KFC!$C$17)*KFC!$C$5</f>
        <v>58.66372559751445</v>
      </c>
      <c r="S27" s="912">
        <f>(AP27*KFC!$B$17+KFC!$C$17)*KFC!$C$5</f>
        <v>61.167737017096016</v>
      </c>
      <c r="T27" s="912">
        <f>(AQ27*KFC!$B$17+KFC!$C$17)*KFC!$C$5</f>
        <v>63.671748436677589</v>
      </c>
      <c r="U27" s="912">
        <f>(AR27*KFC!$B$17+KFC!$C$17)*KFC!$C$5</f>
        <v>66.175759856259162</v>
      </c>
      <c r="V27" s="912">
        <f>(AS27*KFC!$B$17+KFC!$C$17)*KFC!$C$5</f>
        <v>68.679771275840722</v>
      </c>
      <c r="W27" s="916">
        <f>(AT27*KFC!$B$17+KFC!$C$17)*KFC!$C$5</f>
        <v>71.183782695422238</v>
      </c>
      <c r="Y27" s="1277"/>
      <c r="Z27" s="649">
        <v>2.1</v>
      </c>
      <c r="AA27" s="882">
        <v>23.607565723372506</v>
      </c>
      <c r="AB27" s="882">
        <v>26.111577142954069</v>
      </c>
      <c r="AC27" s="882">
        <v>28.615588562535635</v>
      </c>
      <c r="AD27" s="882">
        <v>31.119599982117201</v>
      </c>
      <c r="AE27" s="882">
        <v>33.623611401698767</v>
      </c>
      <c r="AF27" s="882">
        <v>36.127622821280333</v>
      </c>
      <c r="AG27" s="882">
        <v>38.631634240861899</v>
      </c>
      <c r="AH27" s="882">
        <v>41.135645660443473</v>
      </c>
      <c r="AI27" s="882">
        <v>43.639657080025046</v>
      </c>
      <c r="AJ27" s="882">
        <v>46.143668499606605</v>
      </c>
      <c r="AK27" s="882">
        <v>48.647679919188178</v>
      </c>
      <c r="AL27" s="882">
        <v>51.151691338769744</v>
      </c>
      <c r="AM27" s="882">
        <v>53.655702758351318</v>
      </c>
      <c r="AN27" s="882">
        <v>56.159714177932877</v>
      </c>
      <c r="AO27" s="882">
        <v>58.66372559751445</v>
      </c>
      <c r="AP27" s="882">
        <v>61.167737017096016</v>
      </c>
      <c r="AQ27" s="882">
        <v>63.671748436677589</v>
      </c>
      <c r="AR27" s="882">
        <v>66.175759856259162</v>
      </c>
      <c r="AS27" s="882">
        <v>68.679771275840722</v>
      </c>
      <c r="AT27" s="882">
        <v>71.183782695422238</v>
      </c>
    </row>
    <row r="28" spans="1:46" ht="15" thickBot="1">
      <c r="A28" s="1428"/>
      <c r="B28" s="1429"/>
      <c r="C28" s="908">
        <v>2.2000000000000002</v>
      </c>
      <c r="D28" s="917">
        <f>(AA28*KFC!$B$17+KFC!$C$17)*KFC!$C$5</f>
        <v>24.094078879904998</v>
      </c>
      <c r="E28" s="918">
        <f>(AB28*KFC!$B$17+KFC!$C$17)*KFC!$C$5</f>
        <v>26.695844800597893</v>
      </c>
      <c r="F28" s="918">
        <f>(AC28*KFC!$B$17+KFC!$C$17)*KFC!$C$5</f>
        <v>29.297610721290781</v>
      </c>
      <c r="G28" s="918">
        <f>(AD28*KFC!$B$17+KFC!$C$17)*KFC!$C$5</f>
        <v>31.899376641983682</v>
      </c>
      <c r="H28" s="918">
        <f>(AE28*KFC!$B$17+KFC!$C$17)*KFC!$C$5</f>
        <v>34.50114256267657</v>
      </c>
      <c r="I28" s="918">
        <f>(AF28*KFC!$B$17+KFC!$C$17)*KFC!$C$5</f>
        <v>37.102908483369475</v>
      </c>
      <c r="J28" s="918">
        <f>(AG28*KFC!$B$17+KFC!$C$17)*KFC!$C$5</f>
        <v>39.704674404062359</v>
      </c>
      <c r="K28" s="918">
        <f>(AH28*KFC!$B$17+KFC!$C$17)*KFC!$C$5</f>
        <v>42.306440324755265</v>
      </c>
      <c r="L28" s="918">
        <f>(AI28*KFC!$B$17+KFC!$C$17)*KFC!$C$5</f>
        <v>44.908206245448156</v>
      </c>
      <c r="M28" s="918">
        <f>(AJ28*KFC!$B$17+KFC!$C$17)*KFC!$C$5</f>
        <v>47.509972166141054</v>
      </c>
      <c r="N28" s="918">
        <f>(AK28*KFC!$B$17+KFC!$C$17)*KFC!$C$5</f>
        <v>50.111738086833945</v>
      </c>
      <c r="O28" s="918">
        <f>(AL28*KFC!$B$17+KFC!$C$17)*KFC!$C$5</f>
        <v>52.713504007526836</v>
      </c>
      <c r="P28" s="918">
        <f>(AM28*KFC!$B$17+KFC!$C$17)*KFC!$C$5</f>
        <v>55.315269928219735</v>
      </c>
      <c r="Q28" s="918">
        <f>(AN28*KFC!$B$17+KFC!$C$17)*KFC!$C$5</f>
        <v>57.917035848912626</v>
      </c>
      <c r="R28" s="918">
        <f>(AO28*KFC!$B$17+KFC!$C$17)*KFC!$C$5</f>
        <v>60.518801769605517</v>
      </c>
      <c r="S28" s="918">
        <f>(AP28*KFC!$B$17+KFC!$C$17)*KFC!$C$5</f>
        <v>63.120567690298415</v>
      </c>
      <c r="T28" s="918">
        <f>(AQ28*KFC!$B$17+KFC!$C$17)*KFC!$C$5</f>
        <v>65.722333610991299</v>
      </c>
      <c r="U28" s="918">
        <f>(AR28*KFC!$B$17+KFC!$C$17)*KFC!$C$5</f>
        <v>68.324099531684212</v>
      </c>
      <c r="V28" s="918">
        <f>(AS28*KFC!$B$17+KFC!$C$17)*KFC!$C$5</f>
        <v>70.92586545237711</v>
      </c>
      <c r="W28" s="919">
        <f>(AT28*KFC!$B$17+KFC!$C$17)*KFC!$C$5</f>
        <v>73.527631373069994</v>
      </c>
      <c r="Y28" s="1277"/>
      <c r="Z28" s="649">
        <v>2.2000000000000002</v>
      </c>
      <c r="AA28" s="882">
        <v>24.094078879904998</v>
      </c>
      <c r="AB28" s="882">
        <v>26.695844800597893</v>
      </c>
      <c r="AC28" s="882">
        <v>29.297610721290781</v>
      </c>
      <c r="AD28" s="882">
        <v>31.899376641983682</v>
      </c>
      <c r="AE28" s="882">
        <v>34.50114256267657</v>
      </c>
      <c r="AF28" s="882">
        <v>37.102908483369475</v>
      </c>
      <c r="AG28" s="882">
        <v>39.704674404062359</v>
      </c>
      <c r="AH28" s="882">
        <v>42.306440324755265</v>
      </c>
      <c r="AI28" s="882">
        <v>44.908206245448156</v>
      </c>
      <c r="AJ28" s="882">
        <v>47.509972166141054</v>
      </c>
      <c r="AK28" s="882">
        <v>50.111738086833945</v>
      </c>
      <c r="AL28" s="882">
        <v>52.713504007526836</v>
      </c>
      <c r="AM28" s="882">
        <v>55.315269928219735</v>
      </c>
      <c r="AN28" s="882">
        <v>57.917035848912626</v>
      </c>
      <c r="AO28" s="882">
        <v>60.518801769605517</v>
      </c>
      <c r="AP28" s="882">
        <v>63.120567690298415</v>
      </c>
      <c r="AQ28" s="882">
        <v>65.722333610991299</v>
      </c>
      <c r="AR28" s="882">
        <v>68.324099531684212</v>
      </c>
      <c r="AS28" s="882">
        <v>70.92586545237711</v>
      </c>
      <c r="AT28" s="882">
        <v>73.527631373069994</v>
      </c>
    </row>
    <row r="29" spans="1:46">
      <c r="A29" s="16"/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</row>
    <row r="30" spans="1:46" ht="16.2" thickBot="1">
      <c r="A30" s="1033" t="s">
        <v>1226</v>
      </c>
      <c r="B30" s="1033"/>
      <c r="C30" s="1033"/>
      <c r="D30" s="1033"/>
      <c r="E30" s="1033"/>
      <c r="F30" s="1033"/>
      <c r="G30" s="1033"/>
      <c r="H30" s="1033"/>
      <c r="I30" s="1033"/>
      <c r="J30" s="1033"/>
      <c r="K30" s="1033"/>
      <c r="L30" s="1033"/>
      <c r="M30" s="1033"/>
      <c r="N30" s="1033"/>
      <c r="O30" s="1033"/>
      <c r="P30" s="1033"/>
      <c r="Q30" s="1033"/>
      <c r="R30" s="1033"/>
      <c r="S30" s="1033"/>
      <c r="T30" s="1033"/>
      <c r="U30" s="1033"/>
      <c r="V30" s="1033"/>
      <c r="W30" s="1033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</row>
    <row r="31" spans="1:46" ht="34.5" customHeight="1" thickBot="1">
      <c r="A31" s="1439"/>
      <c r="B31" s="1440"/>
      <c r="C31" s="1441"/>
      <c r="D31" s="1419" t="s">
        <v>207</v>
      </c>
      <c r="E31" s="1420"/>
      <c r="F31" s="1420"/>
      <c r="G31" s="1420"/>
      <c r="H31" s="1420"/>
      <c r="I31" s="1420"/>
      <c r="J31" s="1420"/>
      <c r="K31" s="1420"/>
      <c r="L31" s="1420"/>
      <c r="M31" s="1420"/>
      <c r="N31" s="1420"/>
      <c r="O31" s="1420"/>
      <c r="P31" s="1420"/>
      <c r="Q31" s="1420"/>
      <c r="R31" s="1420"/>
      <c r="S31" s="1420"/>
      <c r="T31" s="1420"/>
      <c r="U31" s="1420"/>
      <c r="V31" s="1420"/>
      <c r="W31" s="1421"/>
      <c r="Y31" s="1278" t="s">
        <v>1204</v>
      </c>
      <c r="Z31" s="1278"/>
      <c r="AA31" s="1279" t="s">
        <v>356</v>
      </c>
      <c r="AB31" s="1279"/>
      <c r="AC31" s="1279"/>
      <c r="AD31" s="1279"/>
      <c r="AE31" s="1279"/>
      <c r="AF31" s="1279"/>
      <c r="AG31" s="1279"/>
      <c r="AH31" s="1279"/>
      <c r="AI31" s="1279"/>
      <c r="AJ31" s="1279"/>
      <c r="AK31" s="1279"/>
      <c r="AL31" s="1279"/>
      <c r="AM31" s="1279"/>
      <c r="AN31" s="1279"/>
      <c r="AO31" s="1279"/>
      <c r="AP31" s="1279"/>
      <c r="AQ31" s="1279"/>
      <c r="AR31" s="1279"/>
      <c r="AS31" s="1279"/>
      <c r="AT31" s="1279"/>
    </row>
    <row r="32" spans="1:46" ht="14.4" customHeight="1" thickBot="1">
      <c r="A32" s="1442"/>
      <c r="B32" s="1443"/>
      <c r="C32" s="1444"/>
      <c r="D32" s="883">
        <v>0.3</v>
      </c>
      <c r="E32" s="884">
        <v>0.4</v>
      </c>
      <c r="F32" s="884">
        <v>0.5</v>
      </c>
      <c r="G32" s="884">
        <v>0.6</v>
      </c>
      <c r="H32" s="884">
        <v>0.7</v>
      </c>
      <c r="I32" s="884">
        <v>0.8</v>
      </c>
      <c r="J32" s="884">
        <v>0.9</v>
      </c>
      <c r="K32" s="884">
        <v>1</v>
      </c>
      <c r="L32" s="884">
        <v>1.1000000000000001</v>
      </c>
      <c r="M32" s="884">
        <v>1.2</v>
      </c>
      <c r="N32" s="884">
        <v>1.3</v>
      </c>
      <c r="O32" s="884">
        <v>1.4</v>
      </c>
      <c r="P32" s="884">
        <v>1.5</v>
      </c>
      <c r="Q32" s="884">
        <v>1.6</v>
      </c>
      <c r="R32" s="884">
        <v>1.7</v>
      </c>
      <c r="S32" s="884">
        <v>1.8</v>
      </c>
      <c r="T32" s="884">
        <v>1.9</v>
      </c>
      <c r="U32" s="884">
        <v>2</v>
      </c>
      <c r="V32" s="884">
        <v>2.1</v>
      </c>
      <c r="W32" s="885">
        <v>2.2000000000000002</v>
      </c>
      <c r="Y32" s="1278"/>
      <c r="Z32" s="1278"/>
      <c r="AA32" s="649">
        <v>0.3</v>
      </c>
      <c r="AB32" s="649">
        <v>0.4</v>
      </c>
      <c r="AC32" s="649">
        <v>0.5</v>
      </c>
      <c r="AD32" s="649">
        <v>0.6</v>
      </c>
      <c r="AE32" s="649">
        <v>0.7</v>
      </c>
      <c r="AF32" s="649">
        <v>0.8</v>
      </c>
      <c r="AG32" s="649">
        <v>0.9</v>
      </c>
      <c r="AH32" s="649">
        <v>1</v>
      </c>
      <c r="AI32" s="649">
        <v>1.1000000000000001</v>
      </c>
      <c r="AJ32" s="649">
        <v>1.2</v>
      </c>
      <c r="AK32" s="649">
        <v>1.3</v>
      </c>
      <c r="AL32" s="649">
        <v>1.4</v>
      </c>
      <c r="AM32" s="649">
        <v>1.5</v>
      </c>
      <c r="AN32" s="649">
        <v>1.6</v>
      </c>
      <c r="AO32" s="649">
        <v>1.7</v>
      </c>
      <c r="AP32" s="649">
        <v>1.8</v>
      </c>
      <c r="AQ32" s="649">
        <v>1.9</v>
      </c>
      <c r="AR32" s="649">
        <v>2</v>
      </c>
      <c r="AS32" s="649">
        <v>2.1</v>
      </c>
      <c r="AT32" s="649">
        <v>2.2000000000000002</v>
      </c>
    </row>
    <row r="33" spans="1:46" ht="15" customHeight="1">
      <c r="A33" s="1426" t="s">
        <v>3</v>
      </c>
      <c r="B33" s="1427"/>
      <c r="C33" s="886">
        <v>0.2</v>
      </c>
      <c r="D33" s="899">
        <f>(AA33*KFC!$B$17+KFC!$C$17)*KFC!$C$5</f>
        <v>14.554605222405</v>
      </c>
      <c r="E33" s="913">
        <f>(AB33*KFC!$B$17+KFC!$C$17)*KFC!$C$5</f>
        <v>15.265547048669211</v>
      </c>
      <c r="F33" s="913">
        <f>(AC33*KFC!$B$17+KFC!$C$17)*KFC!$C$5</f>
        <v>15.976488874933422</v>
      </c>
      <c r="G33" s="913">
        <f>(AD33*KFC!$B$17+KFC!$C$17)*KFC!$C$5</f>
        <v>16.687430701197631</v>
      </c>
      <c r="H33" s="913">
        <f>(AE33*KFC!$B$17+KFC!$C$17)*KFC!$C$5</f>
        <v>17.398372527461841</v>
      </c>
      <c r="I33" s="913">
        <f>(AF33*KFC!$B$17+KFC!$C$17)*KFC!$C$5</f>
        <v>18.109314353726049</v>
      </c>
      <c r="J33" s="913">
        <f>(AG33*KFC!$B$17+KFC!$C$17)*KFC!$C$5</f>
        <v>18.82025617999026</v>
      </c>
      <c r="K33" s="913">
        <f>(AH33*KFC!$B$17+KFC!$C$17)*KFC!$C$5</f>
        <v>19.531198006254471</v>
      </c>
      <c r="L33" s="913">
        <f>(AI33*KFC!$B$17+KFC!$C$17)*KFC!$C$5</f>
        <v>20.242139832518681</v>
      </c>
      <c r="M33" s="913">
        <f>(AJ33*KFC!$B$17+KFC!$C$17)*KFC!$C$5</f>
        <v>20.953081658782892</v>
      </c>
      <c r="N33" s="913">
        <f>(AK33*KFC!$B$17+KFC!$C$17)*KFC!$C$5</f>
        <v>21.664023485047103</v>
      </c>
      <c r="O33" s="913">
        <f>(AL33*KFC!$B$17+KFC!$C$17)*KFC!$C$5</f>
        <v>22.374965311311314</v>
      </c>
      <c r="P33" s="913">
        <f>(AM33*KFC!$B$17+KFC!$C$17)*KFC!$C$5</f>
        <v>23.085907137575525</v>
      </c>
      <c r="Q33" s="913">
        <f>(AN33*KFC!$B$17+KFC!$C$17)*KFC!$C$5</f>
        <v>23.796848963839736</v>
      </c>
      <c r="R33" s="913">
        <f>(AO33*KFC!$B$17+KFC!$C$17)*KFC!$C$5</f>
        <v>24.507790790103947</v>
      </c>
      <c r="S33" s="913">
        <f>(AP33*KFC!$B$17+KFC!$C$17)*KFC!$C$5</f>
        <v>25.218732616368158</v>
      </c>
      <c r="T33" s="913">
        <f>(AQ33*KFC!$B$17+KFC!$C$17)*KFC!$C$5</f>
        <v>25.929674442632361</v>
      </c>
      <c r="U33" s="913">
        <f>(AR33*KFC!$B$17+KFC!$C$17)*KFC!$C$5</f>
        <v>26.640616268896579</v>
      </c>
      <c r="V33" s="913">
        <f>(AS33*KFC!$B$17+KFC!$C$17)*KFC!$C$5</f>
        <v>27.351558095160783</v>
      </c>
      <c r="W33" s="914">
        <f>(AT33*KFC!$B$17+KFC!$C$17)*KFC!$C$5</f>
        <v>28.062499921424997</v>
      </c>
      <c r="Y33" s="1277" t="s">
        <v>357</v>
      </c>
      <c r="Z33" s="649">
        <v>0.2</v>
      </c>
      <c r="AA33" s="882">
        <v>14.554605222405</v>
      </c>
      <c r="AB33" s="882">
        <v>15.265547048669211</v>
      </c>
      <c r="AC33" s="882">
        <v>15.976488874933422</v>
      </c>
      <c r="AD33" s="882">
        <v>16.687430701197631</v>
      </c>
      <c r="AE33" s="882">
        <v>17.398372527461841</v>
      </c>
      <c r="AF33" s="882">
        <v>18.109314353726049</v>
      </c>
      <c r="AG33" s="882">
        <v>18.82025617999026</v>
      </c>
      <c r="AH33" s="882">
        <v>19.531198006254471</v>
      </c>
      <c r="AI33" s="882">
        <v>20.242139832518681</v>
      </c>
      <c r="AJ33" s="882">
        <v>20.953081658782892</v>
      </c>
      <c r="AK33" s="882">
        <v>21.664023485047103</v>
      </c>
      <c r="AL33" s="882">
        <v>22.374965311311314</v>
      </c>
      <c r="AM33" s="882">
        <v>23.085907137575525</v>
      </c>
      <c r="AN33" s="882">
        <v>23.796848963839736</v>
      </c>
      <c r="AO33" s="882">
        <v>24.507790790103947</v>
      </c>
      <c r="AP33" s="882">
        <v>25.218732616368158</v>
      </c>
      <c r="AQ33" s="882">
        <v>25.929674442632361</v>
      </c>
      <c r="AR33" s="882">
        <v>26.640616268896579</v>
      </c>
      <c r="AS33" s="882">
        <v>27.351558095160783</v>
      </c>
      <c r="AT33" s="882">
        <v>28.062499921424997</v>
      </c>
    </row>
    <row r="34" spans="1:46" ht="14.4" customHeight="1">
      <c r="A34" s="1426"/>
      <c r="B34" s="1427"/>
      <c r="C34" s="887">
        <v>0.3</v>
      </c>
      <c r="D34" s="915">
        <f>(AA34*KFC!$B$17+KFC!$C$17)*KFC!$C$5</f>
        <v>15.137467062878251</v>
      </c>
      <c r="E34" s="912">
        <f>(AB34*KFC!$B$17+KFC!$C$17)*KFC!$C$5</f>
        <v>15.97819593864055</v>
      </c>
      <c r="F34" s="912">
        <f>(AC34*KFC!$B$17+KFC!$C$17)*KFC!$C$5</f>
        <v>16.818924814402852</v>
      </c>
      <c r="G34" s="912">
        <f>(AD34*KFC!$B$17+KFC!$C$17)*KFC!$C$5</f>
        <v>17.659653690165154</v>
      </c>
      <c r="H34" s="912">
        <f>(AE34*KFC!$B$17+KFC!$C$17)*KFC!$C$5</f>
        <v>18.500382565927456</v>
      </c>
      <c r="I34" s="912">
        <f>(AF34*KFC!$B$17+KFC!$C$17)*KFC!$C$5</f>
        <v>19.341111441689762</v>
      </c>
      <c r="J34" s="912">
        <f>(AG34*KFC!$B$17+KFC!$C$17)*KFC!$C$5</f>
        <v>20.181840317452064</v>
      </c>
      <c r="K34" s="912">
        <f>(AH34*KFC!$B$17+KFC!$C$17)*KFC!$C$5</f>
        <v>21.022569193214366</v>
      </c>
      <c r="L34" s="912">
        <f>(AI34*KFC!$B$17+KFC!$C$17)*KFC!$C$5</f>
        <v>21.863298068976668</v>
      </c>
      <c r="M34" s="912">
        <f>(AJ34*KFC!$B$17+KFC!$C$17)*KFC!$C$5</f>
        <v>22.70402694473897</v>
      </c>
      <c r="N34" s="912">
        <f>(AK34*KFC!$B$17+KFC!$C$17)*KFC!$C$5</f>
        <v>23.544755820501273</v>
      </c>
      <c r="O34" s="912">
        <f>(AL34*KFC!$B$17+KFC!$C$17)*KFC!$C$5</f>
        <v>24.385484696263578</v>
      </c>
      <c r="P34" s="912">
        <f>(AM34*KFC!$B$17+KFC!$C$17)*KFC!$C$5</f>
        <v>25.22621357202588</v>
      </c>
      <c r="Q34" s="912">
        <f>(AN34*KFC!$B$17+KFC!$C$17)*KFC!$C$5</f>
        <v>26.06694244778819</v>
      </c>
      <c r="R34" s="912">
        <f>(AO34*KFC!$B$17+KFC!$C$17)*KFC!$C$5</f>
        <v>26.907671323550492</v>
      </c>
      <c r="S34" s="912">
        <f>(AP34*KFC!$B$17+KFC!$C$17)*KFC!$C$5</f>
        <v>27.748400199312794</v>
      </c>
      <c r="T34" s="912">
        <f>(AQ34*KFC!$B$17+KFC!$C$17)*KFC!$C$5</f>
        <v>28.589129075075096</v>
      </c>
      <c r="U34" s="912">
        <f>(AR34*KFC!$B$17+KFC!$C$17)*KFC!$C$5</f>
        <v>29.429857950837402</v>
      </c>
      <c r="V34" s="912">
        <f>(AS34*KFC!$B$17+KFC!$C$17)*KFC!$C$5</f>
        <v>30.270586826599704</v>
      </c>
      <c r="W34" s="916">
        <f>(AT34*KFC!$B$17+KFC!$C$17)*KFC!$C$5</f>
        <v>31.111315702361996</v>
      </c>
      <c r="Y34" s="1277"/>
      <c r="Z34" s="649">
        <v>0.3</v>
      </c>
      <c r="AA34" s="882">
        <v>15.137467062878251</v>
      </c>
      <c r="AB34" s="882">
        <v>15.97819593864055</v>
      </c>
      <c r="AC34" s="882">
        <v>16.818924814402852</v>
      </c>
      <c r="AD34" s="882">
        <v>17.659653690165154</v>
      </c>
      <c r="AE34" s="882">
        <v>18.500382565927456</v>
      </c>
      <c r="AF34" s="882">
        <v>19.341111441689762</v>
      </c>
      <c r="AG34" s="882">
        <v>20.181840317452064</v>
      </c>
      <c r="AH34" s="882">
        <v>21.022569193214366</v>
      </c>
      <c r="AI34" s="882">
        <v>21.863298068976668</v>
      </c>
      <c r="AJ34" s="882">
        <v>22.70402694473897</v>
      </c>
      <c r="AK34" s="882">
        <v>23.544755820501273</v>
      </c>
      <c r="AL34" s="882">
        <v>24.385484696263578</v>
      </c>
      <c r="AM34" s="882">
        <v>25.22621357202588</v>
      </c>
      <c r="AN34" s="882">
        <v>26.06694244778819</v>
      </c>
      <c r="AO34" s="882">
        <v>26.907671323550492</v>
      </c>
      <c r="AP34" s="882">
        <v>27.748400199312794</v>
      </c>
      <c r="AQ34" s="882">
        <v>28.589129075075096</v>
      </c>
      <c r="AR34" s="882">
        <v>29.429857950837402</v>
      </c>
      <c r="AS34" s="882">
        <v>30.270586826599704</v>
      </c>
      <c r="AT34" s="882">
        <v>31.111315702361996</v>
      </c>
    </row>
    <row r="35" spans="1:46">
      <c r="A35" s="1426"/>
      <c r="B35" s="1427"/>
      <c r="C35" s="887">
        <v>0.4</v>
      </c>
      <c r="D35" s="915">
        <f>(AA35*KFC!$B$17+KFC!$C$17)*KFC!$C$5</f>
        <v>15.720328903351501</v>
      </c>
      <c r="E35" s="912">
        <f>(AB35*KFC!$B$17+KFC!$C$17)*KFC!$C$5</f>
        <v>16.690844828611894</v>
      </c>
      <c r="F35" s="912">
        <f>(AC35*KFC!$B$17+KFC!$C$17)*KFC!$C$5</f>
        <v>17.661360753872287</v>
      </c>
      <c r="G35" s="912">
        <f>(AD35*KFC!$B$17+KFC!$C$17)*KFC!$C$5</f>
        <v>18.631876679132681</v>
      </c>
      <c r="H35" s="912">
        <f>(AE35*KFC!$B$17+KFC!$C$17)*KFC!$C$5</f>
        <v>19.602392604393074</v>
      </c>
      <c r="I35" s="912">
        <f>(AF35*KFC!$B$17+KFC!$C$17)*KFC!$C$5</f>
        <v>20.572908529653471</v>
      </c>
      <c r="J35" s="912">
        <f>(AG35*KFC!$B$17+KFC!$C$17)*KFC!$C$5</f>
        <v>21.543424454913865</v>
      </c>
      <c r="K35" s="912">
        <f>(AH35*KFC!$B$17+KFC!$C$17)*KFC!$C$5</f>
        <v>22.513940380174258</v>
      </c>
      <c r="L35" s="912">
        <f>(AI35*KFC!$B$17+KFC!$C$17)*KFC!$C$5</f>
        <v>23.484456305434648</v>
      </c>
      <c r="M35" s="912">
        <f>(AJ35*KFC!$B$17+KFC!$C$17)*KFC!$C$5</f>
        <v>24.454972230695045</v>
      </c>
      <c r="N35" s="912">
        <f>(AK35*KFC!$B$17+KFC!$C$17)*KFC!$C$5</f>
        <v>25.425488155955435</v>
      </c>
      <c r="O35" s="912">
        <f>(AL35*KFC!$B$17+KFC!$C$17)*KFC!$C$5</f>
        <v>26.396004081215832</v>
      </c>
      <c r="P35" s="912">
        <f>(AM35*KFC!$B$17+KFC!$C$17)*KFC!$C$5</f>
        <v>27.366520006476225</v>
      </c>
      <c r="Q35" s="912">
        <f>(AN35*KFC!$B$17+KFC!$C$17)*KFC!$C$5</f>
        <v>28.337035931736619</v>
      </c>
      <c r="R35" s="912">
        <f>(AO35*KFC!$B$17+KFC!$C$17)*KFC!$C$5</f>
        <v>29.307551856997012</v>
      </c>
      <c r="S35" s="912">
        <f>(AP35*KFC!$B$17+KFC!$C$17)*KFC!$C$5</f>
        <v>30.278067782257402</v>
      </c>
      <c r="T35" s="912">
        <f>(AQ35*KFC!$B$17+KFC!$C$17)*KFC!$C$5</f>
        <v>31.248583707517795</v>
      </c>
      <c r="U35" s="912">
        <f>(AR35*KFC!$B$17+KFC!$C$17)*KFC!$C$5</f>
        <v>32.219099632778189</v>
      </c>
      <c r="V35" s="912">
        <f>(AS35*KFC!$B$17+KFC!$C$17)*KFC!$C$5</f>
        <v>33.189615558038582</v>
      </c>
      <c r="W35" s="916">
        <f>(AT35*KFC!$B$17+KFC!$C$17)*KFC!$C$5</f>
        <v>34.16013148329899</v>
      </c>
      <c r="Y35" s="1277"/>
      <c r="Z35" s="649">
        <v>0.4</v>
      </c>
      <c r="AA35" s="882">
        <v>15.720328903351501</v>
      </c>
      <c r="AB35" s="882">
        <v>16.690844828611894</v>
      </c>
      <c r="AC35" s="882">
        <v>17.661360753872287</v>
      </c>
      <c r="AD35" s="882">
        <v>18.631876679132681</v>
      </c>
      <c r="AE35" s="882">
        <v>19.602392604393074</v>
      </c>
      <c r="AF35" s="882">
        <v>20.572908529653471</v>
      </c>
      <c r="AG35" s="882">
        <v>21.543424454913865</v>
      </c>
      <c r="AH35" s="882">
        <v>22.513940380174258</v>
      </c>
      <c r="AI35" s="882">
        <v>23.484456305434648</v>
      </c>
      <c r="AJ35" s="882">
        <v>24.454972230695045</v>
      </c>
      <c r="AK35" s="882">
        <v>25.425488155955435</v>
      </c>
      <c r="AL35" s="882">
        <v>26.396004081215832</v>
      </c>
      <c r="AM35" s="882">
        <v>27.366520006476225</v>
      </c>
      <c r="AN35" s="882">
        <v>28.337035931736619</v>
      </c>
      <c r="AO35" s="882">
        <v>29.307551856997012</v>
      </c>
      <c r="AP35" s="882">
        <v>30.278067782257402</v>
      </c>
      <c r="AQ35" s="882">
        <v>31.248583707517795</v>
      </c>
      <c r="AR35" s="882">
        <v>32.219099632778189</v>
      </c>
      <c r="AS35" s="882">
        <v>33.189615558038582</v>
      </c>
      <c r="AT35" s="882">
        <v>34.16013148329899</v>
      </c>
    </row>
    <row r="36" spans="1:46">
      <c r="A36" s="1426"/>
      <c r="B36" s="1427"/>
      <c r="C36" s="887">
        <v>0.5</v>
      </c>
      <c r="D36" s="915">
        <f>(AA36*KFC!$B$17+KFC!$C$17)*KFC!$C$5</f>
        <v>16.30319074382475</v>
      </c>
      <c r="E36" s="912">
        <f>(AB36*KFC!$B$17+KFC!$C$17)*KFC!$C$5</f>
        <v>17.403493718583238</v>
      </c>
      <c r="F36" s="912">
        <f>(AC36*KFC!$B$17+KFC!$C$17)*KFC!$C$5</f>
        <v>18.503796693341727</v>
      </c>
      <c r="G36" s="912">
        <f>(AD36*KFC!$B$17+KFC!$C$17)*KFC!$C$5</f>
        <v>19.604099668100211</v>
      </c>
      <c r="H36" s="912">
        <f>(AE36*KFC!$B$17+KFC!$C$17)*KFC!$C$5</f>
        <v>20.704402642858696</v>
      </c>
      <c r="I36" s="912">
        <f>(AF36*KFC!$B$17+KFC!$C$17)*KFC!$C$5</f>
        <v>21.804705617617184</v>
      </c>
      <c r="J36" s="912">
        <f>(AG36*KFC!$B$17+KFC!$C$17)*KFC!$C$5</f>
        <v>22.905008592375669</v>
      </c>
      <c r="K36" s="912">
        <f>(AH36*KFC!$B$17+KFC!$C$17)*KFC!$C$5</f>
        <v>24.005311567134157</v>
      </c>
      <c r="L36" s="912">
        <f>(AI36*KFC!$B$17+KFC!$C$17)*KFC!$C$5</f>
        <v>25.105614541892642</v>
      </c>
      <c r="M36" s="912">
        <f>(AJ36*KFC!$B$17+KFC!$C$17)*KFC!$C$5</f>
        <v>26.205917516651127</v>
      </c>
      <c r="N36" s="912">
        <f>(AK36*KFC!$B$17+KFC!$C$17)*KFC!$C$5</f>
        <v>27.306220491409618</v>
      </c>
      <c r="O36" s="912">
        <f>(AL36*KFC!$B$17+KFC!$C$17)*KFC!$C$5</f>
        <v>28.406523466168107</v>
      </c>
      <c r="P36" s="912">
        <f>(AM36*KFC!$B$17+KFC!$C$17)*KFC!$C$5</f>
        <v>29.506826440926591</v>
      </c>
      <c r="Q36" s="912">
        <f>(AN36*KFC!$B$17+KFC!$C$17)*KFC!$C$5</f>
        <v>30.607129415685076</v>
      </c>
      <c r="R36" s="912">
        <f>(AO36*KFC!$B$17+KFC!$C$17)*KFC!$C$5</f>
        <v>31.707432390443564</v>
      </c>
      <c r="S36" s="912">
        <f>(AP36*KFC!$B$17+KFC!$C$17)*KFC!$C$5</f>
        <v>32.807735365202049</v>
      </c>
      <c r="T36" s="912">
        <f>(AQ36*KFC!$B$17+KFC!$C$17)*KFC!$C$5</f>
        <v>33.908038339960534</v>
      </c>
      <c r="U36" s="912">
        <f>(AR36*KFC!$B$17+KFC!$C$17)*KFC!$C$5</f>
        <v>35.008341314719019</v>
      </c>
      <c r="V36" s="912">
        <f>(AS36*KFC!$B$17+KFC!$C$17)*KFC!$C$5</f>
        <v>36.10864428947751</v>
      </c>
      <c r="W36" s="916">
        <f>(AT36*KFC!$B$17+KFC!$C$17)*KFC!$C$5</f>
        <v>37.208947264235988</v>
      </c>
      <c r="Y36" s="1277"/>
      <c r="Z36" s="649">
        <v>0.5</v>
      </c>
      <c r="AA36" s="882">
        <v>16.30319074382475</v>
      </c>
      <c r="AB36" s="882">
        <v>17.403493718583238</v>
      </c>
      <c r="AC36" s="882">
        <v>18.503796693341727</v>
      </c>
      <c r="AD36" s="882">
        <v>19.604099668100211</v>
      </c>
      <c r="AE36" s="882">
        <v>20.704402642858696</v>
      </c>
      <c r="AF36" s="882">
        <v>21.804705617617184</v>
      </c>
      <c r="AG36" s="882">
        <v>22.905008592375669</v>
      </c>
      <c r="AH36" s="882">
        <v>24.005311567134157</v>
      </c>
      <c r="AI36" s="882">
        <v>25.105614541892642</v>
      </c>
      <c r="AJ36" s="882">
        <v>26.205917516651127</v>
      </c>
      <c r="AK36" s="882">
        <v>27.306220491409618</v>
      </c>
      <c r="AL36" s="882">
        <v>28.406523466168107</v>
      </c>
      <c r="AM36" s="882">
        <v>29.506826440926591</v>
      </c>
      <c r="AN36" s="882">
        <v>30.607129415685076</v>
      </c>
      <c r="AO36" s="882">
        <v>31.707432390443564</v>
      </c>
      <c r="AP36" s="882">
        <v>32.807735365202049</v>
      </c>
      <c r="AQ36" s="882">
        <v>33.908038339960534</v>
      </c>
      <c r="AR36" s="882">
        <v>35.008341314719019</v>
      </c>
      <c r="AS36" s="882">
        <v>36.10864428947751</v>
      </c>
      <c r="AT36" s="882">
        <v>37.208947264235988</v>
      </c>
    </row>
    <row r="37" spans="1:46">
      <c r="A37" s="1426"/>
      <c r="B37" s="1427"/>
      <c r="C37" s="887">
        <v>0.6</v>
      </c>
      <c r="D37" s="915">
        <f>(AA37*KFC!$B$17+KFC!$C$17)*KFC!$C$5</f>
        <v>16.886052584298</v>
      </c>
      <c r="E37" s="912">
        <f>(AB37*KFC!$B$17+KFC!$C$17)*KFC!$C$5</f>
        <v>18.116142608554579</v>
      </c>
      <c r="F37" s="912">
        <f>(AC37*KFC!$B$17+KFC!$C$17)*KFC!$C$5</f>
        <v>19.346232632811159</v>
      </c>
      <c r="G37" s="912">
        <f>(AD37*KFC!$B$17+KFC!$C$17)*KFC!$C$5</f>
        <v>20.576322657067735</v>
      </c>
      <c r="H37" s="912">
        <f>(AE37*KFC!$B$17+KFC!$C$17)*KFC!$C$5</f>
        <v>21.806412681324318</v>
      </c>
      <c r="I37" s="912">
        <f>(AF37*KFC!$B$17+KFC!$C$17)*KFC!$C$5</f>
        <v>23.036502705580897</v>
      </c>
      <c r="J37" s="912">
        <f>(AG37*KFC!$B$17+KFC!$C$17)*KFC!$C$5</f>
        <v>24.266592729837477</v>
      </c>
      <c r="K37" s="912">
        <f>(AH37*KFC!$B$17+KFC!$C$17)*KFC!$C$5</f>
        <v>25.496682754094053</v>
      </c>
      <c r="L37" s="912">
        <f>(AI37*KFC!$B$17+KFC!$C$17)*KFC!$C$5</f>
        <v>26.726772778350636</v>
      </c>
      <c r="M37" s="912">
        <f>(AJ37*KFC!$B$17+KFC!$C$17)*KFC!$C$5</f>
        <v>27.956862802607215</v>
      </c>
      <c r="N37" s="912">
        <f>(AK37*KFC!$B$17+KFC!$C$17)*KFC!$C$5</f>
        <v>29.186952826863799</v>
      </c>
      <c r="O37" s="912">
        <f>(AL37*KFC!$B$17+KFC!$C$17)*KFC!$C$5</f>
        <v>30.417042851120375</v>
      </c>
      <c r="P37" s="912">
        <f>(AM37*KFC!$B$17+KFC!$C$17)*KFC!$C$5</f>
        <v>31.647132875376958</v>
      </c>
      <c r="Q37" s="912">
        <f>(AN37*KFC!$B$17+KFC!$C$17)*KFC!$C$5</f>
        <v>32.877222899633537</v>
      </c>
      <c r="R37" s="912">
        <f>(AO37*KFC!$B$17+KFC!$C$17)*KFC!$C$5</f>
        <v>34.107312923890113</v>
      </c>
      <c r="S37" s="912">
        <f>(AP37*KFC!$B$17+KFC!$C$17)*KFC!$C$5</f>
        <v>35.337402948146696</v>
      </c>
      <c r="T37" s="912">
        <f>(AQ37*KFC!$B$17+KFC!$C$17)*KFC!$C$5</f>
        <v>36.567492972403272</v>
      </c>
      <c r="U37" s="912">
        <f>(AR37*KFC!$B$17+KFC!$C$17)*KFC!$C$5</f>
        <v>37.797582996659855</v>
      </c>
      <c r="V37" s="912">
        <f>(AS37*KFC!$B$17+KFC!$C$17)*KFC!$C$5</f>
        <v>39.027673020916431</v>
      </c>
      <c r="W37" s="916">
        <f>(AT37*KFC!$B$17+KFC!$C$17)*KFC!$C$5</f>
        <v>40.257763045172986</v>
      </c>
      <c r="Y37" s="1277"/>
      <c r="Z37" s="649">
        <v>0.6</v>
      </c>
      <c r="AA37" s="882">
        <v>16.886052584298</v>
      </c>
      <c r="AB37" s="882">
        <v>18.116142608554579</v>
      </c>
      <c r="AC37" s="882">
        <v>19.346232632811159</v>
      </c>
      <c r="AD37" s="882">
        <v>20.576322657067735</v>
      </c>
      <c r="AE37" s="882">
        <v>21.806412681324318</v>
      </c>
      <c r="AF37" s="882">
        <v>23.036502705580897</v>
      </c>
      <c r="AG37" s="882">
        <v>24.266592729837477</v>
      </c>
      <c r="AH37" s="882">
        <v>25.496682754094053</v>
      </c>
      <c r="AI37" s="882">
        <v>26.726772778350636</v>
      </c>
      <c r="AJ37" s="882">
        <v>27.956862802607215</v>
      </c>
      <c r="AK37" s="882">
        <v>29.186952826863799</v>
      </c>
      <c r="AL37" s="882">
        <v>30.417042851120375</v>
      </c>
      <c r="AM37" s="882">
        <v>31.647132875376958</v>
      </c>
      <c r="AN37" s="882">
        <v>32.877222899633537</v>
      </c>
      <c r="AO37" s="882">
        <v>34.107312923890113</v>
      </c>
      <c r="AP37" s="882">
        <v>35.337402948146696</v>
      </c>
      <c r="AQ37" s="882">
        <v>36.567492972403272</v>
      </c>
      <c r="AR37" s="882">
        <v>37.797582996659855</v>
      </c>
      <c r="AS37" s="882">
        <v>39.027673020916431</v>
      </c>
      <c r="AT37" s="882">
        <v>40.257763045172986</v>
      </c>
    </row>
    <row r="38" spans="1:46">
      <c r="A38" s="1426"/>
      <c r="B38" s="1427"/>
      <c r="C38" s="887">
        <v>0.7</v>
      </c>
      <c r="D38" s="915">
        <f>(AA38*KFC!$B$17+KFC!$C$17)*KFC!$C$5</f>
        <v>17.468914424771253</v>
      </c>
      <c r="E38" s="912">
        <f>(AB38*KFC!$B$17+KFC!$C$17)*KFC!$C$5</f>
        <v>18.82879149852592</v>
      </c>
      <c r="F38" s="912">
        <f>(AC38*KFC!$B$17+KFC!$C$17)*KFC!$C$5</f>
        <v>20.188668572280591</v>
      </c>
      <c r="G38" s="912">
        <f>(AD38*KFC!$B$17+KFC!$C$17)*KFC!$C$5</f>
        <v>21.548545646035265</v>
      </c>
      <c r="H38" s="912">
        <f>(AE38*KFC!$B$17+KFC!$C$17)*KFC!$C$5</f>
        <v>22.908422719789932</v>
      </c>
      <c r="I38" s="912">
        <f>(AF38*KFC!$B$17+KFC!$C$17)*KFC!$C$5</f>
        <v>24.268299793544603</v>
      </c>
      <c r="J38" s="912">
        <f>(AG38*KFC!$B$17+KFC!$C$17)*KFC!$C$5</f>
        <v>25.628176867299274</v>
      </c>
      <c r="K38" s="912">
        <f>(AH38*KFC!$B$17+KFC!$C$17)*KFC!$C$5</f>
        <v>26.988053941053941</v>
      </c>
      <c r="L38" s="912">
        <f>(AI38*KFC!$B$17+KFC!$C$17)*KFC!$C$5</f>
        <v>28.347931014808612</v>
      </c>
      <c r="M38" s="912">
        <f>(AJ38*KFC!$B$17+KFC!$C$17)*KFC!$C$5</f>
        <v>29.707808088563283</v>
      </c>
      <c r="N38" s="912">
        <f>(AK38*KFC!$B$17+KFC!$C$17)*KFC!$C$5</f>
        <v>31.06768516231795</v>
      </c>
      <c r="O38" s="912">
        <f>(AL38*KFC!$B$17+KFC!$C$17)*KFC!$C$5</f>
        <v>32.427562236072625</v>
      </c>
      <c r="P38" s="912">
        <f>(AM38*KFC!$B$17+KFC!$C$17)*KFC!$C$5</f>
        <v>33.787439309827292</v>
      </c>
      <c r="Q38" s="912">
        <f>(AN38*KFC!$B$17+KFC!$C$17)*KFC!$C$5</f>
        <v>35.147316383581959</v>
      </c>
      <c r="R38" s="912">
        <f>(AO38*KFC!$B$17+KFC!$C$17)*KFC!$C$5</f>
        <v>36.507193457336633</v>
      </c>
      <c r="S38" s="912">
        <f>(AP38*KFC!$B$17+KFC!$C$17)*KFC!$C$5</f>
        <v>37.867070531091308</v>
      </c>
      <c r="T38" s="912">
        <f>(AQ38*KFC!$B$17+KFC!$C$17)*KFC!$C$5</f>
        <v>39.226947604845982</v>
      </c>
      <c r="U38" s="912">
        <f>(AR38*KFC!$B$17+KFC!$C$17)*KFC!$C$5</f>
        <v>40.586824678600657</v>
      </c>
      <c r="V38" s="912">
        <f>(AS38*KFC!$B$17+KFC!$C$17)*KFC!$C$5</f>
        <v>41.946701752355324</v>
      </c>
      <c r="W38" s="916">
        <f>(AT38*KFC!$B$17+KFC!$C$17)*KFC!$C$5</f>
        <v>43.306578826109984</v>
      </c>
      <c r="Y38" s="1277"/>
      <c r="Z38" s="649">
        <v>0.7</v>
      </c>
      <c r="AA38" s="882">
        <v>17.468914424771253</v>
      </c>
      <c r="AB38" s="882">
        <v>18.82879149852592</v>
      </c>
      <c r="AC38" s="882">
        <v>20.188668572280591</v>
      </c>
      <c r="AD38" s="882">
        <v>21.548545646035265</v>
      </c>
      <c r="AE38" s="882">
        <v>22.908422719789932</v>
      </c>
      <c r="AF38" s="882">
        <v>24.268299793544603</v>
      </c>
      <c r="AG38" s="882">
        <v>25.628176867299274</v>
      </c>
      <c r="AH38" s="882">
        <v>26.988053941053941</v>
      </c>
      <c r="AI38" s="882">
        <v>28.347931014808612</v>
      </c>
      <c r="AJ38" s="882">
        <v>29.707808088563283</v>
      </c>
      <c r="AK38" s="882">
        <v>31.06768516231795</v>
      </c>
      <c r="AL38" s="882">
        <v>32.427562236072625</v>
      </c>
      <c r="AM38" s="882">
        <v>33.787439309827292</v>
      </c>
      <c r="AN38" s="882">
        <v>35.147316383581959</v>
      </c>
      <c r="AO38" s="882">
        <v>36.507193457336633</v>
      </c>
      <c r="AP38" s="882">
        <v>37.867070531091308</v>
      </c>
      <c r="AQ38" s="882">
        <v>39.226947604845982</v>
      </c>
      <c r="AR38" s="882">
        <v>40.586824678600657</v>
      </c>
      <c r="AS38" s="882">
        <v>41.946701752355324</v>
      </c>
      <c r="AT38" s="882">
        <v>43.306578826109984</v>
      </c>
    </row>
    <row r="39" spans="1:46">
      <c r="A39" s="1426"/>
      <c r="B39" s="1427"/>
      <c r="C39" s="887">
        <v>0.8</v>
      </c>
      <c r="D39" s="915">
        <f>(AA39*KFC!$B$17+KFC!$C$17)*KFC!$C$5</f>
        <v>18.051776265244502</v>
      </c>
      <c r="E39" s="912">
        <f>(AB39*KFC!$B$17+KFC!$C$17)*KFC!$C$5</f>
        <v>19.541440388497264</v>
      </c>
      <c r="F39" s="912">
        <f>(AC39*KFC!$B$17+KFC!$C$17)*KFC!$C$5</f>
        <v>21.031104511750026</v>
      </c>
      <c r="G39" s="912">
        <f>(AD39*KFC!$B$17+KFC!$C$17)*KFC!$C$5</f>
        <v>22.520768635002792</v>
      </c>
      <c r="H39" s="912">
        <f>(AE39*KFC!$B$17+KFC!$C$17)*KFC!$C$5</f>
        <v>24.010432758255551</v>
      </c>
      <c r="I39" s="912">
        <f>(AF39*KFC!$B$17+KFC!$C$17)*KFC!$C$5</f>
        <v>25.50009688150832</v>
      </c>
      <c r="J39" s="912">
        <f>(AG39*KFC!$B$17+KFC!$C$17)*KFC!$C$5</f>
        <v>26.989761004761078</v>
      </c>
      <c r="K39" s="912">
        <f>(AH39*KFC!$B$17+KFC!$C$17)*KFC!$C$5</f>
        <v>28.47942512801384</v>
      </c>
      <c r="L39" s="912">
        <f>(AI39*KFC!$B$17+KFC!$C$17)*KFC!$C$5</f>
        <v>29.969089251266606</v>
      </c>
      <c r="M39" s="912">
        <f>(AJ39*KFC!$B$17+KFC!$C$17)*KFC!$C$5</f>
        <v>31.458753374519368</v>
      </c>
      <c r="N39" s="912">
        <f>(AK39*KFC!$B$17+KFC!$C$17)*KFC!$C$5</f>
        <v>32.948417497772127</v>
      </c>
      <c r="O39" s="912">
        <f>(AL39*KFC!$B$17+KFC!$C$17)*KFC!$C$5</f>
        <v>34.438081621024899</v>
      </c>
      <c r="P39" s="912">
        <f>(AM39*KFC!$B$17+KFC!$C$17)*KFC!$C$5</f>
        <v>35.927745744277651</v>
      </c>
      <c r="Q39" s="912">
        <f>(AN39*KFC!$B$17+KFC!$C$17)*KFC!$C$5</f>
        <v>37.417409867530409</v>
      </c>
      <c r="R39" s="912">
        <f>(AO39*KFC!$B$17+KFC!$C$17)*KFC!$C$5</f>
        <v>38.907073990783168</v>
      </c>
      <c r="S39" s="912">
        <f>(AP39*KFC!$B$17+KFC!$C$17)*KFC!$C$5</f>
        <v>40.396738114035934</v>
      </c>
      <c r="T39" s="912">
        <f>(AQ39*KFC!$B$17+KFC!$C$17)*KFC!$C$5</f>
        <v>41.886402237288692</v>
      </c>
      <c r="U39" s="912">
        <f>(AR39*KFC!$B$17+KFC!$C$17)*KFC!$C$5</f>
        <v>43.376066360541458</v>
      </c>
      <c r="V39" s="912">
        <f>(AS39*KFC!$B$17+KFC!$C$17)*KFC!$C$5</f>
        <v>44.865730483794209</v>
      </c>
      <c r="W39" s="916">
        <f>(AT39*KFC!$B$17+KFC!$C$17)*KFC!$C$5</f>
        <v>46.355394607046989</v>
      </c>
      <c r="Y39" s="1277"/>
      <c r="Z39" s="649">
        <v>0.8</v>
      </c>
      <c r="AA39" s="882">
        <v>18.051776265244502</v>
      </c>
      <c r="AB39" s="882">
        <v>19.541440388497264</v>
      </c>
      <c r="AC39" s="882">
        <v>21.031104511750026</v>
      </c>
      <c r="AD39" s="882">
        <v>22.520768635002792</v>
      </c>
      <c r="AE39" s="882">
        <v>24.010432758255551</v>
      </c>
      <c r="AF39" s="882">
        <v>25.50009688150832</v>
      </c>
      <c r="AG39" s="882">
        <v>26.989761004761078</v>
      </c>
      <c r="AH39" s="882">
        <v>28.47942512801384</v>
      </c>
      <c r="AI39" s="882">
        <v>29.969089251266606</v>
      </c>
      <c r="AJ39" s="882">
        <v>31.458753374519368</v>
      </c>
      <c r="AK39" s="882">
        <v>32.948417497772127</v>
      </c>
      <c r="AL39" s="882">
        <v>34.438081621024899</v>
      </c>
      <c r="AM39" s="882">
        <v>35.927745744277651</v>
      </c>
      <c r="AN39" s="882">
        <v>37.417409867530409</v>
      </c>
      <c r="AO39" s="882">
        <v>38.907073990783168</v>
      </c>
      <c r="AP39" s="882">
        <v>40.396738114035934</v>
      </c>
      <c r="AQ39" s="882">
        <v>41.886402237288692</v>
      </c>
      <c r="AR39" s="882">
        <v>43.376066360541458</v>
      </c>
      <c r="AS39" s="882">
        <v>44.865730483794209</v>
      </c>
      <c r="AT39" s="882">
        <v>46.355394607046989</v>
      </c>
    </row>
    <row r="40" spans="1:46">
      <c r="A40" s="1426"/>
      <c r="B40" s="1427"/>
      <c r="C40" s="887">
        <v>0.9</v>
      </c>
      <c r="D40" s="915">
        <f>(AA40*KFC!$B$17+KFC!$C$17)*KFC!$C$5</f>
        <v>18.634638105717752</v>
      </c>
      <c r="E40" s="912">
        <f>(AB40*KFC!$B$17+KFC!$C$17)*KFC!$C$5</f>
        <v>20.254089278468609</v>
      </c>
      <c r="F40" s="912">
        <f>(AC40*KFC!$B$17+KFC!$C$17)*KFC!$C$5</f>
        <v>21.873540451219458</v>
      </c>
      <c r="G40" s="912">
        <f>(AD40*KFC!$B$17+KFC!$C$17)*KFC!$C$5</f>
        <v>23.492991623970312</v>
      </c>
      <c r="H40" s="912">
        <f>(AE40*KFC!$B$17+KFC!$C$17)*KFC!$C$5</f>
        <v>25.112442796721165</v>
      </c>
      <c r="I40" s="912">
        <f>(AF40*KFC!$B$17+KFC!$C$17)*KFC!$C$5</f>
        <v>26.731893969472019</v>
      </c>
      <c r="J40" s="912">
        <f>(AG40*KFC!$B$17+KFC!$C$17)*KFC!$C$5</f>
        <v>28.351345142222872</v>
      </c>
      <c r="K40" s="912">
        <f>(AH40*KFC!$B$17+KFC!$C$17)*KFC!$C$5</f>
        <v>29.970796314973725</v>
      </c>
      <c r="L40" s="912">
        <f>(AI40*KFC!$B$17+KFC!$C$17)*KFC!$C$5</f>
        <v>31.590247487724579</v>
      </c>
      <c r="M40" s="912">
        <f>(AJ40*KFC!$B$17+KFC!$C$17)*KFC!$C$5</f>
        <v>33.209698660475432</v>
      </c>
      <c r="N40" s="912">
        <f>(AK40*KFC!$B$17+KFC!$C$17)*KFC!$C$5</f>
        <v>34.829149833226282</v>
      </c>
      <c r="O40" s="912">
        <f>(AL40*KFC!$B$17+KFC!$C$17)*KFC!$C$5</f>
        <v>36.448601005977139</v>
      </c>
      <c r="P40" s="912">
        <f>(AM40*KFC!$B$17+KFC!$C$17)*KFC!$C$5</f>
        <v>38.068052178727989</v>
      </c>
      <c r="Q40" s="912">
        <f>(AN40*KFC!$B$17+KFC!$C$17)*KFC!$C$5</f>
        <v>39.687503351478846</v>
      </c>
      <c r="R40" s="912">
        <f>(AO40*KFC!$B$17+KFC!$C$17)*KFC!$C$5</f>
        <v>41.306954524229695</v>
      </c>
      <c r="S40" s="912">
        <f>(AP40*KFC!$B$17+KFC!$C$17)*KFC!$C$5</f>
        <v>42.926405696980552</v>
      </c>
      <c r="T40" s="912">
        <f>(AQ40*KFC!$B$17+KFC!$C$17)*KFC!$C$5</f>
        <v>44.545856869731402</v>
      </c>
      <c r="U40" s="912">
        <f>(AR40*KFC!$B$17+KFC!$C$17)*KFC!$C$5</f>
        <v>46.165308042482259</v>
      </c>
      <c r="V40" s="912">
        <f>(AS40*KFC!$B$17+KFC!$C$17)*KFC!$C$5</f>
        <v>47.784759215233109</v>
      </c>
      <c r="W40" s="916">
        <f>(AT40*KFC!$B$17+KFC!$C$17)*KFC!$C$5</f>
        <v>49.40421038798398</v>
      </c>
      <c r="Y40" s="1277"/>
      <c r="Z40" s="649">
        <v>0.9</v>
      </c>
      <c r="AA40" s="882">
        <v>18.634638105717752</v>
      </c>
      <c r="AB40" s="882">
        <v>20.254089278468609</v>
      </c>
      <c r="AC40" s="882">
        <v>21.873540451219458</v>
      </c>
      <c r="AD40" s="882">
        <v>23.492991623970312</v>
      </c>
      <c r="AE40" s="882">
        <v>25.112442796721165</v>
      </c>
      <c r="AF40" s="882">
        <v>26.731893969472019</v>
      </c>
      <c r="AG40" s="882">
        <v>28.351345142222872</v>
      </c>
      <c r="AH40" s="882">
        <v>29.970796314973725</v>
      </c>
      <c r="AI40" s="882">
        <v>31.590247487724579</v>
      </c>
      <c r="AJ40" s="882">
        <v>33.209698660475432</v>
      </c>
      <c r="AK40" s="882">
        <v>34.829149833226282</v>
      </c>
      <c r="AL40" s="882">
        <v>36.448601005977139</v>
      </c>
      <c r="AM40" s="882">
        <v>38.068052178727989</v>
      </c>
      <c r="AN40" s="882">
        <v>39.687503351478846</v>
      </c>
      <c r="AO40" s="882">
        <v>41.306954524229695</v>
      </c>
      <c r="AP40" s="882">
        <v>42.926405696980552</v>
      </c>
      <c r="AQ40" s="882">
        <v>44.545856869731402</v>
      </c>
      <c r="AR40" s="882">
        <v>46.165308042482259</v>
      </c>
      <c r="AS40" s="882">
        <v>47.784759215233109</v>
      </c>
      <c r="AT40" s="882">
        <v>49.40421038798398</v>
      </c>
    </row>
    <row r="41" spans="1:46">
      <c r="A41" s="1426"/>
      <c r="B41" s="1427"/>
      <c r="C41" s="887">
        <v>1</v>
      </c>
      <c r="D41" s="915">
        <f>(AA41*KFC!$B$17+KFC!$C$17)*KFC!$C$5</f>
        <v>19.217499946191001</v>
      </c>
      <c r="E41" s="912">
        <f>(AB41*KFC!$B$17+KFC!$C$17)*KFC!$C$5</f>
        <v>20.966738168439949</v>
      </c>
      <c r="F41" s="912">
        <f>(AC41*KFC!$B$17+KFC!$C$17)*KFC!$C$5</f>
        <v>22.715976390688898</v>
      </c>
      <c r="G41" s="912">
        <f>(AD41*KFC!$B$17+KFC!$C$17)*KFC!$C$5</f>
        <v>24.465214612937842</v>
      </c>
      <c r="H41" s="912">
        <f>(AE41*KFC!$B$17+KFC!$C$17)*KFC!$C$5</f>
        <v>26.214452835186787</v>
      </c>
      <c r="I41" s="912">
        <f>(AF41*KFC!$B$17+KFC!$C$17)*KFC!$C$5</f>
        <v>27.963691057435739</v>
      </c>
      <c r="J41" s="912">
        <f>(AG41*KFC!$B$17+KFC!$C$17)*KFC!$C$5</f>
        <v>29.712929279684683</v>
      </c>
      <c r="K41" s="912">
        <f>(AH41*KFC!$B$17+KFC!$C$17)*KFC!$C$5</f>
        <v>31.462167501933628</v>
      </c>
      <c r="L41" s="912">
        <f>(AI41*KFC!$B$17+KFC!$C$17)*KFC!$C$5</f>
        <v>33.211405724182576</v>
      </c>
      <c r="M41" s="912">
        <f>(AJ41*KFC!$B$17+KFC!$C$17)*KFC!$C$5</f>
        <v>34.960643946431517</v>
      </c>
      <c r="N41" s="912">
        <f>(AK41*KFC!$B$17+KFC!$C$17)*KFC!$C$5</f>
        <v>36.709882168680465</v>
      </c>
      <c r="O41" s="912">
        <f>(AL41*KFC!$B$17+KFC!$C$17)*KFC!$C$5</f>
        <v>38.459120390929414</v>
      </c>
      <c r="P41" s="912">
        <f>(AM41*KFC!$B$17+KFC!$C$17)*KFC!$C$5</f>
        <v>40.208358613178355</v>
      </c>
      <c r="Q41" s="912">
        <f>(AN41*KFC!$B$17+KFC!$C$17)*KFC!$C$5</f>
        <v>41.957596835427303</v>
      </c>
      <c r="R41" s="912">
        <f>(AO41*KFC!$B$17+KFC!$C$17)*KFC!$C$5</f>
        <v>43.706835057676251</v>
      </c>
      <c r="S41" s="912">
        <f>(AP41*KFC!$B$17+KFC!$C$17)*KFC!$C$5</f>
        <v>45.456073279925199</v>
      </c>
      <c r="T41" s="912">
        <f>(AQ41*KFC!$B$17+KFC!$C$17)*KFC!$C$5</f>
        <v>47.205311502174141</v>
      </c>
      <c r="U41" s="912">
        <f>(AR41*KFC!$B$17+KFC!$C$17)*KFC!$C$5</f>
        <v>48.954549724423089</v>
      </c>
      <c r="V41" s="912">
        <f>(AS41*KFC!$B$17+KFC!$C$17)*KFC!$C$5</f>
        <v>50.703787946672037</v>
      </c>
      <c r="W41" s="916">
        <f>(AT41*KFC!$B$17+KFC!$C$17)*KFC!$C$5</f>
        <v>52.453026168920978</v>
      </c>
      <c r="Y41" s="1277"/>
      <c r="Z41" s="649">
        <v>1</v>
      </c>
      <c r="AA41" s="882">
        <v>19.217499946191001</v>
      </c>
      <c r="AB41" s="882">
        <v>20.966738168439949</v>
      </c>
      <c r="AC41" s="882">
        <v>22.715976390688898</v>
      </c>
      <c r="AD41" s="882">
        <v>24.465214612937842</v>
      </c>
      <c r="AE41" s="882">
        <v>26.214452835186787</v>
      </c>
      <c r="AF41" s="882">
        <v>27.963691057435739</v>
      </c>
      <c r="AG41" s="882">
        <v>29.712929279684683</v>
      </c>
      <c r="AH41" s="882">
        <v>31.462167501933628</v>
      </c>
      <c r="AI41" s="882">
        <v>33.211405724182576</v>
      </c>
      <c r="AJ41" s="882">
        <v>34.960643946431517</v>
      </c>
      <c r="AK41" s="882">
        <v>36.709882168680465</v>
      </c>
      <c r="AL41" s="882">
        <v>38.459120390929414</v>
      </c>
      <c r="AM41" s="882">
        <v>40.208358613178355</v>
      </c>
      <c r="AN41" s="882">
        <v>41.957596835427303</v>
      </c>
      <c r="AO41" s="882">
        <v>43.706835057676251</v>
      </c>
      <c r="AP41" s="882">
        <v>45.456073279925199</v>
      </c>
      <c r="AQ41" s="882">
        <v>47.205311502174141</v>
      </c>
      <c r="AR41" s="882">
        <v>48.954549724423089</v>
      </c>
      <c r="AS41" s="882">
        <v>50.703787946672037</v>
      </c>
      <c r="AT41" s="882">
        <v>52.453026168920978</v>
      </c>
    </row>
    <row r="42" spans="1:46">
      <c r="A42" s="1426"/>
      <c r="B42" s="1427"/>
      <c r="C42" s="887">
        <v>1.1000000000000001</v>
      </c>
      <c r="D42" s="915">
        <f>(AA42*KFC!$B$17+KFC!$C$17)*KFC!$C$5</f>
        <v>19.800361786664254</v>
      </c>
      <c r="E42" s="912">
        <f>(AB42*KFC!$B$17+KFC!$C$17)*KFC!$C$5</f>
        <v>21.67938705841129</v>
      </c>
      <c r="F42" s="912">
        <f>(AC42*KFC!$B$17+KFC!$C$17)*KFC!$C$5</f>
        <v>23.558412330158333</v>
      </c>
      <c r="G42" s="912">
        <f>(AD42*KFC!$B$17+KFC!$C$17)*KFC!$C$5</f>
        <v>25.437437601905369</v>
      </c>
      <c r="H42" s="912">
        <f>(AE42*KFC!$B$17+KFC!$C$17)*KFC!$C$5</f>
        <v>27.316462873652409</v>
      </c>
      <c r="I42" s="912">
        <f>(AF42*KFC!$B$17+KFC!$C$17)*KFC!$C$5</f>
        <v>29.195488145399448</v>
      </c>
      <c r="J42" s="912">
        <f>(AG42*KFC!$B$17+KFC!$C$17)*KFC!$C$5</f>
        <v>31.074513417146488</v>
      </c>
      <c r="K42" s="912">
        <f>(AH42*KFC!$B$17+KFC!$C$17)*KFC!$C$5</f>
        <v>32.953538688893524</v>
      </c>
      <c r="L42" s="912">
        <f>(AI42*KFC!$B$17+KFC!$C$17)*KFC!$C$5</f>
        <v>34.83256396064057</v>
      </c>
      <c r="M42" s="912">
        <f>(AJ42*KFC!$B$17+KFC!$C$17)*KFC!$C$5</f>
        <v>36.711589232387603</v>
      </c>
      <c r="N42" s="912">
        <f>(AK42*KFC!$B$17+KFC!$C$17)*KFC!$C$5</f>
        <v>38.590614504134649</v>
      </c>
      <c r="O42" s="912">
        <f>(AL42*KFC!$B$17+KFC!$C$17)*KFC!$C$5</f>
        <v>40.469639775881681</v>
      </c>
      <c r="P42" s="912">
        <f>(AM42*KFC!$B$17+KFC!$C$17)*KFC!$C$5</f>
        <v>42.348665047628721</v>
      </c>
      <c r="Q42" s="912">
        <f>(AN42*KFC!$B$17+KFC!$C$17)*KFC!$C$5</f>
        <v>44.22769031937576</v>
      </c>
      <c r="R42" s="912">
        <f>(AO42*KFC!$B$17+KFC!$C$17)*KFC!$C$5</f>
        <v>46.106715591122807</v>
      </c>
      <c r="S42" s="912">
        <f>(AP42*KFC!$B$17+KFC!$C$17)*KFC!$C$5</f>
        <v>47.985740862869847</v>
      </c>
      <c r="T42" s="912">
        <f>(AQ42*KFC!$B$17+KFC!$C$17)*KFC!$C$5</f>
        <v>49.864766134616879</v>
      </c>
      <c r="U42" s="912">
        <f>(AR42*KFC!$B$17+KFC!$C$17)*KFC!$C$5</f>
        <v>51.743791406363918</v>
      </c>
      <c r="V42" s="912">
        <f>(AS42*KFC!$B$17+KFC!$C$17)*KFC!$C$5</f>
        <v>53.622816678110958</v>
      </c>
      <c r="W42" s="916">
        <f>(AT42*KFC!$B$17+KFC!$C$17)*KFC!$C$5</f>
        <v>55.501841949857976</v>
      </c>
      <c r="Y42" s="1277"/>
      <c r="Z42" s="649">
        <v>1.1000000000000001</v>
      </c>
      <c r="AA42" s="882">
        <v>19.800361786664254</v>
      </c>
      <c r="AB42" s="882">
        <v>21.67938705841129</v>
      </c>
      <c r="AC42" s="882">
        <v>23.558412330158333</v>
      </c>
      <c r="AD42" s="882">
        <v>25.437437601905369</v>
      </c>
      <c r="AE42" s="882">
        <v>27.316462873652409</v>
      </c>
      <c r="AF42" s="882">
        <v>29.195488145399448</v>
      </c>
      <c r="AG42" s="882">
        <v>31.074513417146488</v>
      </c>
      <c r="AH42" s="882">
        <v>32.953538688893524</v>
      </c>
      <c r="AI42" s="882">
        <v>34.83256396064057</v>
      </c>
      <c r="AJ42" s="882">
        <v>36.711589232387603</v>
      </c>
      <c r="AK42" s="882">
        <v>38.590614504134649</v>
      </c>
      <c r="AL42" s="882">
        <v>40.469639775881681</v>
      </c>
      <c r="AM42" s="882">
        <v>42.348665047628721</v>
      </c>
      <c r="AN42" s="882">
        <v>44.22769031937576</v>
      </c>
      <c r="AO42" s="882">
        <v>46.106715591122807</v>
      </c>
      <c r="AP42" s="882">
        <v>47.985740862869847</v>
      </c>
      <c r="AQ42" s="882">
        <v>49.864766134616879</v>
      </c>
      <c r="AR42" s="882">
        <v>51.743791406363918</v>
      </c>
      <c r="AS42" s="882">
        <v>53.622816678110958</v>
      </c>
      <c r="AT42" s="882">
        <v>55.501841949857976</v>
      </c>
    </row>
    <row r="43" spans="1:46">
      <c r="A43" s="1426"/>
      <c r="B43" s="1427"/>
      <c r="C43" s="887">
        <v>1.2</v>
      </c>
      <c r="D43" s="915">
        <f>(AA43*KFC!$B$17+KFC!$C$17)*KFC!$C$5</f>
        <v>20.383223627137504</v>
      </c>
      <c r="E43" s="912">
        <f>(AB43*KFC!$B$17+KFC!$C$17)*KFC!$C$5</f>
        <v>22.392035948382635</v>
      </c>
      <c r="F43" s="912">
        <f>(AC43*KFC!$B$17+KFC!$C$17)*KFC!$C$5</f>
        <v>24.400848269627765</v>
      </c>
      <c r="G43" s="912">
        <f>(AD43*KFC!$B$17+KFC!$C$17)*KFC!$C$5</f>
        <v>26.409660590872896</v>
      </c>
      <c r="H43" s="912">
        <f>(AE43*KFC!$B$17+KFC!$C$17)*KFC!$C$5</f>
        <v>28.418472912118023</v>
      </c>
      <c r="I43" s="912">
        <f>(AF43*KFC!$B$17+KFC!$C$17)*KFC!$C$5</f>
        <v>30.427285233363154</v>
      </c>
      <c r="J43" s="912">
        <f>(AG43*KFC!$B$17+KFC!$C$17)*KFC!$C$5</f>
        <v>32.436097554608281</v>
      </c>
      <c r="K43" s="912">
        <f>(AH43*KFC!$B$17+KFC!$C$17)*KFC!$C$5</f>
        <v>34.444909875853412</v>
      </c>
      <c r="L43" s="912">
        <f>(AI43*KFC!$B$17+KFC!$C$17)*KFC!$C$5</f>
        <v>36.453722197098536</v>
      </c>
      <c r="M43" s="912">
        <f>(AJ43*KFC!$B$17+KFC!$C$17)*KFC!$C$5</f>
        <v>38.462534518343674</v>
      </c>
      <c r="N43" s="912">
        <f>(AK43*KFC!$B$17+KFC!$C$17)*KFC!$C$5</f>
        <v>40.471346839588804</v>
      </c>
      <c r="O43" s="912">
        <f>(AL43*KFC!$B$17+KFC!$C$17)*KFC!$C$5</f>
        <v>42.480159160833935</v>
      </c>
      <c r="P43" s="912">
        <f>(AM43*KFC!$B$17+KFC!$C$17)*KFC!$C$5</f>
        <v>44.488971482079073</v>
      </c>
      <c r="Q43" s="912">
        <f>(AN43*KFC!$B$17+KFC!$C$17)*KFC!$C$5</f>
        <v>46.497783803324204</v>
      </c>
      <c r="R43" s="912">
        <f>(AO43*KFC!$B$17+KFC!$C$17)*KFC!$C$5</f>
        <v>48.506596124569342</v>
      </c>
      <c r="S43" s="912">
        <f>(AP43*KFC!$B$17+KFC!$C$17)*KFC!$C$5</f>
        <v>50.515408445814472</v>
      </c>
      <c r="T43" s="912">
        <f>(AQ43*KFC!$B$17+KFC!$C$17)*KFC!$C$5</f>
        <v>52.524220767059596</v>
      </c>
      <c r="U43" s="912">
        <f>(AR43*KFC!$B$17+KFC!$C$17)*KFC!$C$5</f>
        <v>54.533033088304727</v>
      </c>
      <c r="V43" s="912">
        <f>(AS43*KFC!$B$17+KFC!$C$17)*KFC!$C$5</f>
        <v>56.541845409549865</v>
      </c>
      <c r="W43" s="916">
        <f>(AT43*KFC!$B$17+KFC!$C$17)*KFC!$C$5</f>
        <v>58.550657730794974</v>
      </c>
      <c r="Y43" s="1277"/>
      <c r="Z43" s="649">
        <v>1.2</v>
      </c>
      <c r="AA43" s="882">
        <v>20.383223627137504</v>
      </c>
      <c r="AB43" s="882">
        <v>22.392035948382635</v>
      </c>
      <c r="AC43" s="882">
        <v>24.400848269627765</v>
      </c>
      <c r="AD43" s="882">
        <v>26.409660590872896</v>
      </c>
      <c r="AE43" s="882">
        <v>28.418472912118023</v>
      </c>
      <c r="AF43" s="882">
        <v>30.427285233363154</v>
      </c>
      <c r="AG43" s="882">
        <v>32.436097554608281</v>
      </c>
      <c r="AH43" s="882">
        <v>34.444909875853412</v>
      </c>
      <c r="AI43" s="882">
        <v>36.453722197098536</v>
      </c>
      <c r="AJ43" s="882">
        <v>38.462534518343674</v>
      </c>
      <c r="AK43" s="882">
        <v>40.471346839588804</v>
      </c>
      <c r="AL43" s="882">
        <v>42.480159160833935</v>
      </c>
      <c r="AM43" s="882">
        <v>44.488971482079073</v>
      </c>
      <c r="AN43" s="882">
        <v>46.497783803324204</v>
      </c>
      <c r="AO43" s="882">
        <v>48.506596124569342</v>
      </c>
      <c r="AP43" s="882">
        <v>50.515408445814472</v>
      </c>
      <c r="AQ43" s="882">
        <v>52.524220767059596</v>
      </c>
      <c r="AR43" s="882">
        <v>54.533033088304727</v>
      </c>
      <c r="AS43" s="882">
        <v>56.541845409549865</v>
      </c>
      <c r="AT43" s="882">
        <v>58.550657730794974</v>
      </c>
    </row>
    <row r="44" spans="1:46">
      <c r="A44" s="1426"/>
      <c r="B44" s="1427"/>
      <c r="C44" s="887">
        <v>1.3</v>
      </c>
      <c r="D44" s="915">
        <f>(AA44*KFC!$B$17+KFC!$C$17)*KFC!$C$5</f>
        <v>20.966085467610753</v>
      </c>
      <c r="E44" s="912">
        <f>(AB44*KFC!$B$17+KFC!$C$17)*KFC!$C$5</f>
        <v>23.104684838353975</v>
      </c>
      <c r="F44" s="912">
        <f>(AC44*KFC!$B$17+KFC!$C$17)*KFC!$C$5</f>
        <v>25.243284209097197</v>
      </c>
      <c r="G44" s="912">
        <f>(AD44*KFC!$B$17+KFC!$C$17)*KFC!$C$5</f>
        <v>27.381883579840419</v>
      </c>
      <c r="H44" s="912">
        <f>(AE44*KFC!$B$17+KFC!$C$17)*KFC!$C$5</f>
        <v>29.520482950583645</v>
      </c>
      <c r="I44" s="912">
        <f>(AF44*KFC!$B$17+KFC!$C$17)*KFC!$C$5</f>
        <v>31.659082321326867</v>
      </c>
      <c r="J44" s="912">
        <f>(AG44*KFC!$B$17+KFC!$C$17)*KFC!$C$5</f>
        <v>33.797681692070086</v>
      </c>
      <c r="K44" s="912">
        <f>(AH44*KFC!$B$17+KFC!$C$17)*KFC!$C$5</f>
        <v>35.936281062813315</v>
      </c>
      <c r="L44" s="912">
        <f>(AI44*KFC!$B$17+KFC!$C$17)*KFC!$C$5</f>
        <v>38.074880433556537</v>
      </c>
      <c r="M44" s="912">
        <f>(AJ44*KFC!$B$17+KFC!$C$17)*KFC!$C$5</f>
        <v>40.213479804299766</v>
      </c>
      <c r="N44" s="912">
        <f>(AK44*KFC!$B$17+KFC!$C$17)*KFC!$C$5</f>
        <v>42.352079175042988</v>
      </c>
      <c r="O44" s="912">
        <f>(AL44*KFC!$B$17+KFC!$C$17)*KFC!$C$5</f>
        <v>44.490678545786217</v>
      </c>
      <c r="P44" s="912">
        <f>(AM44*KFC!$B$17+KFC!$C$17)*KFC!$C$5</f>
        <v>46.629277916529439</v>
      </c>
      <c r="Q44" s="912">
        <f>(AN44*KFC!$B$17+KFC!$C$17)*KFC!$C$5</f>
        <v>48.767877287272668</v>
      </c>
      <c r="R44" s="912">
        <f>(AO44*KFC!$B$17+KFC!$C$17)*KFC!$C$5</f>
        <v>50.90647665801589</v>
      </c>
      <c r="S44" s="912">
        <f>(AP44*KFC!$B$17+KFC!$C$17)*KFC!$C$5</f>
        <v>53.045076028759119</v>
      </c>
      <c r="T44" s="912">
        <f>(AQ44*KFC!$B$17+KFC!$C$17)*KFC!$C$5</f>
        <v>55.183675399502349</v>
      </c>
      <c r="U44" s="912">
        <f>(AR44*KFC!$B$17+KFC!$C$17)*KFC!$C$5</f>
        <v>57.322274770245571</v>
      </c>
      <c r="V44" s="912">
        <f>(AS44*KFC!$B$17+KFC!$C$17)*KFC!$C$5</f>
        <v>59.460874140988786</v>
      </c>
      <c r="W44" s="916">
        <f>(AT44*KFC!$B$17+KFC!$C$17)*KFC!$C$5</f>
        <v>61.599473511731972</v>
      </c>
      <c r="Y44" s="1277"/>
      <c r="Z44" s="649">
        <v>1.3</v>
      </c>
      <c r="AA44" s="882">
        <v>20.966085467610753</v>
      </c>
      <c r="AB44" s="882">
        <v>23.104684838353975</v>
      </c>
      <c r="AC44" s="882">
        <v>25.243284209097197</v>
      </c>
      <c r="AD44" s="882">
        <v>27.381883579840419</v>
      </c>
      <c r="AE44" s="882">
        <v>29.520482950583645</v>
      </c>
      <c r="AF44" s="882">
        <v>31.659082321326867</v>
      </c>
      <c r="AG44" s="882">
        <v>33.797681692070086</v>
      </c>
      <c r="AH44" s="882">
        <v>35.936281062813315</v>
      </c>
      <c r="AI44" s="882">
        <v>38.074880433556537</v>
      </c>
      <c r="AJ44" s="882">
        <v>40.213479804299766</v>
      </c>
      <c r="AK44" s="882">
        <v>42.352079175042988</v>
      </c>
      <c r="AL44" s="882">
        <v>44.490678545786217</v>
      </c>
      <c r="AM44" s="882">
        <v>46.629277916529439</v>
      </c>
      <c r="AN44" s="882">
        <v>48.767877287272668</v>
      </c>
      <c r="AO44" s="882">
        <v>50.90647665801589</v>
      </c>
      <c r="AP44" s="882">
        <v>53.045076028759119</v>
      </c>
      <c r="AQ44" s="882">
        <v>55.183675399502349</v>
      </c>
      <c r="AR44" s="882">
        <v>57.322274770245571</v>
      </c>
      <c r="AS44" s="882">
        <v>59.460874140988786</v>
      </c>
      <c r="AT44" s="882">
        <v>61.599473511731972</v>
      </c>
    </row>
    <row r="45" spans="1:46">
      <c r="A45" s="1426"/>
      <c r="B45" s="1427"/>
      <c r="C45" s="887">
        <v>1.4</v>
      </c>
      <c r="D45" s="915">
        <f>(AA45*KFC!$B$17+KFC!$C$17)*KFC!$C$5</f>
        <v>21.548947308084003</v>
      </c>
      <c r="E45" s="912">
        <f>(AB45*KFC!$B$17+KFC!$C$17)*KFC!$C$5</f>
        <v>23.81733372832532</v>
      </c>
      <c r="F45" s="912">
        <f>(AC45*KFC!$B$17+KFC!$C$17)*KFC!$C$5</f>
        <v>26.085720148566629</v>
      </c>
      <c r="G45" s="912">
        <f>(AD45*KFC!$B$17+KFC!$C$17)*KFC!$C$5</f>
        <v>28.354106568807943</v>
      </c>
      <c r="H45" s="912">
        <f>(AE45*KFC!$B$17+KFC!$C$17)*KFC!$C$5</f>
        <v>30.622492989049256</v>
      </c>
      <c r="I45" s="912">
        <f>(AF45*KFC!$B$17+KFC!$C$17)*KFC!$C$5</f>
        <v>32.890879409290569</v>
      </c>
      <c r="J45" s="912">
        <f>(AG45*KFC!$B$17+KFC!$C$17)*KFC!$C$5</f>
        <v>35.159265829531883</v>
      </c>
      <c r="K45" s="912">
        <f>(AH45*KFC!$B$17+KFC!$C$17)*KFC!$C$5</f>
        <v>37.427652249773189</v>
      </c>
      <c r="L45" s="912">
        <f>(AI45*KFC!$B$17+KFC!$C$17)*KFC!$C$5</f>
        <v>39.696038670014502</v>
      </c>
      <c r="M45" s="912">
        <f>(AJ45*KFC!$B$17+KFC!$C$17)*KFC!$C$5</f>
        <v>41.964425090255816</v>
      </c>
      <c r="N45" s="912">
        <f>(AK45*KFC!$B$17+KFC!$C$17)*KFC!$C$5</f>
        <v>44.232811510497136</v>
      </c>
      <c r="O45" s="912">
        <f>(AL45*KFC!$B$17+KFC!$C$17)*KFC!$C$5</f>
        <v>46.501197930738442</v>
      </c>
      <c r="P45" s="912">
        <f>(AM45*KFC!$B$17+KFC!$C$17)*KFC!$C$5</f>
        <v>48.769584350979748</v>
      </c>
      <c r="Q45" s="912">
        <f>(AN45*KFC!$B$17+KFC!$C$17)*KFC!$C$5</f>
        <v>51.037970771221069</v>
      </c>
      <c r="R45" s="912">
        <f>(AO45*KFC!$B$17+KFC!$C$17)*KFC!$C$5</f>
        <v>53.306357191462382</v>
      </c>
      <c r="S45" s="912">
        <f>(AP45*KFC!$B$17+KFC!$C$17)*KFC!$C$5</f>
        <v>55.574743611703688</v>
      </c>
      <c r="T45" s="912">
        <f>(AQ45*KFC!$B$17+KFC!$C$17)*KFC!$C$5</f>
        <v>57.843130031944995</v>
      </c>
      <c r="U45" s="912">
        <f>(AR45*KFC!$B$17+KFC!$C$17)*KFC!$C$5</f>
        <v>60.111516452186315</v>
      </c>
      <c r="V45" s="912">
        <f>(AS45*KFC!$B$17+KFC!$C$17)*KFC!$C$5</f>
        <v>62.379902872427621</v>
      </c>
      <c r="W45" s="916">
        <f>(AT45*KFC!$B$17+KFC!$C$17)*KFC!$C$5</f>
        <v>64.648289292668963</v>
      </c>
      <c r="Y45" s="1277"/>
      <c r="Z45" s="649">
        <v>1.4</v>
      </c>
      <c r="AA45" s="882">
        <v>21.548947308084003</v>
      </c>
      <c r="AB45" s="882">
        <v>23.81733372832532</v>
      </c>
      <c r="AC45" s="882">
        <v>26.085720148566629</v>
      </c>
      <c r="AD45" s="882">
        <v>28.354106568807943</v>
      </c>
      <c r="AE45" s="882">
        <v>30.622492989049256</v>
      </c>
      <c r="AF45" s="882">
        <v>32.890879409290569</v>
      </c>
      <c r="AG45" s="882">
        <v>35.159265829531883</v>
      </c>
      <c r="AH45" s="882">
        <v>37.427652249773189</v>
      </c>
      <c r="AI45" s="882">
        <v>39.696038670014502</v>
      </c>
      <c r="AJ45" s="882">
        <v>41.964425090255816</v>
      </c>
      <c r="AK45" s="882">
        <v>44.232811510497136</v>
      </c>
      <c r="AL45" s="882">
        <v>46.501197930738442</v>
      </c>
      <c r="AM45" s="882">
        <v>48.769584350979748</v>
      </c>
      <c r="AN45" s="882">
        <v>51.037970771221069</v>
      </c>
      <c r="AO45" s="882">
        <v>53.306357191462382</v>
      </c>
      <c r="AP45" s="882">
        <v>55.574743611703688</v>
      </c>
      <c r="AQ45" s="882">
        <v>57.843130031944995</v>
      </c>
      <c r="AR45" s="882">
        <v>60.111516452186315</v>
      </c>
      <c r="AS45" s="882">
        <v>62.379902872427621</v>
      </c>
      <c r="AT45" s="882">
        <v>64.648289292668963</v>
      </c>
    </row>
    <row r="46" spans="1:46">
      <c r="A46" s="1426"/>
      <c r="B46" s="1427"/>
      <c r="C46" s="887">
        <v>1.5</v>
      </c>
      <c r="D46" s="915">
        <f>(AA46*KFC!$B$17+KFC!$C$17)*KFC!$C$5</f>
        <v>22.131809148557256</v>
      </c>
      <c r="E46" s="912">
        <f>(AB46*KFC!$B$17+KFC!$C$17)*KFC!$C$5</f>
        <v>24.52998261829666</v>
      </c>
      <c r="F46" s="912">
        <f>(AC46*KFC!$B$17+KFC!$C$17)*KFC!$C$5</f>
        <v>26.928156088036065</v>
      </c>
      <c r="G46" s="912">
        <f>(AD46*KFC!$B$17+KFC!$C$17)*KFC!$C$5</f>
        <v>29.32632955777547</v>
      </c>
      <c r="H46" s="912">
        <f>(AE46*KFC!$B$17+KFC!$C$17)*KFC!$C$5</f>
        <v>31.724503027514874</v>
      </c>
      <c r="I46" s="912">
        <f>(AF46*KFC!$B$17+KFC!$C$17)*KFC!$C$5</f>
        <v>34.122676497254282</v>
      </c>
      <c r="J46" s="912">
        <f>(AG46*KFC!$B$17+KFC!$C$17)*KFC!$C$5</f>
        <v>36.520849966993687</v>
      </c>
      <c r="K46" s="912">
        <f>(AH46*KFC!$B$17+KFC!$C$17)*KFC!$C$5</f>
        <v>38.919023436733092</v>
      </c>
      <c r="L46" s="912">
        <f>(AI46*KFC!$B$17+KFC!$C$17)*KFC!$C$5</f>
        <v>41.317196906472496</v>
      </c>
      <c r="M46" s="912">
        <f>(AJ46*KFC!$B$17+KFC!$C$17)*KFC!$C$5</f>
        <v>43.715370376211901</v>
      </c>
      <c r="N46" s="912">
        <f>(AK46*KFC!$B$17+KFC!$C$17)*KFC!$C$5</f>
        <v>46.113543845951305</v>
      </c>
      <c r="O46" s="912">
        <f>(AL46*KFC!$B$17+KFC!$C$17)*KFC!$C$5</f>
        <v>48.51171731569071</v>
      </c>
      <c r="P46" s="912">
        <f>(AM46*KFC!$B$17+KFC!$C$17)*KFC!$C$5</f>
        <v>50.909890785430115</v>
      </c>
      <c r="Q46" s="912">
        <f>(AN46*KFC!$B$17+KFC!$C$17)*KFC!$C$5</f>
        <v>53.308064255169526</v>
      </c>
      <c r="R46" s="912">
        <f>(AO46*KFC!$B$17+KFC!$C$17)*KFC!$C$5</f>
        <v>55.706237724908931</v>
      </c>
      <c r="S46" s="912">
        <f>(AP46*KFC!$B$17+KFC!$C$17)*KFC!$C$5</f>
        <v>58.104411194648335</v>
      </c>
      <c r="T46" s="912">
        <f>(AQ46*KFC!$B$17+KFC!$C$17)*KFC!$C$5</f>
        <v>60.50258466438774</v>
      </c>
      <c r="U46" s="912">
        <f>(AR46*KFC!$B$17+KFC!$C$17)*KFC!$C$5</f>
        <v>62.900758134127145</v>
      </c>
      <c r="V46" s="912">
        <f>(AS46*KFC!$B$17+KFC!$C$17)*KFC!$C$5</f>
        <v>65.298931603866549</v>
      </c>
      <c r="W46" s="916">
        <f>(AT46*KFC!$B$17+KFC!$C$17)*KFC!$C$5</f>
        <v>67.697105073605968</v>
      </c>
      <c r="Y46" s="1277"/>
      <c r="Z46" s="649">
        <v>1.5</v>
      </c>
      <c r="AA46" s="882">
        <v>22.131809148557256</v>
      </c>
      <c r="AB46" s="882">
        <v>24.52998261829666</v>
      </c>
      <c r="AC46" s="882">
        <v>26.928156088036065</v>
      </c>
      <c r="AD46" s="882">
        <v>29.32632955777547</v>
      </c>
      <c r="AE46" s="882">
        <v>31.724503027514874</v>
      </c>
      <c r="AF46" s="882">
        <v>34.122676497254282</v>
      </c>
      <c r="AG46" s="882">
        <v>36.520849966993687</v>
      </c>
      <c r="AH46" s="882">
        <v>38.919023436733092</v>
      </c>
      <c r="AI46" s="882">
        <v>41.317196906472496</v>
      </c>
      <c r="AJ46" s="882">
        <v>43.715370376211901</v>
      </c>
      <c r="AK46" s="882">
        <v>46.113543845951305</v>
      </c>
      <c r="AL46" s="882">
        <v>48.51171731569071</v>
      </c>
      <c r="AM46" s="882">
        <v>50.909890785430115</v>
      </c>
      <c r="AN46" s="882">
        <v>53.308064255169526</v>
      </c>
      <c r="AO46" s="882">
        <v>55.706237724908931</v>
      </c>
      <c r="AP46" s="882">
        <v>58.104411194648335</v>
      </c>
      <c r="AQ46" s="882">
        <v>60.50258466438774</v>
      </c>
      <c r="AR46" s="882">
        <v>62.900758134127145</v>
      </c>
      <c r="AS46" s="882">
        <v>65.298931603866549</v>
      </c>
      <c r="AT46" s="882">
        <v>67.697105073605968</v>
      </c>
    </row>
    <row r="47" spans="1:46">
      <c r="A47" s="1426"/>
      <c r="B47" s="1427"/>
      <c r="C47" s="887">
        <v>1.6</v>
      </c>
      <c r="D47" s="915">
        <f>(AA47*KFC!$B$17+KFC!$C$17)*KFC!$C$5</f>
        <v>22.714670989030505</v>
      </c>
      <c r="E47" s="912">
        <f>(AB47*KFC!$B$17+KFC!$C$17)*KFC!$C$5</f>
        <v>25.242631508268001</v>
      </c>
      <c r="F47" s="912">
        <f>(AC47*KFC!$B$17+KFC!$C$17)*KFC!$C$5</f>
        <v>27.770592027505504</v>
      </c>
      <c r="G47" s="912">
        <f>(AD47*KFC!$B$17+KFC!$C$17)*KFC!$C$5</f>
        <v>30.298552546743004</v>
      </c>
      <c r="H47" s="912">
        <f>(AE47*KFC!$B$17+KFC!$C$17)*KFC!$C$5</f>
        <v>32.8265130659805</v>
      </c>
      <c r="I47" s="912">
        <f>(AF47*KFC!$B$17+KFC!$C$17)*KFC!$C$5</f>
        <v>35.354473585217995</v>
      </c>
      <c r="J47" s="912">
        <f>(AG47*KFC!$B$17+KFC!$C$17)*KFC!$C$5</f>
        <v>37.882434104455491</v>
      </c>
      <c r="K47" s="912">
        <f>(AH47*KFC!$B$17+KFC!$C$17)*KFC!$C$5</f>
        <v>40.410394623692994</v>
      </c>
      <c r="L47" s="912">
        <f>(AI47*KFC!$B$17+KFC!$C$17)*KFC!$C$5</f>
        <v>42.93835514293049</v>
      </c>
      <c r="M47" s="912">
        <f>(AJ47*KFC!$B$17+KFC!$C$17)*KFC!$C$5</f>
        <v>45.466315662167986</v>
      </c>
      <c r="N47" s="912">
        <f>(AK47*KFC!$B$17+KFC!$C$17)*KFC!$C$5</f>
        <v>47.994276181405489</v>
      </c>
      <c r="O47" s="912">
        <f>(AL47*KFC!$B$17+KFC!$C$17)*KFC!$C$5</f>
        <v>50.522236700642978</v>
      </c>
      <c r="P47" s="912">
        <f>(AM47*KFC!$B$17+KFC!$C$17)*KFC!$C$5</f>
        <v>53.050197219880481</v>
      </c>
      <c r="Q47" s="912">
        <f>(AN47*KFC!$B$17+KFC!$C$17)*KFC!$C$5</f>
        <v>55.578157739117984</v>
      </c>
      <c r="R47" s="912">
        <f>(AO47*KFC!$B$17+KFC!$C$17)*KFC!$C$5</f>
        <v>58.10611825835548</v>
      </c>
      <c r="S47" s="912">
        <f>(AP47*KFC!$B$17+KFC!$C$17)*KFC!$C$5</f>
        <v>60.634078777592983</v>
      </c>
      <c r="T47" s="912">
        <f>(AQ47*KFC!$B$17+KFC!$C$17)*KFC!$C$5</f>
        <v>63.162039296830471</v>
      </c>
      <c r="U47" s="912">
        <f>(AR47*KFC!$B$17+KFC!$C$17)*KFC!$C$5</f>
        <v>65.689999816067981</v>
      </c>
      <c r="V47" s="912">
        <f>(AS47*KFC!$B$17+KFC!$C$17)*KFC!$C$5</f>
        <v>68.217960335305463</v>
      </c>
      <c r="W47" s="916">
        <f>(AT47*KFC!$B$17+KFC!$C$17)*KFC!$C$5</f>
        <v>70.745920854542973</v>
      </c>
      <c r="Y47" s="1277"/>
      <c r="Z47" s="649">
        <v>1.6</v>
      </c>
      <c r="AA47" s="882">
        <v>22.714670989030505</v>
      </c>
      <c r="AB47" s="882">
        <v>25.242631508268001</v>
      </c>
      <c r="AC47" s="882">
        <v>27.770592027505504</v>
      </c>
      <c r="AD47" s="882">
        <v>30.298552546743004</v>
      </c>
      <c r="AE47" s="882">
        <v>32.8265130659805</v>
      </c>
      <c r="AF47" s="882">
        <v>35.354473585217995</v>
      </c>
      <c r="AG47" s="882">
        <v>37.882434104455491</v>
      </c>
      <c r="AH47" s="882">
        <v>40.410394623692994</v>
      </c>
      <c r="AI47" s="882">
        <v>42.93835514293049</v>
      </c>
      <c r="AJ47" s="882">
        <v>45.466315662167986</v>
      </c>
      <c r="AK47" s="882">
        <v>47.994276181405489</v>
      </c>
      <c r="AL47" s="882">
        <v>50.522236700642978</v>
      </c>
      <c r="AM47" s="882">
        <v>53.050197219880481</v>
      </c>
      <c r="AN47" s="882">
        <v>55.578157739117984</v>
      </c>
      <c r="AO47" s="882">
        <v>58.10611825835548</v>
      </c>
      <c r="AP47" s="882">
        <v>60.634078777592983</v>
      </c>
      <c r="AQ47" s="882">
        <v>63.162039296830471</v>
      </c>
      <c r="AR47" s="882">
        <v>65.689999816067981</v>
      </c>
      <c r="AS47" s="882">
        <v>68.217960335305463</v>
      </c>
      <c r="AT47" s="882">
        <v>70.745920854542973</v>
      </c>
    </row>
    <row r="48" spans="1:46">
      <c r="A48" s="1426"/>
      <c r="B48" s="1427"/>
      <c r="C48" s="887">
        <v>1.7</v>
      </c>
      <c r="D48" s="915">
        <f>(AA48*KFC!$B$17+KFC!$C$17)*KFC!$C$5</f>
        <v>23.297532829503758</v>
      </c>
      <c r="E48" s="912">
        <f>(AB48*KFC!$B$17+KFC!$C$17)*KFC!$C$5</f>
        <v>25.955280398239346</v>
      </c>
      <c r="F48" s="912">
        <f>(AC48*KFC!$B$17+KFC!$C$17)*KFC!$C$5</f>
        <v>28.613027966974943</v>
      </c>
      <c r="G48" s="912">
        <f>(AD48*KFC!$B$17+KFC!$C$17)*KFC!$C$5</f>
        <v>31.270775535710531</v>
      </c>
      <c r="H48" s="912">
        <f>(AE48*KFC!$B$17+KFC!$C$17)*KFC!$C$5</f>
        <v>33.928523104446121</v>
      </c>
      <c r="I48" s="912">
        <f>(AF48*KFC!$B$17+KFC!$C$17)*KFC!$C$5</f>
        <v>36.586270673181716</v>
      </c>
      <c r="J48" s="912">
        <f>(AG48*KFC!$B$17+KFC!$C$17)*KFC!$C$5</f>
        <v>39.24401824191731</v>
      </c>
      <c r="K48" s="912">
        <f>(AH48*KFC!$B$17+KFC!$C$17)*KFC!$C$5</f>
        <v>41.901765810652897</v>
      </c>
      <c r="L48" s="912">
        <f>(AI48*KFC!$B$17+KFC!$C$17)*KFC!$C$5</f>
        <v>44.559513379388484</v>
      </c>
      <c r="M48" s="912">
        <f>(AJ48*KFC!$B$17+KFC!$C$17)*KFC!$C$5</f>
        <v>47.217260948124085</v>
      </c>
      <c r="N48" s="912">
        <f>(AK48*KFC!$B$17+KFC!$C$17)*KFC!$C$5</f>
        <v>49.875008516859673</v>
      </c>
      <c r="O48" s="912">
        <f>(AL48*KFC!$B$17+KFC!$C$17)*KFC!$C$5</f>
        <v>52.53275608559526</v>
      </c>
      <c r="P48" s="912">
        <f>(AM48*KFC!$B$17+KFC!$C$17)*KFC!$C$5</f>
        <v>55.190503654330854</v>
      </c>
      <c r="Q48" s="912">
        <f>(AN48*KFC!$B$17+KFC!$C$17)*KFC!$C$5</f>
        <v>57.848251223066455</v>
      </c>
      <c r="R48" s="912">
        <f>(AO48*KFC!$B$17+KFC!$C$17)*KFC!$C$5</f>
        <v>60.505998791802035</v>
      </c>
      <c r="S48" s="912">
        <f>(AP48*KFC!$B$17+KFC!$C$17)*KFC!$C$5</f>
        <v>63.16374636053763</v>
      </c>
      <c r="T48" s="912">
        <f>(AQ48*KFC!$B$17+KFC!$C$17)*KFC!$C$5</f>
        <v>65.821493929273231</v>
      </c>
      <c r="U48" s="912">
        <f>(AR48*KFC!$B$17+KFC!$C$17)*KFC!$C$5</f>
        <v>68.479241498008818</v>
      </c>
      <c r="V48" s="912">
        <f>(AS48*KFC!$B$17+KFC!$C$17)*KFC!$C$5</f>
        <v>71.136989066744405</v>
      </c>
      <c r="W48" s="916">
        <f>(AT48*KFC!$B$17+KFC!$C$17)*KFC!$C$5</f>
        <v>73.794736635479964</v>
      </c>
      <c r="Y48" s="1277"/>
      <c r="Z48" s="649">
        <v>1.7</v>
      </c>
      <c r="AA48" s="882">
        <v>23.297532829503758</v>
      </c>
      <c r="AB48" s="882">
        <v>25.955280398239346</v>
      </c>
      <c r="AC48" s="882">
        <v>28.613027966974943</v>
      </c>
      <c r="AD48" s="882">
        <v>31.270775535710531</v>
      </c>
      <c r="AE48" s="882">
        <v>33.928523104446121</v>
      </c>
      <c r="AF48" s="882">
        <v>36.586270673181716</v>
      </c>
      <c r="AG48" s="882">
        <v>39.24401824191731</v>
      </c>
      <c r="AH48" s="882">
        <v>41.901765810652897</v>
      </c>
      <c r="AI48" s="882">
        <v>44.559513379388484</v>
      </c>
      <c r="AJ48" s="882">
        <v>47.217260948124085</v>
      </c>
      <c r="AK48" s="882">
        <v>49.875008516859673</v>
      </c>
      <c r="AL48" s="882">
        <v>52.53275608559526</v>
      </c>
      <c r="AM48" s="882">
        <v>55.190503654330854</v>
      </c>
      <c r="AN48" s="882">
        <v>57.848251223066455</v>
      </c>
      <c r="AO48" s="882">
        <v>60.505998791802035</v>
      </c>
      <c r="AP48" s="882">
        <v>63.16374636053763</v>
      </c>
      <c r="AQ48" s="882">
        <v>65.821493929273231</v>
      </c>
      <c r="AR48" s="882">
        <v>68.479241498008818</v>
      </c>
      <c r="AS48" s="882">
        <v>71.136989066744405</v>
      </c>
      <c r="AT48" s="882">
        <v>73.794736635479964</v>
      </c>
    </row>
    <row r="49" spans="1:46">
      <c r="A49" s="1426"/>
      <c r="B49" s="1427"/>
      <c r="C49" s="887">
        <v>1.8</v>
      </c>
      <c r="D49" s="915">
        <f>(AA49*KFC!$B$17+KFC!$C$17)*KFC!$C$5</f>
        <v>23.880394669977004</v>
      </c>
      <c r="E49" s="912">
        <f>(AB49*KFC!$B$17+KFC!$C$17)*KFC!$C$5</f>
        <v>26.667929288210686</v>
      </c>
      <c r="F49" s="912">
        <f>(AC49*KFC!$B$17+KFC!$C$17)*KFC!$C$5</f>
        <v>29.455463906444372</v>
      </c>
      <c r="G49" s="912">
        <f>(AD49*KFC!$B$17+KFC!$C$17)*KFC!$C$5</f>
        <v>32.24299852467805</v>
      </c>
      <c r="H49" s="912">
        <f>(AE49*KFC!$B$17+KFC!$C$17)*KFC!$C$5</f>
        <v>35.030533142911729</v>
      </c>
      <c r="I49" s="912">
        <f>(AF49*KFC!$B$17+KFC!$C$17)*KFC!$C$5</f>
        <v>37.818067761145414</v>
      </c>
      <c r="J49" s="912">
        <f>(AG49*KFC!$B$17+KFC!$C$17)*KFC!$C$5</f>
        <v>40.6056023793791</v>
      </c>
      <c r="K49" s="912">
        <f>(AH49*KFC!$B$17+KFC!$C$17)*KFC!$C$5</f>
        <v>43.393136997612785</v>
      </c>
      <c r="L49" s="912">
        <f>(AI49*KFC!$B$17+KFC!$C$17)*KFC!$C$5</f>
        <v>46.180671615846471</v>
      </c>
      <c r="M49" s="912">
        <f>(AJ49*KFC!$B$17+KFC!$C$17)*KFC!$C$5</f>
        <v>48.968206234080149</v>
      </c>
      <c r="N49" s="912">
        <f>(AK49*KFC!$B$17+KFC!$C$17)*KFC!$C$5</f>
        <v>51.755740852313835</v>
      </c>
      <c r="O49" s="912">
        <f>(AL49*KFC!$B$17+KFC!$C$17)*KFC!$C$5</f>
        <v>54.54327547054752</v>
      </c>
      <c r="P49" s="912">
        <f>(AM49*KFC!$B$17+KFC!$C$17)*KFC!$C$5</f>
        <v>57.330810088781213</v>
      </c>
      <c r="Q49" s="912">
        <f>(AN49*KFC!$B$17+KFC!$C$17)*KFC!$C$5</f>
        <v>60.118344707014892</v>
      </c>
      <c r="R49" s="912">
        <f>(AO49*KFC!$B$17+KFC!$C$17)*KFC!$C$5</f>
        <v>62.905879325248584</v>
      </c>
      <c r="S49" s="912">
        <f>(AP49*KFC!$B$17+KFC!$C$17)*KFC!$C$5</f>
        <v>65.693413943482255</v>
      </c>
      <c r="T49" s="912">
        <f>(AQ49*KFC!$B$17+KFC!$C$17)*KFC!$C$5</f>
        <v>68.480948561715948</v>
      </c>
      <c r="U49" s="912">
        <f>(AR49*KFC!$B$17+KFC!$C$17)*KFC!$C$5</f>
        <v>71.268483179949627</v>
      </c>
      <c r="V49" s="912">
        <f>(AS49*KFC!$B$17+KFC!$C$17)*KFC!$C$5</f>
        <v>74.056017798183305</v>
      </c>
      <c r="W49" s="916">
        <f>(AT49*KFC!$B$17+KFC!$C$17)*KFC!$C$5</f>
        <v>76.843552416416969</v>
      </c>
      <c r="Y49" s="1277"/>
      <c r="Z49" s="649">
        <v>1.8</v>
      </c>
      <c r="AA49" s="882">
        <v>23.880394669977004</v>
      </c>
      <c r="AB49" s="882">
        <v>26.667929288210686</v>
      </c>
      <c r="AC49" s="882">
        <v>29.455463906444372</v>
      </c>
      <c r="AD49" s="882">
        <v>32.24299852467805</v>
      </c>
      <c r="AE49" s="882">
        <v>35.030533142911729</v>
      </c>
      <c r="AF49" s="882">
        <v>37.818067761145414</v>
      </c>
      <c r="AG49" s="882">
        <v>40.6056023793791</v>
      </c>
      <c r="AH49" s="882">
        <v>43.393136997612785</v>
      </c>
      <c r="AI49" s="882">
        <v>46.180671615846471</v>
      </c>
      <c r="AJ49" s="882">
        <v>48.968206234080149</v>
      </c>
      <c r="AK49" s="882">
        <v>51.755740852313835</v>
      </c>
      <c r="AL49" s="882">
        <v>54.54327547054752</v>
      </c>
      <c r="AM49" s="882">
        <v>57.330810088781213</v>
      </c>
      <c r="AN49" s="882">
        <v>60.118344707014892</v>
      </c>
      <c r="AO49" s="882">
        <v>62.905879325248584</v>
      </c>
      <c r="AP49" s="882">
        <v>65.693413943482255</v>
      </c>
      <c r="AQ49" s="882">
        <v>68.480948561715948</v>
      </c>
      <c r="AR49" s="882">
        <v>71.268483179949627</v>
      </c>
      <c r="AS49" s="882">
        <v>74.056017798183305</v>
      </c>
      <c r="AT49" s="882">
        <v>76.843552416416969</v>
      </c>
    </row>
    <row r="50" spans="1:46">
      <c r="A50" s="1426"/>
      <c r="B50" s="1427"/>
      <c r="C50" s="887">
        <v>1.9</v>
      </c>
      <c r="D50" s="915">
        <f>(AA50*KFC!$B$17+KFC!$C$17)*KFC!$C$5</f>
        <v>24.463256510450258</v>
      </c>
      <c r="E50" s="912">
        <f>(AB50*KFC!$B$17+KFC!$C$17)*KFC!$C$5</f>
        <v>27.380578178182031</v>
      </c>
      <c r="F50" s="912">
        <f>(AC50*KFC!$B$17+KFC!$C$17)*KFC!$C$5</f>
        <v>30.297899845913808</v>
      </c>
      <c r="G50" s="912">
        <f>(AD50*KFC!$B$17+KFC!$C$17)*KFC!$C$5</f>
        <v>33.215221513645581</v>
      </c>
      <c r="H50" s="912">
        <f>(AE50*KFC!$B$17+KFC!$C$17)*KFC!$C$5</f>
        <v>36.132543181377351</v>
      </c>
      <c r="I50" s="912">
        <f>(AF50*KFC!$B$17+KFC!$C$17)*KFC!$C$5</f>
        <v>39.049864849109127</v>
      </c>
      <c r="J50" s="912">
        <f>(AG50*KFC!$B$17+KFC!$C$17)*KFC!$C$5</f>
        <v>41.967186516840897</v>
      </c>
      <c r="K50" s="912">
        <f>(AH50*KFC!$B$17+KFC!$C$17)*KFC!$C$5</f>
        <v>44.884508184572667</v>
      </c>
      <c r="L50" s="912">
        <f>(AI50*KFC!$B$17+KFC!$C$17)*KFC!$C$5</f>
        <v>47.801829852304436</v>
      </c>
      <c r="M50" s="912">
        <f>(AJ50*KFC!$B$17+KFC!$C$17)*KFC!$C$5</f>
        <v>50.719151520036213</v>
      </c>
      <c r="N50" s="912">
        <f>(AK50*KFC!$B$17+KFC!$C$17)*KFC!$C$5</f>
        <v>53.63647318776799</v>
      </c>
      <c r="O50" s="912">
        <f>(AL50*KFC!$B$17+KFC!$C$17)*KFC!$C$5</f>
        <v>56.553794855499753</v>
      </c>
      <c r="P50" s="912">
        <f>(AM50*KFC!$B$17+KFC!$C$17)*KFC!$C$5</f>
        <v>59.471116523231522</v>
      </c>
      <c r="Q50" s="912">
        <f>(AN50*KFC!$B$17+KFC!$C$17)*KFC!$C$5</f>
        <v>62.388438190963292</v>
      </c>
      <c r="R50" s="912">
        <f>(AO50*KFC!$B$17+KFC!$C$17)*KFC!$C$5</f>
        <v>65.305759858695083</v>
      </c>
      <c r="S50" s="912">
        <f>(AP50*KFC!$B$17+KFC!$C$17)*KFC!$C$5</f>
        <v>68.223081526426839</v>
      </c>
      <c r="T50" s="912">
        <f>(AQ50*KFC!$B$17+KFC!$C$17)*KFC!$C$5</f>
        <v>71.140403194158608</v>
      </c>
      <c r="U50" s="912">
        <f>(AR50*KFC!$B$17+KFC!$C$17)*KFC!$C$5</f>
        <v>74.057724861890378</v>
      </c>
      <c r="V50" s="912">
        <f>(AS50*KFC!$B$17+KFC!$C$17)*KFC!$C$5</f>
        <v>76.975046529622162</v>
      </c>
      <c r="W50" s="916">
        <f>(AT50*KFC!$B$17+KFC!$C$17)*KFC!$C$5</f>
        <v>79.892368197353974</v>
      </c>
      <c r="Y50" s="1277"/>
      <c r="Z50" s="649">
        <v>1.9</v>
      </c>
      <c r="AA50" s="882">
        <v>24.463256510450258</v>
      </c>
      <c r="AB50" s="882">
        <v>27.380578178182031</v>
      </c>
      <c r="AC50" s="882">
        <v>30.297899845913808</v>
      </c>
      <c r="AD50" s="882">
        <v>33.215221513645581</v>
      </c>
      <c r="AE50" s="882">
        <v>36.132543181377351</v>
      </c>
      <c r="AF50" s="882">
        <v>39.049864849109127</v>
      </c>
      <c r="AG50" s="882">
        <v>41.967186516840897</v>
      </c>
      <c r="AH50" s="882">
        <v>44.884508184572667</v>
      </c>
      <c r="AI50" s="882">
        <v>47.801829852304436</v>
      </c>
      <c r="AJ50" s="882">
        <v>50.719151520036213</v>
      </c>
      <c r="AK50" s="882">
        <v>53.63647318776799</v>
      </c>
      <c r="AL50" s="882">
        <v>56.553794855499753</v>
      </c>
      <c r="AM50" s="882">
        <v>59.471116523231522</v>
      </c>
      <c r="AN50" s="882">
        <v>62.388438190963292</v>
      </c>
      <c r="AO50" s="882">
        <v>65.305759858695083</v>
      </c>
      <c r="AP50" s="882">
        <v>68.223081526426839</v>
      </c>
      <c r="AQ50" s="882">
        <v>71.140403194158608</v>
      </c>
      <c r="AR50" s="882">
        <v>74.057724861890378</v>
      </c>
      <c r="AS50" s="882">
        <v>76.975046529622162</v>
      </c>
      <c r="AT50" s="882">
        <v>79.892368197353974</v>
      </c>
    </row>
    <row r="51" spans="1:46">
      <c r="A51" s="1426"/>
      <c r="B51" s="1427"/>
      <c r="C51" s="887">
        <v>2</v>
      </c>
      <c r="D51" s="915">
        <f>(AA51*KFC!$B$17+KFC!$C$17)*KFC!$C$5</f>
        <v>25.046118350923507</v>
      </c>
      <c r="E51" s="912">
        <f>(AB51*KFC!$B$17+KFC!$C$17)*KFC!$C$5</f>
        <v>28.093227068153372</v>
      </c>
      <c r="F51" s="912">
        <f>(AC51*KFC!$B$17+KFC!$C$17)*KFC!$C$5</f>
        <v>31.140335785383236</v>
      </c>
      <c r="G51" s="912">
        <f>(AD51*KFC!$B$17+KFC!$C$17)*KFC!$C$5</f>
        <v>34.187444502613097</v>
      </c>
      <c r="H51" s="912">
        <f>(AE51*KFC!$B$17+KFC!$C$17)*KFC!$C$5</f>
        <v>37.234553219842965</v>
      </c>
      <c r="I51" s="912">
        <f>(AF51*KFC!$B$17+KFC!$C$17)*KFC!$C$5</f>
        <v>40.281661937072833</v>
      </c>
      <c r="J51" s="912">
        <f>(AG51*KFC!$B$17+KFC!$C$17)*KFC!$C$5</f>
        <v>43.328770654302701</v>
      </c>
      <c r="K51" s="912">
        <f>(AH51*KFC!$B$17+KFC!$C$17)*KFC!$C$5</f>
        <v>46.375879371532562</v>
      </c>
      <c r="L51" s="912">
        <f>(AI51*KFC!$B$17+KFC!$C$17)*KFC!$C$5</f>
        <v>49.42298808876243</v>
      </c>
      <c r="M51" s="912">
        <f>(AJ51*KFC!$B$17+KFC!$C$17)*KFC!$C$5</f>
        <v>52.470096805992284</v>
      </c>
      <c r="N51" s="912">
        <f>(AK51*KFC!$B$17+KFC!$C$17)*KFC!$C$5</f>
        <v>55.517205523222152</v>
      </c>
      <c r="O51" s="912">
        <f>(AL51*KFC!$B$17+KFC!$C$17)*KFC!$C$5</f>
        <v>58.56431424045202</v>
      </c>
      <c r="P51" s="912">
        <f>(AM51*KFC!$B$17+KFC!$C$17)*KFC!$C$5</f>
        <v>61.611422957681889</v>
      </c>
      <c r="Q51" s="912">
        <f>(AN51*KFC!$B$17+KFC!$C$17)*KFC!$C$5</f>
        <v>64.658531674911742</v>
      </c>
      <c r="R51" s="912">
        <f>(AO51*KFC!$B$17+KFC!$C$17)*KFC!$C$5</f>
        <v>67.705640392141618</v>
      </c>
      <c r="S51" s="912">
        <f>(AP51*KFC!$B$17+KFC!$C$17)*KFC!$C$5</f>
        <v>70.752749109371479</v>
      </c>
      <c r="T51" s="912">
        <f>(AQ51*KFC!$B$17+KFC!$C$17)*KFC!$C$5</f>
        <v>73.79985782660134</v>
      </c>
      <c r="U51" s="912">
        <f>(AR51*KFC!$B$17+KFC!$C$17)*KFC!$C$5</f>
        <v>76.846966543831215</v>
      </c>
      <c r="V51" s="912">
        <f>(AS51*KFC!$B$17+KFC!$C$17)*KFC!$C$5</f>
        <v>79.894075261061076</v>
      </c>
      <c r="W51" s="916">
        <f>(AT51*KFC!$B$17+KFC!$C$17)*KFC!$C$5</f>
        <v>82.941183978290965</v>
      </c>
      <c r="Y51" s="1277"/>
      <c r="Z51" s="649">
        <v>2</v>
      </c>
      <c r="AA51" s="882">
        <v>25.046118350923507</v>
      </c>
      <c r="AB51" s="882">
        <v>28.093227068153372</v>
      </c>
      <c r="AC51" s="882">
        <v>31.140335785383236</v>
      </c>
      <c r="AD51" s="882">
        <v>34.187444502613097</v>
      </c>
      <c r="AE51" s="882">
        <v>37.234553219842965</v>
      </c>
      <c r="AF51" s="882">
        <v>40.281661937072833</v>
      </c>
      <c r="AG51" s="882">
        <v>43.328770654302701</v>
      </c>
      <c r="AH51" s="882">
        <v>46.375879371532562</v>
      </c>
      <c r="AI51" s="882">
        <v>49.42298808876243</v>
      </c>
      <c r="AJ51" s="882">
        <v>52.470096805992284</v>
      </c>
      <c r="AK51" s="882">
        <v>55.517205523222152</v>
      </c>
      <c r="AL51" s="882">
        <v>58.56431424045202</v>
      </c>
      <c r="AM51" s="882">
        <v>61.611422957681889</v>
      </c>
      <c r="AN51" s="882">
        <v>64.658531674911742</v>
      </c>
      <c r="AO51" s="882">
        <v>67.705640392141618</v>
      </c>
      <c r="AP51" s="882">
        <v>70.752749109371479</v>
      </c>
      <c r="AQ51" s="882">
        <v>73.79985782660134</v>
      </c>
      <c r="AR51" s="882">
        <v>76.846966543831215</v>
      </c>
      <c r="AS51" s="882">
        <v>79.894075261061076</v>
      </c>
      <c r="AT51" s="882">
        <v>82.941183978290965</v>
      </c>
    </row>
    <row r="52" spans="1:46">
      <c r="A52" s="1426"/>
      <c r="B52" s="1427"/>
      <c r="C52" s="887">
        <v>2.1</v>
      </c>
      <c r="D52" s="915">
        <f>(AA52*KFC!$B$17+KFC!$C$17)*KFC!$C$5</f>
        <v>25.62898019139676</v>
      </c>
      <c r="E52" s="912">
        <f>(AB52*KFC!$B$17+KFC!$C$17)*KFC!$C$5</f>
        <v>28.805875958124716</v>
      </c>
      <c r="F52" s="912">
        <f>(AC52*KFC!$B$17+KFC!$C$17)*KFC!$C$5</f>
        <v>31.982771724852675</v>
      </c>
      <c r="G52" s="912">
        <f>(AD52*KFC!$B$17+KFC!$C$17)*KFC!$C$5</f>
        <v>35.159667491580628</v>
      </c>
      <c r="H52" s="912">
        <f>(AE52*KFC!$B$17+KFC!$C$17)*KFC!$C$5</f>
        <v>38.336563258308587</v>
      </c>
      <c r="I52" s="912">
        <f>(AF52*KFC!$B$17+KFC!$C$17)*KFC!$C$5</f>
        <v>41.513459025036546</v>
      </c>
      <c r="J52" s="912">
        <f>(AG52*KFC!$B$17+KFC!$C$17)*KFC!$C$5</f>
        <v>44.690354791764499</v>
      </c>
      <c r="K52" s="912">
        <f>(AH52*KFC!$B$17+KFC!$C$17)*KFC!$C$5</f>
        <v>47.867250558492465</v>
      </c>
      <c r="L52" s="912">
        <f>(AI52*KFC!$B$17+KFC!$C$17)*KFC!$C$5</f>
        <v>51.044146325220417</v>
      </c>
      <c r="M52" s="912">
        <f>(AJ52*KFC!$B$17+KFC!$C$17)*KFC!$C$5</f>
        <v>54.221042091948377</v>
      </c>
      <c r="N52" s="912">
        <f>(AK52*KFC!$B$17+KFC!$C$17)*KFC!$C$5</f>
        <v>57.397937858676336</v>
      </c>
      <c r="O52" s="912">
        <f>(AL52*KFC!$B$17+KFC!$C$17)*KFC!$C$5</f>
        <v>60.574833625404295</v>
      </c>
      <c r="P52" s="912">
        <f>(AM52*KFC!$B$17+KFC!$C$17)*KFC!$C$5</f>
        <v>63.751729392132248</v>
      </c>
      <c r="Q52" s="912">
        <f>(AN52*KFC!$B$17+KFC!$C$17)*KFC!$C$5</f>
        <v>66.928625158860214</v>
      </c>
      <c r="R52" s="912">
        <f>(AO52*KFC!$B$17+KFC!$C$17)*KFC!$C$5</f>
        <v>70.105520925588181</v>
      </c>
      <c r="S52" s="912">
        <f>(AP52*KFC!$B$17+KFC!$C$17)*KFC!$C$5</f>
        <v>73.282416692316133</v>
      </c>
      <c r="T52" s="912">
        <f>(AQ52*KFC!$B$17+KFC!$C$17)*KFC!$C$5</f>
        <v>76.459312459044085</v>
      </c>
      <c r="U52" s="912">
        <f>(AR52*KFC!$B$17+KFC!$C$17)*KFC!$C$5</f>
        <v>79.636208225772052</v>
      </c>
      <c r="V52" s="912">
        <f>(AS52*KFC!$B$17+KFC!$C$17)*KFC!$C$5</f>
        <v>82.813103992500004</v>
      </c>
      <c r="W52" s="916">
        <f>(AT52*KFC!$B$17+KFC!$C$17)*KFC!$C$5</f>
        <v>85.989999759227956</v>
      </c>
      <c r="Y52" s="1277"/>
      <c r="Z52" s="649">
        <v>2.1</v>
      </c>
      <c r="AA52" s="882">
        <v>25.62898019139676</v>
      </c>
      <c r="AB52" s="882">
        <v>28.805875958124716</v>
      </c>
      <c r="AC52" s="882">
        <v>31.982771724852675</v>
      </c>
      <c r="AD52" s="882">
        <v>35.159667491580628</v>
      </c>
      <c r="AE52" s="882">
        <v>38.336563258308587</v>
      </c>
      <c r="AF52" s="882">
        <v>41.513459025036546</v>
      </c>
      <c r="AG52" s="882">
        <v>44.690354791764499</v>
      </c>
      <c r="AH52" s="882">
        <v>47.867250558492465</v>
      </c>
      <c r="AI52" s="882">
        <v>51.044146325220417</v>
      </c>
      <c r="AJ52" s="882">
        <v>54.221042091948377</v>
      </c>
      <c r="AK52" s="882">
        <v>57.397937858676336</v>
      </c>
      <c r="AL52" s="882">
        <v>60.574833625404295</v>
      </c>
      <c r="AM52" s="882">
        <v>63.751729392132248</v>
      </c>
      <c r="AN52" s="882">
        <v>66.928625158860214</v>
      </c>
      <c r="AO52" s="882">
        <v>70.105520925588181</v>
      </c>
      <c r="AP52" s="882">
        <v>73.282416692316133</v>
      </c>
      <c r="AQ52" s="882">
        <v>76.459312459044085</v>
      </c>
      <c r="AR52" s="882">
        <v>79.636208225772052</v>
      </c>
      <c r="AS52" s="882">
        <v>82.813103992500004</v>
      </c>
      <c r="AT52" s="882">
        <v>85.989999759227956</v>
      </c>
    </row>
    <row r="53" spans="1:46" ht="15" thickBot="1">
      <c r="A53" s="1428"/>
      <c r="B53" s="1429"/>
      <c r="C53" s="888">
        <v>2.2000000000000002</v>
      </c>
      <c r="D53" s="917">
        <f>(AA53*KFC!$B$17+KFC!$C$17)*KFC!$C$5</f>
        <v>26.211842031869999</v>
      </c>
      <c r="E53" s="918">
        <f>(AB53*KFC!$B$17+KFC!$C$17)*KFC!$C$5</f>
        <v>29.51852484809605</v>
      </c>
      <c r="F53" s="918">
        <f>(AC53*KFC!$B$17+KFC!$C$17)*KFC!$C$5</f>
        <v>32.8252076643221</v>
      </c>
      <c r="G53" s="918">
        <f>(AD53*KFC!$B$17+KFC!$C$17)*KFC!$C$5</f>
        <v>36.131890480548151</v>
      </c>
      <c r="H53" s="918">
        <f>(AE53*KFC!$B$17+KFC!$C$17)*KFC!$C$5</f>
        <v>39.438573296774202</v>
      </c>
      <c r="I53" s="918">
        <f>(AF53*KFC!$B$17+KFC!$C$17)*KFC!$C$5</f>
        <v>42.745256113000252</v>
      </c>
      <c r="J53" s="918">
        <f>(AG53*KFC!$B$17+KFC!$C$17)*KFC!$C$5</f>
        <v>46.051938929226303</v>
      </c>
      <c r="K53" s="918">
        <f>(AH53*KFC!$B$17+KFC!$C$17)*KFC!$C$5</f>
        <v>49.358621745452361</v>
      </c>
      <c r="L53" s="918">
        <f>(AI53*KFC!$B$17+KFC!$C$17)*KFC!$C$5</f>
        <v>52.665304561678411</v>
      </c>
      <c r="M53" s="918">
        <f>(AJ53*KFC!$B$17+KFC!$C$17)*KFC!$C$5</f>
        <v>55.971987377904462</v>
      </c>
      <c r="N53" s="918">
        <f>(AK53*KFC!$B$17+KFC!$C$17)*KFC!$C$5</f>
        <v>59.278670194130513</v>
      </c>
      <c r="O53" s="918">
        <f>(AL53*KFC!$B$17+KFC!$C$17)*KFC!$C$5</f>
        <v>62.585353010356563</v>
      </c>
      <c r="P53" s="918">
        <f>(AM53*KFC!$B$17+KFC!$C$17)*KFC!$C$5</f>
        <v>65.892035826582614</v>
      </c>
      <c r="Q53" s="918">
        <f>(AN53*KFC!$B$17+KFC!$C$17)*KFC!$C$5</f>
        <v>69.198718642808672</v>
      </c>
      <c r="R53" s="918">
        <f>(AO53*KFC!$B$17+KFC!$C$17)*KFC!$C$5</f>
        <v>72.505401459034715</v>
      </c>
      <c r="S53" s="918">
        <f>(AP53*KFC!$B$17+KFC!$C$17)*KFC!$C$5</f>
        <v>75.812084275260773</v>
      </c>
      <c r="T53" s="918">
        <f>(AQ53*KFC!$B$17+KFC!$C$17)*KFC!$C$5</f>
        <v>79.118767091486816</v>
      </c>
      <c r="U53" s="918">
        <f>(AR53*KFC!$B$17+KFC!$C$17)*KFC!$C$5</f>
        <v>82.425449907712874</v>
      </c>
      <c r="V53" s="918">
        <f>(AS53*KFC!$B$17+KFC!$C$17)*KFC!$C$5</f>
        <v>85.732132723938932</v>
      </c>
      <c r="W53" s="919">
        <f>(AT53*KFC!$B$17+KFC!$C$17)*KFC!$C$5</f>
        <v>89.03881554016499</v>
      </c>
      <c r="Y53" s="1277"/>
      <c r="Z53" s="649">
        <v>2.2000000000000002</v>
      </c>
      <c r="AA53" s="882">
        <v>26.211842031869999</v>
      </c>
      <c r="AB53" s="882">
        <v>29.51852484809605</v>
      </c>
      <c r="AC53" s="882">
        <v>32.8252076643221</v>
      </c>
      <c r="AD53" s="882">
        <v>36.131890480548151</v>
      </c>
      <c r="AE53" s="882">
        <v>39.438573296774202</v>
      </c>
      <c r="AF53" s="882">
        <v>42.745256113000252</v>
      </c>
      <c r="AG53" s="882">
        <v>46.051938929226303</v>
      </c>
      <c r="AH53" s="882">
        <v>49.358621745452361</v>
      </c>
      <c r="AI53" s="882">
        <v>52.665304561678411</v>
      </c>
      <c r="AJ53" s="882">
        <v>55.971987377904462</v>
      </c>
      <c r="AK53" s="882">
        <v>59.278670194130513</v>
      </c>
      <c r="AL53" s="882">
        <v>62.585353010356563</v>
      </c>
      <c r="AM53" s="882">
        <v>65.892035826582614</v>
      </c>
      <c r="AN53" s="882">
        <v>69.198718642808672</v>
      </c>
      <c r="AO53" s="882">
        <v>72.505401459034715</v>
      </c>
      <c r="AP53" s="882">
        <v>75.812084275260773</v>
      </c>
      <c r="AQ53" s="882">
        <v>79.118767091486816</v>
      </c>
      <c r="AR53" s="882">
        <v>82.425449907712874</v>
      </c>
      <c r="AS53" s="882">
        <v>85.732132723938932</v>
      </c>
      <c r="AT53" s="882">
        <v>89.03881554016499</v>
      </c>
    </row>
    <row r="54" spans="1:46" ht="16.2" thickBot="1">
      <c r="A54" s="380"/>
      <c r="B54" s="380"/>
      <c r="C54" s="380"/>
      <c r="D54" s="380"/>
      <c r="E54" s="380"/>
      <c r="F54" s="380"/>
      <c r="G54" s="380"/>
      <c r="H54" s="380"/>
      <c r="I54" s="380"/>
      <c r="J54" s="380"/>
      <c r="K54" s="380"/>
      <c r="L54" s="380"/>
      <c r="M54" s="380"/>
      <c r="N54" s="380"/>
      <c r="O54" s="380"/>
      <c r="P54" s="380"/>
      <c r="Q54" s="380"/>
      <c r="R54" s="380"/>
      <c r="S54" s="380"/>
      <c r="T54" s="380"/>
      <c r="U54" s="380"/>
      <c r="V54" s="380"/>
      <c r="W54" s="380"/>
    </row>
    <row r="55" spans="1:46" ht="16.5" customHeight="1" thickBot="1">
      <c r="A55" s="1445" t="s">
        <v>448</v>
      </c>
      <c r="B55" s="1446"/>
      <c r="C55" s="1446"/>
      <c r="D55" s="1446"/>
      <c r="E55" s="1446"/>
      <c r="F55" s="1446"/>
      <c r="G55" s="1446"/>
      <c r="H55" s="1446"/>
      <c r="I55" s="1446"/>
      <c r="J55" s="1446"/>
      <c r="K55" s="1446"/>
      <c r="L55" s="1446"/>
      <c r="M55" s="1446"/>
      <c r="N55" s="1446"/>
      <c r="O55" s="1446"/>
      <c r="P55" s="1446"/>
      <c r="Q55" s="1446"/>
      <c r="R55" s="1446"/>
      <c r="S55" s="1446"/>
      <c r="T55" s="1446"/>
      <c r="U55" s="1446"/>
      <c r="V55" s="1446"/>
      <c r="W55" s="1447"/>
    </row>
    <row r="56" spans="1:46" ht="15.6">
      <c r="A56" s="1448"/>
      <c r="B56" s="1449"/>
      <c r="C56" s="1449"/>
      <c r="D56" s="1449"/>
      <c r="E56" s="1449"/>
      <c r="F56" s="1449"/>
      <c r="G56" s="1449"/>
      <c r="H56" s="1449"/>
      <c r="I56" s="1449"/>
      <c r="J56" s="1449"/>
      <c r="K56" s="1450"/>
      <c r="L56" s="1454" t="s">
        <v>449</v>
      </c>
      <c r="M56" s="1455"/>
      <c r="N56" s="1455"/>
      <c r="O56" s="1456"/>
      <c r="P56" s="1457" t="s">
        <v>450</v>
      </c>
      <c r="Q56" s="1458"/>
      <c r="R56" s="1458"/>
      <c r="S56" s="1459"/>
      <c r="T56" s="1454" t="s">
        <v>451</v>
      </c>
      <c r="U56" s="1455"/>
      <c r="V56" s="1455"/>
      <c r="W56" s="1456"/>
    </row>
    <row r="57" spans="1:46" ht="15.6">
      <c r="A57" s="1451"/>
      <c r="B57" s="1452"/>
      <c r="C57" s="1452"/>
      <c r="D57" s="1452"/>
      <c r="E57" s="1452"/>
      <c r="F57" s="1452"/>
      <c r="G57" s="1452"/>
      <c r="H57" s="1452"/>
      <c r="I57" s="1452"/>
      <c r="J57" s="1452"/>
      <c r="K57" s="1453"/>
      <c r="L57" s="1460" t="s">
        <v>452</v>
      </c>
      <c r="M57" s="1461"/>
      <c r="N57" s="1461" t="s">
        <v>453</v>
      </c>
      <c r="O57" s="1462"/>
      <c r="P57" s="1463" t="s">
        <v>452</v>
      </c>
      <c r="Q57" s="1464"/>
      <c r="R57" s="1464" t="s">
        <v>453</v>
      </c>
      <c r="S57" s="1465"/>
      <c r="T57" s="1460" t="s">
        <v>452</v>
      </c>
      <c r="U57" s="1461"/>
      <c r="V57" s="1461" t="s">
        <v>453</v>
      </c>
      <c r="W57" s="1462"/>
    </row>
    <row r="58" spans="1:46" ht="15.6">
      <c r="A58" s="1466" t="s">
        <v>454</v>
      </c>
      <c r="B58" s="1467"/>
      <c r="C58" s="1467"/>
      <c r="D58" s="1467"/>
      <c r="E58" s="1467"/>
      <c r="F58" s="1467"/>
      <c r="G58" s="1467"/>
      <c r="H58" s="1467"/>
      <c r="I58" s="1467"/>
      <c r="J58" s="1467"/>
      <c r="K58" s="1468"/>
      <c r="L58" s="1460">
        <v>23</v>
      </c>
      <c r="M58" s="1461"/>
      <c r="N58" s="1461">
        <v>23</v>
      </c>
      <c r="O58" s="1462"/>
      <c r="P58" s="1463">
        <v>23</v>
      </c>
      <c r="Q58" s="1464"/>
      <c r="R58" s="1464">
        <v>23</v>
      </c>
      <c r="S58" s="1465"/>
      <c r="T58" s="1460">
        <v>23</v>
      </c>
      <c r="U58" s="1461"/>
      <c r="V58" s="1461">
        <v>23</v>
      </c>
      <c r="W58" s="1462"/>
    </row>
    <row r="59" spans="1:46" ht="15.6">
      <c r="A59" s="1466" t="s">
        <v>455</v>
      </c>
      <c r="B59" s="1467"/>
      <c r="C59" s="1467"/>
      <c r="D59" s="1467"/>
      <c r="E59" s="1467"/>
      <c r="F59" s="1467"/>
      <c r="G59" s="1467"/>
      <c r="H59" s="1467"/>
      <c r="I59" s="1467"/>
      <c r="J59" s="1467"/>
      <c r="K59" s="1468"/>
      <c r="L59" s="1460">
        <v>240</v>
      </c>
      <c r="M59" s="1461"/>
      <c r="N59" s="1461">
        <v>170</v>
      </c>
      <c r="O59" s="1462"/>
      <c r="P59" s="1463">
        <v>200</v>
      </c>
      <c r="Q59" s="1464"/>
      <c r="R59" s="1464">
        <v>170</v>
      </c>
      <c r="S59" s="1465"/>
      <c r="T59" s="1460">
        <v>200</v>
      </c>
      <c r="U59" s="1461"/>
      <c r="V59" s="1461">
        <v>170</v>
      </c>
      <c r="W59" s="1462"/>
    </row>
    <row r="60" spans="1:46" ht="18" thickBot="1">
      <c r="A60" s="1475" t="s">
        <v>456</v>
      </c>
      <c r="B60" s="1476"/>
      <c r="C60" s="1476"/>
      <c r="D60" s="1476"/>
      <c r="E60" s="1476"/>
      <c r="F60" s="1476"/>
      <c r="G60" s="1476"/>
      <c r="H60" s="1476"/>
      <c r="I60" s="1476"/>
      <c r="J60" s="1476"/>
      <c r="K60" s="1477"/>
      <c r="L60" s="1478">
        <v>2.5</v>
      </c>
      <c r="M60" s="1479"/>
      <c r="N60" s="1479">
        <v>2.5</v>
      </c>
      <c r="O60" s="1480"/>
      <c r="P60" s="1481">
        <v>2.5</v>
      </c>
      <c r="Q60" s="1482"/>
      <c r="R60" s="1483">
        <v>2</v>
      </c>
      <c r="S60" s="1484"/>
      <c r="T60" s="1478">
        <v>2.5</v>
      </c>
      <c r="U60" s="1479"/>
      <c r="V60" s="1485">
        <v>2</v>
      </c>
      <c r="W60" s="1486"/>
    </row>
    <row r="61" spans="1:46" ht="16.2" thickBot="1">
      <c r="A61" s="6"/>
      <c r="B61" s="1"/>
      <c r="C61" s="379"/>
      <c r="D61" s="381"/>
      <c r="E61" s="381"/>
      <c r="F61" s="381"/>
      <c r="G61" s="381"/>
      <c r="H61" s="381"/>
      <c r="I61" s="380"/>
      <c r="J61" s="380"/>
      <c r="K61" s="380"/>
      <c r="L61" s="380"/>
      <c r="M61" s="380"/>
      <c r="N61" s="380"/>
      <c r="O61" s="380"/>
      <c r="P61" s="380"/>
      <c r="Q61" s="380"/>
      <c r="R61" s="380"/>
      <c r="S61" s="380"/>
      <c r="T61" s="380"/>
      <c r="U61" s="380"/>
      <c r="V61" s="380"/>
      <c r="W61" s="380"/>
    </row>
    <row r="62" spans="1:46" ht="16.2" thickBot="1">
      <c r="A62" s="6" t="s">
        <v>44</v>
      </c>
      <c r="B62" s="1"/>
      <c r="C62" s="379"/>
      <c r="D62" s="382"/>
      <c r="E62" s="382"/>
      <c r="F62" s="382"/>
      <c r="G62" s="382"/>
      <c r="H62" s="382"/>
      <c r="I62" s="382"/>
      <c r="J62" s="380"/>
      <c r="K62" s="380"/>
      <c r="L62" s="380"/>
      <c r="M62" s="380"/>
      <c r="N62" s="380"/>
      <c r="O62" s="380"/>
      <c r="P62" s="380"/>
      <c r="Q62" s="380"/>
      <c r="R62" s="380"/>
      <c r="S62" s="380"/>
      <c r="T62" s="380"/>
      <c r="U62" s="380"/>
      <c r="V62" s="380"/>
      <c r="W62" s="380"/>
    </row>
    <row r="63" spans="1:46" ht="16.2" thickBot="1">
      <c r="A63" s="1487" t="s">
        <v>1232</v>
      </c>
      <c r="B63" s="1488"/>
      <c r="C63" s="1488"/>
      <c r="D63" s="1488"/>
      <c r="E63" s="1488"/>
      <c r="F63" s="1488"/>
      <c r="G63" s="1488"/>
      <c r="H63" s="1488"/>
      <c r="I63" s="1488"/>
      <c r="J63" s="1488"/>
      <c r="K63" s="1489"/>
      <c r="L63" s="1493">
        <f>(1.34*KFC!$B$17+KFC!$C$17)*KFC!$C$5</f>
        <v>1.34</v>
      </c>
      <c r="M63" s="1473" t="s">
        <v>409</v>
      </c>
      <c r="N63" s="380"/>
      <c r="O63" s="380"/>
      <c r="P63" s="380"/>
      <c r="Q63" s="380"/>
      <c r="R63" s="380"/>
      <c r="S63" s="380"/>
      <c r="T63" s="380"/>
      <c r="U63" s="380"/>
      <c r="V63" s="380"/>
      <c r="W63" s="380"/>
    </row>
    <row r="64" spans="1:46" ht="28.5" customHeight="1" thickBot="1">
      <c r="A64" s="1490"/>
      <c r="B64" s="1491"/>
      <c r="C64" s="1491"/>
      <c r="D64" s="1491"/>
      <c r="E64" s="1491"/>
      <c r="F64" s="1491"/>
      <c r="G64" s="1491"/>
      <c r="H64" s="1491"/>
      <c r="I64" s="1491"/>
      <c r="J64" s="1491"/>
      <c r="K64" s="1492"/>
      <c r="L64" s="1494"/>
      <c r="M64" s="1495"/>
      <c r="N64" s="380"/>
      <c r="O64" s="380"/>
      <c r="P64" s="380"/>
      <c r="Q64" s="380"/>
      <c r="R64" s="380"/>
      <c r="S64" s="380"/>
      <c r="T64" s="380"/>
      <c r="U64" s="380"/>
      <c r="V64" s="380"/>
      <c r="W64" s="380"/>
    </row>
    <row r="65" spans="1:23" ht="16.2" thickBot="1">
      <c r="A65" s="895" t="s">
        <v>228</v>
      </c>
      <c r="B65" s="896"/>
      <c r="C65" s="896"/>
      <c r="D65" s="896"/>
      <c r="E65" s="896"/>
      <c r="F65" s="896"/>
      <c r="G65" s="896"/>
      <c r="H65" s="896"/>
      <c r="I65" s="897"/>
      <c r="J65" s="897"/>
      <c r="K65" s="897"/>
      <c r="L65" s="897"/>
      <c r="M65" s="897"/>
      <c r="N65" s="380"/>
      <c r="O65" s="380"/>
      <c r="P65" s="380"/>
      <c r="Q65" s="380"/>
      <c r="R65" s="380"/>
      <c r="S65" s="380"/>
      <c r="T65" s="380"/>
      <c r="U65" s="380"/>
      <c r="V65" s="380"/>
      <c r="W65" s="380"/>
    </row>
  </sheetData>
  <mergeCells count="51">
    <mergeCell ref="A63:K64"/>
    <mergeCell ref="L63:L64"/>
    <mergeCell ref="M63:M64"/>
    <mergeCell ref="V59:W59"/>
    <mergeCell ref="A60:K60"/>
    <mergeCell ref="L60:M60"/>
    <mergeCell ref="N60:O60"/>
    <mergeCell ref="P60:Q60"/>
    <mergeCell ref="R60:S60"/>
    <mergeCell ref="T60:U60"/>
    <mergeCell ref="V60:W60"/>
    <mergeCell ref="A59:K59"/>
    <mergeCell ref="L59:M59"/>
    <mergeCell ref="N59:O59"/>
    <mergeCell ref="P59:Q59"/>
    <mergeCell ref="R59:S59"/>
    <mergeCell ref="T59:U59"/>
    <mergeCell ref="R57:S57"/>
    <mergeCell ref="T57:U57"/>
    <mergeCell ref="V57:W57"/>
    <mergeCell ref="A58:K58"/>
    <mergeCell ref="L58:M58"/>
    <mergeCell ref="N58:O58"/>
    <mergeCell ref="P58:Q58"/>
    <mergeCell ref="R58:S58"/>
    <mergeCell ref="T58:U58"/>
    <mergeCell ref="V58:W58"/>
    <mergeCell ref="A33:B53"/>
    <mergeCell ref="Y33:Y53"/>
    <mergeCell ref="A55:W55"/>
    <mergeCell ref="A56:K57"/>
    <mergeCell ref="L56:O56"/>
    <mergeCell ref="P56:S56"/>
    <mergeCell ref="T56:W56"/>
    <mergeCell ref="L57:M57"/>
    <mergeCell ref="N57:O57"/>
    <mergeCell ref="P57:Q57"/>
    <mergeCell ref="AA31:AT31"/>
    <mergeCell ref="A30:W30"/>
    <mergeCell ref="A1:W2"/>
    <mergeCell ref="A3:W4"/>
    <mergeCell ref="A6:C7"/>
    <mergeCell ref="D6:W6"/>
    <mergeCell ref="Y6:Z7"/>
    <mergeCell ref="AA6:AT6"/>
    <mergeCell ref="A5:W5"/>
    <mergeCell ref="A8:B28"/>
    <mergeCell ref="Y8:Y28"/>
    <mergeCell ref="A31:C32"/>
    <mergeCell ref="D31:W31"/>
    <mergeCell ref="Y31:Z32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  <rowBreaks count="1" manualBreakCount="1">
    <brk id="30" max="45" man="1"/>
  </rowBreaks>
  <colBreaks count="1" manualBreakCount="1">
    <brk id="46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1E65C3-ADF8-4CCF-9482-ABA36EC013B5}">
  <sheetPr codeName="Лист26">
    <tabColor indexed="12"/>
  </sheetPr>
  <dimension ref="A1:Q44"/>
  <sheetViews>
    <sheetView view="pageBreakPreview" topLeftCell="A2" zoomScaleNormal="100" zoomScaleSheetLayoutView="100" workbookViewId="0">
      <pane ySplit="3" topLeftCell="A5" activePane="bottomLeft" state="frozen"/>
      <selection activeCell="A2" sqref="A2"/>
      <selection pane="bottomLeft" activeCell="A2" sqref="A2:IV5"/>
    </sheetView>
  </sheetViews>
  <sheetFormatPr defaultColWidth="9.109375" defaultRowHeight="13.2"/>
  <cols>
    <col min="1" max="1" width="27.109375" style="1" customWidth="1"/>
    <col min="2" max="8" width="7.109375" style="1" customWidth="1"/>
    <col min="9" max="11" width="8" style="1" customWidth="1"/>
    <col min="12" max="12" width="7.109375" style="1" customWidth="1"/>
    <col min="13" max="13" width="4.5546875" style="1" customWidth="1"/>
    <col min="14" max="14" width="4.44140625" style="1" customWidth="1"/>
    <col min="15" max="15" width="4.5546875" style="1" customWidth="1"/>
    <col min="16" max="16" width="11" style="1" customWidth="1"/>
    <col min="17" max="17" width="0.88671875" style="1" customWidth="1"/>
    <col min="18" max="18" width="6.109375" style="1" customWidth="1"/>
    <col min="19" max="16384" width="9.109375" style="1"/>
  </cols>
  <sheetData>
    <row r="1" spans="1:17" ht="15" customHeight="1">
      <c r="A1" s="5"/>
      <c r="B1" s="10"/>
      <c r="C1" s="10"/>
      <c r="D1" s="10"/>
      <c r="E1" s="10"/>
      <c r="G1" s="2"/>
      <c r="H1" s="2"/>
      <c r="J1" s="24"/>
      <c r="K1" s="4" t="s">
        <v>94</v>
      </c>
      <c r="Q1" s="25"/>
    </row>
    <row r="2" spans="1:17" ht="13.5" customHeight="1">
      <c r="B2" s="10"/>
      <c r="C2" s="10"/>
      <c r="D2" s="10"/>
      <c r="E2" s="10"/>
      <c r="G2" s="26"/>
      <c r="H2" s="26"/>
      <c r="I2" s="26"/>
      <c r="J2" s="26"/>
      <c r="K2" s="67"/>
      <c r="L2" s="26"/>
      <c r="M2" s="26"/>
      <c r="N2" s="26"/>
      <c r="O2" s="26"/>
      <c r="P2" s="26"/>
      <c r="Q2" s="26"/>
    </row>
    <row r="3" spans="1:17" ht="13.5" customHeight="1">
      <c r="B3" s="10"/>
      <c r="C3" s="10"/>
      <c r="D3" s="10"/>
      <c r="E3" s="10"/>
      <c r="G3" s="26"/>
      <c r="H3" s="26"/>
      <c r="I3" s="26"/>
      <c r="J3" s="26"/>
      <c r="K3" s="4"/>
      <c r="L3" s="26"/>
      <c r="M3" s="26"/>
      <c r="N3" s="26"/>
      <c r="O3" s="26"/>
      <c r="P3" s="26"/>
      <c r="Q3" s="26"/>
    </row>
    <row r="4" spans="1:17" ht="28.5" customHeight="1">
      <c r="B4" s="10"/>
      <c r="C4" s="1496" t="s">
        <v>250</v>
      </c>
      <c r="D4" s="1496"/>
      <c r="E4" s="1496"/>
      <c r="F4" s="1496"/>
      <c r="G4" s="26"/>
      <c r="H4" s="26"/>
      <c r="I4" s="26"/>
      <c r="J4" s="26"/>
      <c r="K4" s="4"/>
      <c r="L4" s="26"/>
      <c r="M4" s="26"/>
      <c r="N4" s="26"/>
      <c r="O4" s="26"/>
      <c r="P4" s="26"/>
      <c r="Q4" s="26"/>
    </row>
    <row r="5" spans="1:17">
      <c r="A5" s="1501" t="s">
        <v>246</v>
      </c>
      <c r="B5" s="1501"/>
      <c r="C5" s="1501"/>
      <c r="D5" s="1501"/>
      <c r="E5" s="1501"/>
      <c r="F5" s="1501"/>
      <c r="G5" s="1501"/>
      <c r="H5" s="1501"/>
      <c r="I5" s="1501"/>
      <c r="J5" s="1501"/>
      <c r="K5" s="1501"/>
      <c r="L5" s="27"/>
      <c r="M5" s="27"/>
      <c r="N5" s="27"/>
      <c r="O5" s="27"/>
      <c r="P5" s="27"/>
      <c r="Q5" s="27"/>
    </row>
    <row r="6" spans="1:17">
      <c r="A6" s="1501"/>
      <c r="B6" s="1501"/>
      <c r="C6" s="1501"/>
      <c r="D6" s="1501"/>
      <c r="E6" s="1501"/>
      <c r="F6" s="1501"/>
      <c r="G6" s="1501"/>
      <c r="H6" s="1501"/>
      <c r="I6" s="1501"/>
      <c r="J6" s="1501"/>
      <c r="K6" s="1501"/>
      <c r="L6" s="27"/>
      <c r="M6" s="27"/>
      <c r="N6" s="27"/>
      <c r="O6" s="27"/>
      <c r="P6" s="27"/>
      <c r="Q6" s="27"/>
    </row>
    <row r="7" spans="1:17" ht="27.75" customHeight="1">
      <c r="A7" s="1089" t="s">
        <v>593</v>
      </c>
      <c r="B7" s="1089"/>
      <c r="C7" s="1090" t="s">
        <v>610</v>
      </c>
      <c r="D7" s="1090"/>
      <c r="E7" s="1090"/>
      <c r="F7" s="1090"/>
      <c r="G7" s="1090"/>
      <c r="H7" s="1090"/>
      <c r="I7" s="1090"/>
      <c r="J7" s="1090"/>
      <c r="K7" s="1090"/>
      <c r="L7" s="27"/>
      <c r="M7" s="27"/>
      <c r="N7" s="27"/>
      <c r="O7" s="27"/>
      <c r="P7" s="27"/>
      <c r="Q7" s="27"/>
    </row>
    <row r="8" spans="1:17" ht="21" customHeight="1">
      <c r="A8" s="1089" t="s">
        <v>598</v>
      </c>
      <c r="B8" s="1089"/>
      <c r="C8" s="1090" t="s">
        <v>595</v>
      </c>
      <c r="D8" s="1090"/>
      <c r="E8" s="1090"/>
      <c r="F8" s="1090"/>
      <c r="G8" s="1090"/>
      <c r="H8" s="1090"/>
      <c r="I8" s="1090"/>
      <c r="J8" s="1090"/>
      <c r="K8" s="1090"/>
      <c r="L8" s="27"/>
      <c r="M8" s="27"/>
      <c r="N8" s="27"/>
      <c r="O8" s="27"/>
      <c r="P8" s="27"/>
      <c r="Q8" s="27"/>
    </row>
    <row r="9" spans="1:17">
      <c r="A9" s="139"/>
      <c r="B9" s="139"/>
      <c r="C9" s="139"/>
      <c r="D9" s="139"/>
      <c r="E9" s="139"/>
      <c r="F9" s="139"/>
      <c r="G9" s="139"/>
      <c r="H9" s="139"/>
      <c r="I9" s="139"/>
      <c r="J9" s="139"/>
      <c r="K9" s="139"/>
      <c r="L9" s="27"/>
      <c r="M9" s="27"/>
      <c r="N9" s="27"/>
      <c r="O9" s="27"/>
      <c r="P9" s="27"/>
      <c r="Q9" s="27"/>
    </row>
    <row r="10" spans="1:17" ht="13.8">
      <c r="A10" s="1502" t="s">
        <v>629</v>
      </c>
      <c r="B10" s="1502"/>
      <c r="C10" s="1502"/>
      <c r="D10" s="1502"/>
      <c r="E10" s="1502"/>
      <c r="F10" s="1502"/>
      <c r="G10" s="1502"/>
      <c r="H10" s="1502"/>
      <c r="I10" s="1502"/>
      <c r="J10" s="1502"/>
      <c r="K10" s="1502"/>
      <c r="L10" s="27"/>
      <c r="M10" s="27"/>
      <c r="N10" s="27"/>
      <c r="O10" s="27"/>
      <c r="P10" s="27"/>
      <c r="Q10" s="27"/>
    </row>
    <row r="11" spans="1:17" ht="4.5" customHeight="1">
      <c r="A11" s="148"/>
      <c r="B11" s="27"/>
      <c r="C11" s="27"/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</row>
    <row r="12" spans="1:17" ht="13.8">
      <c r="A12" s="62" t="s">
        <v>249</v>
      </c>
      <c r="B12" s="147"/>
      <c r="C12" s="29"/>
      <c r="D12" s="29"/>
      <c r="E12" s="29"/>
      <c r="F12" s="29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</row>
    <row r="13" spans="1:17" ht="6" customHeight="1" thickBot="1">
      <c r="A13" s="27"/>
      <c r="B13" s="27"/>
      <c r="C13" s="27"/>
      <c r="D13" s="27"/>
      <c r="E13" s="27"/>
      <c r="F13" s="27"/>
      <c r="G13" s="28"/>
      <c r="H13" s="28"/>
      <c r="I13" s="28"/>
      <c r="J13" s="28"/>
      <c r="K13" s="27"/>
      <c r="L13" s="27"/>
      <c r="M13" s="27"/>
      <c r="N13" s="27"/>
      <c r="O13" s="27"/>
      <c r="P13" s="27"/>
      <c r="Q13" s="27"/>
    </row>
    <row r="14" spans="1:17" ht="21" customHeight="1" thickBot="1">
      <c r="A14" s="140" t="s">
        <v>248</v>
      </c>
      <c r="B14" s="141">
        <v>300</v>
      </c>
      <c r="C14" s="141">
        <v>400</v>
      </c>
      <c r="D14" s="141">
        <v>500</v>
      </c>
      <c r="E14" s="141">
        <v>600</v>
      </c>
      <c r="F14" s="141">
        <v>700</v>
      </c>
      <c r="G14" s="141">
        <v>800</v>
      </c>
      <c r="H14" s="141">
        <v>900</v>
      </c>
      <c r="I14" s="141">
        <v>1000</v>
      </c>
      <c r="J14" s="141">
        <v>1100</v>
      </c>
      <c r="K14" s="142">
        <v>1200</v>
      </c>
      <c r="L14" s="27"/>
      <c r="M14" s="30"/>
      <c r="N14" s="30"/>
      <c r="O14" s="27"/>
      <c r="P14" s="27"/>
      <c r="Q14" s="27"/>
    </row>
    <row r="15" spans="1:17" ht="20.100000000000001" customHeight="1">
      <c r="A15" s="143">
        <v>300</v>
      </c>
      <c r="B15" s="149">
        <f>(50*KFC!$B$18*1.02*1.15+KFC!$C$18)*KFC!$C$5</f>
        <v>58.65</v>
      </c>
      <c r="C15" s="150">
        <f>(52*KFC!$B$18*1.02*1.15+KFC!$C$18)*KFC!$C$5</f>
        <v>60.995999999999995</v>
      </c>
      <c r="D15" s="150">
        <f>(54*KFC!$B$18*1.02*1.15+KFC!$C$18)*KFC!$C$5</f>
        <v>63.341999999999992</v>
      </c>
      <c r="E15" s="150">
        <f>(56*KFC!$B$18*1.02*1.15+KFC!$C$18)*KFC!$C$5</f>
        <v>65.688000000000002</v>
      </c>
      <c r="F15" s="150">
        <f>(58*KFC!$B$18*1.02*1.15+KFC!$C$18)*KFC!$C$5</f>
        <v>68.034000000000006</v>
      </c>
      <c r="G15" s="150">
        <f>(60*KFC!$B$18*1.02*1.15+KFC!$C$18)*KFC!$C$5</f>
        <v>70.38</v>
      </c>
      <c r="H15" s="150">
        <f>(62*KFC!$B$18*1.02*1.15+KFC!$C$18)*KFC!$C$5</f>
        <v>72.725999999999999</v>
      </c>
      <c r="I15" s="150">
        <f>(64*KFC!$B$18*1.02*1.15+KFC!$C$18)*KFC!$C$5</f>
        <v>75.071999999999989</v>
      </c>
      <c r="J15" s="150">
        <f>(66*KFC!$B$18*1.02*1.15+KFC!$C$18)*KFC!$C$5</f>
        <v>77.418000000000006</v>
      </c>
      <c r="K15" s="151">
        <f>(68*KFC!$B$18*1.02*1.15+KFC!$C$18)*KFC!$C$5</f>
        <v>79.763999999999996</v>
      </c>
      <c r="L15" s="30"/>
      <c r="M15" s="31"/>
      <c r="N15" s="27"/>
      <c r="O15" s="27"/>
      <c r="P15" s="27"/>
      <c r="Q15" s="27"/>
    </row>
    <row r="16" spans="1:17" ht="20.100000000000001" customHeight="1">
      <c r="A16" s="144">
        <v>400</v>
      </c>
      <c r="B16" s="152">
        <f>(52*KFC!$B$18*1.02*1.15+KFC!$C$18)*KFC!$C$5</f>
        <v>60.995999999999995</v>
      </c>
      <c r="C16" s="153">
        <f>(53*KFC!$B$18*1.02*1.15+KFC!$C$18)*KFC!$C$5</f>
        <v>62.168999999999997</v>
      </c>
      <c r="D16" s="153">
        <f>(55*KFC!$B$18*1.02*1.15+KFC!$C$18)*KFC!$C$5</f>
        <v>64.515000000000001</v>
      </c>
      <c r="E16" s="153">
        <f>(57*KFC!$B$18*1.02*1.15+KFC!$C$18)*KFC!$C$5</f>
        <v>66.86099999999999</v>
      </c>
      <c r="F16" s="153">
        <f>(59*KFC!$B$18*1.02*1.15+KFC!$C$18)*KFC!$C$5</f>
        <v>69.206999999999994</v>
      </c>
      <c r="G16" s="153">
        <f>(61*KFC!$B$18*1.02*1.15+KFC!$C$18)*KFC!$C$5</f>
        <v>71.552999999999997</v>
      </c>
      <c r="H16" s="153">
        <f>(63*KFC!$B$18*1.02*1.15+KFC!$C$18)*KFC!$C$5</f>
        <v>73.899000000000001</v>
      </c>
      <c r="I16" s="153">
        <f>(65*KFC!$B$18*1.02*1.15+KFC!$C$18)*KFC!$C$5</f>
        <v>76.24499999999999</v>
      </c>
      <c r="J16" s="153">
        <f>(67*KFC!$B$18*1.02*1.15+KFC!$C$18)*KFC!$C$5</f>
        <v>78.590999999999994</v>
      </c>
      <c r="K16" s="154">
        <f>(69*KFC!$B$18*1.02*1.15+KFC!$C$18)*KFC!$C$5</f>
        <v>80.936999999999983</v>
      </c>
      <c r="L16" s="27"/>
      <c r="M16" s="27"/>
      <c r="N16" s="27"/>
      <c r="O16" s="27"/>
      <c r="P16" s="27"/>
      <c r="Q16" s="27"/>
    </row>
    <row r="17" spans="1:17" ht="20.100000000000001" customHeight="1">
      <c r="A17" s="144">
        <v>500</v>
      </c>
      <c r="B17" s="152">
        <f>(53*KFC!$B$18*1.02*1.15+KFC!$C$18)*KFC!$C$5</f>
        <v>62.168999999999997</v>
      </c>
      <c r="C17" s="153">
        <f>(54*KFC!$B$18*1.02*1.15+KFC!$C$18)*KFC!$C$5</f>
        <v>63.341999999999992</v>
      </c>
      <c r="D17" s="153">
        <f>(56*KFC!$B$18*1.02*1.15+KFC!$C$18)*KFC!$C$5</f>
        <v>65.688000000000002</v>
      </c>
      <c r="E17" s="153">
        <f>(58*KFC!$B$18*1.02*1.15+KFC!$C$18)*KFC!$C$5</f>
        <v>68.034000000000006</v>
      </c>
      <c r="F17" s="153">
        <f>(60*KFC!$B$18*1.02*1.15+KFC!$C$18)*KFC!$C$5</f>
        <v>70.38</v>
      </c>
      <c r="G17" s="153">
        <f>(62*KFC!$B$18*1.02*1.15+KFC!$C$18)*KFC!$C$5</f>
        <v>72.725999999999999</v>
      </c>
      <c r="H17" s="153">
        <f>(64*KFC!$B$18*1.02*1.15+KFC!$C$18)*KFC!$C$5</f>
        <v>75.071999999999989</v>
      </c>
      <c r="I17" s="153">
        <f>(66*KFC!$B$18*1.02*1.15+KFC!$C$18)*KFC!$C$5</f>
        <v>77.418000000000006</v>
      </c>
      <c r="J17" s="153">
        <f>(68*KFC!$B$18*1.02*1.15+KFC!$C$18)*KFC!$C$5</f>
        <v>79.763999999999996</v>
      </c>
      <c r="K17" s="154">
        <f>(70*KFC!$B$18*1.02*1.15+KFC!$C$18)*KFC!$C$5</f>
        <v>82.11</v>
      </c>
      <c r="L17" s="27"/>
      <c r="M17" s="27"/>
      <c r="N17" s="27"/>
      <c r="O17" s="27"/>
      <c r="P17" s="27"/>
      <c r="Q17" s="27"/>
    </row>
    <row r="18" spans="1:17" ht="20.100000000000001" customHeight="1">
      <c r="A18" s="144">
        <v>600</v>
      </c>
      <c r="B18" s="152">
        <f>(55*KFC!$B$18*1.02*1.15+KFC!$C$18)*KFC!$C$5</f>
        <v>64.515000000000001</v>
      </c>
      <c r="C18" s="153">
        <f>(55*KFC!$B$18*1.02*1.15+KFC!$C$18)*KFC!$C$5</f>
        <v>64.515000000000001</v>
      </c>
      <c r="D18" s="153">
        <f>(57*KFC!$B$18*1.02*1.15+KFC!$C$18)*KFC!$C$5</f>
        <v>66.86099999999999</v>
      </c>
      <c r="E18" s="153">
        <f>(59*KFC!$B$18*1.02*1.15+KFC!$C$18)*KFC!$C$5</f>
        <v>69.206999999999994</v>
      </c>
      <c r="F18" s="153">
        <f>(61*KFC!$B$18*1.02*1.15+KFC!$C$18)*KFC!$C$5</f>
        <v>71.552999999999997</v>
      </c>
      <c r="G18" s="153">
        <f>(63*KFC!$B$18*1.02*1.15+KFC!$C$18)*KFC!$C$5</f>
        <v>73.899000000000001</v>
      </c>
      <c r="H18" s="153">
        <f>(65*KFC!$B$18*1.02*1.15+KFC!$C$18)*KFC!$C$5</f>
        <v>76.24499999999999</v>
      </c>
      <c r="I18" s="153">
        <f>(68*KFC!$B$18*1.02*1.15+KFC!$C$18)*KFC!$C$5</f>
        <v>79.763999999999996</v>
      </c>
      <c r="J18" s="153">
        <f>(70*KFC!$B$18*1.02*1.15+KFC!$C$18)*KFC!$C$5</f>
        <v>82.11</v>
      </c>
      <c r="K18" s="154">
        <f>(72*KFC!$B$18*1.02*1.15+KFC!$C$18)*KFC!$C$5</f>
        <v>84.455999999999989</v>
      </c>
      <c r="L18" s="27"/>
      <c r="M18" s="27"/>
      <c r="N18" s="27"/>
      <c r="O18" s="27"/>
      <c r="P18" s="27"/>
      <c r="Q18" s="27"/>
    </row>
    <row r="19" spans="1:17" ht="20.100000000000001" customHeight="1">
      <c r="A19" s="144">
        <v>700</v>
      </c>
      <c r="B19" s="152">
        <f>(56*KFC!$B$18*1.02*1.15+KFC!$C$18)*KFC!$C$5</f>
        <v>65.688000000000002</v>
      </c>
      <c r="C19" s="153">
        <f>(56*KFC!$B$18*1.02*1.15+KFC!$C$18)*KFC!$C$5</f>
        <v>65.688000000000002</v>
      </c>
      <c r="D19" s="153">
        <f>(59*KFC!$B$18*1.02*1.15+KFC!$C$18)*KFC!$C$5</f>
        <v>69.206999999999994</v>
      </c>
      <c r="E19" s="153">
        <f>(60*KFC!$B$18*1.02*1.15+KFC!$C$18)*KFC!$C$5</f>
        <v>70.38</v>
      </c>
      <c r="F19" s="153">
        <f>(62*KFC!$B$18*1.02*1.15+KFC!$C$18)*KFC!$C$5</f>
        <v>72.725999999999999</v>
      </c>
      <c r="G19" s="153">
        <f>(64*KFC!$B$18*1.02*1.15+KFC!$C$18)*KFC!$C$5</f>
        <v>75.071999999999989</v>
      </c>
      <c r="H19" s="153">
        <f>(66*KFC!$B$18*1.02*1.15+KFC!$C$18)*KFC!$C$5</f>
        <v>77.418000000000006</v>
      </c>
      <c r="I19" s="153">
        <f>(70*KFC!$B$18*1.02*1.15+KFC!$C$18)*KFC!$C$5</f>
        <v>82.11</v>
      </c>
      <c r="J19" s="153">
        <f>(72*KFC!$B$18*1.02*1.15+KFC!$C$18)*KFC!$C$5</f>
        <v>84.455999999999989</v>
      </c>
      <c r="K19" s="154">
        <f>(74*KFC!$B$18*1.02*1.15+KFC!$C$18)*KFC!$C$5</f>
        <v>86.801999999999992</v>
      </c>
      <c r="L19" s="27"/>
      <c r="M19" s="27"/>
      <c r="N19" s="27"/>
      <c r="O19" s="27"/>
      <c r="P19" s="27"/>
      <c r="Q19" s="27"/>
    </row>
    <row r="20" spans="1:17" ht="20.100000000000001" customHeight="1">
      <c r="A20" s="144">
        <v>800</v>
      </c>
      <c r="B20" s="152">
        <f>(57*KFC!$B$18*1.02*1.15+KFC!$C$18)*KFC!$C$5</f>
        <v>66.86099999999999</v>
      </c>
      <c r="C20" s="153">
        <f>(57*KFC!$B$18*1.02*1.15+KFC!$C$18)*KFC!$C$5</f>
        <v>66.86099999999999</v>
      </c>
      <c r="D20" s="153">
        <f>(60*KFC!$B$18*1.02*1.15+KFC!$C$18)*KFC!$C$5</f>
        <v>70.38</v>
      </c>
      <c r="E20" s="153">
        <f>(61*KFC!$B$18*1.02*1.15+KFC!$C$18)*KFC!$C$5</f>
        <v>71.552999999999997</v>
      </c>
      <c r="F20" s="153">
        <f>(63*KFC!$B$18*1.02*1.15+KFC!$C$18)*KFC!$C$5</f>
        <v>73.899000000000001</v>
      </c>
      <c r="G20" s="153">
        <f>(65*KFC!$B$18*1.02*1.15+KFC!$C$18)*KFC!$C$5</f>
        <v>76.24499999999999</v>
      </c>
      <c r="H20" s="153">
        <f>(67*KFC!$B$18*1.02*1.15+KFC!$C$18)*KFC!$C$5</f>
        <v>78.590999999999994</v>
      </c>
      <c r="I20" s="153">
        <f>(72*KFC!$B$18*1.02*1.15+KFC!$C$18)*KFC!$C$5</f>
        <v>84.455999999999989</v>
      </c>
      <c r="J20" s="153">
        <f>(74*KFC!$B$18*1.02*1.15+KFC!$C$18)*KFC!$C$5</f>
        <v>86.801999999999992</v>
      </c>
      <c r="K20" s="154">
        <f>(76*KFC!$B$18*1.02*1.15+KFC!$C$18)*KFC!$C$5</f>
        <v>89.147999999999982</v>
      </c>
      <c r="L20" s="27"/>
      <c r="M20" s="27"/>
      <c r="N20" s="27"/>
      <c r="O20" s="27"/>
      <c r="P20" s="27"/>
      <c r="Q20" s="27"/>
    </row>
    <row r="21" spans="1:17" ht="20.100000000000001" customHeight="1">
      <c r="A21" s="144">
        <v>900</v>
      </c>
      <c r="B21" s="152">
        <f>(58*KFC!$B$18*1.02*1.15+KFC!$C$18)*KFC!$C$5</f>
        <v>68.034000000000006</v>
      </c>
      <c r="C21" s="153">
        <f>(58*KFC!$B$18*1.02*1.15+KFC!$C$18)*KFC!$C$5</f>
        <v>68.034000000000006</v>
      </c>
      <c r="D21" s="153">
        <f>(61*KFC!$B$18*1.02*1.15+KFC!$C$18)*KFC!$C$5</f>
        <v>71.552999999999997</v>
      </c>
      <c r="E21" s="153">
        <f>(62*KFC!$B$18*1.02*1.15+KFC!$C$18)*KFC!$C$5</f>
        <v>72.725999999999999</v>
      </c>
      <c r="F21" s="153">
        <f>(64*KFC!$B$18*1.02*1.15+KFC!$C$18)*KFC!$C$5</f>
        <v>75.071999999999989</v>
      </c>
      <c r="G21" s="153">
        <f>(66*KFC!$B$18*1.02*1.15+KFC!$C$18)*KFC!$C$5</f>
        <v>77.418000000000006</v>
      </c>
      <c r="H21" s="153">
        <f>(69*KFC!$B$18*1.02*1.15+KFC!$C$18)*KFC!$C$5</f>
        <v>80.936999999999983</v>
      </c>
      <c r="I21" s="153">
        <f>(74*KFC!$B$18*1.02*1.15+KFC!$C$18)*KFC!$C$5</f>
        <v>86.801999999999992</v>
      </c>
      <c r="J21" s="153">
        <f>(76*KFC!$B$18*1.02*1.15+KFC!$C$18)*KFC!$C$5</f>
        <v>89.147999999999982</v>
      </c>
      <c r="K21" s="154">
        <f>(79*KFC!$B$18*1.02*1.15+KFC!$C$18)*KFC!$C$5</f>
        <v>92.666999999999987</v>
      </c>
      <c r="L21" s="27"/>
      <c r="M21" s="27"/>
      <c r="N21" s="27"/>
      <c r="O21" s="27"/>
      <c r="P21" s="27"/>
      <c r="Q21" s="27"/>
    </row>
    <row r="22" spans="1:17" ht="20.100000000000001" customHeight="1">
      <c r="A22" s="144">
        <v>1000</v>
      </c>
      <c r="B22" s="152">
        <f>(59*KFC!$B$18*1.02*1.15+KFC!$C$18)*KFC!$C$5</f>
        <v>69.206999999999994</v>
      </c>
      <c r="C22" s="153">
        <f>(60*KFC!$B$18*1.02*1.15+KFC!$C$18)*KFC!$C$5</f>
        <v>70.38</v>
      </c>
      <c r="D22" s="153">
        <f>(62*KFC!$B$18*1.02*1.15+KFC!$C$18)*KFC!$C$5</f>
        <v>72.725999999999999</v>
      </c>
      <c r="E22" s="153">
        <f>(63*KFC!$B$18*1.02*1.15+KFC!$C$18)*KFC!$C$5</f>
        <v>73.899000000000001</v>
      </c>
      <c r="F22" s="153">
        <f>(65*KFC!$B$18*1.02*1.15+KFC!$C$18)*KFC!$C$5</f>
        <v>76.24499999999999</v>
      </c>
      <c r="G22" s="153">
        <f>(68*KFC!$B$18*1.02*1.15+KFC!$C$18)*KFC!$C$5</f>
        <v>79.763999999999996</v>
      </c>
      <c r="H22" s="153">
        <f>(71*KFC!$B$18*1.02*1.15+KFC!$C$18)*KFC!$C$5</f>
        <v>83.283000000000001</v>
      </c>
      <c r="I22" s="153">
        <f>(76*KFC!$B$18*1.02*1.15+KFC!$C$18)*KFC!$C$5</f>
        <v>89.147999999999982</v>
      </c>
      <c r="J22" s="153">
        <f>(79*KFC!$B$18*1.02*1.15+KFC!$C$18)*KFC!$C$5</f>
        <v>92.666999999999987</v>
      </c>
      <c r="K22" s="154">
        <f>(82*KFC!$B$18*1.02*1.15+KFC!$C$18)*KFC!$C$5</f>
        <v>96.185999999999993</v>
      </c>
      <c r="L22" s="27"/>
      <c r="M22" s="27"/>
      <c r="N22" s="27"/>
      <c r="O22" s="27"/>
      <c r="P22" s="27"/>
      <c r="Q22" s="27"/>
    </row>
    <row r="23" spans="1:17" ht="20.100000000000001" customHeight="1">
      <c r="A23" s="144">
        <v>1100</v>
      </c>
      <c r="B23" s="152">
        <f>(60*KFC!$B$18*1.02*1.15+KFC!$C$18)*KFC!$C$5</f>
        <v>70.38</v>
      </c>
      <c r="C23" s="153">
        <f>(62*KFC!$B$18*1.02*1.15+KFC!$C$18)*KFC!$C$5</f>
        <v>72.725999999999999</v>
      </c>
      <c r="D23" s="153">
        <f>(63*KFC!$B$18*1.02*1.15+KFC!$C$18)*KFC!$C$5</f>
        <v>73.899000000000001</v>
      </c>
      <c r="E23" s="153">
        <f>(64*KFC!$B$18*1.02*1.15+KFC!$C$18)*KFC!$C$5</f>
        <v>75.071999999999989</v>
      </c>
      <c r="F23" s="153">
        <f>(67*KFC!$B$18*1.02*1.15+KFC!$C$18)*KFC!$C$5</f>
        <v>78.590999999999994</v>
      </c>
      <c r="G23" s="153">
        <f>(70*KFC!$B$18*1.02*1.15+KFC!$C$18)*KFC!$C$5</f>
        <v>82.11</v>
      </c>
      <c r="H23" s="153">
        <f>(73*KFC!$B$18*1.02*1.15+KFC!$C$18)*KFC!$C$5</f>
        <v>85.629000000000005</v>
      </c>
      <c r="I23" s="153">
        <f>(78*KFC!$B$18*1.02*1.15+KFC!$C$18)*KFC!$C$5</f>
        <v>91.494</v>
      </c>
      <c r="J23" s="153">
        <f>(82*KFC!$B$18*1.02*1.15+KFC!$C$18)*KFC!$C$5</f>
        <v>96.185999999999993</v>
      </c>
      <c r="K23" s="154">
        <f>(85*KFC!$B$18*1.02*1.15+KFC!$C$18)*KFC!$C$5</f>
        <v>99.704999999999998</v>
      </c>
      <c r="L23" s="27"/>
      <c r="M23" s="27"/>
      <c r="N23" s="27"/>
      <c r="O23" s="27"/>
      <c r="P23" s="27"/>
      <c r="Q23" s="27"/>
    </row>
    <row r="24" spans="1:17" ht="20.100000000000001" customHeight="1">
      <c r="A24" s="144">
        <v>1200</v>
      </c>
      <c r="B24" s="152">
        <f>(61*KFC!$B$18*1.02*1.15+KFC!$C$18)*KFC!$C$5</f>
        <v>71.552999999999997</v>
      </c>
      <c r="C24" s="153">
        <f>(63*KFC!$B$18*1.02*1.15+KFC!$C$18)*KFC!$C$5</f>
        <v>73.899000000000001</v>
      </c>
      <c r="D24" s="153">
        <f>(64*KFC!$B$18*1.02*1.15+KFC!$C$18)*KFC!$C$5</f>
        <v>75.071999999999989</v>
      </c>
      <c r="E24" s="153">
        <f>(65*KFC!$B$18*1.02*1.15+KFC!$C$18)*KFC!$C$5</f>
        <v>76.24499999999999</v>
      </c>
      <c r="F24" s="153">
        <f>(69*KFC!$B$18*1.02*1.15+KFC!$C$18)*KFC!$C$5</f>
        <v>80.936999999999983</v>
      </c>
      <c r="G24" s="153">
        <f>(72*KFC!$B$18*1.02*1.15+KFC!$C$18)*KFC!$C$5</f>
        <v>84.455999999999989</v>
      </c>
      <c r="H24" s="153">
        <f>(76*KFC!$B$18*1.02*1.15+KFC!$C$18)*KFC!$C$5</f>
        <v>89.147999999999982</v>
      </c>
      <c r="I24" s="153">
        <f>(81*KFC!$B$18*1.02*1.15+KFC!$C$18)*KFC!$C$5</f>
        <v>95.012999999999991</v>
      </c>
      <c r="J24" s="153">
        <f>(85*KFC!$B$18*1.02*1.15+KFC!$C$18)*KFC!$C$5</f>
        <v>99.704999999999998</v>
      </c>
      <c r="K24" s="154">
        <f>(89*KFC!$B$18*1.02*1.15+KFC!$C$18)*KFC!$C$5</f>
        <v>104.39699999999999</v>
      </c>
      <c r="L24" s="27"/>
      <c r="M24" s="27"/>
      <c r="N24" s="32"/>
      <c r="O24" s="27"/>
      <c r="P24" s="27"/>
      <c r="Q24" s="27"/>
    </row>
    <row r="25" spans="1:17" ht="20.100000000000001" customHeight="1">
      <c r="A25" s="144">
        <v>1300</v>
      </c>
      <c r="B25" s="152">
        <f>(62*KFC!$B$18*1.02*1.15+KFC!$C$18)*KFC!$C$5</f>
        <v>72.725999999999999</v>
      </c>
      <c r="C25" s="153">
        <f>(64*KFC!$B$18*1.02*1.15+KFC!$C$18)*KFC!$C$5</f>
        <v>75.071999999999989</v>
      </c>
      <c r="D25" s="153">
        <f>(66*KFC!$B$18*1.02*1.15+KFC!$C$18)*KFC!$C$5</f>
        <v>77.418000000000006</v>
      </c>
      <c r="E25" s="153">
        <f>(68*KFC!$B$18*1.02*1.15+KFC!$C$18)*KFC!$C$5</f>
        <v>79.763999999999996</v>
      </c>
      <c r="F25" s="153">
        <f>(71*KFC!$B$18*1.02*1.15+KFC!$C$18)*KFC!$C$5</f>
        <v>83.283000000000001</v>
      </c>
      <c r="G25" s="153">
        <f>(75*KFC!$B$18*1.02*1.15+KFC!$C$18)*KFC!$C$5</f>
        <v>87.974999999999994</v>
      </c>
      <c r="H25" s="153">
        <f>(79*KFC!$B$18*1.02*1.15+KFC!$C$18)*KFC!$C$5</f>
        <v>92.666999999999987</v>
      </c>
      <c r="I25" s="153">
        <f>(84*KFC!$B$18*1.02*1.15+KFC!$C$18)*KFC!$C$5</f>
        <v>98.531999999999996</v>
      </c>
      <c r="J25" s="153">
        <f>(89*KFC!$B$18*1.02*1.15+KFC!$C$18)*KFC!$C$5</f>
        <v>104.39699999999999</v>
      </c>
      <c r="K25" s="154">
        <f>(94*KFC!$B$18*1.02*1.15+KFC!$C$18)*KFC!$C$5</f>
        <v>110.26199999999999</v>
      </c>
      <c r="L25" s="27"/>
      <c r="M25" s="27"/>
      <c r="N25" s="27"/>
      <c r="O25" s="27"/>
      <c r="P25" s="27"/>
      <c r="Q25" s="27"/>
    </row>
    <row r="26" spans="1:17" ht="20.100000000000001" customHeight="1">
      <c r="A26" s="144">
        <v>1400</v>
      </c>
      <c r="B26" s="152">
        <f>(64*KFC!$B$18*1.02*1.15+KFC!$C$18)*KFC!$C$5</f>
        <v>75.071999999999989</v>
      </c>
      <c r="C26" s="153">
        <f>(66*KFC!$B$18*1.02*1.15+KFC!$C$18)*KFC!$C$5</f>
        <v>77.418000000000006</v>
      </c>
      <c r="D26" s="153">
        <f>(69*KFC!$B$18*1.02*1.15+KFC!$C$18)*KFC!$C$5</f>
        <v>80.936999999999983</v>
      </c>
      <c r="E26" s="153">
        <f>(71*KFC!$B$18*1.02*1.15+KFC!$C$18)*KFC!$C$5</f>
        <v>83.283000000000001</v>
      </c>
      <c r="F26" s="153">
        <f>(75*KFC!$B$18*1.02*1.15+KFC!$C$18)*KFC!$C$5</f>
        <v>87.974999999999994</v>
      </c>
      <c r="G26" s="153">
        <f>(79*KFC!$B$18*1.02*1.15+KFC!$C$18)*KFC!$C$5</f>
        <v>92.666999999999987</v>
      </c>
      <c r="H26" s="153">
        <f>(83*KFC!$B$18*1.02*1.15+KFC!$C$18)*KFC!$C$5</f>
        <v>97.358999999999995</v>
      </c>
      <c r="I26" s="153">
        <f>(88*KFC!$B$18*1.02*1.15+KFC!$C$18)*KFC!$C$5</f>
        <v>103.224</v>
      </c>
      <c r="J26" s="153">
        <f>(93*KFC!$B$18*1.02*1.15+KFC!$C$18)*KFC!$C$5</f>
        <v>109.08899999999998</v>
      </c>
      <c r="K26" s="154">
        <f>(99*KFC!$B$18*1.02*1.15+KFC!$C$18)*KFC!$C$5</f>
        <v>116.127</v>
      </c>
      <c r="L26" s="27"/>
      <c r="M26" s="27"/>
      <c r="N26" s="27"/>
      <c r="O26" s="27"/>
      <c r="P26" s="27"/>
      <c r="Q26" s="27"/>
    </row>
    <row r="27" spans="1:17" ht="20.100000000000001" customHeight="1">
      <c r="A27" s="144">
        <v>1500</v>
      </c>
      <c r="B27" s="152">
        <f>(66*KFC!$B$18*1.02*1.15+KFC!$C$18)*KFC!$C$5</f>
        <v>77.418000000000006</v>
      </c>
      <c r="C27" s="153">
        <f>(69*KFC!$B$18*1.02*1.15+KFC!$C$18)*KFC!$C$5</f>
        <v>80.936999999999983</v>
      </c>
      <c r="D27" s="153">
        <f>(72*KFC!$B$18*1.02*1.15+KFC!$C$18)*KFC!$C$5</f>
        <v>84.455999999999989</v>
      </c>
      <c r="E27" s="153">
        <f>(74*KFC!$B$18*1.02*1.15+KFC!$C$18)*KFC!$C$5</f>
        <v>86.801999999999992</v>
      </c>
      <c r="F27" s="153">
        <f>(79*KFC!$B$18*1.02*1.15+KFC!$C$18)*KFC!$C$5</f>
        <v>92.666999999999987</v>
      </c>
      <c r="G27" s="153">
        <f>(83*KFC!$B$18*1.02*1.15+KFC!$C$18)*KFC!$C$5</f>
        <v>97.358999999999995</v>
      </c>
      <c r="H27" s="153">
        <f>(87*KFC!$B$18*1.02*1.15+KFC!$C$18)*KFC!$C$5</f>
        <v>102.05099999999999</v>
      </c>
      <c r="I27" s="153">
        <f>(93*KFC!$B$18*1.02*1.15+KFC!$C$18)*KFC!$C$5</f>
        <v>109.08899999999998</v>
      </c>
      <c r="J27" s="153">
        <f>(98*KFC!$B$18*1.02*1.15+KFC!$C$18)*KFC!$C$5</f>
        <v>114.95399999999999</v>
      </c>
      <c r="K27" s="154">
        <f>(105*KFC!$B$18*1.02*1.15+KFC!$C$18)*KFC!$C$5</f>
        <v>123.16500000000001</v>
      </c>
      <c r="L27" s="27"/>
      <c r="M27" s="27"/>
      <c r="N27" s="27"/>
      <c r="O27" s="27"/>
      <c r="P27" s="27"/>
      <c r="Q27" s="27"/>
    </row>
    <row r="28" spans="1:17" ht="20.100000000000001" customHeight="1" thickBot="1">
      <c r="A28" s="145">
        <v>1600</v>
      </c>
      <c r="B28" s="155">
        <f>(69*KFC!$B$18*1.02*1.15+KFC!$C$18)*KFC!$C$5</f>
        <v>80.936999999999983</v>
      </c>
      <c r="C28" s="156">
        <f>(73*KFC!$B$18*1.02*1.15+KFC!$C$18)*KFC!$C$5</f>
        <v>85.629000000000005</v>
      </c>
      <c r="D28" s="156">
        <f>(76*KFC!$B$18*1.02*1.15+KFC!$C$18)*KFC!$C$5</f>
        <v>89.147999999999982</v>
      </c>
      <c r="E28" s="156">
        <f>(79*KFC!$B$18*1.02*1.15+KFC!$C$18)*KFC!$C$5</f>
        <v>92.666999999999987</v>
      </c>
      <c r="F28" s="156">
        <f>(84*KFC!$B$18*1.02*1.15+KFC!$C$18)*KFC!$C$5</f>
        <v>98.531999999999996</v>
      </c>
      <c r="G28" s="156">
        <f>(88*KFC!$B$18*1.02*1.15+KFC!$C$18)*KFC!$C$5</f>
        <v>103.224</v>
      </c>
      <c r="H28" s="156">
        <f>(92*KFC!$B$18*1.02*1.15+KFC!$C$18)*KFC!$C$5</f>
        <v>107.916</v>
      </c>
      <c r="I28" s="156">
        <f>(98*KFC!$B$18*1.02*1.15+KFC!$C$18)*KFC!$C$5</f>
        <v>114.95399999999999</v>
      </c>
      <c r="J28" s="156">
        <f>(104*KFC!$B$18*1.02*1.15+KFC!$C$18)*KFC!$C$5</f>
        <v>121.99199999999999</v>
      </c>
      <c r="K28" s="157">
        <f>(112*KFC!$B$18*1.02*1.15+KFC!$C$18)*KFC!$C$5</f>
        <v>131.376</v>
      </c>
      <c r="L28" s="27"/>
      <c r="M28" s="27"/>
      <c r="N28" s="27"/>
      <c r="O28" s="27"/>
      <c r="P28" s="27"/>
      <c r="Q28" s="27"/>
    </row>
    <row r="29" spans="1:17" ht="6.75" customHeight="1">
      <c r="A29" s="39"/>
      <c r="B29" s="40"/>
      <c r="C29" s="40"/>
      <c r="D29" s="40"/>
      <c r="E29" s="40"/>
      <c r="F29" s="40"/>
      <c r="G29" s="40"/>
      <c r="H29" s="40"/>
      <c r="I29" s="40"/>
      <c r="J29" s="40"/>
      <c r="K29" s="40"/>
      <c r="L29" s="27"/>
      <c r="M29" s="27"/>
      <c r="N29" s="27"/>
      <c r="O29" s="27"/>
      <c r="P29" s="27"/>
      <c r="Q29" s="27"/>
    </row>
    <row r="30" spans="1:17">
      <c r="A30" s="1128" t="s">
        <v>414</v>
      </c>
      <c r="B30" s="1128"/>
      <c r="C30" s="1128"/>
      <c r="D30" s="1128"/>
      <c r="E30" s="1128"/>
      <c r="F30" s="1128"/>
      <c r="G30" s="1128"/>
      <c r="H30" s="1128"/>
      <c r="I30" s="1128"/>
      <c r="J30" s="1128"/>
      <c r="K30" s="1128"/>
      <c r="L30" s="27"/>
      <c r="M30" s="27"/>
      <c r="N30" s="27"/>
      <c r="O30" s="27"/>
      <c r="P30" s="27"/>
      <c r="Q30" s="27"/>
    </row>
    <row r="31" spans="1:17" ht="5.25" customHeight="1">
      <c r="A31" s="33"/>
      <c r="B31" s="34"/>
      <c r="C31" s="34"/>
      <c r="D31" s="34"/>
      <c r="E31" s="34"/>
      <c r="F31" s="34"/>
      <c r="G31" s="34"/>
      <c r="H31" s="34"/>
      <c r="I31" s="34"/>
      <c r="J31" s="34"/>
      <c r="K31" s="34"/>
      <c r="L31" s="27"/>
      <c r="M31" s="27"/>
      <c r="N31" s="27"/>
      <c r="O31" s="27"/>
      <c r="P31" s="27"/>
      <c r="Q31" s="27"/>
    </row>
    <row r="32" spans="1:17" ht="13.8">
      <c r="A32" s="146" t="s">
        <v>130</v>
      </c>
      <c r="B32" s="34"/>
      <c r="C32" s="34"/>
      <c r="D32" s="34"/>
      <c r="E32" s="34"/>
      <c r="F32" s="34"/>
      <c r="G32" s="34"/>
      <c r="H32" s="34"/>
      <c r="I32" s="34"/>
      <c r="J32" s="34"/>
      <c r="K32" s="34"/>
      <c r="L32" s="27"/>
      <c r="M32" s="27"/>
      <c r="N32" s="27"/>
      <c r="O32" s="27"/>
      <c r="P32" s="27"/>
      <c r="Q32" s="27"/>
    </row>
    <row r="33" spans="1:17" ht="33.6" customHeight="1">
      <c r="B33" s="1500" t="s">
        <v>978</v>
      </c>
      <c r="C33" s="1500"/>
      <c r="D33" s="1500"/>
      <c r="E33" s="1500"/>
      <c r="F33" s="1500"/>
      <c r="G33" s="1500"/>
      <c r="H33" s="1500"/>
      <c r="I33" s="1500"/>
      <c r="J33" s="1500"/>
      <c r="K33" s="35">
        <v>0.06</v>
      </c>
      <c r="L33" s="36"/>
      <c r="M33" s="27"/>
      <c r="N33" s="27"/>
      <c r="O33" s="27"/>
      <c r="P33" s="27"/>
      <c r="Q33" s="27"/>
    </row>
    <row r="34" spans="1:17" ht="14.1" customHeight="1">
      <c r="A34" s="27"/>
      <c r="B34" s="1497" t="s">
        <v>247</v>
      </c>
      <c r="C34" s="1498"/>
      <c r="D34" s="1498"/>
      <c r="E34" s="1498"/>
      <c r="F34" s="1498"/>
      <c r="G34" s="1498"/>
      <c r="H34" s="1498"/>
      <c r="I34" s="1498"/>
      <c r="J34" s="1498"/>
      <c r="K34" s="1499">
        <v>0.1</v>
      </c>
      <c r="M34" s="27"/>
      <c r="N34" s="27"/>
      <c r="O34" s="27"/>
      <c r="P34" s="27"/>
      <c r="Q34" s="27"/>
    </row>
    <row r="35" spans="1:17" ht="14.1" customHeight="1">
      <c r="A35" s="27"/>
      <c r="B35" s="1498"/>
      <c r="C35" s="1498"/>
      <c r="D35" s="1498"/>
      <c r="E35" s="1498"/>
      <c r="F35" s="1498"/>
      <c r="G35" s="1498"/>
      <c r="H35" s="1498"/>
      <c r="I35" s="1498"/>
      <c r="J35" s="1498"/>
      <c r="K35" s="1499"/>
      <c r="M35" s="27"/>
      <c r="N35" s="27"/>
      <c r="O35" s="27"/>
      <c r="P35" s="27"/>
      <c r="Q35" s="27"/>
    </row>
    <row r="36" spans="1:17" ht="14.1" customHeight="1">
      <c r="A36" s="37"/>
      <c r="L36" s="27"/>
      <c r="M36" s="27"/>
      <c r="N36" s="27"/>
      <c r="O36" s="27"/>
      <c r="P36" s="27"/>
      <c r="Q36" s="27"/>
    </row>
    <row r="37" spans="1:17" ht="14.1" customHeight="1">
      <c r="A37" s="146" t="s">
        <v>131</v>
      </c>
      <c r="B37" s="362">
        <f>(8*KFC!$B$18*1.02*1.15+KFC!$C$18)*KFC!$C$5</f>
        <v>9.3839999999999986</v>
      </c>
      <c r="C37" s="325" t="s">
        <v>387</v>
      </c>
      <c r="D37" s="325"/>
      <c r="L37" s="27"/>
      <c r="M37" s="27"/>
      <c r="N37" s="27"/>
      <c r="O37" s="27"/>
      <c r="P37" s="27"/>
      <c r="Q37" s="27"/>
    </row>
    <row r="38" spans="1:17">
      <c r="A38" s="38"/>
      <c r="B38" s="37"/>
      <c r="C38" s="37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27"/>
      <c r="O38" s="27"/>
      <c r="P38" s="27"/>
      <c r="Q38" s="27"/>
    </row>
    <row r="39" spans="1:17">
      <c r="K39" s="37"/>
      <c r="L39" s="37"/>
      <c r="M39" s="37"/>
      <c r="N39" s="27"/>
      <c r="O39" s="27"/>
      <c r="P39" s="27"/>
      <c r="Q39" s="27"/>
    </row>
    <row r="40" spans="1:17">
      <c r="K40" s="37"/>
      <c r="L40" s="37"/>
      <c r="M40" s="37"/>
      <c r="N40" s="27"/>
      <c r="O40" s="27"/>
      <c r="P40" s="27"/>
      <c r="Q40" s="27"/>
    </row>
    <row r="41" spans="1:17">
      <c r="A41" s="37"/>
      <c r="B41" s="37"/>
      <c r="C41" s="37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27"/>
      <c r="O41" s="27"/>
      <c r="P41" s="27"/>
      <c r="Q41" s="27"/>
    </row>
    <row r="42" spans="1:17">
      <c r="A42" s="37"/>
      <c r="B42" s="37"/>
      <c r="C42" s="37"/>
      <c r="D42" s="37"/>
      <c r="E42" s="37"/>
      <c r="F42" s="37"/>
      <c r="G42" s="37"/>
      <c r="H42" s="37"/>
      <c r="I42" s="37"/>
      <c r="J42" s="37"/>
      <c r="K42" s="37"/>
      <c r="L42" s="37"/>
      <c r="M42" s="37"/>
      <c r="N42" s="27"/>
      <c r="O42" s="27"/>
      <c r="P42" s="27"/>
      <c r="Q42" s="27"/>
    </row>
    <row r="43" spans="1:17">
      <c r="A43" s="37"/>
      <c r="B43" s="37"/>
      <c r="C43" s="37"/>
      <c r="D43" s="37"/>
      <c r="E43" s="37"/>
      <c r="F43" s="37"/>
      <c r="G43" s="37"/>
      <c r="H43" s="37"/>
      <c r="I43" s="37"/>
      <c r="J43" s="37"/>
      <c r="K43" s="37"/>
      <c r="L43" s="37"/>
      <c r="M43" s="37"/>
      <c r="N43" s="27"/>
      <c r="O43" s="27"/>
      <c r="P43" s="27"/>
      <c r="Q43" s="27"/>
    </row>
    <row r="44" spans="1:17">
      <c r="A44" s="38"/>
      <c r="B44" s="37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37"/>
      <c r="N44" s="27"/>
      <c r="O44" s="27"/>
      <c r="P44" s="27"/>
      <c r="Q44" s="27"/>
    </row>
  </sheetData>
  <mergeCells count="11">
    <mergeCell ref="C4:F4"/>
    <mergeCell ref="B34:J35"/>
    <mergeCell ref="K34:K35"/>
    <mergeCell ref="A30:K30"/>
    <mergeCell ref="B33:J33"/>
    <mergeCell ref="A5:K6"/>
    <mergeCell ref="A10:K10"/>
    <mergeCell ref="A7:B7"/>
    <mergeCell ref="A8:B8"/>
    <mergeCell ref="C7:K7"/>
    <mergeCell ref="C8:K8"/>
  </mergeCells>
  <phoneticPr fontId="7" type="noConversion"/>
  <hyperlinks>
    <hyperlink ref="C8" r:id="rId1" xr:uid="{036D7654-9125-4D36-ACDE-8994539C8D3E}"/>
    <hyperlink ref="C7" r:id="rId2" xr:uid="{02F68107-162A-4A6D-9EC3-96A386F3C387}"/>
  </hyperlinks>
  <pageMargins left="0.35" right="0.39370078740157483" top="0.6" bottom="0" header="0" footer="0"/>
  <pageSetup paperSize="9" scale="96" orientation="portrait" r:id="rId3"/>
  <headerFooter alignWithMargins="0"/>
  <legacyDrawing r:id="rId4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9628D7-96EA-42DC-97CC-D6CE70259F14}">
  <dimension ref="A1:C116"/>
  <sheetViews>
    <sheetView view="pageBreakPreview" zoomScaleNormal="100" zoomScaleSheetLayoutView="100" workbookViewId="0">
      <pane ySplit="3" topLeftCell="A43" activePane="bottomLeft" state="frozen"/>
      <selection pane="bottomLeft" sqref="A1:IV4"/>
    </sheetView>
  </sheetViews>
  <sheetFormatPr defaultRowHeight="13.2"/>
  <cols>
    <col min="1" max="1" width="6.44140625" bestFit="1" customWidth="1"/>
    <col min="2" max="2" width="56.33203125" bestFit="1" customWidth="1"/>
    <col min="3" max="3" width="12" bestFit="1" customWidth="1"/>
  </cols>
  <sheetData>
    <row r="1" spans="1:3" ht="13.8" thickBot="1">
      <c r="A1" s="161"/>
      <c r="B1" s="378"/>
      <c r="C1" s="161"/>
    </row>
    <row r="2" spans="1:3" ht="13.8" thickBot="1">
      <c r="A2" s="161"/>
      <c r="B2" s="161"/>
      <c r="C2" s="161"/>
    </row>
    <row r="3" spans="1:3" ht="13.8" thickBot="1">
      <c r="A3" s="200"/>
      <c r="B3" s="200"/>
      <c r="C3" s="200"/>
    </row>
    <row r="4" spans="1:3" ht="30.6" thickBot="1">
      <c r="A4" s="1506" t="s">
        <v>102</v>
      </c>
      <c r="B4" s="1507"/>
      <c r="C4" s="1508"/>
    </row>
    <row r="5" spans="1:3" ht="13.8" thickBot="1">
      <c r="A5" s="692" t="s">
        <v>2</v>
      </c>
      <c r="B5" s="693" t="s">
        <v>103</v>
      </c>
      <c r="C5" s="694" t="s">
        <v>104</v>
      </c>
    </row>
    <row r="6" spans="1:3" ht="13.95" customHeight="1">
      <c r="A6" s="755">
        <v>1</v>
      </c>
      <c r="B6" s="748" t="s">
        <v>473</v>
      </c>
      <c r="C6" s="1509">
        <v>0</v>
      </c>
    </row>
    <row r="7" spans="1:3" ht="13.2" customHeight="1">
      <c r="A7" s="756">
        <v>2</v>
      </c>
      <c r="B7" s="749" t="s">
        <v>942</v>
      </c>
      <c r="C7" s="1510"/>
    </row>
    <row r="8" spans="1:3" ht="13.95" customHeight="1">
      <c r="A8" s="756">
        <v>3</v>
      </c>
      <c r="B8" s="750" t="s">
        <v>97</v>
      </c>
      <c r="C8" s="1510"/>
    </row>
    <row r="9" spans="1:3" ht="13.95" customHeight="1" thickBot="1">
      <c r="A9" s="757">
        <v>4</v>
      </c>
      <c r="B9" s="751" t="s">
        <v>115</v>
      </c>
      <c r="C9" s="1511"/>
    </row>
    <row r="10" spans="1:3" ht="13.2" customHeight="1">
      <c r="A10" s="96">
        <v>5</v>
      </c>
      <c r="B10" s="695" t="s">
        <v>742</v>
      </c>
      <c r="C10" s="1512">
        <v>1</v>
      </c>
    </row>
    <row r="11" spans="1:3" ht="13.2" customHeight="1">
      <c r="A11" s="96">
        <v>6</v>
      </c>
      <c r="B11" s="695" t="s">
        <v>747</v>
      </c>
      <c r="C11" s="1512"/>
    </row>
    <row r="12" spans="1:3" ht="13.2" customHeight="1">
      <c r="A12" s="752">
        <v>7</v>
      </c>
      <c r="B12" s="746" t="s">
        <v>1076</v>
      </c>
      <c r="C12" s="1512"/>
    </row>
    <row r="13" spans="1:3" ht="13.2" customHeight="1">
      <c r="A13" s="96">
        <v>8</v>
      </c>
      <c r="B13" s="695" t="s">
        <v>69</v>
      </c>
      <c r="C13" s="1512"/>
    </row>
    <row r="14" spans="1:3" ht="13.2" customHeight="1">
      <c r="A14" s="96">
        <v>9</v>
      </c>
      <c r="B14" s="695" t="s">
        <v>169</v>
      </c>
      <c r="C14" s="1512"/>
    </row>
    <row r="15" spans="1:3" ht="13.2" customHeight="1">
      <c r="A15" s="752">
        <v>10</v>
      </c>
      <c r="B15" s="695" t="s">
        <v>167</v>
      </c>
      <c r="C15" s="1512"/>
    </row>
    <row r="16" spans="1:3" ht="13.2" customHeight="1">
      <c r="A16" s="96">
        <v>11</v>
      </c>
      <c r="B16" s="746" t="s">
        <v>1086</v>
      </c>
      <c r="C16" s="1512"/>
    </row>
    <row r="17" spans="1:3" ht="13.2" customHeight="1">
      <c r="A17" s="96">
        <v>12</v>
      </c>
      <c r="B17" s="746" t="s">
        <v>1082</v>
      </c>
      <c r="C17" s="1512"/>
    </row>
    <row r="18" spans="1:3" ht="13.2" customHeight="1">
      <c r="A18" s="752">
        <v>13</v>
      </c>
      <c r="B18" s="746" t="s">
        <v>1090</v>
      </c>
      <c r="C18" s="1512"/>
    </row>
    <row r="19" spans="1:3" ht="13.2" customHeight="1">
      <c r="A19" s="96">
        <v>14</v>
      </c>
      <c r="B19" s="746" t="s">
        <v>1083</v>
      </c>
      <c r="C19" s="1512"/>
    </row>
    <row r="20" spans="1:3" s="462" customFormat="1" ht="13.2" customHeight="1">
      <c r="A20" s="96">
        <v>15</v>
      </c>
      <c r="B20" s="746" t="s">
        <v>1091</v>
      </c>
      <c r="C20" s="1512"/>
    </row>
    <row r="21" spans="1:3" ht="13.2" customHeight="1">
      <c r="A21" s="752">
        <v>16</v>
      </c>
      <c r="B21" s="746" t="s">
        <v>1081</v>
      </c>
      <c r="C21" s="1512"/>
    </row>
    <row r="22" spans="1:3" ht="13.2" customHeight="1">
      <c r="A22" s="96">
        <v>17</v>
      </c>
      <c r="B22" s="695" t="s">
        <v>148</v>
      </c>
      <c r="C22" s="1512"/>
    </row>
    <row r="23" spans="1:3" ht="13.2" customHeight="1">
      <c r="A23" s="96">
        <v>18</v>
      </c>
      <c r="B23" s="746" t="s">
        <v>1089</v>
      </c>
      <c r="C23" s="1512"/>
    </row>
    <row r="24" spans="1:3" ht="13.2" customHeight="1">
      <c r="A24" s="752">
        <v>19</v>
      </c>
      <c r="B24" s="695" t="s">
        <v>170</v>
      </c>
      <c r="C24" s="1512"/>
    </row>
    <row r="25" spans="1:3" ht="13.2" customHeight="1">
      <c r="A25" s="96">
        <v>20</v>
      </c>
      <c r="B25" s="746" t="s">
        <v>1077</v>
      </c>
      <c r="C25" s="1512"/>
    </row>
    <row r="26" spans="1:3" ht="13.2" customHeight="1">
      <c r="A26" s="96">
        <v>21</v>
      </c>
      <c r="B26" s="695" t="s">
        <v>171</v>
      </c>
      <c r="C26" s="1512"/>
    </row>
    <row r="27" spans="1:3" ht="13.95" customHeight="1">
      <c r="A27" s="752">
        <v>22</v>
      </c>
      <c r="B27" s="695" t="s">
        <v>743</v>
      </c>
      <c r="C27" s="1512"/>
    </row>
    <row r="28" spans="1:3" ht="13.95" customHeight="1">
      <c r="A28" s="96">
        <v>23</v>
      </c>
      <c r="B28" s="744" t="s">
        <v>748</v>
      </c>
      <c r="C28" s="1512"/>
    </row>
    <row r="29" spans="1:3" ht="13.95" customHeight="1">
      <c r="A29" s="96">
        <v>24</v>
      </c>
      <c r="B29" s="696" t="s">
        <v>116</v>
      </c>
      <c r="C29" s="1512"/>
    </row>
    <row r="30" spans="1:3" ht="13.95" customHeight="1">
      <c r="A30" s="752">
        <v>25</v>
      </c>
      <c r="B30" s="746" t="s">
        <v>1092</v>
      </c>
      <c r="C30" s="1512"/>
    </row>
    <row r="31" spans="1:3" ht="13.95" customHeight="1">
      <c r="A31" s="96">
        <v>26</v>
      </c>
      <c r="B31" s="746" t="s">
        <v>1080</v>
      </c>
      <c r="C31" s="1512"/>
    </row>
    <row r="32" spans="1:3" ht="13.95" customHeight="1">
      <c r="A32" s="96">
        <v>27</v>
      </c>
      <c r="B32" s="695" t="s">
        <v>429</v>
      </c>
      <c r="C32" s="1512"/>
    </row>
    <row r="33" spans="1:3" ht="13.95" customHeight="1">
      <c r="A33" s="752">
        <v>28</v>
      </c>
      <c r="B33" s="746" t="s">
        <v>1093</v>
      </c>
      <c r="C33" s="1512"/>
    </row>
    <row r="34" spans="1:3" ht="13.95" customHeight="1">
      <c r="A34" s="96">
        <v>29</v>
      </c>
      <c r="B34" s="695" t="s">
        <v>443</v>
      </c>
      <c r="C34" s="1512"/>
    </row>
    <row r="35" spans="1:3" ht="13.95" customHeight="1">
      <c r="A35" s="96">
        <v>30</v>
      </c>
      <c r="B35" s="746" t="s">
        <v>1087</v>
      </c>
      <c r="C35" s="1512"/>
    </row>
    <row r="36" spans="1:3" ht="13.95" customHeight="1">
      <c r="A36" s="752">
        <v>31</v>
      </c>
      <c r="B36" s="746" t="s">
        <v>1088</v>
      </c>
      <c r="C36" s="1512"/>
    </row>
    <row r="37" spans="1:3" ht="13.95" customHeight="1">
      <c r="A37" s="96">
        <v>32</v>
      </c>
      <c r="B37" s="695" t="s">
        <v>351</v>
      </c>
      <c r="C37" s="1512"/>
    </row>
    <row r="38" spans="1:3" ht="13.95" customHeight="1">
      <c r="A38" s="96">
        <v>33</v>
      </c>
      <c r="B38" s="695" t="s">
        <v>56</v>
      </c>
      <c r="C38" s="1512"/>
    </row>
    <row r="39" spans="1:3" ht="13.95" customHeight="1">
      <c r="A39" s="752">
        <v>34</v>
      </c>
      <c r="B39" s="746" t="s">
        <v>435</v>
      </c>
      <c r="C39" s="1512"/>
    </row>
    <row r="40" spans="1:3" ht="13.95" customHeight="1">
      <c r="A40" s="96">
        <v>35</v>
      </c>
      <c r="B40" s="746" t="s">
        <v>1094</v>
      </c>
      <c r="C40" s="1512"/>
    </row>
    <row r="41" spans="1:3" ht="13.95" customHeight="1">
      <c r="A41" s="96">
        <v>36</v>
      </c>
      <c r="B41" s="746" t="s">
        <v>1085</v>
      </c>
      <c r="C41" s="1512"/>
    </row>
    <row r="42" spans="1:3" ht="13.95" customHeight="1">
      <c r="A42" s="752">
        <v>37</v>
      </c>
      <c r="B42" s="746" t="s">
        <v>1078</v>
      </c>
      <c r="C42" s="1512"/>
    </row>
    <row r="43" spans="1:3" ht="13.95" customHeight="1">
      <c r="A43" s="96">
        <v>38</v>
      </c>
      <c r="B43" s="695" t="s">
        <v>444</v>
      </c>
      <c r="C43" s="1512"/>
    </row>
    <row r="44" spans="1:3" ht="13.95" customHeight="1">
      <c r="A44" s="96">
        <v>39</v>
      </c>
      <c r="B44" s="746" t="s">
        <v>1109</v>
      </c>
      <c r="C44" s="1512"/>
    </row>
    <row r="45" spans="1:3" ht="13.95" customHeight="1">
      <c r="A45" s="752">
        <v>40</v>
      </c>
      <c r="B45" s="746" t="s">
        <v>1084</v>
      </c>
      <c r="C45" s="1512"/>
    </row>
    <row r="46" spans="1:3" ht="13.95" customHeight="1">
      <c r="A46" s="96">
        <v>41</v>
      </c>
      <c r="B46" s="746" t="s">
        <v>1079</v>
      </c>
      <c r="C46" s="1512"/>
    </row>
    <row r="47" spans="1:3" ht="13.95" customHeight="1" thickBot="1">
      <c r="A47" s="819">
        <v>42</v>
      </c>
      <c r="B47" s="745" t="s">
        <v>1051</v>
      </c>
      <c r="C47" s="1512"/>
    </row>
    <row r="48" spans="1:3" ht="13.2" customHeight="1">
      <c r="A48" s="822">
        <v>43</v>
      </c>
      <c r="B48" s="747" t="s">
        <v>464</v>
      </c>
      <c r="C48" s="1513">
        <v>2</v>
      </c>
    </row>
    <row r="49" spans="1:3" ht="13.2" customHeight="1">
      <c r="A49" s="823">
        <v>44</v>
      </c>
      <c r="B49" s="507" t="s">
        <v>465</v>
      </c>
      <c r="C49" s="1514"/>
    </row>
    <row r="50" spans="1:3" ht="13.2" customHeight="1">
      <c r="A50" s="823">
        <v>45</v>
      </c>
      <c r="B50" s="507" t="s">
        <v>1144</v>
      </c>
      <c r="C50" s="1514"/>
    </row>
    <row r="51" spans="1:3" ht="13.2" customHeight="1">
      <c r="A51" s="818">
        <v>46</v>
      </c>
      <c r="B51" s="507" t="s">
        <v>1145</v>
      </c>
      <c r="C51" s="1514"/>
    </row>
    <row r="52" spans="1:3" ht="13.2" customHeight="1">
      <c r="A52" s="823">
        <v>47</v>
      </c>
      <c r="B52" s="507" t="s">
        <v>1103</v>
      </c>
      <c r="C52" s="1514"/>
    </row>
    <row r="53" spans="1:3" ht="13.2" customHeight="1">
      <c r="A53" s="823">
        <v>48</v>
      </c>
      <c r="B53" s="507" t="s">
        <v>1096</v>
      </c>
      <c r="C53" s="1514"/>
    </row>
    <row r="54" spans="1:3" ht="13.2" customHeight="1">
      <c r="A54" s="818">
        <v>49</v>
      </c>
      <c r="B54" s="507" t="s">
        <v>1146</v>
      </c>
      <c r="C54" s="1514"/>
    </row>
    <row r="55" spans="1:3" ht="13.2" customHeight="1">
      <c r="A55" s="823">
        <v>50</v>
      </c>
      <c r="B55" s="507" t="s">
        <v>1097</v>
      </c>
      <c r="C55" s="1514"/>
    </row>
    <row r="56" spans="1:3" ht="13.2" customHeight="1">
      <c r="A56" s="823">
        <v>51</v>
      </c>
      <c r="B56" s="507" t="s">
        <v>415</v>
      </c>
      <c r="C56" s="1514"/>
    </row>
    <row r="57" spans="1:3" ht="13.2" customHeight="1">
      <c r="A57" s="818">
        <v>52</v>
      </c>
      <c r="B57" s="507" t="s">
        <v>722</v>
      </c>
      <c r="C57" s="1514"/>
    </row>
    <row r="58" spans="1:3" ht="13.2" customHeight="1">
      <c r="A58" s="823">
        <v>53</v>
      </c>
      <c r="B58" s="507" t="s">
        <v>1095</v>
      </c>
      <c r="C58" s="1514"/>
    </row>
    <row r="59" spans="1:3" ht="13.2" customHeight="1">
      <c r="A59" s="823">
        <v>54</v>
      </c>
      <c r="B59" s="507" t="s">
        <v>471</v>
      </c>
      <c r="C59" s="1514"/>
    </row>
    <row r="60" spans="1:3" ht="13.2" customHeight="1">
      <c r="A60" s="818">
        <v>55</v>
      </c>
      <c r="B60" s="507" t="s">
        <v>1098</v>
      </c>
      <c r="C60" s="1514"/>
    </row>
    <row r="61" spans="1:3" ht="13.2" customHeight="1">
      <c r="A61" s="823">
        <v>56</v>
      </c>
      <c r="B61" s="507" t="s">
        <v>1151</v>
      </c>
      <c r="C61" s="1514"/>
    </row>
    <row r="62" spans="1:3" ht="13.2" customHeight="1">
      <c r="A62" s="823">
        <v>57</v>
      </c>
      <c r="B62" s="507" t="s">
        <v>11</v>
      </c>
      <c r="C62" s="1514"/>
    </row>
    <row r="63" spans="1:3" ht="13.2" customHeight="1">
      <c r="A63" s="818">
        <v>58</v>
      </c>
      <c r="B63" s="507" t="s">
        <v>723</v>
      </c>
      <c r="C63" s="1514"/>
    </row>
    <row r="64" spans="1:3" ht="13.2" customHeight="1">
      <c r="A64" s="823">
        <v>59</v>
      </c>
      <c r="B64" s="507" t="s">
        <v>1147</v>
      </c>
      <c r="C64" s="1514"/>
    </row>
    <row r="65" spans="1:3" ht="13.95" customHeight="1">
      <c r="A65" s="823">
        <v>60</v>
      </c>
      <c r="B65" s="383" t="s">
        <v>1053</v>
      </c>
      <c r="C65" s="1514"/>
    </row>
    <row r="66" spans="1:3" ht="13.95" customHeight="1">
      <c r="A66" s="818">
        <v>61</v>
      </c>
      <c r="B66" s="507" t="s">
        <v>1099</v>
      </c>
      <c r="C66" s="1514"/>
    </row>
    <row r="67" spans="1:3" ht="13.95" customHeight="1">
      <c r="A67" s="823">
        <v>62</v>
      </c>
      <c r="B67" s="507" t="s">
        <v>1106</v>
      </c>
      <c r="C67" s="1514"/>
    </row>
    <row r="68" spans="1:3" ht="13.95" customHeight="1">
      <c r="A68" s="823">
        <v>63</v>
      </c>
      <c r="B68" s="507" t="s">
        <v>1104</v>
      </c>
      <c r="C68" s="1514"/>
    </row>
    <row r="69" spans="1:3" ht="13.95" customHeight="1">
      <c r="A69" s="818">
        <v>64</v>
      </c>
      <c r="B69" s="507" t="s">
        <v>1107</v>
      </c>
      <c r="C69" s="1514"/>
    </row>
    <row r="70" spans="1:3" ht="13.95" customHeight="1">
      <c r="A70" s="823">
        <v>65</v>
      </c>
      <c r="B70" s="383" t="s">
        <v>733</v>
      </c>
      <c r="C70" s="1514"/>
    </row>
    <row r="71" spans="1:3" ht="13.95" customHeight="1">
      <c r="A71" s="823">
        <v>66</v>
      </c>
      <c r="B71" s="383" t="s">
        <v>1148</v>
      </c>
      <c r="C71" s="1514"/>
    </row>
    <row r="72" spans="1:3" ht="13.95" customHeight="1">
      <c r="A72" s="818">
        <v>67</v>
      </c>
      <c r="B72" s="383" t="s">
        <v>725</v>
      </c>
      <c r="C72" s="1514"/>
    </row>
    <row r="73" spans="1:3" ht="13.95" customHeight="1">
      <c r="A73" s="823">
        <v>68</v>
      </c>
      <c r="B73" s="507" t="s">
        <v>1105</v>
      </c>
      <c r="C73" s="1514"/>
    </row>
    <row r="74" spans="1:3" ht="13.95" customHeight="1">
      <c r="A74" s="823">
        <v>69</v>
      </c>
      <c r="B74" s="507" t="s">
        <v>1102</v>
      </c>
      <c r="C74" s="1514"/>
    </row>
    <row r="75" spans="1:3" ht="13.95" customHeight="1">
      <c r="A75" s="818">
        <v>70</v>
      </c>
      <c r="B75" s="383" t="s">
        <v>729</v>
      </c>
      <c r="C75" s="1514"/>
    </row>
    <row r="76" spans="1:3" ht="13.95" customHeight="1">
      <c r="A76" s="823">
        <v>71</v>
      </c>
      <c r="B76" s="383" t="s">
        <v>436</v>
      </c>
      <c r="C76" s="1514"/>
    </row>
    <row r="77" spans="1:3" ht="13.95" customHeight="1">
      <c r="A77" s="823">
        <v>72</v>
      </c>
      <c r="B77" s="383" t="s">
        <v>445</v>
      </c>
      <c r="C77" s="1514"/>
    </row>
    <row r="78" spans="1:3" ht="13.95" customHeight="1">
      <c r="A78" s="818">
        <v>73</v>
      </c>
      <c r="B78" s="507" t="s">
        <v>1100</v>
      </c>
      <c r="C78" s="1514"/>
    </row>
    <row r="79" spans="1:3" ht="13.95" customHeight="1">
      <c r="A79" s="823">
        <v>74</v>
      </c>
      <c r="B79" s="507" t="s">
        <v>1149</v>
      </c>
      <c r="C79" s="1514"/>
    </row>
    <row r="80" spans="1:3" ht="13.95" customHeight="1">
      <c r="A80" s="823">
        <v>75</v>
      </c>
      <c r="B80" s="507" t="s">
        <v>1108</v>
      </c>
      <c r="C80" s="1514"/>
    </row>
    <row r="81" spans="1:3" ht="13.95" customHeight="1">
      <c r="A81" s="818">
        <v>76</v>
      </c>
      <c r="B81" s="507" t="s">
        <v>1150</v>
      </c>
      <c r="C81" s="1514"/>
    </row>
    <row r="82" spans="1:3" ht="13.95" customHeight="1">
      <c r="A82" s="823">
        <v>77</v>
      </c>
      <c r="B82" s="507" t="s">
        <v>1101</v>
      </c>
      <c r="C82" s="1514"/>
    </row>
    <row r="83" spans="1:3" ht="13.95" customHeight="1">
      <c r="A83" s="823">
        <v>78</v>
      </c>
      <c r="B83" s="383" t="s">
        <v>475</v>
      </c>
      <c r="C83" s="1514"/>
    </row>
    <row r="84" spans="1:3" ht="13.95" customHeight="1" thickBot="1">
      <c r="A84" s="824">
        <v>79</v>
      </c>
      <c r="B84" s="397" t="s">
        <v>1052</v>
      </c>
      <c r="C84" s="1515"/>
    </row>
    <row r="85" spans="1:3">
      <c r="A85" s="820">
        <v>80</v>
      </c>
      <c r="B85" s="821" t="s">
        <v>161</v>
      </c>
      <c r="C85" s="1503">
        <v>3</v>
      </c>
    </row>
    <row r="86" spans="1:3">
      <c r="A86" s="96">
        <v>81</v>
      </c>
      <c r="B86" s="384" t="s">
        <v>466</v>
      </c>
      <c r="C86" s="1504"/>
    </row>
    <row r="87" spans="1:3">
      <c r="A87" s="752">
        <v>82</v>
      </c>
      <c r="B87" s="384" t="s">
        <v>162</v>
      </c>
      <c r="C87" s="1504"/>
    </row>
    <row r="88" spans="1:3">
      <c r="A88" s="96">
        <v>83</v>
      </c>
      <c r="B88" s="492" t="s">
        <v>752</v>
      </c>
      <c r="C88" s="1504"/>
    </row>
    <row r="89" spans="1:3">
      <c r="A89" s="96">
        <v>84</v>
      </c>
      <c r="B89" s="817" t="s">
        <v>1152</v>
      </c>
      <c r="C89" s="1504"/>
    </row>
    <row r="90" spans="1:3">
      <c r="A90" s="752">
        <v>85</v>
      </c>
      <c r="B90" s="492" t="s">
        <v>750</v>
      </c>
      <c r="C90" s="1504"/>
    </row>
    <row r="91" spans="1:3">
      <c r="A91" s="96">
        <v>86</v>
      </c>
      <c r="B91" s="384" t="s">
        <v>472</v>
      </c>
      <c r="C91" s="1504"/>
    </row>
    <row r="92" spans="1:3">
      <c r="A92" s="96">
        <v>87</v>
      </c>
      <c r="B92" s="384" t="s">
        <v>727</v>
      </c>
      <c r="C92" s="1504"/>
    </row>
    <row r="93" spans="1:3">
      <c r="A93" s="752">
        <v>88</v>
      </c>
      <c r="B93" s="384" t="s">
        <v>1143</v>
      </c>
      <c r="C93" s="1504"/>
    </row>
    <row r="94" spans="1:3">
      <c r="A94" s="96">
        <v>89</v>
      </c>
      <c r="B94" s="384" t="s">
        <v>163</v>
      </c>
      <c r="C94" s="1504"/>
    </row>
    <row r="95" spans="1:3">
      <c r="A95" s="96">
        <v>90</v>
      </c>
      <c r="B95" s="492" t="s">
        <v>751</v>
      </c>
      <c r="C95" s="1504"/>
    </row>
    <row r="96" spans="1:3">
      <c r="A96" s="752">
        <v>91</v>
      </c>
      <c r="B96" s="384" t="s">
        <v>726</v>
      </c>
      <c r="C96" s="1504"/>
    </row>
    <row r="97" spans="1:3">
      <c r="A97" s="96">
        <v>92</v>
      </c>
      <c r="B97" s="384" t="s">
        <v>728</v>
      </c>
      <c r="C97" s="1504"/>
    </row>
    <row r="98" spans="1:3">
      <c r="A98" s="96">
        <v>93</v>
      </c>
      <c r="B98" s="384" t="s">
        <v>1153</v>
      </c>
      <c r="C98" s="1504"/>
    </row>
    <row r="99" spans="1:3">
      <c r="A99" s="752">
        <v>94</v>
      </c>
      <c r="B99" s="384" t="s">
        <v>446</v>
      </c>
      <c r="C99" s="1504"/>
    </row>
    <row r="100" spans="1:3">
      <c r="A100" s="96">
        <v>95</v>
      </c>
      <c r="B100" s="384" t="s">
        <v>447</v>
      </c>
      <c r="C100" s="1504"/>
    </row>
    <row r="101" spans="1:3">
      <c r="A101" s="96">
        <v>96</v>
      </c>
      <c r="B101" s="384" t="s">
        <v>734</v>
      </c>
      <c r="C101" s="1504"/>
    </row>
    <row r="102" spans="1:3">
      <c r="A102" s="752">
        <v>97</v>
      </c>
      <c r="B102" s="384" t="s">
        <v>98</v>
      </c>
      <c r="C102" s="1504"/>
    </row>
    <row r="103" spans="1:3" ht="13.8" thickBot="1">
      <c r="A103" s="819">
        <v>98</v>
      </c>
      <c r="B103" s="825" t="s">
        <v>117</v>
      </c>
      <c r="C103" s="1516"/>
    </row>
    <row r="104" spans="1:3">
      <c r="A104" s="822">
        <v>99</v>
      </c>
      <c r="B104" s="827" t="s">
        <v>718</v>
      </c>
      <c r="C104" s="1513">
        <v>4</v>
      </c>
    </row>
    <row r="105" spans="1:3">
      <c r="A105" s="818">
        <v>100</v>
      </c>
      <c r="B105" s="489" t="s">
        <v>721</v>
      </c>
      <c r="C105" s="1514"/>
    </row>
    <row r="106" spans="1:3">
      <c r="A106" s="823">
        <v>101</v>
      </c>
      <c r="B106" s="493" t="s">
        <v>753</v>
      </c>
      <c r="C106" s="1514"/>
    </row>
    <row r="107" spans="1:3">
      <c r="A107" s="823">
        <v>102</v>
      </c>
      <c r="B107" s="383" t="s">
        <v>731</v>
      </c>
      <c r="C107" s="1514"/>
    </row>
    <row r="108" spans="1:3">
      <c r="A108" s="818">
        <v>103</v>
      </c>
      <c r="B108" s="383" t="s">
        <v>732</v>
      </c>
      <c r="C108" s="1514"/>
    </row>
    <row r="109" spans="1:3">
      <c r="A109" s="823">
        <v>104</v>
      </c>
      <c r="B109" s="383" t="s">
        <v>1075</v>
      </c>
      <c r="C109" s="1514"/>
    </row>
    <row r="110" spans="1:3" ht="13.8" thickBot="1">
      <c r="A110" s="828">
        <v>105</v>
      </c>
      <c r="B110" s="397" t="s">
        <v>474</v>
      </c>
      <c r="C110" s="1515"/>
    </row>
    <row r="111" spans="1:3">
      <c r="A111" s="752">
        <v>106</v>
      </c>
      <c r="B111" s="826" t="s">
        <v>467</v>
      </c>
      <c r="C111" s="1503">
        <v>5</v>
      </c>
    </row>
    <row r="112" spans="1:3">
      <c r="A112" s="96">
        <v>107</v>
      </c>
      <c r="B112" s="753" t="s">
        <v>373</v>
      </c>
      <c r="C112" s="1504"/>
    </row>
    <row r="113" spans="1:3">
      <c r="A113" s="96">
        <v>108</v>
      </c>
      <c r="B113" s="753" t="s">
        <v>724</v>
      </c>
      <c r="C113" s="1504"/>
    </row>
    <row r="114" spans="1:3">
      <c r="A114" s="752">
        <v>109</v>
      </c>
      <c r="B114" s="753" t="s">
        <v>374</v>
      </c>
      <c r="C114" s="1504"/>
    </row>
    <row r="115" spans="1:3">
      <c r="A115" s="96">
        <v>110</v>
      </c>
      <c r="B115" s="753" t="s">
        <v>741</v>
      </c>
      <c r="C115" s="1504"/>
    </row>
    <row r="116" spans="1:3" ht="13.8" thickBot="1">
      <c r="A116" s="96">
        <v>111</v>
      </c>
      <c r="B116" s="754" t="s">
        <v>730</v>
      </c>
      <c r="C116" s="1505"/>
    </row>
  </sheetData>
  <mergeCells count="7">
    <mergeCell ref="C111:C116"/>
    <mergeCell ref="A4:C4"/>
    <mergeCell ref="C6:C9"/>
    <mergeCell ref="C10:C47"/>
    <mergeCell ref="C48:C84"/>
    <mergeCell ref="C85:C103"/>
    <mergeCell ref="C104:C110"/>
  </mergeCells>
  <pageMargins left="0.7" right="0.7" top="0.75" bottom="0.75" header="0.3" footer="0.3"/>
  <pageSetup paperSize="9" scale="84" orientation="portrait" r:id="rId1"/>
  <rowBreaks count="1" manualBreakCount="1">
    <brk id="47" max="2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CFC714-782E-4651-8DFA-A74F12A7165D}">
  <sheetPr codeName="Лист3">
    <tabColor indexed="11"/>
  </sheetPr>
  <dimension ref="A1:P194"/>
  <sheetViews>
    <sheetView view="pageBreakPreview" zoomScaleNormal="100" zoomScaleSheetLayoutView="100" workbookViewId="0">
      <pane ySplit="3" topLeftCell="A4" activePane="bottomLeft" state="frozen"/>
      <selection pane="bottomLeft" activeCell="W12" sqref="W12"/>
    </sheetView>
  </sheetViews>
  <sheetFormatPr defaultColWidth="9.109375" defaultRowHeight="13.2"/>
  <cols>
    <col min="1" max="2" width="6.44140625" style="58" customWidth="1"/>
    <col min="3" max="3" width="7" style="58" customWidth="1"/>
    <col min="4" max="16" width="7" style="1" customWidth="1"/>
    <col min="17" max="16384" width="9.109375" style="1"/>
  </cols>
  <sheetData>
    <row r="1" spans="1:16">
      <c r="D1" s="10"/>
      <c r="E1" s="52"/>
      <c r="F1" s="10"/>
      <c r="G1" s="10"/>
      <c r="H1" s="10"/>
      <c r="P1" s="67"/>
    </row>
    <row r="2" spans="1:16" ht="42.75" customHeight="1">
      <c r="C2" s="1222" t="s">
        <v>185</v>
      </c>
      <c r="D2" s="1222"/>
      <c r="E2" s="1222"/>
      <c r="F2" s="1222"/>
      <c r="G2" s="1222"/>
      <c r="H2" s="1222"/>
      <c r="I2" s="1222"/>
      <c r="J2" s="1222"/>
      <c r="K2" s="1222"/>
      <c r="L2" s="1222"/>
      <c r="M2" s="1222"/>
      <c r="N2" s="1222"/>
      <c r="O2" s="1222"/>
      <c r="P2" s="1222"/>
    </row>
    <row r="3" spans="1:16" ht="12.75" customHeight="1">
      <c r="A3" s="1541" t="s">
        <v>954</v>
      </c>
      <c r="B3" s="1541"/>
      <c r="C3" s="1541"/>
      <c r="D3" s="1541"/>
      <c r="E3" s="1541"/>
      <c r="F3" s="1541"/>
      <c r="G3" s="1541"/>
      <c r="H3" s="1541"/>
      <c r="I3" s="1541"/>
      <c r="J3" s="1541"/>
      <c r="K3" s="1541"/>
      <c r="L3" s="1541"/>
      <c r="M3" s="1541"/>
      <c r="N3" s="1541"/>
      <c r="O3" s="1541"/>
      <c r="P3" s="1541"/>
    </row>
    <row r="4" spans="1:16" ht="12.75" customHeight="1">
      <c r="A4" s="1541" t="s">
        <v>983</v>
      </c>
      <c r="B4" s="1541"/>
      <c r="C4" s="1541"/>
      <c r="D4" s="1541"/>
      <c r="E4" s="1541"/>
      <c r="F4" s="1541"/>
      <c r="G4" s="1541"/>
      <c r="H4" s="1541"/>
      <c r="I4" s="1541"/>
      <c r="J4" s="1541"/>
      <c r="K4" s="1541"/>
      <c r="L4" s="1541"/>
      <c r="M4" s="1541"/>
      <c r="N4" s="1541"/>
      <c r="O4" s="1541"/>
      <c r="P4" s="1541"/>
    </row>
    <row r="5" spans="1:16" ht="19.5" customHeight="1">
      <c r="A5" s="1089" t="s">
        <v>593</v>
      </c>
      <c r="B5" s="1089"/>
      <c r="C5" s="1089"/>
      <c r="D5" s="1089"/>
      <c r="E5" s="1406" t="s">
        <v>612</v>
      </c>
      <c r="F5" s="1545"/>
      <c r="G5" s="1545"/>
      <c r="H5" s="1545"/>
      <c r="I5" s="1545"/>
      <c r="J5" s="1545"/>
      <c r="K5" s="1545"/>
      <c r="L5" s="1545"/>
      <c r="M5" s="1545"/>
      <c r="N5" s="1545"/>
      <c r="O5" s="1545"/>
      <c r="P5" s="1545"/>
    </row>
    <row r="6" spans="1:16" ht="19.5" customHeight="1" thickBot="1">
      <c r="A6" s="1089" t="s">
        <v>611</v>
      </c>
      <c r="B6" s="1089"/>
      <c r="C6" s="1089"/>
      <c r="D6" s="1089"/>
      <c r="E6" s="1406" t="s">
        <v>613</v>
      </c>
      <c r="F6" s="1545"/>
      <c r="G6" s="1545"/>
      <c r="H6" s="1545"/>
      <c r="I6" s="1545"/>
      <c r="J6" s="1545"/>
      <c r="K6" s="1545"/>
      <c r="L6" s="1545"/>
      <c r="M6" s="1545"/>
      <c r="N6" s="1545"/>
      <c r="O6" s="1545"/>
      <c r="P6" s="1545"/>
    </row>
    <row r="7" spans="1:16" ht="12.75" customHeight="1" thickBot="1">
      <c r="A7" s="1413" t="s">
        <v>462</v>
      </c>
      <c r="B7" s="1542"/>
      <c r="C7" s="1534" t="s">
        <v>207</v>
      </c>
      <c r="D7" s="1535"/>
      <c r="E7" s="1535"/>
      <c r="F7" s="1535"/>
      <c r="G7" s="1535"/>
      <c r="H7" s="1535"/>
      <c r="I7" s="1535"/>
      <c r="J7" s="1535"/>
      <c r="K7" s="1535"/>
      <c r="L7" s="1535"/>
      <c r="M7" s="1535"/>
      <c r="N7" s="1535"/>
      <c r="O7" s="1535"/>
      <c r="P7" s="1536"/>
    </row>
    <row r="8" spans="1:16" ht="12.75" customHeight="1" thickBot="1">
      <c r="A8" s="1543"/>
      <c r="B8" s="1544"/>
      <c r="C8" s="389">
        <v>0.4</v>
      </c>
      <c r="D8" s="389">
        <v>0.5</v>
      </c>
      <c r="E8" s="389">
        <v>0.6</v>
      </c>
      <c r="F8" s="389">
        <v>0.7</v>
      </c>
      <c r="G8" s="389">
        <v>0.8</v>
      </c>
      <c r="H8" s="389">
        <v>0.9</v>
      </c>
      <c r="I8" s="389">
        <v>1</v>
      </c>
      <c r="J8" s="389">
        <v>1.1000000000000001</v>
      </c>
      <c r="K8" s="389">
        <v>1.2</v>
      </c>
      <c r="L8" s="389">
        <v>1.3</v>
      </c>
      <c r="M8" s="389">
        <v>1.4</v>
      </c>
      <c r="N8" s="389">
        <v>1.5</v>
      </c>
      <c r="O8" s="389">
        <v>1.6</v>
      </c>
      <c r="P8" s="390">
        <v>1.7</v>
      </c>
    </row>
    <row r="9" spans="1:16" ht="12.75" customHeight="1">
      <c r="A9" s="1537" t="s">
        <v>3</v>
      </c>
      <c r="B9" s="297">
        <v>0.5</v>
      </c>
      <c r="C9" s="274">
        <f>C34-C34*17/100</f>
        <v>15.7150125</v>
      </c>
      <c r="D9" s="301">
        <f t="shared" ref="D9:P9" si="0">D34-D34*17/100</f>
        <v>16.4134575</v>
      </c>
      <c r="E9" s="301">
        <f t="shared" si="0"/>
        <v>17.22831</v>
      </c>
      <c r="F9" s="301">
        <f t="shared" si="0"/>
        <v>17.926755000000004</v>
      </c>
      <c r="G9" s="301">
        <f t="shared" si="0"/>
        <v>18.741607500000004</v>
      </c>
      <c r="H9" s="301">
        <f t="shared" si="0"/>
        <v>19.556460000000005</v>
      </c>
      <c r="I9" s="301">
        <f t="shared" si="0"/>
        <v>20.254904999999997</v>
      </c>
      <c r="J9" s="301">
        <f t="shared" si="0"/>
        <v>21.069757500000005</v>
      </c>
      <c r="K9" s="301">
        <f t="shared" si="0"/>
        <v>21.768202500000001</v>
      </c>
      <c r="L9" s="301">
        <f t="shared" si="0"/>
        <v>22.466647500000001</v>
      </c>
      <c r="M9" s="301">
        <f t="shared" si="0"/>
        <v>23.397907500000006</v>
      </c>
      <c r="N9" s="301">
        <f t="shared" si="0"/>
        <v>24.096352500000005</v>
      </c>
      <c r="O9" s="301">
        <f t="shared" si="0"/>
        <v>24.911205000000002</v>
      </c>
      <c r="P9" s="302">
        <f t="shared" si="0"/>
        <v>25.609650000000002</v>
      </c>
    </row>
    <row r="10" spans="1:16" ht="12.75" customHeight="1">
      <c r="A10" s="1538"/>
      <c r="B10" s="298">
        <v>0.6</v>
      </c>
      <c r="C10" s="303">
        <f t="shared" ref="C10:P10" si="1">C35-C35*17/100</f>
        <v>15.947827500000002</v>
      </c>
      <c r="D10" s="300">
        <f t="shared" si="1"/>
        <v>16.76268</v>
      </c>
      <c r="E10" s="300">
        <f t="shared" si="1"/>
        <v>17.693940000000001</v>
      </c>
      <c r="F10" s="300">
        <f t="shared" si="1"/>
        <v>18.508792500000002</v>
      </c>
      <c r="G10" s="300">
        <f t="shared" si="1"/>
        <v>19.323645000000003</v>
      </c>
      <c r="H10" s="300">
        <f t="shared" si="1"/>
        <v>20.254904999999997</v>
      </c>
      <c r="I10" s="300">
        <f t="shared" si="1"/>
        <v>21.069757500000005</v>
      </c>
      <c r="J10" s="300">
        <f t="shared" si="1"/>
        <v>21.768202500000001</v>
      </c>
      <c r="K10" s="300">
        <f t="shared" si="1"/>
        <v>22.583055000000002</v>
      </c>
      <c r="L10" s="300">
        <f t="shared" si="1"/>
        <v>23.514315</v>
      </c>
      <c r="M10" s="300">
        <f t="shared" si="1"/>
        <v>24.329167499999997</v>
      </c>
      <c r="N10" s="300">
        <f t="shared" si="1"/>
        <v>25.144020000000005</v>
      </c>
      <c r="O10" s="300">
        <f t="shared" si="1"/>
        <v>26.075279999999999</v>
      </c>
      <c r="P10" s="304">
        <f t="shared" si="1"/>
        <v>26.8901325</v>
      </c>
    </row>
    <row r="11" spans="1:16" ht="12.75" customHeight="1">
      <c r="A11" s="1538"/>
      <c r="B11" s="298">
        <v>0.7</v>
      </c>
      <c r="C11" s="303">
        <f t="shared" ref="C11:P11" si="2">C36-C36*17/100</f>
        <v>16.4134575</v>
      </c>
      <c r="D11" s="300">
        <f t="shared" si="2"/>
        <v>17.22831</v>
      </c>
      <c r="E11" s="300">
        <f t="shared" si="2"/>
        <v>18.043162500000001</v>
      </c>
      <c r="F11" s="300">
        <f t="shared" si="2"/>
        <v>19.090829999999997</v>
      </c>
      <c r="G11" s="300">
        <f t="shared" si="2"/>
        <v>19.905682500000001</v>
      </c>
      <c r="H11" s="300">
        <f t="shared" si="2"/>
        <v>20.836942499999999</v>
      </c>
      <c r="I11" s="300">
        <f t="shared" si="2"/>
        <v>21.768202500000001</v>
      </c>
      <c r="J11" s="300">
        <f t="shared" si="2"/>
        <v>22.583055000000002</v>
      </c>
      <c r="K11" s="300">
        <f t="shared" si="2"/>
        <v>23.514315</v>
      </c>
      <c r="L11" s="300">
        <f t="shared" si="2"/>
        <v>24.445575000000005</v>
      </c>
      <c r="M11" s="300">
        <f t="shared" si="2"/>
        <v>25.376835000000003</v>
      </c>
      <c r="N11" s="300">
        <f t="shared" si="2"/>
        <v>26.308095000000005</v>
      </c>
      <c r="O11" s="300">
        <f t="shared" si="2"/>
        <v>27.239355</v>
      </c>
      <c r="P11" s="304">
        <f t="shared" si="2"/>
        <v>28.054207499999997</v>
      </c>
    </row>
    <row r="12" spans="1:16" ht="12.75" customHeight="1">
      <c r="A12" s="1538"/>
      <c r="B12" s="298">
        <v>0.8</v>
      </c>
      <c r="C12" s="303">
        <f t="shared" ref="C12:P12" si="3">C37-C37*17/100</f>
        <v>16.646272500000002</v>
      </c>
      <c r="D12" s="300">
        <f t="shared" si="3"/>
        <v>17.693940000000001</v>
      </c>
      <c r="E12" s="300">
        <f t="shared" si="3"/>
        <v>18.6252</v>
      </c>
      <c r="F12" s="300">
        <f t="shared" si="3"/>
        <v>19.556460000000005</v>
      </c>
      <c r="G12" s="300">
        <f t="shared" si="3"/>
        <v>20.487720000000003</v>
      </c>
      <c r="H12" s="300">
        <f t="shared" si="3"/>
        <v>21.535387500000002</v>
      </c>
      <c r="I12" s="300">
        <f t="shared" si="3"/>
        <v>22.466647500000001</v>
      </c>
      <c r="J12" s="300">
        <f t="shared" si="3"/>
        <v>23.514315</v>
      </c>
      <c r="K12" s="300">
        <f t="shared" si="3"/>
        <v>24.445575000000005</v>
      </c>
      <c r="L12" s="300">
        <f t="shared" si="3"/>
        <v>25.376835000000003</v>
      </c>
      <c r="M12" s="300">
        <f t="shared" si="3"/>
        <v>26.308095000000005</v>
      </c>
      <c r="N12" s="300">
        <f t="shared" si="3"/>
        <v>27.355762500000001</v>
      </c>
      <c r="O12" s="300">
        <f t="shared" si="3"/>
        <v>28.287022500000003</v>
      </c>
      <c r="P12" s="304">
        <f t="shared" si="3"/>
        <v>29.334690000000002</v>
      </c>
    </row>
    <row r="13" spans="1:16" ht="12.75" customHeight="1">
      <c r="A13" s="1538"/>
      <c r="B13" s="298">
        <v>0.9</v>
      </c>
      <c r="C13" s="303">
        <f t="shared" ref="C13:P13" si="4">C38-C38*17/100</f>
        <v>16.995495000000002</v>
      </c>
      <c r="D13" s="300">
        <f t="shared" si="4"/>
        <v>17.926755000000004</v>
      </c>
      <c r="E13" s="300">
        <f t="shared" si="4"/>
        <v>19.090829999999997</v>
      </c>
      <c r="F13" s="300">
        <f t="shared" si="4"/>
        <v>20.022090000000002</v>
      </c>
      <c r="G13" s="300">
        <f t="shared" si="4"/>
        <v>21.069757500000005</v>
      </c>
      <c r="H13" s="300">
        <f t="shared" si="4"/>
        <v>22.233832500000005</v>
      </c>
      <c r="I13" s="300">
        <f t="shared" si="4"/>
        <v>23.1650925</v>
      </c>
      <c r="J13" s="300">
        <f t="shared" si="4"/>
        <v>24.212760000000003</v>
      </c>
      <c r="K13" s="300">
        <f t="shared" si="4"/>
        <v>25.376835000000003</v>
      </c>
      <c r="L13" s="300">
        <f t="shared" si="4"/>
        <v>26.308095000000005</v>
      </c>
      <c r="M13" s="300">
        <f t="shared" si="4"/>
        <v>27.472170000000002</v>
      </c>
      <c r="N13" s="300">
        <f t="shared" si="4"/>
        <v>28.519837500000005</v>
      </c>
      <c r="O13" s="300">
        <f t="shared" si="4"/>
        <v>29.451097500000003</v>
      </c>
      <c r="P13" s="304">
        <f t="shared" si="4"/>
        <v>30.6151725</v>
      </c>
    </row>
    <row r="14" spans="1:16" ht="12.75" customHeight="1">
      <c r="A14" s="1538"/>
      <c r="B14" s="298">
        <v>1</v>
      </c>
      <c r="C14" s="303">
        <f t="shared" ref="C14:P14" si="5">C39-C39*17/100</f>
        <v>17.22831</v>
      </c>
      <c r="D14" s="300">
        <f t="shared" si="5"/>
        <v>18.392385000000001</v>
      </c>
      <c r="E14" s="300">
        <f t="shared" si="5"/>
        <v>19.556460000000005</v>
      </c>
      <c r="F14" s="300">
        <f t="shared" si="5"/>
        <v>20.604127500000001</v>
      </c>
      <c r="G14" s="300">
        <f t="shared" si="5"/>
        <v>21.768202500000001</v>
      </c>
      <c r="H14" s="300">
        <f t="shared" si="5"/>
        <v>22.932277500000001</v>
      </c>
      <c r="I14" s="300">
        <f t="shared" si="5"/>
        <v>23.8635375</v>
      </c>
      <c r="J14" s="300">
        <f t="shared" si="5"/>
        <v>25.027612500000004</v>
      </c>
      <c r="K14" s="300">
        <f t="shared" si="5"/>
        <v>26.1916875</v>
      </c>
      <c r="L14" s="300">
        <f t="shared" si="5"/>
        <v>27.355762500000001</v>
      </c>
      <c r="M14" s="300">
        <f t="shared" si="5"/>
        <v>28.519837500000005</v>
      </c>
      <c r="N14" s="300">
        <f t="shared" si="5"/>
        <v>29.567505000000001</v>
      </c>
      <c r="O14" s="300">
        <f t="shared" si="5"/>
        <v>30.6151725</v>
      </c>
      <c r="P14" s="304">
        <f t="shared" si="5"/>
        <v>31.779247499999997</v>
      </c>
    </row>
    <row r="15" spans="1:16" ht="12.75" customHeight="1">
      <c r="A15" s="1538"/>
      <c r="B15" s="298">
        <v>1.1000000000000001</v>
      </c>
      <c r="C15" s="303">
        <f t="shared" ref="C15:P15" si="6">C40-C40*17/100</f>
        <v>17.693940000000001</v>
      </c>
      <c r="D15" s="300">
        <f t="shared" si="6"/>
        <v>18.741607500000004</v>
      </c>
      <c r="E15" s="300">
        <f t="shared" si="6"/>
        <v>19.905682500000001</v>
      </c>
      <c r="F15" s="300">
        <f t="shared" si="6"/>
        <v>21.186165000000003</v>
      </c>
      <c r="G15" s="300">
        <f t="shared" si="6"/>
        <v>22.350240000000003</v>
      </c>
      <c r="H15" s="300">
        <f t="shared" si="6"/>
        <v>23.514315</v>
      </c>
      <c r="I15" s="300">
        <f t="shared" si="6"/>
        <v>24.794797500000005</v>
      </c>
      <c r="J15" s="300">
        <f t="shared" si="6"/>
        <v>25.958872500000009</v>
      </c>
      <c r="K15" s="300">
        <f t="shared" si="6"/>
        <v>27.006540000000001</v>
      </c>
      <c r="L15" s="300">
        <f t="shared" si="6"/>
        <v>28.287022500000003</v>
      </c>
      <c r="M15" s="300">
        <f t="shared" si="6"/>
        <v>29.451097500000003</v>
      </c>
      <c r="N15" s="300">
        <f t="shared" si="6"/>
        <v>30.6151725</v>
      </c>
      <c r="O15" s="300">
        <f t="shared" si="6"/>
        <v>31.779247499999997</v>
      </c>
      <c r="P15" s="304">
        <f t="shared" si="6"/>
        <v>33.059730000000002</v>
      </c>
    </row>
    <row r="16" spans="1:16" ht="12.75" customHeight="1">
      <c r="A16" s="1538"/>
      <c r="B16" s="298">
        <v>1.2</v>
      </c>
      <c r="C16" s="303">
        <f t="shared" ref="C16:P16" si="7">C41-C41*17/100</f>
        <v>17.926755000000004</v>
      </c>
      <c r="D16" s="300">
        <f t="shared" si="7"/>
        <v>19.207237500000002</v>
      </c>
      <c r="E16" s="300">
        <f t="shared" si="7"/>
        <v>20.487720000000003</v>
      </c>
      <c r="F16" s="300">
        <f t="shared" si="7"/>
        <v>21.651795000000003</v>
      </c>
      <c r="G16" s="300">
        <f t="shared" si="7"/>
        <v>22.932277500000001</v>
      </c>
      <c r="H16" s="300">
        <f t="shared" si="7"/>
        <v>24.212760000000003</v>
      </c>
      <c r="I16" s="300">
        <f t="shared" si="7"/>
        <v>25.493242499999997</v>
      </c>
      <c r="J16" s="300">
        <f t="shared" si="7"/>
        <v>26.773725000000006</v>
      </c>
      <c r="K16" s="300">
        <f t="shared" si="7"/>
        <v>27.937800000000003</v>
      </c>
      <c r="L16" s="300">
        <f t="shared" si="7"/>
        <v>29.218282500000001</v>
      </c>
      <c r="M16" s="300">
        <f t="shared" si="7"/>
        <v>30.498765000000006</v>
      </c>
      <c r="N16" s="300">
        <f t="shared" si="7"/>
        <v>31.779247499999997</v>
      </c>
      <c r="O16" s="300">
        <f t="shared" si="7"/>
        <v>33.059730000000002</v>
      </c>
      <c r="P16" s="304">
        <f t="shared" si="7"/>
        <v>34.223804999999999</v>
      </c>
    </row>
    <row r="17" spans="1:16" ht="12.75" customHeight="1">
      <c r="A17" s="1538"/>
      <c r="B17" s="298">
        <v>1.3</v>
      </c>
      <c r="C17" s="303">
        <f t="shared" ref="C17:P17" si="8">C42-C42*17/100</f>
        <v>18.2759775</v>
      </c>
      <c r="D17" s="300">
        <f t="shared" si="8"/>
        <v>19.556460000000005</v>
      </c>
      <c r="E17" s="300">
        <f t="shared" si="8"/>
        <v>20.95335</v>
      </c>
      <c r="F17" s="300">
        <f t="shared" si="8"/>
        <v>22.233832500000005</v>
      </c>
      <c r="G17" s="300">
        <f t="shared" si="8"/>
        <v>23.514315</v>
      </c>
      <c r="H17" s="300">
        <f t="shared" si="8"/>
        <v>24.911205000000002</v>
      </c>
      <c r="I17" s="300">
        <f t="shared" si="8"/>
        <v>26.1916875</v>
      </c>
      <c r="J17" s="300">
        <f t="shared" si="8"/>
        <v>27.472170000000002</v>
      </c>
      <c r="K17" s="300">
        <f t="shared" si="8"/>
        <v>28.869060000000008</v>
      </c>
      <c r="L17" s="300">
        <f t="shared" si="8"/>
        <v>30.149542500000003</v>
      </c>
      <c r="M17" s="300">
        <f t="shared" si="8"/>
        <v>31.430025000000001</v>
      </c>
      <c r="N17" s="300">
        <f t="shared" si="8"/>
        <v>32.710507500000006</v>
      </c>
      <c r="O17" s="300">
        <f t="shared" si="8"/>
        <v>34.223804999999999</v>
      </c>
      <c r="P17" s="304">
        <f t="shared" si="8"/>
        <v>35.504287500000004</v>
      </c>
    </row>
    <row r="18" spans="1:16" ht="12.75" customHeight="1">
      <c r="A18" s="1538"/>
      <c r="B18" s="298">
        <v>1.4</v>
      </c>
      <c r="C18" s="303">
        <f t="shared" ref="C18:P18" si="9">C43-C43*17/100</f>
        <v>18.508792500000002</v>
      </c>
      <c r="D18" s="300">
        <f t="shared" si="9"/>
        <v>19.905682500000001</v>
      </c>
      <c r="E18" s="300">
        <f t="shared" si="9"/>
        <v>21.302572500000004</v>
      </c>
      <c r="F18" s="300">
        <f t="shared" si="9"/>
        <v>22.815870000000004</v>
      </c>
      <c r="G18" s="300">
        <f t="shared" si="9"/>
        <v>24.212760000000003</v>
      </c>
      <c r="H18" s="300">
        <f t="shared" si="9"/>
        <v>25.493242499999997</v>
      </c>
      <c r="I18" s="300">
        <f t="shared" si="9"/>
        <v>26.8901325</v>
      </c>
      <c r="J18" s="300">
        <f t="shared" si="9"/>
        <v>28.287022500000003</v>
      </c>
      <c r="K18" s="300">
        <f t="shared" si="9"/>
        <v>29.800320000000003</v>
      </c>
      <c r="L18" s="300">
        <f t="shared" si="9"/>
        <v>31.197210000000002</v>
      </c>
      <c r="M18" s="300">
        <f t="shared" si="9"/>
        <v>32.477692500000003</v>
      </c>
      <c r="N18" s="300">
        <f t="shared" si="9"/>
        <v>33.874582500000002</v>
      </c>
      <c r="O18" s="300">
        <f t="shared" si="9"/>
        <v>35.271472500000002</v>
      </c>
      <c r="P18" s="304">
        <f t="shared" si="9"/>
        <v>36.784770000000002</v>
      </c>
    </row>
    <row r="19" spans="1:16" ht="12.75" customHeight="1">
      <c r="A19" s="1538"/>
      <c r="B19" s="298">
        <v>1.5</v>
      </c>
      <c r="C19" s="303">
        <f t="shared" ref="C19:P19" si="10">C44-C44*17/100</f>
        <v>18.974422500000003</v>
      </c>
      <c r="D19" s="300">
        <f t="shared" si="10"/>
        <v>20.371312500000002</v>
      </c>
      <c r="E19" s="300">
        <f t="shared" si="10"/>
        <v>21.768202500000001</v>
      </c>
      <c r="F19" s="300">
        <f t="shared" si="10"/>
        <v>23.397907500000006</v>
      </c>
      <c r="G19" s="300">
        <f t="shared" si="10"/>
        <v>24.794797500000005</v>
      </c>
      <c r="H19" s="300">
        <f t="shared" si="10"/>
        <v>26.1916875</v>
      </c>
      <c r="I19" s="300">
        <f t="shared" si="10"/>
        <v>27.588577500000007</v>
      </c>
      <c r="J19" s="300">
        <f t="shared" si="10"/>
        <v>29.218282500000001</v>
      </c>
      <c r="K19" s="300">
        <f t="shared" si="10"/>
        <v>30.6151725</v>
      </c>
      <c r="L19" s="300">
        <f t="shared" si="10"/>
        <v>32.012062499999999</v>
      </c>
      <c r="M19" s="300">
        <f t="shared" si="10"/>
        <v>33.6417675</v>
      </c>
      <c r="N19" s="300">
        <f t="shared" si="10"/>
        <v>35.038657500000014</v>
      </c>
      <c r="O19" s="300">
        <f t="shared" si="10"/>
        <v>36.435547500000006</v>
      </c>
      <c r="P19" s="304">
        <f t="shared" si="10"/>
        <v>37.832437500000005</v>
      </c>
    </row>
    <row r="20" spans="1:16" ht="12.75" customHeight="1">
      <c r="A20" s="1538"/>
      <c r="B20" s="298">
        <v>1.6</v>
      </c>
      <c r="C20" s="303">
        <f t="shared" ref="C20:P20" si="11">C45-C45*17/100</f>
        <v>19.207237500000002</v>
      </c>
      <c r="D20" s="300">
        <f t="shared" si="11"/>
        <v>20.836942499999999</v>
      </c>
      <c r="E20" s="300">
        <f t="shared" si="11"/>
        <v>22.350240000000003</v>
      </c>
      <c r="F20" s="300">
        <f t="shared" si="11"/>
        <v>23.747129999999999</v>
      </c>
      <c r="G20" s="300">
        <f t="shared" si="11"/>
        <v>25.376835000000003</v>
      </c>
      <c r="H20" s="300">
        <f t="shared" si="11"/>
        <v>26.8901325</v>
      </c>
      <c r="I20" s="300">
        <f t="shared" si="11"/>
        <v>28.519837500000005</v>
      </c>
      <c r="J20" s="300">
        <f t="shared" si="11"/>
        <v>29.916727499999997</v>
      </c>
      <c r="K20" s="300">
        <f t="shared" si="11"/>
        <v>31.430025000000001</v>
      </c>
      <c r="L20" s="300">
        <f t="shared" si="11"/>
        <v>33.059730000000002</v>
      </c>
      <c r="M20" s="300">
        <f t="shared" si="11"/>
        <v>34.573027500000002</v>
      </c>
      <c r="N20" s="300">
        <f t="shared" si="11"/>
        <v>35.969917500000001</v>
      </c>
      <c r="O20" s="300">
        <f t="shared" si="11"/>
        <v>37.599622500000002</v>
      </c>
      <c r="P20" s="304">
        <f t="shared" si="11"/>
        <v>39.11292000000001</v>
      </c>
    </row>
    <row r="21" spans="1:16" ht="12.75" customHeight="1">
      <c r="A21" s="1538"/>
      <c r="B21" s="298">
        <v>1.7</v>
      </c>
      <c r="C21" s="303">
        <f t="shared" ref="C21:P21" si="12">C46-C46*17/100</f>
        <v>19.556460000000005</v>
      </c>
      <c r="D21" s="300">
        <f t="shared" si="12"/>
        <v>21.186165000000003</v>
      </c>
      <c r="E21" s="300">
        <f t="shared" si="12"/>
        <v>22.815870000000004</v>
      </c>
      <c r="F21" s="300">
        <f t="shared" si="12"/>
        <v>24.329167499999997</v>
      </c>
      <c r="G21" s="300">
        <f t="shared" si="12"/>
        <v>25.958872500000009</v>
      </c>
      <c r="H21" s="300">
        <f t="shared" si="12"/>
        <v>27.588577500000007</v>
      </c>
      <c r="I21" s="300">
        <f t="shared" si="12"/>
        <v>29.218282500000001</v>
      </c>
      <c r="J21" s="300">
        <f t="shared" si="12"/>
        <v>30.731579999999997</v>
      </c>
      <c r="K21" s="300">
        <f t="shared" si="12"/>
        <v>32.361285000000009</v>
      </c>
      <c r="L21" s="300">
        <f t="shared" si="12"/>
        <v>33.990990000000004</v>
      </c>
      <c r="M21" s="300">
        <f t="shared" si="12"/>
        <v>35.620695000000005</v>
      </c>
      <c r="N21" s="300">
        <f t="shared" si="12"/>
        <v>37.133992500000005</v>
      </c>
      <c r="O21" s="300">
        <f t="shared" si="12"/>
        <v>38.763697500000006</v>
      </c>
      <c r="P21" s="304">
        <f t="shared" si="12"/>
        <v>40.393402500000015</v>
      </c>
    </row>
    <row r="22" spans="1:16" ht="12.75" customHeight="1">
      <c r="A22" s="1538"/>
      <c r="B22" s="298">
        <v>1.8</v>
      </c>
      <c r="C22" s="303">
        <f t="shared" ref="C22:P22" si="13">C47-C47*17/100</f>
        <v>19.905682500000001</v>
      </c>
      <c r="D22" s="300">
        <f t="shared" si="13"/>
        <v>21.535387500000002</v>
      </c>
      <c r="E22" s="300">
        <f t="shared" si="13"/>
        <v>23.1650925</v>
      </c>
      <c r="F22" s="300">
        <f t="shared" si="13"/>
        <v>24.911205000000002</v>
      </c>
      <c r="G22" s="300">
        <f t="shared" si="13"/>
        <v>26.657317500000005</v>
      </c>
      <c r="H22" s="300">
        <f t="shared" si="13"/>
        <v>28.170614999999998</v>
      </c>
      <c r="I22" s="300">
        <f t="shared" si="13"/>
        <v>29.916727499999997</v>
      </c>
      <c r="J22" s="300">
        <f t="shared" si="13"/>
        <v>31.662840000000003</v>
      </c>
      <c r="K22" s="300">
        <f t="shared" si="13"/>
        <v>33.292545000000004</v>
      </c>
      <c r="L22" s="300">
        <f t="shared" si="13"/>
        <v>34.922250000000005</v>
      </c>
      <c r="M22" s="300">
        <f t="shared" si="13"/>
        <v>36.551955</v>
      </c>
      <c r="N22" s="300">
        <f t="shared" si="13"/>
        <v>38.298067500000002</v>
      </c>
      <c r="O22" s="300">
        <f t="shared" si="13"/>
        <v>40.044180000000004</v>
      </c>
      <c r="P22" s="304">
        <f t="shared" si="13"/>
        <v>41.557477500000005</v>
      </c>
    </row>
    <row r="23" spans="1:16" ht="12.75" customHeight="1">
      <c r="A23" s="1538"/>
      <c r="B23" s="298">
        <v>1.9</v>
      </c>
      <c r="C23" s="303">
        <f t="shared" ref="C23:P23" si="14">C48-C48*17/100</f>
        <v>20.487720000000003</v>
      </c>
      <c r="D23" s="300">
        <f t="shared" si="14"/>
        <v>22.350240000000003</v>
      </c>
      <c r="E23" s="300">
        <f t="shared" si="14"/>
        <v>24.212760000000003</v>
      </c>
      <c r="F23" s="300">
        <f t="shared" si="14"/>
        <v>25.958872500000009</v>
      </c>
      <c r="G23" s="300">
        <f t="shared" si="14"/>
        <v>27.704985000000001</v>
      </c>
      <c r="H23" s="300">
        <f t="shared" si="14"/>
        <v>29.567505000000001</v>
      </c>
      <c r="I23" s="300">
        <f t="shared" si="14"/>
        <v>31.313617500000003</v>
      </c>
      <c r="J23" s="300">
        <f t="shared" si="14"/>
        <v>33.176137500000003</v>
      </c>
      <c r="K23" s="300">
        <f t="shared" si="14"/>
        <v>35.038657500000014</v>
      </c>
      <c r="L23" s="300">
        <f t="shared" si="14"/>
        <v>36.90117750000001</v>
      </c>
      <c r="M23" s="300">
        <f t="shared" si="14"/>
        <v>38.530882500000004</v>
      </c>
      <c r="N23" s="300">
        <f t="shared" si="14"/>
        <v>40.393402500000015</v>
      </c>
      <c r="O23" s="300">
        <f t="shared" si="14"/>
        <v>42.255922499999997</v>
      </c>
      <c r="P23" s="304">
        <f t="shared" si="14"/>
        <v>44.118442500000008</v>
      </c>
    </row>
    <row r="24" spans="1:16" ht="12.75" customHeight="1">
      <c r="A24" s="1538"/>
      <c r="B24" s="298">
        <v>2</v>
      </c>
      <c r="C24" s="303">
        <f t="shared" ref="C24:P24" si="15">C49-C49*17/100</f>
        <v>20.836942499999999</v>
      </c>
      <c r="D24" s="300">
        <f t="shared" si="15"/>
        <v>22.815870000000004</v>
      </c>
      <c r="E24" s="300">
        <f t="shared" si="15"/>
        <v>24.67839</v>
      </c>
      <c r="F24" s="300">
        <f t="shared" si="15"/>
        <v>26.424502500000003</v>
      </c>
      <c r="G24" s="300">
        <f t="shared" si="15"/>
        <v>28.287022500000003</v>
      </c>
      <c r="H24" s="300">
        <f t="shared" si="15"/>
        <v>30.149542500000003</v>
      </c>
      <c r="I24" s="300">
        <f t="shared" si="15"/>
        <v>32.12847</v>
      </c>
      <c r="J24" s="300">
        <f t="shared" si="15"/>
        <v>33.990990000000004</v>
      </c>
      <c r="K24" s="300">
        <f t="shared" si="15"/>
        <v>35.853510000000007</v>
      </c>
      <c r="L24" s="300">
        <f t="shared" si="15"/>
        <v>37.716030000000011</v>
      </c>
      <c r="M24" s="300">
        <f t="shared" si="15"/>
        <v>39.694957500000008</v>
      </c>
      <c r="N24" s="300">
        <f t="shared" si="15"/>
        <v>41.557477500000005</v>
      </c>
      <c r="O24" s="300">
        <f t="shared" si="15"/>
        <v>43.419997500000001</v>
      </c>
      <c r="P24" s="304">
        <f t="shared" si="15"/>
        <v>45.282517500000004</v>
      </c>
    </row>
    <row r="25" spans="1:16" ht="12.75" customHeight="1">
      <c r="A25" s="1538"/>
      <c r="B25" s="298">
        <v>2.1</v>
      </c>
      <c r="C25" s="303">
        <f t="shared" ref="C25:P25" si="16">C50-C50*17/100</f>
        <v>21.186165000000003</v>
      </c>
      <c r="D25" s="300">
        <f t="shared" si="16"/>
        <v>23.048685000000003</v>
      </c>
      <c r="E25" s="300">
        <f t="shared" si="16"/>
        <v>25.027612500000004</v>
      </c>
      <c r="F25" s="300">
        <f t="shared" si="16"/>
        <v>27.006540000000001</v>
      </c>
      <c r="G25" s="300">
        <f t="shared" si="16"/>
        <v>28.869060000000008</v>
      </c>
      <c r="H25" s="300">
        <f t="shared" si="16"/>
        <v>30.847987500000006</v>
      </c>
      <c r="I25" s="300">
        <f t="shared" si="16"/>
        <v>32.943322500000001</v>
      </c>
      <c r="J25" s="300">
        <f t="shared" si="16"/>
        <v>34.922250000000005</v>
      </c>
      <c r="K25" s="300">
        <f t="shared" si="16"/>
        <v>36.784770000000002</v>
      </c>
      <c r="L25" s="300">
        <f t="shared" si="16"/>
        <v>38.763697500000006</v>
      </c>
      <c r="M25" s="300">
        <f t="shared" si="16"/>
        <v>40.742625000000004</v>
      </c>
      <c r="N25" s="300">
        <f t="shared" si="16"/>
        <v>42.605145000000007</v>
      </c>
      <c r="O25" s="300">
        <f t="shared" si="16"/>
        <v>44.584072499999998</v>
      </c>
      <c r="P25" s="304">
        <f t="shared" si="16"/>
        <v>46.563000000000002</v>
      </c>
    </row>
    <row r="26" spans="1:16" ht="12.75" customHeight="1">
      <c r="A26" s="1538"/>
      <c r="B26" s="298">
        <v>2.2000000000000002</v>
      </c>
      <c r="C26" s="303">
        <f t="shared" ref="C26:P26" si="17">C51-C51*17/100</f>
        <v>21.535387500000002</v>
      </c>
      <c r="D26" s="300">
        <f t="shared" si="17"/>
        <v>23.514315</v>
      </c>
      <c r="E26" s="300">
        <f t="shared" si="17"/>
        <v>25.493242499999997</v>
      </c>
      <c r="F26" s="300">
        <f t="shared" si="17"/>
        <v>27.472170000000002</v>
      </c>
      <c r="G26" s="300">
        <f t="shared" si="17"/>
        <v>29.567505000000001</v>
      </c>
      <c r="H26" s="300">
        <f t="shared" si="17"/>
        <v>31.662840000000003</v>
      </c>
      <c r="I26" s="300">
        <f t="shared" si="17"/>
        <v>33.6417675</v>
      </c>
      <c r="J26" s="300">
        <f t="shared" si="17"/>
        <v>35.620695000000005</v>
      </c>
      <c r="K26" s="300">
        <f t="shared" si="17"/>
        <v>37.599622500000002</v>
      </c>
      <c r="L26" s="300">
        <f t="shared" si="17"/>
        <v>39.694957500000008</v>
      </c>
      <c r="M26" s="300">
        <f t="shared" si="17"/>
        <v>41.673884999999999</v>
      </c>
      <c r="N26" s="300">
        <f t="shared" si="17"/>
        <v>43.65281250000001</v>
      </c>
      <c r="O26" s="300">
        <f t="shared" si="17"/>
        <v>45.748147500000002</v>
      </c>
      <c r="P26" s="304">
        <f t="shared" si="17"/>
        <v>47.727074999999999</v>
      </c>
    </row>
    <row r="27" spans="1:16" ht="12.75" customHeight="1">
      <c r="A27" s="1538"/>
      <c r="B27" s="298">
        <v>2.2999999999999998</v>
      </c>
      <c r="C27" s="303">
        <f t="shared" ref="C27:P27" si="18">C52-C52*17/100</f>
        <v>21.768202500000001</v>
      </c>
      <c r="D27" s="300">
        <f t="shared" si="18"/>
        <v>23.8635375</v>
      </c>
      <c r="E27" s="300">
        <f t="shared" si="18"/>
        <v>26.075279999999999</v>
      </c>
      <c r="F27" s="300">
        <f t="shared" si="18"/>
        <v>28.054207499999997</v>
      </c>
      <c r="G27" s="300">
        <f t="shared" si="18"/>
        <v>30.149542500000003</v>
      </c>
      <c r="H27" s="300">
        <f t="shared" si="18"/>
        <v>32.361285000000009</v>
      </c>
      <c r="I27" s="300">
        <f t="shared" si="18"/>
        <v>34.3402125</v>
      </c>
      <c r="J27" s="300">
        <f t="shared" si="18"/>
        <v>36.435547500000006</v>
      </c>
      <c r="K27" s="300">
        <f t="shared" si="18"/>
        <v>38.530882500000004</v>
      </c>
      <c r="L27" s="300">
        <f t="shared" si="18"/>
        <v>40.626217500000003</v>
      </c>
      <c r="M27" s="300">
        <f t="shared" si="18"/>
        <v>42.721552500000001</v>
      </c>
      <c r="N27" s="300">
        <f t="shared" si="18"/>
        <v>44.816887500000007</v>
      </c>
      <c r="O27" s="300">
        <f t="shared" si="18"/>
        <v>46.795815000000012</v>
      </c>
      <c r="P27" s="304">
        <f t="shared" si="18"/>
        <v>49.007557500000004</v>
      </c>
    </row>
    <row r="28" spans="1:16" ht="12.75" customHeight="1">
      <c r="A28" s="1538"/>
      <c r="B28" s="298">
        <v>2.4</v>
      </c>
      <c r="C28" s="303">
        <f t="shared" ref="C28:P28" si="19">C53-C53*17/100</f>
        <v>22.117425000000001</v>
      </c>
      <c r="D28" s="300">
        <f t="shared" si="19"/>
        <v>24.329167499999997</v>
      </c>
      <c r="E28" s="300">
        <f t="shared" si="19"/>
        <v>26.424502500000003</v>
      </c>
      <c r="F28" s="300">
        <f t="shared" si="19"/>
        <v>28.636245000000006</v>
      </c>
      <c r="G28" s="300">
        <f t="shared" si="19"/>
        <v>30.731579999999997</v>
      </c>
      <c r="H28" s="300">
        <f t="shared" si="19"/>
        <v>32.943322500000001</v>
      </c>
      <c r="I28" s="300">
        <f t="shared" si="19"/>
        <v>35.155065</v>
      </c>
      <c r="J28" s="300">
        <f t="shared" si="19"/>
        <v>37.250399999999999</v>
      </c>
      <c r="K28" s="300">
        <f t="shared" si="19"/>
        <v>39.462142499999999</v>
      </c>
      <c r="L28" s="300">
        <f t="shared" si="19"/>
        <v>41.557477500000005</v>
      </c>
      <c r="M28" s="300">
        <f t="shared" si="19"/>
        <v>43.65281250000001</v>
      </c>
      <c r="N28" s="300">
        <f t="shared" si="19"/>
        <v>45.864555000000003</v>
      </c>
      <c r="O28" s="300">
        <f t="shared" si="19"/>
        <v>48.076297500000003</v>
      </c>
      <c r="P28" s="304">
        <f t="shared" si="19"/>
        <v>50.288040000000009</v>
      </c>
    </row>
    <row r="29" spans="1:16" ht="12.75" customHeight="1">
      <c r="A29" s="1538"/>
      <c r="B29" s="298">
        <v>2.5</v>
      </c>
      <c r="C29" s="303">
        <f t="shared" ref="C29:P29" si="20">C54-C54*17/100</f>
        <v>22.466647500000001</v>
      </c>
      <c r="D29" s="300">
        <f t="shared" si="20"/>
        <v>24.67839</v>
      </c>
      <c r="E29" s="300">
        <f t="shared" si="20"/>
        <v>26.8901325</v>
      </c>
      <c r="F29" s="300">
        <f t="shared" si="20"/>
        <v>29.218282500000001</v>
      </c>
      <c r="G29" s="300">
        <f t="shared" si="20"/>
        <v>31.313617500000003</v>
      </c>
      <c r="H29" s="300">
        <f t="shared" si="20"/>
        <v>33.6417675</v>
      </c>
      <c r="I29" s="300">
        <f t="shared" si="20"/>
        <v>35.853510000000007</v>
      </c>
      <c r="J29" s="300">
        <f t="shared" si="20"/>
        <v>38.065252500000014</v>
      </c>
      <c r="K29" s="300">
        <f t="shared" si="20"/>
        <v>40.276995000000007</v>
      </c>
      <c r="L29" s="300">
        <f t="shared" si="20"/>
        <v>42.605145000000007</v>
      </c>
      <c r="M29" s="300">
        <f t="shared" si="20"/>
        <v>44.700480000000006</v>
      </c>
      <c r="N29" s="300">
        <f t="shared" si="20"/>
        <v>47.02863</v>
      </c>
      <c r="O29" s="300">
        <f t="shared" si="20"/>
        <v>49.240372500000007</v>
      </c>
      <c r="P29" s="304">
        <f t="shared" si="20"/>
        <v>51.452115000000006</v>
      </c>
    </row>
    <row r="30" spans="1:16" ht="12.75" customHeight="1" thickBot="1">
      <c r="A30" s="1539"/>
      <c r="B30" s="299">
        <v>2.5499999999999998</v>
      </c>
      <c r="C30" s="305">
        <f t="shared" ref="C30:P30" si="21">C55-C55*17/100</f>
        <v>22.815870000000004</v>
      </c>
      <c r="D30" s="306">
        <f t="shared" si="21"/>
        <v>25.027612500000004</v>
      </c>
      <c r="E30" s="306">
        <f t="shared" si="21"/>
        <v>27.355762500000001</v>
      </c>
      <c r="F30" s="306">
        <f t="shared" si="21"/>
        <v>29.567505000000001</v>
      </c>
      <c r="G30" s="306">
        <f t="shared" si="21"/>
        <v>32.012062499999999</v>
      </c>
      <c r="H30" s="306">
        <f t="shared" si="21"/>
        <v>34.3402125</v>
      </c>
      <c r="I30" s="306">
        <f t="shared" si="21"/>
        <v>36.551955</v>
      </c>
      <c r="J30" s="306">
        <f t="shared" si="21"/>
        <v>38.880105</v>
      </c>
      <c r="K30" s="306">
        <f t="shared" si="21"/>
        <v>41.0918475</v>
      </c>
      <c r="L30" s="306">
        <f t="shared" si="21"/>
        <v>43.419997500000001</v>
      </c>
      <c r="M30" s="306">
        <f t="shared" si="21"/>
        <v>45.864555000000003</v>
      </c>
      <c r="N30" s="306">
        <f t="shared" si="21"/>
        <v>48.076297500000003</v>
      </c>
      <c r="O30" s="306">
        <f t="shared" si="21"/>
        <v>50.404447500000003</v>
      </c>
      <c r="P30" s="307">
        <f t="shared" si="21"/>
        <v>52.732597499999997</v>
      </c>
    </row>
    <row r="31" spans="1:16" ht="12.75" customHeight="1" thickBot="1">
      <c r="A31" s="385"/>
      <c r="B31" s="385"/>
      <c r="C31" s="385"/>
      <c r="D31" s="385"/>
      <c r="E31" s="385"/>
      <c r="F31" s="385"/>
      <c r="G31" s="385"/>
      <c r="H31" s="385"/>
      <c r="I31" s="385"/>
      <c r="J31" s="385"/>
      <c r="K31" s="385"/>
      <c r="L31" s="385"/>
      <c r="M31" s="385"/>
      <c r="N31" s="385"/>
      <c r="O31" s="385"/>
      <c r="P31" s="385"/>
    </row>
    <row r="32" spans="1:16" ht="13.5" customHeight="1" thickBot="1">
      <c r="A32" s="1413" t="s">
        <v>314</v>
      </c>
      <c r="B32" s="1542"/>
      <c r="C32" s="1534" t="s">
        <v>207</v>
      </c>
      <c r="D32" s="1535"/>
      <c r="E32" s="1535"/>
      <c r="F32" s="1535"/>
      <c r="G32" s="1535"/>
      <c r="H32" s="1535"/>
      <c r="I32" s="1535"/>
      <c r="J32" s="1535"/>
      <c r="K32" s="1535"/>
      <c r="L32" s="1535"/>
      <c r="M32" s="1535"/>
      <c r="N32" s="1535"/>
      <c r="O32" s="1535"/>
      <c r="P32" s="1536"/>
    </row>
    <row r="33" spans="1:16" ht="12" customHeight="1" thickBot="1">
      <c r="A33" s="1543"/>
      <c r="B33" s="1544"/>
      <c r="C33" s="268">
        <v>0.4</v>
      </c>
      <c r="D33" s="268">
        <v>0.5</v>
      </c>
      <c r="E33" s="268">
        <v>0.6</v>
      </c>
      <c r="F33" s="268">
        <v>0.7</v>
      </c>
      <c r="G33" s="268">
        <v>0.8</v>
      </c>
      <c r="H33" s="268">
        <v>0.9</v>
      </c>
      <c r="I33" s="268">
        <v>1</v>
      </c>
      <c r="J33" s="268">
        <v>1.1000000000000001</v>
      </c>
      <c r="K33" s="268">
        <v>1.2</v>
      </c>
      <c r="L33" s="268">
        <v>1.3</v>
      </c>
      <c r="M33" s="268">
        <v>1.4</v>
      </c>
      <c r="N33" s="268">
        <v>1.5</v>
      </c>
      <c r="O33" s="268">
        <v>1.6</v>
      </c>
      <c r="P33" s="269">
        <v>1.7</v>
      </c>
    </row>
    <row r="34" spans="1:16" ht="12" customHeight="1">
      <c r="A34" s="1537" t="s">
        <v>3</v>
      </c>
      <c r="B34" s="271">
        <v>0.5</v>
      </c>
      <c r="C34" s="274">
        <f>(13.5*KFC!$B$19*1.02*1.25*1.1+KFC!$C$19)*KFC!$C$5</f>
        <v>18.93375</v>
      </c>
      <c r="D34" s="275">
        <f>(14.1*KFC!$B$19*1.02*1.25*1.1+KFC!$C$19)*KFC!$C$5</f>
        <v>19.77525</v>
      </c>
      <c r="E34" s="275">
        <f>(14.8*KFC!$B$19*1.02*1.25*1.1+KFC!$C$19)*KFC!$C$5</f>
        <v>20.757000000000001</v>
      </c>
      <c r="F34" s="275">
        <f>(15.4*KFC!$B$19*1.02*1.25*1.1+KFC!$C$19)*KFC!$C$5</f>
        <v>21.598500000000005</v>
      </c>
      <c r="G34" s="275">
        <f>(16.1*KFC!$B$19*1.02*1.25*1.1+KFC!$C$19)*KFC!$C$5</f>
        <v>22.580250000000003</v>
      </c>
      <c r="H34" s="275">
        <f>(16.8*KFC!$B$19*1.02*1.25*1.1+KFC!$C$19)*KFC!$C$5</f>
        <v>23.562000000000005</v>
      </c>
      <c r="I34" s="275">
        <f>(17.4*KFC!$B$19*1.02*1.25*1.1+KFC!$C$19)*KFC!$C$5</f>
        <v>24.403499999999998</v>
      </c>
      <c r="J34" s="275">
        <f>(18.1*KFC!$B$19*1.02*1.25*1.1+KFC!$C$19)*KFC!$C$5</f>
        <v>25.385250000000006</v>
      </c>
      <c r="K34" s="275">
        <f>(18.7*KFC!$B$19*1.02*1.25*1.1+KFC!$C$19)*KFC!$C$5</f>
        <v>26.226749999999999</v>
      </c>
      <c r="L34" s="275">
        <f>(19.3*KFC!$B$19*1.02*1.25*1.1+KFC!$C$19)*KFC!$C$5</f>
        <v>27.068250000000003</v>
      </c>
      <c r="M34" s="275">
        <f>(20.1*KFC!$B$19*1.02*1.25*1.1+KFC!$C$19)*KFC!$C$5</f>
        <v>28.190250000000006</v>
      </c>
      <c r="N34" s="275">
        <f>(20.7*KFC!$B$19*1.02*1.25*1.1+KFC!$C$19)*KFC!$C$5</f>
        <v>29.031750000000006</v>
      </c>
      <c r="O34" s="275">
        <f>(21.4*KFC!$B$19*1.02*1.25*1.1+KFC!$C$19)*KFC!$C$5</f>
        <v>30.013500000000004</v>
      </c>
      <c r="P34" s="276">
        <f>(22*KFC!$B$19*1.02*1.25*1.1+KFC!$C$19)*KFC!$C$5</f>
        <v>30.855000000000004</v>
      </c>
    </row>
    <row r="35" spans="1:16" ht="12" customHeight="1">
      <c r="A35" s="1538"/>
      <c r="B35" s="272">
        <v>0.6</v>
      </c>
      <c r="C35" s="277">
        <f>(13.7*KFC!$B$19*1.02*1.25*1.1+KFC!$C$19)*KFC!$C$5</f>
        <v>19.214250000000003</v>
      </c>
      <c r="D35" s="270">
        <f>(14.4*KFC!$B$19*1.02*1.25*1.1+KFC!$C$19)*KFC!$C$5</f>
        <v>20.196000000000002</v>
      </c>
      <c r="E35" s="270">
        <f>(15.2*KFC!$B$19*1.02*1.25*1.1+KFC!$C$19)*KFC!$C$5</f>
        <v>21.318000000000001</v>
      </c>
      <c r="F35" s="270">
        <f>(15.9*KFC!$B$19*1.02*1.25*1.1+KFC!$C$19)*KFC!$C$5</f>
        <v>22.299750000000003</v>
      </c>
      <c r="G35" s="270">
        <f>(16.6*KFC!$B$19*1.02*1.25*1.1+KFC!$C$19)*KFC!$C$5</f>
        <v>23.281500000000005</v>
      </c>
      <c r="H35" s="270">
        <f>(17.4*KFC!$B$19*1.02*1.25*1.1+KFC!$C$19)*KFC!$C$5</f>
        <v>24.403499999999998</v>
      </c>
      <c r="I35" s="270">
        <f>(18.1*KFC!$B$19*1.02*1.25*1.1+KFC!$C$19)*KFC!$C$5</f>
        <v>25.385250000000006</v>
      </c>
      <c r="J35" s="270">
        <f>(18.7*KFC!$B$19*1.02*1.25*1.1+KFC!$C$19)*KFC!$C$5</f>
        <v>26.226749999999999</v>
      </c>
      <c r="K35" s="270">
        <f>(19.4*KFC!$B$19*1.02*1.25*1.1+KFC!$C$19)*KFC!$C$5</f>
        <v>27.208500000000001</v>
      </c>
      <c r="L35" s="270">
        <f>(20.2*KFC!$B$19*1.02*1.25*1.1+KFC!$C$19)*KFC!$C$5</f>
        <v>28.330500000000001</v>
      </c>
      <c r="M35" s="270">
        <f>(20.9*KFC!$B$19*1.02*1.25*1.1+KFC!$C$19)*KFC!$C$5</f>
        <v>29.312249999999999</v>
      </c>
      <c r="N35" s="270">
        <f>(21.6*KFC!$B$19*1.02*1.25*1.1+KFC!$C$19)*KFC!$C$5</f>
        <v>30.294000000000008</v>
      </c>
      <c r="O35" s="270">
        <f>(22.4*KFC!$B$19*1.02*1.25*1.1+KFC!$C$19)*KFC!$C$5</f>
        <v>31.416</v>
      </c>
      <c r="P35" s="278">
        <f>(23.1*KFC!$B$19*1.02*1.25*1.1+KFC!$C$19)*KFC!$C$5</f>
        <v>32.397750000000002</v>
      </c>
    </row>
    <row r="36" spans="1:16" ht="12" customHeight="1">
      <c r="A36" s="1538"/>
      <c r="B36" s="272">
        <v>0.7</v>
      </c>
      <c r="C36" s="277">
        <f>(14.1*KFC!$B$19*1.02*1.25*1.1+KFC!$C$19)*KFC!$C$5</f>
        <v>19.77525</v>
      </c>
      <c r="D36" s="270">
        <f>(14.8*KFC!$B$19*1.02*1.25*1.1+KFC!$C$19)*KFC!$C$5</f>
        <v>20.757000000000001</v>
      </c>
      <c r="E36" s="270">
        <f>(15.5*KFC!$B$19*1.02*1.25*1.1+KFC!$C$19)*KFC!$C$5</f>
        <v>21.73875</v>
      </c>
      <c r="F36" s="270">
        <f>(16.4*KFC!$B$19*1.02*1.25*1.1+KFC!$C$19)*KFC!$C$5</f>
        <v>23.000999999999998</v>
      </c>
      <c r="G36" s="270">
        <f>(17.1*KFC!$B$19*1.02*1.25*1.1+KFC!$C$19)*KFC!$C$5</f>
        <v>23.982750000000003</v>
      </c>
      <c r="H36" s="270">
        <f>(17.9*KFC!$B$19*1.02*1.25*1.1+KFC!$C$19)*KFC!$C$5</f>
        <v>25.104749999999999</v>
      </c>
      <c r="I36" s="270">
        <f>(18.7*KFC!$B$19*1.02*1.25*1.1+KFC!$C$19)*KFC!$C$5</f>
        <v>26.226749999999999</v>
      </c>
      <c r="J36" s="270">
        <f>(19.4*KFC!$B$19*1.02*1.25*1.1+KFC!$C$19)*KFC!$C$5</f>
        <v>27.208500000000001</v>
      </c>
      <c r="K36" s="270">
        <f>(20.2*KFC!$B$19*1.02*1.25*1.1+KFC!$C$19)*KFC!$C$5</f>
        <v>28.330500000000001</v>
      </c>
      <c r="L36" s="270">
        <f>(21*KFC!$B$19*1.02*1.25*1.1+KFC!$C$19)*KFC!$C$5</f>
        <v>29.452500000000004</v>
      </c>
      <c r="M36" s="270">
        <f>(21.8*KFC!$B$19*1.02*1.25*1.1+KFC!$C$19)*KFC!$C$5</f>
        <v>30.574500000000004</v>
      </c>
      <c r="N36" s="270">
        <f>(22.6*KFC!$B$19*1.02*1.25*1.1+KFC!$C$19)*KFC!$C$5</f>
        <v>31.696500000000007</v>
      </c>
      <c r="O36" s="270">
        <f>(23.4*KFC!$B$19*1.02*1.25*1.1+KFC!$C$19)*KFC!$C$5</f>
        <v>32.8185</v>
      </c>
      <c r="P36" s="278">
        <f>(24.1*KFC!$B$19*1.02*1.25*1.1+KFC!$C$19)*KFC!$C$5</f>
        <v>33.800249999999998</v>
      </c>
    </row>
    <row r="37" spans="1:16" ht="12" customHeight="1">
      <c r="A37" s="1538"/>
      <c r="B37" s="272">
        <v>0.8</v>
      </c>
      <c r="C37" s="277">
        <f>(14.3*KFC!$B$19*1.02*1.25*1.1+KFC!$C$19)*KFC!$C$5</f>
        <v>20.055750000000003</v>
      </c>
      <c r="D37" s="270">
        <f>(15.2*KFC!$B$19*1.02*1.25*1.1+KFC!$C$19)*KFC!$C$5</f>
        <v>21.318000000000001</v>
      </c>
      <c r="E37" s="270">
        <f>(16*KFC!$B$19*1.02*1.25*1.1+KFC!$C$19)*KFC!$C$5</f>
        <v>22.44</v>
      </c>
      <c r="F37" s="270">
        <f>(16.8*KFC!$B$19*1.02*1.25*1.1+KFC!$C$19)*KFC!$C$5</f>
        <v>23.562000000000005</v>
      </c>
      <c r="G37" s="270">
        <f>(17.6*KFC!$B$19*1.02*1.25*1.1+KFC!$C$19)*KFC!$C$5</f>
        <v>24.684000000000005</v>
      </c>
      <c r="H37" s="270">
        <f>(18.5*KFC!$B$19*1.02*1.25*1.1+KFC!$C$19)*KFC!$C$5</f>
        <v>25.946250000000003</v>
      </c>
      <c r="I37" s="270">
        <f>(19.3*KFC!$B$19*1.02*1.25*1.1+KFC!$C$19)*KFC!$C$5</f>
        <v>27.068250000000003</v>
      </c>
      <c r="J37" s="270">
        <f>(20.2*KFC!$B$19*1.02*1.25*1.1+KFC!$C$19)*KFC!$C$5</f>
        <v>28.330500000000001</v>
      </c>
      <c r="K37" s="270">
        <f>(21*KFC!$B$19*1.02*1.25*1.1+KFC!$C$19)*KFC!$C$5</f>
        <v>29.452500000000004</v>
      </c>
      <c r="L37" s="270">
        <f>(21.8*KFC!$B$19*1.02*1.25*1.1+KFC!$C$19)*KFC!$C$5</f>
        <v>30.574500000000004</v>
      </c>
      <c r="M37" s="270">
        <f>(22.6*KFC!$B$19*1.02*1.25*1.1+KFC!$C$19)*KFC!$C$5</f>
        <v>31.696500000000007</v>
      </c>
      <c r="N37" s="270">
        <f>(23.5*KFC!$B$19*1.02*1.25*1.1+KFC!$C$19)*KFC!$C$5</f>
        <v>32.958750000000002</v>
      </c>
      <c r="O37" s="270">
        <f>(24.3*KFC!$B$19*1.02*1.25*1.1+KFC!$C$19)*KFC!$C$5</f>
        <v>34.080750000000002</v>
      </c>
      <c r="P37" s="278">
        <f>(25.2*KFC!$B$19*1.02*1.25*1.1+KFC!$C$19)*KFC!$C$5</f>
        <v>35.343000000000004</v>
      </c>
    </row>
    <row r="38" spans="1:16" ht="12" customHeight="1">
      <c r="A38" s="1538"/>
      <c r="B38" s="272">
        <v>0.9</v>
      </c>
      <c r="C38" s="277">
        <f>(14.6*KFC!$B$19*1.02*1.25*1.1+KFC!$C$19)*KFC!$C$5</f>
        <v>20.476500000000001</v>
      </c>
      <c r="D38" s="270">
        <f>(15.4*KFC!$B$19*1.02*1.25*1.1+KFC!$C$19)*KFC!$C$5</f>
        <v>21.598500000000005</v>
      </c>
      <c r="E38" s="270">
        <f>(16.4*KFC!$B$19*1.02*1.25*1.1+KFC!$C$19)*KFC!$C$5</f>
        <v>23.000999999999998</v>
      </c>
      <c r="F38" s="270">
        <f>(17.2*KFC!$B$19*1.02*1.25*1.1+KFC!$C$19)*KFC!$C$5</f>
        <v>24.123000000000001</v>
      </c>
      <c r="G38" s="270">
        <f>(18.1*KFC!$B$19*1.02*1.25*1.1+KFC!$C$19)*KFC!$C$5</f>
        <v>25.385250000000006</v>
      </c>
      <c r="H38" s="270">
        <f>(19.1*KFC!$B$19*1.02*1.25*1.1+KFC!$C$19)*KFC!$C$5</f>
        <v>26.787750000000006</v>
      </c>
      <c r="I38" s="270">
        <f>(19.9*KFC!$B$19*1.02*1.25*1.1+KFC!$C$19)*KFC!$C$5</f>
        <v>27.909750000000003</v>
      </c>
      <c r="J38" s="270">
        <f>(20.8*KFC!$B$19*1.02*1.25*1.1+KFC!$C$19)*KFC!$C$5</f>
        <v>29.172000000000004</v>
      </c>
      <c r="K38" s="270">
        <f>(21.8*KFC!$B$19*1.02*1.25*1.1+KFC!$C$19)*KFC!$C$5</f>
        <v>30.574500000000004</v>
      </c>
      <c r="L38" s="270">
        <f>(22.6*KFC!$B$19*1.02*1.25*1.1+KFC!$C$19)*KFC!$C$5</f>
        <v>31.696500000000007</v>
      </c>
      <c r="M38" s="270">
        <f>(23.6*KFC!$B$19*1.02*1.25*1.1+KFC!$C$19)*KFC!$C$5</f>
        <v>33.099000000000004</v>
      </c>
      <c r="N38" s="270">
        <f>(24.5*KFC!$B$19*1.02*1.25*1.1+KFC!$C$19)*KFC!$C$5</f>
        <v>34.361250000000005</v>
      </c>
      <c r="O38" s="270">
        <f>(25.3*KFC!$B$19*1.02*1.25*1.1+KFC!$C$19)*KFC!$C$5</f>
        <v>35.483250000000005</v>
      </c>
      <c r="P38" s="278">
        <f>(26.3*KFC!$B$19*1.02*1.25*1.1+KFC!$C$19)*KFC!$C$5</f>
        <v>36.885750000000002</v>
      </c>
    </row>
    <row r="39" spans="1:16" ht="12" customHeight="1">
      <c r="A39" s="1538"/>
      <c r="B39" s="272">
        <v>1</v>
      </c>
      <c r="C39" s="277">
        <f>(14.8*KFC!$B$19*1.02*1.25*1.1+KFC!$C$19)*KFC!$C$5</f>
        <v>20.757000000000001</v>
      </c>
      <c r="D39" s="270">
        <f>(15.8*KFC!$B$19*1.02*1.25*1.1+KFC!$C$19)*KFC!$C$5</f>
        <v>22.159500000000001</v>
      </c>
      <c r="E39" s="270">
        <f>(16.8*KFC!$B$19*1.02*1.25*1.1+KFC!$C$19)*KFC!$C$5</f>
        <v>23.562000000000005</v>
      </c>
      <c r="F39" s="270">
        <f>(17.7*KFC!$B$19*1.02*1.25*1.1+KFC!$C$19)*KFC!$C$5</f>
        <v>24.824249999999999</v>
      </c>
      <c r="G39" s="270">
        <f>(18.7*KFC!$B$19*1.02*1.25*1.1+KFC!$C$19)*KFC!$C$5</f>
        <v>26.226749999999999</v>
      </c>
      <c r="H39" s="270">
        <f>(19.7*KFC!$B$19*1.02*1.25*1.1+KFC!$C$19)*KFC!$C$5</f>
        <v>27.629250000000003</v>
      </c>
      <c r="I39" s="270">
        <f>(20.5*KFC!$B$19*1.02*1.25*1.1+KFC!$C$19)*KFC!$C$5</f>
        <v>28.751250000000002</v>
      </c>
      <c r="J39" s="270">
        <f>(21.5*KFC!$B$19*1.02*1.25*1.1+KFC!$C$19)*KFC!$C$5</f>
        <v>30.153750000000002</v>
      </c>
      <c r="K39" s="270">
        <f>(22.5*KFC!$B$19*1.02*1.25*1.1+KFC!$C$19)*KFC!$C$5</f>
        <v>31.556250000000002</v>
      </c>
      <c r="L39" s="270">
        <f>(23.5*KFC!$B$19*1.02*1.25*1.1+KFC!$C$19)*KFC!$C$5</f>
        <v>32.958750000000002</v>
      </c>
      <c r="M39" s="270">
        <f>(24.5*KFC!$B$19*1.02*1.25*1.1+KFC!$C$19)*KFC!$C$5</f>
        <v>34.361250000000005</v>
      </c>
      <c r="N39" s="270">
        <f>(25.4*KFC!$B$19*1.02*1.25*1.1+KFC!$C$19)*KFC!$C$5</f>
        <v>35.6235</v>
      </c>
      <c r="O39" s="270">
        <f>(26.3*KFC!$B$19*1.02*1.25*1.1+KFC!$C$19)*KFC!$C$5</f>
        <v>36.885750000000002</v>
      </c>
      <c r="P39" s="278">
        <f>(27.3*KFC!$B$19*1.02*1.25*1.1+KFC!$C$19)*KFC!$C$5</f>
        <v>38.288249999999998</v>
      </c>
    </row>
    <row r="40" spans="1:16" ht="12" customHeight="1">
      <c r="A40" s="1538"/>
      <c r="B40" s="272">
        <v>1.1000000000000001</v>
      </c>
      <c r="C40" s="277">
        <f>(15.2*KFC!$B$19*1.02*1.25*1.1+KFC!$C$19)*KFC!$C$5</f>
        <v>21.318000000000001</v>
      </c>
      <c r="D40" s="270">
        <f>(16.1*KFC!$B$19*1.02*1.25*1.1+KFC!$C$19)*KFC!$C$5</f>
        <v>22.580250000000003</v>
      </c>
      <c r="E40" s="270">
        <f>(17.1*KFC!$B$19*1.02*1.25*1.1+KFC!$C$19)*KFC!$C$5</f>
        <v>23.982750000000003</v>
      </c>
      <c r="F40" s="270">
        <f>(18.2*KFC!$B$19*1.02*1.25*1.1+KFC!$C$19)*KFC!$C$5</f>
        <v>25.525500000000001</v>
      </c>
      <c r="G40" s="270">
        <f>(19.2*KFC!$B$19*1.02*1.25*1.1+KFC!$C$19)*KFC!$C$5</f>
        <v>26.928000000000004</v>
      </c>
      <c r="H40" s="270">
        <f>(20.2*KFC!$B$19*1.02*1.25*1.1+KFC!$C$19)*KFC!$C$5</f>
        <v>28.330500000000001</v>
      </c>
      <c r="I40" s="270">
        <f>(21.3*KFC!$B$19*1.02*1.25*1.1+KFC!$C$19)*KFC!$C$5</f>
        <v>29.873250000000006</v>
      </c>
      <c r="J40" s="270">
        <f>(22.3*KFC!$B$19*1.02*1.25*1.1+KFC!$C$19)*KFC!$C$5</f>
        <v>31.275750000000009</v>
      </c>
      <c r="K40" s="270">
        <f>(23.2*KFC!$B$19*1.02*1.25*1.1+KFC!$C$19)*KFC!$C$5</f>
        <v>32.538000000000004</v>
      </c>
      <c r="L40" s="270">
        <f>(24.3*KFC!$B$19*1.02*1.25*1.1+KFC!$C$19)*KFC!$C$5</f>
        <v>34.080750000000002</v>
      </c>
      <c r="M40" s="270">
        <f>(25.3*KFC!$B$19*1.02*1.25*1.1+KFC!$C$19)*KFC!$C$5</f>
        <v>35.483250000000005</v>
      </c>
      <c r="N40" s="270">
        <f>(26.3*KFC!$B$19*1.02*1.25*1.1+KFC!$C$19)*KFC!$C$5</f>
        <v>36.885750000000002</v>
      </c>
      <c r="O40" s="270">
        <f>(27.3*KFC!$B$19*1.02*1.25*1.1+KFC!$C$19)*KFC!$C$5</f>
        <v>38.288249999999998</v>
      </c>
      <c r="P40" s="278">
        <f>(28.4*KFC!$B$19*1.02*1.25*1.1+KFC!$C$19)*KFC!$C$5</f>
        <v>39.831000000000003</v>
      </c>
    </row>
    <row r="41" spans="1:16" ht="12" customHeight="1">
      <c r="A41" s="1538"/>
      <c r="B41" s="272">
        <v>1.2</v>
      </c>
      <c r="C41" s="277">
        <f>(15.4*KFC!$B$19*1.02*1.25*1.1+KFC!$C$19)*KFC!$C$5</f>
        <v>21.598500000000005</v>
      </c>
      <c r="D41" s="270">
        <f>(16.5*KFC!$B$19*1.02*1.25*1.1+KFC!$C$19)*KFC!$C$5</f>
        <v>23.141250000000003</v>
      </c>
      <c r="E41" s="270">
        <f>(17.6*KFC!$B$19*1.02*1.25*1.1+KFC!$C$19)*KFC!$C$5</f>
        <v>24.684000000000005</v>
      </c>
      <c r="F41" s="270">
        <f>(18.6*KFC!$B$19*1.02*1.25*1.1+KFC!$C$19)*KFC!$C$5</f>
        <v>26.086500000000004</v>
      </c>
      <c r="G41" s="270">
        <f>(19.7*KFC!$B$19*1.02*1.25*1.1+KFC!$C$19)*KFC!$C$5</f>
        <v>27.629250000000003</v>
      </c>
      <c r="H41" s="270">
        <f>(20.8*KFC!$B$19*1.02*1.25*1.1+KFC!$C$19)*KFC!$C$5</f>
        <v>29.172000000000004</v>
      </c>
      <c r="I41" s="270">
        <f>(21.9*KFC!$B$19*1.02*1.25*1.1+KFC!$C$19)*KFC!$C$5</f>
        <v>30.714749999999999</v>
      </c>
      <c r="J41" s="270">
        <f>(23*KFC!$B$19*1.02*1.25*1.1+KFC!$C$19)*KFC!$C$5</f>
        <v>32.257500000000007</v>
      </c>
      <c r="K41" s="270">
        <f>(24*KFC!$B$19*1.02*1.25*1.1+KFC!$C$19)*KFC!$C$5</f>
        <v>33.660000000000004</v>
      </c>
      <c r="L41" s="270">
        <f>(25.1*KFC!$B$19*1.02*1.25*1.1+KFC!$C$19)*KFC!$C$5</f>
        <v>35.202750000000002</v>
      </c>
      <c r="M41" s="270">
        <f>(26.2*KFC!$B$19*1.02*1.25*1.1+KFC!$C$19)*KFC!$C$5</f>
        <v>36.745500000000007</v>
      </c>
      <c r="N41" s="270">
        <f>(27.3*KFC!$B$19*1.02*1.25*1.1+KFC!$C$19)*KFC!$C$5</f>
        <v>38.288249999999998</v>
      </c>
      <c r="O41" s="270">
        <f>(28.4*KFC!$B$19*1.02*1.25*1.1+KFC!$C$19)*KFC!$C$5</f>
        <v>39.831000000000003</v>
      </c>
      <c r="P41" s="278">
        <f>(29.4*KFC!$B$19*1.02*1.25*1.1+KFC!$C$19)*KFC!$C$5</f>
        <v>41.233499999999999</v>
      </c>
    </row>
    <row r="42" spans="1:16" ht="12" customHeight="1">
      <c r="A42" s="1538"/>
      <c r="B42" s="272">
        <v>1.3</v>
      </c>
      <c r="C42" s="277">
        <f>(15.7*KFC!$B$19*1.02*1.25*1.1+KFC!$C$19)*KFC!$C$5</f>
        <v>22.01925</v>
      </c>
      <c r="D42" s="270">
        <f>(16.8*KFC!$B$19*1.02*1.25*1.1+KFC!$C$19)*KFC!$C$5</f>
        <v>23.562000000000005</v>
      </c>
      <c r="E42" s="270">
        <f>(18*KFC!$B$19*1.02*1.25*1.1+KFC!$C$19)*KFC!$C$5</f>
        <v>25.245000000000001</v>
      </c>
      <c r="F42" s="270">
        <f>(19.1*KFC!$B$19*1.02*1.25*1.1+KFC!$C$19)*KFC!$C$5</f>
        <v>26.787750000000006</v>
      </c>
      <c r="G42" s="270">
        <f>(20.2*KFC!$B$19*1.02*1.25*1.1+KFC!$C$19)*KFC!$C$5</f>
        <v>28.330500000000001</v>
      </c>
      <c r="H42" s="270">
        <f>(21.4*KFC!$B$19*1.02*1.25*1.1+KFC!$C$19)*KFC!$C$5</f>
        <v>30.013500000000004</v>
      </c>
      <c r="I42" s="270">
        <f>(22.5*KFC!$B$19*1.02*1.25*1.1+KFC!$C$19)*KFC!$C$5</f>
        <v>31.556250000000002</v>
      </c>
      <c r="J42" s="270">
        <f>(23.6*KFC!$B$19*1.02*1.25*1.1+KFC!$C$19)*KFC!$C$5</f>
        <v>33.099000000000004</v>
      </c>
      <c r="K42" s="270">
        <f>(24.8*KFC!$B$19*1.02*1.25*1.1+KFC!$C$19)*KFC!$C$5</f>
        <v>34.782000000000011</v>
      </c>
      <c r="L42" s="270">
        <f>(25.9*KFC!$B$19*1.02*1.25*1.1+KFC!$C$19)*KFC!$C$5</f>
        <v>36.324750000000002</v>
      </c>
      <c r="M42" s="270">
        <f>(27*KFC!$B$19*1.02*1.25*1.1+KFC!$C$19)*KFC!$C$5</f>
        <v>37.8675</v>
      </c>
      <c r="N42" s="270">
        <f>(28.1*KFC!$B$19*1.02*1.25*1.1+KFC!$C$19)*KFC!$C$5</f>
        <v>39.410250000000005</v>
      </c>
      <c r="O42" s="270">
        <f>(29.4*KFC!$B$19*1.02*1.25*1.1+KFC!$C$19)*KFC!$C$5</f>
        <v>41.233499999999999</v>
      </c>
      <c r="P42" s="278">
        <f>(30.5*KFC!$B$19*1.02*1.25*1.1+KFC!$C$19)*KFC!$C$5</f>
        <v>42.776250000000005</v>
      </c>
    </row>
    <row r="43" spans="1:16" ht="12" customHeight="1">
      <c r="A43" s="1538"/>
      <c r="B43" s="272">
        <v>1.4</v>
      </c>
      <c r="C43" s="277">
        <f>(15.9*KFC!$B$19*1.02*1.25*1.1+KFC!$C$19)*KFC!$C$5</f>
        <v>22.299750000000003</v>
      </c>
      <c r="D43" s="270">
        <f>(17.1*KFC!$B$19*1.02*1.25*1.1+KFC!$C$19)*KFC!$C$5</f>
        <v>23.982750000000003</v>
      </c>
      <c r="E43" s="270">
        <f>(18.3*KFC!$B$19*1.02*1.25*1.1+KFC!$C$19)*KFC!$C$5</f>
        <v>25.665750000000003</v>
      </c>
      <c r="F43" s="270">
        <f>(19.6*KFC!$B$19*1.02*1.25*1.1+KFC!$C$19)*KFC!$C$5</f>
        <v>27.489000000000004</v>
      </c>
      <c r="G43" s="270">
        <f>(20.8*KFC!$B$19*1.02*1.25*1.1+KFC!$C$19)*KFC!$C$5</f>
        <v>29.172000000000004</v>
      </c>
      <c r="H43" s="270">
        <f>(21.9*KFC!$B$19*1.02*1.25*1.1+KFC!$C$19)*KFC!$C$5</f>
        <v>30.714749999999999</v>
      </c>
      <c r="I43" s="270">
        <f>(23.1*KFC!$B$19*1.02*1.25*1.1+KFC!$C$19)*KFC!$C$5</f>
        <v>32.397750000000002</v>
      </c>
      <c r="J43" s="270">
        <f>(24.3*KFC!$B$19*1.02*1.25*1.1+KFC!$C$19)*KFC!$C$5</f>
        <v>34.080750000000002</v>
      </c>
      <c r="K43" s="270">
        <f>(25.6*KFC!$B$19*1.02*1.25*1.1+KFC!$C$19)*KFC!$C$5</f>
        <v>35.904000000000003</v>
      </c>
      <c r="L43" s="270">
        <f>(26.8*KFC!$B$19*1.02*1.25*1.1+KFC!$C$19)*KFC!$C$5</f>
        <v>37.587000000000003</v>
      </c>
      <c r="M43" s="270">
        <f>(27.9*KFC!$B$19*1.02*1.25*1.1+KFC!$C$19)*KFC!$C$5</f>
        <v>39.129750000000001</v>
      </c>
      <c r="N43" s="270">
        <f>(29.1*KFC!$B$19*1.02*1.25*1.1+KFC!$C$19)*KFC!$C$5</f>
        <v>40.812750000000008</v>
      </c>
      <c r="O43" s="270">
        <f>(30.3*KFC!$B$19*1.02*1.25*1.1+KFC!$C$19)*KFC!$C$5</f>
        <v>42.495750000000001</v>
      </c>
      <c r="P43" s="278">
        <f>(31.6*KFC!$B$19*1.02*1.25*1.1+KFC!$C$19)*KFC!$C$5</f>
        <v>44.319000000000003</v>
      </c>
    </row>
    <row r="44" spans="1:16" ht="12" customHeight="1">
      <c r="A44" s="1538"/>
      <c r="B44" s="272">
        <v>1.5</v>
      </c>
      <c r="C44" s="277">
        <f>(16.3*KFC!$B$19*1.02*1.25*1.1+KFC!$C$19)*KFC!$C$5</f>
        <v>22.860750000000003</v>
      </c>
      <c r="D44" s="270">
        <f>(17.5*KFC!$B$19*1.02*1.25*1.1+KFC!$C$19)*KFC!$C$5</f>
        <v>24.543750000000003</v>
      </c>
      <c r="E44" s="270">
        <f>(18.7*KFC!$B$19*1.02*1.25*1.1+KFC!$C$19)*KFC!$C$5</f>
        <v>26.226749999999999</v>
      </c>
      <c r="F44" s="270">
        <f>(20.1*KFC!$B$19*1.02*1.25*1.1+KFC!$C$19)*KFC!$C$5</f>
        <v>28.190250000000006</v>
      </c>
      <c r="G44" s="270">
        <f>(21.3*KFC!$B$19*1.02*1.25*1.1+KFC!$C$19)*KFC!$C$5</f>
        <v>29.873250000000006</v>
      </c>
      <c r="H44" s="270">
        <f>(22.5*KFC!$B$19*1.02*1.25*1.1+KFC!$C$19)*KFC!$C$5</f>
        <v>31.556250000000002</v>
      </c>
      <c r="I44" s="270">
        <f>(23.7*KFC!$B$19*1.02*1.25*1.1+KFC!$C$19)*KFC!$C$5</f>
        <v>33.239250000000006</v>
      </c>
      <c r="J44" s="270">
        <f>(25.1*KFC!$B$19*1.02*1.25*1.1+KFC!$C$19)*KFC!$C$5</f>
        <v>35.202750000000002</v>
      </c>
      <c r="K44" s="270">
        <f>(26.3*KFC!$B$19*1.02*1.25*1.1+KFC!$C$19)*KFC!$C$5</f>
        <v>36.885750000000002</v>
      </c>
      <c r="L44" s="270">
        <f>(27.5*KFC!$B$19*1.02*1.25*1.1+KFC!$C$19)*KFC!$C$5</f>
        <v>38.568750000000001</v>
      </c>
      <c r="M44" s="270">
        <f>(28.9*KFC!$B$19*1.02*1.25*1.1+KFC!$C$19)*KFC!$C$5</f>
        <v>40.532249999999998</v>
      </c>
      <c r="N44" s="270">
        <f>(30.1*KFC!$B$19*1.02*1.25*1.1+KFC!$C$19)*KFC!$C$5</f>
        <v>42.215250000000012</v>
      </c>
      <c r="O44" s="270">
        <f>(31.3*KFC!$B$19*1.02*1.25*1.1+KFC!$C$19)*KFC!$C$5</f>
        <v>43.898250000000004</v>
      </c>
      <c r="P44" s="278">
        <f>(32.5*KFC!$B$19*1.02*1.25*1.1+KFC!$C$19)*KFC!$C$5</f>
        <v>45.581250000000004</v>
      </c>
    </row>
    <row r="45" spans="1:16" ht="12" customHeight="1">
      <c r="A45" s="1538"/>
      <c r="B45" s="272">
        <v>1.6</v>
      </c>
      <c r="C45" s="277">
        <f>(16.5*KFC!$B$19*1.02*1.25*1.1+KFC!$C$19)*KFC!$C$5</f>
        <v>23.141250000000003</v>
      </c>
      <c r="D45" s="270">
        <f>(17.9*KFC!$B$19*1.02*1.25*1.1+KFC!$C$19)*KFC!$C$5</f>
        <v>25.104749999999999</v>
      </c>
      <c r="E45" s="270">
        <f>(19.2*KFC!$B$19*1.02*1.25*1.1+KFC!$C$19)*KFC!$C$5</f>
        <v>26.928000000000004</v>
      </c>
      <c r="F45" s="270">
        <f>(20.4*KFC!$B$19*1.02*1.25*1.1+KFC!$C$19)*KFC!$C$5</f>
        <v>28.611000000000001</v>
      </c>
      <c r="G45" s="270">
        <f>(21.8*KFC!$B$19*1.02*1.25*1.1+KFC!$C$19)*KFC!$C$5</f>
        <v>30.574500000000004</v>
      </c>
      <c r="H45" s="270">
        <f>(23.1*KFC!$B$19*1.02*1.25*1.1+KFC!$C$19)*KFC!$C$5</f>
        <v>32.397750000000002</v>
      </c>
      <c r="I45" s="270">
        <f>(24.5*KFC!$B$19*1.02*1.25*1.1+KFC!$C$19)*KFC!$C$5</f>
        <v>34.361250000000005</v>
      </c>
      <c r="J45" s="270">
        <f>(25.7*KFC!$B$19*1.02*1.25*1.1+KFC!$C$19)*KFC!$C$5</f>
        <v>36.044249999999998</v>
      </c>
      <c r="K45" s="270">
        <f>(27*KFC!$B$19*1.02*1.25*1.1+KFC!$C$19)*KFC!$C$5</f>
        <v>37.8675</v>
      </c>
      <c r="L45" s="270">
        <f>(28.4*KFC!$B$19*1.02*1.25*1.1+KFC!$C$19)*KFC!$C$5</f>
        <v>39.831000000000003</v>
      </c>
      <c r="M45" s="270">
        <f>(29.7*KFC!$B$19*1.02*1.25*1.1+KFC!$C$19)*KFC!$C$5</f>
        <v>41.654250000000005</v>
      </c>
      <c r="N45" s="270">
        <f>(30.9*KFC!$B$19*1.02*1.25*1.1+KFC!$C$19)*KFC!$C$5</f>
        <v>43.337250000000004</v>
      </c>
      <c r="O45" s="270">
        <f>(32.3*KFC!$B$19*1.02*1.25*1.1+KFC!$C$19)*KFC!$C$5</f>
        <v>45.300750000000001</v>
      </c>
      <c r="P45" s="278">
        <f>(33.6*KFC!$B$19*1.02*1.25*1.1+KFC!$C$19)*KFC!$C$5</f>
        <v>47.124000000000009</v>
      </c>
    </row>
    <row r="46" spans="1:16" ht="12" customHeight="1">
      <c r="A46" s="1538"/>
      <c r="B46" s="272">
        <v>1.7</v>
      </c>
      <c r="C46" s="277">
        <f>(16.8*KFC!$B$19*1.02*1.25*1.1+KFC!$C$19)*KFC!$C$5</f>
        <v>23.562000000000005</v>
      </c>
      <c r="D46" s="270">
        <f>(18.2*KFC!$B$19*1.02*1.25*1.1+KFC!$C$19)*KFC!$C$5</f>
        <v>25.525500000000001</v>
      </c>
      <c r="E46" s="270">
        <f>(19.6*KFC!$B$19*1.02*1.25*1.1+KFC!$C$19)*KFC!$C$5</f>
        <v>27.489000000000004</v>
      </c>
      <c r="F46" s="270">
        <f>(20.9*KFC!$B$19*1.02*1.25*1.1+KFC!$C$19)*KFC!$C$5</f>
        <v>29.312249999999999</v>
      </c>
      <c r="G46" s="270">
        <f>(22.3*KFC!$B$19*1.02*1.25*1.1+KFC!$C$19)*KFC!$C$5</f>
        <v>31.275750000000009</v>
      </c>
      <c r="H46" s="270">
        <f>(23.7*KFC!$B$19*1.02*1.25*1.1+KFC!$C$19)*KFC!$C$5</f>
        <v>33.239250000000006</v>
      </c>
      <c r="I46" s="270">
        <f>(25.1*KFC!$B$19*1.02*1.25*1.1+KFC!$C$19)*KFC!$C$5</f>
        <v>35.202750000000002</v>
      </c>
      <c r="J46" s="270">
        <f>(26.4*KFC!$B$19*1.02*1.25*1.1+KFC!$C$19)*KFC!$C$5</f>
        <v>37.025999999999996</v>
      </c>
      <c r="K46" s="270">
        <f>(27.8*KFC!$B$19*1.02*1.25*1.1+KFC!$C$19)*KFC!$C$5</f>
        <v>38.989500000000007</v>
      </c>
      <c r="L46" s="270">
        <f>(29.2*KFC!$B$19*1.02*1.25*1.1+KFC!$C$19)*KFC!$C$5</f>
        <v>40.953000000000003</v>
      </c>
      <c r="M46" s="270">
        <f>(30.6*KFC!$B$19*1.02*1.25*1.1+KFC!$C$19)*KFC!$C$5</f>
        <v>42.916500000000006</v>
      </c>
      <c r="N46" s="270">
        <f>(31.9*KFC!$B$19*1.02*1.25*1.1+KFC!$C$19)*KFC!$C$5</f>
        <v>44.739750000000001</v>
      </c>
      <c r="O46" s="270">
        <f>(33.3*KFC!$B$19*1.02*1.25*1.1+KFC!$C$19)*KFC!$C$5</f>
        <v>46.703250000000004</v>
      </c>
      <c r="P46" s="278">
        <f>(34.7*KFC!$B$19*1.02*1.25*1.1+KFC!$C$19)*KFC!$C$5</f>
        <v>48.666750000000015</v>
      </c>
    </row>
    <row r="47" spans="1:16" ht="12" customHeight="1">
      <c r="A47" s="1538"/>
      <c r="B47" s="272">
        <v>1.8</v>
      </c>
      <c r="C47" s="277">
        <f>(17.1*KFC!$B$19*1.02*1.25*1.1+KFC!$C$19)*KFC!$C$5</f>
        <v>23.982750000000003</v>
      </c>
      <c r="D47" s="270">
        <f>(18.5*KFC!$B$19*1.02*1.25*1.1+KFC!$C$19)*KFC!$C$5</f>
        <v>25.946250000000003</v>
      </c>
      <c r="E47" s="270">
        <f>(19.9*KFC!$B$19*1.02*1.25*1.1+KFC!$C$19)*KFC!$C$5</f>
        <v>27.909750000000003</v>
      </c>
      <c r="F47" s="270">
        <f>(21.4*KFC!$B$19*1.02*1.25*1.1+KFC!$C$19)*KFC!$C$5</f>
        <v>30.013500000000004</v>
      </c>
      <c r="G47" s="270">
        <f>(22.9*KFC!$B$19*1.02*1.25*1.1+KFC!$C$19)*KFC!$C$5</f>
        <v>32.117250000000006</v>
      </c>
      <c r="H47" s="270">
        <f>(24.2*KFC!$B$19*1.02*1.25*1.1+KFC!$C$19)*KFC!$C$5</f>
        <v>33.9405</v>
      </c>
      <c r="I47" s="270">
        <f>(25.7*KFC!$B$19*1.02*1.25*1.1+KFC!$C$19)*KFC!$C$5</f>
        <v>36.044249999999998</v>
      </c>
      <c r="J47" s="270">
        <f>(27.2*KFC!$B$19*1.02*1.25*1.1+KFC!$C$19)*KFC!$C$5</f>
        <v>38.148000000000003</v>
      </c>
      <c r="K47" s="270">
        <f>(28.6*KFC!$B$19*1.02*1.25*1.1+KFC!$C$19)*KFC!$C$5</f>
        <v>40.111500000000007</v>
      </c>
      <c r="L47" s="270">
        <f>(30*KFC!$B$19*1.02*1.25*1.1+KFC!$C$19)*KFC!$C$5</f>
        <v>42.075000000000003</v>
      </c>
      <c r="M47" s="270">
        <f>(31.4*KFC!$B$19*1.02*1.25*1.1+KFC!$C$19)*KFC!$C$5</f>
        <v>44.038499999999999</v>
      </c>
      <c r="N47" s="270">
        <f>(32.9*KFC!$B$19*1.02*1.25*1.1+KFC!$C$19)*KFC!$C$5</f>
        <v>46.142250000000004</v>
      </c>
      <c r="O47" s="270">
        <f>(34.4*KFC!$B$19*1.02*1.25*1.1+KFC!$C$19)*KFC!$C$5</f>
        <v>48.246000000000002</v>
      </c>
      <c r="P47" s="278">
        <f>(35.7*KFC!$B$19*1.02*1.25*1.1+KFC!$C$19)*KFC!$C$5</f>
        <v>50.069250000000004</v>
      </c>
    </row>
    <row r="48" spans="1:16" ht="12" customHeight="1">
      <c r="A48" s="1538"/>
      <c r="B48" s="272">
        <v>1.9</v>
      </c>
      <c r="C48" s="277">
        <f>(17.6*KFC!$B$19*1.02*1.25*1.1+KFC!$C$19)*KFC!$C$5</f>
        <v>24.684000000000005</v>
      </c>
      <c r="D48" s="270">
        <f>(19.2*KFC!$B$19*1.02*1.25*1.1+KFC!$C$19)*KFC!$C$5</f>
        <v>26.928000000000004</v>
      </c>
      <c r="E48" s="270">
        <f>(20.8*KFC!$B$19*1.02*1.25*1.1+KFC!$C$19)*KFC!$C$5</f>
        <v>29.172000000000004</v>
      </c>
      <c r="F48" s="270">
        <f>(22.3*KFC!$B$19*1.02*1.25*1.1+KFC!$C$19)*KFC!$C$5</f>
        <v>31.275750000000009</v>
      </c>
      <c r="G48" s="270">
        <f>(23.8*KFC!$B$19*1.02*1.25*1.1+KFC!$C$19)*KFC!$C$5</f>
        <v>33.3795</v>
      </c>
      <c r="H48" s="270">
        <f>(25.4*KFC!$B$19*1.02*1.25*1.1+KFC!$C$19)*KFC!$C$5</f>
        <v>35.6235</v>
      </c>
      <c r="I48" s="270">
        <f>(26.9*KFC!$B$19*1.02*1.25*1.1+KFC!$C$19)*KFC!$C$5</f>
        <v>37.727250000000005</v>
      </c>
      <c r="J48" s="270">
        <f>(28.5*KFC!$B$19*1.02*1.25*1.1+KFC!$C$19)*KFC!$C$5</f>
        <v>39.971250000000005</v>
      </c>
      <c r="K48" s="270">
        <f>(30.1*KFC!$B$19*1.02*1.25*1.1+KFC!$C$19)*KFC!$C$5</f>
        <v>42.215250000000012</v>
      </c>
      <c r="L48" s="270">
        <f>(31.7*KFC!$B$19*1.02*1.25*1.1+KFC!$C$19)*KFC!$C$5</f>
        <v>44.459250000000011</v>
      </c>
      <c r="M48" s="270">
        <f>(33.1*KFC!$B$19*1.02*1.25*1.1+KFC!$C$19)*KFC!$C$5</f>
        <v>46.422750000000008</v>
      </c>
      <c r="N48" s="270">
        <f>(34.7*KFC!$B$19*1.02*1.25*1.1+KFC!$C$19)*KFC!$C$5</f>
        <v>48.666750000000015</v>
      </c>
      <c r="O48" s="270">
        <f>(36.3*KFC!$B$19*1.02*1.25*1.1+KFC!$C$19)*KFC!$C$5</f>
        <v>50.91075</v>
      </c>
      <c r="P48" s="278">
        <f>(37.9*KFC!$B$19*1.02*1.25*1.1+KFC!$C$19)*KFC!$C$5</f>
        <v>53.154750000000007</v>
      </c>
    </row>
    <row r="49" spans="1:16" ht="12" customHeight="1">
      <c r="A49" s="1538"/>
      <c r="B49" s="272">
        <v>2</v>
      </c>
      <c r="C49" s="277">
        <f>(17.9*KFC!$B$19*1.02*1.25*1.1+KFC!$C$19)*KFC!$C$5</f>
        <v>25.104749999999999</v>
      </c>
      <c r="D49" s="270">
        <f>(19.6*KFC!$B$19*1.02*1.25*1.1+KFC!$C$19)*KFC!$C$5</f>
        <v>27.489000000000004</v>
      </c>
      <c r="E49" s="270">
        <f>(21.2*KFC!$B$19*1.02*1.25*1.1+KFC!$C$19)*KFC!$C$5</f>
        <v>29.733000000000001</v>
      </c>
      <c r="F49" s="270">
        <f>(22.7*KFC!$B$19*1.02*1.25*1.1+KFC!$C$19)*KFC!$C$5</f>
        <v>31.836750000000002</v>
      </c>
      <c r="G49" s="270">
        <f>(24.3*KFC!$B$19*1.02*1.25*1.1+KFC!$C$19)*KFC!$C$5</f>
        <v>34.080750000000002</v>
      </c>
      <c r="H49" s="270">
        <f>(25.9*KFC!$B$19*1.02*1.25*1.1+KFC!$C$19)*KFC!$C$5</f>
        <v>36.324750000000002</v>
      </c>
      <c r="I49" s="270">
        <f>(27.6*KFC!$B$19*1.02*1.25*1.1+KFC!$C$19)*KFC!$C$5</f>
        <v>38.709000000000003</v>
      </c>
      <c r="J49" s="270">
        <f>(29.2*KFC!$B$19*1.02*1.25*1.1+KFC!$C$19)*KFC!$C$5</f>
        <v>40.953000000000003</v>
      </c>
      <c r="K49" s="270">
        <f>(30.8*KFC!$B$19*1.02*1.25*1.1+KFC!$C$19)*KFC!$C$5</f>
        <v>43.19700000000001</v>
      </c>
      <c r="L49" s="270">
        <f>(32.4*KFC!$B$19*1.02*1.25*1.1+KFC!$C$19)*KFC!$C$5</f>
        <v>45.44100000000001</v>
      </c>
      <c r="M49" s="270">
        <f>(34.1*KFC!$B$19*1.02*1.25*1.1+KFC!$C$19)*KFC!$C$5</f>
        <v>47.825250000000011</v>
      </c>
      <c r="N49" s="270">
        <f>(35.7*KFC!$B$19*1.02*1.25*1.1+KFC!$C$19)*KFC!$C$5</f>
        <v>50.069250000000004</v>
      </c>
      <c r="O49" s="270">
        <f>(37.3*KFC!$B$19*1.02*1.25*1.1+KFC!$C$19)*KFC!$C$5</f>
        <v>52.313250000000004</v>
      </c>
      <c r="P49" s="278">
        <f>(38.9*KFC!$B$19*1.02*1.25*1.1+KFC!$C$19)*KFC!$C$5</f>
        <v>54.557250000000003</v>
      </c>
    </row>
    <row r="50" spans="1:16" ht="12" customHeight="1">
      <c r="A50" s="1538"/>
      <c r="B50" s="272">
        <v>2.1</v>
      </c>
      <c r="C50" s="277">
        <f>(18.2*KFC!$B$19*1.02*1.25*1.1+KFC!$C$19)*KFC!$C$5</f>
        <v>25.525500000000001</v>
      </c>
      <c r="D50" s="270">
        <f>(19.8*KFC!$B$19*1.02*1.25*1.1+KFC!$C$19)*KFC!$C$5</f>
        <v>27.769500000000004</v>
      </c>
      <c r="E50" s="270">
        <f>(21.5*KFC!$B$19*1.02*1.25*1.1+KFC!$C$19)*KFC!$C$5</f>
        <v>30.153750000000002</v>
      </c>
      <c r="F50" s="270">
        <f>(23.2*KFC!$B$19*1.02*1.25*1.1+KFC!$C$19)*KFC!$C$5</f>
        <v>32.538000000000004</v>
      </c>
      <c r="G50" s="270">
        <f>(24.8*KFC!$B$19*1.02*1.25*1.1+KFC!$C$19)*KFC!$C$5</f>
        <v>34.782000000000011</v>
      </c>
      <c r="H50" s="270">
        <f>(26.5*KFC!$B$19*1.02*1.25*1.1+KFC!$C$19)*KFC!$C$5</f>
        <v>37.166250000000005</v>
      </c>
      <c r="I50" s="270">
        <f>(28.3*KFC!$B$19*1.02*1.25*1.1+KFC!$C$19)*KFC!$C$5</f>
        <v>39.690750000000001</v>
      </c>
      <c r="J50" s="270">
        <f>(30*KFC!$B$19*1.02*1.25*1.1+KFC!$C$19)*KFC!$C$5</f>
        <v>42.075000000000003</v>
      </c>
      <c r="K50" s="270">
        <f>(31.6*KFC!$B$19*1.02*1.25*1.1+KFC!$C$19)*KFC!$C$5</f>
        <v>44.319000000000003</v>
      </c>
      <c r="L50" s="270">
        <f>(33.3*KFC!$B$19*1.02*1.25*1.1+KFC!$C$19)*KFC!$C$5</f>
        <v>46.703250000000004</v>
      </c>
      <c r="M50" s="270">
        <f>(35*KFC!$B$19*1.02*1.25*1.1+KFC!$C$19)*KFC!$C$5</f>
        <v>49.087500000000006</v>
      </c>
      <c r="N50" s="270">
        <f>(36.6*KFC!$B$19*1.02*1.25*1.1+KFC!$C$19)*KFC!$C$5</f>
        <v>51.331500000000005</v>
      </c>
      <c r="O50" s="270">
        <f>(38.3*KFC!$B$19*1.02*1.25*1.1+KFC!$C$19)*KFC!$C$5</f>
        <v>53.71575</v>
      </c>
      <c r="P50" s="278">
        <f>(40*KFC!$B$19*1.02*1.25*1.1+KFC!$C$19)*KFC!$C$5</f>
        <v>56.1</v>
      </c>
    </row>
    <row r="51" spans="1:16" ht="12" customHeight="1">
      <c r="A51" s="1538"/>
      <c r="B51" s="272">
        <v>2.2000000000000002</v>
      </c>
      <c r="C51" s="277">
        <f>(18.5*KFC!$B$19*1.02*1.25*1.1+KFC!$C$19)*KFC!$C$5</f>
        <v>25.946250000000003</v>
      </c>
      <c r="D51" s="270">
        <f>(20.2*KFC!$B$19*1.02*1.25*1.1+KFC!$C$19)*KFC!$C$5</f>
        <v>28.330500000000001</v>
      </c>
      <c r="E51" s="270">
        <f>(21.9*KFC!$B$19*1.02*1.25*1.1+KFC!$C$19)*KFC!$C$5</f>
        <v>30.714749999999999</v>
      </c>
      <c r="F51" s="270">
        <f>(23.6*KFC!$B$19*1.02*1.25*1.1+KFC!$C$19)*KFC!$C$5</f>
        <v>33.099000000000004</v>
      </c>
      <c r="G51" s="270">
        <f>(25.4*KFC!$B$19*1.02*1.25*1.1+KFC!$C$19)*KFC!$C$5</f>
        <v>35.6235</v>
      </c>
      <c r="H51" s="270">
        <f>(27.2*KFC!$B$19*1.02*1.25*1.1+KFC!$C$19)*KFC!$C$5</f>
        <v>38.148000000000003</v>
      </c>
      <c r="I51" s="270">
        <f>(28.9*KFC!$B$19*1.02*1.25*1.1+KFC!$C$19)*KFC!$C$5</f>
        <v>40.532249999999998</v>
      </c>
      <c r="J51" s="270">
        <f>(30.6*KFC!$B$19*1.02*1.25*1.1+KFC!$C$19)*KFC!$C$5</f>
        <v>42.916500000000006</v>
      </c>
      <c r="K51" s="270">
        <f>(32.3*KFC!$B$19*1.02*1.25*1.1+KFC!$C$19)*KFC!$C$5</f>
        <v>45.300750000000001</v>
      </c>
      <c r="L51" s="270">
        <f>(34.1*KFC!$B$19*1.02*1.25*1.1+KFC!$C$19)*KFC!$C$5</f>
        <v>47.825250000000011</v>
      </c>
      <c r="M51" s="270">
        <f>(35.8*KFC!$B$19*1.02*1.25*1.1+KFC!$C$19)*KFC!$C$5</f>
        <v>50.209499999999998</v>
      </c>
      <c r="N51" s="270">
        <f>(37.5*KFC!$B$19*1.02*1.25*1.1+KFC!$C$19)*KFC!$C$5</f>
        <v>52.593750000000007</v>
      </c>
      <c r="O51" s="270">
        <f>(39.3*KFC!$B$19*1.02*1.25*1.1+KFC!$C$19)*KFC!$C$5</f>
        <v>55.118250000000003</v>
      </c>
      <c r="P51" s="278">
        <f>(41*KFC!$B$19*1.02*1.25*1.1+KFC!$C$19)*KFC!$C$5</f>
        <v>57.502500000000005</v>
      </c>
    </row>
    <row r="52" spans="1:16" ht="12" customHeight="1">
      <c r="A52" s="1538"/>
      <c r="B52" s="272">
        <v>2.2999999999999998</v>
      </c>
      <c r="C52" s="277">
        <f>(18.7*KFC!$B$19*1.02*1.25*1.1+KFC!$C$19)*KFC!$C$5</f>
        <v>26.226749999999999</v>
      </c>
      <c r="D52" s="270">
        <f>(20.5*KFC!$B$19*1.02*1.25*1.1+KFC!$C$19)*KFC!$C$5</f>
        <v>28.751250000000002</v>
      </c>
      <c r="E52" s="270">
        <f>(22.4*KFC!$B$19*1.02*1.25*1.1+KFC!$C$19)*KFC!$C$5</f>
        <v>31.416</v>
      </c>
      <c r="F52" s="270">
        <f>(24.1*KFC!$B$19*1.02*1.25*1.1+KFC!$C$19)*KFC!$C$5</f>
        <v>33.800249999999998</v>
      </c>
      <c r="G52" s="270">
        <f>(25.9*KFC!$B$19*1.02*1.25*1.1+KFC!$C$19)*KFC!$C$5</f>
        <v>36.324750000000002</v>
      </c>
      <c r="H52" s="270">
        <f>(27.8*KFC!$B$19*1.02*1.25*1.1+KFC!$C$19)*KFC!$C$5</f>
        <v>38.989500000000007</v>
      </c>
      <c r="I52" s="270">
        <f>(29.5*KFC!$B$19*1.02*1.25*1.1+KFC!$C$19)*KFC!$C$5</f>
        <v>41.373750000000001</v>
      </c>
      <c r="J52" s="270">
        <f>(31.3*KFC!$B$19*1.02*1.25*1.1+KFC!$C$19)*KFC!$C$5</f>
        <v>43.898250000000004</v>
      </c>
      <c r="K52" s="270">
        <f>(33.1*KFC!$B$19*1.02*1.25*1.1+KFC!$C$19)*KFC!$C$5</f>
        <v>46.422750000000008</v>
      </c>
      <c r="L52" s="270">
        <f>(34.9*KFC!$B$19*1.02*1.25*1.1+KFC!$C$19)*KFC!$C$5</f>
        <v>48.947250000000004</v>
      </c>
      <c r="M52" s="270">
        <f>(36.7*KFC!$B$19*1.02*1.25*1.1+KFC!$C$19)*KFC!$C$5</f>
        <v>51.471750000000007</v>
      </c>
      <c r="N52" s="270">
        <f>(38.5*KFC!$B$19*1.02*1.25*1.1+KFC!$C$19)*KFC!$C$5</f>
        <v>53.996250000000011</v>
      </c>
      <c r="O52" s="270">
        <f>(40.2*KFC!$B$19*1.02*1.25*1.1+KFC!$C$19)*KFC!$C$5</f>
        <v>56.380500000000012</v>
      </c>
      <c r="P52" s="278">
        <f>(42.1*KFC!$B$19*1.02*1.25*1.1+KFC!$C$19)*KFC!$C$5</f>
        <v>59.04525000000001</v>
      </c>
    </row>
    <row r="53" spans="1:16" ht="12" customHeight="1">
      <c r="A53" s="1538"/>
      <c r="B53" s="272">
        <v>2.4</v>
      </c>
      <c r="C53" s="277">
        <f>(19*KFC!$B$19*1.02*1.25*1.1+KFC!$C$19)*KFC!$C$5</f>
        <v>26.647500000000001</v>
      </c>
      <c r="D53" s="270">
        <f>(20.9*KFC!$B$19*1.02*1.25*1.1+KFC!$C$19)*KFC!$C$5</f>
        <v>29.312249999999999</v>
      </c>
      <c r="E53" s="270">
        <f>(22.7*KFC!$B$19*1.02*1.25*1.1+KFC!$C$19)*KFC!$C$5</f>
        <v>31.836750000000002</v>
      </c>
      <c r="F53" s="270">
        <f>(24.6*KFC!$B$19*1.02*1.25*1.1+KFC!$C$19)*KFC!$C$5</f>
        <v>34.501500000000007</v>
      </c>
      <c r="G53" s="270">
        <f>(26.4*KFC!$B$19*1.02*1.25*1.1+KFC!$C$19)*KFC!$C$5</f>
        <v>37.025999999999996</v>
      </c>
      <c r="H53" s="270">
        <f>(28.3*KFC!$B$19*1.02*1.25*1.1+KFC!$C$19)*KFC!$C$5</f>
        <v>39.690750000000001</v>
      </c>
      <c r="I53" s="270">
        <f>(30.2*KFC!$B$19*1.02*1.25*1.1+KFC!$C$19)*KFC!$C$5</f>
        <v>42.355499999999999</v>
      </c>
      <c r="J53" s="270">
        <f>(32*KFC!$B$19*1.02*1.25*1.1+KFC!$C$19)*KFC!$C$5</f>
        <v>44.88</v>
      </c>
      <c r="K53" s="270">
        <f>(33.9*KFC!$B$19*1.02*1.25*1.1+KFC!$C$19)*KFC!$C$5</f>
        <v>47.544750000000001</v>
      </c>
      <c r="L53" s="270">
        <f>(35.7*KFC!$B$19*1.02*1.25*1.1+KFC!$C$19)*KFC!$C$5</f>
        <v>50.069250000000004</v>
      </c>
      <c r="M53" s="270">
        <f>(37.5*KFC!$B$19*1.02*1.25*1.1+KFC!$C$19)*KFC!$C$5</f>
        <v>52.593750000000007</v>
      </c>
      <c r="N53" s="270">
        <f>(39.4*KFC!$B$19*1.02*1.25*1.1+KFC!$C$19)*KFC!$C$5</f>
        <v>55.258500000000005</v>
      </c>
      <c r="O53" s="270">
        <f>(41.3*KFC!$B$19*1.02*1.25*1.1+KFC!$C$19)*KFC!$C$5</f>
        <v>57.923250000000003</v>
      </c>
      <c r="P53" s="278">
        <f>(43.2*KFC!$B$19*1.02*1.25*1.1+KFC!$C$19)*KFC!$C$5</f>
        <v>60.588000000000015</v>
      </c>
    </row>
    <row r="54" spans="1:16" ht="12" customHeight="1">
      <c r="A54" s="1538"/>
      <c r="B54" s="272">
        <v>2.5</v>
      </c>
      <c r="C54" s="277">
        <f>(19.3*KFC!$B$19*1.02*1.25*1.1+KFC!$C$19)*KFC!$C$5</f>
        <v>27.068250000000003</v>
      </c>
      <c r="D54" s="270">
        <f>(21.2*KFC!$B$19*1.02*1.25*1.1+KFC!$C$19)*KFC!$C$5</f>
        <v>29.733000000000001</v>
      </c>
      <c r="E54" s="270">
        <f>(23.1*KFC!$B$19*1.02*1.25*1.1+KFC!$C$19)*KFC!$C$5</f>
        <v>32.397750000000002</v>
      </c>
      <c r="F54" s="270">
        <f>(25.1*KFC!$B$19*1.02*1.25*1.1+KFC!$C$19)*KFC!$C$5</f>
        <v>35.202750000000002</v>
      </c>
      <c r="G54" s="270">
        <f>(26.9*KFC!$B$19*1.02*1.25*1.1+KFC!$C$19)*KFC!$C$5</f>
        <v>37.727250000000005</v>
      </c>
      <c r="H54" s="270">
        <f>(28.9*KFC!$B$19*1.02*1.25*1.1+KFC!$C$19)*KFC!$C$5</f>
        <v>40.532249999999998</v>
      </c>
      <c r="I54" s="270">
        <f>(30.8*KFC!$B$19*1.02*1.25*1.1+KFC!$C$19)*KFC!$C$5</f>
        <v>43.19700000000001</v>
      </c>
      <c r="J54" s="270">
        <f>(32.7*KFC!$B$19*1.02*1.25*1.1+KFC!$C$19)*KFC!$C$5</f>
        <v>45.861750000000015</v>
      </c>
      <c r="K54" s="270">
        <f>(34.6*KFC!$B$19*1.02*1.25*1.1+KFC!$C$19)*KFC!$C$5</f>
        <v>48.526500000000006</v>
      </c>
      <c r="L54" s="270">
        <f>(36.6*KFC!$B$19*1.02*1.25*1.1+KFC!$C$19)*KFC!$C$5</f>
        <v>51.331500000000005</v>
      </c>
      <c r="M54" s="270">
        <f>(38.4*KFC!$B$19*1.02*1.25*1.1+KFC!$C$19)*KFC!$C$5</f>
        <v>53.856000000000009</v>
      </c>
      <c r="N54" s="270">
        <f>(40.4*KFC!$B$19*1.02*1.25*1.1+KFC!$C$19)*KFC!$C$5</f>
        <v>56.661000000000001</v>
      </c>
      <c r="O54" s="270">
        <f>(42.3*KFC!$B$19*1.02*1.25*1.1+KFC!$C$19)*KFC!$C$5</f>
        <v>59.325750000000006</v>
      </c>
      <c r="P54" s="278">
        <f>(44.2*KFC!$B$19*1.02*1.25*1.1+KFC!$C$19)*KFC!$C$5</f>
        <v>61.990500000000011</v>
      </c>
    </row>
    <row r="55" spans="1:16" ht="12" customHeight="1" thickBot="1">
      <c r="A55" s="1539"/>
      <c r="B55" s="273">
        <v>2.5499999999999998</v>
      </c>
      <c r="C55" s="279">
        <f>(19.6*KFC!$B$19*1.02*1.25*1.1+KFC!$C$19)*KFC!$C$5</f>
        <v>27.489000000000004</v>
      </c>
      <c r="D55" s="280">
        <f>(21.5*KFC!$B$19*1.02*1.25*1.1+KFC!$C$19)*KFC!$C$5</f>
        <v>30.153750000000002</v>
      </c>
      <c r="E55" s="280">
        <f>(23.5*KFC!$B$19*1.02*1.25*1.1+KFC!$C$19)*KFC!$C$5</f>
        <v>32.958750000000002</v>
      </c>
      <c r="F55" s="280">
        <f>(25.4*KFC!$B$19*1.02*1.25*1.1+KFC!$C$19)*KFC!$C$5</f>
        <v>35.6235</v>
      </c>
      <c r="G55" s="280">
        <f>(27.5*KFC!$B$19*1.02*1.25*1.1+KFC!$C$19)*KFC!$C$5</f>
        <v>38.568750000000001</v>
      </c>
      <c r="H55" s="280">
        <f>(29.5*KFC!$B$19*1.02*1.25*1.1+KFC!$C$19)*KFC!$C$5</f>
        <v>41.373750000000001</v>
      </c>
      <c r="I55" s="280">
        <f>(31.4*KFC!$B$19*1.02*1.25*1.1+KFC!$C$19)*KFC!$C$5</f>
        <v>44.038499999999999</v>
      </c>
      <c r="J55" s="280">
        <f>(33.4*KFC!$B$19*1.02*1.25*1.1+KFC!$C$19)*KFC!$C$5</f>
        <v>46.843499999999999</v>
      </c>
      <c r="K55" s="280">
        <f>(35.3*KFC!$B$19*1.02*1.25*1.1+KFC!$C$19)*KFC!$C$5</f>
        <v>49.508250000000004</v>
      </c>
      <c r="L55" s="280">
        <f>(37.3*KFC!$B$19*1.02*1.25*1.1+KFC!$C$19)*KFC!$C$5</f>
        <v>52.313250000000004</v>
      </c>
      <c r="M55" s="280">
        <f>(39.4*KFC!$B$19*1.02*1.25*1.1+KFC!$C$19)*KFC!$C$5</f>
        <v>55.258500000000005</v>
      </c>
      <c r="N55" s="280">
        <f>(41.3*KFC!$B$19*1.02*1.25*1.1+KFC!$C$19)*KFC!$C$5</f>
        <v>57.923250000000003</v>
      </c>
      <c r="O55" s="280">
        <f>(43.3*KFC!$B$19*1.02*1.25*1.1+KFC!$C$19)*KFC!$C$5</f>
        <v>60.728250000000003</v>
      </c>
      <c r="P55" s="281">
        <f>(45.3*KFC!$B$19*1.02*1.25*1.1+KFC!$C$19)*KFC!$C$5</f>
        <v>63.533249999999995</v>
      </c>
    </row>
    <row r="56" spans="1:16" ht="12" customHeight="1" thickBot="1">
      <c r="A56" s="283"/>
      <c r="B56" s="284"/>
      <c r="C56" s="282"/>
      <c r="D56" s="282"/>
      <c r="E56" s="282"/>
      <c r="F56" s="282"/>
      <c r="G56" s="282"/>
      <c r="H56" s="282"/>
      <c r="I56" s="282"/>
      <c r="J56" s="282"/>
      <c r="K56" s="282"/>
      <c r="L56" s="282"/>
      <c r="M56" s="282"/>
      <c r="N56" s="282"/>
      <c r="O56" s="282"/>
      <c r="P56" s="282"/>
    </row>
    <row r="57" spans="1:16" ht="12" customHeight="1" thickBot="1">
      <c r="A57" s="1413" t="s">
        <v>315</v>
      </c>
      <c r="B57" s="1542"/>
      <c r="C57" s="1534" t="s">
        <v>207</v>
      </c>
      <c r="D57" s="1535"/>
      <c r="E57" s="1535"/>
      <c r="F57" s="1535"/>
      <c r="G57" s="1535"/>
      <c r="H57" s="1535"/>
      <c r="I57" s="1535"/>
      <c r="J57" s="1535"/>
      <c r="K57" s="1535"/>
      <c r="L57" s="1535"/>
      <c r="M57" s="1535"/>
      <c r="N57" s="1535"/>
      <c r="O57" s="1535"/>
      <c r="P57" s="1536"/>
    </row>
    <row r="58" spans="1:16" ht="12" customHeight="1" thickBot="1">
      <c r="A58" s="1543"/>
      <c r="B58" s="1544"/>
      <c r="C58" s="268">
        <v>0.4</v>
      </c>
      <c r="D58" s="268">
        <v>0.5</v>
      </c>
      <c r="E58" s="268">
        <v>0.6</v>
      </c>
      <c r="F58" s="268">
        <v>0.7</v>
      </c>
      <c r="G58" s="268">
        <v>0.8</v>
      </c>
      <c r="H58" s="268">
        <v>0.9</v>
      </c>
      <c r="I58" s="268">
        <v>1</v>
      </c>
      <c r="J58" s="268">
        <v>1.1000000000000001</v>
      </c>
      <c r="K58" s="268">
        <v>1.2</v>
      </c>
      <c r="L58" s="268">
        <v>1.3</v>
      </c>
      <c r="M58" s="268">
        <v>1.4</v>
      </c>
      <c r="N58" s="268">
        <v>1.5</v>
      </c>
      <c r="O58" s="268">
        <v>1.6</v>
      </c>
      <c r="P58" s="269">
        <v>1.7</v>
      </c>
    </row>
    <row r="59" spans="1:16" ht="12" customHeight="1">
      <c r="A59" s="1537" t="s">
        <v>3</v>
      </c>
      <c r="B59" s="271">
        <v>0.5</v>
      </c>
      <c r="C59" s="274">
        <f>(14.7*KFC!$B$19*1.02*1.25*1.1+KFC!$C$19)*KFC!$C$5</f>
        <v>20.61675</v>
      </c>
      <c r="D59" s="275">
        <f>(15.7*KFC!$B$19*1.02*1.25*1.1+KFC!$C$19)*KFC!$C$5</f>
        <v>22.01925</v>
      </c>
      <c r="E59" s="275">
        <f>(16.8*KFC!$B$19*1.02*1.25*1.1+KFC!$C$19)*KFC!$C$5</f>
        <v>23.562000000000005</v>
      </c>
      <c r="F59" s="275">
        <f>(17.7*KFC!$B$19*1.02*1.25*1.1+KFC!$C$19)*KFC!$C$5</f>
        <v>24.824249999999999</v>
      </c>
      <c r="G59" s="275">
        <f>(18.8*KFC!$B$19*1.02*1.25*1.1+KFC!$C$19)*KFC!$C$5</f>
        <v>26.367000000000004</v>
      </c>
      <c r="H59" s="275">
        <f>(19.8*KFC!$B$19*1.02*1.25*1.1+KFC!$C$19)*KFC!$C$5</f>
        <v>27.769500000000004</v>
      </c>
      <c r="I59" s="275">
        <f>(20.9*KFC!$B$19*1.02*1.25*1.1+KFC!$C$19)*KFC!$C$5</f>
        <v>29.312249999999999</v>
      </c>
      <c r="J59" s="275">
        <f>(21.9*KFC!$B$19*1.02*1.25*1.1+KFC!$C$19)*KFC!$C$5</f>
        <v>30.714749999999999</v>
      </c>
      <c r="K59" s="275">
        <f>(23*KFC!$B$19*1.02*1.25*1.1+KFC!$C$19)*KFC!$C$5</f>
        <v>32.257500000000007</v>
      </c>
      <c r="L59" s="275">
        <f>(24*KFC!$B$19*1.02*1.25*1.1+KFC!$C$19)*KFC!$C$5</f>
        <v>33.660000000000004</v>
      </c>
      <c r="M59" s="275">
        <f>(25.1*KFC!$B$19*1.02*1.25*1.1+KFC!$C$19)*KFC!$C$5</f>
        <v>35.202750000000002</v>
      </c>
      <c r="N59" s="275">
        <f>(26*KFC!$B$19*1.02*1.25*1.1+KFC!$C$19)*KFC!$C$5</f>
        <v>36.465000000000003</v>
      </c>
      <c r="O59" s="275">
        <f>(27.2*KFC!$B$19*1.02*1.25*1.1+KFC!$C$19)*KFC!$C$5</f>
        <v>38.148000000000003</v>
      </c>
      <c r="P59" s="276">
        <f>(28.1*KFC!$B$19*1.02*1.25*1.1+KFC!$C$19)*KFC!$C$5</f>
        <v>39.410250000000005</v>
      </c>
    </row>
    <row r="60" spans="1:16" ht="12" customHeight="1">
      <c r="A60" s="1538"/>
      <c r="B60" s="272">
        <v>0.6</v>
      </c>
      <c r="C60" s="277">
        <f>(15.2*KFC!$B$19*1.02*1.25*1.1+KFC!$C$19)*KFC!$C$5</f>
        <v>21.318000000000001</v>
      </c>
      <c r="D60" s="270">
        <f>(16.3*KFC!$B$19*1.02*1.25*1.1+KFC!$C$19)*KFC!$C$5</f>
        <v>22.860750000000003</v>
      </c>
      <c r="E60" s="270">
        <f>(17.5*KFC!$B$19*1.02*1.25*1.1+KFC!$C$19)*KFC!$C$5</f>
        <v>24.543750000000003</v>
      </c>
      <c r="F60" s="270">
        <f>(18.6*KFC!$B$19*1.02*1.25*1.1+KFC!$C$19)*KFC!$C$5</f>
        <v>26.086500000000004</v>
      </c>
      <c r="G60" s="270">
        <f>(19.8*KFC!$B$19*1.02*1.25*1.1+KFC!$C$19)*KFC!$C$5</f>
        <v>27.769500000000004</v>
      </c>
      <c r="H60" s="270">
        <f>(20.9*KFC!$B$19*1.02*1.25*1.1+KFC!$C$19)*KFC!$C$5</f>
        <v>29.312249999999999</v>
      </c>
      <c r="I60" s="270">
        <f>(22*KFC!$B$19*1.02*1.25*1.1+KFC!$C$19)*KFC!$C$5</f>
        <v>30.855000000000004</v>
      </c>
      <c r="J60" s="270">
        <f>(23.2*KFC!$B$19*1.02*1.25*1.1+KFC!$C$19)*KFC!$C$5</f>
        <v>32.538000000000004</v>
      </c>
      <c r="K60" s="270">
        <f>(24.3*KFC!$B$19*1.02*1.25*1.1+KFC!$C$19)*KFC!$C$5</f>
        <v>34.080750000000002</v>
      </c>
      <c r="L60" s="270">
        <f>(25.4*KFC!$B$19*1.02*1.25*1.1+KFC!$C$19)*KFC!$C$5</f>
        <v>35.6235</v>
      </c>
      <c r="M60" s="270">
        <f>(26.7*KFC!$B$19*1.02*1.25*1.1+KFC!$C$19)*KFC!$C$5</f>
        <v>37.446750000000002</v>
      </c>
      <c r="N60" s="270">
        <f>(27.8*KFC!$B$19*1.02*1.25*1.1+KFC!$C$19)*KFC!$C$5</f>
        <v>38.989500000000007</v>
      </c>
      <c r="O60" s="270">
        <f>(29*KFC!$B$19*1.02*1.25*1.1+KFC!$C$19)*KFC!$C$5</f>
        <v>40.672500000000007</v>
      </c>
      <c r="P60" s="278">
        <f>(30.1*KFC!$B$19*1.02*1.25*1.1+KFC!$C$19)*KFC!$C$5</f>
        <v>42.215250000000012</v>
      </c>
    </row>
    <row r="61" spans="1:16" ht="12" customHeight="1">
      <c r="A61" s="1538"/>
      <c r="B61" s="272">
        <v>0.7</v>
      </c>
      <c r="C61" s="277">
        <f>(15.7*KFC!$B$19*1.02*1.25*1.1+KFC!$C$19)*KFC!$C$5</f>
        <v>22.01925</v>
      </c>
      <c r="D61" s="270">
        <f>(16.9*KFC!$B$19*1.02*1.25*1.1+KFC!$C$19)*KFC!$C$5</f>
        <v>23.702250000000003</v>
      </c>
      <c r="E61" s="270">
        <f>(18.2*KFC!$B$19*1.02*1.25*1.1+KFC!$C$19)*KFC!$C$5</f>
        <v>25.525500000000001</v>
      </c>
      <c r="F61" s="270">
        <f>(19.4*KFC!$B$19*1.02*1.25*1.1+KFC!$C$19)*KFC!$C$5</f>
        <v>27.208500000000001</v>
      </c>
      <c r="G61" s="270">
        <f>(20.7*KFC!$B$19*1.02*1.25*1.1+KFC!$C$19)*KFC!$C$5</f>
        <v>29.031750000000006</v>
      </c>
      <c r="H61" s="270">
        <f>(22*KFC!$B$19*1.02*1.25*1.1+KFC!$C$19)*KFC!$C$5</f>
        <v>30.855000000000004</v>
      </c>
      <c r="I61" s="270">
        <f>(23.2*KFC!$B$19*1.02*1.25*1.1+KFC!$C$19)*KFC!$C$5</f>
        <v>32.538000000000004</v>
      </c>
      <c r="J61" s="270">
        <f>(24.5*KFC!$B$19*1.02*1.25*1.1+KFC!$C$19)*KFC!$C$5</f>
        <v>34.361250000000005</v>
      </c>
      <c r="K61" s="270">
        <f>(25.7*KFC!$B$19*1.02*1.25*1.1+KFC!$C$19)*KFC!$C$5</f>
        <v>36.044249999999998</v>
      </c>
      <c r="L61" s="270">
        <f>(27*KFC!$B$19*1.02*1.25*1.1+KFC!$C$19)*KFC!$C$5</f>
        <v>37.8675</v>
      </c>
      <c r="M61" s="270">
        <f>(28.3*KFC!$B$19*1.02*1.25*1.1+KFC!$C$19)*KFC!$C$5</f>
        <v>39.690750000000001</v>
      </c>
      <c r="N61" s="270">
        <f>(29.5*KFC!$B$19*1.02*1.25*1.1+KFC!$C$19)*KFC!$C$5</f>
        <v>41.373750000000001</v>
      </c>
      <c r="O61" s="270">
        <f>(30.8*KFC!$B$19*1.02*1.25*1.1+KFC!$C$19)*KFC!$C$5</f>
        <v>43.19700000000001</v>
      </c>
      <c r="P61" s="278">
        <f>(32*KFC!$B$19*1.02*1.25*1.1+KFC!$C$19)*KFC!$C$5</f>
        <v>44.88</v>
      </c>
    </row>
    <row r="62" spans="1:16" ht="12" customHeight="1">
      <c r="A62" s="1538"/>
      <c r="B62" s="272">
        <v>0.8</v>
      </c>
      <c r="C62" s="277">
        <f>(16.1*KFC!$B$19*1.02*1.25*1.1+KFC!$C$19)*KFC!$C$5</f>
        <v>22.580250000000003</v>
      </c>
      <c r="D62" s="270">
        <f>(17.5*KFC!$B$19*1.02*1.25*1.1+KFC!$C$19)*KFC!$C$5</f>
        <v>24.543750000000003</v>
      </c>
      <c r="E62" s="270">
        <f>(19*KFC!$B$19*1.02*1.25*1.1+KFC!$C$19)*KFC!$C$5</f>
        <v>26.647500000000001</v>
      </c>
      <c r="F62" s="270">
        <f>(20.3*KFC!$B$19*1.02*1.25*1.1+KFC!$C$19)*KFC!$C$5</f>
        <v>28.470750000000002</v>
      </c>
      <c r="G62" s="270">
        <f>(21.6*KFC!$B$19*1.02*1.25*1.1+KFC!$C$19)*KFC!$C$5</f>
        <v>30.294000000000008</v>
      </c>
      <c r="H62" s="270">
        <f>(23*KFC!$B$19*1.02*1.25*1.1+KFC!$C$19)*KFC!$C$5</f>
        <v>32.257500000000007</v>
      </c>
      <c r="I62" s="270">
        <f>(24.3*KFC!$B$19*1.02*1.25*1.1+KFC!$C$19)*KFC!$C$5</f>
        <v>34.080750000000002</v>
      </c>
      <c r="J62" s="270">
        <f>(25.8*KFC!$B$19*1.02*1.25*1.1+KFC!$C$19)*KFC!$C$5</f>
        <v>36.184500000000007</v>
      </c>
      <c r="K62" s="270">
        <f>(27.2*KFC!$B$19*1.02*1.25*1.1+KFC!$C$19)*KFC!$C$5</f>
        <v>38.148000000000003</v>
      </c>
      <c r="L62" s="270">
        <f>(28.5*KFC!$B$19*1.02*1.25*1.1+KFC!$C$19)*KFC!$C$5</f>
        <v>39.971250000000005</v>
      </c>
      <c r="M62" s="270">
        <f>(29.8*KFC!$B$19*1.02*1.25*1.1+KFC!$C$19)*KFC!$C$5</f>
        <v>41.794500000000006</v>
      </c>
      <c r="N62" s="270">
        <f>(31.2*KFC!$B$19*1.02*1.25*1.1+KFC!$C$19)*KFC!$C$5</f>
        <v>43.758000000000003</v>
      </c>
      <c r="O62" s="270">
        <f>(32.7*KFC!$B$19*1.02*1.25*1.1+KFC!$C$19)*KFC!$C$5</f>
        <v>45.861750000000015</v>
      </c>
      <c r="P62" s="278">
        <f>(34*KFC!$B$19*1.02*1.25*1.1+KFC!$C$19)*KFC!$C$5</f>
        <v>47.685000000000002</v>
      </c>
    </row>
    <row r="63" spans="1:16" ht="12" customHeight="1">
      <c r="A63" s="1538"/>
      <c r="B63" s="272">
        <v>0.9</v>
      </c>
      <c r="C63" s="277">
        <f>(16.6*KFC!$B$19*1.02*1.25*1.1+KFC!$C$19)*KFC!$C$5</f>
        <v>23.281500000000005</v>
      </c>
      <c r="D63" s="270">
        <f>(18.1*KFC!$B$19*1.02*1.25*1.1+KFC!$C$19)*KFC!$C$5</f>
        <v>25.385250000000006</v>
      </c>
      <c r="E63" s="270">
        <f>(19.7*KFC!$B$19*1.02*1.25*1.1+KFC!$C$19)*KFC!$C$5</f>
        <v>27.629250000000003</v>
      </c>
      <c r="F63" s="270">
        <f>(21.2*KFC!$B$19*1.02*1.25*1.1+KFC!$C$19)*KFC!$C$5</f>
        <v>29.733000000000001</v>
      </c>
      <c r="G63" s="270">
        <f>(22.6*KFC!$B$19*1.02*1.25*1.1+KFC!$C$19)*KFC!$C$5</f>
        <v>31.696500000000007</v>
      </c>
      <c r="H63" s="270">
        <f>(24.1*KFC!$B$19*1.02*1.25*1.1+KFC!$C$19)*KFC!$C$5</f>
        <v>33.800249999999998</v>
      </c>
      <c r="I63" s="270">
        <f>(25.6*KFC!$B$19*1.02*1.25*1.1+KFC!$C$19)*KFC!$C$5</f>
        <v>35.904000000000003</v>
      </c>
      <c r="J63" s="270">
        <f>(27*KFC!$B$19*1.02*1.25*1.1+KFC!$C$19)*KFC!$C$5</f>
        <v>37.8675</v>
      </c>
      <c r="K63" s="270">
        <f>(28.5*KFC!$B$19*1.02*1.25*1.1+KFC!$C$19)*KFC!$C$5</f>
        <v>39.971250000000005</v>
      </c>
      <c r="L63" s="270">
        <f>(30*KFC!$B$19*1.02*1.25*1.1+KFC!$C$19)*KFC!$C$5</f>
        <v>42.075000000000003</v>
      </c>
      <c r="M63" s="270">
        <f>(31.4*KFC!$B$19*1.02*1.25*1.1+KFC!$C$19)*KFC!$C$5</f>
        <v>44.038499999999999</v>
      </c>
      <c r="N63" s="270">
        <f>(32.9*KFC!$B$19*1.02*1.25*1.1+KFC!$C$19)*KFC!$C$5</f>
        <v>46.142250000000004</v>
      </c>
      <c r="O63" s="270">
        <f>(34.5*KFC!$B$19*1.02*1.25*1.1+KFC!$C$19)*KFC!$C$5</f>
        <v>48.386250000000004</v>
      </c>
      <c r="P63" s="278">
        <f>(36*KFC!$B$19*1.02*1.25*1.1+KFC!$C$19)*KFC!$C$5</f>
        <v>50.49</v>
      </c>
    </row>
    <row r="64" spans="1:16" ht="12" customHeight="1">
      <c r="A64" s="1538"/>
      <c r="B64" s="272">
        <v>1</v>
      </c>
      <c r="C64" s="277">
        <f>(17.1*KFC!$B$19*1.02*1.25*1.1+KFC!$C$19)*KFC!$C$5</f>
        <v>23.982750000000003</v>
      </c>
      <c r="D64" s="270">
        <f>(18.7*KFC!$B$19*1.02*1.25*1.1+KFC!$C$19)*KFC!$C$5</f>
        <v>26.226749999999999</v>
      </c>
      <c r="E64" s="270">
        <f>(20.3*KFC!$B$19*1.02*1.25*1.1+KFC!$C$19)*KFC!$C$5</f>
        <v>28.470750000000002</v>
      </c>
      <c r="F64" s="270">
        <f>(21.9*KFC!$B$19*1.02*1.25*1.1+KFC!$C$19)*KFC!$C$5</f>
        <v>30.714749999999999</v>
      </c>
      <c r="G64" s="270">
        <f>(23.5*KFC!$B$19*1.02*1.25*1.1+KFC!$C$19)*KFC!$C$5</f>
        <v>32.958750000000002</v>
      </c>
      <c r="H64" s="270">
        <f>(25.1*KFC!$B$19*1.02*1.25*1.1+KFC!$C$19)*KFC!$C$5</f>
        <v>35.202750000000002</v>
      </c>
      <c r="I64" s="270">
        <f>(26.7*KFC!$B$19*1.02*1.25*1.1+KFC!$C$19)*KFC!$C$5</f>
        <v>37.446750000000002</v>
      </c>
      <c r="J64" s="270">
        <f>(28.4*KFC!$B$19*1.02*1.25*1.1+KFC!$C$19)*KFC!$C$5</f>
        <v>39.831000000000003</v>
      </c>
      <c r="K64" s="270">
        <f>(30*KFC!$B$19*1.02*1.25*1.1+KFC!$C$19)*KFC!$C$5</f>
        <v>42.075000000000003</v>
      </c>
      <c r="L64" s="270">
        <f>(31.6*KFC!$B$19*1.02*1.25*1.1+KFC!$C$19)*KFC!$C$5</f>
        <v>44.319000000000003</v>
      </c>
      <c r="M64" s="270">
        <f>(33.1*KFC!$B$19*1.02*1.25*1.1+KFC!$C$19)*KFC!$C$5</f>
        <v>46.422750000000008</v>
      </c>
      <c r="N64" s="270">
        <f>(34.7*KFC!$B$19*1.02*1.25*1.1+KFC!$C$19)*KFC!$C$5</f>
        <v>48.666750000000015</v>
      </c>
      <c r="O64" s="270">
        <f>(36.3*KFC!$B$19*1.02*1.25*1.1+KFC!$C$19)*KFC!$C$5</f>
        <v>50.91075</v>
      </c>
      <c r="P64" s="278">
        <f>(37.9*KFC!$B$19*1.02*1.25*1.1+KFC!$C$19)*KFC!$C$5</f>
        <v>53.154750000000007</v>
      </c>
    </row>
    <row r="65" spans="1:16" ht="12" customHeight="1">
      <c r="A65" s="1538"/>
      <c r="B65" s="272">
        <v>1.1000000000000001</v>
      </c>
      <c r="C65" s="277">
        <f>(17.7*KFC!$B$19*1.02*1.25*1.1+KFC!$C$19)*KFC!$C$5</f>
        <v>24.824249999999999</v>
      </c>
      <c r="D65" s="270">
        <f>(19.3*KFC!$B$19*1.02*1.25*1.1+KFC!$C$19)*KFC!$C$5</f>
        <v>27.068250000000003</v>
      </c>
      <c r="E65" s="270">
        <f>(21*KFC!$B$19*1.02*1.25*1.1+KFC!$C$19)*KFC!$C$5</f>
        <v>29.452500000000004</v>
      </c>
      <c r="F65" s="270">
        <f>(22.7*KFC!$B$19*1.02*1.25*1.1+KFC!$C$19)*KFC!$C$5</f>
        <v>31.836750000000002</v>
      </c>
      <c r="G65" s="270">
        <f>(24.5*KFC!$B$19*1.02*1.25*1.1+KFC!$C$19)*KFC!$C$5</f>
        <v>34.361250000000005</v>
      </c>
      <c r="H65" s="270">
        <f>(26.2*KFC!$B$19*1.02*1.25*1.1+KFC!$C$19)*KFC!$C$5</f>
        <v>36.745500000000007</v>
      </c>
      <c r="I65" s="270">
        <f>(27.9*KFC!$B$19*1.02*1.25*1.1+KFC!$C$19)*KFC!$C$5</f>
        <v>39.129750000000001</v>
      </c>
      <c r="J65" s="270">
        <f>(29.6*KFC!$B$19*1.02*1.25*1.1+KFC!$C$19)*KFC!$C$5</f>
        <v>41.514000000000003</v>
      </c>
      <c r="K65" s="270">
        <f>(31.3*KFC!$B$19*1.02*1.25*1.1+KFC!$C$19)*KFC!$C$5</f>
        <v>43.898250000000004</v>
      </c>
      <c r="L65" s="270">
        <f>(33*KFC!$B$19*1.02*1.25*1.1+KFC!$C$19)*KFC!$C$5</f>
        <v>46.282500000000006</v>
      </c>
      <c r="M65" s="270">
        <f>(34.7*KFC!$B$19*1.02*1.25*1.1+KFC!$C$19)*KFC!$C$5</f>
        <v>48.666750000000015</v>
      </c>
      <c r="N65" s="270">
        <f>(36.4*KFC!$B$19*1.02*1.25*1.1+KFC!$C$19)*KFC!$C$5</f>
        <v>51.051000000000002</v>
      </c>
      <c r="O65" s="270">
        <f>(38.2*KFC!$B$19*1.02*1.25*1.1+KFC!$C$19)*KFC!$C$5</f>
        <v>53.575500000000012</v>
      </c>
      <c r="P65" s="278">
        <f>(39.7*KFC!$B$19*1.02*1.25*1.1+KFC!$C$19)*KFC!$C$5</f>
        <v>55.67925000000001</v>
      </c>
    </row>
    <row r="66" spans="1:16" ht="12" customHeight="1">
      <c r="A66" s="1538"/>
      <c r="B66" s="272">
        <v>1.2</v>
      </c>
      <c r="C66" s="277">
        <f>(18.2*KFC!$B$19*1.02*1.25*1.1+KFC!$C$19)*KFC!$C$5</f>
        <v>25.525500000000001</v>
      </c>
      <c r="D66" s="270">
        <f>(19.9*KFC!$B$19*1.02*1.25*1.1+KFC!$C$19)*KFC!$C$5</f>
        <v>27.909750000000003</v>
      </c>
      <c r="E66" s="270">
        <f>(21.8*KFC!$B$19*1.02*1.25*1.1+KFC!$C$19)*KFC!$C$5</f>
        <v>30.574500000000004</v>
      </c>
      <c r="F66" s="270">
        <f>(23.6*KFC!$B$19*1.02*1.25*1.1+KFC!$C$19)*KFC!$C$5</f>
        <v>33.099000000000004</v>
      </c>
      <c r="G66" s="270">
        <f>(25.4*KFC!$B$19*1.02*1.25*1.1+KFC!$C$19)*KFC!$C$5</f>
        <v>35.6235</v>
      </c>
      <c r="H66" s="270">
        <f>(27.3*KFC!$B$19*1.02*1.25*1.1+KFC!$C$19)*KFC!$C$5</f>
        <v>38.288249999999998</v>
      </c>
      <c r="I66" s="270">
        <f>(29.1*KFC!$B$19*1.02*1.25*1.1+KFC!$C$19)*KFC!$C$5</f>
        <v>40.812750000000008</v>
      </c>
      <c r="J66" s="270">
        <f>(30.8*KFC!$B$19*1.02*1.25*1.1+KFC!$C$19)*KFC!$C$5</f>
        <v>43.19700000000001</v>
      </c>
      <c r="K66" s="270">
        <f>(32.7*KFC!$B$19*1.02*1.25*1.1+KFC!$C$19)*KFC!$C$5</f>
        <v>45.861750000000015</v>
      </c>
      <c r="L66" s="270">
        <f>(34.5*KFC!$B$19*1.02*1.25*1.1+KFC!$C$19)*KFC!$C$5</f>
        <v>48.386250000000004</v>
      </c>
      <c r="M66" s="270">
        <f>(36.3*KFC!$B$19*1.02*1.25*1.1+KFC!$C$19)*KFC!$C$5</f>
        <v>50.91075</v>
      </c>
      <c r="N66" s="270">
        <f>(38.2*KFC!$B$19*1.02*1.25*1.1+KFC!$C$19)*KFC!$C$5</f>
        <v>53.575500000000012</v>
      </c>
      <c r="O66" s="270">
        <f>(40*KFC!$B$19*1.02*1.25*1.1+KFC!$C$19)*KFC!$C$5</f>
        <v>56.1</v>
      </c>
      <c r="P66" s="278">
        <f>(41.7*KFC!$B$19*1.02*1.25*1.1+KFC!$C$19)*KFC!$C$5</f>
        <v>58.48425000000001</v>
      </c>
    </row>
    <row r="67" spans="1:16" ht="12" customHeight="1">
      <c r="A67" s="1538"/>
      <c r="B67" s="272">
        <v>1.3</v>
      </c>
      <c r="C67" s="277">
        <f>(18.7*KFC!$B$19*1.02*1.25*1.1+KFC!$C$19)*KFC!$C$5</f>
        <v>26.226749999999999</v>
      </c>
      <c r="D67" s="270">
        <f>(20.5*KFC!$B$19*1.02*1.25*1.1+KFC!$C$19)*KFC!$C$5</f>
        <v>28.751250000000002</v>
      </c>
      <c r="E67" s="270">
        <f>(22.5*KFC!$B$19*1.02*1.25*1.1+KFC!$C$19)*KFC!$C$5</f>
        <v>31.556250000000002</v>
      </c>
      <c r="F67" s="270">
        <f>(24.5*KFC!$B$19*1.02*1.25*1.1+KFC!$C$19)*KFC!$C$5</f>
        <v>34.361250000000005</v>
      </c>
      <c r="G67" s="270">
        <f>(26.4*KFC!$B$19*1.02*1.25*1.1+KFC!$C$19)*KFC!$C$5</f>
        <v>37.025999999999996</v>
      </c>
      <c r="H67" s="270">
        <f>(28.3*KFC!$B$19*1.02*1.25*1.1+KFC!$C$19)*KFC!$C$5</f>
        <v>39.690750000000001</v>
      </c>
      <c r="I67" s="270">
        <f>(30.2*KFC!$B$19*1.02*1.25*1.1+KFC!$C$19)*KFC!$C$5</f>
        <v>42.355499999999999</v>
      </c>
      <c r="J67" s="270">
        <f>(32.2*KFC!$B$19*1.02*1.25*1.1+KFC!$C$19)*KFC!$C$5</f>
        <v>45.160500000000006</v>
      </c>
      <c r="K67" s="270">
        <f>(34.1*KFC!$B$19*1.02*1.25*1.1+KFC!$C$19)*KFC!$C$5</f>
        <v>47.825250000000011</v>
      </c>
      <c r="L67" s="270">
        <f>(36*KFC!$B$19*1.02*1.25*1.1+KFC!$C$19)*KFC!$C$5</f>
        <v>50.49</v>
      </c>
      <c r="M67" s="270">
        <f>(37.9*KFC!$B$19*1.02*1.25*1.1+KFC!$C$19)*KFC!$C$5</f>
        <v>53.154750000000007</v>
      </c>
      <c r="N67" s="270">
        <f>(39.9*KFC!$B$19*1.02*1.25*1.1+KFC!$C$19)*KFC!$C$5</f>
        <v>55.959750000000007</v>
      </c>
      <c r="O67" s="270">
        <f>(41.8*KFC!$B$19*1.02*1.25*1.1+KFC!$C$19)*KFC!$C$5</f>
        <v>58.624499999999998</v>
      </c>
      <c r="P67" s="278">
        <f>(43.7*KFC!$B$19*1.02*1.25*1.1+KFC!$C$19)*KFC!$C$5</f>
        <v>61.289250000000017</v>
      </c>
    </row>
    <row r="68" spans="1:16" ht="12" customHeight="1">
      <c r="A68" s="1538"/>
      <c r="B68" s="272">
        <v>1.4</v>
      </c>
      <c r="C68" s="277">
        <f>(19.2*KFC!$B$19*1.02*1.25*1.1+KFC!$C$19)*KFC!$C$5</f>
        <v>26.928000000000004</v>
      </c>
      <c r="D68" s="270">
        <f>(21.2*KFC!$B$19*1.02*1.25*1.1+KFC!$C$19)*KFC!$C$5</f>
        <v>29.733000000000001</v>
      </c>
      <c r="E68" s="270">
        <f>(23.2*KFC!$B$19*1.02*1.25*1.1+KFC!$C$19)*KFC!$C$5</f>
        <v>32.538000000000004</v>
      </c>
      <c r="F68" s="270">
        <f>(25.3*KFC!$B$19*1.02*1.25*1.1+KFC!$C$19)*KFC!$C$5</f>
        <v>35.483250000000005</v>
      </c>
      <c r="G68" s="270">
        <f>(27.3*KFC!$B$19*1.02*1.25*1.1+KFC!$C$19)*KFC!$C$5</f>
        <v>38.288249999999998</v>
      </c>
      <c r="H68" s="270">
        <f>(29.4*KFC!$B$19*1.02*1.25*1.1+KFC!$C$19)*KFC!$C$5</f>
        <v>41.233499999999999</v>
      </c>
      <c r="I68" s="270">
        <f>(31.4*KFC!$B$19*1.02*1.25*1.1+KFC!$C$19)*KFC!$C$5</f>
        <v>44.038499999999999</v>
      </c>
      <c r="J68" s="270">
        <f>(33.4*KFC!$B$19*1.02*1.25*1.1+KFC!$C$19)*KFC!$C$5</f>
        <v>46.843499999999999</v>
      </c>
      <c r="K68" s="270">
        <f>(35.5*KFC!$B$19*1.02*1.25*1.1+KFC!$C$19)*KFC!$C$5</f>
        <v>49.788750000000007</v>
      </c>
      <c r="L68" s="270">
        <f>(37.5*KFC!$B$19*1.02*1.25*1.1+KFC!$C$19)*KFC!$C$5</f>
        <v>52.593750000000007</v>
      </c>
      <c r="M68" s="270">
        <f>(39.5*KFC!$B$19*1.02*1.25*1.1+KFC!$C$19)*KFC!$C$5</f>
        <v>55.39875</v>
      </c>
      <c r="N68" s="270">
        <f>(41.6*KFC!$B$19*1.02*1.25*1.1+KFC!$C$19)*KFC!$C$5</f>
        <v>58.344000000000008</v>
      </c>
      <c r="O68" s="270">
        <f>(43.7*KFC!$B$19*1.02*1.25*1.1+KFC!$C$19)*KFC!$C$5</f>
        <v>61.289250000000017</v>
      </c>
      <c r="P68" s="278">
        <f>(45.6*KFC!$B$19*1.02*1.25*1.1+KFC!$C$19)*KFC!$C$5</f>
        <v>63.954000000000008</v>
      </c>
    </row>
    <row r="69" spans="1:16" ht="12" customHeight="1">
      <c r="A69" s="1538"/>
      <c r="B69" s="272">
        <v>1.5</v>
      </c>
      <c r="C69" s="277">
        <f>(19.7*KFC!$B$19*1.02*1.25*1.1+KFC!$C$19)*KFC!$C$5</f>
        <v>27.629250000000003</v>
      </c>
      <c r="D69" s="270">
        <f>(21.8*KFC!$B$19*1.02*1.25*1.1+KFC!$C$19)*KFC!$C$5</f>
        <v>30.574500000000004</v>
      </c>
      <c r="E69" s="270">
        <f>(24*KFC!$B$19*1.02*1.25*1.1+KFC!$C$19)*KFC!$C$5</f>
        <v>33.660000000000004</v>
      </c>
      <c r="F69" s="270">
        <f>(26.2*KFC!$B$19*1.02*1.25*1.1+KFC!$C$19)*KFC!$C$5</f>
        <v>36.745500000000007</v>
      </c>
      <c r="G69" s="270">
        <f>(28.3*KFC!$B$19*1.02*1.25*1.1+KFC!$C$19)*KFC!$C$5</f>
        <v>39.690750000000001</v>
      </c>
      <c r="H69" s="270">
        <f>(30.5*KFC!$B$19*1.02*1.25*1.1+KFC!$C$19)*KFC!$C$5</f>
        <v>42.776250000000005</v>
      </c>
      <c r="I69" s="270">
        <f>(32.5*KFC!$B$19*1.02*1.25*1.1+KFC!$C$19)*KFC!$C$5</f>
        <v>45.581250000000004</v>
      </c>
      <c r="J69" s="270">
        <f>(34.7*KFC!$B$19*1.02*1.25*1.1+KFC!$C$19)*KFC!$C$5</f>
        <v>48.666750000000015</v>
      </c>
      <c r="K69" s="270">
        <f>(36.8*KFC!$B$19*1.02*1.25*1.1+KFC!$C$19)*KFC!$C$5</f>
        <v>51.611999999999995</v>
      </c>
      <c r="L69" s="270">
        <f>(39*KFC!$B$19*1.02*1.25*1.1+KFC!$C$19)*KFC!$C$5</f>
        <v>54.697500000000005</v>
      </c>
      <c r="M69" s="270">
        <f>(41.1*KFC!$B$19*1.02*1.25*1.1+KFC!$C$19)*KFC!$C$5</f>
        <v>57.642750000000007</v>
      </c>
      <c r="N69" s="270">
        <f>(43.3*KFC!$B$19*1.02*1.25*1.1+KFC!$C$19)*KFC!$C$5</f>
        <v>60.728250000000003</v>
      </c>
      <c r="O69" s="270">
        <f>(45.5*KFC!$B$19*1.02*1.25*1.1+KFC!$C$19)*KFC!$C$5</f>
        <v>63.813750000000006</v>
      </c>
      <c r="P69" s="278">
        <f>(47.6*KFC!$B$19*1.02*1.25*1.1+KFC!$C$19)*KFC!$C$5</f>
        <v>66.759</v>
      </c>
    </row>
    <row r="70" spans="1:16" ht="12" customHeight="1">
      <c r="A70" s="1538"/>
      <c r="B70" s="272">
        <v>1.6</v>
      </c>
      <c r="C70" s="277">
        <f>(20.2*KFC!$B$19*1.02*1.25*1.1+KFC!$C$19)*KFC!$C$5</f>
        <v>28.330500000000001</v>
      </c>
      <c r="D70" s="270">
        <f>(22.4*KFC!$B$19*1.02*1.25*1.1+KFC!$C$19)*KFC!$C$5</f>
        <v>31.416</v>
      </c>
      <c r="E70" s="270">
        <f>(24.7*KFC!$B$19*1.02*1.25*1.1+KFC!$C$19)*KFC!$C$5</f>
        <v>34.641750000000002</v>
      </c>
      <c r="F70" s="270">
        <f>(26.9*KFC!$B$19*1.02*1.25*1.1+KFC!$C$19)*KFC!$C$5</f>
        <v>37.727250000000005</v>
      </c>
      <c r="G70" s="270">
        <f>(29.2*KFC!$B$19*1.02*1.25*1.1+KFC!$C$19)*KFC!$C$5</f>
        <v>40.953000000000003</v>
      </c>
      <c r="H70" s="270">
        <f>(31.4*KFC!$B$19*1.02*1.25*1.1+KFC!$C$19)*KFC!$C$5</f>
        <v>44.038499999999999</v>
      </c>
      <c r="I70" s="270">
        <f>(33.8*KFC!$B$19*1.02*1.25*1.1+KFC!$C$19)*KFC!$C$5</f>
        <v>47.404500000000006</v>
      </c>
      <c r="J70" s="270">
        <f>(36*KFC!$B$19*1.02*1.25*1.1+KFC!$C$19)*KFC!$C$5</f>
        <v>50.49</v>
      </c>
      <c r="K70" s="270">
        <f>(38.3*KFC!$B$19*1.02*1.25*1.1+KFC!$C$19)*KFC!$C$5</f>
        <v>53.71575</v>
      </c>
      <c r="L70" s="270">
        <f>(40.5*KFC!$B$19*1.02*1.25*1.1+KFC!$C$19)*KFC!$C$5</f>
        <v>56.80125000000001</v>
      </c>
      <c r="M70" s="270">
        <f>(42.8*KFC!$B$19*1.02*1.25*1.1+KFC!$C$19)*KFC!$C$5</f>
        <v>60.027000000000008</v>
      </c>
      <c r="N70" s="270">
        <f>(45*KFC!$B$19*1.02*1.25*1.1+KFC!$C$19)*KFC!$C$5</f>
        <v>63.112500000000004</v>
      </c>
      <c r="O70" s="270">
        <f>(47.3*KFC!$B$19*1.02*1.25*1.1+KFC!$C$19)*KFC!$C$5</f>
        <v>66.338249999999988</v>
      </c>
      <c r="P70" s="278">
        <f>(49.5*KFC!$B$19*1.02*1.25*1.1+KFC!$C$19)*KFC!$C$5</f>
        <v>69.423750000000013</v>
      </c>
    </row>
    <row r="71" spans="1:16" ht="12" customHeight="1">
      <c r="A71" s="1538"/>
      <c r="B71" s="272">
        <v>1.7</v>
      </c>
      <c r="C71" s="277">
        <f>(20.7*KFC!$B$19*1.02*1.25*1.1+KFC!$C$19)*KFC!$C$5</f>
        <v>29.031750000000006</v>
      </c>
      <c r="D71" s="270">
        <f>(23*KFC!$B$19*1.02*1.25*1.1+KFC!$C$19)*KFC!$C$5</f>
        <v>32.257500000000007</v>
      </c>
      <c r="E71" s="270">
        <f>(25.4*KFC!$B$19*1.02*1.25*1.1+KFC!$C$19)*KFC!$C$5</f>
        <v>35.6235</v>
      </c>
      <c r="F71" s="270">
        <f>(27.8*KFC!$B$19*1.02*1.25*1.1+KFC!$C$19)*KFC!$C$5</f>
        <v>38.989500000000007</v>
      </c>
      <c r="G71" s="270">
        <f>(30.2*KFC!$B$19*1.02*1.25*1.1+KFC!$C$19)*KFC!$C$5</f>
        <v>42.355499999999999</v>
      </c>
      <c r="H71" s="270">
        <f>(32.5*KFC!$B$19*1.02*1.25*1.1+KFC!$C$19)*KFC!$C$5</f>
        <v>45.581250000000004</v>
      </c>
      <c r="I71" s="270">
        <f>(34.9*KFC!$B$19*1.02*1.25*1.1+KFC!$C$19)*KFC!$C$5</f>
        <v>48.947250000000004</v>
      </c>
      <c r="J71" s="270">
        <f>(37.3*KFC!$B$19*1.02*1.25*1.1+KFC!$C$19)*KFC!$C$5</f>
        <v>52.313250000000004</v>
      </c>
      <c r="K71" s="270">
        <f>(39.6*KFC!$B$19*1.02*1.25*1.1+KFC!$C$19)*KFC!$C$5</f>
        <v>55.539000000000009</v>
      </c>
      <c r="L71" s="270">
        <f>(41.9*KFC!$B$19*1.02*1.25*1.1+KFC!$C$19)*KFC!$C$5</f>
        <v>58.764750000000006</v>
      </c>
      <c r="M71" s="270">
        <f>(44.4*KFC!$B$19*1.02*1.25*1.1+KFC!$C$19)*KFC!$C$5</f>
        <v>62.271000000000008</v>
      </c>
      <c r="N71" s="270">
        <f>(46.7*KFC!$B$19*1.02*1.25*1.1+KFC!$C$19)*KFC!$C$5</f>
        <v>65.496750000000006</v>
      </c>
      <c r="O71" s="270">
        <f>(49.2*KFC!$B$19*1.02*1.25*1.1+KFC!$C$19)*KFC!$C$5</f>
        <v>69.003000000000014</v>
      </c>
      <c r="P71" s="278">
        <f>(51.5*KFC!$B$19*1.02*1.25*1.1+KFC!$C$19)*KFC!$C$5</f>
        <v>72.228750000000005</v>
      </c>
    </row>
    <row r="72" spans="1:16" ht="12" customHeight="1">
      <c r="A72" s="1538"/>
      <c r="B72" s="272">
        <v>1.8</v>
      </c>
      <c r="C72" s="277">
        <f>(21.2*KFC!$B$19*1.02*1.25*1.1+KFC!$C$19)*KFC!$C$5</f>
        <v>29.733000000000001</v>
      </c>
      <c r="D72" s="270">
        <f>(23.6*KFC!$B$19*1.02*1.25*1.1+KFC!$C$19)*KFC!$C$5</f>
        <v>33.099000000000004</v>
      </c>
      <c r="E72" s="270">
        <f>(26.2*KFC!$B$19*1.02*1.25*1.1+KFC!$C$19)*KFC!$C$5</f>
        <v>36.745500000000007</v>
      </c>
      <c r="F72" s="270">
        <f>(28.6*KFC!$B$19*1.02*1.25*1.1+KFC!$C$19)*KFC!$C$5</f>
        <v>40.111500000000007</v>
      </c>
      <c r="G72" s="270">
        <f>(31.1*KFC!$B$19*1.02*1.25*1.1+KFC!$C$19)*KFC!$C$5</f>
        <v>43.617750000000008</v>
      </c>
      <c r="H72" s="270">
        <f>(33.6*KFC!$B$19*1.02*1.25*1.1+KFC!$C$19)*KFC!$C$5</f>
        <v>47.124000000000009</v>
      </c>
      <c r="I72" s="270">
        <f>(36.1*KFC!$B$19*1.02*1.25*1.1+KFC!$C$19)*KFC!$C$5</f>
        <v>50.630250000000011</v>
      </c>
      <c r="J72" s="270">
        <f>(38.5*KFC!$B$19*1.02*1.25*1.1+KFC!$C$19)*KFC!$C$5</f>
        <v>53.996250000000011</v>
      </c>
      <c r="K72" s="270">
        <f>(41*KFC!$B$19*1.02*1.25*1.1+KFC!$C$19)*KFC!$C$5</f>
        <v>57.502500000000005</v>
      </c>
      <c r="L72" s="270">
        <f>(43.5*KFC!$B$19*1.02*1.25*1.1+KFC!$C$19)*KFC!$C$5</f>
        <v>61.008750000000006</v>
      </c>
      <c r="M72" s="270">
        <f>(46*KFC!$B$19*1.02*1.25*1.1+KFC!$C$19)*KFC!$C$5</f>
        <v>64.515000000000015</v>
      </c>
      <c r="N72" s="270">
        <f>(48.4*KFC!$B$19*1.02*1.25*1.1+KFC!$C$19)*KFC!$C$5</f>
        <v>67.881</v>
      </c>
      <c r="O72" s="270">
        <f>(51*KFC!$B$19*1.02*1.25*1.1+KFC!$C$19)*KFC!$C$5</f>
        <v>71.527500000000018</v>
      </c>
      <c r="P72" s="278">
        <f>(53.4*KFC!$B$19*1.02*1.25*1.1+KFC!$C$19)*KFC!$C$5</f>
        <v>74.893500000000003</v>
      </c>
    </row>
    <row r="73" spans="1:16" ht="12" customHeight="1">
      <c r="A73" s="1538"/>
      <c r="B73" s="272">
        <v>1.9</v>
      </c>
      <c r="C73" s="277">
        <f>(22.1*KFC!$B$19*1.02*1.25*1.1+KFC!$C$19)*KFC!$C$5</f>
        <v>30.995250000000006</v>
      </c>
      <c r="D73" s="270">
        <f>(24.8*KFC!$B$19*1.02*1.25*1.1+KFC!$C$19)*KFC!$C$5</f>
        <v>34.782000000000011</v>
      </c>
      <c r="E73" s="270">
        <f>(27.6*KFC!$B$19*1.02*1.25*1.1+KFC!$C$19)*KFC!$C$5</f>
        <v>38.709000000000003</v>
      </c>
      <c r="F73" s="270">
        <f>(30.3*KFC!$B$19*1.02*1.25*1.1+KFC!$C$19)*KFC!$C$5</f>
        <v>42.495750000000001</v>
      </c>
      <c r="G73" s="270">
        <f>(33*KFC!$B$19*1.02*1.25*1.1+KFC!$C$19)*KFC!$C$5</f>
        <v>46.282500000000006</v>
      </c>
      <c r="H73" s="270">
        <f>(35.7*KFC!$B$19*1.02*1.25*1.1+KFC!$C$19)*KFC!$C$5</f>
        <v>50.069250000000004</v>
      </c>
      <c r="I73" s="270">
        <f>(38.4*KFC!$B$19*1.02*1.25*1.1+KFC!$C$19)*KFC!$C$5</f>
        <v>53.856000000000009</v>
      </c>
      <c r="J73" s="270">
        <f>(41.1*KFC!$B$19*1.02*1.25*1.1+KFC!$C$19)*KFC!$C$5</f>
        <v>57.642750000000007</v>
      </c>
      <c r="K73" s="270">
        <f>(43.8*KFC!$B$19*1.02*1.25*1.1+KFC!$C$19)*KFC!$C$5</f>
        <v>61.429499999999997</v>
      </c>
      <c r="L73" s="270">
        <f>(46.5*KFC!$B$19*1.02*1.25*1.1+KFC!$C$19)*KFC!$C$5</f>
        <v>65.216250000000002</v>
      </c>
      <c r="M73" s="270">
        <f>(49.2*KFC!$B$19*1.02*1.25*1.1+KFC!$C$19)*KFC!$C$5</f>
        <v>69.003000000000014</v>
      </c>
      <c r="N73" s="270">
        <f>(51.9*KFC!$B$19*1.02*1.25*1.1+KFC!$C$19)*KFC!$C$5</f>
        <v>72.789750000000012</v>
      </c>
      <c r="O73" s="270">
        <f>(54.7*KFC!$B$19*1.02*1.25*1.1+KFC!$C$19)*KFC!$C$5</f>
        <v>76.716750000000019</v>
      </c>
      <c r="P73" s="278">
        <f>(57.4*KFC!$B$19*1.02*1.25*1.1+KFC!$C$19)*KFC!$C$5</f>
        <v>80.503500000000003</v>
      </c>
    </row>
    <row r="74" spans="1:16" ht="12" customHeight="1">
      <c r="A74" s="1538"/>
      <c r="B74" s="272">
        <v>2</v>
      </c>
      <c r="C74" s="277">
        <f>(22.6*KFC!$B$19*1.02*1.25*1.1+KFC!$C$19)*KFC!$C$5</f>
        <v>31.696500000000007</v>
      </c>
      <c r="D74" s="270">
        <f>(25.4*KFC!$B$19*1.02*1.25*1.1+KFC!$C$19)*KFC!$C$5</f>
        <v>35.6235</v>
      </c>
      <c r="E74" s="270">
        <f>(28.3*KFC!$B$19*1.02*1.25*1.1+KFC!$C$19)*KFC!$C$5</f>
        <v>39.690750000000001</v>
      </c>
      <c r="F74" s="270">
        <f>(31.1*KFC!$B$19*1.02*1.25*1.1+KFC!$C$19)*KFC!$C$5</f>
        <v>43.617750000000008</v>
      </c>
      <c r="G74" s="270">
        <f>(33.9*KFC!$B$19*1.02*1.25*1.1+KFC!$C$19)*KFC!$C$5</f>
        <v>47.544750000000001</v>
      </c>
      <c r="H74" s="270">
        <f>(36.7*KFC!$B$19*1.02*1.25*1.1+KFC!$C$19)*KFC!$C$5</f>
        <v>51.471750000000007</v>
      </c>
      <c r="I74" s="270">
        <f>(39.5*KFC!$B$19*1.02*1.25*1.1+KFC!$C$19)*KFC!$C$5</f>
        <v>55.39875</v>
      </c>
      <c r="J74" s="270">
        <f>(42.4*KFC!$B$19*1.02*1.25*1.1+KFC!$C$19)*KFC!$C$5</f>
        <v>59.466000000000001</v>
      </c>
      <c r="K74" s="270">
        <f>(45.3*KFC!$B$19*1.02*1.25*1.1+KFC!$C$19)*KFC!$C$5</f>
        <v>63.533249999999995</v>
      </c>
      <c r="L74" s="270">
        <f>(48.1*KFC!$B$19*1.02*1.25*1.1+KFC!$C$19)*KFC!$C$5</f>
        <v>67.460250000000016</v>
      </c>
      <c r="M74" s="270">
        <f>(50.9*KFC!$B$19*1.02*1.25*1.1+KFC!$C$19)*KFC!$C$5</f>
        <v>71.387249999999995</v>
      </c>
      <c r="N74" s="270">
        <f>(53.7*KFC!$B$19*1.02*1.25*1.1+KFC!$C$19)*KFC!$C$5</f>
        <v>75.314250000000001</v>
      </c>
      <c r="O74" s="270">
        <f>(56.5*KFC!$B$19*1.02*1.25*1.1+KFC!$C$19)*KFC!$C$5</f>
        <v>79.241250000000022</v>
      </c>
      <c r="P74" s="278">
        <f>(59.3*KFC!$B$19*1.02*1.25*1.1+KFC!$C$19)*KFC!$C$5</f>
        <v>83.168250000000015</v>
      </c>
    </row>
    <row r="75" spans="1:16" ht="12" customHeight="1">
      <c r="A75" s="1538"/>
      <c r="B75" s="272">
        <v>2.1</v>
      </c>
      <c r="C75" s="277">
        <f>(23.2*KFC!$B$19*1.02*1.25*1.1+KFC!$C$19)*KFC!$C$5</f>
        <v>32.538000000000004</v>
      </c>
      <c r="D75" s="270">
        <f>(26*KFC!$B$19*1.02*1.25*1.1+KFC!$C$19)*KFC!$C$5</f>
        <v>36.465000000000003</v>
      </c>
      <c r="E75" s="270">
        <f>(29*KFC!$B$19*1.02*1.25*1.1+KFC!$C$19)*KFC!$C$5</f>
        <v>40.672500000000007</v>
      </c>
      <c r="F75" s="270">
        <f>(31.9*KFC!$B$19*1.02*1.25*1.1+KFC!$C$19)*KFC!$C$5</f>
        <v>44.739750000000001</v>
      </c>
      <c r="G75" s="270">
        <f>(34.9*KFC!$B$19*1.02*1.25*1.1+KFC!$C$19)*KFC!$C$5</f>
        <v>48.947250000000004</v>
      </c>
      <c r="H75" s="270">
        <f>(37.8*KFC!$B$19*1.02*1.25*1.1+KFC!$C$19)*KFC!$C$5</f>
        <v>53.014499999999998</v>
      </c>
      <c r="I75" s="270">
        <f>(40.7*KFC!$B$19*1.02*1.25*1.1+KFC!$C$19)*KFC!$C$5</f>
        <v>57.081750000000014</v>
      </c>
      <c r="J75" s="270">
        <f>(43.7*KFC!$B$19*1.02*1.25*1.1+KFC!$C$19)*KFC!$C$5</f>
        <v>61.289250000000017</v>
      </c>
      <c r="K75" s="270">
        <f>(46.6*KFC!$B$19*1.02*1.25*1.1+KFC!$C$19)*KFC!$C$5</f>
        <v>65.356500000000011</v>
      </c>
      <c r="L75" s="270">
        <f>(49.5*KFC!$B$19*1.02*1.25*1.1+KFC!$C$19)*KFC!$C$5</f>
        <v>69.423750000000013</v>
      </c>
      <c r="M75" s="270">
        <f>(52.5*KFC!$B$19*1.02*1.25*1.1+KFC!$C$19)*KFC!$C$5</f>
        <v>73.631250000000009</v>
      </c>
      <c r="N75" s="270">
        <f>(55.4*KFC!$B$19*1.02*1.25*1.1+KFC!$C$19)*KFC!$C$5</f>
        <v>77.69850000000001</v>
      </c>
      <c r="O75" s="270">
        <f>(58.3*KFC!$B$19*1.02*1.25*1.1+KFC!$C$19)*KFC!$C$5</f>
        <v>81.765749999999997</v>
      </c>
      <c r="P75" s="278">
        <f>(61.2*KFC!$B$19*1.02*1.25*1.1+KFC!$C$19)*KFC!$C$5</f>
        <v>85.833000000000013</v>
      </c>
    </row>
    <row r="76" spans="1:16" ht="12" customHeight="1">
      <c r="A76" s="1538"/>
      <c r="B76" s="272">
        <v>2.2000000000000002</v>
      </c>
      <c r="C76" s="277">
        <f>(23.7*KFC!$B$19*1.02*1.25*1.1+KFC!$C$19)*KFC!$C$5</f>
        <v>33.239250000000006</v>
      </c>
      <c r="D76" s="270">
        <f>(26.7*KFC!$B$19*1.02*1.25*1.1+KFC!$C$19)*KFC!$C$5</f>
        <v>37.446750000000002</v>
      </c>
      <c r="E76" s="270">
        <f>(29.7*KFC!$B$19*1.02*1.25*1.1+KFC!$C$19)*KFC!$C$5</f>
        <v>41.654250000000005</v>
      </c>
      <c r="F76" s="270">
        <f>(32.8*KFC!$B$19*1.02*1.25*1.1+KFC!$C$19)*KFC!$C$5</f>
        <v>46.001999999999995</v>
      </c>
      <c r="G76" s="270">
        <f>(35.8*KFC!$B$19*1.02*1.25*1.1+KFC!$C$19)*KFC!$C$5</f>
        <v>50.209499999999998</v>
      </c>
      <c r="H76" s="270">
        <f>(38.9*KFC!$B$19*1.02*1.25*1.1+KFC!$C$19)*KFC!$C$5</f>
        <v>54.557250000000003</v>
      </c>
      <c r="I76" s="270">
        <f>(41.9*KFC!$B$19*1.02*1.25*1.1+KFC!$C$19)*KFC!$C$5</f>
        <v>58.764750000000006</v>
      </c>
      <c r="J76" s="270">
        <f>(44.9*KFC!$B$19*1.02*1.25*1.1+KFC!$C$19)*KFC!$C$5</f>
        <v>62.97225000000001</v>
      </c>
      <c r="K76" s="270">
        <f>(47.9*KFC!$B$19*1.02*1.25*1.1+KFC!$C$19)*KFC!$C$5</f>
        <v>67.179749999999999</v>
      </c>
      <c r="L76" s="270">
        <f>(51*KFC!$B$19*1.02*1.25*1.1+KFC!$C$19)*KFC!$C$5</f>
        <v>71.527500000000018</v>
      </c>
      <c r="M76" s="270">
        <f>(54.1*KFC!$B$19*1.02*1.25*1.1+KFC!$C$19)*KFC!$C$5</f>
        <v>75.875250000000008</v>
      </c>
      <c r="N76" s="270">
        <f>(57.1*KFC!$B$19*1.02*1.25*1.1+KFC!$C$19)*KFC!$C$5</f>
        <v>80.082750000000019</v>
      </c>
      <c r="O76" s="270">
        <f>(60.2*KFC!$B$19*1.02*1.25*1.1+KFC!$C$19)*KFC!$C$5</f>
        <v>84.430500000000023</v>
      </c>
      <c r="P76" s="278">
        <f>(63.1*KFC!$B$19*1.02*1.25*1.1+KFC!$C$19)*KFC!$C$5</f>
        <v>88.497750000000025</v>
      </c>
    </row>
    <row r="77" spans="1:16" ht="12" customHeight="1">
      <c r="A77" s="1538"/>
      <c r="B77" s="272">
        <v>2.2999999999999998</v>
      </c>
      <c r="C77" s="277">
        <f>(24.2*KFC!$B$19*1.02*1.25*1.1+KFC!$C$19)*KFC!$C$5</f>
        <v>33.9405</v>
      </c>
      <c r="D77" s="270">
        <f>(27.3*KFC!$B$19*1.02*1.25*1.1+KFC!$C$19)*KFC!$C$5</f>
        <v>38.288249999999998</v>
      </c>
      <c r="E77" s="270">
        <f>(30.5*KFC!$B$19*1.02*1.25*1.1+KFC!$C$19)*KFC!$C$5</f>
        <v>42.776250000000005</v>
      </c>
      <c r="F77" s="270">
        <f>(33.6*KFC!$B$19*1.02*1.25*1.1+KFC!$C$19)*KFC!$C$5</f>
        <v>47.124000000000009</v>
      </c>
      <c r="G77" s="270">
        <f>(36.8*KFC!$B$19*1.02*1.25*1.1+KFC!$C$19)*KFC!$C$5</f>
        <v>51.611999999999995</v>
      </c>
      <c r="H77" s="270">
        <f>(39.9*KFC!$B$19*1.02*1.25*1.1+KFC!$C$19)*KFC!$C$5</f>
        <v>55.959750000000007</v>
      </c>
      <c r="I77" s="270">
        <f>(43*KFC!$B$19*1.02*1.25*1.1+KFC!$C$19)*KFC!$C$5</f>
        <v>60.307500000000005</v>
      </c>
      <c r="J77" s="270">
        <f>(46.2*KFC!$B$19*1.02*1.25*1.1+KFC!$C$19)*KFC!$C$5</f>
        <v>64.795500000000004</v>
      </c>
      <c r="K77" s="270">
        <f>(49.4*KFC!$B$19*1.02*1.25*1.1+KFC!$C$19)*KFC!$C$5</f>
        <v>69.283500000000004</v>
      </c>
      <c r="L77" s="270">
        <f>(52.5*KFC!$B$19*1.02*1.25*1.1+KFC!$C$19)*KFC!$C$5</f>
        <v>73.631250000000009</v>
      </c>
      <c r="M77" s="270">
        <f>(55.6*KFC!$B$19*1.02*1.25*1.1+KFC!$C$19)*KFC!$C$5</f>
        <v>77.979000000000013</v>
      </c>
      <c r="N77" s="270">
        <f>(58.8*KFC!$B$19*1.02*1.25*1.1+KFC!$C$19)*KFC!$C$5</f>
        <v>82.466999999999999</v>
      </c>
      <c r="O77" s="270">
        <f>(62*KFC!$B$19*1.02*1.25*1.1+KFC!$C$19)*KFC!$C$5</f>
        <v>86.954999999999998</v>
      </c>
      <c r="P77" s="278">
        <f>(65.1*KFC!$B$19*1.02*1.25*1.1+KFC!$C$19)*KFC!$C$5</f>
        <v>91.302750000000003</v>
      </c>
    </row>
    <row r="78" spans="1:16" ht="12" customHeight="1">
      <c r="A78" s="1538"/>
      <c r="B78" s="272">
        <v>2.4</v>
      </c>
      <c r="C78" s="277">
        <f>(24.7*KFC!$B$19*1.02*1.25*1.1+KFC!$C$19)*KFC!$C$5</f>
        <v>34.641750000000002</v>
      </c>
      <c r="D78" s="270">
        <f>(27.9*KFC!$B$19*1.02*1.25*1.1+KFC!$C$19)*KFC!$C$5</f>
        <v>39.129750000000001</v>
      </c>
      <c r="E78" s="270">
        <f>(31.2*KFC!$B$19*1.02*1.25*1.1+KFC!$C$19)*KFC!$C$5</f>
        <v>43.758000000000003</v>
      </c>
      <c r="F78" s="270">
        <f>(34.5*KFC!$B$19*1.02*1.25*1.1+KFC!$C$19)*KFC!$C$5</f>
        <v>48.386250000000004</v>
      </c>
      <c r="G78" s="270">
        <f>(37.7*KFC!$B$19*1.02*1.25*1.1+KFC!$C$19)*KFC!$C$5</f>
        <v>52.874250000000011</v>
      </c>
      <c r="H78" s="270">
        <f>(41*KFC!$B$19*1.02*1.25*1.1+KFC!$C$19)*KFC!$C$5</f>
        <v>57.502500000000005</v>
      </c>
      <c r="I78" s="270">
        <f>(44.3*KFC!$B$19*1.02*1.25*1.1+KFC!$C$19)*KFC!$C$5</f>
        <v>62.130750000000006</v>
      </c>
      <c r="J78" s="270">
        <f>(47.5*KFC!$B$19*1.02*1.25*1.1+KFC!$C$19)*KFC!$C$5</f>
        <v>66.618750000000006</v>
      </c>
      <c r="K78" s="270">
        <f>(50.8*KFC!$B$19*1.02*1.25*1.1+KFC!$C$19)*KFC!$C$5</f>
        <v>71.247</v>
      </c>
      <c r="L78" s="270">
        <f>(54.1*KFC!$B$19*1.02*1.25*1.1+KFC!$C$19)*KFC!$C$5</f>
        <v>75.875250000000008</v>
      </c>
      <c r="M78" s="270">
        <f>(57.2*KFC!$B$19*1.02*1.25*1.1+KFC!$C$19)*KFC!$C$5</f>
        <v>80.223000000000013</v>
      </c>
      <c r="N78" s="270">
        <f>(60.5*KFC!$B$19*1.02*1.25*1.1+KFC!$C$19)*KFC!$C$5</f>
        <v>84.851250000000007</v>
      </c>
      <c r="O78" s="270">
        <f>(63.8*KFC!$B$19*1.02*1.25*1.1+KFC!$C$19)*KFC!$C$5</f>
        <v>89.479500000000002</v>
      </c>
      <c r="P78" s="278">
        <f>(67*KFC!$B$19*1.02*1.25*1.1+KFC!$C$19)*KFC!$C$5</f>
        <v>93.967500000000015</v>
      </c>
    </row>
    <row r="79" spans="1:16" ht="12" customHeight="1">
      <c r="A79" s="1538"/>
      <c r="B79" s="272">
        <v>2.5</v>
      </c>
      <c r="C79" s="277">
        <f>(25.2*KFC!$B$19*1.02*1.25*1.1+KFC!$C$19)*KFC!$C$5</f>
        <v>35.343000000000004</v>
      </c>
      <c r="D79" s="270">
        <f>(28.5*KFC!$B$19*1.02*1.25*1.1+KFC!$C$19)*KFC!$C$5</f>
        <v>39.971250000000005</v>
      </c>
      <c r="E79" s="270">
        <f>(31.9*KFC!$B$19*1.02*1.25*1.1+KFC!$C$19)*KFC!$C$5</f>
        <v>44.739750000000001</v>
      </c>
      <c r="F79" s="270">
        <f>(35.3*KFC!$B$19*1.02*1.25*1.1+KFC!$C$19)*KFC!$C$5</f>
        <v>49.508250000000004</v>
      </c>
      <c r="G79" s="270">
        <f>(38.6*KFC!$B$19*1.02*1.25*1.1+KFC!$C$19)*KFC!$C$5</f>
        <v>54.136500000000005</v>
      </c>
      <c r="H79" s="270">
        <f>(42.1*KFC!$B$19*1.02*1.25*1.1+KFC!$C$19)*KFC!$C$5</f>
        <v>59.04525000000001</v>
      </c>
      <c r="I79" s="270">
        <f>(45.4*KFC!$B$19*1.02*1.25*1.1+KFC!$C$19)*KFC!$C$5</f>
        <v>63.673500000000004</v>
      </c>
      <c r="J79" s="270">
        <f>(48.8*KFC!$B$19*1.02*1.25*1.1+KFC!$C$19)*KFC!$C$5</f>
        <v>68.442000000000007</v>
      </c>
      <c r="K79" s="270">
        <f>(52.1*KFC!$B$19*1.02*1.25*1.1+KFC!$C$19)*KFC!$C$5</f>
        <v>73.070250000000016</v>
      </c>
      <c r="L79" s="270">
        <f>(55.5*KFC!$B$19*1.02*1.25*1.1+KFC!$C$19)*KFC!$C$5</f>
        <v>77.838750000000005</v>
      </c>
      <c r="M79" s="270">
        <f>(58.8*KFC!$B$19*1.02*1.25*1.1+KFC!$C$19)*KFC!$C$5</f>
        <v>82.466999999999999</v>
      </c>
      <c r="N79" s="270">
        <f>(62.3*KFC!$B$19*1.02*1.25*1.1+KFC!$C$19)*KFC!$C$5</f>
        <v>87.375750000000011</v>
      </c>
      <c r="O79" s="270">
        <f>(65.7*KFC!$B$19*1.02*1.25*1.1+KFC!$C$19)*KFC!$C$5</f>
        <v>92.144250000000028</v>
      </c>
      <c r="P79" s="278">
        <f>(69*KFC!$B$19*1.02*1.25*1.1+KFC!$C$19)*KFC!$C$5</f>
        <v>96.772500000000008</v>
      </c>
    </row>
    <row r="80" spans="1:16" ht="12" customHeight="1" thickBot="1">
      <c r="A80" s="1539"/>
      <c r="B80" s="273">
        <v>2.5499999999999998</v>
      </c>
      <c r="C80" s="279">
        <f>(25.7*KFC!$B$19*1.02*1.25*1.1+KFC!$C$19)*KFC!$C$5</f>
        <v>36.044249999999998</v>
      </c>
      <c r="D80" s="280">
        <f>(29.1*KFC!$B$19*1.02*1.25*1.1+KFC!$C$19)*KFC!$C$5</f>
        <v>40.812750000000008</v>
      </c>
      <c r="E80" s="280">
        <f>(32.7*KFC!$B$19*1.02*1.25*1.1+KFC!$C$19)*KFC!$C$5</f>
        <v>45.861750000000015</v>
      </c>
      <c r="F80" s="280">
        <f>(36.1*KFC!$B$19*1.02*1.25*1.1+KFC!$C$19)*KFC!$C$5</f>
        <v>50.630250000000011</v>
      </c>
      <c r="G80" s="280">
        <f>(39.6*KFC!$B$19*1.02*1.25*1.1+KFC!$C$19)*KFC!$C$5</f>
        <v>55.539000000000009</v>
      </c>
      <c r="H80" s="280">
        <f>(43*KFC!$B$19*1.02*1.25*1.1+KFC!$C$19)*KFC!$C$5</f>
        <v>60.307500000000005</v>
      </c>
      <c r="I80" s="280">
        <f>(46.6*KFC!$B$19*1.02*1.25*1.1+KFC!$C$19)*KFC!$C$5</f>
        <v>65.356500000000011</v>
      </c>
      <c r="J80" s="280">
        <f>(50*KFC!$B$19*1.02*1.25*1.1+KFC!$C$19)*KFC!$C$5</f>
        <v>70.125</v>
      </c>
      <c r="K80" s="280">
        <f>(53.6*KFC!$B$19*1.02*1.25*1.1+KFC!$C$19)*KFC!$C$5</f>
        <v>75.174000000000007</v>
      </c>
      <c r="L80" s="280">
        <f>(57*KFC!$B$19*1.02*1.25*1.1+KFC!$C$19)*KFC!$C$5</f>
        <v>79.94250000000001</v>
      </c>
      <c r="M80" s="280">
        <f>(60.5*KFC!$B$19*1.02*1.25*1.1+KFC!$C$19)*KFC!$C$5</f>
        <v>84.851250000000007</v>
      </c>
      <c r="N80" s="280">
        <f>(64*KFC!$B$19*1.02*1.25*1.1+KFC!$C$19)*KFC!$C$5</f>
        <v>89.76</v>
      </c>
      <c r="O80" s="280">
        <f>(67.5*KFC!$B$19*1.02*1.25*1.1+KFC!$C$19)*KFC!$C$5</f>
        <v>94.668750000000003</v>
      </c>
      <c r="P80" s="281">
        <f>(70.9*KFC!$B$19*1.02*1.25*1.1+KFC!$C$19)*KFC!$C$5</f>
        <v>99.43725000000002</v>
      </c>
    </row>
    <row r="81" spans="1:16" ht="12" customHeight="1" thickBot="1">
      <c r="A81" s="283"/>
      <c r="B81" s="284"/>
      <c r="C81" s="282"/>
      <c r="D81" s="282"/>
      <c r="E81" s="282"/>
      <c r="F81" s="282"/>
      <c r="G81" s="282"/>
      <c r="H81" s="282"/>
      <c r="I81" s="282"/>
      <c r="J81" s="282"/>
      <c r="K81" s="282"/>
      <c r="L81" s="282"/>
      <c r="M81" s="282"/>
      <c r="N81" s="282"/>
      <c r="O81" s="282"/>
      <c r="P81" s="282"/>
    </row>
    <row r="82" spans="1:16" ht="12" customHeight="1" thickBot="1">
      <c r="A82" s="1413" t="s">
        <v>318</v>
      </c>
      <c r="B82" s="1542"/>
      <c r="C82" s="1534" t="s">
        <v>207</v>
      </c>
      <c r="D82" s="1535"/>
      <c r="E82" s="1535"/>
      <c r="F82" s="1535"/>
      <c r="G82" s="1535"/>
      <c r="H82" s="1535"/>
      <c r="I82" s="1535"/>
      <c r="J82" s="1535"/>
      <c r="K82" s="1535"/>
      <c r="L82" s="1535"/>
      <c r="M82" s="1535"/>
      <c r="N82" s="1535"/>
      <c r="O82" s="1535"/>
      <c r="P82" s="1536"/>
    </row>
    <row r="83" spans="1:16" ht="12" customHeight="1" thickBot="1">
      <c r="A83" s="1543"/>
      <c r="B83" s="1544"/>
      <c r="C83" s="268">
        <v>0.4</v>
      </c>
      <c r="D83" s="268">
        <v>0.5</v>
      </c>
      <c r="E83" s="268">
        <v>0.6</v>
      </c>
      <c r="F83" s="268">
        <v>0.7</v>
      </c>
      <c r="G83" s="268">
        <v>0.8</v>
      </c>
      <c r="H83" s="268">
        <v>0.9</v>
      </c>
      <c r="I83" s="268">
        <v>1</v>
      </c>
      <c r="J83" s="268">
        <v>1.1000000000000001</v>
      </c>
      <c r="K83" s="268">
        <v>1.2</v>
      </c>
      <c r="L83" s="268">
        <v>1.3</v>
      </c>
      <c r="M83" s="268">
        <v>1.4</v>
      </c>
      <c r="N83" s="268">
        <v>1.5</v>
      </c>
      <c r="O83" s="268">
        <v>1.6</v>
      </c>
      <c r="P83" s="269">
        <v>1.7</v>
      </c>
    </row>
    <row r="84" spans="1:16" ht="12" customHeight="1">
      <c r="A84" s="1537" t="s">
        <v>3</v>
      </c>
      <c r="B84" s="271">
        <v>0.5</v>
      </c>
      <c r="C84" s="274">
        <f>(18.3*KFC!$B$19*1.02*1.3*1.1+KFC!$C$19)*KFC!$C$5</f>
        <v>26.692380000000004</v>
      </c>
      <c r="D84" s="275">
        <f>(19.6*KFC!$B$19*1.02*1.3*1.1+KFC!$C$19)*KFC!$C$5</f>
        <v>28.588560000000005</v>
      </c>
      <c r="E84" s="275">
        <f>(20.8*KFC!$B$19*1.02*1.3*1.1+KFC!$C$19)*KFC!$C$5</f>
        <v>30.338880000000007</v>
      </c>
      <c r="F84" s="275">
        <f>(22*KFC!$B$19*1.02*1.3*1.1+KFC!$C$19)*KFC!$C$5</f>
        <v>32.089200000000005</v>
      </c>
      <c r="G84" s="275">
        <f>(23.2*KFC!$B$19*1.02*1.3*1.1+KFC!$C$19)*KFC!$C$5</f>
        <v>33.83952</v>
      </c>
      <c r="H84" s="275">
        <f>(24.5*KFC!$B$19*1.02*1.3*1.1+KFC!$C$19)*KFC!$C$5</f>
        <v>35.735700000000008</v>
      </c>
      <c r="I84" s="275">
        <f>(25.7*KFC!$B$19*1.02*1.3*1.1+KFC!$C$19)*KFC!$C$5</f>
        <v>37.486020000000003</v>
      </c>
      <c r="J84" s="275">
        <f>(26.9*KFC!$B$19*1.02*1.3*1.1+KFC!$C$19)*KFC!$C$5</f>
        <v>39.236340000000006</v>
      </c>
      <c r="K84" s="275">
        <f>(28.1*KFC!$B$19*1.02*1.3*1.1+KFC!$C$19)*KFC!$C$5</f>
        <v>40.986660000000008</v>
      </c>
      <c r="L84" s="275">
        <f>(29.4*KFC!$B$19*1.02*1.3*1.1+KFC!$C$19)*KFC!$C$5</f>
        <v>42.882840000000002</v>
      </c>
      <c r="M84" s="275">
        <f>(30.6*KFC!$B$19*1.02*1.3*1.1+KFC!$C$19)*KFC!$C$5</f>
        <v>44.633160000000011</v>
      </c>
      <c r="N84" s="275">
        <f>(31.8*KFC!$B$19*1.02*1.3*1.1+KFC!$C$19)*KFC!$C$5</f>
        <v>46.383480000000006</v>
      </c>
      <c r="O84" s="275">
        <f>(33*KFC!$B$19*1.02*1.3*1.1+KFC!$C$19)*KFC!$C$5</f>
        <v>48.133800000000015</v>
      </c>
      <c r="P84" s="276">
        <f>(34.2*KFC!$B$19*1.02*1.3*1.1+KFC!$C$19)*KFC!$C$5</f>
        <v>49.88412000000001</v>
      </c>
    </row>
    <row r="85" spans="1:16" ht="12" customHeight="1">
      <c r="A85" s="1538"/>
      <c r="B85" s="272">
        <v>0.6</v>
      </c>
      <c r="C85" s="277">
        <f>(19.1*KFC!$B$19*1.02*1.3*1.1+KFC!$C$19)*KFC!$C$5</f>
        <v>27.85926000000001</v>
      </c>
      <c r="D85" s="270">
        <f>(20.4*KFC!$B$19*1.02*1.3*1.1+KFC!$C$19)*KFC!$C$5</f>
        <v>29.755440000000004</v>
      </c>
      <c r="E85" s="270">
        <f>(21.8*KFC!$B$19*1.02*1.3*1.1+KFC!$C$19)*KFC!$C$5</f>
        <v>31.797480000000004</v>
      </c>
      <c r="F85" s="270">
        <f>(23.2*KFC!$B$19*1.02*1.3*1.1+KFC!$C$19)*KFC!$C$5</f>
        <v>33.83952</v>
      </c>
      <c r="G85" s="270">
        <f>(24.6*KFC!$B$19*1.02*1.3*1.1+KFC!$C$19)*KFC!$C$5</f>
        <v>35.881560000000007</v>
      </c>
      <c r="H85" s="270">
        <f>(25.9*KFC!$B$19*1.02*1.3*1.1+KFC!$C$19)*KFC!$C$5</f>
        <v>37.777740000000009</v>
      </c>
      <c r="I85" s="270">
        <f>(27.3*KFC!$B$19*1.02*1.3*1.1+KFC!$C$19)*KFC!$C$5</f>
        <v>39.819780000000009</v>
      </c>
      <c r="J85" s="270">
        <f>(28.7*KFC!$B$19*1.02*1.3*1.1+KFC!$C$19)*KFC!$C$5</f>
        <v>41.861820000000009</v>
      </c>
      <c r="K85" s="270">
        <f>(30.1*KFC!$B$19*1.02*1.3*1.1+KFC!$C$19)*KFC!$C$5</f>
        <v>43.903860000000009</v>
      </c>
      <c r="L85" s="270">
        <f>(31.4*KFC!$B$19*1.02*1.3*1.1+KFC!$C$19)*KFC!$C$5</f>
        <v>45.800040000000003</v>
      </c>
      <c r="M85" s="270">
        <f>(32.8*KFC!$B$19*1.02*1.3*1.1+KFC!$C$19)*KFC!$C$5</f>
        <v>47.842079999999996</v>
      </c>
      <c r="N85" s="270">
        <f>(34.2*KFC!$B$19*1.02*1.3*1.1+KFC!$C$19)*KFC!$C$5</f>
        <v>49.88412000000001</v>
      </c>
      <c r="O85" s="270">
        <f>(35.6*KFC!$B$19*1.02*1.3*1.1+KFC!$C$19)*KFC!$C$5</f>
        <v>51.926160000000017</v>
      </c>
      <c r="P85" s="278">
        <f>(36.9*KFC!$B$19*1.02*1.3*1.1+KFC!$C$19)*KFC!$C$5</f>
        <v>53.822340000000004</v>
      </c>
    </row>
    <row r="86" spans="1:16" ht="12" customHeight="1">
      <c r="A86" s="1538"/>
      <c r="B86" s="272">
        <v>0.7</v>
      </c>
      <c r="C86" s="277">
        <f>(19.8*KFC!$B$19*1.02*1.3*1.1+KFC!$C$19)*KFC!$C$5</f>
        <v>28.880280000000006</v>
      </c>
      <c r="D86" s="270">
        <f>(21.3*KFC!$B$19*1.02*1.3*1.1+KFC!$C$19)*KFC!$C$5</f>
        <v>31.068180000000005</v>
      </c>
      <c r="E86" s="270">
        <f>(22.9*KFC!$B$19*1.02*1.3*1.1+KFC!$C$19)*KFC!$C$5</f>
        <v>33.401940000000003</v>
      </c>
      <c r="F86" s="270">
        <f>(24.3*KFC!$B$19*1.02*1.3*1.1+KFC!$C$19)*KFC!$C$5</f>
        <v>35.443980000000003</v>
      </c>
      <c r="G86" s="270">
        <f>(25.9*KFC!$B$19*1.02*1.3*1.1+KFC!$C$19)*KFC!$C$5</f>
        <v>37.777740000000009</v>
      </c>
      <c r="H86" s="270">
        <f>(27.4*KFC!$B$19*1.02*1.3*1.1+KFC!$C$19)*KFC!$C$5</f>
        <v>39.96564</v>
      </c>
      <c r="I86" s="270">
        <f>(29*KFC!$B$19*1.02*1.3*1.1+KFC!$C$19)*KFC!$C$5</f>
        <v>42.299400000000006</v>
      </c>
      <c r="J86" s="270">
        <f>(30.5*KFC!$B$19*1.02*1.3*1.1+KFC!$C$19)*KFC!$C$5</f>
        <v>44.487300000000005</v>
      </c>
      <c r="K86" s="270">
        <f>(32*KFC!$B$19*1.02*1.3*1.1+KFC!$C$19)*KFC!$C$5</f>
        <v>46.675200000000004</v>
      </c>
      <c r="L86" s="270">
        <f>(33.5*KFC!$B$19*1.02*1.3*1.1+KFC!$C$19)*KFC!$C$5</f>
        <v>48.86310000000001</v>
      </c>
      <c r="M86" s="270">
        <f>(35.1*KFC!$B$19*1.02*1.3*1.1+KFC!$C$19)*KFC!$C$5</f>
        <v>51.196860000000001</v>
      </c>
      <c r="N86" s="270">
        <f>(36.7*KFC!$B$19*1.02*1.3*1.1+KFC!$C$19)*KFC!$C$5</f>
        <v>53.530620000000013</v>
      </c>
      <c r="O86" s="270">
        <f>(38.2*KFC!$B$19*1.02*1.3*1.1+KFC!$C$19)*KFC!$C$5</f>
        <v>55.718520000000019</v>
      </c>
      <c r="P86" s="278">
        <f>(39.7*KFC!$B$19*1.02*1.3*1.1+KFC!$C$19)*KFC!$C$5</f>
        <v>57.906420000000018</v>
      </c>
    </row>
    <row r="87" spans="1:16" ht="12" customHeight="1">
      <c r="A87" s="1538"/>
      <c r="B87" s="272">
        <v>0.8</v>
      </c>
      <c r="C87" s="277">
        <f>(20.5*KFC!$B$19*1.02*1.3*1.1+KFC!$C$19)*KFC!$C$5</f>
        <v>29.901300000000003</v>
      </c>
      <c r="D87" s="270">
        <f>(22.3*KFC!$B$19*1.02*1.3*1.1+KFC!$C$19)*KFC!$C$5</f>
        <v>32.526780000000009</v>
      </c>
      <c r="E87" s="270">
        <f>(23.8*KFC!$B$19*1.02*1.3*1.1+KFC!$C$19)*KFC!$C$5</f>
        <v>34.714680000000001</v>
      </c>
      <c r="F87" s="270">
        <f>(25.6*KFC!$B$19*1.02*1.3*1.1+KFC!$C$19)*KFC!$C$5</f>
        <v>37.340160000000012</v>
      </c>
      <c r="G87" s="270">
        <f>(27.3*KFC!$B$19*1.02*1.3*1.1+KFC!$C$19)*KFC!$C$5</f>
        <v>39.819780000000009</v>
      </c>
      <c r="H87" s="270">
        <f>(29*KFC!$B$19*1.02*1.3*1.1+KFC!$C$19)*KFC!$C$5</f>
        <v>42.299400000000006</v>
      </c>
      <c r="I87" s="270">
        <f>(30.6*KFC!$B$19*1.02*1.3*1.1+KFC!$C$19)*KFC!$C$5</f>
        <v>44.633160000000011</v>
      </c>
      <c r="J87" s="270">
        <f>(32.3*KFC!$B$19*1.02*1.3*1.1+KFC!$C$19)*KFC!$C$5</f>
        <v>47.112780000000001</v>
      </c>
      <c r="K87" s="270">
        <f>(34*KFC!$B$19*1.02*1.3*1.1+KFC!$C$19)*KFC!$C$5</f>
        <v>49.592400000000005</v>
      </c>
      <c r="L87" s="270">
        <f>(35.7*KFC!$B$19*1.02*1.3*1.1+KFC!$C$19)*KFC!$C$5</f>
        <v>52.072020000000002</v>
      </c>
      <c r="M87" s="270">
        <f>(37.3*KFC!$B$19*1.02*1.3*1.1+KFC!$C$19)*KFC!$C$5</f>
        <v>54.405780000000007</v>
      </c>
      <c r="N87" s="270">
        <f>(39*KFC!$B$19*1.02*1.3*1.1+KFC!$C$19)*KFC!$C$5</f>
        <v>56.885400000000011</v>
      </c>
      <c r="O87" s="270">
        <f>(40.7*KFC!$B$19*1.02*1.3*1.1+KFC!$C$19)*KFC!$C$5</f>
        <v>59.365020000000008</v>
      </c>
      <c r="P87" s="278">
        <f>(42.4*KFC!$B$19*1.02*1.3*1.1+KFC!$C$19)*KFC!$C$5</f>
        <v>61.844640000000005</v>
      </c>
    </row>
    <row r="88" spans="1:16" ht="12" customHeight="1">
      <c r="A88" s="1538"/>
      <c r="B88" s="272">
        <v>0.9</v>
      </c>
      <c r="C88" s="277">
        <f>(21.3*KFC!$B$19*1.02*1.3*1.1+KFC!$C$19)*KFC!$C$5</f>
        <v>31.068180000000005</v>
      </c>
      <c r="D88" s="270">
        <f>(23.1*KFC!$B$19*1.02*1.3*1.1+KFC!$C$19)*KFC!$C$5</f>
        <v>33.693660000000001</v>
      </c>
      <c r="E88" s="270">
        <f>(24.9*KFC!$B$19*1.02*1.3*1.1+KFC!$C$19)*KFC!$C$5</f>
        <v>36.319140000000004</v>
      </c>
      <c r="F88" s="270">
        <f>(26.8*KFC!$B$19*1.02*1.3*1.1+KFC!$C$19)*KFC!$C$5</f>
        <v>39.090480000000014</v>
      </c>
      <c r="G88" s="270">
        <f>(28.6*KFC!$B$19*1.02*1.3*1.1+KFC!$C$19)*KFC!$C$5</f>
        <v>41.715960000000003</v>
      </c>
      <c r="H88" s="270">
        <f>(30.5*KFC!$B$19*1.02*1.3*1.1+KFC!$C$19)*KFC!$C$5</f>
        <v>44.487300000000005</v>
      </c>
      <c r="I88" s="270">
        <f>(32.3*KFC!$B$19*1.02*1.3*1.1+KFC!$C$19)*KFC!$C$5</f>
        <v>47.112780000000001</v>
      </c>
      <c r="J88" s="270">
        <f>(34.1*KFC!$B$19*1.02*1.3*1.1+KFC!$C$19)*KFC!$C$5</f>
        <v>49.738260000000011</v>
      </c>
      <c r="K88" s="270">
        <f>(36*KFC!$B$19*1.02*1.3*1.1+KFC!$C$19)*KFC!$C$5</f>
        <v>52.509599999999999</v>
      </c>
      <c r="L88" s="270">
        <f>(37.8*KFC!$B$19*1.02*1.3*1.1+KFC!$C$19)*KFC!$C$5</f>
        <v>55.135080000000002</v>
      </c>
      <c r="M88" s="270">
        <f>(39.6*KFC!$B$19*1.02*1.3*1.1+KFC!$C$19)*KFC!$C$5</f>
        <v>57.760560000000012</v>
      </c>
      <c r="N88" s="270">
        <f>(41.5*KFC!$B$19*1.02*1.3*1.1+KFC!$C$19)*KFC!$C$5</f>
        <v>60.5319</v>
      </c>
      <c r="O88" s="270">
        <f>(43.3*KFC!$B$19*1.02*1.3*1.1+KFC!$C$19)*KFC!$C$5</f>
        <v>63.157380000000003</v>
      </c>
      <c r="P88" s="278">
        <f>(45.1*KFC!$B$19*1.02*1.3*1.1+KFC!$C$19)*KFC!$C$5</f>
        <v>65.782860000000014</v>
      </c>
    </row>
    <row r="89" spans="1:16" ht="12" customHeight="1">
      <c r="A89" s="1538"/>
      <c r="B89" s="272">
        <v>1</v>
      </c>
      <c r="C89" s="277">
        <f>(22*KFC!$B$19*1.02*1.3*1.1+KFC!$C$19)*KFC!$C$5</f>
        <v>32.089200000000005</v>
      </c>
      <c r="D89" s="270">
        <f>(24*KFC!$B$19*1.02*1.3*1.1+KFC!$C$19)*KFC!$C$5</f>
        <v>35.006400000000006</v>
      </c>
      <c r="E89" s="270">
        <f>(25.9*KFC!$B$19*1.02*1.3*1.1+KFC!$C$19)*KFC!$C$5</f>
        <v>37.777740000000009</v>
      </c>
      <c r="F89" s="270">
        <f>(27.9*KFC!$B$19*1.02*1.3*1.1+KFC!$C$19)*KFC!$C$5</f>
        <v>40.694940000000003</v>
      </c>
      <c r="G89" s="270">
        <f>(30*KFC!$B$19*1.02*1.3*1.1+KFC!$C$19)*KFC!$C$5</f>
        <v>43.758000000000003</v>
      </c>
      <c r="H89" s="270">
        <f>(31.9*KFC!$B$19*1.02*1.3*1.1+KFC!$C$19)*KFC!$C$5</f>
        <v>46.529340000000005</v>
      </c>
      <c r="I89" s="270">
        <f>(33.9*KFC!$B$19*1.02*1.3*1.1+KFC!$C$19)*KFC!$C$5</f>
        <v>49.446540000000006</v>
      </c>
      <c r="J89" s="270">
        <f>(36*KFC!$B$19*1.02*1.3*1.1+KFC!$C$19)*KFC!$C$5</f>
        <v>52.509599999999999</v>
      </c>
      <c r="K89" s="270">
        <f>(37.9*KFC!$B$19*1.02*1.3*1.1+KFC!$C$19)*KFC!$C$5</f>
        <v>55.280940000000008</v>
      </c>
      <c r="L89" s="270">
        <f>(39.9*KFC!$B$19*1.02*1.3*1.1+KFC!$C$19)*KFC!$C$5</f>
        <v>58.198140000000009</v>
      </c>
      <c r="M89" s="270">
        <f>(41.8*KFC!$B$19*1.02*1.3*1.1+KFC!$C$19)*KFC!$C$5</f>
        <v>60.969479999999997</v>
      </c>
      <c r="N89" s="270">
        <f>(43.9*KFC!$B$19*1.02*1.3*1.1+KFC!$C$19)*KFC!$C$5</f>
        <v>64.032539999999997</v>
      </c>
      <c r="O89" s="270">
        <f>(45.9*KFC!$B$19*1.02*1.3*1.1+KFC!$C$19)*KFC!$C$5</f>
        <v>66.949740000000006</v>
      </c>
      <c r="P89" s="278">
        <f>(47.8*KFC!$B$19*1.02*1.3*1.1+KFC!$C$19)*KFC!$C$5</f>
        <v>69.721080000000015</v>
      </c>
    </row>
    <row r="90" spans="1:16" ht="12" customHeight="1">
      <c r="A90" s="1538"/>
      <c r="B90" s="272">
        <v>1.1000000000000001</v>
      </c>
      <c r="C90" s="277">
        <f>(22.6*KFC!$B$19*1.02*1.3*1.1+KFC!$C$19)*KFC!$C$5</f>
        <v>32.964360000000006</v>
      </c>
      <c r="D90" s="270">
        <f>(24.8*KFC!$B$19*1.02*1.3*1.1+KFC!$C$19)*KFC!$C$5</f>
        <v>36.173280000000013</v>
      </c>
      <c r="E90" s="270">
        <f>(27*KFC!$B$19*1.02*1.3*1.1+KFC!$C$19)*KFC!$C$5</f>
        <v>39.382200000000005</v>
      </c>
      <c r="F90" s="270">
        <f>(29.1*KFC!$B$19*1.02*1.3*1.1+KFC!$C$19)*KFC!$C$5</f>
        <v>42.445260000000005</v>
      </c>
      <c r="G90" s="270">
        <f>(31.3*KFC!$B$19*1.02*1.3*1.1+KFC!$C$19)*KFC!$C$5</f>
        <v>45.654180000000011</v>
      </c>
      <c r="H90" s="270">
        <f>(33.4*KFC!$B$19*1.02*1.3*1.1+KFC!$C$19)*KFC!$C$5</f>
        <v>48.717239999999997</v>
      </c>
      <c r="I90" s="270">
        <f>(35.6*KFC!$B$19*1.02*1.3*1.1+KFC!$C$19)*KFC!$C$5</f>
        <v>51.926160000000017</v>
      </c>
      <c r="J90" s="270">
        <f>(37.7*KFC!$B$19*1.02*1.3*1.1+KFC!$C$19)*KFC!$C$5</f>
        <v>54.989220000000003</v>
      </c>
      <c r="K90" s="270">
        <f>(39.9*KFC!$B$19*1.02*1.3*1.1+KFC!$C$19)*KFC!$C$5</f>
        <v>58.198140000000009</v>
      </c>
      <c r="L90" s="270">
        <f>(41.9*KFC!$B$19*1.02*1.3*1.1+KFC!$C$19)*KFC!$C$5</f>
        <v>61.11534000000001</v>
      </c>
      <c r="M90" s="270">
        <f>(44.2*KFC!$B$19*1.02*1.3*1.1+KFC!$C$19)*KFC!$C$5</f>
        <v>64.470120000000009</v>
      </c>
      <c r="N90" s="270">
        <f>(46.4*KFC!$B$19*1.02*1.3*1.1+KFC!$C$19)*KFC!$C$5</f>
        <v>67.679040000000001</v>
      </c>
      <c r="O90" s="270">
        <f>(48.4*KFC!$B$19*1.02*1.3*1.1+KFC!$C$19)*KFC!$C$5</f>
        <v>70.596240000000023</v>
      </c>
      <c r="P90" s="278">
        <f>(50.6*KFC!$B$19*1.02*1.3*1.1+KFC!$C$19)*KFC!$C$5</f>
        <v>73.805160000000015</v>
      </c>
    </row>
    <row r="91" spans="1:16" ht="12" customHeight="1">
      <c r="A91" s="1538"/>
      <c r="B91" s="272">
        <v>1.2</v>
      </c>
      <c r="C91" s="277">
        <f>(23.4*KFC!$B$19*1.02*1.3*1.1+KFC!$C$19)*KFC!$C$5</f>
        <v>34.131239999999998</v>
      </c>
      <c r="D91" s="270">
        <f>(25.7*KFC!$B$19*1.02*1.3*1.1+KFC!$C$19)*KFC!$C$5</f>
        <v>37.486020000000003</v>
      </c>
      <c r="E91" s="270">
        <f>(28*KFC!$B$19*1.02*1.3*1.1+KFC!$C$19)*KFC!$C$5</f>
        <v>40.840800000000009</v>
      </c>
      <c r="F91" s="270">
        <f>(30.3*KFC!$B$19*1.02*1.3*1.1+KFC!$C$19)*KFC!$C$5</f>
        <v>44.195580000000007</v>
      </c>
      <c r="G91" s="270">
        <f>(32.7*KFC!$B$19*1.02*1.3*1.1+KFC!$C$19)*KFC!$C$5</f>
        <v>47.696220000000018</v>
      </c>
      <c r="H91" s="270">
        <f>(34.9*KFC!$B$19*1.02*1.3*1.1+KFC!$C$19)*KFC!$C$5</f>
        <v>50.905140000000003</v>
      </c>
      <c r="I91" s="270">
        <f>(37.2*KFC!$B$19*1.02*1.3*1.1+KFC!$C$19)*KFC!$C$5</f>
        <v>54.259920000000008</v>
      </c>
      <c r="J91" s="270">
        <f>(39.5*KFC!$B$19*1.02*1.3*1.1+KFC!$C$19)*KFC!$C$5</f>
        <v>57.614700000000006</v>
      </c>
      <c r="K91" s="270">
        <f>(41.8*KFC!$B$19*1.02*1.3*1.1+KFC!$C$19)*KFC!$C$5</f>
        <v>60.969479999999997</v>
      </c>
      <c r="L91" s="270">
        <f>(44.2*KFC!$B$19*1.02*1.3*1.1+KFC!$C$19)*KFC!$C$5</f>
        <v>64.470120000000009</v>
      </c>
      <c r="M91" s="270">
        <f>(46.4*KFC!$B$19*1.02*1.3*1.1+KFC!$C$19)*KFC!$C$5</f>
        <v>67.679040000000001</v>
      </c>
      <c r="N91" s="270">
        <f>(48.7*KFC!$B$19*1.02*1.3*1.1+KFC!$C$19)*KFC!$C$5</f>
        <v>71.03382000000002</v>
      </c>
      <c r="O91" s="270">
        <f>(51*KFC!$B$19*1.02*1.3*1.1+KFC!$C$19)*KFC!$C$5</f>
        <v>74.388600000000011</v>
      </c>
      <c r="P91" s="278">
        <f>(53.3*KFC!$B$19*1.02*1.3*1.1+KFC!$C$19)*KFC!$C$5</f>
        <v>77.743380000000002</v>
      </c>
    </row>
    <row r="92" spans="1:16" ht="12" customHeight="1">
      <c r="A92" s="1538"/>
      <c r="B92" s="272">
        <v>1.3</v>
      </c>
      <c r="C92" s="277">
        <f>(24.1*KFC!$B$19*1.02*1.3*1.1+KFC!$C$19)*KFC!$C$5</f>
        <v>35.152260000000005</v>
      </c>
      <c r="D92" s="270">
        <f>(26.5*KFC!$B$19*1.02*1.3*1.1+KFC!$C$19)*KFC!$C$5</f>
        <v>38.65290000000001</v>
      </c>
      <c r="E92" s="270">
        <f>(29*KFC!$B$19*1.02*1.3*1.1+KFC!$C$19)*KFC!$C$5</f>
        <v>42.299400000000006</v>
      </c>
      <c r="F92" s="270">
        <f>(31.4*KFC!$B$19*1.02*1.3*1.1+KFC!$C$19)*KFC!$C$5</f>
        <v>45.800040000000003</v>
      </c>
      <c r="G92" s="270">
        <f>(34*KFC!$B$19*1.02*1.3*1.1+KFC!$C$19)*KFC!$C$5</f>
        <v>49.592400000000005</v>
      </c>
      <c r="H92" s="270">
        <f>(36.4*KFC!$B$19*1.02*1.3*1.1+KFC!$C$19)*KFC!$C$5</f>
        <v>53.093040000000009</v>
      </c>
      <c r="I92" s="270">
        <f>(38.9*KFC!$B$19*1.02*1.3*1.1+KFC!$C$19)*KFC!$C$5</f>
        <v>56.739539999999998</v>
      </c>
      <c r="J92" s="270">
        <f>(41.3*KFC!$B$19*1.02*1.3*1.1+KFC!$C$19)*KFC!$C$5</f>
        <v>60.240180000000002</v>
      </c>
      <c r="K92" s="270">
        <f>(43.8*KFC!$B$19*1.02*1.3*1.1+KFC!$C$19)*KFC!$C$5</f>
        <v>63.886679999999998</v>
      </c>
      <c r="L92" s="270">
        <f>(46.2*KFC!$B$19*1.02*1.3*1.1+KFC!$C$19)*KFC!$C$5</f>
        <v>67.387320000000003</v>
      </c>
      <c r="M92" s="270">
        <f>(48.7*KFC!$B$19*1.02*1.3*1.1+KFC!$C$19)*KFC!$C$5</f>
        <v>71.03382000000002</v>
      </c>
      <c r="N92" s="270">
        <f>(51.1*KFC!$B$19*1.02*1.3*1.1+KFC!$C$19)*KFC!$C$5</f>
        <v>74.53446000000001</v>
      </c>
      <c r="O92" s="270">
        <f>(53.6*KFC!$B$19*1.02*1.3*1.1+KFC!$C$19)*KFC!$C$5</f>
        <v>78.180960000000027</v>
      </c>
      <c r="P92" s="278">
        <f>(56*KFC!$B$19*1.02*1.3*1.1+KFC!$C$19)*KFC!$C$5</f>
        <v>81.681600000000017</v>
      </c>
    </row>
    <row r="93" spans="1:16" ht="12" customHeight="1">
      <c r="A93" s="1538"/>
      <c r="B93" s="272">
        <v>1.4</v>
      </c>
      <c r="C93" s="277">
        <f>(24.8*KFC!$B$19*1.02*1.3*1.1+KFC!$C$19)*KFC!$C$5</f>
        <v>36.173280000000013</v>
      </c>
      <c r="D93" s="270">
        <f>(27.5*KFC!$B$19*1.02*1.3*1.1+KFC!$C$19)*KFC!$C$5</f>
        <v>40.111500000000007</v>
      </c>
      <c r="E93" s="270">
        <f>(30.1*KFC!$B$19*1.02*1.3*1.1+KFC!$C$19)*KFC!$C$5</f>
        <v>43.903860000000009</v>
      </c>
      <c r="F93" s="270">
        <f>(32.7*KFC!$B$19*1.02*1.3*1.1+KFC!$C$19)*KFC!$C$5</f>
        <v>47.696220000000018</v>
      </c>
      <c r="G93" s="270">
        <f>(35.2*KFC!$B$19*1.02*1.3*1.1+KFC!$C$19)*KFC!$C$5</f>
        <v>51.342720000000007</v>
      </c>
      <c r="H93" s="270">
        <f>(37.9*KFC!$B$19*1.02*1.3*1.1+KFC!$C$19)*KFC!$C$5</f>
        <v>55.280940000000008</v>
      </c>
      <c r="I93" s="270">
        <f>(40.5*KFC!$B$19*1.02*1.3*1.1+KFC!$C$19)*KFC!$C$5</f>
        <v>59.07330000000001</v>
      </c>
      <c r="J93" s="270">
        <f>(43*KFC!$B$19*1.02*1.3*1.1+KFC!$C$19)*KFC!$C$5</f>
        <v>62.719800000000006</v>
      </c>
      <c r="K93" s="270">
        <f>(45.7*KFC!$B$19*1.02*1.3*1.1+KFC!$C$19)*KFC!$C$5</f>
        <v>66.658020000000008</v>
      </c>
      <c r="L93" s="270">
        <f>(48.3*KFC!$B$19*1.02*1.3*1.1+KFC!$C$19)*KFC!$C$5</f>
        <v>70.45038000000001</v>
      </c>
      <c r="M93" s="270">
        <f>(50.9*KFC!$B$19*1.02*1.3*1.1+KFC!$C$19)*KFC!$C$5</f>
        <v>74.242740000000012</v>
      </c>
      <c r="N93" s="270">
        <f>(53.6*KFC!$B$19*1.02*1.3*1.1+KFC!$C$19)*KFC!$C$5</f>
        <v>78.180960000000027</v>
      </c>
      <c r="O93" s="270">
        <f>(56.1*KFC!$B$19*1.02*1.3*1.1+KFC!$C$19)*KFC!$C$5</f>
        <v>81.827460000000016</v>
      </c>
      <c r="P93" s="278">
        <f>(58.7*KFC!$B$19*1.02*1.3*1.1+KFC!$C$19)*KFC!$C$5</f>
        <v>85.619820000000018</v>
      </c>
    </row>
    <row r="94" spans="1:16" ht="12" customHeight="1">
      <c r="A94" s="1538"/>
      <c r="B94" s="272">
        <v>1.5</v>
      </c>
      <c r="C94" s="277">
        <f>(25.6*KFC!$B$19*1.02*1.3*1.1+KFC!$C$19)*KFC!$C$5</f>
        <v>37.340160000000012</v>
      </c>
      <c r="D94" s="270">
        <f>(28.4*KFC!$B$19*1.02*1.3*1.1+KFC!$C$19)*KFC!$C$5</f>
        <v>41.424240000000005</v>
      </c>
      <c r="E94" s="270">
        <f>(31.1*KFC!$B$19*1.02*1.3*1.1+KFC!$C$19)*KFC!$C$5</f>
        <v>45.362460000000013</v>
      </c>
      <c r="F94" s="270">
        <f>(33.9*KFC!$B$19*1.02*1.3*1.1+KFC!$C$19)*KFC!$C$5</f>
        <v>49.446540000000006</v>
      </c>
      <c r="G94" s="270">
        <f>(36.6*KFC!$B$19*1.02*1.3*1.1+KFC!$C$19)*KFC!$C$5</f>
        <v>53.384760000000007</v>
      </c>
      <c r="H94" s="270">
        <f>(39.4*KFC!$B$19*1.02*1.3*1.1+KFC!$C$19)*KFC!$C$5</f>
        <v>57.468840000000014</v>
      </c>
      <c r="I94" s="270">
        <f>(42.2*KFC!$B$19*1.02*1.3*1.1+KFC!$C$19)*KFC!$C$5</f>
        <v>61.552920000000015</v>
      </c>
      <c r="J94" s="270">
        <f>(44.9*KFC!$B$19*1.02*1.3*1.1+KFC!$C$19)*KFC!$C$5</f>
        <v>65.491140000000016</v>
      </c>
      <c r="K94" s="270">
        <f>(47.7*KFC!$B$19*1.02*1.3*1.1+KFC!$C$19)*KFC!$C$5</f>
        <v>69.575220000000016</v>
      </c>
      <c r="L94" s="270">
        <f>(50.4*KFC!$B$19*1.02*1.3*1.1+KFC!$C$19)*KFC!$C$5</f>
        <v>73.513440000000003</v>
      </c>
      <c r="M94" s="270">
        <f>(53.2*KFC!$B$19*1.02*1.3*1.1+KFC!$C$19)*KFC!$C$5</f>
        <v>77.597520000000017</v>
      </c>
      <c r="N94" s="270">
        <f>(56*KFC!$B$19*1.02*1.3*1.1+KFC!$C$19)*KFC!$C$5</f>
        <v>81.681600000000017</v>
      </c>
      <c r="O94" s="270">
        <f>(58.7*KFC!$B$19*1.02*1.3*1.1+KFC!$C$19)*KFC!$C$5</f>
        <v>85.619820000000018</v>
      </c>
      <c r="P94" s="278">
        <f>(61.5*KFC!$B$19*1.02*1.3*1.1+KFC!$C$19)*KFC!$C$5</f>
        <v>89.703900000000019</v>
      </c>
    </row>
    <row r="95" spans="1:16" ht="12" customHeight="1">
      <c r="A95" s="1538"/>
      <c r="B95" s="272">
        <v>1.6</v>
      </c>
      <c r="C95" s="277">
        <f>(26.3*KFC!$B$19*1.02*1.3*1.1+KFC!$C$19)*KFC!$C$5</f>
        <v>38.361180000000004</v>
      </c>
      <c r="D95" s="270">
        <f>(29.2*KFC!$B$19*1.02*1.3*1.1+KFC!$C$19)*KFC!$C$5</f>
        <v>42.591120000000004</v>
      </c>
      <c r="E95" s="270">
        <f>(32.2*KFC!$B$19*1.02*1.3*1.1+KFC!$C$19)*KFC!$C$5</f>
        <v>46.966920000000009</v>
      </c>
      <c r="F95" s="270">
        <f>(35.1*KFC!$B$19*1.02*1.3*1.1+KFC!$C$19)*KFC!$C$5</f>
        <v>51.196860000000001</v>
      </c>
      <c r="G95" s="270">
        <f>(37.9*KFC!$B$19*1.02*1.3*1.1+KFC!$C$19)*KFC!$C$5</f>
        <v>55.280940000000008</v>
      </c>
      <c r="H95" s="270">
        <f>(40.8*KFC!$B$19*1.02*1.3*1.1+KFC!$C$19)*KFC!$C$5</f>
        <v>59.510880000000007</v>
      </c>
      <c r="I95" s="270">
        <f>(43.8*KFC!$B$19*1.02*1.3*1.1+KFC!$C$19)*KFC!$C$5</f>
        <v>63.886679999999998</v>
      </c>
      <c r="J95" s="270">
        <f>(46.7*KFC!$B$19*1.02*1.3*1.1+KFC!$C$19)*KFC!$C$5</f>
        <v>68.116619999999998</v>
      </c>
      <c r="K95" s="270">
        <f>(49.7*KFC!$B$19*1.02*1.3*1.1+KFC!$C$19)*KFC!$C$5</f>
        <v>72.49242000000001</v>
      </c>
      <c r="L95" s="270">
        <f>(52.6*KFC!$B$19*1.02*1.3*1.1+KFC!$C$19)*KFC!$C$5</f>
        <v>76.722360000000009</v>
      </c>
      <c r="M95" s="270">
        <f>(55.4*KFC!$B$19*1.02*1.3*1.1+KFC!$C$19)*KFC!$C$5</f>
        <v>80.806440000000009</v>
      </c>
      <c r="N95" s="270">
        <f>(58.3*KFC!$B$19*1.02*1.3*1.1+KFC!$C$19)*KFC!$C$5</f>
        <v>85.036380000000008</v>
      </c>
      <c r="O95" s="270">
        <f>(61.3*KFC!$B$19*1.02*1.3*1.1+KFC!$C$19)*KFC!$C$5</f>
        <v>89.412180000000006</v>
      </c>
      <c r="P95" s="278">
        <f>(64.2*KFC!$B$19*1.02*1.3*1.1+KFC!$C$19)*KFC!$C$5</f>
        <v>93.64212000000002</v>
      </c>
    </row>
    <row r="96" spans="1:16" ht="12" customHeight="1">
      <c r="A96" s="1538"/>
      <c r="B96" s="272">
        <v>1.7</v>
      </c>
      <c r="C96" s="277">
        <f>(27*KFC!$B$19*1.02*1.3*1.1+KFC!$C$19)*KFC!$C$5</f>
        <v>39.382200000000005</v>
      </c>
      <c r="D96" s="270">
        <f>(30.1*KFC!$B$19*1.02*1.3*1.1+KFC!$C$19)*KFC!$C$5</f>
        <v>43.903860000000009</v>
      </c>
      <c r="E96" s="270">
        <f>(33.1*KFC!$B$19*1.02*1.3*1.1+KFC!$C$19)*KFC!$C$5</f>
        <v>48.27966</v>
      </c>
      <c r="F96" s="270">
        <f>(36.2*KFC!$B$19*1.02*1.3*1.1+KFC!$C$19)*KFC!$C$5</f>
        <v>52.801320000000018</v>
      </c>
      <c r="G96" s="270">
        <f>(39.3*KFC!$B$19*1.02*1.3*1.1+KFC!$C$19)*KFC!$C$5</f>
        <v>57.322980000000008</v>
      </c>
      <c r="H96" s="270">
        <f>(42.3*KFC!$B$19*1.02*1.3*1.1+KFC!$C$19)*KFC!$C$5</f>
        <v>61.698780000000006</v>
      </c>
      <c r="I96" s="270">
        <f>(45.5*KFC!$B$19*1.02*1.3*1.1+KFC!$C$19)*KFC!$C$5</f>
        <v>66.36630000000001</v>
      </c>
      <c r="J96" s="270">
        <f>(48.6*KFC!$B$19*1.02*1.3*1.1+KFC!$C$19)*KFC!$C$5</f>
        <v>70.887960000000007</v>
      </c>
      <c r="K96" s="270">
        <f>(51.6*KFC!$B$19*1.02*1.3*1.1+KFC!$C$19)*KFC!$C$5</f>
        <v>75.263760000000019</v>
      </c>
      <c r="L96" s="270">
        <f>(54.7*KFC!$B$19*1.02*1.3*1.1+KFC!$C$19)*KFC!$C$5</f>
        <v>79.785420000000016</v>
      </c>
      <c r="M96" s="270">
        <f>(57.7*KFC!$B$19*1.02*1.3*1.1+KFC!$C$19)*KFC!$C$5</f>
        <v>84.161220000000014</v>
      </c>
      <c r="N96" s="270">
        <f>(60.8*KFC!$B$19*1.02*1.3*1.1+KFC!$C$19)*KFC!$C$5</f>
        <v>88.682880000000011</v>
      </c>
      <c r="O96" s="270">
        <f>(63.8*KFC!$B$19*1.02*1.3*1.1+KFC!$C$19)*KFC!$C$5</f>
        <v>93.05868000000001</v>
      </c>
      <c r="P96" s="278">
        <f>(66.9*KFC!$B$19*1.02*1.3*1.1+KFC!$C$19)*KFC!$C$5</f>
        <v>97.580340000000021</v>
      </c>
    </row>
    <row r="97" spans="1:16" ht="12" customHeight="1">
      <c r="A97" s="1538"/>
      <c r="B97" s="272">
        <v>1.8</v>
      </c>
      <c r="C97" s="277">
        <f>(27.8*KFC!$B$19*1.02*1.3*1.1+KFC!$C$19)*KFC!$C$5</f>
        <v>40.549080000000004</v>
      </c>
      <c r="D97" s="270">
        <f>(30.9*KFC!$B$19*1.02*1.3*1.1+KFC!$C$19)*KFC!$C$5</f>
        <v>45.070740000000008</v>
      </c>
      <c r="E97" s="270">
        <f>(34.2*KFC!$B$19*1.02*1.3*1.1+KFC!$C$19)*KFC!$C$5</f>
        <v>49.88412000000001</v>
      </c>
      <c r="F97" s="270">
        <f>(37.4*KFC!$B$19*1.02*1.3*1.1+KFC!$C$19)*KFC!$C$5</f>
        <v>54.551639999999999</v>
      </c>
      <c r="G97" s="270">
        <f>(40.6*KFC!$B$19*1.02*1.3*1.1+KFC!$C$19)*KFC!$C$5</f>
        <v>59.219160000000002</v>
      </c>
      <c r="H97" s="270">
        <f>(43.9*KFC!$B$19*1.02*1.3*1.1+KFC!$C$19)*KFC!$C$5</f>
        <v>64.032539999999997</v>
      </c>
      <c r="I97" s="270">
        <f>(47.1*KFC!$B$19*1.02*1.3*1.1+KFC!$C$19)*KFC!$C$5</f>
        <v>68.700060000000008</v>
      </c>
      <c r="J97" s="270">
        <f>(50.3*KFC!$B$19*1.02*1.3*1.1+KFC!$C$19)*KFC!$C$5</f>
        <v>73.367580000000004</v>
      </c>
      <c r="K97" s="270">
        <f>(53.6*KFC!$B$19*1.02*1.3*1.1+KFC!$C$19)*KFC!$C$5</f>
        <v>78.180960000000027</v>
      </c>
      <c r="L97" s="270">
        <f>(56.7*KFC!$B$19*1.02*1.3*1.1+KFC!$C$19)*KFC!$C$5</f>
        <v>82.70262000000001</v>
      </c>
      <c r="M97" s="270">
        <f>(59.9*KFC!$B$19*1.02*1.3*1.1+KFC!$C$19)*KFC!$C$5</f>
        <v>87.370140000000006</v>
      </c>
      <c r="N97" s="270">
        <f>(63.2*KFC!$B$19*1.02*1.3*1.1+KFC!$C$19)*KFC!$C$5</f>
        <v>92.183520000000016</v>
      </c>
      <c r="O97" s="270">
        <f>(66.4*KFC!$B$19*1.02*1.3*1.1+KFC!$C$19)*KFC!$C$5</f>
        <v>96.851040000000026</v>
      </c>
      <c r="P97" s="278">
        <f>(69.7*KFC!$B$19*1.02*1.3*1.1+KFC!$C$19)*KFC!$C$5</f>
        <v>101.66442000000002</v>
      </c>
    </row>
    <row r="98" spans="1:16" ht="12" customHeight="1">
      <c r="A98" s="1538"/>
      <c r="B98" s="272">
        <v>1.9</v>
      </c>
      <c r="C98" s="277">
        <f>(29.2*KFC!$B$19*1.02*1.3*1.1+KFC!$C$19)*KFC!$C$5</f>
        <v>42.591120000000004</v>
      </c>
      <c r="D98" s="270">
        <f>(32.8*KFC!$B$19*1.02*1.3*1.1+KFC!$C$19)*KFC!$C$5</f>
        <v>47.842079999999996</v>
      </c>
      <c r="E98" s="270">
        <f>(36.2*KFC!$B$19*1.02*1.3*1.1+KFC!$C$19)*KFC!$C$5</f>
        <v>52.801320000000018</v>
      </c>
      <c r="F98" s="270">
        <f>(39.7*KFC!$B$19*1.02*1.3*1.1+KFC!$C$19)*KFC!$C$5</f>
        <v>57.906420000000018</v>
      </c>
      <c r="G98" s="270">
        <f>(43.3*KFC!$B$19*1.02*1.3*1.1+KFC!$C$19)*KFC!$C$5</f>
        <v>63.157380000000003</v>
      </c>
      <c r="H98" s="270">
        <f>(46.8*KFC!$B$19*1.02*1.3*1.1+KFC!$C$19)*KFC!$C$5</f>
        <v>68.262479999999996</v>
      </c>
      <c r="I98" s="270">
        <f>(50.4*KFC!$B$19*1.02*1.3*1.1+KFC!$C$19)*KFC!$C$5</f>
        <v>73.513440000000003</v>
      </c>
      <c r="J98" s="270">
        <f>(53.9*KFC!$B$19*1.02*1.3*1.1+KFC!$C$19)*KFC!$C$5</f>
        <v>78.61854000000001</v>
      </c>
      <c r="K98" s="270">
        <f>(57.5*KFC!$B$19*1.02*1.3*1.1+KFC!$C$19)*KFC!$C$5</f>
        <v>83.869500000000016</v>
      </c>
      <c r="L98" s="270">
        <f>(61*KFC!$B$19*1.02*1.3*1.1+KFC!$C$19)*KFC!$C$5</f>
        <v>88.974600000000009</v>
      </c>
      <c r="M98" s="270">
        <f>(64.5*KFC!$B$19*1.02*1.3*1.1+KFC!$C$19)*KFC!$C$5</f>
        <v>94.079700000000031</v>
      </c>
      <c r="N98" s="270">
        <f>(68*KFC!$B$19*1.02*1.3*1.1+KFC!$C$19)*KFC!$C$5</f>
        <v>99.18480000000001</v>
      </c>
      <c r="O98" s="270">
        <f>(71.5*KFC!$B$19*1.02*1.3*1.1+KFC!$C$19)*KFC!$C$5</f>
        <v>104.28990000000002</v>
      </c>
      <c r="P98" s="278">
        <f>(75.1*KFC!$B$19*1.02*1.3*1.1+KFC!$C$19)*KFC!$C$5</f>
        <v>109.54086</v>
      </c>
    </row>
    <row r="99" spans="1:16" ht="12" customHeight="1">
      <c r="A99" s="1538"/>
      <c r="B99" s="272">
        <v>2</v>
      </c>
      <c r="C99" s="277">
        <f>(30*KFC!$B$19*1.02*1.3*1.1+KFC!$C$19)*KFC!$C$5</f>
        <v>43.758000000000003</v>
      </c>
      <c r="D99" s="270">
        <f>(33.6*KFC!$B$19*1.02*1.3*1.1+KFC!$C$19)*KFC!$C$5</f>
        <v>49.008960000000016</v>
      </c>
      <c r="E99" s="270">
        <f>(37.3*KFC!$B$19*1.02*1.3*1.1+KFC!$C$19)*KFC!$C$5</f>
        <v>54.405780000000007</v>
      </c>
      <c r="F99" s="270">
        <f>(41*KFC!$B$19*1.02*1.3*1.1+KFC!$C$19)*KFC!$C$5</f>
        <v>59.802600000000005</v>
      </c>
      <c r="G99" s="270">
        <f>(44.6*KFC!$B$19*1.02*1.3*1.1+KFC!$C$19)*KFC!$C$5</f>
        <v>65.053560000000019</v>
      </c>
      <c r="H99" s="270">
        <f>(48.3*KFC!$B$19*1.02*1.3*1.1+KFC!$C$19)*KFC!$C$5</f>
        <v>70.45038000000001</v>
      </c>
      <c r="I99" s="270">
        <f>(52*KFC!$B$19*1.02*1.3*1.1+KFC!$C$19)*KFC!$C$5</f>
        <v>75.847200000000001</v>
      </c>
      <c r="J99" s="270">
        <f>(55.8*KFC!$B$19*1.02*1.3*1.1+KFC!$C$19)*KFC!$C$5</f>
        <v>81.389880000000005</v>
      </c>
      <c r="K99" s="270">
        <f>(59.4*KFC!$B$19*1.02*1.3*1.1+KFC!$C$19)*KFC!$C$5</f>
        <v>86.640840000000011</v>
      </c>
      <c r="L99" s="270">
        <f>(63.1*KFC!$B$19*1.02*1.3*1.1+KFC!$C$19)*KFC!$C$5</f>
        <v>92.037660000000031</v>
      </c>
      <c r="M99" s="270">
        <f>(66.8*KFC!$B$19*1.02*1.3*1.1+KFC!$C$19)*KFC!$C$5</f>
        <v>97.434479999999994</v>
      </c>
      <c r="N99" s="270">
        <f>(70.4*KFC!$B$19*1.02*1.3*1.1+KFC!$C$19)*KFC!$C$5</f>
        <v>102.68544000000001</v>
      </c>
      <c r="O99" s="270">
        <f>(74.1*KFC!$B$19*1.02*1.3*1.1+KFC!$C$19)*KFC!$C$5</f>
        <v>108.08226000000001</v>
      </c>
      <c r="P99" s="278">
        <f>(77.8*KFC!$B$19*1.02*1.3*1.1+KFC!$C$19)*KFC!$C$5</f>
        <v>113.47908</v>
      </c>
    </row>
    <row r="100" spans="1:16" ht="12" customHeight="1">
      <c r="A100" s="1538"/>
      <c r="B100" s="272">
        <v>2.1</v>
      </c>
      <c r="C100" s="277">
        <f>(30.6*KFC!$B$19*1.02*1.3*1.1+KFC!$C$19)*KFC!$C$5</f>
        <v>44.633160000000011</v>
      </c>
      <c r="D100" s="270">
        <f>(34.5*KFC!$B$19*1.02*1.3*1.1+KFC!$C$19)*KFC!$C$5</f>
        <v>50.321700000000007</v>
      </c>
      <c r="E100" s="270">
        <f>(38.3*KFC!$B$19*1.02*1.3*1.1+KFC!$C$19)*KFC!$C$5</f>
        <v>55.864379999999997</v>
      </c>
      <c r="F100" s="270">
        <f>(42.2*KFC!$B$19*1.02*1.3*1.1+KFC!$C$19)*KFC!$C$5</f>
        <v>61.552920000000015</v>
      </c>
      <c r="G100" s="270">
        <f>(46*KFC!$B$19*1.02*1.3*1.1+KFC!$C$19)*KFC!$C$5</f>
        <v>67.095600000000005</v>
      </c>
      <c r="H100" s="270">
        <f>(49.8*KFC!$B$19*1.02*1.3*1.1+KFC!$C$19)*KFC!$C$5</f>
        <v>72.638280000000009</v>
      </c>
      <c r="I100" s="270">
        <f>(53.7*KFC!$B$19*1.02*1.3*1.1+KFC!$C$19)*KFC!$C$5</f>
        <v>78.326820000000012</v>
      </c>
      <c r="J100" s="270">
        <f>(57.5*KFC!$B$19*1.02*1.3*1.1+KFC!$C$19)*KFC!$C$5</f>
        <v>83.869500000000016</v>
      </c>
      <c r="K100" s="270">
        <f>(61.4*KFC!$B$19*1.02*1.3*1.1+KFC!$C$19)*KFC!$C$5</f>
        <v>89.558040000000005</v>
      </c>
      <c r="L100" s="270">
        <f>(65.2*KFC!$B$19*1.02*1.3*1.1+KFC!$C$19)*KFC!$C$5</f>
        <v>95.10072000000001</v>
      </c>
      <c r="M100" s="270">
        <f>(69*KFC!$B$19*1.02*1.3*1.1+KFC!$C$19)*KFC!$C$5</f>
        <v>100.64340000000001</v>
      </c>
      <c r="N100" s="270">
        <f>(72.9*KFC!$B$19*1.02*1.3*1.1+KFC!$C$19)*KFC!$C$5</f>
        <v>106.33194000000002</v>
      </c>
      <c r="O100" s="270">
        <f>(76.7*KFC!$B$19*1.02*1.3*1.1+KFC!$C$19)*KFC!$C$5</f>
        <v>111.87462000000002</v>
      </c>
      <c r="P100" s="278">
        <f>(80.6*KFC!$B$19*1.02*1.3*1.1+KFC!$C$19)*KFC!$C$5</f>
        <v>117.56316</v>
      </c>
    </row>
    <row r="101" spans="1:16" ht="12" customHeight="1">
      <c r="A101" s="1538"/>
      <c r="B101" s="272">
        <v>2.2000000000000002</v>
      </c>
      <c r="C101" s="277">
        <f>(31.3*KFC!$B$19*1.02*1.3*1.1+KFC!$C$19)*KFC!$C$5</f>
        <v>45.654180000000011</v>
      </c>
      <c r="D101" s="270">
        <f>(35.3*KFC!$B$19*1.02*1.3*1.1+KFC!$C$19)*KFC!$C$5</f>
        <v>51.488580000000006</v>
      </c>
      <c r="E101" s="270">
        <f>(39.4*KFC!$B$19*1.02*1.3*1.1+KFC!$C$19)*KFC!$C$5</f>
        <v>57.468840000000014</v>
      </c>
      <c r="F101" s="270">
        <f>(43.3*KFC!$B$19*1.02*1.3*1.1+KFC!$C$19)*KFC!$C$5</f>
        <v>63.157380000000003</v>
      </c>
      <c r="G101" s="270">
        <f>(47.3*KFC!$B$19*1.02*1.3*1.1+KFC!$C$19)*KFC!$C$5</f>
        <v>68.991780000000006</v>
      </c>
      <c r="H101" s="270">
        <f>(51.4*KFC!$B$19*1.02*1.3*1.1+KFC!$C$19)*KFC!$C$5</f>
        <v>74.972040000000007</v>
      </c>
      <c r="I101" s="270">
        <f>(55.3*KFC!$B$19*1.02*1.3*1.1+KFC!$C$19)*KFC!$C$5</f>
        <v>80.660579999999996</v>
      </c>
      <c r="J101" s="270">
        <f>(59.3*KFC!$B$19*1.02*1.3*1.1+KFC!$C$19)*KFC!$C$5</f>
        <v>86.494979999999998</v>
      </c>
      <c r="K101" s="270">
        <f>(63.4*KFC!$B$19*1.02*1.3*1.1+KFC!$C$19)*KFC!$C$5</f>
        <v>92.475240000000014</v>
      </c>
      <c r="L101" s="270">
        <f>(67.3*KFC!$B$19*1.02*1.3*1.1+KFC!$C$19)*KFC!$C$5</f>
        <v>98.163780000000017</v>
      </c>
      <c r="M101" s="270">
        <f>(71.3*KFC!$B$19*1.02*1.3*1.1+KFC!$C$19)*KFC!$C$5</f>
        <v>103.99818000000002</v>
      </c>
      <c r="N101" s="270">
        <f>(75.3*KFC!$B$19*1.02*1.3*1.1+KFC!$C$19)*KFC!$C$5</f>
        <v>109.83258000000002</v>
      </c>
      <c r="O101" s="270">
        <f>(79.3*KFC!$B$19*1.02*1.3*1.1+KFC!$C$19)*KFC!$C$5</f>
        <v>115.66698000000001</v>
      </c>
      <c r="P101" s="278">
        <f>(83.3*KFC!$B$19*1.02*1.3*1.1+KFC!$C$19)*KFC!$C$5</f>
        <v>121.50138000000001</v>
      </c>
    </row>
    <row r="102" spans="1:16" ht="12" customHeight="1">
      <c r="A102" s="1538"/>
      <c r="B102" s="272">
        <v>2.2999999999999998</v>
      </c>
      <c r="C102" s="277">
        <f>(32*KFC!$B$19*1.02*1.3*1.1+KFC!$C$19)*KFC!$C$5</f>
        <v>46.675200000000004</v>
      </c>
      <c r="D102" s="270">
        <f>(36.2*KFC!$B$19*1.02*1.3*1.1+KFC!$C$19)*KFC!$C$5</f>
        <v>52.801320000000018</v>
      </c>
      <c r="E102" s="270">
        <f>(40.4*KFC!$B$19*1.02*1.3*1.1+KFC!$C$19)*KFC!$C$5</f>
        <v>58.927440000000004</v>
      </c>
      <c r="F102" s="270">
        <f>(44.5*KFC!$B$19*1.02*1.3*1.1+KFC!$C$19)*KFC!$C$5</f>
        <v>64.907700000000006</v>
      </c>
      <c r="G102" s="270">
        <f>(48.7*KFC!$B$19*1.02*1.3*1.1+KFC!$C$19)*KFC!$C$5</f>
        <v>71.03382000000002</v>
      </c>
      <c r="H102" s="270">
        <f>(52.8*KFC!$B$19*1.02*1.3*1.1+KFC!$C$19)*KFC!$C$5</f>
        <v>77.014080000000007</v>
      </c>
      <c r="I102" s="270">
        <f>(57*KFC!$B$19*1.02*1.3*1.1+KFC!$C$19)*KFC!$C$5</f>
        <v>83.140200000000021</v>
      </c>
      <c r="J102" s="270">
        <f>(61.2*KFC!$B$19*1.02*1.3*1.1+KFC!$C$19)*KFC!$C$5</f>
        <v>89.266320000000022</v>
      </c>
      <c r="K102" s="270">
        <f>(65.3*KFC!$B$19*1.02*1.3*1.1+KFC!$C$19)*KFC!$C$5</f>
        <v>95.246580000000009</v>
      </c>
      <c r="L102" s="270">
        <f>(69.5*KFC!$B$19*1.02*1.3*1.1+KFC!$C$19)*KFC!$C$5</f>
        <v>101.37270000000002</v>
      </c>
      <c r="M102" s="270">
        <f>(73.5*KFC!$B$19*1.02*1.3*1.1+KFC!$C$19)*KFC!$C$5</f>
        <v>107.20710000000001</v>
      </c>
      <c r="N102" s="270">
        <f>(77.7*KFC!$B$19*1.02*1.3*1.1+KFC!$C$19)*KFC!$C$5</f>
        <v>113.33322000000001</v>
      </c>
      <c r="O102" s="270">
        <f>(81.8*KFC!$B$19*1.02*1.3*1.1+KFC!$C$19)*KFC!$C$5</f>
        <v>119.31348</v>
      </c>
      <c r="P102" s="278">
        <f>(86*KFC!$B$19*1.02*1.3*1.1+KFC!$C$19)*KFC!$C$5</f>
        <v>125.43960000000001</v>
      </c>
    </row>
    <row r="103" spans="1:16" ht="12" customHeight="1">
      <c r="A103" s="1538"/>
      <c r="B103" s="272">
        <v>2.4</v>
      </c>
      <c r="C103" s="277">
        <f>(32.8*KFC!$B$19*1.02*1.3*1.1+KFC!$C$19)*KFC!$C$5</f>
        <v>47.842079999999996</v>
      </c>
      <c r="D103" s="270">
        <f>(37.1*KFC!$B$19*1.02*1.3*1.1+KFC!$C$19)*KFC!$C$5</f>
        <v>54.114060000000009</v>
      </c>
      <c r="E103" s="270">
        <f>(41.5*KFC!$B$19*1.02*1.3*1.1+KFC!$C$19)*KFC!$C$5</f>
        <v>60.5319</v>
      </c>
      <c r="F103" s="270">
        <f>(45.7*KFC!$B$19*1.02*1.3*1.1+KFC!$C$19)*KFC!$C$5</f>
        <v>66.658020000000008</v>
      </c>
      <c r="G103" s="270">
        <f>(50*KFC!$B$19*1.02*1.3*1.1+KFC!$C$19)*KFC!$C$5</f>
        <v>72.930000000000007</v>
      </c>
      <c r="H103" s="270">
        <f>(54.3*KFC!$B$19*1.02*1.3*1.1+KFC!$C$19)*KFC!$C$5</f>
        <v>79.201980000000006</v>
      </c>
      <c r="I103" s="270">
        <f>(58.6*KFC!$B$19*1.02*1.3*1.1+KFC!$C$19)*KFC!$C$5</f>
        <v>85.473960000000019</v>
      </c>
      <c r="J103" s="270">
        <f>(62.9*KFC!$B$19*1.02*1.3*1.1+KFC!$C$19)*KFC!$C$5</f>
        <v>91.745940000000004</v>
      </c>
      <c r="K103" s="270">
        <f>(67.3*KFC!$B$19*1.02*1.3*1.1+KFC!$C$19)*KFC!$C$5</f>
        <v>98.163780000000017</v>
      </c>
      <c r="L103" s="270">
        <f>(71.5*KFC!$B$19*1.02*1.3*1.1+KFC!$C$19)*KFC!$C$5</f>
        <v>104.28990000000002</v>
      </c>
      <c r="M103" s="270">
        <f>(75.8*KFC!$B$19*1.02*1.3*1.1+KFC!$C$19)*KFC!$C$5</f>
        <v>110.56188000000002</v>
      </c>
      <c r="N103" s="270">
        <f>(80.1*KFC!$B$19*1.02*1.3*1.1+KFC!$C$19)*KFC!$C$5</f>
        <v>116.83386</v>
      </c>
      <c r="O103" s="270">
        <f>(84.4*KFC!$B$19*1.02*1.3*1.1+KFC!$C$19)*KFC!$C$5</f>
        <v>123.10584000000003</v>
      </c>
      <c r="P103" s="278">
        <f>(88.7*KFC!$B$19*1.02*1.3*1.1+KFC!$C$19)*KFC!$C$5</f>
        <v>129.37782000000001</v>
      </c>
    </row>
    <row r="104" spans="1:16" ht="12" customHeight="1">
      <c r="A104" s="1538"/>
      <c r="B104" s="272">
        <v>2.5</v>
      </c>
      <c r="C104" s="277">
        <f>(33.5*KFC!$B$19*1.02*1.3*1.1+KFC!$C$19)*KFC!$C$5</f>
        <v>48.86310000000001</v>
      </c>
      <c r="D104" s="270">
        <f>(38*KFC!$B$19*1.02*1.3*1.1+KFC!$C$19)*KFC!$C$5</f>
        <v>55.4268</v>
      </c>
      <c r="E104" s="270">
        <f>(42.4*KFC!$B$19*1.02*1.3*1.1+KFC!$C$19)*KFC!$C$5</f>
        <v>61.844640000000005</v>
      </c>
      <c r="F104" s="270">
        <f>(46.8*KFC!$B$19*1.02*1.3*1.1+KFC!$C$19)*KFC!$C$5</f>
        <v>68.262479999999996</v>
      </c>
      <c r="G104" s="270">
        <f>(51.4*KFC!$B$19*1.02*1.3*1.1+KFC!$C$19)*KFC!$C$5</f>
        <v>74.972040000000007</v>
      </c>
      <c r="H104" s="270">
        <f>(55.8*KFC!$B$19*1.02*1.3*1.1+KFC!$C$19)*KFC!$C$5</f>
        <v>81.389880000000005</v>
      </c>
      <c r="I104" s="270">
        <f>(60.3*KFC!$B$19*1.02*1.3*1.1+KFC!$C$19)*KFC!$C$5</f>
        <v>87.953580000000017</v>
      </c>
      <c r="J104" s="270">
        <f>(64.7*KFC!$B$19*1.02*1.3*1.1+KFC!$C$19)*KFC!$C$5</f>
        <v>94.371420000000015</v>
      </c>
      <c r="K104" s="270">
        <f>(69.2*KFC!$B$19*1.02*1.3*1.1+KFC!$C$19)*KFC!$C$5</f>
        <v>100.93512000000001</v>
      </c>
      <c r="L104" s="270">
        <f>(73.6*KFC!$B$19*1.02*1.3*1.1+KFC!$C$19)*KFC!$C$5</f>
        <v>107.35296000000001</v>
      </c>
      <c r="M104" s="270">
        <f>(78*KFC!$B$19*1.02*1.3*1.1+KFC!$C$19)*KFC!$C$5</f>
        <v>113.77080000000002</v>
      </c>
      <c r="N104" s="270">
        <f>(82.6*KFC!$B$19*1.02*1.3*1.1+KFC!$C$19)*KFC!$C$5</f>
        <v>120.48036</v>
      </c>
      <c r="O104" s="270">
        <f>(87*KFC!$B$19*1.02*1.3*1.1+KFC!$C$19)*KFC!$C$5</f>
        <v>126.8982</v>
      </c>
      <c r="P104" s="278">
        <f>(91.5*KFC!$B$19*1.02*1.3*1.1+KFC!$C$19)*KFC!$C$5</f>
        <v>133.46190000000001</v>
      </c>
    </row>
    <row r="105" spans="1:16" ht="12" customHeight="1" thickBot="1">
      <c r="A105" s="1539"/>
      <c r="B105" s="273">
        <v>2.5499999999999998</v>
      </c>
      <c r="C105" s="279">
        <f>(34.2*KFC!$B$19*1.02*1.3*1.1+KFC!$C$19)*KFC!$C$5</f>
        <v>49.88412000000001</v>
      </c>
      <c r="D105" s="280">
        <f>(38.9*KFC!$B$19*1.02*1.3*1.1+KFC!$C$19)*KFC!$C$5</f>
        <v>56.739539999999998</v>
      </c>
      <c r="E105" s="280">
        <f>(43.4*KFC!$B$19*1.02*1.3*1.1+KFC!$C$19)*KFC!$C$5</f>
        <v>63.30324000000001</v>
      </c>
      <c r="F105" s="280">
        <f>(48.1*KFC!$B$19*1.02*1.3*1.1+KFC!$C$19)*KFC!$C$5</f>
        <v>70.158660000000012</v>
      </c>
      <c r="G105" s="280">
        <f>(52.7*KFC!$B$19*1.02*1.3*1.1+KFC!$C$19)*KFC!$C$5</f>
        <v>76.868220000000008</v>
      </c>
      <c r="H105" s="280">
        <f>(57.2*KFC!$B$19*1.02*1.3*1.1+KFC!$C$19)*KFC!$C$5</f>
        <v>83.431920000000005</v>
      </c>
      <c r="I105" s="280">
        <f>(61.9*KFC!$B$19*1.02*1.3*1.1+KFC!$C$19)*KFC!$C$5</f>
        <v>90.287340000000015</v>
      </c>
      <c r="J105" s="280">
        <f>(66.5*KFC!$B$19*1.02*1.3*1.1+KFC!$C$19)*KFC!$C$5</f>
        <v>96.996900000000011</v>
      </c>
      <c r="K105" s="280">
        <f>(71.2*KFC!$B$19*1.02*1.3*1.1+KFC!$C$19)*KFC!$C$5</f>
        <v>103.85232000000003</v>
      </c>
      <c r="L105" s="280">
        <f>(75.7*KFC!$B$19*1.02*1.3*1.1+KFC!$C$19)*KFC!$C$5</f>
        <v>110.41602000000002</v>
      </c>
      <c r="M105" s="280">
        <f>(80.4*KFC!$B$19*1.02*1.3*1.1+KFC!$C$19)*KFC!$C$5</f>
        <v>117.27144000000003</v>
      </c>
      <c r="N105" s="280">
        <f>(85*KFC!$B$19*1.02*1.3*1.1+KFC!$C$19)*KFC!$C$5</f>
        <v>123.98100000000002</v>
      </c>
      <c r="O105" s="280">
        <f>(89.5*KFC!$B$19*1.02*1.3*1.1+KFC!$C$19)*KFC!$C$5</f>
        <v>130.54470000000001</v>
      </c>
      <c r="P105" s="281">
        <f>(94.2*KFC!$B$19*1.02*1.3*1.1+KFC!$C$19)*KFC!$C$5</f>
        <v>137.40012000000002</v>
      </c>
    </row>
    <row r="106" spans="1:16" ht="12" customHeight="1" thickBot="1">
      <c r="A106" s="283"/>
      <c r="B106" s="284"/>
      <c r="C106" s="282"/>
      <c r="D106" s="282"/>
      <c r="E106" s="282"/>
      <c r="F106" s="282"/>
      <c r="G106" s="282"/>
      <c r="H106" s="282"/>
      <c r="I106" s="282"/>
      <c r="J106" s="282"/>
      <c r="K106" s="282"/>
      <c r="L106" s="282"/>
      <c r="M106" s="282"/>
      <c r="N106" s="282"/>
      <c r="O106" s="282"/>
      <c r="P106" s="282"/>
    </row>
    <row r="107" spans="1:16" ht="12" customHeight="1" thickBot="1">
      <c r="A107" s="1413" t="s">
        <v>319</v>
      </c>
      <c r="B107" s="1542"/>
      <c r="C107" s="1534" t="s">
        <v>207</v>
      </c>
      <c r="D107" s="1535"/>
      <c r="E107" s="1535"/>
      <c r="F107" s="1535"/>
      <c r="G107" s="1535"/>
      <c r="H107" s="1535"/>
      <c r="I107" s="1535"/>
      <c r="J107" s="1535"/>
      <c r="K107" s="1535"/>
      <c r="L107" s="1535"/>
      <c r="M107" s="1535"/>
      <c r="N107" s="1535"/>
      <c r="O107" s="1535"/>
      <c r="P107" s="1536"/>
    </row>
    <row r="108" spans="1:16" ht="12" customHeight="1" thickBot="1">
      <c r="A108" s="1543"/>
      <c r="B108" s="1544"/>
      <c r="C108" s="268">
        <v>0.4</v>
      </c>
      <c r="D108" s="268">
        <v>0.5</v>
      </c>
      <c r="E108" s="268">
        <v>0.6</v>
      </c>
      <c r="F108" s="268">
        <v>0.7</v>
      </c>
      <c r="G108" s="268">
        <v>0.8</v>
      </c>
      <c r="H108" s="268">
        <v>0.9</v>
      </c>
      <c r="I108" s="268">
        <v>1</v>
      </c>
      <c r="J108" s="268">
        <v>1.1000000000000001</v>
      </c>
      <c r="K108" s="268">
        <v>1.2</v>
      </c>
      <c r="L108" s="268">
        <v>1.3</v>
      </c>
      <c r="M108" s="268">
        <v>1.4</v>
      </c>
      <c r="N108" s="268">
        <v>1.5</v>
      </c>
      <c r="O108" s="268">
        <v>1.6</v>
      </c>
      <c r="P108" s="269">
        <v>1.7</v>
      </c>
    </row>
    <row r="109" spans="1:16" ht="12" customHeight="1">
      <c r="A109" s="1537" t="s">
        <v>3</v>
      </c>
      <c r="B109" s="271">
        <v>0.5</v>
      </c>
      <c r="C109" s="274">
        <f>(24.5*KFC!$B$19*1.02*1.3*1.1+KFC!$C$19)*KFC!$C$5</f>
        <v>35.735700000000008</v>
      </c>
      <c r="D109" s="275">
        <f>(26.5*KFC!$B$19*1.02*1.3*1.1+KFC!$C$19)*KFC!$C$5</f>
        <v>38.65290000000001</v>
      </c>
      <c r="E109" s="275">
        <f>(28.6*KFC!$B$19*1.02*1.3*1.1+KFC!$C$19)*KFC!$C$5</f>
        <v>41.715960000000003</v>
      </c>
      <c r="F109" s="275">
        <f>(30.7*KFC!$B$19*1.02*1.3*1.1+KFC!$C$19)*KFC!$C$5</f>
        <v>44.779020000000003</v>
      </c>
      <c r="G109" s="275">
        <f>(32.8*KFC!$B$19*1.02*1.3*1.1+KFC!$C$19)*KFC!$C$5</f>
        <v>47.842079999999996</v>
      </c>
      <c r="H109" s="275">
        <f>(34.9*KFC!$B$19*1.02*1.3*1.1+KFC!$C$19)*KFC!$C$5</f>
        <v>50.905140000000003</v>
      </c>
      <c r="I109" s="275">
        <f>(36.9*KFC!$B$19*1.02*1.3*1.1+KFC!$C$19)*KFC!$C$5</f>
        <v>53.822340000000004</v>
      </c>
      <c r="J109" s="275">
        <f>(38.9*KFC!$B$19*1.02*1.3*1.1+KFC!$C$19)*KFC!$C$5</f>
        <v>56.739539999999998</v>
      </c>
      <c r="K109" s="275">
        <f>(41*KFC!$B$19*1.02*1.3*1.1+KFC!$C$19)*KFC!$C$5</f>
        <v>59.802600000000005</v>
      </c>
      <c r="L109" s="275">
        <f>(43*KFC!$B$19*1.02*1.3*1.1+KFC!$C$19)*KFC!$C$5</f>
        <v>62.719800000000006</v>
      </c>
      <c r="M109" s="275">
        <f>(45.1*KFC!$B$19*1.02*1.3*1.1+KFC!$C$19)*KFC!$C$5</f>
        <v>65.782860000000014</v>
      </c>
      <c r="N109" s="275">
        <f>(47.2*KFC!$B$19*1.02*1.3*1.1+KFC!$C$19)*KFC!$C$5</f>
        <v>68.845920000000021</v>
      </c>
      <c r="O109" s="275">
        <f>(49.3*KFC!$B$19*1.02*1.3*1.1+KFC!$C$19)*KFC!$C$5</f>
        <v>71.908980000000014</v>
      </c>
      <c r="P109" s="276">
        <f>(51.4*KFC!$B$19*1.02*1.3*1.1+KFC!$C$19)*KFC!$C$5</f>
        <v>74.972040000000007</v>
      </c>
    </row>
    <row r="110" spans="1:16" ht="12" customHeight="1">
      <c r="A110" s="1538"/>
      <c r="B110" s="272">
        <v>0.6</v>
      </c>
      <c r="C110" s="277">
        <f>(25.4*KFC!$B$19*1.02*1.3*1.1+KFC!$C$19)*KFC!$C$5</f>
        <v>37.048439999999999</v>
      </c>
      <c r="D110" s="270">
        <f>(27.8*KFC!$B$19*1.02*1.3*1.1+KFC!$C$19)*KFC!$C$5</f>
        <v>40.549080000000004</v>
      </c>
      <c r="E110" s="270">
        <f>(30*KFC!$B$19*1.02*1.3*1.1+KFC!$C$19)*KFC!$C$5</f>
        <v>43.758000000000003</v>
      </c>
      <c r="F110" s="270">
        <f>(32.3*KFC!$B$19*1.02*1.3*1.1+KFC!$C$19)*KFC!$C$5</f>
        <v>47.112780000000001</v>
      </c>
      <c r="G110" s="270">
        <f>(34.6*KFC!$B$19*1.02*1.3*1.1+KFC!$C$19)*KFC!$C$5</f>
        <v>50.467560000000006</v>
      </c>
      <c r="H110" s="270">
        <f>(36.8*KFC!$B$19*1.02*1.3*1.1+KFC!$C$19)*KFC!$C$5</f>
        <v>53.676480000000005</v>
      </c>
      <c r="I110" s="270">
        <f>(39.1*KFC!$B$19*1.02*1.3*1.1+KFC!$C$19)*KFC!$C$5</f>
        <v>57.031260000000017</v>
      </c>
      <c r="J110" s="270">
        <f>(41.5*KFC!$B$19*1.02*1.3*1.1+KFC!$C$19)*KFC!$C$5</f>
        <v>60.5319</v>
      </c>
      <c r="K110" s="270">
        <f>(43.7*KFC!$B$19*1.02*1.3*1.1+KFC!$C$19)*KFC!$C$5</f>
        <v>63.740820000000021</v>
      </c>
      <c r="L110" s="270">
        <f>(46*KFC!$B$19*1.02*1.3*1.1+KFC!$C$19)*KFC!$C$5</f>
        <v>67.095600000000005</v>
      </c>
      <c r="M110" s="270">
        <f>(48.3*KFC!$B$19*1.02*1.3*1.1+KFC!$C$19)*KFC!$C$5</f>
        <v>70.45038000000001</v>
      </c>
      <c r="N110" s="270">
        <f>(50.5*KFC!$B$19*1.02*1.3*1.1+KFC!$C$19)*KFC!$C$5</f>
        <v>73.659300000000002</v>
      </c>
      <c r="O110" s="270">
        <f>(52.8*KFC!$B$19*1.02*1.3*1.1+KFC!$C$19)*KFC!$C$5</f>
        <v>77.014080000000007</v>
      </c>
      <c r="P110" s="278">
        <f>(55*KFC!$B$19*1.02*1.3*1.1+KFC!$C$19)*KFC!$C$5</f>
        <v>80.223000000000013</v>
      </c>
    </row>
    <row r="111" spans="1:16" ht="12" customHeight="1">
      <c r="A111" s="1538"/>
      <c r="B111" s="272">
        <v>0.7</v>
      </c>
      <c r="C111" s="277">
        <f>(26.4*KFC!$B$19*1.02*1.3*1.1+KFC!$C$19)*KFC!$C$5</f>
        <v>38.507040000000003</v>
      </c>
      <c r="D111" s="270">
        <f>(29*KFC!$B$19*1.02*1.3*1.1+KFC!$C$19)*KFC!$C$5</f>
        <v>42.299400000000006</v>
      </c>
      <c r="E111" s="270">
        <f>(31.4*KFC!$B$19*1.02*1.3*1.1+KFC!$C$19)*KFC!$C$5</f>
        <v>45.800040000000003</v>
      </c>
      <c r="F111" s="270">
        <f>(33.9*KFC!$B$19*1.02*1.3*1.1+KFC!$C$19)*KFC!$C$5</f>
        <v>49.446540000000006</v>
      </c>
      <c r="G111" s="270">
        <f>(36.4*KFC!$B$19*1.02*1.3*1.1+KFC!$C$19)*KFC!$C$5</f>
        <v>53.093040000000009</v>
      </c>
      <c r="H111" s="270">
        <f>(38.9*KFC!$B$19*1.02*1.3*1.1+KFC!$C$19)*KFC!$C$5</f>
        <v>56.739539999999998</v>
      </c>
      <c r="I111" s="270">
        <f>(41.3*KFC!$B$19*1.02*1.3*1.1+KFC!$C$19)*KFC!$C$5</f>
        <v>60.240180000000002</v>
      </c>
      <c r="J111" s="270">
        <f>(43.9*KFC!$B$19*1.02*1.3*1.1+KFC!$C$19)*KFC!$C$5</f>
        <v>64.032539999999997</v>
      </c>
      <c r="K111" s="270">
        <f>(46.4*KFC!$B$19*1.02*1.3*1.1+KFC!$C$19)*KFC!$C$5</f>
        <v>67.679040000000001</v>
      </c>
      <c r="L111" s="270">
        <f>(48.9*KFC!$B$19*1.02*1.3*1.1+KFC!$C$19)*KFC!$C$5</f>
        <v>71.325540000000018</v>
      </c>
      <c r="M111" s="270">
        <f>(51.4*KFC!$B$19*1.02*1.3*1.1+KFC!$C$19)*KFC!$C$5</f>
        <v>74.972040000000007</v>
      </c>
      <c r="N111" s="270">
        <f>(53.8*KFC!$B$19*1.02*1.3*1.1+KFC!$C$19)*KFC!$C$5</f>
        <v>78.472680000000011</v>
      </c>
      <c r="O111" s="270">
        <f>(56.4*KFC!$B$19*1.02*1.3*1.1+KFC!$C$19)*KFC!$C$5</f>
        <v>82.265040000000013</v>
      </c>
      <c r="P111" s="278">
        <f>(58.8*KFC!$B$19*1.02*1.3*1.1+KFC!$C$19)*KFC!$C$5</f>
        <v>85.765680000000003</v>
      </c>
    </row>
    <row r="112" spans="1:16" ht="12" customHeight="1">
      <c r="A112" s="1538"/>
      <c r="B112" s="272">
        <v>0.8</v>
      </c>
      <c r="C112" s="277">
        <f>(27.5*KFC!$B$19*1.02*1.3*1.1+KFC!$C$19)*KFC!$C$5</f>
        <v>40.111500000000007</v>
      </c>
      <c r="D112" s="270">
        <f>(30.2*KFC!$B$19*1.02*1.3*1.1+KFC!$C$19)*KFC!$C$5</f>
        <v>44.049720000000008</v>
      </c>
      <c r="E112" s="270">
        <f>(32.9*KFC!$B$19*1.02*1.3*1.1+KFC!$C$19)*KFC!$C$5</f>
        <v>47.987940000000002</v>
      </c>
      <c r="F112" s="270">
        <f>(35.6*KFC!$B$19*1.02*1.3*1.1+KFC!$C$19)*KFC!$C$5</f>
        <v>51.926160000000017</v>
      </c>
      <c r="G112" s="270">
        <f>(38.3*KFC!$B$19*1.02*1.3*1.1+KFC!$C$19)*KFC!$C$5</f>
        <v>55.864379999999997</v>
      </c>
      <c r="H112" s="270">
        <f>(41*KFC!$B$19*1.02*1.3*1.1+KFC!$C$19)*KFC!$C$5</f>
        <v>59.802600000000005</v>
      </c>
      <c r="I112" s="270">
        <f>(43.7*KFC!$B$19*1.02*1.3*1.1+KFC!$C$19)*KFC!$C$5</f>
        <v>63.740820000000021</v>
      </c>
      <c r="J112" s="270">
        <f>(46.4*KFC!$B$19*1.02*1.3*1.1+KFC!$C$19)*KFC!$C$5</f>
        <v>67.679040000000001</v>
      </c>
      <c r="K112" s="270">
        <f>(49*KFC!$B$19*1.02*1.3*1.1+KFC!$C$19)*KFC!$C$5</f>
        <v>71.471400000000017</v>
      </c>
      <c r="L112" s="270">
        <f>(51.7*KFC!$B$19*1.02*1.3*1.1+KFC!$C$19)*KFC!$C$5</f>
        <v>75.409620000000018</v>
      </c>
      <c r="M112" s="270">
        <f>(54.4*KFC!$B$19*1.02*1.3*1.1+KFC!$C$19)*KFC!$C$5</f>
        <v>79.347840000000005</v>
      </c>
      <c r="N112" s="270">
        <f>(57.1*KFC!$B$19*1.02*1.3*1.1+KFC!$C$19)*KFC!$C$5</f>
        <v>83.286060000000006</v>
      </c>
      <c r="O112" s="270">
        <f>(59.8*KFC!$B$19*1.02*1.3*1.1+KFC!$C$19)*KFC!$C$5</f>
        <v>87.224280000000007</v>
      </c>
      <c r="P112" s="278">
        <f>(62.5*KFC!$B$19*1.02*1.3*1.1+KFC!$C$19)*KFC!$C$5</f>
        <v>91.162500000000009</v>
      </c>
    </row>
    <row r="113" spans="1:16" ht="12" customHeight="1">
      <c r="A113" s="1538"/>
      <c r="B113" s="272">
        <v>0.9</v>
      </c>
      <c r="C113" s="277">
        <f>(28.5*KFC!$B$19*1.02*1.3*1.1+KFC!$C$19)*KFC!$C$5</f>
        <v>41.570100000000011</v>
      </c>
      <c r="D113" s="270">
        <f>(31.4*KFC!$B$19*1.02*1.3*1.1+KFC!$C$19)*KFC!$C$5</f>
        <v>45.800040000000003</v>
      </c>
      <c r="E113" s="270">
        <f>(34.2*KFC!$B$19*1.02*1.3*1.1+KFC!$C$19)*KFC!$C$5</f>
        <v>49.88412000000001</v>
      </c>
      <c r="F113" s="270">
        <f>(37.2*KFC!$B$19*1.02*1.3*1.1+KFC!$C$19)*KFC!$C$5</f>
        <v>54.259920000000008</v>
      </c>
      <c r="G113" s="270">
        <f>(40.1*KFC!$B$19*1.02*1.3*1.1+KFC!$C$19)*KFC!$C$5</f>
        <v>58.489860000000007</v>
      </c>
      <c r="H113" s="270">
        <f>(43*KFC!$B$19*1.02*1.3*1.1+KFC!$C$19)*KFC!$C$5</f>
        <v>62.719800000000006</v>
      </c>
      <c r="I113" s="270">
        <f>(45.9*KFC!$B$19*1.02*1.3*1.1+KFC!$C$19)*KFC!$C$5</f>
        <v>66.949740000000006</v>
      </c>
      <c r="J113" s="270">
        <f>(48.8*KFC!$B$19*1.02*1.3*1.1+KFC!$C$19)*KFC!$C$5</f>
        <v>71.179680000000005</v>
      </c>
      <c r="K113" s="270">
        <f>(51.7*KFC!$B$19*1.02*1.3*1.1+KFC!$C$19)*KFC!$C$5</f>
        <v>75.409620000000018</v>
      </c>
      <c r="L113" s="270">
        <f>(54.7*KFC!$B$19*1.02*1.3*1.1+KFC!$C$19)*KFC!$C$5</f>
        <v>79.785420000000016</v>
      </c>
      <c r="M113" s="270">
        <f>(57.5*KFC!$B$19*1.02*1.3*1.1+KFC!$C$19)*KFC!$C$5</f>
        <v>83.869500000000016</v>
      </c>
      <c r="N113" s="270">
        <f>(60.4*KFC!$B$19*1.02*1.3*1.1+KFC!$C$19)*KFC!$C$5</f>
        <v>88.099440000000016</v>
      </c>
      <c r="O113" s="270">
        <f>(63.4*KFC!$B$19*1.02*1.3*1.1+KFC!$C$19)*KFC!$C$5</f>
        <v>92.475240000000014</v>
      </c>
      <c r="P113" s="278">
        <f>(66.3*KFC!$B$19*1.02*1.3*1.1+KFC!$C$19)*KFC!$C$5</f>
        <v>96.705180000000013</v>
      </c>
    </row>
    <row r="114" spans="1:16" ht="12" customHeight="1">
      <c r="A114" s="1538"/>
      <c r="B114" s="272">
        <v>1</v>
      </c>
      <c r="C114" s="277">
        <f>(29.5*KFC!$B$19*1.02*1.3*1.1+KFC!$C$19)*KFC!$C$5</f>
        <v>43.028700000000008</v>
      </c>
      <c r="D114" s="270">
        <f>(32.5*KFC!$B$19*1.02*1.3*1.1+KFC!$C$19)*KFC!$C$5</f>
        <v>47.404500000000006</v>
      </c>
      <c r="E114" s="270">
        <f>(35.7*KFC!$B$19*1.02*1.3*1.1+KFC!$C$19)*KFC!$C$5</f>
        <v>52.072020000000002</v>
      </c>
      <c r="F114" s="270">
        <f>(38.8*KFC!$B$19*1.02*1.3*1.1+KFC!$C$19)*KFC!$C$5</f>
        <v>56.593680000000013</v>
      </c>
      <c r="G114" s="270">
        <f>(41.9*KFC!$B$19*1.02*1.3*1.1+KFC!$C$19)*KFC!$C$5</f>
        <v>61.11534000000001</v>
      </c>
      <c r="H114" s="270">
        <f>(45*KFC!$B$19*1.02*1.3*1.1+KFC!$C$19)*KFC!$C$5</f>
        <v>65.637</v>
      </c>
      <c r="I114" s="270">
        <f>(48.2*KFC!$B$19*1.02*1.3*1.1+KFC!$C$19)*KFC!$C$5</f>
        <v>70.304520000000011</v>
      </c>
      <c r="J114" s="270">
        <f>(51.2*KFC!$B$19*1.02*1.3*1.1+KFC!$C$19)*KFC!$C$5</f>
        <v>74.680320000000023</v>
      </c>
      <c r="K114" s="270">
        <f>(54.4*KFC!$B$19*1.02*1.3*1.1+KFC!$C$19)*KFC!$C$5</f>
        <v>79.347840000000005</v>
      </c>
      <c r="L114" s="270">
        <f>(57.5*KFC!$B$19*1.02*1.3*1.1+KFC!$C$19)*KFC!$C$5</f>
        <v>83.869500000000016</v>
      </c>
      <c r="M114" s="270">
        <f>(60.7*KFC!$B$19*1.02*1.3*1.1+KFC!$C$19)*KFC!$C$5</f>
        <v>88.537020000000012</v>
      </c>
      <c r="N114" s="270">
        <f>(63.7*KFC!$B$19*1.02*1.3*1.1+KFC!$C$19)*KFC!$C$5</f>
        <v>92.912820000000025</v>
      </c>
      <c r="O114" s="270">
        <f>(66.9*KFC!$B$19*1.02*1.3*1.1+KFC!$C$19)*KFC!$C$5</f>
        <v>97.580340000000021</v>
      </c>
      <c r="P114" s="278">
        <f>(70*KFC!$B$19*1.02*1.3*1.1+KFC!$C$19)*KFC!$C$5</f>
        <v>102.10200000000002</v>
      </c>
    </row>
    <row r="115" spans="1:16" ht="12" customHeight="1">
      <c r="A115" s="1538"/>
      <c r="B115" s="272">
        <v>1.1000000000000001</v>
      </c>
      <c r="C115" s="277">
        <f>(30.5*KFC!$B$19*1.02*1.3*1.1+KFC!$C$19)*KFC!$C$5</f>
        <v>44.487300000000005</v>
      </c>
      <c r="D115" s="270">
        <f>(33.8*KFC!$B$19*1.02*1.3*1.1+KFC!$C$19)*KFC!$C$5</f>
        <v>49.300680000000007</v>
      </c>
      <c r="E115" s="270">
        <f>(37.1*KFC!$B$19*1.02*1.3*1.1+KFC!$C$19)*KFC!$C$5</f>
        <v>54.114060000000009</v>
      </c>
      <c r="F115" s="270">
        <f>(40.5*KFC!$B$19*1.02*1.3*1.1+KFC!$C$19)*KFC!$C$5</f>
        <v>59.07330000000001</v>
      </c>
      <c r="G115" s="270">
        <f>(43.8*KFC!$B$19*1.02*1.3*1.1+KFC!$C$19)*KFC!$C$5</f>
        <v>63.886679999999998</v>
      </c>
      <c r="H115" s="270">
        <f>(47.1*KFC!$B$19*1.02*1.3*1.1+KFC!$C$19)*KFC!$C$5</f>
        <v>68.700060000000008</v>
      </c>
      <c r="I115" s="270">
        <f>(50.4*KFC!$B$19*1.02*1.3*1.1+KFC!$C$19)*KFC!$C$5</f>
        <v>73.513440000000003</v>
      </c>
      <c r="J115" s="270">
        <f>(53.8*KFC!$B$19*1.02*1.3*1.1+KFC!$C$19)*KFC!$C$5</f>
        <v>78.472680000000011</v>
      </c>
      <c r="K115" s="270">
        <f>(57.1*KFC!$B$19*1.02*1.3*1.1+KFC!$C$19)*KFC!$C$5</f>
        <v>83.286060000000006</v>
      </c>
      <c r="L115" s="270">
        <f>(60.4*KFC!$B$19*1.02*1.3*1.1+KFC!$C$19)*KFC!$C$5</f>
        <v>88.099440000000016</v>
      </c>
      <c r="M115" s="270">
        <f>(63.7*KFC!$B$19*1.02*1.3*1.1+KFC!$C$19)*KFC!$C$5</f>
        <v>92.912820000000025</v>
      </c>
      <c r="N115" s="270">
        <f>(67*KFC!$B$19*1.02*1.3*1.1+KFC!$C$19)*KFC!$C$5</f>
        <v>97.72620000000002</v>
      </c>
      <c r="O115" s="270">
        <f>(70.4*KFC!$B$19*1.02*1.3*1.1+KFC!$C$19)*KFC!$C$5</f>
        <v>102.68544000000001</v>
      </c>
      <c r="P115" s="278">
        <f>(73.7*KFC!$B$19*1.02*1.3*1.1+KFC!$C$19)*KFC!$C$5</f>
        <v>107.49882000000001</v>
      </c>
    </row>
    <row r="116" spans="1:16" ht="12" customHeight="1">
      <c r="A116" s="1538"/>
      <c r="B116" s="272">
        <v>1.2</v>
      </c>
      <c r="C116" s="277">
        <f>(31.4*KFC!$B$19*1.02*1.3*1.1+KFC!$C$19)*KFC!$C$5</f>
        <v>45.800040000000003</v>
      </c>
      <c r="D116" s="270">
        <f>(35*KFC!$B$19*1.02*1.3*1.1+KFC!$C$19)*KFC!$C$5</f>
        <v>51.051000000000009</v>
      </c>
      <c r="E116" s="270">
        <f>(38.5*KFC!$B$19*1.02*1.3*1.1+KFC!$C$19)*KFC!$C$5</f>
        <v>56.156100000000016</v>
      </c>
      <c r="F116" s="270">
        <f>(42.1*KFC!$B$19*1.02*1.3*1.1+KFC!$C$19)*KFC!$C$5</f>
        <v>61.407060000000008</v>
      </c>
      <c r="G116" s="270">
        <f>(45.6*KFC!$B$19*1.02*1.3*1.1+KFC!$C$19)*KFC!$C$5</f>
        <v>66.512160000000009</v>
      </c>
      <c r="H116" s="270">
        <f>(49.2*KFC!$B$19*1.02*1.3*1.1+KFC!$C$19)*KFC!$C$5</f>
        <v>71.763120000000015</v>
      </c>
      <c r="I116" s="270">
        <f>(52.7*KFC!$B$19*1.02*1.3*1.1+KFC!$C$19)*KFC!$C$5</f>
        <v>76.868220000000008</v>
      </c>
      <c r="J116" s="270">
        <f>(56.3*KFC!$B$19*1.02*1.3*1.1+KFC!$C$19)*KFC!$C$5</f>
        <v>82.11918</v>
      </c>
      <c r="K116" s="270">
        <f>(59.8*KFC!$B$19*1.02*1.3*1.1+KFC!$C$19)*KFC!$C$5</f>
        <v>87.224280000000007</v>
      </c>
      <c r="L116" s="270">
        <f>(63.4*KFC!$B$19*1.02*1.3*1.1+KFC!$C$19)*KFC!$C$5</f>
        <v>92.475240000000014</v>
      </c>
      <c r="M116" s="270">
        <f>(66.8*KFC!$B$19*1.02*1.3*1.1+KFC!$C$19)*KFC!$C$5</f>
        <v>97.434479999999994</v>
      </c>
      <c r="N116" s="270">
        <f>(70.3*KFC!$B$19*1.02*1.3*1.1+KFC!$C$19)*KFC!$C$5</f>
        <v>102.53958000000002</v>
      </c>
      <c r="O116" s="270">
        <f>(73.9*KFC!$B$19*1.02*1.3*1.1+KFC!$C$19)*KFC!$C$5</f>
        <v>107.79054000000001</v>
      </c>
      <c r="P116" s="278">
        <f>(77.4*KFC!$B$19*1.02*1.3*1.1+KFC!$C$19)*KFC!$C$5</f>
        <v>112.89564000000003</v>
      </c>
    </row>
    <row r="117" spans="1:16" ht="12" customHeight="1">
      <c r="A117" s="1538"/>
      <c r="B117" s="272">
        <v>1.3</v>
      </c>
      <c r="C117" s="277">
        <f>(32.4*KFC!$B$19*1.02*1.3*1.1+KFC!$C$19)*KFC!$C$5</f>
        <v>47.258640000000007</v>
      </c>
      <c r="D117" s="270">
        <f>(36.2*KFC!$B$19*1.02*1.3*1.1+KFC!$C$19)*KFC!$C$5</f>
        <v>52.801320000000018</v>
      </c>
      <c r="E117" s="270">
        <f>(40*KFC!$B$19*1.02*1.3*1.1+KFC!$C$19)*KFC!$C$5</f>
        <v>58.344000000000001</v>
      </c>
      <c r="F117" s="270">
        <f>(43.7*KFC!$B$19*1.02*1.3*1.1+KFC!$C$19)*KFC!$C$5</f>
        <v>63.740820000000021</v>
      </c>
      <c r="G117" s="270">
        <f>(47.5*KFC!$B$19*1.02*1.3*1.1+KFC!$C$19)*KFC!$C$5</f>
        <v>69.283500000000018</v>
      </c>
      <c r="H117" s="270">
        <f>(51.2*KFC!$B$19*1.02*1.3*1.1+KFC!$C$19)*KFC!$C$5</f>
        <v>74.680320000000023</v>
      </c>
      <c r="I117" s="270">
        <f>(54.9*KFC!$B$19*1.02*1.3*1.1+KFC!$C$19)*KFC!$C$5</f>
        <v>80.07714</v>
      </c>
      <c r="J117" s="270">
        <f>(58.7*KFC!$B$19*1.02*1.3*1.1+KFC!$C$19)*KFC!$C$5</f>
        <v>85.619820000000018</v>
      </c>
      <c r="K117" s="270">
        <f>(62.4*KFC!$B$19*1.02*1.3*1.1+KFC!$C$19)*KFC!$C$5</f>
        <v>91.01664000000001</v>
      </c>
      <c r="L117" s="270">
        <f>(66.2*KFC!$B$19*1.02*1.3*1.1+KFC!$C$19)*KFC!$C$5</f>
        <v>96.55932</v>
      </c>
      <c r="M117" s="270">
        <f>(70*KFC!$B$19*1.02*1.3*1.1+KFC!$C$19)*KFC!$C$5</f>
        <v>102.10200000000002</v>
      </c>
      <c r="N117" s="270">
        <f>(73.6*KFC!$B$19*1.02*1.3*1.1+KFC!$C$19)*KFC!$C$5</f>
        <v>107.35296000000001</v>
      </c>
      <c r="O117" s="270">
        <f>(77.4*KFC!$B$19*1.02*1.3*1.1+KFC!$C$19)*KFC!$C$5</f>
        <v>112.89564000000003</v>
      </c>
      <c r="P117" s="278">
        <f>(81.2*KFC!$B$19*1.02*1.3*1.1+KFC!$C$19)*KFC!$C$5</f>
        <v>118.43832</v>
      </c>
    </row>
    <row r="118" spans="1:16" ht="12" customHeight="1">
      <c r="A118" s="1538"/>
      <c r="B118" s="272">
        <v>1.4</v>
      </c>
      <c r="C118" s="277">
        <f>(33.5*KFC!$B$19*1.02*1.3*1.1+KFC!$C$19)*KFC!$C$5</f>
        <v>48.86310000000001</v>
      </c>
      <c r="D118" s="270">
        <f>(37.4*KFC!$B$19*1.02*1.3*1.1+KFC!$C$19)*KFC!$C$5</f>
        <v>54.551639999999999</v>
      </c>
      <c r="E118" s="270">
        <f>(41.3*KFC!$B$19*1.02*1.3*1.1+KFC!$C$19)*KFC!$C$5</f>
        <v>60.240180000000002</v>
      </c>
      <c r="F118" s="270">
        <f>(45.4*KFC!$B$19*1.02*1.3*1.1+KFC!$C$19)*KFC!$C$5</f>
        <v>66.220440000000011</v>
      </c>
      <c r="G118" s="270">
        <f>(49.3*KFC!$B$19*1.02*1.3*1.1+KFC!$C$19)*KFC!$C$5</f>
        <v>71.908980000000014</v>
      </c>
      <c r="H118" s="270">
        <f>(53.2*KFC!$B$19*1.02*1.3*1.1+KFC!$C$19)*KFC!$C$5</f>
        <v>77.597520000000017</v>
      </c>
      <c r="I118" s="270">
        <f>(57.2*KFC!$B$19*1.02*1.3*1.1+KFC!$C$19)*KFC!$C$5</f>
        <v>83.431920000000005</v>
      </c>
      <c r="J118" s="270">
        <f>(61.2*KFC!$B$19*1.02*1.3*1.1+KFC!$C$19)*KFC!$C$5</f>
        <v>89.266320000000022</v>
      </c>
      <c r="K118" s="270">
        <f>(65.1*KFC!$B$19*1.02*1.3*1.1+KFC!$C$19)*KFC!$C$5</f>
        <v>94.954860000000011</v>
      </c>
      <c r="L118" s="270">
        <f>(69.1*KFC!$B$19*1.02*1.3*1.1+KFC!$C$19)*KFC!$C$5</f>
        <v>100.78926</v>
      </c>
      <c r="M118" s="270">
        <f>(73*KFC!$B$19*1.02*1.3*1.1+KFC!$C$19)*KFC!$C$5</f>
        <v>106.47780000000003</v>
      </c>
      <c r="N118" s="270">
        <f>(76.9*KFC!$B$19*1.02*1.3*1.1+KFC!$C$19)*KFC!$C$5</f>
        <v>112.16634000000002</v>
      </c>
      <c r="O118" s="270">
        <f>(81*KFC!$B$19*1.02*1.3*1.1+KFC!$C$19)*KFC!$C$5</f>
        <v>118.14660000000002</v>
      </c>
      <c r="P118" s="278">
        <f>(84.9*KFC!$B$19*1.02*1.3*1.1+KFC!$C$19)*KFC!$C$5</f>
        <v>123.83514000000004</v>
      </c>
    </row>
    <row r="119" spans="1:16" ht="12" customHeight="1">
      <c r="A119" s="1538"/>
      <c r="B119" s="272">
        <v>1.5</v>
      </c>
      <c r="C119" s="277">
        <f>(34.5*KFC!$B$19*1.02*1.3*1.1+KFC!$C$19)*KFC!$C$5</f>
        <v>50.321700000000007</v>
      </c>
      <c r="D119" s="270">
        <f>(38.6*KFC!$B$19*1.02*1.3*1.1+KFC!$C$19)*KFC!$C$5</f>
        <v>56.301960000000001</v>
      </c>
      <c r="E119" s="270">
        <f>(42.8*KFC!$B$19*1.02*1.3*1.1+KFC!$C$19)*KFC!$C$5</f>
        <v>62.428080000000008</v>
      </c>
      <c r="F119" s="270">
        <f>(47*KFC!$B$19*1.02*1.3*1.1+KFC!$C$19)*KFC!$C$5</f>
        <v>68.554199999999994</v>
      </c>
      <c r="G119" s="270">
        <f>(51.1*KFC!$B$19*1.02*1.3*1.1+KFC!$C$19)*KFC!$C$5</f>
        <v>74.53446000000001</v>
      </c>
      <c r="H119" s="270">
        <f>(55.3*KFC!$B$19*1.02*1.3*1.1+KFC!$C$19)*KFC!$C$5</f>
        <v>80.660579999999996</v>
      </c>
      <c r="I119" s="270">
        <f>(59.4*KFC!$B$19*1.02*1.3*1.1+KFC!$C$19)*KFC!$C$5</f>
        <v>86.640840000000011</v>
      </c>
      <c r="J119" s="270">
        <f>(63.6*KFC!$B$19*1.02*1.3*1.1+KFC!$C$19)*KFC!$C$5</f>
        <v>92.766960000000012</v>
      </c>
      <c r="K119" s="270">
        <f>(67.8*KFC!$B$19*1.02*1.3*1.1+KFC!$C$19)*KFC!$C$5</f>
        <v>98.893080000000012</v>
      </c>
      <c r="L119" s="270">
        <f>(71.9*KFC!$B$19*1.02*1.3*1.1+KFC!$C$19)*KFC!$C$5</f>
        <v>104.87334000000003</v>
      </c>
      <c r="M119" s="270">
        <f>(76.1*KFC!$B$19*1.02*1.3*1.1+KFC!$C$19)*KFC!$C$5</f>
        <v>110.99946000000001</v>
      </c>
      <c r="N119" s="270">
        <f>(80.2*KFC!$B$19*1.02*1.3*1.1+KFC!$C$19)*KFC!$C$5</f>
        <v>116.97972000000001</v>
      </c>
      <c r="O119" s="270">
        <f>(84.4*KFC!$B$19*1.02*1.3*1.1+KFC!$C$19)*KFC!$C$5</f>
        <v>123.10584000000003</v>
      </c>
      <c r="P119" s="278">
        <f>(88.7*KFC!$B$19*1.02*1.3*1.1+KFC!$C$19)*KFC!$C$5</f>
        <v>129.37782000000001</v>
      </c>
    </row>
    <row r="120" spans="1:16" ht="12" customHeight="1">
      <c r="A120" s="1538"/>
      <c r="B120" s="272">
        <v>1.6</v>
      </c>
      <c r="C120" s="277">
        <f>(35.5*KFC!$B$19*1.02*1.3*1.1+KFC!$C$19)*KFC!$C$5</f>
        <v>51.780300000000004</v>
      </c>
      <c r="D120" s="270">
        <f>(39.9*KFC!$B$19*1.02*1.3*1.1+KFC!$C$19)*KFC!$C$5</f>
        <v>58.198140000000009</v>
      </c>
      <c r="E120" s="270">
        <f>(44.3*KFC!$B$19*1.02*1.3*1.1+KFC!$C$19)*KFC!$C$5</f>
        <v>64.615980000000008</v>
      </c>
      <c r="F120" s="270">
        <f>(48.6*KFC!$B$19*1.02*1.3*1.1+KFC!$C$19)*KFC!$C$5</f>
        <v>70.887960000000007</v>
      </c>
      <c r="G120" s="270">
        <f>(53*KFC!$B$19*1.02*1.3*1.1+KFC!$C$19)*KFC!$C$5</f>
        <v>77.305800000000019</v>
      </c>
      <c r="H120" s="270">
        <f>(57.41*KFC!$B$19*1.02*1.3*1.1+KFC!$C$19)*KFC!$C$5</f>
        <v>83.738225999999997</v>
      </c>
      <c r="I120" s="270">
        <f>(61.8*KFC!$B$19*1.02*1.3*1.1+KFC!$C$19)*KFC!$C$5</f>
        <v>90.141480000000016</v>
      </c>
      <c r="J120" s="270">
        <f>(66*KFC!$B$19*1.02*1.3*1.1+KFC!$C$19)*KFC!$C$5</f>
        <v>96.26760000000003</v>
      </c>
      <c r="K120" s="270">
        <f>(70.4*KFC!$B$19*1.02*1.3*1.1+KFC!$C$19)*KFC!$C$5</f>
        <v>102.68544000000001</v>
      </c>
      <c r="L120" s="270">
        <f>(74.8*KFC!$B$19*1.02*1.3*1.1+KFC!$C$19)*KFC!$C$5</f>
        <v>109.10328</v>
      </c>
      <c r="M120" s="270">
        <f>(79.3*KFC!$B$19*1.02*1.3*1.1+KFC!$C$19)*KFC!$C$5</f>
        <v>115.66698000000001</v>
      </c>
      <c r="N120" s="270">
        <f>(83.5*KFC!$B$19*1.02*1.3*1.1+KFC!$C$19)*KFC!$C$5</f>
        <v>121.79310000000001</v>
      </c>
      <c r="O120" s="270">
        <f>(87.9*KFC!$B$19*1.02*1.3*1.1+KFC!$C$19)*KFC!$C$5</f>
        <v>128.21094000000002</v>
      </c>
      <c r="P120" s="278">
        <f>(92.3*KFC!$B$19*1.02*1.3*1.1+KFC!$C$19)*KFC!$C$5</f>
        <v>134.62878000000001</v>
      </c>
    </row>
    <row r="121" spans="1:16" ht="12" customHeight="1">
      <c r="A121" s="1538"/>
      <c r="B121" s="272">
        <v>1.7</v>
      </c>
      <c r="C121" s="277">
        <f>(36.4*KFC!$B$19*1.02*1.3*1.1+KFC!$C$19)*KFC!$C$5</f>
        <v>53.093040000000009</v>
      </c>
      <c r="D121" s="270">
        <f>(41.1*KFC!$B$19*1.02*1.3*1.1+KFC!$C$19)*KFC!$C$5</f>
        <v>59.948460000000019</v>
      </c>
      <c r="E121" s="270">
        <f>(45.6*KFC!$B$19*1.02*1.3*1.1+KFC!$C$19)*KFC!$C$5</f>
        <v>66.512160000000009</v>
      </c>
      <c r="F121" s="270">
        <f>(50.3*KFC!$B$19*1.02*1.3*1.1+KFC!$C$19)*KFC!$C$5</f>
        <v>73.367580000000004</v>
      </c>
      <c r="G121" s="270">
        <f>(54.8*KFC!$B$19*1.02*1.3*1.1+KFC!$C$19)*KFC!$C$5</f>
        <v>79.931280000000001</v>
      </c>
      <c r="H121" s="270">
        <f>(59.4*KFC!$B$19*1.02*1.3*1.1+KFC!$C$19)*KFC!$C$5</f>
        <v>86.640840000000011</v>
      </c>
      <c r="I121" s="270">
        <f>(64*KFC!$B$19*1.02*1.3*1.1+KFC!$C$19)*KFC!$C$5</f>
        <v>93.350400000000008</v>
      </c>
      <c r="J121" s="270">
        <f>(68.6*KFC!$B$19*1.02*1.3*1.1+KFC!$C$19)*KFC!$C$5</f>
        <v>100.05996</v>
      </c>
      <c r="K121" s="270">
        <f>(73.1*KFC!$B$19*1.02*1.3*1.1+KFC!$C$19)*KFC!$C$5</f>
        <v>106.62366</v>
      </c>
      <c r="L121" s="270">
        <f>(77.8*KFC!$B$19*1.02*1.3*1.1+KFC!$C$19)*KFC!$C$5</f>
        <v>113.47908</v>
      </c>
      <c r="M121" s="270">
        <f>(82.3*KFC!$B$19*1.02*1.3*1.1+KFC!$C$19)*KFC!$C$5</f>
        <v>120.04278000000001</v>
      </c>
      <c r="N121" s="270">
        <f>(86.8*KFC!$B$19*1.02*1.3*1.1+KFC!$C$19)*KFC!$C$5</f>
        <v>126.60648000000002</v>
      </c>
      <c r="O121" s="270">
        <f>(91.5*KFC!$B$19*1.02*1.3*1.1+KFC!$C$19)*KFC!$C$5</f>
        <v>133.46190000000001</v>
      </c>
      <c r="P121" s="278">
        <f>(96*KFC!$B$19*1.02*1.3*1.1+KFC!$C$19)*KFC!$C$5</f>
        <v>140.02560000000003</v>
      </c>
    </row>
    <row r="122" spans="1:16" ht="12" customHeight="1">
      <c r="A122" s="1538"/>
      <c r="B122" s="272">
        <v>1.8</v>
      </c>
      <c r="C122" s="277">
        <f>(37.4*KFC!$B$19*1.02*1.3*1.1+KFC!$C$19)*KFC!$C$5</f>
        <v>54.551639999999999</v>
      </c>
      <c r="D122" s="270">
        <f>(42.3*KFC!$B$19*1.02*1.3*1.1+KFC!$C$19)*KFC!$C$5</f>
        <v>61.698780000000006</v>
      </c>
      <c r="E122" s="270">
        <f>(47.1*KFC!$B$19*1.02*1.3*1.1+KFC!$C$19)*KFC!$C$5</f>
        <v>68.700060000000008</v>
      </c>
      <c r="F122" s="270">
        <f>(51.9*KFC!$B$19*1.02*1.3*1.1+KFC!$C$19)*KFC!$C$5</f>
        <v>75.701340000000002</v>
      </c>
      <c r="G122" s="270">
        <f>(56.6*KFC!$B$19*1.02*1.3*1.1+KFC!$C$19)*KFC!$C$5</f>
        <v>82.556760000000011</v>
      </c>
      <c r="H122" s="270">
        <f>(61.4*KFC!$B$19*1.02*1.3*1.1+KFC!$C$19)*KFC!$C$5</f>
        <v>89.558040000000005</v>
      </c>
      <c r="I122" s="270">
        <f>(66.3*KFC!$B$19*1.02*1.3*1.1+KFC!$C$19)*KFC!$C$5</f>
        <v>96.705180000000013</v>
      </c>
      <c r="J122" s="270">
        <f>(71.1*KFC!$B$19*1.02*1.3*1.1+KFC!$C$19)*KFC!$C$5</f>
        <v>103.70646000000001</v>
      </c>
      <c r="K122" s="270">
        <f>(75.8*KFC!$B$19*1.02*1.3*1.1+KFC!$C$19)*KFC!$C$5</f>
        <v>110.56188000000002</v>
      </c>
      <c r="L122" s="270">
        <f>(80.6*KFC!$B$19*1.02*1.3*1.1+KFC!$C$19)*KFC!$C$5</f>
        <v>117.56316</v>
      </c>
      <c r="M122" s="270">
        <f>(85.4*KFC!$B$19*1.02*1.3*1.1+KFC!$C$19)*KFC!$C$5</f>
        <v>124.56444000000002</v>
      </c>
      <c r="N122" s="270">
        <f>(90.3*KFC!$B$19*1.02*1.3*1.1+KFC!$C$19)*KFC!$C$5</f>
        <v>131.71158</v>
      </c>
      <c r="O122" s="270">
        <f>(95*KFC!$B$19*1.02*1.3*1.1+KFC!$C$19)*KFC!$C$5</f>
        <v>138.56700000000004</v>
      </c>
      <c r="P122" s="278">
        <f>(99.8*KFC!$B$19*1.02*1.3*1.1+KFC!$C$19)*KFC!$C$5</f>
        <v>145.56828000000002</v>
      </c>
    </row>
    <row r="123" spans="1:16" ht="12" customHeight="1">
      <c r="A123" s="1538"/>
      <c r="B123" s="272">
        <v>1.9</v>
      </c>
      <c r="C123" s="277">
        <f>(39.5*KFC!$B$19*1.02*1.3*1.1+KFC!$C$19)*KFC!$C$5</f>
        <v>57.614700000000006</v>
      </c>
      <c r="D123" s="270">
        <f>(44.6*KFC!$B$19*1.02*1.3*1.1+KFC!$C$19)*KFC!$C$5</f>
        <v>65.053560000000019</v>
      </c>
      <c r="E123" s="270">
        <f>(49.9*KFC!$B$19*1.02*1.3*1.1+KFC!$C$19)*KFC!$C$5</f>
        <v>72.784140000000008</v>
      </c>
      <c r="F123" s="270">
        <f>(55.2*KFC!$B$19*1.02*1.3*1.1+KFC!$C$19)*KFC!$C$5</f>
        <v>80.514720000000011</v>
      </c>
      <c r="G123" s="270">
        <f>(60.3*KFC!$B$19*1.02*1.3*1.1+KFC!$C$19)*KFC!$C$5</f>
        <v>87.953580000000017</v>
      </c>
      <c r="H123" s="270">
        <f>(65.6*KFC!$B$19*1.02*1.3*1.1+KFC!$C$19)*KFC!$C$5</f>
        <v>95.684159999999991</v>
      </c>
      <c r="I123" s="270">
        <f>(70.7*KFC!$B$19*1.02*1.3*1.1+KFC!$C$19)*KFC!$C$5</f>
        <v>103.12302000000003</v>
      </c>
      <c r="J123" s="270">
        <f>(75.9*KFC!$B$19*1.02*1.3*1.1+KFC!$C$19)*KFC!$C$5</f>
        <v>110.70774000000003</v>
      </c>
      <c r="K123" s="270">
        <f>(81.2*KFC!$B$19*1.02*1.3*1.1+KFC!$C$19)*KFC!$C$5</f>
        <v>118.43832</v>
      </c>
      <c r="L123" s="270">
        <f>(86.3*KFC!$B$19*1.02*1.3*1.1+KFC!$C$19)*KFC!$C$5</f>
        <v>125.87718000000001</v>
      </c>
      <c r="M123" s="270">
        <f>(91.6*KFC!$B$19*1.02*1.3*1.1+KFC!$C$19)*KFC!$C$5</f>
        <v>133.60776000000001</v>
      </c>
      <c r="N123" s="270">
        <f>(96.9*KFC!$B$19*1.02*1.3*1.1+KFC!$C$19)*KFC!$C$5</f>
        <v>141.33834000000004</v>
      </c>
      <c r="O123" s="270">
        <f>(102*KFC!$B$19*1.02*1.3*1.1+KFC!$C$19)*KFC!$C$5</f>
        <v>148.77720000000002</v>
      </c>
      <c r="P123" s="278">
        <f>(107.3*KFC!$B$19*1.02*1.3*1.1+KFC!$C$19)*KFC!$C$5</f>
        <v>156.50778</v>
      </c>
    </row>
    <row r="124" spans="1:16" ht="12" customHeight="1">
      <c r="A124" s="1538"/>
      <c r="B124" s="272">
        <v>2</v>
      </c>
      <c r="C124" s="277">
        <f>(40.5*KFC!$B$19*1.02*1.3*1.1+KFC!$C$19)*KFC!$C$5</f>
        <v>59.07330000000001</v>
      </c>
      <c r="D124" s="270">
        <f>(45.9*KFC!$B$19*1.02*1.3*1.1+KFC!$C$19)*KFC!$C$5</f>
        <v>66.949740000000006</v>
      </c>
      <c r="E124" s="270">
        <f>(51.4*KFC!$B$19*1.02*1.3*1.1+KFC!$C$19)*KFC!$C$5</f>
        <v>74.972040000000007</v>
      </c>
      <c r="F124" s="270">
        <f>(56.7*KFC!$B$19*1.02*1.3*1.1+KFC!$C$19)*KFC!$C$5</f>
        <v>82.70262000000001</v>
      </c>
      <c r="G124" s="270">
        <f>(62.1*KFC!$B$19*1.02*1.3*1.1+KFC!$C$19)*KFC!$C$5</f>
        <v>90.579060000000027</v>
      </c>
      <c r="H124" s="270">
        <f>(67.6*KFC!$B$19*1.02*1.3*1.1+KFC!$C$19)*KFC!$C$5</f>
        <v>98.601360000000014</v>
      </c>
      <c r="I124" s="270">
        <f>(73*KFC!$B$19*1.02*1.3*1.1+KFC!$C$19)*KFC!$C$5</f>
        <v>106.47780000000003</v>
      </c>
      <c r="J124" s="270">
        <f>(78.4*KFC!$B$19*1.02*1.3*1.1+KFC!$C$19)*KFC!$C$5</f>
        <v>114.35424000000002</v>
      </c>
      <c r="K124" s="270">
        <f>(83.9*KFC!$B$19*1.02*1.3*1.1+KFC!$C$19)*KFC!$C$5</f>
        <v>122.37654000000002</v>
      </c>
      <c r="L124" s="270">
        <f>(89.3*KFC!$B$19*1.02*1.3*1.1+KFC!$C$19)*KFC!$C$5</f>
        <v>130.25298000000001</v>
      </c>
      <c r="M124" s="270">
        <f>(94.7*KFC!$B$19*1.02*1.3*1.1+KFC!$C$19)*KFC!$C$5</f>
        <v>138.12942000000001</v>
      </c>
      <c r="N124" s="270">
        <f>(100.2*KFC!$B$19*1.02*1.3*1.1+KFC!$C$19)*KFC!$C$5</f>
        <v>146.15172000000004</v>
      </c>
      <c r="O124" s="270">
        <f>(105.5*KFC!$B$19*1.02*1.3*1.1+KFC!$C$19)*KFC!$C$5</f>
        <v>153.88230000000001</v>
      </c>
      <c r="P124" s="278">
        <f>(110.9*KFC!$B$19*1.02*1.3*1.1+KFC!$C$19)*KFC!$C$5</f>
        <v>161.75874000000002</v>
      </c>
    </row>
    <row r="125" spans="1:16" ht="12" customHeight="1">
      <c r="A125" s="1538"/>
      <c r="B125" s="272">
        <v>2.1</v>
      </c>
      <c r="C125" s="277">
        <f>(41.5*KFC!$B$19*1.02*1.3*1.1+KFC!$C$19)*KFC!$C$5</f>
        <v>60.5319</v>
      </c>
      <c r="D125" s="270">
        <f>(47.1*KFC!$B$19*1.02*1.3*1.1+KFC!$C$19)*KFC!$C$5</f>
        <v>68.700060000000008</v>
      </c>
      <c r="E125" s="270">
        <f>(52.7*KFC!$B$19*1.02*1.3*1.1+KFC!$C$19)*KFC!$C$5</f>
        <v>76.868220000000008</v>
      </c>
      <c r="F125" s="270">
        <f>(58.3*KFC!$B$19*1.02*1.3*1.1+KFC!$C$19)*KFC!$C$5</f>
        <v>85.036380000000008</v>
      </c>
      <c r="G125" s="270">
        <f>(64*KFC!$B$19*1.02*1.3*1.1+KFC!$C$19)*KFC!$C$5</f>
        <v>93.350400000000008</v>
      </c>
      <c r="H125" s="270">
        <f>(69.6*KFC!$B$19*1.02*1.3*1.1+KFC!$C$19)*KFC!$C$5</f>
        <v>101.51855999999999</v>
      </c>
      <c r="I125" s="270">
        <f>(75.2*KFC!$B$19*1.02*1.3*1.1+KFC!$C$19)*KFC!$C$5</f>
        <v>109.68672000000002</v>
      </c>
      <c r="J125" s="270">
        <f>(80.8*KFC!$B$19*1.02*1.3*1.1+KFC!$C$19)*KFC!$C$5</f>
        <v>117.85488000000001</v>
      </c>
      <c r="K125" s="270">
        <f>(86.5*KFC!$B$19*1.02*1.3*1.1+KFC!$C$19)*KFC!$C$5</f>
        <v>126.16890000000002</v>
      </c>
      <c r="L125" s="270">
        <f>(92.2*KFC!$B$19*1.02*1.3*1.1+KFC!$C$19)*KFC!$C$5</f>
        <v>134.48292000000004</v>
      </c>
      <c r="M125" s="270">
        <f>(97.8*KFC!$B$19*1.02*1.3*1.1+KFC!$C$19)*KFC!$C$5</f>
        <v>142.65108000000004</v>
      </c>
      <c r="N125" s="270">
        <f>(103.5*KFC!$B$19*1.02*1.3*1.1+KFC!$C$19)*KFC!$C$5</f>
        <v>150.96510000000004</v>
      </c>
      <c r="O125" s="270">
        <f>(109.1*KFC!$B$19*1.02*1.3*1.1+KFC!$C$19)*KFC!$C$5</f>
        <v>159.13326000000001</v>
      </c>
      <c r="P125" s="278">
        <f>(114.7*KFC!$B$19*1.02*1.3*1.1+KFC!$C$19)*KFC!$C$5</f>
        <v>167.30142000000001</v>
      </c>
    </row>
    <row r="126" spans="1:16" ht="12" customHeight="1">
      <c r="A126" s="1538"/>
      <c r="B126" s="272">
        <v>2.2000000000000002</v>
      </c>
      <c r="C126" s="277">
        <f>(42.4*KFC!$B$19*1.02*1.3*1.1+KFC!$C$19)*KFC!$C$5</f>
        <v>61.844640000000005</v>
      </c>
      <c r="D126" s="270">
        <f>(48.3*KFC!$B$19*1.02*1.3*1.1+KFC!$C$19)*KFC!$C$5</f>
        <v>70.45038000000001</v>
      </c>
      <c r="E126" s="270">
        <f>(54.2*KFC!$B$19*1.02*1.3*1.1+KFC!$C$19)*KFC!$C$5</f>
        <v>79.056120000000007</v>
      </c>
      <c r="F126" s="270">
        <f>(60*KFC!$B$19*1.02*1.3*1.1+KFC!$C$19)*KFC!$C$5</f>
        <v>87.516000000000005</v>
      </c>
      <c r="G126" s="270">
        <f>(65.8*KFC!$B$19*1.02*1.3*1.1+KFC!$C$19)*KFC!$C$5</f>
        <v>95.975880000000004</v>
      </c>
      <c r="H126" s="270">
        <f>(71.7*KFC!$B$19*1.02*1.3*1.1+KFC!$C$19)*KFC!$C$5</f>
        <v>104.58162000000002</v>
      </c>
      <c r="I126" s="270">
        <f>(77.5*KFC!$B$19*1.02*1.3*1.1+KFC!$C$19)*KFC!$C$5</f>
        <v>113.04150000000001</v>
      </c>
      <c r="J126" s="270">
        <f>(83.4*KFC!$B$19*1.02*1.3*1.1+KFC!$C$19)*KFC!$C$5</f>
        <v>121.64724000000004</v>
      </c>
      <c r="K126" s="270">
        <f>(89.2*KFC!$B$19*1.02*1.3*1.1+KFC!$C$19)*KFC!$C$5</f>
        <v>130.10712000000004</v>
      </c>
      <c r="L126" s="270">
        <f>(95*KFC!$B$19*1.02*1.3*1.1+KFC!$C$19)*KFC!$C$5</f>
        <v>138.56700000000004</v>
      </c>
      <c r="M126" s="270">
        <f>(100.9*KFC!$B$19*1.02*1.3*1.1+KFC!$C$19)*KFC!$C$5</f>
        <v>147.17274000000003</v>
      </c>
      <c r="N126" s="270">
        <f>(106.8*KFC!$B$19*1.02*1.3*1.1+KFC!$C$19)*KFC!$C$5</f>
        <v>155.77848</v>
      </c>
      <c r="O126" s="270">
        <f>(112.5*KFC!$B$19*1.02*1.3*1.1+KFC!$C$19)*KFC!$C$5</f>
        <v>164.09250000000003</v>
      </c>
      <c r="P126" s="278">
        <f>(118.4*KFC!$B$19*1.02*1.3*1.1+KFC!$C$19)*KFC!$C$5</f>
        <v>172.69824000000006</v>
      </c>
    </row>
    <row r="127" spans="1:16" ht="12" customHeight="1">
      <c r="A127" s="1538"/>
      <c r="B127" s="272">
        <v>2.2999999999999998</v>
      </c>
      <c r="C127" s="277">
        <f>(43.4*KFC!$B$19*1.02*1.3*1.1+KFC!$C$19)*KFC!$C$5</f>
        <v>63.30324000000001</v>
      </c>
      <c r="D127" s="270">
        <f>(49.5*KFC!$B$19*1.02*1.3*1.1+KFC!$C$19)*KFC!$C$5</f>
        <v>72.200700000000012</v>
      </c>
      <c r="E127" s="270">
        <f>(55.5*KFC!$B$19*1.02*1.3*1.1+KFC!$C$19)*KFC!$C$5</f>
        <v>80.952300000000008</v>
      </c>
      <c r="F127" s="270">
        <f>(61.6*KFC!$B$19*1.02*1.3*1.1+KFC!$C$19)*KFC!$C$5</f>
        <v>89.849760000000018</v>
      </c>
      <c r="G127" s="270">
        <f>(67.6*KFC!$B$19*1.02*1.3*1.1+KFC!$C$19)*KFC!$C$5</f>
        <v>98.601360000000014</v>
      </c>
      <c r="H127" s="270">
        <f>(73.7*KFC!$B$19*1.02*1.3*1.1+KFC!$C$19)*KFC!$C$5</f>
        <v>107.49882000000001</v>
      </c>
      <c r="I127" s="270">
        <f>(79.7*KFC!$B$19*1.02*1.3*1.1+KFC!$C$19)*KFC!$C$5</f>
        <v>116.25042000000003</v>
      </c>
      <c r="J127" s="270">
        <f>(85.9*KFC!$B$19*1.02*1.3*1.1+KFC!$C$19)*KFC!$C$5</f>
        <v>125.29374000000003</v>
      </c>
      <c r="K127" s="270">
        <f>(91.8*KFC!$B$19*1.02*1.3*1.1+KFC!$C$19)*KFC!$C$5</f>
        <v>133.89948000000001</v>
      </c>
      <c r="L127" s="270">
        <f>(98*KFC!$B$19*1.02*1.3*1.1+KFC!$C$19)*KFC!$C$5</f>
        <v>142.94280000000003</v>
      </c>
      <c r="M127" s="270">
        <f>(104*KFC!$B$19*1.02*1.3*1.1+KFC!$C$19)*KFC!$C$5</f>
        <v>151.6944</v>
      </c>
      <c r="N127" s="270">
        <f>(110.1*KFC!$B$19*1.02*1.3*1.1+KFC!$C$19)*KFC!$C$5</f>
        <v>160.59186</v>
      </c>
      <c r="O127" s="270">
        <f>(116.1*KFC!$B$19*1.02*1.3*1.1+KFC!$C$19)*KFC!$C$5</f>
        <v>169.34346000000002</v>
      </c>
      <c r="P127" s="278">
        <f>(122.2*KFC!$B$19*1.02*1.3*1.1+KFC!$C$19)*KFC!$C$5</f>
        <v>178.24092000000002</v>
      </c>
    </row>
    <row r="128" spans="1:16" ht="12" customHeight="1">
      <c r="A128" s="1538"/>
      <c r="B128" s="272">
        <v>2.4</v>
      </c>
      <c r="C128" s="277">
        <f>(44.5*KFC!$B$19*1.02*1.3*1.1+KFC!$C$19)*KFC!$C$5</f>
        <v>64.907700000000006</v>
      </c>
      <c r="D128" s="270">
        <f>(50.8*KFC!$B$19*1.02*1.3*1.1+KFC!$C$19)*KFC!$C$5</f>
        <v>74.096879999999999</v>
      </c>
      <c r="E128" s="270">
        <f>(57*KFC!$B$19*1.02*1.3*1.1+KFC!$C$19)*KFC!$C$5</f>
        <v>83.140200000000021</v>
      </c>
      <c r="F128" s="270">
        <f>(63.2*KFC!$B$19*1.02*1.3*1.1+KFC!$C$19)*KFC!$C$5</f>
        <v>92.183520000000016</v>
      </c>
      <c r="G128" s="270">
        <f>(69.5*KFC!$B$19*1.02*1.3*1.1+KFC!$C$19)*KFC!$C$5</f>
        <v>101.37270000000002</v>
      </c>
      <c r="H128" s="270">
        <f>(75.8*KFC!$B$19*1.02*1.3*1.1+KFC!$C$19)*KFC!$C$5</f>
        <v>110.56188000000002</v>
      </c>
      <c r="I128" s="270">
        <f>(82.1*KFC!$B$19*1.02*1.3*1.1+KFC!$C$19)*KFC!$C$5</f>
        <v>119.75106000000001</v>
      </c>
      <c r="J128" s="270">
        <f>(88.3*KFC!$B$19*1.02*1.3*1.1+KFC!$C$19)*KFC!$C$5</f>
        <v>128.79438000000002</v>
      </c>
      <c r="K128" s="270">
        <f>(94.5*KFC!$B$19*1.02*1.3*1.1+KFC!$C$19)*KFC!$C$5</f>
        <v>137.83770000000001</v>
      </c>
      <c r="L128" s="270">
        <f>(100.8*KFC!$B$19*1.02*1.3*1.1+KFC!$C$19)*KFC!$C$5</f>
        <v>147.02688000000001</v>
      </c>
      <c r="M128" s="270">
        <f>(107.1*KFC!$B$19*1.02*1.3*1.1+KFC!$C$19)*KFC!$C$5</f>
        <v>156.21606000000003</v>
      </c>
      <c r="N128" s="270">
        <f>(113.4*KFC!$B$19*1.02*1.3*1.1+KFC!$C$19)*KFC!$C$5</f>
        <v>165.40524000000002</v>
      </c>
      <c r="O128" s="270">
        <f>(119.6*KFC!$B$19*1.02*1.3*1.1+KFC!$C$19)*KFC!$C$5</f>
        <v>174.44856000000001</v>
      </c>
      <c r="P128" s="278">
        <f>(125.8*KFC!$B$19*1.02*1.3*1.1+KFC!$C$19)*KFC!$C$5</f>
        <v>183.49188000000001</v>
      </c>
    </row>
    <row r="129" spans="1:16" ht="12" customHeight="1">
      <c r="A129" s="1538"/>
      <c r="B129" s="272">
        <v>2.5</v>
      </c>
      <c r="C129" s="277">
        <f>(45.5*KFC!$B$19*1.02*1.3*1.1+KFC!$C$19)*KFC!$C$5</f>
        <v>66.36630000000001</v>
      </c>
      <c r="D129" s="270">
        <f>(52*KFC!$B$19*1.02*1.3*1.1+KFC!$C$19)*KFC!$C$5</f>
        <v>75.847200000000001</v>
      </c>
      <c r="E129" s="270">
        <f>(58.5*KFC!$B$19*1.02*1.3*1.1+KFC!$C$19)*KFC!$C$5</f>
        <v>85.328100000000006</v>
      </c>
      <c r="F129" s="270">
        <f>(64.9*KFC!$B$19*1.02*1.3*1.1+KFC!$C$19)*KFC!$C$5</f>
        <v>94.663140000000027</v>
      </c>
      <c r="G129" s="270">
        <f>(71.3*KFC!$B$19*1.02*1.3*1.1+KFC!$C$19)*KFC!$C$5</f>
        <v>103.99818000000002</v>
      </c>
      <c r="H129" s="270">
        <f>(77.8*KFC!$B$19*1.02*1.3*1.1+KFC!$C$19)*KFC!$C$5</f>
        <v>113.47908</v>
      </c>
      <c r="I129" s="270">
        <f>(84.3*KFC!$B$19*1.02*1.3*1.1+KFC!$C$19)*KFC!$C$5</f>
        <v>122.95998000000002</v>
      </c>
      <c r="J129" s="270">
        <f>(90.7*KFC!$B$19*1.02*1.3*1.1+KFC!$C$19)*KFC!$C$5</f>
        <v>132.29502000000002</v>
      </c>
      <c r="K129" s="270">
        <f>(97.2*KFC!$B$19*1.02*1.3*1.1+KFC!$C$19)*KFC!$C$5</f>
        <v>141.77592000000001</v>
      </c>
      <c r="L129" s="270">
        <f>(103.7*KFC!$B$19*1.02*1.3*1.1+KFC!$C$19)*KFC!$C$5</f>
        <v>151.25682000000003</v>
      </c>
      <c r="M129" s="270">
        <f>(110.2*KFC!$B$19*1.02*1.3*1.1+KFC!$C$19)*KFC!$C$5</f>
        <v>160.73772000000002</v>
      </c>
      <c r="N129" s="270">
        <f>(116.7*KFC!$B$19*1.02*1.3*1.1+KFC!$C$19)*KFC!$C$5</f>
        <v>170.21862000000002</v>
      </c>
      <c r="O129" s="270">
        <f>(123.2*KFC!$B$19*1.02*1.3*1.1+KFC!$C$19)*KFC!$C$5</f>
        <v>179.69952000000004</v>
      </c>
      <c r="P129" s="278">
        <f>(129.6*KFC!$B$19*1.02*1.3*1.1+KFC!$C$19)*KFC!$C$5</f>
        <v>189.03456000000003</v>
      </c>
    </row>
    <row r="130" spans="1:16" ht="12" customHeight="1" thickBot="1">
      <c r="A130" s="1539"/>
      <c r="B130" s="273">
        <v>2.5499999999999998</v>
      </c>
      <c r="C130" s="279">
        <f>(46.5*KFC!$B$19*1.02*1.3*1.1+KFC!$C$19)*KFC!$C$5</f>
        <v>67.8249</v>
      </c>
      <c r="D130" s="280">
        <f>(53.2*KFC!$B$19*1.02*1.3*1.1+KFC!$C$19)*KFC!$C$5</f>
        <v>77.597520000000017</v>
      </c>
      <c r="E130" s="280">
        <f>(59.8*KFC!$B$19*1.02*1.3*1.1+KFC!$C$19)*KFC!$C$5</f>
        <v>87.224280000000007</v>
      </c>
      <c r="F130" s="280">
        <f>(66.5*KFC!$B$19*1.02*1.3*1.1+KFC!$C$19)*KFC!$C$5</f>
        <v>96.996900000000011</v>
      </c>
      <c r="G130" s="280">
        <f>(73.1*KFC!$B$19*1.02*1.3*1.1+KFC!$C$19)*KFC!$C$5</f>
        <v>106.62366</v>
      </c>
      <c r="H130" s="280">
        <f>(79.9*KFC!$B$19*1.02*1.3*1.1+KFC!$C$19)*KFC!$C$5</f>
        <v>116.54214000000003</v>
      </c>
      <c r="I130" s="280">
        <f>(86.6*KFC!$B$19*1.02*1.3*1.1+KFC!$C$19)*KFC!$C$5</f>
        <v>126.31476000000001</v>
      </c>
      <c r="J130" s="280">
        <f>(93.2*KFC!$B$19*1.02*1.3*1.1+KFC!$C$19)*KFC!$C$5</f>
        <v>135.94152000000003</v>
      </c>
      <c r="K130" s="280">
        <f>(99.9*KFC!$B$19*1.02*1.3*1.1+KFC!$C$19)*KFC!$C$5</f>
        <v>145.71414000000004</v>
      </c>
      <c r="L130" s="280">
        <f>(106.6*KFC!$B$19*1.02*1.3*1.1+KFC!$C$19)*KFC!$C$5</f>
        <v>155.48676</v>
      </c>
      <c r="M130" s="280">
        <f>(113.2*KFC!$B$19*1.02*1.3*1.1+KFC!$C$19)*KFC!$C$5</f>
        <v>165.11352000000002</v>
      </c>
      <c r="N130" s="280">
        <f>(120*KFC!$B$19*1.02*1.3*1.1+KFC!$C$19)*KFC!$C$5</f>
        <v>175.03200000000001</v>
      </c>
      <c r="O130" s="280">
        <f>(126.6*KFC!$B$19*1.02*1.3*1.1+KFC!$C$19)*KFC!$C$5</f>
        <v>184.65876000000003</v>
      </c>
      <c r="P130" s="281">
        <f>(133.3*KFC!$B$19*1.02*1.3*1.1+KFC!$C$19)*KFC!$C$5</f>
        <v>194.43138000000005</v>
      </c>
    </row>
    <row r="131" spans="1:16" ht="12" customHeight="1" thickBot="1">
      <c r="A131" s="283"/>
      <c r="B131" s="284"/>
      <c r="C131" s="282"/>
      <c r="D131" s="282"/>
      <c r="E131" s="282"/>
      <c r="F131" s="282"/>
      <c r="G131" s="282"/>
      <c r="H131" s="282"/>
      <c r="I131" s="282"/>
      <c r="J131" s="282"/>
      <c r="K131" s="282"/>
      <c r="L131" s="282"/>
      <c r="M131" s="282"/>
      <c r="N131" s="282"/>
      <c r="O131" s="282"/>
      <c r="P131" s="282"/>
    </row>
    <row r="132" spans="1:16" ht="12" customHeight="1" thickBot="1">
      <c r="A132" s="1413" t="s">
        <v>320</v>
      </c>
      <c r="B132" s="1542"/>
      <c r="C132" s="1534" t="s">
        <v>207</v>
      </c>
      <c r="D132" s="1535"/>
      <c r="E132" s="1535"/>
      <c r="F132" s="1535"/>
      <c r="G132" s="1535"/>
      <c r="H132" s="1535"/>
      <c r="I132" s="1535"/>
      <c r="J132" s="1535"/>
      <c r="K132" s="1535"/>
      <c r="L132" s="1535"/>
      <c r="M132" s="1535"/>
      <c r="N132" s="1535"/>
      <c r="O132" s="1535"/>
      <c r="P132" s="1536"/>
    </row>
    <row r="133" spans="1:16" ht="12" customHeight="1" thickBot="1">
      <c r="A133" s="1543"/>
      <c r="B133" s="1544"/>
      <c r="C133" s="268">
        <v>0.4</v>
      </c>
      <c r="D133" s="268">
        <v>0.5</v>
      </c>
      <c r="E133" s="268">
        <v>0.6</v>
      </c>
      <c r="F133" s="268">
        <v>0.7</v>
      </c>
      <c r="G133" s="268">
        <v>0.8</v>
      </c>
      <c r="H133" s="268">
        <v>0.9</v>
      </c>
      <c r="I133" s="268">
        <v>1</v>
      </c>
      <c r="J133" s="268">
        <v>1.1000000000000001</v>
      </c>
      <c r="K133" s="268">
        <v>1.2</v>
      </c>
      <c r="L133" s="268">
        <v>1.3</v>
      </c>
      <c r="M133" s="268">
        <v>1.4</v>
      </c>
      <c r="N133" s="268">
        <v>1.5</v>
      </c>
      <c r="O133" s="268">
        <v>1.6</v>
      </c>
      <c r="P133" s="269">
        <v>1.7</v>
      </c>
    </row>
    <row r="134" spans="1:16" ht="12" customHeight="1">
      <c r="A134" s="1537" t="s">
        <v>3</v>
      </c>
      <c r="B134" s="271">
        <v>0.5</v>
      </c>
      <c r="C134" s="274">
        <f>(28.1*KFC!$B$19*1.02*1.3*1.1+KFC!$C$19)*KFC!$C$5</f>
        <v>40.986660000000008</v>
      </c>
      <c r="D134" s="275">
        <f>(29.7*KFC!$B$19*1.02*1.3*1.1+KFC!$C$19)*KFC!$C$5</f>
        <v>43.320420000000006</v>
      </c>
      <c r="E134" s="275">
        <f>(31.3*KFC!$B$19*1.02*1.3*1.1+KFC!$C$19)*KFC!$C$5</f>
        <v>45.654180000000011</v>
      </c>
      <c r="F134" s="275">
        <f>(32.9*KFC!$B$19*1.02*1.3*1.1+KFC!$C$19)*KFC!$C$5</f>
        <v>47.987940000000002</v>
      </c>
      <c r="G134" s="275">
        <f>(34.5*KFC!$B$19*1.02*1.3*1.1+KFC!$C$19)*KFC!$C$5</f>
        <v>50.321700000000007</v>
      </c>
      <c r="H134" s="275">
        <f>(36.1*KFC!$B$19*1.02*1.3*1.1+KFC!$C$19)*KFC!$C$5</f>
        <v>52.655460000000012</v>
      </c>
      <c r="I134" s="275">
        <f>(37.7*KFC!$B$19*1.02*1.3*1.1+KFC!$C$19)*KFC!$C$5</f>
        <v>54.989220000000003</v>
      </c>
      <c r="J134" s="275">
        <f>(39.4*KFC!$B$19*1.02*1.3*1.1+KFC!$C$19)*KFC!$C$5</f>
        <v>57.468840000000014</v>
      </c>
      <c r="K134" s="275">
        <f>(41*KFC!$B$19*1.02*1.3*1.1+KFC!$C$19)*KFC!$C$5</f>
        <v>59.802600000000005</v>
      </c>
      <c r="L134" s="275">
        <f>(42.6*KFC!$B$19*1.02*1.3*1.1+KFC!$C$19)*KFC!$C$5</f>
        <v>62.13636000000001</v>
      </c>
      <c r="M134" s="275">
        <f>(44.2*KFC!$B$19*1.02*1.3*1.1+KFC!$C$19)*KFC!$C$5</f>
        <v>64.470120000000009</v>
      </c>
      <c r="N134" s="275">
        <f>(45.7*KFC!$B$19*1.02*1.3*1.1+KFC!$C$19)*KFC!$C$5</f>
        <v>66.658020000000008</v>
      </c>
      <c r="O134" s="275">
        <f>(47.3*KFC!$B$19*1.02*1.3*1.1+KFC!$C$19)*KFC!$C$5</f>
        <v>68.991780000000006</v>
      </c>
      <c r="P134" s="276">
        <f>(48.9*KFC!$B$19*1.02*1.3*1.1+KFC!$C$19)*KFC!$C$5</f>
        <v>71.325540000000018</v>
      </c>
    </row>
    <row r="135" spans="1:16" ht="12" customHeight="1">
      <c r="A135" s="1538"/>
      <c r="B135" s="272">
        <v>0.6</v>
      </c>
      <c r="C135" s="277">
        <f>(29.2*KFC!$B$19*1.02*1.3*1.1+KFC!$C$19)*KFC!$C$5</f>
        <v>42.591120000000004</v>
      </c>
      <c r="D135" s="270">
        <f>(31.2*KFC!$B$19*1.02*1.3*1.1+KFC!$C$19)*KFC!$C$5</f>
        <v>45.508320000000005</v>
      </c>
      <c r="E135" s="270">
        <f>(33.1*KFC!$B$19*1.02*1.3*1.1+KFC!$C$19)*KFC!$C$5</f>
        <v>48.27966</v>
      </c>
      <c r="F135" s="270">
        <f>(35.1*KFC!$B$19*1.02*1.3*1.1+KFC!$C$19)*KFC!$C$5</f>
        <v>51.196860000000001</v>
      </c>
      <c r="G135" s="270">
        <f>(37.1*KFC!$B$19*1.02*1.3*1.1+KFC!$C$19)*KFC!$C$5</f>
        <v>54.114060000000009</v>
      </c>
      <c r="H135" s="270">
        <f>(39*KFC!$B$19*1.02*1.3*1.1+KFC!$C$19)*KFC!$C$5</f>
        <v>56.885400000000011</v>
      </c>
      <c r="I135" s="270">
        <f>(41*KFC!$B$19*1.02*1.3*1.1+KFC!$C$19)*KFC!$C$5</f>
        <v>59.802600000000005</v>
      </c>
      <c r="J135" s="270">
        <f>(42.9*KFC!$B$19*1.02*1.3*1.1+KFC!$C$19)*KFC!$C$5</f>
        <v>62.573940000000007</v>
      </c>
      <c r="K135" s="270">
        <f>(44.9*KFC!$B$19*1.02*1.3*1.1+KFC!$C$19)*KFC!$C$5</f>
        <v>65.491140000000016</v>
      </c>
      <c r="L135" s="270">
        <f>(46.8*KFC!$B$19*1.02*1.3*1.1+KFC!$C$19)*KFC!$C$5</f>
        <v>68.262479999999996</v>
      </c>
      <c r="M135" s="270">
        <f>(48.8*KFC!$B$19*1.02*1.3*1.1+KFC!$C$19)*KFC!$C$5</f>
        <v>71.179680000000005</v>
      </c>
      <c r="N135" s="270">
        <f>(50.8*KFC!$B$19*1.02*1.3*1.1+KFC!$C$19)*KFC!$C$5</f>
        <v>74.096879999999999</v>
      </c>
      <c r="O135" s="270">
        <f>(52.7*KFC!$B$19*1.02*1.3*1.1+KFC!$C$19)*KFC!$C$5</f>
        <v>76.868220000000008</v>
      </c>
      <c r="P135" s="278">
        <f>(54.7*KFC!$B$19*1.02*1.3*1.1+KFC!$C$19)*KFC!$C$5</f>
        <v>79.785420000000016</v>
      </c>
    </row>
    <row r="136" spans="1:16" ht="12" customHeight="1">
      <c r="A136" s="1538"/>
      <c r="B136" s="272">
        <v>0.7</v>
      </c>
      <c r="C136" s="277">
        <f>(30.3*KFC!$B$19*1.02*1.3*1.1+KFC!$C$19)*KFC!$C$5</f>
        <v>44.195580000000007</v>
      </c>
      <c r="D136" s="270">
        <f>(32.7*KFC!$B$19*1.02*1.3*1.1+KFC!$C$19)*KFC!$C$5</f>
        <v>47.696220000000018</v>
      </c>
      <c r="E136" s="270">
        <f>(35*KFC!$B$19*1.02*1.3*1.1+KFC!$C$19)*KFC!$C$5</f>
        <v>51.051000000000009</v>
      </c>
      <c r="F136" s="270">
        <f>(37.3*KFC!$B$19*1.02*1.3*1.1+KFC!$C$19)*KFC!$C$5</f>
        <v>54.405780000000007</v>
      </c>
      <c r="G136" s="270">
        <f>(39.6*KFC!$B$19*1.02*1.3*1.1+KFC!$C$19)*KFC!$C$5</f>
        <v>57.760560000000012</v>
      </c>
      <c r="H136" s="270">
        <f>(41.9*KFC!$B$19*1.02*1.3*1.1+KFC!$C$19)*KFC!$C$5</f>
        <v>61.11534000000001</v>
      </c>
      <c r="I136" s="270">
        <f>(44.2*KFC!$B$19*1.02*1.3*1.1+KFC!$C$19)*KFC!$C$5</f>
        <v>64.470120000000009</v>
      </c>
      <c r="J136" s="270">
        <f>(46.5*KFC!$B$19*1.02*1.3*1.1+KFC!$C$19)*KFC!$C$5</f>
        <v>67.8249</v>
      </c>
      <c r="K136" s="270">
        <f>(48.8*KFC!$B$19*1.02*1.3*1.1+KFC!$C$19)*KFC!$C$5</f>
        <v>71.179680000000005</v>
      </c>
      <c r="L136" s="270">
        <f>(51.1*KFC!$B$19*1.02*1.3*1.1+KFC!$C$19)*KFC!$C$5</f>
        <v>74.53446000000001</v>
      </c>
      <c r="M136" s="270">
        <f>(53.4*KFC!$B$19*1.02*1.3*1.1+KFC!$C$19)*KFC!$C$5</f>
        <v>77.889240000000001</v>
      </c>
      <c r="N136" s="270">
        <f>(55.8*KFC!$B$19*1.02*1.3*1.1+KFC!$C$19)*KFC!$C$5</f>
        <v>81.389880000000005</v>
      </c>
      <c r="O136" s="270">
        <f>(58.1*KFC!$B$19*1.02*1.3*1.1+KFC!$C$19)*KFC!$C$5</f>
        <v>84.74466000000001</v>
      </c>
      <c r="P136" s="278">
        <f>(60.4*KFC!$B$19*1.02*1.3*1.1+KFC!$C$19)*KFC!$C$5</f>
        <v>88.099440000000016</v>
      </c>
    </row>
    <row r="137" spans="1:16" ht="12" customHeight="1">
      <c r="A137" s="1538"/>
      <c r="B137" s="272">
        <v>0.8</v>
      </c>
      <c r="C137" s="277">
        <f>(31.4*KFC!$B$19*1.02*1.3*1.1+KFC!$C$19)*KFC!$C$5</f>
        <v>45.800040000000003</v>
      </c>
      <c r="D137" s="270">
        <f>(34.1*KFC!$B$19*1.02*1.3*1.1+KFC!$C$19)*KFC!$C$5</f>
        <v>49.738260000000011</v>
      </c>
      <c r="E137" s="270">
        <f>(36.8*KFC!$B$19*1.02*1.3*1.1+KFC!$C$19)*KFC!$C$5</f>
        <v>53.676480000000005</v>
      </c>
      <c r="F137" s="270">
        <f>(39.5*KFC!$B$19*1.02*1.3*1.1+KFC!$C$19)*KFC!$C$5</f>
        <v>57.614700000000006</v>
      </c>
      <c r="G137" s="270">
        <f>(42.1*KFC!$B$19*1.02*1.3*1.1+KFC!$C$19)*KFC!$C$5</f>
        <v>61.407060000000008</v>
      </c>
      <c r="H137" s="270">
        <f>(44.8*KFC!$B$19*1.02*1.3*1.1+KFC!$C$19)*KFC!$C$5</f>
        <v>65.345280000000002</v>
      </c>
      <c r="I137" s="270">
        <f>(47.5*KFC!$B$19*1.02*1.3*1.1+KFC!$C$19)*KFC!$C$5</f>
        <v>69.283500000000018</v>
      </c>
      <c r="J137" s="270">
        <f>(50.1*KFC!$B$19*1.02*1.3*1.1+KFC!$C$19)*KFC!$C$5</f>
        <v>73.07586000000002</v>
      </c>
      <c r="K137" s="270">
        <f>(52.8*KFC!$B$19*1.02*1.3*1.1+KFC!$C$19)*KFC!$C$5</f>
        <v>77.014080000000007</v>
      </c>
      <c r="L137" s="270">
        <f>(55.4*KFC!$B$19*1.02*1.3*1.1+KFC!$C$19)*KFC!$C$5</f>
        <v>80.806440000000009</v>
      </c>
      <c r="M137" s="270">
        <f>(58.1*KFC!$B$19*1.02*1.3*1.1+KFC!$C$19)*KFC!$C$5</f>
        <v>84.74466000000001</v>
      </c>
      <c r="N137" s="270">
        <f>(60.8*KFC!$B$19*1.02*1.3*1.1+KFC!$C$19)*KFC!$C$5</f>
        <v>88.682880000000011</v>
      </c>
      <c r="O137" s="270">
        <f>(63.5*KFC!$B$19*1.02*1.3*1.1+KFC!$C$19)*KFC!$C$5</f>
        <v>92.621099999999998</v>
      </c>
      <c r="P137" s="278">
        <f>(66*KFC!$B$19*1.02*1.3*1.1+KFC!$C$19)*KFC!$C$5</f>
        <v>96.26760000000003</v>
      </c>
    </row>
    <row r="138" spans="1:16" ht="12" customHeight="1">
      <c r="A138" s="1538"/>
      <c r="B138" s="272">
        <v>0.9</v>
      </c>
      <c r="C138" s="277">
        <f>(32.5*KFC!$B$19*1.02*1.3*1.1+KFC!$C$19)*KFC!$C$5</f>
        <v>47.404500000000006</v>
      </c>
      <c r="D138" s="270">
        <f>(35.6*KFC!$B$19*1.02*1.3*1.1+KFC!$C$19)*KFC!$C$5</f>
        <v>51.926160000000017</v>
      </c>
      <c r="E138" s="270">
        <f>(38.6*KFC!$B$19*1.02*1.3*1.1+KFC!$C$19)*KFC!$C$5</f>
        <v>56.301960000000001</v>
      </c>
      <c r="F138" s="270">
        <f>(41.6*KFC!$B$19*1.02*1.3*1.1+KFC!$C$19)*KFC!$C$5</f>
        <v>60.677760000000013</v>
      </c>
      <c r="G138" s="270">
        <f>(44.6*KFC!$B$19*1.02*1.3*1.1+KFC!$C$19)*KFC!$C$5</f>
        <v>65.053560000000019</v>
      </c>
      <c r="H138" s="270">
        <f>(47.7*KFC!$B$19*1.02*1.3*1.1+KFC!$C$19)*KFC!$C$5</f>
        <v>69.575220000000016</v>
      </c>
      <c r="I138" s="270">
        <f>(50.6*KFC!$B$19*1.02*1.3*1.1+KFC!$C$19)*KFC!$C$5</f>
        <v>73.805160000000015</v>
      </c>
      <c r="J138" s="270">
        <f>(53.7*KFC!$B$19*1.02*1.3*1.1+KFC!$C$19)*KFC!$C$5</f>
        <v>78.326820000000012</v>
      </c>
      <c r="K138" s="270">
        <f>(56.7*KFC!$B$19*1.02*1.3*1.1+KFC!$C$19)*KFC!$C$5</f>
        <v>82.70262000000001</v>
      </c>
      <c r="L138" s="270">
        <f>(59.8*KFC!$B$19*1.02*1.3*1.1+KFC!$C$19)*KFC!$C$5</f>
        <v>87.224280000000007</v>
      </c>
      <c r="M138" s="270">
        <f>(62.7*KFC!$B$19*1.02*1.3*1.1+KFC!$C$19)*KFC!$C$5</f>
        <v>91.454220000000021</v>
      </c>
      <c r="N138" s="270">
        <f>(65.8*KFC!$B$19*1.02*1.3*1.1+KFC!$C$19)*KFC!$C$5</f>
        <v>95.975880000000004</v>
      </c>
      <c r="O138" s="270">
        <f>(68.9*KFC!$B$19*1.02*1.3*1.1+KFC!$C$19)*KFC!$C$5</f>
        <v>100.49754000000003</v>
      </c>
      <c r="P138" s="278">
        <f>(71.8*KFC!$B$19*1.02*1.3*1.1+KFC!$C$19)*KFC!$C$5</f>
        <v>104.72748000000003</v>
      </c>
    </row>
    <row r="139" spans="1:16" ht="12" customHeight="1">
      <c r="A139" s="1538"/>
      <c r="B139" s="272">
        <v>1</v>
      </c>
      <c r="C139" s="277">
        <f>(33.6*KFC!$B$19*1.02*1.3*1.1+KFC!$C$19)*KFC!$C$5</f>
        <v>49.008960000000016</v>
      </c>
      <c r="D139" s="270">
        <f>(37.1*KFC!$B$19*1.02*1.3*1.1+KFC!$C$19)*KFC!$C$5</f>
        <v>54.114060000000009</v>
      </c>
      <c r="E139" s="270">
        <f>(40.5*KFC!$B$19*1.02*1.3*1.1+KFC!$C$19)*KFC!$C$5</f>
        <v>59.07330000000001</v>
      </c>
      <c r="F139" s="270">
        <f>(43.8*KFC!$B$19*1.02*1.3*1.1+KFC!$C$19)*KFC!$C$5</f>
        <v>63.886679999999998</v>
      </c>
      <c r="G139" s="270">
        <f>(47.2*KFC!$B$19*1.02*1.3*1.1+KFC!$C$19)*KFC!$C$5</f>
        <v>68.845920000000021</v>
      </c>
      <c r="H139" s="270">
        <f>(50.5*KFC!$B$19*1.02*1.3*1.1+KFC!$C$19)*KFC!$C$5</f>
        <v>73.659300000000002</v>
      </c>
      <c r="I139" s="270">
        <f>(53.9*KFC!$B$19*1.02*1.3*1.1+KFC!$C$19)*KFC!$C$5</f>
        <v>78.61854000000001</v>
      </c>
      <c r="J139" s="270">
        <f>(57.4*KFC!$B$19*1.02*1.3*1.1+KFC!$C$19)*KFC!$C$5</f>
        <v>83.723640000000017</v>
      </c>
      <c r="K139" s="270">
        <f>(60.7*KFC!$B$19*1.02*1.3*1.1+KFC!$C$19)*KFC!$C$5</f>
        <v>88.537020000000012</v>
      </c>
      <c r="L139" s="270">
        <f>(64.1*KFC!$B$19*1.02*1.3*1.1+KFC!$C$19)*KFC!$C$5</f>
        <v>93.496259999999992</v>
      </c>
      <c r="M139" s="270">
        <f>(67.4*KFC!$B$19*1.02*1.3*1.1+KFC!$C$19)*KFC!$C$5</f>
        <v>98.309640000000016</v>
      </c>
      <c r="N139" s="270">
        <f>(70.8*KFC!$B$19*1.02*1.3*1.1+KFC!$C$19)*KFC!$C$5</f>
        <v>103.26888</v>
      </c>
      <c r="O139" s="270">
        <f>(74.2*KFC!$B$19*1.02*1.3*1.1+KFC!$C$19)*KFC!$C$5</f>
        <v>108.22812000000002</v>
      </c>
      <c r="P139" s="278">
        <f>(77.5*KFC!$B$19*1.02*1.3*1.1+KFC!$C$19)*KFC!$C$5</f>
        <v>113.04150000000001</v>
      </c>
    </row>
    <row r="140" spans="1:16" ht="12" customHeight="1">
      <c r="A140" s="1538"/>
      <c r="B140" s="272">
        <v>1.1000000000000001</v>
      </c>
      <c r="C140" s="277">
        <f>(34.9*KFC!$B$19*1.02*1.3*1.1+KFC!$C$19)*KFC!$C$5</f>
        <v>50.905140000000003</v>
      </c>
      <c r="D140" s="270">
        <f>(38.5*KFC!$B$19*1.02*1.3*1.1+KFC!$C$19)*KFC!$C$5</f>
        <v>56.156100000000016</v>
      </c>
      <c r="E140" s="270">
        <f>(42.3*KFC!$B$19*1.02*1.3*1.1+KFC!$C$19)*KFC!$C$5</f>
        <v>61.698780000000006</v>
      </c>
      <c r="F140" s="270">
        <f>(46*KFC!$B$19*1.02*1.3*1.1+KFC!$C$19)*KFC!$C$5</f>
        <v>67.095600000000005</v>
      </c>
      <c r="G140" s="270">
        <f>(49.8*KFC!$B$19*1.02*1.3*1.1+KFC!$C$19)*KFC!$C$5</f>
        <v>72.638280000000009</v>
      </c>
      <c r="H140" s="270">
        <f>(53.4*KFC!$B$19*1.02*1.3*1.1+KFC!$C$19)*KFC!$C$5</f>
        <v>77.889240000000001</v>
      </c>
      <c r="I140" s="270">
        <f>(57.1*KFC!$B$19*1.02*1.3*1.1+KFC!$C$19)*KFC!$C$5</f>
        <v>83.286060000000006</v>
      </c>
      <c r="J140" s="270">
        <f>(60.9*KFC!$B$19*1.02*1.3*1.1+KFC!$C$19)*KFC!$C$5</f>
        <v>88.82874000000001</v>
      </c>
      <c r="K140" s="270">
        <f>(64.6*KFC!$B$19*1.02*1.3*1.1+KFC!$C$19)*KFC!$C$5</f>
        <v>94.225560000000002</v>
      </c>
      <c r="L140" s="270">
        <f>(68.4*KFC!$B$19*1.02*1.3*1.1+KFC!$C$19)*KFC!$C$5</f>
        <v>99.76824000000002</v>
      </c>
      <c r="M140" s="270">
        <f>(72*KFC!$B$19*1.02*1.3*1.1+KFC!$C$19)*KFC!$C$5</f>
        <v>105.0192</v>
      </c>
      <c r="N140" s="270">
        <f>(75.8*KFC!$B$19*1.02*1.3*1.1+KFC!$C$19)*KFC!$C$5</f>
        <v>110.56188000000002</v>
      </c>
      <c r="O140" s="270">
        <f>(79.5*KFC!$B$19*1.02*1.3*1.1+KFC!$C$19)*KFC!$C$5</f>
        <v>115.95870000000001</v>
      </c>
      <c r="P140" s="278">
        <f>(83.3*KFC!$B$19*1.02*1.3*1.1+KFC!$C$19)*KFC!$C$5</f>
        <v>121.50138000000001</v>
      </c>
    </row>
    <row r="141" spans="1:16" ht="12" customHeight="1">
      <c r="A141" s="1538"/>
      <c r="B141" s="272">
        <v>1.2</v>
      </c>
      <c r="C141" s="277">
        <f>(36*KFC!$B$19*1.02*1.3*1.1+KFC!$C$19)*KFC!$C$5</f>
        <v>52.509599999999999</v>
      </c>
      <c r="D141" s="270">
        <f>(40*KFC!$B$19*1.02*1.3*1.1+KFC!$C$19)*KFC!$C$5</f>
        <v>58.344000000000001</v>
      </c>
      <c r="E141" s="270">
        <f>(44*KFC!$B$19*1.02*1.3*1.1+KFC!$C$19)*KFC!$C$5</f>
        <v>64.178400000000011</v>
      </c>
      <c r="F141" s="270">
        <f>(48.2*KFC!$B$19*1.02*1.3*1.1+KFC!$C$19)*KFC!$C$5</f>
        <v>70.304520000000011</v>
      </c>
      <c r="G141" s="270">
        <f>(52.2*KFC!$B$19*1.02*1.3*1.1+KFC!$C$19)*KFC!$C$5</f>
        <v>76.138920000000013</v>
      </c>
      <c r="H141" s="270">
        <f>(56.4*KFC!$B$19*1.02*1.3*1.1+KFC!$C$19)*KFC!$C$5</f>
        <v>82.265040000000013</v>
      </c>
      <c r="I141" s="270">
        <f>(60.4*KFC!$B$19*1.02*1.3*1.1+KFC!$C$19)*KFC!$C$5</f>
        <v>88.099440000000016</v>
      </c>
      <c r="J141" s="270">
        <f>(64.5*KFC!$B$19*1.02*1.3*1.1+KFC!$C$19)*KFC!$C$5</f>
        <v>94.079700000000031</v>
      </c>
      <c r="K141" s="270">
        <f>(68.6*KFC!$B$19*1.02*1.3*1.1+KFC!$C$19)*KFC!$C$5</f>
        <v>100.05996</v>
      </c>
      <c r="L141" s="270">
        <f>(72.6*KFC!$B$19*1.02*1.3*1.1+KFC!$C$19)*KFC!$C$5</f>
        <v>105.89435999999999</v>
      </c>
      <c r="M141" s="270">
        <f>(76.8*KFC!$B$19*1.02*1.3*1.1+KFC!$C$19)*KFC!$C$5</f>
        <v>112.02048000000001</v>
      </c>
      <c r="N141" s="270">
        <f>(80.8*KFC!$B$19*1.02*1.3*1.1+KFC!$C$19)*KFC!$C$5</f>
        <v>117.85488000000001</v>
      </c>
      <c r="O141" s="270">
        <f>(84.9*KFC!$B$19*1.02*1.3*1.1+KFC!$C$19)*KFC!$C$5</f>
        <v>123.83514000000004</v>
      </c>
      <c r="P141" s="278">
        <f>(89*KFC!$B$19*1.02*1.3*1.1+KFC!$C$19)*KFC!$C$5</f>
        <v>129.81540000000001</v>
      </c>
    </row>
    <row r="142" spans="1:16" ht="12" customHeight="1">
      <c r="A142" s="1538"/>
      <c r="B142" s="272">
        <v>1.3</v>
      </c>
      <c r="C142" s="277">
        <f>(37.1*KFC!$B$19*1.02*1.3*1.1+KFC!$C$19)*KFC!$C$5</f>
        <v>54.114060000000009</v>
      </c>
      <c r="D142" s="270">
        <f>(41.5*KFC!$B$19*1.02*1.3*1.1+KFC!$C$19)*KFC!$C$5</f>
        <v>60.5319</v>
      </c>
      <c r="E142" s="270">
        <f>(45.9*KFC!$B$19*1.02*1.3*1.1+KFC!$C$19)*KFC!$C$5</f>
        <v>66.949740000000006</v>
      </c>
      <c r="F142" s="270">
        <f>(50.4*KFC!$B$19*1.02*1.3*1.1+KFC!$C$19)*KFC!$C$5</f>
        <v>73.513440000000003</v>
      </c>
      <c r="G142" s="270">
        <f>(54.8*KFC!$B$19*1.02*1.3*1.1+KFC!$C$19)*KFC!$C$5</f>
        <v>79.931280000000001</v>
      </c>
      <c r="H142" s="270">
        <f>(59.2*KFC!$B$19*1.02*1.3*1.1+KFC!$C$19)*KFC!$C$5</f>
        <v>86.349120000000028</v>
      </c>
      <c r="I142" s="270">
        <f>(63.6*KFC!$B$19*1.02*1.3*1.1+KFC!$C$19)*KFC!$C$5</f>
        <v>92.766960000000012</v>
      </c>
      <c r="J142" s="270">
        <f>(68.1*KFC!$B$19*1.02*1.3*1.1+KFC!$C$19)*KFC!$C$5</f>
        <v>99.330659999999995</v>
      </c>
      <c r="K142" s="270">
        <f>(72.5*KFC!$B$19*1.02*1.3*1.1+KFC!$C$19)*KFC!$C$5</f>
        <v>105.74850000000002</v>
      </c>
      <c r="L142" s="270">
        <f>(76.9*KFC!$B$19*1.02*1.3*1.1+KFC!$C$19)*KFC!$C$5</f>
        <v>112.16634000000002</v>
      </c>
      <c r="M142" s="270">
        <f>(81.5*KFC!$B$19*1.02*1.3*1.1+KFC!$C$19)*KFC!$C$5</f>
        <v>118.87590000000002</v>
      </c>
      <c r="N142" s="270">
        <f>(85.9*KFC!$B$19*1.02*1.3*1.1+KFC!$C$19)*KFC!$C$5</f>
        <v>125.29374000000003</v>
      </c>
      <c r="O142" s="270">
        <f>(90.3*KFC!$B$19*1.02*1.3*1.1+KFC!$C$19)*KFC!$C$5</f>
        <v>131.71158</v>
      </c>
      <c r="P142" s="278">
        <f>(94.8*KFC!$B$19*1.02*1.3*1.1+KFC!$C$19)*KFC!$C$5</f>
        <v>138.27528000000001</v>
      </c>
    </row>
    <row r="143" spans="1:16" ht="12" customHeight="1">
      <c r="A143" s="1538"/>
      <c r="B143" s="272">
        <v>1.4</v>
      </c>
      <c r="C143" s="277">
        <f>(38.2*KFC!$B$19*1.02*1.3*1.1+KFC!$C$19)*KFC!$C$5</f>
        <v>55.718520000000019</v>
      </c>
      <c r="D143" s="270">
        <f>(42.9*KFC!$B$19*1.02*1.3*1.1+KFC!$C$19)*KFC!$C$5</f>
        <v>62.573940000000007</v>
      </c>
      <c r="E143" s="270">
        <f>(47.7*KFC!$B$19*1.02*1.3*1.1+KFC!$C$19)*KFC!$C$5</f>
        <v>69.575220000000016</v>
      </c>
      <c r="F143" s="270">
        <f>(52.5*KFC!$B$19*1.02*1.3*1.1+KFC!$C$19)*KFC!$C$5</f>
        <v>76.57650000000001</v>
      </c>
      <c r="G143" s="270">
        <f>(57.4*KFC!$B$19*1.02*1.3*1.1+KFC!$C$19)*KFC!$C$5</f>
        <v>83.723640000000017</v>
      </c>
      <c r="H143" s="270">
        <f>(62.1*KFC!$B$19*1.02*1.3*1.1+KFC!$C$19)*KFC!$C$5</f>
        <v>90.579060000000027</v>
      </c>
      <c r="I143" s="270">
        <f>(66.9*KFC!$B$19*1.02*1.3*1.1+KFC!$C$19)*KFC!$C$5</f>
        <v>97.580340000000021</v>
      </c>
      <c r="J143" s="270">
        <f>(71.7*KFC!$B$19*1.02*1.3*1.1+KFC!$C$19)*KFC!$C$5</f>
        <v>104.58162000000002</v>
      </c>
      <c r="K143" s="270">
        <f>(76.4*KFC!$B$19*1.02*1.3*1.1+KFC!$C$19)*KFC!$C$5</f>
        <v>111.43704000000004</v>
      </c>
      <c r="L143" s="270">
        <f>(81.3*KFC!$B$19*1.02*1.3*1.1+KFC!$C$19)*KFC!$C$5</f>
        <v>118.58418000000002</v>
      </c>
      <c r="M143" s="270">
        <f>(86.1*KFC!$B$19*1.02*1.3*1.1+KFC!$C$19)*KFC!$C$5</f>
        <v>125.58546000000003</v>
      </c>
      <c r="N143" s="270">
        <f>(90.9*KFC!$B$19*1.02*1.3*1.1+KFC!$C$19)*KFC!$C$5</f>
        <v>132.58674000000002</v>
      </c>
      <c r="O143" s="270">
        <f>(95.6*KFC!$B$19*1.02*1.3*1.1+KFC!$C$19)*KFC!$C$5</f>
        <v>139.44216000000003</v>
      </c>
      <c r="P143" s="278">
        <f>(100.4*KFC!$B$19*1.02*1.3*1.1+KFC!$C$19)*KFC!$C$5</f>
        <v>146.44344000000001</v>
      </c>
    </row>
    <row r="144" spans="1:16" ht="12" customHeight="1">
      <c r="A144" s="1538"/>
      <c r="B144" s="272">
        <v>1.5</v>
      </c>
      <c r="C144" s="277">
        <f>(39.3*KFC!$B$19*1.02*1.3*1.1+KFC!$C$19)*KFC!$C$5</f>
        <v>57.322980000000008</v>
      </c>
      <c r="D144" s="270">
        <f>(44.4*KFC!$B$19*1.02*1.3*1.1+KFC!$C$19)*KFC!$C$5</f>
        <v>64.761839999999992</v>
      </c>
      <c r="E144" s="270">
        <f>(49.5*KFC!$B$19*1.02*1.3*1.1+KFC!$C$19)*KFC!$C$5</f>
        <v>72.200700000000012</v>
      </c>
      <c r="F144" s="270">
        <f>(54.7*KFC!$B$19*1.02*1.3*1.1+KFC!$C$19)*KFC!$C$5</f>
        <v>79.785420000000016</v>
      </c>
      <c r="G144" s="270">
        <f>(59.8*KFC!$B$19*1.02*1.3*1.1+KFC!$C$19)*KFC!$C$5</f>
        <v>87.224280000000007</v>
      </c>
      <c r="H144" s="270">
        <f>(64.9*KFC!$B$19*1.02*1.3*1.1+KFC!$C$19)*KFC!$C$5</f>
        <v>94.663140000000027</v>
      </c>
      <c r="I144" s="270">
        <f>(70.1*KFC!$B$19*1.02*1.3*1.1+KFC!$C$19)*KFC!$C$5</f>
        <v>102.24786000000002</v>
      </c>
      <c r="J144" s="270">
        <f>(75.3*KFC!$B$19*1.02*1.3*1.1+KFC!$C$19)*KFC!$C$5</f>
        <v>109.83258000000002</v>
      </c>
      <c r="K144" s="270">
        <f>(80.5*KFC!$B$19*1.02*1.3*1.1+KFC!$C$19)*KFC!$C$5</f>
        <v>117.41730000000003</v>
      </c>
      <c r="L144" s="270">
        <f>(85.6*KFC!$B$19*1.02*1.3*1.1+KFC!$C$19)*KFC!$C$5</f>
        <v>124.85616000000002</v>
      </c>
      <c r="M144" s="270">
        <f>(90.7*KFC!$B$19*1.02*1.3*1.1+KFC!$C$19)*KFC!$C$5</f>
        <v>132.29502000000002</v>
      </c>
      <c r="N144" s="270">
        <f>(95.9*KFC!$B$19*1.02*1.3*1.1+KFC!$C$19)*KFC!$C$5</f>
        <v>139.87974000000003</v>
      </c>
      <c r="O144" s="270">
        <f>(101*KFC!$B$19*1.02*1.3*1.1+KFC!$C$19)*KFC!$C$5</f>
        <v>147.3186</v>
      </c>
      <c r="P144" s="278">
        <f>(106.2*KFC!$B$19*1.02*1.3*1.1+KFC!$C$19)*KFC!$C$5</f>
        <v>154.90332000000001</v>
      </c>
    </row>
    <row r="145" spans="1:16" ht="12" customHeight="1">
      <c r="A145" s="1538"/>
      <c r="B145" s="272">
        <v>1.6</v>
      </c>
      <c r="C145" s="277">
        <f>(40.4*KFC!$B$19*1.02*1.3*1.1+KFC!$C$19)*KFC!$C$5</f>
        <v>58.927440000000004</v>
      </c>
      <c r="D145" s="270">
        <f>(45.9*KFC!$B$19*1.02*1.3*1.1+KFC!$C$19)*KFC!$C$5</f>
        <v>66.949740000000006</v>
      </c>
      <c r="E145" s="270">
        <f>(51.4*KFC!$B$19*1.02*1.3*1.1+KFC!$C$19)*KFC!$C$5</f>
        <v>74.972040000000007</v>
      </c>
      <c r="F145" s="270">
        <f>(56.9*KFC!$B$19*1.02*1.3*1.1+KFC!$C$19)*KFC!$C$5</f>
        <v>82.994340000000008</v>
      </c>
      <c r="G145" s="270">
        <f>(62.4*KFC!$B$19*1.02*1.3*1.1+KFC!$C$19)*KFC!$C$5</f>
        <v>91.01664000000001</v>
      </c>
      <c r="H145" s="270">
        <f>(67.9*KFC!$B$19*1.02*1.3*1.1+KFC!$C$19)*KFC!$C$5</f>
        <v>99.038940000000025</v>
      </c>
      <c r="I145" s="270">
        <f>(73.4*KFC!$B$19*1.02*1.3*1.1+KFC!$C$19)*KFC!$C$5</f>
        <v>107.06124000000003</v>
      </c>
      <c r="J145" s="270">
        <f>(78.9*KFC!$B$19*1.02*1.3*1.1+KFC!$C$19)*KFC!$C$5</f>
        <v>115.08354000000001</v>
      </c>
      <c r="K145" s="270">
        <f>(84.4*KFC!$B$19*1.02*1.3*1.1+KFC!$C$19)*KFC!$C$5</f>
        <v>123.10584000000003</v>
      </c>
      <c r="L145" s="270">
        <f>(89.9*KFC!$B$19*1.02*1.3*1.1+KFC!$C$19)*KFC!$C$5</f>
        <v>131.12814000000003</v>
      </c>
      <c r="M145" s="270">
        <f>(95.4*KFC!$B$19*1.02*1.3*1.1+KFC!$C$19)*KFC!$C$5</f>
        <v>139.15044000000003</v>
      </c>
      <c r="N145" s="270">
        <f>(100.9*KFC!$B$19*1.02*1.3*1.1+KFC!$C$19)*KFC!$C$5</f>
        <v>147.17274000000003</v>
      </c>
      <c r="O145" s="270">
        <f>(106.4*KFC!$B$19*1.02*1.3*1.1+KFC!$C$19)*KFC!$C$5</f>
        <v>155.19504000000003</v>
      </c>
      <c r="P145" s="278">
        <f>(111.9*KFC!$B$19*1.02*1.3*1.1+KFC!$C$19)*KFC!$C$5</f>
        <v>163.21734000000001</v>
      </c>
    </row>
    <row r="146" spans="1:16" ht="12" customHeight="1">
      <c r="A146" s="1538"/>
      <c r="B146" s="272">
        <v>1.7</v>
      </c>
      <c r="C146" s="277">
        <f>(41.5*KFC!$B$19*1.02*1.3*1.1+KFC!$C$19)*KFC!$C$5</f>
        <v>60.5319</v>
      </c>
      <c r="D146" s="270">
        <f>(47.3*KFC!$B$19*1.02*1.3*1.1+KFC!$C$19)*KFC!$C$5</f>
        <v>68.991780000000006</v>
      </c>
      <c r="E146" s="270">
        <f>(53.2*KFC!$B$19*1.02*1.3*1.1+KFC!$C$19)*KFC!$C$5</f>
        <v>77.597520000000017</v>
      </c>
      <c r="F146" s="270">
        <f>(59.1*KFC!$B$19*1.02*1.3*1.1+KFC!$C$19)*KFC!$C$5</f>
        <v>86.203260000000014</v>
      </c>
      <c r="G146" s="270">
        <f>(64.9*KFC!$B$19*1.02*1.3*1.1+KFC!$C$19)*KFC!$C$5</f>
        <v>94.663140000000027</v>
      </c>
      <c r="H146" s="270">
        <f>(70.8*KFC!$B$19*1.02*1.3*1.1+KFC!$C$19)*KFC!$C$5</f>
        <v>103.26888</v>
      </c>
      <c r="I146" s="270">
        <f>(76.7*KFC!$B$19*1.02*1.3*1.1+KFC!$C$19)*KFC!$C$5</f>
        <v>111.87462000000002</v>
      </c>
      <c r="J146" s="270">
        <f>(82.4*KFC!$B$19*1.02*1.3*1.1+KFC!$C$19)*KFC!$C$5</f>
        <v>120.18864000000001</v>
      </c>
      <c r="K146" s="270">
        <f>(88.3*KFC!$B$19*1.02*1.3*1.1+KFC!$C$19)*KFC!$C$5</f>
        <v>128.79438000000002</v>
      </c>
      <c r="L146" s="270">
        <f>(94.2*KFC!$B$19*1.02*1.3*1.1+KFC!$C$19)*KFC!$C$5</f>
        <v>137.40012000000002</v>
      </c>
      <c r="M146" s="270">
        <f>(100*KFC!$B$19*1.02*1.3*1.1+KFC!$C$19)*KFC!$C$5</f>
        <v>145.86000000000001</v>
      </c>
      <c r="N146" s="270">
        <f>(105.9*KFC!$B$19*1.02*1.3*1.1+KFC!$C$19)*KFC!$C$5</f>
        <v>154.46574000000004</v>
      </c>
      <c r="O146" s="270">
        <f>(111.8*KFC!$B$19*1.02*1.3*1.1+KFC!$C$19)*KFC!$C$5</f>
        <v>163.07148000000001</v>
      </c>
      <c r="P146" s="278">
        <f>(117.7*KFC!$B$19*1.02*1.3*1.1+KFC!$C$19)*KFC!$C$5</f>
        <v>171.67722000000001</v>
      </c>
    </row>
    <row r="147" spans="1:16" ht="12" customHeight="1">
      <c r="A147" s="1538"/>
      <c r="B147" s="272">
        <v>1.8</v>
      </c>
      <c r="C147" s="277">
        <f>(42.6*KFC!$B$19*1.02*1.3*1.1+KFC!$C$19)*KFC!$C$5</f>
        <v>62.13636000000001</v>
      </c>
      <c r="D147" s="270">
        <f>(48.8*KFC!$B$19*1.02*1.3*1.1+KFC!$C$19)*KFC!$C$5</f>
        <v>71.179680000000005</v>
      </c>
      <c r="E147" s="270">
        <f>(55*KFC!$B$19*1.02*1.3*1.1+KFC!$C$19)*KFC!$C$5</f>
        <v>80.223000000000013</v>
      </c>
      <c r="F147" s="270">
        <f>(61.3*KFC!$B$19*1.02*1.3*1.1+KFC!$C$19)*KFC!$C$5</f>
        <v>89.412180000000006</v>
      </c>
      <c r="G147" s="270">
        <f>(67.4*KFC!$B$19*1.02*1.3*1.1+KFC!$C$19)*KFC!$C$5</f>
        <v>98.309640000000016</v>
      </c>
      <c r="H147" s="270">
        <f>(73.6*KFC!$B$19*1.02*1.3*1.1+KFC!$C$19)*KFC!$C$5</f>
        <v>107.35296000000001</v>
      </c>
      <c r="I147" s="270">
        <f>(79.9*KFC!$B$19*1.02*1.3*1.1+KFC!$C$19)*KFC!$C$5</f>
        <v>116.54214000000003</v>
      </c>
      <c r="J147" s="270">
        <f>(86.1*KFC!$B$19*1.02*1.3*1.1+KFC!$C$19)*KFC!$C$5</f>
        <v>125.58546000000003</v>
      </c>
      <c r="K147" s="270">
        <f>(92.3*KFC!$B$19*1.02*1.3*1.1+KFC!$C$19)*KFC!$C$5</f>
        <v>134.62878000000001</v>
      </c>
      <c r="L147" s="270">
        <f>(98.5*KFC!$B$19*1.02*1.3*1.1+KFC!$C$19)*KFC!$C$5</f>
        <v>143.6721</v>
      </c>
      <c r="M147" s="270">
        <f>(104.7*KFC!$B$19*1.02*1.3*1.1+KFC!$C$19)*KFC!$C$5</f>
        <v>152.71542000000005</v>
      </c>
      <c r="N147" s="270">
        <f>(110.9*KFC!$B$19*1.02*1.3*1.1+KFC!$C$19)*KFC!$C$5</f>
        <v>161.75874000000002</v>
      </c>
      <c r="O147" s="270">
        <f>(117.2*KFC!$B$19*1.02*1.3*1.1+KFC!$C$19)*KFC!$C$5</f>
        <v>170.94792000000004</v>
      </c>
      <c r="P147" s="278">
        <f>(123.4*KFC!$B$19*1.02*1.3*1.1+KFC!$C$19)*KFC!$C$5</f>
        <v>179.99124000000003</v>
      </c>
    </row>
    <row r="148" spans="1:16" ht="12" customHeight="1">
      <c r="A148" s="1538"/>
      <c r="B148" s="272">
        <v>1.9</v>
      </c>
      <c r="C148" s="277">
        <f>(44.8*KFC!$B$19*1.02*1.3*1.1+KFC!$C$19)*KFC!$C$5</f>
        <v>65.345280000000002</v>
      </c>
      <c r="D148" s="270">
        <f>(51.7*KFC!$B$19*1.02*1.3*1.1+KFC!$C$19)*KFC!$C$5</f>
        <v>75.409620000000018</v>
      </c>
      <c r="E148" s="270">
        <f>(58.7*KFC!$B$19*1.02*1.3*1.1+KFC!$C$19)*KFC!$C$5</f>
        <v>85.619820000000018</v>
      </c>
      <c r="F148" s="270">
        <f>(65.6*KFC!$B$19*1.02*1.3*1.1+KFC!$C$19)*KFC!$C$5</f>
        <v>95.684159999999991</v>
      </c>
      <c r="G148" s="270">
        <f>(72.5*KFC!$B$19*1.02*1.3*1.1+KFC!$C$19)*KFC!$C$5</f>
        <v>105.74850000000002</v>
      </c>
      <c r="H148" s="270">
        <f>(79.4*KFC!$B$19*1.02*1.3*1.1+KFC!$C$19)*KFC!$C$5</f>
        <v>115.81284000000004</v>
      </c>
      <c r="I148" s="270">
        <f>(86.3*KFC!$B$19*1.02*1.3*1.1+KFC!$C$19)*KFC!$C$5</f>
        <v>125.87718000000001</v>
      </c>
      <c r="J148" s="270">
        <f>(93.3*KFC!$B$19*1.02*1.3*1.1+KFC!$C$19)*KFC!$C$5</f>
        <v>136.08738000000002</v>
      </c>
      <c r="K148" s="270">
        <f>(100.2*KFC!$B$19*1.02*1.3*1.1+KFC!$C$19)*KFC!$C$5</f>
        <v>146.15172000000004</v>
      </c>
      <c r="L148" s="270">
        <f>(107.1*KFC!$B$19*1.02*1.3*1.1+KFC!$C$19)*KFC!$C$5</f>
        <v>156.21606000000003</v>
      </c>
      <c r="M148" s="270">
        <f>(114*KFC!$B$19*1.02*1.3*1.1+KFC!$C$19)*KFC!$C$5</f>
        <v>166.28040000000004</v>
      </c>
      <c r="N148" s="270">
        <f>(121*KFC!$B$19*1.02*1.3*1.1+KFC!$C$19)*KFC!$C$5</f>
        <v>176.4906</v>
      </c>
      <c r="O148" s="270">
        <f>(127.9*KFC!$B$19*1.02*1.3*1.1+KFC!$C$19)*KFC!$C$5</f>
        <v>186.55494000000002</v>
      </c>
      <c r="P148" s="278">
        <f>(134.8*KFC!$B$19*1.02*1.3*1.1+KFC!$C$19)*KFC!$C$5</f>
        <v>196.61928000000003</v>
      </c>
    </row>
    <row r="149" spans="1:16" ht="12" customHeight="1">
      <c r="A149" s="1538"/>
      <c r="B149" s="272">
        <v>2</v>
      </c>
      <c r="C149" s="277">
        <f>(45.9*KFC!$B$19*1.02*1.3*1.1+KFC!$C$19)*KFC!$C$5</f>
        <v>66.949740000000006</v>
      </c>
      <c r="D149" s="270">
        <f>(53.2*KFC!$B$19*1.02*1.3*1.1+KFC!$C$19)*KFC!$C$5</f>
        <v>77.597520000000017</v>
      </c>
      <c r="E149" s="270">
        <f>(60.4*KFC!$B$19*1.02*1.3*1.1+KFC!$C$19)*KFC!$C$5</f>
        <v>88.099440000000016</v>
      </c>
      <c r="F149" s="270">
        <f>(67.8*KFC!$B$19*1.02*1.3*1.1+KFC!$C$19)*KFC!$C$5</f>
        <v>98.893080000000012</v>
      </c>
      <c r="G149" s="270">
        <f>(75*KFC!$B$19*1.02*1.3*1.1+KFC!$C$19)*KFC!$C$5</f>
        <v>109.39500000000001</v>
      </c>
      <c r="H149" s="270">
        <f>(82.3*KFC!$B$19*1.02*1.3*1.1+KFC!$C$19)*KFC!$C$5</f>
        <v>120.04278000000001</v>
      </c>
      <c r="I149" s="270">
        <f>(89.6*KFC!$B$19*1.02*1.3*1.1+KFC!$C$19)*KFC!$C$5</f>
        <v>130.69056</v>
      </c>
      <c r="J149" s="270">
        <f>(96.9*KFC!$B$19*1.02*1.3*1.1+KFC!$C$19)*KFC!$C$5</f>
        <v>141.33834000000004</v>
      </c>
      <c r="K149" s="270">
        <f>(104.2*KFC!$B$19*1.02*1.3*1.1+KFC!$C$19)*KFC!$C$5</f>
        <v>151.98612000000003</v>
      </c>
      <c r="L149" s="270">
        <f>(111.4*KFC!$B$19*1.02*1.3*1.1+KFC!$C$19)*KFC!$C$5</f>
        <v>162.48804000000004</v>
      </c>
      <c r="M149" s="270">
        <f>(118.8*KFC!$B$19*1.02*1.3*1.1+KFC!$C$19)*KFC!$C$5</f>
        <v>173.28168000000002</v>
      </c>
      <c r="N149" s="270">
        <f>(126*KFC!$B$19*1.02*1.3*1.1+KFC!$C$19)*KFC!$C$5</f>
        <v>183.78360000000004</v>
      </c>
      <c r="O149" s="270">
        <f>(133.3*KFC!$B$19*1.02*1.3*1.1+KFC!$C$19)*KFC!$C$5</f>
        <v>194.43138000000005</v>
      </c>
      <c r="P149" s="278">
        <f>(140.5*KFC!$B$19*1.02*1.3*1.1+KFC!$C$19)*KFC!$C$5</f>
        <v>204.9333</v>
      </c>
    </row>
    <row r="150" spans="1:16" ht="12" customHeight="1">
      <c r="A150" s="1538"/>
      <c r="B150" s="272">
        <v>2.1</v>
      </c>
      <c r="C150" s="277">
        <f>(47.1*KFC!$B$19*1.02*1.3*1.1+KFC!$C$19)*KFC!$C$5</f>
        <v>68.700060000000008</v>
      </c>
      <c r="D150" s="270">
        <f>(54.7*KFC!$B$19*1.02*1.3*1.1+KFC!$C$19)*KFC!$C$5</f>
        <v>79.785420000000016</v>
      </c>
      <c r="E150" s="270">
        <f>(62.3*KFC!$B$19*1.02*1.3*1.1+KFC!$C$19)*KFC!$C$5</f>
        <v>90.870780000000011</v>
      </c>
      <c r="F150" s="270">
        <f>(70*KFC!$B$19*1.02*1.3*1.1+KFC!$C$19)*KFC!$C$5</f>
        <v>102.10200000000002</v>
      </c>
      <c r="G150" s="270">
        <f>(77.5*KFC!$B$19*1.02*1.3*1.1+KFC!$C$19)*KFC!$C$5</f>
        <v>113.04150000000001</v>
      </c>
      <c r="H150" s="270">
        <f>(85.2*KFC!$B$19*1.02*1.3*1.1+KFC!$C$19)*KFC!$C$5</f>
        <v>124.27272000000002</v>
      </c>
      <c r="I150" s="270">
        <f>(92.8*KFC!$B$19*1.02*1.3*1.1+KFC!$C$19)*KFC!$C$5</f>
        <v>135.35808</v>
      </c>
      <c r="J150" s="270">
        <f>(100.4*KFC!$B$19*1.02*1.3*1.1+KFC!$C$19)*KFC!$C$5</f>
        <v>146.44344000000001</v>
      </c>
      <c r="K150" s="270">
        <f>(108.1*KFC!$B$19*1.02*1.3*1.1+KFC!$C$19)*KFC!$C$5</f>
        <v>157.67466000000002</v>
      </c>
      <c r="L150" s="270">
        <f>(115.7*KFC!$B$19*1.02*1.3*1.1+KFC!$C$19)*KFC!$C$5</f>
        <v>168.76002000000003</v>
      </c>
      <c r="M150" s="270">
        <f>(123.4*KFC!$B$19*1.02*1.3*1.1+KFC!$C$19)*KFC!$C$5</f>
        <v>179.99124000000003</v>
      </c>
      <c r="N150" s="270">
        <f>(131*KFC!$B$19*1.02*1.3*1.1+KFC!$C$19)*KFC!$C$5</f>
        <v>191.07660000000004</v>
      </c>
      <c r="O150" s="270">
        <f>(138.6*KFC!$B$19*1.02*1.3*1.1+KFC!$C$19)*KFC!$C$5</f>
        <v>202.16195999999999</v>
      </c>
      <c r="P150" s="278">
        <f>(146.3*KFC!$B$19*1.02*1.3*1.1+KFC!$C$19)*KFC!$C$5</f>
        <v>213.39318000000009</v>
      </c>
    </row>
    <row r="151" spans="1:16" ht="12" customHeight="1">
      <c r="A151" s="1538"/>
      <c r="B151" s="272">
        <v>2.2000000000000002</v>
      </c>
      <c r="C151" s="277">
        <f>(48.2*KFC!$B$19*1.02*1.3*1.1+KFC!$C$19)*KFC!$C$5</f>
        <v>70.304520000000011</v>
      </c>
      <c r="D151" s="270">
        <f>(56.1*KFC!$B$19*1.02*1.3*1.1+KFC!$C$19)*KFC!$C$5</f>
        <v>81.827460000000016</v>
      </c>
      <c r="E151" s="270">
        <f>(64.1*KFC!$B$19*1.02*1.3*1.1+KFC!$C$19)*KFC!$C$5</f>
        <v>93.496259999999992</v>
      </c>
      <c r="F151" s="270">
        <f>(72.2*KFC!$B$19*1.02*1.3*1.1+KFC!$C$19)*KFC!$C$5</f>
        <v>105.31092000000002</v>
      </c>
      <c r="G151" s="270">
        <f>(80.1*KFC!$B$19*1.02*1.3*1.1+KFC!$C$19)*KFC!$C$5</f>
        <v>116.83386</v>
      </c>
      <c r="H151" s="270">
        <f>(88.1*KFC!$B$19*1.02*1.3*1.1+KFC!$C$19)*KFC!$C$5</f>
        <v>128.50266000000002</v>
      </c>
      <c r="I151" s="270">
        <f>(96.1*KFC!$B$19*1.02*1.3*1.1+KFC!$C$19)*KFC!$C$5</f>
        <v>140.17146</v>
      </c>
      <c r="J151" s="270">
        <f>(104.1*KFC!$B$19*1.02*1.3*1.1+KFC!$C$19)*KFC!$C$5</f>
        <v>151.84026000000003</v>
      </c>
      <c r="K151" s="270">
        <f>(112*KFC!$B$19*1.02*1.3*1.1+KFC!$C$19)*KFC!$C$5</f>
        <v>163.36320000000003</v>
      </c>
      <c r="L151" s="270">
        <f>(120*KFC!$B$19*1.02*1.3*1.1+KFC!$C$19)*KFC!$C$5</f>
        <v>175.03200000000001</v>
      </c>
      <c r="M151" s="270">
        <f>(128*KFC!$B$19*1.02*1.3*1.1+KFC!$C$19)*KFC!$C$5</f>
        <v>186.70080000000002</v>
      </c>
      <c r="N151" s="270">
        <f>(136*KFC!$B$19*1.02*1.3*1.1+KFC!$C$19)*KFC!$C$5</f>
        <v>198.36960000000002</v>
      </c>
      <c r="O151" s="270">
        <f>(143.9*KFC!$B$19*1.02*1.3*1.1+KFC!$C$19)*KFC!$C$5</f>
        <v>209.89254000000003</v>
      </c>
      <c r="P151" s="278">
        <f>(152*KFC!$B$19*1.02*1.3*1.1+KFC!$C$19)*KFC!$C$5</f>
        <v>221.7072</v>
      </c>
    </row>
    <row r="152" spans="1:16" ht="12" customHeight="1">
      <c r="A152" s="1538"/>
      <c r="B152" s="272">
        <v>2.2999999999999998</v>
      </c>
      <c r="C152" s="277">
        <f>(49.3*KFC!$B$19*1.02*1.3*1.1+KFC!$C$19)*KFC!$C$5</f>
        <v>71.908980000000014</v>
      </c>
      <c r="D152" s="270">
        <f>(57.6*KFC!$B$19*1.02*1.3*1.1+KFC!$C$19)*KFC!$C$5</f>
        <v>84.015360000000001</v>
      </c>
      <c r="E152" s="270">
        <f>(65.9*KFC!$B$19*1.02*1.3*1.1+KFC!$C$19)*KFC!$C$5</f>
        <v>96.121740000000017</v>
      </c>
      <c r="F152" s="270">
        <f>(74.2*KFC!$B$19*1.02*1.3*1.1+KFC!$C$19)*KFC!$C$5</f>
        <v>108.22812000000002</v>
      </c>
      <c r="G152" s="270">
        <f>(82.7*KFC!$B$19*1.02*1.3*1.1+KFC!$C$19)*KFC!$C$5</f>
        <v>120.62622000000002</v>
      </c>
      <c r="H152" s="270">
        <f>(91*KFC!$B$19*1.02*1.3*1.1+KFC!$C$19)*KFC!$C$5</f>
        <v>132.73260000000002</v>
      </c>
      <c r="I152" s="270">
        <f>(99.3*KFC!$B$19*1.02*1.3*1.1+KFC!$C$19)*KFC!$C$5</f>
        <v>144.83898000000002</v>
      </c>
      <c r="J152" s="270">
        <f>(107.6*KFC!$B$19*1.02*1.3*1.1+KFC!$C$19)*KFC!$C$5</f>
        <v>156.94536000000002</v>
      </c>
      <c r="K152" s="270">
        <f>(115.9*KFC!$B$19*1.02*1.3*1.1+KFC!$C$19)*KFC!$C$5</f>
        <v>169.05174000000002</v>
      </c>
      <c r="L152" s="270">
        <f>(124.4*KFC!$B$19*1.02*1.3*1.1+KFC!$C$19)*KFC!$C$5</f>
        <v>181.44984000000005</v>
      </c>
      <c r="M152" s="270">
        <f>(132.7*KFC!$B$19*1.02*1.3*1.1+KFC!$C$19)*KFC!$C$5</f>
        <v>193.55622</v>
      </c>
      <c r="N152" s="270">
        <f>(141*KFC!$B$19*1.02*1.3*1.1+KFC!$C$19)*KFC!$C$5</f>
        <v>205.66260000000003</v>
      </c>
      <c r="O152" s="270">
        <f>(149.3*KFC!$B$19*1.02*1.3*1.1+KFC!$C$19)*KFC!$C$5</f>
        <v>217.76898000000003</v>
      </c>
      <c r="P152" s="278">
        <f>(157.8*KFC!$B$19*1.02*1.3*1.1+KFC!$C$19)*KFC!$C$5</f>
        <v>230.16708000000003</v>
      </c>
    </row>
    <row r="153" spans="1:16" ht="12" customHeight="1">
      <c r="A153" s="1538"/>
      <c r="B153" s="272">
        <v>2.4</v>
      </c>
      <c r="C153" s="277">
        <f>(50.4*KFC!$B$19*1.02*1.3*1.1+KFC!$C$19)*KFC!$C$5</f>
        <v>73.513440000000003</v>
      </c>
      <c r="D153" s="270">
        <f>(59.1*KFC!$B$19*1.02*1.3*1.1+KFC!$C$19)*KFC!$C$5</f>
        <v>86.203260000000014</v>
      </c>
      <c r="E153" s="270">
        <f>(67.8*KFC!$B$19*1.02*1.3*1.1+KFC!$C$19)*KFC!$C$5</f>
        <v>98.893080000000012</v>
      </c>
      <c r="F153" s="270">
        <f>(76.4*KFC!$B$19*1.02*1.3*1.1+KFC!$C$19)*KFC!$C$5</f>
        <v>111.43704000000004</v>
      </c>
      <c r="G153" s="270">
        <f>(85.1*KFC!$B$19*1.02*1.3*1.1+KFC!$C$19)*KFC!$C$5</f>
        <v>124.12685999999999</v>
      </c>
      <c r="H153" s="270">
        <f>(93.8*KFC!$B$19*1.02*1.3*1.1+KFC!$C$19)*KFC!$C$5</f>
        <v>136.81668000000002</v>
      </c>
      <c r="I153" s="270">
        <f>(102.6*KFC!$B$19*1.02*1.3*1.1+KFC!$C$19)*KFC!$C$5</f>
        <v>149.65236000000004</v>
      </c>
      <c r="J153" s="270">
        <f>(111.3*KFC!$B$19*1.02*1.3*1.1+KFC!$C$19)*KFC!$C$5</f>
        <v>162.34218000000001</v>
      </c>
      <c r="K153" s="270">
        <f>(120*KFC!$B$19*1.02*1.3*1.1+KFC!$C$19)*KFC!$C$5</f>
        <v>175.03200000000001</v>
      </c>
      <c r="L153" s="270">
        <f>(128.7*KFC!$B$19*1.02*1.3*1.1+KFC!$C$19)*KFC!$C$5</f>
        <v>187.72182000000004</v>
      </c>
      <c r="M153" s="270">
        <f>(137.3*KFC!$B$19*1.02*1.3*1.1+KFC!$C$19)*KFC!$C$5</f>
        <v>200.26578000000003</v>
      </c>
      <c r="N153" s="270">
        <f>(146*KFC!$B$19*1.02*1.3*1.1+KFC!$C$19)*KFC!$C$5</f>
        <v>212.95560000000006</v>
      </c>
      <c r="O153" s="270">
        <f>(154.7*KFC!$B$19*1.02*1.3*1.1+KFC!$C$19)*KFC!$C$5</f>
        <v>225.64542</v>
      </c>
      <c r="P153" s="278">
        <f>(163.4*KFC!$B$19*1.02*1.3*1.1+KFC!$C$19)*KFC!$C$5</f>
        <v>238.33524000000003</v>
      </c>
    </row>
    <row r="154" spans="1:16" ht="12" customHeight="1">
      <c r="A154" s="1538"/>
      <c r="B154" s="272">
        <v>2.5</v>
      </c>
      <c r="C154" s="277">
        <f>(51.5*KFC!$B$19*1.02*1.3*1.1+KFC!$C$19)*KFC!$C$5</f>
        <v>75.117900000000006</v>
      </c>
      <c r="D154" s="270">
        <f>(60.5*KFC!$B$19*1.02*1.3*1.1+KFC!$C$19)*KFC!$C$5</f>
        <v>88.2453</v>
      </c>
      <c r="E154" s="270">
        <f>(69.6*KFC!$B$19*1.02*1.3*1.1+KFC!$C$19)*KFC!$C$5</f>
        <v>101.51855999999999</v>
      </c>
      <c r="F154" s="270">
        <f>(78.6*KFC!$B$19*1.02*1.3*1.1+KFC!$C$19)*KFC!$C$5</f>
        <v>114.64596000000002</v>
      </c>
      <c r="G154" s="270">
        <f>(87.7*KFC!$B$19*1.02*1.3*1.1+KFC!$C$19)*KFC!$C$5</f>
        <v>127.91922000000002</v>
      </c>
      <c r="H154" s="270">
        <f>(96.7*KFC!$B$19*1.02*1.3*1.1+KFC!$C$19)*KFC!$C$5</f>
        <v>141.04662000000002</v>
      </c>
      <c r="I154" s="270">
        <f>(105.8*KFC!$B$19*1.02*1.3*1.1+KFC!$C$19)*KFC!$C$5</f>
        <v>154.31988000000001</v>
      </c>
      <c r="J154" s="270">
        <f>(114.8*KFC!$B$19*1.02*1.3*1.1+KFC!$C$19)*KFC!$C$5</f>
        <v>167.44728000000003</v>
      </c>
      <c r="K154" s="270">
        <f>(123.9*KFC!$B$19*1.02*1.3*1.1+KFC!$C$19)*KFC!$C$5</f>
        <v>180.72054000000003</v>
      </c>
      <c r="L154" s="270">
        <f>(132.9*KFC!$B$19*1.02*1.3*1.1+KFC!$C$19)*KFC!$C$5</f>
        <v>193.84794000000005</v>
      </c>
      <c r="M154" s="270">
        <f>(142*KFC!$B$19*1.02*1.3*1.1+KFC!$C$19)*KFC!$C$5</f>
        <v>207.12120000000002</v>
      </c>
      <c r="N154" s="270">
        <f>(151*KFC!$B$19*1.02*1.3*1.1+KFC!$C$19)*KFC!$C$5</f>
        <v>220.24860000000004</v>
      </c>
      <c r="O154" s="270">
        <f>(160.1*KFC!$B$19*1.02*1.3*1.1+KFC!$C$19)*KFC!$C$5</f>
        <v>233.52186</v>
      </c>
      <c r="P154" s="278">
        <f>(169.1*KFC!$B$19*1.02*1.3*1.1+KFC!$C$19)*KFC!$C$5</f>
        <v>246.64926000000006</v>
      </c>
    </row>
    <row r="155" spans="1:16" ht="12" customHeight="1" thickBot="1">
      <c r="A155" s="1539"/>
      <c r="B155" s="273">
        <v>2.5499999999999998</v>
      </c>
      <c r="C155" s="279">
        <f>(52.6*KFC!$B$19*1.02*1.3*1.1+KFC!$C$19)*KFC!$C$5</f>
        <v>76.722360000000009</v>
      </c>
      <c r="D155" s="280">
        <f>(62*KFC!$B$19*1.02*1.3*1.1+KFC!$C$19)*KFC!$C$5</f>
        <v>90.433200000000014</v>
      </c>
      <c r="E155" s="280">
        <f>(71.4*KFC!$B$19*1.02*1.3*1.1+KFC!$C$19)*KFC!$C$5</f>
        <v>104.14404</v>
      </c>
      <c r="F155" s="280">
        <f>(80.8*KFC!$B$19*1.02*1.3*1.1+KFC!$C$19)*KFC!$C$5</f>
        <v>117.85488000000001</v>
      </c>
      <c r="G155" s="280">
        <f>(90.3*KFC!$B$19*1.02*1.3*1.1+KFC!$C$19)*KFC!$C$5</f>
        <v>131.71158</v>
      </c>
      <c r="H155" s="280">
        <f>(99.7*KFC!$B$19*1.02*1.3*1.1+KFC!$C$19)*KFC!$C$5</f>
        <v>145.42242000000002</v>
      </c>
      <c r="I155" s="280">
        <f>(109.1*KFC!$B$19*1.02*1.3*1.1+KFC!$C$19)*KFC!$C$5</f>
        <v>159.13326000000001</v>
      </c>
      <c r="J155" s="280">
        <f>(118.4*KFC!$B$19*1.02*1.3*1.1+KFC!$C$19)*KFC!$C$5</f>
        <v>172.69824000000006</v>
      </c>
      <c r="K155" s="280">
        <f>(127.8*KFC!$B$19*1.02*1.3*1.1+KFC!$C$19)*KFC!$C$5</f>
        <v>186.40907999999999</v>
      </c>
      <c r="L155" s="280">
        <f>(137.2*KFC!$B$19*1.02*1.3*1.1+KFC!$C$19)*KFC!$C$5</f>
        <v>200.11992000000001</v>
      </c>
      <c r="M155" s="280">
        <f>(146.6*KFC!$B$19*1.02*1.3*1.1+KFC!$C$19)*KFC!$C$5</f>
        <v>213.83076000000003</v>
      </c>
      <c r="N155" s="280">
        <f>(156.1*KFC!$B$19*1.02*1.3*1.1+KFC!$C$19)*KFC!$C$5</f>
        <v>227.68746000000004</v>
      </c>
      <c r="O155" s="280">
        <f>(165.5*KFC!$B$19*1.02*1.3*1.1+KFC!$C$19)*KFC!$C$5</f>
        <v>241.39830000000003</v>
      </c>
      <c r="P155" s="281">
        <f>(174.9*KFC!$B$19*1.02*1.3*1.1+KFC!$C$19)*KFC!$C$5</f>
        <v>255.10914000000002</v>
      </c>
    </row>
    <row r="156" spans="1:16" ht="16.95" customHeight="1">
      <c r="A156" s="500" t="s">
        <v>808</v>
      </c>
      <c r="B156" s="373"/>
      <c r="C156" s="345"/>
      <c r="D156" s="345"/>
      <c r="E156" s="345"/>
      <c r="F156" s="345"/>
      <c r="G156" s="345"/>
      <c r="H156" s="345"/>
      <c r="I156" s="345"/>
      <c r="J156" s="345"/>
      <c r="K156" s="345"/>
      <c r="L156" s="345"/>
      <c r="M156" s="345"/>
      <c r="N156" s="345"/>
      <c r="O156" s="345"/>
      <c r="P156" s="345"/>
    </row>
    <row r="157" spans="1:16" ht="16.95" customHeight="1">
      <c r="A157" s="1540" t="s">
        <v>805</v>
      </c>
      <c r="B157" s="1540"/>
      <c r="C157" s="1540"/>
      <c r="D157" s="1540"/>
      <c r="E157" s="1540"/>
      <c r="F157" s="1540"/>
      <c r="G157" s="1540"/>
      <c r="H157" s="1540"/>
      <c r="I157" s="1540"/>
      <c r="J157" s="1540"/>
      <c r="K157" s="1540"/>
      <c r="L157" s="1540"/>
      <c r="M157" s="490">
        <f>(2.53*KFC!$B$20*1.1+KFC!$C$20)*KFC!$C$5</f>
        <v>2.7829999999999999</v>
      </c>
      <c r="N157" s="497" t="s">
        <v>744</v>
      </c>
      <c r="P157" s="185"/>
    </row>
    <row r="158" spans="1:16" ht="12" customHeight="1">
      <c r="A158" s="185" t="s">
        <v>303</v>
      </c>
      <c r="B158" s="373"/>
      <c r="C158" s="345"/>
      <c r="D158" s="345"/>
      <c r="E158" s="345"/>
      <c r="F158" s="345"/>
      <c r="G158" s="345"/>
      <c r="H158" s="345"/>
      <c r="I158" s="345"/>
      <c r="J158" s="345"/>
      <c r="K158" s="345"/>
      <c r="L158" s="345"/>
      <c r="M158" s="345"/>
      <c r="N158" s="345"/>
      <c r="O158" s="345"/>
      <c r="P158" s="345"/>
    </row>
    <row r="159" spans="1:16" ht="16.5" customHeight="1">
      <c r="A159" s="1533" t="s">
        <v>210</v>
      </c>
      <c r="B159" s="1533"/>
      <c r="C159" s="1533"/>
      <c r="D159" s="1533"/>
      <c r="E159" s="1533"/>
      <c r="F159" s="1533"/>
      <c r="G159" s="1533"/>
      <c r="H159" s="1533"/>
      <c r="I159" s="1533"/>
      <c r="J159" s="5"/>
      <c r="K159" s="5"/>
      <c r="L159" s="5"/>
      <c r="M159" s="5"/>
      <c r="N159" s="5"/>
    </row>
    <row r="160" spans="1:16" ht="4.5" customHeight="1" thickBot="1">
      <c r="A160" s="267"/>
      <c r="B160" s="267"/>
      <c r="C160" s="267"/>
      <c r="D160" s="267"/>
      <c r="E160" s="267"/>
      <c r="F160" s="267"/>
      <c r="G160" s="267"/>
      <c r="H160" s="267"/>
      <c r="I160" s="267"/>
      <c r="J160" s="5"/>
      <c r="K160" s="5"/>
      <c r="L160" s="5"/>
      <c r="M160" s="5"/>
      <c r="N160" s="5"/>
    </row>
    <row r="161" spans="1:16" ht="13.5" customHeight="1">
      <c r="A161" s="1529"/>
      <c r="B161" s="1530"/>
      <c r="C161" s="1530"/>
      <c r="D161" s="1560" t="s">
        <v>183</v>
      </c>
      <c r="E161" s="1561"/>
      <c r="F161" s="1561"/>
      <c r="G161" s="1561"/>
      <c r="H161" s="1561"/>
      <c r="I161" s="1561"/>
      <c r="J161" s="1562"/>
      <c r="L161" s="287" t="s">
        <v>145</v>
      </c>
      <c r="M161" s="288"/>
      <c r="N161" s="289"/>
      <c r="O161" s="166"/>
    </row>
    <row r="162" spans="1:16" ht="10.5" customHeight="1">
      <c r="A162" s="1531"/>
      <c r="B162" s="1532"/>
      <c r="C162" s="1532"/>
      <c r="D162" s="1557" t="s">
        <v>132</v>
      </c>
      <c r="E162" s="1558"/>
      <c r="F162" s="1558"/>
      <c r="G162" s="1558"/>
      <c r="H162" s="1558"/>
      <c r="I162" s="1558"/>
      <c r="J162" s="1559"/>
      <c r="L162" s="287" t="s">
        <v>146</v>
      </c>
      <c r="M162" s="290"/>
      <c r="N162" s="166"/>
      <c r="O162" s="166"/>
    </row>
    <row r="163" spans="1:16" ht="12" customHeight="1">
      <c r="A163" s="1531"/>
      <c r="B163" s="1532"/>
      <c r="C163" s="1532"/>
      <c r="D163" s="285" t="s">
        <v>133</v>
      </c>
      <c r="E163" s="285" t="s">
        <v>134</v>
      </c>
      <c r="F163" s="285" t="s">
        <v>135</v>
      </c>
      <c r="G163" s="285" t="s">
        <v>136</v>
      </c>
      <c r="H163" s="285" t="s">
        <v>137</v>
      </c>
      <c r="I163" s="285" t="s">
        <v>138</v>
      </c>
      <c r="J163" s="286" t="s">
        <v>139</v>
      </c>
      <c r="L163" s="291" t="s">
        <v>147</v>
      </c>
      <c r="M163" s="292"/>
      <c r="N163" s="293"/>
      <c r="O163" s="293"/>
      <c r="P163" s="19"/>
    </row>
    <row r="164" spans="1:16" ht="18" customHeight="1">
      <c r="A164" s="1563" t="s">
        <v>140</v>
      </c>
      <c r="B164" s="1553" t="s">
        <v>141</v>
      </c>
      <c r="C164" s="1553"/>
      <c r="D164" s="84" t="s">
        <v>142</v>
      </c>
      <c r="E164" s="443">
        <f>(4*KFC!$B$19*1.02+KFC!$C$19)*KFC!$C$5</f>
        <v>4.08</v>
      </c>
      <c r="F164" s="443">
        <f>(14*KFC!$B$19*1.02+KFC!$C$19)*KFC!$C$5</f>
        <v>14.280000000000001</v>
      </c>
      <c r="G164" s="443">
        <f>(14*KFC!$B$19*1.02+KFC!$C$19)*KFC!$C$5</f>
        <v>14.280000000000001</v>
      </c>
      <c r="H164" s="443">
        <f>(14*KFC!$B$19*1.02+KFC!$C$19)*KFC!$C$5</f>
        <v>14.280000000000001</v>
      </c>
      <c r="I164" s="443">
        <f>(14*KFC!$B$19*1.02+KFC!$C$19)*KFC!$C$5</f>
        <v>14.280000000000001</v>
      </c>
      <c r="J164" s="444">
        <f>(14*KFC!$B$19*1.02+KFC!$C$19)*KFC!$C$5</f>
        <v>14.280000000000001</v>
      </c>
    </row>
    <row r="165" spans="1:16" ht="15" customHeight="1">
      <c r="A165" s="1563"/>
      <c r="B165" s="1553" t="s">
        <v>143</v>
      </c>
      <c r="C165" s="1553"/>
      <c r="D165" s="84" t="s">
        <v>142</v>
      </c>
      <c r="E165" s="443">
        <f>(7*KFC!$B$19*1.02+KFC!$C$19)*KFC!$C$5</f>
        <v>7.1400000000000006</v>
      </c>
      <c r="F165" s="443">
        <f>(17*KFC!$B$19*1.02+KFC!$C$19)*KFC!$C$5</f>
        <v>17.34</v>
      </c>
      <c r="G165" s="443">
        <f>(17*KFC!$B$19*1.02+KFC!$C$19)*KFC!$C$5</f>
        <v>17.34</v>
      </c>
      <c r="H165" s="443">
        <f>(17*KFC!$B$19*1.02+KFC!$C$19)*KFC!$C$5</f>
        <v>17.34</v>
      </c>
      <c r="I165" s="443">
        <f>(17*KFC!$B$19*1.02+KFC!$C$19)*KFC!$C$5</f>
        <v>17.34</v>
      </c>
      <c r="J165" s="444">
        <f>(17*KFC!$B$19*1.02+KFC!$C$19)*KFC!$C$5</f>
        <v>17.34</v>
      </c>
    </row>
    <row r="166" spans="1:16" ht="13.8" thickBot="1">
      <c r="A166" s="1554" t="s">
        <v>144</v>
      </c>
      <c r="B166" s="1555"/>
      <c r="C166" s="1555"/>
      <c r="D166" s="172" t="s">
        <v>142</v>
      </c>
      <c r="E166" s="445" t="s">
        <v>142</v>
      </c>
      <c r="F166" s="445" t="s">
        <v>142</v>
      </c>
      <c r="G166" s="445" t="s">
        <v>142</v>
      </c>
      <c r="H166" s="446">
        <f>(14*KFC!$B$19*1.02+KFC!$C$19)*KFC!$C$5</f>
        <v>14.280000000000001</v>
      </c>
      <c r="I166" s="446">
        <f>(14*KFC!$B$19*1.02+KFC!$C$19)*KFC!$C$5</f>
        <v>14.280000000000001</v>
      </c>
      <c r="J166" s="447" t="s">
        <v>142</v>
      </c>
    </row>
    <row r="167" spans="1:16" ht="9" customHeight="1">
      <c r="A167" s="1"/>
      <c r="B167" s="1"/>
      <c r="C167" s="1"/>
      <c r="K167" s="19"/>
      <c r="L167" s="19"/>
      <c r="M167" s="19"/>
      <c r="N167" s="19"/>
    </row>
    <row r="168" spans="1:16" ht="1.5" hidden="1" customHeight="1" thickBot="1">
      <c r="C168" s="75"/>
      <c r="D168" s="9"/>
      <c r="E168" s="9"/>
      <c r="F168" s="9"/>
      <c r="G168" s="9"/>
      <c r="H168" s="44"/>
      <c r="I168" s="44"/>
      <c r="J168" s="19"/>
      <c r="K168" s="19"/>
      <c r="L168" s="19"/>
      <c r="M168" s="19"/>
      <c r="N168" s="19"/>
    </row>
    <row r="169" spans="1:16" ht="14.25" customHeight="1" thickBot="1">
      <c r="A169" s="509" t="s">
        <v>182</v>
      </c>
      <c r="C169" s="75"/>
      <c r="D169" s="9"/>
      <c r="E169" s="9"/>
      <c r="F169" s="9"/>
      <c r="G169" s="9"/>
      <c r="H169" s="171"/>
      <c r="P169" s="118"/>
    </row>
    <row r="170" spans="1:16" ht="12.75" customHeight="1" thickBot="1">
      <c r="A170" s="509" t="s">
        <v>184</v>
      </c>
      <c r="C170" s="75"/>
      <c r="D170" s="9"/>
      <c r="E170" s="9"/>
      <c r="F170" s="9"/>
      <c r="G170" s="510">
        <f>(3.9*KFC!$B$19*1.1*1.02+KFC!$C$19)*KFC!$C$5</f>
        <v>4.3757999999999999</v>
      </c>
      <c r="H170" s="171"/>
      <c r="P170" s="118"/>
    </row>
    <row r="171" spans="1:16" ht="11.25" customHeight="1">
      <c r="A171" s="170"/>
      <c r="B171" s="170"/>
      <c r="C171" s="170"/>
      <c r="D171" s="170"/>
      <c r="E171" s="170"/>
      <c r="F171" s="171"/>
      <c r="G171" s="171"/>
      <c r="H171" s="171"/>
      <c r="P171" s="118"/>
    </row>
    <row r="172" spans="1:16" ht="11.25" customHeight="1">
      <c r="A172" s="170"/>
      <c r="B172" s="170"/>
      <c r="C172" s="170"/>
      <c r="D172" s="170"/>
      <c r="E172" s="170"/>
      <c r="F172" s="171"/>
      <c r="G172" s="171"/>
      <c r="H172" s="171"/>
      <c r="P172" s="118"/>
    </row>
    <row r="173" spans="1:16" ht="11.25" customHeight="1">
      <c r="A173" s="170"/>
      <c r="B173" s="170"/>
      <c r="C173" s="170"/>
      <c r="D173" s="170"/>
      <c r="E173" s="170"/>
      <c r="F173" s="171"/>
      <c r="G173" s="171"/>
      <c r="H173" s="171"/>
      <c r="P173" s="118"/>
    </row>
    <row r="174" spans="1:16" ht="11.25" customHeight="1">
      <c r="A174" s="170"/>
      <c r="B174" s="170"/>
      <c r="C174" s="170"/>
      <c r="D174" s="170"/>
      <c r="E174" s="170"/>
      <c r="F174" s="171"/>
      <c r="G174" s="171"/>
      <c r="H174" s="171"/>
      <c r="P174" s="118"/>
    </row>
    <row r="175" spans="1:16" ht="11.25" customHeight="1">
      <c r="A175" s="170"/>
      <c r="B175" s="170"/>
      <c r="C175" s="170"/>
      <c r="D175" s="170"/>
      <c r="E175" s="170"/>
      <c r="F175" s="171"/>
      <c r="G175" s="171"/>
      <c r="H175" s="171"/>
      <c r="P175" s="118"/>
    </row>
    <row r="176" spans="1:16" ht="8.25" customHeight="1"/>
    <row r="177" spans="1:16" ht="51.75" customHeight="1">
      <c r="A177" s="1565" t="s">
        <v>261</v>
      </c>
      <c r="B177" s="1565"/>
      <c r="C177" s="1565"/>
      <c r="D177" s="1565"/>
      <c r="E177" s="1565"/>
      <c r="F177" s="1565"/>
      <c r="G177" s="1565"/>
      <c r="H177" s="1565"/>
      <c r="I177" s="1565"/>
      <c r="J177" s="1565"/>
      <c r="K177" s="1565"/>
      <c r="L177" s="1565"/>
      <c r="M177" s="1565"/>
      <c r="N177" s="1565"/>
      <c r="O177" s="1565"/>
      <c r="P177" s="1565"/>
    </row>
    <row r="178" spans="1:16" ht="27" customHeight="1" thickBot="1">
      <c r="A178" s="1004" t="s">
        <v>262</v>
      </c>
      <c r="B178" s="1004"/>
      <c r="C178" s="1004"/>
      <c r="D178" s="1004"/>
      <c r="E178" s="1004"/>
      <c r="F178" s="1004"/>
      <c r="G178" s="1004"/>
      <c r="H178" s="1004"/>
      <c r="I178" s="1004"/>
      <c r="J178" s="1004"/>
      <c r="K178" s="1004"/>
      <c r="L178" s="1004"/>
      <c r="M178" s="1004"/>
      <c r="N178" s="1004"/>
      <c r="O178" s="1004"/>
      <c r="P178" s="1004"/>
    </row>
    <row r="179" spans="1:16" ht="30.75" customHeight="1" thickBot="1">
      <c r="A179" s="1528" t="s">
        <v>88</v>
      </c>
      <c r="B179" s="1101"/>
      <c r="C179" s="1101"/>
      <c r="D179" s="1022" t="s">
        <v>87</v>
      </c>
      <c r="E179" s="1022"/>
      <c r="F179" s="1022"/>
      <c r="G179" s="1022"/>
      <c r="H179" s="1022"/>
      <c r="I179" s="1022"/>
      <c r="J179" s="1022"/>
      <c r="K179" s="1022"/>
      <c r="L179" s="1022"/>
      <c r="M179" s="1022"/>
      <c r="N179" s="1297" t="s">
        <v>24</v>
      </c>
      <c r="O179" s="1297"/>
      <c r="P179" s="1298"/>
    </row>
    <row r="180" spans="1:16" ht="27" customHeight="1">
      <c r="A180" s="1546" t="s">
        <v>90</v>
      </c>
      <c r="B180" s="1547"/>
      <c r="C180" s="1547"/>
      <c r="D180" s="1378" t="s">
        <v>703</v>
      </c>
      <c r="E180" s="1378"/>
      <c r="F180" s="1378"/>
      <c r="G180" s="1378"/>
      <c r="H180" s="1378"/>
      <c r="I180" s="1378"/>
      <c r="J180" s="1378"/>
      <c r="K180" s="1378"/>
      <c r="L180" s="1378"/>
      <c r="M180" s="1378"/>
      <c r="N180" s="1549">
        <f>(132.9*KFC!$B$41+KFC!$C$41)*KFC!$C$5</f>
        <v>132.9</v>
      </c>
      <c r="O180" s="1549"/>
      <c r="P180" s="1550"/>
    </row>
    <row r="181" spans="1:16" ht="27" customHeight="1">
      <c r="A181" s="1520"/>
      <c r="B181" s="1548"/>
      <c r="C181" s="1548"/>
      <c r="D181" s="1388" t="s">
        <v>871</v>
      </c>
      <c r="E181" s="1061"/>
      <c r="F181" s="1061"/>
      <c r="G181" s="1061"/>
      <c r="H181" s="1061"/>
      <c r="I181" s="1061"/>
      <c r="J181" s="1061"/>
      <c r="K181" s="1061"/>
      <c r="L181" s="1061"/>
      <c r="M181" s="1389"/>
      <c r="N181" s="1551"/>
      <c r="O181" s="1551"/>
      <c r="P181" s="1552"/>
    </row>
    <row r="182" spans="1:16" ht="27" customHeight="1" thickBot="1">
      <c r="A182" s="1036" t="s">
        <v>90</v>
      </c>
      <c r="B182" s="1564"/>
      <c r="C182" s="1564"/>
      <c r="D182" s="1556" t="s">
        <v>702</v>
      </c>
      <c r="E182" s="1556"/>
      <c r="F182" s="1556"/>
      <c r="G182" s="1556"/>
      <c r="H182" s="1556"/>
      <c r="I182" s="1556"/>
      <c r="J182" s="1556"/>
      <c r="K182" s="1556"/>
      <c r="L182" s="1556"/>
      <c r="M182" s="1556"/>
      <c r="N182" s="1295">
        <f>(107.6*KFC!$B$41+KFC!$C$41)*KFC!$C$5</f>
        <v>107.6</v>
      </c>
      <c r="O182" s="1295"/>
      <c r="P182" s="1296"/>
    </row>
    <row r="183" spans="1:16" ht="10.5" customHeight="1">
      <c r="A183" s="294"/>
      <c r="B183" s="294"/>
      <c r="C183" s="294"/>
      <c r="D183" s="60"/>
      <c r="E183" s="60"/>
      <c r="F183" s="60"/>
      <c r="G183" s="60"/>
      <c r="H183" s="60"/>
      <c r="I183" s="295"/>
    </row>
    <row r="184" spans="1:16" ht="33.75" customHeight="1" thickBot="1">
      <c r="A184" s="1065" t="s">
        <v>376</v>
      </c>
      <c r="B184" s="1065"/>
      <c r="C184" s="1065"/>
      <c r="D184" s="1065"/>
      <c r="E184" s="1065"/>
      <c r="F184" s="1065"/>
      <c r="G184" s="1065"/>
      <c r="H184" s="1065"/>
      <c r="I184" s="1065"/>
      <c r="J184" s="1065"/>
      <c r="K184" s="1065"/>
      <c r="L184" s="1065"/>
      <c r="M184" s="1065"/>
      <c r="N184" s="1065"/>
      <c r="O184" s="1065"/>
      <c r="P184" s="1065"/>
    </row>
    <row r="185" spans="1:16" ht="30" customHeight="1" thickBot="1">
      <c r="A185" s="1528" t="s">
        <v>88</v>
      </c>
      <c r="B185" s="1101"/>
      <c r="C185" s="1022" t="s">
        <v>87</v>
      </c>
      <c r="D185" s="1022"/>
      <c r="E185" s="1022"/>
      <c r="F185" s="1022"/>
      <c r="G185" s="1022"/>
      <c r="H185" s="1022"/>
      <c r="I185" s="1022"/>
      <c r="J185" s="1022"/>
      <c r="K185" s="1022"/>
      <c r="L185" s="1022"/>
      <c r="M185" s="1022"/>
      <c r="N185" s="1022"/>
      <c r="O185" s="1297" t="s">
        <v>24</v>
      </c>
      <c r="P185" s="1298"/>
    </row>
    <row r="186" spans="1:16" ht="30" customHeight="1">
      <c r="A186" s="1524" t="s">
        <v>90</v>
      </c>
      <c r="B186" s="1525"/>
      <c r="C186" s="1159" t="s">
        <v>659</v>
      </c>
      <c r="D186" s="1160"/>
      <c r="E186" s="1160"/>
      <c r="F186" s="1160"/>
      <c r="G186" s="1160"/>
      <c r="H186" s="1160"/>
      <c r="I186" s="1160"/>
      <c r="J186" s="1160"/>
      <c r="K186" s="1160"/>
      <c r="L186" s="1160"/>
      <c r="M186" s="1160"/>
      <c r="N186" s="1161"/>
      <c r="O186" s="1518">
        <f>(17.6*KFC!$B$41+KFC!$C$41)*KFC!$C$5</f>
        <v>17.600000000000001</v>
      </c>
      <c r="P186" s="1519"/>
    </row>
    <row r="187" spans="1:16" ht="30" customHeight="1">
      <c r="A187" s="1526" t="s">
        <v>90</v>
      </c>
      <c r="B187" s="1253"/>
      <c r="C187" s="1159" t="s">
        <v>458</v>
      </c>
      <c r="D187" s="1160"/>
      <c r="E187" s="1160"/>
      <c r="F187" s="1160"/>
      <c r="G187" s="1160"/>
      <c r="H187" s="1160"/>
      <c r="I187" s="1160"/>
      <c r="J187" s="1160"/>
      <c r="K187" s="1160"/>
      <c r="L187" s="1160"/>
      <c r="M187" s="1160"/>
      <c r="N187" s="1161"/>
      <c r="O187" s="1236">
        <f>(31.6*KFC!$B$41+KFC!$C$41)*KFC!$C$5</f>
        <v>31.6</v>
      </c>
      <c r="P187" s="1154"/>
    </row>
    <row r="188" spans="1:16" ht="30" customHeight="1">
      <c r="A188" s="1527"/>
      <c r="B188" s="1256"/>
      <c r="C188" s="1017" t="s">
        <v>870</v>
      </c>
      <c r="D188" s="1143"/>
      <c r="E188" s="1143"/>
      <c r="F188" s="1143"/>
      <c r="G188" s="1143"/>
      <c r="H188" s="1143"/>
      <c r="I188" s="1143"/>
      <c r="J188" s="1143"/>
      <c r="K188" s="1143"/>
      <c r="L188" s="1143"/>
      <c r="M188" s="1143"/>
      <c r="N188" s="1144"/>
      <c r="O188" s="1238"/>
      <c r="P188" s="1517"/>
    </row>
    <row r="189" spans="1:16" ht="30" customHeight="1">
      <c r="A189" s="1526" t="s">
        <v>90</v>
      </c>
      <c r="B189" s="1253"/>
      <c r="C189" s="1159" t="s">
        <v>459</v>
      </c>
      <c r="D189" s="1160"/>
      <c r="E189" s="1160"/>
      <c r="F189" s="1160"/>
      <c r="G189" s="1160"/>
      <c r="H189" s="1160"/>
      <c r="I189" s="1160"/>
      <c r="J189" s="1160"/>
      <c r="K189" s="1160"/>
      <c r="L189" s="1160"/>
      <c r="M189" s="1160"/>
      <c r="N189" s="1161"/>
      <c r="O189" s="1236">
        <f>(40.5*KFC!$B$41+KFC!$C$41)*KFC!$C$5</f>
        <v>40.5</v>
      </c>
      <c r="P189" s="1154"/>
    </row>
    <row r="190" spans="1:16" ht="30" customHeight="1">
      <c r="A190" s="1527"/>
      <c r="B190" s="1256"/>
      <c r="C190" s="1017" t="s">
        <v>864</v>
      </c>
      <c r="D190" s="1143"/>
      <c r="E190" s="1143"/>
      <c r="F190" s="1143"/>
      <c r="G190" s="1143"/>
      <c r="H190" s="1143"/>
      <c r="I190" s="1143"/>
      <c r="J190" s="1143"/>
      <c r="K190" s="1143"/>
      <c r="L190" s="1143"/>
      <c r="M190" s="1143"/>
      <c r="N190" s="1144"/>
      <c r="O190" s="1238"/>
      <c r="P190" s="1517"/>
    </row>
    <row r="191" spans="1:16" ht="28.2" customHeight="1">
      <c r="A191" s="1526" t="s">
        <v>90</v>
      </c>
      <c r="B191" s="1253"/>
      <c r="C191" s="1159" t="s">
        <v>460</v>
      </c>
      <c r="D191" s="1160"/>
      <c r="E191" s="1160"/>
      <c r="F191" s="1160"/>
      <c r="G191" s="1160"/>
      <c r="H191" s="1160"/>
      <c r="I191" s="1160"/>
      <c r="J191" s="1160"/>
      <c r="K191" s="1160"/>
      <c r="L191" s="1160"/>
      <c r="M191" s="1160"/>
      <c r="N191" s="1161"/>
      <c r="O191" s="1236">
        <f>(31.6*KFC!$B$41+KFC!$C$41)*KFC!$C$5</f>
        <v>31.6</v>
      </c>
      <c r="P191" s="1154"/>
    </row>
    <row r="192" spans="1:16" ht="28.2" customHeight="1">
      <c r="A192" s="1527"/>
      <c r="B192" s="1256"/>
      <c r="C192" s="1017" t="s">
        <v>867</v>
      </c>
      <c r="D192" s="1143"/>
      <c r="E192" s="1143"/>
      <c r="F192" s="1143"/>
      <c r="G192" s="1143"/>
      <c r="H192" s="1143"/>
      <c r="I192" s="1143"/>
      <c r="J192" s="1143"/>
      <c r="K192" s="1143"/>
      <c r="L192" s="1143"/>
      <c r="M192" s="1143"/>
      <c r="N192" s="1144"/>
      <c r="O192" s="1238"/>
      <c r="P192" s="1517"/>
    </row>
    <row r="193" spans="1:16" ht="28.2" customHeight="1">
      <c r="A193" s="1520" t="s">
        <v>90</v>
      </c>
      <c r="B193" s="1521"/>
      <c r="C193" s="1398" t="s">
        <v>485</v>
      </c>
      <c r="D193" s="1061"/>
      <c r="E193" s="1061"/>
      <c r="F193" s="1061"/>
      <c r="G193" s="1061"/>
      <c r="H193" s="1061"/>
      <c r="I193" s="1061"/>
      <c r="J193" s="1061"/>
      <c r="K193" s="1061"/>
      <c r="L193" s="1061"/>
      <c r="M193" s="1061"/>
      <c r="N193" s="1389"/>
      <c r="O193" s="1236">
        <f>(40.5*KFC!$B$41+KFC!$C$41)*KFC!$C$5</f>
        <v>40.5</v>
      </c>
      <c r="P193" s="1154"/>
    </row>
    <row r="194" spans="1:16" ht="28.2" customHeight="1" thickBot="1">
      <c r="A194" s="1522"/>
      <c r="B194" s="1523"/>
      <c r="C194" s="1167" t="s">
        <v>656</v>
      </c>
      <c r="D194" s="1168"/>
      <c r="E194" s="1168"/>
      <c r="F194" s="1168"/>
      <c r="G194" s="1168"/>
      <c r="H194" s="1168"/>
      <c r="I194" s="1168"/>
      <c r="J194" s="1168"/>
      <c r="K194" s="1168"/>
      <c r="L194" s="1168"/>
      <c r="M194" s="1168"/>
      <c r="N194" s="1169"/>
      <c r="O194" s="1238"/>
      <c r="P194" s="1517"/>
    </row>
  </sheetData>
  <mergeCells count="69">
    <mergeCell ref="D182:M182"/>
    <mergeCell ref="D162:J162"/>
    <mergeCell ref="D161:J161"/>
    <mergeCell ref="D181:M181"/>
    <mergeCell ref="A59:A80"/>
    <mergeCell ref="A82:B83"/>
    <mergeCell ref="A164:A165"/>
    <mergeCell ref="A107:B108"/>
    <mergeCell ref="B165:C165"/>
    <mergeCell ref="C132:P132"/>
    <mergeCell ref="A134:A155"/>
    <mergeCell ref="N182:P182"/>
    <mergeCell ref="A182:C182"/>
    <mergeCell ref="A177:P177"/>
    <mergeCell ref="A178:P178"/>
    <mergeCell ref="N179:P179"/>
    <mergeCell ref="O185:P185"/>
    <mergeCell ref="A180:C181"/>
    <mergeCell ref="N180:P181"/>
    <mergeCell ref="A4:P4"/>
    <mergeCell ref="E6:P6"/>
    <mergeCell ref="B164:C164"/>
    <mergeCell ref="A32:B33"/>
    <mergeCell ref="C57:P57"/>
    <mergeCell ref="A166:C166"/>
    <mergeCell ref="D179:M179"/>
    <mergeCell ref="A84:A105"/>
    <mergeCell ref="A185:B185"/>
    <mergeCell ref="A184:P184"/>
    <mergeCell ref="C185:N185"/>
    <mergeCell ref="D180:M180"/>
    <mergeCell ref="A132:B133"/>
    <mergeCell ref="C2:P2"/>
    <mergeCell ref="A3:P3"/>
    <mergeCell ref="C32:P32"/>
    <mergeCell ref="A34:A55"/>
    <mergeCell ref="C82:P82"/>
    <mergeCell ref="A7:B8"/>
    <mergeCell ref="C7:P7"/>
    <mergeCell ref="A9:A30"/>
    <mergeCell ref="A6:D6"/>
    <mergeCell ref="E5:P5"/>
    <mergeCell ref="A57:B58"/>
    <mergeCell ref="A5:D5"/>
    <mergeCell ref="A179:C179"/>
    <mergeCell ref="A161:C163"/>
    <mergeCell ref="A159:I159"/>
    <mergeCell ref="C107:P107"/>
    <mergeCell ref="A109:A130"/>
    <mergeCell ref="A157:L157"/>
    <mergeCell ref="A193:B194"/>
    <mergeCell ref="A186:B186"/>
    <mergeCell ref="A187:B188"/>
    <mergeCell ref="C193:N193"/>
    <mergeCell ref="C192:N192"/>
    <mergeCell ref="A191:B192"/>
    <mergeCell ref="C188:N188"/>
    <mergeCell ref="C190:N190"/>
    <mergeCell ref="C187:N187"/>
    <mergeCell ref="C189:N189"/>
    <mergeCell ref="A189:B190"/>
    <mergeCell ref="O191:P192"/>
    <mergeCell ref="O193:P194"/>
    <mergeCell ref="C194:N194"/>
    <mergeCell ref="C186:N186"/>
    <mergeCell ref="O186:P186"/>
    <mergeCell ref="C191:N191"/>
    <mergeCell ref="O187:P188"/>
    <mergeCell ref="O189:P190"/>
  </mergeCells>
  <phoneticPr fontId="7" type="noConversion"/>
  <hyperlinks>
    <hyperlink ref="A159" location="'Макс. возможные размеры изделий'!R1C1" display=" - Максимально допустимые размеры изделия можно посмотреть в ТАБЛИЦЕ" xr:uid="{04232C1B-171E-47D2-A7EF-52E982DFB009}"/>
    <hyperlink ref="E5" r:id="rId1" xr:uid="{C3D038D9-A0E5-463E-9C38-EE66DEF0864F}"/>
    <hyperlink ref="E6" r:id="rId2" xr:uid="{B668D437-22FD-41AC-B467-48160EB5814B}"/>
    <hyperlink ref="D181" r:id="rId3" xr:uid="{4130DA40-5B3B-4508-824D-DE2CBBA37954}"/>
    <hyperlink ref="C190" r:id="rId4" xr:uid="{149E5A7D-1A14-4D4F-8308-DE7D3F3B8140}"/>
    <hyperlink ref="C188" r:id="rId5" xr:uid="{9743FEF0-42E7-492C-A082-376F7694BA0F}"/>
    <hyperlink ref="C194" r:id="rId6" xr:uid="{E6CA363E-4E05-4B54-A30F-891635019684}"/>
    <hyperlink ref="C192" r:id="rId7" xr:uid="{E362161B-2589-4EDB-A59D-51AAF9581D97}"/>
  </hyperlinks>
  <pageMargins left="0.41" right="0" top="0.19685039370078741" bottom="0" header="0" footer="0"/>
  <pageSetup paperSize="9" scale="76" fitToHeight="2" orientation="portrait" r:id="rId8"/>
  <headerFooter alignWithMargins="0"/>
  <rowBreaks count="3" manualBreakCount="3">
    <brk id="80" max="15" man="1"/>
    <brk id="105" max="15" man="1"/>
    <brk id="170" max="15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523096-3EFC-4082-9F1C-D87E315C5CAA}">
  <sheetPr>
    <tabColor rgb="FF00B0F0"/>
  </sheetPr>
  <dimension ref="A1:AR287"/>
  <sheetViews>
    <sheetView view="pageBreakPreview" topLeftCell="A48" zoomScale="80" zoomScaleNormal="80" zoomScaleSheetLayoutView="80" workbookViewId="0">
      <selection activeCell="H73" sqref="H73"/>
    </sheetView>
  </sheetViews>
  <sheetFormatPr defaultRowHeight="13.2"/>
  <cols>
    <col min="22" max="44" width="0" hidden="1" customWidth="1"/>
  </cols>
  <sheetData>
    <row r="1" spans="1:44" ht="34.5" customHeight="1">
      <c r="A1" s="1222" t="s">
        <v>1234</v>
      </c>
      <c r="B1" s="1222"/>
      <c r="C1" s="1222"/>
      <c r="D1" s="1222"/>
      <c r="E1" s="1222"/>
      <c r="F1" s="1222"/>
      <c r="G1" s="1222"/>
      <c r="H1" s="1222"/>
      <c r="I1" s="1222"/>
      <c r="J1" s="1222"/>
      <c r="K1" s="1222"/>
      <c r="L1" s="1222"/>
      <c r="M1" s="1222"/>
      <c r="N1" s="1222"/>
      <c r="O1" s="1222"/>
      <c r="P1" s="1222"/>
      <c r="Q1" s="1222"/>
      <c r="R1" s="1222"/>
      <c r="S1" s="1222"/>
      <c r="T1" s="1222"/>
      <c r="U1" s="1222"/>
      <c r="V1" s="920"/>
    </row>
    <row r="2" spans="1:44" ht="12.75" customHeight="1">
      <c r="A2" s="1541" t="s">
        <v>1235</v>
      </c>
      <c r="B2" s="1541"/>
      <c r="C2" s="1541"/>
      <c r="D2" s="1541"/>
      <c r="E2" s="1541"/>
      <c r="F2" s="1541"/>
      <c r="G2" s="1541"/>
      <c r="H2" s="1541"/>
      <c r="I2" s="1541"/>
      <c r="J2" s="1541"/>
      <c r="K2" s="1541"/>
      <c r="L2" s="1541"/>
      <c r="M2" s="1541"/>
      <c r="N2" s="1541"/>
      <c r="O2" s="1541"/>
      <c r="P2" s="1541"/>
      <c r="Q2" s="1541"/>
      <c r="R2" s="1541"/>
      <c r="S2" s="1541"/>
      <c r="T2" s="1541"/>
      <c r="U2" s="1541"/>
      <c r="V2" s="16"/>
    </row>
    <row r="3" spans="1:44" ht="12.75" customHeight="1">
      <c r="A3" s="1541" t="s">
        <v>983</v>
      </c>
      <c r="B3" s="1541"/>
      <c r="C3" s="1541"/>
      <c r="D3" s="1541"/>
      <c r="E3" s="1541"/>
      <c r="F3" s="1541"/>
      <c r="G3" s="1541"/>
      <c r="H3" s="1541"/>
      <c r="I3" s="1541"/>
      <c r="J3" s="1541"/>
      <c r="K3" s="1541"/>
      <c r="L3" s="1541"/>
      <c r="M3" s="1541"/>
      <c r="N3" s="1541"/>
      <c r="O3" s="1541"/>
      <c r="P3" s="1541"/>
      <c r="Q3" s="1541"/>
      <c r="R3" s="1541"/>
      <c r="S3" s="1541"/>
      <c r="T3" s="1541"/>
      <c r="U3" s="1541"/>
      <c r="V3" s="16"/>
    </row>
    <row r="4" spans="1:44" ht="13.8" thickBot="1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</row>
    <row r="5" spans="1:44" ht="12.75" customHeight="1" thickBot="1">
      <c r="A5" s="1413" t="s">
        <v>462</v>
      </c>
      <c r="B5" s="1542"/>
      <c r="C5" s="1534" t="s">
        <v>207</v>
      </c>
      <c r="D5" s="1535"/>
      <c r="E5" s="1535"/>
      <c r="F5" s="1535"/>
      <c r="G5" s="1535"/>
      <c r="H5" s="1535"/>
      <c r="I5" s="1535"/>
      <c r="J5" s="1535"/>
      <c r="K5" s="1535"/>
      <c r="L5" s="1535"/>
      <c r="M5" s="1535"/>
      <c r="N5" s="1535"/>
      <c r="O5" s="1535"/>
      <c r="P5" s="1535"/>
      <c r="Q5" s="1535"/>
      <c r="R5" s="1535"/>
      <c r="S5" s="1535"/>
      <c r="T5" s="1535"/>
      <c r="U5" s="1536"/>
      <c r="V5" s="700"/>
    </row>
    <row r="6" spans="1:44" ht="13.8" thickBot="1">
      <c r="A6" s="1543"/>
      <c r="B6" s="1570"/>
      <c r="C6" s="634">
        <v>0.4</v>
      </c>
      <c r="D6" s="634">
        <v>0.5</v>
      </c>
      <c r="E6" s="634">
        <v>0.6</v>
      </c>
      <c r="F6" s="634">
        <v>0.7</v>
      </c>
      <c r="G6" s="634">
        <v>0.8</v>
      </c>
      <c r="H6" s="634">
        <v>0.9</v>
      </c>
      <c r="I6" s="634">
        <v>1</v>
      </c>
      <c r="J6" s="634">
        <v>1.1000000000000001</v>
      </c>
      <c r="K6" s="634">
        <v>1.2</v>
      </c>
      <c r="L6" s="634">
        <v>1.3</v>
      </c>
      <c r="M6" s="634">
        <v>1.4</v>
      </c>
      <c r="N6" s="634">
        <v>1.5</v>
      </c>
      <c r="O6" s="634">
        <v>1.6</v>
      </c>
      <c r="P6" s="634">
        <v>1.7</v>
      </c>
      <c r="Q6" s="634">
        <v>1.8</v>
      </c>
      <c r="R6" s="634">
        <v>1.9</v>
      </c>
      <c r="S6" s="634">
        <v>2</v>
      </c>
      <c r="T6" s="634">
        <v>2.1</v>
      </c>
      <c r="U6" s="634">
        <v>2.2000000000000002</v>
      </c>
      <c r="V6" s="921"/>
      <c r="X6" s="922"/>
      <c r="Y6" s="923">
        <v>0.4</v>
      </c>
      <c r="Z6" s="923">
        <v>0.5</v>
      </c>
      <c r="AA6" s="923">
        <v>0.6</v>
      </c>
      <c r="AB6" s="923">
        <v>0.7</v>
      </c>
      <c r="AC6" s="923">
        <v>0.8</v>
      </c>
      <c r="AD6" s="923">
        <v>0.9</v>
      </c>
      <c r="AE6" s="923">
        <v>1</v>
      </c>
      <c r="AF6" s="923">
        <v>1.1000000000000001</v>
      </c>
      <c r="AG6" s="923">
        <v>1.2</v>
      </c>
      <c r="AH6" s="923">
        <v>1.3</v>
      </c>
      <c r="AI6" s="923">
        <v>1.4</v>
      </c>
      <c r="AJ6" s="923">
        <v>1.5</v>
      </c>
      <c r="AK6" s="923">
        <v>1.6</v>
      </c>
      <c r="AL6" s="923">
        <v>1.7</v>
      </c>
      <c r="AM6" s="923">
        <v>1.8</v>
      </c>
      <c r="AN6" s="923">
        <v>1.9</v>
      </c>
      <c r="AO6" s="923">
        <v>2</v>
      </c>
      <c r="AP6" s="923">
        <v>2.1</v>
      </c>
      <c r="AQ6" s="923">
        <v>2.2000000000000002</v>
      </c>
      <c r="AR6" s="923">
        <v>2.2999999999999998</v>
      </c>
    </row>
    <row r="7" spans="1:44" ht="12.75" customHeight="1">
      <c r="A7" s="1537" t="s">
        <v>3</v>
      </c>
      <c r="B7" s="924">
        <v>0.5</v>
      </c>
      <c r="C7" s="925">
        <f>(Y7*KFC!$B$19+KFC!$C$19)*KFC!$C$5</f>
        <v>17.16</v>
      </c>
      <c r="D7" s="926">
        <f>(Z7*KFC!$B$19+KFC!$C$19)*KFC!$C$5</f>
        <v>17.95</v>
      </c>
      <c r="E7" s="926">
        <f>(AA7*KFC!$B$19+KFC!$C$19)*KFC!$C$5</f>
        <v>18.739999999999998</v>
      </c>
      <c r="F7" s="926">
        <f>(AB7*KFC!$B$19+KFC!$C$19)*KFC!$C$5</f>
        <v>19.670000000000002</v>
      </c>
      <c r="G7" s="926">
        <f>(AC7*KFC!$B$19+KFC!$C$19)*KFC!$C$5</f>
        <v>20.46</v>
      </c>
      <c r="H7" s="926">
        <f>(AD7*KFC!$B$19+KFC!$C$19)*KFC!$C$5</f>
        <v>21.38</v>
      </c>
      <c r="I7" s="926">
        <f>(AE7*KFC!$B$19+KFC!$C$19)*KFC!$C$5</f>
        <v>22.04</v>
      </c>
      <c r="J7" s="926">
        <f>(AF7*KFC!$B$19+KFC!$C$19)*KFC!$C$5</f>
        <v>23.1</v>
      </c>
      <c r="K7" s="926">
        <f>(AG7*KFC!$B$19+KFC!$C$19)*KFC!$C$5</f>
        <v>23.76</v>
      </c>
      <c r="L7" s="926">
        <f>(AH7*KFC!$B$19+KFC!$C$19)*KFC!$C$5</f>
        <v>24.42</v>
      </c>
      <c r="M7" s="926">
        <f>(AI7*KFC!$B$19+KFC!$C$19)*KFC!$C$5</f>
        <v>25.61</v>
      </c>
      <c r="N7" s="926">
        <f>(AJ7*KFC!$B$19+KFC!$C$19)*KFC!$C$5</f>
        <v>26.4</v>
      </c>
      <c r="O7" s="926">
        <f>(AK7*KFC!$B$19+KFC!$C$19)*KFC!$C$5</f>
        <v>27.19</v>
      </c>
      <c r="P7" s="926">
        <f>(AL7*KFC!$B$19+KFC!$C$19)*KFC!$C$5</f>
        <v>27.98</v>
      </c>
      <c r="Q7" s="926">
        <f>(AM7*KFC!$B$19+KFC!$C$19)*KFC!$C$5</f>
        <v>28.78</v>
      </c>
      <c r="R7" s="926">
        <f>(AN7*KFC!$B$19+KFC!$C$19)*KFC!$C$5</f>
        <v>29.44</v>
      </c>
      <c r="S7" s="926">
        <f>(AO7*KFC!$B$19+KFC!$C$19)*KFC!$C$5</f>
        <v>30.23</v>
      </c>
      <c r="T7" s="926">
        <f>(AP7*KFC!$B$19+KFC!$C$19)*KFC!$C$5</f>
        <v>31.02</v>
      </c>
      <c r="U7" s="927">
        <f>(AQ7*KFC!$B$19+KFC!$C$19)*KFC!$C$5</f>
        <v>31.81</v>
      </c>
      <c r="V7" s="928"/>
      <c r="X7" s="923">
        <v>0.5</v>
      </c>
      <c r="Y7" s="929">
        <v>17.16</v>
      </c>
      <c r="Z7" s="929">
        <v>17.95</v>
      </c>
      <c r="AA7" s="929">
        <v>18.739999999999998</v>
      </c>
      <c r="AB7" s="929">
        <v>19.670000000000002</v>
      </c>
      <c r="AC7" s="929">
        <v>20.46</v>
      </c>
      <c r="AD7" s="929">
        <v>21.38</v>
      </c>
      <c r="AE7" s="929">
        <v>22.04</v>
      </c>
      <c r="AF7" s="929">
        <v>23.1</v>
      </c>
      <c r="AG7" s="929">
        <v>23.76</v>
      </c>
      <c r="AH7" s="929">
        <v>24.42</v>
      </c>
      <c r="AI7" s="929">
        <v>25.61</v>
      </c>
      <c r="AJ7" s="929">
        <v>26.4</v>
      </c>
      <c r="AK7" s="929">
        <v>27.19</v>
      </c>
      <c r="AL7" s="929">
        <v>27.98</v>
      </c>
      <c r="AM7" s="929">
        <v>28.78</v>
      </c>
      <c r="AN7" s="929">
        <v>29.44</v>
      </c>
      <c r="AO7" s="929">
        <v>30.23</v>
      </c>
      <c r="AP7" s="929">
        <v>31.02</v>
      </c>
      <c r="AQ7" s="929">
        <v>31.81</v>
      </c>
      <c r="AR7" s="929">
        <v>32.6</v>
      </c>
    </row>
    <row r="8" spans="1:44">
      <c r="A8" s="1538"/>
      <c r="B8" s="930">
        <v>0.6</v>
      </c>
      <c r="C8" s="931">
        <f>(Y8*KFC!$B$19+KFC!$C$19)*KFC!$C$5</f>
        <v>17.420000000000002</v>
      </c>
      <c r="D8" s="932">
        <f>(Z8*KFC!$B$19+KFC!$C$19)*KFC!$C$5</f>
        <v>18.350000000000001</v>
      </c>
      <c r="E8" s="932">
        <f>(AA8*KFC!$B$19+KFC!$C$19)*KFC!$C$5</f>
        <v>19.399999999999999</v>
      </c>
      <c r="F8" s="932">
        <f>(AB8*KFC!$B$19+KFC!$C$19)*KFC!$C$5</f>
        <v>20.329999999999998</v>
      </c>
      <c r="G8" s="932">
        <f>(AC8*KFC!$B$19+KFC!$C$19)*KFC!$C$5</f>
        <v>20.99</v>
      </c>
      <c r="H8" s="932">
        <f>(AD8*KFC!$B$19+KFC!$C$19)*KFC!$C$5</f>
        <v>22.04</v>
      </c>
      <c r="I8" s="932">
        <f>(AE8*KFC!$B$19+KFC!$C$19)*KFC!$C$5</f>
        <v>23.1</v>
      </c>
      <c r="J8" s="932">
        <f>(AF8*KFC!$B$19+KFC!$C$19)*KFC!$C$5</f>
        <v>23.76</v>
      </c>
      <c r="K8" s="932">
        <f>(AG8*KFC!$B$19+KFC!$C$19)*KFC!$C$5</f>
        <v>24.68</v>
      </c>
      <c r="L8" s="932">
        <f>(AH8*KFC!$B$19+KFC!$C$19)*KFC!$C$5</f>
        <v>25.61</v>
      </c>
      <c r="M8" s="932">
        <f>(AI8*KFC!$B$19+KFC!$C$19)*KFC!$C$5</f>
        <v>26.66</v>
      </c>
      <c r="N8" s="932">
        <f>(AJ8*KFC!$B$19+KFC!$C$19)*KFC!$C$5</f>
        <v>27.59</v>
      </c>
      <c r="O8" s="932">
        <f>(AK8*KFC!$B$19+KFC!$C$19)*KFC!$C$5</f>
        <v>28.64</v>
      </c>
      <c r="P8" s="932">
        <f>(AL8*KFC!$B$19+KFC!$C$19)*KFC!$C$5</f>
        <v>29.3</v>
      </c>
      <c r="Q8" s="932">
        <f>(AM8*KFC!$B$19+KFC!$C$19)*KFC!$C$5</f>
        <v>30.23</v>
      </c>
      <c r="R8" s="932">
        <f>(AN8*KFC!$B$19+KFC!$C$19)*KFC!$C$5</f>
        <v>31.15</v>
      </c>
      <c r="S8" s="932">
        <f>(AO8*KFC!$B$19+KFC!$C$19)*KFC!$C$5</f>
        <v>32.08</v>
      </c>
      <c r="T8" s="932">
        <f>(AP8*KFC!$B$19+KFC!$C$19)*KFC!$C$5</f>
        <v>33.01</v>
      </c>
      <c r="U8" s="933">
        <f>(AQ8*KFC!$B$19+KFC!$C$19)*KFC!$C$5</f>
        <v>33.94</v>
      </c>
      <c r="V8" s="928"/>
      <c r="X8" s="923">
        <v>0.6</v>
      </c>
      <c r="Y8" s="929">
        <v>17.420000000000002</v>
      </c>
      <c r="Z8" s="929">
        <v>18.350000000000001</v>
      </c>
      <c r="AA8" s="929">
        <v>19.399999999999999</v>
      </c>
      <c r="AB8" s="929">
        <v>20.329999999999998</v>
      </c>
      <c r="AC8" s="929">
        <v>20.99</v>
      </c>
      <c r="AD8" s="929">
        <v>22.04</v>
      </c>
      <c r="AE8" s="929">
        <v>23.1</v>
      </c>
      <c r="AF8" s="929">
        <v>23.76</v>
      </c>
      <c r="AG8" s="929">
        <v>24.68</v>
      </c>
      <c r="AH8" s="929">
        <v>25.61</v>
      </c>
      <c r="AI8" s="929">
        <v>26.66</v>
      </c>
      <c r="AJ8" s="929">
        <v>27.59</v>
      </c>
      <c r="AK8" s="929">
        <v>28.64</v>
      </c>
      <c r="AL8" s="929">
        <v>29.3</v>
      </c>
      <c r="AM8" s="929">
        <v>30.23</v>
      </c>
      <c r="AN8" s="929">
        <v>31.15</v>
      </c>
      <c r="AO8" s="929">
        <v>32.08</v>
      </c>
      <c r="AP8" s="929">
        <v>33.01</v>
      </c>
      <c r="AQ8" s="929">
        <v>33.94</v>
      </c>
      <c r="AR8" s="929">
        <v>34.869999999999997</v>
      </c>
    </row>
    <row r="9" spans="1:44">
      <c r="A9" s="1538"/>
      <c r="B9" s="930">
        <v>0.7</v>
      </c>
      <c r="C9" s="931">
        <f>(Y9*KFC!$B$19+KFC!$C$19)*KFC!$C$5</f>
        <v>17.95</v>
      </c>
      <c r="D9" s="932">
        <f>(Z9*KFC!$B$19+KFC!$C$19)*KFC!$C$5</f>
        <v>18.739999999999998</v>
      </c>
      <c r="E9" s="932">
        <f>(AA9*KFC!$B$19+KFC!$C$19)*KFC!$C$5</f>
        <v>19.670000000000002</v>
      </c>
      <c r="F9" s="932">
        <f>(AB9*KFC!$B$19+KFC!$C$19)*KFC!$C$5</f>
        <v>20.86</v>
      </c>
      <c r="G9" s="932">
        <f>(AC9*KFC!$B$19+KFC!$C$19)*KFC!$C$5</f>
        <v>21.91</v>
      </c>
      <c r="H9" s="932">
        <f>(AD9*KFC!$B$19+KFC!$C$19)*KFC!$C$5</f>
        <v>22.7</v>
      </c>
      <c r="I9" s="932">
        <f>(AE9*KFC!$B$19+KFC!$C$19)*KFC!$C$5</f>
        <v>23.76</v>
      </c>
      <c r="J9" s="932">
        <f>(AF9*KFC!$B$19+KFC!$C$19)*KFC!$C$5</f>
        <v>24.68</v>
      </c>
      <c r="K9" s="932">
        <f>(AG9*KFC!$B$19+KFC!$C$19)*KFC!$C$5</f>
        <v>25.61</v>
      </c>
      <c r="L9" s="932">
        <f>(AH9*KFC!$B$19+KFC!$C$19)*KFC!$C$5</f>
        <v>26.8</v>
      </c>
      <c r="M9" s="932">
        <f>(AI9*KFC!$B$19+KFC!$C$19)*KFC!$C$5</f>
        <v>27.72</v>
      </c>
      <c r="N9" s="932">
        <f>(AJ9*KFC!$B$19+KFC!$C$19)*KFC!$C$5</f>
        <v>28.78</v>
      </c>
      <c r="O9" s="932">
        <f>(AK9*KFC!$B$19+KFC!$C$19)*KFC!$C$5</f>
        <v>29.83</v>
      </c>
      <c r="P9" s="932">
        <f>(AL9*KFC!$B$19+KFC!$C$19)*KFC!$C$5</f>
        <v>30.62</v>
      </c>
      <c r="Q9" s="932">
        <f>(AM9*KFC!$B$19+KFC!$C$19)*KFC!$C$5</f>
        <v>31.55</v>
      </c>
      <c r="R9" s="932">
        <f>(AN9*KFC!$B$19+KFC!$C$19)*KFC!$C$5</f>
        <v>32.47</v>
      </c>
      <c r="S9" s="932">
        <f>(AO9*KFC!$B$19+KFC!$C$19)*KFC!$C$5</f>
        <v>33.4</v>
      </c>
      <c r="T9" s="932">
        <f>(AP9*KFC!$B$19+KFC!$C$19)*KFC!$C$5</f>
        <v>34.33</v>
      </c>
      <c r="U9" s="933">
        <f>(AQ9*KFC!$B$19+KFC!$C$19)*KFC!$C$5</f>
        <v>35.26</v>
      </c>
      <c r="V9" s="928"/>
      <c r="X9" s="923">
        <v>0.7</v>
      </c>
      <c r="Y9" s="929">
        <v>17.95</v>
      </c>
      <c r="Z9" s="929">
        <v>18.739999999999998</v>
      </c>
      <c r="AA9" s="929">
        <v>19.670000000000002</v>
      </c>
      <c r="AB9" s="929">
        <v>20.86</v>
      </c>
      <c r="AC9" s="929">
        <v>21.91</v>
      </c>
      <c r="AD9" s="929">
        <v>22.7</v>
      </c>
      <c r="AE9" s="929">
        <v>23.76</v>
      </c>
      <c r="AF9" s="929">
        <v>24.68</v>
      </c>
      <c r="AG9" s="929">
        <v>25.61</v>
      </c>
      <c r="AH9" s="929">
        <v>26.8</v>
      </c>
      <c r="AI9" s="929">
        <v>27.72</v>
      </c>
      <c r="AJ9" s="929">
        <v>28.78</v>
      </c>
      <c r="AK9" s="929">
        <v>29.83</v>
      </c>
      <c r="AL9" s="929">
        <v>30.62</v>
      </c>
      <c r="AM9" s="929">
        <v>31.55</v>
      </c>
      <c r="AN9" s="929">
        <v>32.47</v>
      </c>
      <c r="AO9" s="929">
        <v>33.4</v>
      </c>
      <c r="AP9" s="929">
        <v>34.33</v>
      </c>
      <c r="AQ9" s="929">
        <v>35.26</v>
      </c>
      <c r="AR9" s="929">
        <v>36.19</v>
      </c>
    </row>
    <row r="10" spans="1:44">
      <c r="A10" s="1538"/>
      <c r="B10" s="930">
        <v>0.8</v>
      </c>
      <c r="C10" s="931">
        <f>(Y10*KFC!$B$19+KFC!$C$19)*KFC!$C$5</f>
        <v>18.22</v>
      </c>
      <c r="D10" s="932">
        <f>(Z10*KFC!$B$19+KFC!$C$19)*KFC!$C$5</f>
        <v>19.399999999999999</v>
      </c>
      <c r="E10" s="932">
        <f>(AA10*KFC!$B$19+KFC!$C$19)*KFC!$C$5</f>
        <v>20.329999999999998</v>
      </c>
      <c r="F10" s="932">
        <f>(AB10*KFC!$B$19+KFC!$C$19)*KFC!$C$5</f>
        <v>21.38</v>
      </c>
      <c r="G10" s="932">
        <f>(AC10*KFC!$B$19+KFC!$C$19)*KFC!$C$5</f>
        <v>22.44</v>
      </c>
      <c r="H10" s="932">
        <f>(AD10*KFC!$B$19+KFC!$C$19)*KFC!$C$5</f>
        <v>23.63</v>
      </c>
      <c r="I10" s="932">
        <f>(AE10*KFC!$B$19+KFC!$C$19)*KFC!$C$5</f>
        <v>24.42</v>
      </c>
      <c r="J10" s="932">
        <f>(AF10*KFC!$B$19+KFC!$C$19)*KFC!$C$5</f>
        <v>25.61</v>
      </c>
      <c r="K10" s="932">
        <f>(AG10*KFC!$B$19+KFC!$C$19)*KFC!$C$5</f>
        <v>26.8</v>
      </c>
      <c r="L10" s="932">
        <f>(AH10*KFC!$B$19+KFC!$C$19)*KFC!$C$5</f>
        <v>27.72</v>
      </c>
      <c r="M10" s="932">
        <f>(AI10*KFC!$B$19+KFC!$C$19)*KFC!$C$5</f>
        <v>28.78</v>
      </c>
      <c r="N10" s="932">
        <f>(AJ10*KFC!$B$19+KFC!$C$19)*KFC!$C$5</f>
        <v>29.96</v>
      </c>
      <c r="O10" s="932">
        <f>(AK10*KFC!$B$19+KFC!$C$19)*KFC!$C$5</f>
        <v>31.02</v>
      </c>
      <c r="P10" s="932">
        <f>(AL10*KFC!$B$19+KFC!$C$19)*KFC!$C$5</f>
        <v>32.08</v>
      </c>
      <c r="Q10" s="932">
        <f>(AM10*KFC!$B$19+KFC!$C$19)*KFC!$C$5</f>
        <v>33.26</v>
      </c>
      <c r="R10" s="932">
        <f>(AN10*KFC!$B$19+KFC!$C$19)*KFC!$C$5</f>
        <v>34.32</v>
      </c>
      <c r="S10" s="932">
        <f>(AO10*KFC!$B$19+KFC!$C$19)*KFC!$C$5</f>
        <v>35.51</v>
      </c>
      <c r="T10" s="932">
        <f>(AP10*KFC!$B$19+KFC!$C$19)*KFC!$C$5</f>
        <v>36.700000000000003</v>
      </c>
      <c r="U10" s="933">
        <f>(AQ10*KFC!$B$19+KFC!$C$19)*KFC!$C$5</f>
        <v>37.89</v>
      </c>
      <c r="V10" s="928"/>
      <c r="X10" s="923">
        <v>0.8</v>
      </c>
      <c r="Y10" s="929">
        <v>18.22</v>
      </c>
      <c r="Z10" s="929">
        <v>19.399999999999999</v>
      </c>
      <c r="AA10" s="929">
        <v>20.329999999999998</v>
      </c>
      <c r="AB10" s="929">
        <v>21.38</v>
      </c>
      <c r="AC10" s="929">
        <v>22.44</v>
      </c>
      <c r="AD10" s="929">
        <v>23.63</v>
      </c>
      <c r="AE10" s="929">
        <v>24.42</v>
      </c>
      <c r="AF10" s="929">
        <v>25.61</v>
      </c>
      <c r="AG10" s="929">
        <v>26.8</v>
      </c>
      <c r="AH10" s="929">
        <v>27.72</v>
      </c>
      <c r="AI10" s="929">
        <v>28.78</v>
      </c>
      <c r="AJ10" s="929">
        <v>29.96</v>
      </c>
      <c r="AK10" s="929">
        <v>31.02</v>
      </c>
      <c r="AL10" s="929">
        <v>32.08</v>
      </c>
      <c r="AM10" s="929">
        <v>33.26</v>
      </c>
      <c r="AN10" s="929">
        <v>34.32</v>
      </c>
      <c r="AO10" s="929">
        <v>35.51</v>
      </c>
      <c r="AP10" s="929">
        <v>36.700000000000003</v>
      </c>
      <c r="AQ10" s="929">
        <v>37.89</v>
      </c>
      <c r="AR10" s="929">
        <v>39.08</v>
      </c>
    </row>
    <row r="11" spans="1:44">
      <c r="A11" s="1538"/>
      <c r="B11" s="930">
        <v>0.9</v>
      </c>
      <c r="C11" s="931">
        <f>(Y11*KFC!$B$19+KFC!$C$19)*KFC!$C$5</f>
        <v>18.61</v>
      </c>
      <c r="D11" s="932">
        <f>(Z11*KFC!$B$19+KFC!$C$19)*KFC!$C$5</f>
        <v>19.670000000000002</v>
      </c>
      <c r="E11" s="932">
        <f>(AA11*KFC!$B$19+KFC!$C$19)*KFC!$C$5</f>
        <v>20.86</v>
      </c>
      <c r="F11" s="932">
        <f>(AB11*KFC!$B$19+KFC!$C$19)*KFC!$C$5</f>
        <v>22.04</v>
      </c>
      <c r="G11" s="932">
        <f>(AC11*KFC!$B$19+KFC!$C$19)*KFC!$C$5</f>
        <v>23.1</v>
      </c>
      <c r="H11" s="932">
        <f>(AD11*KFC!$B$19+KFC!$C$19)*KFC!$C$5</f>
        <v>24.42</v>
      </c>
      <c r="I11" s="932">
        <f>(AE11*KFC!$B$19+KFC!$C$19)*KFC!$C$5</f>
        <v>25.34</v>
      </c>
      <c r="J11" s="932">
        <f>(AF11*KFC!$B$19+KFC!$C$19)*KFC!$C$5</f>
        <v>26.53</v>
      </c>
      <c r="K11" s="932">
        <f>(AG11*KFC!$B$19+KFC!$C$19)*KFC!$C$5</f>
        <v>27.72</v>
      </c>
      <c r="L11" s="932">
        <f>(AH11*KFC!$B$19+KFC!$C$19)*KFC!$C$5</f>
        <v>28.78</v>
      </c>
      <c r="M11" s="932">
        <f>(AI11*KFC!$B$19+KFC!$C$19)*KFC!$C$5</f>
        <v>30.1</v>
      </c>
      <c r="N11" s="932">
        <f>(AJ11*KFC!$B$19+KFC!$C$19)*KFC!$C$5</f>
        <v>31.15</v>
      </c>
      <c r="O11" s="932">
        <f>(AK11*KFC!$B$19+KFC!$C$19)*KFC!$C$5</f>
        <v>32.21</v>
      </c>
      <c r="P11" s="932">
        <f>(AL11*KFC!$B$19+KFC!$C$19)*KFC!$C$5</f>
        <v>33.53</v>
      </c>
      <c r="Q11" s="932">
        <f>(AM11*KFC!$B$19+KFC!$C$19)*KFC!$C$5</f>
        <v>34.72</v>
      </c>
      <c r="R11" s="932">
        <f>(AN11*KFC!$B$19+KFC!$C$19)*KFC!$C$5</f>
        <v>36.04</v>
      </c>
      <c r="S11" s="932">
        <f>(AO11*KFC!$B$19+KFC!$C$19)*KFC!$C$5</f>
        <v>37.36</v>
      </c>
      <c r="T11" s="932">
        <f>(AP11*KFC!$B$19+KFC!$C$19)*KFC!$C$5</f>
        <v>38.68</v>
      </c>
      <c r="U11" s="933">
        <f>(AQ11*KFC!$B$19+KFC!$C$19)*KFC!$C$5</f>
        <v>40</v>
      </c>
      <c r="V11" s="928"/>
      <c r="X11" s="923">
        <v>0.9</v>
      </c>
      <c r="Y11" s="929">
        <v>18.61</v>
      </c>
      <c r="Z11" s="929">
        <v>19.670000000000002</v>
      </c>
      <c r="AA11" s="929">
        <v>20.86</v>
      </c>
      <c r="AB11" s="929">
        <v>22.04</v>
      </c>
      <c r="AC11" s="929">
        <v>23.1</v>
      </c>
      <c r="AD11" s="929">
        <v>24.42</v>
      </c>
      <c r="AE11" s="929">
        <v>25.34</v>
      </c>
      <c r="AF11" s="929">
        <v>26.53</v>
      </c>
      <c r="AG11" s="929">
        <v>27.72</v>
      </c>
      <c r="AH11" s="929">
        <v>28.78</v>
      </c>
      <c r="AI11" s="929">
        <v>30.1</v>
      </c>
      <c r="AJ11" s="929">
        <v>31.15</v>
      </c>
      <c r="AK11" s="929">
        <v>32.21</v>
      </c>
      <c r="AL11" s="929">
        <v>33.53</v>
      </c>
      <c r="AM11" s="929">
        <v>34.72</v>
      </c>
      <c r="AN11" s="929">
        <v>36.04</v>
      </c>
      <c r="AO11" s="929">
        <v>37.36</v>
      </c>
      <c r="AP11" s="929">
        <v>38.68</v>
      </c>
      <c r="AQ11" s="929">
        <v>40</v>
      </c>
      <c r="AR11" s="929">
        <v>41.32</v>
      </c>
    </row>
    <row r="12" spans="1:44">
      <c r="A12" s="1538"/>
      <c r="B12" s="930">
        <v>1</v>
      </c>
      <c r="C12" s="931">
        <f>(Y12*KFC!$B$19+KFC!$C$19)*KFC!$C$5</f>
        <v>18.739999999999998</v>
      </c>
      <c r="D12" s="932">
        <f>(Z12*KFC!$B$19+KFC!$C$19)*KFC!$C$5</f>
        <v>20.2</v>
      </c>
      <c r="E12" s="932">
        <f>(AA12*KFC!$B$19+KFC!$C$19)*KFC!$C$5</f>
        <v>21.38</v>
      </c>
      <c r="F12" s="932">
        <f>(AB12*KFC!$B$19+KFC!$C$19)*KFC!$C$5</f>
        <v>22.57</v>
      </c>
      <c r="G12" s="932">
        <f>(AC12*KFC!$B$19+KFC!$C$19)*KFC!$C$5</f>
        <v>23.76</v>
      </c>
      <c r="H12" s="932">
        <f>(AD12*KFC!$B$19+KFC!$C$19)*KFC!$C$5</f>
        <v>25.08</v>
      </c>
      <c r="I12" s="932">
        <f>(AE12*KFC!$B$19+KFC!$C$19)*KFC!$C$5</f>
        <v>26</v>
      </c>
      <c r="J12" s="932">
        <f>(AF12*KFC!$B$19+KFC!$C$19)*KFC!$C$5</f>
        <v>27.32</v>
      </c>
      <c r="K12" s="932">
        <f>(AG12*KFC!$B$19+KFC!$C$19)*KFC!$C$5</f>
        <v>28.64</v>
      </c>
      <c r="L12" s="932">
        <f>(AH12*KFC!$B$19+KFC!$C$19)*KFC!$C$5</f>
        <v>29.96</v>
      </c>
      <c r="M12" s="932">
        <f>(AI12*KFC!$B$19+KFC!$C$19)*KFC!$C$5</f>
        <v>31.15</v>
      </c>
      <c r="N12" s="932">
        <f>(AJ12*KFC!$B$19+KFC!$C$19)*KFC!$C$5</f>
        <v>32.340000000000003</v>
      </c>
      <c r="O12" s="932">
        <f>(AK12*KFC!$B$19+KFC!$C$19)*KFC!$C$5</f>
        <v>33.53</v>
      </c>
      <c r="P12" s="932">
        <f>(AL12*KFC!$B$19+KFC!$C$19)*KFC!$C$5</f>
        <v>34.72</v>
      </c>
      <c r="Q12" s="932">
        <f>(AM12*KFC!$B$19+KFC!$C$19)*KFC!$C$5</f>
        <v>36.04</v>
      </c>
      <c r="R12" s="932">
        <f>(AN12*KFC!$B$19+KFC!$C$19)*KFC!$C$5</f>
        <v>37.36</v>
      </c>
      <c r="S12" s="932">
        <f>(AO12*KFC!$B$19+KFC!$C$19)*KFC!$C$5</f>
        <v>38.54</v>
      </c>
      <c r="T12" s="932">
        <f>(AP12*KFC!$B$19+KFC!$C$19)*KFC!$C$5</f>
        <v>39.72</v>
      </c>
      <c r="U12" s="933">
        <f>(AQ12*KFC!$B$19+KFC!$C$19)*KFC!$C$5</f>
        <v>40.9</v>
      </c>
      <c r="V12" s="928"/>
      <c r="X12" s="923">
        <v>1</v>
      </c>
      <c r="Y12" s="929">
        <v>18.739999999999998</v>
      </c>
      <c r="Z12" s="929">
        <v>20.2</v>
      </c>
      <c r="AA12" s="929">
        <v>21.38</v>
      </c>
      <c r="AB12" s="929">
        <v>22.57</v>
      </c>
      <c r="AC12" s="929">
        <v>23.76</v>
      </c>
      <c r="AD12" s="929">
        <v>25.08</v>
      </c>
      <c r="AE12" s="929">
        <v>26</v>
      </c>
      <c r="AF12" s="929">
        <v>27.32</v>
      </c>
      <c r="AG12" s="929">
        <v>28.64</v>
      </c>
      <c r="AH12" s="929">
        <v>29.96</v>
      </c>
      <c r="AI12" s="929">
        <v>31.15</v>
      </c>
      <c r="AJ12" s="929">
        <v>32.340000000000003</v>
      </c>
      <c r="AK12" s="929">
        <v>33.53</v>
      </c>
      <c r="AL12" s="929">
        <v>34.72</v>
      </c>
      <c r="AM12" s="929">
        <v>36.04</v>
      </c>
      <c r="AN12" s="929">
        <v>37.36</v>
      </c>
      <c r="AO12" s="929">
        <v>38.54</v>
      </c>
      <c r="AP12" s="929">
        <v>39.72</v>
      </c>
      <c r="AQ12" s="929">
        <v>40.9</v>
      </c>
      <c r="AR12" s="929">
        <v>42.08</v>
      </c>
    </row>
    <row r="13" spans="1:44">
      <c r="A13" s="1538"/>
      <c r="B13" s="930">
        <v>1.1000000000000001</v>
      </c>
      <c r="C13" s="931">
        <f>(Y13*KFC!$B$19+KFC!$C$19)*KFC!$C$5</f>
        <v>19.399999999999999</v>
      </c>
      <c r="D13" s="932">
        <f>(Z13*KFC!$B$19+KFC!$C$19)*KFC!$C$5</f>
        <v>20.46</v>
      </c>
      <c r="E13" s="932">
        <f>(AA13*KFC!$B$19+KFC!$C$19)*KFC!$C$5</f>
        <v>21.91</v>
      </c>
      <c r="F13" s="932">
        <f>(AB13*KFC!$B$19+KFC!$C$19)*KFC!$C$5</f>
        <v>23.23</v>
      </c>
      <c r="G13" s="932">
        <f>(AC13*KFC!$B$19+KFC!$C$19)*KFC!$C$5</f>
        <v>24.42</v>
      </c>
      <c r="H13" s="932">
        <f>(AD13*KFC!$B$19+KFC!$C$19)*KFC!$C$5</f>
        <v>25.61</v>
      </c>
      <c r="I13" s="932">
        <f>(AE13*KFC!$B$19+KFC!$C$19)*KFC!$C$5</f>
        <v>27.06</v>
      </c>
      <c r="J13" s="932">
        <f>(AF13*KFC!$B$19+KFC!$C$19)*KFC!$C$5</f>
        <v>28.38</v>
      </c>
      <c r="K13" s="932">
        <f>(AG13*KFC!$B$19+KFC!$C$19)*KFC!$C$5</f>
        <v>29.44</v>
      </c>
      <c r="L13" s="932">
        <f>(AH13*KFC!$B$19+KFC!$C$19)*KFC!$C$5</f>
        <v>31.02</v>
      </c>
      <c r="M13" s="932">
        <f>(AI13*KFC!$B$19+KFC!$C$19)*KFC!$C$5</f>
        <v>32.21</v>
      </c>
      <c r="N13" s="932">
        <f>(AJ13*KFC!$B$19+KFC!$C$19)*KFC!$C$5</f>
        <v>33.53</v>
      </c>
      <c r="O13" s="932">
        <f>(AK13*KFC!$B$19+KFC!$C$19)*KFC!$C$5</f>
        <v>34.72</v>
      </c>
      <c r="P13" s="932">
        <f>(AL13*KFC!$B$19+KFC!$C$19)*KFC!$C$5</f>
        <v>36.17</v>
      </c>
      <c r="Q13" s="932">
        <f>(AM13*KFC!$B$19+KFC!$C$19)*KFC!$C$5</f>
        <v>37.49</v>
      </c>
      <c r="R13" s="932">
        <f>(AN13*KFC!$B$19+KFC!$C$19)*KFC!$C$5</f>
        <v>38.94</v>
      </c>
      <c r="S13" s="932">
        <f>(AO13*KFC!$B$19+KFC!$C$19)*KFC!$C$5</f>
        <v>40.26</v>
      </c>
      <c r="T13" s="932">
        <f>(AP13*KFC!$B$19+KFC!$C$19)*KFC!$C$5</f>
        <v>41.58</v>
      </c>
      <c r="U13" s="933">
        <f>(AQ13*KFC!$B$19+KFC!$C$19)*KFC!$C$5</f>
        <v>42.9</v>
      </c>
      <c r="V13" s="928"/>
      <c r="X13" s="923">
        <v>1.1000000000000001</v>
      </c>
      <c r="Y13" s="929">
        <v>19.399999999999999</v>
      </c>
      <c r="Z13" s="929">
        <v>20.46</v>
      </c>
      <c r="AA13" s="929">
        <v>21.91</v>
      </c>
      <c r="AB13" s="929">
        <v>23.23</v>
      </c>
      <c r="AC13" s="929">
        <v>24.42</v>
      </c>
      <c r="AD13" s="929">
        <v>25.61</v>
      </c>
      <c r="AE13" s="929">
        <v>27.06</v>
      </c>
      <c r="AF13" s="929">
        <v>28.38</v>
      </c>
      <c r="AG13" s="929">
        <v>29.44</v>
      </c>
      <c r="AH13" s="929">
        <v>31.02</v>
      </c>
      <c r="AI13" s="929">
        <v>32.21</v>
      </c>
      <c r="AJ13" s="929">
        <v>33.53</v>
      </c>
      <c r="AK13" s="929">
        <v>34.72</v>
      </c>
      <c r="AL13" s="929">
        <v>36.17</v>
      </c>
      <c r="AM13" s="929">
        <v>37.49</v>
      </c>
      <c r="AN13" s="929">
        <v>38.94</v>
      </c>
      <c r="AO13" s="929">
        <v>40.26</v>
      </c>
      <c r="AP13" s="929">
        <v>41.58</v>
      </c>
      <c r="AQ13" s="929">
        <v>42.9</v>
      </c>
      <c r="AR13" s="929">
        <v>44.22</v>
      </c>
    </row>
    <row r="14" spans="1:44">
      <c r="A14" s="1538"/>
      <c r="B14" s="930">
        <v>1.2</v>
      </c>
      <c r="C14" s="931">
        <f>(Y14*KFC!$B$19+KFC!$C$19)*KFC!$C$5</f>
        <v>19.670000000000002</v>
      </c>
      <c r="D14" s="932">
        <f>(Z14*KFC!$B$19+KFC!$C$19)*KFC!$C$5</f>
        <v>20.99</v>
      </c>
      <c r="E14" s="932">
        <f>(AA14*KFC!$B$19+KFC!$C$19)*KFC!$C$5</f>
        <v>22.44</v>
      </c>
      <c r="F14" s="932">
        <f>(AB14*KFC!$B$19+KFC!$C$19)*KFC!$C$5</f>
        <v>23.63</v>
      </c>
      <c r="G14" s="932">
        <f>(AC14*KFC!$B$19+KFC!$C$19)*KFC!$C$5</f>
        <v>25.08</v>
      </c>
      <c r="H14" s="932">
        <f>(AD14*KFC!$B$19+KFC!$C$19)*KFC!$C$5</f>
        <v>26.53</v>
      </c>
      <c r="I14" s="932">
        <f>(AE14*KFC!$B$19+KFC!$C$19)*KFC!$C$5</f>
        <v>27.85</v>
      </c>
      <c r="J14" s="932">
        <f>(AF14*KFC!$B$19+KFC!$C$19)*KFC!$C$5</f>
        <v>29.3</v>
      </c>
      <c r="K14" s="932">
        <f>(AG14*KFC!$B$19+KFC!$C$19)*KFC!$C$5</f>
        <v>30.49</v>
      </c>
      <c r="L14" s="932">
        <f>(AH14*KFC!$B$19+KFC!$C$19)*KFC!$C$5</f>
        <v>31.81</v>
      </c>
      <c r="M14" s="932">
        <f>(AI14*KFC!$B$19+KFC!$C$19)*KFC!$C$5</f>
        <v>33.4</v>
      </c>
      <c r="N14" s="932">
        <f>(AJ14*KFC!$B$19+KFC!$C$19)*KFC!$C$5</f>
        <v>34.72</v>
      </c>
      <c r="O14" s="932">
        <f>(AK14*KFC!$B$19+KFC!$C$19)*KFC!$C$5</f>
        <v>36.17</v>
      </c>
      <c r="P14" s="932">
        <f>(AL14*KFC!$B$19+KFC!$C$19)*KFC!$C$5</f>
        <v>37.49</v>
      </c>
      <c r="Q14" s="932">
        <f>(AM14*KFC!$B$19+KFC!$C$19)*KFC!$C$5</f>
        <v>38.68</v>
      </c>
      <c r="R14" s="932">
        <f>(AN14*KFC!$B$19+KFC!$C$19)*KFC!$C$5</f>
        <v>40</v>
      </c>
      <c r="S14" s="932">
        <f>(AO14*KFC!$B$19+KFC!$C$19)*KFC!$C$5</f>
        <v>41.18</v>
      </c>
      <c r="T14" s="932">
        <f>(AP14*KFC!$B$19+KFC!$C$19)*KFC!$C$5</f>
        <v>42.36</v>
      </c>
      <c r="U14" s="933">
        <f>(AQ14*KFC!$B$19+KFC!$C$19)*KFC!$C$5</f>
        <v>43.54</v>
      </c>
      <c r="V14" s="928"/>
      <c r="X14" s="923">
        <v>1.2</v>
      </c>
      <c r="Y14" s="929">
        <v>19.670000000000002</v>
      </c>
      <c r="Z14" s="929">
        <v>20.99</v>
      </c>
      <c r="AA14" s="929">
        <v>22.44</v>
      </c>
      <c r="AB14" s="929">
        <v>23.63</v>
      </c>
      <c r="AC14" s="929">
        <v>25.08</v>
      </c>
      <c r="AD14" s="929">
        <v>26.53</v>
      </c>
      <c r="AE14" s="929">
        <v>27.85</v>
      </c>
      <c r="AF14" s="929">
        <v>29.3</v>
      </c>
      <c r="AG14" s="929">
        <v>30.49</v>
      </c>
      <c r="AH14" s="929">
        <v>31.81</v>
      </c>
      <c r="AI14" s="929">
        <v>33.4</v>
      </c>
      <c r="AJ14" s="929">
        <v>34.72</v>
      </c>
      <c r="AK14" s="929">
        <v>36.17</v>
      </c>
      <c r="AL14" s="929">
        <v>37.49</v>
      </c>
      <c r="AM14" s="929">
        <v>38.68</v>
      </c>
      <c r="AN14" s="929">
        <v>40</v>
      </c>
      <c r="AO14" s="929">
        <v>41.18</v>
      </c>
      <c r="AP14" s="929">
        <v>42.36</v>
      </c>
      <c r="AQ14" s="929">
        <v>43.54</v>
      </c>
      <c r="AR14" s="929">
        <v>44.72</v>
      </c>
    </row>
    <row r="15" spans="1:44">
      <c r="A15" s="1538"/>
      <c r="B15" s="930">
        <v>1.3</v>
      </c>
      <c r="C15" s="931">
        <f>(Y15*KFC!$B$19+KFC!$C$19)*KFC!$C$5</f>
        <v>19.93</v>
      </c>
      <c r="D15" s="932">
        <f>(Z15*KFC!$B$19+KFC!$C$19)*KFC!$C$5</f>
        <v>21.38</v>
      </c>
      <c r="E15" s="932">
        <f>(AA15*KFC!$B$19+KFC!$C$19)*KFC!$C$5</f>
        <v>22.84</v>
      </c>
      <c r="F15" s="932">
        <f>(AB15*KFC!$B$19+KFC!$C$19)*KFC!$C$5</f>
        <v>24.42</v>
      </c>
      <c r="G15" s="932">
        <f>(AC15*KFC!$B$19+KFC!$C$19)*KFC!$C$5</f>
        <v>25.61</v>
      </c>
      <c r="H15" s="932">
        <f>(AD15*KFC!$B$19+KFC!$C$19)*KFC!$C$5</f>
        <v>27.19</v>
      </c>
      <c r="I15" s="932">
        <f>(AE15*KFC!$B$19+KFC!$C$19)*KFC!$C$5</f>
        <v>28.64</v>
      </c>
      <c r="J15" s="932">
        <f>(AF15*KFC!$B$19+KFC!$C$19)*KFC!$C$5</f>
        <v>30.1</v>
      </c>
      <c r="K15" s="932">
        <f>(AG15*KFC!$B$19+KFC!$C$19)*KFC!$C$5</f>
        <v>31.55</v>
      </c>
      <c r="L15" s="932">
        <f>(AH15*KFC!$B$19+KFC!$C$19)*KFC!$C$5</f>
        <v>32.869999999999997</v>
      </c>
      <c r="M15" s="932">
        <f>(AI15*KFC!$B$19+KFC!$C$19)*KFC!$C$5</f>
        <v>34.32</v>
      </c>
      <c r="N15" s="932">
        <f>(AJ15*KFC!$B$19+KFC!$C$19)*KFC!$C$5</f>
        <v>35.770000000000003</v>
      </c>
      <c r="O15" s="932">
        <f>(AK15*KFC!$B$19+KFC!$C$19)*KFC!$C$5</f>
        <v>37.49</v>
      </c>
      <c r="P15" s="932">
        <f>(AL15*KFC!$B$19+KFC!$C$19)*KFC!$C$5</f>
        <v>38.81</v>
      </c>
      <c r="Q15" s="932">
        <f>(AM15*KFC!$B$19+KFC!$C$19)*KFC!$C$5</f>
        <v>40.130000000000003</v>
      </c>
      <c r="R15" s="932">
        <f>(AN15*KFC!$B$19+KFC!$C$19)*KFC!$C$5</f>
        <v>41.71</v>
      </c>
      <c r="S15" s="932">
        <f>(AO15*KFC!$B$19+KFC!$C$19)*KFC!$C$5</f>
        <v>43.03</v>
      </c>
      <c r="T15" s="932">
        <f>(AP15*KFC!$B$19+KFC!$C$19)*KFC!$C$5</f>
        <v>44.35</v>
      </c>
      <c r="U15" s="933">
        <f>(AQ15*KFC!$B$19+KFC!$C$19)*KFC!$C$5</f>
        <v>45.67</v>
      </c>
      <c r="V15" s="928"/>
      <c r="X15" s="923">
        <v>1.3</v>
      </c>
      <c r="Y15" s="929">
        <v>19.93</v>
      </c>
      <c r="Z15" s="929">
        <v>21.38</v>
      </c>
      <c r="AA15" s="929">
        <v>22.84</v>
      </c>
      <c r="AB15" s="929">
        <v>24.42</v>
      </c>
      <c r="AC15" s="929">
        <v>25.61</v>
      </c>
      <c r="AD15" s="929">
        <v>27.19</v>
      </c>
      <c r="AE15" s="929">
        <v>28.64</v>
      </c>
      <c r="AF15" s="929">
        <v>30.1</v>
      </c>
      <c r="AG15" s="929">
        <v>31.55</v>
      </c>
      <c r="AH15" s="929">
        <v>32.869999999999997</v>
      </c>
      <c r="AI15" s="929">
        <v>34.32</v>
      </c>
      <c r="AJ15" s="929">
        <v>35.770000000000003</v>
      </c>
      <c r="AK15" s="929">
        <v>37.49</v>
      </c>
      <c r="AL15" s="929">
        <v>38.81</v>
      </c>
      <c r="AM15" s="929">
        <v>40.130000000000003</v>
      </c>
      <c r="AN15" s="929">
        <v>41.71</v>
      </c>
      <c r="AO15" s="929">
        <v>43.03</v>
      </c>
      <c r="AP15" s="929">
        <v>44.35</v>
      </c>
      <c r="AQ15" s="929">
        <v>45.67</v>
      </c>
      <c r="AR15" s="929">
        <v>46.99</v>
      </c>
    </row>
    <row r="16" spans="1:44">
      <c r="A16" s="1538"/>
      <c r="B16" s="930">
        <v>1.4</v>
      </c>
      <c r="C16" s="931">
        <f>(Y16*KFC!$B$19+KFC!$C$19)*KFC!$C$5</f>
        <v>20.329999999999998</v>
      </c>
      <c r="D16" s="932">
        <f>(Z16*KFC!$B$19+KFC!$C$19)*KFC!$C$5</f>
        <v>21.91</v>
      </c>
      <c r="E16" s="932">
        <f>(AA16*KFC!$B$19+KFC!$C$19)*KFC!$C$5</f>
        <v>23.23</v>
      </c>
      <c r="F16" s="932">
        <f>(AB16*KFC!$B$19+KFC!$C$19)*KFC!$C$5</f>
        <v>24.95</v>
      </c>
      <c r="G16" s="932">
        <f>(AC16*KFC!$B$19+KFC!$C$19)*KFC!$C$5</f>
        <v>26.53</v>
      </c>
      <c r="H16" s="932">
        <f>(AD16*KFC!$B$19+KFC!$C$19)*KFC!$C$5</f>
        <v>27.85</v>
      </c>
      <c r="I16" s="932">
        <f>(AE16*KFC!$B$19+KFC!$C$19)*KFC!$C$5</f>
        <v>29.3</v>
      </c>
      <c r="J16" s="932">
        <f>(AF16*KFC!$B$19+KFC!$C$19)*KFC!$C$5</f>
        <v>31.02</v>
      </c>
      <c r="K16" s="932">
        <f>(AG16*KFC!$B$19+KFC!$C$19)*KFC!$C$5</f>
        <v>32.74</v>
      </c>
      <c r="L16" s="932">
        <f>(AH16*KFC!$B$19+KFC!$C$19)*KFC!$C$5</f>
        <v>34.06</v>
      </c>
      <c r="M16" s="932">
        <f>(AI16*KFC!$B$19+KFC!$C$19)*KFC!$C$5</f>
        <v>35.51</v>
      </c>
      <c r="N16" s="932">
        <f>(AJ16*KFC!$B$19+KFC!$C$19)*KFC!$C$5</f>
        <v>36.96</v>
      </c>
      <c r="O16" s="932">
        <f>(AK16*KFC!$B$19+KFC!$C$19)*KFC!$C$5</f>
        <v>38.54</v>
      </c>
      <c r="P16" s="932">
        <f>(AL16*KFC!$B$19+KFC!$C$19)*KFC!$C$5</f>
        <v>40.130000000000003</v>
      </c>
      <c r="Q16" s="932">
        <f>(AM16*KFC!$B$19+KFC!$C$19)*KFC!$C$5</f>
        <v>41.84</v>
      </c>
      <c r="R16" s="932">
        <f>(AN16*KFC!$B$19+KFC!$C$19)*KFC!$C$5</f>
        <v>43.43</v>
      </c>
      <c r="S16" s="932">
        <f>(AO16*KFC!$B$19+KFC!$C$19)*KFC!$C$5</f>
        <v>45.14</v>
      </c>
      <c r="T16" s="932">
        <f>(AP16*KFC!$B$19+KFC!$C$19)*KFC!$C$5</f>
        <v>46.85</v>
      </c>
      <c r="U16" s="933">
        <f>(AQ16*KFC!$B$19+KFC!$C$19)*KFC!$C$5</f>
        <v>48.56</v>
      </c>
      <c r="V16" s="928"/>
      <c r="X16" s="923">
        <v>1.4</v>
      </c>
      <c r="Y16" s="929">
        <v>20.329999999999998</v>
      </c>
      <c r="Z16" s="929">
        <v>21.91</v>
      </c>
      <c r="AA16" s="929">
        <v>23.23</v>
      </c>
      <c r="AB16" s="929">
        <v>24.95</v>
      </c>
      <c r="AC16" s="929">
        <v>26.53</v>
      </c>
      <c r="AD16" s="929">
        <v>27.85</v>
      </c>
      <c r="AE16" s="929">
        <v>29.3</v>
      </c>
      <c r="AF16" s="929">
        <v>31.02</v>
      </c>
      <c r="AG16" s="929">
        <v>32.74</v>
      </c>
      <c r="AH16" s="929">
        <v>34.06</v>
      </c>
      <c r="AI16" s="929">
        <v>35.51</v>
      </c>
      <c r="AJ16" s="929">
        <v>36.96</v>
      </c>
      <c r="AK16" s="929">
        <v>38.54</v>
      </c>
      <c r="AL16" s="929">
        <v>40.130000000000003</v>
      </c>
      <c r="AM16" s="929">
        <v>41.84</v>
      </c>
      <c r="AN16" s="929">
        <v>43.43</v>
      </c>
      <c r="AO16" s="929">
        <v>45.14</v>
      </c>
      <c r="AP16" s="929">
        <v>46.85</v>
      </c>
      <c r="AQ16" s="929">
        <v>48.56</v>
      </c>
      <c r="AR16" s="929">
        <v>50.27</v>
      </c>
    </row>
    <row r="17" spans="1:44">
      <c r="A17" s="1538"/>
      <c r="B17" s="930">
        <v>1.5</v>
      </c>
      <c r="C17" s="931">
        <f>(Y17*KFC!$B$19+KFC!$C$19)*KFC!$C$5</f>
        <v>20.86</v>
      </c>
      <c r="D17" s="932">
        <f>(Z17*KFC!$B$19+KFC!$C$19)*KFC!$C$5</f>
        <v>22.18</v>
      </c>
      <c r="E17" s="932">
        <f>(AA17*KFC!$B$19+KFC!$C$19)*KFC!$C$5</f>
        <v>23.76</v>
      </c>
      <c r="F17" s="932">
        <f>(AB17*KFC!$B$19+KFC!$C$19)*KFC!$C$5</f>
        <v>25.61</v>
      </c>
      <c r="G17" s="932">
        <f>(AC17*KFC!$B$19+KFC!$C$19)*KFC!$C$5</f>
        <v>27.06</v>
      </c>
      <c r="H17" s="932">
        <f>(AD17*KFC!$B$19+KFC!$C$19)*KFC!$C$5</f>
        <v>28.64</v>
      </c>
      <c r="I17" s="932">
        <f>(AE17*KFC!$B$19+KFC!$C$19)*KFC!$C$5</f>
        <v>30.23</v>
      </c>
      <c r="J17" s="932">
        <f>(AF17*KFC!$B$19+KFC!$C$19)*KFC!$C$5</f>
        <v>31.81</v>
      </c>
      <c r="K17" s="932">
        <f>(AG17*KFC!$B$19+KFC!$C$19)*KFC!$C$5</f>
        <v>33.53</v>
      </c>
      <c r="L17" s="932">
        <f>(AH17*KFC!$B$19+KFC!$C$19)*KFC!$C$5</f>
        <v>35.11</v>
      </c>
      <c r="M17" s="932">
        <f>(AI17*KFC!$B$19+KFC!$C$19)*KFC!$C$5</f>
        <v>36.83</v>
      </c>
      <c r="N17" s="932">
        <f>(AJ17*KFC!$B$19+KFC!$C$19)*KFC!$C$5</f>
        <v>38.409999999999997</v>
      </c>
      <c r="O17" s="932">
        <f>(AK17*KFC!$B$19+KFC!$C$19)*KFC!$C$5</f>
        <v>39.86</v>
      </c>
      <c r="P17" s="932">
        <f>(AL17*KFC!$B$19+KFC!$C$19)*KFC!$C$5</f>
        <v>41.32</v>
      </c>
      <c r="Q17" s="932">
        <f>(AM17*KFC!$B$19+KFC!$C$19)*KFC!$C$5</f>
        <v>42.9</v>
      </c>
      <c r="R17" s="932">
        <f>(AN17*KFC!$B$19+KFC!$C$19)*KFC!$C$5</f>
        <v>44.35</v>
      </c>
      <c r="S17" s="932">
        <f>(AO17*KFC!$B$19+KFC!$C$19)*KFC!$C$5</f>
        <v>45.8</v>
      </c>
      <c r="T17" s="932">
        <f>(AP17*KFC!$B$19+KFC!$C$19)*KFC!$C$5</f>
        <v>47.25</v>
      </c>
      <c r="U17" s="933">
        <f>(AQ17*KFC!$B$19+KFC!$C$19)*KFC!$C$5</f>
        <v>48.7</v>
      </c>
      <c r="V17" s="928"/>
      <c r="X17" s="923">
        <v>1.5</v>
      </c>
      <c r="Y17" s="929">
        <v>20.86</v>
      </c>
      <c r="Z17" s="929">
        <v>22.18</v>
      </c>
      <c r="AA17" s="929">
        <v>23.76</v>
      </c>
      <c r="AB17" s="929">
        <v>25.61</v>
      </c>
      <c r="AC17" s="929">
        <v>27.06</v>
      </c>
      <c r="AD17" s="929">
        <v>28.64</v>
      </c>
      <c r="AE17" s="929">
        <v>30.23</v>
      </c>
      <c r="AF17" s="929">
        <v>31.81</v>
      </c>
      <c r="AG17" s="929">
        <v>33.53</v>
      </c>
      <c r="AH17" s="929">
        <v>35.11</v>
      </c>
      <c r="AI17" s="929">
        <v>36.83</v>
      </c>
      <c r="AJ17" s="929">
        <v>38.409999999999997</v>
      </c>
      <c r="AK17" s="929">
        <v>39.86</v>
      </c>
      <c r="AL17" s="929">
        <v>41.32</v>
      </c>
      <c r="AM17" s="929">
        <v>42.9</v>
      </c>
      <c r="AN17" s="929">
        <v>44.35</v>
      </c>
      <c r="AO17" s="929">
        <v>45.8</v>
      </c>
      <c r="AP17" s="929">
        <v>47.25</v>
      </c>
      <c r="AQ17" s="929">
        <v>48.7</v>
      </c>
      <c r="AR17" s="929">
        <v>50.15</v>
      </c>
    </row>
    <row r="18" spans="1:44">
      <c r="A18" s="1538"/>
      <c r="B18" s="930">
        <v>1.6</v>
      </c>
      <c r="C18" s="931">
        <f>(Y18*KFC!$B$19+KFC!$C$19)*KFC!$C$5</f>
        <v>20.99</v>
      </c>
      <c r="D18" s="932">
        <f>(Z18*KFC!$B$19+KFC!$C$19)*KFC!$C$5</f>
        <v>22.7</v>
      </c>
      <c r="E18" s="932">
        <f>(AA18*KFC!$B$19+KFC!$C$19)*KFC!$C$5</f>
        <v>24.42</v>
      </c>
      <c r="F18" s="932">
        <f>(AB18*KFC!$B$19+KFC!$C$19)*KFC!$C$5</f>
        <v>26</v>
      </c>
      <c r="G18" s="932">
        <f>(AC18*KFC!$B$19+KFC!$C$19)*KFC!$C$5</f>
        <v>27.72</v>
      </c>
      <c r="H18" s="932">
        <f>(AD18*KFC!$B$19+KFC!$C$19)*KFC!$C$5</f>
        <v>29.3</v>
      </c>
      <c r="I18" s="932">
        <f>(AE18*KFC!$B$19+KFC!$C$19)*KFC!$C$5</f>
        <v>31.15</v>
      </c>
      <c r="J18" s="932">
        <f>(AF18*KFC!$B$19+KFC!$C$19)*KFC!$C$5</f>
        <v>32.74</v>
      </c>
      <c r="K18" s="932">
        <f>(AG18*KFC!$B$19+KFC!$C$19)*KFC!$C$5</f>
        <v>34.32</v>
      </c>
      <c r="L18" s="932">
        <f>(AH18*KFC!$B$19+KFC!$C$19)*KFC!$C$5</f>
        <v>36.17</v>
      </c>
      <c r="M18" s="932">
        <f>(AI18*KFC!$B$19+KFC!$C$19)*KFC!$C$5</f>
        <v>37.75</v>
      </c>
      <c r="N18" s="932">
        <f>(AJ18*KFC!$B$19+KFC!$C$19)*KFC!$C$5</f>
        <v>39.200000000000003</v>
      </c>
      <c r="O18" s="932">
        <f>(AK18*KFC!$B$19+KFC!$C$19)*KFC!$C$5</f>
        <v>41.05</v>
      </c>
      <c r="P18" s="932">
        <f>(AL18*KFC!$B$19+KFC!$C$19)*KFC!$C$5</f>
        <v>42.64</v>
      </c>
      <c r="Q18" s="932">
        <f>(AM18*KFC!$B$19+KFC!$C$19)*KFC!$C$5</f>
        <v>44.35</v>
      </c>
      <c r="R18" s="932">
        <f>(AN18*KFC!$B$19+KFC!$C$19)*KFC!$C$5</f>
        <v>45.94</v>
      </c>
      <c r="S18" s="932">
        <f>(AO18*KFC!$B$19+KFC!$C$19)*KFC!$C$5</f>
        <v>47.65</v>
      </c>
      <c r="T18" s="932">
        <f>(AP18*KFC!$B$19+KFC!$C$19)*KFC!$C$5</f>
        <v>49.36</v>
      </c>
      <c r="U18" s="933">
        <f>(AQ18*KFC!$B$19+KFC!$C$19)*KFC!$C$5</f>
        <v>51.07</v>
      </c>
      <c r="V18" s="928"/>
      <c r="X18" s="923">
        <v>1.6</v>
      </c>
      <c r="Y18" s="929">
        <v>20.99</v>
      </c>
      <c r="Z18" s="929">
        <v>22.7</v>
      </c>
      <c r="AA18" s="929">
        <v>24.42</v>
      </c>
      <c r="AB18" s="929">
        <v>26</v>
      </c>
      <c r="AC18" s="929">
        <v>27.72</v>
      </c>
      <c r="AD18" s="929">
        <v>29.3</v>
      </c>
      <c r="AE18" s="929">
        <v>31.15</v>
      </c>
      <c r="AF18" s="929">
        <v>32.74</v>
      </c>
      <c r="AG18" s="929">
        <v>34.32</v>
      </c>
      <c r="AH18" s="929">
        <v>36.17</v>
      </c>
      <c r="AI18" s="929">
        <v>37.75</v>
      </c>
      <c r="AJ18" s="929">
        <v>39.200000000000003</v>
      </c>
      <c r="AK18" s="929">
        <v>41.05</v>
      </c>
      <c r="AL18" s="929">
        <v>42.64</v>
      </c>
      <c r="AM18" s="929">
        <v>44.35</v>
      </c>
      <c r="AN18" s="929">
        <v>45.94</v>
      </c>
      <c r="AO18" s="929">
        <v>47.65</v>
      </c>
      <c r="AP18" s="929">
        <v>49.36</v>
      </c>
      <c r="AQ18" s="929">
        <v>51.07</v>
      </c>
      <c r="AR18" s="929">
        <v>52.78</v>
      </c>
    </row>
    <row r="19" spans="1:44">
      <c r="A19" s="1538"/>
      <c r="B19" s="930">
        <v>1.7</v>
      </c>
      <c r="C19" s="931">
        <f>(Y19*KFC!$B$19+KFC!$C$19)*KFC!$C$5</f>
        <v>21.38</v>
      </c>
      <c r="D19" s="932">
        <f>(Z19*KFC!$B$19+KFC!$C$19)*KFC!$C$5</f>
        <v>23.23</v>
      </c>
      <c r="E19" s="932">
        <f>(AA19*KFC!$B$19+KFC!$C$19)*KFC!$C$5</f>
        <v>24.95</v>
      </c>
      <c r="F19" s="932">
        <f>(AB19*KFC!$B$19+KFC!$C$19)*KFC!$C$5</f>
        <v>26.66</v>
      </c>
      <c r="G19" s="932">
        <f>(AC19*KFC!$B$19+KFC!$C$19)*KFC!$C$5</f>
        <v>28.38</v>
      </c>
      <c r="H19" s="932">
        <f>(AD19*KFC!$B$19+KFC!$C$19)*KFC!$C$5</f>
        <v>30.23</v>
      </c>
      <c r="I19" s="932">
        <f>(AE19*KFC!$B$19+KFC!$C$19)*KFC!$C$5</f>
        <v>31.81</v>
      </c>
      <c r="J19" s="932">
        <f>(AF19*KFC!$B$19+KFC!$C$19)*KFC!$C$5</f>
        <v>33.53</v>
      </c>
      <c r="K19" s="932">
        <f>(AG19*KFC!$B$19+KFC!$C$19)*KFC!$C$5</f>
        <v>35.24</v>
      </c>
      <c r="L19" s="932">
        <f>(AH19*KFC!$B$19+KFC!$C$19)*KFC!$C$5</f>
        <v>37.22</v>
      </c>
      <c r="M19" s="932">
        <f>(AI19*KFC!$B$19+KFC!$C$19)*KFC!$C$5</f>
        <v>38.94</v>
      </c>
      <c r="N19" s="932">
        <f>(AJ19*KFC!$B$19+KFC!$C$19)*KFC!$C$5</f>
        <v>40.659999999999997</v>
      </c>
      <c r="O19" s="932">
        <f>(AK19*KFC!$B$19+KFC!$C$19)*KFC!$C$5</f>
        <v>42.37</v>
      </c>
      <c r="P19" s="932">
        <f>(AL19*KFC!$B$19+KFC!$C$19)*KFC!$C$5</f>
        <v>44.22</v>
      </c>
      <c r="Q19" s="932">
        <f>(AM19*KFC!$B$19+KFC!$C$19)*KFC!$C$5</f>
        <v>45.8</v>
      </c>
      <c r="R19" s="932">
        <f>(AN19*KFC!$B$19+KFC!$C$19)*KFC!$C$5</f>
        <v>47.65</v>
      </c>
      <c r="S19" s="932">
        <f>(AO19*KFC!$B$19+KFC!$C$19)*KFC!$C$5</f>
        <v>49.37</v>
      </c>
      <c r="T19" s="932">
        <f>(AP19*KFC!$B$19+KFC!$C$19)*KFC!$C$5</f>
        <v>51.09</v>
      </c>
      <c r="U19" s="933">
        <f>(AQ19*KFC!$B$19+KFC!$C$19)*KFC!$C$5</f>
        <v>52.81</v>
      </c>
      <c r="V19" s="928"/>
      <c r="X19" s="923">
        <v>1.7</v>
      </c>
      <c r="Y19" s="929">
        <v>21.38</v>
      </c>
      <c r="Z19" s="929">
        <v>23.23</v>
      </c>
      <c r="AA19" s="929">
        <v>24.95</v>
      </c>
      <c r="AB19" s="929">
        <v>26.66</v>
      </c>
      <c r="AC19" s="929">
        <v>28.38</v>
      </c>
      <c r="AD19" s="929">
        <v>30.23</v>
      </c>
      <c r="AE19" s="929">
        <v>31.81</v>
      </c>
      <c r="AF19" s="929">
        <v>33.53</v>
      </c>
      <c r="AG19" s="929">
        <v>35.24</v>
      </c>
      <c r="AH19" s="929">
        <v>37.22</v>
      </c>
      <c r="AI19" s="929">
        <v>38.94</v>
      </c>
      <c r="AJ19" s="929">
        <v>40.659999999999997</v>
      </c>
      <c r="AK19" s="929">
        <v>42.37</v>
      </c>
      <c r="AL19" s="929">
        <v>44.22</v>
      </c>
      <c r="AM19" s="929">
        <v>45.8</v>
      </c>
      <c r="AN19" s="929">
        <v>47.65</v>
      </c>
      <c r="AO19" s="929">
        <v>49.37</v>
      </c>
      <c r="AP19" s="929">
        <v>51.09</v>
      </c>
      <c r="AQ19" s="929">
        <v>52.81</v>
      </c>
      <c r="AR19" s="929">
        <v>54.53</v>
      </c>
    </row>
    <row r="20" spans="1:44">
      <c r="A20" s="1538"/>
      <c r="B20" s="930">
        <v>1.8</v>
      </c>
      <c r="C20" s="931">
        <f>(Y20*KFC!$B$19+KFC!$C$19)*KFC!$C$5</f>
        <v>21.91</v>
      </c>
      <c r="D20" s="932">
        <f>(Z20*KFC!$B$19+KFC!$C$19)*KFC!$C$5</f>
        <v>23.63</v>
      </c>
      <c r="E20" s="932">
        <f>(AA20*KFC!$B$19+KFC!$C$19)*KFC!$C$5</f>
        <v>25.34</v>
      </c>
      <c r="F20" s="932">
        <f>(AB20*KFC!$B$19+KFC!$C$19)*KFC!$C$5</f>
        <v>27.19</v>
      </c>
      <c r="G20" s="932">
        <f>(AC20*KFC!$B$19+KFC!$C$19)*KFC!$C$5</f>
        <v>29.17</v>
      </c>
      <c r="H20" s="932">
        <f>(AD20*KFC!$B$19+KFC!$C$19)*KFC!$C$5</f>
        <v>30.76</v>
      </c>
      <c r="I20" s="932">
        <f>(AE20*KFC!$B$19+KFC!$C$19)*KFC!$C$5</f>
        <v>32.74</v>
      </c>
      <c r="J20" s="932">
        <f>(AF20*KFC!$B$19+KFC!$C$19)*KFC!$C$5</f>
        <v>34.58</v>
      </c>
      <c r="K20" s="932">
        <f>(AG20*KFC!$B$19+KFC!$C$19)*KFC!$C$5</f>
        <v>36.299999999999997</v>
      </c>
      <c r="L20" s="932">
        <f>(AH20*KFC!$B$19+KFC!$C$19)*KFC!$C$5</f>
        <v>38.28</v>
      </c>
      <c r="M20" s="932">
        <f>(AI20*KFC!$B$19+KFC!$C$19)*KFC!$C$5</f>
        <v>40</v>
      </c>
      <c r="N20" s="932">
        <f>(AJ20*KFC!$B$19+KFC!$C$19)*KFC!$C$5</f>
        <v>41.84</v>
      </c>
      <c r="O20" s="932">
        <f>(AK20*KFC!$B$19+KFC!$C$19)*KFC!$C$5</f>
        <v>43.69</v>
      </c>
      <c r="P20" s="932">
        <f>(AL20*KFC!$B$19+KFC!$C$19)*KFC!$C$5</f>
        <v>45.41</v>
      </c>
      <c r="Q20" s="932">
        <f>(AM20*KFC!$B$19+KFC!$C$19)*KFC!$C$5</f>
        <v>46.99</v>
      </c>
      <c r="R20" s="932">
        <f>(AN20*KFC!$B$19+KFC!$C$19)*KFC!$C$5</f>
        <v>48.71</v>
      </c>
      <c r="S20" s="932">
        <f>(AO20*KFC!$B$19+KFC!$C$19)*KFC!$C$5</f>
        <v>50.42</v>
      </c>
      <c r="T20" s="932">
        <f>(AP20*KFC!$B$19+KFC!$C$19)*KFC!$C$5</f>
        <v>52.13</v>
      </c>
      <c r="U20" s="933">
        <f>(AQ20*KFC!$B$19+KFC!$C$19)*KFC!$C$5</f>
        <v>53.84</v>
      </c>
      <c r="V20" s="928"/>
      <c r="X20" s="923">
        <v>1.8</v>
      </c>
      <c r="Y20" s="929">
        <v>21.91</v>
      </c>
      <c r="Z20" s="929">
        <v>23.63</v>
      </c>
      <c r="AA20" s="929">
        <v>25.34</v>
      </c>
      <c r="AB20" s="929">
        <v>27.19</v>
      </c>
      <c r="AC20" s="929">
        <v>29.17</v>
      </c>
      <c r="AD20" s="929">
        <v>30.76</v>
      </c>
      <c r="AE20" s="929">
        <v>32.74</v>
      </c>
      <c r="AF20" s="929">
        <v>34.58</v>
      </c>
      <c r="AG20" s="929">
        <v>36.299999999999997</v>
      </c>
      <c r="AH20" s="929">
        <v>38.28</v>
      </c>
      <c r="AI20" s="929">
        <v>40</v>
      </c>
      <c r="AJ20" s="929">
        <v>41.84</v>
      </c>
      <c r="AK20" s="929">
        <v>43.69</v>
      </c>
      <c r="AL20" s="929">
        <v>45.41</v>
      </c>
      <c r="AM20" s="929">
        <v>46.99</v>
      </c>
      <c r="AN20" s="929">
        <v>48.71</v>
      </c>
      <c r="AO20" s="929">
        <v>50.42</v>
      </c>
      <c r="AP20" s="929">
        <v>52.13</v>
      </c>
      <c r="AQ20" s="929">
        <v>53.84</v>
      </c>
      <c r="AR20" s="929">
        <v>55.55</v>
      </c>
    </row>
    <row r="21" spans="1:44">
      <c r="A21" s="1538"/>
      <c r="B21" s="930">
        <v>1.9</v>
      </c>
      <c r="C21" s="931">
        <f>(Y21*KFC!$B$19+KFC!$C$19)*KFC!$C$5</f>
        <v>22.44</v>
      </c>
      <c r="D21" s="932">
        <f>(Z21*KFC!$B$19+KFC!$C$19)*KFC!$C$5</f>
        <v>24.42</v>
      </c>
      <c r="E21" s="932">
        <f>(AA21*KFC!$B$19+KFC!$C$19)*KFC!$C$5</f>
        <v>26.53</v>
      </c>
      <c r="F21" s="932">
        <f>(AB21*KFC!$B$19+KFC!$C$19)*KFC!$C$5</f>
        <v>28.38</v>
      </c>
      <c r="G21" s="932">
        <f>(AC21*KFC!$B$19+KFC!$C$19)*KFC!$C$5</f>
        <v>30.23</v>
      </c>
      <c r="H21" s="932">
        <f>(AD21*KFC!$B$19+KFC!$C$19)*KFC!$C$5</f>
        <v>32.340000000000003</v>
      </c>
      <c r="I21" s="932">
        <f>(AE21*KFC!$B$19+KFC!$C$19)*KFC!$C$5</f>
        <v>34.32</v>
      </c>
      <c r="J21" s="932">
        <f>(AF21*KFC!$B$19+KFC!$C$19)*KFC!$C$5</f>
        <v>36.299999999999997</v>
      </c>
      <c r="K21" s="932">
        <f>(AG21*KFC!$B$19+KFC!$C$19)*KFC!$C$5</f>
        <v>38.409999999999997</v>
      </c>
      <c r="L21" s="932">
        <f>(AH21*KFC!$B$19+KFC!$C$19)*KFC!$C$5</f>
        <v>40.26</v>
      </c>
      <c r="M21" s="932">
        <f>(AI21*KFC!$B$19+KFC!$C$19)*KFC!$C$5</f>
        <v>42.11</v>
      </c>
      <c r="N21" s="932">
        <f>(AJ21*KFC!$B$19+KFC!$C$19)*KFC!$C$5</f>
        <v>44.22</v>
      </c>
      <c r="O21" s="932">
        <f>(AK21*KFC!$B$19+KFC!$C$19)*KFC!$C$5</f>
        <v>46.2</v>
      </c>
      <c r="P21" s="932">
        <f>(AL21*KFC!$B$19+KFC!$C$19)*KFC!$C$5</f>
        <v>48.18</v>
      </c>
      <c r="Q21" s="932">
        <f>(AM21*KFC!$B$19+KFC!$C$19)*KFC!$C$5</f>
        <v>50.29</v>
      </c>
      <c r="R21" s="932">
        <f>(AN21*KFC!$B$19+KFC!$C$19)*KFC!$C$5</f>
        <v>52.4</v>
      </c>
      <c r="S21" s="932">
        <f>(AO21*KFC!$B$19+KFC!$C$19)*KFC!$C$5</f>
        <v>54.25</v>
      </c>
      <c r="T21" s="932">
        <f>(AP21*KFC!$B$19+KFC!$C$19)*KFC!$C$5</f>
        <v>56.1</v>
      </c>
      <c r="U21" s="933">
        <f>(AQ21*KFC!$B$19+KFC!$C$19)*KFC!$C$5</f>
        <v>57.95</v>
      </c>
      <c r="V21" s="928"/>
      <c r="X21" s="923">
        <v>1.9</v>
      </c>
      <c r="Y21" s="929">
        <v>22.44</v>
      </c>
      <c r="Z21" s="929">
        <v>24.42</v>
      </c>
      <c r="AA21" s="929">
        <v>26.53</v>
      </c>
      <c r="AB21" s="929">
        <v>28.38</v>
      </c>
      <c r="AC21" s="929">
        <v>30.23</v>
      </c>
      <c r="AD21" s="929">
        <v>32.340000000000003</v>
      </c>
      <c r="AE21" s="929">
        <v>34.32</v>
      </c>
      <c r="AF21" s="929">
        <v>36.299999999999997</v>
      </c>
      <c r="AG21" s="929">
        <v>38.409999999999997</v>
      </c>
      <c r="AH21" s="929">
        <v>40.26</v>
      </c>
      <c r="AI21" s="929">
        <v>42.11</v>
      </c>
      <c r="AJ21" s="929">
        <v>44.22</v>
      </c>
      <c r="AK21" s="929">
        <v>46.2</v>
      </c>
      <c r="AL21" s="929">
        <v>48.18</v>
      </c>
      <c r="AM21" s="929">
        <v>50.29</v>
      </c>
      <c r="AN21" s="929">
        <v>52.4</v>
      </c>
      <c r="AO21" s="929">
        <v>54.25</v>
      </c>
      <c r="AP21" s="929">
        <v>56.1</v>
      </c>
      <c r="AQ21" s="929">
        <v>57.95</v>
      </c>
      <c r="AR21" s="929">
        <v>59.8</v>
      </c>
    </row>
    <row r="22" spans="1:44">
      <c r="A22" s="1538"/>
      <c r="B22" s="930">
        <v>2</v>
      </c>
      <c r="C22" s="931">
        <f>(Y22*KFC!$B$19+KFC!$C$19)*KFC!$C$5</f>
        <v>22.7</v>
      </c>
      <c r="D22" s="932">
        <f>(Z22*KFC!$B$19+KFC!$C$19)*KFC!$C$5</f>
        <v>24.95</v>
      </c>
      <c r="E22" s="932">
        <f>(AA22*KFC!$B$19+KFC!$C$19)*KFC!$C$5</f>
        <v>26.93</v>
      </c>
      <c r="F22" s="932">
        <f>(AB22*KFC!$B$19+KFC!$C$19)*KFC!$C$5</f>
        <v>28.91</v>
      </c>
      <c r="G22" s="932">
        <f>(AC22*KFC!$B$19+KFC!$C$19)*KFC!$C$5</f>
        <v>31.02</v>
      </c>
      <c r="H22" s="932">
        <f>(AD22*KFC!$B$19+KFC!$C$19)*KFC!$C$5</f>
        <v>32.869999999999997</v>
      </c>
      <c r="I22" s="932">
        <f>(AE22*KFC!$B$19+KFC!$C$19)*KFC!$C$5</f>
        <v>35.11</v>
      </c>
      <c r="J22" s="932">
        <f>(AF22*KFC!$B$19+KFC!$C$19)*KFC!$C$5</f>
        <v>37.22</v>
      </c>
      <c r="K22" s="932">
        <f>(AG22*KFC!$B$19+KFC!$C$19)*KFC!$C$5</f>
        <v>39.200000000000003</v>
      </c>
      <c r="L22" s="932">
        <f>(AH22*KFC!$B$19+KFC!$C$19)*KFC!$C$5</f>
        <v>41.18</v>
      </c>
      <c r="M22" s="932">
        <f>(AI22*KFC!$B$19+KFC!$C$19)*KFC!$C$5</f>
        <v>43.43</v>
      </c>
      <c r="N22" s="932">
        <f>(AJ22*KFC!$B$19+KFC!$C$19)*KFC!$C$5</f>
        <v>45.41</v>
      </c>
      <c r="O22" s="932">
        <f>(AK22*KFC!$B$19+KFC!$C$19)*KFC!$C$5</f>
        <v>47.52</v>
      </c>
      <c r="P22" s="932">
        <f>(AL22*KFC!$B$19+KFC!$C$19)*KFC!$C$5</f>
        <v>49.37</v>
      </c>
      <c r="Q22" s="932">
        <f>(AM22*KFC!$B$19+KFC!$C$19)*KFC!$C$5</f>
        <v>51.61</v>
      </c>
      <c r="R22" s="932">
        <f>(AN22*KFC!$B$19+KFC!$C$19)*KFC!$C$5</f>
        <v>53.59</v>
      </c>
      <c r="S22" s="932">
        <f>(AO22*KFC!$B$19+KFC!$C$19)*KFC!$C$5</f>
        <v>55.57</v>
      </c>
      <c r="T22" s="932">
        <f>(AP22*KFC!$B$19+KFC!$C$19)*KFC!$C$5</f>
        <v>57.55</v>
      </c>
      <c r="U22" s="933">
        <f>(AQ22*KFC!$B$19+KFC!$C$19)*KFC!$C$5</f>
        <v>59.53</v>
      </c>
      <c r="V22" s="928"/>
      <c r="X22" s="923">
        <v>2</v>
      </c>
      <c r="Y22" s="929">
        <v>22.7</v>
      </c>
      <c r="Z22" s="929">
        <v>24.95</v>
      </c>
      <c r="AA22" s="929">
        <v>26.93</v>
      </c>
      <c r="AB22" s="929">
        <v>28.91</v>
      </c>
      <c r="AC22" s="929">
        <v>31.02</v>
      </c>
      <c r="AD22" s="929">
        <v>32.869999999999997</v>
      </c>
      <c r="AE22" s="929">
        <v>35.11</v>
      </c>
      <c r="AF22" s="929">
        <v>37.22</v>
      </c>
      <c r="AG22" s="929">
        <v>39.200000000000003</v>
      </c>
      <c r="AH22" s="929">
        <v>41.18</v>
      </c>
      <c r="AI22" s="929">
        <v>43.43</v>
      </c>
      <c r="AJ22" s="929">
        <v>45.41</v>
      </c>
      <c r="AK22" s="929">
        <v>47.52</v>
      </c>
      <c r="AL22" s="929">
        <v>49.37</v>
      </c>
      <c r="AM22" s="929">
        <v>51.61</v>
      </c>
      <c r="AN22" s="929">
        <v>53.59</v>
      </c>
      <c r="AO22" s="929">
        <v>55.57</v>
      </c>
      <c r="AP22" s="929">
        <v>57.55</v>
      </c>
      <c r="AQ22" s="929">
        <v>59.53</v>
      </c>
      <c r="AR22" s="929">
        <v>61.51</v>
      </c>
    </row>
    <row r="23" spans="1:44">
      <c r="A23" s="1538"/>
      <c r="B23" s="930">
        <v>2.1</v>
      </c>
      <c r="C23" s="931">
        <f>(Y23*KFC!$B$19+KFC!$C$19)*KFC!$C$5</f>
        <v>23.23</v>
      </c>
      <c r="D23" s="932">
        <f>(Z23*KFC!$B$19+KFC!$C$19)*KFC!$C$5</f>
        <v>25.34</v>
      </c>
      <c r="E23" s="932">
        <f>(AA23*KFC!$B$19+KFC!$C$19)*KFC!$C$5</f>
        <v>27.32</v>
      </c>
      <c r="F23" s="932">
        <f>(AB23*KFC!$B$19+KFC!$C$19)*KFC!$C$5</f>
        <v>29.44</v>
      </c>
      <c r="G23" s="932">
        <f>(AC23*KFC!$B$19+KFC!$C$19)*KFC!$C$5</f>
        <v>31.55</v>
      </c>
      <c r="H23" s="932">
        <f>(AD23*KFC!$B$19+KFC!$C$19)*KFC!$C$5</f>
        <v>33.79</v>
      </c>
      <c r="I23" s="932">
        <f>(AE23*KFC!$B$19+KFC!$C$19)*KFC!$C$5</f>
        <v>36.04</v>
      </c>
      <c r="J23" s="932">
        <f>(AF23*KFC!$B$19+KFC!$C$19)*KFC!$C$5</f>
        <v>38.28</v>
      </c>
      <c r="K23" s="932">
        <f>(AG23*KFC!$B$19+KFC!$C$19)*KFC!$C$5</f>
        <v>40.130000000000003</v>
      </c>
      <c r="L23" s="932">
        <f>(AH23*KFC!$B$19+KFC!$C$19)*KFC!$C$5</f>
        <v>42.37</v>
      </c>
      <c r="M23" s="932">
        <f>(AI23*KFC!$B$19+KFC!$C$19)*KFC!$C$5</f>
        <v>44.62</v>
      </c>
      <c r="N23" s="932">
        <f>(AJ23*KFC!$B$19+KFC!$C$19)*KFC!$C$5</f>
        <v>46.6</v>
      </c>
      <c r="O23" s="932">
        <f>(AK23*KFC!$B$19+KFC!$C$19)*KFC!$C$5</f>
        <v>48.71</v>
      </c>
      <c r="P23" s="932">
        <f>(AL23*KFC!$B$19+KFC!$C$19)*KFC!$C$5</f>
        <v>50.82</v>
      </c>
      <c r="Q23" s="932">
        <f>(AM23*KFC!$B$19+KFC!$C$19)*KFC!$C$5</f>
        <v>53.06</v>
      </c>
      <c r="R23" s="932">
        <f>(AN23*KFC!$B$19+KFC!$C$19)*KFC!$C$5</f>
        <v>55.31</v>
      </c>
      <c r="S23" s="932">
        <f>(AO23*KFC!$B$19+KFC!$C$19)*KFC!$C$5</f>
        <v>57.55</v>
      </c>
      <c r="T23" s="932">
        <f>(AP23*KFC!$B$19+KFC!$C$19)*KFC!$C$5</f>
        <v>59.79</v>
      </c>
      <c r="U23" s="933">
        <f>(AQ23*KFC!$B$19+KFC!$C$19)*KFC!$C$5</f>
        <v>62.03</v>
      </c>
      <c r="V23" s="928"/>
      <c r="X23" s="923">
        <v>2.1</v>
      </c>
      <c r="Y23" s="929">
        <v>23.23</v>
      </c>
      <c r="Z23" s="929">
        <v>25.34</v>
      </c>
      <c r="AA23" s="929">
        <v>27.32</v>
      </c>
      <c r="AB23" s="929">
        <v>29.44</v>
      </c>
      <c r="AC23" s="929">
        <v>31.55</v>
      </c>
      <c r="AD23" s="929">
        <v>33.79</v>
      </c>
      <c r="AE23" s="929">
        <v>36.04</v>
      </c>
      <c r="AF23" s="929">
        <v>38.28</v>
      </c>
      <c r="AG23" s="929">
        <v>40.130000000000003</v>
      </c>
      <c r="AH23" s="929">
        <v>42.37</v>
      </c>
      <c r="AI23" s="929">
        <v>44.62</v>
      </c>
      <c r="AJ23" s="929">
        <v>46.6</v>
      </c>
      <c r="AK23" s="929">
        <v>48.71</v>
      </c>
      <c r="AL23" s="929">
        <v>50.82</v>
      </c>
      <c r="AM23" s="929">
        <v>53.06</v>
      </c>
      <c r="AN23" s="929">
        <v>55.31</v>
      </c>
      <c r="AO23" s="929">
        <v>57.55</v>
      </c>
      <c r="AP23" s="929">
        <v>59.79</v>
      </c>
      <c r="AQ23" s="929">
        <v>62.03</v>
      </c>
      <c r="AR23" s="929">
        <v>64.27</v>
      </c>
    </row>
    <row r="24" spans="1:44">
      <c r="A24" s="1538"/>
      <c r="B24" s="930">
        <v>2.2000000000000002</v>
      </c>
      <c r="C24" s="931">
        <f>(Y24*KFC!$B$19+KFC!$C$19)*KFC!$C$5</f>
        <v>23.63</v>
      </c>
      <c r="D24" s="932">
        <f>(Z24*KFC!$B$19+KFC!$C$19)*KFC!$C$5</f>
        <v>25.61</v>
      </c>
      <c r="E24" s="932">
        <f>(AA24*KFC!$B$19+KFC!$C$19)*KFC!$C$5</f>
        <v>27.85</v>
      </c>
      <c r="F24" s="932">
        <f>(AB24*KFC!$B$19+KFC!$C$19)*KFC!$C$5</f>
        <v>30.1</v>
      </c>
      <c r="G24" s="932">
        <f>(AC24*KFC!$B$19+KFC!$C$19)*KFC!$C$5</f>
        <v>32.340000000000003</v>
      </c>
      <c r="H24" s="932">
        <f>(AD24*KFC!$B$19+KFC!$C$19)*KFC!$C$5</f>
        <v>34.58</v>
      </c>
      <c r="I24" s="932">
        <f>(AE24*KFC!$B$19+KFC!$C$19)*KFC!$C$5</f>
        <v>36.83</v>
      </c>
      <c r="J24" s="932">
        <f>(AF24*KFC!$B$19+KFC!$C$19)*KFC!$C$5</f>
        <v>38.94</v>
      </c>
      <c r="K24" s="932">
        <f>(AG24*KFC!$B$19+KFC!$C$19)*KFC!$C$5</f>
        <v>41.05</v>
      </c>
      <c r="L24" s="932">
        <f>(AH24*KFC!$B$19+KFC!$C$19)*KFC!$C$5</f>
        <v>43.43</v>
      </c>
      <c r="M24" s="932">
        <f>(AI24*KFC!$B$19+KFC!$C$19)*KFC!$C$5</f>
        <v>45.67</v>
      </c>
      <c r="N24" s="932">
        <f>(AJ24*KFC!$B$19+KFC!$C$19)*KFC!$C$5</f>
        <v>47.65</v>
      </c>
      <c r="O24" s="932">
        <f>(AK24*KFC!$B$19+KFC!$C$19)*KFC!$C$5</f>
        <v>50.16</v>
      </c>
      <c r="P24" s="932">
        <f>(AL24*KFC!$B$19+KFC!$C$19)*KFC!$C$5</f>
        <v>52.14</v>
      </c>
      <c r="Q24" s="932">
        <f>(AM24*KFC!$B$19+KFC!$C$19)*KFC!$C$5</f>
        <v>54.25</v>
      </c>
      <c r="R24" s="932">
        <f>(AN24*KFC!$B$19+KFC!$C$19)*KFC!$C$5</f>
        <v>56.5</v>
      </c>
      <c r="S24" s="932">
        <f>(AO24*KFC!$B$19+KFC!$C$19)*KFC!$C$5</f>
        <v>58.74</v>
      </c>
      <c r="T24" s="932">
        <f>(AP24*KFC!$B$19+KFC!$C$19)*KFC!$C$5</f>
        <v>60.98</v>
      </c>
      <c r="U24" s="933">
        <f>(AQ24*KFC!$B$19+KFC!$C$19)*KFC!$C$5</f>
        <v>63.22</v>
      </c>
      <c r="V24" s="928"/>
      <c r="X24" s="923">
        <v>2.2000000000000002</v>
      </c>
      <c r="Y24" s="929">
        <v>23.63</v>
      </c>
      <c r="Z24" s="929">
        <v>25.61</v>
      </c>
      <c r="AA24" s="929">
        <v>27.85</v>
      </c>
      <c r="AB24" s="929">
        <v>30.1</v>
      </c>
      <c r="AC24" s="929">
        <v>32.340000000000003</v>
      </c>
      <c r="AD24" s="929">
        <v>34.58</v>
      </c>
      <c r="AE24" s="929">
        <v>36.83</v>
      </c>
      <c r="AF24" s="929">
        <v>38.94</v>
      </c>
      <c r="AG24" s="929">
        <v>41.05</v>
      </c>
      <c r="AH24" s="929">
        <v>43.43</v>
      </c>
      <c r="AI24" s="929">
        <v>45.67</v>
      </c>
      <c r="AJ24" s="929">
        <v>47.65</v>
      </c>
      <c r="AK24" s="929">
        <v>50.16</v>
      </c>
      <c r="AL24" s="929">
        <v>52.14</v>
      </c>
      <c r="AM24" s="929">
        <v>54.25</v>
      </c>
      <c r="AN24" s="929">
        <v>56.5</v>
      </c>
      <c r="AO24" s="929">
        <v>58.74</v>
      </c>
      <c r="AP24" s="929">
        <v>60.98</v>
      </c>
      <c r="AQ24" s="929">
        <v>63.22</v>
      </c>
      <c r="AR24" s="929">
        <v>65.459999999999994</v>
      </c>
    </row>
    <row r="25" spans="1:44">
      <c r="A25" s="1538"/>
      <c r="B25" s="930">
        <v>2.2999999999999998</v>
      </c>
      <c r="C25" s="931">
        <f>(Y25*KFC!$B$19+KFC!$C$19)*KFC!$C$5</f>
        <v>23.76</v>
      </c>
      <c r="D25" s="932">
        <f>(Z25*KFC!$B$19+KFC!$C$19)*KFC!$C$5</f>
        <v>26</v>
      </c>
      <c r="E25" s="932">
        <f>(AA25*KFC!$B$19+KFC!$C$19)*KFC!$C$5</f>
        <v>28.64</v>
      </c>
      <c r="F25" s="932">
        <f>(AB25*KFC!$B$19+KFC!$C$19)*KFC!$C$5</f>
        <v>30.62</v>
      </c>
      <c r="G25" s="932">
        <f>(AC25*KFC!$B$19+KFC!$C$19)*KFC!$C$5</f>
        <v>32.869999999999997</v>
      </c>
      <c r="H25" s="932">
        <f>(AD25*KFC!$B$19+KFC!$C$19)*KFC!$C$5</f>
        <v>35.24</v>
      </c>
      <c r="I25" s="932">
        <f>(AE25*KFC!$B$19+KFC!$C$19)*KFC!$C$5</f>
        <v>37.49</v>
      </c>
      <c r="J25" s="932">
        <f>(AF25*KFC!$B$19+KFC!$C$19)*KFC!$C$5</f>
        <v>39.86</v>
      </c>
      <c r="K25" s="932">
        <f>(AG25*KFC!$B$19+KFC!$C$19)*KFC!$C$5</f>
        <v>42.11</v>
      </c>
      <c r="L25" s="932">
        <f>(AH25*KFC!$B$19+KFC!$C$19)*KFC!$C$5</f>
        <v>44.35</v>
      </c>
      <c r="M25" s="932">
        <f>(AI25*KFC!$B$19+KFC!$C$19)*KFC!$C$5</f>
        <v>46.86</v>
      </c>
      <c r="N25" s="932">
        <f>(AJ25*KFC!$B$19+KFC!$C$19)*KFC!$C$5</f>
        <v>49.1</v>
      </c>
      <c r="O25" s="932">
        <f>(AK25*KFC!$B$19+KFC!$C$19)*KFC!$C$5</f>
        <v>51.08</v>
      </c>
      <c r="P25" s="932">
        <f>(AL25*KFC!$B$19+KFC!$C$19)*KFC!$C$5</f>
        <v>53.59</v>
      </c>
      <c r="Q25" s="932">
        <f>(AM25*KFC!$B$19+KFC!$C$19)*KFC!$C$5</f>
        <v>55.97</v>
      </c>
      <c r="R25" s="932">
        <f>(AN25*KFC!$B$19+KFC!$C$19)*KFC!$C$5</f>
        <v>58.34</v>
      </c>
      <c r="S25" s="932">
        <f>(AO25*KFC!$B$19+KFC!$C$19)*KFC!$C$5</f>
        <v>60.72</v>
      </c>
      <c r="T25" s="932">
        <f>(AP25*KFC!$B$19+KFC!$C$19)*KFC!$C$5</f>
        <v>63.1</v>
      </c>
      <c r="U25" s="933">
        <f>(AQ25*KFC!$B$19+KFC!$C$19)*KFC!$C$5</f>
        <v>65.48</v>
      </c>
      <c r="V25" s="928"/>
      <c r="X25" s="923">
        <v>2.2999999999999998</v>
      </c>
      <c r="Y25" s="929">
        <v>23.76</v>
      </c>
      <c r="Z25" s="929">
        <v>26</v>
      </c>
      <c r="AA25" s="929">
        <v>28.64</v>
      </c>
      <c r="AB25" s="929">
        <v>30.62</v>
      </c>
      <c r="AC25" s="929">
        <v>32.869999999999997</v>
      </c>
      <c r="AD25" s="929">
        <v>35.24</v>
      </c>
      <c r="AE25" s="929">
        <v>37.49</v>
      </c>
      <c r="AF25" s="929">
        <v>39.86</v>
      </c>
      <c r="AG25" s="929">
        <v>42.11</v>
      </c>
      <c r="AH25" s="929">
        <v>44.35</v>
      </c>
      <c r="AI25" s="929">
        <v>46.86</v>
      </c>
      <c r="AJ25" s="929">
        <v>49.1</v>
      </c>
      <c r="AK25" s="929">
        <v>51.08</v>
      </c>
      <c r="AL25" s="929">
        <v>53.59</v>
      </c>
      <c r="AM25" s="929">
        <v>55.97</v>
      </c>
      <c r="AN25" s="929">
        <v>58.34</v>
      </c>
      <c r="AO25" s="929">
        <v>60.72</v>
      </c>
      <c r="AP25" s="929">
        <v>63.1</v>
      </c>
      <c r="AQ25" s="929">
        <v>65.48</v>
      </c>
      <c r="AR25" s="929">
        <v>67.86</v>
      </c>
    </row>
    <row r="26" spans="1:44">
      <c r="A26" s="1538"/>
      <c r="B26" s="930">
        <v>2.4</v>
      </c>
      <c r="C26" s="931">
        <f>(Y26*KFC!$B$19+KFC!$C$19)*KFC!$C$5</f>
        <v>24.29</v>
      </c>
      <c r="D26" s="932">
        <f>(Z26*KFC!$B$19+KFC!$C$19)*KFC!$C$5</f>
        <v>26.66</v>
      </c>
      <c r="E26" s="932">
        <f>(AA26*KFC!$B$19+KFC!$C$19)*KFC!$C$5</f>
        <v>28.91</v>
      </c>
      <c r="F26" s="932">
        <f>(AB26*KFC!$B$19+KFC!$C$19)*KFC!$C$5</f>
        <v>31.28</v>
      </c>
      <c r="G26" s="932">
        <f>(AC26*KFC!$B$19+KFC!$C$19)*KFC!$C$5</f>
        <v>33.53</v>
      </c>
      <c r="H26" s="932">
        <f>(AD26*KFC!$B$19+KFC!$C$19)*KFC!$C$5</f>
        <v>36.04</v>
      </c>
      <c r="I26" s="932">
        <f>(AE26*KFC!$B$19+KFC!$C$19)*KFC!$C$5</f>
        <v>38.54</v>
      </c>
      <c r="J26" s="932">
        <f>(AF26*KFC!$B$19+KFC!$C$19)*KFC!$C$5</f>
        <v>40.79</v>
      </c>
      <c r="K26" s="932">
        <f>(AG26*KFC!$B$19+KFC!$C$19)*KFC!$C$5</f>
        <v>43.16</v>
      </c>
      <c r="L26" s="932">
        <f>(AH26*KFC!$B$19+KFC!$C$19)*KFC!$C$5</f>
        <v>45.41</v>
      </c>
      <c r="M26" s="932">
        <f>(AI26*KFC!$B$19+KFC!$C$19)*KFC!$C$5</f>
        <v>47.65</v>
      </c>
      <c r="N26" s="932">
        <f>(AJ26*KFC!$B$19+KFC!$C$19)*KFC!$C$5</f>
        <v>50.16</v>
      </c>
      <c r="O26" s="932">
        <f>(AK26*KFC!$B$19+KFC!$C$19)*KFC!$C$5</f>
        <v>52.54</v>
      </c>
      <c r="P26" s="932">
        <f>(AL26*KFC!$B$19+KFC!$C$19)*KFC!$C$5</f>
        <v>55.04</v>
      </c>
      <c r="Q26" s="932">
        <f>(AM26*KFC!$B$19+KFC!$C$19)*KFC!$C$5</f>
        <v>57.55</v>
      </c>
      <c r="R26" s="932">
        <f>(AN26*KFC!$B$19+KFC!$C$19)*KFC!$C$5</f>
        <v>59.93</v>
      </c>
      <c r="S26" s="932">
        <f>(AO26*KFC!$B$19+KFC!$C$19)*KFC!$C$5</f>
        <v>62.3</v>
      </c>
      <c r="T26" s="932">
        <f>(AP26*KFC!$B$19+KFC!$C$19)*KFC!$C$5</f>
        <v>64.67</v>
      </c>
      <c r="U26" s="933">
        <f>(AQ26*KFC!$B$19+KFC!$C$19)*KFC!$C$5</f>
        <v>67.040000000000006</v>
      </c>
      <c r="V26" s="928"/>
      <c r="X26" s="923">
        <v>2.4</v>
      </c>
      <c r="Y26" s="929">
        <v>24.29</v>
      </c>
      <c r="Z26" s="929">
        <v>26.66</v>
      </c>
      <c r="AA26" s="929">
        <v>28.91</v>
      </c>
      <c r="AB26" s="929">
        <v>31.28</v>
      </c>
      <c r="AC26" s="929">
        <v>33.53</v>
      </c>
      <c r="AD26" s="929">
        <v>36.04</v>
      </c>
      <c r="AE26" s="929">
        <v>38.54</v>
      </c>
      <c r="AF26" s="929">
        <v>40.79</v>
      </c>
      <c r="AG26" s="929">
        <v>43.16</v>
      </c>
      <c r="AH26" s="929">
        <v>45.41</v>
      </c>
      <c r="AI26" s="929">
        <v>47.65</v>
      </c>
      <c r="AJ26" s="929">
        <v>50.16</v>
      </c>
      <c r="AK26" s="929">
        <v>52.54</v>
      </c>
      <c r="AL26" s="929">
        <v>55.04</v>
      </c>
      <c r="AM26" s="929">
        <v>57.55</v>
      </c>
      <c r="AN26" s="929">
        <v>59.93</v>
      </c>
      <c r="AO26" s="929">
        <v>62.3</v>
      </c>
      <c r="AP26" s="929">
        <v>64.67</v>
      </c>
      <c r="AQ26" s="929">
        <v>67.040000000000006</v>
      </c>
      <c r="AR26" s="929">
        <v>69.41</v>
      </c>
    </row>
    <row r="27" spans="1:44">
      <c r="A27" s="1538"/>
      <c r="B27" s="930">
        <v>2.5</v>
      </c>
      <c r="C27" s="931">
        <f>(Y27*KFC!$B$19+KFC!$C$19)*KFC!$C$5</f>
        <v>24.42</v>
      </c>
      <c r="D27" s="932">
        <f>(Z27*KFC!$B$19+KFC!$C$19)*KFC!$C$5</f>
        <v>26.93</v>
      </c>
      <c r="E27" s="932">
        <f>(AA27*KFC!$B$19+KFC!$C$19)*KFC!$C$5</f>
        <v>29.3</v>
      </c>
      <c r="F27" s="932">
        <f>(AB27*KFC!$B$19+KFC!$C$19)*KFC!$C$5</f>
        <v>31.81</v>
      </c>
      <c r="G27" s="932">
        <f>(AC27*KFC!$B$19+KFC!$C$19)*KFC!$C$5</f>
        <v>34.32</v>
      </c>
      <c r="H27" s="932">
        <f>(AD27*KFC!$B$19+KFC!$C$19)*KFC!$C$5</f>
        <v>36.83</v>
      </c>
      <c r="I27" s="932">
        <f>(AE27*KFC!$B$19+KFC!$C$19)*KFC!$C$5</f>
        <v>39.200000000000003</v>
      </c>
      <c r="J27" s="932">
        <f>(AF27*KFC!$B$19+KFC!$C$19)*KFC!$C$5</f>
        <v>41.71</v>
      </c>
      <c r="K27" s="932">
        <f>(AG27*KFC!$B$19+KFC!$C$19)*KFC!$C$5</f>
        <v>44.09</v>
      </c>
      <c r="L27" s="932">
        <f>(AH27*KFC!$B$19+KFC!$C$19)*KFC!$C$5</f>
        <v>46.6</v>
      </c>
      <c r="M27" s="932">
        <f>(AI27*KFC!$B$19+KFC!$C$19)*KFC!$C$5</f>
        <v>48.84</v>
      </c>
      <c r="N27" s="932">
        <f>(AJ27*KFC!$B$19+KFC!$C$19)*KFC!$C$5</f>
        <v>51.48</v>
      </c>
      <c r="O27" s="932">
        <f>(AK27*KFC!$B$19+KFC!$C$19)*KFC!$C$5</f>
        <v>53.86</v>
      </c>
      <c r="P27" s="932">
        <f>(AL27*KFC!$B$19+KFC!$C$19)*KFC!$C$5</f>
        <v>56.23</v>
      </c>
      <c r="Q27" s="932">
        <f>(AM27*KFC!$B$19+KFC!$C$19)*KFC!$C$5</f>
        <v>58.74</v>
      </c>
      <c r="R27" s="932">
        <f>(AN27*KFC!$B$19+KFC!$C$19)*KFC!$C$5</f>
        <v>61.12</v>
      </c>
      <c r="S27" s="932">
        <f>(AO27*KFC!$B$19+KFC!$C$19)*KFC!$C$5</f>
        <v>63.49</v>
      </c>
      <c r="T27" s="932">
        <f>(AP27*KFC!$B$19+KFC!$C$19)*KFC!$C$5</f>
        <v>65.86</v>
      </c>
      <c r="U27" s="933">
        <f>(AQ27*KFC!$B$19+KFC!$C$19)*KFC!$C$5</f>
        <v>68.23</v>
      </c>
      <c r="V27" s="928"/>
      <c r="X27" s="923">
        <v>2.5</v>
      </c>
      <c r="Y27" s="929">
        <v>24.42</v>
      </c>
      <c r="Z27" s="929">
        <v>26.93</v>
      </c>
      <c r="AA27" s="929">
        <v>29.3</v>
      </c>
      <c r="AB27" s="929">
        <v>31.81</v>
      </c>
      <c r="AC27" s="929">
        <v>34.32</v>
      </c>
      <c r="AD27" s="929">
        <v>36.83</v>
      </c>
      <c r="AE27" s="929">
        <v>39.200000000000003</v>
      </c>
      <c r="AF27" s="929">
        <v>41.71</v>
      </c>
      <c r="AG27" s="929">
        <v>44.09</v>
      </c>
      <c r="AH27" s="929">
        <v>46.6</v>
      </c>
      <c r="AI27" s="929">
        <v>48.84</v>
      </c>
      <c r="AJ27" s="929">
        <v>51.48</v>
      </c>
      <c r="AK27" s="929">
        <v>53.86</v>
      </c>
      <c r="AL27" s="929">
        <v>56.23</v>
      </c>
      <c r="AM27" s="929">
        <v>58.74</v>
      </c>
      <c r="AN27" s="929">
        <v>61.12</v>
      </c>
      <c r="AO27" s="929">
        <v>63.49</v>
      </c>
      <c r="AP27" s="929">
        <v>65.86</v>
      </c>
      <c r="AQ27" s="929">
        <v>68.23</v>
      </c>
      <c r="AR27" s="929">
        <v>70.599999999999994</v>
      </c>
    </row>
    <row r="28" spans="1:44">
      <c r="A28" s="1538"/>
      <c r="B28" s="930">
        <v>2.6</v>
      </c>
      <c r="C28" s="931">
        <f>(Y28*KFC!$B$19+KFC!$C$19)*KFC!$C$5</f>
        <v>24.95</v>
      </c>
      <c r="D28" s="932">
        <f>(Z28*KFC!$B$19+KFC!$C$19)*KFC!$C$5</f>
        <v>27.32</v>
      </c>
      <c r="E28" s="932">
        <f>(AA28*KFC!$B$19+KFC!$C$19)*KFC!$C$5</f>
        <v>29.96</v>
      </c>
      <c r="F28" s="932">
        <f>(AB28*KFC!$B$19+KFC!$C$19)*KFC!$C$5</f>
        <v>32.340000000000003</v>
      </c>
      <c r="G28" s="932">
        <f>(AC28*KFC!$B$19+KFC!$C$19)*KFC!$C$5</f>
        <v>35.11</v>
      </c>
      <c r="H28" s="932">
        <f>(AD28*KFC!$B$19+KFC!$C$19)*KFC!$C$5</f>
        <v>37.49</v>
      </c>
      <c r="I28" s="932">
        <f>(AE28*KFC!$B$19+KFC!$C$19)*KFC!$C$5</f>
        <v>40</v>
      </c>
      <c r="J28" s="932">
        <f>(AF28*KFC!$B$19+KFC!$C$19)*KFC!$C$5</f>
        <v>42.5</v>
      </c>
      <c r="K28" s="932">
        <f>(AG28*KFC!$B$19+KFC!$C$19)*KFC!$C$5</f>
        <v>44.88</v>
      </c>
      <c r="L28" s="932">
        <f>(AH28*KFC!$B$19+KFC!$C$19)*KFC!$C$5</f>
        <v>47.52</v>
      </c>
      <c r="M28" s="932">
        <f>(AI28*KFC!$B$19+KFC!$C$19)*KFC!$C$5</f>
        <v>50.16</v>
      </c>
      <c r="N28" s="932">
        <f>(AJ28*KFC!$B$19+KFC!$C$19)*KFC!$C$5</f>
        <v>52.54</v>
      </c>
      <c r="O28" s="932">
        <f>(AK28*KFC!$B$19+KFC!$C$19)*KFC!$C$5</f>
        <v>55.04</v>
      </c>
      <c r="P28" s="932">
        <f>(AL28*KFC!$B$19+KFC!$C$19)*KFC!$C$5</f>
        <v>57.68</v>
      </c>
      <c r="Q28" s="932">
        <f>(AM28*KFC!$B$19+KFC!$C$19)*KFC!$C$5</f>
        <v>60.06</v>
      </c>
      <c r="R28" s="932">
        <f>(AN28*KFC!$B$19+KFC!$C$19)*KFC!$C$5</f>
        <v>62.7</v>
      </c>
      <c r="S28" s="932">
        <f>(AO28*KFC!$B$19+KFC!$C$19)*KFC!$C$5</f>
        <v>65.209999999999994</v>
      </c>
      <c r="T28" s="932">
        <f>(AP28*KFC!$B$19+KFC!$C$19)*KFC!$C$5</f>
        <v>67.72</v>
      </c>
      <c r="U28" s="933">
        <f>(AQ28*KFC!$B$19+KFC!$C$19)*KFC!$C$5</f>
        <v>70.23</v>
      </c>
      <c r="V28" s="928"/>
      <c r="X28" s="923">
        <v>2.6</v>
      </c>
      <c r="Y28" s="929">
        <v>24.95</v>
      </c>
      <c r="Z28" s="929">
        <v>27.32</v>
      </c>
      <c r="AA28" s="929">
        <v>29.96</v>
      </c>
      <c r="AB28" s="929">
        <v>32.340000000000003</v>
      </c>
      <c r="AC28" s="929">
        <v>35.11</v>
      </c>
      <c r="AD28" s="929">
        <v>37.49</v>
      </c>
      <c r="AE28" s="929">
        <v>40</v>
      </c>
      <c r="AF28" s="929">
        <v>42.5</v>
      </c>
      <c r="AG28" s="929">
        <v>44.88</v>
      </c>
      <c r="AH28" s="929">
        <v>47.52</v>
      </c>
      <c r="AI28" s="929">
        <v>50.16</v>
      </c>
      <c r="AJ28" s="929">
        <v>52.54</v>
      </c>
      <c r="AK28" s="929">
        <v>55.04</v>
      </c>
      <c r="AL28" s="929">
        <v>57.68</v>
      </c>
      <c r="AM28" s="929">
        <v>60.06</v>
      </c>
      <c r="AN28" s="929">
        <v>62.7</v>
      </c>
      <c r="AO28" s="929">
        <v>65.209999999999994</v>
      </c>
      <c r="AP28" s="929">
        <v>67.72</v>
      </c>
      <c r="AQ28" s="929">
        <v>70.23</v>
      </c>
      <c r="AR28" s="929">
        <v>72.739999999999995</v>
      </c>
    </row>
    <row r="29" spans="1:44">
      <c r="A29" s="1538"/>
      <c r="B29" s="930">
        <v>2.7</v>
      </c>
      <c r="C29" s="931">
        <f>(Y29*KFC!$B$19+KFC!$C$19)*KFC!$C$5</f>
        <v>25.34</v>
      </c>
      <c r="D29" s="932">
        <f>(Z29*KFC!$B$19+KFC!$C$19)*KFC!$C$5</f>
        <v>27.72</v>
      </c>
      <c r="E29" s="932">
        <f>(AA29*KFC!$B$19+KFC!$C$19)*KFC!$C$5</f>
        <v>30.36</v>
      </c>
      <c r="F29" s="932">
        <f>(AB29*KFC!$B$19+KFC!$C$19)*KFC!$C$5</f>
        <v>32.74</v>
      </c>
      <c r="G29" s="932">
        <f>(AC29*KFC!$B$19+KFC!$C$19)*KFC!$C$5</f>
        <v>35.770000000000003</v>
      </c>
      <c r="H29" s="932">
        <f>(AD29*KFC!$B$19+KFC!$C$19)*KFC!$C$5</f>
        <v>38.409999999999997</v>
      </c>
      <c r="I29" s="932">
        <f>(AE29*KFC!$B$19+KFC!$C$19)*KFC!$C$5</f>
        <v>40.79</v>
      </c>
      <c r="J29" s="932">
        <f>(AF29*KFC!$B$19+KFC!$C$19)*KFC!$C$5</f>
        <v>43.43</v>
      </c>
      <c r="K29" s="932">
        <f>(AG29*KFC!$B$19+KFC!$C$19)*KFC!$C$5</f>
        <v>45.8</v>
      </c>
      <c r="L29" s="932">
        <f>(AH29*KFC!$B$19+KFC!$C$19)*KFC!$C$5</f>
        <v>48.44</v>
      </c>
      <c r="M29" s="932">
        <f>(AI29*KFC!$B$19+KFC!$C$19)*KFC!$C$5</f>
        <v>51.48</v>
      </c>
      <c r="N29" s="932">
        <f>(AJ29*KFC!$B$19+KFC!$C$19)*KFC!$C$5</f>
        <v>53.72</v>
      </c>
      <c r="O29" s="932">
        <f>(AK29*KFC!$B$19+KFC!$C$19)*KFC!$C$5</f>
        <v>56.5</v>
      </c>
      <c r="P29" s="932">
        <f>(AL29*KFC!$B$19+KFC!$C$19)*KFC!$C$5</f>
        <v>59</v>
      </c>
      <c r="Q29" s="932">
        <f>(AM29*KFC!$B$19+KFC!$C$19)*KFC!$C$5</f>
        <v>61.64</v>
      </c>
      <c r="R29" s="932">
        <f>(AN29*KFC!$B$19+KFC!$C$19)*KFC!$C$5</f>
        <v>64.42</v>
      </c>
      <c r="S29" s="932">
        <f>(AO29*KFC!$B$19+KFC!$C$19)*KFC!$C$5</f>
        <v>67.19</v>
      </c>
      <c r="T29" s="932">
        <f>(AP29*KFC!$B$19+KFC!$C$19)*KFC!$C$5</f>
        <v>69.959999999999994</v>
      </c>
      <c r="U29" s="933">
        <f>(AQ29*KFC!$B$19+KFC!$C$19)*KFC!$C$5</f>
        <v>72.73</v>
      </c>
      <c r="V29" s="928"/>
      <c r="X29" s="923">
        <v>2.7</v>
      </c>
      <c r="Y29" s="929">
        <v>25.34</v>
      </c>
      <c r="Z29" s="929">
        <v>27.72</v>
      </c>
      <c r="AA29" s="929">
        <v>30.36</v>
      </c>
      <c r="AB29" s="929">
        <v>32.74</v>
      </c>
      <c r="AC29" s="929">
        <v>35.770000000000003</v>
      </c>
      <c r="AD29" s="929">
        <v>38.409999999999997</v>
      </c>
      <c r="AE29" s="929">
        <v>40.79</v>
      </c>
      <c r="AF29" s="929">
        <v>43.43</v>
      </c>
      <c r="AG29" s="929">
        <v>45.8</v>
      </c>
      <c r="AH29" s="929">
        <v>48.44</v>
      </c>
      <c r="AI29" s="929">
        <v>51.48</v>
      </c>
      <c r="AJ29" s="929">
        <v>53.72</v>
      </c>
      <c r="AK29" s="929">
        <v>56.5</v>
      </c>
      <c r="AL29" s="929">
        <v>59</v>
      </c>
      <c r="AM29" s="929">
        <v>61.64</v>
      </c>
      <c r="AN29" s="929">
        <v>64.42</v>
      </c>
      <c r="AO29" s="929">
        <v>67.19</v>
      </c>
      <c r="AP29" s="929">
        <v>69.959999999999994</v>
      </c>
      <c r="AQ29" s="929">
        <v>72.73</v>
      </c>
      <c r="AR29" s="929">
        <v>75.5</v>
      </c>
    </row>
    <row r="30" spans="1:44">
      <c r="A30" s="1538"/>
      <c r="B30" s="930">
        <v>2.8</v>
      </c>
      <c r="C30" s="931">
        <f>(Y30*KFC!$B$19+KFC!$C$19)*KFC!$C$5</f>
        <v>25.73</v>
      </c>
      <c r="D30" s="932">
        <f>(Z30*KFC!$B$19+KFC!$C$19)*KFC!$C$5</f>
        <v>28.12</v>
      </c>
      <c r="E30" s="932">
        <f>(AA30*KFC!$B$19+KFC!$C$19)*KFC!$C$5</f>
        <v>30.76</v>
      </c>
      <c r="F30" s="932">
        <f>(AB30*KFC!$B$19+KFC!$C$19)*KFC!$C$5</f>
        <v>33.14</v>
      </c>
      <c r="G30" s="932">
        <f>(AC30*KFC!$B$19+KFC!$C$19)*KFC!$C$5</f>
        <v>36.43</v>
      </c>
      <c r="H30" s="932">
        <f>(AD30*KFC!$B$19+KFC!$C$19)*KFC!$C$5</f>
        <v>39.33</v>
      </c>
      <c r="I30" s="932">
        <f>(AE30*KFC!$B$19+KFC!$C$19)*KFC!$C$5</f>
        <v>41.58</v>
      </c>
      <c r="J30" s="932">
        <f>(AF30*KFC!$B$19+KFC!$C$19)*KFC!$C$5</f>
        <v>44.36</v>
      </c>
      <c r="K30" s="932">
        <f>(AG30*KFC!$B$19+KFC!$C$19)*KFC!$C$5</f>
        <v>46.72</v>
      </c>
      <c r="L30" s="932">
        <f>(AH30*KFC!$B$19+KFC!$C$19)*KFC!$C$5</f>
        <v>49.36</v>
      </c>
      <c r="M30" s="932">
        <f>(AI30*KFC!$B$19+KFC!$C$19)*KFC!$C$5</f>
        <v>52.8</v>
      </c>
      <c r="N30" s="932">
        <f>(AJ30*KFC!$B$19+KFC!$C$19)*KFC!$C$5</f>
        <v>54.9</v>
      </c>
      <c r="O30" s="932">
        <f>(AK30*KFC!$B$19+KFC!$C$19)*KFC!$C$5</f>
        <v>57.96</v>
      </c>
      <c r="P30" s="932">
        <f>(AL30*KFC!$B$19+KFC!$C$19)*KFC!$C$5</f>
        <v>60.32</v>
      </c>
      <c r="Q30" s="932">
        <f>(AM30*KFC!$B$19+KFC!$C$19)*KFC!$C$5</f>
        <v>63.22</v>
      </c>
      <c r="R30" s="932">
        <f>(AN30*KFC!$B$19+KFC!$C$19)*KFC!$C$5</f>
        <v>66.14</v>
      </c>
      <c r="S30" s="932">
        <f>(AO30*KFC!$B$19+KFC!$C$19)*KFC!$C$5</f>
        <v>69.17</v>
      </c>
      <c r="T30" s="932">
        <f>(AP30*KFC!$B$19+KFC!$C$19)*KFC!$C$5</f>
        <v>72.2</v>
      </c>
      <c r="U30" s="933">
        <f>(AQ30*KFC!$B$19+KFC!$C$19)*KFC!$C$5</f>
        <v>75.23</v>
      </c>
      <c r="V30" s="928"/>
      <c r="X30" s="923">
        <v>2.8</v>
      </c>
      <c r="Y30" s="929">
        <v>25.73</v>
      </c>
      <c r="Z30" s="929">
        <v>28.12</v>
      </c>
      <c r="AA30" s="929">
        <v>30.76</v>
      </c>
      <c r="AB30" s="929">
        <v>33.14</v>
      </c>
      <c r="AC30" s="929">
        <v>36.43</v>
      </c>
      <c r="AD30" s="929">
        <v>39.33</v>
      </c>
      <c r="AE30" s="929">
        <v>41.58</v>
      </c>
      <c r="AF30" s="929">
        <v>44.36</v>
      </c>
      <c r="AG30" s="929">
        <v>46.72</v>
      </c>
      <c r="AH30" s="929">
        <v>49.36</v>
      </c>
      <c r="AI30" s="929">
        <v>52.8</v>
      </c>
      <c r="AJ30" s="929">
        <v>54.9</v>
      </c>
      <c r="AK30" s="929">
        <v>57.96</v>
      </c>
      <c r="AL30" s="929">
        <v>60.32</v>
      </c>
      <c r="AM30" s="929">
        <v>63.22</v>
      </c>
      <c r="AN30" s="929">
        <v>66.14</v>
      </c>
      <c r="AO30" s="929">
        <v>69.17</v>
      </c>
      <c r="AP30" s="929">
        <v>72.2</v>
      </c>
      <c r="AQ30" s="929">
        <v>75.23</v>
      </c>
      <c r="AR30" s="929">
        <v>78.260000000000005</v>
      </c>
    </row>
    <row r="31" spans="1:44">
      <c r="A31" s="1538"/>
      <c r="B31" s="930">
        <v>2.9</v>
      </c>
      <c r="C31" s="931">
        <f>(Y31*KFC!$B$19+KFC!$C$19)*KFC!$C$5</f>
        <v>26.12</v>
      </c>
      <c r="D31" s="932">
        <f>(Z31*KFC!$B$19+KFC!$C$19)*KFC!$C$5</f>
        <v>28.52</v>
      </c>
      <c r="E31" s="932">
        <f>(AA31*KFC!$B$19+KFC!$C$19)*KFC!$C$5</f>
        <v>31.16</v>
      </c>
      <c r="F31" s="932">
        <f>(AB31*KFC!$B$19+KFC!$C$19)*KFC!$C$5</f>
        <v>33.54</v>
      </c>
      <c r="G31" s="932">
        <f>(AC31*KFC!$B$19+KFC!$C$19)*KFC!$C$5</f>
        <v>37.090000000000003</v>
      </c>
      <c r="H31" s="932">
        <f>(AD31*KFC!$B$19+KFC!$C$19)*KFC!$C$5</f>
        <v>40.25</v>
      </c>
      <c r="I31" s="932">
        <f>(AE31*KFC!$B$19+KFC!$C$19)*KFC!$C$5</f>
        <v>42.37</v>
      </c>
      <c r="J31" s="932">
        <f>(AF31*KFC!$B$19+KFC!$C$19)*KFC!$C$5</f>
        <v>45.29</v>
      </c>
      <c r="K31" s="932">
        <f>(AG31*KFC!$B$19+KFC!$C$19)*KFC!$C$5</f>
        <v>47.64</v>
      </c>
      <c r="L31" s="932">
        <f>(AH31*KFC!$B$19+KFC!$C$19)*KFC!$C$5</f>
        <v>50.28</v>
      </c>
      <c r="M31" s="932">
        <f>(AI31*KFC!$B$19+KFC!$C$19)*KFC!$C$5</f>
        <v>54.12</v>
      </c>
      <c r="N31" s="932">
        <f>(AJ31*KFC!$B$19+KFC!$C$19)*KFC!$C$5</f>
        <v>56.08</v>
      </c>
      <c r="O31" s="932">
        <f>(AK31*KFC!$B$19+KFC!$C$19)*KFC!$C$5</f>
        <v>59.42</v>
      </c>
      <c r="P31" s="932">
        <f>(AL31*KFC!$B$19+KFC!$C$19)*KFC!$C$5</f>
        <v>61.64</v>
      </c>
      <c r="Q31" s="932">
        <f>(AM31*KFC!$B$19+KFC!$C$19)*KFC!$C$5</f>
        <v>64.8</v>
      </c>
      <c r="R31" s="932">
        <f>(AN31*KFC!$B$19+KFC!$C$19)*KFC!$C$5</f>
        <v>67.86</v>
      </c>
      <c r="S31" s="932">
        <f>(AO31*KFC!$B$19+KFC!$C$19)*KFC!$C$5</f>
        <v>71.150000000000006</v>
      </c>
      <c r="T31" s="932">
        <f>(AP31*KFC!$B$19+KFC!$C$19)*KFC!$C$5</f>
        <v>74.44</v>
      </c>
      <c r="U31" s="933">
        <f>(AQ31*KFC!$B$19+KFC!$C$19)*KFC!$C$5</f>
        <v>77.73</v>
      </c>
      <c r="V31" s="928"/>
      <c r="X31" s="923">
        <v>2.9</v>
      </c>
      <c r="Y31" s="929">
        <v>26.12</v>
      </c>
      <c r="Z31" s="929">
        <v>28.52</v>
      </c>
      <c r="AA31" s="929">
        <v>31.16</v>
      </c>
      <c r="AB31" s="929">
        <v>33.54</v>
      </c>
      <c r="AC31" s="929">
        <v>37.090000000000003</v>
      </c>
      <c r="AD31" s="929">
        <v>40.25</v>
      </c>
      <c r="AE31" s="929">
        <v>42.37</v>
      </c>
      <c r="AF31" s="929">
        <v>45.29</v>
      </c>
      <c r="AG31" s="929">
        <v>47.64</v>
      </c>
      <c r="AH31" s="929">
        <v>50.28</v>
      </c>
      <c r="AI31" s="929">
        <v>54.12</v>
      </c>
      <c r="AJ31" s="929">
        <v>56.08</v>
      </c>
      <c r="AK31" s="929">
        <v>59.42</v>
      </c>
      <c r="AL31" s="929">
        <v>61.64</v>
      </c>
      <c r="AM31" s="929">
        <v>64.8</v>
      </c>
      <c r="AN31" s="929">
        <v>67.86</v>
      </c>
      <c r="AO31" s="929">
        <v>71.150000000000006</v>
      </c>
      <c r="AP31" s="929">
        <v>74.44</v>
      </c>
      <c r="AQ31" s="929">
        <v>77.73</v>
      </c>
      <c r="AR31" s="929">
        <v>81.02</v>
      </c>
    </row>
    <row r="32" spans="1:44">
      <c r="A32" s="1538"/>
      <c r="B32" s="930">
        <v>3</v>
      </c>
      <c r="C32" s="931">
        <f>(Y32*KFC!$B$19+KFC!$C$19)*KFC!$C$5</f>
        <v>26.51</v>
      </c>
      <c r="D32" s="932">
        <f>(Z32*KFC!$B$19+KFC!$C$19)*KFC!$C$5</f>
        <v>28.92</v>
      </c>
      <c r="E32" s="932">
        <f>(AA32*KFC!$B$19+KFC!$C$19)*KFC!$C$5</f>
        <v>31.56</v>
      </c>
      <c r="F32" s="932">
        <f>(AB32*KFC!$B$19+KFC!$C$19)*KFC!$C$5</f>
        <v>33.94</v>
      </c>
      <c r="G32" s="932">
        <f>(AC32*KFC!$B$19+KFC!$C$19)*KFC!$C$5</f>
        <v>37.75</v>
      </c>
      <c r="H32" s="932">
        <f>(AD32*KFC!$B$19+KFC!$C$19)*KFC!$C$5</f>
        <v>41.17</v>
      </c>
      <c r="I32" s="932">
        <f>(AE32*KFC!$B$19+KFC!$C$19)*KFC!$C$5</f>
        <v>43.16</v>
      </c>
      <c r="J32" s="932">
        <f>(AF32*KFC!$B$19+KFC!$C$19)*KFC!$C$5</f>
        <v>46.22</v>
      </c>
      <c r="K32" s="932">
        <f>(AG32*KFC!$B$19+KFC!$C$19)*KFC!$C$5</f>
        <v>48.56</v>
      </c>
      <c r="L32" s="932">
        <f>(AH32*KFC!$B$19+KFC!$C$19)*KFC!$C$5</f>
        <v>51.2</v>
      </c>
      <c r="M32" s="932">
        <f>(AI32*KFC!$B$19+KFC!$C$19)*KFC!$C$5</f>
        <v>55.44</v>
      </c>
      <c r="N32" s="932">
        <f>(AJ32*KFC!$B$19+KFC!$C$19)*KFC!$C$5</f>
        <v>57.26</v>
      </c>
      <c r="O32" s="932">
        <f>(AK32*KFC!$B$19+KFC!$C$19)*KFC!$C$5</f>
        <v>60.88</v>
      </c>
      <c r="P32" s="932">
        <f>(AL32*KFC!$B$19+KFC!$C$19)*KFC!$C$5</f>
        <v>62.96</v>
      </c>
      <c r="Q32" s="932">
        <f>(AM32*KFC!$B$19+KFC!$C$19)*KFC!$C$5</f>
        <v>66.38</v>
      </c>
      <c r="R32" s="932">
        <f>(AN32*KFC!$B$19+KFC!$C$19)*KFC!$C$5</f>
        <v>69.58</v>
      </c>
      <c r="S32" s="932">
        <f>(AO32*KFC!$B$19+KFC!$C$19)*KFC!$C$5</f>
        <v>73.13</v>
      </c>
      <c r="T32" s="932">
        <f>(AP32*KFC!$B$19+KFC!$C$19)*KFC!$C$5</f>
        <v>76.680000000000007</v>
      </c>
      <c r="U32" s="933">
        <f>(AQ32*KFC!$B$19+KFC!$C$19)*KFC!$C$5</f>
        <v>80.23</v>
      </c>
      <c r="V32" s="928"/>
      <c r="X32" s="923">
        <v>3</v>
      </c>
      <c r="Y32" s="929">
        <v>26.51</v>
      </c>
      <c r="Z32" s="929">
        <v>28.92</v>
      </c>
      <c r="AA32" s="929">
        <v>31.56</v>
      </c>
      <c r="AB32" s="929">
        <v>33.94</v>
      </c>
      <c r="AC32" s="929">
        <v>37.75</v>
      </c>
      <c r="AD32" s="929">
        <v>41.17</v>
      </c>
      <c r="AE32" s="929">
        <v>43.16</v>
      </c>
      <c r="AF32" s="929">
        <v>46.22</v>
      </c>
      <c r="AG32" s="929">
        <v>48.56</v>
      </c>
      <c r="AH32" s="929">
        <v>51.2</v>
      </c>
      <c r="AI32" s="929">
        <v>55.44</v>
      </c>
      <c r="AJ32" s="929">
        <v>57.26</v>
      </c>
      <c r="AK32" s="929">
        <v>60.88</v>
      </c>
      <c r="AL32" s="929">
        <v>62.96</v>
      </c>
      <c r="AM32" s="929">
        <v>66.38</v>
      </c>
      <c r="AN32" s="929">
        <v>69.58</v>
      </c>
      <c r="AO32" s="929">
        <v>73.13</v>
      </c>
      <c r="AP32" s="929">
        <v>76.680000000000007</v>
      </c>
      <c r="AQ32" s="929">
        <v>80.23</v>
      </c>
      <c r="AR32" s="929">
        <v>83.78</v>
      </c>
    </row>
    <row r="33" spans="1:44">
      <c r="A33" s="1538"/>
      <c r="B33" s="930">
        <v>3.1</v>
      </c>
      <c r="C33" s="931">
        <f>(Y33*KFC!$B$19+KFC!$C$19)*KFC!$C$5</f>
        <v>26.9</v>
      </c>
      <c r="D33" s="932">
        <f>(Z33*KFC!$B$19+KFC!$C$19)*KFC!$C$5</f>
        <v>29.32</v>
      </c>
      <c r="E33" s="932">
        <f>(AA33*KFC!$B$19+KFC!$C$19)*KFC!$C$5</f>
        <v>31.96</v>
      </c>
      <c r="F33" s="932">
        <f>(AB33*KFC!$B$19+KFC!$C$19)*KFC!$C$5</f>
        <v>34.340000000000003</v>
      </c>
      <c r="G33" s="932">
        <f>(AC33*KFC!$B$19+KFC!$C$19)*KFC!$C$5</f>
        <v>38.409999999999997</v>
      </c>
      <c r="H33" s="932">
        <f>(AD33*KFC!$B$19+KFC!$C$19)*KFC!$C$5</f>
        <v>42.09</v>
      </c>
      <c r="I33" s="932">
        <f>(AE33*KFC!$B$19+KFC!$C$19)*KFC!$C$5</f>
        <v>43.95</v>
      </c>
      <c r="J33" s="932">
        <f>(AF33*KFC!$B$19+KFC!$C$19)*KFC!$C$5</f>
        <v>47.15</v>
      </c>
      <c r="K33" s="932">
        <f>(AG33*KFC!$B$19+KFC!$C$19)*KFC!$C$5</f>
        <v>49.48</v>
      </c>
      <c r="L33" s="932">
        <f>(AH33*KFC!$B$19+KFC!$C$19)*KFC!$C$5</f>
        <v>52.12</v>
      </c>
      <c r="M33" s="932">
        <f>(AI33*KFC!$B$19+KFC!$C$19)*KFC!$C$5</f>
        <v>56.76</v>
      </c>
      <c r="N33" s="932">
        <f>(AJ33*KFC!$B$19+KFC!$C$19)*KFC!$C$5</f>
        <v>58.44</v>
      </c>
      <c r="O33" s="932">
        <f>(AK33*KFC!$B$19+KFC!$C$19)*KFC!$C$5</f>
        <v>62.34</v>
      </c>
      <c r="P33" s="932">
        <f>(AL33*KFC!$B$19+KFC!$C$19)*KFC!$C$5</f>
        <v>64.28</v>
      </c>
      <c r="Q33" s="932">
        <f>(AM33*KFC!$B$19+KFC!$C$19)*KFC!$C$5</f>
        <v>67.959999999999994</v>
      </c>
      <c r="R33" s="932">
        <f>(AN33*KFC!$B$19+KFC!$C$19)*KFC!$C$5</f>
        <v>71.3</v>
      </c>
      <c r="S33" s="932">
        <f>(AO33*KFC!$B$19+KFC!$C$19)*KFC!$C$5</f>
        <v>75.11</v>
      </c>
      <c r="T33" s="932">
        <f>(AP33*KFC!$B$19+KFC!$C$19)*KFC!$C$5</f>
        <v>78.92</v>
      </c>
      <c r="U33" s="933">
        <f>(AQ33*KFC!$B$19+KFC!$C$19)*KFC!$C$5</f>
        <v>82.73</v>
      </c>
      <c r="V33" s="928"/>
      <c r="X33" s="923">
        <v>3.1</v>
      </c>
      <c r="Y33" s="929">
        <v>26.9</v>
      </c>
      <c r="Z33" s="929">
        <v>29.32</v>
      </c>
      <c r="AA33" s="929">
        <v>31.96</v>
      </c>
      <c r="AB33" s="929">
        <v>34.340000000000003</v>
      </c>
      <c r="AC33" s="929">
        <v>38.409999999999997</v>
      </c>
      <c r="AD33" s="929">
        <v>42.09</v>
      </c>
      <c r="AE33" s="929">
        <v>43.95</v>
      </c>
      <c r="AF33" s="929">
        <v>47.15</v>
      </c>
      <c r="AG33" s="929">
        <v>49.48</v>
      </c>
      <c r="AH33" s="929">
        <v>52.12</v>
      </c>
      <c r="AI33" s="929">
        <v>56.76</v>
      </c>
      <c r="AJ33" s="929">
        <v>58.44</v>
      </c>
      <c r="AK33" s="929">
        <v>62.34</v>
      </c>
      <c r="AL33" s="929">
        <v>64.28</v>
      </c>
      <c r="AM33" s="929">
        <v>67.959999999999994</v>
      </c>
      <c r="AN33" s="929">
        <v>71.3</v>
      </c>
      <c r="AO33" s="929">
        <v>75.11</v>
      </c>
      <c r="AP33" s="929">
        <v>78.92</v>
      </c>
      <c r="AQ33" s="929">
        <v>82.73</v>
      </c>
      <c r="AR33" s="929">
        <v>86.54</v>
      </c>
    </row>
    <row r="34" spans="1:44">
      <c r="A34" s="1538"/>
      <c r="B34" s="930">
        <v>3.2</v>
      </c>
      <c r="C34" s="931">
        <f>(Y34*KFC!$B$19+KFC!$C$19)*KFC!$C$5</f>
        <v>27.29</v>
      </c>
      <c r="D34" s="932">
        <f>(Z34*KFC!$B$19+KFC!$C$19)*KFC!$C$5</f>
        <v>29.72</v>
      </c>
      <c r="E34" s="932">
        <f>(AA34*KFC!$B$19+KFC!$C$19)*KFC!$C$5</f>
        <v>32.36</v>
      </c>
      <c r="F34" s="932">
        <f>(AB34*KFC!$B$19+KFC!$C$19)*KFC!$C$5</f>
        <v>34.74</v>
      </c>
      <c r="G34" s="932">
        <f>(AC34*KFC!$B$19+KFC!$C$19)*KFC!$C$5</f>
        <v>39.07</v>
      </c>
      <c r="H34" s="932">
        <f>(AD34*KFC!$B$19+KFC!$C$19)*KFC!$C$5</f>
        <v>43.01</v>
      </c>
      <c r="I34" s="932">
        <f>(AE34*KFC!$B$19+KFC!$C$19)*KFC!$C$5</f>
        <v>44.74</v>
      </c>
      <c r="J34" s="932">
        <f>(AF34*KFC!$B$19+KFC!$C$19)*KFC!$C$5</f>
        <v>48.08</v>
      </c>
      <c r="K34" s="932">
        <f>(AG34*KFC!$B$19+KFC!$C$19)*KFC!$C$5</f>
        <v>50.4</v>
      </c>
      <c r="L34" s="932">
        <f>(AH34*KFC!$B$19+KFC!$C$19)*KFC!$C$5</f>
        <v>53.04</v>
      </c>
      <c r="M34" s="932">
        <f>(AI34*KFC!$B$19+KFC!$C$19)*KFC!$C$5</f>
        <v>58.08</v>
      </c>
      <c r="N34" s="932">
        <f>(AJ34*KFC!$B$19+KFC!$C$19)*KFC!$C$5</f>
        <v>59.62</v>
      </c>
      <c r="O34" s="932">
        <f>(AK34*KFC!$B$19+KFC!$C$19)*KFC!$C$5</f>
        <v>63.8</v>
      </c>
      <c r="P34" s="932">
        <f>(AL34*KFC!$B$19+KFC!$C$19)*KFC!$C$5</f>
        <v>65.599999999999994</v>
      </c>
      <c r="Q34" s="932">
        <f>(AM34*KFC!$B$19+KFC!$C$19)*KFC!$C$5</f>
        <v>69.540000000000006</v>
      </c>
      <c r="R34" s="932">
        <f>(AN34*KFC!$B$19+KFC!$C$19)*KFC!$C$5</f>
        <v>73.02</v>
      </c>
      <c r="S34" s="932">
        <f>(AO34*KFC!$B$19+KFC!$C$19)*KFC!$C$5</f>
        <v>77.09</v>
      </c>
      <c r="T34" s="932">
        <f>(AP34*KFC!$B$19+KFC!$C$19)*KFC!$C$5</f>
        <v>81.16</v>
      </c>
      <c r="U34" s="933">
        <f>(AQ34*KFC!$B$19+KFC!$C$19)*KFC!$C$5</f>
        <v>85.23</v>
      </c>
      <c r="V34" s="928"/>
      <c r="X34" s="923">
        <v>3.2</v>
      </c>
      <c r="Y34" s="929">
        <v>27.29</v>
      </c>
      <c r="Z34" s="929">
        <v>29.72</v>
      </c>
      <c r="AA34" s="929">
        <v>32.36</v>
      </c>
      <c r="AB34" s="929">
        <v>34.74</v>
      </c>
      <c r="AC34" s="929">
        <v>39.07</v>
      </c>
      <c r="AD34" s="929">
        <v>43.01</v>
      </c>
      <c r="AE34" s="929">
        <v>44.74</v>
      </c>
      <c r="AF34" s="929">
        <v>48.08</v>
      </c>
      <c r="AG34" s="929">
        <v>50.4</v>
      </c>
      <c r="AH34" s="929">
        <v>53.04</v>
      </c>
      <c r="AI34" s="929">
        <v>58.08</v>
      </c>
      <c r="AJ34" s="929">
        <v>59.62</v>
      </c>
      <c r="AK34" s="929">
        <v>63.8</v>
      </c>
      <c r="AL34" s="929">
        <v>65.599999999999994</v>
      </c>
      <c r="AM34" s="929">
        <v>69.540000000000006</v>
      </c>
      <c r="AN34" s="929">
        <v>73.02</v>
      </c>
      <c r="AO34" s="929">
        <v>77.09</v>
      </c>
      <c r="AP34" s="929">
        <v>81.16</v>
      </c>
      <c r="AQ34" s="929">
        <v>85.23</v>
      </c>
      <c r="AR34" s="929">
        <v>89.3</v>
      </c>
    </row>
    <row r="35" spans="1:44">
      <c r="A35" s="1538"/>
      <c r="B35" s="930">
        <v>3.3</v>
      </c>
      <c r="C35" s="931">
        <f>(Y35*KFC!$B$19+KFC!$C$19)*KFC!$C$5</f>
        <v>27.68</v>
      </c>
      <c r="D35" s="932">
        <f>(Z35*KFC!$B$19+KFC!$C$19)*KFC!$C$5</f>
        <v>30.12</v>
      </c>
      <c r="E35" s="932">
        <f>(AA35*KFC!$B$19+KFC!$C$19)*KFC!$C$5</f>
        <v>32.76</v>
      </c>
      <c r="F35" s="932">
        <f>(AB35*KFC!$B$19+KFC!$C$19)*KFC!$C$5</f>
        <v>35.14</v>
      </c>
      <c r="G35" s="932">
        <f>(AC35*KFC!$B$19+KFC!$C$19)*KFC!$C$5</f>
        <v>39.729999999999997</v>
      </c>
      <c r="H35" s="932">
        <f>(AD35*KFC!$B$19+KFC!$C$19)*KFC!$C$5</f>
        <v>43.93</v>
      </c>
      <c r="I35" s="932">
        <f>(AE35*KFC!$B$19+KFC!$C$19)*KFC!$C$5</f>
        <v>45.53</v>
      </c>
      <c r="J35" s="932">
        <f>(AF35*KFC!$B$19+KFC!$C$19)*KFC!$C$5</f>
        <v>49.01</v>
      </c>
      <c r="K35" s="932">
        <f>(AG35*KFC!$B$19+KFC!$C$19)*KFC!$C$5</f>
        <v>51.32</v>
      </c>
      <c r="L35" s="932">
        <f>(AH35*KFC!$B$19+KFC!$C$19)*KFC!$C$5</f>
        <v>53.96</v>
      </c>
      <c r="M35" s="932">
        <f>(AI35*KFC!$B$19+KFC!$C$19)*KFC!$C$5</f>
        <v>59.4</v>
      </c>
      <c r="N35" s="932">
        <f>(AJ35*KFC!$B$19+KFC!$C$19)*KFC!$C$5</f>
        <v>60.8</v>
      </c>
      <c r="O35" s="932">
        <f>(AK35*KFC!$B$19+KFC!$C$19)*KFC!$C$5</f>
        <v>65.260000000000005</v>
      </c>
      <c r="P35" s="932">
        <f>(AL35*KFC!$B$19+KFC!$C$19)*KFC!$C$5</f>
        <v>66.92</v>
      </c>
      <c r="Q35" s="932">
        <f>(AM35*KFC!$B$19+KFC!$C$19)*KFC!$C$5</f>
        <v>71.12</v>
      </c>
      <c r="R35" s="932">
        <f>(AN35*KFC!$B$19+KFC!$C$19)*KFC!$C$5</f>
        <v>74.739999999999995</v>
      </c>
      <c r="S35" s="932">
        <f>(AO35*KFC!$B$19+KFC!$C$19)*KFC!$C$5</f>
        <v>79.069999999999993</v>
      </c>
      <c r="T35" s="932">
        <f>(AP35*KFC!$B$19+KFC!$C$19)*KFC!$C$5</f>
        <v>83.4</v>
      </c>
      <c r="U35" s="933">
        <f>(AQ35*KFC!$B$19+KFC!$C$19)*KFC!$C$5</f>
        <v>87.73</v>
      </c>
      <c r="V35" s="928"/>
      <c r="X35" s="923">
        <v>3.3</v>
      </c>
      <c r="Y35" s="929">
        <v>27.68</v>
      </c>
      <c r="Z35" s="929">
        <v>30.12</v>
      </c>
      <c r="AA35" s="929">
        <v>32.76</v>
      </c>
      <c r="AB35" s="929">
        <v>35.14</v>
      </c>
      <c r="AC35" s="929">
        <v>39.729999999999997</v>
      </c>
      <c r="AD35" s="929">
        <v>43.93</v>
      </c>
      <c r="AE35" s="929">
        <v>45.53</v>
      </c>
      <c r="AF35" s="929">
        <v>49.01</v>
      </c>
      <c r="AG35" s="929">
        <v>51.32</v>
      </c>
      <c r="AH35" s="929">
        <v>53.96</v>
      </c>
      <c r="AI35" s="929">
        <v>59.4</v>
      </c>
      <c r="AJ35" s="929">
        <v>60.8</v>
      </c>
      <c r="AK35" s="929">
        <v>65.260000000000005</v>
      </c>
      <c r="AL35" s="929">
        <v>66.92</v>
      </c>
      <c r="AM35" s="929">
        <v>71.12</v>
      </c>
      <c r="AN35" s="929">
        <v>74.739999999999995</v>
      </c>
      <c r="AO35" s="929">
        <v>79.069999999999993</v>
      </c>
      <c r="AP35" s="929">
        <v>83.4</v>
      </c>
      <c r="AQ35" s="929">
        <v>87.73</v>
      </c>
      <c r="AR35" s="929">
        <v>92.06</v>
      </c>
    </row>
    <row r="36" spans="1:44">
      <c r="A36" s="1538"/>
      <c r="B36" s="930">
        <v>3.4</v>
      </c>
      <c r="C36" s="931">
        <f>(Y36*KFC!$B$19+KFC!$C$19)*KFC!$C$5</f>
        <v>28.07</v>
      </c>
      <c r="D36" s="932">
        <f>(Z36*KFC!$B$19+KFC!$C$19)*KFC!$C$5</f>
        <v>30.52</v>
      </c>
      <c r="E36" s="932">
        <f>(AA36*KFC!$B$19+KFC!$C$19)*KFC!$C$5</f>
        <v>33.159999999999997</v>
      </c>
      <c r="F36" s="932">
        <f>(AB36*KFC!$B$19+KFC!$C$19)*KFC!$C$5</f>
        <v>35.54</v>
      </c>
      <c r="G36" s="932">
        <f>(AC36*KFC!$B$19+KFC!$C$19)*KFC!$C$5</f>
        <v>40.39</v>
      </c>
      <c r="H36" s="932">
        <f>(AD36*KFC!$B$19+KFC!$C$19)*KFC!$C$5</f>
        <v>44.85</v>
      </c>
      <c r="I36" s="932">
        <f>(AE36*KFC!$B$19+KFC!$C$19)*KFC!$C$5</f>
        <v>46.32</v>
      </c>
      <c r="J36" s="932">
        <f>(AF36*KFC!$B$19+KFC!$C$19)*KFC!$C$5</f>
        <v>49.94</v>
      </c>
      <c r="K36" s="932">
        <f>(AG36*KFC!$B$19+KFC!$C$19)*KFC!$C$5</f>
        <v>52.24</v>
      </c>
      <c r="L36" s="932">
        <f>(AH36*KFC!$B$19+KFC!$C$19)*KFC!$C$5</f>
        <v>54.88</v>
      </c>
      <c r="M36" s="932">
        <f>(AI36*KFC!$B$19+KFC!$C$19)*KFC!$C$5</f>
        <v>60.72</v>
      </c>
      <c r="N36" s="932">
        <f>(AJ36*KFC!$B$19+KFC!$C$19)*KFC!$C$5</f>
        <v>61.98</v>
      </c>
      <c r="O36" s="932">
        <f>(AK36*KFC!$B$19+KFC!$C$19)*KFC!$C$5</f>
        <v>66.72</v>
      </c>
      <c r="P36" s="932">
        <f>(AL36*KFC!$B$19+KFC!$C$19)*KFC!$C$5</f>
        <v>68.239999999999995</v>
      </c>
      <c r="Q36" s="932">
        <f>(AM36*KFC!$B$19+KFC!$C$19)*KFC!$C$5</f>
        <v>72.7</v>
      </c>
      <c r="R36" s="932">
        <f>(AN36*KFC!$B$19+KFC!$C$19)*KFC!$C$5</f>
        <v>76.459999999999994</v>
      </c>
      <c r="S36" s="932">
        <f>(AO36*KFC!$B$19+KFC!$C$19)*KFC!$C$5</f>
        <v>81.05</v>
      </c>
      <c r="T36" s="932">
        <f>(AP36*KFC!$B$19+KFC!$C$19)*KFC!$C$5</f>
        <v>85.64</v>
      </c>
      <c r="U36" s="933">
        <f>(AQ36*KFC!$B$19+KFC!$C$19)*KFC!$C$5</f>
        <v>90.23</v>
      </c>
      <c r="V36" s="928"/>
      <c r="X36" s="923">
        <v>3.4</v>
      </c>
      <c r="Y36" s="929">
        <v>28.07</v>
      </c>
      <c r="Z36" s="929">
        <v>30.52</v>
      </c>
      <c r="AA36" s="929">
        <v>33.159999999999997</v>
      </c>
      <c r="AB36" s="929">
        <v>35.54</v>
      </c>
      <c r="AC36" s="929">
        <v>40.39</v>
      </c>
      <c r="AD36" s="929">
        <v>44.85</v>
      </c>
      <c r="AE36" s="929">
        <v>46.32</v>
      </c>
      <c r="AF36" s="929">
        <v>49.94</v>
      </c>
      <c r="AG36" s="929">
        <v>52.24</v>
      </c>
      <c r="AH36" s="929">
        <v>54.88</v>
      </c>
      <c r="AI36" s="929">
        <v>60.72</v>
      </c>
      <c r="AJ36" s="929">
        <v>61.98</v>
      </c>
      <c r="AK36" s="929">
        <v>66.72</v>
      </c>
      <c r="AL36" s="929">
        <v>68.239999999999995</v>
      </c>
      <c r="AM36" s="929">
        <v>72.7</v>
      </c>
      <c r="AN36" s="929">
        <v>76.459999999999994</v>
      </c>
      <c r="AO36" s="929">
        <v>81.05</v>
      </c>
      <c r="AP36" s="929">
        <v>85.64</v>
      </c>
      <c r="AQ36" s="929">
        <v>90.23</v>
      </c>
      <c r="AR36" s="929">
        <v>94.82</v>
      </c>
    </row>
    <row r="37" spans="1:44" ht="13.8" thickBot="1">
      <c r="A37" s="1539"/>
      <c r="B37" s="934">
        <v>3.5</v>
      </c>
      <c r="C37" s="935">
        <f>(Y37*KFC!$B$19+KFC!$C$19)*KFC!$C$5</f>
        <v>28.46</v>
      </c>
      <c r="D37" s="936">
        <f>(Z37*KFC!$B$19+KFC!$C$19)*KFC!$C$5</f>
        <v>30.92</v>
      </c>
      <c r="E37" s="936">
        <f>(AA37*KFC!$B$19+KFC!$C$19)*KFC!$C$5</f>
        <v>33.56</v>
      </c>
      <c r="F37" s="936">
        <f>(AB37*KFC!$B$19+KFC!$C$19)*KFC!$C$5</f>
        <v>35.94</v>
      </c>
      <c r="G37" s="936">
        <f>(AC37*KFC!$B$19+KFC!$C$19)*KFC!$C$5</f>
        <v>41.05</v>
      </c>
      <c r="H37" s="936">
        <f>(AD37*KFC!$B$19+KFC!$C$19)*KFC!$C$5</f>
        <v>45.77</v>
      </c>
      <c r="I37" s="936">
        <f>(AE37*KFC!$B$19+KFC!$C$19)*KFC!$C$5</f>
        <v>47.11</v>
      </c>
      <c r="J37" s="936">
        <f>(AF37*KFC!$B$19+KFC!$C$19)*KFC!$C$5</f>
        <v>50.87</v>
      </c>
      <c r="K37" s="936">
        <f>(AG37*KFC!$B$19+KFC!$C$19)*KFC!$C$5</f>
        <v>53.16</v>
      </c>
      <c r="L37" s="936">
        <f>(AH37*KFC!$B$19+KFC!$C$19)*KFC!$C$5</f>
        <v>55.8</v>
      </c>
      <c r="M37" s="936">
        <f>(AI37*KFC!$B$19+KFC!$C$19)*KFC!$C$5</f>
        <v>62.04</v>
      </c>
      <c r="N37" s="936">
        <f>(AJ37*KFC!$B$19+KFC!$C$19)*KFC!$C$5</f>
        <v>63.16</v>
      </c>
      <c r="O37" s="936">
        <f>(AK37*KFC!$B$19+KFC!$C$19)*KFC!$C$5</f>
        <v>68.180000000000007</v>
      </c>
      <c r="P37" s="936">
        <f>(AL37*KFC!$B$19+KFC!$C$19)*KFC!$C$5</f>
        <v>69.56</v>
      </c>
      <c r="Q37" s="936">
        <f>(AM37*KFC!$B$19+KFC!$C$19)*KFC!$C$5</f>
        <v>74.28</v>
      </c>
      <c r="R37" s="936">
        <f>(AN37*KFC!$B$19+KFC!$C$19)*KFC!$C$5</f>
        <v>78.180000000000007</v>
      </c>
      <c r="S37" s="936">
        <f>(AO37*KFC!$B$19+KFC!$C$19)*KFC!$C$5</f>
        <v>83.03</v>
      </c>
      <c r="T37" s="936">
        <f>(AP37*KFC!$B$19+KFC!$C$19)*KFC!$C$5</f>
        <v>87.88</v>
      </c>
      <c r="U37" s="937">
        <f>(AQ37*KFC!$B$19+KFC!$C$19)*KFC!$C$5</f>
        <v>92.73</v>
      </c>
      <c r="V37" s="928"/>
      <c r="X37" s="923">
        <v>3.5</v>
      </c>
      <c r="Y37" s="929">
        <v>28.46</v>
      </c>
      <c r="Z37" s="929">
        <v>30.92</v>
      </c>
      <c r="AA37" s="929">
        <v>33.56</v>
      </c>
      <c r="AB37" s="929">
        <v>35.94</v>
      </c>
      <c r="AC37" s="929">
        <v>41.05</v>
      </c>
      <c r="AD37" s="929">
        <v>45.77</v>
      </c>
      <c r="AE37" s="929">
        <v>47.11</v>
      </c>
      <c r="AF37" s="929">
        <v>50.87</v>
      </c>
      <c r="AG37" s="929">
        <v>53.16</v>
      </c>
      <c r="AH37" s="929">
        <v>55.8</v>
      </c>
      <c r="AI37" s="929">
        <v>62.04</v>
      </c>
      <c r="AJ37" s="929">
        <v>63.16</v>
      </c>
      <c r="AK37" s="929">
        <v>68.180000000000007</v>
      </c>
      <c r="AL37" s="929">
        <v>69.56</v>
      </c>
      <c r="AM37" s="929">
        <v>74.28</v>
      </c>
      <c r="AN37" s="929">
        <v>78.180000000000007</v>
      </c>
      <c r="AO37" s="929">
        <v>83.03</v>
      </c>
      <c r="AP37" s="929">
        <v>87.88</v>
      </c>
      <c r="AQ37" s="929">
        <v>92.73</v>
      </c>
      <c r="AR37" s="929">
        <v>97.58</v>
      </c>
    </row>
    <row r="38" spans="1:44" hidden="1">
      <c r="A38" s="938"/>
      <c r="B38" s="921"/>
      <c r="C38" s="928"/>
      <c r="D38" s="928"/>
      <c r="E38" s="928"/>
      <c r="F38" s="928"/>
      <c r="G38" s="928"/>
      <c r="H38" s="928"/>
      <c r="I38" s="928"/>
      <c r="J38" s="928"/>
      <c r="K38" s="928"/>
      <c r="L38" s="928"/>
      <c r="M38" s="928"/>
      <c r="N38" s="928"/>
      <c r="O38" s="928"/>
      <c r="P38" s="928"/>
      <c r="Q38" s="928"/>
      <c r="R38" s="928"/>
      <c r="S38" s="928"/>
      <c r="T38" s="928"/>
      <c r="U38" s="928"/>
      <c r="V38" s="928"/>
      <c r="X38" s="923">
        <v>3.6</v>
      </c>
      <c r="Y38" s="929">
        <v>28.85</v>
      </c>
      <c r="Z38" s="929">
        <v>31.32</v>
      </c>
      <c r="AA38" s="929">
        <v>33.96</v>
      </c>
      <c r="AB38" s="929">
        <v>36.340000000000003</v>
      </c>
      <c r="AC38" s="929">
        <v>41.71</v>
      </c>
      <c r="AD38" s="929">
        <v>46.69</v>
      </c>
      <c r="AE38" s="929">
        <v>47.9</v>
      </c>
      <c r="AF38" s="929">
        <v>51.8</v>
      </c>
      <c r="AG38" s="929">
        <v>54.08</v>
      </c>
      <c r="AH38" s="929">
        <v>56.72</v>
      </c>
      <c r="AI38" s="929">
        <v>63.36</v>
      </c>
      <c r="AJ38" s="929">
        <v>64.34</v>
      </c>
      <c r="AK38" s="929">
        <v>69.64</v>
      </c>
      <c r="AL38" s="929">
        <v>70.88</v>
      </c>
      <c r="AM38" s="929">
        <v>75.86</v>
      </c>
      <c r="AN38" s="929">
        <v>79.900000000000006</v>
      </c>
      <c r="AO38" s="929">
        <v>85.01</v>
      </c>
      <c r="AP38" s="929">
        <v>90.12</v>
      </c>
      <c r="AQ38" s="929">
        <v>95.23</v>
      </c>
      <c r="AR38" s="929">
        <v>100.34</v>
      </c>
    </row>
    <row r="39" spans="1:44" hidden="1">
      <c r="A39" s="938"/>
      <c r="B39" s="921"/>
      <c r="C39" s="928"/>
      <c r="D39" s="928"/>
      <c r="E39" s="928"/>
      <c r="F39" s="928"/>
      <c r="G39" s="928"/>
      <c r="H39" s="928"/>
      <c r="I39" s="928"/>
      <c r="J39" s="928"/>
      <c r="K39" s="928"/>
      <c r="L39" s="928"/>
      <c r="M39" s="928"/>
      <c r="N39" s="928"/>
      <c r="O39" s="928"/>
      <c r="P39" s="928"/>
      <c r="Q39" s="928"/>
      <c r="R39" s="928"/>
      <c r="S39" s="928"/>
      <c r="T39" s="928"/>
      <c r="U39" s="928"/>
      <c r="V39" s="928"/>
      <c r="X39" s="923">
        <v>3.7</v>
      </c>
      <c r="Y39" s="929">
        <v>29.24</v>
      </c>
      <c r="Z39" s="929">
        <v>31.72</v>
      </c>
      <c r="AA39" s="929">
        <v>34.36</v>
      </c>
      <c r="AB39" s="929">
        <v>36.74</v>
      </c>
      <c r="AC39" s="929">
        <v>42.37</v>
      </c>
      <c r="AD39" s="929">
        <v>47.61</v>
      </c>
      <c r="AE39" s="929">
        <v>48.69</v>
      </c>
      <c r="AF39" s="929">
        <v>52.73</v>
      </c>
      <c r="AG39" s="929">
        <v>55</v>
      </c>
      <c r="AH39" s="929">
        <v>57.64</v>
      </c>
      <c r="AI39" s="929">
        <v>64.680000000000007</v>
      </c>
      <c r="AJ39" s="929">
        <v>65.52</v>
      </c>
      <c r="AK39" s="929">
        <v>71.099999999999994</v>
      </c>
      <c r="AL39" s="929">
        <v>72.2</v>
      </c>
      <c r="AM39" s="929">
        <v>77.44</v>
      </c>
      <c r="AN39" s="929">
        <v>81.62</v>
      </c>
      <c r="AO39" s="929">
        <v>86.99</v>
      </c>
      <c r="AP39" s="929">
        <v>92.36</v>
      </c>
      <c r="AQ39" s="929">
        <v>97.73</v>
      </c>
      <c r="AR39" s="929">
        <v>103.1</v>
      </c>
    </row>
    <row r="40" spans="1:44" hidden="1">
      <c r="A40" s="938"/>
      <c r="B40" s="921"/>
      <c r="C40" s="928"/>
      <c r="D40" s="928"/>
      <c r="E40" s="928"/>
      <c r="F40" s="928"/>
      <c r="G40" s="928"/>
      <c r="H40" s="928"/>
      <c r="I40" s="928"/>
      <c r="J40" s="928"/>
      <c r="K40" s="928"/>
      <c r="L40" s="928"/>
      <c r="M40" s="928"/>
      <c r="N40" s="928"/>
      <c r="O40" s="928"/>
      <c r="P40" s="928"/>
      <c r="Q40" s="928"/>
      <c r="R40" s="928"/>
      <c r="S40" s="928"/>
      <c r="T40" s="928"/>
      <c r="U40" s="928"/>
      <c r="V40" s="928"/>
      <c r="X40" s="923">
        <v>3.8</v>
      </c>
      <c r="Y40" s="929">
        <v>29.63</v>
      </c>
      <c r="Z40" s="929">
        <v>32.119999999999997</v>
      </c>
      <c r="AA40" s="929">
        <v>34.76</v>
      </c>
      <c r="AB40" s="929">
        <v>37.14</v>
      </c>
      <c r="AC40" s="929">
        <v>43.03</v>
      </c>
      <c r="AD40" s="929">
        <v>48.53</v>
      </c>
      <c r="AE40" s="929">
        <v>49.48</v>
      </c>
      <c r="AF40" s="929">
        <v>53.66</v>
      </c>
      <c r="AG40" s="929">
        <v>55.92</v>
      </c>
      <c r="AH40" s="929">
        <v>58.56</v>
      </c>
      <c r="AI40" s="929">
        <v>66</v>
      </c>
      <c r="AJ40" s="929">
        <v>66.7</v>
      </c>
      <c r="AK40" s="929">
        <v>72.56</v>
      </c>
      <c r="AL40" s="929">
        <v>73.52</v>
      </c>
      <c r="AM40" s="929">
        <v>79.02</v>
      </c>
      <c r="AN40" s="929">
        <v>83.34</v>
      </c>
      <c r="AO40" s="929">
        <v>88.97</v>
      </c>
      <c r="AP40" s="929">
        <v>94.6</v>
      </c>
      <c r="AQ40" s="929">
        <v>100.23</v>
      </c>
      <c r="AR40" s="929">
        <v>105.86</v>
      </c>
    </row>
    <row r="41" spans="1:44" hidden="1">
      <c r="A41" s="938"/>
      <c r="B41" s="921"/>
      <c r="C41" s="928"/>
      <c r="D41" s="928"/>
      <c r="E41" s="928"/>
      <c r="F41" s="928"/>
      <c r="G41" s="928"/>
      <c r="H41" s="928"/>
      <c r="I41" s="928"/>
      <c r="J41" s="928"/>
      <c r="K41" s="928"/>
      <c r="L41" s="928"/>
      <c r="M41" s="928"/>
      <c r="N41" s="928"/>
      <c r="O41" s="928"/>
      <c r="P41" s="928"/>
      <c r="Q41" s="928"/>
      <c r="R41" s="928"/>
      <c r="S41" s="928"/>
      <c r="T41" s="928"/>
      <c r="U41" s="928"/>
      <c r="V41" s="928"/>
      <c r="X41" s="923">
        <v>3.9</v>
      </c>
      <c r="Y41" s="929">
        <v>30.02</v>
      </c>
      <c r="Z41" s="929">
        <v>32.520000000000003</v>
      </c>
      <c r="AA41" s="929">
        <v>35.159999999999997</v>
      </c>
      <c r="AB41" s="929">
        <v>37.54</v>
      </c>
      <c r="AC41" s="929">
        <v>43.69</v>
      </c>
      <c r="AD41" s="929">
        <v>49.45</v>
      </c>
      <c r="AE41" s="929">
        <v>50.27</v>
      </c>
      <c r="AF41" s="929">
        <v>54.59</v>
      </c>
      <c r="AG41" s="929">
        <v>56.84</v>
      </c>
      <c r="AH41" s="929">
        <v>59.48</v>
      </c>
      <c r="AI41" s="929">
        <v>67.319999999999993</v>
      </c>
      <c r="AJ41" s="929">
        <v>67.88</v>
      </c>
      <c r="AK41" s="929">
        <v>74.02</v>
      </c>
      <c r="AL41" s="929">
        <v>74.84</v>
      </c>
      <c r="AM41" s="929">
        <v>80.599999999999994</v>
      </c>
      <c r="AN41" s="929">
        <v>85.06</v>
      </c>
      <c r="AO41" s="929">
        <v>90.95</v>
      </c>
      <c r="AP41" s="929">
        <v>96.84</v>
      </c>
      <c r="AQ41" s="929">
        <v>102.73</v>
      </c>
      <c r="AR41" s="929">
        <v>108.62</v>
      </c>
    </row>
    <row r="42" spans="1:44" hidden="1">
      <c r="A42" s="938"/>
      <c r="B42" s="921"/>
      <c r="C42" s="928"/>
      <c r="D42" s="928"/>
      <c r="E42" s="928"/>
      <c r="F42" s="928"/>
      <c r="G42" s="928"/>
      <c r="H42" s="928"/>
      <c r="I42" s="928"/>
      <c r="J42" s="928"/>
      <c r="K42" s="928"/>
      <c r="L42" s="928"/>
      <c r="M42" s="928"/>
      <c r="N42" s="928"/>
      <c r="O42" s="928"/>
      <c r="P42" s="928"/>
      <c r="Q42" s="928"/>
      <c r="R42" s="928"/>
      <c r="S42" s="928"/>
      <c r="T42" s="928"/>
      <c r="U42" s="928"/>
      <c r="V42" s="928"/>
      <c r="X42" s="923">
        <v>4</v>
      </c>
      <c r="Y42" s="929">
        <v>30.41</v>
      </c>
      <c r="Z42" s="929">
        <v>32.92</v>
      </c>
      <c r="AA42" s="929">
        <v>35.56</v>
      </c>
      <c r="AB42" s="929">
        <v>37.94</v>
      </c>
      <c r="AC42" s="929">
        <v>44.35</v>
      </c>
      <c r="AD42" s="929">
        <v>50.37</v>
      </c>
      <c r="AE42" s="929">
        <v>51.06</v>
      </c>
      <c r="AF42" s="929">
        <v>55.52</v>
      </c>
      <c r="AG42" s="929">
        <v>57.76</v>
      </c>
      <c r="AH42" s="929">
        <v>60.4</v>
      </c>
      <c r="AI42" s="929">
        <v>68.64</v>
      </c>
      <c r="AJ42" s="929">
        <v>69.06</v>
      </c>
      <c r="AK42" s="929">
        <v>75.48</v>
      </c>
      <c r="AL42" s="929">
        <v>76.16</v>
      </c>
      <c r="AM42" s="929">
        <v>82.18</v>
      </c>
      <c r="AN42" s="929">
        <v>86.78</v>
      </c>
      <c r="AO42" s="929">
        <v>92.93</v>
      </c>
      <c r="AP42" s="929">
        <v>99.08</v>
      </c>
      <c r="AQ42" s="929">
        <v>105.23</v>
      </c>
      <c r="AR42" s="929">
        <v>111.38</v>
      </c>
    </row>
    <row r="43" spans="1:44" hidden="1">
      <c r="B43" s="921"/>
      <c r="C43" s="928"/>
      <c r="D43" s="928"/>
      <c r="E43" s="928"/>
      <c r="F43" s="928"/>
      <c r="G43" s="928"/>
      <c r="H43" s="928"/>
      <c r="I43" s="928"/>
      <c r="J43" s="928"/>
      <c r="K43" s="928"/>
      <c r="L43" s="928"/>
      <c r="M43" s="928"/>
      <c r="N43" s="928"/>
      <c r="O43" s="928"/>
      <c r="P43" s="928"/>
      <c r="Q43" s="928"/>
      <c r="R43" s="928"/>
      <c r="S43" s="928"/>
      <c r="T43" s="928"/>
      <c r="U43" s="928"/>
      <c r="V43" s="928"/>
      <c r="X43" s="923">
        <v>4.0999999999999996</v>
      </c>
      <c r="Y43" s="929">
        <v>30.8</v>
      </c>
      <c r="Z43" s="929">
        <v>33.32</v>
      </c>
      <c r="AA43" s="929">
        <v>35.96</v>
      </c>
      <c r="AB43" s="929">
        <v>38.340000000000003</v>
      </c>
      <c r="AC43" s="929">
        <v>45.01</v>
      </c>
      <c r="AD43" s="929">
        <v>51.29</v>
      </c>
      <c r="AE43" s="929">
        <v>51.85</v>
      </c>
      <c r="AF43" s="929">
        <v>56.45</v>
      </c>
      <c r="AG43" s="929">
        <v>58.68</v>
      </c>
      <c r="AH43" s="929">
        <v>61.32</v>
      </c>
      <c r="AI43" s="929">
        <v>69.959999999999994</v>
      </c>
      <c r="AJ43" s="929">
        <v>70.239999999999995</v>
      </c>
      <c r="AK43" s="929">
        <v>76.94</v>
      </c>
      <c r="AL43" s="929">
        <v>77.48</v>
      </c>
      <c r="AM43" s="929">
        <v>83.76</v>
      </c>
      <c r="AN43" s="929">
        <v>88.5</v>
      </c>
      <c r="AO43" s="929">
        <v>94.91</v>
      </c>
      <c r="AP43" s="929">
        <v>101.32</v>
      </c>
      <c r="AQ43" s="929">
        <v>107.73</v>
      </c>
      <c r="AR43" s="929">
        <v>114.14</v>
      </c>
    </row>
    <row r="44" spans="1:44" hidden="1">
      <c r="B44" s="921"/>
      <c r="C44" s="928"/>
      <c r="D44" s="928"/>
      <c r="E44" s="928"/>
      <c r="F44" s="928"/>
      <c r="G44" s="928"/>
      <c r="H44" s="928"/>
      <c r="I44" s="928"/>
      <c r="J44" s="928"/>
      <c r="K44" s="928"/>
      <c r="L44" s="928"/>
      <c r="M44" s="928"/>
      <c r="N44" s="928"/>
      <c r="O44" s="928"/>
      <c r="P44" s="928"/>
      <c r="Q44" s="928"/>
      <c r="R44" s="928"/>
      <c r="S44" s="928"/>
      <c r="T44" s="928"/>
      <c r="U44" s="928"/>
      <c r="V44" s="928"/>
      <c r="X44" s="923">
        <v>4.2</v>
      </c>
      <c r="Y44" s="929">
        <v>31.19</v>
      </c>
      <c r="Z44" s="929">
        <v>33.72</v>
      </c>
      <c r="AA44" s="929">
        <v>36.36</v>
      </c>
      <c r="AB44" s="929">
        <v>38.74</v>
      </c>
      <c r="AC44" s="929">
        <v>45.67</v>
      </c>
      <c r="AD44" s="929">
        <v>52.21</v>
      </c>
      <c r="AE44" s="929">
        <v>52.64</v>
      </c>
      <c r="AF44" s="929">
        <v>57.38</v>
      </c>
      <c r="AG44" s="929">
        <v>59.6</v>
      </c>
      <c r="AH44" s="929">
        <v>62.24</v>
      </c>
      <c r="AI44" s="929">
        <v>71.28</v>
      </c>
      <c r="AJ44" s="929">
        <v>71.42</v>
      </c>
      <c r="AK44" s="929">
        <v>78.400000000000006</v>
      </c>
      <c r="AL44" s="929">
        <v>78.8</v>
      </c>
      <c r="AM44" s="929">
        <v>85.34</v>
      </c>
      <c r="AN44" s="929">
        <v>90.22</v>
      </c>
      <c r="AO44" s="929">
        <v>96.89</v>
      </c>
      <c r="AP44" s="929">
        <v>103.56</v>
      </c>
      <c r="AQ44" s="929">
        <v>110.23</v>
      </c>
      <c r="AR44" s="929">
        <v>116.9</v>
      </c>
    </row>
    <row r="45" spans="1:44" hidden="1">
      <c r="B45" s="921"/>
      <c r="C45" s="928"/>
      <c r="D45" s="928"/>
      <c r="E45" s="928"/>
      <c r="F45" s="928"/>
      <c r="G45" s="928"/>
      <c r="H45" s="928"/>
      <c r="I45" s="928"/>
      <c r="J45" s="928"/>
      <c r="K45" s="928"/>
      <c r="L45" s="928"/>
      <c r="M45" s="928"/>
      <c r="N45" s="928"/>
      <c r="O45" s="928"/>
      <c r="P45" s="928"/>
      <c r="Q45" s="928"/>
      <c r="R45" s="928"/>
      <c r="S45" s="928"/>
      <c r="T45" s="928"/>
      <c r="U45" s="928"/>
      <c r="V45" s="928"/>
      <c r="X45" s="923">
        <v>4.3</v>
      </c>
      <c r="Y45" s="929">
        <v>31.58</v>
      </c>
      <c r="Z45" s="929">
        <v>34.119999999999997</v>
      </c>
      <c r="AA45" s="929">
        <v>36.76</v>
      </c>
      <c r="AB45" s="929">
        <v>39.14</v>
      </c>
      <c r="AC45" s="929">
        <v>46.33</v>
      </c>
      <c r="AD45" s="929">
        <v>53.13</v>
      </c>
      <c r="AE45" s="929">
        <v>53.43</v>
      </c>
      <c r="AF45" s="929">
        <v>58.31</v>
      </c>
      <c r="AG45" s="929">
        <v>60.52</v>
      </c>
      <c r="AH45" s="929">
        <v>63.16</v>
      </c>
      <c r="AI45" s="929">
        <v>72.599999999999994</v>
      </c>
      <c r="AJ45" s="929">
        <v>72.599999999999994</v>
      </c>
      <c r="AK45" s="929">
        <v>79.86</v>
      </c>
      <c r="AL45" s="929">
        <v>80.12</v>
      </c>
      <c r="AM45" s="929">
        <v>86.92</v>
      </c>
      <c r="AN45" s="929">
        <v>91.94</v>
      </c>
      <c r="AO45" s="929">
        <v>98.87</v>
      </c>
      <c r="AP45" s="929">
        <v>105.8</v>
      </c>
      <c r="AQ45" s="929">
        <v>112.73</v>
      </c>
      <c r="AR45" s="929">
        <v>119.66</v>
      </c>
    </row>
    <row r="46" spans="1:44" hidden="1">
      <c r="B46" s="921"/>
      <c r="C46" s="928"/>
      <c r="D46" s="928"/>
      <c r="E46" s="928"/>
      <c r="F46" s="928"/>
      <c r="G46" s="928"/>
      <c r="H46" s="928"/>
      <c r="I46" s="928"/>
      <c r="J46" s="928"/>
      <c r="K46" s="928"/>
      <c r="L46" s="928"/>
      <c r="M46" s="928"/>
      <c r="N46" s="928"/>
      <c r="O46" s="928"/>
      <c r="P46" s="928"/>
      <c r="Q46" s="928"/>
      <c r="R46" s="928"/>
      <c r="S46" s="928"/>
      <c r="T46" s="928"/>
      <c r="U46" s="928"/>
      <c r="V46" s="928"/>
      <c r="X46" s="923">
        <v>4.4000000000000004</v>
      </c>
      <c r="Y46" s="929">
        <v>31.97</v>
      </c>
      <c r="Z46" s="929">
        <v>34.520000000000003</v>
      </c>
      <c r="AA46" s="929">
        <v>37.159999999999997</v>
      </c>
      <c r="AB46" s="929">
        <v>39.54</v>
      </c>
      <c r="AC46" s="929">
        <v>46.99</v>
      </c>
      <c r="AD46" s="929">
        <v>54.05</v>
      </c>
      <c r="AE46" s="929">
        <v>54.22</v>
      </c>
      <c r="AF46" s="929">
        <v>59.24</v>
      </c>
      <c r="AG46" s="929">
        <v>61.44</v>
      </c>
      <c r="AH46" s="929">
        <v>64.08</v>
      </c>
      <c r="AI46" s="929">
        <v>73.92</v>
      </c>
      <c r="AJ46" s="929">
        <v>73.78</v>
      </c>
      <c r="AK46" s="929">
        <v>81.319999999999993</v>
      </c>
      <c r="AL46" s="929">
        <v>81.44</v>
      </c>
      <c r="AM46" s="929">
        <v>88.5</v>
      </c>
      <c r="AN46" s="929">
        <v>93.66</v>
      </c>
      <c r="AO46" s="929">
        <v>100.85</v>
      </c>
      <c r="AP46" s="929">
        <v>108.04</v>
      </c>
      <c r="AQ46" s="929">
        <v>115.23</v>
      </c>
      <c r="AR46" s="929">
        <v>122.42</v>
      </c>
    </row>
    <row r="47" spans="1:44" hidden="1">
      <c r="B47" s="921"/>
      <c r="C47" s="928"/>
      <c r="D47" s="928"/>
      <c r="E47" s="928"/>
      <c r="F47" s="928"/>
      <c r="G47" s="928"/>
      <c r="H47" s="928"/>
      <c r="I47" s="928"/>
      <c r="J47" s="928"/>
      <c r="K47" s="928"/>
      <c r="L47" s="928"/>
      <c r="M47" s="928"/>
      <c r="N47" s="928"/>
      <c r="O47" s="928"/>
      <c r="P47" s="928"/>
      <c r="Q47" s="928"/>
      <c r="R47" s="928"/>
      <c r="S47" s="928"/>
      <c r="T47" s="928"/>
      <c r="U47" s="928"/>
      <c r="V47" s="928"/>
      <c r="X47" s="923">
        <v>4.5</v>
      </c>
      <c r="Y47" s="929">
        <v>32.36</v>
      </c>
      <c r="Z47" s="929">
        <v>34.92</v>
      </c>
      <c r="AA47" s="929">
        <v>37.56</v>
      </c>
      <c r="AB47" s="929">
        <v>39.94</v>
      </c>
      <c r="AC47" s="929">
        <v>47.65</v>
      </c>
      <c r="AD47" s="929">
        <v>54.97</v>
      </c>
      <c r="AE47" s="929">
        <v>55.01</v>
      </c>
      <c r="AF47" s="929">
        <v>60.17</v>
      </c>
      <c r="AG47" s="929">
        <v>62.36</v>
      </c>
      <c r="AH47" s="929">
        <v>65</v>
      </c>
      <c r="AI47" s="929">
        <v>75.239999999999995</v>
      </c>
      <c r="AJ47" s="929">
        <v>74.959999999999994</v>
      </c>
      <c r="AK47" s="929">
        <v>82.78</v>
      </c>
      <c r="AL47" s="929">
        <v>82.76</v>
      </c>
      <c r="AM47" s="929">
        <v>90.08</v>
      </c>
      <c r="AN47" s="929">
        <v>95.38</v>
      </c>
      <c r="AO47" s="929">
        <v>102.83</v>
      </c>
      <c r="AP47" s="929">
        <v>110.28</v>
      </c>
      <c r="AQ47" s="929">
        <v>117.73</v>
      </c>
      <c r="AR47" s="929">
        <v>125.18</v>
      </c>
    </row>
    <row r="48" spans="1:44">
      <c r="A48" s="16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</row>
    <row r="49" spans="1:44">
      <c r="A49" s="16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</row>
    <row r="50" spans="1:44" ht="13.8" thickBot="1">
      <c r="A50" s="16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</row>
    <row r="51" spans="1:44" ht="13.8" thickBot="1">
      <c r="A51" s="1413" t="s">
        <v>314</v>
      </c>
      <c r="B51" s="1542"/>
      <c r="C51" s="1573" t="s">
        <v>207</v>
      </c>
      <c r="D51" s="1574"/>
      <c r="E51" s="1574"/>
      <c r="F51" s="1574"/>
      <c r="G51" s="1574"/>
      <c r="H51" s="1574"/>
      <c r="I51" s="1574"/>
      <c r="J51" s="1574"/>
      <c r="K51" s="1574"/>
      <c r="L51" s="1574"/>
      <c r="M51" s="1574"/>
      <c r="N51" s="1574"/>
      <c r="O51" s="1574"/>
      <c r="P51" s="1574"/>
      <c r="Q51" s="1574"/>
      <c r="R51" s="1574"/>
      <c r="S51" s="1574"/>
      <c r="T51" s="1574"/>
      <c r="U51" s="1575"/>
      <c r="V51" s="700"/>
    </row>
    <row r="52" spans="1:44" ht="13.8" thickBot="1">
      <c r="A52" s="1543"/>
      <c r="B52" s="1570"/>
      <c r="C52" s="939">
        <v>0.4</v>
      </c>
      <c r="D52" s="940">
        <v>0.5</v>
      </c>
      <c r="E52" s="940">
        <v>0.6</v>
      </c>
      <c r="F52" s="940">
        <v>0.7</v>
      </c>
      <c r="G52" s="940">
        <v>0.8</v>
      </c>
      <c r="H52" s="940">
        <v>0.9</v>
      </c>
      <c r="I52" s="940">
        <v>1</v>
      </c>
      <c r="J52" s="940">
        <v>1.1000000000000001</v>
      </c>
      <c r="K52" s="940">
        <v>1.2</v>
      </c>
      <c r="L52" s="940">
        <v>1.3</v>
      </c>
      <c r="M52" s="940">
        <v>1.4</v>
      </c>
      <c r="N52" s="940">
        <v>1.5</v>
      </c>
      <c r="O52" s="940">
        <v>1.6</v>
      </c>
      <c r="P52" s="940">
        <v>1.7</v>
      </c>
      <c r="Q52" s="940">
        <v>1.8</v>
      </c>
      <c r="R52" s="940">
        <v>1.9</v>
      </c>
      <c r="S52" s="940">
        <v>2</v>
      </c>
      <c r="T52" s="940">
        <v>2.1</v>
      </c>
      <c r="U52" s="941">
        <v>2.2000000000000002</v>
      </c>
      <c r="V52" s="921"/>
      <c r="X52" s="922"/>
      <c r="Y52" s="923">
        <v>0.4</v>
      </c>
      <c r="Z52" s="923">
        <v>0.5</v>
      </c>
      <c r="AA52" s="923">
        <v>0.6</v>
      </c>
      <c r="AB52" s="923">
        <v>0.7</v>
      </c>
      <c r="AC52" s="923">
        <v>0.8</v>
      </c>
      <c r="AD52" s="923">
        <v>0.9</v>
      </c>
      <c r="AE52" s="923">
        <v>1</v>
      </c>
      <c r="AF52" s="923">
        <v>1.1000000000000001</v>
      </c>
      <c r="AG52" s="923">
        <v>1.2</v>
      </c>
      <c r="AH52" s="923">
        <v>1.3</v>
      </c>
      <c r="AI52" s="923">
        <v>1.4</v>
      </c>
      <c r="AJ52" s="923">
        <v>1.5</v>
      </c>
      <c r="AK52" s="923">
        <v>1.6</v>
      </c>
      <c r="AL52" s="923">
        <v>1.7</v>
      </c>
      <c r="AM52" s="923">
        <v>1.8</v>
      </c>
      <c r="AN52" s="923">
        <v>1.9</v>
      </c>
      <c r="AO52" s="923">
        <v>2</v>
      </c>
      <c r="AP52" s="923">
        <v>2.1</v>
      </c>
      <c r="AQ52" s="923">
        <v>2.2000000000000002</v>
      </c>
      <c r="AR52" s="923">
        <v>2.2999999999999998</v>
      </c>
    </row>
    <row r="53" spans="1:44" ht="12.75" customHeight="1">
      <c r="A53" s="1537" t="s">
        <v>3</v>
      </c>
      <c r="B53" s="924">
        <v>0.5</v>
      </c>
      <c r="C53" s="925">
        <f>(Y53*KFC!$B$19+KFC!$C$19)*KFC!$C$5</f>
        <v>19.010000000000002</v>
      </c>
      <c r="D53" s="926">
        <f>(Z53*KFC!$B$19+KFC!$C$19)*KFC!$C$5</f>
        <v>19.93</v>
      </c>
      <c r="E53" s="926">
        <f>(AA53*KFC!$B$19+KFC!$C$19)*KFC!$C$5</f>
        <v>20.86</v>
      </c>
      <c r="F53" s="926">
        <f>(AB53*KFC!$B$19+KFC!$C$19)*KFC!$C$5</f>
        <v>21.78</v>
      </c>
      <c r="G53" s="926">
        <f>(AC53*KFC!$B$19+KFC!$C$19)*KFC!$C$5</f>
        <v>22.7</v>
      </c>
      <c r="H53" s="926">
        <f>(AD53*KFC!$B$19+KFC!$C$19)*KFC!$C$5</f>
        <v>23.76</v>
      </c>
      <c r="I53" s="926">
        <f>(AE53*KFC!$B$19+KFC!$C$19)*KFC!$C$5</f>
        <v>24.55</v>
      </c>
      <c r="J53" s="926">
        <f>(AF53*KFC!$B$19+KFC!$C$19)*KFC!$C$5</f>
        <v>25.61</v>
      </c>
      <c r="K53" s="926">
        <f>(AG53*KFC!$B$19+KFC!$C$19)*KFC!$C$5</f>
        <v>26.4</v>
      </c>
      <c r="L53" s="926">
        <f>(AH53*KFC!$B$19+KFC!$C$19)*KFC!$C$5</f>
        <v>27.19</v>
      </c>
      <c r="M53" s="926">
        <f>(AI53*KFC!$B$19+KFC!$C$19)*KFC!$C$5</f>
        <v>28.38</v>
      </c>
      <c r="N53" s="926">
        <f>(AJ53*KFC!$B$19+KFC!$C$19)*KFC!$C$5</f>
        <v>29.3</v>
      </c>
      <c r="O53" s="926">
        <f>(AK53*KFC!$B$19+KFC!$C$19)*KFC!$C$5</f>
        <v>30.23</v>
      </c>
      <c r="P53" s="926">
        <f>(AL53*KFC!$B$19+KFC!$C$19)*KFC!$C$5</f>
        <v>31.02</v>
      </c>
      <c r="Q53" s="926">
        <f>(AM53*KFC!$B$19+KFC!$C$19)*KFC!$C$5</f>
        <v>31.94</v>
      </c>
      <c r="R53" s="926">
        <f>(AN53*KFC!$B$19+KFC!$C$19)*KFC!$C$5</f>
        <v>32.74</v>
      </c>
      <c r="S53" s="926">
        <f>(AO53*KFC!$B$19+KFC!$C$19)*KFC!$C$5</f>
        <v>33.53</v>
      </c>
      <c r="T53" s="926">
        <f>(AP53*KFC!$B$19+KFC!$C$19)*KFC!$C$5</f>
        <v>34.32</v>
      </c>
      <c r="U53" s="942">
        <f>(AQ53*KFC!$B$19+KFC!$C$19)*KFC!$C$5</f>
        <v>35.11</v>
      </c>
      <c r="V53" s="928"/>
      <c r="X53" s="923">
        <v>0.5</v>
      </c>
      <c r="Y53" s="929">
        <v>19.010000000000002</v>
      </c>
      <c r="Z53" s="929">
        <v>19.93</v>
      </c>
      <c r="AA53" s="929">
        <v>20.86</v>
      </c>
      <c r="AB53" s="929">
        <v>21.78</v>
      </c>
      <c r="AC53" s="929">
        <v>22.7</v>
      </c>
      <c r="AD53" s="929">
        <v>23.76</v>
      </c>
      <c r="AE53" s="929">
        <v>24.55</v>
      </c>
      <c r="AF53" s="929">
        <v>25.61</v>
      </c>
      <c r="AG53" s="929">
        <v>26.4</v>
      </c>
      <c r="AH53" s="929">
        <v>27.19</v>
      </c>
      <c r="AI53" s="929">
        <v>28.38</v>
      </c>
      <c r="AJ53" s="929">
        <v>29.3</v>
      </c>
      <c r="AK53" s="929">
        <v>30.23</v>
      </c>
      <c r="AL53" s="929">
        <v>31.02</v>
      </c>
      <c r="AM53" s="929">
        <v>31.94</v>
      </c>
      <c r="AN53" s="929">
        <v>32.74</v>
      </c>
      <c r="AO53" s="929">
        <v>33.53</v>
      </c>
      <c r="AP53" s="929">
        <v>34.32</v>
      </c>
      <c r="AQ53" s="929">
        <v>35.11</v>
      </c>
      <c r="AR53" s="929">
        <v>35.9</v>
      </c>
    </row>
    <row r="54" spans="1:44">
      <c r="A54" s="1538"/>
      <c r="B54" s="930">
        <v>0.6</v>
      </c>
      <c r="C54" s="931">
        <f>(Y54*KFC!$B$19+KFC!$C$19)*KFC!$C$5</f>
        <v>19.399999999999999</v>
      </c>
      <c r="D54" s="932">
        <f>(Z54*KFC!$B$19+KFC!$C$19)*KFC!$C$5</f>
        <v>20.329999999999998</v>
      </c>
      <c r="E54" s="932">
        <f>(AA54*KFC!$B$19+KFC!$C$19)*KFC!$C$5</f>
        <v>21.52</v>
      </c>
      <c r="F54" s="932">
        <f>(AB54*KFC!$B$19+KFC!$C$19)*KFC!$C$5</f>
        <v>22.57</v>
      </c>
      <c r="G54" s="932">
        <f>(AC54*KFC!$B$19+KFC!$C$19)*KFC!$C$5</f>
        <v>23.36</v>
      </c>
      <c r="H54" s="932">
        <f>(AD54*KFC!$B$19+KFC!$C$19)*KFC!$C$5</f>
        <v>24.55</v>
      </c>
      <c r="I54" s="932">
        <f>(AE54*KFC!$B$19+KFC!$C$19)*KFC!$C$5</f>
        <v>25.61</v>
      </c>
      <c r="J54" s="932">
        <f>(AF54*KFC!$B$19+KFC!$C$19)*KFC!$C$5</f>
        <v>26.4</v>
      </c>
      <c r="K54" s="932">
        <f>(AG54*KFC!$B$19+KFC!$C$19)*KFC!$C$5</f>
        <v>27.46</v>
      </c>
      <c r="L54" s="932">
        <f>(AH54*KFC!$B$19+KFC!$C$19)*KFC!$C$5</f>
        <v>28.51</v>
      </c>
      <c r="M54" s="932">
        <f>(AI54*KFC!$B$19+KFC!$C$19)*KFC!$C$5</f>
        <v>29.57</v>
      </c>
      <c r="N54" s="932">
        <f>(AJ54*KFC!$B$19+KFC!$C$19)*KFC!$C$5</f>
        <v>30.62</v>
      </c>
      <c r="O54" s="932">
        <f>(AK54*KFC!$B$19+KFC!$C$19)*KFC!$C$5</f>
        <v>31.81</v>
      </c>
      <c r="P54" s="932">
        <f>(AL54*KFC!$B$19+KFC!$C$19)*KFC!$C$5</f>
        <v>32.6</v>
      </c>
      <c r="Q54" s="932">
        <f>(AM54*KFC!$B$19+KFC!$C$19)*KFC!$C$5</f>
        <v>33.53</v>
      </c>
      <c r="R54" s="932">
        <f>(AN54*KFC!$B$19+KFC!$C$19)*KFC!$C$5</f>
        <v>34.58</v>
      </c>
      <c r="S54" s="932">
        <f>(AO54*KFC!$B$19+KFC!$C$19)*KFC!$C$5</f>
        <v>35.64</v>
      </c>
      <c r="T54" s="932">
        <f>(AP54*KFC!$B$19+KFC!$C$19)*KFC!$C$5</f>
        <v>36.700000000000003</v>
      </c>
      <c r="U54" s="933">
        <f>(AQ54*KFC!$B$19+KFC!$C$19)*KFC!$C$5</f>
        <v>37.76</v>
      </c>
      <c r="V54" s="928"/>
      <c r="X54" s="923">
        <v>0.6</v>
      </c>
      <c r="Y54" s="929">
        <v>19.399999999999999</v>
      </c>
      <c r="Z54" s="929">
        <v>20.329999999999998</v>
      </c>
      <c r="AA54" s="929">
        <v>21.52</v>
      </c>
      <c r="AB54" s="929">
        <v>22.57</v>
      </c>
      <c r="AC54" s="929">
        <v>23.36</v>
      </c>
      <c r="AD54" s="929">
        <v>24.55</v>
      </c>
      <c r="AE54" s="929">
        <v>25.61</v>
      </c>
      <c r="AF54" s="929">
        <v>26.4</v>
      </c>
      <c r="AG54" s="929">
        <v>27.46</v>
      </c>
      <c r="AH54" s="929">
        <v>28.51</v>
      </c>
      <c r="AI54" s="929">
        <v>29.57</v>
      </c>
      <c r="AJ54" s="929">
        <v>30.62</v>
      </c>
      <c r="AK54" s="929">
        <v>31.81</v>
      </c>
      <c r="AL54" s="929">
        <v>32.6</v>
      </c>
      <c r="AM54" s="929">
        <v>33.53</v>
      </c>
      <c r="AN54" s="929">
        <v>34.58</v>
      </c>
      <c r="AO54" s="929">
        <v>35.64</v>
      </c>
      <c r="AP54" s="929">
        <v>36.700000000000003</v>
      </c>
      <c r="AQ54" s="929">
        <v>37.76</v>
      </c>
      <c r="AR54" s="929">
        <v>38.82</v>
      </c>
    </row>
    <row r="55" spans="1:44">
      <c r="A55" s="1538"/>
      <c r="B55" s="930">
        <v>0.7</v>
      </c>
      <c r="C55" s="931">
        <f>(Y55*KFC!$B$19+KFC!$C$19)*KFC!$C$5</f>
        <v>19.93</v>
      </c>
      <c r="D55" s="932">
        <f>(Z55*KFC!$B$19+KFC!$C$19)*KFC!$C$5</f>
        <v>20.86</v>
      </c>
      <c r="E55" s="932">
        <f>(AA55*KFC!$B$19+KFC!$C$19)*KFC!$C$5</f>
        <v>21.91</v>
      </c>
      <c r="F55" s="932">
        <f>(AB55*KFC!$B$19+KFC!$C$19)*KFC!$C$5</f>
        <v>23.23</v>
      </c>
      <c r="G55" s="932">
        <f>(AC55*KFC!$B$19+KFC!$C$19)*KFC!$C$5</f>
        <v>24.29</v>
      </c>
      <c r="H55" s="932">
        <f>(AD55*KFC!$B$19+KFC!$C$19)*KFC!$C$5</f>
        <v>25.21</v>
      </c>
      <c r="I55" s="932">
        <f>(AE55*KFC!$B$19+KFC!$C$19)*KFC!$C$5</f>
        <v>26.4</v>
      </c>
      <c r="J55" s="932">
        <f>(AF55*KFC!$B$19+KFC!$C$19)*KFC!$C$5</f>
        <v>27.46</v>
      </c>
      <c r="K55" s="932">
        <f>(AG55*KFC!$B$19+KFC!$C$19)*KFC!$C$5</f>
        <v>28.51</v>
      </c>
      <c r="L55" s="932">
        <f>(AH55*KFC!$B$19+KFC!$C$19)*KFC!$C$5</f>
        <v>29.7</v>
      </c>
      <c r="M55" s="932">
        <f>(AI55*KFC!$B$19+KFC!$C$19)*KFC!$C$5</f>
        <v>30.76</v>
      </c>
      <c r="N55" s="932">
        <f>(AJ55*KFC!$B$19+KFC!$C$19)*KFC!$C$5</f>
        <v>31.94</v>
      </c>
      <c r="O55" s="932">
        <f>(AK55*KFC!$B$19+KFC!$C$19)*KFC!$C$5</f>
        <v>33.130000000000003</v>
      </c>
      <c r="P55" s="932">
        <f>(AL55*KFC!$B$19+KFC!$C$19)*KFC!$C$5</f>
        <v>34.06</v>
      </c>
      <c r="Q55" s="932">
        <f>(AM55*KFC!$B$19+KFC!$C$19)*KFC!$C$5</f>
        <v>35.11</v>
      </c>
      <c r="R55" s="932">
        <f>(AN55*KFC!$B$19+KFC!$C$19)*KFC!$C$5</f>
        <v>36.04</v>
      </c>
      <c r="S55" s="932">
        <f>(AO55*KFC!$B$19+KFC!$C$19)*KFC!$C$5</f>
        <v>37.090000000000003</v>
      </c>
      <c r="T55" s="932">
        <f>(AP55*KFC!$B$19+KFC!$C$19)*KFC!$C$5</f>
        <v>38.14</v>
      </c>
      <c r="U55" s="933">
        <f>(AQ55*KFC!$B$19+KFC!$C$19)*KFC!$C$5</f>
        <v>39.19</v>
      </c>
      <c r="V55" s="928"/>
      <c r="X55" s="923">
        <v>0.7</v>
      </c>
      <c r="Y55" s="929">
        <v>19.93</v>
      </c>
      <c r="Z55" s="929">
        <v>20.86</v>
      </c>
      <c r="AA55" s="929">
        <v>21.91</v>
      </c>
      <c r="AB55" s="929">
        <v>23.23</v>
      </c>
      <c r="AC55" s="929">
        <v>24.29</v>
      </c>
      <c r="AD55" s="929">
        <v>25.21</v>
      </c>
      <c r="AE55" s="929">
        <v>26.4</v>
      </c>
      <c r="AF55" s="929">
        <v>27.46</v>
      </c>
      <c r="AG55" s="929">
        <v>28.51</v>
      </c>
      <c r="AH55" s="929">
        <v>29.7</v>
      </c>
      <c r="AI55" s="929">
        <v>30.76</v>
      </c>
      <c r="AJ55" s="929">
        <v>31.94</v>
      </c>
      <c r="AK55" s="929">
        <v>33.130000000000003</v>
      </c>
      <c r="AL55" s="929">
        <v>34.06</v>
      </c>
      <c r="AM55" s="929">
        <v>35.11</v>
      </c>
      <c r="AN55" s="929">
        <v>36.04</v>
      </c>
      <c r="AO55" s="929">
        <v>37.090000000000003</v>
      </c>
      <c r="AP55" s="929">
        <v>38.14</v>
      </c>
      <c r="AQ55" s="929">
        <v>39.19</v>
      </c>
      <c r="AR55" s="929">
        <v>40.24</v>
      </c>
    </row>
    <row r="56" spans="1:44">
      <c r="A56" s="1538"/>
      <c r="B56" s="930">
        <v>0.8</v>
      </c>
      <c r="C56" s="931">
        <f>(Y56*KFC!$B$19+KFC!$C$19)*KFC!$C$5</f>
        <v>20.2</v>
      </c>
      <c r="D56" s="932">
        <f>(Z56*KFC!$B$19+KFC!$C$19)*KFC!$C$5</f>
        <v>21.52</v>
      </c>
      <c r="E56" s="932">
        <f>(AA56*KFC!$B$19+KFC!$C$19)*KFC!$C$5</f>
        <v>22.57</v>
      </c>
      <c r="F56" s="932">
        <f>(AB56*KFC!$B$19+KFC!$C$19)*KFC!$C$5</f>
        <v>23.76</v>
      </c>
      <c r="G56" s="932">
        <f>(AC56*KFC!$B$19+KFC!$C$19)*KFC!$C$5</f>
        <v>24.95</v>
      </c>
      <c r="H56" s="932">
        <f>(AD56*KFC!$B$19+KFC!$C$19)*KFC!$C$5</f>
        <v>26.27</v>
      </c>
      <c r="I56" s="932">
        <f>(AE56*KFC!$B$19+KFC!$C$19)*KFC!$C$5</f>
        <v>27.19</v>
      </c>
      <c r="J56" s="932">
        <f>(AF56*KFC!$B$19+KFC!$C$19)*KFC!$C$5</f>
        <v>28.51</v>
      </c>
      <c r="K56" s="932">
        <f>(AG56*KFC!$B$19+KFC!$C$19)*KFC!$C$5</f>
        <v>29.7</v>
      </c>
      <c r="L56" s="932">
        <f>(AH56*KFC!$B$19+KFC!$C$19)*KFC!$C$5</f>
        <v>30.76</v>
      </c>
      <c r="M56" s="932">
        <f>(AI56*KFC!$B$19+KFC!$C$19)*KFC!$C$5</f>
        <v>31.94</v>
      </c>
      <c r="N56" s="932">
        <f>(AJ56*KFC!$B$19+KFC!$C$19)*KFC!$C$5</f>
        <v>33.26</v>
      </c>
      <c r="O56" s="932">
        <f>(AK56*KFC!$B$19+KFC!$C$19)*KFC!$C$5</f>
        <v>34.450000000000003</v>
      </c>
      <c r="P56" s="932">
        <f>(AL56*KFC!$B$19+KFC!$C$19)*KFC!$C$5</f>
        <v>35.64</v>
      </c>
      <c r="Q56" s="932">
        <f>(AM56*KFC!$B$19+KFC!$C$19)*KFC!$C$5</f>
        <v>36.96</v>
      </c>
      <c r="R56" s="932">
        <f>(AN56*KFC!$B$19+KFC!$C$19)*KFC!$C$5</f>
        <v>38.15</v>
      </c>
      <c r="S56" s="932">
        <f>(AO56*KFC!$B$19+KFC!$C$19)*KFC!$C$5</f>
        <v>39.47</v>
      </c>
      <c r="T56" s="932">
        <f>(AP56*KFC!$B$19+KFC!$C$19)*KFC!$C$5</f>
        <v>40.79</v>
      </c>
      <c r="U56" s="933">
        <f>(AQ56*KFC!$B$19+KFC!$C$19)*KFC!$C$5</f>
        <v>42.11</v>
      </c>
      <c r="V56" s="928"/>
      <c r="X56" s="923">
        <v>0.8</v>
      </c>
      <c r="Y56" s="929">
        <v>20.2</v>
      </c>
      <c r="Z56" s="929">
        <v>21.52</v>
      </c>
      <c r="AA56" s="929">
        <v>22.57</v>
      </c>
      <c r="AB56" s="929">
        <v>23.76</v>
      </c>
      <c r="AC56" s="929">
        <v>24.95</v>
      </c>
      <c r="AD56" s="929">
        <v>26.27</v>
      </c>
      <c r="AE56" s="929">
        <v>27.19</v>
      </c>
      <c r="AF56" s="929">
        <v>28.51</v>
      </c>
      <c r="AG56" s="929">
        <v>29.7</v>
      </c>
      <c r="AH56" s="929">
        <v>30.76</v>
      </c>
      <c r="AI56" s="929">
        <v>31.94</v>
      </c>
      <c r="AJ56" s="929">
        <v>33.26</v>
      </c>
      <c r="AK56" s="929">
        <v>34.450000000000003</v>
      </c>
      <c r="AL56" s="929">
        <v>35.64</v>
      </c>
      <c r="AM56" s="929">
        <v>36.96</v>
      </c>
      <c r="AN56" s="929">
        <v>38.15</v>
      </c>
      <c r="AO56" s="929">
        <v>39.47</v>
      </c>
      <c r="AP56" s="929">
        <v>40.79</v>
      </c>
      <c r="AQ56" s="929">
        <v>42.11</v>
      </c>
      <c r="AR56" s="929">
        <v>43.43</v>
      </c>
    </row>
    <row r="57" spans="1:44">
      <c r="A57" s="1538"/>
      <c r="B57" s="930">
        <v>0.9</v>
      </c>
      <c r="C57" s="931">
        <f>(Y57*KFC!$B$19+KFC!$C$19)*KFC!$C$5</f>
        <v>20.72</v>
      </c>
      <c r="D57" s="932">
        <f>(Z57*KFC!$B$19+KFC!$C$19)*KFC!$C$5</f>
        <v>21.78</v>
      </c>
      <c r="E57" s="932">
        <f>(AA57*KFC!$B$19+KFC!$C$19)*KFC!$C$5</f>
        <v>23.23</v>
      </c>
      <c r="F57" s="932">
        <f>(AB57*KFC!$B$19+KFC!$C$19)*KFC!$C$5</f>
        <v>24.42</v>
      </c>
      <c r="G57" s="932">
        <f>(AC57*KFC!$B$19+KFC!$C$19)*KFC!$C$5</f>
        <v>25.61</v>
      </c>
      <c r="H57" s="932">
        <f>(AD57*KFC!$B$19+KFC!$C$19)*KFC!$C$5</f>
        <v>27.06</v>
      </c>
      <c r="I57" s="932">
        <f>(AE57*KFC!$B$19+KFC!$C$19)*KFC!$C$5</f>
        <v>28.12</v>
      </c>
      <c r="J57" s="932">
        <f>(AF57*KFC!$B$19+KFC!$C$19)*KFC!$C$5</f>
        <v>29.44</v>
      </c>
      <c r="K57" s="932">
        <f>(AG57*KFC!$B$19+KFC!$C$19)*KFC!$C$5</f>
        <v>30.76</v>
      </c>
      <c r="L57" s="932">
        <f>(AH57*KFC!$B$19+KFC!$C$19)*KFC!$C$5</f>
        <v>31.94</v>
      </c>
      <c r="M57" s="932">
        <f>(AI57*KFC!$B$19+KFC!$C$19)*KFC!$C$5</f>
        <v>33.4</v>
      </c>
      <c r="N57" s="932">
        <f>(AJ57*KFC!$B$19+KFC!$C$19)*KFC!$C$5</f>
        <v>34.58</v>
      </c>
      <c r="O57" s="932">
        <f>(AK57*KFC!$B$19+KFC!$C$19)*KFC!$C$5</f>
        <v>35.770000000000003</v>
      </c>
      <c r="P57" s="932">
        <f>(AL57*KFC!$B$19+KFC!$C$19)*KFC!$C$5</f>
        <v>37.22</v>
      </c>
      <c r="Q57" s="932">
        <f>(AM57*KFC!$B$19+KFC!$C$19)*KFC!$C$5</f>
        <v>38.54</v>
      </c>
      <c r="R57" s="932">
        <f>(AN57*KFC!$B$19+KFC!$C$19)*KFC!$C$5</f>
        <v>40</v>
      </c>
      <c r="S57" s="932">
        <f>(AO57*KFC!$B$19+KFC!$C$19)*KFC!$C$5</f>
        <v>41.45</v>
      </c>
      <c r="T57" s="932">
        <f>(AP57*KFC!$B$19+KFC!$C$19)*KFC!$C$5</f>
        <v>42.9</v>
      </c>
      <c r="U57" s="933">
        <f>(AQ57*KFC!$B$19+KFC!$C$19)*KFC!$C$5</f>
        <v>44.35</v>
      </c>
      <c r="V57" s="928"/>
      <c r="X57" s="923">
        <v>0.9</v>
      </c>
      <c r="Y57" s="929">
        <v>20.72</v>
      </c>
      <c r="Z57" s="929">
        <v>21.78</v>
      </c>
      <c r="AA57" s="929">
        <v>23.23</v>
      </c>
      <c r="AB57" s="929">
        <v>24.42</v>
      </c>
      <c r="AC57" s="929">
        <v>25.61</v>
      </c>
      <c r="AD57" s="929">
        <v>27.06</v>
      </c>
      <c r="AE57" s="929">
        <v>28.12</v>
      </c>
      <c r="AF57" s="929">
        <v>29.44</v>
      </c>
      <c r="AG57" s="929">
        <v>30.76</v>
      </c>
      <c r="AH57" s="929">
        <v>31.94</v>
      </c>
      <c r="AI57" s="929">
        <v>33.4</v>
      </c>
      <c r="AJ57" s="929">
        <v>34.58</v>
      </c>
      <c r="AK57" s="929">
        <v>35.770000000000003</v>
      </c>
      <c r="AL57" s="929">
        <v>37.22</v>
      </c>
      <c r="AM57" s="929">
        <v>38.54</v>
      </c>
      <c r="AN57" s="929">
        <v>40</v>
      </c>
      <c r="AO57" s="929">
        <v>41.45</v>
      </c>
      <c r="AP57" s="929">
        <v>42.9</v>
      </c>
      <c r="AQ57" s="929">
        <v>44.35</v>
      </c>
      <c r="AR57" s="929">
        <v>45.8</v>
      </c>
    </row>
    <row r="58" spans="1:44">
      <c r="A58" s="1538"/>
      <c r="B58" s="930">
        <v>1</v>
      </c>
      <c r="C58" s="931">
        <f>(Y58*KFC!$B$19+KFC!$C$19)*KFC!$C$5</f>
        <v>20.86</v>
      </c>
      <c r="D58" s="932">
        <f>(Z58*KFC!$B$19+KFC!$C$19)*KFC!$C$5</f>
        <v>22.44</v>
      </c>
      <c r="E58" s="932">
        <f>(AA58*KFC!$B$19+KFC!$C$19)*KFC!$C$5</f>
        <v>23.76</v>
      </c>
      <c r="F58" s="932">
        <f>(AB58*KFC!$B$19+KFC!$C$19)*KFC!$C$5</f>
        <v>25.08</v>
      </c>
      <c r="G58" s="932">
        <f>(AC58*KFC!$B$19+KFC!$C$19)*KFC!$C$5</f>
        <v>26.4</v>
      </c>
      <c r="H58" s="932">
        <f>(AD58*KFC!$B$19+KFC!$C$19)*KFC!$C$5</f>
        <v>27.85</v>
      </c>
      <c r="I58" s="932">
        <f>(AE58*KFC!$B$19+KFC!$C$19)*KFC!$C$5</f>
        <v>28.91</v>
      </c>
      <c r="J58" s="932">
        <f>(AF58*KFC!$B$19+KFC!$C$19)*KFC!$C$5</f>
        <v>30.36</v>
      </c>
      <c r="K58" s="932">
        <f>(AG58*KFC!$B$19+KFC!$C$19)*KFC!$C$5</f>
        <v>31.81</v>
      </c>
      <c r="L58" s="932">
        <f>(AH58*KFC!$B$19+KFC!$C$19)*KFC!$C$5</f>
        <v>33.26</v>
      </c>
      <c r="M58" s="932">
        <f>(AI58*KFC!$B$19+KFC!$C$19)*KFC!$C$5</f>
        <v>34.58</v>
      </c>
      <c r="N58" s="932">
        <f>(AJ58*KFC!$B$19+KFC!$C$19)*KFC!$C$5</f>
        <v>35.9</v>
      </c>
      <c r="O58" s="932">
        <f>(AK58*KFC!$B$19+KFC!$C$19)*KFC!$C$5</f>
        <v>37.22</v>
      </c>
      <c r="P58" s="932">
        <f>(AL58*KFC!$B$19+KFC!$C$19)*KFC!$C$5</f>
        <v>38.54</v>
      </c>
      <c r="Q58" s="932">
        <f>(AM58*KFC!$B$19+KFC!$C$19)*KFC!$C$5</f>
        <v>40</v>
      </c>
      <c r="R58" s="932">
        <f>(AN58*KFC!$B$19+KFC!$C$19)*KFC!$C$5</f>
        <v>41.45</v>
      </c>
      <c r="S58" s="932">
        <f>(AO58*KFC!$B$19+KFC!$C$19)*KFC!$C$5</f>
        <v>42.77</v>
      </c>
      <c r="T58" s="932">
        <f>(AP58*KFC!$B$19+KFC!$C$19)*KFC!$C$5</f>
        <v>44.09</v>
      </c>
      <c r="U58" s="933">
        <f>(AQ58*KFC!$B$19+KFC!$C$19)*KFC!$C$5</f>
        <v>45.41</v>
      </c>
      <c r="V58" s="928"/>
      <c r="X58" s="923">
        <v>1</v>
      </c>
      <c r="Y58" s="929">
        <v>20.86</v>
      </c>
      <c r="Z58" s="929">
        <v>22.44</v>
      </c>
      <c r="AA58" s="929">
        <v>23.76</v>
      </c>
      <c r="AB58" s="929">
        <v>25.08</v>
      </c>
      <c r="AC58" s="929">
        <v>26.4</v>
      </c>
      <c r="AD58" s="929">
        <v>27.85</v>
      </c>
      <c r="AE58" s="929">
        <v>28.91</v>
      </c>
      <c r="AF58" s="929">
        <v>30.36</v>
      </c>
      <c r="AG58" s="929">
        <v>31.81</v>
      </c>
      <c r="AH58" s="929">
        <v>33.26</v>
      </c>
      <c r="AI58" s="929">
        <v>34.58</v>
      </c>
      <c r="AJ58" s="929">
        <v>35.9</v>
      </c>
      <c r="AK58" s="929">
        <v>37.22</v>
      </c>
      <c r="AL58" s="929">
        <v>38.54</v>
      </c>
      <c r="AM58" s="929">
        <v>40</v>
      </c>
      <c r="AN58" s="929">
        <v>41.45</v>
      </c>
      <c r="AO58" s="929">
        <v>42.77</v>
      </c>
      <c r="AP58" s="929">
        <v>44.09</v>
      </c>
      <c r="AQ58" s="929">
        <v>45.41</v>
      </c>
      <c r="AR58" s="929">
        <v>46.73</v>
      </c>
    </row>
    <row r="59" spans="1:44">
      <c r="A59" s="1538"/>
      <c r="B59" s="930">
        <v>1.1000000000000001</v>
      </c>
      <c r="C59" s="931">
        <f>(Y59*KFC!$B$19+KFC!$C$19)*KFC!$C$5</f>
        <v>21.52</v>
      </c>
      <c r="D59" s="932">
        <f>(Z59*KFC!$B$19+KFC!$C$19)*KFC!$C$5</f>
        <v>22.7</v>
      </c>
      <c r="E59" s="932">
        <f>(AA59*KFC!$B$19+KFC!$C$19)*KFC!$C$5</f>
        <v>24.29</v>
      </c>
      <c r="F59" s="932">
        <f>(AB59*KFC!$B$19+KFC!$C$19)*KFC!$C$5</f>
        <v>25.74</v>
      </c>
      <c r="G59" s="932">
        <f>(AC59*KFC!$B$19+KFC!$C$19)*KFC!$C$5</f>
        <v>27.06</v>
      </c>
      <c r="H59" s="932">
        <f>(AD59*KFC!$B$19+KFC!$C$19)*KFC!$C$5</f>
        <v>28.51</v>
      </c>
      <c r="I59" s="932">
        <f>(AE59*KFC!$B$19+KFC!$C$19)*KFC!$C$5</f>
        <v>30.1</v>
      </c>
      <c r="J59" s="932">
        <f>(AF59*KFC!$B$19+KFC!$C$19)*KFC!$C$5</f>
        <v>31.55</v>
      </c>
      <c r="K59" s="932">
        <f>(AG59*KFC!$B$19+KFC!$C$19)*KFC!$C$5</f>
        <v>32.74</v>
      </c>
      <c r="L59" s="932">
        <f>(AH59*KFC!$B$19+KFC!$C$19)*KFC!$C$5</f>
        <v>34.450000000000003</v>
      </c>
      <c r="M59" s="932">
        <f>(AI59*KFC!$B$19+KFC!$C$19)*KFC!$C$5</f>
        <v>35.770000000000003</v>
      </c>
      <c r="N59" s="932">
        <f>(AJ59*KFC!$B$19+KFC!$C$19)*KFC!$C$5</f>
        <v>37.22</v>
      </c>
      <c r="O59" s="932">
        <f>(AK59*KFC!$B$19+KFC!$C$19)*KFC!$C$5</f>
        <v>38.54</v>
      </c>
      <c r="P59" s="932">
        <f>(AL59*KFC!$B$19+KFC!$C$19)*KFC!$C$5</f>
        <v>40.130000000000003</v>
      </c>
      <c r="Q59" s="932">
        <f>(AM59*KFC!$B$19+KFC!$C$19)*KFC!$C$5</f>
        <v>41.71</v>
      </c>
      <c r="R59" s="932">
        <f>(AN59*KFC!$B$19+KFC!$C$19)*KFC!$C$5</f>
        <v>43.3</v>
      </c>
      <c r="S59" s="932">
        <f>(AO59*KFC!$B$19+KFC!$C$19)*KFC!$C$5</f>
        <v>44.75</v>
      </c>
      <c r="T59" s="932">
        <f>(AP59*KFC!$B$19+KFC!$C$19)*KFC!$C$5</f>
        <v>46.2</v>
      </c>
      <c r="U59" s="933">
        <f>(AQ59*KFC!$B$19+KFC!$C$19)*KFC!$C$5</f>
        <v>47.65</v>
      </c>
      <c r="V59" s="928"/>
      <c r="X59" s="923">
        <v>1.1000000000000001</v>
      </c>
      <c r="Y59" s="929">
        <v>21.52</v>
      </c>
      <c r="Z59" s="929">
        <v>22.7</v>
      </c>
      <c r="AA59" s="929">
        <v>24.29</v>
      </c>
      <c r="AB59" s="929">
        <v>25.74</v>
      </c>
      <c r="AC59" s="929">
        <v>27.06</v>
      </c>
      <c r="AD59" s="929">
        <v>28.51</v>
      </c>
      <c r="AE59" s="929">
        <v>30.1</v>
      </c>
      <c r="AF59" s="929">
        <v>31.55</v>
      </c>
      <c r="AG59" s="929">
        <v>32.74</v>
      </c>
      <c r="AH59" s="929">
        <v>34.450000000000003</v>
      </c>
      <c r="AI59" s="929">
        <v>35.770000000000003</v>
      </c>
      <c r="AJ59" s="929">
        <v>37.22</v>
      </c>
      <c r="AK59" s="929">
        <v>38.54</v>
      </c>
      <c r="AL59" s="929">
        <v>40.130000000000003</v>
      </c>
      <c r="AM59" s="929">
        <v>41.71</v>
      </c>
      <c r="AN59" s="929">
        <v>43.3</v>
      </c>
      <c r="AO59" s="929">
        <v>44.75</v>
      </c>
      <c r="AP59" s="929">
        <v>46.2</v>
      </c>
      <c r="AQ59" s="929">
        <v>47.65</v>
      </c>
      <c r="AR59" s="929">
        <v>49.1</v>
      </c>
    </row>
    <row r="60" spans="1:44">
      <c r="A60" s="1538"/>
      <c r="B60" s="930">
        <v>1.2</v>
      </c>
      <c r="C60" s="931">
        <f>(Y60*KFC!$B$19+KFC!$C$19)*KFC!$C$5</f>
        <v>21.78</v>
      </c>
      <c r="D60" s="932">
        <f>(Z60*KFC!$B$19+KFC!$C$19)*KFC!$C$5</f>
        <v>23.36</v>
      </c>
      <c r="E60" s="932">
        <f>(AA60*KFC!$B$19+KFC!$C$19)*KFC!$C$5</f>
        <v>24.95</v>
      </c>
      <c r="F60" s="932">
        <f>(AB60*KFC!$B$19+KFC!$C$19)*KFC!$C$5</f>
        <v>26.27</v>
      </c>
      <c r="G60" s="932">
        <f>(AC60*KFC!$B$19+KFC!$C$19)*KFC!$C$5</f>
        <v>27.85</v>
      </c>
      <c r="H60" s="932">
        <f>(AD60*KFC!$B$19+KFC!$C$19)*KFC!$C$5</f>
        <v>29.44</v>
      </c>
      <c r="I60" s="932">
        <f>(AE60*KFC!$B$19+KFC!$C$19)*KFC!$C$5</f>
        <v>30.89</v>
      </c>
      <c r="J60" s="932">
        <f>(AF60*KFC!$B$19+KFC!$C$19)*KFC!$C$5</f>
        <v>32.6</v>
      </c>
      <c r="K60" s="932">
        <f>(AG60*KFC!$B$19+KFC!$C$19)*KFC!$C$5</f>
        <v>33.92</v>
      </c>
      <c r="L60" s="932">
        <f>(AH60*KFC!$B$19+KFC!$C$19)*KFC!$C$5</f>
        <v>35.380000000000003</v>
      </c>
      <c r="M60" s="932">
        <f>(AI60*KFC!$B$19+KFC!$C$19)*KFC!$C$5</f>
        <v>37.090000000000003</v>
      </c>
      <c r="N60" s="932">
        <f>(AJ60*KFC!$B$19+KFC!$C$19)*KFC!$C$5</f>
        <v>38.54</v>
      </c>
      <c r="O60" s="932">
        <f>(AK60*KFC!$B$19+KFC!$C$19)*KFC!$C$5</f>
        <v>40.130000000000003</v>
      </c>
      <c r="P60" s="932">
        <f>(AL60*KFC!$B$19+KFC!$C$19)*KFC!$C$5</f>
        <v>41.58</v>
      </c>
      <c r="Q60" s="932">
        <f>(AM60*KFC!$B$19+KFC!$C$19)*KFC!$C$5</f>
        <v>42.9</v>
      </c>
      <c r="R60" s="932">
        <f>(AN60*KFC!$B$19+KFC!$C$19)*KFC!$C$5</f>
        <v>44.48</v>
      </c>
      <c r="S60" s="932">
        <f>(AO60*KFC!$B$19+KFC!$C$19)*KFC!$C$5</f>
        <v>45.8</v>
      </c>
      <c r="T60" s="932">
        <f>(AP60*KFC!$B$19+KFC!$C$19)*KFC!$C$5</f>
        <v>47.12</v>
      </c>
      <c r="U60" s="933">
        <f>(AQ60*KFC!$B$19+KFC!$C$19)*KFC!$C$5</f>
        <v>48.44</v>
      </c>
      <c r="V60" s="928"/>
      <c r="X60" s="923">
        <v>1.2</v>
      </c>
      <c r="Y60" s="929">
        <v>21.78</v>
      </c>
      <c r="Z60" s="929">
        <v>23.36</v>
      </c>
      <c r="AA60" s="929">
        <v>24.95</v>
      </c>
      <c r="AB60" s="929">
        <v>26.27</v>
      </c>
      <c r="AC60" s="929">
        <v>27.85</v>
      </c>
      <c r="AD60" s="929">
        <v>29.44</v>
      </c>
      <c r="AE60" s="929">
        <v>30.89</v>
      </c>
      <c r="AF60" s="929">
        <v>32.6</v>
      </c>
      <c r="AG60" s="929">
        <v>33.92</v>
      </c>
      <c r="AH60" s="929">
        <v>35.380000000000003</v>
      </c>
      <c r="AI60" s="929">
        <v>37.090000000000003</v>
      </c>
      <c r="AJ60" s="929">
        <v>38.54</v>
      </c>
      <c r="AK60" s="929">
        <v>40.130000000000003</v>
      </c>
      <c r="AL60" s="929">
        <v>41.58</v>
      </c>
      <c r="AM60" s="929">
        <v>42.9</v>
      </c>
      <c r="AN60" s="929">
        <v>44.48</v>
      </c>
      <c r="AO60" s="929">
        <v>45.8</v>
      </c>
      <c r="AP60" s="929">
        <v>47.12</v>
      </c>
      <c r="AQ60" s="929">
        <v>48.44</v>
      </c>
      <c r="AR60" s="929">
        <v>49.76</v>
      </c>
    </row>
    <row r="61" spans="1:44">
      <c r="A61" s="1538"/>
      <c r="B61" s="930">
        <v>1.3</v>
      </c>
      <c r="C61" s="931">
        <f>(Y61*KFC!$B$19+KFC!$C$19)*KFC!$C$5</f>
        <v>22.18</v>
      </c>
      <c r="D61" s="932">
        <f>(Z61*KFC!$B$19+KFC!$C$19)*KFC!$C$5</f>
        <v>23.76</v>
      </c>
      <c r="E61" s="932">
        <f>(AA61*KFC!$B$19+KFC!$C$19)*KFC!$C$5</f>
        <v>25.34</v>
      </c>
      <c r="F61" s="932">
        <f>(AB61*KFC!$B$19+KFC!$C$19)*KFC!$C$5</f>
        <v>27.06</v>
      </c>
      <c r="G61" s="932">
        <f>(AC61*KFC!$B$19+KFC!$C$19)*KFC!$C$5</f>
        <v>28.51</v>
      </c>
      <c r="H61" s="932">
        <f>(AD61*KFC!$B$19+KFC!$C$19)*KFC!$C$5</f>
        <v>30.23</v>
      </c>
      <c r="I61" s="932">
        <f>(AE61*KFC!$B$19+KFC!$C$19)*KFC!$C$5</f>
        <v>31.81</v>
      </c>
      <c r="J61" s="932">
        <f>(AF61*KFC!$B$19+KFC!$C$19)*KFC!$C$5</f>
        <v>33.4</v>
      </c>
      <c r="K61" s="932">
        <f>(AG61*KFC!$B$19+KFC!$C$19)*KFC!$C$5</f>
        <v>35.11</v>
      </c>
      <c r="L61" s="932">
        <f>(AH61*KFC!$B$19+KFC!$C$19)*KFC!$C$5</f>
        <v>36.56</v>
      </c>
      <c r="M61" s="932">
        <f>(AI61*KFC!$B$19+KFC!$C$19)*KFC!$C$5</f>
        <v>38.15</v>
      </c>
      <c r="N61" s="932">
        <f>(AJ61*KFC!$B$19+KFC!$C$19)*KFC!$C$5</f>
        <v>39.729999999999997</v>
      </c>
      <c r="O61" s="932">
        <f>(AK61*KFC!$B$19+KFC!$C$19)*KFC!$C$5</f>
        <v>41.58</v>
      </c>
      <c r="P61" s="932">
        <f>(AL61*KFC!$B$19+KFC!$C$19)*KFC!$C$5</f>
        <v>43.16</v>
      </c>
      <c r="Q61" s="932">
        <f>(AM61*KFC!$B$19+KFC!$C$19)*KFC!$C$5</f>
        <v>44.62</v>
      </c>
      <c r="R61" s="932">
        <f>(AN61*KFC!$B$19+KFC!$C$19)*KFC!$C$5</f>
        <v>46.33</v>
      </c>
      <c r="S61" s="932">
        <f>(AO61*KFC!$B$19+KFC!$C$19)*KFC!$C$5</f>
        <v>47.78</v>
      </c>
      <c r="T61" s="932">
        <f>(AP61*KFC!$B$19+KFC!$C$19)*KFC!$C$5</f>
        <v>49.23</v>
      </c>
      <c r="U61" s="933">
        <f>(AQ61*KFC!$B$19+KFC!$C$19)*KFC!$C$5</f>
        <v>50.68</v>
      </c>
      <c r="V61" s="928"/>
      <c r="X61" s="923">
        <v>1.3</v>
      </c>
      <c r="Y61" s="929">
        <v>22.18</v>
      </c>
      <c r="Z61" s="929">
        <v>23.76</v>
      </c>
      <c r="AA61" s="929">
        <v>25.34</v>
      </c>
      <c r="AB61" s="929">
        <v>27.06</v>
      </c>
      <c r="AC61" s="929">
        <v>28.51</v>
      </c>
      <c r="AD61" s="929">
        <v>30.23</v>
      </c>
      <c r="AE61" s="929">
        <v>31.81</v>
      </c>
      <c r="AF61" s="929">
        <v>33.4</v>
      </c>
      <c r="AG61" s="929">
        <v>35.11</v>
      </c>
      <c r="AH61" s="929">
        <v>36.56</v>
      </c>
      <c r="AI61" s="929">
        <v>38.15</v>
      </c>
      <c r="AJ61" s="929">
        <v>39.729999999999997</v>
      </c>
      <c r="AK61" s="929">
        <v>41.58</v>
      </c>
      <c r="AL61" s="929">
        <v>43.16</v>
      </c>
      <c r="AM61" s="929">
        <v>44.62</v>
      </c>
      <c r="AN61" s="929">
        <v>46.33</v>
      </c>
      <c r="AO61" s="929">
        <v>47.78</v>
      </c>
      <c r="AP61" s="929">
        <v>49.23</v>
      </c>
      <c r="AQ61" s="929">
        <v>50.68</v>
      </c>
      <c r="AR61" s="929">
        <v>52.13</v>
      </c>
    </row>
    <row r="62" spans="1:44">
      <c r="A62" s="1538"/>
      <c r="B62" s="930">
        <v>1.4</v>
      </c>
      <c r="C62" s="931">
        <f>(Y62*KFC!$B$19+KFC!$C$19)*KFC!$C$5</f>
        <v>22.57</v>
      </c>
      <c r="D62" s="932">
        <f>(Z62*KFC!$B$19+KFC!$C$19)*KFC!$C$5</f>
        <v>24.29</v>
      </c>
      <c r="E62" s="932">
        <f>(AA62*KFC!$B$19+KFC!$C$19)*KFC!$C$5</f>
        <v>25.87</v>
      </c>
      <c r="F62" s="932">
        <f>(AB62*KFC!$B$19+KFC!$C$19)*KFC!$C$5</f>
        <v>27.72</v>
      </c>
      <c r="G62" s="932">
        <f>(AC62*KFC!$B$19+KFC!$C$19)*KFC!$C$5</f>
        <v>29.44</v>
      </c>
      <c r="H62" s="932">
        <f>(AD62*KFC!$B$19+KFC!$C$19)*KFC!$C$5</f>
        <v>30.89</v>
      </c>
      <c r="I62" s="932">
        <f>(AE62*KFC!$B$19+KFC!$C$19)*KFC!$C$5</f>
        <v>32.6</v>
      </c>
      <c r="J62" s="932">
        <f>(AF62*KFC!$B$19+KFC!$C$19)*KFC!$C$5</f>
        <v>34.450000000000003</v>
      </c>
      <c r="K62" s="932">
        <f>(AG62*KFC!$B$19+KFC!$C$19)*KFC!$C$5</f>
        <v>36.299999999999997</v>
      </c>
      <c r="L62" s="932">
        <f>(AH62*KFC!$B$19+KFC!$C$19)*KFC!$C$5</f>
        <v>37.880000000000003</v>
      </c>
      <c r="M62" s="932">
        <f>(AI62*KFC!$B$19+KFC!$C$19)*KFC!$C$5</f>
        <v>39.47</v>
      </c>
      <c r="N62" s="932">
        <f>(AJ62*KFC!$B$19+KFC!$C$19)*KFC!$C$5</f>
        <v>41.05</v>
      </c>
      <c r="O62" s="932">
        <f>(AK62*KFC!$B$19+KFC!$C$19)*KFC!$C$5</f>
        <v>42.77</v>
      </c>
      <c r="P62" s="932">
        <f>(AL62*KFC!$B$19+KFC!$C$19)*KFC!$C$5</f>
        <v>44.62</v>
      </c>
      <c r="Q62" s="932">
        <f>(AM62*KFC!$B$19+KFC!$C$19)*KFC!$C$5</f>
        <v>46.46</v>
      </c>
      <c r="R62" s="932">
        <f>(AN62*KFC!$B$19+KFC!$C$19)*KFC!$C$5</f>
        <v>48.31</v>
      </c>
      <c r="S62" s="932">
        <f>(AO62*KFC!$B$19+KFC!$C$19)*KFC!$C$5</f>
        <v>50.16</v>
      </c>
      <c r="T62" s="932">
        <f>(AP62*KFC!$B$19+KFC!$C$19)*KFC!$C$5</f>
        <v>52.01</v>
      </c>
      <c r="U62" s="933">
        <f>(AQ62*KFC!$B$19+KFC!$C$19)*KFC!$C$5</f>
        <v>53.86</v>
      </c>
      <c r="V62" s="928"/>
      <c r="X62" s="923">
        <v>1.4</v>
      </c>
      <c r="Y62" s="929">
        <v>22.57</v>
      </c>
      <c r="Z62" s="929">
        <v>24.29</v>
      </c>
      <c r="AA62" s="929">
        <v>25.87</v>
      </c>
      <c r="AB62" s="929">
        <v>27.72</v>
      </c>
      <c r="AC62" s="929">
        <v>29.44</v>
      </c>
      <c r="AD62" s="929">
        <v>30.89</v>
      </c>
      <c r="AE62" s="929">
        <v>32.6</v>
      </c>
      <c r="AF62" s="929">
        <v>34.450000000000003</v>
      </c>
      <c r="AG62" s="929">
        <v>36.299999999999997</v>
      </c>
      <c r="AH62" s="929">
        <v>37.880000000000003</v>
      </c>
      <c r="AI62" s="929">
        <v>39.47</v>
      </c>
      <c r="AJ62" s="929">
        <v>41.05</v>
      </c>
      <c r="AK62" s="929">
        <v>42.77</v>
      </c>
      <c r="AL62" s="929">
        <v>44.62</v>
      </c>
      <c r="AM62" s="929">
        <v>46.46</v>
      </c>
      <c r="AN62" s="929">
        <v>48.31</v>
      </c>
      <c r="AO62" s="929">
        <v>50.16</v>
      </c>
      <c r="AP62" s="929">
        <v>52.01</v>
      </c>
      <c r="AQ62" s="929">
        <v>53.86</v>
      </c>
      <c r="AR62" s="929">
        <v>55.71</v>
      </c>
    </row>
    <row r="63" spans="1:44">
      <c r="A63" s="1538"/>
      <c r="B63" s="930">
        <v>1.5</v>
      </c>
      <c r="C63" s="931">
        <f>(Y63*KFC!$B$19+KFC!$C$19)*KFC!$C$5</f>
        <v>23.1</v>
      </c>
      <c r="D63" s="932">
        <f>(Z63*KFC!$B$19+KFC!$C$19)*KFC!$C$5</f>
        <v>24.68</v>
      </c>
      <c r="E63" s="932">
        <f>(AA63*KFC!$B$19+KFC!$C$19)*KFC!$C$5</f>
        <v>26.4</v>
      </c>
      <c r="F63" s="932">
        <f>(AB63*KFC!$B$19+KFC!$C$19)*KFC!$C$5</f>
        <v>28.38</v>
      </c>
      <c r="G63" s="932">
        <f>(AC63*KFC!$B$19+KFC!$C$19)*KFC!$C$5</f>
        <v>30.1</v>
      </c>
      <c r="H63" s="932">
        <f>(AD63*KFC!$B$19+KFC!$C$19)*KFC!$C$5</f>
        <v>31.81</v>
      </c>
      <c r="I63" s="932">
        <f>(AE63*KFC!$B$19+KFC!$C$19)*KFC!$C$5</f>
        <v>33.53</v>
      </c>
      <c r="J63" s="932">
        <f>(AF63*KFC!$B$19+KFC!$C$19)*KFC!$C$5</f>
        <v>35.380000000000003</v>
      </c>
      <c r="K63" s="932">
        <f>(AG63*KFC!$B$19+KFC!$C$19)*KFC!$C$5</f>
        <v>37.22</v>
      </c>
      <c r="L63" s="932">
        <f>(AH63*KFC!$B$19+KFC!$C$19)*KFC!$C$5</f>
        <v>38.94</v>
      </c>
      <c r="M63" s="932">
        <f>(AI63*KFC!$B$19+KFC!$C$19)*KFC!$C$5</f>
        <v>40.92</v>
      </c>
      <c r="N63" s="932">
        <f>(AJ63*KFC!$B$19+KFC!$C$19)*KFC!$C$5</f>
        <v>42.64</v>
      </c>
      <c r="O63" s="932">
        <f>(AK63*KFC!$B$19+KFC!$C$19)*KFC!$C$5</f>
        <v>44.22</v>
      </c>
      <c r="P63" s="932">
        <f>(AL63*KFC!$B$19+KFC!$C$19)*KFC!$C$5</f>
        <v>45.94</v>
      </c>
      <c r="Q63" s="932">
        <f>(AM63*KFC!$B$19+KFC!$C$19)*KFC!$C$5</f>
        <v>47.65</v>
      </c>
      <c r="R63" s="932">
        <f>(AN63*KFC!$B$19+KFC!$C$19)*KFC!$C$5</f>
        <v>49.24</v>
      </c>
      <c r="S63" s="932">
        <f>(AO63*KFC!$B$19+KFC!$C$19)*KFC!$C$5</f>
        <v>50.95</v>
      </c>
      <c r="T63" s="932">
        <f>(AP63*KFC!$B$19+KFC!$C$19)*KFC!$C$5</f>
        <v>52.66</v>
      </c>
      <c r="U63" s="933">
        <f>(AQ63*KFC!$B$19+KFC!$C$19)*KFC!$C$5</f>
        <v>54.37</v>
      </c>
      <c r="V63" s="928"/>
      <c r="X63" s="923">
        <v>1.5</v>
      </c>
      <c r="Y63" s="929">
        <v>23.1</v>
      </c>
      <c r="Z63" s="929">
        <v>24.68</v>
      </c>
      <c r="AA63" s="929">
        <v>26.4</v>
      </c>
      <c r="AB63" s="929">
        <v>28.38</v>
      </c>
      <c r="AC63" s="929">
        <v>30.1</v>
      </c>
      <c r="AD63" s="929">
        <v>31.81</v>
      </c>
      <c r="AE63" s="929">
        <v>33.53</v>
      </c>
      <c r="AF63" s="929">
        <v>35.380000000000003</v>
      </c>
      <c r="AG63" s="929">
        <v>37.22</v>
      </c>
      <c r="AH63" s="929">
        <v>38.94</v>
      </c>
      <c r="AI63" s="929">
        <v>40.92</v>
      </c>
      <c r="AJ63" s="929">
        <v>42.64</v>
      </c>
      <c r="AK63" s="929">
        <v>44.22</v>
      </c>
      <c r="AL63" s="929">
        <v>45.94</v>
      </c>
      <c r="AM63" s="929">
        <v>47.65</v>
      </c>
      <c r="AN63" s="929">
        <v>49.24</v>
      </c>
      <c r="AO63" s="929">
        <v>50.95</v>
      </c>
      <c r="AP63" s="929">
        <v>52.66</v>
      </c>
      <c r="AQ63" s="929">
        <v>54.37</v>
      </c>
      <c r="AR63" s="929">
        <v>56.08</v>
      </c>
    </row>
    <row r="64" spans="1:44">
      <c r="A64" s="1538"/>
      <c r="B64" s="930">
        <v>1.6</v>
      </c>
      <c r="C64" s="931">
        <f>(Y64*KFC!$B$19+KFC!$C$19)*KFC!$C$5</f>
        <v>23.36</v>
      </c>
      <c r="D64" s="932">
        <f>(Z64*KFC!$B$19+KFC!$C$19)*KFC!$C$5</f>
        <v>25.21</v>
      </c>
      <c r="E64" s="932">
        <f>(AA64*KFC!$B$19+KFC!$C$19)*KFC!$C$5</f>
        <v>27.06</v>
      </c>
      <c r="F64" s="932">
        <f>(AB64*KFC!$B$19+KFC!$C$19)*KFC!$C$5</f>
        <v>28.91</v>
      </c>
      <c r="G64" s="932">
        <f>(AC64*KFC!$B$19+KFC!$C$19)*KFC!$C$5</f>
        <v>30.76</v>
      </c>
      <c r="H64" s="932">
        <f>(AD64*KFC!$B$19+KFC!$C$19)*KFC!$C$5</f>
        <v>32.6</v>
      </c>
      <c r="I64" s="932">
        <f>(AE64*KFC!$B$19+KFC!$C$19)*KFC!$C$5</f>
        <v>34.58</v>
      </c>
      <c r="J64" s="932">
        <f>(AF64*KFC!$B$19+KFC!$C$19)*KFC!$C$5</f>
        <v>36.299999999999997</v>
      </c>
      <c r="K64" s="932">
        <f>(AG64*KFC!$B$19+KFC!$C$19)*KFC!$C$5</f>
        <v>38.15</v>
      </c>
      <c r="L64" s="932">
        <f>(AH64*KFC!$B$19+KFC!$C$19)*KFC!$C$5</f>
        <v>40.130000000000003</v>
      </c>
      <c r="M64" s="932">
        <f>(AI64*KFC!$B$19+KFC!$C$19)*KFC!$C$5</f>
        <v>41.98</v>
      </c>
      <c r="N64" s="932">
        <f>(AJ64*KFC!$B$19+KFC!$C$19)*KFC!$C$5</f>
        <v>43.56</v>
      </c>
      <c r="O64" s="932">
        <f>(AK64*KFC!$B$19+KFC!$C$19)*KFC!$C$5</f>
        <v>45.67</v>
      </c>
      <c r="P64" s="932">
        <f>(AL64*KFC!$B$19+KFC!$C$19)*KFC!$C$5</f>
        <v>47.39</v>
      </c>
      <c r="Q64" s="932">
        <f>(AM64*KFC!$B$19+KFC!$C$19)*KFC!$C$5</f>
        <v>49.24</v>
      </c>
      <c r="R64" s="932">
        <f>(AN64*KFC!$B$19+KFC!$C$19)*KFC!$C$5</f>
        <v>51.08</v>
      </c>
      <c r="S64" s="932">
        <f>(AO64*KFC!$B$19+KFC!$C$19)*KFC!$C$5</f>
        <v>52.93</v>
      </c>
      <c r="T64" s="932">
        <f>(AP64*KFC!$B$19+KFC!$C$19)*KFC!$C$5</f>
        <v>54.78</v>
      </c>
      <c r="U64" s="933">
        <f>(AQ64*KFC!$B$19+KFC!$C$19)*KFC!$C$5</f>
        <v>56.63</v>
      </c>
      <c r="V64" s="928"/>
      <c r="X64" s="923">
        <v>1.6</v>
      </c>
      <c r="Y64" s="929">
        <v>23.36</v>
      </c>
      <c r="Z64" s="929">
        <v>25.21</v>
      </c>
      <c r="AA64" s="929">
        <v>27.06</v>
      </c>
      <c r="AB64" s="929">
        <v>28.91</v>
      </c>
      <c r="AC64" s="929">
        <v>30.76</v>
      </c>
      <c r="AD64" s="929">
        <v>32.6</v>
      </c>
      <c r="AE64" s="929">
        <v>34.58</v>
      </c>
      <c r="AF64" s="929">
        <v>36.299999999999997</v>
      </c>
      <c r="AG64" s="929">
        <v>38.15</v>
      </c>
      <c r="AH64" s="929">
        <v>40.130000000000003</v>
      </c>
      <c r="AI64" s="929">
        <v>41.98</v>
      </c>
      <c r="AJ64" s="929">
        <v>43.56</v>
      </c>
      <c r="AK64" s="929">
        <v>45.67</v>
      </c>
      <c r="AL64" s="929">
        <v>47.39</v>
      </c>
      <c r="AM64" s="929">
        <v>49.24</v>
      </c>
      <c r="AN64" s="929">
        <v>51.08</v>
      </c>
      <c r="AO64" s="929">
        <v>52.93</v>
      </c>
      <c r="AP64" s="929">
        <v>54.78</v>
      </c>
      <c r="AQ64" s="929">
        <v>56.63</v>
      </c>
      <c r="AR64" s="929">
        <v>58.48</v>
      </c>
    </row>
    <row r="65" spans="1:44">
      <c r="A65" s="1538"/>
      <c r="B65" s="930">
        <v>1.7</v>
      </c>
      <c r="C65" s="931">
        <f>(Y65*KFC!$B$19+KFC!$C$19)*KFC!$C$5</f>
        <v>23.76</v>
      </c>
      <c r="D65" s="932">
        <f>(Z65*KFC!$B$19+KFC!$C$19)*KFC!$C$5</f>
        <v>25.74</v>
      </c>
      <c r="E65" s="932">
        <f>(AA65*KFC!$B$19+KFC!$C$19)*KFC!$C$5</f>
        <v>27.72</v>
      </c>
      <c r="F65" s="932">
        <f>(AB65*KFC!$B$19+KFC!$C$19)*KFC!$C$5</f>
        <v>29.57</v>
      </c>
      <c r="G65" s="932">
        <f>(AC65*KFC!$B$19+KFC!$C$19)*KFC!$C$5</f>
        <v>31.55</v>
      </c>
      <c r="H65" s="932">
        <f>(AD65*KFC!$B$19+KFC!$C$19)*KFC!$C$5</f>
        <v>33.53</v>
      </c>
      <c r="I65" s="932">
        <f>(AE65*KFC!$B$19+KFC!$C$19)*KFC!$C$5</f>
        <v>35.380000000000003</v>
      </c>
      <c r="J65" s="932">
        <f>(AF65*KFC!$B$19+KFC!$C$19)*KFC!$C$5</f>
        <v>37.22</v>
      </c>
      <c r="K65" s="932">
        <f>(AG65*KFC!$B$19+KFC!$C$19)*KFC!$C$5</f>
        <v>39.200000000000003</v>
      </c>
      <c r="L65" s="932">
        <f>(AH65*KFC!$B$19+KFC!$C$19)*KFC!$C$5</f>
        <v>41.32</v>
      </c>
      <c r="M65" s="932">
        <f>(AI65*KFC!$B$19+KFC!$C$19)*KFC!$C$5</f>
        <v>43.3</v>
      </c>
      <c r="N65" s="932">
        <f>(AJ65*KFC!$B$19+KFC!$C$19)*KFC!$C$5</f>
        <v>45.14</v>
      </c>
      <c r="O65" s="932">
        <f>(AK65*KFC!$B$19+KFC!$C$19)*KFC!$C$5</f>
        <v>47.12</v>
      </c>
      <c r="P65" s="932">
        <f>(AL65*KFC!$B$19+KFC!$C$19)*KFC!$C$5</f>
        <v>49.1</v>
      </c>
      <c r="Q65" s="932">
        <f>(AM65*KFC!$B$19+KFC!$C$19)*KFC!$C$5</f>
        <v>50.95</v>
      </c>
      <c r="R65" s="932">
        <f>(AN65*KFC!$B$19+KFC!$C$19)*KFC!$C$5</f>
        <v>52.93</v>
      </c>
      <c r="S65" s="932">
        <f>(AO65*KFC!$B$19+KFC!$C$19)*KFC!$C$5</f>
        <v>54.91</v>
      </c>
      <c r="T65" s="932">
        <f>(AP65*KFC!$B$19+KFC!$C$19)*KFC!$C$5</f>
        <v>56.89</v>
      </c>
      <c r="U65" s="933">
        <f>(AQ65*KFC!$B$19+KFC!$C$19)*KFC!$C$5</f>
        <v>58.87</v>
      </c>
      <c r="V65" s="928"/>
      <c r="X65" s="923">
        <v>1.7</v>
      </c>
      <c r="Y65" s="929">
        <v>23.76</v>
      </c>
      <c r="Z65" s="929">
        <v>25.74</v>
      </c>
      <c r="AA65" s="929">
        <v>27.72</v>
      </c>
      <c r="AB65" s="929">
        <v>29.57</v>
      </c>
      <c r="AC65" s="929">
        <v>31.55</v>
      </c>
      <c r="AD65" s="929">
        <v>33.53</v>
      </c>
      <c r="AE65" s="929">
        <v>35.380000000000003</v>
      </c>
      <c r="AF65" s="929">
        <v>37.22</v>
      </c>
      <c r="AG65" s="929">
        <v>39.200000000000003</v>
      </c>
      <c r="AH65" s="929">
        <v>41.32</v>
      </c>
      <c r="AI65" s="929">
        <v>43.3</v>
      </c>
      <c r="AJ65" s="929">
        <v>45.14</v>
      </c>
      <c r="AK65" s="929">
        <v>47.12</v>
      </c>
      <c r="AL65" s="929">
        <v>49.1</v>
      </c>
      <c r="AM65" s="929">
        <v>50.95</v>
      </c>
      <c r="AN65" s="929">
        <v>52.93</v>
      </c>
      <c r="AO65" s="929">
        <v>54.91</v>
      </c>
      <c r="AP65" s="929">
        <v>56.89</v>
      </c>
      <c r="AQ65" s="929">
        <v>58.87</v>
      </c>
      <c r="AR65" s="929">
        <v>60.85</v>
      </c>
    </row>
    <row r="66" spans="1:44">
      <c r="A66" s="1538"/>
      <c r="B66" s="930">
        <v>1.8</v>
      </c>
      <c r="C66" s="931">
        <f>(Y66*KFC!$B$19+KFC!$C$19)*KFC!$C$5</f>
        <v>24.29</v>
      </c>
      <c r="D66" s="932">
        <f>(Z66*KFC!$B$19+KFC!$C$19)*KFC!$C$5</f>
        <v>26.27</v>
      </c>
      <c r="E66" s="932">
        <f>(AA66*KFC!$B$19+KFC!$C$19)*KFC!$C$5</f>
        <v>28.12</v>
      </c>
      <c r="F66" s="932">
        <f>(AB66*KFC!$B$19+KFC!$C$19)*KFC!$C$5</f>
        <v>30.23</v>
      </c>
      <c r="G66" s="932">
        <f>(AC66*KFC!$B$19+KFC!$C$19)*KFC!$C$5</f>
        <v>32.47</v>
      </c>
      <c r="H66" s="932">
        <f>(AD66*KFC!$B$19+KFC!$C$19)*KFC!$C$5</f>
        <v>34.19</v>
      </c>
      <c r="I66" s="932">
        <f>(AE66*KFC!$B$19+KFC!$C$19)*KFC!$C$5</f>
        <v>36.299999999999997</v>
      </c>
      <c r="J66" s="932">
        <f>(AF66*KFC!$B$19+KFC!$C$19)*KFC!$C$5</f>
        <v>38.409999999999997</v>
      </c>
      <c r="K66" s="932">
        <f>(AG66*KFC!$B$19+KFC!$C$19)*KFC!$C$5</f>
        <v>40.39</v>
      </c>
      <c r="L66" s="932">
        <f>(AH66*KFC!$B$19+KFC!$C$19)*KFC!$C$5</f>
        <v>42.5</v>
      </c>
      <c r="M66" s="932">
        <f>(AI66*KFC!$B$19+KFC!$C$19)*KFC!$C$5</f>
        <v>44.48</v>
      </c>
      <c r="N66" s="932">
        <f>(AJ66*KFC!$B$19+KFC!$C$19)*KFC!$C$5</f>
        <v>46.46</v>
      </c>
      <c r="O66" s="932">
        <f>(AK66*KFC!$B$19+KFC!$C$19)*KFC!$C$5</f>
        <v>48.58</v>
      </c>
      <c r="P66" s="932">
        <f>(AL66*KFC!$B$19+KFC!$C$19)*KFC!$C$5</f>
        <v>50.42</v>
      </c>
      <c r="Q66" s="932">
        <f>(AM66*KFC!$B$19+KFC!$C$19)*KFC!$C$5</f>
        <v>52.27</v>
      </c>
      <c r="R66" s="932">
        <f>(AN66*KFC!$B$19+KFC!$C$19)*KFC!$C$5</f>
        <v>54.12</v>
      </c>
      <c r="S66" s="932">
        <f>(AO66*KFC!$B$19+KFC!$C$19)*KFC!$C$5</f>
        <v>55.97</v>
      </c>
      <c r="T66" s="932">
        <f>(AP66*KFC!$B$19+KFC!$C$19)*KFC!$C$5</f>
        <v>57.82</v>
      </c>
      <c r="U66" s="933">
        <f>(AQ66*KFC!$B$19+KFC!$C$19)*KFC!$C$5</f>
        <v>59.67</v>
      </c>
      <c r="V66" s="928"/>
      <c r="X66" s="923">
        <v>1.8</v>
      </c>
      <c r="Y66" s="929">
        <v>24.29</v>
      </c>
      <c r="Z66" s="929">
        <v>26.27</v>
      </c>
      <c r="AA66" s="929">
        <v>28.12</v>
      </c>
      <c r="AB66" s="929">
        <v>30.23</v>
      </c>
      <c r="AC66" s="929">
        <v>32.47</v>
      </c>
      <c r="AD66" s="929">
        <v>34.19</v>
      </c>
      <c r="AE66" s="929">
        <v>36.299999999999997</v>
      </c>
      <c r="AF66" s="929">
        <v>38.409999999999997</v>
      </c>
      <c r="AG66" s="929">
        <v>40.39</v>
      </c>
      <c r="AH66" s="929">
        <v>42.5</v>
      </c>
      <c r="AI66" s="929">
        <v>44.48</v>
      </c>
      <c r="AJ66" s="929">
        <v>46.46</v>
      </c>
      <c r="AK66" s="929">
        <v>48.58</v>
      </c>
      <c r="AL66" s="929">
        <v>50.42</v>
      </c>
      <c r="AM66" s="929">
        <v>52.27</v>
      </c>
      <c r="AN66" s="929">
        <v>54.12</v>
      </c>
      <c r="AO66" s="929">
        <v>55.97</v>
      </c>
      <c r="AP66" s="929">
        <v>57.82</v>
      </c>
      <c r="AQ66" s="929">
        <v>59.67</v>
      </c>
      <c r="AR66" s="929">
        <v>61.52</v>
      </c>
    </row>
    <row r="67" spans="1:44">
      <c r="A67" s="1538"/>
      <c r="B67" s="930">
        <v>1.9</v>
      </c>
      <c r="C67" s="931">
        <f>(Y67*KFC!$B$19+KFC!$C$19)*KFC!$C$5</f>
        <v>24.95</v>
      </c>
      <c r="D67" s="932">
        <f>(Z67*KFC!$B$19+KFC!$C$19)*KFC!$C$5</f>
        <v>27.06</v>
      </c>
      <c r="E67" s="932">
        <f>(AA67*KFC!$B$19+KFC!$C$19)*KFC!$C$5</f>
        <v>29.44</v>
      </c>
      <c r="F67" s="932">
        <f>(AB67*KFC!$B$19+KFC!$C$19)*KFC!$C$5</f>
        <v>31.55</v>
      </c>
      <c r="G67" s="932">
        <f>(AC67*KFC!$B$19+KFC!$C$19)*KFC!$C$5</f>
        <v>33.53</v>
      </c>
      <c r="H67" s="932">
        <f>(AD67*KFC!$B$19+KFC!$C$19)*KFC!$C$5</f>
        <v>35.9</v>
      </c>
      <c r="I67" s="932">
        <f>(AE67*KFC!$B$19+KFC!$C$19)*KFC!$C$5</f>
        <v>38.15</v>
      </c>
      <c r="J67" s="932">
        <f>(AF67*KFC!$B$19+KFC!$C$19)*KFC!$C$5</f>
        <v>40.26</v>
      </c>
      <c r="K67" s="932">
        <f>(AG67*KFC!$B$19+KFC!$C$19)*KFC!$C$5</f>
        <v>42.64</v>
      </c>
      <c r="L67" s="932">
        <f>(AH67*KFC!$B$19+KFC!$C$19)*KFC!$C$5</f>
        <v>44.75</v>
      </c>
      <c r="M67" s="932">
        <f>(AI67*KFC!$B$19+KFC!$C$19)*KFC!$C$5</f>
        <v>46.73</v>
      </c>
      <c r="N67" s="932">
        <f>(AJ67*KFC!$B$19+KFC!$C$19)*KFC!$C$5</f>
        <v>49.1</v>
      </c>
      <c r="O67" s="932">
        <f>(AK67*KFC!$B$19+KFC!$C$19)*KFC!$C$5</f>
        <v>51.35</v>
      </c>
      <c r="P67" s="932">
        <f>(AL67*KFC!$B$19+KFC!$C$19)*KFC!$C$5</f>
        <v>53.59</v>
      </c>
      <c r="Q67" s="932">
        <f>(AM67*KFC!$B$19+KFC!$C$19)*KFC!$C$5</f>
        <v>55.84</v>
      </c>
      <c r="R67" s="932">
        <f>(AN67*KFC!$B$19+KFC!$C$19)*KFC!$C$5</f>
        <v>58.21</v>
      </c>
      <c r="S67" s="932">
        <f>(AO67*KFC!$B$19+KFC!$C$19)*KFC!$C$5</f>
        <v>60.32</v>
      </c>
      <c r="T67" s="932">
        <f>(AP67*KFC!$B$19+KFC!$C$19)*KFC!$C$5</f>
        <v>62.43</v>
      </c>
      <c r="U67" s="933">
        <f>(AQ67*KFC!$B$19+KFC!$C$19)*KFC!$C$5</f>
        <v>64.540000000000006</v>
      </c>
      <c r="V67" s="928"/>
      <c r="X67" s="923">
        <v>1.9</v>
      </c>
      <c r="Y67" s="929">
        <v>24.95</v>
      </c>
      <c r="Z67" s="929">
        <v>27.06</v>
      </c>
      <c r="AA67" s="929">
        <v>29.44</v>
      </c>
      <c r="AB67" s="929">
        <v>31.55</v>
      </c>
      <c r="AC67" s="929">
        <v>33.53</v>
      </c>
      <c r="AD67" s="929">
        <v>35.9</v>
      </c>
      <c r="AE67" s="929">
        <v>38.15</v>
      </c>
      <c r="AF67" s="929">
        <v>40.26</v>
      </c>
      <c r="AG67" s="929">
        <v>42.64</v>
      </c>
      <c r="AH67" s="929">
        <v>44.75</v>
      </c>
      <c r="AI67" s="929">
        <v>46.73</v>
      </c>
      <c r="AJ67" s="929">
        <v>49.1</v>
      </c>
      <c r="AK67" s="929">
        <v>51.35</v>
      </c>
      <c r="AL67" s="929">
        <v>53.59</v>
      </c>
      <c r="AM67" s="929">
        <v>55.84</v>
      </c>
      <c r="AN67" s="929">
        <v>58.21</v>
      </c>
      <c r="AO67" s="929">
        <v>60.32</v>
      </c>
      <c r="AP67" s="929">
        <v>62.43</v>
      </c>
      <c r="AQ67" s="929">
        <v>64.540000000000006</v>
      </c>
      <c r="AR67" s="929">
        <v>66.650000000000006</v>
      </c>
    </row>
    <row r="68" spans="1:44">
      <c r="A68" s="1538"/>
      <c r="B68" s="930">
        <v>2</v>
      </c>
      <c r="C68" s="931">
        <f>(Y68*KFC!$B$19+KFC!$C$19)*KFC!$C$5</f>
        <v>25.21</v>
      </c>
      <c r="D68" s="932">
        <f>(Z68*KFC!$B$19+KFC!$C$19)*KFC!$C$5</f>
        <v>27.72</v>
      </c>
      <c r="E68" s="932">
        <f>(AA68*KFC!$B$19+KFC!$C$19)*KFC!$C$5</f>
        <v>29.96</v>
      </c>
      <c r="F68" s="932">
        <f>(AB68*KFC!$B$19+KFC!$C$19)*KFC!$C$5</f>
        <v>32.08</v>
      </c>
      <c r="G68" s="932">
        <f>(AC68*KFC!$B$19+KFC!$C$19)*KFC!$C$5</f>
        <v>34.450000000000003</v>
      </c>
      <c r="H68" s="932">
        <f>(AD68*KFC!$B$19+KFC!$C$19)*KFC!$C$5</f>
        <v>36.56</v>
      </c>
      <c r="I68" s="932">
        <f>(AE68*KFC!$B$19+KFC!$C$19)*KFC!$C$5</f>
        <v>39.07</v>
      </c>
      <c r="J68" s="932">
        <f>(AF68*KFC!$B$19+KFC!$C$19)*KFC!$C$5</f>
        <v>41.32</v>
      </c>
      <c r="K68" s="932">
        <f>(AG68*KFC!$B$19+KFC!$C$19)*KFC!$C$5</f>
        <v>43.56</v>
      </c>
      <c r="L68" s="932">
        <f>(AH68*KFC!$B$19+KFC!$C$19)*KFC!$C$5</f>
        <v>45.8</v>
      </c>
      <c r="M68" s="932">
        <f>(AI68*KFC!$B$19+KFC!$C$19)*KFC!$C$5</f>
        <v>48.31</v>
      </c>
      <c r="N68" s="932">
        <f>(AJ68*KFC!$B$19+KFC!$C$19)*KFC!$C$5</f>
        <v>50.42</v>
      </c>
      <c r="O68" s="932">
        <f>(AK68*KFC!$B$19+KFC!$C$19)*KFC!$C$5</f>
        <v>52.8</v>
      </c>
      <c r="P68" s="932">
        <f>(AL68*KFC!$B$19+KFC!$C$19)*KFC!$C$5</f>
        <v>54.91</v>
      </c>
      <c r="Q68" s="932">
        <f>(AM68*KFC!$B$19+KFC!$C$19)*KFC!$C$5</f>
        <v>57.29</v>
      </c>
      <c r="R68" s="932">
        <f>(AN68*KFC!$B$19+KFC!$C$19)*KFC!$C$5</f>
        <v>59.53</v>
      </c>
      <c r="S68" s="932">
        <f>(AO68*KFC!$B$19+KFC!$C$19)*KFC!$C$5</f>
        <v>61.78</v>
      </c>
      <c r="T68" s="932">
        <f>(AP68*KFC!$B$19+KFC!$C$19)*KFC!$C$5</f>
        <v>64.03</v>
      </c>
      <c r="U68" s="933">
        <f>(AQ68*KFC!$B$19+KFC!$C$19)*KFC!$C$5</f>
        <v>66.28</v>
      </c>
      <c r="V68" s="928"/>
      <c r="X68" s="923">
        <v>2</v>
      </c>
      <c r="Y68" s="929">
        <v>25.21</v>
      </c>
      <c r="Z68" s="929">
        <v>27.72</v>
      </c>
      <c r="AA68" s="929">
        <v>29.96</v>
      </c>
      <c r="AB68" s="929">
        <v>32.08</v>
      </c>
      <c r="AC68" s="929">
        <v>34.450000000000003</v>
      </c>
      <c r="AD68" s="929">
        <v>36.56</v>
      </c>
      <c r="AE68" s="929">
        <v>39.07</v>
      </c>
      <c r="AF68" s="929">
        <v>41.32</v>
      </c>
      <c r="AG68" s="929">
        <v>43.56</v>
      </c>
      <c r="AH68" s="929">
        <v>45.8</v>
      </c>
      <c r="AI68" s="929">
        <v>48.31</v>
      </c>
      <c r="AJ68" s="929">
        <v>50.42</v>
      </c>
      <c r="AK68" s="929">
        <v>52.8</v>
      </c>
      <c r="AL68" s="929">
        <v>54.91</v>
      </c>
      <c r="AM68" s="929">
        <v>57.29</v>
      </c>
      <c r="AN68" s="929">
        <v>59.53</v>
      </c>
      <c r="AO68" s="929">
        <v>61.78</v>
      </c>
      <c r="AP68" s="929">
        <v>64.03</v>
      </c>
      <c r="AQ68" s="929">
        <v>66.28</v>
      </c>
      <c r="AR68" s="929">
        <v>68.53</v>
      </c>
    </row>
    <row r="69" spans="1:44">
      <c r="A69" s="1538"/>
      <c r="B69" s="930">
        <v>2.1</v>
      </c>
      <c r="C69" s="931">
        <f>(Y69*KFC!$B$19+KFC!$C$19)*KFC!$C$5</f>
        <v>25.74</v>
      </c>
      <c r="D69" s="932">
        <f>(Z69*KFC!$B$19+KFC!$C$19)*KFC!$C$5</f>
        <v>28.12</v>
      </c>
      <c r="E69" s="932">
        <f>(AA69*KFC!$B$19+KFC!$C$19)*KFC!$C$5</f>
        <v>30.36</v>
      </c>
      <c r="F69" s="932">
        <f>(AB69*KFC!$B$19+KFC!$C$19)*KFC!$C$5</f>
        <v>32.74</v>
      </c>
      <c r="G69" s="932">
        <f>(AC69*KFC!$B$19+KFC!$C$19)*KFC!$C$5</f>
        <v>35.11</v>
      </c>
      <c r="H69" s="932">
        <f>(AD69*KFC!$B$19+KFC!$C$19)*KFC!$C$5</f>
        <v>37.49</v>
      </c>
      <c r="I69" s="932">
        <f>(AE69*KFC!$B$19+KFC!$C$19)*KFC!$C$5</f>
        <v>40</v>
      </c>
      <c r="J69" s="932">
        <f>(AF69*KFC!$B$19+KFC!$C$19)*KFC!$C$5</f>
        <v>42.5</v>
      </c>
      <c r="K69" s="932">
        <f>(AG69*KFC!$B$19+KFC!$C$19)*KFC!$C$5</f>
        <v>44.62</v>
      </c>
      <c r="L69" s="932">
        <f>(AH69*KFC!$B$19+KFC!$C$19)*KFC!$C$5</f>
        <v>47.12</v>
      </c>
      <c r="M69" s="932">
        <f>(AI69*KFC!$B$19+KFC!$C$19)*KFC!$C$5</f>
        <v>49.5</v>
      </c>
      <c r="N69" s="932">
        <f>(AJ69*KFC!$B$19+KFC!$C$19)*KFC!$C$5</f>
        <v>51.74</v>
      </c>
      <c r="O69" s="932">
        <f>(AK69*KFC!$B$19+KFC!$C$19)*KFC!$C$5</f>
        <v>54.12</v>
      </c>
      <c r="P69" s="932">
        <f>(AL69*KFC!$B$19+KFC!$C$19)*KFC!$C$5</f>
        <v>56.5</v>
      </c>
      <c r="Q69" s="932">
        <f>(AM69*KFC!$B$19+KFC!$C$19)*KFC!$C$5</f>
        <v>59</v>
      </c>
      <c r="R69" s="932">
        <f>(AN69*KFC!$B$19+KFC!$C$19)*KFC!$C$5</f>
        <v>61.38</v>
      </c>
      <c r="S69" s="932">
        <f>(AO69*KFC!$B$19+KFC!$C$19)*KFC!$C$5</f>
        <v>63.89</v>
      </c>
      <c r="T69" s="932">
        <f>(AP69*KFC!$B$19+KFC!$C$19)*KFC!$C$5</f>
        <v>66.400000000000006</v>
      </c>
      <c r="U69" s="933">
        <f>(AQ69*KFC!$B$19+KFC!$C$19)*KFC!$C$5</f>
        <v>68.91</v>
      </c>
      <c r="V69" s="928"/>
      <c r="X69" s="923">
        <v>2.1</v>
      </c>
      <c r="Y69" s="929">
        <v>25.74</v>
      </c>
      <c r="Z69" s="929">
        <v>28.12</v>
      </c>
      <c r="AA69" s="929">
        <v>30.36</v>
      </c>
      <c r="AB69" s="929">
        <v>32.74</v>
      </c>
      <c r="AC69" s="929">
        <v>35.11</v>
      </c>
      <c r="AD69" s="929">
        <v>37.49</v>
      </c>
      <c r="AE69" s="929">
        <v>40</v>
      </c>
      <c r="AF69" s="929">
        <v>42.5</v>
      </c>
      <c r="AG69" s="929">
        <v>44.62</v>
      </c>
      <c r="AH69" s="929">
        <v>47.12</v>
      </c>
      <c r="AI69" s="929">
        <v>49.5</v>
      </c>
      <c r="AJ69" s="929">
        <v>51.74</v>
      </c>
      <c r="AK69" s="929">
        <v>54.12</v>
      </c>
      <c r="AL69" s="929">
        <v>56.5</v>
      </c>
      <c r="AM69" s="929">
        <v>59</v>
      </c>
      <c r="AN69" s="929">
        <v>61.38</v>
      </c>
      <c r="AO69" s="929">
        <v>63.89</v>
      </c>
      <c r="AP69" s="929">
        <v>66.400000000000006</v>
      </c>
      <c r="AQ69" s="929">
        <v>68.91</v>
      </c>
      <c r="AR69" s="929">
        <v>71.42</v>
      </c>
    </row>
    <row r="70" spans="1:44">
      <c r="A70" s="1538"/>
      <c r="B70" s="930">
        <v>2.2000000000000002</v>
      </c>
      <c r="C70" s="931">
        <f>(Y70*KFC!$B$19+KFC!$C$19)*KFC!$C$5</f>
        <v>26.27</v>
      </c>
      <c r="D70" s="932">
        <f>(Z70*KFC!$B$19+KFC!$C$19)*KFC!$C$5</f>
        <v>28.51</v>
      </c>
      <c r="E70" s="932">
        <f>(AA70*KFC!$B$19+KFC!$C$19)*KFC!$C$5</f>
        <v>30.89</v>
      </c>
      <c r="F70" s="932">
        <f>(AB70*KFC!$B$19+KFC!$C$19)*KFC!$C$5</f>
        <v>33.4</v>
      </c>
      <c r="G70" s="932">
        <f>(AC70*KFC!$B$19+KFC!$C$19)*KFC!$C$5</f>
        <v>35.9</v>
      </c>
      <c r="H70" s="932">
        <f>(AD70*KFC!$B$19+KFC!$C$19)*KFC!$C$5</f>
        <v>38.409999999999997</v>
      </c>
      <c r="I70" s="932">
        <f>(AE70*KFC!$B$19+KFC!$C$19)*KFC!$C$5</f>
        <v>40.92</v>
      </c>
      <c r="J70" s="932">
        <f>(AF70*KFC!$B$19+KFC!$C$19)*KFC!$C$5</f>
        <v>43.3</v>
      </c>
      <c r="K70" s="932">
        <f>(AG70*KFC!$B$19+KFC!$C$19)*KFC!$C$5</f>
        <v>45.67</v>
      </c>
      <c r="L70" s="932">
        <f>(AH70*KFC!$B$19+KFC!$C$19)*KFC!$C$5</f>
        <v>48.31</v>
      </c>
      <c r="M70" s="932">
        <f>(AI70*KFC!$B$19+KFC!$C$19)*KFC!$C$5</f>
        <v>50.69</v>
      </c>
      <c r="N70" s="932">
        <f>(AJ70*KFC!$B$19+KFC!$C$19)*KFC!$C$5</f>
        <v>52.93</v>
      </c>
      <c r="O70" s="932">
        <f>(AK70*KFC!$B$19+KFC!$C$19)*KFC!$C$5</f>
        <v>55.7</v>
      </c>
      <c r="P70" s="932">
        <f>(AL70*KFC!$B$19+KFC!$C$19)*KFC!$C$5</f>
        <v>57.95</v>
      </c>
      <c r="Q70" s="932">
        <f>(AM70*KFC!$B$19+KFC!$C$19)*KFC!$C$5</f>
        <v>60.32</v>
      </c>
      <c r="R70" s="932">
        <f>(AN70*KFC!$B$19+KFC!$C$19)*KFC!$C$5</f>
        <v>62.83</v>
      </c>
      <c r="S70" s="932">
        <f>(AO70*KFC!$B$19+KFC!$C$19)*KFC!$C$5</f>
        <v>65.209999999999994</v>
      </c>
      <c r="T70" s="932">
        <f>(AP70*KFC!$B$19+KFC!$C$19)*KFC!$C$5</f>
        <v>67.59</v>
      </c>
      <c r="U70" s="933">
        <f>(AQ70*KFC!$B$19+KFC!$C$19)*KFC!$C$5</f>
        <v>69.97</v>
      </c>
      <c r="V70" s="928"/>
      <c r="X70" s="923">
        <v>2.2000000000000002</v>
      </c>
      <c r="Y70" s="929">
        <v>26.27</v>
      </c>
      <c r="Z70" s="929">
        <v>28.51</v>
      </c>
      <c r="AA70" s="929">
        <v>30.89</v>
      </c>
      <c r="AB70" s="929">
        <v>33.4</v>
      </c>
      <c r="AC70" s="929">
        <v>35.9</v>
      </c>
      <c r="AD70" s="929">
        <v>38.409999999999997</v>
      </c>
      <c r="AE70" s="929">
        <v>40.92</v>
      </c>
      <c r="AF70" s="929">
        <v>43.3</v>
      </c>
      <c r="AG70" s="929">
        <v>45.67</v>
      </c>
      <c r="AH70" s="929">
        <v>48.31</v>
      </c>
      <c r="AI70" s="929">
        <v>50.69</v>
      </c>
      <c r="AJ70" s="929">
        <v>52.93</v>
      </c>
      <c r="AK70" s="929">
        <v>55.7</v>
      </c>
      <c r="AL70" s="929">
        <v>57.95</v>
      </c>
      <c r="AM70" s="929">
        <v>60.32</v>
      </c>
      <c r="AN70" s="929">
        <v>62.83</v>
      </c>
      <c r="AO70" s="929">
        <v>65.209999999999994</v>
      </c>
      <c r="AP70" s="929">
        <v>67.59</v>
      </c>
      <c r="AQ70" s="929">
        <v>69.97</v>
      </c>
      <c r="AR70" s="929">
        <v>72.349999999999994</v>
      </c>
    </row>
    <row r="71" spans="1:44">
      <c r="A71" s="1538"/>
      <c r="B71" s="930">
        <v>2.2999999999999998</v>
      </c>
      <c r="C71" s="931">
        <f>(Y71*KFC!$B$19+KFC!$C$19)*KFC!$C$5</f>
        <v>26.4</v>
      </c>
      <c r="D71" s="932">
        <f>(Z71*KFC!$B$19+KFC!$C$19)*KFC!$C$5</f>
        <v>28.91</v>
      </c>
      <c r="E71" s="932">
        <f>(AA71*KFC!$B$19+KFC!$C$19)*KFC!$C$5</f>
        <v>31.81</v>
      </c>
      <c r="F71" s="932">
        <f>(AB71*KFC!$B$19+KFC!$C$19)*KFC!$C$5</f>
        <v>34.06</v>
      </c>
      <c r="G71" s="932">
        <f>(AC71*KFC!$B$19+KFC!$C$19)*KFC!$C$5</f>
        <v>36.56</v>
      </c>
      <c r="H71" s="932">
        <f>(AD71*KFC!$B$19+KFC!$C$19)*KFC!$C$5</f>
        <v>39.200000000000003</v>
      </c>
      <c r="I71" s="932">
        <f>(AE71*KFC!$B$19+KFC!$C$19)*KFC!$C$5</f>
        <v>41.71</v>
      </c>
      <c r="J71" s="932">
        <f>(AF71*KFC!$B$19+KFC!$C$19)*KFC!$C$5</f>
        <v>44.22</v>
      </c>
      <c r="K71" s="932">
        <f>(AG71*KFC!$B$19+KFC!$C$19)*KFC!$C$5</f>
        <v>46.73</v>
      </c>
      <c r="L71" s="932">
        <f>(AH71*KFC!$B$19+KFC!$C$19)*KFC!$C$5</f>
        <v>49.24</v>
      </c>
      <c r="M71" s="932">
        <f>(AI71*KFC!$B$19+KFC!$C$19)*KFC!$C$5</f>
        <v>52.01</v>
      </c>
      <c r="N71" s="932">
        <f>(AJ71*KFC!$B$19+KFC!$C$19)*KFC!$C$5</f>
        <v>54.52</v>
      </c>
      <c r="O71" s="932">
        <f>(AK71*KFC!$B$19+KFC!$C$19)*KFC!$C$5</f>
        <v>56.76</v>
      </c>
      <c r="P71" s="932">
        <f>(AL71*KFC!$B$19+KFC!$C$19)*KFC!$C$5</f>
        <v>59.53</v>
      </c>
      <c r="Q71" s="932">
        <f>(AM71*KFC!$B$19+KFC!$C$19)*KFC!$C$5</f>
        <v>62.17</v>
      </c>
      <c r="R71" s="932">
        <f>(AN71*KFC!$B$19+KFC!$C$19)*KFC!$C$5</f>
        <v>64.81</v>
      </c>
      <c r="S71" s="932">
        <f>(AO71*KFC!$B$19+KFC!$C$19)*KFC!$C$5</f>
        <v>67.45</v>
      </c>
      <c r="T71" s="932">
        <f>(AP71*KFC!$B$19+KFC!$C$19)*KFC!$C$5</f>
        <v>70.09</v>
      </c>
      <c r="U71" s="933">
        <f>(AQ71*KFC!$B$19+KFC!$C$19)*KFC!$C$5</f>
        <v>72.73</v>
      </c>
      <c r="V71" s="928"/>
      <c r="X71" s="923">
        <v>2.2999999999999998</v>
      </c>
      <c r="Y71" s="929">
        <v>26.4</v>
      </c>
      <c r="Z71" s="929">
        <v>28.91</v>
      </c>
      <c r="AA71" s="929">
        <v>31.81</v>
      </c>
      <c r="AB71" s="929">
        <v>34.06</v>
      </c>
      <c r="AC71" s="929">
        <v>36.56</v>
      </c>
      <c r="AD71" s="929">
        <v>39.200000000000003</v>
      </c>
      <c r="AE71" s="929">
        <v>41.71</v>
      </c>
      <c r="AF71" s="929">
        <v>44.22</v>
      </c>
      <c r="AG71" s="929">
        <v>46.73</v>
      </c>
      <c r="AH71" s="929">
        <v>49.24</v>
      </c>
      <c r="AI71" s="929">
        <v>52.01</v>
      </c>
      <c r="AJ71" s="929">
        <v>54.52</v>
      </c>
      <c r="AK71" s="929">
        <v>56.76</v>
      </c>
      <c r="AL71" s="929">
        <v>59.53</v>
      </c>
      <c r="AM71" s="929">
        <v>62.17</v>
      </c>
      <c r="AN71" s="929">
        <v>64.81</v>
      </c>
      <c r="AO71" s="929">
        <v>67.45</v>
      </c>
      <c r="AP71" s="929">
        <v>70.09</v>
      </c>
      <c r="AQ71" s="929">
        <v>72.73</v>
      </c>
      <c r="AR71" s="929">
        <v>75.37</v>
      </c>
    </row>
    <row r="72" spans="1:44">
      <c r="A72" s="1538"/>
      <c r="B72" s="930">
        <v>2.4</v>
      </c>
      <c r="C72" s="931">
        <f>(Y72*KFC!$B$19+KFC!$C$19)*KFC!$C$5</f>
        <v>26.93</v>
      </c>
      <c r="D72" s="932">
        <f>(Z72*KFC!$B$19+KFC!$C$19)*KFC!$C$5</f>
        <v>29.57</v>
      </c>
      <c r="E72" s="932">
        <f>(AA72*KFC!$B$19+KFC!$C$19)*KFC!$C$5</f>
        <v>32.08</v>
      </c>
      <c r="F72" s="932">
        <f>(AB72*KFC!$B$19+KFC!$C$19)*KFC!$C$5</f>
        <v>34.72</v>
      </c>
      <c r="G72" s="932">
        <f>(AC72*KFC!$B$19+KFC!$C$19)*KFC!$C$5</f>
        <v>37.22</v>
      </c>
      <c r="H72" s="932">
        <f>(AD72*KFC!$B$19+KFC!$C$19)*KFC!$C$5</f>
        <v>40</v>
      </c>
      <c r="I72" s="932">
        <f>(AE72*KFC!$B$19+KFC!$C$19)*KFC!$C$5</f>
        <v>42.77</v>
      </c>
      <c r="J72" s="932">
        <f>(AF72*KFC!$B$19+KFC!$C$19)*KFC!$C$5</f>
        <v>45.28</v>
      </c>
      <c r="K72" s="932">
        <f>(AG72*KFC!$B$19+KFC!$C$19)*KFC!$C$5</f>
        <v>47.92</v>
      </c>
      <c r="L72" s="932">
        <f>(AH72*KFC!$B$19+KFC!$C$19)*KFC!$C$5</f>
        <v>50.42</v>
      </c>
      <c r="M72" s="932">
        <f>(AI72*KFC!$B$19+KFC!$C$19)*KFC!$C$5</f>
        <v>52.93</v>
      </c>
      <c r="N72" s="932">
        <f>(AJ72*KFC!$B$19+KFC!$C$19)*KFC!$C$5</f>
        <v>55.7</v>
      </c>
      <c r="O72" s="932">
        <f>(AK72*KFC!$B$19+KFC!$C$19)*KFC!$C$5</f>
        <v>58.34</v>
      </c>
      <c r="P72" s="932">
        <f>(AL72*KFC!$B$19+KFC!$C$19)*KFC!$C$5</f>
        <v>61.12</v>
      </c>
      <c r="Q72" s="932">
        <f>(AM72*KFC!$B$19+KFC!$C$19)*KFC!$C$5</f>
        <v>63.89</v>
      </c>
      <c r="R72" s="932">
        <f>(AN72*KFC!$B$19+KFC!$C$19)*KFC!$C$5</f>
        <v>66.53</v>
      </c>
      <c r="S72" s="932">
        <f>(AO72*KFC!$B$19+KFC!$C$19)*KFC!$C$5</f>
        <v>69.17</v>
      </c>
      <c r="T72" s="932">
        <f>(AP72*KFC!$B$19+KFC!$C$19)*KFC!$C$5</f>
        <v>71.81</v>
      </c>
      <c r="U72" s="933">
        <f>(AQ72*KFC!$B$19+KFC!$C$19)*KFC!$C$5</f>
        <v>74.45</v>
      </c>
      <c r="V72" s="928"/>
      <c r="X72" s="923">
        <v>2.4</v>
      </c>
      <c r="Y72" s="929">
        <v>26.93</v>
      </c>
      <c r="Z72" s="929">
        <v>29.57</v>
      </c>
      <c r="AA72" s="929">
        <v>32.08</v>
      </c>
      <c r="AB72" s="929">
        <v>34.72</v>
      </c>
      <c r="AC72" s="929">
        <v>37.22</v>
      </c>
      <c r="AD72" s="929">
        <v>40</v>
      </c>
      <c r="AE72" s="929">
        <v>42.77</v>
      </c>
      <c r="AF72" s="929">
        <v>45.28</v>
      </c>
      <c r="AG72" s="929">
        <v>47.92</v>
      </c>
      <c r="AH72" s="929">
        <v>50.42</v>
      </c>
      <c r="AI72" s="929">
        <v>52.93</v>
      </c>
      <c r="AJ72" s="929">
        <v>55.7</v>
      </c>
      <c r="AK72" s="929">
        <v>58.34</v>
      </c>
      <c r="AL72" s="929">
        <v>61.12</v>
      </c>
      <c r="AM72" s="929">
        <v>63.89</v>
      </c>
      <c r="AN72" s="929">
        <v>66.53</v>
      </c>
      <c r="AO72" s="929">
        <v>69.17</v>
      </c>
      <c r="AP72" s="929">
        <v>71.81</v>
      </c>
      <c r="AQ72" s="929">
        <v>74.45</v>
      </c>
      <c r="AR72" s="929">
        <v>77.09</v>
      </c>
    </row>
    <row r="73" spans="1:44">
      <c r="A73" s="1538"/>
      <c r="B73" s="930">
        <v>2.5</v>
      </c>
      <c r="C73" s="931">
        <f>(Y73*KFC!$B$19+KFC!$C$19)*KFC!$C$5</f>
        <v>27.19</v>
      </c>
      <c r="D73" s="932">
        <f>(Z73*KFC!$B$19+KFC!$C$19)*KFC!$C$5</f>
        <v>29.96</v>
      </c>
      <c r="E73" s="932">
        <f>(AA73*KFC!$B$19+KFC!$C$19)*KFC!$C$5</f>
        <v>32.6</v>
      </c>
      <c r="F73" s="932">
        <f>(AB73*KFC!$B$19+KFC!$C$19)*KFC!$C$5</f>
        <v>35.380000000000003</v>
      </c>
      <c r="G73" s="932">
        <f>(AC73*KFC!$B$19+KFC!$C$19)*KFC!$C$5</f>
        <v>38.15</v>
      </c>
      <c r="H73" s="932">
        <f>(AD73*KFC!$B$19+KFC!$C$19)*KFC!$C$5</f>
        <v>40.92</v>
      </c>
      <c r="I73" s="932">
        <f>(AE73*KFC!$B$19+KFC!$C$19)*KFC!$C$5</f>
        <v>43.56</v>
      </c>
      <c r="J73" s="932">
        <f>(AF73*KFC!$B$19+KFC!$C$19)*KFC!$C$5</f>
        <v>46.33</v>
      </c>
      <c r="K73" s="932">
        <f>(AG73*KFC!$B$19+KFC!$C$19)*KFC!$C$5</f>
        <v>48.97</v>
      </c>
      <c r="L73" s="932">
        <f>(AH73*KFC!$B$19+KFC!$C$19)*KFC!$C$5</f>
        <v>51.74</v>
      </c>
      <c r="M73" s="932">
        <f>(AI73*KFC!$B$19+KFC!$C$19)*KFC!$C$5</f>
        <v>54.25</v>
      </c>
      <c r="N73" s="932">
        <f>(AJ73*KFC!$B$19+KFC!$C$19)*KFC!$C$5</f>
        <v>57.16</v>
      </c>
      <c r="O73" s="932">
        <f>(AK73*KFC!$B$19+KFC!$C$19)*KFC!$C$5</f>
        <v>59.8</v>
      </c>
      <c r="P73" s="932">
        <f>(AL73*KFC!$B$19+KFC!$C$19)*KFC!$C$5</f>
        <v>62.44</v>
      </c>
      <c r="Q73" s="932">
        <f>(AM73*KFC!$B$19+KFC!$C$19)*KFC!$C$5</f>
        <v>65.209999999999994</v>
      </c>
      <c r="R73" s="932">
        <f>(AN73*KFC!$B$19+KFC!$C$19)*KFC!$C$5</f>
        <v>67.849999999999994</v>
      </c>
      <c r="S73" s="932">
        <f>(AO73*KFC!$B$19+KFC!$C$19)*KFC!$C$5</f>
        <v>70.489999999999995</v>
      </c>
      <c r="T73" s="932">
        <f>(AP73*KFC!$B$19+KFC!$C$19)*KFC!$C$5</f>
        <v>73.13</v>
      </c>
      <c r="U73" s="933">
        <f>(AQ73*KFC!$B$19+KFC!$C$19)*KFC!$C$5</f>
        <v>75.77</v>
      </c>
      <c r="V73" s="928"/>
      <c r="X73" s="923">
        <v>2.5</v>
      </c>
      <c r="Y73" s="929">
        <v>27.19</v>
      </c>
      <c r="Z73" s="929">
        <v>29.96</v>
      </c>
      <c r="AA73" s="929">
        <v>32.6</v>
      </c>
      <c r="AB73" s="929">
        <v>35.380000000000003</v>
      </c>
      <c r="AC73" s="929">
        <v>38.15</v>
      </c>
      <c r="AD73" s="929">
        <v>40.92</v>
      </c>
      <c r="AE73" s="929">
        <v>43.56</v>
      </c>
      <c r="AF73" s="929">
        <v>46.33</v>
      </c>
      <c r="AG73" s="929">
        <v>48.97</v>
      </c>
      <c r="AH73" s="929">
        <v>51.74</v>
      </c>
      <c r="AI73" s="929">
        <v>54.25</v>
      </c>
      <c r="AJ73" s="929">
        <v>57.16</v>
      </c>
      <c r="AK73" s="929">
        <v>59.8</v>
      </c>
      <c r="AL73" s="929">
        <v>62.44</v>
      </c>
      <c r="AM73" s="929">
        <v>65.209999999999994</v>
      </c>
      <c r="AN73" s="929">
        <v>67.849999999999994</v>
      </c>
      <c r="AO73" s="929">
        <v>70.489999999999995</v>
      </c>
      <c r="AP73" s="929">
        <v>73.13</v>
      </c>
      <c r="AQ73" s="929">
        <v>75.77</v>
      </c>
      <c r="AR73" s="929">
        <v>78.41</v>
      </c>
    </row>
    <row r="74" spans="1:44">
      <c r="A74" s="1538"/>
      <c r="B74" s="930">
        <v>2.6</v>
      </c>
      <c r="C74" s="931">
        <f>(Y74*KFC!$B$19+KFC!$C$19)*KFC!$C$5</f>
        <v>27.72</v>
      </c>
      <c r="D74" s="932">
        <f>(Z74*KFC!$B$19+KFC!$C$19)*KFC!$C$5</f>
        <v>30.36</v>
      </c>
      <c r="E74" s="932">
        <f>(AA74*KFC!$B$19+KFC!$C$19)*KFC!$C$5</f>
        <v>33.26</v>
      </c>
      <c r="F74" s="932">
        <f>(AB74*KFC!$B$19+KFC!$C$19)*KFC!$C$5</f>
        <v>35.9</v>
      </c>
      <c r="G74" s="932">
        <f>(AC74*KFC!$B$19+KFC!$C$19)*KFC!$C$5</f>
        <v>38.94</v>
      </c>
      <c r="H74" s="932">
        <f>(AD74*KFC!$B$19+KFC!$C$19)*KFC!$C$5</f>
        <v>41.71</v>
      </c>
      <c r="I74" s="932">
        <f>(AE74*KFC!$B$19+KFC!$C$19)*KFC!$C$5</f>
        <v>44.48</v>
      </c>
      <c r="J74" s="932">
        <f>(AF74*KFC!$B$19+KFC!$C$19)*KFC!$C$5</f>
        <v>47.26</v>
      </c>
      <c r="K74" s="932">
        <f>(AG74*KFC!$B$19+KFC!$C$19)*KFC!$C$5</f>
        <v>49.9</v>
      </c>
      <c r="L74" s="932">
        <f>(AH74*KFC!$B$19+KFC!$C$19)*KFC!$C$5</f>
        <v>52.8</v>
      </c>
      <c r="M74" s="932">
        <f>(AI74*KFC!$B$19+KFC!$C$19)*KFC!$C$5</f>
        <v>55.7</v>
      </c>
      <c r="N74" s="932">
        <f>(AJ74*KFC!$B$19+KFC!$C$19)*KFC!$C$5</f>
        <v>58.34</v>
      </c>
      <c r="O74" s="932">
        <f>(AK74*KFC!$B$19+KFC!$C$19)*KFC!$C$5</f>
        <v>61.12</v>
      </c>
      <c r="P74" s="932">
        <f>(AL74*KFC!$B$19+KFC!$C$19)*KFC!$C$5</f>
        <v>64.02</v>
      </c>
      <c r="Q74" s="932">
        <f>(AM74*KFC!$B$19+KFC!$C$19)*KFC!$C$5</f>
        <v>66.790000000000006</v>
      </c>
      <c r="R74" s="932">
        <f>(AN74*KFC!$B$19+KFC!$C$19)*KFC!$C$5</f>
        <v>69.7</v>
      </c>
      <c r="S74" s="932">
        <f>(AO74*KFC!$B$19+KFC!$C$19)*KFC!$C$5</f>
        <v>72.47</v>
      </c>
      <c r="T74" s="932">
        <f>(AP74*KFC!$B$19+KFC!$C$19)*KFC!$C$5</f>
        <v>75.239999999999995</v>
      </c>
      <c r="U74" s="933">
        <f>(AQ74*KFC!$B$19+KFC!$C$19)*KFC!$C$5</f>
        <v>78.010000000000005</v>
      </c>
      <c r="V74" s="928"/>
      <c r="X74" s="923">
        <v>2.6</v>
      </c>
      <c r="Y74" s="929">
        <v>27.72</v>
      </c>
      <c r="Z74" s="929">
        <v>30.36</v>
      </c>
      <c r="AA74" s="929">
        <v>33.26</v>
      </c>
      <c r="AB74" s="929">
        <v>35.9</v>
      </c>
      <c r="AC74" s="929">
        <v>38.94</v>
      </c>
      <c r="AD74" s="929">
        <v>41.71</v>
      </c>
      <c r="AE74" s="929">
        <v>44.48</v>
      </c>
      <c r="AF74" s="929">
        <v>47.26</v>
      </c>
      <c r="AG74" s="929">
        <v>49.9</v>
      </c>
      <c r="AH74" s="929">
        <v>52.8</v>
      </c>
      <c r="AI74" s="929">
        <v>55.7</v>
      </c>
      <c r="AJ74" s="929">
        <v>58.34</v>
      </c>
      <c r="AK74" s="929">
        <v>61.12</v>
      </c>
      <c r="AL74" s="929">
        <v>64.02</v>
      </c>
      <c r="AM74" s="929">
        <v>66.790000000000006</v>
      </c>
      <c r="AN74" s="929">
        <v>69.7</v>
      </c>
      <c r="AO74" s="929">
        <v>72.47</v>
      </c>
      <c r="AP74" s="929">
        <v>75.239999999999995</v>
      </c>
      <c r="AQ74" s="929">
        <v>78.010000000000005</v>
      </c>
      <c r="AR74" s="929">
        <v>80.78</v>
      </c>
    </row>
    <row r="75" spans="1:44">
      <c r="A75" s="1538"/>
      <c r="B75" s="930">
        <v>2.7</v>
      </c>
      <c r="C75" s="931">
        <f>(Y75*KFC!$B$19+KFC!$C$19)*KFC!$C$5</f>
        <v>28.12</v>
      </c>
      <c r="D75" s="932">
        <f>(Z75*KFC!$B$19+KFC!$C$19)*KFC!$C$5</f>
        <v>30.76</v>
      </c>
      <c r="E75" s="932">
        <f>(AA75*KFC!$B$19+KFC!$C$19)*KFC!$C$5</f>
        <v>33.79</v>
      </c>
      <c r="F75" s="932">
        <f>(AB75*KFC!$B$19+KFC!$C$19)*KFC!$C$5</f>
        <v>36.299999999999997</v>
      </c>
      <c r="G75" s="932">
        <f>(AC75*KFC!$B$19+KFC!$C$19)*KFC!$C$5</f>
        <v>39.729999999999997</v>
      </c>
      <c r="H75" s="932">
        <f>(AD75*KFC!$B$19+KFC!$C$19)*KFC!$C$5</f>
        <v>42.64</v>
      </c>
      <c r="I75" s="932">
        <f>(AE75*KFC!$B$19+KFC!$C$19)*KFC!$C$5</f>
        <v>45.28</v>
      </c>
      <c r="J75" s="932">
        <f>(AF75*KFC!$B$19+KFC!$C$19)*KFC!$C$5</f>
        <v>48.31</v>
      </c>
      <c r="K75" s="932">
        <f>(AG75*KFC!$B$19+KFC!$C$19)*KFC!$C$5</f>
        <v>50.95</v>
      </c>
      <c r="L75" s="932">
        <f>(AH75*KFC!$B$19+KFC!$C$19)*KFC!$C$5</f>
        <v>53.86</v>
      </c>
      <c r="M75" s="932">
        <f>(AI75*KFC!$B$19+KFC!$C$19)*KFC!$C$5</f>
        <v>57.16</v>
      </c>
      <c r="N75" s="932">
        <f>(AJ75*KFC!$B$19+KFC!$C$19)*KFC!$C$5</f>
        <v>59.66</v>
      </c>
      <c r="O75" s="932">
        <f>(AK75*KFC!$B$19+KFC!$C$19)*KFC!$C$5</f>
        <v>62.7</v>
      </c>
      <c r="P75" s="932">
        <f>(AL75*KFC!$B$19+KFC!$C$19)*KFC!$C$5</f>
        <v>65.599999999999994</v>
      </c>
      <c r="Q75" s="932">
        <f>(AM75*KFC!$B$19+KFC!$C$19)*KFC!$C$5</f>
        <v>68.510000000000005</v>
      </c>
      <c r="R75" s="932">
        <f>(AN75*KFC!$B$19+KFC!$C$19)*KFC!$C$5</f>
        <v>71.540000000000006</v>
      </c>
      <c r="S75" s="932">
        <f>(AO75*KFC!$B$19+KFC!$C$19)*KFC!$C$5</f>
        <v>74.58</v>
      </c>
      <c r="T75" s="932">
        <f>(AP75*KFC!$B$19+KFC!$C$19)*KFC!$C$5</f>
        <v>77.62</v>
      </c>
      <c r="U75" s="933">
        <f>(AQ75*KFC!$B$19+KFC!$C$19)*KFC!$C$5</f>
        <v>80.66</v>
      </c>
      <c r="V75" s="928"/>
      <c r="X75" s="923">
        <v>2.7</v>
      </c>
      <c r="Y75" s="929">
        <v>28.12</v>
      </c>
      <c r="Z75" s="929">
        <v>30.76</v>
      </c>
      <c r="AA75" s="929">
        <v>33.79</v>
      </c>
      <c r="AB75" s="929">
        <v>36.299999999999997</v>
      </c>
      <c r="AC75" s="929">
        <v>39.729999999999997</v>
      </c>
      <c r="AD75" s="929">
        <v>42.64</v>
      </c>
      <c r="AE75" s="929">
        <v>45.28</v>
      </c>
      <c r="AF75" s="929">
        <v>48.31</v>
      </c>
      <c r="AG75" s="929">
        <v>50.95</v>
      </c>
      <c r="AH75" s="929">
        <v>53.86</v>
      </c>
      <c r="AI75" s="929">
        <v>57.16</v>
      </c>
      <c r="AJ75" s="929">
        <v>59.66</v>
      </c>
      <c r="AK75" s="929">
        <v>62.7</v>
      </c>
      <c r="AL75" s="929">
        <v>65.599999999999994</v>
      </c>
      <c r="AM75" s="929">
        <v>68.510000000000005</v>
      </c>
      <c r="AN75" s="929">
        <v>71.540000000000006</v>
      </c>
      <c r="AO75" s="929">
        <v>74.58</v>
      </c>
      <c r="AP75" s="929">
        <v>77.62</v>
      </c>
      <c r="AQ75" s="929">
        <v>80.66</v>
      </c>
      <c r="AR75" s="929">
        <v>83.7</v>
      </c>
    </row>
    <row r="76" spans="1:44">
      <c r="A76" s="1538"/>
      <c r="B76" s="930">
        <v>2.8</v>
      </c>
      <c r="C76" s="931">
        <f>(Y76*KFC!$B$19+KFC!$C$19)*KFC!$C$5</f>
        <v>28.52</v>
      </c>
      <c r="D76" s="932">
        <f>(Z76*KFC!$B$19+KFC!$C$19)*KFC!$C$5</f>
        <v>31.16</v>
      </c>
      <c r="E76" s="932">
        <f>(AA76*KFC!$B$19+KFC!$C$19)*KFC!$C$5</f>
        <v>34.32</v>
      </c>
      <c r="F76" s="932">
        <f>(AB76*KFC!$B$19+KFC!$C$19)*KFC!$C$5</f>
        <v>36.700000000000003</v>
      </c>
      <c r="G76" s="932">
        <f>(AC76*KFC!$B$19+KFC!$C$19)*KFC!$C$5</f>
        <v>40.520000000000003</v>
      </c>
      <c r="H76" s="932">
        <f>(AD76*KFC!$B$19+KFC!$C$19)*KFC!$C$5</f>
        <v>43.57</v>
      </c>
      <c r="I76" s="932">
        <f>(AE76*KFC!$B$19+KFC!$C$19)*KFC!$C$5</f>
        <v>46.08</v>
      </c>
      <c r="J76" s="932">
        <f>(AF76*KFC!$B$19+KFC!$C$19)*KFC!$C$5</f>
        <v>49.36</v>
      </c>
      <c r="K76" s="932">
        <f>(AG76*KFC!$B$19+KFC!$C$19)*KFC!$C$5</f>
        <v>52</v>
      </c>
      <c r="L76" s="932">
        <f>(AH76*KFC!$B$19+KFC!$C$19)*KFC!$C$5</f>
        <v>54.92</v>
      </c>
      <c r="M76" s="932">
        <f>(AI76*KFC!$B$19+KFC!$C$19)*KFC!$C$5</f>
        <v>58.62</v>
      </c>
      <c r="N76" s="932">
        <f>(AJ76*KFC!$B$19+KFC!$C$19)*KFC!$C$5</f>
        <v>60.98</v>
      </c>
      <c r="O76" s="932">
        <f>(AK76*KFC!$B$19+KFC!$C$19)*KFC!$C$5</f>
        <v>64.28</v>
      </c>
      <c r="P76" s="932">
        <f>(AL76*KFC!$B$19+KFC!$C$19)*KFC!$C$5</f>
        <v>67.180000000000007</v>
      </c>
      <c r="Q76" s="932">
        <f>(AM76*KFC!$B$19+KFC!$C$19)*KFC!$C$5</f>
        <v>70.23</v>
      </c>
      <c r="R76" s="932">
        <f>(AN76*KFC!$B$19+KFC!$C$19)*KFC!$C$5</f>
        <v>73.38</v>
      </c>
      <c r="S76" s="932">
        <f>(AO76*KFC!$B$19+KFC!$C$19)*KFC!$C$5</f>
        <v>76.69</v>
      </c>
      <c r="T76" s="932">
        <f>(AP76*KFC!$B$19+KFC!$C$19)*KFC!$C$5</f>
        <v>80</v>
      </c>
      <c r="U76" s="933">
        <f>(AQ76*KFC!$B$19+KFC!$C$19)*KFC!$C$5</f>
        <v>83.31</v>
      </c>
      <c r="V76" s="928"/>
      <c r="X76" s="923">
        <v>2.8</v>
      </c>
      <c r="Y76" s="929">
        <v>28.52</v>
      </c>
      <c r="Z76" s="929">
        <v>31.16</v>
      </c>
      <c r="AA76" s="929">
        <v>34.32</v>
      </c>
      <c r="AB76" s="929">
        <v>36.700000000000003</v>
      </c>
      <c r="AC76" s="929">
        <v>40.520000000000003</v>
      </c>
      <c r="AD76" s="929">
        <v>43.57</v>
      </c>
      <c r="AE76" s="929">
        <v>46.08</v>
      </c>
      <c r="AF76" s="929">
        <v>49.36</v>
      </c>
      <c r="AG76" s="929">
        <v>52</v>
      </c>
      <c r="AH76" s="929">
        <v>54.92</v>
      </c>
      <c r="AI76" s="929">
        <v>58.62</v>
      </c>
      <c r="AJ76" s="929">
        <v>60.98</v>
      </c>
      <c r="AK76" s="929">
        <v>64.28</v>
      </c>
      <c r="AL76" s="929">
        <v>67.180000000000007</v>
      </c>
      <c r="AM76" s="929">
        <v>70.23</v>
      </c>
      <c r="AN76" s="929">
        <v>73.38</v>
      </c>
      <c r="AO76" s="929">
        <v>76.69</v>
      </c>
      <c r="AP76" s="929">
        <v>80</v>
      </c>
      <c r="AQ76" s="929">
        <v>83.31</v>
      </c>
      <c r="AR76" s="929">
        <v>86.62</v>
      </c>
    </row>
    <row r="77" spans="1:44">
      <c r="A77" s="1538"/>
      <c r="B77" s="930">
        <v>2.9</v>
      </c>
      <c r="C77" s="931">
        <f>(Y77*KFC!$B$19+KFC!$C$19)*KFC!$C$5</f>
        <v>28.92</v>
      </c>
      <c r="D77" s="932">
        <f>(Z77*KFC!$B$19+KFC!$C$19)*KFC!$C$5</f>
        <v>31.56</v>
      </c>
      <c r="E77" s="932">
        <f>(AA77*KFC!$B$19+KFC!$C$19)*KFC!$C$5</f>
        <v>34.85</v>
      </c>
      <c r="F77" s="932">
        <f>(AB77*KFC!$B$19+KFC!$C$19)*KFC!$C$5</f>
        <v>37.1</v>
      </c>
      <c r="G77" s="932">
        <f>(AC77*KFC!$B$19+KFC!$C$19)*KFC!$C$5</f>
        <v>41.31</v>
      </c>
      <c r="H77" s="932">
        <f>(AD77*KFC!$B$19+KFC!$C$19)*KFC!$C$5</f>
        <v>44.5</v>
      </c>
      <c r="I77" s="932">
        <f>(AE77*KFC!$B$19+KFC!$C$19)*KFC!$C$5</f>
        <v>46.88</v>
      </c>
      <c r="J77" s="932">
        <f>(AF77*KFC!$B$19+KFC!$C$19)*KFC!$C$5</f>
        <v>50.41</v>
      </c>
      <c r="K77" s="932">
        <f>(AG77*KFC!$B$19+KFC!$C$19)*KFC!$C$5</f>
        <v>53.05</v>
      </c>
      <c r="L77" s="932">
        <f>(AH77*KFC!$B$19+KFC!$C$19)*KFC!$C$5</f>
        <v>55.98</v>
      </c>
      <c r="M77" s="932">
        <f>(AI77*KFC!$B$19+KFC!$C$19)*KFC!$C$5</f>
        <v>60.08</v>
      </c>
      <c r="N77" s="932">
        <f>(AJ77*KFC!$B$19+KFC!$C$19)*KFC!$C$5</f>
        <v>62.3</v>
      </c>
      <c r="O77" s="932">
        <f>(AK77*KFC!$B$19+KFC!$C$19)*KFC!$C$5</f>
        <v>65.86</v>
      </c>
      <c r="P77" s="932">
        <f>(AL77*KFC!$B$19+KFC!$C$19)*KFC!$C$5</f>
        <v>68.760000000000005</v>
      </c>
      <c r="Q77" s="932">
        <f>(AM77*KFC!$B$19+KFC!$C$19)*KFC!$C$5</f>
        <v>71.95</v>
      </c>
      <c r="R77" s="932">
        <f>(AN77*KFC!$B$19+KFC!$C$19)*KFC!$C$5</f>
        <v>75.22</v>
      </c>
      <c r="S77" s="932">
        <f>(AO77*KFC!$B$19+KFC!$C$19)*KFC!$C$5</f>
        <v>78.8</v>
      </c>
      <c r="T77" s="932">
        <f>(AP77*KFC!$B$19+KFC!$C$19)*KFC!$C$5</f>
        <v>82.38</v>
      </c>
      <c r="U77" s="933">
        <f>(AQ77*KFC!$B$19+KFC!$C$19)*KFC!$C$5</f>
        <v>85.96</v>
      </c>
      <c r="V77" s="928"/>
      <c r="X77" s="923">
        <v>2.9</v>
      </c>
      <c r="Y77" s="929">
        <v>28.92</v>
      </c>
      <c r="Z77" s="929">
        <v>31.56</v>
      </c>
      <c r="AA77" s="929">
        <v>34.85</v>
      </c>
      <c r="AB77" s="929">
        <v>37.1</v>
      </c>
      <c r="AC77" s="929">
        <v>41.31</v>
      </c>
      <c r="AD77" s="929">
        <v>44.5</v>
      </c>
      <c r="AE77" s="929">
        <v>46.88</v>
      </c>
      <c r="AF77" s="929">
        <v>50.41</v>
      </c>
      <c r="AG77" s="929">
        <v>53.05</v>
      </c>
      <c r="AH77" s="929">
        <v>55.98</v>
      </c>
      <c r="AI77" s="929">
        <v>60.08</v>
      </c>
      <c r="AJ77" s="929">
        <v>62.3</v>
      </c>
      <c r="AK77" s="929">
        <v>65.86</v>
      </c>
      <c r="AL77" s="929">
        <v>68.760000000000005</v>
      </c>
      <c r="AM77" s="929">
        <v>71.95</v>
      </c>
      <c r="AN77" s="929">
        <v>75.22</v>
      </c>
      <c r="AO77" s="929">
        <v>78.8</v>
      </c>
      <c r="AP77" s="929">
        <v>82.38</v>
      </c>
      <c r="AQ77" s="929">
        <v>85.96</v>
      </c>
      <c r="AR77" s="929">
        <v>89.54</v>
      </c>
    </row>
    <row r="78" spans="1:44">
      <c r="A78" s="1538"/>
      <c r="B78" s="930">
        <v>3</v>
      </c>
      <c r="C78" s="931">
        <f>(Y78*KFC!$B$19+KFC!$C$19)*KFC!$C$5</f>
        <v>29.32</v>
      </c>
      <c r="D78" s="932">
        <f>(Z78*KFC!$B$19+KFC!$C$19)*KFC!$C$5</f>
        <v>31.96</v>
      </c>
      <c r="E78" s="932">
        <f>(AA78*KFC!$B$19+KFC!$C$19)*KFC!$C$5</f>
        <v>35.380000000000003</v>
      </c>
      <c r="F78" s="932">
        <f>(AB78*KFC!$B$19+KFC!$C$19)*KFC!$C$5</f>
        <v>37.5</v>
      </c>
      <c r="G78" s="932">
        <f>(AC78*KFC!$B$19+KFC!$C$19)*KFC!$C$5</f>
        <v>42.1</v>
      </c>
      <c r="H78" s="932">
        <f>(AD78*KFC!$B$19+KFC!$C$19)*KFC!$C$5</f>
        <v>45.43</v>
      </c>
      <c r="I78" s="932">
        <f>(AE78*KFC!$B$19+KFC!$C$19)*KFC!$C$5</f>
        <v>47.68</v>
      </c>
      <c r="J78" s="932">
        <f>(AF78*KFC!$B$19+KFC!$C$19)*KFC!$C$5</f>
        <v>51.46</v>
      </c>
      <c r="K78" s="932">
        <f>(AG78*KFC!$B$19+KFC!$C$19)*KFC!$C$5</f>
        <v>54.1</v>
      </c>
      <c r="L78" s="932">
        <f>(AH78*KFC!$B$19+KFC!$C$19)*KFC!$C$5</f>
        <v>57.04</v>
      </c>
      <c r="M78" s="932">
        <f>(AI78*KFC!$B$19+KFC!$C$19)*KFC!$C$5</f>
        <v>61.54</v>
      </c>
      <c r="N78" s="932">
        <f>(AJ78*KFC!$B$19+KFC!$C$19)*KFC!$C$5</f>
        <v>63.62</v>
      </c>
      <c r="O78" s="932">
        <f>(AK78*KFC!$B$19+KFC!$C$19)*KFC!$C$5</f>
        <v>67.44</v>
      </c>
      <c r="P78" s="932">
        <f>(AL78*KFC!$B$19+KFC!$C$19)*KFC!$C$5</f>
        <v>70.34</v>
      </c>
      <c r="Q78" s="932">
        <f>(AM78*KFC!$B$19+KFC!$C$19)*KFC!$C$5</f>
        <v>73.67</v>
      </c>
      <c r="R78" s="932">
        <f>(AN78*KFC!$B$19+KFC!$C$19)*KFC!$C$5</f>
        <v>77.06</v>
      </c>
      <c r="S78" s="932">
        <f>(AO78*KFC!$B$19+KFC!$C$19)*KFC!$C$5</f>
        <v>80.91</v>
      </c>
      <c r="T78" s="932">
        <f>(AP78*KFC!$B$19+KFC!$C$19)*KFC!$C$5</f>
        <v>84.76</v>
      </c>
      <c r="U78" s="933">
        <f>(AQ78*KFC!$B$19+KFC!$C$19)*KFC!$C$5</f>
        <v>88.61</v>
      </c>
      <c r="V78" s="928"/>
      <c r="X78" s="923">
        <v>3</v>
      </c>
      <c r="Y78" s="929">
        <v>29.32</v>
      </c>
      <c r="Z78" s="929">
        <v>31.96</v>
      </c>
      <c r="AA78" s="929">
        <v>35.380000000000003</v>
      </c>
      <c r="AB78" s="929">
        <v>37.5</v>
      </c>
      <c r="AC78" s="929">
        <v>42.1</v>
      </c>
      <c r="AD78" s="929">
        <v>45.43</v>
      </c>
      <c r="AE78" s="929">
        <v>47.68</v>
      </c>
      <c r="AF78" s="929">
        <v>51.46</v>
      </c>
      <c r="AG78" s="929">
        <v>54.1</v>
      </c>
      <c r="AH78" s="929">
        <v>57.04</v>
      </c>
      <c r="AI78" s="929">
        <v>61.54</v>
      </c>
      <c r="AJ78" s="929">
        <v>63.62</v>
      </c>
      <c r="AK78" s="929">
        <v>67.44</v>
      </c>
      <c r="AL78" s="929">
        <v>70.34</v>
      </c>
      <c r="AM78" s="929">
        <v>73.67</v>
      </c>
      <c r="AN78" s="929">
        <v>77.06</v>
      </c>
      <c r="AO78" s="929">
        <v>80.91</v>
      </c>
      <c r="AP78" s="929">
        <v>84.76</v>
      </c>
      <c r="AQ78" s="929">
        <v>88.61</v>
      </c>
      <c r="AR78" s="929">
        <v>92.46</v>
      </c>
    </row>
    <row r="79" spans="1:44">
      <c r="A79" s="1538"/>
      <c r="B79" s="930">
        <v>3.1</v>
      </c>
      <c r="C79" s="931">
        <f>(Y79*KFC!$B$19+KFC!$C$19)*KFC!$C$5</f>
        <v>29.72</v>
      </c>
      <c r="D79" s="932">
        <f>(Z79*KFC!$B$19+KFC!$C$19)*KFC!$C$5</f>
        <v>32.36</v>
      </c>
      <c r="E79" s="932">
        <f>(AA79*KFC!$B$19+KFC!$C$19)*KFC!$C$5</f>
        <v>35.909999999999997</v>
      </c>
      <c r="F79" s="932">
        <f>(AB79*KFC!$B$19+KFC!$C$19)*KFC!$C$5</f>
        <v>37.9</v>
      </c>
      <c r="G79" s="932">
        <f>(AC79*KFC!$B$19+KFC!$C$19)*KFC!$C$5</f>
        <v>42.89</v>
      </c>
      <c r="H79" s="932">
        <f>(AD79*KFC!$B$19+KFC!$C$19)*KFC!$C$5</f>
        <v>46.36</v>
      </c>
      <c r="I79" s="932">
        <f>(AE79*KFC!$B$19+KFC!$C$19)*KFC!$C$5</f>
        <v>48.48</v>
      </c>
      <c r="J79" s="932">
        <f>(AF79*KFC!$B$19+KFC!$C$19)*KFC!$C$5</f>
        <v>52.51</v>
      </c>
      <c r="K79" s="932">
        <f>(AG79*KFC!$B$19+KFC!$C$19)*KFC!$C$5</f>
        <v>55.15</v>
      </c>
      <c r="L79" s="932">
        <f>(AH79*KFC!$B$19+KFC!$C$19)*KFC!$C$5</f>
        <v>58.1</v>
      </c>
      <c r="M79" s="932">
        <f>(AI79*KFC!$B$19+KFC!$C$19)*KFC!$C$5</f>
        <v>63</v>
      </c>
      <c r="N79" s="932">
        <f>(AJ79*KFC!$B$19+KFC!$C$19)*KFC!$C$5</f>
        <v>64.94</v>
      </c>
      <c r="O79" s="932">
        <f>(AK79*KFC!$B$19+KFC!$C$19)*KFC!$C$5</f>
        <v>69.02</v>
      </c>
      <c r="P79" s="932">
        <f>(AL79*KFC!$B$19+KFC!$C$19)*KFC!$C$5</f>
        <v>71.92</v>
      </c>
      <c r="Q79" s="932">
        <f>(AM79*KFC!$B$19+KFC!$C$19)*KFC!$C$5</f>
        <v>75.39</v>
      </c>
      <c r="R79" s="932">
        <f>(AN79*KFC!$B$19+KFC!$C$19)*KFC!$C$5</f>
        <v>78.900000000000006</v>
      </c>
      <c r="S79" s="932">
        <f>(AO79*KFC!$B$19+KFC!$C$19)*KFC!$C$5</f>
        <v>83.02</v>
      </c>
      <c r="T79" s="932">
        <f>(AP79*KFC!$B$19+KFC!$C$19)*KFC!$C$5</f>
        <v>87.14</v>
      </c>
      <c r="U79" s="933">
        <f>(AQ79*KFC!$B$19+KFC!$C$19)*KFC!$C$5</f>
        <v>91.26</v>
      </c>
      <c r="V79" s="928"/>
      <c r="X79" s="923">
        <v>3.1</v>
      </c>
      <c r="Y79" s="929">
        <v>29.72</v>
      </c>
      <c r="Z79" s="929">
        <v>32.36</v>
      </c>
      <c r="AA79" s="929">
        <v>35.909999999999997</v>
      </c>
      <c r="AB79" s="929">
        <v>37.9</v>
      </c>
      <c r="AC79" s="929">
        <v>42.89</v>
      </c>
      <c r="AD79" s="929">
        <v>46.36</v>
      </c>
      <c r="AE79" s="929">
        <v>48.48</v>
      </c>
      <c r="AF79" s="929">
        <v>52.51</v>
      </c>
      <c r="AG79" s="929">
        <v>55.15</v>
      </c>
      <c r="AH79" s="929">
        <v>58.1</v>
      </c>
      <c r="AI79" s="929">
        <v>63</v>
      </c>
      <c r="AJ79" s="929">
        <v>64.94</v>
      </c>
      <c r="AK79" s="929">
        <v>69.02</v>
      </c>
      <c r="AL79" s="929">
        <v>71.92</v>
      </c>
      <c r="AM79" s="929">
        <v>75.39</v>
      </c>
      <c r="AN79" s="929">
        <v>78.900000000000006</v>
      </c>
      <c r="AO79" s="929">
        <v>83.02</v>
      </c>
      <c r="AP79" s="929">
        <v>87.14</v>
      </c>
      <c r="AQ79" s="929">
        <v>91.26</v>
      </c>
      <c r="AR79" s="929">
        <v>95.38</v>
      </c>
    </row>
    <row r="80" spans="1:44">
      <c r="A80" s="1538"/>
      <c r="B80" s="930">
        <v>3.2</v>
      </c>
      <c r="C80" s="931">
        <f>(Y80*KFC!$B$19+KFC!$C$19)*KFC!$C$5</f>
        <v>30.12</v>
      </c>
      <c r="D80" s="932">
        <f>(Z80*KFC!$B$19+KFC!$C$19)*KFC!$C$5</f>
        <v>32.76</v>
      </c>
      <c r="E80" s="932">
        <f>(AA80*KFC!$B$19+KFC!$C$19)*KFC!$C$5</f>
        <v>36.44</v>
      </c>
      <c r="F80" s="932">
        <f>(AB80*KFC!$B$19+KFC!$C$19)*KFC!$C$5</f>
        <v>38.299999999999997</v>
      </c>
      <c r="G80" s="932">
        <f>(AC80*KFC!$B$19+KFC!$C$19)*KFC!$C$5</f>
        <v>43.68</v>
      </c>
      <c r="H80" s="932">
        <f>(AD80*KFC!$B$19+KFC!$C$19)*KFC!$C$5</f>
        <v>47.29</v>
      </c>
      <c r="I80" s="932">
        <f>(AE80*KFC!$B$19+KFC!$C$19)*KFC!$C$5</f>
        <v>49.28</v>
      </c>
      <c r="J80" s="932">
        <f>(AF80*KFC!$B$19+KFC!$C$19)*KFC!$C$5</f>
        <v>53.56</v>
      </c>
      <c r="K80" s="932">
        <f>(AG80*KFC!$B$19+KFC!$C$19)*KFC!$C$5</f>
        <v>56.2</v>
      </c>
      <c r="L80" s="932">
        <f>(AH80*KFC!$B$19+KFC!$C$19)*KFC!$C$5</f>
        <v>59.16</v>
      </c>
      <c r="M80" s="932">
        <f>(AI80*KFC!$B$19+KFC!$C$19)*KFC!$C$5</f>
        <v>64.459999999999994</v>
      </c>
      <c r="N80" s="932">
        <f>(AJ80*KFC!$B$19+KFC!$C$19)*KFC!$C$5</f>
        <v>66.260000000000005</v>
      </c>
      <c r="O80" s="932">
        <f>(AK80*KFC!$B$19+KFC!$C$19)*KFC!$C$5</f>
        <v>70.599999999999994</v>
      </c>
      <c r="P80" s="932">
        <f>(AL80*KFC!$B$19+KFC!$C$19)*KFC!$C$5</f>
        <v>73.5</v>
      </c>
      <c r="Q80" s="932">
        <f>(AM80*KFC!$B$19+KFC!$C$19)*KFC!$C$5</f>
        <v>77.11</v>
      </c>
      <c r="R80" s="932">
        <f>(AN80*KFC!$B$19+KFC!$C$19)*KFC!$C$5</f>
        <v>80.739999999999995</v>
      </c>
      <c r="S80" s="932">
        <f>(AO80*KFC!$B$19+KFC!$C$19)*KFC!$C$5</f>
        <v>85.13</v>
      </c>
      <c r="T80" s="932">
        <f>(AP80*KFC!$B$19+KFC!$C$19)*KFC!$C$5</f>
        <v>89.52</v>
      </c>
      <c r="U80" s="933">
        <f>(AQ80*KFC!$B$19+KFC!$C$19)*KFC!$C$5</f>
        <v>93.91</v>
      </c>
      <c r="V80" s="928"/>
      <c r="X80" s="923">
        <v>3.2</v>
      </c>
      <c r="Y80" s="929">
        <v>30.12</v>
      </c>
      <c r="Z80" s="929">
        <v>32.76</v>
      </c>
      <c r="AA80" s="929">
        <v>36.44</v>
      </c>
      <c r="AB80" s="929">
        <v>38.299999999999997</v>
      </c>
      <c r="AC80" s="929">
        <v>43.68</v>
      </c>
      <c r="AD80" s="929">
        <v>47.29</v>
      </c>
      <c r="AE80" s="929">
        <v>49.28</v>
      </c>
      <c r="AF80" s="929">
        <v>53.56</v>
      </c>
      <c r="AG80" s="929">
        <v>56.2</v>
      </c>
      <c r="AH80" s="929">
        <v>59.16</v>
      </c>
      <c r="AI80" s="929">
        <v>64.459999999999994</v>
      </c>
      <c r="AJ80" s="929">
        <v>66.260000000000005</v>
      </c>
      <c r="AK80" s="929">
        <v>70.599999999999994</v>
      </c>
      <c r="AL80" s="929">
        <v>73.5</v>
      </c>
      <c r="AM80" s="929">
        <v>77.11</v>
      </c>
      <c r="AN80" s="929">
        <v>80.739999999999995</v>
      </c>
      <c r="AO80" s="929">
        <v>85.13</v>
      </c>
      <c r="AP80" s="929">
        <v>89.52</v>
      </c>
      <c r="AQ80" s="929">
        <v>93.91</v>
      </c>
      <c r="AR80" s="929">
        <v>98.3</v>
      </c>
    </row>
    <row r="81" spans="1:44">
      <c r="A81" s="1538"/>
      <c r="B81" s="930">
        <v>3.3</v>
      </c>
      <c r="C81" s="931">
        <f>(Y81*KFC!$B$19+KFC!$C$19)*KFC!$C$5</f>
        <v>30.52</v>
      </c>
      <c r="D81" s="932">
        <f>(Z81*KFC!$B$19+KFC!$C$19)*KFC!$C$5</f>
        <v>33.159999999999997</v>
      </c>
      <c r="E81" s="932">
        <f>(AA81*KFC!$B$19+KFC!$C$19)*KFC!$C$5</f>
        <v>36.97</v>
      </c>
      <c r="F81" s="932">
        <f>(AB81*KFC!$B$19+KFC!$C$19)*KFC!$C$5</f>
        <v>38.700000000000003</v>
      </c>
      <c r="G81" s="932">
        <f>(AC81*KFC!$B$19+KFC!$C$19)*KFC!$C$5</f>
        <v>44.47</v>
      </c>
      <c r="H81" s="932">
        <f>(AD81*KFC!$B$19+KFC!$C$19)*KFC!$C$5</f>
        <v>48.22</v>
      </c>
      <c r="I81" s="932">
        <f>(AE81*KFC!$B$19+KFC!$C$19)*KFC!$C$5</f>
        <v>50.08</v>
      </c>
      <c r="J81" s="932">
        <f>(AF81*KFC!$B$19+KFC!$C$19)*KFC!$C$5</f>
        <v>54.61</v>
      </c>
      <c r="K81" s="932">
        <f>(AG81*KFC!$B$19+KFC!$C$19)*KFC!$C$5</f>
        <v>57.25</v>
      </c>
      <c r="L81" s="932">
        <f>(AH81*KFC!$B$19+KFC!$C$19)*KFC!$C$5</f>
        <v>60.22</v>
      </c>
      <c r="M81" s="932">
        <f>(AI81*KFC!$B$19+KFC!$C$19)*KFC!$C$5</f>
        <v>65.92</v>
      </c>
      <c r="N81" s="932">
        <f>(AJ81*KFC!$B$19+KFC!$C$19)*KFC!$C$5</f>
        <v>67.58</v>
      </c>
      <c r="O81" s="932">
        <f>(AK81*KFC!$B$19+KFC!$C$19)*KFC!$C$5</f>
        <v>72.180000000000007</v>
      </c>
      <c r="P81" s="932">
        <f>(AL81*KFC!$B$19+KFC!$C$19)*KFC!$C$5</f>
        <v>75.08</v>
      </c>
      <c r="Q81" s="932">
        <f>(AM81*KFC!$B$19+KFC!$C$19)*KFC!$C$5</f>
        <v>78.83</v>
      </c>
      <c r="R81" s="932">
        <f>(AN81*KFC!$B$19+KFC!$C$19)*KFC!$C$5</f>
        <v>82.58</v>
      </c>
      <c r="S81" s="932">
        <f>(AO81*KFC!$B$19+KFC!$C$19)*KFC!$C$5</f>
        <v>87.24</v>
      </c>
      <c r="T81" s="932">
        <f>(AP81*KFC!$B$19+KFC!$C$19)*KFC!$C$5</f>
        <v>91.9</v>
      </c>
      <c r="U81" s="933">
        <f>(AQ81*KFC!$B$19+KFC!$C$19)*KFC!$C$5</f>
        <v>96.56</v>
      </c>
      <c r="V81" s="928"/>
      <c r="X81" s="923">
        <v>3.3</v>
      </c>
      <c r="Y81" s="929">
        <v>30.52</v>
      </c>
      <c r="Z81" s="929">
        <v>33.159999999999997</v>
      </c>
      <c r="AA81" s="929">
        <v>36.97</v>
      </c>
      <c r="AB81" s="929">
        <v>38.700000000000003</v>
      </c>
      <c r="AC81" s="929">
        <v>44.47</v>
      </c>
      <c r="AD81" s="929">
        <v>48.22</v>
      </c>
      <c r="AE81" s="929">
        <v>50.08</v>
      </c>
      <c r="AF81" s="929">
        <v>54.61</v>
      </c>
      <c r="AG81" s="929">
        <v>57.25</v>
      </c>
      <c r="AH81" s="929">
        <v>60.22</v>
      </c>
      <c r="AI81" s="929">
        <v>65.92</v>
      </c>
      <c r="AJ81" s="929">
        <v>67.58</v>
      </c>
      <c r="AK81" s="929">
        <v>72.180000000000007</v>
      </c>
      <c r="AL81" s="929">
        <v>75.08</v>
      </c>
      <c r="AM81" s="929">
        <v>78.83</v>
      </c>
      <c r="AN81" s="929">
        <v>82.58</v>
      </c>
      <c r="AO81" s="929">
        <v>87.24</v>
      </c>
      <c r="AP81" s="929">
        <v>91.9</v>
      </c>
      <c r="AQ81" s="929">
        <v>96.56</v>
      </c>
      <c r="AR81" s="929">
        <v>101.22</v>
      </c>
    </row>
    <row r="82" spans="1:44">
      <c r="A82" s="1538"/>
      <c r="B82" s="930">
        <v>3.4</v>
      </c>
      <c r="C82" s="931">
        <f>(Y82*KFC!$B$19+KFC!$C$19)*KFC!$C$5</f>
        <v>30.92</v>
      </c>
      <c r="D82" s="932">
        <f>(Z82*KFC!$B$19+KFC!$C$19)*KFC!$C$5</f>
        <v>33.56</v>
      </c>
      <c r="E82" s="932">
        <f>(AA82*KFC!$B$19+KFC!$C$19)*KFC!$C$5</f>
        <v>37.5</v>
      </c>
      <c r="F82" s="932">
        <f>(AB82*KFC!$B$19+KFC!$C$19)*KFC!$C$5</f>
        <v>39.1</v>
      </c>
      <c r="G82" s="932">
        <f>(AC82*KFC!$B$19+KFC!$C$19)*KFC!$C$5</f>
        <v>45.26</v>
      </c>
      <c r="H82" s="932">
        <f>(AD82*KFC!$B$19+KFC!$C$19)*KFC!$C$5</f>
        <v>49.15</v>
      </c>
      <c r="I82" s="932">
        <f>(AE82*KFC!$B$19+KFC!$C$19)*KFC!$C$5</f>
        <v>50.88</v>
      </c>
      <c r="J82" s="932">
        <f>(AF82*KFC!$B$19+KFC!$C$19)*KFC!$C$5</f>
        <v>55.66</v>
      </c>
      <c r="K82" s="932">
        <f>(AG82*KFC!$B$19+KFC!$C$19)*KFC!$C$5</f>
        <v>58.3</v>
      </c>
      <c r="L82" s="932">
        <f>(AH82*KFC!$B$19+KFC!$C$19)*KFC!$C$5</f>
        <v>61.28</v>
      </c>
      <c r="M82" s="932">
        <f>(AI82*KFC!$B$19+KFC!$C$19)*KFC!$C$5</f>
        <v>67.38</v>
      </c>
      <c r="N82" s="932">
        <f>(AJ82*KFC!$B$19+KFC!$C$19)*KFC!$C$5</f>
        <v>68.900000000000006</v>
      </c>
      <c r="O82" s="932">
        <f>(AK82*KFC!$B$19+KFC!$C$19)*KFC!$C$5</f>
        <v>73.760000000000005</v>
      </c>
      <c r="P82" s="932">
        <f>(AL82*KFC!$B$19+KFC!$C$19)*KFC!$C$5</f>
        <v>76.66</v>
      </c>
      <c r="Q82" s="932">
        <f>(AM82*KFC!$B$19+KFC!$C$19)*KFC!$C$5</f>
        <v>80.55</v>
      </c>
      <c r="R82" s="932">
        <f>(AN82*KFC!$B$19+KFC!$C$19)*KFC!$C$5</f>
        <v>84.42</v>
      </c>
      <c r="S82" s="932">
        <f>(AO82*KFC!$B$19+KFC!$C$19)*KFC!$C$5</f>
        <v>89.35</v>
      </c>
      <c r="T82" s="932">
        <f>(AP82*KFC!$B$19+KFC!$C$19)*KFC!$C$5</f>
        <v>94.28</v>
      </c>
      <c r="U82" s="933">
        <f>(AQ82*KFC!$B$19+KFC!$C$19)*KFC!$C$5</f>
        <v>99.21</v>
      </c>
      <c r="V82" s="928"/>
      <c r="X82" s="923">
        <v>3.4</v>
      </c>
      <c r="Y82" s="929">
        <v>30.92</v>
      </c>
      <c r="Z82" s="929">
        <v>33.56</v>
      </c>
      <c r="AA82" s="929">
        <v>37.5</v>
      </c>
      <c r="AB82" s="929">
        <v>39.1</v>
      </c>
      <c r="AC82" s="929">
        <v>45.26</v>
      </c>
      <c r="AD82" s="929">
        <v>49.15</v>
      </c>
      <c r="AE82" s="929">
        <v>50.88</v>
      </c>
      <c r="AF82" s="929">
        <v>55.66</v>
      </c>
      <c r="AG82" s="929">
        <v>58.3</v>
      </c>
      <c r="AH82" s="929">
        <v>61.28</v>
      </c>
      <c r="AI82" s="929">
        <v>67.38</v>
      </c>
      <c r="AJ82" s="929">
        <v>68.900000000000006</v>
      </c>
      <c r="AK82" s="929">
        <v>73.760000000000005</v>
      </c>
      <c r="AL82" s="929">
        <v>76.66</v>
      </c>
      <c r="AM82" s="929">
        <v>80.55</v>
      </c>
      <c r="AN82" s="929">
        <v>84.42</v>
      </c>
      <c r="AO82" s="929">
        <v>89.35</v>
      </c>
      <c r="AP82" s="929">
        <v>94.28</v>
      </c>
      <c r="AQ82" s="929">
        <v>99.21</v>
      </c>
      <c r="AR82" s="929">
        <v>104.14</v>
      </c>
    </row>
    <row r="83" spans="1:44" ht="13.8" thickBot="1">
      <c r="A83" s="1539"/>
      <c r="B83" s="934">
        <v>3.5</v>
      </c>
      <c r="C83" s="935">
        <f>(Y83*KFC!$B$19+KFC!$C$19)*KFC!$C$5</f>
        <v>31.32</v>
      </c>
      <c r="D83" s="936">
        <f>(Z83*KFC!$B$19+KFC!$C$19)*KFC!$C$5</f>
        <v>33.96</v>
      </c>
      <c r="E83" s="936">
        <f>(AA83*KFC!$B$19+KFC!$C$19)*KFC!$C$5</f>
        <v>38.03</v>
      </c>
      <c r="F83" s="936">
        <f>(AB83*KFC!$B$19+KFC!$C$19)*KFC!$C$5</f>
        <v>39.5</v>
      </c>
      <c r="G83" s="936">
        <f>(AC83*KFC!$B$19+KFC!$C$19)*KFC!$C$5</f>
        <v>46.05</v>
      </c>
      <c r="H83" s="936">
        <f>(AD83*KFC!$B$19+KFC!$C$19)*KFC!$C$5</f>
        <v>50.08</v>
      </c>
      <c r="I83" s="936">
        <f>(AE83*KFC!$B$19+KFC!$C$19)*KFC!$C$5</f>
        <v>51.68</v>
      </c>
      <c r="J83" s="936">
        <f>(AF83*KFC!$B$19+KFC!$C$19)*KFC!$C$5</f>
        <v>56.71</v>
      </c>
      <c r="K83" s="936">
        <f>(AG83*KFC!$B$19+KFC!$C$19)*KFC!$C$5</f>
        <v>59.35</v>
      </c>
      <c r="L83" s="936">
        <f>(AH83*KFC!$B$19+KFC!$C$19)*KFC!$C$5</f>
        <v>62.34</v>
      </c>
      <c r="M83" s="936">
        <f>(AI83*KFC!$B$19+KFC!$C$19)*KFC!$C$5</f>
        <v>68.84</v>
      </c>
      <c r="N83" s="936">
        <f>(AJ83*KFC!$B$19+KFC!$C$19)*KFC!$C$5</f>
        <v>70.22</v>
      </c>
      <c r="O83" s="936">
        <f>(AK83*KFC!$B$19+KFC!$C$19)*KFC!$C$5</f>
        <v>75.34</v>
      </c>
      <c r="P83" s="936">
        <f>(AL83*KFC!$B$19+KFC!$C$19)*KFC!$C$5</f>
        <v>78.239999999999995</v>
      </c>
      <c r="Q83" s="936">
        <f>(AM83*KFC!$B$19+KFC!$C$19)*KFC!$C$5</f>
        <v>82.27</v>
      </c>
      <c r="R83" s="936">
        <f>(AN83*KFC!$B$19+KFC!$C$19)*KFC!$C$5</f>
        <v>86.26</v>
      </c>
      <c r="S83" s="936">
        <f>(AO83*KFC!$B$19+KFC!$C$19)*KFC!$C$5</f>
        <v>91.46</v>
      </c>
      <c r="T83" s="936">
        <f>(AP83*KFC!$B$19+KFC!$C$19)*KFC!$C$5</f>
        <v>96.66</v>
      </c>
      <c r="U83" s="937">
        <f>(AQ83*KFC!$B$19+KFC!$C$19)*KFC!$C$5</f>
        <v>101.86</v>
      </c>
      <c r="V83" s="928"/>
      <c r="X83" s="923">
        <v>3.5</v>
      </c>
      <c r="Y83" s="929">
        <v>31.32</v>
      </c>
      <c r="Z83" s="929">
        <v>33.96</v>
      </c>
      <c r="AA83" s="929">
        <v>38.03</v>
      </c>
      <c r="AB83" s="929">
        <v>39.5</v>
      </c>
      <c r="AC83" s="929">
        <v>46.05</v>
      </c>
      <c r="AD83" s="929">
        <v>50.08</v>
      </c>
      <c r="AE83" s="929">
        <v>51.68</v>
      </c>
      <c r="AF83" s="929">
        <v>56.71</v>
      </c>
      <c r="AG83" s="929">
        <v>59.35</v>
      </c>
      <c r="AH83" s="929">
        <v>62.34</v>
      </c>
      <c r="AI83" s="929">
        <v>68.84</v>
      </c>
      <c r="AJ83" s="929">
        <v>70.22</v>
      </c>
      <c r="AK83" s="929">
        <v>75.34</v>
      </c>
      <c r="AL83" s="929">
        <v>78.239999999999995</v>
      </c>
      <c r="AM83" s="929">
        <v>82.27</v>
      </c>
      <c r="AN83" s="929">
        <v>86.26</v>
      </c>
      <c r="AO83" s="929">
        <v>91.46</v>
      </c>
      <c r="AP83" s="929">
        <v>96.66</v>
      </c>
      <c r="AQ83" s="929">
        <v>101.86</v>
      </c>
      <c r="AR83" s="929">
        <v>107.06</v>
      </c>
    </row>
    <row r="84" spans="1:44" hidden="1">
      <c r="A84" s="938"/>
      <c r="B84" s="921"/>
      <c r="C84" s="928"/>
      <c r="D84" s="928"/>
      <c r="E84" s="928"/>
      <c r="F84" s="928"/>
      <c r="G84" s="928"/>
      <c r="H84" s="928"/>
      <c r="I84" s="928"/>
      <c r="J84" s="928"/>
      <c r="K84" s="928"/>
      <c r="L84" s="928"/>
      <c r="M84" s="928"/>
      <c r="N84" s="928"/>
      <c r="O84" s="928"/>
      <c r="P84" s="928"/>
      <c r="Q84" s="928"/>
      <c r="R84" s="928"/>
      <c r="S84" s="928"/>
      <c r="T84" s="928"/>
      <c r="U84" s="928"/>
      <c r="V84" s="928"/>
      <c r="X84" s="923">
        <v>3.6</v>
      </c>
      <c r="Y84" s="929">
        <v>31.72</v>
      </c>
      <c r="Z84" s="929">
        <v>34.36</v>
      </c>
      <c r="AA84" s="929">
        <v>38.56</v>
      </c>
      <c r="AB84" s="929">
        <v>39.9</v>
      </c>
      <c r="AC84" s="929">
        <v>46.84</v>
      </c>
      <c r="AD84" s="929">
        <v>51.01</v>
      </c>
      <c r="AE84" s="929">
        <v>52.48</v>
      </c>
      <c r="AF84" s="929">
        <v>57.76</v>
      </c>
      <c r="AG84" s="929">
        <v>60.4</v>
      </c>
      <c r="AH84" s="929">
        <v>63.4</v>
      </c>
      <c r="AI84" s="929">
        <v>70.3</v>
      </c>
      <c r="AJ84" s="929">
        <v>71.540000000000006</v>
      </c>
      <c r="AK84" s="929">
        <v>76.92</v>
      </c>
      <c r="AL84" s="929">
        <v>79.819999999999993</v>
      </c>
      <c r="AM84" s="929">
        <v>83.99</v>
      </c>
      <c r="AN84" s="929">
        <v>88.1</v>
      </c>
      <c r="AO84" s="929">
        <v>93.57</v>
      </c>
      <c r="AP84" s="929">
        <v>99.04</v>
      </c>
      <c r="AQ84" s="929">
        <v>104.51</v>
      </c>
      <c r="AR84" s="929">
        <v>109.98</v>
      </c>
    </row>
    <row r="85" spans="1:44" hidden="1">
      <c r="A85" s="938"/>
      <c r="B85" s="921"/>
      <c r="C85" s="928"/>
      <c r="D85" s="928"/>
      <c r="E85" s="928"/>
      <c r="F85" s="928"/>
      <c r="G85" s="928"/>
      <c r="H85" s="928"/>
      <c r="I85" s="928"/>
      <c r="J85" s="928"/>
      <c r="K85" s="928"/>
      <c r="L85" s="928"/>
      <c r="M85" s="928"/>
      <c r="N85" s="928"/>
      <c r="O85" s="928"/>
      <c r="P85" s="928"/>
      <c r="Q85" s="928"/>
      <c r="R85" s="928"/>
      <c r="S85" s="928"/>
      <c r="T85" s="928"/>
      <c r="U85" s="928"/>
      <c r="V85" s="928"/>
      <c r="X85" s="923">
        <v>3.7</v>
      </c>
      <c r="Y85" s="929">
        <v>32.119999999999997</v>
      </c>
      <c r="Z85" s="929">
        <v>34.76</v>
      </c>
      <c r="AA85" s="929">
        <v>39.090000000000003</v>
      </c>
      <c r="AB85" s="929">
        <v>40.299999999999997</v>
      </c>
      <c r="AC85" s="929">
        <v>47.63</v>
      </c>
      <c r="AD85" s="929">
        <v>51.94</v>
      </c>
      <c r="AE85" s="929">
        <v>53.28</v>
      </c>
      <c r="AF85" s="929">
        <v>58.81</v>
      </c>
      <c r="AG85" s="929">
        <v>61.45</v>
      </c>
      <c r="AH85" s="929">
        <v>64.459999999999994</v>
      </c>
      <c r="AI85" s="929">
        <v>71.760000000000005</v>
      </c>
      <c r="AJ85" s="929">
        <v>72.86</v>
      </c>
      <c r="AK85" s="929">
        <v>78.5</v>
      </c>
      <c r="AL85" s="929">
        <v>81.400000000000006</v>
      </c>
      <c r="AM85" s="929">
        <v>85.71</v>
      </c>
      <c r="AN85" s="929">
        <v>89.94</v>
      </c>
      <c r="AO85" s="929">
        <v>95.68</v>
      </c>
      <c r="AP85" s="929">
        <v>101.42</v>
      </c>
      <c r="AQ85" s="929">
        <v>107.16</v>
      </c>
      <c r="AR85" s="929">
        <v>112.9</v>
      </c>
    </row>
    <row r="86" spans="1:44" hidden="1">
      <c r="A86" s="938"/>
      <c r="B86" s="921"/>
      <c r="C86" s="928"/>
      <c r="D86" s="928"/>
      <c r="E86" s="928"/>
      <c r="F86" s="928"/>
      <c r="G86" s="928"/>
      <c r="H86" s="928"/>
      <c r="I86" s="928"/>
      <c r="J86" s="928"/>
      <c r="K86" s="928"/>
      <c r="L86" s="928"/>
      <c r="M86" s="928"/>
      <c r="N86" s="928"/>
      <c r="O86" s="928"/>
      <c r="P86" s="928"/>
      <c r="Q86" s="928"/>
      <c r="R86" s="928"/>
      <c r="S86" s="928"/>
      <c r="T86" s="928"/>
      <c r="U86" s="928"/>
      <c r="V86" s="928"/>
      <c r="X86" s="923">
        <v>3.8</v>
      </c>
      <c r="Y86" s="929">
        <v>32.520000000000003</v>
      </c>
      <c r="Z86" s="929">
        <v>35.159999999999997</v>
      </c>
      <c r="AA86" s="929">
        <v>39.619999999999997</v>
      </c>
      <c r="AB86" s="929">
        <v>40.700000000000003</v>
      </c>
      <c r="AC86" s="929">
        <v>48.42</v>
      </c>
      <c r="AD86" s="929">
        <v>52.87</v>
      </c>
      <c r="AE86" s="929">
        <v>54.08</v>
      </c>
      <c r="AF86" s="929">
        <v>59.86</v>
      </c>
      <c r="AG86" s="929">
        <v>62.5</v>
      </c>
      <c r="AH86" s="929">
        <v>65.52</v>
      </c>
      <c r="AI86" s="929">
        <v>73.22</v>
      </c>
      <c r="AJ86" s="929">
        <v>74.180000000000007</v>
      </c>
      <c r="AK86" s="929">
        <v>80.08</v>
      </c>
      <c r="AL86" s="929">
        <v>82.98</v>
      </c>
      <c r="AM86" s="929">
        <v>87.43</v>
      </c>
      <c r="AN86" s="929">
        <v>91.78</v>
      </c>
      <c r="AO86" s="929">
        <v>97.79</v>
      </c>
      <c r="AP86" s="929">
        <v>103.8</v>
      </c>
      <c r="AQ86" s="929">
        <v>109.81</v>
      </c>
      <c r="AR86" s="929">
        <v>115.82</v>
      </c>
    </row>
    <row r="87" spans="1:44" hidden="1">
      <c r="A87" s="938"/>
      <c r="B87" s="921"/>
      <c r="C87" s="928"/>
      <c r="D87" s="928"/>
      <c r="E87" s="928"/>
      <c r="F87" s="928"/>
      <c r="G87" s="928"/>
      <c r="H87" s="928"/>
      <c r="I87" s="928"/>
      <c r="J87" s="928"/>
      <c r="K87" s="928"/>
      <c r="L87" s="928"/>
      <c r="M87" s="928"/>
      <c r="N87" s="928"/>
      <c r="O87" s="928"/>
      <c r="P87" s="928"/>
      <c r="Q87" s="928"/>
      <c r="R87" s="928"/>
      <c r="S87" s="928"/>
      <c r="T87" s="928"/>
      <c r="U87" s="928"/>
      <c r="V87" s="928"/>
      <c r="X87" s="923">
        <v>3.9</v>
      </c>
      <c r="Y87" s="929">
        <v>32.92</v>
      </c>
      <c r="Z87" s="929">
        <v>35.56</v>
      </c>
      <c r="AA87" s="929">
        <v>40.15</v>
      </c>
      <c r="AB87" s="929">
        <v>41.1</v>
      </c>
      <c r="AC87" s="929">
        <v>49.21</v>
      </c>
      <c r="AD87" s="929">
        <v>53.8</v>
      </c>
      <c r="AE87" s="929">
        <v>54.88</v>
      </c>
      <c r="AF87" s="929">
        <v>60.91</v>
      </c>
      <c r="AG87" s="929">
        <v>63.55</v>
      </c>
      <c r="AH87" s="929">
        <v>66.58</v>
      </c>
      <c r="AI87" s="929">
        <v>74.680000000000007</v>
      </c>
      <c r="AJ87" s="929">
        <v>75.5</v>
      </c>
      <c r="AK87" s="929">
        <v>81.66</v>
      </c>
      <c r="AL87" s="929">
        <v>84.56</v>
      </c>
      <c r="AM87" s="929">
        <v>89.15</v>
      </c>
      <c r="AN87" s="929">
        <v>93.62</v>
      </c>
      <c r="AO87" s="929">
        <v>99.9</v>
      </c>
      <c r="AP87" s="929">
        <v>106.18</v>
      </c>
      <c r="AQ87" s="929">
        <v>112.46</v>
      </c>
      <c r="AR87" s="929">
        <v>118.74</v>
      </c>
    </row>
    <row r="88" spans="1:44" hidden="1">
      <c r="A88" s="938"/>
      <c r="B88" s="921"/>
      <c r="C88" s="928"/>
      <c r="D88" s="928"/>
      <c r="E88" s="928"/>
      <c r="F88" s="928"/>
      <c r="G88" s="928"/>
      <c r="H88" s="928"/>
      <c r="I88" s="928"/>
      <c r="J88" s="928"/>
      <c r="K88" s="928"/>
      <c r="L88" s="928"/>
      <c r="M88" s="928"/>
      <c r="N88" s="928"/>
      <c r="O88" s="928"/>
      <c r="P88" s="928"/>
      <c r="Q88" s="928"/>
      <c r="R88" s="928"/>
      <c r="S88" s="928"/>
      <c r="T88" s="928"/>
      <c r="U88" s="928"/>
      <c r="V88" s="928"/>
      <c r="X88" s="923">
        <v>4</v>
      </c>
      <c r="Y88" s="929">
        <v>33.32</v>
      </c>
      <c r="Z88" s="929">
        <v>35.96</v>
      </c>
      <c r="AA88" s="929">
        <v>40.68</v>
      </c>
      <c r="AB88" s="929">
        <v>41.5</v>
      </c>
      <c r="AC88" s="929">
        <v>50</v>
      </c>
      <c r="AD88" s="929">
        <v>54.73</v>
      </c>
      <c r="AE88" s="929">
        <v>55.68</v>
      </c>
      <c r="AF88" s="929">
        <v>61.96</v>
      </c>
      <c r="AG88" s="929">
        <v>64.599999999999994</v>
      </c>
      <c r="AH88" s="929">
        <v>67.64</v>
      </c>
      <c r="AI88" s="929">
        <v>76.14</v>
      </c>
      <c r="AJ88" s="929">
        <v>76.819999999999993</v>
      </c>
      <c r="AK88" s="929">
        <v>83.24</v>
      </c>
      <c r="AL88" s="929">
        <v>86.14</v>
      </c>
      <c r="AM88" s="929">
        <v>90.87</v>
      </c>
      <c r="AN88" s="929">
        <v>95.46</v>
      </c>
      <c r="AO88" s="929">
        <v>102.01</v>
      </c>
      <c r="AP88" s="929">
        <v>108.56</v>
      </c>
      <c r="AQ88" s="929">
        <v>115.11</v>
      </c>
      <c r="AR88" s="929">
        <v>121.66</v>
      </c>
    </row>
    <row r="89" spans="1:44" hidden="1">
      <c r="B89" s="921"/>
      <c r="C89" s="928"/>
      <c r="D89" s="928"/>
      <c r="E89" s="928"/>
      <c r="F89" s="928"/>
      <c r="G89" s="928"/>
      <c r="H89" s="928"/>
      <c r="I89" s="928"/>
      <c r="J89" s="928"/>
      <c r="K89" s="928"/>
      <c r="L89" s="928"/>
      <c r="M89" s="928"/>
      <c r="N89" s="928"/>
      <c r="O89" s="928"/>
      <c r="P89" s="928"/>
      <c r="Q89" s="928"/>
      <c r="R89" s="928"/>
      <c r="S89" s="928"/>
      <c r="T89" s="928"/>
      <c r="U89" s="928"/>
      <c r="V89" s="928"/>
      <c r="X89" s="923">
        <v>4.0999999999999996</v>
      </c>
      <c r="Y89" s="929">
        <v>33.72</v>
      </c>
      <c r="Z89" s="929">
        <v>36.36</v>
      </c>
      <c r="AA89" s="929">
        <v>41.21</v>
      </c>
      <c r="AB89" s="929">
        <v>41.9</v>
      </c>
      <c r="AC89" s="929">
        <v>50.79</v>
      </c>
      <c r="AD89" s="929">
        <v>55.66</v>
      </c>
      <c r="AE89" s="929">
        <v>56.48</v>
      </c>
      <c r="AF89" s="929">
        <v>63.01</v>
      </c>
      <c r="AG89" s="929">
        <v>65.650000000000006</v>
      </c>
      <c r="AH89" s="929">
        <v>68.7</v>
      </c>
      <c r="AI89" s="929">
        <v>77.599999999999994</v>
      </c>
      <c r="AJ89" s="929">
        <v>78.14</v>
      </c>
      <c r="AK89" s="929">
        <v>84.82</v>
      </c>
      <c r="AL89" s="929">
        <v>87.72</v>
      </c>
      <c r="AM89" s="929">
        <v>92.59</v>
      </c>
      <c r="AN89" s="929">
        <v>97.3</v>
      </c>
      <c r="AO89" s="929">
        <v>104.12</v>
      </c>
      <c r="AP89" s="929">
        <v>110.94</v>
      </c>
      <c r="AQ89" s="929">
        <v>117.76</v>
      </c>
      <c r="AR89" s="929">
        <v>124.58</v>
      </c>
    </row>
    <row r="90" spans="1:44" hidden="1">
      <c r="B90" s="921"/>
      <c r="C90" s="928"/>
      <c r="D90" s="928"/>
      <c r="E90" s="928"/>
      <c r="F90" s="928"/>
      <c r="G90" s="928"/>
      <c r="H90" s="928"/>
      <c r="I90" s="928"/>
      <c r="J90" s="928"/>
      <c r="K90" s="928"/>
      <c r="L90" s="928"/>
      <c r="M90" s="928"/>
      <c r="N90" s="928"/>
      <c r="O90" s="928"/>
      <c r="P90" s="928"/>
      <c r="Q90" s="928"/>
      <c r="R90" s="928"/>
      <c r="S90" s="928"/>
      <c r="T90" s="928"/>
      <c r="U90" s="928"/>
      <c r="V90" s="928"/>
      <c r="X90" s="923">
        <v>4.2</v>
      </c>
      <c r="Y90" s="929">
        <v>34.119999999999997</v>
      </c>
      <c r="Z90" s="929">
        <v>36.76</v>
      </c>
      <c r="AA90" s="929">
        <v>41.74</v>
      </c>
      <c r="AB90" s="929">
        <v>42.3</v>
      </c>
      <c r="AC90" s="929">
        <v>51.58</v>
      </c>
      <c r="AD90" s="929">
        <v>56.59</v>
      </c>
      <c r="AE90" s="929">
        <v>57.28</v>
      </c>
      <c r="AF90" s="929">
        <v>64.06</v>
      </c>
      <c r="AG90" s="929">
        <v>66.7</v>
      </c>
      <c r="AH90" s="929">
        <v>69.760000000000005</v>
      </c>
      <c r="AI90" s="929">
        <v>79.06</v>
      </c>
      <c r="AJ90" s="929">
        <v>79.459999999999994</v>
      </c>
      <c r="AK90" s="929">
        <v>86.4</v>
      </c>
      <c r="AL90" s="929">
        <v>89.3</v>
      </c>
      <c r="AM90" s="929">
        <v>94.31</v>
      </c>
      <c r="AN90" s="929">
        <v>99.14</v>
      </c>
      <c r="AO90" s="929">
        <v>106.23</v>
      </c>
      <c r="AP90" s="929">
        <v>113.32</v>
      </c>
      <c r="AQ90" s="929">
        <v>120.41</v>
      </c>
      <c r="AR90" s="929">
        <v>127.5</v>
      </c>
    </row>
    <row r="91" spans="1:44" hidden="1">
      <c r="B91" s="921"/>
      <c r="C91" s="928"/>
      <c r="D91" s="928"/>
      <c r="E91" s="928"/>
      <c r="F91" s="928"/>
      <c r="G91" s="928"/>
      <c r="H91" s="928"/>
      <c r="I91" s="928"/>
      <c r="J91" s="928"/>
      <c r="K91" s="928"/>
      <c r="L91" s="928"/>
      <c r="M91" s="928"/>
      <c r="N91" s="928"/>
      <c r="O91" s="928"/>
      <c r="P91" s="928"/>
      <c r="Q91" s="928"/>
      <c r="R91" s="928"/>
      <c r="S91" s="928"/>
      <c r="T91" s="928"/>
      <c r="U91" s="928"/>
      <c r="V91" s="928"/>
      <c r="X91" s="923">
        <v>4.3</v>
      </c>
      <c r="Y91" s="929">
        <v>34.520000000000003</v>
      </c>
      <c r="Z91" s="929">
        <v>37.159999999999997</v>
      </c>
      <c r="AA91" s="929">
        <v>42.27</v>
      </c>
      <c r="AB91" s="929">
        <v>42.7</v>
      </c>
      <c r="AC91" s="929">
        <v>52.37</v>
      </c>
      <c r="AD91" s="929">
        <v>57.52</v>
      </c>
      <c r="AE91" s="929">
        <v>58.08</v>
      </c>
      <c r="AF91" s="929">
        <v>65.11</v>
      </c>
      <c r="AG91" s="929">
        <v>67.75</v>
      </c>
      <c r="AH91" s="929">
        <v>70.819999999999993</v>
      </c>
      <c r="AI91" s="929">
        <v>80.52</v>
      </c>
      <c r="AJ91" s="929">
        <v>80.78</v>
      </c>
      <c r="AK91" s="929">
        <v>87.98</v>
      </c>
      <c r="AL91" s="929">
        <v>90.88</v>
      </c>
      <c r="AM91" s="929">
        <v>96.03</v>
      </c>
      <c r="AN91" s="929">
        <v>100.98</v>
      </c>
      <c r="AO91" s="929">
        <v>108.34</v>
      </c>
      <c r="AP91" s="929">
        <v>115.7</v>
      </c>
      <c r="AQ91" s="929">
        <v>123.06</v>
      </c>
      <c r="AR91" s="929">
        <v>130.41999999999999</v>
      </c>
    </row>
    <row r="92" spans="1:44" hidden="1">
      <c r="B92" s="921"/>
      <c r="C92" s="928"/>
      <c r="D92" s="928"/>
      <c r="E92" s="928"/>
      <c r="F92" s="928"/>
      <c r="G92" s="928"/>
      <c r="H92" s="928"/>
      <c r="I92" s="928"/>
      <c r="J92" s="928"/>
      <c r="K92" s="928"/>
      <c r="L92" s="928"/>
      <c r="M92" s="928"/>
      <c r="N92" s="928"/>
      <c r="O92" s="928"/>
      <c r="P92" s="928"/>
      <c r="Q92" s="928"/>
      <c r="R92" s="928"/>
      <c r="S92" s="928"/>
      <c r="T92" s="928"/>
      <c r="U92" s="928"/>
      <c r="V92" s="928"/>
      <c r="X92" s="923">
        <v>4.4000000000000004</v>
      </c>
      <c r="Y92" s="929">
        <v>34.92</v>
      </c>
      <c r="Z92" s="929">
        <v>37.56</v>
      </c>
      <c r="AA92" s="929">
        <v>42.8</v>
      </c>
      <c r="AB92" s="929">
        <v>43.1</v>
      </c>
      <c r="AC92" s="929">
        <v>53.16</v>
      </c>
      <c r="AD92" s="929">
        <v>58.45</v>
      </c>
      <c r="AE92" s="929">
        <v>58.88</v>
      </c>
      <c r="AF92" s="929">
        <v>66.16</v>
      </c>
      <c r="AG92" s="929">
        <v>68.8</v>
      </c>
      <c r="AH92" s="929">
        <v>71.88</v>
      </c>
      <c r="AI92" s="929">
        <v>81.98</v>
      </c>
      <c r="AJ92" s="929">
        <v>82.1</v>
      </c>
      <c r="AK92" s="929">
        <v>89.56</v>
      </c>
      <c r="AL92" s="929">
        <v>92.46</v>
      </c>
      <c r="AM92" s="929">
        <v>97.75</v>
      </c>
      <c r="AN92" s="929">
        <v>102.82</v>
      </c>
      <c r="AO92" s="929">
        <v>110.45</v>
      </c>
      <c r="AP92" s="929">
        <v>118.08</v>
      </c>
      <c r="AQ92" s="929">
        <v>125.71</v>
      </c>
      <c r="AR92" s="929">
        <v>133.34</v>
      </c>
    </row>
    <row r="93" spans="1:44" hidden="1">
      <c r="B93" s="921"/>
      <c r="C93" s="928"/>
      <c r="D93" s="928"/>
      <c r="E93" s="928"/>
      <c r="F93" s="928"/>
      <c r="G93" s="928"/>
      <c r="H93" s="928"/>
      <c r="I93" s="928"/>
      <c r="J93" s="928"/>
      <c r="K93" s="928"/>
      <c r="L93" s="928"/>
      <c r="M93" s="928"/>
      <c r="N93" s="928"/>
      <c r="O93" s="928"/>
      <c r="P93" s="928"/>
      <c r="Q93" s="928"/>
      <c r="R93" s="928"/>
      <c r="S93" s="928"/>
      <c r="T93" s="928"/>
      <c r="U93" s="928"/>
      <c r="V93" s="928"/>
      <c r="X93" s="923">
        <v>4.5</v>
      </c>
      <c r="Y93" s="929">
        <v>35.32</v>
      </c>
      <c r="Z93" s="929">
        <v>37.96</v>
      </c>
      <c r="AA93" s="929">
        <v>43.33</v>
      </c>
      <c r="AB93" s="929">
        <v>43.5</v>
      </c>
      <c r="AC93" s="929">
        <v>53.95</v>
      </c>
      <c r="AD93" s="929">
        <v>59.38</v>
      </c>
      <c r="AE93" s="929">
        <v>59.68</v>
      </c>
      <c r="AF93" s="929">
        <v>67.209999999999994</v>
      </c>
      <c r="AG93" s="929">
        <v>69.849999999999994</v>
      </c>
      <c r="AH93" s="929">
        <v>72.94</v>
      </c>
      <c r="AI93" s="929">
        <v>83.44</v>
      </c>
      <c r="AJ93" s="929">
        <v>83.42</v>
      </c>
      <c r="AK93" s="929">
        <v>91.14</v>
      </c>
      <c r="AL93" s="929">
        <v>94.04</v>
      </c>
      <c r="AM93" s="929">
        <v>99.47</v>
      </c>
      <c r="AN93" s="929">
        <v>104.66</v>
      </c>
      <c r="AO93" s="929">
        <v>112.56</v>
      </c>
      <c r="AP93" s="929">
        <v>120.46</v>
      </c>
      <c r="AQ93" s="929">
        <v>128.36000000000001</v>
      </c>
      <c r="AR93" s="929">
        <v>136.26</v>
      </c>
    </row>
    <row r="94" spans="1:44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</row>
    <row r="95" spans="1:44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</row>
    <row r="96" spans="1:44" ht="13.8" thickBot="1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</row>
    <row r="97" spans="1:44" ht="13.8" thickBot="1">
      <c r="A97" s="1413" t="s">
        <v>315</v>
      </c>
      <c r="B97" s="1542"/>
      <c r="C97" s="1534" t="s">
        <v>207</v>
      </c>
      <c r="D97" s="1535"/>
      <c r="E97" s="1535"/>
      <c r="F97" s="1535"/>
      <c r="G97" s="1535"/>
      <c r="H97" s="1535"/>
      <c r="I97" s="1535"/>
      <c r="J97" s="1535"/>
      <c r="K97" s="1535"/>
      <c r="L97" s="1535"/>
      <c r="M97" s="1535"/>
      <c r="N97" s="1535"/>
      <c r="O97" s="1535"/>
      <c r="P97" s="1535"/>
      <c r="Q97" s="1535"/>
      <c r="R97" s="1535"/>
      <c r="S97" s="1535"/>
      <c r="T97" s="1535"/>
      <c r="U97" s="1536"/>
      <c r="V97" s="700"/>
    </row>
    <row r="98" spans="1:44" ht="13.8" thickBot="1">
      <c r="A98" s="1543"/>
      <c r="B98" s="1570"/>
      <c r="C98" s="939">
        <v>0.4</v>
      </c>
      <c r="D98" s="940">
        <v>0.5</v>
      </c>
      <c r="E98" s="940">
        <v>0.6</v>
      </c>
      <c r="F98" s="940">
        <v>0.7</v>
      </c>
      <c r="G98" s="940">
        <v>0.8</v>
      </c>
      <c r="H98" s="940">
        <v>0.9</v>
      </c>
      <c r="I98" s="940">
        <v>1</v>
      </c>
      <c r="J98" s="940">
        <v>1.1000000000000001</v>
      </c>
      <c r="K98" s="940">
        <v>1.2</v>
      </c>
      <c r="L98" s="940">
        <v>1.3</v>
      </c>
      <c r="M98" s="940">
        <v>1.4</v>
      </c>
      <c r="N98" s="940">
        <v>1.5</v>
      </c>
      <c r="O98" s="940">
        <v>1.6</v>
      </c>
      <c r="P98" s="940">
        <v>1.7</v>
      </c>
      <c r="Q98" s="940">
        <v>1.8</v>
      </c>
      <c r="R98" s="940">
        <v>1.9</v>
      </c>
      <c r="S98" s="940">
        <v>2</v>
      </c>
      <c r="T98" s="940">
        <v>2.1</v>
      </c>
      <c r="U98" s="941">
        <v>2.2000000000000002</v>
      </c>
      <c r="V98" s="921"/>
      <c r="X98" s="922"/>
      <c r="Y98" s="923">
        <v>0.4</v>
      </c>
      <c r="Z98" s="923">
        <v>0.5</v>
      </c>
      <c r="AA98" s="923">
        <v>0.6</v>
      </c>
      <c r="AB98" s="923">
        <v>0.7</v>
      </c>
      <c r="AC98" s="923">
        <v>0.8</v>
      </c>
      <c r="AD98" s="923">
        <v>0.9</v>
      </c>
      <c r="AE98" s="923">
        <v>1</v>
      </c>
      <c r="AF98" s="923">
        <v>1.1000000000000001</v>
      </c>
      <c r="AG98" s="923">
        <v>1.2</v>
      </c>
      <c r="AH98" s="923">
        <v>1.3</v>
      </c>
      <c r="AI98" s="923">
        <v>1.4</v>
      </c>
      <c r="AJ98" s="923">
        <v>1.5</v>
      </c>
      <c r="AK98" s="923">
        <v>1.6</v>
      </c>
      <c r="AL98" s="923">
        <v>1.7</v>
      </c>
      <c r="AM98" s="923">
        <v>1.8</v>
      </c>
      <c r="AN98" s="923">
        <v>1.9</v>
      </c>
      <c r="AO98" s="923">
        <v>2</v>
      </c>
      <c r="AP98" s="923">
        <v>2.1</v>
      </c>
      <c r="AQ98" s="923">
        <v>2.2000000000000002</v>
      </c>
      <c r="AR98" s="923">
        <v>2.2999999999999998</v>
      </c>
    </row>
    <row r="99" spans="1:44" ht="12.75" customHeight="1">
      <c r="A99" s="1537" t="s">
        <v>3</v>
      </c>
      <c r="B99" s="924">
        <v>0.5</v>
      </c>
      <c r="C99" s="925">
        <f>(Y99*KFC!$B$19+KFC!$C$19)*KFC!$C$5</f>
        <v>22.45</v>
      </c>
      <c r="D99" s="926">
        <f>(Z99*KFC!$B$19+KFC!$C$19)*KFC!$C$5</f>
        <v>24.02</v>
      </c>
      <c r="E99" s="926">
        <f>(AA99*KFC!$B$19+KFC!$C$19)*KFC!$C$5</f>
        <v>25.74</v>
      </c>
      <c r="F99" s="926">
        <f>(AB99*KFC!$B$19+KFC!$C$19)*KFC!$C$5</f>
        <v>27.17</v>
      </c>
      <c r="G99" s="926">
        <f>(AC99*KFC!$B$19+KFC!$C$19)*KFC!$C$5</f>
        <v>28.74</v>
      </c>
      <c r="H99" s="926">
        <f>(AD99*KFC!$B$19+KFC!$C$19)*KFC!$C$5</f>
        <v>30.46</v>
      </c>
      <c r="I99" s="926">
        <f>(AE99*KFC!$B$19+KFC!$C$19)*KFC!$C$5</f>
        <v>32.03</v>
      </c>
      <c r="J99" s="926">
        <f>(AF99*KFC!$B$19+KFC!$C$19)*KFC!$C$5</f>
        <v>33.46</v>
      </c>
      <c r="K99" s="926">
        <f>(AG99*KFC!$B$19+KFC!$C$19)*KFC!$C$5</f>
        <v>35.32</v>
      </c>
      <c r="L99" s="926">
        <f>(AH99*KFC!$B$19+KFC!$C$19)*KFC!$C$5</f>
        <v>36.75</v>
      </c>
      <c r="M99" s="926">
        <f>(AI99*KFC!$B$19+KFC!$C$19)*KFC!$C$5</f>
        <v>38.32</v>
      </c>
      <c r="N99" s="926">
        <f>(AJ99*KFC!$B$19+KFC!$C$19)*KFC!$C$5</f>
        <v>39.75</v>
      </c>
      <c r="O99" s="926">
        <f>(AK99*KFC!$B$19+KFC!$C$19)*KFC!$C$5</f>
        <v>41.61</v>
      </c>
      <c r="P99" s="926">
        <f>(AL99*KFC!$B$19+KFC!$C$19)*KFC!$C$5</f>
        <v>43.04</v>
      </c>
      <c r="Q99" s="926">
        <f>(AM99*KFC!$B$19+KFC!$C$19)*KFC!$C$5</f>
        <v>44.33</v>
      </c>
      <c r="R99" s="926">
        <f>(AN99*KFC!$B$19+KFC!$C$19)*KFC!$C$5</f>
        <v>45.76</v>
      </c>
      <c r="S99" s="926">
        <f>(AO99*KFC!$B$19+KFC!$C$19)*KFC!$C$5</f>
        <v>47.19</v>
      </c>
      <c r="T99" s="926">
        <f>(AP99*KFC!$B$19+KFC!$C$19)*KFC!$C$5</f>
        <v>48.62</v>
      </c>
      <c r="U99" s="927">
        <f>(AQ99*KFC!$B$19+KFC!$C$19)*KFC!$C$5</f>
        <v>50.05</v>
      </c>
      <c r="V99" s="928"/>
      <c r="X99" s="923">
        <v>0.5</v>
      </c>
      <c r="Y99" s="929">
        <v>22.45</v>
      </c>
      <c r="Z99" s="929">
        <v>24.02</v>
      </c>
      <c r="AA99" s="929">
        <v>25.74</v>
      </c>
      <c r="AB99" s="929">
        <v>27.17</v>
      </c>
      <c r="AC99" s="929">
        <v>28.74</v>
      </c>
      <c r="AD99" s="929">
        <v>30.46</v>
      </c>
      <c r="AE99" s="929">
        <v>32.03</v>
      </c>
      <c r="AF99" s="929">
        <v>33.46</v>
      </c>
      <c r="AG99" s="929">
        <v>35.32</v>
      </c>
      <c r="AH99" s="929">
        <v>36.75</v>
      </c>
      <c r="AI99" s="929">
        <v>38.32</v>
      </c>
      <c r="AJ99" s="929">
        <v>39.75</v>
      </c>
      <c r="AK99" s="929">
        <v>41.61</v>
      </c>
      <c r="AL99" s="929">
        <v>43.04</v>
      </c>
      <c r="AM99" s="929">
        <v>44.33</v>
      </c>
      <c r="AN99" s="929">
        <v>45.76</v>
      </c>
      <c r="AO99" s="929">
        <v>47.19</v>
      </c>
      <c r="AP99" s="929">
        <v>48.62</v>
      </c>
      <c r="AQ99" s="929">
        <v>50.05</v>
      </c>
      <c r="AR99" s="929">
        <v>51.48</v>
      </c>
    </row>
    <row r="100" spans="1:44">
      <c r="A100" s="1538"/>
      <c r="B100" s="930">
        <v>0.6</v>
      </c>
      <c r="C100" s="931">
        <f>(Y100*KFC!$B$19+KFC!$C$19)*KFC!$C$5</f>
        <v>23.31</v>
      </c>
      <c r="D100" s="932">
        <f>(Z100*KFC!$B$19+KFC!$C$19)*KFC!$C$5</f>
        <v>25.03</v>
      </c>
      <c r="E100" s="932">
        <f>(AA100*KFC!$B$19+KFC!$C$19)*KFC!$C$5</f>
        <v>26.74</v>
      </c>
      <c r="F100" s="932">
        <f>(AB100*KFC!$B$19+KFC!$C$19)*KFC!$C$5</f>
        <v>28.46</v>
      </c>
      <c r="G100" s="932">
        <f>(AC100*KFC!$B$19+KFC!$C$19)*KFC!$C$5</f>
        <v>30.46</v>
      </c>
      <c r="H100" s="932">
        <f>(AD100*KFC!$B$19+KFC!$C$19)*KFC!$C$5</f>
        <v>32.03</v>
      </c>
      <c r="I100" s="932">
        <f>(AE100*KFC!$B$19+KFC!$C$19)*KFC!$C$5</f>
        <v>33.61</v>
      </c>
      <c r="J100" s="932">
        <f>(AF100*KFC!$B$19+KFC!$C$19)*KFC!$C$5</f>
        <v>35.46</v>
      </c>
      <c r="K100" s="932">
        <f>(AG100*KFC!$B$19+KFC!$C$19)*KFC!$C$5</f>
        <v>37.32</v>
      </c>
      <c r="L100" s="932">
        <f>(AH100*KFC!$B$19+KFC!$C$19)*KFC!$C$5</f>
        <v>38.9</v>
      </c>
      <c r="M100" s="932">
        <f>(AI100*KFC!$B$19+KFC!$C$19)*KFC!$C$5</f>
        <v>40.9</v>
      </c>
      <c r="N100" s="932">
        <f>(AJ100*KFC!$B$19+KFC!$C$19)*KFC!$C$5</f>
        <v>42.47</v>
      </c>
      <c r="O100" s="932">
        <f>(AK100*KFC!$B$19+KFC!$C$19)*KFC!$C$5</f>
        <v>44.33</v>
      </c>
      <c r="P100" s="932">
        <f>(AL100*KFC!$B$19+KFC!$C$19)*KFC!$C$5</f>
        <v>46.19</v>
      </c>
      <c r="Q100" s="932">
        <f>(AM100*KFC!$B$19+KFC!$C$19)*KFC!$C$5</f>
        <v>47.76</v>
      </c>
      <c r="R100" s="932">
        <f>(AN100*KFC!$B$19+KFC!$C$19)*KFC!$C$5</f>
        <v>49.48</v>
      </c>
      <c r="S100" s="932">
        <f>(AO100*KFC!$B$19+KFC!$C$19)*KFC!$C$5</f>
        <v>51.19</v>
      </c>
      <c r="T100" s="932">
        <f>(AP100*KFC!$B$19+KFC!$C$19)*KFC!$C$5</f>
        <v>52.9</v>
      </c>
      <c r="U100" s="943">
        <f>(AQ100*KFC!$B$19+KFC!$C$19)*KFC!$C$5</f>
        <v>54.61</v>
      </c>
      <c r="V100" s="928"/>
      <c r="X100" s="923">
        <v>0.6</v>
      </c>
      <c r="Y100" s="929">
        <v>23.31</v>
      </c>
      <c r="Z100" s="929">
        <v>25.03</v>
      </c>
      <c r="AA100" s="929">
        <v>26.74</v>
      </c>
      <c r="AB100" s="929">
        <v>28.46</v>
      </c>
      <c r="AC100" s="929">
        <v>30.46</v>
      </c>
      <c r="AD100" s="929">
        <v>32.03</v>
      </c>
      <c r="AE100" s="929">
        <v>33.61</v>
      </c>
      <c r="AF100" s="929">
        <v>35.46</v>
      </c>
      <c r="AG100" s="929">
        <v>37.32</v>
      </c>
      <c r="AH100" s="929">
        <v>38.9</v>
      </c>
      <c r="AI100" s="929">
        <v>40.9</v>
      </c>
      <c r="AJ100" s="929">
        <v>42.47</v>
      </c>
      <c r="AK100" s="929">
        <v>44.33</v>
      </c>
      <c r="AL100" s="929">
        <v>46.19</v>
      </c>
      <c r="AM100" s="929">
        <v>47.76</v>
      </c>
      <c r="AN100" s="929">
        <v>49.48</v>
      </c>
      <c r="AO100" s="929">
        <v>51.19</v>
      </c>
      <c r="AP100" s="929">
        <v>52.9</v>
      </c>
      <c r="AQ100" s="929">
        <v>54.61</v>
      </c>
      <c r="AR100" s="929">
        <v>56.32</v>
      </c>
    </row>
    <row r="101" spans="1:44">
      <c r="A101" s="1538"/>
      <c r="B101" s="930">
        <v>0.7</v>
      </c>
      <c r="C101" s="931">
        <f>(Y101*KFC!$B$19+KFC!$C$19)*KFC!$C$5</f>
        <v>24.02</v>
      </c>
      <c r="D101" s="932">
        <f>(Z101*KFC!$B$19+KFC!$C$19)*KFC!$C$5</f>
        <v>25.88</v>
      </c>
      <c r="E101" s="932">
        <f>(AA101*KFC!$B$19+KFC!$C$19)*KFC!$C$5</f>
        <v>27.89</v>
      </c>
      <c r="F101" s="932">
        <f>(AB101*KFC!$B$19+KFC!$C$19)*KFC!$C$5</f>
        <v>29.74</v>
      </c>
      <c r="G101" s="932">
        <f>(AC101*KFC!$B$19+KFC!$C$19)*KFC!$C$5</f>
        <v>31.75</v>
      </c>
      <c r="H101" s="932">
        <f>(AD101*KFC!$B$19+KFC!$C$19)*KFC!$C$5</f>
        <v>33.61</v>
      </c>
      <c r="I101" s="932">
        <f>(AE101*KFC!$B$19+KFC!$C$19)*KFC!$C$5</f>
        <v>35.46</v>
      </c>
      <c r="J101" s="932">
        <f>(AF101*KFC!$B$19+KFC!$C$19)*KFC!$C$5</f>
        <v>37.47</v>
      </c>
      <c r="K101" s="932">
        <f>(AG101*KFC!$B$19+KFC!$C$19)*KFC!$C$5</f>
        <v>39.33</v>
      </c>
      <c r="L101" s="932">
        <f>(AH101*KFC!$B$19+KFC!$C$19)*KFC!$C$5</f>
        <v>41.33</v>
      </c>
      <c r="M101" s="932">
        <f>(AI101*KFC!$B$19+KFC!$C$19)*KFC!$C$5</f>
        <v>43.33</v>
      </c>
      <c r="N101" s="932">
        <f>(AJ101*KFC!$B$19+KFC!$C$19)*KFC!$C$5</f>
        <v>45.19</v>
      </c>
      <c r="O101" s="932">
        <f>(AK101*KFC!$B$19+KFC!$C$19)*KFC!$C$5</f>
        <v>47.19</v>
      </c>
      <c r="P101" s="932">
        <f>(AL101*KFC!$B$19+KFC!$C$19)*KFC!$C$5</f>
        <v>49.05</v>
      </c>
      <c r="Q101" s="932">
        <f>(AM101*KFC!$B$19+KFC!$C$19)*KFC!$C$5</f>
        <v>50.91</v>
      </c>
      <c r="R101" s="932">
        <f>(AN101*KFC!$B$19+KFC!$C$19)*KFC!$C$5</f>
        <v>52.62</v>
      </c>
      <c r="S101" s="932">
        <f>(AO101*KFC!$B$19+KFC!$C$19)*KFC!$C$5</f>
        <v>54.48</v>
      </c>
      <c r="T101" s="932">
        <f>(AP101*KFC!$B$19+KFC!$C$19)*KFC!$C$5</f>
        <v>56.34</v>
      </c>
      <c r="U101" s="943">
        <f>(AQ101*KFC!$B$19+KFC!$C$19)*KFC!$C$5</f>
        <v>58.2</v>
      </c>
      <c r="V101" s="928"/>
      <c r="X101" s="923">
        <v>0.7</v>
      </c>
      <c r="Y101" s="929">
        <v>24.02</v>
      </c>
      <c r="Z101" s="929">
        <v>25.88</v>
      </c>
      <c r="AA101" s="929">
        <v>27.89</v>
      </c>
      <c r="AB101" s="929">
        <v>29.74</v>
      </c>
      <c r="AC101" s="929">
        <v>31.75</v>
      </c>
      <c r="AD101" s="929">
        <v>33.61</v>
      </c>
      <c r="AE101" s="929">
        <v>35.46</v>
      </c>
      <c r="AF101" s="929">
        <v>37.47</v>
      </c>
      <c r="AG101" s="929">
        <v>39.33</v>
      </c>
      <c r="AH101" s="929">
        <v>41.33</v>
      </c>
      <c r="AI101" s="929">
        <v>43.33</v>
      </c>
      <c r="AJ101" s="929">
        <v>45.19</v>
      </c>
      <c r="AK101" s="929">
        <v>47.19</v>
      </c>
      <c r="AL101" s="929">
        <v>49.05</v>
      </c>
      <c r="AM101" s="929">
        <v>50.91</v>
      </c>
      <c r="AN101" s="929">
        <v>52.62</v>
      </c>
      <c r="AO101" s="929">
        <v>54.48</v>
      </c>
      <c r="AP101" s="929">
        <v>56.34</v>
      </c>
      <c r="AQ101" s="929">
        <v>58.2</v>
      </c>
      <c r="AR101" s="929">
        <v>60.06</v>
      </c>
    </row>
    <row r="102" spans="1:44">
      <c r="A102" s="1538"/>
      <c r="B102" s="930">
        <v>0.8</v>
      </c>
      <c r="C102" s="931">
        <f>(Y102*KFC!$B$19+KFC!$C$19)*KFC!$C$5</f>
        <v>24.6</v>
      </c>
      <c r="D102" s="932">
        <f>(Z102*KFC!$B$19+KFC!$C$19)*KFC!$C$5</f>
        <v>26.74</v>
      </c>
      <c r="E102" s="932">
        <f>(AA102*KFC!$B$19+KFC!$C$19)*KFC!$C$5</f>
        <v>29.17</v>
      </c>
      <c r="F102" s="932">
        <f>(AB102*KFC!$B$19+KFC!$C$19)*KFC!$C$5</f>
        <v>31.17</v>
      </c>
      <c r="G102" s="932">
        <f>(AC102*KFC!$B$19+KFC!$C$19)*KFC!$C$5</f>
        <v>33.18</v>
      </c>
      <c r="H102" s="932">
        <f>(AD102*KFC!$B$19+KFC!$C$19)*KFC!$C$5</f>
        <v>35.32</v>
      </c>
      <c r="I102" s="932">
        <f>(AE102*KFC!$B$19+KFC!$C$19)*KFC!$C$5</f>
        <v>37.32</v>
      </c>
      <c r="J102" s="932">
        <f>(AF102*KFC!$B$19+KFC!$C$19)*KFC!$C$5</f>
        <v>39.47</v>
      </c>
      <c r="K102" s="932">
        <f>(AG102*KFC!$B$19+KFC!$C$19)*KFC!$C$5</f>
        <v>41.61</v>
      </c>
      <c r="L102" s="932">
        <f>(AH102*KFC!$B$19+KFC!$C$19)*KFC!$C$5</f>
        <v>43.62</v>
      </c>
      <c r="M102" s="932">
        <f>(AI102*KFC!$B$19+KFC!$C$19)*KFC!$C$5</f>
        <v>45.62</v>
      </c>
      <c r="N102" s="932">
        <f>(AJ102*KFC!$B$19+KFC!$C$19)*KFC!$C$5</f>
        <v>47.76</v>
      </c>
      <c r="O102" s="932">
        <f>(AK102*KFC!$B$19+KFC!$C$19)*KFC!$C$5</f>
        <v>50.19</v>
      </c>
      <c r="P102" s="932">
        <f>(AL102*KFC!$B$19+KFC!$C$19)*KFC!$C$5</f>
        <v>52.2</v>
      </c>
      <c r="Q102" s="932">
        <f>(AM102*KFC!$B$19+KFC!$C$19)*KFC!$C$5</f>
        <v>54.05</v>
      </c>
      <c r="R102" s="932">
        <f>(AN102*KFC!$B$19+KFC!$C$19)*KFC!$C$5</f>
        <v>56.06</v>
      </c>
      <c r="S102" s="932">
        <f>(AO102*KFC!$B$19+KFC!$C$19)*KFC!$C$5</f>
        <v>58.06</v>
      </c>
      <c r="T102" s="932">
        <f>(AP102*KFC!$B$19+KFC!$C$19)*KFC!$C$5</f>
        <v>60.06</v>
      </c>
      <c r="U102" s="943">
        <f>(AQ102*KFC!$B$19+KFC!$C$19)*KFC!$C$5</f>
        <v>62.06</v>
      </c>
      <c r="V102" s="928"/>
      <c r="X102" s="923">
        <v>0.8</v>
      </c>
      <c r="Y102" s="929">
        <v>24.6</v>
      </c>
      <c r="Z102" s="929">
        <v>26.74</v>
      </c>
      <c r="AA102" s="929">
        <v>29.17</v>
      </c>
      <c r="AB102" s="929">
        <v>31.17</v>
      </c>
      <c r="AC102" s="929">
        <v>33.18</v>
      </c>
      <c r="AD102" s="929">
        <v>35.32</v>
      </c>
      <c r="AE102" s="929">
        <v>37.32</v>
      </c>
      <c r="AF102" s="929">
        <v>39.47</v>
      </c>
      <c r="AG102" s="929">
        <v>41.61</v>
      </c>
      <c r="AH102" s="929">
        <v>43.62</v>
      </c>
      <c r="AI102" s="929">
        <v>45.62</v>
      </c>
      <c r="AJ102" s="929">
        <v>47.76</v>
      </c>
      <c r="AK102" s="929">
        <v>50.19</v>
      </c>
      <c r="AL102" s="929">
        <v>52.2</v>
      </c>
      <c r="AM102" s="929">
        <v>54.05</v>
      </c>
      <c r="AN102" s="929">
        <v>56.06</v>
      </c>
      <c r="AO102" s="929">
        <v>58.06</v>
      </c>
      <c r="AP102" s="929">
        <v>60.06</v>
      </c>
      <c r="AQ102" s="929">
        <v>62.06</v>
      </c>
      <c r="AR102" s="929">
        <v>64.06</v>
      </c>
    </row>
    <row r="103" spans="1:44">
      <c r="A103" s="1538"/>
      <c r="B103" s="930">
        <v>0.9</v>
      </c>
      <c r="C103" s="931">
        <f>(Y103*KFC!$B$19+KFC!$C$19)*KFC!$C$5</f>
        <v>25.31</v>
      </c>
      <c r="D103" s="932">
        <f>(Z103*KFC!$B$19+KFC!$C$19)*KFC!$C$5</f>
        <v>27.74</v>
      </c>
      <c r="E103" s="932">
        <f>(AA103*KFC!$B$19+KFC!$C$19)*KFC!$C$5</f>
        <v>30.17</v>
      </c>
      <c r="F103" s="932">
        <f>(AB103*KFC!$B$19+KFC!$C$19)*KFC!$C$5</f>
        <v>32.46</v>
      </c>
      <c r="G103" s="932">
        <f>(AC103*KFC!$B$19+KFC!$C$19)*KFC!$C$5</f>
        <v>34.61</v>
      </c>
      <c r="H103" s="932">
        <f>(AD103*KFC!$B$19+KFC!$C$19)*KFC!$C$5</f>
        <v>36.89</v>
      </c>
      <c r="I103" s="932">
        <f>(AE103*KFC!$B$19+KFC!$C$19)*KFC!$C$5</f>
        <v>39.33</v>
      </c>
      <c r="J103" s="932">
        <f>(AF103*KFC!$B$19+KFC!$C$19)*KFC!$C$5</f>
        <v>41.33</v>
      </c>
      <c r="K103" s="932">
        <f>(AG103*KFC!$B$19+KFC!$C$19)*KFC!$C$5</f>
        <v>43.62</v>
      </c>
      <c r="L103" s="932">
        <f>(AH103*KFC!$B$19+KFC!$C$19)*KFC!$C$5</f>
        <v>46.05</v>
      </c>
      <c r="M103" s="932">
        <f>(AI103*KFC!$B$19+KFC!$C$19)*KFC!$C$5</f>
        <v>48.19</v>
      </c>
      <c r="N103" s="932">
        <f>(AJ103*KFC!$B$19+KFC!$C$19)*KFC!$C$5</f>
        <v>50.34</v>
      </c>
      <c r="O103" s="932">
        <f>(AK103*KFC!$B$19+KFC!$C$19)*KFC!$C$5</f>
        <v>52.91</v>
      </c>
      <c r="P103" s="932">
        <f>(AL103*KFC!$B$19+KFC!$C$19)*KFC!$C$5</f>
        <v>55.2</v>
      </c>
      <c r="Q103" s="932">
        <f>(AM103*KFC!$B$19+KFC!$C$19)*KFC!$C$5</f>
        <v>57.34</v>
      </c>
      <c r="R103" s="932">
        <f>(AN103*KFC!$B$19+KFC!$C$19)*KFC!$C$5</f>
        <v>59.77</v>
      </c>
      <c r="S103" s="932">
        <f>(AO103*KFC!$B$19+KFC!$C$19)*KFC!$C$5</f>
        <v>62.06</v>
      </c>
      <c r="T103" s="932">
        <f>(AP103*KFC!$B$19+KFC!$C$19)*KFC!$C$5</f>
        <v>64.349999999999994</v>
      </c>
      <c r="U103" s="943">
        <f>(AQ103*KFC!$B$19+KFC!$C$19)*KFC!$C$5</f>
        <v>66.64</v>
      </c>
      <c r="V103" s="928"/>
      <c r="X103" s="923">
        <v>0.9</v>
      </c>
      <c r="Y103" s="929">
        <v>25.31</v>
      </c>
      <c r="Z103" s="929">
        <v>27.74</v>
      </c>
      <c r="AA103" s="929">
        <v>30.17</v>
      </c>
      <c r="AB103" s="929">
        <v>32.46</v>
      </c>
      <c r="AC103" s="929">
        <v>34.61</v>
      </c>
      <c r="AD103" s="929">
        <v>36.89</v>
      </c>
      <c r="AE103" s="929">
        <v>39.33</v>
      </c>
      <c r="AF103" s="929">
        <v>41.33</v>
      </c>
      <c r="AG103" s="929">
        <v>43.62</v>
      </c>
      <c r="AH103" s="929">
        <v>46.05</v>
      </c>
      <c r="AI103" s="929">
        <v>48.19</v>
      </c>
      <c r="AJ103" s="929">
        <v>50.34</v>
      </c>
      <c r="AK103" s="929">
        <v>52.91</v>
      </c>
      <c r="AL103" s="929">
        <v>55.2</v>
      </c>
      <c r="AM103" s="929">
        <v>57.34</v>
      </c>
      <c r="AN103" s="929">
        <v>59.77</v>
      </c>
      <c r="AO103" s="929">
        <v>62.06</v>
      </c>
      <c r="AP103" s="929">
        <v>64.349999999999994</v>
      </c>
      <c r="AQ103" s="929">
        <v>66.64</v>
      </c>
      <c r="AR103" s="929">
        <v>68.930000000000007</v>
      </c>
    </row>
    <row r="104" spans="1:44">
      <c r="A104" s="1538"/>
      <c r="B104" s="930">
        <v>1</v>
      </c>
      <c r="C104" s="931">
        <f>(Y104*KFC!$B$19+KFC!$C$19)*KFC!$C$5</f>
        <v>26.31</v>
      </c>
      <c r="D104" s="932">
        <f>(Z104*KFC!$B$19+KFC!$C$19)*KFC!$C$5</f>
        <v>28.6</v>
      </c>
      <c r="E104" s="932">
        <f>(AA104*KFC!$B$19+KFC!$C$19)*KFC!$C$5</f>
        <v>31.17</v>
      </c>
      <c r="F104" s="932">
        <f>(AB104*KFC!$B$19+KFC!$C$19)*KFC!$C$5</f>
        <v>33.46</v>
      </c>
      <c r="G104" s="932">
        <f>(AC104*KFC!$B$19+KFC!$C$19)*KFC!$C$5</f>
        <v>36.04</v>
      </c>
      <c r="H104" s="932">
        <f>(AD104*KFC!$B$19+KFC!$C$19)*KFC!$C$5</f>
        <v>38.32</v>
      </c>
      <c r="I104" s="932">
        <f>(AE104*KFC!$B$19+KFC!$C$19)*KFC!$C$5</f>
        <v>40.9</v>
      </c>
      <c r="J104" s="932">
        <f>(AF104*KFC!$B$19+KFC!$C$19)*KFC!$C$5</f>
        <v>43.47</v>
      </c>
      <c r="K104" s="932">
        <f>(AG104*KFC!$B$19+KFC!$C$19)*KFC!$C$5</f>
        <v>46.05</v>
      </c>
      <c r="L104" s="932">
        <f>(AH104*KFC!$B$19+KFC!$C$19)*KFC!$C$5</f>
        <v>48.33</v>
      </c>
      <c r="M104" s="932">
        <f>(AI104*KFC!$B$19+KFC!$C$19)*KFC!$C$5</f>
        <v>50.62</v>
      </c>
      <c r="N104" s="932">
        <f>(AJ104*KFC!$B$19+KFC!$C$19)*KFC!$C$5</f>
        <v>53.2</v>
      </c>
      <c r="O104" s="932">
        <f>(AK104*KFC!$B$19+KFC!$C$19)*KFC!$C$5</f>
        <v>55.63</v>
      </c>
      <c r="P104" s="932">
        <f>(AL104*KFC!$B$19+KFC!$C$19)*KFC!$C$5</f>
        <v>58.06</v>
      </c>
      <c r="Q104" s="932">
        <f>(AM104*KFC!$B$19+KFC!$C$19)*KFC!$C$5</f>
        <v>60.49</v>
      </c>
      <c r="R104" s="932">
        <f>(AN104*KFC!$B$19+KFC!$C$19)*KFC!$C$5</f>
        <v>63.06</v>
      </c>
      <c r="S104" s="932">
        <f>(AO104*KFC!$B$19+KFC!$C$19)*KFC!$C$5</f>
        <v>65.349999999999994</v>
      </c>
      <c r="T104" s="932">
        <f>(AP104*KFC!$B$19+KFC!$C$19)*KFC!$C$5</f>
        <v>67.64</v>
      </c>
      <c r="U104" s="943">
        <f>(AQ104*KFC!$B$19+KFC!$C$19)*KFC!$C$5</f>
        <v>69.930000000000007</v>
      </c>
      <c r="V104" s="928"/>
      <c r="X104" s="923">
        <v>1</v>
      </c>
      <c r="Y104" s="929">
        <v>26.31</v>
      </c>
      <c r="Z104" s="929">
        <v>28.6</v>
      </c>
      <c r="AA104" s="929">
        <v>31.17</v>
      </c>
      <c r="AB104" s="929">
        <v>33.46</v>
      </c>
      <c r="AC104" s="929">
        <v>36.04</v>
      </c>
      <c r="AD104" s="929">
        <v>38.32</v>
      </c>
      <c r="AE104" s="929">
        <v>40.9</v>
      </c>
      <c r="AF104" s="929">
        <v>43.47</v>
      </c>
      <c r="AG104" s="929">
        <v>46.05</v>
      </c>
      <c r="AH104" s="929">
        <v>48.33</v>
      </c>
      <c r="AI104" s="929">
        <v>50.62</v>
      </c>
      <c r="AJ104" s="929">
        <v>53.2</v>
      </c>
      <c r="AK104" s="929">
        <v>55.63</v>
      </c>
      <c r="AL104" s="929">
        <v>58.06</v>
      </c>
      <c r="AM104" s="929">
        <v>60.49</v>
      </c>
      <c r="AN104" s="929">
        <v>63.06</v>
      </c>
      <c r="AO104" s="929">
        <v>65.349999999999994</v>
      </c>
      <c r="AP104" s="929">
        <v>67.64</v>
      </c>
      <c r="AQ104" s="929">
        <v>69.930000000000007</v>
      </c>
      <c r="AR104" s="929">
        <v>72.22</v>
      </c>
    </row>
    <row r="105" spans="1:44">
      <c r="A105" s="1538"/>
      <c r="B105" s="930">
        <v>1.1000000000000001</v>
      </c>
      <c r="C105" s="931">
        <f>(Y105*KFC!$B$19+KFC!$C$19)*KFC!$C$5</f>
        <v>27.17</v>
      </c>
      <c r="D105" s="932">
        <f>(Z105*KFC!$B$19+KFC!$C$19)*KFC!$C$5</f>
        <v>29.46</v>
      </c>
      <c r="E105" s="932">
        <f>(AA105*KFC!$B$19+KFC!$C$19)*KFC!$C$5</f>
        <v>32.18</v>
      </c>
      <c r="F105" s="932">
        <f>(AB105*KFC!$B$19+KFC!$C$19)*KFC!$C$5</f>
        <v>34.75</v>
      </c>
      <c r="G105" s="932">
        <f>(AC105*KFC!$B$19+KFC!$C$19)*KFC!$C$5</f>
        <v>37.47</v>
      </c>
      <c r="H105" s="932">
        <f>(AD105*KFC!$B$19+KFC!$C$19)*KFC!$C$5</f>
        <v>40.18</v>
      </c>
      <c r="I105" s="932">
        <f>(AE105*KFC!$B$19+KFC!$C$19)*KFC!$C$5</f>
        <v>42.76</v>
      </c>
      <c r="J105" s="932">
        <f>(AF105*KFC!$B$19+KFC!$C$19)*KFC!$C$5</f>
        <v>45.19</v>
      </c>
      <c r="K105" s="932">
        <f>(AG105*KFC!$B$19+KFC!$C$19)*KFC!$C$5</f>
        <v>47.91</v>
      </c>
      <c r="L105" s="932">
        <f>(AH105*KFC!$B$19+KFC!$C$19)*KFC!$C$5</f>
        <v>50.48</v>
      </c>
      <c r="M105" s="932">
        <f>(AI105*KFC!$B$19+KFC!$C$19)*KFC!$C$5</f>
        <v>53.2</v>
      </c>
      <c r="N105" s="932">
        <f>(AJ105*KFC!$B$19+KFC!$C$19)*KFC!$C$5</f>
        <v>55.77</v>
      </c>
      <c r="O105" s="932">
        <f>(AK105*KFC!$B$19+KFC!$C$19)*KFC!$C$5</f>
        <v>58.49</v>
      </c>
      <c r="P105" s="932">
        <f>(AL105*KFC!$B$19+KFC!$C$19)*KFC!$C$5</f>
        <v>60.78</v>
      </c>
      <c r="Q105" s="932">
        <f>(AM105*KFC!$B$19+KFC!$C$19)*KFC!$C$5</f>
        <v>63.21</v>
      </c>
      <c r="R105" s="932">
        <f>(AN105*KFC!$B$19+KFC!$C$19)*KFC!$C$5</f>
        <v>65.349999999999994</v>
      </c>
      <c r="S105" s="932">
        <f>(AO105*KFC!$B$19+KFC!$C$19)*KFC!$C$5</f>
        <v>67.64</v>
      </c>
      <c r="T105" s="932">
        <f>(AP105*KFC!$B$19+KFC!$C$19)*KFC!$C$5</f>
        <v>69.930000000000007</v>
      </c>
      <c r="U105" s="943">
        <f>(AQ105*KFC!$B$19+KFC!$C$19)*KFC!$C$5</f>
        <v>72.22</v>
      </c>
      <c r="V105" s="928"/>
      <c r="X105" s="923">
        <v>1.1000000000000001</v>
      </c>
      <c r="Y105" s="929">
        <v>27.17</v>
      </c>
      <c r="Z105" s="929">
        <v>29.46</v>
      </c>
      <c r="AA105" s="929">
        <v>32.18</v>
      </c>
      <c r="AB105" s="929">
        <v>34.75</v>
      </c>
      <c r="AC105" s="929">
        <v>37.47</v>
      </c>
      <c r="AD105" s="929">
        <v>40.18</v>
      </c>
      <c r="AE105" s="929">
        <v>42.76</v>
      </c>
      <c r="AF105" s="929">
        <v>45.19</v>
      </c>
      <c r="AG105" s="929">
        <v>47.91</v>
      </c>
      <c r="AH105" s="929">
        <v>50.48</v>
      </c>
      <c r="AI105" s="929">
        <v>53.2</v>
      </c>
      <c r="AJ105" s="929">
        <v>55.77</v>
      </c>
      <c r="AK105" s="929">
        <v>58.49</v>
      </c>
      <c r="AL105" s="929">
        <v>60.78</v>
      </c>
      <c r="AM105" s="929">
        <v>63.21</v>
      </c>
      <c r="AN105" s="929">
        <v>65.349999999999994</v>
      </c>
      <c r="AO105" s="929">
        <v>67.64</v>
      </c>
      <c r="AP105" s="929">
        <v>69.930000000000007</v>
      </c>
      <c r="AQ105" s="929">
        <v>72.22</v>
      </c>
      <c r="AR105" s="929">
        <v>74.510000000000005</v>
      </c>
    </row>
    <row r="106" spans="1:44">
      <c r="A106" s="1538"/>
      <c r="B106" s="930">
        <v>1.2</v>
      </c>
      <c r="C106" s="931">
        <f>(Y106*KFC!$B$19+KFC!$C$19)*KFC!$C$5</f>
        <v>27.89</v>
      </c>
      <c r="D106" s="932">
        <f>(Z106*KFC!$B$19+KFC!$C$19)*KFC!$C$5</f>
        <v>30.46</v>
      </c>
      <c r="E106" s="932">
        <f>(AA106*KFC!$B$19+KFC!$C$19)*KFC!$C$5</f>
        <v>33.32</v>
      </c>
      <c r="F106" s="932">
        <f>(AB106*KFC!$B$19+KFC!$C$19)*KFC!$C$5</f>
        <v>36.18</v>
      </c>
      <c r="G106" s="932">
        <f>(AC106*KFC!$B$19+KFC!$C$19)*KFC!$C$5</f>
        <v>38.9</v>
      </c>
      <c r="H106" s="932">
        <f>(AD106*KFC!$B$19+KFC!$C$19)*KFC!$C$5</f>
        <v>41.76</v>
      </c>
      <c r="I106" s="932">
        <f>(AE106*KFC!$B$19+KFC!$C$19)*KFC!$C$5</f>
        <v>44.47</v>
      </c>
      <c r="J106" s="932">
        <f>(AF106*KFC!$B$19+KFC!$C$19)*KFC!$C$5</f>
        <v>47.19</v>
      </c>
      <c r="K106" s="932">
        <f>(AG106*KFC!$B$19+KFC!$C$19)*KFC!$C$5</f>
        <v>50.19</v>
      </c>
      <c r="L106" s="932">
        <f>(AH106*KFC!$B$19+KFC!$C$19)*KFC!$C$5</f>
        <v>52.91</v>
      </c>
      <c r="M106" s="932">
        <f>(AI106*KFC!$B$19+KFC!$C$19)*KFC!$C$5</f>
        <v>55.63</v>
      </c>
      <c r="N106" s="932">
        <f>(AJ106*KFC!$B$19+KFC!$C$19)*KFC!$C$5</f>
        <v>58.49</v>
      </c>
      <c r="O106" s="932">
        <f>(AK106*KFC!$B$19+KFC!$C$19)*KFC!$C$5</f>
        <v>61.2</v>
      </c>
      <c r="P106" s="932">
        <f>(AL106*KFC!$B$19+KFC!$C$19)*KFC!$C$5</f>
        <v>63.92</v>
      </c>
      <c r="Q106" s="932">
        <f>(AM106*KFC!$B$19+KFC!$C$19)*KFC!$C$5</f>
        <v>66.5</v>
      </c>
      <c r="R106" s="932">
        <f>(AN106*KFC!$B$19+KFC!$C$19)*KFC!$C$5</f>
        <v>69.209999999999994</v>
      </c>
      <c r="S106" s="932">
        <f>(AO106*KFC!$B$19+KFC!$C$19)*KFC!$C$5</f>
        <v>71.64</v>
      </c>
      <c r="T106" s="932">
        <f>(AP106*KFC!$B$19+KFC!$C$19)*KFC!$C$5</f>
        <v>74.069999999999993</v>
      </c>
      <c r="U106" s="943">
        <f>(AQ106*KFC!$B$19+KFC!$C$19)*KFC!$C$5</f>
        <v>76.5</v>
      </c>
      <c r="V106" s="928"/>
      <c r="X106" s="923">
        <v>1.2</v>
      </c>
      <c r="Y106" s="929">
        <v>27.89</v>
      </c>
      <c r="Z106" s="929">
        <v>30.46</v>
      </c>
      <c r="AA106" s="929">
        <v>33.32</v>
      </c>
      <c r="AB106" s="929">
        <v>36.18</v>
      </c>
      <c r="AC106" s="929">
        <v>38.9</v>
      </c>
      <c r="AD106" s="929">
        <v>41.76</v>
      </c>
      <c r="AE106" s="929">
        <v>44.47</v>
      </c>
      <c r="AF106" s="929">
        <v>47.19</v>
      </c>
      <c r="AG106" s="929">
        <v>50.19</v>
      </c>
      <c r="AH106" s="929">
        <v>52.91</v>
      </c>
      <c r="AI106" s="929">
        <v>55.63</v>
      </c>
      <c r="AJ106" s="929">
        <v>58.49</v>
      </c>
      <c r="AK106" s="929">
        <v>61.2</v>
      </c>
      <c r="AL106" s="929">
        <v>63.92</v>
      </c>
      <c r="AM106" s="929">
        <v>66.5</v>
      </c>
      <c r="AN106" s="929">
        <v>69.209999999999994</v>
      </c>
      <c r="AO106" s="929">
        <v>71.64</v>
      </c>
      <c r="AP106" s="929">
        <v>74.069999999999993</v>
      </c>
      <c r="AQ106" s="929">
        <v>76.5</v>
      </c>
      <c r="AR106" s="929">
        <v>78.930000000000007</v>
      </c>
    </row>
    <row r="107" spans="1:44">
      <c r="A107" s="1538"/>
      <c r="B107" s="930">
        <v>1.3</v>
      </c>
      <c r="C107" s="931">
        <f>(Y107*KFC!$B$19+KFC!$C$19)*KFC!$C$5</f>
        <v>28.6</v>
      </c>
      <c r="D107" s="932">
        <f>(Z107*KFC!$B$19+KFC!$C$19)*KFC!$C$5</f>
        <v>31.32</v>
      </c>
      <c r="E107" s="932">
        <f>(AA107*KFC!$B$19+KFC!$C$19)*KFC!$C$5</f>
        <v>34.46</v>
      </c>
      <c r="F107" s="932">
        <f>(AB107*KFC!$B$19+KFC!$C$19)*KFC!$C$5</f>
        <v>37.47</v>
      </c>
      <c r="G107" s="932">
        <f>(AC107*KFC!$B$19+KFC!$C$19)*KFC!$C$5</f>
        <v>40.33</v>
      </c>
      <c r="H107" s="932">
        <f>(AD107*KFC!$B$19+KFC!$C$19)*KFC!$C$5</f>
        <v>43.33</v>
      </c>
      <c r="I107" s="932">
        <f>(AE107*KFC!$B$19+KFC!$C$19)*KFC!$C$5</f>
        <v>46.33</v>
      </c>
      <c r="J107" s="932">
        <f>(AF107*KFC!$B$19+KFC!$C$19)*KFC!$C$5</f>
        <v>49.19</v>
      </c>
      <c r="K107" s="932">
        <f>(AG107*KFC!$B$19+KFC!$C$19)*KFC!$C$5</f>
        <v>52.34</v>
      </c>
      <c r="L107" s="932">
        <f>(AH107*KFC!$B$19+KFC!$C$19)*KFC!$C$5</f>
        <v>55.2</v>
      </c>
      <c r="M107" s="932">
        <f>(AI107*KFC!$B$19+KFC!$C$19)*KFC!$C$5</f>
        <v>58.06</v>
      </c>
      <c r="N107" s="932">
        <f>(AJ107*KFC!$B$19+KFC!$C$19)*KFC!$C$5</f>
        <v>61.2</v>
      </c>
      <c r="O107" s="932">
        <f>(AK107*KFC!$B$19+KFC!$C$19)*KFC!$C$5</f>
        <v>64.06</v>
      </c>
      <c r="P107" s="932">
        <f>(AL107*KFC!$B$19+KFC!$C$19)*KFC!$C$5</f>
        <v>66.92</v>
      </c>
      <c r="Q107" s="932">
        <f>(AM107*KFC!$B$19+KFC!$C$19)*KFC!$C$5</f>
        <v>69.930000000000007</v>
      </c>
      <c r="R107" s="932">
        <f>(AN107*KFC!$B$19+KFC!$C$19)*KFC!$C$5</f>
        <v>72.790000000000006</v>
      </c>
      <c r="S107" s="932">
        <f>(AO107*KFC!$B$19+KFC!$C$19)*KFC!$C$5</f>
        <v>75.650000000000006</v>
      </c>
      <c r="T107" s="932">
        <f>(AP107*KFC!$B$19+KFC!$C$19)*KFC!$C$5</f>
        <v>78.510000000000005</v>
      </c>
      <c r="U107" s="943">
        <f>(AQ107*KFC!$B$19+KFC!$C$19)*KFC!$C$5</f>
        <v>81.37</v>
      </c>
      <c r="V107" s="928"/>
      <c r="X107" s="923">
        <v>1.3</v>
      </c>
      <c r="Y107" s="929">
        <v>28.6</v>
      </c>
      <c r="Z107" s="929">
        <v>31.32</v>
      </c>
      <c r="AA107" s="929">
        <v>34.46</v>
      </c>
      <c r="AB107" s="929">
        <v>37.47</v>
      </c>
      <c r="AC107" s="929">
        <v>40.33</v>
      </c>
      <c r="AD107" s="929">
        <v>43.33</v>
      </c>
      <c r="AE107" s="929">
        <v>46.33</v>
      </c>
      <c r="AF107" s="929">
        <v>49.19</v>
      </c>
      <c r="AG107" s="929">
        <v>52.34</v>
      </c>
      <c r="AH107" s="929">
        <v>55.2</v>
      </c>
      <c r="AI107" s="929">
        <v>58.06</v>
      </c>
      <c r="AJ107" s="929">
        <v>61.2</v>
      </c>
      <c r="AK107" s="929">
        <v>64.06</v>
      </c>
      <c r="AL107" s="929">
        <v>66.92</v>
      </c>
      <c r="AM107" s="929">
        <v>69.930000000000007</v>
      </c>
      <c r="AN107" s="929">
        <v>72.790000000000006</v>
      </c>
      <c r="AO107" s="929">
        <v>75.650000000000006</v>
      </c>
      <c r="AP107" s="929">
        <v>78.510000000000005</v>
      </c>
      <c r="AQ107" s="929">
        <v>81.37</v>
      </c>
      <c r="AR107" s="929">
        <v>84.23</v>
      </c>
    </row>
    <row r="108" spans="1:44">
      <c r="A108" s="1538"/>
      <c r="B108" s="930">
        <v>1.4</v>
      </c>
      <c r="C108" s="931">
        <f>(Y108*KFC!$B$19+KFC!$C$19)*KFC!$C$5</f>
        <v>29.32</v>
      </c>
      <c r="D108" s="932">
        <f>(Z108*KFC!$B$19+KFC!$C$19)*KFC!$C$5</f>
        <v>32.46</v>
      </c>
      <c r="E108" s="932">
        <f>(AA108*KFC!$B$19+KFC!$C$19)*KFC!$C$5</f>
        <v>35.46</v>
      </c>
      <c r="F108" s="932">
        <f>(AB108*KFC!$B$19+KFC!$C$19)*KFC!$C$5</f>
        <v>38.75</v>
      </c>
      <c r="G108" s="932">
        <f>(AC108*KFC!$B$19+KFC!$C$19)*KFC!$C$5</f>
        <v>41.76</v>
      </c>
      <c r="H108" s="932">
        <f>(AD108*KFC!$B$19+KFC!$C$19)*KFC!$C$5</f>
        <v>45.05</v>
      </c>
      <c r="I108" s="932">
        <f>(AE108*KFC!$B$19+KFC!$C$19)*KFC!$C$5</f>
        <v>48.19</v>
      </c>
      <c r="J108" s="932">
        <f>(AF108*KFC!$B$19+KFC!$C$19)*KFC!$C$5</f>
        <v>51.19</v>
      </c>
      <c r="K108" s="932">
        <f>(AG108*KFC!$B$19+KFC!$C$19)*KFC!$C$5</f>
        <v>54.34</v>
      </c>
      <c r="L108" s="932">
        <f>(AH108*KFC!$B$19+KFC!$C$19)*KFC!$C$5</f>
        <v>57.34</v>
      </c>
      <c r="M108" s="932">
        <f>(AI108*KFC!$B$19+KFC!$C$19)*KFC!$C$5</f>
        <v>60.49</v>
      </c>
      <c r="N108" s="932">
        <f>(AJ108*KFC!$B$19+KFC!$C$19)*KFC!$C$5</f>
        <v>63.78</v>
      </c>
      <c r="O108" s="932">
        <f>(AK108*KFC!$B$19+KFC!$C$19)*KFC!$C$5</f>
        <v>66.92</v>
      </c>
      <c r="P108" s="932">
        <f>(AL108*KFC!$B$19+KFC!$C$19)*KFC!$C$5</f>
        <v>69.930000000000007</v>
      </c>
      <c r="Q108" s="932">
        <f>(AM108*KFC!$B$19+KFC!$C$19)*KFC!$C$5</f>
        <v>72.790000000000006</v>
      </c>
      <c r="R108" s="932">
        <f>(AN108*KFC!$B$19+KFC!$C$19)*KFC!$C$5</f>
        <v>75.650000000000006</v>
      </c>
      <c r="S108" s="932">
        <f>(AO108*KFC!$B$19+KFC!$C$19)*KFC!$C$5</f>
        <v>78.510000000000005</v>
      </c>
      <c r="T108" s="932">
        <f>(AP108*KFC!$B$19+KFC!$C$19)*KFC!$C$5</f>
        <v>81.37</v>
      </c>
      <c r="U108" s="943">
        <f>(AQ108*KFC!$B$19+KFC!$C$19)*KFC!$C$5</f>
        <v>84.23</v>
      </c>
      <c r="V108" s="928"/>
      <c r="X108" s="923">
        <v>1.4</v>
      </c>
      <c r="Y108" s="929">
        <v>29.32</v>
      </c>
      <c r="Z108" s="929">
        <v>32.46</v>
      </c>
      <c r="AA108" s="929">
        <v>35.46</v>
      </c>
      <c r="AB108" s="929">
        <v>38.75</v>
      </c>
      <c r="AC108" s="929">
        <v>41.76</v>
      </c>
      <c r="AD108" s="929">
        <v>45.05</v>
      </c>
      <c r="AE108" s="929">
        <v>48.19</v>
      </c>
      <c r="AF108" s="929">
        <v>51.19</v>
      </c>
      <c r="AG108" s="929">
        <v>54.34</v>
      </c>
      <c r="AH108" s="929">
        <v>57.34</v>
      </c>
      <c r="AI108" s="929">
        <v>60.49</v>
      </c>
      <c r="AJ108" s="929">
        <v>63.78</v>
      </c>
      <c r="AK108" s="929">
        <v>66.92</v>
      </c>
      <c r="AL108" s="929">
        <v>69.930000000000007</v>
      </c>
      <c r="AM108" s="929">
        <v>72.790000000000006</v>
      </c>
      <c r="AN108" s="929">
        <v>75.650000000000006</v>
      </c>
      <c r="AO108" s="929">
        <v>78.510000000000005</v>
      </c>
      <c r="AP108" s="929">
        <v>81.37</v>
      </c>
      <c r="AQ108" s="929">
        <v>84.23</v>
      </c>
      <c r="AR108" s="929">
        <v>87.09</v>
      </c>
    </row>
    <row r="109" spans="1:44">
      <c r="A109" s="1538"/>
      <c r="B109" s="930">
        <v>1.5</v>
      </c>
      <c r="C109" s="931">
        <f>(Y109*KFC!$B$19+KFC!$C$19)*KFC!$C$5</f>
        <v>30.17</v>
      </c>
      <c r="D109" s="932">
        <f>(Z109*KFC!$B$19+KFC!$C$19)*KFC!$C$5</f>
        <v>33.32</v>
      </c>
      <c r="E109" s="932">
        <f>(AA109*KFC!$B$19+KFC!$C$19)*KFC!$C$5</f>
        <v>36.75</v>
      </c>
      <c r="F109" s="932">
        <f>(AB109*KFC!$B$19+KFC!$C$19)*KFC!$C$5</f>
        <v>40.18</v>
      </c>
      <c r="G109" s="932">
        <f>(AC109*KFC!$B$19+KFC!$C$19)*KFC!$C$5</f>
        <v>43.33</v>
      </c>
      <c r="H109" s="932">
        <f>(AD109*KFC!$B$19+KFC!$C$19)*KFC!$C$5</f>
        <v>46.76</v>
      </c>
      <c r="I109" s="932">
        <f>(AE109*KFC!$B$19+KFC!$C$19)*KFC!$C$5</f>
        <v>49.76</v>
      </c>
      <c r="J109" s="932">
        <f>(AF109*KFC!$B$19+KFC!$C$19)*KFC!$C$5</f>
        <v>53.2</v>
      </c>
      <c r="K109" s="932">
        <f>(AG109*KFC!$B$19+KFC!$C$19)*KFC!$C$5</f>
        <v>56.34</v>
      </c>
      <c r="L109" s="932">
        <f>(AH109*KFC!$B$19+KFC!$C$19)*KFC!$C$5</f>
        <v>59.77</v>
      </c>
      <c r="M109" s="932">
        <f>(AI109*KFC!$B$19+KFC!$C$19)*KFC!$C$5</f>
        <v>63.06</v>
      </c>
      <c r="N109" s="932">
        <f>(AJ109*KFC!$B$19+KFC!$C$19)*KFC!$C$5</f>
        <v>66.209999999999994</v>
      </c>
      <c r="O109" s="932">
        <f>(AK109*KFC!$B$19+KFC!$C$19)*KFC!$C$5</f>
        <v>69.64</v>
      </c>
      <c r="P109" s="932">
        <f>(AL109*KFC!$B$19+KFC!$C$19)*KFC!$C$5</f>
        <v>72.930000000000007</v>
      </c>
      <c r="Q109" s="932">
        <f>(AM109*KFC!$B$19+KFC!$C$19)*KFC!$C$5</f>
        <v>76.22</v>
      </c>
      <c r="R109" s="932">
        <f>(AN109*KFC!$B$19+KFC!$C$19)*KFC!$C$5</f>
        <v>79.22</v>
      </c>
      <c r="S109" s="932">
        <f>(AO109*KFC!$B$19+KFC!$C$19)*KFC!$C$5</f>
        <v>82.51</v>
      </c>
      <c r="T109" s="932">
        <f>(AP109*KFC!$B$19+KFC!$C$19)*KFC!$C$5</f>
        <v>85.8</v>
      </c>
      <c r="U109" s="943">
        <f>(AQ109*KFC!$B$19+KFC!$C$19)*KFC!$C$5</f>
        <v>89.09</v>
      </c>
      <c r="V109" s="928"/>
      <c r="X109" s="923">
        <v>1.5</v>
      </c>
      <c r="Y109" s="929">
        <v>30.17</v>
      </c>
      <c r="Z109" s="929">
        <v>33.32</v>
      </c>
      <c r="AA109" s="929">
        <v>36.75</v>
      </c>
      <c r="AB109" s="929">
        <v>40.18</v>
      </c>
      <c r="AC109" s="929">
        <v>43.33</v>
      </c>
      <c r="AD109" s="929">
        <v>46.76</v>
      </c>
      <c r="AE109" s="929">
        <v>49.76</v>
      </c>
      <c r="AF109" s="929">
        <v>53.2</v>
      </c>
      <c r="AG109" s="929">
        <v>56.34</v>
      </c>
      <c r="AH109" s="929">
        <v>59.77</v>
      </c>
      <c r="AI109" s="929">
        <v>63.06</v>
      </c>
      <c r="AJ109" s="929">
        <v>66.209999999999994</v>
      </c>
      <c r="AK109" s="929">
        <v>69.64</v>
      </c>
      <c r="AL109" s="929">
        <v>72.930000000000007</v>
      </c>
      <c r="AM109" s="929">
        <v>76.22</v>
      </c>
      <c r="AN109" s="929">
        <v>79.22</v>
      </c>
      <c r="AO109" s="929">
        <v>82.51</v>
      </c>
      <c r="AP109" s="929">
        <v>85.8</v>
      </c>
      <c r="AQ109" s="929">
        <v>89.09</v>
      </c>
      <c r="AR109" s="929">
        <v>92.38</v>
      </c>
    </row>
    <row r="110" spans="1:44">
      <c r="A110" s="1538"/>
      <c r="B110" s="930">
        <v>1.6</v>
      </c>
      <c r="C110" s="931">
        <f>(Y110*KFC!$B$19+KFC!$C$19)*KFC!$C$5</f>
        <v>30.89</v>
      </c>
      <c r="D110" s="932">
        <f>(Z110*KFC!$B$19+KFC!$C$19)*KFC!$C$5</f>
        <v>34.46</v>
      </c>
      <c r="E110" s="932">
        <f>(AA110*KFC!$B$19+KFC!$C$19)*KFC!$C$5</f>
        <v>37.9</v>
      </c>
      <c r="F110" s="932">
        <f>(AB110*KFC!$B$19+KFC!$C$19)*KFC!$C$5</f>
        <v>41.33</v>
      </c>
      <c r="G110" s="932">
        <f>(AC110*KFC!$B$19+KFC!$C$19)*KFC!$C$5</f>
        <v>44.76</v>
      </c>
      <c r="H110" s="932">
        <f>(AD110*KFC!$B$19+KFC!$C$19)*KFC!$C$5</f>
        <v>48.19</v>
      </c>
      <c r="I110" s="932">
        <f>(AE110*KFC!$B$19+KFC!$C$19)*KFC!$C$5</f>
        <v>51.77</v>
      </c>
      <c r="J110" s="932">
        <f>(AF110*KFC!$B$19+KFC!$C$19)*KFC!$C$5</f>
        <v>55.2</v>
      </c>
      <c r="K110" s="932">
        <f>(AG110*KFC!$B$19+KFC!$C$19)*KFC!$C$5</f>
        <v>58.63</v>
      </c>
      <c r="L110" s="932">
        <f>(AH110*KFC!$B$19+KFC!$C$19)*KFC!$C$5</f>
        <v>62.06</v>
      </c>
      <c r="M110" s="932">
        <f>(AI110*KFC!$B$19+KFC!$C$19)*KFC!$C$5</f>
        <v>65.489999999999995</v>
      </c>
      <c r="N110" s="932">
        <f>(AJ110*KFC!$B$19+KFC!$C$19)*KFC!$C$5</f>
        <v>68.930000000000007</v>
      </c>
      <c r="O110" s="932">
        <f>(AK110*KFC!$B$19+KFC!$C$19)*KFC!$C$5</f>
        <v>72.36</v>
      </c>
      <c r="P110" s="932">
        <f>(AL110*KFC!$B$19+KFC!$C$19)*KFC!$C$5</f>
        <v>75.790000000000006</v>
      </c>
      <c r="Q110" s="932">
        <f>(AM110*KFC!$B$19+KFC!$C$19)*KFC!$C$5</f>
        <v>79.08</v>
      </c>
      <c r="R110" s="932">
        <f>(AN110*KFC!$B$19+KFC!$C$19)*KFC!$C$5</f>
        <v>82.51</v>
      </c>
      <c r="S110" s="932">
        <f>(AO110*KFC!$B$19+KFC!$C$19)*KFC!$C$5</f>
        <v>85.94</v>
      </c>
      <c r="T110" s="932">
        <f>(AP110*KFC!$B$19+KFC!$C$19)*KFC!$C$5</f>
        <v>89.37</v>
      </c>
      <c r="U110" s="943">
        <f>(AQ110*KFC!$B$19+KFC!$C$19)*KFC!$C$5</f>
        <v>92.8</v>
      </c>
      <c r="V110" s="928"/>
      <c r="X110" s="923">
        <v>1.6</v>
      </c>
      <c r="Y110" s="929">
        <v>30.89</v>
      </c>
      <c r="Z110" s="929">
        <v>34.46</v>
      </c>
      <c r="AA110" s="929">
        <v>37.9</v>
      </c>
      <c r="AB110" s="929">
        <v>41.33</v>
      </c>
      <c r="AC110" s="929">
        <v>44.76</v>
      </c>
      <c r="AD110" s="929">
        <v>48.19</v>
      </c>
      <c r="AE110" s="929">
        <v>51.77</v>
      </c>
      <c r="AF110" s="929">
        <v>55.2</v>
      </c>
      <c r="AG110" s="929">
        <v>58.63</v>
      </c>
      <c r="AH110" s="929">
        <v>62.06</v>
      </c>
      <c r="AI110" s="929">
        <v>65.489999999999995</v>
      </c>
      <c r="AJ110" s="929">
        <v>68.930000000000007</v>
      </c>
      <c r="AK110" s="929">
        <v>72.36</v>
      </c>
      <c r="AL110" s="929">
        <v>75.790000000000006</v>
      </c>
      <c r="AM110" s="929">
        <v>79.08</v>
      </c>
      <c r="AN110" s="929">
        <v>82.51</v>
      </c>
      <c r="AO110" s="929">
        <v>85.94</v>
      </c>
      <c r="AP110" s="929">
        <v>89.37</v>
      </c>
      <c r="AQ110" s="929">
        <v>92.8</v>
      </c>
      <c r="AR110" s="929">
        <v>96.23</v>
      </c>
    </row>
    <row r="111" spans="1:44">
      <c r="A111" s="1538"/>
      <c r="B111" s="930">
        <v>1.7</v>
      </c>
      <c r="C111" s="931">
        <f>(Y111*KFC!$B$19+KFC!$C$19)*KFC!$C$5</f>
        <v>31.75</v>
      </c>
      <c r="D111" s="932">
        <f>(Z111*KFC!$B$19+KFC!$C$19)*KFC!$C$5</f>
        <v>35.32</v>
      </c>
      <c r="E111" s="932">
        <f>(AA111*KFC!$B$19+KFC!$C$19)*KFC!$C$5</f>
        <v>38.9</v>
      </c>
      <c r="F111" s="932">
        <f>(AB111*KFC!$B$19+KFC!$C$19)*KFC!$C$5</f>
        <v>42.47</v>
      </c>
      <c r="G111" s="932">
        <f>(AC111*KFC!$B$19+KFC!$C$19)*KFC!$C$5</f>
        <v>46.33</v>
      </c>
      <c r="H111" s="932">
        <f>(AD111*KFC!$B$19+KFC!$C$19)*KFC!$C$5</f>
        <v>49.76</v>
      </c>
      <c r="I111" s="932">
        <f>(AE111*KFC!$B$19+KFC!$C$19)*KFC!$C$5</f>
        <v>53.34</v>
      </c>
      <c r="J111" s="932">
        <f>(AF111*KFC!$B$19+KFC!$C$19)*KFC!$C$5</f>
        <v>57.2</v>
      </c>
      <c r="K111" s="932">
        <f>(AG111*KFC!$B$19+KFC!$C$19)*KFC!$C$5</f>
        <v>60.63</v>
      </c>
      <c r="L111" s="932">
        <f>(AH111*KFC!$B$19+KFC!$C$19)*KFC!$C$5</f>
        <v>64.209999999999994</v>
      </c>
      <c r="M111" s="932">
        <f>(AI111*KFC!$B$19+KFC!$C$19)*KFC!$C$5</f>
        <v>68.069999999999993</v>
      </c>
      <c r="N111" s="932">
        <f>(AJ111*KFC!$B$19+KFC!$C$19)*KFC!$C$5</f>
        <v>71.5</v>
      </c>
      <c r="O111" s="932">
        <f>(AK111*KFC!$B$19+KFC!$C$19)*KFC!$C$5</f>
        <v>75.36</v>
      </c>
      <c r="P111" s="932">
        <f>(AL111*KFC!$B$19+KFC!$C$19)*KFC!$C$5</f>
        <v>78.94</v>
      </c>
      <c r="Q111" s="932">
        <f>(AM111*KFC!$B$19+KFC!$C$19)*KFC!$C$5</f>
        <v>82.37</v>
      </c>
      <c r="R111" s="932">
        <f>(AN111*KFC!$B$19+KFC!$C$19)*KFC!$C$5</f>
        <v>85.94</v>
      </c>
      <c r="S111" s="932">
        <f>(AO111*KFC!$B$19+KFC!$C$19)*KFC!$C$5</f>
        <v>89.38</v>
      </c>
      <c r="T111" s="932">
        <f>(AP111*KFC!$B$19+KFC!$C$19)*KFC!$C$5</f>
        <v>92.82</v>
      </c>
      <c r="U111" s="943">
        <f>(AQ111*KFC!$B$19+KFC!$C$19)*KFC!$C$5</f>
        <v>96.26</v>
      </c>
      <c r="V111" s="928"/>
      <c r="X111" s="923">
        <v>1.7</v>
      </c>
      <c r="Y111" s="929">
        <v>31.75</v>
      </c>
      <c r="Z111" s="929">
        <v>35.32</v>
      </c>
      <c r="AA111" s="929">
        <v>38.9</v>
      </c>
      <c r="AB111" s="929">
        <v>42.47</v>
      </c>
      <c r="AC111" s="929">
        <v>46.33</v>
      </c>
      <c r="AD111" s="929">
        <v>49.76</v>
      </c>
      <c r="AE111" s="929">
        <v>53.34</v>
      </c>
      <c r="AF111" s="929">
        <v>57.2</v>
      </c>
      <c r="AG111" s="929">
        <v>60.63</v>
      </c>
      <c r="AH111" s="929">
        <v>64.209999999999994</v>
      </c>
      <c r="AI111" s="929">
        <v>68.069999999999993</v>
      </c>
      <c r="AJ111" s="929">
        <v>71.5</v>
      </c>
      <c r="AK111" s="929">
        <v>75.36</v>
      </c>
      <c r="AL111" s="929">
        <v>78.94</v>
      </c>
      <c r="AM111" s="929">
        <v>82.37</v>
      </c>
      <c r="AN111" s="929">
        <v>85.94</v>
      </c>
      <c r="AO111" s="929">
        <v>89.38</v>
      </c>
      <c r="AP111" s="929">
        <v>92.82</v>
      </c>
      <c r="AQ111" s="929">
        <v>96.26</v>
      </c>
      <c r="AR111" s="929">
        <v>99.7</v>
      </c>
    </row>
    <row r="112" spans="1:44">
      <c r="A112" s="1538"/>
      <c r="B112" s="930">
        <v>1.8</v>
      </c>
      <c r="C112" s="931">
        <f>(Y112*KFC!$B$19+KFC!$C$19)*KFC!$C$5</f>
        <v>32.46</v>
      </c>
      <c r="D112" s="932">
        <f>(Z112*KFC!$B$19+KFC!$C$19)*KFC!$C$5</f>
        <v>36.18</v>
      </c>
      <c r="E112" s="932">
        <f>(AA112*KFC!$B$19+KFC!$C$19)*KFC!$C$5</f>
        <v>40.18</v>
      </c>
      <c r="F112" s="932">
        <f>(AB112*KFC!$B$19+KFC!$C$19)*KFC!$C$5</f>
        <v>43.76</v>
      </c>
      <c r="G112" s="932">
        <f>(AC112*KFC!$B$19+KFC!$C$19)*KFC!$C$5</f>
        <v>47.62</v>
      </c>
      <c r="H112" s="932">
        <f>(AD112*KFC!$B$19+KFC!$C$19)*KFC!$C$5</f>
        <v>51.34</v>
      </c>
      <c r="I112" s="932">
        <f>(AE112*KFC!$B$19+KFC!$C$19)*KFC!$C$5</f>
        <v>55.2</v>
      </c>
      <c r="J112" s="932">
        <f>(AF112*KFC!$B$19+KFC!$C$19)*KFC!$C$5</f>
        <v>59.06</v>
      </c>
      <c r="K112" s="932">
        <f>(AG112*KFC!$B$19+KFC!$C$19)*KFC!$C$5</f>
        <v>62.78</v>
      </c>
      <c r="L112" s="932">
        <f>(AH112*KFC!$B$19+KFC!$C$19)*KFC!$C$5</f>
        <v>66.64</v>
      </c>
      <c r="M112" s="932">
        <f>(AI112*KFC!$B$19+KFC!$C$19)*KFC!$C$5</f>
        <v>70.36</v>
      </c>
      <c r="N112" s="932">
        <f>(AJ112*KFC!$B$19+KFC!$C$19)*KFC!$C$5</f>
        <v>74.22</v>
      </c>
      <c r="O112" s="932">
        <f>(AK112*KFC!$B$19+KFC!$C$19)*KFC!$C$5</f>
        <v>78.22</v>
      </c>
      <c r="P112" s="932">
        <f>(AL112*KFC!$B$19+KFC!$C$19)*KFC!$C$5</f>
        <v>81.8</v>
      </c>
      <c r="Q112" s="932">
        <f>(AM112*KFC!$B$19+KFC!$C$19)*KFC!$C$5</f>
        <v>85.37</v>
      </c>
      <c r="R112" s="932">
        <f>(AN112*KFC!$B$19+KFC!$C$19)*KFC!$C$5</f>
        <v>89.09</v>
      </c>
      <c r="S112" s="932">
        <f>(AO112*KFC!$B$19+KFC!$C$19)*KFC!$C$5</f>
        <v>92.81</v>
      </c>
      <c r="T112" s="932">
        <f>(AP112*KFC!$B$19+KFC!$C$19)*KFC!$C$5</f>
        <v>96.53</v>
      </c>
      <c r="U112" s="943">
        <f>(AQ112*KFC!$B$19+KFC!$C$19)*KFC!$C$5</f>
        <v>100.25</v>
      </c>
      <c r="V112" s="928"/>
      <c r="X112" s="923">
        <v>1.8</v>
      </c>
      <c r="Y112" s="929">
        <v>32.46</v>
      </c>
      <c r="Z112" s="929">
        <v>36.18</v>
      </c>
      <c r="AA112" s="929">
        <v>40.18</v>
      </c>
      <c r="AB112" s="929">
        <v>43.76</v>
      </c>
      <c r="AC112" s="929">
        <v>47.62</v>
      </c>
      <c r="AD112" s="929">
        <v>51.34</v>
      </c>
      <c r="AE112" s="929">
        <v>55.2</v>
      </c>
      <c r="AF112" s="929">
        <v>59.06</v>
      </c>
      <c r="AG112" s="929">
        <v>62.78</v>
      </c>
      <c r="AH112" s="929">
        <v>66.64</v>
      </c>
      <c r="AI112" s="929">
        <v>70.36</v>
      </c>
      <c r="AJ112" s="929">
        <v>74.22</v>
      </c>
      <c r="AK112" s="929">
        <v>78.22</v>
      </c>
      <c r="AL112" s="929">
        <v>81.8</v>
      </c>
      <c r="AM112" s="929">
        <v>85.37</v>
      </c>
      <c r="AN112" s="929">
        <v>89.09</v>
      </c>
      <c r="AO112" s="929">
        <v>92.81</v>
      </c>
      <c r="AP112" s="929">
        <v>96.53</v>
      </c>
      <c r="AQ112" s="929">
        <v>100.25</v>
      </c>
      <c r="AR112" s="929">
        <v>103.97</v>
      </c>
    </row>
    <row r="113" spans="1:44">
      <c r="A113" s="1538"/>
      <c r="B113" s="930">
        <v>1.9</v>
      </c>
      <c r="C113" s="931">
        <f>(Y113*KFC!$B$19+KFC!$C$19)*KFC!$C$5</f>
        <v>33.89</v>
      </c>
      <c r="D113" s="932">
        <f>(Z113*KFC!$B$19+KFC!$C$19)*KFC!$C$5</f>
        <v>38.04</v>
      </c>
      <c r="E113" s="932">
        <f>(AA113*KFC!$B$19+KFC!$C$19)*KFC!$C$5</f>
        <v>42.33</v>
      </c>
      <c r="F113" s="932">
        <f>(AB113*KFC!$B$19+KFC!$C$19)*KFC!$C$5</f>
        <v>46.33</v>
      </c>
      <c r="G113" s="932">
        <f>(AC113*KFC!$B$19+KFC!$C$19)*KFC!$C$5</f>
        <v>50.48</v>
      </c>
      <c r="H113" s="932">
        <f>(AD113*KFC!$B$19+KFC!$C$19)*KFC!$C$5</f>
        <v>54.63</v>
      </c>
      <c r="I113" s="932">
        <f>(AE113*KFC!$B$19+KFC!$C$19)*KFC!$C$5</f>
        <v>58.77</v>
      </c>
      <c r="J113" s="932">
        <f>(AF113*KFC!$B$19+KFC!$C$19)*KFC!$C$5</f>
        <v>63.06</v>
      </c>
      <c r="K113" s="932">
        <f>(AG113*KFC!$B$19+KFC!$C$19)*KFC!$C$5</f>
        <v>67.209999999999994</v>
      </c>
      <c r="L113" s="932">
        <f>(AH113*KFC!$B$19+KFC!$C$19)*KFC!$C$5</f>
        <v>71.069999999999993</v>
      </c>
      <c r="M113" s="932">
        <f>(AI113*KFC!$B$19+KFC!$C$19)*KFC!$C$5</f>
        <v>75.36</v>
      </c>
      <c r="N113" s="932">
        <f>(AJ113*KFC!$B$19+KFC!$C$19)*KFC!$C$5</f>
        <v>79.510000000000005</v>
      </c>
      <c r="O113" s="932">
        <f>(AK113*KFC!$B$19+KFC!$C$19)*KFC!$C$5</f>
        <v>83.8</v>
      </c>
      <c r="P113" s="932">
        <f>(AL113*KFC!$B$19+KFC!$C$19)*KFC!$C$5</f>
        <v>87.95</v>
      </c>
      <c r="Q113" s="932">
        <f>(AM113*KFC!$B$19+KFC!$C$19)*KFC!$C$5</f>
        <v>92.09</v>
      </c>
      <c r="R113" s="932">
        <f>(AN113*KFC!$B$19+KFC!$C$19)*KFC!$C$5</f>
        <v>96.1</v>
      </c>
      <c r="S113" s="932">
        <f>(AO113*KFC!$B$19+KFC!$C$19)*KFC!$C$5</f>
        <v>100.24</v>
      </c>
      <c r="T113" s="932">
        <f>(AP113*KFC!$B$19+KFC!$C$19)*KFC!$C$5</f>
        <v>104.38</v>
      </c>
      <c r="U113" s="943">
        <f>(AQ113*KFC!$B$19+KFC!$C$19)*KFC!$C$5</f>
        <v>108.52</v>
      </c>
      <c r="V113" s="928"/>
      <c r="X113" s="923">
        <v>1.9</v>
      </c>
      <c r="Y113" s="929">
        <v>33.89</v>
      </c>
      <c r="Z113" s="929">
        <v>38.04</v>
      </c>
      <c r="AA113" s="929">
        <v>42.33</v>
      </c>
      <c r="AB113" s="929">
        <v>46.33</v>
      </c>
      <c r="AC113" s="929">
        <v>50.48</v>
      </c>
      <c r="AD113" s="929">
        <v>54.63</v>
      </c>
      <c r="AE113" s="929">
        <v>58.77</v>
      </c>
      <c r="AF113" s="929">
        <v>63.06</v>
      </c>
      <c r="AG113" s="929">
        <v>67.209999999999994</v>
      </c>
      <c r="AH113" s="929">
        <v>71.069999999999993</v>
      </c>
      <c r="AI113" s="929">
        <v>75.36</v>
      </c>
      <c r="AJ113" s="929">
        <v>79.510000000000005</v>
      </c>
      <c r="AK113" s="929">
        <v>83.8</v>
      </c>
      <c r="AL113" s="929">
        <v>87.95</v>
      </c>
      <c r="AM113" s="929">
        <v>92.09</v>
      </c>
      <c r="AN113" s="929">
        <v>96.1</v>
      </c>
      <c r="AO113" s="929">
        <v>100.24</v>
      </c>
      <c r="AP113" s="929">
        <v>104.38</v>
      </c>
      <c r="AQ113" s="929">
        <v>108.52</v>
      </c>
      <c r="AR113" s="929">
        <v>112.66</v>
      </c>
    </row>
    <row r="114" spans="1:44">
      <c r="A114" s="1538"/>
      <c r="B114" s="930">
        <v>2</v>
      </c>
      <c r="C114" s="931">
        <f>(Y114*KFC!$B$19+KFC!$C$19)*KFC!$C$5</f>
        <v>34.61</v>
      </c>
      <c r="D114" s="932">
        <f>(Z114*KFC!$B$19+KFC!$C$19)*KFC!$C$5</f>
        <v>38.9</v>
      </c>
      <c r="E114" s="932">
        <f>(AA114*KFC!$B$19+KFC!$C$19)*KFC!$C$5</f>
        <v>43.33</v>
      </c>
      <c r="F114" s="932">
        <f>(AB114*KFC!$B$19+KFC!$C$19)*KFC!$C$5</f>
        <v>47.62</v>
      </c>
      <c r="G114" s="932">
        <f>(AC114*KFC!$B$19+KFC!$C$19)*KFC!$C$5</f>
        <v>51.91</v>
      </c>
      <c r="H114" s="932">
        <f>(AD114*KFC!$B$19+KFC!$C$19)*KFC!$C$5</f>
        <v>56.34</v>
      </c>
      <c r="I114" s="932">
        <f>(AE114*KFC!$B$19+KFC!$C$19)*KFC!$C$5</f>
        <v>60.49</v>
      </c>
      <c r="J114" s="932">
        <f>(AF114*KFC!$B$19+KFC!$C$19)*KFC!$C$5</f>
        <v>64.92</v>
      </c>
      <c r="K114" s="932">
        <f>(AG114*KFC!$B$19+KFC!$C$19)*KFC!$C$5</f>
        <v>69.36</v>
      </c>
      <c r="L114" s="932">
        <f>(AH114*KFC!$B$19+KFC!$C$19)*KFC!$C$5</f>
        <v>73.650000000000006</v>
      </c>
      <c r="M114" s="932">
        <f>(AI114*KFC!$B$19+KFC!$C$19)*KFC!$C$5</f>
        <v>78.08</v>
      </c>
      <c r="N114" s="932">
        <f>(AJ114*KFC!$B$19+KFC!$C$19)*KFC!$C$5</f>
        <v>82.23</v>
      </c>
      <c r="O114" s="932">
        <f>(AK114*KFC!$B$19+KFC!$C$19)*KFC!$C$5</f>
        <v>86.52</v>
      </c>
      <c r="P114" s="932">
        <f>(AL114*KFC!$B$19+KFC!$C$19)*KFC!$C$5</f>
        <v>90.81</v>
      </c>
      <c r="Q114" s="932">
        <f>(AM114*KFC!$B$19+KFC!$C$19)*KFC!$C$5</f>
        <v>95.1</v>
      </c>
      <c r="R114" s="932">
        <f>(AN114*KFC!$B$19+KFC!$C$19)*KFC!$C$5</f>
        <v>99.39</v>
      </c>
      <c r="S114" s="932">
        <f>(AO114*KFC!$B$19+KFC!$C$19)*KFC!$C$5</f>
        <v>103.68</v>
      </c>
      <c r="T114" s="932">
        <f>(AP114*KFC!$B$19+KFC!$C$19)*KFC!$C$5</f>
        <v>107.97</v>
      </c>
      <c r="U114" s="943">
        <f>(AQ114*KFC!$B$19+KFC!$C$19)*KFC!$C$5</f>
        <v>112.26</v>
      </c>
      <c r="V114" s="928"/>
      <c r="X114" s="923">
        <v>2</v>
      </c>
      <c r="Y114" s="929">
        <v>34.61</v>
      </c>
      <c r="Z114" s="929">
        <v>38.9</v>
      </c>
      <c r="AA114" s="929">
        <v>43.33</v>
      </c>
      <c r="AB114" s="929">
        <v>47.62</v>
      </c>
      <c r="AC114" s="929">
        <v>51.91</v>
      </c>
      <c r="AD114" s="929">
        <v>56.34</v>
      </c>
      <c r="AE114" s="929">
        <v>60.49</v>
      </c>
      <c r="AF114" s="929">
        <v>64.92</v>
      </c>
      <c r="AG114" s="929">
        <v>69.36</v>
      </c>
      <c r="AH114" s="929">
        <v>73.650000000000006</v>
      </c>
      <c r="AI114" s="929">
        <v>78.08</v>
      </c>
      <c r="AJ114" s="929">
        <v>82.23</v>
      </c>
      <c r="AK114" s="929">
        <v>86.52</v>
      </c>
      <c r="AL114" s="929">
        <v>90.81</v>
      </c>
      <c r="AM114" s="929">
        <v>95.1</v>
      </c>
      <c r="AN114" s="929">
        <v>99.39</v>
      </c>
      <c r="AO114" s="929">
        <v>103.68</v>
      </c>
      <c r="AP114" s="929">
        <v>107.97</v>
      </c>
      <c r="AQ114" s="929">
        <v>112.26</v>
      </c>
      <c r="AR114" s="929">
        <v>116.55</v>
      </c>
    </row>
    <row r="115" spans="1:44">
      <c r="A115" s="1538"/>
      <c r="B115" s="930">
        <v>2.1</v>
      </c>
      <c r="C115" s="931">
        <f>(Y115*KFC!$B$19+KFC!$C$19)*KFC!$C$5</f>
        <v>35.46</v>
      </c>
      <c r="D115" s="932">
        <f>(Z115*KFC!$B$19+KFC!$C$19)*KFC!$C$5</f>
        <v>39.75</v>
      </c>
      <c r="E115" s="932">
        <f>(AA115*KFC!$B$19+KFC!$C$19)*KFC!$C$5</f>
        <v>44.33</v>
      </c>
      <c r="F115" s="932">
        <f>(AB115*KFC!$B$19+KFC!$C$19)*KFC!$C$5</f>
        <v>48.91</v>
      </c>
      <c r="G115" s="932">
        <f>(AC115*KFC!$B$19+KFC!$C$19)*KFC!$C$5</f>
        <v>53.34</v>
      </c>
      <c r="H115" s="932">
        <f>(AD115*KFC!$B$19+KFC!$C$19)*KFC!$C$5</f>
        <v>57.92</v>
      </c>
      <c r="I115" s="932">
        <f>(AE115*KFC!$B$19+KFC!$C$19)*KFC!$C$5</f>
        <v>62.21</v>
      </c>
      <c r="J115" s="932">
        <f>(AF115*KFC!$B$19+KFC!$C$19)*KFC!$C$5</f>
        <v>66.92</v>
      </c>
      <c r="K115" s="932">
        <f>(AG115*KFC!$B$19+KFC!$C$19)*KFC!$C$5</f>
        <v>71.36</v>
      </c>
      <c r="L115" s="932">
        <f>(AH115*KFC!$B$19+KFC!$C$19)*KFC!$C$5</f>
        <v>75.790000000000006</v>
      </c>
      <c r="M115" s="932">
        <f>(AI115*KFC!$B$19+KFC!$C$19)*KFC!$C$5</f>
        <v>80.37</v>
      </c>
      <c r="N115" s="932">
        <f>(AJ115*KFC!$B$19+KFC!$C$19)*KFC!$C$5</f>
        <v>84.94</v>
      </c>
      <c r="O115" s="932">
        <f>(AK115*KFC!$B$19+KFC!$C$19)*KFC!$C$5</f>
        <v>89.23</v>
      </c>
      <c r="P115" s="932">
        <f>(AL115*KFC!$B$19+KFC!$C$19)*KFC!$C$5</f>
        <v>93.81</v>
      </c>
      <c r="Q115" s="932">
        <f>(AM115*KFC!$B$19+KFC!$C$19)*KFC!$C$5</f>
        <v>98.1</v>
      </c>
      <c r="R115" s="932">
        <f>(AN115*KFC!$B$19+KFC!$C$19)*KFC!$C$5</f>
        <v>102.67</v>
      </c>
      <c r="S115" s="932">
        <f>(AO115*KFC!$B$19+KFC!$C$19)*KFC!$C$5</f>
        <v>106.96</v>
      </c>
      <c r="T115" s="932">
        <f>(AP115*KFC!$B$19+KFC!$C$19)*KFC!$C$5</f>
        <v>111.25</v>
      </c>
      <c r="U115" s="943">
        <f>(AQ115*KFC!$B$19+KFC!$C$19)*KFC!$C$5</f>
        <v>115.54</v>
      </c>
      <c r="V115" s="928"/>
      <c r="X115" s="923">
        <v>2.1</v>
      </c>
      <c r="Y115" s="929">
        <v>35.46</v>
      </c>
      <c r="Z115" s="929">
        <v>39.75</v>
      </c>
      <c r="AA115" s="929">
        <v>44.33</v>
      </c>
      <c r="AB115" s="929">
        <v>48.91</v>
      </c>
      <c r="AC115" s="929">
        <v>53.34</v>
      </c>
      <c r="AD115" s="929">
        <v>57.92</v>
      </c>
      <c r="AE115" s="929">
        <v>62.21</v>
      </c>
      <c r="AF115" s="929">
        <v>66.92</v>
      </c>
      <c r="AG115" s="929">
        <v>71.36</v>
      </c>
      <c r="AH115" s="929">
        <v>75.790000000000006</v>
      </c>
      <c r="AI115" s="929">
        <v>80.37</v>
      </c>
      <c r="AJ115" s="929">
        <v>84.94</v>
      </c>
      <c r="AK115" s="929">
        <v>89.23</v>
      </c>
      <c r="AL115" s="929">
        <v>93.81</v>
      </c>
      <c r="AM115" s="929">
        <v>98.1</v>
      </c>
      <c r="AN115" s="929">
        <v>102.67</v>
      </c>
      <c r="AO115" s="929">
        <v>106.96</v>
      </c>
      <c r="AP115" s="929">
        <v>111.25</v>
      </c>
      <c r="AQ115" s="929">
        <v>115.54</v>
      </c>
      <c r="AR115" s="929">
        <v>119.83</v>
      </c>
    </row>
    <row r="116" spans="1:44">
      <c r="A116" s="1538"/>
      <c r="B116" s="930">
        <v>2.2000000000000002</v>
      </c>
      <c r="C116" s="931">
        <f>(Y116*KFC!$B$19+KFC!$C$19)*KFC!$C$5</f>
        <v>36.32</v>
      </c>
      <c r="D116" s="932">
        <f>(Z116*KFC!$B$19+KFC!$C$19)*KFC!$C$5</f>
        <v>40.9</v>
      </c>
      <c r="E116" s="932">
        <f>(AA116*KFC!$B$19+KFC!$C$19)*KFC!$C$5</f>
        <v>45.47</v>
      </c>
      <c r="F116" s="932">
        <f>(AB116*KFC!$B$19+KFC!$C$19)*KFC!$C$5</f>
        <v>50.34</v>
      </c>
      <c r="G116" s="932">
        <f>(AC116*KFC!$B$19+KFC!$C$19)*KFC!$C$5</f>
        <v>54.91</v>
      </c>
      <c r="H116" s="932">
        <f>(AD116*KFC!$B$19+KFC!$C$19)*KFC!$C$5</f>
        <v>59.49</v>
      </c>
      <c r="I116" s="932">
        <f>(AE116*KFC!$B$19+KFC!$C$19)*KFC!$C$5</f>
        <v>64.209999999999994</v>
      </c>
      <c r="J116" s="932">
        <f>(AF116*KFC!$B$19+KFC!$C$19)*KFC!$C$5</f>
        <v>68.78</v>
      </c>
      <c r="K116" s="932">
        <f>(AG116*KFC!$B$19+KFC!$C$19)*KFC!$C$5</f>
        <v>73.36</v>
      </c>
      <c r="L116" s="932">
        <f>(AH116*KFC!$B$19+KFC!$C$19)*KFC!$C$5</f>
        <v>78.22</v>
      </c>
      <c r="M116" s="932">
        <f>(AI116*KFC!$B$19+KFC!$C$19)*KFC!$C$5</f>
        <v>82.94</v>
      </c>
      <c r="N116" s="932">
        <f>(AJ116*KFC!$B$19+KFC!$C$19)*KFC!$C$5</f>
        <v>87.37</v>
      </c>
      <c r="O116" s="932">
        <f>(AK116*KFC!$B$19+KFC!$C$19)*KFC!$C$5</f>
        <v>92.09</v>
      </c>
      <c r="P116" s="932">
        <f>(AL116*KFC!$B$19+KFC!$C$19)*KFC!$C$5</f>
        <v>96.67</v>
      </c>
      <c r="Q116" s="932">
        <f>(AM116*KFC!$B$19+KFC!$C$19)*KFC!$C$5</f>
        <v>100.96</v>
      </c>
      <c r="R116" s="932">
        <f>(AN116*KFC!$B$19+KFC!$C$19)*KFC!$C$5</f>
        <v>105.53</v>
      </c>
      <c r="S116" s="932">
        <f>(AO116*KFC!$B$19+KFC!$C$19)*KFC!$C$5</f>
        <v>109.82</v>
      </c>
      <c r="T116" s="932">
        <f>(AP116*KFC!$B$19+KFC!$C$19)*KFC!$C$5</f>
        <v>114.11</v>
      </c>
      <c r="U116" s="943">
        <f>(AQ116*KFC!$B$19+KFC!$C$19)*KFC!$C$5</f>
        <v>118.4</v>
      </c>
      <c r="V116" s="928"/>
      <c r="X116" s="923">
        <v>2.2000000000000002</v>
      </c>
      <c r="Y116" s="929">
        <v>36.32</v>
      </c>
      <c r="Z116" s="929">
        <v>40.9</v>
      </c>
      <c r="AA116" s="929">
        <v>45.47</v>
      </c>
      <c r="AB116" s="929">
        <v>50.34</v>
      </c>
      <c r="AC116" s="929">
        <v>54.91</v>
      </c>
      <c r="AD116" s="929">
        <v>59.49</v>
      </c>
      <c r="AE116" s="929">
        <v>64.209999999999994</v>
      </c>
      <c r="AF116" s="929">
        <v>68.78</v>
      </c>
      <c r="AG116" s="929">
        <v>73.36</v>
      </c>
      <c r="AH116" s="929">
        <v>78.22</v>
      </c>
      <c r="AI116" s="929">
        <v>82.94</v>
      </c>
      <c r="AJ116" s="929">
        <v>87.37</v>
      </c>
      <c r="AK116" s="929">
        <v>92.09</v>
      </c>
      <c r="AL116" s="929">
        <v>96.67</v>
      </c>
      <c r="AM116" s="929">
        <v>100.96</v>
      </c>
      <c r="AN116" s="929">
        <v>105.53</v>
      </c>
      <c r="AO116" s="929">
        <v>109.82</v>
      </c>
      <c r="AP116" s="929">
        <v>114.11</v>
      </c>
      <c r="AQ116" s="929">
        <v>118.4</v>
      </c>
      <c r="AR116" s="929">
        <v>122.69</v>
      </c>
    </row>
    <row r="117" spans="1:44">
      <c r="A117" s="1538"/>
      <c r="B117" s="930">
        <v>2.2999999999999998</v>
      </c>
      <c r="C117" s="931">
        <f>(Y117*KFC!$B$19+KFC!$C$19)*KFC!$C$5</f>
        <v>37.04</v>
      </c>
      <c r="D117" s="932">
        <f>(Z117*KFC!$B$19+KFC!$C$19)*KFC!$C$5</f>
        <v>41.76</v>
      </c>
      <c r="E117" s="932">
        <f>(AA117*KFC!$B$19+KFC!$C$19)*KFC!$C$5</f>
        <v>46.76</v>
      </c>
      <c r="F117" s="932">
        <f>(AB117*KFC!$B$19+KFC!$C$19)*KFC!$C$5</f>
        <v>51.34</v>
      </c>
      <c r="G117" s="932">
        <f>(AC117*KFC!$B$19+KFC!$C$19)*KFC!$C$5</f>
        <v>56.34</v>
      </c>
      <c r="H117" s="932">
        <f>(AD117*KFC!$B$19+KFC!$C$19)*KFC!$C$5</f>
        <v>61.2</v>
      </c>
      <c r="I117" s="932">
        <f>(AE117*KFC!$B$19+KFC!$C$19)*KFC!$C$5</f>
        <v>65.92</v>
      </c>
      <c r="J117" s="932">
        <f>(AF117*KFC!$B$19+KFC!$C$19)*KFC!$C$5</f>
        <v>70.790000000000006</v>
      </c>
      <c r="K117" s="932">
        <f>(AG117*KFC!$B$19+KFC!$C$19)*KFC!$C$5</f>
        <v>75.650000000000006</v>
      </c>
      <c r="L117" s="932">
        <f>(AH117*KFC!$B$19+KFC!$C$19)*KFC!$C$5</f>
        <v>80.37</v>
      </c>
      <c r="M117" s="932">
        <f>(AI117*KFC!$B$19+KFC!$C$19)*KFC!$C$5</f>
        <v>85.09</v>
      </c>
      <c r="N117" s="932">
        <f>(AJ117*KFC!$B$19+KFC!$C$19)*KFC!$C$5</f>
        <v>90.09</v>
      </c>
      <c r="O117" s="932">
        <f>(AK117*KFC!$B$19+KFC!$C$19)*KFC!$C$5</f>
        <v>95.1</v>
      </c>
      <c r="P117" s="932">
        <f>(AL117*KFC!$B$19+KFC!$C$19)*KFC!$C$5</f>
        <v>99.67</v>
      </c>
      <c r="Q117" s="932">
        <f>(AM117*KFC!$B$19+KFC!$C$19)*KFC!$C$5</f>
        <v>104.39</v>
      </c>
      <c r="R117" s="932">
        <f>(AN117*KFC!$B$19+KFC!$C$19)*KFC!$C$5</f>
        <v>109.11</v>
      </c>
      <c r="S117" s="932">
        <f>(AO117*KFC!$B$19+KFC!$C$19)*KFC!$C$5</f>
        <v>113.83</v>
      </c>
      <c r="T117" s="932">
        <f>(AP117*KFC!$B$19+KFC!$C$19)*KFC!$C$5</f>
        <v>118.55</v>
      </c>
      <c r="U117" s="943">
        <f>(AQ117*KFC!$B$19+KFC!$C$19)*KFC!$C$5</f>
        <v>123.27</v>
      </c>
      <c r="V117" s="928"/>
      <c r="X117" s="923">
        <v>2.2999999999999998</v>
      </c>
      <c r="Y117" s="929">
        <v>37.04</v>
      </c>
      <c r="Z117" s="929">
        <v>41.76</v>
      </c>
      <c r="AA117" s="929">
        <v>46.76</v>
      </c>
      <c r="AB117" s="929">
        <v>51.34</v>
      </c>
      <c r="AC117" s="929">
        <v>56.34</v>
      </c>
      <c r="AD117" s="929">
        <v>61.2</v>
      </c>
      <c r="AE117" s="929">
        <v>65.92</v>
      </c>
      <c r="AF117" s="929">
        <v>70.790000000000006</v>
      </c>
      <c r="AG117" s="929">
        <v>75.650000000000006</v>
      </c>
      <c r="AH117" s="929">
        <v>80.37</v>
      </c>
      <c r="AI117" s="929">
        <v>85.09</v>
      </c>
      <c r="AJ117" s="929">
        <v>90.09</v>
      </c>
      <c r="AK117" s="929">
        <v>95.1</v>
      </c>
      <c r="AL117" s="929">
        <v>99.67</v>
      </c>
      <c r="AM117" s="929">
        <v>104.39</v>
      </c>
      <c r="AN117" s="929">
        <v>109.11</v>
      </c>
      <c r="AO117" s="929">
        <v>113.83</v>
      </c>
      <c r="AP117" s="929">
        <v>118.55</v>
      </c>
      <c r="AQ117" s="929">
        <v>123.27</v>
      </c>
      <c r="AR117" s="929">
        <v>127.99</v>
      </c>
    </row>
    <row r="118" spans="1:44">
      <c r="A118" s="1538"/>
      <c r="B118" s="930">
        <v>2.4</v>
      </c>
      <c r="C118" s="931">
        <f>(Y118*KFC!$B$19+KFC!$C$19)*KFC!$C$5</f>
        <v>37.9</v>
      </c>
      <c r="D118" s="932">
        <f>(Z118*KFC!$B$19+KFC!$C$19)*KFC!$C$5</f>
        <v>42.76</v>
      </c>
      <c r="E118" s="932">
        <f>(AA118*KFC!$B$19+KFC!$C$19)*KFC!$C$5</f>
        <v>47.76</v>
      </c>
      <c r="F118" s="932">
        <f>(AB118*KFC!$B$19+KFC!$C$19)*KFC!$C$5</f>
        <v>52.91</v>
      </c>
      <c r="G118" s="932">
        <f>(AC118*KFC!$B$19+KFC!$C$19)*KFC!$C$5</f>
        <v>57.77</v>
      </c>
      <c r="H118" s="932">
        <f>(AD118*KFC!$B$19+KFC!$C$19)*KFC!$C$5</f>
        <v>62.78</v>
      </c>
      <c r="I118" s="932">
        <f>(AE118*KFC!$B$19+KFC!$C$19)*KFC!$C$5</f>
        <v>67.930000000000007</v>
      </c>
      <c r="J118" s="932">
        <f>(AF118*KFC!$B$19+KFC!$C$19)*KFC!$C$5</f>
        <v>72.790000000000006</v>
      </c>
      <c r="K118" s="932">
        <f>(AG118*KFC!$B$19+KFC!$C$19)*KFC!$C$5</f>
        <v>77.790000000000006</v>
      </c>
      <c r="L118" s="932">
        <f>(AH118*KFC!$B$19+KFC!$C$19)*KFC!$C$5</f>
        <v>82.94</v>
      </c>
      <c r="M118" s="932">
        <f>(AI118*KFC!$B$19+KFC!$C$19)*KFC!$C$5</f>
        <v>87.66</v>
      </c>
      <c r="N118" s="932">
        <f>(AJ118*KFC!$B$19+KFC!$C$19)*KFC!$C$5</f>
        <v>92.66</v>
      </c>
      <c r="O118" s="932">
        <f>(AK118*KFC!$B$19+KFC!$C$19)*KFC!$C$5</f>
        <v>97.81</v>
      </c>
      <c r="P118" s="932">
        <f>(AL118*KFC!$B$19+KFC!$C$19)*KFC!$C$5</f>
        <v>102.67</v>
      </c>
      <c r="Q118" s="932">
        <f>(AM118*KFC!$B$19+KFC!$C$19)*KFC!$C$5</f>
        <v>107.54</v>
      </c>
      <c r="R118" s="932">
        <f>(AN118*KFC!$B$19+KFC!$C$19)*KFC!$C$5</f>
        <v>112.4</v>
      </c>
      <c r="S118" s="932">
        <f>(AO118*KFC!$B$19+KFC!$C$19)*KFC!$C$5</f>
        <v>117.26</v>
      </c>
      <c r="T118" s="932">
        <f>(AP118*KFC!$B$19+KFC!$C$19)*KFC!$C$5</f>
        <v>122.12</v>
      </c>
      <c r="U118" s="943">
        <f>(AQ118*KFC!$B$19+KFC!$C$19)*KFC!$C$5</f>
        <v>126.98</v>
      </c>
      <c r="V118" s="928"/>
      <c r="X118" s="923">
        <v>2.4</v>
      </c>
      <c r="Y118" s="929">
        <v>37.9</v>
      </c>
      <c r="Z118" s="929">
        <v>42.76</v>
      </c>
      <c r="AA118" s="929">
        <v>47.76</v>
      </c>
      <c r="AB118" s="929">
        <v>52.91</v>
      </c>
      <c r="AC118" s="929">
        <v>57.77</v>
      </c>
      <c r="AD118" s="929">
        <v>62.78</v>
      </c>
      <c r="AE118" s="929">
        <v>67.930000000000007</v>
      </c>
      <c r="AF118" s="929">
        <v>72.790000000000006</v>
      </c>
      <c r="AG118" s="929">
        <v>77.790000000000006</v>
      </c>
      <c r="AH118" s="929">
        <v>82.94</v>
      </c>
      <c r="AI118" s="929">
        <v>87.66</v>
      </c>
      <c r="AJ118" s="929">
        <v>92.66</v>
      </c>
      <c r="AK118" s="929">
        <v>97.81</v>
      </c>
      <c r="AL118" s="929">
        <v>102.67</v>
      </c>
      <c r="AM118" s="929">
        <v>107.54</v>
      </c>
      <c r="AN118" s="929">
        <v>112.4</v>
      </c>
      <c r="AO118" s="929">
        <v>117.26</v>
      </c>
      <c r="AP118" s="929">
        <v>122.12</v>
      </c>
      <c r="AQ118" s="929">
        <v>126.98</v>
      </c>
      <c r="AR118" s="929">
        <v>131.84</v>
      </c>
    </row>
    <row r="119" spans="1:44">
      <c r="A119" s="1538"/>
      <c r="B119" s="930">
        <v>2.5</v>
      </c>
      <c r="C119" s="931">
        <f>(Y119*KFC!$B$19+KFC!$C$19)*KFC!$C$5</f>
        <v>38.61</v>
      </c>
      <c r="D119" s="932">
        <f>(Z119*KFC!$B$19+KFC!$C$19)*KFC!$C$5</f>
        <v>43.62</v>
      </c>
      <c r="E119" s="932">
        <f>(AA119*KFC!$B$19+KFC!$C$19)*KFC!$C$5</f>
        <v>48.91</v>
      </c>
      <c r="F119" s="932">
        <f>(AB119*KFC!$B$19+KFC!$C$19)*KFC!$C$5</f>
        <v>54.05</v>
      </c>
      <c r="G119" s="932">
        <f>(AC119*KFC!$B$19+KFC!$C$19)*KFC!$C$5</f>
        <v>59.2</v>
      </c>
      <c r="H119" s="932">
        <f>(AD119*KFC!$B$19+KFC!$C$19)*KFC!$C$5</f>
        <v>64.489999999999995</v>
      </c>
      <c r="I119" s="932">
        <f>(AE119*KFC!$B$19+KFC!$C$19)*KFC!$C$5</f>
        <v>69.5</v>
      </c>
      <c r="J119" s="932">
        <f>(AF119*KFC!$B$19+KFC!$C$19)*KFC!$C$5</f>
        <v>74.790000000000006</v>
      </c>
      <c r="K119" s="932">
        <f>(AG119*KFC!$B$19+KFC!$C$19)*KFC!$C$5</f>
        <v>79.790000000000006</v>
      </c>
      <c r="L119" s="932">
        <f>(AH119*KFC!$B$19+KFC!$C$19)*KFC!$C$5</f>
        <v>85.09</v>
      </c>
      <c r="M119" s="932">
        <f>(AI119*KFC!$B$19+KFC!$C$19)*KFC!$C$5</f>
        <v>90.09</v>
      </c>
      <c r="N119" s="932">
        <f>(AJ119*KFC!$B$19+KFC!$C$19)*KFC!$C$5</f>
        <v>95.38</v>
      </c>
      <c r="O119" s="932">
        <f>(AK119*KFC!$B$19+KFC!$C$19)*KFC!$C$5</f>
        <v>100.67</v>
      </c>
      <c r="P119" s="932">
        <f>(AL119*KFC!$B$19+KFC!$C$19)*KFC!$C$5</f>
        <v>105.68</v>
      </c>
      <c r="Q119" s="932">
        <f>(AM119*KFC!$B$19+KFC!$C$19)*KFC!$C$5</f>
        <v>110.83</v>
      </c>
      <c r="R119" s="932">
        <f>(AN119*KFC!$B$19+KFC!$C$19)*KFC!$C$5</f>
        <v>115.83</v>
      </c>
      <c r="S119" s="932">
        <f>(AO119*KFC!$B$19+KFC!$C$19)*KFC!$C$5</f>
        <v>120.98</v>
      </c>
      <c r="T119" s="932">
        <f>(AP119*KFC!$B$19+KFC!$C$19)*KFC!$C$5</f>
        <v>126.13</v>
      </c>
      <c r="U119" s="943">
        <f>(AQ119*KFC!$B$19+KFC!$C$19)*KFC!$C$5</f>
        <v>131.28</v>
      </c>
      <c r="V119" s="928"/>
      <c r="X119" s="923">
        <v>2.5</v>
      </c>
      <c r="Y119" s="929">
        <v>38.61</v>
      </c>
      <c r="Z119" s="929">
        <v>43.62</v>
      </c>
      <c r="AA119" s="929">
        <v>48.91</v>
      </c>
      <c r="AB119" s="929">
        <v>54.05</v>
      </c>
      <c r="AC119" s="929">
        <v>59.2</v>
      </c>
      <c r="AD119" s="929">
        <v>64.489999999999995</v>
      </c>
      <c r="AE119" s="929">
        <v>69.5</v>
      </c>
      <c r="AF119" s="929">
        <v>74.790000000000006</v>
      </c>
      <c r="AG119" s="929">
        <v>79.790000000000006</v>
      </c>
      <c r="AH119" s="929">
        <v>85.09</v>
      </c>
      <c r="AI119" s="929">
        <v>90.09</v>
      </c>
      <c r="AJ119" s="929">
        <v>95.38</v>
      </c>
      <c r="AK119" s="929">
        <v>100.67</v>
      </c>
      <c r="AL119" s="929">
        <v>105.68</v>
      </c>
      <c r="AM119" s="929">
        <v>110.83</v>
      </c>
      <c r="AN119" s="929">
        <v>115.83</v>
      </c>
      <c r="AO119" s="929">
        <v>120.98</v>
      </c>
      <c r="AP119" s="929">
        <v>126.13</v>
      </c>
      <c r="AQ119" s="929">
        <v>131.28</v>
      </c>
      <c r="AR119" s="929">
        <v>136.43</v>
      </c>
    </row>
    <row r="120" spans="1:44">
      <c r="A120" s="1538"/>
      <c r="B120" s="930">
        <v>2.6</v>
      </c>
      <c r="C120" s="931">
        <f>(Y120*KFC!$B$19+KFC!$C$19)*KFC!$C$5</f>
        <v>39.33</v>
      </c>
      <c r="D120" s="932">
        <f>(Z120*KFC!$B$19+KFC!$C$19)*KFC!$C$5</f>
        <v>44.47</v>
      </c>
      <c r="E120" s="932">
        <f>(AA120*KFC!$B$19+KFC!$C$19)*KFC!$C$5</f>
        <v>50.19</v>
      </c>
      <c r="F120" s="932">
        <f>(AB120*KFC!$B$19+KFC!$C$19)*KFC!$C$5</f>
        <v>55.2</v>
      </c>
      <c r="G120" s="932">
        <f>(AC120*KFC!$B$19+KFC!$C$19)*KFC!$C$5</f>
        <v>60.63</v>
      </c>
      <c r="H120" s="932">
        <f>(AD120*KFC!$B$19+KFC!$C$19)*KFC!$C$5</f>
        <v>65.92</v>
      </c>
      <c r="I120" s="932">
        <f>(AE120*KFC!$B$19+KFC!$C$19)*KFC!$C$5</f>
        <v>71.36</v>
      </c>
      <c r="J120" s="932">
        <f>(AF120*KFC!$B$19+KFC!$C$19)*KFC!$C$5</f>
        <v>76.510000000000005</v>
      </c>
      <c r="K120" s="932">
        <f>(AG120*KFC!$B$19+KFC!$C$19)*KFC!$C$5</f>
        <v>82.23</v>
      </c>
      <c r="L120" s="932">
        <f>(AH120*KFC!$B$19+KFC!$C$19)*KFC!$C$5</f>
        <v>87.23</v>
      </c>
      <c r="M120" s="932">
        <f>(AI120*KFC!$B$19+KFC!$C$19)*KFC!$C$5</f>
        <v>92.66</v>
      </c>
      <c r="N120" s="932">
        <f>(AJ120*KFC!$B$19+KFC!$C$19)*KFC!$C$5</f>
        <v>97.96</v>
      </c>
      <c r="O120" s="932">
        <f>(AK120*KFC!$B$19+KFC!$C$19)*KFC!$C$5</f>
        <v>103.39</v>
      </c>
      <c r="P120" s="932">
        <f>(AL120*KFC!$B$19+KFC!$C$19)*KFC!$C$5</f>
        <v>108.54</v>
      </c>
      <c r="Q120" s="932">
        <f>(AM120*KFC!$B$19+KFC!$C$19)*KFC!$C$5</f>
        <v>113.83</v>
      </c>
      <c r="R120" s="932">
        <f>(AN120*KFC!$B$19+KFC!$C$19)*KFC!$C$5</f>
        <v>118.98</v>
      </c>
      <c r="S120" s="932">
        <f>(AO120*KFC!$B$19+KFC!$C$19)*KFC!$C$5</f>
        <v>124.12</v>
      </c>
      <c r="T120" s="932">
        <f>(AP120*KFC!$B$19+KFC!$C$19)*KFC!$C$5</f>
        <v>129.26</v>
      </c>
      <c r="U120" s="943">
        <f>(AQ120*KFC!$B$19+KFC!$C$19)*KFC!$C$5</f>
        <v>134.4</v>
      </c>
      <c r="V120" s="928"/>
      <c r="X120" s="923">
        <v>2.6</v>
      </c>
      <c r="Y120" s="929">
        <v>39.33</v>
      </c>
      <c r="Z120" s="929">
        <v>44.47</v>
      </c>
      <c r="AA120" s="929">
        <v>50.19</v>
      </c>
      <c r="AB120" s="929">
        <v>55.2</v>
      </c>
      <c r="AC120" s="929">
        <v>60.63</v>
      </c>
      <c r="AD120" s="929">
        <v>65.92</v>
      </c>
      <c r="AE120" s="929">
        <v>71.36</v>
      </c>
      <c r="AF120" s="929">
        <v>76.510000000000005</v>
      </c>
      <c r="AG120" s="929">
        <v>82.23</v>
      </c>
      <c r="AH120" s="929">
        <v>87.23</v>
      </c>
      <c r="AI120" s="929">
        <v>92.66</v>
      </c>
      <c r="AJ120" s="929">
        <v>97.96</v>
      </c>
      <c r="AK120" s="929">
        <v>103.39</v>
      </c>
      <c r="AL120" s="929">
        <v>108.54</v>
      </c>
      <c r="AM120" s="929">
        <v>113.83</v>
      </c>
      <c r="AN120" s="929">
        <v>118.98</v>
      </c>
      <c r="AO120" s="929">
        <v>124.12</v>
      </c>
      <c r="AP120" s="929">
        <v>129.26</v>
      </c>
      <c r="AQ120" s="929">
        <v>134.4</v>
      </c>
      <c r="AR120" s="929">
        <v>139.54</v>
      </c>
    </row>
    <row r="121" spans="1:44">
      <c r="A121" s="1538"/>
      <c r="B121" s="930">
        <v>2.7</v>
      </c>
      <c r="C121" s="931">
        <f>(Y121*KFC!$B$19+KFC!$C$19)*KFC!$C$5</f>
        <v>40.18</v>
      </c>
      <c r="D121" s="932">
        <f>(Z121*KFC!$B$19+KFC!$C$19)*KFC!$C$5</f>
        <v>45.47</v>
      </c>
      <c r="E121" s="932">
        <f>(AA121*KFC!$B$19+KFC!$C$19)*KFC!$C$5</f>
        <v>51.19</v>
      </c>
      <c r="F121" s="932">
        <f>(AB121*KFC!$B$19+KFC!$C$19)*KFC!$C$5</f>
        <v>56.49</v>
      </c>
      <c r="G121" s="932">
        <f>(AC121*KFC!$B$19+KFC!$C$19)*KFC!$C$5</f>
        <v>62.21</v>
      </c>
      <c r="H121" s="932">
        <f>(AD121*KFC!$B$19+KFC!$C$19)*KFC!$C$5</f>
        <v>67.209999999999994</v>
      </c>
      <c r="I121" s="932">
        <f>(AE121*KFC!$B$19+KFC!$C$19)*KFC!$C$5</f>
        <v>73.069999999999993</v>
      </c>
      <c r="J121" s="932">
        <f>(AF121*KFC!$B$19+KFC!$C$19)*KFC!$C$5</f>
        <v>78.36</v>
      </c>
      <c r="K121" s="932">
        <f>(AG121*KFC!$B$19+KFC!$C$19)*KFC!$C$5</f>
        <v>84.37</v>
      </c>
      <c r="L121" s="932">
        <f>(AH121*KFC!$B$19+KFC!$C$19)*KFC!$C$5</f>
        <v>89.66</v>
      </c>
      <c r="M121" s="932">
        <f>(AI121*KFC!$B$19+KFC!$C$19)*KFC!$C$5</f>
        <v>95.24</v>
      </c>
      <c r="N121" s="932">
        <f>(AJ121*KFC!$B$19+KFC!$C$19)*KFC!$C$5</f>
        <v>100.67</v>
      </c>
      <c r="O121" s="932">
        <f>(AK121*KFC!$B$19+KFC!$C$19)*KFC!$C$5</f>
        <v>106.11</v>
      </c>
      <c r="P121" s="932">
        <f>(AL121*KFC!$B$19+KFC!$C$19)*KFC!$C$5</f>
        <v>111.54</v>
      </c>
      <c r="Q121" s="932">
        <f>(AM121*KFC!$B$19+KFC!$C$19)*KFC!$C$5</f>
        <v>116.97</v>
      </c>
      <c r="R121" s="932">
        <f>(AN121*KFC!$B$19+KFC!$C$19)*KFC!$C$5</f>
        <v>122.12</v>
      </c>
      <c r="S121" s="932">
        <f>(AO121*KFC!$B$19+KFC!$C$19)*KFC!$C$5</f>
        <v>127.56</v>
      </c>
      <c r="T121" s="932">
        <f>(AP121*KFC!$B$19+KFC!$C$19)*KFC!$C$5</f>
        <v>133</v>
      </c>
      <c r="U121" s="943">
        <f>(AQ121*KFC!$B$19+KFC!$C$19)*KFC!$C$5</f>
        <v>138.44</v>
      </c>
      <c r="V121" s="928"/>
      <c r="X121" s="923">
        <v>2.7</v>
      </c>
      <c r="Y121" s="929">
        <v>40.18</v>
      </c>
      <c r="Z121" s="929">
        <v>45.47</v>
      </c>
      <c r="AA121" s="929">
        <v>51.19</v>
      </c>
      <c r="AB121" s="929">
        <v>56.49</v>
      </c>
      <c r="AC121" s="929">
        <v>62.21</v>
      </c>
      <c r="AD121" s="929">
        <v>67.209999999999994</v>
      </c>
      <c r="AE121" s="929">
        <v>73.069999999999993</v>
      </c>
      <c r="AF121" s="929">
        <v>78.36</v>
      </c>
      <c r="AG121" s="929">
        <v>84.37</v>
      </c>
      <c r="AH121" s="929">
        <v>89.66</v>
      </c>
      <c r="AI121" s="929">
        <v>95.24</v>
      </c>
      <c r="AJ121" s="929">
        <v>100.67</v>
      </c>
      <c r="AK121" s="929">
        <v>106.11</v>
      </c>
      <c r="AL121" s="929">
        <v>111.54</v>
      </c>
      <c r="AM121" s="929">
        <v>116.97</v>
      </c>
      <c r="AN121" s="929">
        <v>122.12</v>
      </c>
      <c r="AO121" s="929">
        <v>127.56</v>
      </c>
      <c r="AP121" s="929">
        <v>133</v>
      </c>
      <c r="AQ121" s="929">
        <v>138.44</v>
      </c>
      <c r="AR121" s="929">
        <v>143.88</v>
      </c>
    </row>
    <row r="122" spans="1:44">
      <c r="A122" s="1538"/>
      <c r="B122" s="930">
        <v>2.8</v>
      </c>
      <c r="C122" s="931">
        <f>(Y122*KFC!$B$19+KFC!$C$19)*KFC!$C$5</f>
        <v>41.03</v>
      </c>
      <c r="D122" s="932">
        <f>(Z122*KFC!$B$19+KFC!$C$19)*KFC!$C$5</f>
        <v>46.47</v>
      </c>
      <c r="E122" s="932">
        <f>(AA122*KFC!$B$19+KFC!$C$19)*KFC!$C$5</f>
        <v>52.19</v>
      </c>
      <c r="F122" s="932">
        <f>(AB122*KFC!$B$19+KFC!$C$19)*KFC!$C$5</f>
        <v>57.78</v>
      </c>
      <c r="G122" s="932">
        <f>(AC122*KFC!$B$19+KFC!$C$19)*KFC!$C$5</f>
        <v>63.79</v>
      </c>
      <c r="H122" s="932">
        <f>(AD122*KFC!$B$19+KFC!$C$19)*KFC!$C$5</f>
        <v>68.5</v>
      </c>
      <c r="I122" s="932">
        <f>(AE122*KFC!$B$19+KFC!$C$19)*KFC!$C$5</f>
        <v>74.78</v>
      </c>
      <c r="J122" s="932">
        <f>(AF122*KFC!$B$19+KFC!$C$19)*KFC!$C$5</f>
        <v>80.209999999999994</v>
      </c>
      <c r="K122" s="932">
        <f>(AG122*KFC!$B$19+KFC!$C$19)*KFC!$C$5</f>
        <v>86.51</v>
      </c>
      <c r="L122" s="932">
        <f>(AH122*KFC!$B$19+KFC!$C$19)*KFC!$C$5</f>
        <v>92.09</v>
      </c>
      <c r="M122" s="932">
        <f>(AI122*KFC!$B$19+KFC!$C$19)*KFC!$C$5</f>
        <v>97.82</v>
      </c>
      <c r="N122" s="932">
        <f>(AJ122*KFC!$B$19+KFC!$C$19)*KFC!$C$5</f>
        <v>103.38</v>
      </c>
      <c r="O122" s="932">
        <f>(AK122*KFC!$B$19+KFC!$C$19)*KFC!$C$5</f>
        <v>108.83</v>
      </c>
      <c r="P122" s="932">
        <f>(AL122*KFC!$B$19+KFC!$C$19)*KFC!$C$5</f>
        <v>114.54</v>
      </c>
      <c r="Q122" s="932">
        <f>(AM122*KFC!$B$19+KFC!$C$19)*KFC!$C$5</f>
        <v>120.11</v>
      </c>
      <c r="R122" s="932">
        <f>(AN122*KFC!$B$19+KFC!$C$19)*KFC!$C$5</f>
        <v>125.26</v>
      </c>
      <c r="S122" s="932">
        <f>(AO122*KFC!$B$19+KFC!$C$19)*KFC!$C$5</f>
        <v>131</v>
      </c>
      <c r="T122" s="932">
        <f>(AP122*KFC!$B$19+KFC!$C$19)*KFC!$C$5</f>
        <v>136.74</v>
      </c>
      <c r="U122" s="943">
        <f>(AQ122*KFC!$B$19+KFC!$C$19)*KFC!$C$5</f>
        <v>142.47999999999999</v>
      </c>
      <c r="V122" s="928"/>
      <c r="X122" s="923">
        <v>2.8</v>
      </c>
      <c r="Y122" s="929">
        <v>41.03</v>
      </c>
      <c r="Z122" s="929">
        <v>46.47</v>
      </c>
      <c r="AA122" s="929">
        <v>52.19</v>
      </c>
      <c r="AB122" s="929">
        <v>57.78</v>
      </c>
      <c r="AC122" s="929">
        <v>63.79</v>
      </c>
      <c r="AD122" s="929">
        <v>68.5</v>
      </c>
      <c r="AE122" s="929">
        <v>74.78</v>
      </c>
      <c r="AF122" s="929">
        <v>80.209999999999994</v>
      </c>
      <c r="AG122" s="929">
        <v>86.51</v>
      </c>
      <c r="AH122" s="929">
        <v>92.09</v>
      </c>
      <c r="AI122" s="929">
        <v>97.82</v>
      </c>
      <c r="AJ122" s="929">
        <v>103.38</v>
      </c>
      <c r="AK122" s="929">
        <v>108.83</v>
      </c>
      <c r="AL122" s="929">
        <v>114.54</v>
      </c>
      <c r="AM122" s="929">
        <v>120.11</v>
      </c>
      <c r="AN122" s="929">
        <v>125.26</v>
      </c>
      <c r="AO122" s="929">
        <v>131</v>
      </c>
      <c r="AP122" s="929">
        <v>136.74</v>
      </c>
      <c r="AQ122" s="929">
        <v>142.47999999999999</v>
      </c>
      <c r="AR122" s="929">
        <v>148.22</v>
      </c>
    </row>
    <row r="123" spans="1:44">
      <c r="A123" s="1538"/>
      <c r="B123" s="930">
        <v>2.9</v>
      </c>
      <c r="C123" s="931">
        <f>(Y123*KFC!$B$19+KFC!$C$19)*KFC!$C$5</f>
        <v>41.88</v>
      </c>
      <c r="D123" s="932">
        <f>(Z123*KFC!$B$19+KFC!$C$19)*KFC!$C$5</f>
        <v>47.47</v>
      </c>
      <c r="E123" s="932">
        <f>(AA123*KFC!$B$19+KFC!$C$19)*KFC!$C$5</f>
        <v>53.19</v>
      </c>
      <c r="F123" s="932">
        <f>(AB123*KFC!$B$19+KFC!$C$19)*KFC!$C$5</f>
        <v>59.07</v>
      </c>
      <c r="G123" s="932">
        <f>(AC123*KFC!$B$19+KFC!$C$19)*KFC!$C$5</f>
        <v>65.37</v>
      </c>
      <c r="H123" s="932">
        <f>(AD123*KFC!$B$19+KFC!$C$19)*KFC!$C$5</f>
        <v>69.790000000000006</v>
      </c>
      <c r="I123" s="932">
        <f>(AE123*KFC!$B$19+KFC!$C$19)*KFC!$C$5</f>
        <v>76.489999999999995</v>
      </c>
      <c r="J123" s="932">
        <f>(AF123*KFC!$B$19+KFC!$C$19)*KFC!$C$5</f>
        <v>82.06</v>
      </c>
      <c r="K123" s="932">
        <f>(AG123*KFC!$B$19+KFC!$C$19)*KFC!$C$5</f>
        <v>88.65</v>
      </c>
      <c r="L123" s="932">
        <f>(AH123*KFC!$B$19+KFC!$C$19)*KFC!$C$5</f>
        <v>94.52</v>
      </c>
      <c r="M123" s="932">
        <f>(AI123*KFC!$B$19+KFC!$C$19)*KFC!$C$5</f>
        <v>100.4</v>
      </c>
      <c r="N123" s="932">
        <f>(AJ123*KFC!$B$19+KFC!$C$19)*KFC!$C$5</f>
        <v>106.09</v>
      </c>
      <c r="O123" s="932">
        <f>(AK123*KFC!$B$19+KFC!$C$19)*KFC!$C$5</f>
        <v>111.55</v>
      </c>
      <c r="P123" s="932">
        <f>(AL123*KFC!$B$19+KFC!$C$19)*KFC!$C$5</f>
        <v>117.54</v>
      </c>
      <c r="Q123" s="932">
        <f>(AM123*KFC!$B$19+KFC!$C$19)*KFC!$C$5</f>
        <v>123.25</v>
      </c>
      <c r="R123" s="932">
        <f>(AN123*KFC!$B$19+KFC!$C$19)*KFC!$C$5</f>
        <v>128.4</v>
      </c>
      <c r="S123" s="932">
        <f>(AO123*KFC!$B$19+KFC!$C$19)*KFC!$C$5</f>
        <v>134.44</v>
      </c>
      <c r="T123" s="932">
        <f>(AP123*KFC!$B$19+KFC!$C$19)*KFC!$C$5</f>
        <v>140.47999999999999</v>
      </c>
      <c r="U123" s="943">
        <f>(AQ123*KFC!$B$19+KFC!$C$19)*KFC!$C$5</f>
        <v>146.52000000000001</v>
      </c>
      <c r="V123" s="928"/>
      <c r="X123" s="923">
        <v>2.9</v>
      </c>
      <c r="Y123" s="929">
        <v>41.88</v>
      </c>
      <c r="Z123" s="929">
        <v>47.47</v>
      </c>
      <c r="AA123" s="929">
        <v>53.19</v>
      </c>
      <c r="AB123" s="929">
        <v>59.07</v>
      </c>
      <c r="AC123" s="929">
        <v>65.37</v>
      </c>
      <c r="AD123" s="929">
        <v>69.790000000000006</v>
      </c>
      <c r="AE123" s="929">
        <v>76.489999999999995</v>
      </c>
      <c r="AF123" s="929">
        <v>82.06</v>
      </c>
      <c r="AG123" s="929">
        <v>88.65</v>
      </c>
      <c r="AH123" s="929">
        <v>94.52</v>
      </c>
      <c r="AI123" s="929">
        <v>100.4</v>
      </c>
      <c r="AJ123" s="929">
        <v>106.09</v>
      </c>
      <c r="AK123" s="929">
        <v>111.55</v>
      </c>
      <c r="AL123" s="929">
        <v>117.54</v>
      </c>
      <c r="AM123" s="929">
        <v>123.25</v>
      </c>
      <c r="AN123" s="929">
        <v>128.4</v>
      </c>
      <c r="AO123" s="929">
        <v>134.44</v>
      </c>
      <c r="AP123" s="929">
        <v>140.47999999999999</v>
      </c>
      <c r="AQ123" s="929">
        <v>146.52000000000001</v>
      </c>
      <c r="AR123" s="929">
        <v>152.56</v>
      </c>
    </row>
    <row r="124" spans="1:44">
      <c r="A124" s="1538"/>
      <c r="B124" s="930">
        <v>3</v>
      </c>
      <c r="C124" s="931">
        <f>(Y124*KFC!$B$19+KFC!$C$19)*KFC!$C$5</f>
        <v>42.73</v>
      </c>
      <c r="D124" s="932">
        <f>(Z124*KFC!$B$19+KFC!$C$19)*KFC!$C$5</f>
        <v>48.47</v>
      </c>
      <c r="E124" s="932">
        <f>(AA124*KFC!$B$19+KFC!$C$19)*KFC!$C$5</f>
        <v>54.19</v>
      </c>
      <c r="F124" s="932">
        <f>(AB124*KFC!$B$19+KFC!$C$19)*KFC!$C$5</f>
        <v>60.36</v>
      </c>
      <c r="G124" s="932">
        <f>(AC124*KFC!$B$19+KFC!$C$19)*KFC!$C$5</f>
        <v>66.95</v>
      </c>
      <c r="H124" s="932">
        <f>(AD124*KFC!$B$19+KFC!$C$19)*KFC!$C$5</f>
        <v>71.08</v>
      </c>
      <c r="I124" s="932">
        <f>(AE124*KFC!$B$19+KFC!$C$19)*KFC!$C$5</f>
        <v>78.2</v>
      </c>
      <c r="J124" s="932">
        <f>(AF124*KFC!$B$19+KFC!$C$19)*KFC!$C$5</f>
        <v>83.91</v>
      </c>
      <c r="K124" s="932">
        <f>(AG124*KFC!$B$19+KFC!$C$19)*KFC!$C$5</f>
        <v>90.79</v>
      </c>
      <c r="L124" s="932">
        <f>(AH124*KFC!$B$19+KFC!$C$19)*KFC!$C$5</f>
        <v>96.95</v>
      </c>
      <c r="M124" s="932">
        <f>(AI124*KFC!$B$19+KFC!$C$19)*KFC!$C$5</f>
        <v>102.98</v>
      </c>
      <c r="N124" s="932">
        <f>(AJ124*KFC!$B$19+KFC!$C$19)*KFC!$C$5</f>
        <v>108.8</v>
      </c>
      <c r="O124" s="932">
        <f>(AK124*KFC!$B$19+KFC!$C$19)*KFC!$C$5</f>
        <v>114.27</v>
      </c>
      <c r="P124" s="932">
        <f>(AL124*KFC!$B$19+KFC!$C$19)*KFC!$C$5</f>
        <v>120.54</v>
      </c>
      <c r="Q124" s="932">
        <f>(AM124*KFC!$B$19+KFC!$C$19)*KFC!$C$5</f>
        <v>126.39</v>
      </c>
      <c r="R124" s="932">
        <f>(AN124*KFC!$B$19+KFC!$C$19)*KFC!$C$5</f>
        <v>131.54</v>
      </c>
      <c r="S124" s="932">
        <f>(AO124*KFC!$B$19+KFC!$C$19)*KFC!$C$5</f>
        <v>137.88</v>
      </c>
      <c r="T124" s="932">
        <f>(AP124*KFC!$B$19+KFC!$C$19)*KFC!$C$5</f>
        <v>144.22</v>
      </c>
      <c r="U124" s="943">
        <f>(AQ124*KFC!$B$19+KFC!$C$19)*KFC!$C$5</f>
        <v>150.56</v>
      </c>
      <c r="V124" s="928"/>
      <c r="X124" s="923">
        <v>3</v>
      </c>
      <c r="Y124" s="929">
        <v>42.73</v>
      </c>
      <c r="Z124" s="929">
        <v>48.47</v>
      </c>
      <c r="AA124" s="929">
        <v>54.19</v>
      </c>
      <c r="AB124" s="929">
        <v>60.36</v>
      </c>
      <c r="AC124" s="929">
        <v>66.95</v>
      </c>
      <c r="AD124" s="929">
        <v>71.08</v>
      </c>
      <c r="AE124" s="929">
        <v>78.2</v>
      </c>
      <c r="AF124" s="929">
        <v>83.91</v>
      </c>
      <c r="AG124" s="929">
        <v>90.79</v>
      </c>
      <c r="AH124" s="929">
        <v>96.95</v>
      </c>
      <c r="AI124" s="929">
        <v>102.98</v>
      </c>
      <c r="AJ124" s="929">
        <v>108.8</v>
      </c>
      <c r="AK124" s="929">
        <v>114.27</v>
      </c>
      <c r="AL124" s="929">
        <v>120.54</v>
      </c>
      <c r="AM124" s="929">
        <v>126.39</v>
      </c>
      <c r="AN124" s="929">
        <v>131.54</v>
      </c>
      <c r="AO124" s="929">
        <v>137.88</v>
      </c>
      <c r="AP124" s="929">
        <v>144.22</v>
      </c>
      <c r="AQ124" s="929">
        <v>150.56</v>
      </c>
      <c r="AR124" s="929">
        <v>156.9</v>
      </c>
    </row>
    <row r="125" spans="1:44">
      <c r="A125" s="1538"/>
      <c r="B125" s="930">
        <v>3.1</v>
      </c>
      <c r="C125" s="931">
        <f>(Y125*KFC!$B$19+KFC!$C$19)*KFC!$C$5</f>
        <v>43.58</v>
      </c>
      <c r="D125" s="932">
        <f>(Z125*KFC!$B$19+KFC!$C$19)*KFC!$C$5</f>
        <v>49.47</v>
      </c>
      <c r="E125" s="932">
        <f>(AA125*KFC!$B$19+KFC!$C$19)*KFC!$C$5</f>
        <v>55.19</v>
      </c>
      <c r="F125" s="932">
        <f>(AB125*KFC!$B$19+KFC!$C$19)*KFC!$C$5</f>
        <v>61.65</v>
      </c>
      <c r="G125" s="932">
        <f>(AC125*KFC!$B$19+KFC!$C$19)*KFC!$C$5</f>
        <v>68.53</v>
      </c>
      <c r="H125" s="932">
        <f>(AD125*KFC!$B$19+KFC!$C$19)*KFC!$C$5</f>
        <v>72.37</v>
      </c>
      <c r="I125" s="932">
        <f>(AE125*KFC!$B$19+KFC!$C$19)*KFC!$C$5</f>
        <v>79.91</v>
      </c>
      <c r="J125" s="932">
        <f>(AF125*KFC!$B$19+KFC!$C$19)*KFC!$C$5</f>
        <v>85.76</v>
      </c>
      <c r="K125" s="932">
        <f>(AG125*KFC!$B$19+KFC!$C$19)*KFC!$C$5</f>
        <v>92.93</v>
      </c>
      <c r="L125" s="932">
        <f>(AH125*KFC!$B$19+KFC!$C$19)*KFC!$C$5</f>
        <v>99.38</v>
      </c>
      <c r="M125" s="932">
        <f>(AI125*KFC!$B$19+KFC!$C$19)*KFC!$C$5</f>
        <v>105.56</v>
      </c>
      <c r="N125" s="932">
        <f>(AJ125*KFC!$B$19+KFC!$C$19)*KFC!$C$5</f>
        <v>111.51</v>
      </c>
      <c r="O125" s="932">
        <f>(AK125*KFC!$B$19+KFC!$C$19)*KFC!$C$5</f>
        <v>116.99</v>
      </c>
      <c r="P125" s="932">
        <f>(AL125*KFC!$B$19+KFC!$C$19)*KFC!$C$5</f>
        <v>123.54</v>
      </c>
      <c r="Q125" s="932">
        <f>(AM125*KFC!$B$19+KFC!$C$19)*KFC!$C$5</f>
        <v>129.53</v>
      </c>
      <c r="R125" s="932">
        <f>(AN125*KFC!$B$19+KFC!$C$19)*KFC!$C$5</f>
        <v>134.68</v>
      </c>
      <c r="S125" s="932">
        <f>(AO125*KFC!$B$19+KFC!$C$19)*KFC!$C$5</f>
        <v>141.32</v>
      </c>
      <c r="T125" s="932">
        <f>(AP125*KFC!$B$19+KFC!$C$19)*KFC!$C$5</f>
        <v>147.96</v>
      </c>
      <c r="U125" s="943">
        <f>(AQ125*KFC!$B$19+KFC!$C$19)*KFC!$C$5</f>
        <v>154.6</v>
      </c>
      <c r="V125" s="928"/>
      <c r="X125" s="923">
        <v>3.1</v>
      </c>
      <c r="Y125" s="929">
        <v>43.58</v>
      </c>
      <c r="Z125" s="929">
        <v>49.47</v>
      </c>
      <c r="AA125" s="929">
        <v>55.19</v>
      </c>
      <c r="AB125" s="929">
        <v>61.65</v>
      </c>
      <c r="AC125" s="929">
        <v>68.53</v>
      </c>
      <c r="AD125" s="929">
        <v>72.37</v>
      </c>
      <c r="AE125" s="929">
        <v>79.91</v>
      </c>
      <c r="AF125" s="929">
        <v>85.76</v>
      </c>
      <c r="AG125" s="929">
        <v>92.93</v>
      </c>
      <c r="AH125" s="929">
        <v>99.38</v>
      </c>
      <c r="AI125" s="929">
        <v>105.56</v>
      </c>
      <c r="AJ125" s="929">
        <v>111.51</v>
      </c>
      <c r="AK125" s="929">
        <v>116.99</v>
      </c>
      <c r="AL125" s="929">
        <v>123.54</v>
      </c>
      <c r="AM125" s="929">
        <v>129.53</v>
      </c>
      <c r="AN125" s="929">
        <v>134.68</v>
      </c>
      <c r="AO125" s="929">
        <v>141.32</v>
      </c>
      <c r="AP125" s="929">
        <v>147.96</v>
      </c>
      <c r="AQ125" s="929">
        <v>154.6</v>
      </c>
      <c r="AR125" s="929">
        <v>161.24</v>
      </c>
    </row>
    <row r="126" spans="1:44">
      <c r="A126" s="1538"/>
      <c r="B126" s="930">
        <v>3.2</v>
      </c>
      <c r="C126" s="931">
        <f>(Y126*KFC!$B$19+KFC!$C$19)*KFC!$C$5</f>
        <v>44.43</v>
      </c>
      <c r="D126" s="932">
        <f>(Z126*KFC!$B$19+KFC!$C$19)*KFC!$C$5</f>
        <v>50.47</v>
      </c>
      <c r="E126" s="932">
        <f>(AA126*KFC!$B$19+KFC!$C$19)*KFC!$C$5</f>
        <v>56.19</v>
      </c>
      <c r="F126" s="932">
        <f>(AB126*KFC!$B$19+KFC!$C$19)*KFC!$C$5</f>
        <v>62.94</v>
      </c>
      <c r="G126" s="932">
        <f>(AC126*KFC!$B$19+KFC!$C$19)*KFC!$C$5</f>
        <v>70.11</v>
      </c>
      <c r="H126" s="932">
        <f>(AD126*KFC!$B$19+KFC!$C$19)*KFC!$C$5</f>
        <v>73.66</v>
      </c>
      <c r="I126" s="932">
        <f>(AE126*KFC!$B$19+KFC!$C$19)*KFC!$C$5</f>
        <v>81.62</v>
      </c>
      <c r="J126" s="932">
        <f>(AF126*KFC!$B$19+KFC!$C$19)*KFC!$C$5</f>
        <v>87.61</v>
      </c>
      <c r="K126" s="932">
        <f>(AG126*KFC!$B$19+KFC!$C$19)*KFC!$C$5</f>
        <v>95.07</v>
      </c>
      <c r="L126" s="932">
        <f>(AH126*KFC!$B$19+KFC!$C$19)*KFC!$C$5</f>
        <v>101.81</v>
      </c>
      <c r="M126" s="932">
        <f>(AI126*KFC!$B$19+KFC!$C$19)*KFC!$C$5</f>
        <v>108.14</v>
      </c>
      <c r="N126" s="932">
        <f>(AJ126*KFC!$B$19+KFC!$C$19)*KFC!$C$5</f>
        <v>114.22</v>
      </c>
      <c r="O126" s="932">
        <f>(AK126*KFC!$B$19+KFC!$C$19)*KFC!$C$5</f>
        <v>119.71</v>
      </c>
      <c r="P126" s="932">
        <f>(AL126*KFC!$B$19+KFC!$C$19)*KFC!$C$5</f>
        <v>126.54</v>
      </c>
      <c r="Q126" s="932">
        <f>(AM126*KFC!$B$19+KFC!$C$19)*KFC!$C$5</f>
        <v>132.66999999999999</v>
      </c>
      <c r="R126" s="932">
        <f>(AN126*KFC!$B$19+KFC!$C$19)*KFC!$C$5</f>
        <v>137.82</v>
      </c>
      <c r="S126" s="932">
        <f>(AO126*KFC!$B$19+KFC!$C$19)*KFC!$C$5</f>
        <v>144.76</v>
      </c>
      <c r="T126" s="932">
        <f>(AP126*KFC!$B$19+KFC!$C$19)*KFC!$C$5</f>
        <v>151.69999999999999</v>
      </c>
      <c r="U126" s="943">
        <f>(AQ126*KFC!$B$19+KFC!$C$19)*KFC!$C$5</f>
        <v>158.63999999999999</v>
      </c>
      <c r="V126" s="928"/>
      <c r="X126" s="923">
        <v>3.2</v>
      </c>
      <c r="Y126" s="929">
        <v>44.43</v>
      </c>
      <c r="Z126" s="929">
        <v>50.47</v>
      </c>
      <c r="AA126" s="929">
        <v>56.19</v>
      </c>
      <c r="AB126" s="929">
        <v>62.94</v>
      </c>
      <c r="AC126" s="929">
        <v>70.11</v>
      </c>
      <c r="AD126" s="929">
        <v>73.66</v>
      </c>
      <c r="AE126" s="929">
        <v>81.62</v>
      </c>
      <c r="AF126" s="929">
        <v>87.61</v>
      </c>
      <c r="AG126" s="929">
        <v>95.07</v>
      </c>
      <c r="AH126" s="929">
        <v>101.81</v>
      </c>
      <c r="AI126" s="929">
        <v>108.14</v>
      </c>
      <c r="AJ126" s="929">
        <v>114.22</v>
      </c>
      <c r="AK126" s="929">
        <v>119.71</v>
      </c>
      <c r="AL126" s="929">
        <v>126.54</v>
      </c>
      <c r="AM126" s="929">
        <v>132.66999999999999</v>
      </c>
      <c r="AN126" s="929">
        <v>137.82</v>
      </c>
      <c r="AO126" s="929">
        <v>144.76</v>
      </c>
      <c r="AP126" s="929">
        <v>151.69999999999999</v>
      </c>
      <c r="AQ126" s="929">
        <v>158.63999999999999</v>
      </c>
      <c r="AR126" s="929">
        <v>165.58</v>
      </c>
    </row>
    <row r="127" spans="1:44">
      <c r="A127" s="1538"/>
      <c r="B127" s="930">
        <v>3.3</v>
      </c>
      <c r="C127" s="931">
        <f>(Y127*KFC!$B$19+KFC!$C$19)*KFC!$C$5</f>
        <v>45.28</v>
      </c>
      <c r="D127" s="932">
        <f>(Z127*KFC!$B$19+KFC!$C$19)*KFC!$C$5</f>
        <v>51.47</v>
      </c>
      <c r="E127" s="932">
        <f>(AA127*KFC!$B$19+KFC!$C$19)*KFC!$C$5</f>
        <v>57.19</v>
      </c>
      <c r="F127" s="932">
        <f>(AB127*KFC!$B$19+KFC!$C$19)*KFC!$C$5</f>
        <v>64.23</v>
      </c>
      <c r="G127" s="932">
        <f>(AC127*KFC!$B$19+KFC!$C$19)*KFC!$C$5</f>
        <v>71.69</v>
      </c>
      <c r="H127" s="932">
        <f>(AD127*KFC!$B$19+KFC!$C$19)*KFC!$C$5</f>
        <v>74.95</v>
      </c>
      <c r="I127" s="932">
        <f>(AE127*KFC!$B$19+KFC!$C$19)*KFC!$C$5</f>
        <v>83.33</v>
      </c>
      <c r="J127" s="932">
        <f>(AF127*KFC!$B$19+KFC!$C$19)*KFC!$C$5</f>
        <v>89.46</v>
      </c>
      <c r="K127" s="932">
        <f>(AG127*KFC!$B$19+KFC!$C$19)*KFC!$C$5</f>
        <v>97.21</v>
      </c>
      <c r="L127" s="932">
        <f>(AH127*KFC!$B$19+KFC!$C$19)*KFC!$C$5</f>
        <v>104.24</v>
      </c>
      <c r="M127" s="932">
        <f>(AI127*KFC!$B$19+KFC!$C$19)*KFC!$C$5</f>
        <v>110.72</v>
      </c>
      <c r="N127" s="932">
        <f>(AJ127*KFC!$B$19+KFC!$C$19)*KFC!$C$5</f>
        <v>116.93</v>
      </c>
      <c r="O127" s="932">
        <f>(AK127*KFC!$B$19+KFC!$C$19)*KFC!$C$5</f>
        <v>122.43</v>
      </c>
      <c r="P127" s="932">
        <f>(AL127*KFC!$B$19+KFC!$C$19)*KFC!$C$5</f>
        <v>129.54</v>
      </c>
      <c r="Q127" s="932">
        <f>(AM127*KFC!$B$19+KFC!$C$19)*KFC!$C$5</f>
        <v>135.81</v>
      </c>
      <c r="R127" s="932">
        <f>(AN127*KFC!$B$19+KFC!$C$19)*KFC!$C$5</f>
        <v>140.96</v>
      </c>
      <c r="S127" s="932">
        <f>(AO127*KFC!$B$19+KFC!$C$19)*KFC!$C$5</f>
        <v>148.19999999999999</v>
      </c>
      <c r="T127" s="932">
        <f>(AP127*KFC!$B$19+KFC!$C$19)*KFC!$C$5</f>
        <v>155.44</v>
      </c>
      <c r="U127" s="943">
        <f>(AQ127*KFC!$B$19+KFC!$C$19)*KFC!$C$5</f>
        <v>162.68</v>
      </c>
      <c r="V127" s="928"/>
      <c r="X127" s="923">
        <v>3.3</v>
      </c>
      <c r="Y127" s="929">
        <v>45.28</v>
      </c>
      <c r="Z127" s="929">
        <v>51.47</v>
      </c>
      <c r="AA127" s="929">
        <v>57.19</v>
      </c>
      <c r="AB127" s="929">
        <v>64.23</v>
      </c>
      <c r="AC127" s="929">
        <v>71.69</v>
      </c>
      <c r="AD127" s="929">
        <v>74.95</v>
      </c>
      <c r="AE127" s="929">
        <v>83.33</v>
      </c>
      <c r="AF127" s="929">
        <v>89.46</v>
      </c>
      <c r="AG127" s="929">
        <v>97.21</v>
      </c>
      <c r="AH127" s="929">
        <v>104.24</v>
      </c>
      <c r="AI127" s="929">
        <v>110.72</v>
      </c>
      <c r="AJ127" s="929">
        <v>116.93</v>
      </c>
      <c r="AK127" s="929">
        <v>122.43</v>
      </c>
      <c r="AL127" s="929">
        <v>129.54</v>
      </c>
      <c r="AM127" s="929">
        <v>135.81</v>
      </c>
      <c r="AN127" s="929">
        <v>140.96</v>
      </c>
      <c r="AO127" s="929">
        <v>148.19999999999999</v>
      </c>
      <c r="AP127" s="929">
        <v>155.44</v>
      </c>
      <c r="AQ127" s="929">
        <v>162.68</v>
      </c>
      <c r="AR127" s="929">
        <v>169.92</v>
      </c>
    </row>
    <row r="128" spans="1:44">
      <c r="A128" s="1538"/>
      <c r="B128" s="930">
        <v>3.4</v>
      </c>
      <c r="C128" s="931">
        <f>(Y128*KFC!$B$19+KFC!$C$19)*KFC!$C$5</f>
        <v>46.13</v>
      </c>
      <c r="D128" s="932">
        <f>(Z128*KFC!$B$19+KFC!$C$19)*KFC!$C$5</f>
        <v>52.47</v>
      </c>
      <c r="E128" s="932">
        <f>(AA128*KFC!$B$19+KFC!$C$19)*KFC!$C$5</f>
        <v>58.19</v>
      </c>
      <c r="F128" s="932">
        <f>(AB128*KFC!$B$19+KFC!$C$19)*KFC!$C$5</f>
        <v>65.52</v>
      </c>
      <c r="G128" s="932">
        <f>(AC128*KFC!$B$19+KFC!$C$19)*KFC!$C$5</f>
        <v>73.27</v>
      </c>
      <c r="H128" s="932">
        <f>(AD128*KFC!$B$19+KFC!$C$19)*KFC!$C$5</f>
        <v>76.239999999999995</v>
      </c>
      <c r="I128" s="932">
        <f>(AE128*KFC!$B$19+KFC!$C$19)*KFC!$C$5</f>
        <v>85.04</v>
      </c>
      <c r="J128" s="932">
        <f>(AF128*KFC!$B$19+KFC!$C$19)*KFC!$C$5</f>
        <v>91.31</v>
      </c>
      <c r="K128" s="932">
        <f>(AG128*KFC!$B$19+KFC!$C$19)*KFC!$C$5</f>
        <v>99.35</v>
      </c>
      <c r="L128" s="932">
        <f>(AH128*KFC!$B$19+KFC!$C$19)*KFC!$C$5</f>
        <v>106.67</v>
      </c>
      <c r="M128" s="932">
        <f>(AI128*KFC!$B$19+KFC!$C$19)*KFC!$C$5</f>
        <v>113.3</v>
      </c>
      <c r="N128" s="932">
        <f>(AJ128*KFC!$B$19+KFC!$C$19)*KFC!$C$5</f>
        <v>119.64</v>
      </c>
      <c r="O128" s="932">
        <f>(AK128*KFC!$B$19+KFC!$C$19)*KFC!$C$5</f>
        <v>125.15</v>
      </c>
      <c r="P128" s="932">
        <f>(AL128*KFC!$B$19+KFC!$C$19)*KFC!$C$5</f>
        <v>132.54</v>
      </c>
      <c r="Q128" s="932">
        <f>(AM128*KFC!$B$19+KFC!$C$19)*KFC!$C$5</f>
        <v>138.94999999999999</v>
      </c>
      <c r="R128" s="932">
        <f>(AN128*KFC!$B$19+KFC!$C$19)*KFC!$C$5</f>
        <v>144.1</v>
      </c>
      <c r="S128" s="932">
        <f>(AO128*KFC!$B$19+KFC!$C$19)*KFC!$C$5</f>
        <v>151.63999999999999</v>
      </c>
      <c r="T128" s="932">
        <f>(AP128*KFC!$B$19+KFC!$C$19)*KFC!$C$5</f>
        <v>159.18</v>
      </c>
      <c r="U128" s="943">
        <f>(AQ128*KFC!$B$19+KFC!$C$19)*KFC!$C$5</f>
        <v>166.72</v>
      </c>
      <c r="V128" s="928"/>
      <c r="X128" s="923">
        <v>3.4</v>
      </c>
      <c r="Y128" s="929">
        <v>46.13</v>
      </c>
      <c r="Z128" s="929">
        <v>52.47</v>
      </c>
      <c r="AA128" s="929">
        <v>58.19</v>
      </c>
      <c r="AB128" s="929">
        <v>65.52</v>
      </c>
      <c r="AC128" s="929">
        <v>73.27</v>
      </c>
      <c r="AD128" s="929">
        <v>76.239999999999995</v>
      </c>
      <c r="AE128" s="929">
        <v>85.04</v>
      </c>
      <c r="AF128" s="929">
        <v>91.31</v>
      </c>
      <c r="AG128" s="929">
        <v>99.35</v>
      </c>
      <c r="AH128" s="929">
        <v>106.67</v>
      </c>
      <c r="AI128" s="929">
        <v>113.3</v>
      </c>
      <c r="AJ128" s="929">
        <v>119.64</v>
      </c>
      <c r="AK128" s="929">
        <v>125.15</v>
      </c>
      <c r="AL128" s="929">
        <v>132.54</v>
      </c>
      <c r="AM128" s="929">
        <v>138.94999999999999</v>
      </c>
      <c r="AN128" s="929">
        <v>144.1</v>
      </c>
      <c r="AO128" s="929">
        <v>151.63999999999999</v>
      </c>
      <c r="AP128" s="929">
        <v>159.18</v>
      </c>
      <c r="AQ128" s="929">
        <v>166.72</v>
      </c>
      <c r="AR128" s="929">
        <v>174.26</v>
      </c>
    </row>
    <row r="129" spans="1:44" ht="13.8" thickBot="1">
      <c r="A129" s="1539"/>
      <c r="B129" s="934">
        <v>3.5</v>
      </c>
      <c r="C129" s="935">
        <f>(Y129*KFC!$B$19+KFC!$C$19)*KFC!$C$5</f>
        <v>46.98</v>
      </c>
      <c r="D129" s="944">
        <f>(Z129*KFC!$B$19+KFC!$C$19)*KFC!$C$5</f>
        <v>53.47</v>
      </c>
      <c r="E129" s="944">
        <f>(AA129*KFC!$B$19+KFC!$C$19)*KFC!$C$5</f>
        <v>59.19</v>
      </c>
      <c r="F129" s="944">
        <f>(AB129*KFC!$B$19+KFC!$C$19)*KFC!$C$5</f>
        <v>66.81</v>
      </c>
      <c r="G129" s="944">
        <f>(AC129*KFC!$B$19+KFC!$C$19)*KFC!$C$5</f>
        <v>74.849999999999994</v>
      </c>
      <c r="H129" s="944">
        <f>(AD129*KFC!$B$19+KFC!$C$19)*KFC!$C$5</f>
        <v>77.53</v>
      </c>
      <c r="I129" s="944">
        <f>(AE129*KFC!$B$19+KFC!$C$19)*KFC!$C$5</f>
        <v>86.75</v>
      </c>
      <c r="J129" s="944">
        <f>(AF129*KFC!$B$19+KFC!$C$19)*KFC!$C$5</f>
        <v>93.16</v>
      </c>
      <c r="K129" s="944">
        <f>(AG129*KFC!$B$19+KFC!$C$19)*KFC!$C$5</f>
        <v>101.49</v>
      </c>
      <c r="L129" s="944">
        <f>(AH129*KFC!$B$19+KFC!$C$19)*KFC!$C$5</f>
        <v>109.1</v>
      </c>
      <c r="M129" s="944">
        <f>(AI129*KFC!$B$19+KFC!$C$19)*KFC!$C$5</f>
        <v>115.88</v>
      </c>
      <c r="N129" s="944">
        <f>(AJ129*KFC!$B$19+KFC!$C$19)*KFC!$C$5</f>
        <v>122.35</v>
      </c>
      <c r="O129" s="944">
        <f>(AK129*KFC!$B$19+KFC!$C$19)*KFC!$C$5</f>
        <v>127.87</v>
      </c>
      <c r="P129" s="944">
        <f>(AL129*KFC!$B$19+KFC!$C$19)*KFC!$C$5</f>
        <v>135.54</v>
      </c>
      <c r="Q129" s="944">
        <f>(AM129*KFC!$B$19+KFC!$C$19)*KFC!$C$5</f>
        <v>142.09</v>
      </c>
      <c r="R129" s="944">
        <f>(AN129*KFC!$B$19+KFC!$C$19)*KFC!$C$5</f>
        <v>147.24</v>
      </c>
      <c r="S129" s="944">
        <f>(AO129*KFC!$B$19+KFC!$C$19)*KFC!$C$5</f>
        <v>155.08000000000001</v>
      </c>
      <c r="T129" s="944">
        <f>(AP129*KFC!$B$19+KFC!$C$19)*KFC!$C$5</f>
        <v>162.91999999999999</v>
      </c>
      <c r="U129" s="945">
        <f>(AQ129*KFC!$B$19+KFC!$C$19)*KFC!$C$5</f>
        <v>170.76</v>
      </c>
      <c r="V129" s="928"/>
      <c r="X129" s="923">
        <v>3.5</v>
      </c>
      <c r="Y129" s="929">
        <v>46.98</v>
      </c>
      <c r="Z129" s="929">
        <v>53.47</v>
      </c>
      <c r="AA129" s="929">
        <v>59.19</v>
      </c>
      <c r="AB129" s="929">
        <v>66.81</v>
      </c>
      <c r="AC129" s="929">
        <v>74.849999999999994</v>
      </c>
      <c r="AD129" s="929">
        <v>77.53</v>
      </c>
      <c r="AE129" s="929">
        <v>86.75</v>
      </c>
      <c r="AF129" s="929">
        <v>93.16</v>
      </c>
      <c r="AG129" s="929">
        <v>101.49</v>
      </c>
      <c r="AH129" s="929">
        <v>109.1</v>
      </c>
      <c r="AI129" s="929">
        <v>115.88</v>
      </c>
      <c r="AJ129" s="929">
        <v>122.35</v>
      </c>
      <c r="AK129" s="929">
        <v>127.87</v>
      </c>
      <c r="AL129" s="929">
        <v>135.54</v>
      </c>
      <c r="AM129" s="929">
        <v>142.09</v>
      </c>
      <c r="AN129" s="929">
        <v>147.24</v>
      </c>
      <c r="AO129" s="929">
        <v>155.08000000000001</v>
      </c>
      <c r="AP129" s="929">
        <v>162.91999999999999</v>
      </c>
      <c r="AQ129" s="929">
        <v>170.76</v>
      </c>
      <c r="AR129" s="929">
        <v>178.6</v>
      </c>
    </row>
    <row r="130" spans="1:44" hidden="1">
      <c r="A130" s="938"/>
      <c r="B130" s="921"/>
      <c r="C130" s="928"/>
      <c r="D130" s="928"/>
      <c r="E130" s="928"/>
      <c r="F130" s="928"/>
      <c r="G130" s="928"/>
      <c r="H130" s="928"/>
      <c r="I130" s="928"/>
      <c r="J130" s="928"/>
      <c r="K130" s="928"/>
      <c r="L130" s="928"/>
      <c r="M130" s="928"/>
      <c r="N130" s="928"/>
      <c r="O130" s="928"/>
      <c r="P130" s="928"/>
      <c r="Q130" s="928"/>
      <c r="R130" s="928"/>
      <c r="S130" s="928"/>
      <c r="T130" s="928"/>
      <c r="U130" s="928"/>
      <c r="V130" s="928"/>
      <c r="X130" s="923">
        <v>3.6</v>
      </c>
      <c r="Y130" s="929">
        <v>47.83</v>
      </c>
      <c r="Z130" s="929">
        <v>54.47</v>
      </c>
      <c r="AA130" s="929">
        <v>60.19</v>
      </c>
      <c r="AB130" s="929">
        <v>68.099999999999994</v>
      </c>
      <c r="AC130" s="929">
        <v>76.430000000000007</v>
      </c>
      <c r="AD130" s="929">
        <v>78.819999999999993</v>
      </c>
      <c r="AE130" s="929">
        <v>88.46</v>
      </c>
      <c r="AF130" s="929">
        <v>95.01</v>
      </c>
      <c r="AG130" s="929">
        <v>103.63</v>
      </c>
      <c r="AH130" s="929">
        <v>111.53</v>
      </c>
      <c r="AI130" s="929">
        <v>118.46</v>
      </c>
      <c r="AJ130" s="929">
        <v>125.06</v>
      </c>
      <c r="AK130" s="929">
        <v>130.59</v>
      </c>
      <c r="AL130" s="929">
        <v>138.54</v>
      </c>
      <c r="AM130" s="929">
        <v>145.22999999999999</v>
      </c>
      <c r="AN130" s="929">
        <v>150.38</v>
      </c>
      <c r="AO130" s="929">
        <v>158.52000000000001</v>
      </c>
      <c r="AP130" s="929">
        <v>166.66</v>
      </c>
      <c r="AQ130" s="929">
        <v>174.8</v>
      </c>
      <c r="AR130" s="929">
        <v>182.94</v>
      </c>
    </row>
    <row r="131" spans="1:44" hidden="1">
      <c r="A131" s="938"/>
      <c r="B131" s="921"/>
      <c r="C131" s="928"/>
      <c r="D131" s="928"/>
      <c r="E131" s="928"/>
      <c r="F131" s="928"/>
      <c r="G131" s="928"/>
      <c r="H131" s="928"/>
      <c r="I131" s="928"/>
      <c r="J131" s="928"/>
      <c r="K131" s="928"/>
      <c r="L131" s="928"/>
      <c r="M131" s="928"/>
      <c r="N131" s="928"/>
      <c r="O131" s="928"/>
      <c r="P131" s="928"/>
      <c r="Q131" s="928"/>
      <c r="R131" s="928"/>
      <c r="S131" s="928"/>
      <c r="T131" s="928"/>
      <c r="U131" s="928"/>
      <c r="V131" s="928"/>
      <c r="X131" s="923">
        <v>3.7</v>
      </c>
      <c r="Y131" s="929">
        <v>48.68</v>
      </c>
      <c r="Z131" s="929">
        <v>55.47</v>
      </c>
      <c r="AA131" s="929">
        <v>61.19</v>
      </c>
      <c r="AB131" s="929">
        <v>69.39</v>
      </c>
      <c r="AC131" s="929">
        <v>78.010000000000005</v>
      </c>
      <c r="AD131" s="929">
        <v>80.11</v>
      </c>
      <c r="AE131" s="929">
        <v>90.17</v>
      </c>
      <c r="AF131" s="929">
        <v>96.86</v>
      </c>
      <c r="AG131" s="929">
        <v>105.77</v>
      </c>
      <c r="AH131" s="929">
        <v>113.96</v>
      </c>
      <c r="AI131" s="929">
        <v>121.04</v>
      </c>
      <c r="AJ131" s="929">
        <v>127.77</v>
      </c>
      <c r="AK131" s="929">
        <v>133.31</v>
      </c>
      <c r="AL131" s="929">
        <v>141.54</v>
      </c>
      <c r="AM131" s="929">
        <v>148.37</v>
      </c>
      <c r="AN131" s="929">
        <v>153.52000000000001</v>
      </c>
      <c r="AO131" s="929">
        <v>161.96</v>
      </c>
      <c r="AP131" s="929">
        <v>170.4</v>
      </c>
      <c r="AQ131" s="929">
        <v>178.84</v>
      </c>
      <c r="AR131" s="929">
        <v>187.28</v>
      </c>
    </row>
    <row r="132" spans="1:44" hidden="1">
      <c r="A132" s="938"/>
      <c r="B132" s="921"/>
      <c r="C132" s="928"/>
      <c r="D132" s="928"/>
      <c r="E132" s="928"/>
      <c r="F132" s="928"/>
      <c r="G132" s="928"/>
      <c r="H132" s="928"/>
      <c r="I132" s="928"/>
      <c r="J132" s="928"/>
      <c r="K132" s="928"/>
      <c r="L132" s="928"/>
      <c r="M132" s="928"/>
      <c r="N132" s="928"/>
      <c r="O132" s="928"/>
      <c r="P132" s="928"/>
      <c r="Q132" s="928"/>
      <c r="R132" s="928"/>
      <c r="S132" s="928"/>
      <c r="T132" s="928"/>
      <c r="U132" s="928"/>
      <c r="V132" s="928"/>
      <c r="X132" s="923">
        <v>3.8</v>
      </c>
      <c r="Y132" s="929">
        <v>49.53</v>
      </c>
      <c r="Z132" s="929">
        <v>56.47</v>
      </c>
      <c r="AA132" s="929">
        <v>62.19</v>
      </c>
      <c r="AB132" s="929">
        <v>70.680000000000007</v>
      </c>
      <c r="AC132" s="929">
        <v>79.59</v>
      </c>
      <c r="AD132" s="929">
        <v>81.400000000000006</v>
      </c>
      <c r="AE132" s="929">
        <v>91.88</v>
      </c>
      <c r="AF132" s="929">
        <v>98.71</v>
      </c>
      <c r="AG132" s="929">
        <v>107.91</v>
      </c>
      <c r="AH132" s="929">
        <v>116.39</v>
      </c>
      <c r="AI132" s="929">
        <v>123.62</v>
      </c>
      <c r="AJ132" s="929">
        <v>130.47999999999999</v>
      </c>
      <c r="AK132" s="929">
        <v>136.03</v>
      </c>
      <c r="AL132" s="929">
        <v>144.54</v>
      </c>
      <c r="AM132" s="929">
        <v>151.51</v>
      </c>
      <c r="AN132" s="929">
        <v>156.66</v>
      </c>
      <c r="AO132" s="929">
        <v>165.4</v>
      </c>
      <c r="AP132" s="929">
        <v>174.14</v>
      </c>
      <c r="AQ132" s="929">
        <v>182.88</v>
      </c>
      <c r="AR132" s="929">
        <v>191.62</v>
      </c>
    </row>
    <row r="133" spans="1:44" hidden="1">
      <c r="A133" s="938"/>
      <c r="B133" s="921"/>
      <c r="C133" s="928"/>
      <c r="D133" s="928"/>
      <c r="E133" s="928"/>
      <c r="F133" s="928"/>
      <c r="G133" s="928"/>
      <c r="H133" s="928"/>
      <c r="I133" s="928"/>
      <c r="J133" s="928"/>
      <c r="K133" s="928"/>
      <c r="L133" s="928"/>
      <c r="M133" s="928"/>
      <c r="N133" s="928"/>
      <c r="O133" s="928"/>
      <c r="P133" s="928"/>
      <c r="Q133" s="928"/>
      <c r="R133" s="928"/>
      <c r="S133" s="928"/>
      <c r="T133" s="928"/>
      <c r="U133" s="928"/>
      <c r="V133" s="928"/>
      <c r="X133" s="923">
        <v>3.9</v>
      </c>
      <c r="Y133" s="929">
        <v>50.38</v>
      </c>
      <c r="Z133" s="929">
        <v>57.47</v>
      </c>
      <c r="AA133" s="929">
        <v>63.19</v>
      </c>
      <c r="AB133" s="929">
        <v>71.97</v>
      </c>
      <c r="AC133" s="929">
        <v>81.17</v>
      </c>
      <c r="AD133" s="929">
        <v>82.69</v>
      </c>
      <c r="AE133" s="929">
        <v>93.59</v>
      </c>
      <c r="AF133" s="929">
        <v>100.56</v>
      </c>
      <c r="AG133" s="929">
        <v>110.05</v>
      </c>
      <c r="AH133" s="929">
        <v>118.82</v>
      </c>
      <c r="AI133" s="929">
        <v>126.2</v>
      </c>
      <c r="AJ133" s="929">
        <v>133.19</v>
      </c>
      <c r="AK133" s="929">
        <v>138.75</v>
      </c>
      <c r="AL133" s="929">
        <v>147.54</v>
      </c>
      <c r="AM133" s="929">
        <v>154.65</v>
      </c>
      <c r="AN133" s="929">
        <v>159.80000000000001</v>
      </c>
      <c r="AO133" s="929">
        <v>168.84</v>
      </c>
      <c r="AP133" s="929">
        <v>177.88</v>
      </c>
      <c r="AQ133" s="929">
        <v>186.92</v>
      </c>
      <c r="AR133" s="929">
        <v>195.96</v>
      </c>
    </row>
    <row r="134" spans="1:44" hidden="1">
      <c r="A134" s="938"/>
      <c r="B134" s="921"/>
      <c r="C134" s="928"/>
      <c r="D134" s="928"/>
      <c r="E134" s="928"/>
      <c r="F134" s="928"/>
      <c r="G134" s="928"/>
      <c r="H134" s="928"/>
      <c r="I134" s="928"/>
      <c r="J134" s="928"/>
      <c r="K134" s="928"/>
      <c r="L134" s="928"/>
      <c r="M134" s="928"/>
      <c r="N134" s="928"/>
      <c r="O134" s="928"/>
      <c r="P134" s="928"/>
      <c r="Q134" s="928"/>
      <c r="R134" s="928"/>
      <c r="S134" s="928"/>
      <c r="T134" s="928"/>
      <c r="U134" s="928"/>
      <c r="V134" s="928"/>
      <c r="X134" s="923">
        <v>4</v>
      </c>
      <c r="Y134" s="929">
        <v>51.23</v>
      </c>
      <c r="Z134" s="929">
        <v>58.47</v>
      </c>
      <c r="AA134" s="929">
        <v>64.19</v>
      </c>
      <c r="AB134" s="929">
        <v>73.260000000000005</v>
      </c>
      <c r="AC134" s="929">
        <v>82.75</v>
      </c>
      <c r="AD134" s="929">
        <v>83.98</v>
      </c>
      <c r="AE134" s="929">
        <v>95.3</v>
      </c>
      <c r="AF134" s="929">
        <v>102.41</v>
      </c>
      <c r="AG134" s="929">
        <v>112.19</v>
      </c>
      <c r="AH134" s="929">
        <v>121.25</v>
      </c>
      <c r="AI134" s="929">
        <v>128.78</v>
      </c>
      <c r="AJ134" s="929">
        <v>135.9</v>
      </c>
      <c r="AK134" s="929">
        <v>141.47</v>
      </c>
      <c r="AL134" s="929">
        <v>150.54</v>
      </c>
      <c r="AM134" s="929">
        <v>157.79</v>
      </c>
      <c r="AN134" s="929">
        <v>162.94</v>
      </c>
      <c r="AO134" s="929">
        <v>172.28</v>
      </c>
      <c r="AP134" s="929">
        <v>181.62</v>
      </c>
      <c r="AQ134" s="929">
        <v>190.96</v>
      </c>
      <c r="AR134" s="929">
        <v>200.3</v>
      </c>
    </row>
    <row r="135" spans="1:44" hidden="1">
      <c r="B135" s="921"/>
      <c r="C135" s="928"/>
      <c r="D135" s="928"/>
      <c r="E135" s="928"/>
      <c r="F135" s="928"/>
      <c r="G135" s="928"/>
      <c r="H135" s="928"/>
      <c r="I135" s="928"/>
      <c r="J135" s="928"/>
      <c r="K135" s="928"/>
      <c r="L135" s="928"/>
      <c r="M135" s="928"/>
      <c r="N135" s="928"/>
      <c r="O135" s="928"/>
      <c r="P135" s="928"/>
      <c r="Q135" s="928"/>
      <c r="R135" s="928"/>
      <c r="S135" s="928"/>
      <c r="T135" s="928"/>
      <c r="U135" s="928"/>
      <c r="V135" s="928"/>
      <c r="X135" s="923">
        <v>4.0999999999999996</v>
      </c>
      <c r="Y135" s="929">
        <v>52.08</v>
      </c>
      <c r="Z135" s="929">
        <v>59.47</v>
      </c>
      <c r="AA135" s="929">
        <v>65.19</v>
      </c>
      <c r="AB135" s="929">
        <v>74.55</v>
      </c>
      <c r="AC135" s="929">
        <v>84.33</v>
      </c>
      <c r="AD135" s="929">
        <v>85.27</v>
      </c>
      <c r="AE135" s="929">
        <v>97.01</v>
      </c>
      <c r="AF135" s="929">
        <v>104.26</v>
      </c>
      <c r="AG135" s="929">
        <v>114.33</v>
      </c>
      <c r="AH135" s="929">
        <v>123.68</v>
      </c>
      <c r="AI135" s="929">
        <v>131.36000000000001</v>
      </c>
      <c r="AJ135" s="929">
        <v>138.61000000000001</v>
      </c>
      <c r="AK135" s="929">
        <v>144.19</v>
      </c>
      <c r="AL135" s="929">
        <v>153.54</v>
      </c>
      <c r="AM135" s="929">
        <v>160.93</v>
      </c>
      <c r="AN135" s="929">
        <v>166.08</v>
      </c>
      <c r="AO135" s="929">
        <v>175.72</v>
      </c>
      <c r="AP135" s="929">
        <v>185.36</v>
      </c>
      <c r="AQ135" s="929">
        <v>195</v>
      </c>
      <c r="AR135" s="929">
        <v>204.64</v>
      </c>
    </row>
    <row r="136" spans="1:44" hidden="1">
      <c r="B136" s="921"/>
      <c r="C136" s="928"/>
      <c r="D136" s="928"/>
      <c r="E136" s="928"/>
      <c r="F136" s="928"/>
      <c r="G136" s="928"/>
      <c r="H136" s="928"/>
      <c r="I136" s="928"/>
      <c r="J136" s="928"/>
      <c r="K136" s="928"/>
      <c r="L136" s="928"/>
      <c r="M136" s="928"/>
      <c r="N136" s="928"/>
      <c r="O136" s="928"/>
      <c r="P136" s="928"/>
      <c r="Q136" s="928"/>
      <c r="R136" s="928"/>
      <c r="S136" s="928"/>
      <c r="T136" s="928"/>
      <c r="U136" s="928"/>
      <c r="V136" s="928"/>
      <c r="X136" s="923">
        <v>4.2</v>
      </c>
      <c r="Y136" s="929">
        <v>52.93</v>
      </c>
      <c r="Z136" s="929">
        <v>60.47</v>
      </c>
      <c r="AA136" s="929">
        <v>66.19</v>
      </c>
      <c r="AB136" s="929">
        <v>75.84</v>
      </c>
      <c r="AC136" s="929">
        <v>85.91</v>
      </c>
      <c r="AD136" s="929">
        <v>86.56</v>
      </c>
      <c r="AE136" s="929">
        <v>98.72</v>
      </c>
      <c r="AF136" s="929">
        <v>106.11</v>
      </c>
      <c r="AG136" s="929">
        <v>116.47</v>
      </c>
      <c r="AH136" s="929">
        <v>126.11</v>
      </c>
      <c r="AI136" s="929">
        <v>133.94</v>
      </c>
      <c r="AJ136" s="929">
        <v>141.32</v>
      </c>
      <c r="AK136" s="929">
        <v>146.91</v>
      </c>
      <c r="AL136" s="929">
        <v>156.54</v>
      </c>
      <c r="AM136" s="929">
        <v>164.07</v>
      </c>
      <c r="AN136" s="929">
        <v>169.22</v>
      </c>
      <c r="AO136" s="929">
        <v>179.16</v>
      </c>
      <c r="AP136" s="929">
        <v>189.1</v>
      </c>
      <c r="AQ136" s="929">
        <v>199.04</v>
      </c>
      <c r="AR136" s="929">
        <v>208.98</v>
      </c>
    </row>
    <row r="137" spans="1:44" hidden="1">
      <c r="B137" s="921"/>
      <c r="C137" s="928"/>
      <c r="D137" s="928"/>
      <c r="E137" s="928"/>
      <c r="F137" s="928"/>
      <c r="G137" s="928"/>
      <c r="H137" s="928"/>
      <c r="I137" s="928"/>
      <c r="J137" s="928"/>
      <c r="K137" s="928"/>
      <c r="L137" s="928"/>
      <c r="M137" s="928"/>
      <c r="N137" s="928"/>
      <c r="O137" s="928"/>
      <c r="P137" s="928"/>
      <c r="Q137" s="928"/>
      <c r="R137" s="928"/>
      <c r="S137" s="928"/>
      <c r="T137" s="928"/>
      <c r="U137" s="928"/>
      <c r="V137" s="928"/>
      <c r="X137" s="923">
        <v>4.3</v>
      </c>
      <c r="Y137" s="929">
        <v>53.78</v>
      </c>
      <c r="Z137" s="929">
        <v>61.47</v>
      </c>
      <c r="AA137" s="929">
        <v>67.19</v>
      </c>
      <c r="AB137" s="929">
        <v>77.13</v>
      </c>
      <c r="AC137" s="929">
        <v>87.49</v>
      </c>
      <c r="AD137" s="929">
        <v>87.85</v>
      </c>
      <c r="AE137" s="929">
        <v>100.43</v>
      </c>
      <c r="AF137" s="929">
        <v>107.96</v>
      </c>
      <c r="AG137" s="929">
        <v>118.61</v>
      </c>
      <c r="AH137" s="929">
        <v>128.54</v>
      </c>
      <c r="AI137" s="929">
        <v>136.52000000000001</v>
      </c>
      <c r="AJ137" s="929">
        <v>144.03</v>
      </c>
      <c r="AK137" s="929">
        <v>149.63</v>
      </c>
      <c r="AL137" s="929">
        <v>159.54</v>
      </c>
      <c r="AM137" s="929">
        <v>167.21</v>
      </c>
      <c r="AN137" s="929">
        <v>172.36</v>
      </c>
      <c r="AO137" s="929">
        <v>182.6</v>
      </c>
      <c r="AP137" s="929">
        <v>192.84</v>
      </c>
      <c r="AQ137" s="929">
        <v>203.08</v>
      </c>
      <c r="AR137" s="929">
        <v>213.32</v>
      </c>
    </row>
    <row r="138" spans="1:44" hidden="1">
      <c r="B138" s="921"/>
      <c r="C138" s="928"/>
      <c r="D138" s="928"/>
      <c r="E138" s="928"/>
      <c r="F138" s="928"/>
      <c r="G138" s="928"/>
      <c r="H138" s="928"/>
      <c r="I138" s="928"/>
      <c r="J138" s="928"/>
      <c r="K138" s="928"/>
      <c r="L138" s="928"/>
      <c r="M138" s="928"/>
      <c r="N138" s="928"/>
      <c r="O138" s="928"/>
      <c r="P138" s="928"/>
      <c r="Q138" s="928"/>
      <c r="R138" s="928"/>
      <c r="S138" s="928"/>
      <c r="T138" s="928"/>
      <c r="U138" s="928"/>
      <c r="V138" s="928"/>
      <c r="X138" s="923">
        <v>4.4000000000000004</v>
      </c>
      <c r="Y138" s="929">
        <v>54.63</v>
      </c>
      <c r="Z138" s="929">
        <v>62.47</v>
      </c>
      <c r="AA138" s="929">
        <v>68.19</v>
      </c>
      <c r="AB138" s="929">
        <v>78.42</v>
      </c>
      <c r="AC138" s="929">
        <v>89.07</v>
      </c>
      <c r="AD138" s="929">
        <v>89.14</v>
      </c>
      <c r="AE138" s="929">
        <v>102.14</v>
      </c>
      <c r="AF138" s="929">
        <v>109.81</v>
      </c>
      <c r="AG138" s="929">
        <v>120.75</v>
      </c>
      <c r="AH138" s="929">
        <v>130.97</v>
      </c>
      <c r="AI138" s="929">
        <v>139.1</v>
      </c>
      <c r="AJ138" s="929">
        <v>146.74</v>
      </c>
      <c r="AK138" s="929">
        <v>152.35</v>
      </c>
      <c r="AL138" s="929">
        <v>162.54</v>
      </c>
      <c r="AM138" s="929">
        <v>170.35</v>
      </c>
      <c r="AN138" s="929">
        <v>175.5</v>
      </c>
      <c r="AO138" s="929">
        <v>186.04</v>
      </c>
      <c r="AP138" s="929">
        <v>196.58</v>
      </c>
      <c r="AQ138" s="929">
        <v>207.12</v>
      </c>
      <c r="AR138" s="929">
        <v>217.66</v>
      </c>
    </row>
    <row r="139" spans="1:44" hidden="1">
      <c r="B139" s="921"/>
      <c r="C139" s="928"/>
      <c r="D139" s="928"/>
      <c r="E139" s="928"/>
      <c r="F139" s="928"/>
      <c r="G139" s="928"/>
      <c r="H139" s="928"/>
      <c r="I139" s="928"/>
      <c r="J139" s="928"/>
      <c r="K139" s="928"/>
      <c r="L139" s="928"/>
      <c r="M139" s="928"/>
      <c r="N139" s="928"/>
      <c r="O139" s="928"/>
      <c r="P139" s="928"/>
      <c r="Q139" s="928"/>
      <c r="R139" s="928"/>
      <c r="S139" s="928"/>
      <c r="T139" s="928"/>
      <c r="U139" s="928"/>
      <c r="V139" s="928"/>
      <c r="X139" s="923">
        <v>4.5</v>
      </c>
      <c r="Y139" s="929">
        <v>55.48</v>
      </c>
      <c r="Z139" s="929">
        <v>63.47</v>
      </c>
      <c r="AA139" s="929">
        <v>69.19</v>
      </c>
      <c r="AB139" s="929">
        <v>79.709999999999994</v>
      </c>
      <c r="AC139" s="929">
        <v>90.65</v>
      </c>
      <c r="AD139" s="929">
        <v>90.43</v>
      </c>
      <c r="AE139" s="929">
        <v>103.85</v>
      </c>
      <c r="AF139" s="929">
        <v>111.66</v>
      </c>
      <c r="AG139" s="929">
        <v>122.89</v>
      </c>
      <c r="AH139" s="929">
        <v>133.4</v>
      </c>
      <c r="AI139" s="929">
        <v>141.68</v>
      </c>
      <c r="AJ139" s="929">
        <v>149.44999999999999</v>
      </c>
      <c r="AK139" s="929">
        <v>155.07</v>
      </c>
      <c r="AL139" s="929">
        <v>165.54</v>
      </c>
      <c r="AM139" s="929">
        <v>173.49</v>
      </c>
      <c r="AN139" s="929">
        <v>178.64</v>
      </c>
      <c r="AO139" s="929">
        <v>189.48</v>
      </c>
      <c r="AP139" s="929">
        <v>200.32</v>
      </c>
      <c r="AQ139" s="929">
        <v>211.16</v>
      </c>
      <c r="AR139" s="929">
        <v>222</v>
      </c>
    </row>
    <row r="140" spans="1:44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</row>
    <row r="141" spans="1:44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</row>
    <row r="142" spans="1:44" ht="13.8" thickBot="1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</row>
    <row r="143" spans="1:44" ht="13.8" thickBot="1">
      <c r="A143" s="1413" t="s">
        <v>318</v>
      </c>
      <c r="B143" s="1542"/>
      <c r="C143" s="1534" t="s">
        <v>207</v>
      </c>
      <c r="D143" s="1535"/>
      <c r="E143" s="1535"/>
      <c r="F143" s="1535"/>
      <c r="G143" s="1535"/>
      <c r="H143" s="1535"/>
      <c r="I143" s="1535"/>
      <c r="J143" s="1535"/>
      <c r="K143" s="1535"/>
      <c r="L143" s="1535"/>
      <c r="M143" s="1535"/>
      <c r="N143" s="1535"/>
      <c r="O143" s="1535"/>
      <c r="P143" s="1535"/>
      <c r="Q143" s="1535"/>
      <c r="R143" s="1535"/>
      <c r="S143" s="1535"/>
      <c r="T143" s="1535"/>
      <c r="U143" s="1536"/>
      <c r="V143" s="700"/>
    </row>
    <row r="144" spans="1:44" ht="13.8" thickBot="1">
      <c r="A144" s="1543"/>
      <c r="B144" s="1570"/>
      <c r="C144" s="939">
        <v>0.4</v>
      </c>
      <c r="D144" s="940">
        <v>0.5</v>
      </c>
      <c r="E144" s="940">
        <v>0.6</v>
      </c>
      <c r="F144" s="940">
        <v>0.7</v>
      </c>
      <c r="G144" s="940">
        <v>0.8</v>
      </c>
      <c r="H144" s="940">
        <v>0.9</v>
      </c>
      <c r="I144" s="940">
        <v>1</v>
      </c>
      <c r="J144" s="940">
        <v>1.1000000000000001</v>
      </c>
      <c r="K144" s="940">
        <v>1.2</v>
      </c>
      <c r="L144" s="940">
        <v>1.3</v>
      </c>
      <c r="M144" s="940">
        <v>1.4</v>
      </c>
      <c r="N144" s="940">
        <v>1.5</v>
      </c>
      <c r="O144" s="940">
        <v>1.6</v>
      </c>
      <c r="P144" s="940">
        <v>1.7</v>
      </c>
      <c r="Q144" s="940">
        <v>1.8</v>
      </c>
      <c r="R144" s="940">
        <v>1.9</v>
      </c>
      <c r="S144" s="940">
        <v>2</v>
      </c>
      <c r="T144" s="940">
        <v>2.1</v>
      </c>
      <c r="U144" s="941">
        <v>2.2000000000000002</v>
      </c>
      <c r="V144" s="921"/>
      <c r="X144" s="922"/>
      <c r="Y144" s="923">
        <v>0.4</v>
      </c>
      <c r="Z144" s="923">
        <v>0.5</v>
      </c>
      <c r="AA144" s="923">
        <v>0.6</v>
      </c>
      <c r="AB144" s="923">
        <v>0.7</v>
      </c>
      <c r="AC144" s="923">
        <v>0.8</v>
      </c>
      <c r="AD144" s="923">
        <v>0.9</v>
      </c>
      <c r="AE144" s="923">
        <v>1</v>
      </c>
      <c r="AF144" s="923">
        <v>1.1000000000000001</v>
      </c>
      <c r="AG144" s="923">
        <v>1.2</v>
      </c>
      <c r="AH144" s="923">
        <v>1.3</v>
      </c>
      <c r="AI144" s="923">
        <v>1.4</v>
      </c>
      <c r="AJ144" s="923">
        <v>1.5</v>
      </c>
      <c r="AK144" s="923">
        <v>1.6</v>
      </c>
      <c r="AL144" s="923">
        <v>1.7</v>
      </c>
      <c r="AM144" s="923">
        <v>1.8</v>
      </c>
      <c r="AN144" s="923">
        <v>1.9</v>
      </c>
      <c r="AO144" s="923">
        <v>2</v>
      </c>
      <c r="AP144" s="923">
        <v>2.1</v>
      </c>
      <c r="AQ144" s="923">
        <v>2.2000000000000002</v>
      </c>
      <c r="AR144" s="923">
        <v>2.2999999999999998</v>
      </c>
    </row>
    <row r="145" spans="1:44" ht="12.75" customHeight="1">
      <c r="A145" s="1537" t="s">
        <v>3</v>
      </c>
      <c r="B145" s="924">
        <v>0.5</v>
      </c>
      <c r="C145" s="925">
        <f>(Y145*KFC!$B$19+KFC!$C$19)*KFC!$C$5</f>
        <v>29.32</v>
      </c>
      <c r="D145" s="926">
        <f>(Z145*KFC!$B$19+KFC!$C$19)*KFC!$C$5</f>
        <v>31.46</v>
      </c>
      <c r="E145" s="926">
        <f>(AA145*KFC!$B$19+KFC!$C$19)*KFC!$C$5</f>
        <v>33.32</v>
      </c>
      <c r="F145" s="926">
        <f>(AB145*KFC!$B$19+KFC!$C$19)*KFC!$C$5</f>
        <v>35.32</v>
      </c>
      <c r="G145" s="926">
        <f>(AC145*KFC!$B$19+KFC!$C$19)*KFC!$C$5</f>
        <v>37.32</v>
      </c>
      <c r="H145" s="926">
        <f>(AD145*KFC!$B$19+KFC!$C$19)*KFC!$C$5</f>
        <v>39.33</v>
      </c>
      <c r="I145" s="926">
        <f>(AE145*KFC!$B$19+KFC!$C$19)*KFC!$C$5</f>
        <v>41.33</v>
      </c>
      <c r="J145" s="926">
        <f>(AF145*KFC!$B$19+KFC!$C$19)*KFC!$C$5</f>
        <v>43.04</v>
      </c>
      <c r="K145" s="926">
        <f>(AG145*KFC!$B$19+KFC!$C$19)*KFC!$C$5</f>
        <v>45.05</v>
      </c>
      <c r="L145" s="926">
        <f>(AH145*KFC!$B$19+KFC!$C$19)*KFC!$C$5</f>
        <v>47.19</v>
      </c>
      <c r="M145" s="926">
        <f>(AI145*KFC!$B$19+KFC!$C$19)*KFC!$C$5</f>
        <v>49.05</v>
      </c>
      <c r="N145" s="926">
        <f>(AJ145*KFC!$B$19+KFC!$C$19)*KFC!$C$5</f>
        <v>51.05</v>
      </c>
      <c r="O145" s="926">
        <f>(AK145*KFC!$B$19+KFC!$C$19)*KFC!$C$5</f>
        <v>53.05</v>
      </c>
      <c r="P145" s="926">
        <f>(AL145*KFC!$B$19+KFC!$C$19)*KFC!$C$5</f>
        <v>54.91</v>
      </c>
      <c r="Q145" s="926">
        <f>(AM145*KFC!$B$19+KFC!$C$19)*KFC!$C$5</f>
        <v>56.77</v>
      </c>
      <c r="R145" s="926">
        <f>(AN145*KFC!$B$19+KFC!$C$19)*KFC!$C$5</f>
        <v>58.63</v>
      </c>
      <c r="S145" s="926">
        <f>(AO145*KFC!$B$19+KFC!$C$19)*KFC!$C$5</f>
        <v>60.63</v>
      </c>
      <c r="T145" s="926">
        <f>(AP145*KFC!$B$19+KFC!$C$19)*KFC!$C$5</f>
        <v>62.63</v>
      </c>
      <c r="U145" s="927">
        <f>(AQ145*KFC!$B$19+KFC!$C$19)*KFC!$C$5</f>
        <v>64.63</v>
      </c>
      <c r="V145" s="928"/>
      <c r="X145" s="923">
        <v>0.5</v>
      </c>
      <c r="Y145" s="929">
        <v>29.32</v>
      </c>
      <c r="Z145" s="929">
        <v>31.46</v>
      </c>
      <c r="AA145" s="929">
        <v>33.32</v>
      </c>
      <c r="AB145" s="929">
        <v>35.32</v>
      </c>
      <c r="AC145" s="929">
        <v>37.32</v>
      </c>
      <c r="AD145" s="929">
        <v>39.33</v>
      </c>
      <c r="AE145" s="929">
        <v>41.33</v>
      </c>
      <c r="AF145" s="929">
        <v>43.04</v>
      </c>
      <c r="AG145" s="929">
        <v>45.05</v>
      </c>
      <c r="AH145" s="929">
        <v>47.19</v>
      </c>
      <c r="AI145" s="929">
        <v>49.05</v>
      </c>
      <c r="AJ145" s="929">
        <v>51.05</v>
      </c>
      <c r="AK145" s="929">
        <v>53.05</v>
      </c>
      <c r="AL145" s="929">
        <v>54.91</v>
      </c>
      <c r="AM145" s="929">
        <v>56.77</v>
      </c>
      <c r="AN145" s="929">
        <v>58.63</v>
      </c>
      <c r="AO145" s="929">
        <v>60.63</v>
      </c>
      <c r="AP145" s="929">
        <v>62.63</v>
      </c>
      <c r="AQ145" s="929">
        <v>64.63</v>
      </c>
      <c r="AR145" s="929">
        <v>66.63</v>
      </c>
    </row>
    <row r="146" spans="1:44">
      <c r="A146" s="1538"/>
      <c r="B146" s="930">
        <v>0.6</v>
      </c>
      <c r="C146" s="931">
        <f>(Y146*KFC!$B$19+KFC!$C$19)*KFC!$C$5</f>
        <v>30.6</v>
      </c>
      <c r="D146" s="932">
        <f>(Z146*KFC!$B$19+KFC!$C$19)*KFC!$C$5</f>
        <v>32.75</v>
      </c>
      <c r="E146" s="932">
        <f>(AA146*KFC!$B$19+KFC!$C$19)*KFC!$C$5</f>
        <v>34.89</v>
      </c>
      <c r="F146" s="932">
        <f>(AB146*KFC!$B$19+KFC!$C$19)*KFC!$C$5</f>
        <v>37.32</v>
      </c>
      <c r="G146" s="932">
        <f>(AC146*KFC!$B$19+KFC!$C$19)*KFC!$C$5</f>
        <v>39.47</v>
      </c>
      <c r="H146" s="932">
        <f>(AD146*KFC!$B$19+KFC!$C$19)*KFC!$C$5</f>
        <v>41.61</v>
      </c>
      <c r="I146" s="932">
        <f>(AE146*KFC!$B$19+KFC!$C$19)*KFC!$C$5</f>
        <v>43.76</v>
      </c>
      <c r="J146" s="932">
        <f>(AF146*KFC!$B$19+KFC!$C$19)*KFC!$C$5</f>
        <v>46.05</v>
      </c>
      <c r="K146" s="932">
        <f>(AG146*KFC!$B$19+KFC!$C$19)*KFC!$C$5</f>
        <v>48.33</v>
      </c>
      <c r="L146" s="932">
        <f>(AH146*KFC!$B$19+KFC!$C$19)*KFC!$C$5</f>
        <v>50.34</v>
      </c>
      <c r="M146" s="932">
        <f>(AI146*KFC!$B$19+KFC!$C$19)*KFC!$C$5</f>
        <v>52.62</v>
      </c>
      <c r="N146" s="932">
        <f>(AJ146*KFC!$B$19+KFC!$C$19)*KFC!$C$5</f>
        <v>54.91</v>
      </c>
      <c r="O146" s="932">
        <f>(AK146*KFC!$B$19+KFC!$C$19)*KFC!$C$5</f>
        <v>57.2</v>
      </c>
      <c r="P146" s="932">
        <f>(AL146*KFC!$B$19+KFC!$C$19)*KFC!$C$5</f>
        <v>59.2</v>
      </c>
      <c r="Q146" s="932">
        <f>(AM146*KFC!$B$19+KFC!$C$19)*KFC!$C$5</f>
        <v>61.35</v>
      </c>
      <c r="R146" s="932">
        <f>(AN146*KFC!$B$19+KFC!$C$19)*KFC!$C$5</f>
        <v>63.35</v>
      </c>
      <c r="S146" s="932">
        <f>(AO146*KFC!$B$19+KFC!$C$19)*KFC!$C$5</f>
        <v>65.489999999999995</v>
      </c>
      <c r="T146" s="932">
        <f>(AP146*KFC!$B$19+KFC!$C$19)*KFC!$C$5</f>
        <v>67.63</v>
      </c>
      <c r="U146" s="943">
        <f>(AQ146*KFC!$B$19+KFC!$C$19)*KFC!$C$5</f>
        <v>69.77</v>
      </c>
      <c r="V146" s="928"/>
      <c r="X146" s="923">
        <v>0.6</v>
      </c>
      <c r="Y146" s="929">
        <v>30.6</v>
      </c>
      <c r="Z146" s="929">
        <v>32.75</v>
      </c>
      <c r="AA146" s="929">
        <v>34.89</v>
      </c>
      <c r="AB146" s="929">
        <v>37.32</v>
      </c>
      <c r="AC146" s="929">
        <v>39.47</v>
      </c>
      <c r="AD146" s="929">
        <v>41.61</v>
      </c>
      <c r="AE146" s="929">
        <v>43.76</v>
      </c>
      <c r="AF146" s="929">
        <v>46.05</v>
      </c>
      <c r="AG146" s="929">
        <v>48.33</v>
      </c>
      <c r="AH146" s="929">
        <v>50.34</v>
      </c>
      <c r="AI146" s="929">
        <v>52.62</v>
      </c>
      <c r="AJ146" s="929">
        <v>54.91</v>
      </c>
      <c r="AK146" s="929">
        <v>57.2</v>
      </c>
      <c r="AL146" s="929">
        <v>59.2</v>
      </c>
      <c r="AM146" s="929">
        <v>61.35</v>
      </c>
      <c r="AN146" s="929">
        <v>63.35</v>
      </c>
      <c r="AO146" s="929">
        <v>65.489999999999995</v>
      </c>
      <c r="AP146" s="929">
        <v>67.63</v>
      </c>
      <c r="AQ146" s="929">
        <v>69.77</v>
      </c>
      <c r="AR146" s="929">
        <v>71.91</v>
      </c>
    </row>
    <row r="147" spans="1:44">
      <c r="A147" s="1538"/>
      <c r="B147" s="930">
        <v>0.7</v>
      </c>
      <c r="C147" s="931">
        <f>(Y147*KFC!$B$19+KFC!$C$19)*KFC!$C$5</f>
        <v>31.89</v>
      </c>
      <c r="D147" s="932">
        <f>(Z147*KFC!$B$19+KFC!$C$19)*KFC!$C$5</f>
        <v>34.18</v>
      </c>
      <c r="E147" s="932">
        <f>(AA147*KFC!$B$19+KFC!$C$19)*KFC!$C$5</f>
        <v>36.75</v>
      </c>
      <c r="F147" s="932">
        <f>(AB147*KFC!$B$19+KFC!$C$19)*KFC!$C$5</f>
        <v>38.9</v>
      </c>
      <c r="G147" s="932">
        <f>(AC147*KFC!$B$19+KFC!$C$19)*KFC!$C$5</f>
        <v>41.61</v>
      </c>
      <c r="H147" s="932">
        <f>(AD147*KFC!$B$19+KFC!$C$19)*KFC!$C$5</f>
        <v>44.04</v>
      </c>
      <c r="I147" s="932">
        <f>(AE147*KFC!$B$19+KFC!$C$19)*KFC!$C$5</f>
        <v>46.48</v>
      </c>
      <c r="J147" s="932">
        <f>(AF147*KFC!$B$19+KFC!$C$19)*KFC!$C$5</f>
        <v>48.91</v>
      </c>
      <c r="K147" s="932">
        <f>(AG147*KFC!$B$19+KFC!$C$19)*KFC!$C$5</f>
        <v>51.34</v>
      </c>
      <c r="L147" s="932">
        <f>(AH147*KFC!$B$19+KFC!$C$19)*KFC!$C$5</f>
        <v>53.77</v>
      </c>
      <c r="M147" s="932">
        <f>(AI147*KFC!$B$19+KFC!$C$19)*KFC!$C$5</f>
        <v>56.34</v>
      </c>
      <c r="N147" s="932">
        <f>(AJ147*KFC!$B$19+KFC!$C$19)*KFC!$C$5</f>
        <v>58.77</v>
      </c>
      <c r="O147" s="932">
        <f>(AK147*KFC!$B$19+KFC!$C$19)*KFC!$C$5</f>
        <v>61.35</v>
      </c>
      <c r="P147" s="932">
        <f>(AL147*KFC!$B$19+KFC!$C$19)*KFC!$C$5</f>
        <v>63.78</v>
      </c>
      <c r="Q147" s="932">
        <f>(AM147*KFC!$B$19+KFC!$C$19)*KFC!$C$5</f>
        <v>66.069999999999993</v>
      </c>
      <c r="R147" s="932">
        <f>(AN147*KFC!$B$19+KFC!$C$19)*KFC!$C$5</f>
        <v>68.349999999999994</v>
      </c>
      <c r="S147" s="932">
        <f>(AO147*KFC!$B$19+KFC!$C$19)*KFC!$C$5</f>
        <v>70.930000000000007</v>
      </c>
      <c r="T147" s="932">
        <f>(AP147*KFC!$B$19+KFC!$C$19)*KFC!$C$5</f>
        <v>73.510000000000005</v>
      </c>
      <c r="U147" s="943">
        <f>(AQ147*KFC!$B$19+KFC!$C$19)*KFC!$C$5</f>
        <v>76.09</v>
      </c>
      <c r="V147" s="928"/>
      <c r="X147" s="923">
        <v>0.7</v>
      </c>
      <c r="Y147" s="929">
        <v>31.89</v>
      </c>
      <c r="Z147" s="929">
        <v>34.18</v>
      </c>
      <c r="AA147" s="929">
        <v>36.75</v>
      </c>
      <c r="AB147" s="929">
        <v>38.9</v>
      </c>
      <c r="AC147" s="929">
        <v>41.61</v>
      </c>
      <c r="AD147" s="929">
        <v>44.04</v>
      </c>
      <c r="AE147" s="929">
        <v>46.48</v>
      </c>
      <c r="AF147" s="929">
        <v>48.91</v>
      </c>
      <c r="AG147" s="929">
        <v>51.34</v>
      </c>
      <c r="AH147" s="929">
        <v>53.77</v>
      </c>
      <c r="AI147" s="929">
        <v>56.34</v>
      </c>
      <c r="AJ147" s="929">
        <v>58.77</v>
      </c>
      <c r="AK147" s="929">
        <v>61.35</v>
      </c>
      <c r="AL147" s="929">
        <v>63.78</v>
      </c>
      <c r="AM147" s="929">
        <v>66.069999999999993</v>
      </c>
      <c r="AN147" s="929">
        <v>68.349999999999994</v>
      </c>
      <c r="AO147" s="929">
        <v>70.930000000000007</v>
      </c>
      <c r="AP147" s="929">
        <v>73.510000000000005</v>
      </c>
      <c r="AQ147" s="929">
        <v>76.09</v>
      </c>
      <c r="AR147" s="929">
        <v>78.67</v>
      </c>
    </row>
    <row r="148" spans="1:44">
      <c r="A148" s="1538"/>
      <c r="B148" s="930">
        <v>0.8</v>
      </c>
      <c r="C148" s="931">
        <f>(Y148*KFC!$B$19+KFC!$C$19)*KFC!$C$5</f>
        <v>32.89</v>
      </c>
      <c r="D148" s="932">
        <f>(Z148*KFC!$B$19+KFC!$C$19)*KFC!$C$5</f>
        <v>35.89</v>
      </c>
      <c r="E148" s="932">
        <f>(AA148*KFC!$B$19+KFC!$C$19)*KFC!$C$5</f>
        <v>38.18</v>
      </c>
      <c r="F148" s="932">
        <f>(AB148*KFC!$B$19+KFC!$C$19)*KFC!$C$5</f>
        <v>41.04</v>
      </c>
      <c r="G148" s="932">
        <f>(AC148*KFC!$B$19+KFC!$C$19)*KFC!$C$5</f>
        <v>43.76</v>
      </c>
      <c r="H148" s="932">
        <f>(AD148*KFC!$B$19+KFC!$C$19)*KFC!$C$5</f>
        <v>46.48</v>
      </c>
      <c r="I148" s="932">
        <f>(AE148*KFC!$B$19+KFC!$C$19)*KFC!$C$5</f>
        <v>49.05</v>
      </c>
      <c r="J148" s="932">
        <f>(AF148*KFC!$B$19+KFC!$C$19)*KFC!$C$5</f>
        <v>51.77</v>
      </c>
      <c r="K148" s="932">
        <f>(AG148*KFC!$B$19+KFC!$C$19)*KFC!$C$5</f>
        <v>54.48</v>
      </c>
      <c r="L148" s="932">
        <f>(AH148*KFC!$B$19+KFC!$C$19)*KFC!$C$5</f>
        <v>57.2</v>
      </c>
      <c r="M148" s="932">
        <f>(AI148*KFC!$B$19+KFC!$C$19)*KFC!$C$5</f>
        <v>59.92</v>
      </c>
      <c r="N148" s="932">
        <f>(AJ148*KFC!$B$19+KFC!$C$19)*KFC!$C$5</f>
        <v>62.63</v>
      </c>
      <c r="O148" s="932">
        <f>(AK148*KFC!$B$19+KFC!$C$19)*KFC!$C$5</f>
        <v>65.349999999999994</v>
      </c>
      <c r="P148" s="932">
        <f>(AL148*KFC!$B$19+KFC!$C$19)*KFC!$C$5</f>
        <v>68.069999999999993</v>
      </c>
      <c r="Q148" s="932">
        <f>(AM148*KFC!$B$19+KFC!$C$19)*KFC!$C$5</f>
        <v>70.790000000000006</v>
      </c>
      <c r="R148" s="932">
        <f>(AN148*KFC!$B$19+KFC!$C$19)*KFC!$C$5</f>
        <v>73.5</v>
      </c>
      <c r="S148" s="932">
        <f>(AO148*KFC!$B$19+KFC!$C$19)*KFC!$C$5</f>
        <v>76.22</v>
      </c>
      <c r="T148" s="932">
        <f>(AP148*KFC!$B$19+KFC!$C$19)*KFC!$C$5</f>
        <v>78.94</v>
      </c>
      <c r="U148" s="943">
        <f>(AQ148*KFC!$B$19+KFC!$C$19)*KFC!$C$5</f>
        <v>81.66</v>
      </c>
      <c r="V148" s="928"/>
      <c r="X148" s="923">
        <v>0.8</v>
      </c>
      <c r="Y148" s="929">
        <v>32.89</v>
      </c>
      <c r="Z148" s="929">
        <v>35.89</v>
      </c>
      <c r="AA148" s="929">
        <v>38.18</v>
      </c>
      <c r="AB148" s="929">
        <v>41.04</v>
      </c>
      <c r="AC148" s="929">
        <v>43.76</v>
      </c>
      <c r="AD148" s="929">
        <v>46.48</v>
      </c>
      <c r="AE148" s="929">
        <v>49.05</v>
      </c>
      <c r="AF148" s="929">
        <v>51.77</v>
      </c>
      <c r="AG148" s="929">
        <v>54.48</v>
      </c>
      <c r="AH148" s="929">
        <v>57.2</v>
      </c>
      <c r="AI148" s="929">
        <v>59.92</v>
      </c>
      <c r="AJ148" s="929">
        <v>62.63</v>
      </c>
      <c r="AK148" s="929">
        <v>65.349999999999994</v>
      </c>
      <c r="AL148" s="929">
        <v>68.069999999999993</v>
      </c>
      <c r="AM148" s="929">
        <v>70.790000000000006</v>
      </c>
      <c r="AN148" s="929">
        <v>73.5</v>
      </c>
      <c r="AO148" s="929">
        <v>76.22</v>
      </c>
      <c r="AP148" s="929">
        <v>78.94</v>
      </c>
      <c r="AQ148" s="929">
        <v>81.66</v>
      </c>
      <c r="AR148" s="929">
        <v>84.38</v>
      </c>
    </row>
    <row r="149" spans="1:44">
      <c r="A149" s="1538"/>
      <c r="B149" s="930">
        <v>0.9</v>
      </c>
      <c r="C149" s="931">
        <f>(Y149*KFC!$B$19+KFC!$C$19)*KFC!$C$5</f>
        <v>34.18</v>
      </c>
      <c r="D149" s="932">
        <f>(Z149*KFC!$B$19+KFC!$C$19)*KFC!$C$5</f>
        <v>37.04</v>
      </c>
      <c r="E149" s="932">
        <f>(AA149*KFC!$B$19+KFC!$C$19)*KFC!$C$5</f>
        <v>40.04</v>
      </c>
      <c r="F149" s="932">
        <f>(AB149*KFC!$B$19+KFC!$C$19)*KFC!$C$5</f>
        <v>43.04</v>
      </c>
      <c r="G149" s="932">
        <f>(AC149*KFC!$B$19+KFC!$C$19)*KFC!$C$5</f>
        <v>46.05</v>
      </c>
      <c r="H149" s="932">
        <f>(AD149*KFC!$B$19+KFC!$C$19)*KFC!$C$5</f>
        <v>48.91</v>
      </c>
      <c r="I149" s="932">
        <f>(AE149*KFC!$B$19+KFC!$C$19)*KFC!$C$5</f>
        <v>51.77</v>
      </c>
      <c r="J149" s="932">
        <f>(AF149*KFC!$B$19+KFC!$C$19)*KFC!$C$5</f>
        <v>54.63</v>
      </c>
      <c r="K149" s="932">
        <f>(AG149*KFC!$B$19+KFC!$C$19)*KFC!$C$5</f>
        <v>57.77</v>
      </c>
      <c r="L149" s="932">
        <f>(AH149*KFC!$B$19+KFC!$C$19)*KFC!$C$5</f>
        <v>60.63</v>
      </c>
      <c r="M149" s="932">
        <f>(AI149*KFC!$B$19+KFC!$C$19)*KFC!$C$5</f>
        <v>63.49</v>
      </c>
      <c r="N149" s="932">
        <f>(AJ149*KFC!$B$19+KFC!$C$19)*KFC!$C$5</f>
        <v>66.64</v>
      </c>
      <c r="O149" s="932">
        <f>(AK149*KFC!$B$19+KFC!$C$19)*KFC!$C$5</f>
        <v>69.5</v>
      </c>
      <c r="P149" s="932">
        <f>(AL149*KFC!$B$19+KFC!$C$19)*KFC!$C$5</f>
        <v>72.36</v>
      </c>
      <c r="Q149" s="932">
        <f>(AM149*KFC!$B$19+KFC!$C$19)*KFC!$C$5</f>
        <v>75.36</v>
      </c>
      <c r="R149" s="932">
        <f>(AN149*KFC!$B$19+KFC!$C$19)*KFC!$C$5</f>
        <v>78.22</v>
      </c>
      <c r="S149" s="932">
        <f>(AO149*KFC!$B$19+KFC!$C$19)*KFC!$C$5</f>
        <v>81.08</v>
      </c>
      <c r="T149" s="932">
        <f>(AP149*KFC!$B$19+KFC!$C$19)*KFC!$C$5</f>
        <v>83.94</v>
      </c>
      <c r="U149" s="943">
        <f>(AQ149*KFC!$B$19+KFC!$C$19)*KFC!$C$5</f>
        <v>86.8</v>
      </c>
      <c r="V149" s="928"/>
      <c r="X149" s="923">
        <v>0.9</v>
      </c>
      <c r="Y149" s="929">
        <v>34.18</v>
      </c>
      <c r="Z149" s="929">
        <v>37.04</v>
      </c>
      <c r="AA149" s="929">
        <v>40.04</v>
      </c>
      <c r="AB149" s="929">
        <v>43.04</v>
      </c>
      <c r="AC149" s="929">
        <v>46.05</v>
      </c>
      <c r="AD149" s="929">
        <v>48.91</v>
      </c>
      <c r="AE149" s="929">
        <v>51.77</v>
      </c>
      <c r="AF149" s="929">
        <v>54.63</v>
      </c>
      <c r="AG149" s="929">
        <v>57.77</v>
      </c>
      <c r="AH149" s="929">
        <v>60.63</v>
      </c>
      <c r="AI149" s="929">
        <v>63.49</v>
      </c>
      <c r="AJ149" s="929">
        <v>66.64</v>
      </c>
      <c r="AK149" s="929">
        <v>69.5</v>
      </c>
      <c r="AL149" s="929">
        <v>72.36</v>
      </c>
      <c r="AM149" s="929">
        <v>75.36</v>
      </c>
      <c r="AN149" s="929">
        <v>78.22</v>
      </c>
      <c r="AO149" s="929">
        <v>81.08</v>
      </c>
      <c r="AP149" s="929">
        <v>83.94</v>
      </c>
      <c r="AQ149" s="929">
        <v>86.8</v>
      </c>
      <c r="AR149" s="929">
        <v>89.66</v>
      </c>
    </row>
    <row r="150" spans="1:44">
      <c r="A150" s="1538"/>
      <c r="B150" s="930">
        <v>1</v>
      </c>
      <c r="C150" s="931">
        <f>(Y150*KFC!$B$19+KFC!$C$19)*KFC!$C$5</f>
        <v>35.32</v>
      </c>
      <c r="D150" s="932">
        <f>(Z150*KFC!$B$19+KFC!$C$19)*KFC!$C$5</f>
        <v>38.61</v>
      </c>
      <c r="E150" s="932">
        <f>(AA150*KFC!$B$19+KFC!$C$19)*KFC!$C$5</f>
        <v>41.61</v>
      </c>
      <c r="F150" s="932">
        <f>(AB150*KFC!$B$19+KFC!$C$19)*KFC!$C$5</f>
        <v>44.76</v>
      </c>
      <c r="G150" s="932">
        <f>(AC150*KFC!$B$19+KFC!$C$19)*KFC!$C$5</f>
        <v>48.19</v>
      </c>
      <c r="H150" s="932">
        <f>(AD150*KFC!$B$19+KFC!$C$19)*KFC!$C$5</f>
        <v>51.19</v>
      </c>
      <c r="I150" s="932">
        <f>(AE150*KFC!$B$19+KFC!$C$19)*KFC!$C$5</f>
        <v>54.34</v>
      </c>
      <c r="J150" s="932">
        <f>(AF150*KFC!$B$19+KFC!$C$19)*KFC!$C$5</f>
        <v>57.77</v>
      </c>
      <c r="K150" s="932">
        <f>(AG150*KFC!$B$19+KFC!$C$19)*KFC!$C$5</f>
        <v>60.78</v>
      </c>
      <c r="L150" s="932">
        <f>(AH150*KFC!$B$19+KFC!$C$19)*KFC!$C$5</f>
        <v>64.06</v>
      </c>
      <c r="M150" s="932">
        <f>(AI150*KFC!$B$19+KFC!$C$19)*KFC!$C$5</f>
        <v>67.209999999999994</v>
      </c>
      <c r="N150" s="932">
        <f>(AJ150*KFC!$B$19+KFC!$C$19)*KFC!$C$5</f>
        <v>70.36</v>
      </c>
      <c r="O150" s="932">
        <f>(AK150*KFC!$B$19+KFC!$C$19)*KFC!$C$5</f>
        <v>73.650000000000006</v>
      </c>
      <c r="P150" s="932">
        <f>(AL150*KFC!$B$19+KFC!$C$19)*KFC!$C$5</f>
        <v>76.790000000000006</v>
      </c>
      <c r="Q150" s="932">
        <f>(AM150*KFC!$B$19+KFC!$C$19)*KFC!$C$5</f>
        <v>79.790000000000006</v>
      </c>
      <c r="R150" s="932">
        <f>(AN150*KFC!$B$19+KFC!$C$19)*KFC!$C$5</f>
        <v>82.65</v>
      </c>
      <c r="S150" s="932">
        <f>(AO150*KFC!$B$19+KFC!$C$19)*KFC!$C$5</f>
        <v>85.8</v>
      </c>
      <c r="T150" s="932">
        <f>(AP150*KFC!$B$19+KFC!$C$19)*KFC!$C$5</f>
        <v>88.95</v>
      </c>
      <c r="U150" s="943">
        <f>(AQ150*KFC!$B$19+KFC!$C$19)*KFC!$C$5</f>
        <v>92.1</v>
      </c>
      <c r="V150" s="928"/>
      <c r="X150" s="923">
        <v>1</v>
      </c>
      <c r="Y150" s="929">
        <v>35.32</v>
      </c>
      <c r="Z150" s="929">
        <v>38.61</v>
      </c>
      <c r="AA150" s="929">
        <v>41.61</v>
      </c>
      <c r="AB150" s="929">
        <v>44.76</v>
      </c>
      <c r="AC150" s="929">
        <v>48.19</v>
      </c>
      <c r="AD150" s="929">
        <v>51.19</v>
      </c>
      <c r="AE150" s="929">
        <v>54.34</v>
      </c>
      <c r="AF150" s="929">
        <v>57.77</v>
      </c>
      <c r="AG150" s="929">
        <v>60.78</v>
      </c>
      <c r="AH150" s="929">
        <v>64.06</v>
      </c>
      <c r="AI150" s="929">
        <v>67.209999999999994</v>
      </c>
      <c r="AJ150" s="929">
        <v>70.36</v>
      </c>
      <c r="AK150" s="929">
        <v>73.650000000000006</v>
      </c>
      <c r="AL150" s="929">
        <v>76.790000000000006</v>
      </c>
      <c r="AM150" s="929">
        <v>79.790000000000006</v>
      </c>
      <c r="AN150" s="929">
        <v>82.65</v>
      </c>
      <c r="AO150" s="929">
        <v>85.8</v>
      </c>
      <c r="AP150" s="929">
        <v>88.95</v>
      </c>
      <c r="AQ150" s="929">
        <v>92.1</v>
      </c>
      <c r="AR150" s="929">
        <v>95.25</v>
      </c>
    </row>
    <row r="151" spans="1:44">
      <c r="A151" s="1538"/>
      <c r="B151" s="930">
        <v>1.1000000000000001</v>
      </c>
      <c r="C151" s="931">
        <f>(Y151*KFC!$B$19+KFC!$C$19)*KFC!$C$5</f>
        <v>36.18</v>
      </c>
      <c r="D151" s="932">
        <f>(Z151*KFC!$B$19+KFC!$C$19)*KFC!$C$5</f>
        <v>39.75</v>
      </c>
      <c r="E151" s="932">
        <f>(AA151*KFC!$B$19+KFC!$C$19)*KFC!$C$5</f>
        <v>43.33</v>
      </c>
      <c r="F151" s="932">
        <f>(AB151*KFC!$B$19+KFC!$C$19)*KFC!$C$5</f>
        <v>46.76</v>
      </c>
      <c r="G151" s="932">
        <f>(AC151*KFC!$B$19+KFC!$C$19)*KFC!$C$5</f>
        <v>50.19</v>
      </c>
      <c r="H151" s="932">
        <f>(AD151*KFC!$B$19+KFC!$C$19)*KFC!$C$5</f>
        <v>53.63</v>
      </c>
      <c r="I151" s="932">
        <f>(AE151*KFC!$B$19+KFC!$C$19)*KFC!$C$5</f>
        <v>57.2</v>
      </c>
      <c r="J151" s="932">
        <f>(AF151*KFC!$B$19+KFC!$C$19)*KFC!$C$5</f>
        <v>60.49</v>
      </c>
      <c r="K151" s="932">
        <f>(AG151*KFC!$B$19+KFC!$C$19)*KFC!$C$5</f>
        <v>64.06</v>
      </c>
      <c r="L151" s="932">
        <f>(AH151*KFC!$B$19+KFC!$C$19)*KFC!$C$5</f>
        <v>67.209999999999994</v>
      </c>
      <c r="M151" s="932">
        <f>(AI151*KFC!$B$19+KFC!$C$19)*KFC!$C$5</f>
        <v>70.930000000000007</v>
      </c>
      <c r="N151" s="932">
        <f>(AJ151*KFC!$B$19+KFC!$C$19)*KFC!$C$5</f>
        <v>74.36</v>
      </c>
      <c r="O151" s="932">
        <f>(AK151*KFC!$B$19+KFC!$C$19)*KFC!$C$5</f>
        <v>77.650000000000006</v>
      </c>
      <c r="P151" s="932">
        <f>(AL151*KFC!$B$19+KFC!$C$19)*KFC!$C$5</f>
        <v>81.22</v>
      </c>
      <c r="Q151" s="932">
        <f>(AM151*KFC!$B$19+KFC!$C$19)*KFC!$C$5</f>
        <v>84.66</v>
      </c>
      <c r="R151" s="932">
        <f>(AN151*KFC!$B$19+KFC!$C$19)*KFC!$C$5</f>
        <v>88.37</v>
      </c>
      <c r="S151" s="932">
        <f>(AO151*KFC!$B$19+KFC!$C$19)*KFC!$C$5</f>
        <v>91.81</v>
      </c>
      <c r="T151" s="932">
        <f>(AP151*KFC!$B$19+KFC!$C$19)*KFC!$C$5</f>
        <v>95.25</v>
      </c>
      <c r="U151" s="943">
        <f>(AQ151*KFC!$B$19+KFC!$C$19)*KFC!$C$5</f>
        <v>98.69</v>
      </c>
      <c r="V151" s="928"/>
      <c r="X151" s="923">
        <v>1.1000000000000001</v>
      </c>
      <c r="Y151" s="929">
        <v>36.18</v>
      </c>
      <c r="Z151" s="929">
        <v>39.75</v>
      </c>
      <c r="AA151" s="929">
        <v>43.33</v>
      </c>
      <c r="AB151" s="929">
        <v>46.76</v>
      </c>
      <c r="AC151" s="929">
        <v>50.19</v>
      </c>
      <c r="AD151" s="929">
        <v>53.63</v>
      </c>
      <c r="AE151" s="929">
        <v>57.2</v>
      </c>
      <c r="AF151" s="929">
        <v>60.49</v>
      </c>
      <c r="AG151" s="929">
        <v>64.06</v>
      </c>
      <c r="AH151" s="929">
        <v>67.209999999999994</v>
      </c>
      <c r="AI151" s="929">
        <v>70.930000000000007</v>
      </c>
      <c r="AJ151" s="929">
        <v>74.36</v>
      </c>
      <c r="AK151" s="929">
        <v>77.650000000000006</v>
      </c>
      <c r="AL151" s="929">
        <v>81.22</v>
      </c>
      <c r="AM151" s="929">
        <v>84.66</v>
      </c>
      <c r="AN151" s="929">
        <v>88.37</v>
      </c>
      <c r="AO151" s="929">
        <v>91.81</v>
      </c>
      <c r="AP151" s="929">
        <v>95.25</v>
      </c>
      <c r="AQ151" s="929">
        <v>98.69</v>
      </c>
      <c r="AR151" s="929">
        <v>102.13</v>
      </c>
    </row>
    <row r="152" spans="1:44">
      <c r="A152" s="1538"/>
      <c r="B152" s="930">
        <v>1.2</v>
      </c>
      <c r="C152" s="931">
        <f>(Y152*KFC!$B$19+KFC!$C$19)*KFC!$C$5</f>
        <v>37.47</v>
      </c>
      <c r="D152" s="932">
        <f>(Z152*KFC!$B$19+KFC!$C$19)*KFC!$C$5</f>
        <v>41.33</v>
      </c>
      <c r="E152" s="932">
        <f>(AA152*KFC!$B$19+KFC!$C$19)*KFC!$C$5</f>
        <v>44.9</v>
      </c>
      <c r="F152" s="932">
        <f>(AB152*KFC!$B$19+KFC!$C$19)*KFC!$C$5</f>
        <v>48.76</v>
      </c>
      <c r="G152" s="932">
        <f>(AC152*KFC!$B$19+KFC!$C$19)*KFC!$C$5</f>
        <v>52.48</v>
      </c>
      <c r="H152" s="932">
        <f>(AD152*KFC!$B$19+KFC!$C$19)*KFC!$C$5</f>
        <v>55.91</v>
      </c>
      <c r="I152" s="932">
        <f>(AE152*KFC!$B$19+KFC!$C$19)*KFC!$C$5</f>
        <v>59.77</v>
      </c>
      <c r="J152" s="932">
        <f>(AF152*KFC!$B$19+KFC!$C$19)*KFC!$C$5</f>
        <v>63.35</v>
      </c>
      <c r="K152" s="932">
        <f>(AG152*KFC!$B$19+KFC!$C$19)*KFC!$C$5</f>
        <v>67.209999999999994</v>
      </c>
      <c r="L152" s="932">
        <f>(AH152*KFC!$B$19+KFC!$C$19)*KFC!$C$5</f>
        <v>70.930000000000007</v>
      </c>
      <c r="M152" s="932">
        <f>(AI152*KFC!$B$19+KFC!$C$19)*KFC!$C$5</f>
        <v>74.36</v>
      </c>
      <c r="N152" s="932">
        <f>(AJ152*KFC!$B$19+KFC!$C$19)*KFC!$C$5</f>
        <v>78.22</v>
      </c>
      <c r="O152" s="932">
        <f>(AK152*KFC!$B$19+KFC!$C$19)*KFC!$C$5</f>
        <v>81.8</v>
      </c>
      <c r="P152" s="932">
        <f>(AL152*KFC!$B$19+KFC!$C$19)*KFC!$C$5</f>
        <v>85.37</v>
      </c>
      <c r="Q152" s="932">
        <f>(AM152*KFC!$B$19+KFC!$C$19)*KFC!$C$5</f>
        <v>89.23</v>
      </c>
      <c r="R152" s="932">
        <f>(AN152*KFC!$B$19+KFC!$C$19)*KFC!$C$5</f>
        <v>92.81</v>
      </c>
      <c r="S152" s="932">
        <f>(AO152*KFC!$B$19+KFC!$C$19)*KFC!$C$5</f>
        <v>96.67</v>
      </c>
      <c r="T152" s="932">
        <f>(AP152*KFC!$B$19+KFC!$C$19)*KFC!$C$5</f>
        <v>100.53</v>
      </c>
      <c r="U152" s="943">
        <f>(AQ152*KFC!$B$19+KFC!$C$19)*KFC!$C$5</f>
        <v>104.39</v>
      </c>
      <c r="V152" s="928"/>
      <c r="X152" s="923">
        <v>1.2</v>
      </c>
      <c r="Y152" s="929">
        <v>37.47</v>
      </c>
      <c r="Z152" s="929">
        <v>41.33</v>
      </c>
      <c r="AA152" s="929">
        <v>44.9</v>
      </c>
      <c r="AB152" s="929">
        <v>48.76</v>
      </c>
      <c r="AC152" s="929">
        <v>52.48</v>
      </c>
      <c r="AD152" s="929">
        <v>55.91</v>
      </c>
      <c r="AE152" s="929">
        <v>59.77</v>
      </c>
      <c r="AF152" s="929">
        <v>63.35</v>
      </c>
      <c r="AG152" s="929">
        <v>67.209999999999994</v>
      </c>
      <c r="AH152" s="929">
        <v>70.930000000000007</v>
      </c>
      <c r="AI152" s="929">
        <v>74.36</v>
      </c>
      <c r="AJ152" s="929">
        <v>78.22</v>
      </c>
      <c r="AK152" s="929">
        <v>81.8</v>
      </c>
      <c r="AL152" s="929">
        <v>85.37</v>
      </c>
      <c r="AM152" s="929">
        <v>89.23</v>
      </c>
      <c r="AN152" s="929">
        <v>92.81</v>
      </c>
      <c r="AO152" s="929">
        <v>96.67</v>
      </c>
      <c r="AP152" s="929">
        <v>100.53</v>
      </c>
      <c r="AQ152" s="929">
        <v>104.39</v>
      </c>
      <c r="AR152" s="929">
        <v>108.25</v>
      </c>
    </row>
    <row r="153" spans="1:44">
      <c r="A153" s="1538"/>
      <c r="B153" s="930">
        <v>1.3</v>
      </c>
      <c r="C153" s="931">
        <f>(Y153*KFC!$B$19+KFC!$C$19)*KFC!$C$5</f>
        <v>38.75</v>
      </c>
      <c r="D153" s="932">
        <f>(Z153*KFC!$B$19+KFC!$C$19)*KFC!$C$5</f>
        <v>42.47</v>
      </c>
      <c r="E153" s="932">
        <f>(AA153*KFC!$B$19+KFC!$C$19)*KFC!$C$5</f>
        <v>46.48</v>
      </c>
      <c r="F153" s="932">
        <f>(AB153*KFC!$B$19+KFC!$C$19)*KFC!$C$5</f>
        <v>50.34</v>
      </c>
      <c r="G153" s="932">
        <f>(AC153*KFC!$B$19+KFC!$C$19)*KFC!$C$5</f>
        <v>54.48</v>
      </c>
      <c r="H153" s="932">
        <f>(AD153*KFC!$B$19+KFC!$C$19)*KFC!$C$5</f>
        <v>58.49</v>
      </c>
      <c r="I153" s="932">
        <f>(AE153*KFC!$B$19+KFC!$C$19)*KFC!$C$5</f>
        <v>62.49</v>
      </c>
      <c r="J153" s="932">
        <f>(AF153*KFC!$B$19+KFC!$C$19)*KFC!$C$5</f>
        <v>66.209999999999994</v>
      </c>
      <c r="K153" s="932">
        <f>(AG153*KFC!$B$19+KFC!$C$19)*KFC!$C$5</f>
        <v>70.209999999999994</v>
      </c>
      <c r="L153" s="932">
        <f>(AH153*KFC!$B$19+KFC!$C$19)*KFC!$C$5</f>
        <v>74.22</v>
      </c>
      <c r="M153" s="932">
        <f>(AI153*KFC!$B$19+KFC!$C$19)*KFC!$C$5</f>
        <v>78.22</v>
      </c>
      <c r="N153" s="932">
        <f>(AJ153*KFC!$B$19+KFC!$C$19)*KFC!$C$5</f>
        <v>81.94</v>
      </c>
      <c r="O153" s="932">
        <f>(AK153*KFC!$B$19+KFC!$C$19)*KFC!$C$5</f>
        <v>85.94</v>
      </c>
      <c r="P153" s="932">
        <f>(AL153*KFC!$B$19+KFC!$C$19)*KFC!$C$5</f>
        <v>89.8</v>
      </c>
      <c r="Q153" s="932">
        <f>(AM153*KFC!$B$19+KFC!$C$19)*KFC!$C$5</f>
        <v>93.81</v>
      </c>
      <c r="R153" s="932">
        <f>(AN153*KFC!$B$19+KFC!$C$19)*KFC!$C$5</f>
        <v>97.53</v>
      </c>
      <c r="S153" s="932">
        <f>(AO153*KFC!$B$19+KFC!$C$19)*KFC!$C$5</f>
        <v>101.39</v>
      </c>
      <c r="T153" s="932">
        <f>(AP153*KFC!$B$19+KFC!$C$19)*KFC!$C$5</f>
        <v>105.25</v>
      </c>
      <c r="U153" s="943">
        <f>(AQ153*KFC!$B$19+KFC!$C$19)*KFC!$C$5</f>
        <v>109.11</v>
      </c>
      <c r="V153" s="928"/>
      <c r="X153" s="923">
        <v>1.3</v>
      </c>
      <c r="Y153" s="929">
        <v>38.75</v>
      </c>
      <c r="Z153" s="929">
        <v>42.47</v>
      </c>
      <c r="AA153" s="929">
        <v>46.48</v>
      </c>
      <c r="AB153" s="929">
        <v>50.34</v>
      </c>
      <c r="AC153" s="929">
        <v>54.48</v>
      </c>
      <c r="AD153" s="929">
        <v>58.49</v>
      </c>
      <c r="AE153" s="929">
        <v>62.49</v>
      </c>
      <c r="AF153" s="929">
        <v>66.209999999999994</v>
      </c>
      <c r="AG153" s="929">
        <v>70.209999999999994</v>
      </c>
      <c r="AH153" s="929">
        <v>74.22</v>
      </c>
      <c r="AI153" s="929">
        <v>78.22</v>
      </c>
      <c r="AJ153" s="929">
        <v>81.94</v>
      </c>
      <c r="AK153" s="929">
        <v>85.94</v>
      </c>
      <c r="AL153" s="929">
        <v>89.8</v>
      </c>
      <c r="AM153" s="929">
        <v>93.81</v>
      </c>
      <c r="AN153" s="929">
        <v>97.53</v>
      </c>
      <c r="AO153" s="929">
        <v>101.39</v>
      </c>
      <c r="AP153" s="929">
        <v>105.25</v>
      </c>
      <c r="AQ153" s="929">
        <v>109.11</v>
      </c>
      <c r="AR153" s="929">
        <v>112.97</v>
      </c>
    </row>
    <row r="154" spans="1:44">
      <c r="A154" s="1538"/>
      <c r="B154" s="930">
        <v>1.4</v>
      </c>
      <c r="C154" s="931">
        <f>(Y154*KFC!$B$19+KFC!$C$19)*KFC!$C$5</f>
        <v>39.75</v>
      </c>
      <c r="D154" s="932">
        <f>(Z154*KFC!$B$19+KFC!$C$19)*KFC!$C$5</f>
        <v>44.19</v>
      </c>
      <c r="E154" s="932">
        <f>(AA154*KFC!$B$19+KFC!$C$19)*KFC!$C$5</f>
        <v>48.33</v>
      </c>
      <c r="F154" s="932">
        <f>(AB154*KFC!$B$19+KFC!$C$19)*KFC!$C$5</f>
        <v>52.48</v>
      </c>
      <c r="G154" s="932">
        <f>(AC154*KFC!$B$19+KFC!$C$19)*KFC!$C$5</f>
        <v>56.49</v>
      </c>
      <c r="H154" s="932">
        <f>(AD154*KFC!$B$19+KFC!$C$19)*KFC!$C$5</f>
        <v>60.78</v>
      </c>
      <c r="I154" s="932">
        <f>(AE154*KFC!$B$19+KFC!$C$19)*KFC!$C$5</f>
        <v>64.92</v>
      </c>
      <c r="J154" s="932">
        <f>(AF154*KFC!$B$19+KFC!$C$19)*KFC!$C$5</f>
        <v>68.930000000000007</v>
      </c>
      <c r="K154" s="932">
        <f>(AG154*KFC!$B$19+KFC!$C$19)*KFC!$C$5</f>
        <v>73.36</v>
      </c>
      <c r="L154" s="932">
        <f>(AH154*KFC!$B$19+KFC!$C$19)*KFC!$C$5</f>
        <v>77.510000000000005</v>
      </c>
      <c r="M154" s="932">
        <f>(AI154*KFC!$B$19+KFC!$C$19)*KFC!$C$5</f>
        <v>81.650000000000006</v>
      </c>
      <c r="N154" s="932">
        <f>(AJ154*KFC!$B$19+KFC!$C$19)*KFC!$C$5</f>
        <v>85.94</v>
      </c>
      <c r="O154" s="932">
        <f>(AK154*KFC!$B$19+KFC!$C$19)*KFC!$C$5</f>
        <v>89.95</v>
      </c>
      <c r="P154" s="932">
        <f>(AL154*KFC!$B$19+KFC!$C$19)*KFC!$C$5</f>
        <v>94.09</v>
      </c>
      <c r="Q154" s="932">
        <f>(AM154*KFC!$B$19+KFC!$C$19)*KFC!$C$5</f>
        <v>98.24</v>
      </c>
      <c r="R154" s="932">
        <f>(AN154*KFC!$B$19+KFC!$C$19)*KFC!$C$5</f>
        <v>102.39</v>
      </c>
      <c r="S154" s="932">
        <f>(AO154*KFC!$B$19+KFC!$C$19)*KFC!$C$5</f>
        <v>106.68</v>
      </c>
      <c r="T154" s="932">
        <f>(AP154*KFC!$B$19+KFC!$C$19)*KFC!$C$5</f>
        <v>110.97</v>
      </c>
      <c r="U154" s="943">
        <f>(AQ154*KFC!$B$19+KFC!$C$19)*KFC!$C$5</f>
        <v>115.26</v>
      </c>
      <c r="V154" s="928"/>
      <c r="X154" s="923">
        <v>1.4</v>
      </c>
      <c r="Y154" s="929">
        <v>39.75</v>
      </c>
      <c r="Z154" s="929">
        <v>44.19</v>
      </c>
      <c r="AA154" s="929">
        <v>48.33</v>
      </c>
      <c r="AB154" s="929">
        <v>52.48</v>
      </c>
      <c r="AC154" s="929">
        <v>56.49</v>
      </c>
      <c r="AD154" s="929">
        <v>60.78</v>
      </c>
      <c r="AE154" s="929">
        <v>64.92</v>
      </c>
      <c r="AF154" s="929">
        <v>68.930000000000007</v>
      </c>
      <c r="AG154" s="929">
        <v>73.36</v>
      </c>
      <c r="AH154" s="929">
        <v>77.510000000000005</v>
      </c>
      <c r="AI154" s="929">
        <v>81.650000000000006</v>
      </c>
      <c r="AJ154" s="929">
        <v>85.94</v>
      </c>
      <c r="AK154" s="929">
        <v>89.95</v>
      </c>
      <c r="AL154" s="929">
        <v>94.09</v>
      </c>
      <c r="AM154" s="929">
        <v>98.24</v>
      </c>
      <c r="AN154" s="929">
        <v>102.39</v>
      </c>
      <c r="AO154" s="929">
        <v>106.68</v>
      </c>
      <c r="AP154" s="929">
        <v>110.97</v>
      </c>
      <c r="AQ154" s="929">
        <v>115.26</v>
      </c>
      <c r="AR154" s="929">
        <v>119.55</v>
      </c>
    </row>
    <row r="155" spans="1:44">
      <c r="A155" s="1538"/>
      <c r="B155" s="930">
        <v>1.5</v>
      </c>
      <c r="C155" s="931">
        <f>(Y155*KFC!$B$19+KFC!$C$19)*KFC!$C$5</f>
        <v>41.04</v>
      </c>
      <c r="D155" s="932">
        <f>(Z155*KFC!$B$19+KFC!$C$19)*KFC!$C$5</f>
        <v>45.62</v>
      </c>
      <c r="E155" s="932">
        <f>(AA155*KFC!$B$19+KFC!$C$19)*KFC!$C$5</f>
        <v>49.91</v>
      </c>
      <c r="F155" s="932">
        <f>(AB155*KFC!$B$19+KFC!$C$19)*KFC!$C$5</f>
        <v>54.34</v>
      </c>
      <c r="G155" s="932">
        <f>(AC155*KFC!$B$19+KFC!$C$19)*KFC!$C$5</f>
        <v>58.63</v>
      </c>
      <c r="H155" s="932">
        <f>(AD155*KFC!$B$19+KFC!$C$19)*KFC!$C$5</f>
        <v>63.21</v>
      </c>
      <c r="I155" s="932">
        <f>(AE155*KFC!$B$19+KFC!$C$19)*KFC!$C$5</f>
        <v>67.64</v>
      </c>
      <c r="J155" s="932">
        <f>(AF155*KFC!$B$19+KFC!$C$19)*KFC!$C$5</f>
        <v>72.069999999999993</v>
      </c>
      <c r="K155" s="932">
        <f>(AG155*KFC!$B$19+KFC!$C$19)*KFC!$C$5</f>
        <v>76.510000000000005</v>
      </c>
      <c r="L155" s="932">
        <f>(AH155*KFC!$B$19+KFC!$C$19)*KFC!$C$5</f>
        <v>80.94</v>
      </c>
      <c r="M155" s="932">
        <f>(AI155*KFC!$B$19+KFC!$C$19)*KFC!$C$5</f>
        <v>85.37</v>
      </c>
      <c r="N155" s="932">
        <f>(AJ155*KFC!$B$19+KFC!$C$19)*KFC!$C$5</f>
        <v>89.8</v>
      </c>
      <c r="O155" s="932">
        <f>(AK155*KFC!$B$19+KFC!$C$19)*KFC!$C$5</f>
        <v>94.09</v>
      </c>
      <c r="P155" s="932">
        <f>(AL155*KFC!$B$19+KFC!$C$19)*KFC!$C$5</f>
        <v>98.67</v>
      </c>
      <c r="Q155" s="932">
        <f>(AM155*KFC!$B$19+KFC!$C$19)*KFC!$C$5</f>
        <v>103.25</v>
      </c>
      <c r="R155" s="932">
        <f>(AN155*KFC!$B$19+KFC!$C$19)*KFC!$C$5</f>
        <v>107.68</v>
      </c>
      <c r="S155" s="932">
        <f>(AO155*KFC!$B$19+KFC!$C$19)*KFC!$C$5</f>
        <v>112.26</v>
      </c>
      <c r="T155" s="932">
        <f>(AP155*KFC!$B$19+KFC!$C$19)*KFC!$C$5</f>
        <v>116.84</v>
      </c>
      <c r="U155" s="943">
        <f>(AQ155*KFC!$B$19+KFC!$C$19)*KFC!$C$5</f>
        <v>121.42</v>
      </c>
      <c r="V155" s="928"/>
      <c r="X155" s="923">
        <v>1.5</v>
      </c>
      <c r="Y155" s="929">
        <v>41.04</v>
      </c>
      <c r="Z155" s="929">
        <v>45.62</v>
      </c>
      <c r="AA155" s="929">
        <v>49.91</v>
      </c>
      <c r="AB155" s="929">
        <v>54.34</v>
      </c>
      <c r="AC155" s="929">
        <v>58.63</v>
      </c>
      <c r="AD155" s="929">
        <v>63.21</v>
      </c>
      <c r="AE155" s="929">
        <v>67.64</v>
      </c>
      <c r="AF155" s="929">
        <v>72.069999999999993</v>
      </c>
      <c r="AG155" s="929">
        <v>76.510000000000005</v>
      </c>
      <c r="AH155" s="929">
        <v>80.94</v>
      </c>
      <c r="AI155" s="929">
        <v>85.37</v>
      </c>
      <c r="AJ155" s="929">
        <v>89.8</v>
      </c>
      <c r="AK155" s="929">
        <v>94.09</v>
      </c>
      <c r="AL155" s="929">
        <v>98.67</v>
      </c>
      <c r="AM155" s="929">
        <v>103.25</v>
      </c>
      <c r="AN155" s="929">
        <v>107.68</v>
      </c>
      <c r="AO155" s="929">
        <v>112.26</v>
      </c>
      <c r="AP155" s="929">
        <v>116.84</v>
      </c>
      <c r="AQ155" s="929">
        <v>121.42</v>
      </c>
      <c r="AR155" s="929">
        <v>126</v>
      </c>
    </row>
    <row r="156" spans="1:44">
      <c r="A156" s="1538"/>
      <c r="B156" s="930">
        <v>1.6</v>
      </c>
      <c r="C156" s="931">
        <f>(Y156*KFC!$B$19+KFC!$C$19)*KFC!$C$5</f>
        <v>42.19</v>
      </c>
      <c r="D156" s="932">
        <f>(Z156*KFC!$B$19+KFC!$C$19)*KFC!$C$5</f>
        <v>46.9</v>
      </c>
      <c r="E156" s="932">
        <f>(AA156*KFC!$B$19+KFC!$C$19)*KFC!$C$5</f>
        <v>51.62</v>
      </c>
      <c r="F156" s="932">
        <f>(AB156*KFC!$B$19+KFC!$C$19)*KFC!$C$5</f>
        <v>56.34</v>
      </c>
      <c r="G156" s="932">
        <f>(AC156*KFC!$B$19+KFC!$C$19)*KFC!$C$5</f>
        <v>60.78</v>
      </c>
      <c r="H156" s="932">
        <f>(AD156*KFC!$B$19+KFC!$C$19)*KFC!$C$5</f>
        <v>65.489999999999995</v>
      </c>
      <c r="I156" s="932">
        <f>(AE156*KFC!$B$19+KFC!$C$19)*KFC!$C$5</f>
        <v>70.209999999999994</v>
      </c>
      <c r="J156" s="932">
        <f>(AF156*KFC!$B$19+KFC!$C$19)*KFC!$C$5</f>
        <v>74.930000000000007</v>
      </c>
      <c r="K156" s="932">
        <f>(AG156*KFC!$B$19+KFC!$C$19)*KFC!$C$5</f>
        <v>79.790000000000006</v>
      </c>
      <c r="L156" s="932">
        <f>(AH156*KFC!$B$19+KFC!$C$19)*KFC!$C$5</f>
        <v>84.37</v>
      </c>
      <c r="M156" s="932">
        <f>(AI156*KFC!$B$19+KFC!$C$19)*KFC!$C$5</f>
        <v>88.95</v>
      </c>
      <c r="N156" s="932">
        <f>(AJ156*KFC!$B$19+KFC!$C$19)*KFC!$C$5</f>
        <v>93.52</v>
      </c>
      <c r="O156" s="932">
        <f>(AK156*KFC!$B$19+KFC!$C$19)*KFC!$C$5</f>
        <v>98.24</v>
      </c>
      <c r="P156" s="932">
        <f>(AL156*KFC!$B$19+KFC!$C$19)*KFC!$C$5</f>
        <v>102.96</v>
      </c>
      <c r="Q156" s="932">
        <f>(AM156*KFC!$B$19+KFC!$C$19)*KFC!$C$5</f>
        <v>107.68</v>
      </c>
      <c r="R156" s="932">
        <f>(AN156*KFC!$B$19+KFC!$C$19)*KFC!$C$5</f>
        <v>112.26</v>
      </c>
      <c r="S156" s="932">
        <f>(AO156*KFC!$B$19+KFC!$C$19)*KFC!$C$5</f>
        <v>116.97</v>
      </c>
      <c r="T156" s="932">
        <f>(AP156*KFC!$B$19+KFC!$C$19)*KFC!$C$5</f>
        <v>121.68</v>
      </c>
      <c r="U156" s="943">
        <f>(AQ156*KFC!$B$19+KFC!$C$19)*KFC!$C$5</f>
        <v>126.39</v>
      </c>
      <c r="V156" s="928"/>
      <c r="X156" s="923">
        <v>1.6</v>
      </c>
      <c r="Y156" s="929">
        <v>42.19</v>
      </c>
      <c r="Z156" s="929">
        <v>46.9</v>
      </c>
      <c r="AA156" s="929">
        <v>51.62</v>
      </c>
      <c r="AB156" s="929">
        <v>56.34</v>
      </c>
      <c r="AC156" s="929">
        <v>60.78</v>
      </c>
      <c r="AD156" s="929">
        <v>65.489999999999995</v>
      </c>
      <c r="AE156" s="929">
        <v>70.209999999999994</v>
      </c>
      <c r="AF156" s="929">
        <v>74.930000000000007</v>
      </c>
      <c r="AG156" s="929">
        <v>79.790000000000006</v>
      </c>
      <c r="AH156" s="929">
        <v>84.37</v>
      </c>
      <c r="AI156" s="929">
        <v>88.95</v>
      </c>
      <c r="AJ156" s="929">
        <v>93.52</v>
      </c>
      <c r="AK156" s="929">
        <v>98.24</v>
      </c>
      <c r="AL156" s="929">
        <v>102.96</v>
      </c>
      <c r="AM156" s="929">
        <v>107.68</v>
      </c>
      <c r="AN156" s="929">
        <v>112.26</v>
      </c>
      <c r="AO156" s="929">
        <v>116.97</v>
      </c>
      <c r="AP156" s="929">
        <v>121.68</v>
      </c>
      <c r="AQ156" s="929">
        <v>126.39</v>
      </c>
      <c r="AR156" s="929">
        <v>131.1</v>
      </c>
    </row>
    <row r="157" spans="1:44">
      <c r="A157" s="1538"/>
      <c r="B157" s="930">
        <v>1.7</v>
      </c>
      <c r="C157" s="931">
        <f>(Y157*KFC!$B$19+KFC!$C$19)*KFC!$C$5</f>
        <v>43.33</v>
      </c>
      <c r="D157" s="932">
        <f>(Z157*KFC!$B$19+KFC!$C$19)*KFC!$C$5</f>
        <v>48.33</v>
      </c>
      <c r="E157" s="932">
        <f>(AA157*KFC!$B$19+KFC!$C$19)*KFC!$C$5</f>
        <v>53.05</v>
      </c>
      <c r="F157" s="932">
        <f>(AB157*KFC!$B$19+KFC!$C$19)*KFC!$C$5</f>
        <v>58.06</v>
      </c>
      <c r="G157" s="932">
        <f>(AC157*KFC!$B$19+KFC!$C$19)*KFC!$C$5</f>
        <v>63.06</v>
      </c>
      <c r="H157" s="932">
        <f>(AD157*KFC!$B$19+KFC!$C$19)*KFC!$C$5</f>
        <v>67.930000000000007</v>
      </c>
      <c r="I157" s="932">
        <f>(AE157*KFC!$B$19+KFC!$C$19)*KFC!$C$5</f>
        <v>72.930000000000007</v>
      </c>
      <c r="J157" s="932">
        <f>(AF157*KFC!$B$19+KFC!$C$19)*KFC!$C$5</f>
        <v>78.08</v>
      </c>
      <c r="K157" s="932">
        <f>(AG157*KFC!$B$19+KFC!$C$19)*KFC!$C$5</f>
        <v>82.65</v>
      </c>
      <c r="L157" s="932">
        <f>(AH157*KFC!$B$19+KFC!$C$19)*KFC!$C$5</f>
        <v>87.8</v>
      </c>
      <c r="M157" s="932">
        <f>(AI157*KFC!$B$19+KFC!$C$19)*KFC!$C$5</f>
        <v>92.52</v>
      </c>
      <c r="N157" s="932">
        <f>(AJ157*KFC!$B$19+KFC!$C$19)*KFC!$C$5</f>
        <v>97.53</v>
      </c>
      <c r="O157" s="932">
        <f>(AK157*KFC!$B$19+KFC!$C$19)*KFC!$C$5</f>
        <v>102.39</v>
      </c>
      <c r="P157" s="932">
        <f>(AL157*KFC!$B$19+KFC!$C$19)*KFC!$C$5</f>
        <v>107.39</v>
      </c>
      <c r="Q157" s="932">
        <f>(AM157*KFC!$B$19+KFC!$C$19)*KFC!$C$5</f>
        <v>112.26</v>
      </c>
      <c r="R157" s="932">
        <f>(AN157*KFC!$B$19+KFC!$C$19)*KFC!$C$5</f>
        <v>117.26</v>
      </c>
      <c r="S157" s="932">
        <f>(AO157*KFC!$B$19+KFC!$C$19)*KFC!$C$5</f>
        <v>122.12</v>
      </c>
      <c r="T157" s="932">
        <f>(AP157*KFC!$B$19+KFC!$C$19)*KFC!$C$5</f>
        <v>126.98</v>
      </c>
      <c r="U157" s="943">
        <f>(AQ157*KFC!$B$19+KFC!$C$19)*KFC!$C$5</f>
        <v>131.84</v>
      </c>
      <c r="V157" s="928"/>
      <c r="X157" s="923">
        <v>1.7</v>
      </c>
      <c r="Y157" s="929">
        <v>43.33</v>
      </c>
      <c r="Z157" s="929">
        <v>48.33</v>
      </c>
      <c r="AA157" s="929">
        <v>53.05</v>
      </c>
      <c r="AB157" s="929">
        <v>58.06</v>
      </c>
      <c r="AC157" s="929">
        <v>63.06</v>
      </c>
      <c r="AD157" s="929">
        <v>67.930000000000007</v>
      </c>
      <c r="AE157" s="929">
        <v>72.930000000000007</v>
      </c>
      <c r="AF157" s="929">
        <v>78.08</v>
      </c>
      <c r="AG157" s="929">
        <v>82.65</v>
      </c>
      <c r="AH157" s="929">
        <v>87.8</v>
      </c>
      <c r="AI157" s="929">
        <v>92.52</v>
      </c>
      <c r="AJ157" s="929">
        <v>97.53</v>
      </c>
      <c r="AK157" s="929">
        <v>102.39</v>
      </c>
      <c r="AL157" s="929">
        <v>107.39</v>
      </c>
      <c r="AM157" s="929">
        <v>112.26</v>
      </c>
      <c r="AN157" s="929">
        <v>117.26</v>
      </c>
      <c r="AO157" s="929">
        <v>122.12</v>
      </c>
      <c r="AP157" s="929">
        <v>126.98</v>
      </c>
      <c r="AQ157" s="929">
        <v>131.84</v>
      </c>
      <c r="AR157" s="929">
        <v>136.69999999999999</v>
      </c>
    </row>
    <row r="158" spans="1:44">
      <c r="A158" s="1538"/>
      <c r="B158" s="930">
        <v>1.8</v>
      </c>
      <c r="C158" s="931">
        <f>(Y158*KFC!$B$19+KFC!$C$19)*KFC!$C$5</f>
        <v>44.47</v>
      </c>
      <c r="D158" s="932">
        <f>(Z158*KFC!$B$19+KFC!$C$19)*KFC!$C$5</f>
        <v>49.62</v>
      </c>
      <c r="E158" s="932">
        <f>(AA158*KFC!$B$19+KFC!$C$19)*KFC!$C$5</f>
        <v>54.91</v>
      </c>
      <c r="F158" s="932">
        <f>(AB158*KFC!$B$19+KFC!$C$19)*KFC!$C$5</f>
        <v>60.06</v>
      </c>
      <c r="G158" s="932">
        <f>(AC158*KFC!$B$19+KFC!$C$19)*KFC!$C$5</f>
        <v>65.209999999999994</v>
      </c>
      <c r="H158" s="932">
        <f>(AD158*KFC!$B$19+KFC!$C$19)*KFC!$C$5</f>
        <v>70.36</v>
      </c>
      <c r="I158" s="932">
        <f>(AE158*KFC!$B$19+KFC!$C$19)*KFC!$C$5</f>
        <v>75.5</v>
      </c>
      <c r="J158" s="932">
        <f>(AF158*KFC!$B$19+KFC!$C$19)*KFC!$C$5</f>
        <v>80.8</v>
      </c>
      <c r="K158" s="932">
        <f>(AG158*KFC!$B$19+KFC!$C$19)*KFC!$C$5</f>
        <v>85.94</v>
      </c>
      <c r="L158" s="932">
        <f>(AH158*KFC!$B$19+KFC!$C$19)*KFC!$C$5</f>
        <v>91.09</v>
      </c>
      <c r="M158" s="932">
        <f>(AI158*KFC!$B$19+KFC!$C$19)*KFC!$C$5</f>
        <v>96.1</v>
      </c>
      <c r="N158" s="932">
        <f>(AJ158*KFC!$B$19+KFC!$C$19)*KFC!$C$5</f>
        <v>101.39</v>
      </c>
      <c r="O158" s="932">
        <f>(AK158*KFC!$B$19+KFC!$C$19)*KFC!$C$5</f>
        <v>106.68</v>
      </c>
      <c r="P158" s="932">
        <f>(AL158*KFC!$B$19+KFC!$C$19)*KFC!$C$5</f>
        <v>111.83</v>
      </c>
      <c r="Q158" s="932">
        <f>(AM158*KFC!$B$19+KFC!$C$19)*KFC!$C$5</f>
        <v>117.12</v>
      </c>
      <c r="R158" s="932">
        <f>(AN158*KFC!$B$19+KFC!$C$19)*KFC!$C$5</f>
        <v>122.41</v>
      </c>
      <c r="S158" s="932">
        <f>(AO158*KFC!$B$19+KFC!$C$19)*KFC!$C$5</f>
        <v>127.84</v>
      </c>
      <c r="T158" s="932">
        <f>(AP158*KFC!$B$19+KFC!$C$19)*KFC!$C$5</f>
        <v>133.27000000000001</v>
      </c>
      <c r="U158" s="943">
        <f>(AQ158*KFC!$B$19+KFC!$C$19)*KFC!$C$5</f>
        <v>138.69999999999999</v>
      </c>
      <c r="V158" s="928"/>
      <c r="X158" s="923">
        <v>1.8</v>
      </c>
      <c r="Y158" s="929">
        <v>44.47</v>
      </c>
      <c r="Z158" s="929">
        <v>49.62</v>
      </c>
      <c r="AA158" s="929">
        <v>54.91</v>
      </c>
      <c r="AB158" s="929">
        <v>60.06</v>
      </c>
      <c r="AC158" s="929">
        <v>65.209999999999994</v>
      </c>
      <c r="AD158" s="929">
        <v>70.36</v>
      </c>
      <c r="AE158" s="929">
        <v>75.5</v>
      </c>
      <c r="AF158" s="929">
        <v>80.8</v>
      </c>
      <c r="AG158" s="929">
        <v>85.94</v>
      </c>
      <c r="AH158" s="929">
        <v>91.09</v>
      </c>
      <c r="AI158" s="929">
        <v>96.1</v>
      </c>
      <c r="AJ158" s="929">
        <v>101.39</v>
      </c>
      <c r="AK158" s="929">
        <v>106.68</v>
      </c>
      <c r="AL158" s="929">
        <v>111.83</v>
      </c>
      <c r="AM158" s="929">
        <v>117.12</v>
      </c>
      <c r="AN158" s="929">
        <v>122.41</v>
      </c>
      <c r="AO158" s="929">
        <v>127.84</v>
      </c>
      <c r="AP158" s="929">
        <v>133.27000000000001</v>
      </c>
      <c r="AQ158" s="929">
        <v>138.69999999999999</v>
      </c>
      <c r="AR158" s="929">
        <v>144.13</v>
      </c>
    </row>
    <row r="159" spans="1:44">
      <c r="A159" s="1538"/>
      <c r="B159" s="930">
        <v>1.9</v>
      </c>
      <c r="C159" s="931">
        <f>(Y159*KFC!$B$19+KFC!$C$19)*KFC!$C$5</f>
        <v>46.9</v>
      </c>
      <c r="D159" s="932">
        <f>(Z159*KFC!$B$19+KFC!$C$19)*KFC!$C$5</f>
        <v>52.62</v>
      </c>
      <c r="E159" s="932">
        <f>(AA159*KFC!$B$19+KFC!$C$19)*KFC!$C$5</f>
        <v>58.06</v>
      </c>
      <c r="F159" s="932">
        <f>(AB159*KFC!$B$19+KFC!$C$19)*KFC!$C$5</f>
        <v>63.78</v>
      </c>
      <c r="G159" s="932">
        <f>(AC159*KFC!$B$19+KFC!$C$19)*KFC!$C$5</f>
        <v>69.5</v>
      </c>
      <c r="H159" s="932">
        <f>(AD159*KFC!$B$19+KFC!$C$19)*KFC!$C$5</f>
        <v>75.08</v>
      </c>
      <c r="I159" s="932">
        <f>(AE159*KFC!$B$19+KFC!$C$19)*KFC!$C$5</f>
        <v>80.94</v>
      </c>
      <c r="J159" s="932">
        <f>(AF159*KFC!$B$19+KFC!$C$19)*KFC!$C$5</f>
        <v>86.52</v>
      </c>
      <c r="K159" s="932">
        <f>(AG159*KFC!$B$19+KFC!$C$19)*KFC!$C$5</f>
        <v>92.38</v>
      </c>
      <c r="L159" s="932">
        <f>(AH159*KFC!$B$19+KFC!$C$19)*KFC!$C$5</f>
        <v>97.96</v>
      </c>
      <c r="M159" s="932">
        <f>(AI159*KFC!$B$19+KFC!$C$19)*KFC!$C$5</f>
        <v>103.53</v>
      </c>
      <c r="N159" s="932">
        <f>(AJ159*KFC!$B$19+KFC!$C$19)*KFC!$C$5</f>
        <v>109.11</v>
      </c>
      <c r="O159" s="932">
        <f>(AK159*KFC!$B$19+KFC!$C$19)*KFC!$C$5</f>
        <v>114.83</v>
      </c>
      <c r="P159" s="932">
        <f>(AL159*KFC!$B$19+KFC!$C$19)*KFC!$C$5</f>
        <v>120.55</v>
      </c>
      <c r="Q159" s="932">
        <f>(AM159*KFC!$B$19+KFC!$C$19)*KFC!$C$5</f>
        <v>126.41</v>
      </c>
      <c r="R159" s="932">
        <f>(AN159*KFC!$B$19+KFC!$C$19)*KFC!$C$5</f>
        <v>131.99</v>
      </c>
      <c r="S159" s="932">
        <f>(AO159*KFC!$B$19+KFC!$C$19)*KFC!$C$5</f>
        <v>137.71</v>
      </c>
      <c r="T159" s="932">
        <f>(AP159*KFC!$B$19+KFC!$C$19)*KFC!$C$5</f>
        <v>143.43</v>
      </c>
      <c r="U159" s="943">
        <f>(AQ159*KFC!$B$19+KFC!$C$19)*KFC!$C$5</f>
        <v>149.15</v>
      </c>
      <c r="V159" s="928"/>
      <c r="X159" s="923">
        <v>1.9</v>
      </c>
      <c r="Y159" s="929">
        <v>46.9</v>
      </c>
      <c r="Z159" s="929">
        <v>52.62</v>
      </c>
      <c r="AA159" s="929">
        <v>58.06</v>
      </c>
      <c r="AB159" s="929">
        <v>63.78</v>
      </c>
      <c r="AC159" s="929">
        <v>69.5</v>
      </c>
      <c r="AD159" s="929">
        <v>75.08</v>
      </c>
      <c r="AE159" s="929">
        <v>80.94</v>
      </c>
      <c r="AF159" s="929">
        <v>86.52</v>
      </c>
      <c r="AG159" s="929">
        <v>92.38</v>
      </c>
      <c r="AH159" s="929">
        <v>97.96</v>
      </c>
      <c r="AI159" s="929">
        <v>103.53</v>
      </c>
      <c r="AJ159" s="929">
        <v>109.11</v>
      </c>
      <c r="AK159" s="929">
        <v>114.83</v>
      </c>
      <c r="AL159" s="929">
        <v>120.55</v>
      </c>
      <c r="AM159" s="929">
        <v>126.41</v>
      </c>
      <c r="AN159" s="929">
        <v>131.99</v>
      </c>
      <c r="AO159" s="929">
        <v>137.71</v>
      </c>
      <c r="AP159" s="929">
        <v>143.43</v>
      </c>
      <c r="AQ159" s="929">
        <v>149.15</v>
      </c>
      <c r="AR159" s="929">
        <v>154.87</v>
      </c>
    </row>
    <row r="160" spans="1:44">
      <c r="A160" s="1538"/>
      <c r="B160" s="930">
        <v>2</v>
      </c>
      <c r="C160" s="931">
        <f>(Y160*KFC!$B$19+KFC!$C$19)*KFC!$C$5</f>
        <v>48.19</v>
      </c>
      <c r="D160" s="932">
        <f>(Z160*KFC!$B$19+KFC!$C$19)*KFC!$C$5</f>
        <v>53.91</v>
      </c>
      <c r="E160" s="932">
        <f>(AA160*KFC!$B$19+KFC!$C$19)*KFC!$C$5</f>
        <v>59.92</v>
      </c>
      <c r="F160" s="932">
        <f>(AB160*KFC!$B$19+KFC!$C$19)*KFC!$C$5</f>
        <v>65.64</v>
      </c>
      <c r="G160" s="932">
        <f>(AC160*KFC!$B$19+KFC!$C$19)*KFC!$C$5</f>
        <v>71.5</v>
      </c>
      <c r="H160" s="932">
        <f>(AD160*KFC!$B$19+KFC!$C$19)*KFC!$C$5</f>
        <v>77.510000000000005</v>
      </c>
      <c r="I160" s="932">
        <f>(AE160*KFC!$B$19+KFC!$C$19)*KFC!$C$5</f>
        <v>83.51</v>
      </c>
      <c r="J160" s="932">
        <f>(AF160*KFC!$B$19+KFC!$C$19)*KFC!$C$5</f>
        <v>89.66</v>
      </c>
      <c r="K160" s="932">
        <f>(AG160*KFC!$B$19+KFC!$C$19)*KFC!$C$5</f>
        <v>95.38</v>
      </c>
      <c r="L160" s="932">
        <f>(AH160*KFC!$B$19+KFC!$C$19)*KFC!$C$5</f>
        <v>101.24</v>
      </c>
      <c r="M160" s="932">
        <f>(AI160*KFC!$B$19+KFC!$C$19)*KFC!$C$5</f>
        <v>107.11</v>
      </c>
      <c r="N160" s="932">
        <f>(AJ160*KFC!$B$19+KFC!$C$19)*KFC!$C$5</f>
        <v>112.97</v>
      </c>
      <c r="O160" s="932">
        <f>(AK160*KFC!$B$19+KFC!$C$19)*KFC!$C$5</f>
        <v>118.98</v>
      </c>
      <c r="P160" s="932">
        <f>(AL160*KFC!$B$19+KFC!$C$19)*KFC!$C$5</f>
        <v>124.84</v>
      </c>
      <c r="Q160" s="932">
        <f>(AM160*KFC!$B$19+KFC!$C$19)*KFC!$C$5</f>
        <v>130.69999999999999</v>
      </c>
      <c r="R160" s="932">
        <f>(AN160*KFC!$B$19+KFC!$C$19)*KFC!$C$5</f>
        <v>136.71</v>
      </c>
      <c r="S160" s="932">
        <f>(AO160*KFC!$B$19+KFC!$C$19)*KFC!$C$5</f>
        <v>142.57</v>
      </c>
      <c r="T160" s="932">
        <f>(AP160*KFC!$B$19+KFC!$C$19)*KFC!$C$5</f>
        <v>148.43</v>
      </c>
      <c r="U160" s="943">
        <f>(AQ160*KFC!$B$19+KFC!$C$19)*KFC!$C$5</f>
        <v>154.29</v>
      </c>
      <c r="V160" s="928"/>
      <c r="X160" s="923">
        <v>2</v>
      </c>
      <c r="Y160" s="929">
        <v>48.19</v>
      </c>
      <c r="Z160" s="929">
        <v>53.91</v>
      </c>
      <c r="AA160" s="929">
        <v>59.92</v>
      </c>
      <c r="AB160" s="929">
        <v>65.64</v>
      </c>
      <c r="AC160" s="929">
        <v>71.5</v>
      </c>
      <c r="AD160" s="929">
        <v>77.510000000000005</v>
      </c>
      <c r="AE160" s="929">
        <v>83.51</v>
      </c>
      <c r="AF160" s="929">
        <v>89.66</v>
      </c>
      <c r="AG160" s="929">
        <v>95.38</v>
      </c>
      <c r="AH160" s="929">
        <v>101.24</v>
      </c>
      <c r="AI160" s="929">
        <v>107.11</v>
      </c>
      <c r="AJ160" s="929">
        <v>112.97</v>
      </c>
      <c r="AK160" s="929">
        <v>118.98</v>
      </c>
      <c r="AL160" s="929">
        <v>124.84</v>
      </c>
      <c r="AM160" s="929">
        <v>130.69999999999999</v>
      </c>
      <c r="AN160" s="929">
        <v>136.71</v>
      </c>
      <c r="AO160" s="929">
        <v>142.57</v>
      </c>
      <c r="AP160" s="929">
        <v>148.43</v>
      </c>
      <c r="AQ160" s="929">
        <v>154.29</v>
      </c>
      <c r="AR160" s="929">
        <v>160.15</v>
      </c>
    </row>
    <row r="161" spans="1:44">
      <c r="A161" s="1538"/>
      <c r="B161" s="930">
        <v>2.1</v>
      </c>
      <c r="C161" s="931">
        <f>(Y161*KFC!$B$19+KFC!$C$19)*KFC!$C$5</f>
        <v>49.05</v>
      </c>
      <c r="D161" s="932">
        <f>(Z161*KFC!$B$19+KFC!$C$19)*KFC!$C$5</f>
        <v>55.34</v>
      </c>
      <c r="E161" s="932">
        <f>(AA161*KFC!$B$19+KFC!$C$19)*KFC!$C$5</f>
        <v>61.35</v>
      </c>
      <c r="F161" s="932">
        <f>(AB161*KFC!$B$19+KFC!$C$19)*KFC!$C$5</f>
        <v>67.64</v>
      </c>
      <c r="G161" s="932">
        <f>(AC161*KFC!$B$19+KFC!$C$19)*KFC!$C$5</f>
        <v>73.790000000000006</v>
      </c>
      <c r="H161" s="932">
        <f>(AD161*KFC!$B$19+KFC!$C$19)*KFC!$C$5</f>
        <v>79.790000000000006</v>
      </c>
      <c r="I161" s="932">
        <f>(AE161*KFC!$B$19+KFC!$C$19)*KFC!$C$5</f>
        <v>86.23</v>
      </c>
      <c r="J161" s="932">
        <f>(AF161*KFC!$B$19+KFC!$C$19)*KFC!$C$5</f>
        <v>92.38</v>
      </c>
      <c r="K161" s="932">
        <f>(AG161*KFC!$B$19+KFC!$C$19)*KFC!$C$5</f>
        <v>98.53</v>
      </c>
      <c r="L161" s="932">
        <f>(AH161*KFC!$B$19+KFC!$C$19)*KFC!$C$5</f>
        <v>104.68</v>
      </c>
      <c r="M161" s="932">
        <f>(AI161*KFC!$B$19+KFC!$C$19)*KFC!$C$5</f>
        <v>110.83</v>
      </c>
      <c r="N161" s="932">
        <f>(AJ161*KFC!$B$19+KFC!$C$19)*KFC!$C$5</f>
        <v>116.97</v>
      </c>
      <c r="O161" s="932">
        <f>(AK161*KFC!$B$19+KFC!$C$19)*KFC!$C$5</f>
        <v>123.12</v>
      </c>
      <c r="P161" s="932">
        <f>(AL161*KFC!$B$19+KFC!$C$19)*KFC!$C$5</f>
        <v>129.27000000000001</v>
      </c>
      <c r="Q161" s="932">
        <f>(AM161*KFC!$B$19+KFC!$C$19)*KFC!$C$5</f>
        <v>135.56</v>
      </c>
      <c r="R161" s="932">
        <f>(AN161*KFC!$B$19+KFC!$C$19)*KFC!$C$5</f>
        <v>141.86000000000001</v>
      </c>
      <c r="S161" s="932">
        <f>(AO161*KFC!$B$19+KFC!$C$19)*KFC!$C$5</f>
        <v>148.01</v>
      </c>
      <c r="T161" s="932">
        <f>(AP161*KFC!$B$19+KFC!$C$19)*KFC!$C$5</f>
        <v>154.16</v>
      </c>
      <c r="U161" s="943">
        <f>(AQ161*KFC!$B$19+KFC!$C$19)*KFC!$C$5</f>
        <v>160.31</v>
      </c>
      <c r="V161" s="928"/>
      <c r="X161" s="923">
        <v>2.1</v>
      </c>
      <c r="Y161" s="929">
        <v>49.05</v>
      </c>
      <c r="Z161" s="929">
        <v>55.34</v>
      </c>
      <c r="AA161" s="929">
        <v>61.35</v>
      </c>
      <c r="AB161" s="929">
        <v>67.64</v>
      </c>
      <c r="AC161" s="929">
        <v>73.790000000000006</v>
      </c>
      <c r="AD161" s="929">
        <v>79.790000000000006</v>
      </c>
      <c r="AE161" s="929">
        <v>86.23</v>
      </c>
      <c r="AF161" s="929">
        <v>92.38</v>
      </c>
      <c r="AG161" s="929">
        <v>98.53</v>
      </c>
      <c r="AH161" s="929">
        <v>104.68</v>
      </c>
      <c r="AI161" s="929">
        <v>110.83</v>
      </c>
      <c r="AJ161" s="929">
        <v>116.97</v>
      </c>
      <c r="AK161" s="929">
        <v>123.12</v>
      </c>
      <c r="AL161" s="929">
        <v>129.27000000000001</v>
      </c>
      <c r="AM161" s="929">
        <v>135.56</v>
      </c>
      <c r="AN161" s="929">
        <v>141.86000000000001</v>
      </c>
      <c r="AO161" s="929">
        <v>148.01</v>
      </c>
      <c r="AP161" s="929">
        <v>154.16</v>
      </c>
      <c r="AQ161" s="929">
        <v>160.31</v>
      </c>
      <c r="AR161" s="929">
        <v>166.46</v>
      </c>
    </row>
    <row r="162" spans="1:44">
      <c r="A162" s="1538"/>
      <c r="B162" s="930">
        <v>2.2000000000000002</v>
      </c>
      <c r="C162" s="931">
        <f>(Y162*KFC!$B$19+KFC!$C$19)*KFC!$C$5</f>
        <v>50.19</v>
      </c>
      <c r="D162" s="932">
        <f>(Z162*KFC!$B$19+KFC!$C$19)*KFC!$C$5</f>
        <v>56.63</v>
      </c>
      <c r="E162" s="932">
        <f>(AA162*KFC!$B$19+KFC!$C$19)*KFC!$C$5</f>
        <v>63.21</v>
      </c>
      <c r="F162" s="932">
        <f>(AB162*KFC!$B$19+KFC!$C$19)*KFC!$C$5</f>
        <v>69.5</v>
      </c>
      <c r="G162" s="932">
        <f>(AC162*KFC!$B$19+KFC!$C$19)*KFC!$C$5</f>
        <v>75.790000000000006</v>
      </c>
      <c r="H162" s="932">
        <f>(AD162*KFC!$B$19+KFC!$C$19)*KFC!$C$5</f>
        <v>82.51</v>
      </c>
      <c r="I162" s="932">
        <f>(AE162*KFC!$B$19+KFC!$C$19)*KFC!$C$5</f>
        <v>88.66</v>
      </c>
      <c r="J162" s="932">
        <f>(AF162*KFC!$B$19+KFC!$C$19)*KFC!$C$5</f>
        <v>95.24</v>
      </c>
      <c r="K162" s="932">
        <f>(AG162*KFC!$B$19+KFC!$C$19)*KFC!$C$5</f>
        <v>101.67</v>
      </c>
      <c r="L162" s="932">
        <f>(AH162*KFC!$B$19+KFC!$C$19)*KFC!$C$5</f>
        <v>108.11</v>
      </c>
      <c r="M162" s="932">
        <f>(AI162*KFC!$B$19+KFC!$C$19)*KFC!$C$5</f>
        <v>114.4</v>
      </c>
      <c r="N162" s="932">
        <f>(AJ162*KFC!$B$19+KFC!$C$19)*KFC!$C$5</f>
        <v>120.69</v>
      </c>
      <c r="O162" s="932">
        <f>(AK162*KFC!$B$19+KFC!$C$19)*KFC!$C$5</f>
        <v>127.27</v>
      </c>
      <c r="P162" s="932">
        <f>(AL162*KFC!$B$19+KFC!$C$19)*KFC!$C$5</f>
        <v>133.56</v>
      </c>
      <c r="Q162" s="932">
        <f>(AM162*KFC!$B$19+KFC!$C$19)*KFC!$C$5</f>
        <v>140.13999999999999</v>
      </c>
      <c r="R162" s="932">
        <f>(AN162*KFC!$B$19+KFC!$C$19)*KFC!$C$5</f>
        <v>146.43</v>
      </c>
      <c r="S162" s="932">
        <f>(AO162*KFC!$B$19+KFC!$C$19)*KFC!$C$5</f>
        <v>153.01</v>
      </c>
      <c r="T162" s="932">
        <f>(AP162*KFC!$B$19+KFC!$C$19)*KFC!$C$5</f>
        <v>159.59</v>
      </c>
      <c r="U162" s="943">
        <f>(AQ162*KFC!$B$19+KFC!$C$19)*KFC!$C$5</f>
        <v>166.17</v>
      </c>
      <c r="V162" s="928"/>
      <c r="X162" s="923">
        <v>2.2000000000000002</v>
      </c>
      <c r="Y162" s="929">
        <v>50.19</v>
      </c>
      <c r="Z162" s="929">
        <v>56.63</v>
      </c>
      <c r="AA162" s="929">
        <v>63.21</v>
      </c>
      <c r="AB162" s="929">
        <v>69.5</v>
      </c>
      <c r="AC162" s="929">
        <v>75.790000000000006</v>
      </c>
      <c r="AD162" s="929">
        <v>82.51</v>
      </c>
      <c r="AE162" s="929">
        <v>88.66</v>
      </c>
      <c r="AF162" s="929">
        <v>95.24</v>
      </c>
      <c r="AG162" s="929">
        <v>101.67</v>
      </c>
      <c r="AH162" s="929">
        <v>108.11</v>
      </c>
      <c r="AI162" s="929">
        <v>114.4</v>
      </c>
      <c r="AJ162" s="929">
        <v>120.69</v>
      </c>
      <c r="AK162" s="929">
        <v>127.27</v>
      </c>
      <c r="AL162" s="929">
        <v>133.56</v>
      </c>
      <c r="AM162" s="929">
        <v>140.13999999999999</v>
      </c>
      <c r="AN162" s="929">
        <v>146.43</v>
      </c>
      <c r="AO162" s="929">
        <v>153.01</v>
      </c>
      <c r="AP162" s="929">
        <v>159.59</v>
      </c>
      <c r="AQ162" s="929">
        <v>166.17</v>
      </c>
      <c r="AR162" s="929">
        <v>172.75</v>
      </c>
    </row>
    <row r="163" spans="1:44">
      <c r="A163" s="1538"/>
      <c r="B163" s="930">
        <v>2.2999999999999998</v>
      </c>
      <c r="C163" s="931">
        <f>(Y163*KFC!$B$19+KFC!$C$19)*KFC!$C$5</f>
        <v>51.34</v>
      </c>
      <c r="D163" s="932">
        <f>(Z163*KFC!$B$19+KFC!$C$19)*KFC!$C$5</f>
        <v>58.06</v>
      </c>
      <c r="E163" s="932">
        <f>(AA163*KFC!$B$19+KFC!$C$19)*KFC!$C$5</f>
        <v>64.78</v>
      </c>
      <c r="F163" s="932">
        <f>(AB163*KFC!$B$19+KFC!$C$19)*KFC!$C$5</f>
        <v>71.36</v>
      </c>
      <c r="G163" s="932">
        <f>(AC163*KFC!$B$19+KFC!$C$19)*KFC!$C$5</f>
        <v>78.22</v>
      </c>
      <c r="H163" s="932">
        <f>(AD163*KFC!$B$19+KFC!$C$19)*KFC!$C$5</f>
        <v>84.66</v>
      </c>
      <c r="I163" s="932">
        <f>(AE163*KFC!$B$19+KFC!$C$19)*KFC!$C$5</f>
        <v>91.38</v>
      </c>
      <c r="J163" s="932">
        <f>(AF163*KFC!$B$19+KFC!$C$19)*KFC!$C$5</f>
        <v>98.1</v>
      </c>
      <c r="K163" s="932">
        <f>(AG163*KFC!$B$19+KFC!$C$19)*KFC!$C$5</f>
        <v>104.82</v>
      </c>
      <c r="L163" s="932">
        <f>(AH163*KFC!$B$19+KFC!$C$19)*KFC!$C$5</f>
        <v>111.54</v>
      </c>
      <c r="M163" s="932">
        <f>(AI163*KFC!$B$19+KFC!$C$19)*KFC!$C$5</f>
        <v>117.83</v>
      </c>
      <c r="N163" s="932">
        <f>(AJ163*KFC!$B$19+KFC!$C$19)*KFC!$C$5</f>
        <v>124.7</v>
      </c>
      <c r="O163" s="932">
        <f>(AK163*KFC!$B$19+KFC!$C$19)*KFC!$C$5</f>
        <v>131.27000000000001</v>
      </c>
      <c r="P163" s="932">
        <f>(AL163*KFC!$B$19+KFC!$C$19)*KFC!$C$5</f>
        <v>138</v>
      </c>
      <c r="Q163" s="932">
        <f>(AM163*KFC!$B$19+KFC!$C$19)*KFC!$C$5</f>
        <v>144.86000000000001</v>
      </c>
      <c r="R163" s="932">
        <f>(AN163*KFC!$B$19+KFC!$C$19)*KFC!$C$5</f>
        <v>151.44</v>
      </c>
      <c r="S163" s="932">
        <f>(AO163*KFC!$B$19+KFC!$C$19)*KFC!$C$5</f>
        <v>158.16</v>
      </c>
      <c r="T163" s="932">
        <f>(AP163*KFC!$B$19+KFC!$C$19)*KFC!$C$5</f>
        <v>164.88</v>
      </c>
      <c r="U163" s="943">
        <f>(AQ163*KFC!$B$19+KFC!$C$19)*KFC!$C$5</f>
        <v>171.6</v>
      </c>
      <c r="V163" s="928"/>
      <c r="X163" s="923">
        <v>2.2999999999999998</v>
      </c>
      <c r="Y163" s="929">
        <v>51.34</v>
      </c>
      <c r="Z163" s="929">
        <v>58.06</v>
      </c>
      <c r="AA163" s="929">
        <v>64.78</v>
      </c>
      <c r="AB163" s="929">
        <v>71.36</v>
      </c>
      <c r="AC163" s="929">
        <v>78.22</v>
      </c>
      <c r="AD163" s="929">
        <v>84.66</v>
      </c>
      <c r="AE163" s="929">
        <v>91.38</v>
      </c>
      <c r="AF163" s="929">
        <v>98.1</v>
      </c>
      <c r="AG163" s="929">
        <v>104.82</v>
      </c>
      <c r="AH163" s="929">
        <v>111.54</v>
      </c>
      <c r="AI163" s="929">
        <v>117.83</v>
      </c>
      <c r="AJ163" s="929">
        <v>124.7</v>
      </c>
      <c r="AK163" s="929">
        <v>131.27000000000001</v>
      </c>
      <c r="AL163" s="929">
        <v>138</v>
      </c>
      <c r="AM163" s="929">
        <v>144.86000000000001</v>
      </c>
      <c r="AN163" s="929">
        <v>151.44</v>
      </c>
      <c r="AO163" s="929">
        <v>158.16</v>
      </c>
      <c r="AP163" s="929">
        <v>164.88</v>
      </c>
      <c r="AQ163" s="929">
        <v>171.6</v>
      </c>
      <c r="AR163" s="929">
        <v>178.32</v>
      </c>
    </row>
    <row r="164" spans="1:44">
      <c r="A164" s="1538"/>
      <c r="B164" s="930">
        <v>2.4</v>
      </c>
      <c r="C164" s="931">
        <f>(Y164*KFC!$B$19+KFC!$C$19)*KFC!$C$5</f>
        <v>52.62</v>
      </c>
      <c r="D164" s="932">
        <f>(Z164*KFC!$B$19+KFC!$C$19)*KFC!$C$5</f>
        <v>59.49</v>
      </c>
      <c r="E164" s="932">
        <f>(AA164*KFC!$B$19+KFC!$C$19)*KFC!$C$5</f>
        <v>66.64</v>
      </c>
      <c r="F164" s="932">
        <f>(AB164*KFC!$B$19+KFC!$C$19)*KFC!$C$5</f>
        <v>73.36</v>
      </c>
      <c r="G164" s="932">
        <f>(AC164*KFC!$B$19+KFC!$C$19)*KFC!$C$5</f>
        <v>80.22</v>
      </c>
      <c r="H164" s="932">
        <f>(AD164*KFC!$B$19+KFC!$C$19)*KFC!$C$5</f>
        <v>87.09</v>
      </c>
      <c r="I164" s="932">
        <f>(AE164*KFC!$B$19+KFC!$C$19)*KFC!$C$5</f>
        <v>93.95</v>
      </c>
      <c r="J164" s="932">
        <f>(AF164*KFC!$B$19+KFC!$C$19)*KFC!$C$5</f>
        <v>100.96</v>
      </c>
      <c r="K164" s="932">
        <f>(AG164*KFC!$B$19+KFC!$C$19)*KFC!$C$5</f>
        <v>108.11</v>
      </c>
      <c r="L164" s="932">
        <f>(AH164*KFC!$B$19+KFC!$C$19)*KFC!$C$5</f>
        <v>114.83</v>
      </c>
      <c r="M164" s="932">
        <f>(AI164*KFC!$B$19+KFC!$C$19)*KFC!$C$5</f>
        <v>121.69</v>
      </c>
      <c r="N164" s="932">
        <f>(AJ164*KFC!$B$19+KFC!$C$19)*KFC!$C$5</f>
        <v>128.56</v>
      </c>
      <c r="O164" s="932">
        <f>(AK164*KFC!$B$19+KFC!$C$19)*KFC!$C$5</f>
        <v>135.41999999999999</v>
      </c>
      <c r="P164" s="932">
        <f>(AL164*KFC!$B$19+KFC!$C$19)*KFC!$C$5</f>
        <v>142.29</v>
      </c>
      <c r="Q164" s="932">
        <f>(AM164*KFC!$B$19+KFC!$C$19)*KFC!$C$5</f>
        <v>149.15</v>
      </c>
      <c r="R164" s="932">
        <f>(AN164*KFC!$B$19+KFC!$C$19)*KFC!$C$5</f>
        <v>156.01</v>
      </c>
      <c r="S164" s="932">
        <f>(AO164*KFC!$B$19+KFC!$C$19)*KFC!$C$5</f>
        <v>163.16</v>
      </c>
      <c r="T164" s="932">
        <f>(AP164*KFC!$B$19+KFC!$C$19)*KFC!$C$5</f>
        <v>170.31</v>
      </c>
      <c r="U164" s="943">
        <f>(AQ164*KFC!$B$19+KFC!$C$19)*KFC!$C$5</f>
        <v>177.46</v>
      </c>
      <c r="V164" s="928"/>
      <c r="X164" s="923">
        <v>2.4</v>
      </c>
      <c r="Y164" s="929">
        <v>52.62</v>
      </c>
      <c r="Z164" s="929">
        <v>59.49</v>
      </c>
      <c r="AA164" s="929">
        <v>66.64</v>
      </c>
      <c r="AB164" s="929">
        <v>73.36</v>
      </c>
      <c r="AC164" s="929">
        <v>80.22</v>
      </c>
      <c r="AD164" s="929">
        <v>87.09</v>
      </c>
      <c r="AE164" s="929">
        <v>93.95</v>
      </c>
      <c r="AF164" s="929">
        <v>100.96</v>
      </c>
      <c r="AG164" s="929">
        <v>108.11</v>
      </c>
      <c r="AH164" s="929">
        <v>114.83</v>
      </c>
      <c r="AI164" s="929">
        <v>121.69</v>
      </c>
      <c r="AJ164" s="929">
        <v>128.56</v>
      </c>
      <c r="AK164" s="929">
        <v>135.41999999999999</v>
      </c>
      <c r="AL164" s="929">
        <v>142.29</v>
      </c>
      <c r="AM164" s="929">
        <v>149.15</v>
      </c>
      <c r="AN164" s="929">
        <v>156.01</v>
      </c>
      <c r="AO164" s="929">
        <v>163.16</v>
      </c>
      <c r="AP164" s="929">
        <v>170.31</v>
      </c>
      <c r="AQ164" s="929">
        <v>177.46</v>
      </c>
      <c r="AR164" s="929">
        <v>184.61</v>
      </c>
    </row>
    <row r="165" spans="1:44">
      <c r="A165" s="1538"/>
      <c r="B165" s="930">
        <v>2.5</v>
      </c>
      <c r="C165" s="931">
        <f>(Y165*KFC!$B$19+KFC!$C$19)*KFC!$C$5</f>
        <v>53.77</v>
      </c>
      <c r="D165" s="932">
        <f>(Z165*KFC!$B$19+KFC!$C$19)*KFC!$C$5</f>
        <v>61.06</v>
      </c>
      <c r="E165" s="932">
        <f>(AA165*KFC!$B$19+KFC!$C$19)*KFC!$C$5</f>
        <v>68.069999999999993</v>
      </c>
      <c r="F165" s="932">
        <f>(AB165*KFC!$B$19+KFC!$C$19)*KFC!$C$5</f>
        <v>75.08</v>
      </c>
      <c r="G165" s="932">
        <f>(AC165*KFC!$B$19+KFC!$C$19)*KFC!$C$5</f>
        <v>82.51</v>
      </c>
      <c r="H165" s="932">
        <f>(AD165*KFC!$B$19+KFC!$C$19)*KFC!$C$5</f>
        <v>89.66</v>
      </c>
      <c r="I165" s="932">
        <f>(AE165*KFC!$B$19+KFC!$C$19)*KFC!$C$5</f>
        <v>96.67</v>
      </c>
      <c r="J165" s="932">
        <f>(AF165*KFC!$B$19+KFC!$C$19)*KFC!$C$5</f>
        <v>103.68</v>
      </c>
      <c r="K165" s="932">
        <f>(AG165*KFC!$B$19+KFC!$C$19)*KFC!$C$5</f>
        <v>110.97</v>
      </c>
      <c r="L165" s="932">
        <f>(AH165*KFC!$B$19+KFC!$C$19)*KFC!$C$5</f>
        <v>117.98</v>
      </c>
      <c r="M165" s="932">
        <f>(AI165*KFC!$B$19+KFC!$C$19)*KFC!$C$5</f>
        <v>125.13</v>
      </c>
      <c r="N165" s="932">
        <f>(AJ165*KFC!$B$19+KFC!$C$19)*KFC!$C$5</f>
        <v>132.56</v>
      </c>
      <c r="O165" s="932">
        <f>(AK165*KFC!$B$19+KFC!$C$19)*KFC!$C$5</f>
        <v>139.57</v>
      </c>
      <c r="P165" s="932">
        <f>(AL165*KFC!$B$19+KFC!$C$19)*KFC!$C$5</f>
        <v>146.86000000000001</v>
      </c>
      <c r="Q165" s="932">
        <f>(AM165*KFC!$B$19+KFC!$C$19)*KFC!$C$5</f>
        <v>154.01</v>
      </c>
      <c r="R165" s="932">
        <f>(AN165*KFC!$B$19+KFC!$C$19)*KFC!$C$5</f>
        <v>161.30000000000001</v>
      </c>
      <c r="S165" s="932">
        <f>(AO165*KFC!$B$19+KFC!$C$19)*KFC!$C$5</f>
        <v>168.45</v>
      </c>
      <c r="T165" s="932">
        <f>(AP165*KFC!$B$19+KFC!$C$19)*KFC!$C$5</f>
        <v>175.6</v>
      </c>
      <c r="U165" s="943">
        <f>(AQ165*KFC!$B$19+KFC!$C$19)*KFC!$C$5</f>
        <v>182.75</v>
      </c>
      <c r="V165" s="928"/>
      <c r="X165" s="923">
        <v>2.5</v>
      </c>
      <c r="Y165" s="929">
        <v>53.77</v>
      </c>
      <c r="Z165" s="929">
        <v>61.06</v>
      </c>
      <c r="AA165" s="929">
        <v>68.069999999999993</v>
      </c>
      <c r="AB165" s="929">
        <v>75.08</v>
      </c>
      <c r="AC165" s="929">
        <v>82.51</v>
      </c>
      <c r="AD165" s="929">
        <v>89.66</v>
      </c>
      <c r="AE165" s="929">
        <v>96.67</v>
      </c>
      <c r="AF165" s="929">
        <v>103.68</v>
      </c>
      <c r="AG165" s="929">
        <v>110.97</v>
      </c>
      <c r="AH165" s="929">
        <v>117.98</v>
      </c>
      <c r="AI165" s="929">
        <v>125.13</v>
      </c>
      <c r="AJ165" s="929">
        <v>132.56</v>
      </c>
      <c r="AK165" s="929">
        <v>139.57</v>
      </c>
      <c r="AL165" s="929">
        <v>146.86000000000001</v>
      </c>
      <c r="AM165" s="929">
        <v>154.01</v>
      </c>
      <c r="AN165" s="929">
        <v>161.30000000000001</v>
      </c>
      <c r="AO165" s="929">
        <v>168.45</v>
      </c>
      <c r="AP165" s="929">
        <v>175.6</v>
      </c>
      <c r="AQ165" s="929">
        <v>182.75</v>
      </c>
      <c r="AR165" s="929">
        <v>189.9</v>
      </c>
    </row>
    <row r="166" spans="1:44">
      <c r="A166" s="1538"/>
      <c r="B166" s="930">
        <v>2.6</v>
      </c>
      <c r="C166" s="931">
        <f>(Y166*KFC!$B$19+KFC!$C$19)*KFC!$C$5</f>
        <v>54.91</v>
      </c>
      <c r="D166" s="932">
        <f>(Z166*KFC!$B$19+KFC!$C$19)*KFC!$C$5</f>
        <v>62.49</v>
      </c>
      <c r="E166" s="932">
        <f>(AA166*KFC!$B$19+KFC!$C$19)*KFC!$C$5</f>
        <v>69.64</v>
      </c>
      <c r="F166" s="932">
        <f>(AB166*KFC!$B$19+KFC!$C$19)*KFC!$C$5</f>
        <v>77.08</v>
      </c>
      <c r="G166" s="932">
        <f>(AC166*KFC!$B$19+KFC!$C$19)*KFC!$C$5</f>
        <v>84.51</v>
      </c>
      <c r="H166" s="932">
        <f>(AD166*KFC!$B$19+KFC!$C$19)*KFC!$C$5</f>
        <v>91.81</v>
      </c>
      <c r="I166" s="932">
        <f>(AE166*KFC!$B$19+KFC!$C$19)*KFC!$C$5</f>
        <v>99.39</v>
      </c>
      <c r="J166" s="932">
        <f>(AF166*KFC!$B$19+KFC!$C$19)*KFC!$C$5</f>
        <v>106.68</v>
      </c>
      <c r="K166" s="932">
        <f>(AG166*KFC!$B$19+KFC!$C$19)*KFC!$C$5</f>
        <v>114.26</v>
      </c>
      <c r="L166" s="932">
        <f>(AH166*KFC!$B$19+KFC!$C$19)*KFC!$C$5</f>
        <v>121.41</v>
      </c>
      <c r="M166" s="932">
        <f>(AI166*KFC!$B$19+KFC!$C$19)*KFC!$C$5</f>
        <v>129.13</v>
      </c>
      <c r="N166" s="932">
        <f>(AJ166*KFC!$B$19+KFC!$C$19)*KFC!$C$5</f>
        <v>136.28</v>
      </c>
      <c r="O166" s="932">
        <f>(AK166*KFC!$B$19+KFC!$C$19)*KFC!$C$5</f>
        <v>143.57</v>
      </c>
      <c r="P166" s="932">
        <f>(AL166*KFC!$B$19+KFC!$C$19)*KFC!$C$5</f>
        <v>151.15</v>
      </c>
      <c r="Q166" s="932">
        <f>(AM166*KFC!$B$19+KFC!$C$19)*KFC!$C$5</f>
        <v>158.72999999999999</v>
      </c>
      <c r="R166" s="932">
        <f>(AN166*KFC!$B$19+KFC!$C$19)*KFC!$C$5</f>
        <v>166.17</v>
      </c>
      <c r="S166" s="932">
        <f>(AO166*KFC!$B$19+KFC!$C$19)*KFC!$C$5</f>
        <v>173.75</v>
      </c>
      <c r="T166" s="932">
        <f>(AP166*KFC!$B$19+KFC!$C$19)*KFC!$C$5</f>
        <v>181.33</v>
      </c>
      <c r="U166" s="943">
        <f>(AQ166*KFC!$B$19+KFC!$C$19)*KFC!$C$5</f>
        <v>188.91</v>
      </c>
      <c r="V166" s="928"/>
      <c r="X166" s="923">
        <v>2.6</v>
      </c>
      <c r="Y166" s="929">
        <v>54.91</v>
      </c>
      <c r="Z166" s="929">
        <v>62.49</v>
      </c>
      <c r="AA166" s="929">
        <v>69.64</v>
      </c>
      <c r="AB166" s="929">
        <v>77.08</v>
      </c>
      <c r="AC166" s="929">
        <v>84.51</v>
      </c>
      <c r="AD166" s="929">
        <v>91.81</v>
      </c>
      <c r="AE166" s="929">
        <v>99.39</v>
      </c>
      <c r="AF166" s="929">
        <v>106.68</v>
      </c>
      <c r="AG166" s="929">
        <v>114.26</v>
      </c>
      <c r="AH166" s="929">
        <v>121.41</v>
      </c>
      <c r="AI166" s="929">
        <v>129.13</v>
      </c>
      <c r="AJ166" s="929">
        <v>136.28</v>
      </c>
      <c r="AK166" s="929">
        <v>143.57</v>
      </c>
      <c r="AL166" s="929">
        <v>151.15</v>
      </c>
      <c r="AM166" s="929">
        <v>158.72999999999999</v>
      </c>
      <c r="AN166" s="929">
        <v>166.17</v>
      </c>
      <c r="AO166" s="929">
        <v>173.75</v>
      </c>
      <c r="AP166" s="929">
        <v>181.33</v>
      </c>
      <c r="AQ166" s="929">
        <v>188.91</v>
      </c>
      <c r="AR166" s="929">
        <v>196.49</v>
      </c>
    </row>
    <row r="167" spans="1:44">
      <c r="A167" s="1538"/>
      <c r="B167" s="930">
        <v>2.7</v>
      </c>
      <c r="C167" s="931">
        <f>(Y167*KFC!$B$19+KFC!$C$19)*KFC!$C$5</f>
        <v>55.91</v>
      </c>
      <c r="D167" s="932">
        <f>(Z167*KFC!$B$19+KFC!$C$19)*KFC!$C$5</f>
        <v>63.92</v>
      </c>
      <c r="E167" s="932">
        <f>(AA167*KFC!$B$19+KFC!$C$19)*KFC!$C$5</f>
        <v>71.36</v>
      </c>
      <c r="F167" s="932">
        <f>(AB167*KFC!$B$19+KFC!$C$19)*KFC!$C$5</f>
        <v>79.22</v>
      </c>
      <c r="G167" s="932">
        <f>(AC167*KFC!$B$19+KFC!$C$19)*KFC!$C$5</f>
        <v>86.66</v>
      </c>
      <c r="H167" s="932">
        <f>(AD167*KFC!$B$19+KFC!$C$19)*KFC!$C$5</f>
        <v>93.95</v>
      </c>
      <c r="I167" s="932">
        <f>(AE167*KFC!$B$19+KFC!$C$19)*KFC!$C$5</f>
        <v>101.96</v>
      </c>
      <c r="J167" s="932">
        <f>(AF167*KFC!$B$19+KFC!$C$19)*KFC!$C$5</f>
        <v>109.54</v>
      </c>
      <c r="K167" s="932">
        <f>(AG167*KFC!$B$19+KFC!$C$19)*KFC!$C$5</f>
        <v>117.55</v>
      </c>
      <c r="L167" s="932">
        <f>(AH167*KFC!$B$19+KFC!$C$19)*KFC!$C$5</f>
        <v>124.84</v>
      </c>
      <c r="M167" s="932">
        <f>(AI167*KFC!$B$19+KFC!$C$19)*KFC!$C$5</f>
        <v>132.85</v>
      </c>
      <c r="N167" s="932">
        <f>(AJ167*KFC!$B$19+KFC!$C$19)*KFC!$C$5</f>
        <v>140.28</v>
      </c>
      <c r="O167" s="932">
        <f>(AK167*KFC!$B$19+KFC!$C$19)*KFC!$C$5</f>
        <v>147.58000000000001</v>
      </c>
      <c r="P167" s="932">
        <f>(AL167*KFC!$B$19+KFC!$C$19)*KFC!$C$5</f>
        <v>155.44</v>
      </c>
      <c r="Q167" s="932">
        <f>(AM167*KFC!$B$19+KFC!$C$19)*KFC!$C$5</f>
        <v>163.31</v>
      </c>
      <c r="R167" s="932">
        <f>(AN167*KFC!$B$19+KFC!$C$19)*KFC!$C$5</f>
        <v>171.17</v>
      </c>
      <c r="S167" s="932">
        <f>(AO167*KFC!$B$19+KFC!$C$19)*KFC!$C$5</f>
        <v>179.04</v>
      </c>
      <c r="T167" s="932">
        <f>(AP167*KFC!$B$19+KFC!$C$19)*KFC!$C$5</f>
        <v>186.91</v>
      </c>
      <c r="U167" s="943">
        <f>(AQ167*KFC!$B$19+KFC!$C$19)*KFC!$C$5</f>
        <v>194.78</v>
      </c>
      <c r="V167" s="928"/>
      <c r="X167" s="923">
        <v>2.7</v>
      </c>
      <c r="Y167" s="929">
        <v>55.91</v>
      </c>
      <c r="Z167" s="929">
        <v>63.92</v>
      </c>
      <c r="AA167" s="929">
        <v>71.36</v>
      </c>
      <c r="AB167" s="929">
        <v>79.22</v>
      </c>
      <c r="AC167" s="929">
        <v>86.66</v>
      </c>
      <c r="AD167" s="929">
        <v>93.95</v>
      </c>
      <c r="AE167" s="929">
        <v>101.96</v>
      </c>
      <c r="AF167" s="929">
        <v>109.54</v>
      </c>
      <c r="AG167" s="929">
        <v>117.55</v>
      </c>
      <c r="AH167" s="929">
        <v>124.84</v>
      </c>
      <c r="AI167" s="929">
        <v>132.85</v>
      </c>
      <c r="AJ167" s="929">
        <v>140.28</v>
      </c>
      <c r="AK167" s="929">
        <v>147.58000000000001</v>
      </c>
      <c r="AL167" s="929">
        <v>155.44</v>
      </c>
      <c r="AM167" s="929">
        <v>163.31</v>
      </c>
      <c r="AN167" s="929">
        <v>171.17</v>
      </c>
      <c r="AO167" s="929">
        <v>179.04</v>
      </c>
      <c r="AP167" s="929">
        <v>186.91</v>
      </c>
      <c r="AQ167" s="929">
        <v>194.78</v>
      </c>
      <c r="AR167" s="929">
        <v>202.65</v>
      </c>
    </row>
    <row r="168" spans="1:44">
      <c r="A168" s="1538"/>
      <c r="B168" s="930">
        <v>2.8</v>
      </c>
      <c r="C168" s="931">
        <f>(Y168*KFC!$B$19+KFC!$C$19)*KFC!$C$5</f>
        <v>56.91</v>
      </c>
      <c r="D168" s="932">
        <f>(Z168*KFC!$B$19+KFC!$C$19)*KFC!$C$5</f>
        <v>65.349999999999994</v>
      </c>
      <c r="E168" s="932">
        <f>(AA168*KFC!$B$19+KFC!$C$19)*KFC!$C$5</f>
        <v>73.08</v>
      </c>
      <c r="F168" s="932">
        <f>(AB168*KFC!$B$19+KFC!$C$19)*KFC!$C$5</f>
        <v>81.36</v>
      </c>
      <c r="G168" s="932">
        <f>(AC168*KFC!$B$19+KFC!$C$19)*KFC!$C$5</f>
        <v>88.81</v>
      </c>
      <c r="H168" s="932">
        <f>(AD168*KFC!$B$19+KFC!$C$19)*KFC!$C$5</f>
        <v>96.09</v>
      </c>
      <c r="I168" s="932">
        <f>(AE168*KFC!$B$19+KFC!$C$19)*KFC!$C$5</f>
        <v>104.53</v>
      </c>
      <c r="J168" s="932">
        <f>(AF168*KFC!$B$19+KFC!$C$19)*KFC!$C$5</f>
        <v>112.4</v>
      </c>
      <c r="K168" s="932">
        <f>(AG168*KFC!$B$19+KFC!$C$19)*KFC!$C$5</f>
        <v>120.84</v>
      </c>
      <c r="L168" s="932">
        <f>(AH168*KFC!$B$19+KFC!$C$19)*KFC!$C$5</f>
        <v>128.27000000000001</v>
      </c>
      <c r="M168" s="932">
        <f>(AI168*KFC!$B$19+KFC!$C$19)*KFC!$C$5</f>
        <v>136.57</v>
      </c>
      <c r="N168" s="932">
        <f>(AJ168*KFC!$B$19+KFC!$C$19)*KFC!$C$5</f>
        <v>144.28</v>
      </c>
      <c r="O168" s="932">
        <f>(AK168*KFC!$B$19+KFC!$C$19)*KFC!$C$5</f>
        <v>151.59</v>
      </c>
      <c r="P168" s="932">
        <f>(AL168*KFC!$B$19+KFC!$C$19)*KFC!$C$5</f>
        <v>159.72999999999999</v>
      </c>
      <c r="Q168" s="932">
        <f>(AM168*KFC!$B$19+KFC!$C$19)*KFC!$C$5</f>
        <v>167.89</v>
      </c>
      <c r="R168" s="932">
        <f>(AN168*KFC!$B$19+KFC!$C$19)*KFC!$C$5</f>
        <v>176.17</v>
      </c>
      <c r="S168" s="932">
        <f>(AO168*KFC!$B$19+KFC!$C$19)*KFC!$C$5</f>
        <v>184.33</v>
      </c>
      <c r="T168" s="932">
        <f>(AP168*KFC!$B$19+KFC!$C$19)*KFC!$C$5</f>
        <v>192.49</v>
      </c>
      <c r="U168" s="943">
        <f>(AQ168*KFC!$B$19+KFC!$C$19)*KFC!$C$5</f>
        <v>200.65</v>
      </c>
      <c r="V168" s="928"/>
      <c r="X168" s="923">
        <v>2.8</v>
      </c>
      <c r="Y168" s="929">
        <v>56.91</v>
      </c>
      <c r="Z168" s="929">
        <v>65.349999999999994</v>
      </c>
      <c r="AA168" s="929">
        <v>73.08</v>
      </c>
      <c r="AB168" s="929">
        <v>81.36</v>
      </c>
      <c r="AC168" s="929">
        <v>88.81</v>
      </c>
      <c r="AD168" s="929">
        <v>96.09</v>
      </c>
      <c r="AE168" s="929">
        <v>104.53</v>
      </c>
      <c r="AF168" s="929">
        <v>112.4</v>
      </c>
      <c r="AG168" s="929">
        <v>120.84</v>
      </c>
      <c r="AH168" s="929">
        <v>128.27000000000001</v>
      </c>
      <c r="AI168" s="929">
        <v>136.57</v>
      </c>
      <c r="AJ168" s="929">
        <v>144.28</v>
      </c>
      <c r="AK168" s="929">
        <v>151.59</v>
      </c>
      <c r="AL168" s="929">
        <v>159.72999999999999</v>
      </c>
      <c r="AM168" s="929">
        <v>167.89</v>
      </c>
      <c r="AN168" s="929">
        <v>176.17</v>
      </c>
      <c r="AO168" s="929">
        <v>184.33</v>
      </c>
      <c r="AP168" s="929">
        <v>192.49</v>
      </c>
      <c r="AQ168" s="929">
        <v>200.65</v>
      </c>
      <c r="AR168" s="929">
        <v>208.81</v>
      </c>
    </row>
    <row r="169" spans="1:44">
      <c r="A169" s="1538"/>
      <c r="B169" s="930">
        <v>2.9</v>
      </c>
      <c r="C169" s="931">
        <f>(Y169*KFC!$B$19+KFC!$C$19)*KFC!$C$5</f>
        <v>57.91</v>
      </c>
      <c r="D169" s="932">
        <f>(Z169*KFC!$B$19+KFC!$C$19)*KFC!$C$5</f>
        <v>66.78</v>
      </c>
      <c r="E169" s="932">
        <f>(AA169*KFC!$B$19+KFC!$C$19)*KFC!$C$5</f>
        <v>74.8</v>
      </c>
      <c r="F169" s="932">
        <f>(AB169*KFC!$B$19+KFC!$C$19)*KFC!$C$5</f>
        <v>83.5</v>
      </c>
      <c r="G169" s="932">
        <f>(AC169*KFC!$B$19+KFC!$C$19)*KFC!$C$5</f>
        <v>90.96</v>
      </c>
      <c r="H169" s="932">
        <f>(AD169*KFC!$B$19+KFC!$C$19)*KFC!$C$5</f>
        <v>98.23</v>
      </c>
      <c r="I169" s="932">
        <f>(AE169*KFC!$B$19+KFC!$C$19)*KFC!$C$5</f>
        <v>107.1</v>
      </c>
      <c r="J169" s="932">
        <f>(AF169*KFC!$B$19+KFC!$C$19)*KFC!$C$5</f>
        <v>115.26</v>
      </c>
      <c r="K169" s="932">
        <f>(AG169*KFC!$B$19+KFC!$C$19)*KFC!$C$5</f>
        <v>124.13</v>
      </c>
      <c r="L169" s="932">
        <f>(AH169*KFC!$B$19+KFC!$C$19)*KFC!$C$5</f>
        <v>131.69999999999999</v>
      </c>
      <c r="M169" s="932">
        <f>(AI169*KFC!$B$19+KFC!$C$19)*KFC!$C$5</f>
        <v>140.29</v>
      </c>
      <c r="N169" s="932">
        <f>(AJ169*KFC!$B$19+KFC!$C$19)*KFC!$C$5</f>
        <v>148.28</v>
      </c>
      <c r="O169" s="932">
        <f>(AK169*KFC!$B$19+KFC!$C$19)*KFC!$C$5</f>
        <v>155.6</v>
      </c>
      <c r="P169" s="932">
        <f>(AL169*KFC!$B$19+KFC!$C$19)*KFC!$C$5</f>
        <v>164.02</v>
      </c>
      <c r="Q169" s="932">
        <f>(AM169*KFC!$B$19+KFC!$C$19)*KFC!$C$5</f>
        <v>172.47</v>
      </c>
      <c r="R169" s="932">
        <f>(AN169*KFC!$B$19+KFC!$C$19)*KFC!$C$5</f>
        <v>181.17</v>
      </c>
      <c r="S169" s="932">
        <f>(AO169*KFC!$B$19+KFC!$C$19)*KFC!$C$5</f>
        <v>189.62</v>
      </c>
      <c r="T169" s="932">
        <f>(AP169*KFC!$B$19+KFC!$C$19)*KFC!$C$5</f>
        <v>198.07</v>
      </c>
      <c r="U169" s="943">
        <f>(AQ169*KFC!$B$19+KFC!$C$19)*KFC!$C$5</f>
        <v>206.52</v>
      </c>
      <c r="V169" s="928"/>
      <c r="X169" s="923">
        <v>2.9</v>
      </c>
      <c r="Y169" s="929">
        <v>57.91</v>
      </c>
      <c r="Z169" s="929">
        <v>66.78</v>
      </c>
      <c r="AA169" s="929">
        <v>74.8</v>
      </c>
      <c r="AB169" s="929">
        <v>83.5</v>
      </c>
      <c r="AC169" s="929">
        <v>90.96</v>
      </c>
      <c r="AD169" s="929">
        <v>98.23</v>
      </c>
      <c r="AE169" s="929">
        <v>107.1</v>
      </c>
      <c r="AF169" s="929">
        <v>115.26</v>
      </c>
      <c r="AG169" s="929">
        <v>124.13</v>
      </c>
      <c r="AH169" s="929">
        <v>131.69999999999999</v>
      </c>
      <c r="AI169" s="929">
        <v>140.29</v>
      </c>
      <c r="AJ169" s="929">
        <v>148.28</v>
      </c>
      <c r="AK169" s="929">
        <v>155.6</v>
      </c>
      <c r="AL169" s="929">
        <v>164.02</v>
      </c>
      <c r="AM169" s="929">
        <v>172.47</v>
      </c>
      <c r="AN169" s="929">
        <v>181.17</v>
      </c>
      <c r="AO169" s="929">
        <v>189.62</v>
      </c>
      <c r="AP169" s="929">
        <v>198.07</v>
      </c>
      <c r="AQ169" s="929">
        <v>206.52</v>
      </c>
      <c r="AR169" s="929">
        <v>214.97</v>
      </c>
    </row>
    <row r="170" spans="1:44">
      <c r="A170" s="1538"/>
      <c r="B170" s="930">
        <v>3</v>
      </c>
      <c r="C170" s="931">
        <f>(Y170*KFC!$B$19+KFC!$C$19)*KFC!$C$5</f>
        <v>58.91</v>
      </c>
      <c r="D170" s="932">
        <f>(Z170*KFC!$B$19+KFC!$C$19)*KFC!$C$5</f>
        <v>68.209999999999994</v>
      </c>
      <c r="E170" s="932">
        <f>(AA170*KFC!$B$19+KFC!$C$19)*KFC!$C$5</f>
        <v>76.52</v>
      </c>
      <c r="F170" s="932">
        <f>(AB170*KFC!$B$19+KFC!$C$19)*KFC!$C$5</f>
        <v>85.64</v>
      </c>
      <c r="G170" s="932">
        <f>(AC170*KFC!$B$19+KFC!$C$19)*KFC!$C$5</f>
        <v>93.11</v>
      </c>
      <c r="H170" s="932">
        <f>(AD170*KFC!$B$19+KFC!$C$19)*KFC!$C$5</f>
        <v>100.37</v>
      </c>
      <c r="I170" s="932">
        <f>(AE170*KFC!$B$19+KFC!$C$19)*KFC!$C$5</f>
        <v>109.67</v>
      </c>
      <c r="J170" s="932">
        <f>(AF170*KFC!$B$19+KFC!$C$19)*KFC!$C$5</f>
        <v>118.12</v>
      </c>
      <c r="K170" s="932">
        <f>(AG170*KFC!$B$19+KFC!$C$19)*KFC!$C$5</f>
        <v>127.42</v>
      </c>
      <c r="L170" s="932">
        <f>(AH170*KFC!$B$19+KFC!$C$19)*KFC!$C$5</f>
        <v>135.13</v>
      </c>
      <c r="M170" s="932">
        <f>(AI170*KFC!$B$19+KFC!$C$19)*KFC!$C$5</f>
        <v>144.01</v>
      </c>
      <c r="N170" s="932">
        <f>(AJ170*KFC!$B$19+KFC!$C$19)*KFC!$C$5</f>
        <v>152.28</v>
      </c>
      <c r="O170" s="932">
        <f>(AK170*KFC!$B$19+KFC!$C$19)*KFC!$C$5</f>
        <v>159.61000000000001</v>
      </c>
      <c r="P170" s="932">
        <f>(AL170*KFC!$B$19+KFC!$C$19)*KFC!$C$5</f>
        <v>168.31</v>
      </c>
      <c r="Q170" s="932">
        <f>(AM170*KFC!$B$19+KFC!$C$19)*KFC!$C$5</f>
        <v>177.05</v>
      </c>
      <c r="R170" s="932">
        <f>(AN170*KFC!$B$19+KFC!$C$19)*KFC!$C$5</f>
        <v>186.17</v>
      </c>
      <c r="S170" s="932">
        <f>(AO170*KFC!$B$19+KFC!$C$19)*KFC!$C$5</f>
        <v>194.91</v>
      </c>
      <c r="T170" s="932">
        <f>(AP170*KFC!$B$19+KFC!$C$19)*KFC!$C$5</f>
        <v>203.65</v>
      </c>
      <c r="U170" s="943">
        <f>(AQ170*KFC!$B$19+KFC!$C$19)*KFC!$C$5</f>
        <v>212.39</v>
      </c>
      <c r="V170" s="928"/>
      <c r="X170" s="923">
        <v>3</v>
      </c>
      <c r="Y170" s="929">
        <v>58.91</v>
      </c>
      <c r="Z170" s="929">
        <v>68.209999999999994</v>
      </c>
      <c r="AA170" s="929">
        <v>76.52</v>
      </c>
      <c r="AB170" s="929">
        <v>85.64</v>
      </c>
      <c r="AC170" s="929">
        <v>93.11</v>
      </c>
      <c r="AD170" s="929">
        <v>100.37</v>
      </c>
      <c r="AE170" s="929">
        <v>109.67</v>
      </c>
      <c r="AF170" s="929">
        <v>118.12</v>
      </c>
      <c r="AG170" s="929">
        <v>127.42</v>
      </c>
      <c r="AH170" s="929">
        <v>135.13</v>
      </c>
      <c r="AI170" s="929">
        <v>144.01</v>
      </c>
      <c r="AJ170" s="929">
        <v>152.28</v>
      </c>
      <c r="AK170" s="929">
        <v>159.61000000000001</v>
      </c>
      <c r="AL170" s="929">
        <v>168.31</v>
      </c>
      <c r="AM170" s="929">
        <v>177.05</v>
      </c>
      <c r="AN170" s="929">
        <v>186.17</v>
      </c>
      <c r="AO170" s="929">
        <v>194.91</v>
      </c>
      <c r="AP170" s="929">
        <v>203.65</v>
      </c>
      <c r="AQ170" s="929">
        <v>212.39</v>
      </c>
      <c r="AR170" s="929">
        <v>221.13</v>
      </c>
    </row>
    <row r="171" spans="1:44">
      <c r="A171" s="1538"/>
      <c r="B171" s="930">
        <v>3.1</v>
      </c>
      <c r="C171" s="931">
        <f>(Y171*KFC!$B$19+KFC!$C$19)*KFC!$C$5</f>
        <v>59.91</v>
      </c>
      <c r="D171" s="932">
        <f>(Z171*KFC!$B$19+KFC!$C$19)*KFC!$C$5</f>
        <v>69.64</v>
      </c>
      <c r="E171" s="932">
        <f>(AA171*KFC!$B$19+KFC!$C$19)*KFC!$C$5</f>
        <v>78.239999999999995</v>
      </c>
      <c r="F171" s="932">
        <f>(AB171*KFC!$B$19+KFC!$C$19)*KFC!$C$5</f>
        <v>87.78</v>
      </c>
      <c r="G171" s="932">
        <f>(AC171*KFC!$B$19+KFC!$C$19)*KFC!$C$5</f>
        <v>95.26</v>
      </c>
      <c r="H171" s="932">
        <f>(AD171*KFC!$B$19+KFC!$C$19)*KFC!$C$5</f>
        <v>102.51</v>
      </c>
      <c r="I171" s="932">
        <f>(AE171*KFC!$B$19+KFC!$C$19)*KFC!$C$5</f>
        <v>112.24</v>
      </c>
      <c r="J171" s="932">
        <f>(AF171*KFC!$B$19+KFC!$C$19)*KFC!$C$5</f>
        <v>120.98</v>
      </c>
      <c r="K171" s="932">
        <f>(AG171*KFC!$B$19+KFC!$C$19)*KFC!$C$5</f>
        <v>130.71</v>
      </c>
      <c r="L171" s="932">
        <f>(AH171*KFC!$B$19+KFC!$C$19)*KFC!$C$5</f>
        <v>138.56</v>
      </c>
      <c r="M171" s="932">
        <f>(AI171*KFC!$B$19+KFC!$C$19)*KFC!$C$5</f>
        <v>147.72999999999999</v>
      </c>
      <c r="N171" s="932">
        <f>(AJ171*KFC!$B$19+KFC!$C$19)*KFC!$C$5</f>
        <v>156.28</v>
      </c>
      <c r="O171" s="932">
        <f>(AK171*KFC!$B$19+KFC!$C$19)*KFC!$C$5</f>
        <v>163.62</v>
      </c>
      <c r="P171" s="932">
        <f>(AL171*KFC!$B$19+KFC!$C$19)*KFC!$C$5</f>
        <v>172.6</v>
      </c>
      <c r="Q171" s="932">
        <f>(AM171*KFC!$B$19+KFC!$C$19)*KFC!$C$5</f>
        <v>181.63</v>
      </c>
      <c r="R171" s="932">
        <f>(AN171*KFC!$B$19+KFC!$C$19)*KFC!$C$5</f>
        <v>191.17</v>
      </c>
      <c r="S171" s="932">
        <f>(AO171*KFC!$B$19+KFC!$C$19)*KFC!$C$5</f>
        <v>200.2</v>
      </c>
      <c r="T171" s="932">
        <f>(AP171*KFC!$B$19+KFC!$C$19)*KFC!$C$5</f>
        <v>209.23</v>
      </c>
      <c r="U171" s="943">
        <f>(AQ171*KFC!$B$19+KFC!$C$19)*KFC!$C$5</f>
        <v>218.26</v>
      </c>
      <c r="V171" s="928"/>
      <c r="X171" s="923">
        <v>3.1</v>
      </c>
      <c r="Y171" s="929">
        <v>59.91</v>
      </c>
      <c r="Z171" s="929">
        <v>69.64</v>
      </c>
      <c r="AA171" s="929">
        <v>78.239999999999995</v>
      </c>
      <c r="AB171" s="929">
        <v>87.78</v>
      </c>
      <c r="AC171" s="929">
        <v>95.26</v>
      </c>
      <c r="AD171" s="929">
        <v>102.51</v>
      </c>
      <c r="AE171" s="929">
        <v>112.24</v>
      </c>
      <c r="AF171" s="929">
        <v>120.98</v>
      </c>
      <c r="AG171" s="929">
        <v>130.71</v>
      </c>
      <c r="AH171" s="929">
        <v>138.56</v>
      </c>
      <c r="AI171" s="929">
        <v>147.72999999999999</v>
      </c>
      <c r="AJ171" s="929">
        <v>156.28</v>
      </c>
      <c r="AK171" s="929">
        <v>163.62</v>
      </c>
      <c r="AL171" s="929">
        <v>172.6</v>
      </c>
      <c r="AM171" s="929">
        <v>181.63</v>
      </c>
      <c r="AN171" s="929">
        <v>191.17</v>
      </c>
      <c r="AO171" s="929">
        <v>200.2</v>
      </c>
      <c r="AP171" s="929">
        <v>209.23</v>
      </c>
      <c r="AQ171" s="929">
        <v>218.26</v>
      </c>
      <c r="AR171" s="929">
        <v>227.29</v>
      </c>
    </row>
    <row r="172" spans="1:44">
      <c r="A172" s="1538"/>
      <c r="B172" s="930">
        <v>3.2</v>
      </c>
      <c r="C172" s="931">
        <f>(Y172*KFC!$B$19+KFC!$C$19)*KFC!$C$5</f>
        <v>60.91</v>
      </c>
      <c r="D172" s="932">
        <f>(Z172*KFC!$B$19+KFC!$C$19)*KFC!$C$5</f>
        <v>71.069999999999993</v>
      </c>
      <c r="E172" s="932">
        <f>(AA172*KFC!$B$19+KFC!$C$19)*KFC!$C$5</f>
        <v>79.959999999999994</v>
      </c>
      <c r="F172" s="932">
        <f>(AB172*KFC!$B$19+KFC!$C$19)*KFC!$C$5</f>
        <v>89.92</v>
      </c>
      <c r="G172" s="932">
        <f>(AC172*KFC!$B$19+KFC!$C$19)*KFC!$C$5</f>
        <v>97.41</v>
      </c>
      <c r="H172" s="932">
        <f>(AD172*KFC!$B$19+KFC!$C$19)*KFC!$C$5</f>
        <v>104.65</v>
      </c>
      <c r="I172" s="932">
        <f>(AE172*KFC!$B$19+KFC!$C$19)*KFC!$C$5</f>
        <v>114.81</v>
      </c>
      <c r="J172" s="932">
        <f>(AF172*KFC!$B$19+KFC!$C$19)*KFC!$C$5</f>
        <v>123.84</v>
      </c>
      <c r="K172" s="932">
        <f>(AG172*KFC!$B$19+KFC!$C$19)*KFC!$C$5</f>
        <v>134</v>
      </c>
      <c r="L172" s="932">
        <f>(AH172*KFC!$B$19+KFC!$C$19)*KFC!$C$5</f>
        <v>141.99</v>
      </c>
      <c r="M172" s="932">
        <f>(AI172*KFC!$B$19+KFC!$C$19)*KFC!$C$5</f>
        <v>151.44999999999999</v>
      </c>
      <c r="N172" s="932">
        <f>(AJ172*KFC!$B$19+KFC!$C$19)*KFC!$C$5</f>
        <v>160.28</v>
      </c>
      <c r="O172" s="932">
        <f>(AK172*KFC!$B$19+KFC!$C$19)*KFC!$C$5</f>
        <v>167.63</v>
      </c>
      <c r="P172" s="932">
        <f>(AL172*KFC!$B$19+KFC!$C$19)*KFC!$C$5</f>
        <v>176.89</v>
      </c>
      <c r="Q172" s="932">
        <f>(AM172*KFC!$B$19+KFC!$C$19)*KFC!$C$5</f>
        <v>186.21</v>
      </c>
      <c r="R172" s="932">
        <f>(AN172*KFC!$B$19+KFC!$C$19)*KFC!$C$5</f>
        <v>196.17</v>
      </c>
      <c r="S172" s="932">
        <f>(AO172*KFC!$B$19+KFC!$C$19)*KFC!$C$5</f>
        <v>205.49</v>
      </c>
      <c r="T172" s="932">
        <f>(AP172*KFC!$B$19+KFC!$C$19)*KFC!$C$5</f>
        <v>214.81</v>
      </c>
      <c r="U172" s="943">
        <f>(AQ172*KFC!$B$19+KFC!$C$19)*KFC!$C$5</f>
        <v>224.13</v>
      </c>
      <c r="V172" s="928"/>
      <c r="X172" s="923">
        <v>3.2</v>
      </c>
      <c r="Y172" s="929">
        <v>60.91</v>
      </c>
      <c r="Z172" s="929">
        <v>71.069999999999993</v>
      </c>
      <c r="AA172" s="929">
        <v>79.959999999999994</v>
      </c>
      <c r="AB172" s="929">
        <v>89.92</v>
      </c>
      <c r="AC172" s="929">
        <v>97.41</v>
      </c>
      <c r="AD172" s="929">
        <v>104.65</v>
      </c>
      <c r="AE172" s="929">
        <v>114.81</v>
      </c>
      <c r="AF172" s="929">
        <v>123.84</v>
      </c>
      <c r="AG172" s="929">
        <v>134</v>
      </c>
      <c r="AH172" s="929">
        <v>141.99</v>
      </c>
      <c r="AI172" s="929">
        <v>151.44999999999999</v>
      </c>
      <c r="AJ172" s="929">
        <v>160.28</v>
      </c>
      <c r="AK172" s="929">
        <v>167.63</v>
      </c>
      <c r="AL172" s="929">
        <v>176.89</v>
      </c>
      <c r="AM172" s="929">
        <v>186.21</v>
      </c>
      <c r="AN172" s="929">
        <v>196.17</v>
      </c>
      <c r="AO172" s="929">
        <v>205.49</v>
      </c>
      <c r="AP172" s="929">
        <v>214.81</v>
      </c>
      <c r="AQ172" s="929">
        <v>224.13</v>
      </c>
      <c r="AR172" s="929">
        <v>233.45</v>
      </c>
    </row>
    <row r="173" spans="1:44">
      <c r="A173" s="1538"/>
      <c r="B173" s="930">
        <v>3.3</v>
      </c>
      <c r="C173" s="931">
        <f>(Y173*KFC!$B$19+KFC!$C$19)*KFC!$C$5</f>
        <v>61.91</v>
      </c>
      <c r="D173" s="932">
        <f>(Z173*KFC!$B$19+KFC!$C$19)*KFC!$C$5</f>
        <v>72.5</v>
      </c>
      <c r="E173" s="932">
        <f>(AA173*KFC!$B$19+KFC!$C$19)*KFC!$C$5</f>
        <v>81.680000000000007</v>
      </c>
      <c r="F173" s="932">
        <f>(AB173*KFC!$B$19+KFC!$C$19)*KFC!$C$5</f>
        <v>92.06</v>
      </c>
      <c r="G173" s="932">
        <f>(AC173*KFC!$B$19+KFC!$C$19)*KFC!$C$5</f>
        <v>99.56</v>
      </c>
      <c r="H173" s="932">
        <f>(AD173*KFC!$B$19+KFC!$C$19)*KFC!$C$5</f>
        <v>106.79</v>
      </c>
      <c r="I173" s="932">
        <f>(AE173*KFC!$B$19+KFC!$C$19)*KFC!$C$5</f>
        <v>117.38</v>
      </c>
      <c r="J173" s="932">
        <f>(AF173*KFC!$B$19+KFC!$C$19)*KFC!$C$5</f>
        <v>126.7</v>
      </c>
      <c r="K173" s="932">
        <f>(AG173*KFC!$B$19+KFC!$C$19)*KFC!$C$5</f>
        <v>137.29</v>
      </c>
      <c r="L173" s="932">
        <f>(AH173*KFC!$B$19+KFC!$C$19)*KFC!$C$5</f>
        <v>145.41999999999999</v>
      </c>
      <c r="M173" s="932">
        <f>(AI173*KFC!$B$19+KFC!$C$19)*KFC!$C$5</f>
        <v>155.16999999999999</v>
      </c>
      <c r="N173" s="932">
        <f>(AJ173*KFC!$B$19+KFC!$C$19)*KFC!$C$5</f>
        <v>164.28</v>
      </c>
      <c r="O173" s="932">
        <f>(AK173*KFC!$B$19+KFC!$C$19)*KFC!$C$5</f>
        <v>171.64</v>
      </c>
      <c r="P173" s="932">
        <f>(AL173*KFC!$B$19+KFC!$C$19)*KFC!$C$5</f>
        <v>181.18</v>
      </c>
      <c r="Q173" s="932">
        <f>(AM173*KFC!$B$19+KFC!$C$19)*KFC!$C$5</f>
        <v>190.79</v>
      </c>
      <c r="R173" s="932">
        <f>(AN173*KFC!$B$19+KFC!$C$19)*KFC!$C$5</f>
        <v>201.17</v>
      </c>
      <c r="S173" s="932">
        <f>(AO173*KFC!$B$19+KFC!$C$19)*KFC!$C$5</f>
        <v>210.78</v>
      </c>
      <c r="T173" s="932">
        <f>(AP173*KFC!$B$19+KFC!$C$19)*KFC!$C$5</f>
        <v>220.39</v>
      </c>
      <c r="U173" s="943">
        <f>(AQ173*KFC!$B$19+KFC!$C$19)*KFC!$C$5</f>
        <v>230</v>
      </c>
      <c r="V173" s="928"/>
      <c r="X173" s="923">
        <v>3.3</v>
      </c>
      <c r="Y173" s="929">
        <v>61.91</v>
      </c>
      <c r="Z173" s="929">
        <v>72.5</v>
      </c>
      <c r="AA173" s="929">
        <v>81.680000000000007</v>
      </c>
      <c r="AB173" s="929">
        <v>92.06</v>
      </c>
      <c r="AC173" s="929">
        <v>99.56</v>
      </c>
      <c r="AD173" s="929">
        <v>106.79</v>
      </c>
      <c r="AE173" s="929">
        <v>117.38</v>
      </c>
      <c r="AF173" s="929">
        <v>126.7</v>
      </c>
      <c r="AG173" s="929">
        <v>137.29</v>
      </c>
      <c r="AH173" s="929">
        <v>145.41999999999999</v>
      </c>
      <c r="AI173" s="929">
        <v>155.16999999999999</v>
      </c>
      <c r="AJ173" s="929">
        <v>164.28</v>
      </c>
      <c r="AK173" s="929">
        <v>171.64</v>
      </c>
      <c r="AL173" s="929">
        <v>181.18</v>
      </c>
      <c r="AM173" s="929">
        <v>190.79</v>
      </c>
      <c r="AN173" s="929">
        <v>201.17</v>
      </c>
      <c r="AO173" s="929">
        <v>210.78</v>
      </c>
      <c r="AP173" s="929">
        <v>220.39</v>
      </c>
      <c r="AQ173" s="929">
        <v>230</v>
      </c>
      <c r="AR173" s="929">
        <v>239.61</v>
      </c>
    </row>
    <row r="174" spans="1:44">
      <c r="A174" s="1538"/>
      <c r="B174" s="930">
        <v>3.4</v>
      </c>
      <c r="C174" s="931">
        <f>(Y174*KFC!$B$19+KFC!$C$19)*KFC!$C$5</f>
        <v>62.91</v>
      </c>
      <c r="D174" s="932">
        <f>(Z174*KFC!$B$19+KFC!$C$19)*KFC!$C$5</f>
        <v>73.930000000000007</v>
      </c>
      <c r="E174" s="932">
        <f>(AA174*KFC!$B$19+KFC!$C$19)*KFC!$C$5</f>
        <v>83.4</v>
      </c>
      <c r="F174" s="932">
        <f>(AB174*KFC!$B$19+KFC!$C$19)*KFC!$C$5</f>
        <v>94.2</v>
      </c>
      <c r="G174" s="932">
        <f>(AC174*KFC!$B$19+KFC!$C$19)*KFC!$C$5</f>
        <v>101.71</v>
      </c>
      <c r="H174" s="932">
        <f>(AD174*KFC!$B$19+KFC!$C$19)*KFC!$C$5</f>
        <v>108.93</v>
      </c>
      <c r="I174" s="932">
        <f>(AE174*KFC!$B$19+KFC!$C$19)*KFC!$C$5</f>
        <v>119.95</v>
      </c>
      <c r="J174" s="932">
        <f>(AF174*KFC!$B$19+KFC!$C$19)*KFC!$C$5</f>
        <v>129.56</v>
      </c>
      <c r="K174" s="932">
        <f>(AG174*KFC!$B$19+KFC!$C$19)*KFC!$C$5</f>
        <v>140.58000000000001</v>
      </c>
      <c r="L174" s="932">
        <f>(AH174*KFC!$B$19+KFC!$C$19)*KFC!$C$5</f>
        <v>148.85</v>
      </c>
      <c r="M174" s="932">
        <f>(AI174*KFC!$B$19+KFC!$C$19)*KFC!$C$5</f>
        <v>158.88999999999999</v>
      </c>
      <c r="N174" s="932">
        <f>(AJ174*KFC!$B$19+KFC!$C$19)*KFC!$C$5</f>
        <v>168.28</v>
      </c>
      <c r="O174" s="932">
        <f>(AK174*KFC!$B$19+KFC!$C$19)*KFC!$C$5</f>
        <v>175.65</v>
      </c>
      <c r="P174" s="932">
        <f>(AL174*KFC!$B$19+KFC!$C$19)*KFC!$C$5</f>
        <v>185.47</v>
      </c>
      <c r="Q174" s="932">
        <f>(AM174*KFC!$B$19+KFC!$C$19)*KFC!$C$5</f>
        <v>195.37</v>
      </c>
      <c r="R174" s="932">
        <f>(AN174*KFC!$B$19+KFC!$C$19)*KFC!$C$5</f>
        <v>206.17</v>
      </c>
      <c r="S174" s="932">
        <f>(AO174*KFC!$B$19+KFC!$C$19)*KFC!$C$5</f>
        <v>216.07</v>
      </c>
      <c r="T174" s="932">
        <f>(AP174*KFC!$B$19+KFC!$C$19)*KFC!$C$5</f>
        <v>225.97</v>
      </c>
      <c r="U174" s="943">
        <f>(AQ174*KFC!$B$19+KFC!$C$19)*KFC!$C$5</f>
        <v>235.87</v>
      </c>
      <c r="V174" s="928"/>
      <c r="X174" s="923">
        <v>3.4</v>
      </c>
      <c r="Y174" s="929">
        <v>62.91</v>
      </c>
      <c r="Z174" s="929">
        <v>73.930000000000007</v>
      </c>
      <c r="AA174" s="929">
        <v>83.4</v>
      </c>
      <c r="AB174" s="929">
        <v>94.2</v>
      </c>
      <c r="AC174" s="929">
        <v>101.71</v>
      </c>
      <c r="AD174" s="929">
        <v>108.93</v>
      </c>
      <c r="AE174" s="929">
        <v>119.95</v>
      </c>
      <c r="AF174" s="929">
        <v>129.56</v>
      </c>
      <c r="AG174" s="929">
        <v>140.58000000000001</v>
      </c>
      <c r="AH174" s="929">
        <v>148.85</v>
      </c>
      <c r="AI174" s="929">
        <v>158.88999999999999</v>
      </c>
      <c r="AJ174" s="929">
        <v>168.28</v>
      </c>
      <c r="AK174" s="929">
        <v>175.65</v>
      </c>
      <c r="AL174" s="929">
        <v>185.47</v>
      </c>
      <c r="AM174" s="929">
        <v>195.37</v>
      </c>
      <c r="AN174" s="929">
        <v>206.17</v>
      </c>
      <c r="AO174" s="929">
        <v>216.07</v>
      </c>
      <c r="AP174" s="929">
        <v>225.97</v>
      </c>
      <c r="AQ174" s="929">
        <v>235.87</v>
      </c>
      <c r="AR174" s="929">
        <v>245.77</v>
      </c>
    </row>
    <row r="175" spans="1:44" ht="13.8" thickBot="1">
      <c r="A175" s="1539"/>
      <c r="B175" s="934">
        <v>3.5</v>
      </c>
      <c r="C175" s="935">
        <f>(Y175*KFC!$B$19+KFC!$C$19)*KFC!$C$5</f>
        <v>63.91</v>
      </c>
      <c r="D175" s="944">
        <f>(Z175*KFC!$B$19+KFC!$C$19)*KFC!$C$5</f>
        <v>75.36</v>
      </c>
      <c r="E175" s="944">
        <f>(AA175*KFC!$B$19+KFC!$C$19)*KFC!$C$5</f>
        <v>85.12</v>
      </c>
      <c r="F175" s="944">
        <f>(AB175*KFC!$B$19+KFC!$C$19)*KFC!$C$5</f>
        <v>96.34</v>
      </c>
      <c r="G175" s="944">
        <f>(AC175*KFC!$B$19+KFC!$C$19)*KFC!$C$5</f>
        <v>103.86</v>
      </c>
      <c r="H175" s="944">
        <f>(AD175*KFC!$B$19+KFC!$C$19)*KFC!$C$5</f>
        <v>111.07</v>
      </c>
      <c r="I175" s="944">
        <f>(AE175*KFC!$B$19+KFC!$C$19)*KFC!$C$5</f>
        <v>122.52</v>
      </c>
      <c r="J175" s="944">
        <f>(AF175*KFC!$B$19+KFC!$C$19)*KFC!$C$5</f>
        <v>132.41999999999999</v>
      </c>
      <c r="K175" s="944">
        <f>(AG175*KFC!$B$19+KFC!$C$19)*KFC!$C$5</f>
        <v>143.87</v>
      </c>
      <c r="L175" s="944">
        <f>(AH175*KFC!$B$19+KFC!$C$19)*KFC!$C$5</f>
        <v>152.28</v>
      </c>
      <c r="M175" s="944">
        <f>(AI175*KFC!$B$19+KFC!$C$19)*KFC!$C$5</f>
        <v>162.61000000000001</v>
      </c>
      <c r="N175" s="944">
        <f>(AJ175*KFC!$B$19+KFC!$C$19)*KFC!$C$5</f>
        <v>172.28</v>
      </c>
      <c r="O175" s="944">
        <f>(AK175*KFC!$B$19+KFC!$C$19)*KFC!$C$5</f>
        <v>179.66</v>
      </c>
      <c r="P175" s="944">
        <f>(AL175*KFC!$B$19+KFC!$C$19)*KFC!$C$5</f>
        <v>189.76</v>
      </c>
      <c r="Q175" s="944">
        <f>(AM175*KFC!$B$19+KFC!$C$19)*KFC!$C$5</f>
        <v>199.95</v>
      </c>
      <c r="R175" s="944">
        <f>(AN175*KFC!$B$19+KFC!$C$19)*KFC!$C$5</f>
        <v>211.17</v>
      </c>
      <c r="S175" s="944">
        <f>(AO175*KFC!$B$19+KFC!$C$19)*KFC!$C$5</f>
        <v>221.36</v>
      </c>
      <c r="T175" s="944">
        <f>(AP175*KFC!$B$19+KFC!$C$19)*KFC!$C$5</f>
        <v>231.55</v>
      </c>
      <c r="U175" s="945">
        <f>(AQ175*KFC!$B$19+KFC!$C$19)*KFC!$C$5</f>
        <v>241.74</v>
      </c>
      <c r="V175" s="928"/>
      <c r="X175" s="923">
        <v>3.5</v>
      </c>
      <c r="Y175" s="929">
        <v>63.91</v>
      </c>
      <c r="Z175" s="929">
        <v>75.36</v>
      </c>
      <c r="AA175" s="929">
        <v>85.12</v>
      </c>
      <c r="AB175" s="929">
        <v>96.34</v>
      </c>
      <c r="AC175" s="929">
        <v>103.86</v>
      </c>
      <c r="AD175" s="929">
        <v>111.07</v>
      </c>
      <c r="AE175" s="929">
        <v>122.52</v>
      </c>
      <c r="AF175" s="929">
        <v>132.41999999999999</v>
      </c>
      <c r="AG175" s="929">
        <v>143.87</v>
      </c>
      <c r="AH175" s="929">
        <v>152.28</v>
      </c>
      <c r="AI175" s="929">
        <v>162.61000000000001</v>
      </c>
      <c r="AJ175" s="929">
        <v>172.28</v>
      </c>
      <c r="AK175" s="929">
        <v>179.66</v>
      </c>
      <c r="AL175" s="929">
        <v>189.76</v>
      </c>
      <c r="AM175" s="929">
        <v>199.95</v>
      </c>
      <c r="AN175" s="929">
        <v>211.17</v>
      </c>
      <c r="AO175" s="929">
        <v>221.36</v>
      </c>
      <c r="AP175" s="929">
        <v>231.55</v>
      </c>
      <c r="AQ175" s="929">
        <v>241.74</v>
      </c>
      <c r="AR175" s="929">
        <v>251.93</v>
      </c>
    </row>
    <row r="176" spans="1:44" hidden="1">
      <c r="A176" s="938"/>
      <c r="B176" s="921"/>
      <c r="C176" s="928"/>
      <c r="D176" s="928"/>
      <c r="E176" s="928"/>
      <c r="F176" s="928"/>
      <c r="G176" s="928"/>
      <c r="H176" s="928"/>
      <c r="I176" s="928"/>
      <c r="J176" s="928"/>
      <c r="K176" s="928"/>
      <c r="L176" s="928"/>
      <c r="M176" s="928"/>
      <c r="N176" s="928"/>
      <c r="O176" s="928"/>
      <c r="P176" s="928"/>
      <c r="Q176" s="928"/>
      <c r="R176" s="928"/>
      <c r="S176" s="928"/>
      <c r="T176" s="928"/>
      <c r="U176" s="928"/>
      <c r="V176" s="928"/>
      <c r="X176" s="923">
        <v>3.6</v>
      </c>
      <c r="Y176" s="929">
        <v>64.91</v>
      </c>
      <c r="Z176" s="929">
        <v>76.790000000000006</v>
      </c>
      <c r="AA176" s="929">
        <v>86.84</v>
      </c>
      <c r="AB176" s="929">
        <v>98.48</v>
      </c>
      <c r="AC176" s="929">
        <v>106.01</v>
      </c>
      <c r="AD176" s="929">
        <v>113.21</v>
      </c>
      <c r="AE176" s="929">
        <v>125.09</v>
      </c>
      <c r="AF176" s="929">
        <v>135.28</v>
      </c>
      <c r="AG176" s="929">
        <v>147.16</v>
      </c>
      <c r="AH176" s="929">
        <v>155.71</v>
      </c>
      <c r="AI176" s="929">
        <v>166.33</v>
      </c>
      <c r="AJ176" s="929">
        <v>176.28</v>
      </c>
      <c r="AK176" s="929">
        <v>183.67</v>
      </c>
      <c r="AL176" s="929">
        <v>194.05</v>
      </c>
      <c r="AM176" s="929">
        <v>204.53</v>
      </c>
      <c r="AN176" s="929">
        <v>216.17</v>
      </c>
      <c r="AO176" s="929">
        <v>226.65</v>
      </c>
      <c r="AP176" s="929">
        <v>237.13</v>
      </c>
      <c r="AQ176" s="929">
        <v>247.61</v>
      </c>
      <c r="AR176" s="929">
        <v>258.08999999999997</v>
      </c>
    </row>
    <row r="177" spans="1:44" hidden="1">
      <c r="A177" s="938"/>
      <c r="B177" s="921"/>
      <c r="C177" s="928"/>
      <c r="D177" s="928"/>
      <c r="E177" s="928"/>
      <c r="F177" s="928"/>
      <c r="G177" s="928"/>
      <c r="H177" s="928"/>
      <c r="I177" s="928"/>
      <c r="J177" s="928"/>
      <c r="K177" s="928"/>
      <c r="L177" s="928"/>
      <c r="M177" s="928"/>
      <c r="N177" s="928"/>
      <c r="O177" s="928"/>
      <c r="P177" s="928"/>
      <c r="Q177" s="928"/>
      <c r="R177" s="928"/>
      <c r="S177" s="928"/>
      <c r="T177" s="928"/>
      <c r="U177" s="928"/>
      <c r="V177" s="928"/>
      <c r="X177" s="923">
        <v>3.7</v>
      </c>
      <c r="Y177" s="929">
        <v>65.91</v>
      </c>
      <c r="Z177" s="929">
        <v>78.22</v>
      </c>
      <c r="AA177" s="929">
        <v>88.56</v>
      </c>
      <c r="AB177" s="929">
        <v>100.62</v>
      </c>
      <c r="AC177" s="929">
        <v>108.16</v>
      </c>
      <c r="AD177" s="929">
        <v>115.35</v>
      </c>
      <c r="AE177" s="929">
        <v>127.66</v>
      </c>
      <c r="AF177" s="929">
        <v>138.13999999999999</v>
      </c>
      <c r="AG177" s="929">
        <v>150.44999999999999</v>
      </c>
      <c r="AH177" s="929">
        <v>159.13999999999999</v>
      </c>
      <c r="AI177" s="929">
        <v>170.05</v>
      </c>
      <c r="AJ177" s="929">
        <v>180.28</v>
      </c>
      <c r="AK177" s="929">
        <v>187.68</v>
      </c>
      <c r="AL177" s="929">
        <v>198.34</v>
      </c>
      <c r="AM177" s="929">
        <v>209.11</v>
      </c>
      <c r="AN177" s="929">
        <v>221.17</v>
      </c>
      <c r="AO177" s="929">
        <v>231.94</v>
      </c>
      <c r="AP177" s="929">
        <v>242.71</v>
      </c>
      <c r="AQ177" s="929">
        <v>253.48</v>
      </c>
      <c r="AR177" s="929">
        <v>264.25</v>
      </c>
    </row>
    <row r="178" spans="1:44" hidden="1">
      <c r="A178" s="938"/>
      <c r="B178" s="921"/>
      <c r="C178" s="928"/>
      <c r="D178" s="928"/>
      <c r="E178" s="928"/>
      <c r="F178" s="928"/>
      <c r="G178" s="928"/>
      <c r="H178" s="928"/>
      <c r="I178" s="928"/>
      <c r="J178" s="928"/>
      <c r="K178" s="928"/>
      <c r="L178" s="928"/>
      <c r="M178" s="928"/>
      <c r="N178" s="928"/>
      <c r="O178" s="928"/>
      <c r="P178" s="928"/>
      <c r="Q178" s="928"/>
      <c r="R178" s="928"/>
      <c r="S178" s="928"/>
      <c r="T178" s="928"/>
      <c r="U178" s="928"/>
      <c r="V178" s="928"/>
      <c r="X178" s="923">
        <v>3.8</v>
      </c>
      <c r="Y178" s="929">
        <v>66.91</v>
      </c>
      <c r="Z178" s="929">
        <v>79.650000000000006</v>
      </c>
      <c r="AA178" s="929">
        <v>90.28</v>
      </c>
      <c r="AB178" s="929">
        <v>102.76</v>
      </c>
      <c r="AC178" s="929">
        <v>110.31</v>
      </c>
      <c r="AD178" s="929">
        <v>117.49</v>
      </c>
      <c r="AE178" s="929">
        <v>130.22999999999999</v>
      </c>
      <c r="AF178" s="929">
        <v>141</v>
      </c>
      <c r="AG178" s="929">
        <v>153.74</v>
      </c>
      <c r="AH178" s="929">
        <v>162.57</v>
      </c>
      <c r="AI178" s="929">
        <v>173.77</v>
      </c>
      <c r="AJ178" s="929">
        <v>184.28</v>
      </c>
      <c r="AK178" s="929">
        <v>191.69</v>
      </c>
      <c r="AL178" s="929">
        <v>202.63</v>
      </c>
      <c r="AM178" s="929">
        <v>213.69</v>
      </c>
      <c r="AN178" s="929">
        <v>226.17</v>
      </c>
      <c r="AO178" s="929">
        <v>237.23</v>
      </c>
      <c r="AP178" s="929">
        <v>248.29</v>
      </c>
      <c r="AQ178" s="929">
        <v>259.35000000000002</v>
      </c>
      <c r="AR178" s="929">
        <v>270.41000000000003</v>
      </c>
    </row>
    <row r="179" spans="1:44" hidden="1">
      <c r="A179" s="938"/>
      <c r="B179" s="921"/>
      <c r="C179" s="928"/>
      <c r="D179" s="928"/>
      <c r="E179" s="928"/>
      <c r="F179" s="928"/>
      <c r="G179" s="928"/>
      <c r="H179" s="928"/>
      <c r="I179" s="928"/>
      <c r="J179" s="928"/>
      <c r="K179" s="928"/>
      <c r="L179" s="928"/>
      <c r="M179" s="928"/>
      <c r="N179" s="928"/>
      <c r="O179" s="928"/>
      <c r="P179" s="928"/>
      <c r="Q179" s="928"/>
      <c r="R179" s="928"/>
      <c r="S179" s="928"/>
      <c r="T179" s="928"/>
      <c r="U179" s="928"/>
      <c r="V179" s="928"/>
      <c r="X179" s="923">
        <v>3.9</v>
      </c>
      <c r="Y179" s="929">
        <v>67.91</v>
      </c>
      <c r="Z179" s="929">
        <v>81.08</v>
      </c>
      <c r="AA179" s="929">
        <v>92</v>
      </c>
      <c r="AB179" s="929">
        <v>104.9</v>
      </c>
      <c r="AC179" s="929">
        <v>112.46</v>
      </c>
      <c r="AD179" s="929">
        <v>119.63</v>
      </c>
      <c r="AE179" s="929">
        <v>132.80000000000001</v>
      </c>
      <c r="AF179" s="929">
        <v>143.86000000000001</v>
      </c>
      <c r="AG179" s="929">
        <v>157.03</v>
      </c>
      <c r="AH179" s="929">
        <v>166</v>
      </c>
      <c r="AI179" s="929">
        <v>177.49</v>
      </c>
      <c r="AJ179" s="929">
        <v>188.28</v>
      </c>
      <c r="AK179" s="929">
        <v>195.7</v>
      </c>
      <c r="AL179" s="929">
        <v>206.92</v>
      </c>
      <c r="AM179" s="929">
        <v>218.27</v>
      </c>
      <c r="AN179" s="929">
        <v>231.17</v>
      </c>
      <c r="AO179" s="929">
        <v>242.52</v>
      </c>
      <c r="AP179" s="929">
        <v>253.87</v>
      </c>
      <c r="AQ179" s="929">
        <v>265.22000000000003</v>
      </c>
      <c r="AR179" s="929">
        <v>276.57</v>
      </c>
    </row>
    <row r="180" spans="1:44" hidden="1">
      <c r="A180" s="938"/>
      <c r="B180" s="921"/>
      <c r="C180" s="928"/>
      <c r="D180" s="928"/>
      <c r="E180" s="928"/>
      <c r="F180" s="928"/>
      <c r="G180" s="928"/>
      <c r="H180" s="928"/>
      <c r="I180" s="928"/>
      <c r="J180" s="928"/>
      <c r="K180" s="928"/>
      <c r="L180" s="928"/>
      <c r="M180" s="928"/>
      <c r="N180" s="928"/>
      <c r="O180" s="928"/>
      <c r="P180" s="928"/>
      <c r="Q180" s="928"/>
      <c r="R180" s="928"/>
      <c r="S180" s="928"/>
      <c r="T180" s="928"/>
      <c r="U180" s="928"/>
      <c r="V180" s="928"/>
      <c r="X180" s="923">
        <v>4</v>
      </c>
      <c r="Y180" s="929">
        <v>68.91</v>
      </c>
      <c r="Z180" s="929">
        <v>82.51</v>
      </c>
      <c r="AA180" s="929">
        <v>93.72</v>
      </c>
      <c r="AB180" s="929">
        <v>107.04</v>
      </c>
      <c r="AC180" s="929">
        <v>114.61</v>
      </c>
      <c r="AD180" s="929">
        <v>121.77</v>
      </c>
      <c r="AE180" s="929">
        <v>135.37</v>
      </c>
      <c r="AF180" s="929">
        <v>146.72</v>
      </c>
      <c r="AG180" s="929">
        <v>160.32</v>
      </c>
      <c r="AH180" s="929">
        <v>169.43</v>
      </c>
      <c r="AI180" s="929">
        <v>181.21</v>
      </c>
      <c r="AJ180" s="929">
        <v>192.28</v>
      </c>
      <c r="AK180" s="929">
        <v>199.71</v>
      </c>
      <c r="AL180" s="929">
        <v>211.21</v>
      </c>
      <c r="AM180" s="929">
        <v>222.85</v>
      </c>
      <c r="AN180" s="929">
        <v>236.17</v>
      </c>
      <c r="AO180" s="929">
        <v>247.81</v>
      </c>
      <c r="AP180" s="929">
        <v>259.45</v>
      </c>
      <c r="AQ180" s="929">
        <v>271.08999999999997</v>
      </c>
      <c r="AR180" s="929">
        <v>282.73</v>
      </c>
    </row>
    <row r="181" spans="1:44" hidden="1">
      <c r="B181" s="921"/>
      <c r="C181" s="928"/>
      <c r="D181" s="928"/>
      <c r="E181" s="928"/>
      <c r="F181" s="928"/>
      <c r="G181" s="928"/>
      <c r="H181" s="928"/>
      <c r="I181" s="928"/>
      <c r="J181" s="928"/>
      <c r="K181" s="928"/>
      <c r="L181" s="928"/>
      <c r="M181" s="928"/>
      <c r="N181" s="928"/>
      <c r="O181" s="928"/>
      <c r="P181" s="928"/>
      <c r="Q181" s="928"/>
      <c r="R181" s="928"/>
      <c r="S181" s="928"/>
      <c r="T181" s="928"/>
      <c r="U181" s="928"/>
      <c r="V181" s="928"/>
      <c r="X181" s="923">
        <v>4.0999999999999996</v>
      </c>
      <c r="Y181" s="929">
        <v>69.91</v>
      </c>
      <c r="Z181" s="929">
        <v>83.94</v>
      </c>
      <c r="AA181" s="929">
        <v>95.44</v>
      </c>
      <c r="AB181" s="929">
        <v>109.18</v>
      </c>
      <c r="AC181" s="929">
        <v>116.76</v>
      </c>
      <c r="AD181" s="929">
        <v>123.91</v>
      </c>
      <c r="AE181" s="929">
        <v>137.94</v>
      </c>
      <c r="AF181" s="929">
        <v>149.58000000000001</v>
      </c>
      <c r="AG181" s="929">
        <v>163.61000000000001</v>
      </c>
      <c r="AH181" s="929">
        <v>172.86</v>
      </c>
      <c r="AI181" s="929">
        <v>184.93</v>
      </c>
      <c r="AJ181" s="929">
        <v>196.28</v>
      </c>
      <c r="AK181" s="929">
        <v>203.72</v>
      </c>
      <c r="AL181" s="929">
        <v>215.5</v>
      </c>
      <c r="AM181" s="929">
        <v>227.43</v>
      </c>
      <c r="AN181" s="929">
        <v>241.17</v>
      </c>
      <c r="AO181" s="929">
        <v>253.1</v>
      </c>
      <c r="AP181" s="929">
        <v>265.02999999999997</v>
      </c>
      <c r="AQ181" s="929">
        <v>276.95999999999998</v>
      </c>
      <c r="AR181" s="929">
        <v>288.89</v>
      </c>
    </row>
    <row r="182" spans="1:44" hidden="1">
      <c r="B182" s="921"/>
      <c r="C182" s="928"/>
      <c r="D182" s="928"/>
      <c r="E182" s="928"/>
      <c r="F182" s="928"/>
      <c r="G182" s="928"/>
      <c r="H182" s="928"/>
      <c r="I182" s="928"/>
      <c r="J182" s="928"/>
      <c r="K182" s="928"/>
      <c r="L182" s="928"/>
      <c r="M182" s="928"/>
      <c r="N182" s="928"/>
      <c r="O182" s="928"/>
      <c r="P182" s="928"/>
      <c r="Q182" s="928"/>
      <c r="R182" s="928"/>
      <c r="S182" s="928"/>
      <c r="T182" s="928"/>
      <c r="U182" s="928"/>
      <c r="V182" s="928"/>
      <c r="X182" s="923">
        <v>4.2</v>
      </c>
      <c r="Y182" s="929">
        <v>70.91</v>
      </c>
      <c r="Z182" s="929">
        <v>85.37</v>
      </c>
      <c r="AA182" s="929">
        <v>97.16</v>
      </c>
      <c r="AB182" s="929">
        <v>111.32</v>
      </c>
      <c r="AC182" s="929">
        <v>118.91</v>
      </c>
      <c r="AD182" s="929">
        <v>126.05</v>
      </c>
      <c r="AE182" s="929">
        <v>140.51</v>
      </c>
      <c r="AF182" s="929">
        <v>152.44</v>
      </c>
      <c r="AG182" s="929">
        <v>166.9</v>
      </c>
      <c r="AH182" s="929">
        <v>176.29</v>
      </c>
      <c r="AI182" s="929">
        <v>188.65</v>
      </c>
      <c r="AJ182" s="929">
        <v>200.28</v>
      </c>
      <c r="AK182" s="929">
        <v>207.73</v>
      </c>
      <c r="AL182" s="929">
        <v>219.79</v>
      </c>
      <c r="AM182" s="929">
        <v>232.01</v>
      </c>
      <c r="AN182" s="929">
        <v>246.17</v>
      </c>
      <c r="AO182" s="929">
        <v>258.39</v>
      </c>
      <c r="AP182" s="929">
        <v>270.61</v>
      </c>
      <c r="AQ182" s="929">
        <v>282.83</v>
      </c>
      <c r="AR182" s="929">
        <v>295.05</v>
      </c>
    </row>
    <row r="183" spans="1:44" hidden="1">
      <c r="B183" s="921"/>
      <c r="C183" s="928"/>
      <c r="D183" s="928"/>
      <c r="E183" s="928"/>
      <c r="F183" s="928"/>
      <c r="G183" s="928"/>
      <c r="H183" s="928"/>
      <c r="I183" s="928"/>
      <c r="J183" s="928"/>
      <c r="K183" s="928"/>
      <c r="L183" s="928"/>
      <c r="M183" s="928"/>
      <c r="N183" s="928"/>
      <c r="O183" s="928"/>
      <c r="P183" s="928"/>
      <c r="Q183" s="928"/>
      <c r="R183" s="928"/>
      <c r="S183" s="928"/>
      <c r="T183" s="928"/>
      <c r="U183" s="928"/>
      <c r="V183" s="928"/>
      <c r="X183" s="923">
        <v>4.3</v>
      </c>
      <c r="Y183" s="929">
        <v>71.91</v>
      </c>
      <c r="Z183" s="929">
        <v>86.8</v>
      </c>
      <c r="AA183" s="929">
        <v>98.88</v>
      </c>
      <c r="AB183" s="929">
        <v>113.46</v>
      </c>
      <c r="AC183" s="929">
        <v>121.06</v>
      </c>
      <c r="AD183" s="929">
        <v>128.19</v>
      </c>
      <c r="AE183" s="929">
        <v>143.08000000000001</v>
      </c>
      <c r="AF183" s="929">
        <v>155.30000000000001</v>
      </c>
      <c r="AG183" s="929">
        <v>170.19</v>
      </c>
      <c r="AH183" s="929">
        <v>179.72</v>
      </c>
      <c r="AI183" s="929">
        <v>192.37</v>
      </c>
      <c r="AJ183" s="929">
        <v>204.28</v>
      </c>
      <c r="AK183" s="929">
        <v>211.74</v>
      </c>
      <c r="AL183" s="929">
        <v>224.08</v>
      </c>
      <c r="AM183" s="929">
        <v>236.59</v>
      </c>
      <c r="AN183" s="929">
        <v>251.17</v>
      </c>
      <c r="AO183" s="929">
        <v>263.68</v>
      </c>
      <c r="AP183" s="929">
        <v>276.19</v>
      </c>
      <c r="AQ183" s="929">
        <v>288.7</v>
      </c>
      <c r="AR183" s="929">
        <v>301.20999999999998</v>
      </c>
    </row>
    <row r="184" spans="1:44" hidden="1">
      <c r="B184" s="921"/>
      <c r="C184" s="928"/>
      <c r="D184" s="928"/>
      <c r="E184" s="928"/>
      <c r="F184" s="928"/>
      <c r="G184" s="928"/>
      <c r="H184" s="928"/>
      <c r="I184" s="928"/>
      <c r="J184" s="928"/>
      <c r="K184" s="928"/>
      <c r="L184" s="928"/>
      <c r="M184" s="928"/>
      <c r="N184" s="928"/>
      <c r="O184" s="928"/>
      <c r="P184" s="928"/>
      <c r="Q184" s="928"/>
      <c r="R184" s="928"/>
      <c r="S184" s="928"/>
      <c r="T184" s="928"/>
      <c r="U184" s="928"/>
      <c r="V184" s="928"/>
      <c r="X184" s="923">
        <v>4.4000000000000004</v>
      </c>
      <c r="Y184" s="929">
        <v>72.91</v>
      </c>
      <c r="Z184" s="929">
        <v>88.23</v>
      </c>
      <c r="AA184" s="929">
        <v>100.6</v>
      </c>
      <c r="AB184" s="929">
        <v>115.6</v>
      </c>
      <c r="AC184" s="929">
        <v>123.21</v>
      </c>
      <c r="AD184" s="929">
        <v>130.33000000000001</v>
      </c>
      <c r="AE184" s="929">
        <v>145.65</v>
      </c>
      <c r="AF184" s="929">
        <v>158.16</v>
      </c>
      <c r="AG184" s="929">
        <v>173.48</v>
      </c>
      <c r="AH184" s="929">
        <v>183.15</v>
      </c>
      <c r="AI184" s="929">
        <v>196.09</v>
      </c>
      <c r="AJ184" s="929">
        <v>208.28</v>
      </c>
      <c r="AK184" s="929">
        <v>215.75</v>
      </c>
      <c r="AL184" s="929">
        <v>228.37</v>
      </c>
      <c r="AM184" s="929">
        <v>241.17</v>
      </c>
      <c r="AN184" s="929">
        <v>256.17</v>
      </c>
      <c r="AO184" s="929">
        <v>268.97000000000003</v>
      </c>
      <c r="AP184" s="929">
        <v>281.77</v>
      </c>
      <c r="AQ184" s="929">
        <v>294.57</v>
      </c>
      <c r="AR184" s="929">
        <v>307.37</v>
      </c>
    </row>
    <row r="185" spans="1:44" hidden="1">
      <c r="B185" s="921"/>
      <c r="C185" s="928"/>
      <c r="D185" s="928"/>
      <c r="E185" s="928"/>
      <c r="F185" s="928"/>
      <c r="G185" s="928"/>
      <c r="H185" s="928"/>
      <c r="I185" s="928"/>
      <c r="J185" s="928"/>
      <c r="K185" s="928"/>
      <c r="L185" s="928"/>
      <c r="M185" s="928"/>
      <c r="N185" s="928"/>
      <c r="O185" s="928"/>
      <c r="P185" s="928"/>
      <c r="Q185" s="928"/>
      <c r="R185" s="928"/>
      <c r="S185" s="928"/>
      <c r="T185" s="928"/>
      <c r="U185" s="928"/>
      <c r="V185" s="928"/>
      <c r="X185" s="923">
        <v>4.5</v>
      </c>
      <c r="Y185" s="929">
        <v>73.91</v>
      </c>
      <c r="Z185" s="929">
        <v>89.66</v>
      </c>
      <c r="AA185" s="929">
        <v>102.32</v>
      </c>
      <c r="AB185" s="929">
        <v>117.74</v>
      </c>
      <c r="AC185" s="929">
        <v>125.36</v>
      </c>
      <c r="AD185" s="929">
        <v>132.47</v>
      </c>
      <c r="AE185" s="929">
        <v>148.22</v>
      </c>
      <c r="AF185" s="929">
        <v>161.02000000000001</v>
      </c>
      <c r="AG185" s="929">
        <v>176.77</v>
      </c>
      <c r="AH185" s="929">
        <v>186.58</v>
      </c>
      <c r="AI185" s="929">
        <v>199.81</v>
      </c>
      <c r="AJ185" s="929">
        <v>212.28</v>
      </c>
      <c r="AK185" s="929">
        <v>219.76</v>
      </c>
      <c r="AL185" s="929">
        <v>232.66</v>
      </c>
      <c r="AM185" s="929">
        <v>245.75</v>
      </c>
      <c r="AN185" s="929">
        <v>261.17</v>
      </c>
      <c r="AO185" s="929">
        <v>274.26</v>
      </c>
      <c r="AP185" s="929">
        <v>287.35000000000002</v>
      </c>
      <c r="AQ185" s="929">
        <v>300.44</v>
      </c>
      <c r="AR185" s="929">
        <v>313.52999999999997</v>
      </c>
    </row>
    <row r="186" spans="1:44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</row>
    <row r="187" spans="1:44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</row>
    <row r="188" spans="1:44" ht="13.8" thickBot="1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</row>
    <row r="189" spans="1:44" ht="13.8" thickBot="1">
      <c r="A189" s="1413" t="s">
        <v>319</v>
      </c>
      <c r="B189" s="1542"/>
      <c r="C189" s="1534" t="s">
        <v>207</v>
      </c>
      <c r="D189" s="1535"/>
      <c r="E189" s="1535"/>
      <c r="F189" s="1535"/>
      <c r="G189" s="1535"/>
      <c r="H189" s="1535"/>
      <c r="I189" s="1535"/>
      <c r="J189" s="1535"/>
      <c r="K189" s="1535"/>
      <c r="L189" s="1535"/>
      <c r="M189" s="1535"/>
      <c r="N189" s="1535"/>
      <c r="O189" s="1535"/>
      <c r="P189" s="1535"/>
      <c r="Q189" s="1535"/>
      <c r="R189" s="1535"/>
      <c r="S189" s="1535"/>
      <c r="T189" s="1535"/>
      <c r="U189" s="1536"/>
      <c r="V189" s="700"/>
    </row>
    <row r="190" spans="1:44" ht="13.8" thickBot="1">
      <c r="A190" s="1543"/>
      <c r="B190" s="1570"/>
      <c r="C190" s="939">
        <v>0.4</v>
      </c>
      <c r="D190" s="940">
        <v>0.5</v>
      </c>
      <c r="E190" s="940">
        <v>0.6</v>
      </c>
      <c r="F190" s="940">
        <v>0.7</v>
      </c>
      <c r="G190" s="940">
        <v>0.8</v>
      </c>
      <c r="H190" s="940">
        <v>0.9</v>
      </c>
      <c r="I190" s="940">
        <v>1</v>
      </c>
      <c r="J190" s="940">
        <v>1.1000000000000001</v>
      </c>
      <c r="K190" s="940">
        <v>1.2</v>
      </c>
      <c r="L190" s="940">
        <v>1.3</v>
      </c>
      <c r="M190" s="940">
        <v>1.4</v>
      </c>
      <c r="N190" s="940">
        <v>1.5</v>
      </c>
      <c r="O190" s="940">
        <v>1.6</v>
      </c>
      <c r="P190" s="940">
        <v>1.7</v>
      </c>
      <c r="Q190" s="940">
        <v>1.8</v>
      </c>
      <c r="R190" s="940">
        <v>1.9</v>
      </c>
      <c r="S190" s="940">
        <v>2</v>
      </c>
      <c r="T190" s="940">
        <v>2.1</v>
      </c>
      <c r="U190" s="941">
        <v>2.2000000000000002</v>
      </c>
      <c r="V190" s="921"/>
      <c r="X190" s="922"/>
      <c r="Y190" s="923">
        <v>0.4</v>
      </c>
      <c r="Z190" s="923">
        <v>0.5</v>
      </c>
      <c r="AA190" s="923">
        <v>0.6</v>
      </c>
      <c r="AB190" s="923">
        <v>0.7</v>
      </c>
      <c r="AC190" s="923">
        <v>0.8</v>
      </c>
      <c r="AD190" s="923">
        <v>0.9</v>
      </c>
      <c r="AE190" s="923">
        <v>1</v>
      </c>
      <c r="AF190" s="923">
        <v>1.1000000000000001</v>
      </c>
      <c r="AG190" s="923">
        <v>1.2</v>
      </c>
      <c r="AH190" s="923">
        <v>1.3</v>
      </c>
      <c r="AI190" s="923">
        <v>1.4</v>
      </c>
      <c r="AJ190" s="923">
        <v>1.5</v>
      </c>
      <c r="AK190" s="923">
        <v>1.6</v>
      </c>
      <c r="AL190" s="923">
        <v>1.7</v>
      </c>
      <c r="AM190" s="923">
        <v>1.8</v>
      </c>
      <c r="AN190" s="923">
        <v>1.9</v>
      </c>
      <c r="AO190" s="923">
        <v>2</v>
      </c>
      <c r="AP190" s="923">
        <v>2.1</v>
      </c>
      <c r="AQ190" s="923">
        <v>2.2000000000000002</v>
      </c>
      <c r="AR190" s="923">
        <v>2.2999999999999998</v>
      </c>
    </row>
    <row r="191" spans="1:44" ht="12.75" customHeight="1">
      <c r="A191" s="1537" t="s">
        <v>3</v>
      </c>
      <c r="B191" s="924">
        <v>0.5</v>
      </c>
      <c r="C191" s="925">
        <f>(Y191*KFC!$B$19+KFC!$C$19)*KFC!$C$5</f>
        <v>37.47</v>
      </c>
      <c r="D191" s="926">
        <f>(Z191*KFC!$B$19+KFC!$C$19)*KFC!$C$5</f>
        <v>40.61</v>
      </c>
      <c r="E191" s="926">
        <f>(AA191*KFC!$B$19+KFC!$C$19)*KFC!$C$5</f>
        <v>43.76</v>
      </c>
      <c r="F191" s="926">
        <f>(AB191*KFC!$B$19+KFC!$C$19)*KFC!$C$5</f>
        <v>47.05</v>
      </c>
      <c r="G191" s="926">
        <f>(AC191*KFC!$B$19+KFC!$C$19)*KFC!$C$5</f>
        <v>50.34</v>
      </c>
      <c r="H191" s="926">
        <f>(AD191*KFC!$B$19+KFC!$C$19)*KFC!$C$5</f>
        <v>53.34</v>
      </c>
      <c r="I191" s="926">
        <f>(AE191*KFC!$B$19+KFC!$C$19)*KFC!$C$5</f>
        <v>56.49</v>
      </c>
      <c r="J191" s="926">
        <f>(AF191*KFC!$B$19+KFC!$C$19)*KFC!$C$5</f>
        <v>59.49</v>
      </c>
      <c r="K191" s="926">
        <f>(AG191*KFC!$B$19+KFC!$C$19)*KFC!$C$5</f>
        <v>62.78</v>
      </c>
      <c r="L191" s="926">
        <f>(AH191*KFC!$B$19+KFC!$C$19)*KFC!$C$5</f>
        <v>65.92</v>
      </c>
      <c r="M191" s="926">
        <f>(AI191*KFC!$B$19+KFC!$C$19)*KFC!$C$5</f>
        <v>69.209999999999994</v>
      </c>
      <c r="N191" s="926">
        <f>(AJ191*KFC!$B$19+KFC!$C$19)*KFC!$C$5</f>
        <v>72.22</v>
      </c>
      <c r="O191" s="926">
        <f>(AK191*KFC!$B$19+KFC!$C$19)*KFC!$C$5</f>
        <v>75.5</v>
      </c>
      <c r="P191" s="926">
        <f>(AL191*KFC!$B$19+KFC!$C$19)*KFC!$C$5</f>
        <v>78.790000000000006</v>
      </c>
      <c r="Q191" s="926">
        <f>(AM191*KFC!$B$19+KFC!$C$19)*KFC!$C$5</f>
        <v>81.94</v>
      </c>
      <c r="R191" s="926">
        <f>(AN191*KFC!$B$19+KFC!$C$19)*KFC!$C$5</f>
        <v>85.09</v>
      </c>
      <c r="S191" s="926">
        <f>(AO191*KFC!$B$19+KFC!$C$19)*KFC!$C$5</f>
        <v>88.37</v>
      </c>
      <c r="T191" s="926">
        <f>(AP191*KFC!$B$19+KFC!$C$19)*KFC!$C$5</f>
        <v>91.65</v>
      </c>
      <c r="U191" s="927">
        <f>(AQ191*KFC!$B$19+KFC!$C$19)*KFC!$C$5</f>
        <v>94.93</v>
      </c>
      <c r="V191" s="928"/>
      <c r="X191" s="923">
        <v>0.5</v>
      </c>
      <c r="Y191" s="929">
        <v>37.47</v>
      </c>
      <c r="Z191" s="929">
        <v>40.61</v>
      </c>
      <c r="AA191" s="929">
        <v>43.76</v>
      </c>
      <c r="AB191" s="929">
        <v>47.05</v>
      </c>
      <c r="AC191" s="929">
        <v>50.34</v>
      </c>
      <c r="AD191" s="929">
        <v>53.34</v>
      </c>
      <c r="AE191" s="929">
        <v>56.49</v>
      </c>
      <c r="AF191" s="929">
        <v>59.49</v>
      </c>
      <c r="AG191" s="929">
        <v>62.78</v>
      </c>
      <c r="AH191" s="929">
        <v>65.92</v>
      </c>
      <c r="AI191" s="929">
        <v>69.209999999999994</v>
      </c>
      <c r="AJ191" s="929">
        <v>72.22</v>
      </c>
      <c r="AK191" s="929">
        <v>75.5</v>
      </c>
      <c r="AL191" s="929">
        <v>78.790000000000006</v>
      </c>
      <c r="AM191" s="929">
        <v>81.94</v>
      </c>
      <c r="AN191" s="929">
        <v>85.09</v>
      </c>
      <c r="AO191" s="929">
        <v>88.37</v>
      </c>
      <c r="AP191" s="929">
        <v>91.65</v>
      </c>
      <c r="AQ191" s="929">
        <v>94.93</v>
      </c>
      <c r="AR191" s="929">
        <v>98.21</v>
      </c>
    </row>
    <row r="192" spans="1:44">
      <c r="A192" s="1538"/>
      <c r="B192" s="930">
        <v>0.6</v>
      </c>
      <c r="C192" s="931">
        <f>(Y192*KFC!$B$19+KFC!$C$19)*KFC!$C$5</f>
        <v>38.9</v>
      </c>
      <c r="D192" s="932">
        <f>(Z192*KFC!$B$19+KFC!$C$19)*KFC!$C$5</f>
        <v>42.47</v>
      </c>
      <c r="E192" s="932">
        <f>(AA192*KFC!$B$19+KFC!$C$19)*KFC!$C$5</f>
        <v>46.05</v>
      </c>
      <c r="F192" s="932">
        <f>(AB192*KFC!$B$19+KFC!$C$19)*KFC!$C$5</f>
        <v>49.48</v>
      </c>
      <c r="G192" s="932">
        <f>(AC192*KFC!$B$19+KFC!$C$19)*KFC!$C$5</f>
        <v>53.05</v>
      </c>
      <c r="H192" s="932">
        <f>(AD192*KFC!$B$19+KFC!$C$19)*KFC!$C$5</f>
        <v>56.34</v>
      </c>
      <c r="I192" s="932">
        <f>(AE192*KFC!$B$19+KFC!$C$19)*KFC!$C$5</f>
        <v>59.92</v>
      </c>
      <c r="J192" s="932">
        <f>(AF192*KFC!$B$19+KFC!$C$19)*KFC!$C$5</f>
        <v>63.49</v>
      </c>
      <c r="K192" s="932">
        <f>(AG192*KFC!$B$19+KFC!$C$19)*KFC!$C$5</f>
        <v>66.92</v>
      </c>
      <c r="L192" s="932">
        <f>(AH192*KFC!$B$19+KFC!$C$19)*KFC!$C$5</f>
        <v>70.36</v>
      </c>
      <c r="M192" s="932">
        <f>(AI192*KFC!$B$19+KFC!$C$19)*KFC!$C$5</f>
        <v>74.069999999999993</v>
      </c>
      <c r="N192" s="932">
        <f>(AJ192*KFC!$B$19+KFC!$C$19)*KFC!$C$5</f>
        <v>77.36</v>
      </c>
      <c r="O192" s="932">
        <f>(AK192*KFC!$B$19+KFC!$C$19)*KFC!$C$5</f>
        <v>80.94</v>
      </c>
      <c r="P192" s="932">
        <f>(AL192*KFC!$B$19+KFC!$C$19)*KFC!$C$5</f>
        <v>84.23</v>
      </c>
      <c r="Q192" s="932">
        <f>(AM192*KFC!$B$19+KFC!$C$19)*KFC!$C$5</f>
        <v>87.66</v>
      </c>
      <c r="R192" s="932">
        <f>(AN192*KFC!$B$19+KFC!$C$19)*KFC!$C$5</f>
        <v>91.09</v>
      </c>
      <c r="S192" s="932">
        <f>(AO192*KFC!$B$19+KFC!$C$19)*KFC!$C$5</f>
        <v>94.24</v>
      </c>
      <c r="T192" s="932">
        <f>(AP192*KFC!$B$19+KFC!$C$19)*KFC!$C$5</f>
        <v>97.39</v>
      </c>
      <c r="U192" s="943">
        <f>(AQ192*KFC!$B$19+KFC!$C$19)*KFC!$C$5</f>
        <v>100.54</v>
      </c>
      <c r="V192" s="928"/>
      <c r="X192" s="923">
        <v>0.6</v>
      </c>
      <c r="Y192" s="929">
        <v>38.9</v>
      </c>
      <c r="Z192" s="929">
        <v>42.47</v>
      </c>
      <c r="AA192" s="929">
        <v>46.05</v>
      </c>
      <c r="AB192" s="929">
        <v>49.48</v>
      </c>
      <c r="AC192" s="929">
        <v>53.05</v>
      </c>
      <c r="AD192" s="929">
        <v>56.34</v>
      </c>
      <c r="AE192" s="929">
        <v>59.92</v>
      </c>
      <c r="AF192" s="929">
        <v>63.49</v>
      </c>
      <c r="AG192" s="929">
        <v>66.92</v>
      </c>
      <c r="AH192" s="929">
        <v>70.36</v>
      </c>
      <c r="AI192" s="929">
        <v>74.069999999999993</v>
      </c>
      <c r="AJ192" s="929">
        <v>77.36</v>
      </c>
      <c r="AK192" s="929">
        <v>80.94</v>
      </c>
      <c r="AL192" s="929">
        <v>84.23</v>
      </c>
      <c r="AM192" s="929">
        <v>87.66</v>
      </c>
      <c r="AN192" s="929">
        <v>91.09</v>
      </c>
      <c r="AO192" s="929">
        <v>94.24</v>
      </c>
      <c r="AP192" s="929">
        <v>97.39</v>
      </c>
      <c r="AQ192" s="929">
        <v>100.54</v>
      </c>
      <c r="AR192" s="929">
        <v>103.69</v>
      </c>
    </row>
    <row r="193" spans="1:44">
      <c r="A193" s="1538"/>
      <c r="B193" s="930">
        <v>0.7</v>
      </c>
      <c r="C193" s="931">
        <f>(Y193*KFC!$B$19+KFC!$C$19)*KFC!$C$5</f>
        <v>40.33</v>
      </c>
      <c r="D193" s="932">
        <f>(Z193*KFC!$B$19+KFC!$C$19)*KFC!$C$5</f>
        <v>44.33</v>
      </c>
      <c r="E193" s="932">
        <f>(AA193*KFC!$B$19+KFC!$C$19)*KFC!$C$5</f>
        <v>48.19</v>
      </c>
      <c r="F193" s="932">
        <f>(AB193*KFC!$B$19+KFC!$C$19)*KFC!$C$5</f>
        <v>51.91</v>
      </c>
      <c r="G193" s="932">
        <f>(AC193*KFC!$B$19+KFC!$C$19)*KFC!$C$5</f>
        <v>55.77</v>
      </c>
      <c r="H193" s="932">
        <f>(AD193*KFC!$B$19+KFC!$C$19)*KFC!$C$5</f>
        <v>59.49</v>
      </c>
      <c r="I193" s="932">
        <f>(AE193*KFC!$B$19+KFC!$C$19)*KFC!$C$5</f>
        <v>63.21</v>
      </c>
      <c r="J193" s="932">
        <f>(AF193*KFC!$B$19+KFC!$C$19)*KFC!$C$5</f>
        <v>67.209999999999994</v>
      </c>
      <c r="K193" s="932">
        <f>(AG193*KFC!$B$19+KFC!$C$19)*KFC!$C$5</f>
        <v>71.069999999999993</v>
      </c>
      <c r="L193" s="932">
        <f>(AH193*KFC!$B$19+KFC!$C$19)*KFC!$C$5</f>
        <v>74.930000000000007</v>
      </c>
      <c r="M193" s="932">
        <f>(AI193*KFC!$B$19+KFC!$C$19)*KFC!$C$5</f>
        <v>78.790000000000006</v>
      </c>
      <c r="N193" s="932">
        <f>(AJ193*KFC!$B$19+KFC!$C$19)*KFC!$C$5</f>
        <v>82.37</v>
      </c>
      <c r="O193" s="932">
        <f>(AK193*KFC!$B$19+KFC!$C$19)*KFC!$C$5</f>
        <v>86.37</v>
      </c>
      <c r="P193" s="932">
        <f>(AL193*KFC!$B$19+KFC!$C$19)*KFC!$C$5</f>
        <v>90.09</v>
      </c>
      <c r="Q193" s="932">
        <f>(AM193*KFC!$B$19+KFC!$C$19)*KFC!$C$5</f>
        <v>93.81</v>
      </c>
      <c r="R193" s="932">
        <f>(AN193*KFC!$B$19+KFC!$C$19)*KFC!$C$5</f>
        <v>97.38</v>
      </c>
      <c r="S193" s="932">
        <f>(AO193*KFC!$B$19+KFC!$C$19)*KFC!$C$5</f>
        <v>100.96</v>
      </c>
      <c r="T193" s="932">
        <f>(AP193*KFC!$B$19+KFC!$C$19)*KFC!$C$5</f>
        <v>104.54</v>
      </c>
      <c r="U193" s="943">
        <f>(AQ193*KFC!$B$19+KFC!$C$19)*KFC!$C$5</f>
        <v>108.12</v>
      </c>
      <c r="V193" s="928"/>
      <c r="X193" s="923">
        <v>0.7</v>
      </c>
      <c r="Y193" s="929">
        <v>40.33</v>
      </c>
      <c r="Z193" s="929">
        <v>44.33</v>
      </c>
      <c r="AA193" s="929">
        <v>48.19</v>
      </c>
      <c r="AB193" s="929">
        <v>51.91</v>
      </c>
      <c r="AC193" s="929">
        <v>55.77</v>
      </c>
      <c r="AD193" s="929">
        <v>59.49</v>
      </c>
      <c r="AE193" s="929">
        <v>63.21</v>
      </c>
      <c r="AF193" s="929">
        <v>67.209999999999994</v>
      </c>
      <c r="AG193" s="929">
        <v>71.069999999999993</v>
      </c>
      <c r="AH193" s="929">
        <v>74.930000000000007</v>
      </c>
      <c r="AI193" s="929">
        <v>78.790000000000006</v>
      </c>
      <c r="AJ193" s="929">
        <v>82.37</v>
      </c>
      <c r="AK193" s="929">
        <v>86.37</v>
      </c>
      <c r="AL193" s="929">
        <v>90.09</v>
      </c>
      <c r="AM193" s="929">
        <v>93.81</v>
      </c>
      <c r="AN193" s="929">
        <v>97.38</v>
      </c>
      <c r="AO193" s="929">
        <v>100.96</v>
      </c>
      <c r="AP193" s="929">
        <v>104.54</v>
      </c>
      <c r="AQ193" s="929">
        <v>108.12</v>
      </c>
      <c r="AR193" s="929">
        <v>111.7</v>
      </c>
    </row>
    <row r="194" spans="1:44">
      <c r="A194" s="1538"/>
      <c r="B194" s="930">
        <v>0.8</v>
      </c>
      <c r="C194" s="931">
        <f>(Y194*KFC!$B$19+KFC!$C$19)*KFC!$C$5</f>
        <v>42.19</v>
      </c>
      <c r="D194" s="932">
        <f>(Z194*KFC!$B$19+KFC!$C$19)*KFC!$C$5</f>
        <v>46.33</v>
      </c>
      <c r="E194" s="932">
        <f>(AA194*KFC!$B$19+KFC!$C$19)*KFC!$C$5</f>
        <v>50.34</v>
      </c>
      <c r="F194" s="932">
        <f>(AB194*KFC!$B$19+KFC!$C$19)*KFC!$C$5</f>
        <v>54.48</v>
      </c>
      <c r="G194" s="932">
        <f>(AC194*KFC!$B$19+KFC!$C$19)*KFC!$C$5</f>
        <v>58.63</v>
      </c>
      <c r="H194" s="932">
        <f>(AD194*KFC!$B$19+KFC!$C$19)*KFC!$C$5</f>
        <v>62.78</v>
      </c>
      <c r="I194" s="932">
        <f>(AE194*KFC!$B$19+KFC!$C$19)*KFC!$C$5</f>
        <v>66.92</v>
      </c>
      <c r="J194" s="932">
        <f>(AF194*KFC!$B$19+KFC!$C$19)*KFC!$C$5</f>
        <v>71.069999999999993</v>
      </c>
      <c r="K194" s="932">
        <f>(AG194*KFC!$B$19+KFC!$C$19)*KFC!$C$5</f>
        <v>75.08</v>
      </c>
      <c r="L194" s="932">
        <f>(AH194*KFC!$B$19+KFC!$C$19)*KFC!$C$5</f>
        <v>79.08</v>
      </c>
      <c r="M194" s="932">
        <f>(AI194*KFC!$B$19+KFC!$C$19)*KFC!$C$5</f>
        <v>83.23</v>
      </c>
      <c r="N194" s="932">
        <f>(AJ194*KFC!$B$19+KFC!$C$19)*KFC!$C$5</f>
        <v>87.37</v>
      </c>
      <c r="O194" s="932">
        <f>(AK194*KFC!$B$19+KFC!$C$19)*KFC!$C$5</f>
        <v>91.66</v>
      </c>
      <c r="P194" s="932">
        <f>(AL194*KFC!$B$19+KFC!$C$19)*KFC!$C$5</f>
        <v>95.81</v>
      </c>
      <c r="Q194" s="932">
        <f>(AM194*KFC!$B$19+KFC!$C$19)*KFC!$C$5</f>
        <v>99.96</v>
      </c>
      <c r="R194" s="932">
        <f>(AN194*KFC!$B$19+KFC!$C$19)*KFC!$C$5</f>
        <v>103.96</v>
      </c>
      <c r="S194" s="932">
        <f>(AO194*KFC!$B$19+KFC!$C$19)*KFC!$C$5</f>
        <v>108.11</v>
      </c>
      <c r="T194" s="932">
        <f>(AP194*KFC!$B$19+KFC!$C$19)*KFC!$C$5</f>
        <v>112.26</v>
      </c>
      <c r="U194" s="943">
        <f>(AQ194*KFC!$B$19+KFC!$C$19)*KFC!$C$5</f>
        <v>116.41</v>
      </c>
      <c r="V194" s="928"/>
      <c r="X194" s="923">
        <v>0.8</v>
      </c>
      <c r="Y194" s="929">
        <v>42.19</v>
      </c>
      <c r="Z194" s="929">
        <v>46.33</v>
      </c>
      <c r="AA194" s="929">
        <v>50.34</v>
      </c>
      <c r="AB194" s="929">
        <v>54.48</v>
      </c>
      <c r="AC194" s="929">
        <v>58.63</v>
      </c>
      <c r="AD194" s="929">
        <v>62.78</v>
      </c>
      <c r="AE194" s="929">
        <v>66.92</v>
      </c>
      <c r="AF194" s="929">
        <v>71.069999999999993</v>
      </c>
      <c r="AG194" s="929">
        <v>75.08</v>
      </c>
      <c r="AH194" s="929">
        <v>79.08</v>
      </c>
      <c r="AI194" s="929">
        <v>83.23</v>
      </c>
      <c r="AJ194" s="929">
        <v>87.37</v>
      </c>
      <c r="AK194" s="929">
        <v>91.66</v>
      </c>
      <c r="AL194" s="929">
        <v>95.81</v>
      </c>
      <c r="AM194" s="929">
        <v>99.96</v>
      </c>
      <c r="AN194" s="929">
        <v>103.96</v>
      </c>
      <c r="AO194" s="929">
        <v>108.11</v>
      </c>
      <c r="AP194" s="929">
        <v>112.26</v>
      </c>
      <c r="AQ194" s="929">
        <v>116.41</v>
      </c>
      <c r="AR194" s="929">
        <v>120.56</v>
      </c>
    </row>
    <row r="195" spans="1:44">
      <c r="A195" s="1538"/>
      <c r="B195" s="930">
        <v>0.9</v>
      </c>
      <c r="C195" s="931">
        <f>(Y195*KFC!$B$19+KFC!$C$19)*KFC!$C$5</f>
        <v>43.62</v>
      </c>
      <c r="D195" s="932">
        <f>(Z195*KFC!$B$19+KFC!$C$19)*KFC!$C$5</f>
        <v>48.19</v>
      </c>
      <c r="E195" s="932">
        <f>(AA195*KFC!$B$19+KFC!$C$19)*KFC!$C$5</f>
        <v>52.34</v>
      </c>
      <c r="F195" s="932">
        <f>(AB195*KFC!$B$19+KFC!$C$19)*KFC!$C$5</f>
        <v>57.06</v>
      </c>
      <c r="G195" s="932">
        <f>(AC195*KFC!$B$19+KFC!$C$19)*KFC!$C$5</f>
        <v>61.35</v>
      </c>
      <c r="H195" s="932">
        <f>(AD195*KFC!$B$19+KFC!$C$19)*KFC!$C$5</f>
        <v>65.92</v>
      </c>
      <c r="I195" s="932">
        <f>(AE195*KFC!$B$19+KFC!$C$19)*KFC!$C$5</f>
        <v>70.209999999999994</v>
      </c>
      <c r="J195" s="932">
        <f>(AF195*KFC!$B$19+KFC!$C$19)*KFC!$C$5</f>
        <v>74.790000000000006</v>
      </c>
      <c r="K195" s="932">
        <f>(AG195*KFC!$B$19+KFC!$C$19)*KFC!$C$5</f>
        <v>79.08</v>
      </c>
      <c r="L195" s="932">
        <f>(AH195*KFC!$B$19+KFC!$C$19)*KFC!$C$5</f>
        <v>83.8</v>
      </c>
      <c r="M195" s="932">
        <f>(AI195*KFC!$B$19+KFC!$C$19)*KFC!$C$5</f>
        <v>88.09</v>
      </c>
      <c r="N195" s="932">
        <f>(AJ195*KFC!$B$19+KFC!$C$19)*KFC!$C$5</f>
        <v>92.52</v>
      </c>
      <c r="O195" s="932">
        <f>(AK195*KFC!$B$19+KFC!$C$19)*KFC!$C$5</f>
        <v>96.95</v>
      </c>
      <c r="P195" s="932">
        <f>(AL195*KFC!$B$19+KFC!$C$19)*KFC!$C$5</f>
        <v>101.53</v>
      </c>
      <c r="Q195" s="932">
        <f>(AM195*KFC!$B$19+KFC!$C$19)*KFC!$C$5</f>
        <v>105.96</v>
      </c>
      <c r="R195" s="932">
        <f>(AN195*KFC!$B$19+KFC!$C$19)*KFC!$C$5</f>
        <v>110.4</v>
      </c>
      <c r="S195" s="932">
        <f>(AO195*KFC!$B$19+KFC!$C$19)*KFC!$C$5</f>
        <v>114.97</v>
      </c>
      <c r="T195" s="932">
        <f>(AP195*KFC!$B$19+KFC!$C$19)*KFC!$C$5</f>
        <v>119.54</v>
      </c>
      <c r="U195" s="943">
        <f>(AQ195*KFC!$B$19+KFC!$C$19)*KFC!$C$5</f>
        <v>124.11</v>
      </c>
      <c r="V195" s="928"/>
      <c r="X195" s="923">
        <v>0.9</v>
      </c>
      <c r="Y195" s="929">
        <v>43.62</v>
      </c>
      <c r="Z195" s="929">
        <v>48.19</v>
      </c>
      <c r="AA195" s="929">
        <v>52.34</v>
      </c>
      <c r="AB195" s="929">
        <v>57.06</v>
      </c>
      <c r="AC195" s="929">
        <v>61.35</v>
      </c>
      <c r="AD195" s="929">
        <v>65.92</v>
      </c>
      <c r="AE195" s="929">
        <v>70.209999999999994</v>
      </c>
      <c r="AF195" s="929">
        <v>74.790000000000006</v>
      </c>
      <c r="AG195" s="929">
        <v>79.08</v>
      </c>
      <c r="AH195" s="929">
        <v>83.8</v>
      </c>
      <c r="AI195" s="929">
        <v>88.09</v>
      </c>
      <c r="AJ195" s="929">
        <v>92.52</v>
      </c>
      <c r="AK195" s="929">
        <v>96.95</v>
      </c>
      <c r="AL195" s="929">
        <v>101.53</v>
      </c>
      <c r="AM195" s="929">
        <v>105.96</v>
      </c>
      <c r="AN195" s="929">
        <v>110.4</v>
      </c>
      <c r="AO195" s="929">
        <v>114.97</v>
      </c>
      <c r="AP195" s="929">
        <v>119.54</v>
      </c>
      <c r="AQ195" s="929">
        <v>124.11</v>
      </c>
      <c r="AR195" s="929">
        <v>128.68</v>
      </c>
    </row>
    <row r="196" spans="1:44">
      <c r="A196" s="1538"/>
      <c r="B196" s="930">
        <v>1</v>
      </c>
      <c r="C196" s="931">
        <f>(Y196*KFC!$B$19+KFC!$C$19)*KFC!$C$5</f>
        <v>45.19</v>
      </c>
      <c r="D196" s="932">
        <f>(Z196*KFC!$B$19+KFC!$C$19)*KFC!$C$5</f>
        <v>49.76</v>
      </c>
      <c r="E196" s="932">
        <f>(AA196*KFC!$B$19+KFC!$C$19)*KFC!$C$5</f>
        <v>54.63</v>
      </c>
      <c r="F196" s="932">
        <f>(AB196*KFC!$B$19+KFC!$C$19)*KFC!$C$5</f>
        <v>59.35</v>
      </c>
      <c r="G196" s="932">
        <f>(AC196*KFC!$B$19+KFC!$C$19)*KFC!$C$5</f>
        <v>64.209999999999994</v>
      </c>
      <c r="H196" s="932">
        <f>(AD196*KFC!$B$19+KFC!$C$19)*KFC!$C$5</f>
        <v>68.930000000000007</v>
      </c>
      <c r="I196" s="932">
        <f>(AE196*KFC!$B$19+KFC!$C$19)*KFC!$C$5</f>
        <v>73.790000000000006</v>
      </c>
      <c r="J196" s="932">
        <f>(AF196*KFC!$B$19+KFC!$C$19)*KFC!$C$5</f>
        <v>78.36</v>
      </c>
      <c r="K196" s="932">
        <f>(AG196*KFC!$B$19+KFC!$C$19)*KFC!$C$5</f>
        <v>83.23</v>
      </c>
      <c r="L196" s="932">
        <f>(AH196*KFC!$B$19+KFC!$C$19)*KFC!$C$5</f>
        <v>88.09</v>
      </c>
      <c r="M196" s="932">
        <f>(AI196*KFC!$B$19+KFC!$C$19)*KFC!$C$5</f>
        <v>93.09</v>
      </c>
      <c r="N196" s="932">
        <f>(AJ196*KFC!$B$19+KFC!$C$19)*KFC!$C$5</f>
        <v>97.53</v>
      </c>
      <c r="O196" s="932">
        <f>(AK196*KFC!$B$19+KFC!$C$19)*KFC!$C$5</f>
        <v>102.39</v>
      </c>
      <c r="P196" s="932">
        <f>(AL196*KFC!$B$19+KFC!$C$19)*KFC!$C$5</f>
        <v>107.11</v>
      </c>
      <c r="Q196" s="932">
        <f>(AM196*KFC!$B$19+KFC!$C$19)*KFC!$C$5</f>
        <v>111.83</v>
      </c>
      <c r="R196" s="932">
        <f>(AN196*KFC!$B$19+KFC!$C$19)*KFC!$C$5</f>
        <v>116.69</v>
      </c>
      <c r="S196" s="932">
        <f>(AO196*KFC!$B$19+KFC!$C$19)*KFC!$C$5</f>
        <v>121.41</v>
      </c>
      <c r="T196" s="932">
        <f>(AP196*KFC!$B$19+KFC!$C$19)*KFC!$C$5</f>
        <v>126.13</v>
      </c>
      <c r="U196" s="943">
        <f>(AQ196*KFC!$B$19+KFC!$C$19)*KFC!$C$5</f>
        <v>130.85</v>
      </c>
      <c r="V196" s="928"/>
      <c r="X196" s="923">
        <v>1</v>
      </c>
      <c r="Y196" s="929">
        <v>45.19</v>
      </c>
      <c r="Z196" s="929">
        <v>49.76</v>
      </c>
      <c r="AA196" s="929">
        <v>54.63</v>
      </c>
      <c r="AB196" s="929">
        <v>59.35</v>
      </c>
      <c r="AC196" s="929">
        <v>64.209999999999994</v>
      </c>
      <c r="AD196" s="929">
        <v>68.930000000000007</v>
      </c>
      <c r="AE196" s="929">
        <v>73.790000000000006</v>
      </c>
      <c r="AF196" s="929">
        <v>78.36</v>
      </c>
      <c r="AG196" s="929">
        <v>83.23</v>
      </c>
      <c r="AH196" s="929">
        <v>88.09</v>
      </c>
      <c r="AI196" s="929">
        <v>93.09</v>
      </c>
      <c r="AJ196" s="929">
        <v>97.53</v>
      </c>
      <c r="AK196" s="929">
        <v>102.39</v>
      </c>
      <c r="AL196" s="929">
        <v>107.11</v>
      </c>
      <c r="AM196" s="929">
        <v>111.83</v>
      </c>
      <c r="AN196" s="929">
        <v>116.69</v>
      </c>
      <c r="AO196" s="929">
        <v>121.41</v>
      </c>
      <c r="AP196" s="929">
        <v>126.13</v>
      </c>
      <c r="AQ196" s="929">
        <v>130.85</v>
      </c>
      <c r="AR196" s="929">
        <v>135.57</v>
      </c>
    </row>
    <row r="197" spans="1:44">
      <c r="A197" s="1538"/>
      <c r="B197" s="930">
        <v>1.1000000000000001</v>
      </c>
      <c r="C197" s="931">
        <f>(Y197*KFC!$B$19+KFC!$C$19)*KFC!$C$5</f>
        <v>46.76</v>
      </c>
      <c r="D197" s="932">
        <f>(Z197*KFC!$B$19+KFC!$C$19)*KFC!$C$5</f>
        <v>51.77</v>
      </c>
      <c r="E197" s="932">
        <f>(AA197*KFC!$B$19+KFC!$C$19)*KFC!$C$5</f>
        <v>56.77</v>
      </c>
      <c r="F197" s="932">
        <f>(AB197*KFC!$B$19+KFC!$C$19)*KFC!$C$5</f>
        <v>62.06</v>
      </c>
      <c r="G197" s="932">
        <f>(AC197*KFC!$B$19+KFC!$C$19)*KFC!$C$5</f>
        <v>67.209999999999994</v>
      </c>
      <c r="H197" s="932">
        <f>(AD197*KFC!$B$19+KFC!$C$19)*KFC!$C$5</f>
        <v>72.22</v>
      </c>
      <c r="I197" s="932">
        <f>(AE197*KFC!$B$19+KFC!$C$19)*KFC!$C$5</f>
        <v>77.08</v>
      </c>
      <c r="J197" s="932">
        <f>(AF197*KFC!$B$19+KFC!$C$19)*KFC!$C$5</f>
        <v>82.37</v>
      </c>
      <c r="K197" s="932">
        <f>(AG197*KFC!$B$19+KFC!$C$19)*KFC!$C$5</f>
        <v>87.37</v>
      </c>
      <c r="L197" s="932">
        <f>(AH197*KFC!$B$19+KFC!$C$19)*KFC!$C$5</f>
        <v>92.52</v>
      </c>
      <c r="M197" s="932">
        <f>(AI197*KFC!$B$19+KFC!$C$19)*KFC!$C$5</f>
        <v>97.53</v>
      </c>
      <c r="N197" s="932">
        <f>(AJ197*KFC!$B$19+KFC!$C$19)*KFC!$C$5</f>
        <v>102.67</v>
      </c>
      <c r="O197" s="932">
        <f>(AK197*KFC!$B$19+KFC!$C$19)*KFC!$C$5</f>
        <v>107.82</v>
      </c>
      <c r="P197" s="932">
        <f>(AL197*KFC!$B$19+KFC!$C$19)*KFC!$C$5</f>
        <v>112.97</v>
      </c>
      <c r="Q197" s="932">
        <f>(AM197*KFC!$B$19+KFC!$C$19)*KFC!$C$5</f>
        <v>117.83</v>
      </c>
      <c r="R197" s="932">
        <f>(AN197*KFC!$B$19+KFC!$C$19)*KFC!$C$5</f>
        <v>122.84</v>
      </c>
      <c r="S197" s="932">
        <f>(AO197*KFC!$B$19+KFC!$C$19)*KFC!$C$5</f>
        <v>127.99</v>
      </c>
      <c r="T197" s="932">
        <f>(AP197*KFC!$B$19+KFC!$C$19)*KFC!$C$5</f>
        <v>133.13999999999999</v>
      </c>
      <c r="U197" s="943">
        <f>(AQ197*KFC!$B$19+KFC!$C$19)*KFC!$C$5</f>
        <v>138.29</v>
      </c>
      <c r="V197" s="928"/>
      <c r="X197" s="923">
        <v>1.1000000000000001</v>
      </c>
      <c r="Y197" s="929">
        <v>46.76</v>
      </c>
      <c r="Z197" s="929">
        <v>51.77</v>
      </c>
      <c r="AA197" s="929">
        <v>56.77</v>
      </c>
      <c r="AB197" s="929">
        <v>62.06</v>
      </c>
      <c r="AC197" s="929">
        <v>67.209999999999994</v>
      </c>
      <c r="AD197" s="929">
        <v>72.22</v>
      </c>
      <c r="AE197" s="929">
        <v>77.08</v>
      </c>
      <c r="AF197" s="929">
        <v>82.37</v>
      </c>
      <c r="AG197" s="929">
        <v>87.37</v>
      </c>
      <c r="AH197" s="929">
        <v>92.52</v>
      </c>
      <c r="AI197" s="929">
        <v>97.53</v>
      </c>
      <c r="AJ197" s="929">
        <v>102.67</v>
      </c>
      <c r="AK197" s="929">
        <v>107.82</v>
      </c>
      <c r="AL197" s="929">
        <v>112.97</v>
      </c>
      <c r="AM197" s="929">
        <v>117.83</v>
      </c>
      <c r="AN197" s="929">
        <v>122.84</v>
      </c>
      <c r="AO197" s="929">
        <v>127.99</v>
      </c>
      <c r="AP197" s="929">
        <v>133.13999999999999</v>
      </c>
      <c r="AQ197" s="929">
        <v>138.29</v>
      </c>
      <c r="AR197" s="929">
        <v>143.44</v>
      </c>
    </row>
    <row r="198" spans="1:44">
      <c r="A198" s="1538"/>
      <c r="B198" s="930">
        <v>1.2</v>
      </c>
      <c r="C198" s="931">
        <f>(Y198*KFC!$B$19+KFC!$C$19)*KFC!$C$5</f>
        <v>48.19</v>
      </c>
      <c r="D198" s="932">
        <f>(Z198*KFC!$B$19+KFC!$C$19)*KFC!$C$5</f>
        <v>53.63</v>
      </c>
      <c r="E198" s="932">
        <f>(AA198*KFC!$B$19+KFC!$C$19)*KFC!$C$5</f>
        <v>59.06</v>
      </c>
      <c r="F198" s="932">
        <f>(AB198*KFC!$B$19+KFC!$C$19)*KFC!$C$5</f>
        <v>64.489999999999995</v>
      </c>
      <c r="G198" s="932">
        <f>(AC198*KFC!$B$19+KFC!$C$19)*KFC!$C$5</f>
        <v>69.930000000000007</v>
      </c>
      <c r="H198" s="932">
        <f>(AD198*KFC!$B$19+KFC!$C$19)*KFC!$C$5</f>
        <v>75.36</v>
      </c>
      <c r="I198" s="932">
        <f>(AE198*KFC!$B$19+KFC!$C$19)*KFC!$C$5</f>
        <v>80.8</v>
      </c>
      <c r="J198" s="932">
        <f>(AF198*KFC!$B$19+KFC!$C$19)*KFC!$C$5</f>
        <v>86.23</v>
      </c>
      <c r="K198" s="932">
        <f>(AG198*KFC!$B$19+KFC!$C$19)*KFC!$C$5</f>
        <v>91.66</v>
      </c>
      <c r="L198" s="932">
        <f>(AH198*KFC!$B$19+KFC!$C$19)*KFC!$C$5</f>
        <v>96.95</v>
      </c>
      <c r="M198" s="932">
        <f>(AI198*KFC!$B$19+KFC!$C$19)*KFC!$C$5</f>
        <v>102.25</v>
      </c>
      <c r="N198" s="932">
        <f>(AJ198*KFC!$B$19+KFC!$C$19)*KFC!$C$5</f>
        <v>107.68</v>
      </c>
      <c r="O198" s="932">
        <f>(AK198*KFC!$B$19+KFC!$C$19)*KFC!$C$5</f>
        <v>113.11</v>
      </c>
      <c r="P198" s="932">
        <f>(AL198*KFC!$B$19+KFC!$C$19)*KFC!$C$5</f>
        <v>118.55</v>
      </c>
      <c r="Q198" s="932">
        <f>(AM198*KFC!$B$19+KFC!$C$19)*KFC!$C$5</f>
        <v>123.84</v>
      </c>
      <c r="R198" s="932">
        <f>(AN198*KFC!$B$19+KFC!$C$19)*KFC!$C$5</f>
        <v>129.27000000000001</v>
      </c>
      <c r="S198" s="932">
        <f>(AO198*KFC!$B$19+KFC!$C$19)*KFC!$C$5</f>
        <v>134.71</v>
      </c>
      <c r="T198" s="932">
        <f>(AP198*KFC!$B$19+KFC!$C$19)*KFC!$C$5</f>
        <v>140.15</v>
      </c>
      <c r="U198" s="943">
        <f>(AQ198*KFC!$B$19+KFC!$C$19)*KFC!$C$5</f>
        <v>145.59</v>
      </c>
      <c r="V198" s="928"/>
      <c r="X198" s="923">
        <v>1.2</v>
      </c>
      <c r="Y198" s="929">
        <v>48.19</v>
      </c>
      <c r="Z198" s="929">
        <v>53.63</v>
      </c>
      <c r="AA198" s="929">
        <v>59.06</v>
      </c>
      <c r="AB198" s="929">
        <v>64.489999999999995</v>
      </c>
      <c r="AC198" s="929">
        <v>69.930000000000007</v>
      </c>
      <c r="AD198" s="929">
        <v>75.36</v>
      </c>
      <c r="AE198" s="929">
        <v>80.8</v>
      </c>
      <c r="AF198" s="929">
        <v>86.23</v>
      </c>
      <c r="AG198" s="929">
        <v>91.66</v>
      </c>
      <c r="AH198" s="929">
        <v>96.95</v>
      </c>
      <c r="AI198" s="929">
        <v>102.25</v>
      </c>
      <c r="AJ198" s="929">
        <v>107.68</v>
      </c>
      <c r="AK198" s="929">
        <v>113.11</v>
      </c>
      <c r="AL198" s="929">
        <v>118.55</v>
      </c>
      <c r="AM198" s="929">
        <v>123.84</v>
      </c>
      <c r="AN198" s="929">
        <v>129.27000000000001</v>
      </c>
      <c r="AO198" s="929">
        <v>134.71</v>
      </c>
      <c r="AP198" s="929">
        <v>140.15</v>
      </c>
      <c r="AQ198" s="929">
        <v>145.59</v>
      </c>
      <c r="AR198" s="929">
        <v>151.03</v>
      </c>
    </row>
    <row r="199" spans="1:44">
      <c r="A199" s="1538"/>
      <c r="B199" s="930">
        <v>1.3</v>
      </c>
      <c r="C199" s="931">
        <f>(Y199*KFC!$B$19+KFC!$C$19)*KFC!$C$5</f>
        <v>49.62</v>
      </c>
      <c r="D199" s="932">
        <f>(Z199*KFC!$B$19+KFC!$C$19)*KFC!$C$5</f>
        <v>55.34</v>
      </c>
      <c r="E199" s="932">
        <f>(AA199*KFC!$B$19+KFC!$C$19)*KFC!$C$5</f>
        <v>61.2</v>
      </c>
      <c r="F199" s="932">
        <f>(AB199*KFC!$B$19+KFC!$C$19)*KFC!$C$5</f>
        <v>66.92</v>
      </c>
      <c r="G199" s="932">
        <f>(AC199*KFC!$B$19+KFC!$C$19)*KFC!$C$5</f>
        <v>72.790000000000006</v>
      </c>
      <c r="H199" s="932">
        <f>(AD199*KFC!$B$19+KFC!$C$19)*KFC!$C$5</f>
        <v>78.36</v>
      </c>
      <c r="I199" s="932">
        <f>(AE199*KFC!$B$19+KFC!$C$19)*KFC!$C$5</f>
        <v>84.23</v>
      </c>
      <c r="J199" s="932">
        <f>(AF199*KFC!$B$19+KFC!$C$19)*KFC!$C$5</f>
        <v>89.95</v>
      </c>
      <c r="K199" s="932">
        <f>(AG199*KFC!$B$19+KFC!$C$19)*KFC!$C$5</f>
        <v>95.52</v>
      </c>
      <c r="L199" s="932">
        <f>(AH199*KFC!$B$19+KFC!$C$19)*KFC!$C$5</f>
        <v>101.39</v>
      </c>
      <c r="M199" s="932">
        <f>(AI199*KFC!$B$19+KFC!$C$19)*KFC!$C$5</f>
        <v>107.11</v>
      </c>
      <c r="N199" s="932">
        <f>(AJ199*KFC!$B$19+KFC!$C$19)*KFC!$C$5</f>
        <v>112.83</v>
      </c>
      <c r="O199" s="932">
        <f>(AK199*KFC!$B$19+KFC!$C$19)*KFC!$C$5</f>
        <v>118.55</v>
      </c>
      <c r="P199" s="932">
        <f>(AL199*KFC!$B$19+KFC!$C$19)*KFC!$C$5</f>
        <v>124.41</v>
      </c>
      <c r="Q199" s="932">
        <f>(AM199*KFC!$B$19+KFC!$C$19)*KFC!$C$5</f>
        <v>130.13</v>
      </c>
      <c r="R199" s="932">
        <f>(AN199*KFC!$B$19+KFC!$C$19)*KFC!$C$5</f>
        <v>135.99</v>
      </c>
      <c r="S199" s="932">
        <f>(AO199*KFC!$B$19+KFC!$C$19)*KFC!$C$5</f>
        <v>141.71</v>
      </c>
      <c r="T199" s="932">
        <f>(AP199*KFC!$B$19+KFC!$C$19)*KFC!$C$5</f>
        <v>147.43</v>
      </c>
      <c r="U199" s="943">
        <f>(AQ199*KFC!$B$19+KFC!$C$19)*KFC!$C$5</f>
        <v>153.15</v>
      </c>
      <c r="V199" s="928"/>
      <c r="X199" s="923">
        <v>1.3</v>
      </c>
      <c r="Y199" s="929">
        <v>49.62</v>
      </c>
      <c r="Z199" s="929">
        <v>55.34</v>
      </c>
      <c r="AA199" s="929">
        <v>61.2</v>
      </c>
      <c r="AB199" s="929">
        <v>66.92</v>
      </c>
      <c r="AC199" s="929">
        <v>72.790000000000006</v>
      </c>
      <c r="AD199" s="929">
        <v>78.36</v>
      </c>
      <c r="AE199" s="929">
        <v>84.23</v>
      </c>
      <c r="AF199" s="929">
        <v>89.95</v>
      </c>
      <c r="AG199" s="929">
        <v>95.52</v>
      </c>
      <c r="AH199" s="929">
        <v>101.39</v>
      </c>
      <c r="AI199" s="929">
        <v>107.11</v>
      </c>
      <c r="AJ199" s="929">
        <v>112.83</v>
      </c>
      <c r="AK199" s="929">
        <v>118.55</v>
      </c>
      <c r="AL199" s="929">
        <v>124.41</v>
      </c>
      <c r="AM199" s="929">
        <v>130.13</v>
      </c>
      <c r="AN199" s="929">
        <v>135.99</v>
      </c>
      <c r="AO199" s="929">
        <v>141.71</v>
      </c>
      <c r="AP199" s="929">
        <v>147.43</v>
      </c>
      <c r="AQ199" s="929">
        <v>153.15</v>
      </c>
      <c r="AR199" s="929">
        <v>158.87</v>
      </c>
    </row>
    <row r="200" spans="1:44">
      <c r="A200" s="1538"/>
      <c r="B200" s="930">
        <v>1.4</v>
      </c>
      <c r="C200" s="931">
        <f>(Y200*KFC!$B$19+KFC!$C$19)*KFC!$C$5</f>
        <v>51.19</v>
      </c>
      <c r="D200" s="932">
        <f>(Z200*KFC!$B$19+KFC!$C$19)*KFC!$C$5</f>
        <v>57.2</v>
      </c>
      <c r="E200" s="932">
        <f>(AA200*KFC!$B$19+KFC!$C$19)*KFC!$C$5</f>
        <v>63.21</v>
      </c>
      <c r="F200" s="932">
        <f>(AB200*KFC!$B$19+KFC!$C$19)*KFC!$C$5</f>
        <v>69.5</v>
      </c>
      <c r="G200" s="932">
        <f>(AC200*KFC!$B$19+KFC!$C$19)*KFC!$C$5</f>
        <v>75.5</v>
      </c>
      <c r="H200" s="932">
        <f>(AD200*KFC!$B$19+KFC!$C$19)*KFC!$C$5</f>
        <v>81.510000000000005</v>
      </c>
      <c r="I200" s="932">
        <f>(AE200*KFC!$B$19+KFC!$C$19)*KFC!$C$5</f>
        <v>87.66</v>
      </c>
      <c r="J200" s="932">
        <f>(AF200*KFC!$B$19+KFC!$C$19)*KFC!$C$5</f>
        <v>93.81</v>
      </c>
      <c r="K200" s="932">
        <f>(AG200*KFC!$B$19+KFC!$C$19)*KFC!$C$5</f>
        <v>99.67</v>
      </c>
      <c r="L200" s="932">
        <f>(AH200*KFC!$B$19+KFC!$C$19)*KFC!$C$5</f>
        <v>105.96</v>
      </c>
      <c r="M200" s="932">
        <f>(AI200*KFC!$B$19+KFC!$C$19)*KFC!$C$5</f>
        <v>111.83</v>
      </c>
      <c r="N200" s="932">
        <f>(AJ200*KFC!$B$19+KFC!$C$19)*KFC!$C$5</f>
        <v>117.83</v>
      </c>
      <c r="O200" s="932">
        <f>(AK200*KFC!$B$19+KFC!$C$19)*KFC!$C$5</f>
        <v>123.98</v>
      </c>
      <c r="P200" s="932">
        <f>(AL200*KFC!$B$19+KFC!$C$19)*KFC!$C$5</f>
        <v>129.99</v>
      </c>
      <c r="Q200" s="932">
        <f>(AM200*KFC!$B$19+KFC!$C$19)*KFC!$C$5</f>
        <v>135.99</v>
      </c>
      <c r="R200" s="932">
        <f>(AN200*KFC!$B$19+KFC!$C$19)*KFC!$C$5</f>
        <v>141.86000000000001</v>
      </c>
      <c r="S200" s="932">
        <f>(AO200*KFC!$B$19+KFC!$C$19)*KFC!$C$5</f>
        <v>147.86000000000001</v>
      </c>
      <c r="T200" s="932">
        <f>(AP200*KFC!$B$19+KFC!$C$19)*KFC!$C$5</f>
        <v>153.86000000000001</v>
      </c>
      <c r="U200" s="943">
        <f>(AQ200*KFC!$B$19+KFC!$C$19)*KFC!$C$5</f>
        <v>159.86000000000001</v>
      </c>
      <c r="V200" s="928"/>
      <c r="X200" s="923">
        <v>1.4</v>
      </c>
      <c r="Y200" s="929">
        <v>51.19</v>
      </c>
      <c r="Z200" s="929">
        <v>57.2</v>
      </c>
      <c r="AA200" s="929">
        <v>63.21</v>
      </c>
      <c r="AB200" s="929">
        <v>69.5</v>
      </c>
      <c r="AC200" s="929">
        <v>75.5</v>
      </c>
      <c r="AD200" s="929">
        <v>81.510000000000005</v>
      </c>
      <c r="AE200" s="929">
        <v>87.66</v>
      </c>
      <c r="AF200" s="929">
        <v>93.81</v>
      </c>
      <c r="AG200" s="929">
        <v>99.67</v>
      </c>
      <c r="AH200" s="929">
        <v>105.96</v>
      </c>
      <c r="AI200" s="929">
        <v>111.83</v>
      </c>
      <c r="AJ200" s="929">
        <v>117.83</v>
      </c>
      <c r="AK200" s="929">
        <v>123.98</v>
      </c>
      <c r="AL200" s="929">
        <v>129.99</v>
      </c>
      <c r="AM200" s="929">
        <v>135.99</v>
      </c>
      <c r="AN200" s="929">
        <v>141.86000000000001</v>
      </c>
      <c r="AO200" s="929">
        <v>147.86000000000001</v>
      </c>
      <c r="AP200" s="929">
        <v>153.86000000000001</v>
      </c>
      <c r="AQ200" s="929">
        <v>159.86000000000001</v>
      </c>
      <c r="AR200" s="929">
        <v>165.86</v>
      </c>
    </row>
    <row r="201" spans="1:44">
      <c r="A201" s="1538"/>
      <c r="B201" s="930">
        <v>1.5</v>
      </c>
      <c r="C201" s="931">
        <f>(Y201*KFC!$B$19+KFC!$C$19)*KFC!$C$5</f>
        <v>52.91</v>
      </c>
      <c r="D201" s="932">
        <f>(Z201*KFC!$B$19+KFC!$C$19)*KFC!$C$5</f>
        <v>59.2</v>
      </c>
      <c r="E201" s="932">
        <f>(AA201*KFC!$B$19+KFC!$C$19)*KFC!$C$5</f>
        <v>65.489999999999995</v>
      </c>
      <c r="F201" s="932">
        <f>(AB201*KFC!$B$19+KFC!$C$19)*KFC!$C$5</f>
        <v>72.069999999999993</v>
      </c>
      <c r="G201" s="932">
        <f>(AC201*KFC!$B$19+KFC!$C$19)*KFC!$C$5</f>
        <v>78.22</v>
      </c>
      <c r="H201" s="932">
        <f>(AD201*KFC!$B$19+KFC!$C$19)*KFC!$C$5</f>
        <v>84.66</v>
      </c>
      <c r="I201" s="932">
        <f>(AE201*KFC!$B$19+KFC!$C$19)*KFC!$C$5</f>
        <v>91.09</v>
      </c>
      <c r="J201" s="932">
        <f>(AF201*KFC!$B$19+KFC!$C$19)*KFC!$C$5</f>
        <v>97.38</v>
      </c>
      <c r="K201" s="932">
        <f>(AG201*KFC!$B$19+KFC!$C$19)*KFC!$C$5</f>
        <v>103.96</v>
      </c>
      <c r="L201" s="932">
        <f>(AH201*KFC!$B$19+KFC!$C$19)*KFC!$C$5</f>
        <v>110.11</v>
      </c>
      <c r="M201" s="932">
        <f>(AI201*KFC!$B$19+KFC!$C$19)*KFC!$C$5</f>
        <v>116.55</v>
      </c>
      <c r="N201" s="932">
        <f>(AJ201*KFC!$B$19+KFC!$C$19)*KFC!$C$5</f>
        <v>122.84</v>
      </c>
      <c r="O201" s="932">
        <f>(AK201*KFC!$B$19+KFC!$C$19)*KFC!$C$5</f>
        <v>129.27000000000001</v>
      </c>
      <c r="P201" s="932">
        <f>(AL201*KFC!$B$19+KFC!$C$19)*KFC!$C$5</f>
        <v>135.71</v>
      </c>
      <c r="Q201" s="932">
        <f>(AM201*KFC!$B$19+KFC!$C$19)*KFC!$C$5</f>
        <v>142.43</v>
      </c>
      <c r="R201" s="932">
        <f>(AN201*KFC!$B$19+KFC!$C$19)*KFC!$C$5</f>
        <v>149.01</v>
      </c>
      <c r="S201" s="932">
        <f>(AO201*KFC!$B$19+KFC!$C$19)*KFC!$C$5</f>
        <v>155.72999999999999</v>
      </c>
      <c r="T201" s="932">
        <f>(AP201*KFC!$B$19+KFC!$C$19)*KFC!$C$5</f>
        <v>162.44999999999999</v>
      </c>
      <c r="U201" s="943">
        <f>(AQ201*KFC!$B$19+KFC!$C$19)*KFC!$C$5</f>
        <v>169.17</v>
      </c>
      <c r="V201" s="928"/>
      <c r="X201" s="923">
        <v>1.5</v>
      </c>
      <c r="Y201" s="929">
        <v>52.91</v>
      </c>
      <c r="Z201" s="929">
        <v>59.2</v>
      </c>
      <c r="AA201" s="929">
        <v>65.489999999999995</v>
      </c>
      <c r="AB201" s="929">
        <v>72.069999999999993</v>
      </c>
      <c r="AC201" s="929">
        <v>78.22</v>
      </c>
      <c r="AD201" s="929">
        <v>84.66</v>
      </c>
      <c r="AE201" s="929">
        <v>91.09</v>
      </c>
      <c r="AF201" s="929">
        <v>97.38</v>
      </c>
      <c r="AG201" s="929">
        <v>103.96</v>
      </c>
      <c r="AH201" s="929">
        <v>110.11</v>
      </c>
      <c r="AI201" s="929">
        <v>116.55</v>
      </c>
      <c r="AJ201" s="929">
        <v>122.84</v>
      </c>
      <c r="AK201" s="929">
        <v>129.27000000000001</v>
      </c>
      <c r="AL201" s="929">
        <v>135.71</v>
      </c>
      <c r="AM201" s="929">
        <v>142.43</v>
      </c>
      <c r="AN201" s="929">
        <v>149.01</v>
      </c>
      <c r="AO201" s="929">
        <v>155.72999999999999</v>
      </c>
      <c r="AP201" s="929">
        <v>162.44999999999999</v>
      </c>
      <c r="AQ201" s="929">
        <v>169.17</v>
      </c>
      <c r="AR201" s="929">
        <v>175.89</v>
      </c>
    </row>
    <row r="202" spans="1:44">
      <c r="A202" s="1538"/>
      <c r="B202" s="930">
        <v>1.6</v>
      </c>
      <c r="C202" s="931">
        <f>(Y202*KFC!$B$19+KFC!$C$19)*KFC!$C$5</f>
        <v>54.34</v>
      </c>
      <c r="D202" s="932">
        <f>(Z202*KFC!$B$19+KFC!$C$19)*KFC!$C$5</f>
        <v>61.2</v>
      </c>
      <c r="E202" s="932">
        <f>(AA202*KFC!$B$19+KFC!$C$19)*KFC!$C$5</f>
        <v>67.930000000000007</v>
      </c>
      <c r="F202" s="932">
        <f>(AB202*KFC!$B$19+KFC!$C$19)*KFC!$C$5</f>
        <v>74.36</v>
      </c>
      <c r="G202" s="932">
        <f>(AC202*KFC!$B$19+KFC!$C$19)*KFC!$C$5</f>
        <v>81.08</v>
      </c>
      <c r="H202" s="932">
        <f>(AD202*KFC!$B$19+KFC!$C$19)*KFC!$C$5</f>
        <v>87.95</v>
      </c>
      <c r="I202" s="932">
        <f>(AE202*KFC!$B$19+KFC!$C$19)*KFC!$C$5</f>
        <v>94.67</v>
      </c>
      <c r="J202" s="932">
        <f>(AF202*KFC!$B$19+KFC!$C$19)*KFC!$C$5</f>
        <v>100.96</v>
      </c>
      <c r="K202" s="932">
        <f>(AG202*KFC!$B$19+KFC!$C$19)*KFC!$C$5</f>
        <v>107.82</v>
      </c>
      <c r="L202" s="932">
        <f>(AH202*KFC!$B$19+KFC!$C$19)*KFC!$C$5</f>
        <v>114.54</v>
      </c>
      <c r="M202" s="932">
        <f>(AI202*KFC!$B$19+KFC!$C$19)*KFC!$C$5</f>
        <v>121.41</v>
      </c>
      <c r="N202" s="932">
        <f>(AJ202*KFC!$B$19+KFC!$C$19)*KFC!$C$5</f>
        <v>127.84</v>
      </c>
      <c r="O202" s="932">
        <f>(AK202*KFC!$B$19+KFC!$C$19)*KFC!$C$5</f>
        <v>134.71</v>
      </c>
      <c r="P202" s="932">
        <f>(AL202*KFC!$B$19+KFC!$C$19)*KFC!$C$5</f>
        <v>141.43</v>
      </c>
      <c r="Q202" s="932">
        <f>(AM202*KFC!$B$19+KFC!$C$19)*KFC!$C$5</f>
        <v>148.01</v>
      </c>
      <c r="R202" s="932">
        <f>(AN202*KFC!$B$19+KFC!$C$19)*KFC!$C$5</f>
        <v>154.72999999999999</v>
      </c>
      <c r="S202" s="932">
        <f>(AO202*KFC!$B$19+KFC!$C$19)*KFC!$C$5</f>
        <v>161.59</v>
      </c>
      <c r="T202" s="932">
        <f>(AP202*KFC!$B$19+KFC!$C$19)*KFC!$C$5</f>
        <v>168.45</v>
      </c>
      <c r="U202" s="943">
        <f>(AQ202*KFC!$B$19+KFC!$C$19)*KFC!$C$5</f>
        <v>175.31</v>
      </c>
      <c r="V202" s="928"/>
      <c r="X202" s="923">
        <v>1.6</v>
      </c>
      <c r="Y202" s="929">
        <v>54.34</v>
      </c>
      <c r="Z202" s="929">
        <v>61.2</v>
      </c>
      <c r="AA202" s="929">
        <v>67.930000000000007</v>
      </c>
      <c r="AB202" s="929">
        <v>74.36</v>
      </c>
      <c r="AC202" s="929">
        <v>81.08</v>
      </c>
      <c r="AD202" s="929">
        <v>87.95</v>
      </c>
      <c r="AE202" s="929">
        <v>94.67</v>
      </c>
      <c r="AF202" s="929">
        <v>100.96</v>
      </c>
      <c r="AG202" s="929">
        <v>107.82</v>
      </c>
      <c r="AH202" s="929">
        <v>114.54</v>
      </c>
      <c r="AI202" s="929">
        <v>121.41</v>
      </c>
      <c r="AJ202" s="929">
        <v>127.84</v>
      </c>
      <c r="AK202" s="929">
        <v>134.71</v>
      </c>
      <c r="AL202" s="929">
        <v>141.43</v>
      </c>
      <c r="AM202" s="929">
        <v>148.01</v>
      </c>
      <c r="AN202" s="929">
        <v>154.72999999999999</v>
      </c>
      <c r="AO202" s="929">
        <v>161.59</v>
      </c>
      <c r="AP202" s="929">
        <v>168.45</v>
      </c>
      <c r="AQ202" s="929">
        <v>175.31</v>
      </c>
      <c r="AR202" s="929">
        <v>182.17</v>
      </c>
    </row>
    <row r="203" spans="1:44">
      <c r="A203" s="1538"/>
      <c r="B203" s="930">
        <v>1.7</v>
      </c>
      <c r="C203" s="931">
        <f>(Y203*KFC!$B$19+KFC!$C$19)*KFC!$C$5</f>
        <v>55.77</v>
      </c>
      <c r="D203" s="932">
        <f>(Z203*KFC!$B$19+KFC!$C$19)*KFC!$C$5</f>
        <v>63.06</v>
      </c>
      <c r="E203" s="932">
        <f>(AA203*KFC!$B$19+KFC!$C$19)*KFC!$C$5</f>
        <v>69.930000000000007</v>
      </c>
      <c r="F203" s="932">
        <f>(AB203*KFC!$B$19+KFC!$C$19)*KFC!$C$5</f>
        <v>77.08</v>
      </c>
      <c r="G203" s="932">
        <f>(AC203*KFC!$B$19+KFC!$C$19)*KFC!$C$5</f>
        <v>83.94</v>
      </c>
      <c r="H203" s="932">
        <f>(AD203*KFC!$B$19+KFC!$C$19)*KFC!$C$5</f>
        <v>91.09</v>
      </c>
      <c r="I203" s="932">
        <f>(AE203*KFC!$B$19+KFC!$C$19)*KFC!$C$5</f>
        <v>97.96</v>
      </c>
      <c r="J203" s="932">
        <f>(AF203*KFC!$B$19+KFC!$C$19)*KFC!$C$5</f>
        <v>104.96</v>
      </c>
      <c r="K203" s="932">
        <f>(AG203*KFC!$B$19+KFC!$C$19)*KFC!$C$5</f>
        <v>111.83</v>
      </c>
      <c r="L203" s="932">
        <f>(AH203*KFC!$B$19+KFC!$C$19)*KFC!$C$5</f>
        <v>119.12</v>
      </c>
      <c r="M203" s="932">
        <f>(AI203*KFC!$B$19+KFC!$C$19)*KFC!$C$5</f>
        <v>125.98</v>
      </c>
      <c r="N203" s="932">
        <f>(AJ203*KFC!$B$19+KFC!$C$19)*KFC!$C$5</f>
        <v>132.85</v>
      </c>
      <c r="O203" s="932">
        <f>(AK203*KFC!$B$19+KFC!$C$19)*KFC!$C$5</f>
        <v>140.13999999999999</v>
      </c>
      <c r="P203" s="932">
        <f>(AL203*KFC!$B$19+KFC!$C$19)*KFC!$C$5</f>
        <v>147</v>
      </c>
      <c r="Q203" s="932">
        <f>(AM203*KFC!$B$19+KFC!$C$19)*KFC!$C$5</f>
        <v>153.87</v>
      </c>
      <c r="R203" s="932">
        <f>(AN203*KFC!$B$19+KFC!$C$19)*KFC!$C$5</f>
        <v>160.72999999999999</v>
      </c>
      <c r="S203" s="932">
        <f>(AO203*KFC!$B$19+KFC!$C$19)*KFC!$C$5</f>
        <v>167.6</v>
      </c>
      <c r="T203" s="932">
        <f>(AP203*KFC!$B$19+KFC!$C$19)*KFC!$C$5</f>
        <v>174.47</v>
      </c>
      <c r="U203" s="943">
        <f>(AQ203*KFC!$B$19+KFC!$C$19)*KFC!$C$5</f>
        <v>181.34</v>
      </c>
      <c r="V203" s="928"/>
      <c r="X203" s="923">
        <v>1.7</v>
      </c>
      <c r="Y203" s="929">
        <v>55.77</v>
      </c>
      <c r="Z203" s="929">
        <v>63.06</v>
      </c>
      <c r="AA203" s="929">
        <v>69.930000000000007</v>
      </c>
      <c r="AB203" s="929">
        <v>77.08</v>
      </c>
      <c r="AC203" s="929">
        <v>83.94</v>
      </c>
      <c r="AD203" s="929">
        <v>91.09</v>
      </c>
      <c r="AE203" s="929">
        <v>97.96</v>
      </c>
      <c r="AF203" s="929">
        <v>104.96</v>
      </c>
      <c r="AG203" s="929">
        <v>111.83</v>
      </c>
      <c r="AH203" s="929">
        <v>119.12</v>
      </c>
      <c r="AI203" s="929">
        <v>125.98</v>
      </c>
      <c r="AJ203" s="929">
        <v>132.85</v>
      </c>
      <c r="AK203" s="929">
        <v>140.13999999999999</v>
      </c>
      <c r="AL203" s="929">
        <v>147</v>
      </c>
      <c r="AM203" s="929">
        <v>153.87</v>
      </c>
      <c r="AN203" s="929">
        <v>160.72999999999999</v>
      </c>
      <c r="AO203" s="929">
        <v>167.6</v>
      </c>
      <c r="AP203" s="929">
        <v>174.47</v>
      </c>
      <c r="AQ203" s="929">
        <v>181.34</v>
      </c>
      <c r="AR203" s="929">
        <v>188.21</v>
      </c>
    </row>
    <row r="204" spans="1:44">
      <c r="A204" s="1538"/>
      <c r="B204" s="930">
        <v>1.8</v>
      </c>
      <c r="C204" s="931">
        <f>(Y204*KFC!$B$19+KFC!$C$19)*KFC!$C$5</f>
        <v>57.2</v>
      </c>
      <c r="D204" s="932">
        <f>(Z204*KFC!$B$19+KFC!$C$19)*KFC!$C$5</f>
        <v>64.78</v>
      </c>
      <c r="E204" s="932">
        <f>(AA204*KFC!$B$19+KFC!$C$19)*KFC!$C$5</f>
        <v>72.22</v>
      </c>
      <c r="F204" s="932">
        <f>(AB204*KFC!$B$19+KFC!$C$19)*KFC!$C$5</f>
        <v>79.510000000000005</v>
      </c>
      <c r="G204" s="932">
        <f>(AC204*KFC!$B$19+KFC!$C$19)*KFC!$C$5</f>
        <v>86.66</v>
      </c>
      <c r="H204" s="932">
        <f>(AD204*KFC!$B$19+KFC!$C$19)*KFC!$C$5</f>
        <v>93.95</v>
      </c>
      <c r="I204" s="932">
        <f>(AE204*KFC!$B$19+KFC!$C$19)*KFC!$C$5</f>
        <v>101.53</v>
      </c>
      <c r="J204" s="932">
        <f>(AF204*KFC!$B$19+KFC!$C$19)*KFC!$C$5</f>
        <v>108.97</v>
      </c>
      <c r="K204" s="932">
        <f>(AG204*KFC!$B$19+KFC!$C$19)*KFC!$C$5</f>
        <v>115.97</v>
      </c>
      <c r="L204" s="932">
        <f>(AH204*KFC!$B$19+KFC!$C$19)*KFC!$C$5</f>
        <v>123.41</v>
      </c>
      <c r="M204" s="932">
        <f>(AI204*KFC!$B$19+KFC!$C$19)*KFC!$C$5</f>
        <v>130.85</v>
      </c>
      <c r="N204" s="932">
        <f>(AJ204*KFC!$B$19+KFC!$C$19)*KFC!$C$5</f>
        <v>138.28</v>
      </c>
      <c r="O204" s="932">
        <f>(AK204*KFC!$B$19+KFC!$C$19)*KFC!$C$5</f>
        <v>145.57</v>
      </c>
      <c r="P204" s="932">
        <f>(AL204*KFC!$B$19+KFC!$C$19)*KFC!$C$5</f>
        <v>152.72</v>
      </c>
      <c r="Q204" s="932">
        <f>(AM204*KFC!$B$19+KFC!$C$19)*KFC!$C$5</f>
        <v>160.16</v>
      </c>
      <c r="R204" s="932">
        <f>(AN204*KFC!$B$19+KFC!$C$19)*KFC!$C$5</f>
        <v>167.6</v>
      </c>
      <c r="S204" s="932">
        <f>(AO204*KFC!$B$19+KFC!$C$19)*KFC!$C$5</f>
        <v>174.89</v>
      </c>
      <c r="T204" s="932">
        <f>(AP204*KFC!$B$19+KFC!$C$19)*KFC!$C$5</f>
        <v>182.18</v>
      </c>
      <c r="U204" s="943">
        <f>(AQ204*KFC!$B$19+KFC!$C$19)*KFC!$C$5</f>
        <v>189.47</v>
      </c>
      <c r="V204" s="928"/>
      <c r="X204" s="923">
        <v>1.8</v>
      </c>
      <c r="Y204" s="929">
        <v>57.2</v>
      </c>
      <c r="Z204" s="929">
        <v>64.78</v>
      </c>
      <c r="AA204" s="929">
        <v>72.22</v>
      </c>
      <c r="AB204" s="929">
        <v>79.510000000000005</v>
      </c>
      <c r="AC204" s="929">
        <v>86.66</v>
      </c>
      <c r="AD204" s="929">
        <v>93.95</v>
      </c>
      <c r="AE204" s="929">
        <v>101.53</v>
      </c>
      <c r="AF204" s="929">
        <v>108.97</v>
      </c>
      <c r="AG204" s="929">
        <v>115.97</v>
      </c>
      <c r="AH204" s="929">
        <v>123.41</v>
      </c>
      <c r="AI204" s="929">
        <v>130.85</v>
      </c>
      <c r="AJ204" s="929">
        <v>138.28</v>
      </c>
      <c r="AK204" s="929">
        <v>145.57</v>
      </c>
      <c r="AL204" s="929">
        <v>152.72</v>
      </c>
      <c r="AM204" s="929">
        <v>160.16</v>
      </c>
      <c r="AN204" s="929">
        <v>167.6</v>
      </c>
      <c r="AO204" s="929">
        <v>174.89</v>
      </c>
      <c r="AP204" s="929">
        <v>182.18</v>
      </c>
      <c r="AQ204" s="929">
        <v>189.47</v>
      </c>
      <c r="AR204" s="929">
        <v>196.76</v>
      </c>
    </row>
    <row r="205" spans="1:44">
      <c r="A205" s="1538"/>
      <c r="B205" s="930">
        <v>1.9</v>
      </c>
      <c r="C205" s="931">
        <f>(Y205*KFC!$B$19+KFC!$C$19)*KFC!$C$5</f>
        <v>60.49</v>
      </c>
      <c r="D205" s="932">
        <f>(Z205*KFC!$B$19+KFC!$C$19)*KFC!$C$5</f>
        <v>68.209999999999994</v>
      </c>
      <c r="E205" s="932">
        <f>(AA205*KFC!$B$19+KFC!$C$19)*KFC!$C$5</f>
        <v>76.36</v>
      </c>
      <c r="F205" s="932">
        <f>(AB205*KFC!$B$19+KFC!$C$19)*KFC!$C$5</f>
        <v>84.51</v>
      </c>
      <c r="G205" s="932">
        <f>(AC205*KFC!$B$19+KFC!$C$19)*KFC!$C$5</f>
        <v>92.38</v>
      </c>
      <c r="H205" s="932">
        <f>(AD205*KFC!$B$19+KFC!$C$19)*KFC!$C$5</f>
        <v>100.53</v>
      </c>
      <c r="I205" s="932">
        <f>(AE205*KFC!$B$19+KFC!$C$19)*KFC!$C$5</f>
        <v>108.25</v>
      </c>
      <c r="J205" s="932">
        <f>(AF205*KFC!$B$19+KFC!$C$19)*KFC!$C$5</f>
        <v>116.26</v>
      </c>
      <c r="K205" s="932">
        <f>(AG205*KFC!$B$19+KFC!$C$19)*KFC!$C$5</f>
        <v>124.41</v>
      </c>
      <c r="L205" s="932">
        <f>(AH205*KFC!$B$19+KFC!$C$19)*KFC!$C$5</f>
        <v>132.13</v>
      </c>
      <c r="M205" s="932">
        <f>(AI205*KFC!$B$19+KFC!$C$19)*KFC!$C$5</f>
        <v>140.28</v>
      </c>
      <c r="N205" s="932">
        <f>(AJ205*KFC!$B$19+KFC!$C$19)*KFC!$C$5</f>
        <v>148.43</v>
      </c>
      <c r="O205" s="932">
        <f>(AK205*KFC!$B$19+KFC!$C$19)*KFC!$C$5</f>
        <v>156.16</v>
      </c>
      <c r="P205" s="932">
        <f>(AL205*KFC!$B$19+KFC!$C$19)*KFC!$C$5</f>
        <v>164.31</v>
      </c>
      <c r="Q205" s="932">
        <f>(AM205*KFC!$B$19+KFC!$C$19)*KFC!$C$5</f>
        <v>172.46</v>
      </c>
      <c r="R205" s="932">
        <f>(AN205*KFC!$B$19+KFC!$C$19)*KFC!$C$5</f>
        <v>180.61</v>
      </c>
      <c r="S205" s="932">
        <f>(AO205*KFC!$B$19+KFC!$C$19)*KFC!$C$5</f>
        <v>188.62</v>
      </c>
      <c r="T205" s="932">
        <f>(AP205*KFC!$B$19+KFC!$C$19)*KFC!$C$5</f>
        <v>196.63</v>
      </c>
      <c r="U205" s="943">
        <f>(AQ205*KFC!$B$19+KFC!$C$19)*KFC!$C$5</f>
        <v>204.64</v>
      </c>
      <c r="V205" s="928"/>
      <c r="X205" s="923">
        <v>1.9</v>
      </c>
      <c r="Y205" s="929">
        <v>60.49</v>
      </c>
      <c r="Z205" s="929">
        <v>68.209999999999994</v>
      </c>
      <c r="AA205" s="929">
        <v>76.36</v>
      </c>
      <c r="AB205" s="929">
        <v>84.51</v>
      </c>
      <c r="AC205" s="929">
        <v>92.38</v>
      </c>
      <c r="AD205" s="929">
        <v>100.53</v>
      </c>
      <c r="AE205" s="929">
        <v>108.25</v>
      </c>
      <c r="AF205" s="929">
        <v>116.26</v>
      </c>
      <c r="AG205" s="929">
        <v>124.41</v>
      </c>
      <c r="AH205" s="929">
        <v>132.13</v>
      </c>
      <c r="AI205" s="929">
        <v>140.28</v>
      </c>
      <c r="AJ205" s="929">
        <v>148.43</v>
      </c>
      <c r="AK205" s="929">
        <v>156.16</v>
      </c>
      <c r="AL205" s="929">
        <v>164.31</v>
      </c>
      <c r="AM205" s="929">
        <v>172.46</v>
      </c>
      <c r="AN205" s="929">
        <v>180.61</v>
      </c>
      <c r="AO205" s="929">
        <v>188.62</v>
      </c>
      <c r="AP205" s="929">
        <v>196.63</v>
      </c>
      <c r="AQ205" s="929">
        <v>204.64</v>
      </c>
      <c r="AR205" s="929">
        <v>212.65</v>
      </c>
    </row>
    <row r="206" spans="1:44">
      <c r="A206" s="1538"/>
      <c r="B206" s="930">
        <v>2</v>
      </c>
      <c r="C206" s="931">
        <f>(Y206*KFC!$B$19+KFC!$C$19)*KFC!$C$5</f>
        <v>62.06</v>
      </c>
      <c r="D206" s="932">
        <f>(Z206*KFC!$B$19+KFC!$C$19)*KFC!$C$5</f>
        <v>70.209999999999994</v>
      </c>
      <c r="E206" s="932">
        <f>(AA206*KFC!$B$19+KFC!$C$19)*KFC!$C$5</f>
        <v>78.790000000000006</v>
      </c>
      <c r="F206" s="932">
        <f>(AB206*KFC!$B$19+KFC!$C$19)*KFC!$C$5</f>
        <v>86.94</v>
      </c>
      <c r="G206" s="932">
        <f>(AC206*KFC!$B$19+KFC!$C$19)*KFC!$C$5</f>
        <v>95.1</v>
      </c>
      <c r="H206" s="932">
        <f>(AD206*KFC!$B$19+KFC!$C$19)*KFC!$C$5</f>
        <v>103.53</v>
      </c>
      <c r="I206" s="932">
        <f>(AE206*KFC!$B$19+KFC!$C$19)*KFC!$C$5</f>
        <v>111.83</v>
      </c>
      <c r="J206" s="932">
        <f>(AF206*KFC!$B$19+KFC!$C$19)*KFC!$C$5</f>
        <v>119.98</v>
      </c>
      <c r="K206" s="932">
        <f>(AG206*KFC!$B$19+KFC!$C$19)*KFC!$C$5</f>
        <v>128.56</v>
      </c>
      <c r="L206" s="932">
        <f>(AH206*KFC!$B$19+KFC!$C$19)*KFC!$C$5</f>
        <v>136.85</v>
      </c>
      <c r="M206" s="932">
        <f>(AI206*KFC!$B$19+KFC!$C$19)*KFC!$C$5</f>
        <v>145</v>
      </c>
      <c r="N206" s="932">
        <f>(AJ206*KFC!$B$19+KFC!$C$19)*KFC!$C$5</f>
        <v>153.44</v>
      </c>
      <c r="O206" s="932">
        <f>(AK206*KFC!$B$19+KFC!$C$19)*KFC!$C$5</f>
        <v>161.59</v>
      </c>
      <c r="P206" s="932">
        <f>(AL206*KFC!$B$19+KFC!$C$19)*KFC!$C$5</f>
        <v>169.74</v>
      </c>
      <c r="Q206" s="932">
        <f>(AM206*KFC!$B$19+KFC!$C$19)*KFC!$C$5</f>
        <v>178.18</v>
      </c>
      <c r="R206" s="932">
        <f>(AN206*KFC!$B$19+KFC!$C$19)*KFC!$C$5</f>
        <v>186.47</v>
      </c>
      <c r="S206" s="932">
        <f>(AO206*KFC!$B$19+KFC!$C$19)*KFC!$C$5</f>
        <v>194.62</v>
      </c>
      <c r="T206" s="932">
        <f>(AP206*KFC!$B$19+KFC!$C$19)*KFC!$C$5</f>
        <v>202.77</v>
      </c>
      <c r="U206" s="943">
        <f>(AQ206*KFC!$B$19+KFC!$C$19)*KFC!$C$5</f>
        <v>210.92</v>
      </c>
      <c r="V206" s="928"/>
      <c r="X206" s="923">
        <v>2</v>
      </c>
      <c r="Y206" s="929">
        <v>62.06</v>
      </c>
      <c r="Z206" s="929">
        <v>70.209999999999994</v>
      </c>
      <c r="AA206" s="929">
        <v>78.790000000000006</v>
      </c>
      <c r="AB206" s="929">
        <v>86.94</v>
      </c>
      <c r="AC206" s="929">
        <v>95.1</v>
      </c>
      <c r="AD206" s="929">
        <v>103.53</v>
      </c>
      <c r="AE206" s="929">
        <v>111.83</v>
      </c>
      <c r="AF206" s="929">
        <v>119.98</v>
      </c>
      <c r="AG206" s="929">
        <v>128.56</v>
      </c>
      <c r="AH206" s="929">
        <v>136.85</v>
      </c>
      <c r="AI206" s="929">
        <v>145</v>
      </c>
      <c r="AJ206" s="929">
        <v>153.44</v>
      </c>
      <c r="AK206" s="929">
        <v>161.59</v>
      </c>
      <c r="AL206" s="929">
        <v>169.74</v>
      </c>
      <c r="AM206" s="929">
        <v>178.18</v>
      </c>
      <c r="AN206" s="929">
        <v>186.47</v>
      </c>
      <c r="AO206" s="929">
        <v>194.62</v>
      </c>
      <c r="AP206" s="929">
        <v>202.77</v>
      </c>
      <c r="AQ206" s="929">
        <v>210.92</v>
      </c>
      <c r="AR206" s="929">
        <v>219.07</v>
      </c>
    </row>
    <row r="207" spans="1:44">
      <c r="A207" s="1538"/>
      <c r="B207" s="930">
        <v>2.1</v>
      </c>
      <c r="C207" s="931">
        <f>(Y207*KFC!$B$19+KFC!$C$19)*KFC!$C$5</f>
        <v>63.49</v>
      </c>
      <c r="D207" s="932">
        <f>(Z207*KFC!$B$19+KFC!$C$19)*KFC!$C$5</f>
        <v>72.22</v>
      </c>
      <c r="E207" s="932">
        <f>(AA207*KFC!$B$19+KFC!$C$19)*KFC!$C$5</f>
        <v>80.8</v>
      </c>
      <c r="F207" s="932">
        <f>(AB207*KFC!$B$19+KFC!$C$19)*KFC!$C$5</f>
        <v>89.23</v>
      </c>
      <c r="G207" s="932">
        <f>(AC207*KFC!$B$19+KFC!$C$19)*KFC!$C$5</f>
        <v>97.96</v>
      </c>
      <c r="H207" s="932">
        <f>(AD207*KFC!$B$19+KFC!$C$19)*KFC!$C$5</f>
        <v>106.68</v>
      </c>
      <c r="I207" s="932">
        <f>(AE207*KFC!$B$19+KFC!$C$19)*KFC!$C$5</f>
        <v>115.12</v>
      </c>
      <c r="J207" s="932">
        <f>(AF207*KFC!$B$19+KFC!$C$19)*KFC!$C$5</f>
        <v>123.84</v>
      </c>
      <c r="K207" s="932">
        <f>(AG207*KFC!$B$19+KFC!$C$19)*KFC!$C$5</f>
        <v>132.56</v>
      </c>
      <c r="L207" s="932">
        <f>(AH207*KFC!$B$19+KFC!$C$19)*KFC!$C$5</f>
        <v>141.13999999999999</v>
      </c>
      <c r="M207" s="932">
        <f>(AI207*KFC!$B$19+KFC!$C$19)*KFC!$C$5</f>
        <v>149.72</v>
      </c>
      <c r="N207" s="932">
        <f>(AJ207*KFC!$B$19+KFC!$C$19)*KFC!$C$5</f>
        <v>158.59</v>
      </c>
      <c r="O207" s="932">
        <f>(AK207*KFC!$B$19+KFC!$C$19)*KFC!$C$5</f>
        <v>167.02</v>
      </c>
      <c r="P207" s="932">
        <f>(AL207*KFC!$B$19+KFC!$C$19)*KFC!$C$5</f>
        <v>175.6</v>
      </c>
      <c r="Q207" s="932">
        <f>(AM207*KFC!$B$19+KFC!$C$19)*KFC!$C$5</f>
        <v>184.33</v>
      </c>
      <c r="R207" s="932">
        <f>(AN207*KFC!$B$19+KFC!$C$19)*KFC!$C$5</f>
        <v>192.76</v>
      </c>
      <c r="S207" s="932">
        <f>(AO207*KFC!$B$19+KFC!$C$19)*KFC!$C$5</f>
        <v>201.49</v>
      </c>
      <c r="T207" s="932">
        <f>(AP207*KFC!$B$19+KFC!$C$19)*KFC!$C$5</f>
        <v>210.22</v>
      </c>
      <c r="U207" s="943">
        <f>(AQ207*KFC!$B$19+KFC!$C$19)*KFC!$C$5</f>
        <v>218.95</v>
      </c>
      <c r="V207" s="928"/>
      <c r="X207" s="923">
        <v>2.1</v>
      </c>
      <c r="Y207" s="929">
        <v>63.49</v>
      </c>
      <c r="Z207" s="929">
        <v>72.22</v>
      </c>
      <c r="AA207" s="929">
        <v>80.8</v>
      </c>
      <c r="AB207" s="929">
        <v>89.23</v>
      </c>
      <c r="AC207" s="929">
        <v>97.96</v>
      </c>
      <c r="AD207" s="929">
        <v>106.68</v>
      </c>
      <c r="AE207" s="929">
        <v>115.12</v>
      </c>
      <c r="AF207" s="929">
        <v>123.84</v>
      </c>
      <c r="AG207" s="929">
        <v>132.56</v>
      </c>
      <c r="AH207" s="929">
        <v>141.13999999999999</v>
      </c>
      <c r="AI207" s="929">
        <v>149.72</v>
      </c>
      <c r="AJ207" s="929">
        <v>158.59</v>
      </c>
      <c r="AK207" s="929">
        <v>167.02</v>
      </c>
      <c r="AL207" s="929">
        <v>175.6</v>
      </c>
      <c r="AM207" s="929">
        <v>184.33</v>
      </c>
      <c r="AN207" s="929">
        <v>192.76</v>
      </c>
      <c r="AO207" s="929">
        <v>201.49</v>
      </c>
      <c r="AP207" s="929">
        <v>210.22</v>
      </c>
      <c r="AQ207" s="929">
        <v>218.95</v>
      </c>
      <c r="AR207" s="929">
        <v>227.68</v>
      </c>
    </row>
    <row r="208" spans="1:44">
      <c r="A208" s="1538"/>
      <c r="B208" s="930">
        <v>2.2000000000000002</v>
      </c>
      <c r="C208" s="931">
        <f>(Y208*KFC!$B$19+KFC!$C$19)*KFC!$C$5</f>
        <v>64.92</v>
      </c>
      <c r="D208" s="932">
        <f>(Z208*KFC!$B$19+KFC!$C$19)*KFC!$C$5</f>
        <v>74.069999999999993</v>
      </c>
      <c r="E208" s="932">
        <f>(AA208*KFC!$B$19+KFC!$C$19)*KFC!$C$5</f>
        <v>83.08</v>
      </c>
      <c r="F208" s="932">
        <f>(AB208*KFC!$B$19+KFC!$C$19)*KFC!$C$5</f>
        <v>91.95</v>
      </c>
      <c r="G208" s="932">
        <f>(AC208*KFC!$B$19+KFC!$C$19)*KFC!$C$5</f>
        <v>100.82</v>
      </c>
      <c r="H208" s="932">
        <f>(AD208*KFC!$B$19+KFC!$C$19)*KFC!$C$5</f>
        <v>109.82</v>
      </c>
      <c r="I208" s="932">
        <f>(AE208*KFC!$B$19+KFC!$C$19)*KFC!$C$5</f>
        <v>118.69</v>
      </c>
      <c r="J208" s="932">
        <f>(AF208*KFC!$B$19+KFC!$C$19)*KFC!$C$5</f>
        <v>127.84</v>
      </c>
      <c r="K208" s="932">
        <f>(AG208*KFC!$B$19+KFC!$C$19)*KFC!$C$5</f>
        <v>136.71</v>
      </c>
      <c r="L208" s="932">
        <f>(AH208*KFC!$B$19+KFC!$C$19)*KFC!$C$5</f>
        <v>145.57</v>
      </c>
      <c r="M208" s="932">
        <f>(AI208*KFC!$B$19+KFC!$C$19)*KFC!$C$5</f>
        <v>154.58000000000001</v>
      </c>
      <c r="N208" s="932">
        <f>(AJ208*KFC!$B$19+KFC!$C$19)*KFC!$C$5</f>
        <v>163.59</v>
      </c>
      <c r="O208" s="932">
        <f>(AK208*KFC!$B$19+KFC!$C$19)*KFC!$C$5</f>
        <v>172.32</v>
      </c>
      <c r="P208" s="932">
        <f>(AL208*KFC!$B$19+KFC!$C$19)*KFC!$C$5</f>
        <v>181.32</v>
      </c>
      <c r="Q208" s="932">
        <f>(AM208*KFC!$B$19+KFC!$C$19)*KFC!$C$5</f>
        <v>190.48</v>
      </c>
      <c r="R208" s="932">
        <f>(AN208*KFC!$B$19+KFC!$C$19)*KFC!$C$5</f>
        <v>199.49</v>
      </c>
      <c r="S208" s="932">
        <f>(AO208*KFC!$B$19+KFC!$C$19)*KFC!$C$5</f>
        <v>208.49</v>
      </c>
      <c r="T208" s="932">
        <f>(AP208*KFC!$B$19+KFC!$C$19)*KFC!$C$5</f>
        <v>217.49</v>
      </c>
      <c r="U208" s="943">
        <f>(AQ208*KFC!$B$19+KFC!$C$19)*KFC!$C$5</f>
        <v>226.49</v>
      </c>
      <c r="V208" s="928"/>
      <c r="X208" s="923">
        <v>2.2000000000000002</v>
      </c>
      <c r="Y208" s="929">
        <v>64.92</v>
      </c>
      <c r="Z208" s="929">
        <v>74.069999999999993</v>
      </c>
      <c r="AA208" s="929">
        <v>83.08</v>
      </c>
      <c r="AB208" s="929">
        <v>91.95</v>
      </c>
      <c r="AC208" s="929">
        <v>100.82</v>
      </c>
      <c r="AD208" s="929">
        <v>109.82</v>
      </c>
      <c r="AE208" s="929">
        <v>118.69</v>
      </c>
      <c r="AF208" s="929">
        <v>127.84</v>
      </c>
      <c r="AG208" s="929">
        <v>136.71</v>
      </c>
      <c r="AH208" s="929">
        <v>145.57</v>
      </c>
      <c r="AI208" s="929">
        <v>154.58000000000001</v>
      </c>
      <c r="AJ208" s="929">
        <v>163.59</v>
      </c>
      <c r="AK208" s="929">
        <v>172.32</v>
      </c>
      <c r="AL208" s="929">
        <v>181.32</v>
      </c>
      <c r="AM208" s="929">
        <v>190.48</v>
      </c>
      <c r="AN208" s="929">
        <v>199.49</v>
      </c>
      <c r="AO208" s="929">
        <v>208.49</v>
      </c>
      <c r="AP208" s="929">
        <v>217.49</v>
      </c>
      <c r="AQ208" s="929">
        <v>226.49</v>
      </c>
      <c r="AR208" s="929">
        <v>235.49</v>
      </c>
    </row>
    <row r="209" spans="1:44">
      <c r="A209" s="1538"/>
      <c r="B209" s="930">
        <v>2.2999999999999998</v>
      </c>
      <c r="C209" s="931">
        <f>(Y209*KFC!$B$19+KFC!$C$19)*KFC!$C$5</f>
        <v>66.5</v>
      </c>
      <c r="D209" s="932">
        <f>(Z209*KFC!$B$19+KFC!$C$19)*KFC!$C$5</f>
        <v>75.790000000000006</v>
      </c>
      <c r="E209" s="932">
        <f>(AA209*KFC!$B$19+KFC!$C$19)*KFC!$C$5</f>
        <v>85.09</v>
      </c>
      <c r="F209" s="932">
        <f>(AB209*KFC!$B$19+KFC!$C$19)*KFC!$C$5</f>
        <v>94.24</v>
      </c>
      <c r="G209" s="932">
        <f>(AC209*KFC!$B$19+KFC!$C$19)*KFC!$C$5</f>
        <v>103.53</v>
      </c>
      <c r="H209" s="932">
        <f>(AD209*KFC!$B$19+KFC!$C$19)*KFC!$C$5</f>
        <v>112.97</v>
      </c>
      <c r="I209" s="932">
        <f>(AE209*KFC!$B$19+KFC!$C$19)*KFC!$C$5</f>
        <v>121.98</v>
      </c>
      <c r="J209" s="932">
        <f>(AF209*KFC!$B$19+KFC!$C$19)*KFC!$C$5</f>
        <v>131.56</v>
      </c>
      <c r="K209" s="932">
        <f>(AG209*KFC!$B$19+KFC!$C$19)*KFC!$C$5</f>
        <v>140.71</v>
      </c>
      <c r="L209" s="932">
        <f>(AH209*KFC!$B$19+KFC!$C$19)*KFC!$C$5</f>
        <v>150.01</v>
      </c>
      <c r="M209" s="932">
        <f>(AI209*KFC!$B$19+KFC!$C$19)*KFC!$C$5</f>
        <v>159.30000000000001</v>
      </c>
      <c r="N209" s="932">
        <f>(AJ209*KFC!$B$19+KFC!$C$19)*KFC!$C$5</f>
        <v>168.74</v>
      </c>
      <c r="O209" s="932">
        <f>(AK209*KFC!$B$19+KFC!$C$19)*KFC!$C$5</f>
        <v>177.75</v>
      </c>
      <c r="P209" s="932">
        <f>(AL209*KFC!$B$19+KFC!$C$19)*KFC!$C$5</f>
        <v>187.19</v>
      </c>
      <c r="Q209" s="932">
        <f>(AM209*KFC!$B$19+KFC!$C$19)*KFC!$C$5</f>
        <v>196.63</v>
      </c>
      <c r="R209" s="932">
        <f>(AN209*KFC!$B$19+KFC!$C$19)*KFC!$C$5</f>
        <v>205.78</v>
      </c>
      <c r="S209" s="932">
        <f>(AO209*KFC!$B$19+KFC!$C$19)*KFC!$C$5</f>
        <v>215.22</v>
      </c>
      <c r="T209" s="932">
        <f>(AP209*KFC!$B$19+KFC!$C$19)*KFC!$C$5</f>
        <v>224.66</v>
      </c>
      <c r="U209" s="943">
        <f>(AQ209*KFC!$B$19+KFC!$C$19)*KFC!$C$5</f>
        <v>234.1</v>
      </c>
      <c r="V209" s="928"/>
      <c r="X209" s="923">
        <v>2.2999999999999998</v>
      </c>
      <c r="Y209" s="929">
        <v>66.5</v>
      </c>
      <c r="Z209" s="929">
        <v>75.790000000000006</v>
      </c>
      <c r="AA209" s="929">
        <v>85.09</v>
      </c>
      <c r="AB209" s="929">
        <v>94.24</v>
      </c>
      <c r="AC209" s="929">
        <v>103.53</v>
      </c>
      <c r="AD209" s="929">
        <v>112.97</v>
      </c>
      <c r="AE209" s="929">
        <v>121.98</v>
      </c>
      <c r="AF209" s="929">
        <v>131.56</v>
      </c>
      <c r="AG209" s="929">
        <v>140.71</v>
      </c>
      <c r="AH209" s="929">
        <v>150.01</v>
      </c>
      <c r="AI209" s="929">
        <v>159.30000000000001</v>
      </c>
      <c r="AJ209" s="929">
        <v>168.74</v>
      </c>
      <c r="AK209" s="929">
        <v>177.75</v>
      </c>
      <c r="AL209" s="929">
        <v>187.19</v>
      </c>
      <c r="AM209" s="929">
        <v>196.63</v>
      </c>
      <c r="AN209" s="929">
        <v>205.78</v>
      </c>
      <c r="AO209" s="929">
        <v>215.22</v>
      </c>
      <c r="AP209" s="929">
        <v>224.66</v>
      </c>
      <c r="AQ209" s="929">
        <v>234.1</v>
      </c>
      <c r="AR209" s="929">
        <v>243.54</v>
      </c>
    </row>
    <row r="210" spans="1:44">
      <c r="A210" s="1538"/>
      <c r="B210" s="930">
        <v>2.4</v>
      </c>
      <c r="C210" s="931">
        <f>(Y210*KFC!$B$19+KFC!$C$19)*KFC!$C$5</f>
        <v>68.209999999999994</v>
      </c>
      <c r="D210" s="932">
        <f>(Z210*KFC!$B$19+KFC!$C$19)*KFC!$C$5</f>
        <v>77.790000000000006</v>
      </c>
      <c r="E210" s="932">
        <f>(AA210*KFC!$B$19+KFC!$C$19)*KFC!$C$5</f>
        <v>87.23</v>
      </c>
      <c r="F210" s="932">
        <f>(AB210*KFC!$B$19+KFC!$C$19)*KFC!$C$5</f>
        <v>96.81</v>
      </c>
      <c r="G210" s="932">
        <f>(AC210*KFC!$B$19+KFC!$C$19)*KFC!$C$5</f>
        <v>106.39</v>
      </c>
      <c r="H210" s="932">
        <f>(AD210*KFC!$B$19+KFC!$C$19)*KFC!$C$5</f>
        <v>115.97</v>
      </c>
      <c r="I210" s="932">
        <f>(AE210*KFC!$B$19+KFC!$C$19)*KFC!$C$5</f>
        <v>125.84</v>
      </c>
      <c r="J210" s="932">
        <f>(AF210*KFC!$B$19+KFC!$C$19)*KFC!$C$5</f>
        <v>135.28</v>
      </c>
      <c r="K210" s="932">
        <f>(AG210*KFC!$B$19+KFC!$C$19)*KFC!$C$5</f>
        <v>144.86000000000001</v>
      </c>
      <c r="L210" s="932">
        <f>(AH210*KFC!$B$19+KFC!$C$19)*KFC!$C$5</f>
        <v>154.44</v>
      </c>
      <c r="M210" s="932">
        <f>(AI210*KFC!$B$19+KFC!$C$19)*KFC!$C$5</f>
        <v>164.02</v>
      </c>
      <c r="N210" s="932">
        <f>(AJ210*KFC!$B$19+KFC!$C$19)*KFC!$C$5</f>
        <v>173.6</v>
      </c>
      <c r="O210" s="932">
        <f>(AK210*KFC!$B$19+KFC!$C$19)*KFC!$C$5</f>
        <v>183.18</v>
      </c>
      <c r="P210" s="932">
        <f>(AL210*KFC!$B$19+KFC!$C$19)*KFC!$C$5</f>
        <v>192.62</v>
      </c>
      <c r="Q210" s="932">
        <f>(AM210*KFC!$B$19+KFC!$C$19)*KFC!$C$5</f>
        <v>202.2</v>
      </c>
      <c r="R210" s="932">
        <f>(AN210*KFC!$B$19+KFC!$C$19)*KFC!$C$5</f>
        <v>211.64</v>
      </c>
      <c r="S210" s="932">
        <f>(AO210*KFC!$B$19+KFC!$C$19)*KFC!$C$5</f>
        <v>221.22</v>
      </c>
      <c r="T210" s="932">
        <f>(AP210*KFC!$B$19+KFC!$C$19)*KFC!$C$5</f>
        <v>230.8</v>
      </c>
      <c r="U210" s="943">
        <f>(AQ210*KFC!$B$19+KFC!$C$19)*KFC!$C$5</f>
        <v>240.38</v>
      </c>
      <c r="V210" s="928"/>
      <c r="X210" s="923">
        <v>2.4</v>
      </c>
      <c r="Y210" s="929">
        <v>68.209999999999994</v>
      </c>
      <c r="Z210" s="929">
        <v>77.790000000000006</v>
      </c>
      <c r="AA210" s="929">
        <v>87.23</v>
      </c>
      <c r="AB210" s="929">
        <v>96.81</v>
      </c>
      <c r="AC210" s="929">
        <v>106.39</v>
      </c>
      <c r="AD210" s="929">
        <v>115.97</v>
      </c>
      <c r="AE210" s="929">
        <v>125.84</v>
      </c>
      <c r="AF210" s="929">
        <v>135.28</v>
      </c>
      <c r="AG210" s="929">
        <v>144.86000000000001</v>
      </c>
      <c r="AH210" s="929">
        <v>154.44</v>
      </c>
      <c r="AI210" s="929">
        <v>164.02</v>
      </c>
      <c r="AJ210" s="929">
        <v>173.6</v>
      </c>
      <c r="AK210" s="929">
        <v>183.18</v>
      </c>
      <c r="AL210" s="929">
        <v>192.62</v>
      </c>
      <c r="AM210" s="929">
        <v>202.2</v>
      </c>
      <c r="AN210" s="929">
        <v>211.64</v>
      </c>
      <c r="AO210" s="929">
        <v>221.22</v>
      </c>
      <c r="AP210" s="929">
        <v>230.8</v>
      </c>
      <c r="AQ210" s="929">
        <v>240.38</v>
      </c>
      <c r="AR210" s="929">
        <v>249.96</v>
      </c>
    </row>
    <row r="211" spans="1:44">
      <c r="A211" s="1538"/>
      <c r="B211" s="930">
        <v>2.5</v>
      </c>
      <c r="C211" s="931">
        <f>(Y211*KFC!$B$19+KFC!$C$19)*KFC!$C$5</f>
        <v>69.64</v>
      </c>
      <c r="D211" s="932">
        <f>(Z211*KFC!$B$19+KFC!$C$19)*KFC!$C$5</f>
        <v>79.650000000000006</v>
      </c>
      <c r="E211" s="932">
        <f>(AA211*KFC!$B$19+KFC!$C$19)*KFC!$C$5</f>
        <v>89.66</v>
      </c>
      <c r="F211" s="932">
        <f>(AB211*KFC!$B$19+KFC!$C$19)*KFC!$C$5</f>
        <v>99.39</v>
      </c>
      <c r="G211" s="932">
        <f>(AC211*KFC!$B$19+KFC!$C$19)*KFC!$C$5</f>
        <v>109.11</v>
      </c>
      <c r="H211" s="932">
        <f>(AD211*KFC!$B$19+KFC!$C$19)*KFC!$C$5</f>
        <v>119.12</v>
      </c>
      <c r="I211" s="932">
        <f>(AE211*KFC!$B$19+KFC!$C$19)*KFC!$C$5</f>
        <v>129.13</v>
      </c>
      <c r="J211" s="932">
        <f>(AF211*KFC!$B$19+KFC!$C$19)*KFC!$C$5</f>
        <v>138.85</v>
      </c>
      <c r="K211" s="932">
        <f>(AG211*KFC!$B$19+KFC!$C$19)*KFC!$C$5</f>
        <v>148.86000000000001</v>
      </c>
      <c r="L211" s="932">
        <f>(AH211*KFC!$B$19+KFC!$C$19)*KFC!$C$5</f>
        <v>158.72999999999999</v>
      </c>
      <c r="M211" s="932">
        <f>(AI211*KFC!$B$19+KFC!$C$19)*KFC!$C$5</f>
        <v>168.74</v>
      </c>
      <c r="N211" s="932">
        <f>(AJ211*KFC!$B$19+KFC!$C$19)*KFC!$C$5</f>
        <v>178.61</v>
      </c>
      <c r="O211" s="932">
        <f>(AK211*KFC!$B$19+KFC!$C$19)*KFC!$C$5</f>
        <v>188.62</v>
      </c>
      <c r="P211" s="932">
        <f>(AL211*KFC!$B$19+KFC!$C$19)*KFC!$C$5</f>
        <v>198.63</v>
      </c>
      <c r="Q211" s="932">
        <f>(AM211*KFC!$B$19+KFC!$C$19)*KFC!$C$5</f>
        <v>208.35</v>
      </c>
      <c r="R211" s="932">
        <f>(AN211*KFC!$B$19+KFC!$C$19)*KFC!$C$5</f>
        <v>218.08</v>
      </c>
      <c r="S211" s="932">
        <f>(AO211*KFC!$B$19+KFC!$C$19)*KFC!$C$5</f>
        <v>227.94</v>
      </c>
      <c r="T211" s="932">
        <f>(AP211*KFC!$B$19+KFC!$C$19)*KFC!$C$5</f>
        <v>237.8</v>
      </c>
      <c r="U211" s="943">
        <f>(AQ211*KFC!$B$19+KFC!$C$19)*KFC!$C$5</f>
        <v>247.66</v>
      </c>
      <c r="V211" s="928"/>
      <c r="X211" s="923">
        <v>2.5</v>
      </c>
      <c r="Y211" s="929">
        <v>69.64</v>
      </c>
      <c r="Z211" s="929">
        <v>79.650000000000006</v>
      </c>
      <c r="AA211" s="929">
        <v>89.66</v>
      </c>
      <c r="AB211" s="929">
        <v>99.39</v>
      </c>
      <c r="AC211" s="929">
        <v>109.11</v>
      </c>
      <c r="AD211" s="929">
        <v>119.12</v>
      </c>
      <c r="AE211" s="929">
        <v>129.13</v>
      </c>
      <c r="AF211" s="929">
        <v>138.85</v>
      </c>
      <c r="AG211" s="929">
        <v>148.86000000000001</v>
      </c>
      <c r="AH211" s="929">
        <v>158.72999999999999</v>
      </c>
      <c r="AI211" s="929">
        <v>168.74</v>
      </c>
      <c r="AJ211" s="929">
        <v>178.61</v>
      </c>
      <c r="AK211" s="929">
        <v>188.62</v>
      </c>
      <c r="AL211" s="929">
        <v>198.63</v>
      </c>
      <c r="AM211" s="929">
        <v>208.35</v>
      </c>
      <c r="AN211" s="929">
        <v>218.08</v>
      </c>
      <c r="AO211" s="929">
        <v>227.94</v>
      </c>
      <c r="AP211" s="929">
        <v>237.8</v>
      </c>
      <c r="AQ211" s="929">
        <v>247.66</v>
      </c>
      <c r="AR211" s="929">
        <v>257.52</v>
      </c>
    </row>
    <row r="212" spans="1:44">
      <c r="A212" s="1538"/>
      <c r="B212" s="930">
        <v>2.6</v>
      </c>
      <c r="C212" s="931">
        <f>(Y212*KFC!$B$19+KFC!$C$19)*KFC!$C$5</f>
        <v>71.069999999999993</v>
      </c>
      <c r="D212" s="932">
        <f>(Z212*KFC!$B$19+KFC!$C$19)*KFC!$C$5</f>
        <v>81.510000000000005</v>
      </c>
      <c r="E212" s="932">
        <f>(AA212*KFC!$B$19+KFC!$C$19)*KFC!$C$5</f>
        <v>91.66</v>
      </c>
      <c r="F212" s="932">
        <f>(AB212*KFC!$B$19+KFC!$C$19)*KFC!$C$5</f>
        <v>101.96</v>
      </c>
      <c r="G212" s="932">
        <f>(AC212*KFC!$B$19+KFC!$C$19)*KFC!$C$5</f>
        <v>111.83</v>
      </c>
      <c r="H212" s="932">
        <f>(AD212*KFC!$B$19+KFC!$C$19)*KFC!$C$5</f>
        <v>122.41</v>
      </c>
      <c r="I212" s="932">
        <f>(AE212*KFC!$B$19+KFC!$C$19)*KFC!$C$5</f>
        <v>132.69999999999999</v>
      </c>
      <c r="J212" s="932">
        <f>(AF212*KFC!$B$19+KFC!$C$19)*KFC!$C$5</f>
        <v>142.86000000000001</v>
      </c>
      <c r="K212" s="932">
        <f>(AG212*KFC!$B$19+KFC!$C$19)*KFC!$C$5</f>
        <v>153.01</v>
      </c>
      <c r="L212" s="932">
        <f>(AH212*KFC!$B$19+KFC!$C$19)*KFC!$C$5</f>
        <v>163.31</v>
      </c>
      <c r="M212" s="932">
        <f>(AI212*KFC!$B$19+KFC!$C$19)*KFC!$C$5</f>
        <v>173.46</v>
      </c>
      <c r="N212" s="932">
        <f>(AJ212*KFC!$B$19+KFC!$C$19)*KFC!$C$5</f>
        <v>183.76</v>
      </c>
      <c r="O212" s="932">
        <f>(AK212*KFC!$B$19+KFC!$C$19)*KFC!$C$5</f>
        <v>193.91</v>
      </c>
      <c r="P212" s="932">
        <f>(AL212*KFC!$B$19+KFC!$C$19)*KFC!$C$5</f>
        <v>204.2</v>
      </c>
      <c r="Q212" s="932">
        <f>(AM212*KFC!$B$19+KFC!$C$19)*KFC!$C$5</f>
        <v>214.5</v>
      </c>
      <c r="R212" s="932">
        <f>(AN212*KFC!$B$19+KFC!$C$19)*KFC!$C$5</f>
        <v>224.65</v>
      </c>
      <c r="S212" s="932">
        <f>(AO212*KFC!$B$19+KFC!$C$19)*KFC!$C$5</f>
        <v>234.95</v>
      </c>
      <c r="T212" s="932">
        <f>(AP212*KFC!$B$19+KFC!$C$19)*KFC!$C$5</f>
        <v>245.25</v>
      </c>
      <c r="U212" s="943">
        <f>(AQ212*KFC!$B$19+KFC!$C$19)*KFC!$C$5</f>
        <v>255.55</v>
      </c>
      <c r="V212" s="928"/>
      <c r="X212" s="923">
        <v>2.6</v>
      </c>
      <c r="Y212" s="929">
        <v>71.069999999999993</v>
      </c>
      <c r="Z212" s="929">
        <v>81.510000000000005</v>
      </c>
      <c r="AA212" s="929">
        <v>91.66</v>
      </c>
      <c r="AB212" s="929">
        <v>101.96</v>
      </c>
      <c r="AC212" s="929">
        <v>111.83</v>
      </c>
      <c r="AD212" s="929">
        <v>122.41</v>
      </c>
      <c r="AE212" s="929">
        <v>132.69999999999999</v>
      </c>
      <c r="AF212" s="929">
        <v>142.86000000000001</v>
      </c>
      <c r="AG212" s="929">
        <v>153.01</v>
      </c>
      <c r="AH212" s="929">
        <v>163.31</v>
      </c>
      <c r="AI212" s="929">
        <v>173.46</v>
      </c>
      <c r="AJ212" s="929">
        <v>183.76</v>
      </c>
      <c r="AK212" s="929">
        <v>193.91</v>
      </c>
      <c r="AL212" s="929">
        <v>204.2</v>
      </c>
      <c r="AM212" s="929">
        <v>214.5</v>
      </c>
      <c r="AN212" s="929">
        <v>224.65</v>
      </c>
      <c r="AO212" s="929">
        <v>234.95</v>
      </c>
      <c r="AP212" s="929">
        <v>245.25</v>
      </c>
      <c r="AQ212" s="929">
        <v>255.55</v>
      </c>
      <c r="AR212" s="929">
        <v>265.85000000000002</v>
      </c>
    </row>
    <row r="213" spans="1:44">
      <c r="A213" s="1538"/>
      <c r="B213" s="930">
        <v>2.7</v>
      </c>
      <c r="C213" s="931">
        <f>(Y213*KFC!$B$19+KFC!$C$19)*KFC!$C$5</f>
        <v>72.790000000000006</v>
      </c>
      <c r="D213" s="932">
        <f>(Z213*KFC!$B$19+KFC!$C$19)*KFC!$C$5</f>
        <v>83.23</v>
      </c>
      <c r="E213" s="932">
        <f>(AA213*KFC!$B$19+KFC!$C$19)*KFC!$C$5</f>
        <v>93.52</v>
      </c>
      <c r="F213" s="932">
        <f>(AB213*KFC!$B$19+KFC!$C$19)*KFC!$C$5</f>
        <v>104.25</v>
      </c>
      <c r="G213" s="932">
        <f>(AC213*KFC!$B$19+KFC!$C$19)*KFC!$C$5</f>
        <v>114.83</v>
      </c>
      <c r="H213" s="932">
        <f>(AD213*KFC!$B$19+KFC!$C$19)*KFC!$C$5</f>
        <v>125.55</v>
      </c>
      <c r="I213" s="932">
        <f>(AE213*KFC!$B$19+KFC!$C$19)*KFC!$C$5</f>
        <v>136.13999999999999</v>
      </c>
      <c r="J213" s="932">
        <f>(AF213*KFC!$B$19+KFC!$C$19)*KFC!$C$5</f>
        <v>146.58000000000001</v>
      </c>
      <c r="K213" s="932">
        <f>(AG213*KFC!$B$19+KFC!$C$19)*KFC!$C$5</f>
        <v>157.16</v>
      </c>
      <c r="L213" s="932">
        <f>(AH213*KFC!$B$19+KFC!$C$19)*KFC!$C$5</f>
        <v>167.6</v>
      </c>
      <c r="M213" s="932">
        <f>(AI213*KFC!$B$19+KFC!$C$19)*KFC!$C$5</f>
        <v>177.89</v>
      </c>
      <c r="N213" s="932">
        <f>(AJ213*KFC!$B$19+KFC!$C$19)*KFC!$C$5</f>
        <v>188.76</v>
      </c>
      <c r="O213" s="932">
        <f>(AK213*KFC!$B$19+KFC!$C$19)*KFC!$C$5</f>
        <v>199.06</v>
      </c>
      <c r="P213" s="932">
        <f>(AL213*KFC!$B$19+KFC!$C$19)*KFC!$C$5</f>
        <v>209.78</v>
      </c>
      <c r="Q213" s="932">
        <f>(AM213*KFC!$B$19+KFC!$C$19)*KFC!$C$5</f>
        <v>220.51</v>
      </c>
      <c r="R213" s="932">
        <f>(AN213*KFC!$B$19+KFC!$C$19)*KFC!$C$5</f>
        <v>231.37</v>
      </c>
      <c r="S213" s="932">
        <f>(AO213*KFC!$B$19+KFC!$C$19)*KFC!$C$5</f>
        <v>241.96</v>
      </c>
      <c r="T213" s="932">
        <f>(AP213*KFC!$B$19+KFC!$C$19)*KFC!$C$5</f>
        <v>252.55</v>
      </c>
      <c r="U213" s="943">
        <f>(AQ213*KFC!$B$19+KFC!$C$19)*KFC!$C$5</f>
        <v>263.14</v>
      </c>
      <c r="V213" s="928"/>
      <c r="X213" s="923">
        <v>2.7</v>
      </c>
      <c r="Y213" s="929">
        <v>72.790000000000006</v>
      </c>
      <c r="Z213" s="929">
        <v>83.23</v>
      </c>
      <c r="AA213" s="929">
        <v>93.52</v>
      </c>
      <c r="AB213" s="929">
        <v>104.25</v>
      </c>
      <c r="AC213" s="929">
        <v>114.83</v>
      </c>
      <c r="AD213" s="929">
        <v>125.55</v>
      </c>
      <c r="AE213" s="929">
        <v>136.13999999999999</v>
      </c>
      <c r="AF213" s="929">
        <v>146.58000000000001</v>
      </c>
      <c r="AG213" s="929">
        <v>157.16</v>
      </c>
      <c r="AH213" s="929">
        <v>167.6</v>
      </c>
      <c r="AI213" s="929">
        <v>177.89</v>
      </c>
      <c r="AJ213" s="929">
        <v>188.76</v>
      </c>
      <c r="AK213" s="929">
        <v>199.06</v>
      </c>
      <c r="AL213" s="929">
        <v>209.78</v>
      </c>
      <c r="AM213" s="929">
        <v>220.51</v>
      </c>
      <c r="AN213" s="929">
        <v>231.37</v>
      </c>
      <c r="AO213" s="929">
        <v>241.96</v>
      </c>
      <c r="AP213" s="929">
        <v>252.55</v>
      </c>
      <c r="AQ213" s="929">
        <v>263.14</v>
      </c>
      <c r="AR213" s="929">
        <v>273.73</v>
      </c>
    </row>
    <row r="214" spans="1:44">
      <c r="A214" s="1538"/>
      <c r="B214" s="930">
        <v>2.8</v>
      </c>
      <c r="C214" s="931">
        <f>(Y214*KFC!$B$19+KFC!$C$19)*KFC!$C$5</f>
        <v>74.510000000000005</v>
      </c>
      <c r="D214" s="932">
        <f>(Z214*KFC!$B$19+KFC!$C$19)*KFC!$C$5</f>
        <v>84.95</v>
      </c>
      <c r="E214" s="932">
        <f>(AA214*KFC!$B$19+KFC!$C$19)*KFC!$C$5</f>
        <v>95.38</v>
      </c>
      <c r="F214" s="932">
        <f>(AB214*KFC!$B$19+KFC!$C$19)*KFC!$C$5</f>
        <v>106.54</v>
      </c>
      <c r="G214" s="932">
        <f>(AC214*KFC!$B$19+KFC!$C$19)*KFC!$C$5</f>
        <v>117.83</v>
      </c>
      <c r="H214" s="932">
        <f>(AD214*KFC!$B$19+KFC!$C$19)*KFC!$C$5</f>
        <v>128.69</v>
      </c>
      <c r="I214" s="932">
        <f>(AE214*KFC!$B$19+KFC!$C$19)*KFC!$C$5</f>
        <v>139.58000000000001</v>
      </c>
      <c r="J214" s="932">
        <f>(AF214*KFC!$B$19+KFC!$C$19)*KFC!$C$5</f>
        <v>150.30000000000001</v>
      </c>
      <c r="K214" s="932">
        <f>(AG214*KFC!$B$19+KFC!$C$19)*KFC!$C$5</f>
        <v>161.31</v>
      </c>
      <c r="L214" s="932">
        <f>(AH214*KFC!$B$19+KFC!$C$19)*KFC!$C$5</f>
        <v>171.89</v>
      </c>
      <c r="M214" s="932">
        <f>(AI214*KFC!$B$19+KFC!$C$19)*KFC!$C$5</f>
        <v>182.32</v>
      </c>
      <c r="N214" s="932">
        <f>(AJ214*KFC!$B$19+KFC!$C$19)*KFC!$C$5</f>
        <v>193.76</v>
      </c>
      <c r="O214" s="932">
        <f>(AK214*KFC!$B$19+KFC!$C$19)*KFC!$C$5</f>
        <v>204.21</v>
      </c>
      <c r="P214" s="932">
        <f>(AL214*KFC!$B$19+KFC!$C$19)*KFC!$C$5</f>
        <v>215.36</v>
      </c>
      <c r="Q214" s="932">
        <f>(AM214*KFC!$B$19+KFC!$C$19)*KFC!$C$5</f>
        <v>226.52</v>
      </c>
      <c r="R214" s="932">
        <f>(AN214*KFC!$B$19+KFC!$C$19)*KFC!$C$5</f>
        <v>238.09</v>
      </c>
      <c r="S214" s="932">
        <f>(AO214*KFC!$B$19+KFC!$C$19)*KFC!$C$5</f>
        <v>248.97</v>
      </c>
      <c r="T214" s="932">
        <f>(AP214*KFC!$B$19+KFC!$C$19)*KFC!$C$5</f>
        <v>259.85000000000002</v>
      </c>
      <c r="U214" s="943">
        <f>(AQ214*KFC!$B$19+KFC!$C$19)*KFC!$C$5</f>
        <v>270.73</v>
      </c>
      <c r="V214" s="928"/>
      <c r="X214" s="923">
        <v>2.8</v>
      </c>
      <c r="Y214" s="929">
        <v>74.510000000000005</v>
      </c>
      <c r="Z214" s="929">
        <v>84.95</v>
      </c>
      <c r="AA214" s="929">
        <v>95.38</v>
      </c>
      <c r="AB214" s="929">
        <v>106.54</v>
      </c>
      <c r="AC214" s="929">
        <v>117.83</v>
      </c>
      <c r="AD214" s="929">
        <v>128.69</v>
      </c>
      <c r="AE214" s="929">
        <v>139.58000000000001</v>
      </c>
      <c r="AF214" s="929">
        <v>150.30000000000001</v>
      </c>
      <c r="AG214" s="929">
        <v>161.31</v>
      </c>
      <c r="AH214" s="929">
        <v>171.89</v>
      </c>
      <c r="AI214" s="929">
        <v>182.32</v>
      </c>
      <c r="AJ214" s="929">
        <v>193.76</v>
      </c>
      <c r="AK214" s="929">
        <v>204.21</v>
      </c>
      <c r="AL214" s="929">
        <v>215.36</v>
      </c>
      <c r="AM214" s="929">
        <v>226.52</v>
      </c>
      <c r="AN214" s="929">
        <v>238.09</v>
      </c>
      <c r="AO214" s="929">
        <v>248.97</v>
      </c>
      <c r="AP214" s="929">
        <v>259.85000000000002</v>
      </c>
      <c r="AQ214" s="929">
        <v>270.73</v>
      </c>
      <c r="AR214" s="929">
        <v>281.61</v>
      </c>
    </row>
    <row r="215" spans="1:44">
      <c r="A215" s="1538"/>
      <c r="B215" s="930">
        <v>2.9</v>
      </c>
      <c r="C215" s="931">
        <f>(Y215*KFC!$B$19+KFC!$C$19)*KFC!$C$5</f>
        <v>76.23</v>
      </c>
      <c r="D215" s="932">
        <f>(Z215*KFC!$B$19+KFC!$C$19)*KFC!$C$5</f>
        <v>86.67</v>
      </c>
      <c r="E215" s="932">
        <f>(AA215*KFC!$B$19+KFC!$C$19)*KFC!$C$5</f>
        <v>97.24</v>
      </c>
      <c r="F215" s="932">
        <f>(AB215*KFC!$B$19+KFC!$C$19)*KFC!$C$5</f>
        <v>108.83</v>
      </c>
      <c r="G215" s="932">
        <f>(AC215*KFC!$B$19+KFC!$C$19)*KFC!$C$5</f>
        <v>120.83</v>
      </c>
      <c r="H215" s="932">
        <f>(AD215*KFC!$B$19+KFC!$C$19)*KFC!$C$5</f>
        <v>131.83000000000001</v>
      </c>
      <c r="I215" s="932">
        <f>(AE215*KFC!$B$19+KFC!$C$19)*KFC!$C$5</f>
        <v>143.02000000000001</v>
      </c>
      <c r="J215" s="932">
        <f>(AF215*KFC!$B$19+KFC!$C$19)*KFC!$C$5</f>
        <v>154.02000000000001</v>
      </c>
      <c r="K215" s="932">
        <f>(AG215*KFC!$B$19+KFC!$C$19)*KFC!$C$5</f>
        <v>165.46</v>
      </c>
      <c r="L215" s="932">
        <f>(AH215*KFC!$B$19+KFC!$C$19)*KFC!$C$5</f>
        <v>176.18</v>
      </c>
      <c r="M215" s="932">
        <f>(AI215*KFC!$B$19+KFC!$C$19)*KFC!$C$5</f>
        <v>186.75</v>
      </c>
      <c r="N215" s="932">
        <f>(AJ215*KFC!$B$19+KFC!$C$19)*KFC!$C$5</f>
        <v>198.76</v>
      </c>
      <c r="O215" s="932">
        <f>(AK215*KFC!$B$19+KFC!$C$19)*KFC!$C$5</f>
        <v>209.36</v>
      </c>
      <c r="P215" s="932">
        <f>(AL215*KFC!$B$19+KFC!$C$19)*KFC!$C$5</f>
        <v>220.94</v>
      </c>
      <c r="Q215" s="932">
        <f>(AM215*KFC!$B$19+KFC!$C$19)*KFC!$C$5</f>
        <v>232.53</v>
      </c>
      <c r="R215" s="932">
        <f>(AN215*KFC!$B$19+KFC!$C$19)*KFC!$C$5</f>
        <v>244.81</v>
      </c>
      <c r="S215" s="932">
        <f>(AO215*KFC!$B$19+KFC!$C$19)*KFC!$C$5</f>
        <v>255.98</v>
      </c>
      <c r="T215" s="932">
        <f>(AP215*KFC!$B$19+KFC!$C$19)*KFC!$C$5</f>
        <v>267.14999999999998</v>
      </c>
      <c r="U215" s="943">
        <f>(AQ215*KFC!$B$19+KFC!$C$19)*KFC!$C$5</f>
        <v>278.32</v>
      </c>
      <c r="V215" s="928"/>
      <c r="X215" s="923">
        <v>2.9</v>
      </c>
      <c r="Y215" s="929">
        <v>76.23</v>
      </c>
      <c r="Z215" s="929">
        <v>86.67</v>
      </c>
      <c r="AA215" s="929">
        <v>97.24</v>
      </c>
      <c r="AB215" s="929">
        <v>108.83</v>
      </c>
      <c r="AC215" s="929">
        <v>120.83</v>
      </c>
      <c r="AD215" s="929">
        <v>131.83000000000001</v>
      </c>
      <c r="AE215" s="929">
        <v>143.02000000000001</v>
      </c>
      <c r="AF215" s="929">
        <v>154.02000000000001</v>
      </c>
      <c r="AG215" s="929">
        <v>165.46</v>
      </c>
      <c r="AH215" s="929">
        <v>176.18</v>
      </c>
      <c r="AI215" s="929">
        <v>186.75</v>
      </c>
      <c r="AJ215" s="929">
        <v>198.76</v>
      </c>
      <c r="AK215" s="929">
        <v>209.36</v>
      </c>
      <c r="AL215" s="929">
        <v>220.94</v>
      </c>
      <c r="AM215" s="929">
        <v>232.53</v>
      </c>
      <c r="AN215" s="929">
        <v>244.81</v>
      </c>
      <c r="AO215" s="929">
        <v>255.98</v>
      </c>
      <c r="AP215" s="929">
        <v>267.14999999999998</v>
      </c>
      <c r="AQ215" s="929">
        <v>278.32</v>
      </c>
      <c r="AR215" s="929">
        <v>289.49</v>
      </c>
    </row>
    <row r="216" spans="1:44">
      <c r="A216" s="1538"/>
      <c r="B216" s="930">
        <v>3</v>
      </c>
      <c r="C216" s="931">
        <f>(Y216*KFC!$B$19+KFC!$C$19)*KFC!$C$5</f>
        <v>77.95</v>
      </c>
      <c r="D216" s="932">
        <f>(Z216*KFC!$B$19+KFC!$C$19)*KFC!$C$5</f>
        <v>88.39</v>
      </c>
      <c r="E216" s="932">
        <f>(AA216*KFC!$B$19+KFC!$C$19)*KFC!$C$5</f>
        <v>99.1</v>
      </c>
      <c r="F216" s="932">
        <f>(AB216*KFC!$B$19+KFC!$C$19)*KFC!$C$5</f>
        <v>111.12</v>
      </c>
      <c r="G216" s="932">
        <f>(AC216*KFC!$B$19+KFC!$C$19)*KFC!$C$5</f>
        <v>123.83</v>
      </c>
      <c r="H216" s="932">
        <f>(AD216*KFC!$B$19+KFC!$C$19)*KFC!$C$5</f>
        <v>134.97</v>
      </c>
      <c r="I216" s="932">
        <f>(AE216*KFC!$B$19+KFC!$C$19)*KFC!$C$5</f>
        <v>146.46</v>
      </c>
      <c r="J216" s="932">
        <f>(AF216*KFC!$B$19+KFC!$C$19)*KFC!$C$5</f>
        <v>157.74</v>
      </c>
      <c r="K216" s="932">
        <f>(AG216*KFC!$B$19+KFC!$C$19)*KFC!$C$5</f>
        <v>169.61</v>
      </c>
      <c r="L216" s="932">
        <f>(AH216*KFC!$B$19+KFC!$C$19)*KFC!$C$5</f>
        <v>180.47</v>
      </c>
      <c r="M216" s="932">
        <f>(AI216*KFC!$B$19+KFC!$C$19)*KFC!$C$5</f>
        <v>191.18</v>
      </c>
      <c r="N216" s="932">
        <f>(AJ216*KFC!$B$19+KFC!$C$19)*KFC!$C$5</f>
        <v>203.76</v>
      </c>
      <c r="O216" s="932">
        <f>(AK216*KFC!$B$19+KFC!$C$19)*KFC!$C$5</f>
        <v>214.51</v>
      </c>
      <c r="P216" s="932">
        <f>(AL216*KFC!$B$19+KFC!$C$19)*KFC!$C$5</f>
        <v>226.52</v>
      </c>
      <c r="Q216" s="932">
        <f>(AM216*KFC!$B$19+KFC!$C$19)*KFC!$C$5</f>
        <v>238.54</v>
      </c>
      <c r="R216" s="932">
        <f>(AN216*KFC!$B$19+KFC!$C$19)*KFC!$C$5</f>
        <v>251.53</v>
      </c>
      <c r="S216" s="932">
        <f>(AO216*KFC!$B$19+KFC!$C$19)*KFC!$C$5</f>
        <v>262.99</v>
      </c>
      <c r="T216" s="932">
        <f>(AP216*KFC!$B$19+KFC!$C$19)*KFC!$C$5</f>
        <v>274.45</v>
      </c>
      <c r="U216" s="943">
        <f>(AQ216*KFC!$B$19+KFC!$C$19)*KFC!$C$5</f>
        <v>285.91000000000003</v>
      </c>
      <c r="V216" s="928"/>
      <c r="X216" s="923">
        <v>3</v>
      </c>
      <c r="Y216" s="929">
        <v>77.95</v>
      </c>
      <c r="Z216" s="929">
        <v>88.39</v>
      </c>
      <c r="AA216" s="929">
        <v>99.1</v>
      </c>
      <c r="AB216" s="929">
        <v>111.12</v>
      </c>
      <c r="AC216" s="929">
        <v>123.83</v>
      </c>
      <c r="AD216" s="929">
        <v>134.97</v>
      </c>
      <c r="AE216" s="929">
        <v>146.46</v>
      </c>
      <c r="AF216" s="929">
        <v>157.74</v>
      </c>
      <c r="AG216" s="929">
        <v>169.61</v>
      </c>
      <c r="AH216" s="929">
        <v>180.47</v>
      </c>
      <c r="AI216" s="929">
        <v>191.18</v>
      </c>
      <c r="AJ216" s="929">
        <v>203.76</v>
      </c>
      <c r="AK216" s="929">
        <v>214.51</v>
      </c>
      <c r="AL216" s="929">
        <v>226.52</v>
      </c>
      <c r="AM216" s="929">
        <v>238.54</v>
      </c>
      <c r="AN216" s="929">
        <v>251.53</v>
      </c>
      <c r="AO216" s="929">
        <v>262.99</v>
      </c>
      <c r="AP216" s="929">
        <v>274.45</v>
      </c>
      <c r="AQ216" s="929">
        <v>285.91000000000003</v>
      </c>
      <c r="AR216" s="929">
        <v>297.37</v>
      </c>
    </row>
    <row r="217" spans="1:44">
      <c r="A217" s="1538"/>
      <c r="B217" s="930">
        <v>3.1</v>
      </c>
      <c r="C217" s="931">
        <f>(Y217*KFC!$B$19+KFC!$C$19)*KFC!$C$5</f>
        <v>79.67</v>
      </c>
      <c r="D217" s="932">
        <f>(Z217*KFC!$B$19+KFC!$C$19)*KFC!$C$5</f>
        <v>90.11</v>
      </c>
      <c r="E217" s="932">
        <f>(AA217*KFC!$B$19+KFC!$C$19)*KFC!$C$5</f>
        <v>100.96</v>
      </c>
      <c r="F217" s="932">
        <f>(AB217*KFC!$B$19+KFC!$C$19)*KFC!$C$5</f>
        <v>113.41</v>
      </c>
      <c r="G217" s="932">
        <f>(AC217*KFC!$B$19+KFC!$C$19)*KFC!$C$5</f>
        <v>126.83</v>
      </c>
      <c r="H217" s="932">
        <f>(AD217*KFC!$B$19+KFC!$C$19)*KFC!$C$5</f>
        <v>138.11000000000001</v>
      </c>
      <c r="I217" s="932">
        <f>(AE217*KFC!$B$19+KFC!$C$19)*KFC!$C$5</f>
        <v>149.9</v>
      </c>
      <c r="J217" s="932">
        <f>(AF217*KFC!$B$19+KFC!$C$19)*KFC!$C$5</f>
        <v>161.46</v>
      </c>
      <c r="K217" s="932">
        <f>(AG217*KFC!$B$19+KFC!$C$19)*KFC!$C$5</f>
        <v>173.76</v>
      </c>
      <c r="L217" s="932">
        <f>(AH217*KFC!$B$19+KFC!$C$19)*KFC!$C$5</f>
        <v>184.76</v>
      </c>
      <c r="M217" s="932">
        <f>(AI217*KFC!$B$19+KFC!$C$19)*KFC!$C$5</f>
        <v>195.61</v>
      </c>
      <c r="N217" s="932">
        <f>(AJ217*KFC!$B$19+KFC!$C$19)*KFC!$C$5</f>
        <v>208.76</v>
      </c>
      <c r="O217" s="932">
        <f>(AK217*KFC!$B$19+KFC!$C$19)*KFC!$C$5</f>
        <v>219.66</v>
      </c>
      <c r="P217" s="932">
        <f>(AL217*KFC!$B$19+KFC!$C$19)*KFC!$C$5</f>
        <v>232.1</v>
      </c>
      <c r="Q217" s="932">
        <f>(AM217*KFC!$B$19+KFC!$C$19)*KFC!$C$5</f>
        <v>244.55</v>
      </c>
      <c r="R217" s="932">
        <f>(AN217*KFC!$B$19+KFC!$C$19)*KFC!$C$5</f>
        <v>258.25</v>
      </c>
      <c r="S217" s="932">
        <f>(AO217*KFC!$B$19+KFC!$C$19)*KFC!$C$5</f>
        <v>270</v>
      </c>
      <c r="T217" s="932">
        <f>(AP217*KFC!$B$19+KFC!$C$19)*KFC!$C$5</f>
        <v>281.75</v>
      </c>
      <c r="U217" s="943">
        <f>(AQ217*KFC!$B$19+KFC!$C$19)*KFC!$C$5</f>
        <v>293.5</v>
      </c>
      <c r="V217" s="928"/>
      <c r="X217" s="923">
        <v>3.1</v>
      </c>
      <c r="Y217" s="929">
        <v>79.67</v>
      </c>
      <c r="Z217" s="929">
        <v>90.11</v>
      </c>
      <c r="AA217" s="929">
        <v>100.96</v>
      </c>
      <c r="AB217" s="929">
        <v>113.41</v>
      </c>
      <c r="AC217" s="929">
        <v>126.83</v>
      </c>
      <c r="AD217" s="929">
        <v>138.11000000000001</v>
      </c>
      <c r="AE217" s="929">
        <v>149.9</v>
      </c>
      <c r="AF217" s="929">
        <v>161.46</v>
      </c>
      <c r="AG217" s="929">
        <v>173.76</v>
      </c>
      <c r="AH217" s="929">
        <v>184.76</v>
      </c>
      <c r="AI217" s="929">
        <v>195.61</v>
      </c>
      <c r="AJ217" s="929">
        <v>208.76</v>
      </c>
      <c r="AK217" s="929">
        <v>219.66</v>
      </c>
      <c r="AL217" s="929">
        <v>232.1</v>
      </c>
      <c r="AM217" s="929">
        <v>244.55</v>
      </c>
      <c r="AN217" s="929">
        <v>258.25</v>
      </c>
      <c r="AO217" s="929">
        <v>270</v>
      </c>
      <c r="AP217" s="929">
        <v>281.75</v>
      </c>
      <c r="AQ217" s="929">
        <v>293.5</v>
      </c>
      <c r="AR217" s="929">
        <v>305.25</v>
      </c>
    </row>
    <row r="218" spans="1:44">
      <c r="A218" s="1538"/>
      <c r="B218" s="930">
        <v>3.2</v>
      </c>
      <c r="C218" s="931">
        <f>(Y218*KFC!$B$19+KFC!$C$19)*KFC!$C$5</f>
        <v>81.39</v>
      </c>
      <c r="D218" s="932">
        <f>(Z218*KFC!$B$19+KFC!$C$19)*KFC!$C$5</f>
        <v>91.83</v>
      </c>
      <c r="E218" s="932">
        <f>(AA218*KFC!$B$19+KFC!$C$19)*KFC!$C$5</f>
        <v>102.82</v>
      </c>
      <c r="F218" s="932">
        <f>(AB218*KFC!$B$19+KFC!$C$19)*KFC!$C$5</f>
        <v>115.7</v>
      </c>
      <c r="G218" s="932">
        <f>(AC218*KFC!$B$19+KFC!$C$19)*KFC!$C$5</f>
        <v>129.83000000000001</v>
      </c>
      <c r="H218" s="932">
        <f>(AD218*KFC!$B$19+KFC!$C$19)*KFC!$C$5</f>
        <v>141.25</v>
      </c>
      <c r="I218" s="932">
        <f>(AE218*KFC!$B$19+KFC!$C$19)*KFC!$C$5</f>
        <v>153.34</v>
      </c>
      <c r="J218" s="932">
        <f>(AF218*KFC!$B$19+KFC!$C$19)*KFC!$C$5</f>
        <v>165.18</v>
      </c>
      <c r="K218" s="932">
        <f>(AG218*KFC!$B$19+KFC!$C$19)*KFC!$C$5</f>
        <v>177.91</v>
      </c>
      <c r="L218" s="932">
        <f>(AH218*KFC!$B$19+KFC!$C$19)*KFC!$C$5</f>
        <v>189.05</v>
      </c>
      <c r="M218" s="932">
        <f>(AI218*KFC!$B$19+KFC!$C$19)*KFC!$C$5</f>
        <v>200.04</v>
      </c>
      <c r="N218" s="932">
        <f>(AJ218*KFC!$B$19+KFC!$C$19)*KFC!$C$5</f>
        <v>213.76</v>
      </c>
      <c r="O218" s="932">
        <f>(AK218*KFC!$B$19+KFC!$C$19)*KFC!$C$5</f>
        <v>224.81</v>
      </c>
      <c r="P218" s="932">
        <f>(AL218*KFC!$B$19+KFC!$C$19)*KFC!$C$5</f>
        <v>237.68</v>
      </c>
      <c r="Q218" s="932">
        <f>(AM218*KFC!$B$19+KFC!$C$19)*KFC!$C$5</f>
        <v>250.56</v>
      </c>
      <c r="R218" s="932">
        <f>(AN218*KFC!$B$19+KFC!$C$19)*KFC!$C$5</f>
        <v>264.97000000000003</v>
      </c>
      <c r="S218" s="932">
        <f>(AO218*KFC!$B$19+KFC!$C$19)*KFC!$C$5</f>
        <v>277.01</v>
      </c>
      <c r="T218" s="932">
        <f>(AP218*KFC!$B$19+KFC!$C$19)*KFC!$C$5</f>
        <v>289.05</v>
      </c>
      <c r="U218" s="943">
        <f>(AQ218*KFC!$B$19+KFC!$C$19)*KFC!$C$5</f>
        <v>301.08999999999997</v>
      </c>
      <c r="V218" s="928"/>
      <c r="X218" s="923">
        <v>3.2</v>
      </c>
      <c r="Y218" s="929">
        <v>81.39</v>
      </c>
      <c r="Z218" s="929">
        <v>91.83</v>
      </c>
      <c r="AA218" s="929">
        <v>102.82</v>
      </c>
      <c r="AB218" s="929">
        <v>115.7</v>
      </c>
      <c r="AC218" s="929">
        <v>129.83000000000001</v>
      </c>
      <c r="AD218" s="929">
        <v>141.25</v>
      </c>
      <c r="AE218" s="929">
        <v>153.34</v>
      </c>
      <c r="AF218" s="929">
        <v>165.18</v>
      </c>
      <c r="AG218" s="929">
        <v>177.91</v>
      </c>
      <c r="AH218" s="929">
        <v>189.05</v>
      </c>
      <c r="AI218" s="929">
        <v>200.04</v>
      </c>
      <c r="AJ218" s="929">
        <v>213.76</v>
      </c>
      <c r="AK218" s="929">
        <v>224.81</v>
      </c>
      <c r="AL218" s="929">
        <v>237.68</v>
      </c>
      <c r="AM218" s="929">
        <v>250.56</v>
      </c>
      <c r="AN218" s="929">
        <v>264.97000000000003</v>
      </c>
      <c r="AO218" s="929">
        <v>277.01</v>
      </c>
      <c r="AP218" s="929">
        <v>289.05</v>
      </c>
      <c r="AQ218" s="929">
        <v>301.08999999999997</v>
      </c>
      <c r="AR218" s="929">
        <v>313.13</v>
      </c>
    </row>
    <row r="219" spans="1:44">
      <c r="A219" s="1538"/>
      <c r="B219" s="930">
        <v>3.3</v>
      </c>
      <c r="C219" s="931">
        <f>(Y219*KFC!$B$19+KFC!$C$19)*KFC!$C$5</f>
        <v>83.11</v>
      </c>
      <c r="D219" s="932">
        <f>(Z219*KFC!$B$19+KFC!$C$19)*KFC!$C$5</f>
        <v>93.55</v>
      </c>
      <c r="E219" s="932">
        <f>(AA219*KFC!$B$19+KFC!$C$19)*KFC!$C$5</f>
        <v>104.68</v>
      </c>
      <c r="F219" s="932">
        <f>(AB219*KFC!$B$19+KFC!$C$19)*KFC!$C$5</f>
        <v>117.99</v>
      </c>
      <c r="G219" s="932">
        <f>(AC219*KFC!$B$19+KFC!$C$19)*KFC!$C$5</f>
        <v>132.83000000000001</v>
      </c>
      <c r="H219" s="932">
        <f>(AD219*KFC!$B$19+KFC!$C$19)*KFC!$C$5</f>
        <v>144.38999999999999</v>
      </c>
      <c r="I219" s="932">
        <f>(AE219*KFC!$B$19+KFC!$C$19)*KFC!$C$5</f>
        <v>156.78</v>
      </c>
      <c r="J219" s="932">
        <f>(AF219*KFC!$B$19+KFC!$C$19)*KFC!$C$5</f>
        <v>168.9</v>
      </c>
      <c r="K219" s="932">
        <f>(AG219*KFC!$B$19+KFC!$C$19)*KFC!$C$5</f>
        <v>182.06</v>
      </c>
      <c r="L219" s="932">
        <f>(AH219*KFC!$B$19+KFC!$C$19)*KFC!$C$5</f>
        <v>193.34</v>
      </c>
      <c r="M219" s="932">
        <f>(AI219*KFC!$B$19+KFC!$C$19)*KFC!$C$5</f>
        <v>204.47</v>
      </c>
      <c r="N219" s="932">
        <f>(AJ219*KFC!$B$19+KFC!$C$19)*KFC!$C$5</f>
        <v>218.76</v>
      </c>
      <c r="O219" s="932">
        <f>(AK219*KFC!$B$19+KFC!$C$19)*KFC!$C$5</f>
        <v>229.96</v>
      </c>
      <c r="P219" s="932">
        <f>(AL219*KFC!$B$19+KFC!$C$19)*KFC!$C$5</f>
        <v>243.26</v>
      </c>
      <c r="Q219" s="932">
        <f>(AM219*KFC!$B$19+KFC!$C$19)*KFC!$C$5</f>
        <v>256.57</v>
      </c>
      <c r="R219" s="932">
        <f>(AN219*KFC!$B$19+KFC!$C$19)*KFC!$C$5</f>
        <v>271.69</v>
      </c>
      <c r="S219" s="932">
        <f>(AO219*KFC!$B$19+KFC!$C$19)*KFC!$C$5</f>
        <v>284.02</v>
      </c>
      <c r="T219" s="932">
        <f>(AP219*KFC!$B$19+KFC!$C$19)*KFC!$C$5</f>
        <v>296.35000000000002</v>
      </c>
      <c r="U219" s="943">
        <f>(AQ219*KFC!$B$19+KFC!$C$19)*KFC!$C$5</f>
        <v>308.68</v>
      </c>
      <c r="V219" s="928"/>
      <c r="X219" s="923">
        <v>3.3</v>
      </c>
      <c r="Y219" s="929">
        <v>83.11</v>
      </c>
      <c r="Z219" s="929">
        <v>93.55</v>
      </c>
      <c r="AA219" s="929">
        <v>104.68</v>
      </c>
      <c r="AB219" s="929">
        <v>117.99</v>
      </c>
      <c r="AC219" s="929">
        <v>132.83000000000001</v>
      </c>
      <c r="AD219" s="929">
        <v>144.38999999999999</v>
      </c>
      <c r="AE219" s="929">
        <v>156.78</v>
      </c>
      <c r="AF219" s="929">
        <v>168.9</v>
      </c>
      <c r="AG219" s="929">
        <v>182.06</v>
      </c>
      <c r="AH219" s="929">
        <v>193.34</v>
      </c>
      <c r="AI219" s="929">
        <v>204.47</v>
      </c>
      <c r="AJ219" s="929">
        <v>218.76</v>
      </c>
      <c r="AK219" s="929">
        <v>229.96</v>
      </c>
      <c r="AL219" s="929">
        <v>243.26</v>
      </c>
      <c r="AM219" s="929">
        <v>256.57</v>
      </c>
      <c r="AN219" s="929">
        <v>271.69</v>
      </c>
      <c r="AO219" s="929">
        <v>284.02</v>
      </c>
      <c r="AP219" s="929">
        <v>296.35000000000002</v>
      </c>
      <c r="AQ219" s="929">
        <v>308.68</v>
      </c>
      <c r="AR219" s="929">
        <v>321.01</v>
      </c>
    </row>
    <row r="220" spans="1:44">
      <c r="A220" s="1538"/>
      <c r="B220" s="930">
        <v>3.4</v>
      </c>
      <c r="C220" s="931">
        <f>(Y220*KFC!$B$19+KFC!$C$19)*KFC!$C$5</f>
        <v>84.83</v>
      </c>
      <c r="D220" s="932">
        <f>(Z220*KFC!$B$19+KFC!$C$19)*KFC!$C$5</f>
        <v>95.27</v>
      </c>
      <c r="E220" s="932">
        <f>(AA220*KFC!$B$19+KFC!$C$19)*KFC!$C$5</f>
        <v>106.54</v>
      </c>
      <c r="F220" s="932">
        <f>(AB220*KFC!$B$19+KFC!$C$19)*KFC!$C$5</f>
        <v>120.28</v>
      </c>
      <c r="G220" s="932">
        <f>(AC220*KFC!$B$19+KFC!$C$19)*KFC!$C$5</f>
        <v>135.83000000000001</v>
      </c>
      <c r="H220" s="932">
        <f>(AD220*KFC!$B$19+KFC!$C$19)*KFC!$C$5</f>
        <v>147.53</v>
      </c>
      <c r="I220" s="932">
        <f>(AE220*KFC!$B$19+KFC!$C$19)*KFC!$C$5</f>
        <v>160.22</v>
      </c>
      <c r="J220" s="932">
        <f>(AF220*KFC!$B$19+KFC!$C$19)*KFC!$C$5</f>
        <v>172.62</v>
      </c>
      <c r="K220" s="932">
        <f>(AG220*KFC!$B$19+KFC!$C$19)*KFC!$C$5</f>
        <v>186.21</v>
      </c>
      <c r="L220" s="932">
        <f>(AH220*KFC!$B$19+KFC!$C$19)*KFC!$C$5</f>
        <v>197.63</v>
      </c>
      <c r="M220" s="932">
        <f>(AI220*KFC!$B$19+KFC!$C$19)*KFC!$C$5</f>
        <v>208.9</v>
      </c>
      <c r="N220" s="932">
        <f>(AJ220*KFC!$B$19+KFC!$C$19)*KFC!$C$5</f>
        <v>223.76</v>
      </c>
      <c r="O220" s="932">
        <f>(AK220*KFC!$B$19+KFC!$C$19)*KFC!$C$5</f>
        <v>235.11</v>
      </c>
      <c r="P220" s="932">
        <f>(AL220*KFC!$B$19+KFC!$C$19)*KFC!$C$5</f>
        <v>248.84</v>
      </c>
      <c r="Q220" s="932">
        <f>(AM220*KFC!$B$19+KFC!$C$19)*KFC!$C$5</f>
        <v>262.58</v>
      </c>
      <c r="R220" s="932">
        <f>(AN220*KFC!$B$19+KFC!$C$19)*KFC!$C$5</f>
        <v>278.41000000000003</v>
      </c>
      <c r="S220" s="932">
        <f>(AO220*KFC!$B$19+KFC!$C$19)*KFC!$C$5</f>
        <v>291.02999999999997</v>
      </c>
      <c r="T220" s="932">
        <f>(AP220*KFC!$B$19+KFC!$C$19)*KFC!$C$5</f>
        <v>303.64999999999998</v>
      </c>
      <c r="U220" s="943">
        <f>(AQ220*KFC!$B$19+KFC!$C$19)*KFC!$C$5</f>
        <v>316.27</v>
      </c>
      <c r="V220" s="928"/>
      <c r="X220" s="923">
        <v>3.4</v>
      </c>
      <c r="Y220" s="929">
        <v>84.83</v>
      </c>
      <c r="Z220" s="929">
        <v>95.27</v>
      </c>
      <c r="AA220" s="929">
        <v>106.54</v>
      </c>
      <c r="AB220" s="929">
        <v>120.28</v>
      </c>
      <c r="AC220" s="929">
        <v>135.83000000000001</v>
      </c>
      <c r="AD220" s="929">
        <v>147.53</v>
      </c>
      <c r="AE220" s="929">
        <v>160.22</v>
      </c>
      <c r="AF220" s="929">
        <v>172.62</v>
      </c>
      <c r="AG220" s="929">
        <v>186.21</v>
      </c>
      <c r="AH220" s="929">
        <v>197.63</v>
      </c>
      <c r="AI220" s="929">
        <v>208.9</v>
      </c>
      <c r="AJ220" s="929">
        <v>223.76</v>
      </c>
      <c r="AK220" s="929">
        <v>235.11</v>
      </c>
      <c r="AL220" s="929">
        <v>248.84</v>
      </c>
      <c r="AM220" s="929">
        <v>262.58</v>
      </c>
      <c r="AN220" s="929">
        <v>278.41000000000003</v>
      </c>
      <c r="AO220" s="929">
        <v>291.02999999999997</v>
      </c>
      <c r="AP220" s="929">
        <v>303.64999999999998</v>
      </c>
      <c r="AQ220" s="929">
        <v>316.27</v>
      </c>
      <c r="AR220" s="929">
        <v>328.89</v>
      </c>
    </row>
    <row r="221" spans="1:44" ht="13.8" thickBot="1">
      <c r="A221" s="1539"/>
      <c r="B221" s="934">
        <v>3.5</v>
      </c>
      <c r="C221" s="935">
        <f>(Y221*KFC!$B$19+KFC!$C$19)*KFC!$C$5</f>
        <v>86.55</v>
      </c>
      <c r="D221" s="944">
        <f>(Z221*KFC!$B$19+KFC!$C$19)*KFC!$C$5</f>
        <v>96.99</v>
      </c>
      <c r="E221" s="944">
        <f>(AA221*KFC!$B$19+KFC!$C$19)*KFC!$C$5</f>
        <v>108.4</v>
      </c>
      <c r="F221" s="944">
        <f>(AB221*KFC!$B$19+KFC!$C$19)*KFC!$C$5</f>
        <v>122.57</v>
      </c>
      <c r="G221" s="944">
        <f>(AC221*KFC!$B$19+KFC!$C$19)*KFC!$C$5</f>
        <v>138.83000000000001</v>
      </c>
      <c r="H221" s="944">
        <f>(AD221*KFC!$B$19+KFC!$C$19)*KFC!$C$5</f>
        <v>150.66999999999999</v>
      </c>
      <c r="I221" s="944">
        <f>(AE221*KFC!$B$19+KFC!$C$19)*KFC!$C$5</f>
        <v>163.66</v>
      </c>
      <c r="J221" s="944">
        <f>(AF221*KFC!$B$19+KFC!$C$19)*KFC!$C$5</f>
        <v>176.34</v>
      </c>
      <c r="K221" s="944">
        <f>(AG221*KFC!$B$19+KFC!$C$19)*KFC!$C$5</f>
        <v>190.36</v>
      </c>
      <c r="L221" s="944">
        <f>(AH221*KFC!$B$19+KFC!$C$19)*KFC!$C$5</f>
        <v>201.92</v>
      </c>
      <c r="M221" s="944">
        <f>(AI221*KFC!$B$19+KFC!$C$19)*KFC!$C$5</f>
        <v>213.33</v>
      </c>
      <c r="N221" s="944">
        <f>(AJ221*KFC!$B$19+KFC!$C$19)*KFC!$C$5</f>
        <v>228.76</v>
      </c>
      <c r="O221" s="944">
        <f>(AK221*KFC!$B$19+KFC!$C$19)*KFC!$C$5</f>
        <v>240.26</v>
      </c>
      <c r="P221" s="944">
        <f>(AL221*KFC!$B$19+KFC!$C$19)*KFC!$C$5</f>
        <v>254.42</v>
      </c>
      <c r="Q221" s="944">
        <f>(AM221*KFC!$B$19+KFC!$C$19)*KFC!$C$5</f>
        <v>268.58999999999997</v>
      </c>
      <c r="R221" s="944">
        <f>(AN221*KFC!$B$19+KFC!$C$19)*KFC!$C$5</f>
        <v>285.13</v>
      </c>
      <c r="S221" s="944">
        <f>(AO221*KFC!$B$19+KFC!$C$19)*KFC!$C$5</f>
        <v>298.04000000000002</v>
      </c>
      <c r="T221" s="944">
        <f>(AP221*KFC!$B$19+KFC!$C$19)*KFC!$C$5</f>
        <v>310.95</v>
      </c>
      <c r="U221" s="945">
        <f>(AQ221*KFC!$B$19+KFC!$C$19)*KFC!$C$5</f>
        <v>323.86</v>
      </c>
      <c r="V221" s="928"/>
      <c r="X221" s="923">
        <v>3.5</v>
      </c>
      <c r="Y221" s="929">
        <v>86.55</v>
      </c>
      <c r="Z221" s="929">
        <v>96.99</v>
      </c>
      <c r="AA221" s="929">
        <v>108.4</v>
      </c>
      <c r="AB221" s="929">
        <v>122.57</v>
      </c>
      <c r="AC221" s="929">
        <v>138.83000000000001</v>
      </c>
      <c r="AD221" s="929">
        <v>150.66999999999999</v>
      </c>
      <c r="AE221" s="929">
        <v>163.66</v>
      </c>
      <c r="AF221" s="929">
        <v>176.34</v>
      </c>
      <c r="AG221" s="929">
        <v>190.36</v>
      </c>
      <c r="AH221" s="929">
        <v>201.92</v>
      </c>
      <c r="AI221" s="929">
        <v>213.33</v>
      </c>
      <c r="AJ221" s="929">
        <v>228.76</v>
      </c>
      <c r="AK221" s="929">
        <v>240.26</v>
      </c>
      <c r="AL221" s="929">
        <v>254.42</v>
      </c>
      <c r="AM221" s="929">
        <v>268.58999999999997</v>
      </c>
      <c r="AN221" s="929">
        <v>285.13</v>
      </c>
      <c r="AO221" s="929">
        <v>298.04000000000002</v>
      </c>
      <c r="AP221" s="929">
        <v>310.95</v>
      </c>
      <c r="AQ221" s="929">
        <v>323.86</v>
      </c>
      <c r="AR221" s="929">
        <v>336.77</v>
      </c>
    </row>
    <row r="222" spans="1:44" hidden="1">
      <c r="A222" s="938"/>
      <c r="B222" s="921"/>
      <c r="C222" s="928"/>
      <c r="D222" s="928"/>
      <c r="E222" s="928"/>
      <c r="F222" s="928"/>
      <c r="G222" s="928"/>
      <c r="H222" s="928"/>
      <c r="I222" s="928"/>
      <c r="J222" s="928"/>
      <c r="K222" s="928"/>
      <c r="L222" s="928"/>
      <c r="M222" s="928"/>
      <c r="N222" s="928"/>
      <c r="O222" s="928"/>
      <c r="P222" s="928"/>
      <c r="Q222" s="928"/>
      <c r="R222" s="928"/>
      <c r="S222" s="928"/>
      <c r="T222" s="928"/>
      <c r="U222" s="928"/>
      <c r="V222" s="928"/>
      <c r="X222" s="923">
        <v>3.6</v>
      </c>
      <c r="Y222" s="929">
        <v>88.27</v>
      </c>
      <c r="Z222" s="929">
        <v>98.71</v>
      </c>
      <c r="AA222" s="929">
        <v>110.26</v>
      </c>
      <c r="AB222" s="929">
        <v>124.86</v>
      </c>
      <c r="AC222" s="929">
        <v>141.83000000000001</v>
      </c>
      <c r="AD222" s="929">
        <v>153.81</v>
      </c>
      <c r="AE222" s="929">
        <v>167.1</v>
      </c>
      <c r="AF222" s="929">
        <v>180.06</v>
      </c>
      <c r="AG222" s="929">
        <v>194.51</v>
      </c>
      <c r="AH222" s="929">
        <v>206.21</v>
      </c>
      <c r="AI222" s="929">
        <v>217.76</v>
      </c>
      <c r="AJ222" s="929">
        <v>233.76</v>
      </c>
      <c r="AK222" s="929">
        <v>245.41</v>
      </c>
      <c r="AL222" s="929">
        <v>260</v>
      </c>
      <c r="AM222" s="929">
        <v>274.60000000000002</v>
      </c>
      <c r="AN222" s="929">
        <v>291.85000000000002</v>
      </c>
      <c r="AO222" s="929">
        <v>305.05</v>
      </c>
      <c r="AP222" s="929">
        <v>318.25</v>
      </c>
      <c r="AQ222" s="929">
        <v>331.45</v>
      </c>
      <c r="AR222" s="929">
        <v>344.65</v>
      </c>
    </row>
    <row r="223" spans="1:44" hidden="1">
      <c r="A223" s="938"/>
      <c r="B223" s="921"/>
      <c r="C223" s="928"/>
      <c r="D223" s="928"/>
      <c r="E223" s="928"/>
      <c r="F223" s="928"/>
      <c r="G223" s="928"/>
      <c r="H223" s="928"/>
      <c r="I223" s="928"/>
      <c r="J223" s="928"/>
      <c r="K223" s="928"/>
      <c r="L223" s="928"/>
      <c r="M223" s="928"/>
      <c r="N223" s="928"/>
      <c r="O223" s="928"/>
      <c r="P223" s="928"/>
      <c r="Q223" s="928"/>
      <c r="R223" s="928"/>
      <c r="S223" s="928"/>
      <c r="T223" s="928"/>
      <c r="U223" s="928"/>
      <c r="V223" s="928"/>
      <c r="X223" s="923">
        <v>3.7</v>
      </c>
      <c r="Y223" s="929">
        <v>89.99</v>
      </c>
      <c r="Z223" s="929">
        <v>100.43</v>
      </c>
      <c r="AA223" s="929">
        <v>112.12</v>
      </c>
      <c r="AB223" s="929">
        <v>127.15</v>
      </c>
      <c r="AC223" s="929">
        <v>144.83000000000001</v>
      </c>
      <c r="AD223" s="929">
        <v>156.94999999999999</v>
      </c>
      <c r="AE223" s="929">
        <v>170.54</v>
      </c>
      <c r="AF223" s="929">
        <v>183.78</v>
      </c>
      <c r="AG223" s="929">
        <v>198.66</v>
      </c>
      <c r="AH223" s="929">
        <v>210.5</v>
      </c>
      <c r="AI223" s="929">
        <v>222.19</v>
      </c>
      <c r="AJ223" s="929">
        <v>238.76</v>
      </c>
      <c r="AK223" s="929">
        <v>250.56</v>
      </c>
      <c r="AL223" s="929">
        <v>265.58</v>
      </c>
      <c r="AM223" s="929">
        <v>280.61</v>
      </c>
      <c r="AN223" s="929">
        <v>298.57</v>
      </c>
      <c r="AO223" s="929">
        <v>312.06</v>
      </c>
      <c r="AP223" s="929">
        <v>325.55</v>
      </c>
      <c r="AQ223" s="929">
        <v>339.04</v>
      </c>
      <c r="AR223" s="929">
        <v>352.53</v>
      </c>
    </row>
    <row r="224" spans="1:44" hidden="1">
      <c r="A224" s="938"/>
      <c r="B224" s="921"/>
      <c r="C224" s="928"/>
      <c r="D224" s="928"/>
      <c r="E224" s="928"/>
      <c r="F224" s="928"/>
      <c r="G224" s="928"/>
      <c r="H224" s="928"/>
      <c r="I224" s="928"/>
      <c r="J224" s="928"/>
      <c r="K224" s="928"/>
      <c r="L224" s="928"/>
      <c r="M224" s="928"/>
      <c r="N224" s="928"/>
      <c r="O224" s="928"/>
      <c r="P224" s="928"/>
      <c r="Q224" s="928"/>
      <c r="R224" s="928"/>
      <c r="S224" s="928"/>
      <c r="T224" s="928"/>
      <c r="U224" s="928"/>
      <c r="V224" s="928"/>
      <c r="X224" s="923">
        <v>3.8</v>
      </c>
      <c r="Y224" s="929">
        <v>91.71</v>
      </c>
      <c r="Z224" s="929">
        <v>102.15</v>
      </c>
      <c r="AA224" s="929">
        <v>113.98</v>
      </c>
      <c r="AB224" s="929">
        <v>129.44</v>
      </c>
      <c r="AC224" s="929">
        <v>147.83000000000001</v>
      </c>
      <c r="AD224" s="929">
        <v>160.09</v>
      </c>
      <c r="AE224" s="929">
        <v>173.98</v>
      </c>
      <c r="AF224" s="929">
        <v>187.5</v>
      </c>
      <c r="AG224" s="929">
        <v>202.81</v>
      </c>
      <c r="AH224" s="929">
        <v>214.79</v>
      </c>
      <c r="AI224" s="929">
        <v>226.62</v>
      </c>
      <c r="AJ224" s="929">
        <v>243.76</v>
      </c>
      <c r="AK224" s="929">
        <v>255.71</v>
      </c>
      <c r="AL224" s="929">
        <v>271.16000000000003</v>
      </c>
      <c r="AM224" s="929">
        <v>286.62</v>
      </c>
      <c r="AN224" s="929">
        <v>305.29000000000002</v>
      </c>
      <c r="AO224" s="929">
        <v>319.07</v>
      </c>
      <c r="AP224" s="929">
        <v>332.85</v>
      </c>
      <c r="AQ224" s="929">
        <v>346.63</v>
      </c>
      <c r="AR224" s="929">
        <v>360.41</v>
      </c>
    </row>
    <row r="225" spans="1:44" hidden="1">
      <c r="A225" s="938"/>
      <c r="B225" s="921"/>
      <c r="C225" s="928"/>
      <c r="D225" s="928"/>
      <c r="E225" s="928"/>
      <c r="F225" s="928"/>
      <c r="G225" s="928"/>
      <c r="H225" s="928"/>
      <c r="I225" s="928"/>
      <c r="J225" s="928"/>
      <c r="K225" s="928"/>
      <c r="L225" s="928"/>
      <c r="M225" s="928"/>
      <c r="N225" s="928"/>
      <c r="O225" s="928"/>
      <c r="P225" s="928"/>
      <c r="Q225" s="928"/>
      <c r="R225" s="928"/>
      <c r="S225" s="928"/>
      <c r="T225" s="928"/>
      <c r="U225" s="928"/>
      <c r="V225" s="928"/>
      <c r="X225" s="923">
        <v>3.9</v>
      </c>
      <c r="Y225" s="929">
        <v>93.43</v>
      </c>
      <c r="Z225" s="929">
        <v>103.87</v>
      </c>
      <c r="AA225" s="929">
        <v>115.84</v>
      </c>
      <c r="AB225" s="929">
        <v>131.72999999999999</v>
      </c>
      <c r="AC225" s="929">
        <v>150.83000000000001</v>
      </c>
      <c r="AD225" s="929">
        <v>163.22999999999999</v>
      </c>
      <c r="AE225" s="929">
        <v>177.42</v>
      </c>
      <c r="AF225" s="929">
        <v>191.22</v>
      </c>
      <c r="AG225" s="929">
        <v>206.96</v>
      </c>
      <c r="AH225" s="929">
        <v>219.08</v>
      </c>
      <c r="AI225" s="929">
        <v>231.05</v>
      </c>
      <c r="AJ225" s="929">
        <v>248.76</v>
      </c>
      <c r="AK225" s="929">
        <v>260.86</v>
      </c>
      <c r="AL225" s="929">
        <v>276.74</v>
      </c>
      <c r="AM225" s="929">
        <v>292.63</v>
      </c>
      <c r="AN225" s="929">
        <v>312.01</v>
      </c>
      <c r="AO225" s="929">
        <v>326.08</v>
      </c>
      <c r="AP225" s="929">
        <v>340.15</v>
      </c>
      <c r="AQ225" s="929">
        <v>354.22</v>
      </c>
      <c r="AR225" s="929">
        <v>368.29</v>
      </c>
    </row>
    <row r="226" spans="1:44" hidden="1">
      <c r="A226" s="938"/>
      <c r="B226" s="921"/>
      <c r="C226" s="928"/>
      <c r="D226" s="928"/>
      <c r="E226" s="928"/>
      <c r="F226" s="928"/>
      <c r="G226" s="928"/>
      <c r="H226" s="928"/>
      <c r="I226" s="928"/>
      <c r="J226" s="928"/>
      <c r="K226" s="928"/>
      <c r="L226" s="928"/>
      <c r="M226" s="928"/>
      <c r="N226" s="928"/>
      <c r="O226" s="928"/>
      <c r="P226" s="928"/>
      <c r="Q226" s="928"/>
      <c r="R226" s="928"/>
      <c r="S226" s="928"/>
      <c r="T226" s="928"/>
      <c r="U226" s="928"/>
      <c r="V226" s="928"/>
      <c r="X226" s="923">
        <v>4</v>
      </c>
      <c r="Y226" s="929">
        <v>95.15</v>
      </c>
      <c r="Z226" s="929">
        <v>105.59</v>
      </c>
      <c r="AA226" s="929">
        <v>117.7</v>
      </c>
      <c r="AB226" s="929">
        <v>134.02000000000001</v>
      </c>
      <c r="AC226" s="929">
        <v>153.83000000000001</v>
      </c>
      <c r="AD226" s="929">
        <v>166.37</v>
      </c>
      <c r="AE226" s="929">
        <v>180.86</v>
      </c>
      <c r="AF226" s="929">
        <v>194.94</v>
      </c>
      <c r="AG226" s="929">
        <v>211.11</v>
      </c>
      <c r="AH226" s="929">
        <v>223.37</v>
      </c>
      <c r="AI226" s="929">
        <v>235.48</v>
      </c>
      <c r="AJ226" s="929">
        <v>253.76</v>
      </c>
      <c r="AK226" s="929">
        <v>266.01</v>
      </c>
      <c r="AL226" s="929">
        <v>282.32</v>
      </c>
      <c r="AM226" s="929">
        <v>298.64</v>
      </c>
      <c r="AN226" s="929">
        <v>318.73</v>
      </c>
      <c r="AO226" s="929">
        <v>333.09</v>
      </c>
      <c r="AP226" s="929">
        <v>347.45</v>
      </c>
      <c r="AQ226" s="929">
        <v>361.81</v>
      </c>
      <c r="AR226" s="929">
        <v>376.17</v>
      </c>
    </row>
    <row r="227" spans="1:44" hidden="1">
      <c r="B227" s="921"/>
      <c r="C227" s="928"/>
      <c r="D227" s="928"/>
      <c r="E227" s="928"/>
      <c r="F227" s="928"/>
      <c r="G227" s="928"/>
      <c r="H227" s="928"/>
      <c r="I227" s="928"/>
      <c r="J227" s="928"/>
      <c r="K227" s="928"/>
      <c r="L227" s="928"/>
      <c r="M227" s="928"/>
      <c r="N227" s="928"/>
      <c r="O227" s="928"/>
      <c r="P227" s="928"/>
      <c r="Q227" s="928"/>
      <c r="R227" s="928"/>
      <c r="S227" s="928"/>
      <c r="T227" s="928"/>
      <c r="U227" s="928"/>
      <c r="V227" s="928"/>
      <c r="X227" s="923">
        <v>4.0999999999999996</v>
      </c>
      <c r="Y227" s="929">
        <v>96.87</v>
      </c>
      <c r="Z227" s="929">
        <v>107.31</v>
      </c>
      <c r="AA227" s="929">
        <v>119.56</v>
      </c>
      <c r="AB227" s="929">
        <v>136.31</v>
      </c>
      <c r="AC227" s="929">
        <v>156.83000000000001</v>
      </c>
      <c r="AD227" s="929">
        <v>169.51</v>
      </c>
      <c r="AE227" s="929">
        <v>184.3</v>
      </c>
      <c r="AF227" s="929">
        <v>198.66</v>
      </c>
      <c r="AG227" s="929">
        <v>215.26</v>
      </c>
      <c r="AH227" s="929">
        <v>227.66</v>
      </c>
      <c r="AI227" s="929">
        <v>239.91</v>
      </c>
      <c r="AJ227" s="929">
        <v>258.76</v>
      </c>
      <c r="AK227" s="929">
        <v>271.16000000000003</v>
      </c>
      <c r="AL227" s="929">
        <v>287.89999999999998</v>
      </c>
      <c r="AM227" s="929">
        <v>304.64999999999998</v>
      </c>
      <c r="AN227" s="929">
        <v>325.45</v>
      </c>
      <c r="AO227" s="929">
        <v>340.1</v>
      </c>
      <c r="AP227" s="929">
        <v>354.75</v>
      </c>
      <c r="AQ227" s="929">
        <v>369.4</v>
      </c>
      <c r="AR227" s="929">
        <v>384.05</v>
      </c>
    </row>
    <row r="228" spans="1:44" hidden="1">
      <c r="B228" s="921"/>
      <c r="C228" s="928"/>
      <c r="D228" s="928"/>
      <c r="E228" s="928"/>
      <c r="F228" s="928"/>
      <c r="G228" s="928"/>
      <c r="H228" s="928"/>
      <c r="I228" s="928"/>
      <c r="J228" s="928"/>
      <c r="K228" s="928"/>
      <c r="L228" s="928"/>
      <c r="M228" s="928"/>
      <c r="N228" s="928"/>
      <c r="O228" s="928"/>
      <c r="P228" s="928"/>
      <c r="Q228" s="928"/>
      <c r="R228" s="928"/>
      <c r="S228" s="928"/>
      <c r="T228" s="928"/>
      <c r="U228" s="928"/>
      <c r="V228" s="928"/>
      <c r="X228" s="923">
        <v>4.2</v>
      </c>
      <c r="Y228" s="929">
        <v>98.59</v>
      </c>
      <c r="Z228" s="929">
        <v>109.03</v>
      </c>
      <c r="AA228" s="929">
        <v>121.42</v>
      </c>
      <c r="AB228" s="929">
        <v>138.6</v>
      </c>
      <c r="AC228" s="929">
        <v>159.83000000000001</v>
      </c>
      <c r="AD228" s="929">
        <v>172.65</v>
      </c>
      <c r="AE228" s="929">
        <v>187.74</v>
      </c>
      <c r="AF228" s="929">
        <v>202.38</v>
      </c>
      <c r="AG228" s="929">
        <v>219.41</v>
      </c>
      <c r="AH228" s="929">
        <v>231.95</v>
      </c>
      <c r="AI228" s="929">
        <v>244.34</v>
      </c>
      <c r="AJ228" s="929">
        <v>263.76</v>
      </c>
      <c r="AK228" s="929">
        <v>276.31</v>
      </c>
      <c r="AL228" s="929">
        <v>293.48</v>
      </c>
      <c r="AM228" s="929">
        <v>310.66000000000003</v>
      </c>
      <c r="AN228" s="929">
        <v>332.17</v>
      </c>
      <c r="AO228" s="929">
        <v>347.11</v>
      </c>
      <c r="AP228" s="929">
        <v>362.05</v>
      </c>
      <c r="AQ228" s="929">
        <v>376.99</v>
      </c>
      <c r="AR228" s="929">
        <v>391.93</v>
      </c>
    </row>
    <row r="229" spans="1:44" hidden="1">
      <c r="B229" s="921"/>
      <c r="C229" s="928"/>
      <c r="D229" s="928"/>
      <c r="E229" s="928"/>
      <c r="F229" s="928"/>
      <c r="G229" s="928"/>
      <c r="H229" s="928"/>
      <c r="I229" s="928"/>
      <c r="J229" s="928"/>
      <c r="K229" s="928"/>
      <c r="L229" s="928"/>
      <c r="M229" s="928"/>
      <c r="N229" s="928"/>
      <c r="O229" s="928"/>
      <c r="P229" s="928"/>
      <c r="Q229" s="928"/>
      <c r="R229" s="928"/>
      <c r="S229" s="928"/>
      <c r="T229" s="928"/>
      <c r="U229" s="928"/>
      <c r="V229" s="928"/>
      <c r="X229" s="923">
        <v>4.3</v>
      </c>
      <c r="Y229" s="929">
        <v>100.31</v>
      </c>
      <c r="Z229" s="929">
        <v>110.75</v>
      </c>
      <c r="AA229" s="929">
        <v>123.28</v>
      </c>
      <c r="AB229" s="929">
        <v>140.88999999999999</v>
      </c>
      <c r="AC229" s="929">
        <v>162.83000000000001</v>
      </c>
      <c r="AD229" s="929">
        <v>175.79</v>
      </c>
      <c r="AE229" s="929">
        <v>191.18</v>
      </c>
      <c r="AF229" s="929">
        <v>206.1</v>
      </c>
      <c r="AG229" s="929">
        <v>223.56</v>
      </c>
      <c r="AH229" s="929">
        <v>236.24</v>
      </c>
      <c r="AI229" s="929">
        <v>248.77</v>
      </c>
      <c r="AJ229" s="929">
        <v>268.76</v>
      </c>
      <c r="AK229" s="929">
        <v>281.45999999999998</v>
      </c>
      <c r="AL229" s="929">
        <v>299.06</v>
      </c>
      <c r="AM229" s="929">
        <v>316.67</v>
      </c>
      <c r="AN229" s="929">
        <v>338.89</v>
      </c>
      <c r="AO229" s="929">
        <v>354.12</v>
      </c>
      <c r="AP229" s="929">
        <v>369.35</v>
      </c>
      <c r="AQ229" s="929">
        <v>384.58</v>
      </c>
      <c r="AR229" s="929">
        <v>399.81</v>
      </c>
    </row>
    <row r="230" spans="1:44" hidden="1">
      <c r="B230" s="921"/>
      <c r="C230" s="928"/>
      <c r="D230" s="928"/>
      <c r="E230" s="928"/>
      <c r="F230" s="928"/>
      <c r="G230" s="928"/>
      <c r="H230" s="928"/>
      <c r="I230" s="928"/>
      <c r="J230" s="928"/>
      <c r="K230" s="928"/>
      <c r="L230" s="928"/>
      <c r="M230" s="928"/>
      <c r="N230" s="928"/>
      <c r="O230" s="928"/>
      <c r="P230" s="928"/>
      <c r="Q230" s="928"/>
      <c r="R230" s="928"/>
      <c r="S230" s="928"/>
      <c r="T230" s="928"/>
      <c r="U230" s="928"/>
      <c r="V230" s="928"/>
      <c r="X230" s="923">
        <v>4.4000000000000004</v>
      </c>
      <c r="Y230" s="929">
        <v>102.03</v>
      </c>
      <c r="Z230" s="929">
        <v>112.47</v>
      </c>
      <c r="AA230" s="929">
        <v>125.14</v>
      </c>
      <c r="AB230" s="929">
        <v>143.18</v>
      </c>
      <c r="AC230" s="929">
        <v>165.83</v>
      </c>
      <c r="AD230" s="929">
        <v>178.93</v>
      </c>
      <c r="AE230" s="929">
        <v>194.62</v>
      </c>
      <c r="AF230" s="929">
        <v>209.82</v>
      </c>
      <c r="AG230" s="929">
        <v>227.71</v>
      </c>
      <c r="AH230" s="929">
        <v>240.53</v>
      </c>
      <c r="AI230" s="929">
        <v>253.2</v>
      </c>
      <c r="AJ230" s="929">
        <v>273.76</v>
      </c>
      <c r="AK230" s="929">
        <v>286.61</v>
      </c>
      <c r="AL230" s="929">
        <v>304.64</v>
      </c>
      <c r="AM230" s="929">
        <v>322.68</v>
      </c>
      <c r="AN230" s="929">
        <v>345.61</v>
      </c>
      <c r="AO230" s="929">
        <v>361.13</v>
      </c>
      <c r="AP230" s="929">
        <v>376.65</v>
      </c>
      <c r="AQ230" s="929">
        <v>392.17</v>
      </c>
      <c r="AR230" s="929">
        <v>407.69</v>
      </c>
    </row>
    <row r="231" spans="1:44" hidden="1">
      <c r="B231" s="921"/>
      <c r="C231" s="928"/>
      <c r="D231" s="928"/>
      <c r="E231" s="928"/>
      <c r="F231" s="928"/>
      <c r="G231" s="928"/>
      <c r="H231" s="928"/>
      <c r="I231" s="928"/>
      <c r="J231" s="928"/>
      <c r="K231" s="928"/>
      <c r="L231" s="928"/>
      <c r="M231" s="928"/>
      <c r="N231" s="928"/>
      <c r="O231" s="928"/>
      <c r="P231" s="928"/>
      <c r="Q231" s="928"/>
      <c r="R231" s="928"/>
      <c r="S231" s="928"/>
      <c r="T231" s="928"/>
      <c r="U231" s="928"/>
      <c r="V231" s="928"/>
      <c r="X231" s="923">
        <v>4.5</v>
      </c>
      <c r="Y231" s="929">
        <v>103.75</v>
      </c>
      <c r="Z231" s="929">
        <v>114.19</v>
      </c>
      <c r="AA231" s="929">
        <v>127</v>
      </c>
      <c r="AB231" s="929">
        <v>145.47</v>
      </c>
      <c r="AC231" s="929">
        <v>168.83</v>
      </c>
      <c r="AD231" s="929">
        <v>182.07</v>
      </c>
      <c r="AE231" s="929">
        <v>198.06</v>
      </c>
      <c r="AF231" s="929">
        <v>213.54</v>
      </c>
      <c r="AG231" s="929">
        <v>231.86</v>
      </c>
      <c r="AH231" s="929">
        <v>244.82</v>
      </c>
      <c r="AI231" s="929">
        <v>257.63</v>
      </c>
      <c r="AJ231" s="929">
        <v>278.76</v>
      </c>
      <c r="AK231" s="929">
        <v>291.76</v>
      </c>
      <c r="AL231" s="929">
        <v>310.22000000000003</v>
      </c>
      <c r="AM231" s="929">
        <v>328.69</v>
      </c>
      <c r="AN231" s="929">
        <v>352.33</v>
      </c>
      <c r="AO231" s="929">
        <v>368.14</v>
      </c>
      <c r="AP231" s="929">
        <v>383.95</v>
      </c>
      <c r="AQ231" s="929">
        <v>399.76</v>
      </c>
      <c r="AR231" s="929">
        <v>415.57</v>
      </c>
    </row>
    <row r="232" spans="1:44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</row>
    <row r="233" spans="1:44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</row>
    <row r="234" spans="1:44" ht="13.8" thickBot="1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</row>
    <row r="235" spans="1:44" ht="13.8" thickBot="1">
      <c r="A235" s="1413" t="s">
        <v>320</v>
      </c>
      <c r="B235" s="1542"/>
      <c r="C235" s="1534" t="s">
        <v>207</v>
      </c>
      <c r="D235" s="1535"/>
      <c r="E235" s="1535"/>
      <c r="F235" s="1535"/>
      <c r="G235" s="1535"/>
      <c r="H235" s="1535"/>
      <c r="I235" s="1535"/>
      <c r="J235" s="1535"/>
      <c r="K235" s="1535"/>
      <c r="L235" s="1535"/>
      <c r="M235" s="1535"/>
      <c r="N235" s="1535"/>
      <c r="O235" s="1535"/>
      <c r="P235" s="1535"/>
      <c r="Q235" s="1535"/>
      <c r="R235" s="1535"/>
      <c r="S235" s="1535"/>
      <c r="T235" s="1535"/>
      <c r="U235" s="1536"/>
      <c r="V235" s="700"/>
    </row>
    <row r="236" spans="1:44" ht="13.8" thickBot="1">
      <c r="A236" s="1543"/>
      <c r="B236" s="1570"/>
      <c r="C236" s="939">
        <v>0.4</v>
      </c>
      <c r="D236" s="940">
        <v>0.5</v>
      </c>
      <c r="E236" s="940">
        <v>0.6</v>
      </c>
      <c r="F236" s="940">
        <v>0.7</v>
      </c>
      <c r="G236" s="940">
        <v>0.8</v>
      </c>
      <c r="H236" s="940">
        <v>0.9</v>
      </c>
      <c r="I236" s="940">
        <v>1</v>
      </c>
      <c r="J236" s="940">
        <v>1.1000000000000001</v>
      </c>
      <c r="K236" s="940">
        <v>1.2</v>
      </c>
      <c r="L236" s="940">
        <v>1.3</v>
      </c>
      <c r="M236" s="940">
        <v>1.4</v>
      </c>
      <c r="N236" s="940">
        <v>1.5</v>
      </c>
      <c r="O236" s="940">
        <v>1.6</v>
      </c>
      <c r="P236" s="940">
        <v>1.7</v>
      </c>
      <c r="Q236" s="940">
        <v>1.8</v>
      </c>
      <c r="R236" s="940">
        <v>1.9</v>
      </c>
      <c r="S236" s="940">
        <v>2</v>
      </c>
      <c r="T236" s="940">
        <v>2.1</v>
      </c>
      <c r="U236" s="941">
        <v>2.2000000000000002</v>
      </c>
      <c r="V236" s="921"/>
      <c r="X236" s="922"/>
      <c r="Y236" s="923">
        <v>0.4</v>
      </c>
      <c r="Z236" s="923">
        <v>0.5</v>
      </c>
      <c r="AA236" s="923">
        <v>0.6</v>
      </c>
      <c r="AB236" s="923">
        <v>0.7</v>
      </c>
      <c r="AC236" s="923">
        <v>0.8</v>
      </c>
      <c r="AD236" s="923">
        <v>0.9</v>
      </c>
      <c r="AE236" s="923">
        <v>1</v>
      </c>
      <c r="AF236" s="923">
        <v>1.1000000000000001</v>
      </c>
      <c r="AG236" s="923">
        <v>1.2</v>
      </c>
      <c r="AH236" s="923">
        <v>1.3</v>
      </c>
      <c r="AI236" s="923">
        <v>1.4</v>
      </c>
      <c r="AJ236" s="923">
        <v>1.5</v>
      </c>
      <c r="AK236" s="923">
        <v>1.6</v>
      </c>
      <c r="AL236" s="923">
        <v>1.7</v>
      </c>
      <c r="AM236" s="923">
        <v>1.8</v>
      </c>
      <c r="AN236" s="923">
        <v>1.9</v>
      </c>
      <c r="AO236" s="923">
        <v>2</v>
      </c>
      <c r="AP236" s="923">
        <v>2.1</v>
      </c>
      <c r="AQ236" s="923">
        <v>2.2000000000000002</v>
      </c>
      <c r="AR236" s="923">
        <v>2.2999999999999998</v>
      </c>
    </row>
    <row r="237" spans="1:44" ht="12.75" customHeight="1">
      <c r="A237" s="1537" t="s">
        <v>3</v>
      </c>
      <c r="B237" s="924">
        <v>0.5</v>
      </c>
      <c r="C237" s="925">
        <f>(Y237*KFC!$B$19+KFC!$C$19)*KFC!$C$5</f>
        <v>45.05</v>
      </c>
      <c r="D237" s="926">
        <f>(Z237*KFC!$B$19+KFC!$C$19)*KFC!$C$5</f>
        <v>47.62</v>
      </c>
      <c r="E237" s="926">
        <f>(AA237*KFC!$B$19+KFC!$C$19)*KFC!$C$5</f>
        <v>50.19</v>
      </c>
      <c r="F237" s="926">
        <f>(AB237*KFC!$B$19+KFC!$C$19)*KFC!$C$5</f>
        <v>52.91</v>
      </c>
      <c r="G237" s="926">
        <f>(AC237*KFC!$B$19+KFC!$C$19)*KFC!$C$5</f>
        <v>55.34</v>
      </c>
      <c r="H237" s="926">
        <f>(AD237*KFC!$B$19+KFC!$C$19)*KFC!$C$5</f>
        <v>57.92</v>
      </c>
      <c r="I237" s="926">
        <f>(AE237*KFC!$B$19+KFC!$C$19)*KFC!$C$5</f>
        <v>60.49</v>
      </c>
      <c r="J237" s="926">
        <f>(AF237*KFC!$B$19+KFC!$C$19)*KFC!$C$5</f>
        <v>63.21</v>
      </c>
      <c r="K237" s="926">
        <f>(AG237*KFC!$B$19+KFC!$C$19)*KFC!$C$5</f>
        <v>65.64</v>
      </c>
      <c r="L237" s="926">
        <f>(AH237*KFC!$B$19+KFC!$C$19)*KFC!$C$5</f>
        <v>68.349999999999994</v>
      </c>
      <c r="M237" s="926">
        <f>(AI237*KFC!$B$19+KFC!$C$19)*KFC!$C$5</f>
        <v>70.930000000000007</v>
      </c>
      <c r="N237" s="926">
        <f>(AJ237*KFC!$B$19+KFC!$C$19)*KFC!$C$5</f>
        <v>73.36</v>
      </c>
      <c r="O237" s="926">
        <f>(AK237*KFC!$B$19+KFC!$C$19)*KFC!$C$5</f>
        <v>75.790000000000006</v>
      </c>
      <c r="P237" s="926">
        <f>(AL237*KFC!$B$19+KFC!$C$19)*KFC!$C$5</f>
        <v>78.36</v>
      </c>
      <c r="Q237" s="926">
        <f>(AM237*KFC!$B$19+KFC!$C$19)*KFC!$C$5</f>
        <v>81.08</v>
      </c>
      <c r="R237" s="926">
        <f>(AN237*KFC!$B$19+KFC!$C$19)*KFC!$C$5</f>
        <v>83.66</v>
      </c>
      <c r="S237" s="926">
        <f>(AO237*KFC!$B$19+KFC!$C$19)*KFC!$C$5</f>
        <v>86.23</v>
      </c>
      <c r="T237" s="926">
        <f>(AP237*KFC!$B$19+KFC!$C$19)*KFC!$C$5</f>
        <v>88.8</v>
      </c>
      <c r="U237" s="927">
        <f>(AQ237*KFC!$B$19+KFC!$C$19)*KFC!$C$5</f>
        <v>91.37</v>
      </c>
      <c r="V237" s="928"/>
      <c r="X237" s="923">
        <v>0.5</v>
      </c>
      <c r="Y237" s="929">
        <v>45.05</v>
      </c>
      <c r="Z237" s="929">
        <v>47.62</v>
      </c>
      <c r="AA237" s="929">
        <v>50.19</v>
      </c>
      <c r="AB237" s="929">
        <v>52.91</v>
      </c>
      <c r="AC237" s="929">
        <v>55.34</v>
      </c>
      <c r="AD237" s="929">
        <v>57.92</v>
      </c>
      <c r="AE237" s="929">
        <v>60.49</v>
      </c>
      <c r="AF237" s="929">
        <v>63.21</v>
      </c>
      <c r="AG237" s="929">
        <v>65.64</v>
      </c>
      <c r="AH237" s="929">
        <v>68.349999999999994</v>
      </c>
      <c r="AI237" s="929">
        <v>70.930000000000007</v>
      </c>
      <c r="AJ237" s="929">
        <v>73.36</v>
      </c>
      <c r="AK237" s="929">
        <v>75.790000000000006</v>
      </c>
      <c r="AL237" s="929">
        <v>78.36</v>
      </c>
      <c r="AM237" s="929">
        <v>81.08</v>
      </c>
      <c r="AN237" s="929">
        <v>83.66</v>
      </c>
      <c r="AO237" s="929">
        <v>86.23</v>
      </c>
      <c r="AP237" s="929">
        <v>88.8</v>
      </c>
      <c r="AQ237" s="929">
        <v>91.37</v>
      </c>
      <c r="AR237" s="929">
        <v>93.94</v>
      </c>
    </row>
    <row r="238" spans="1:44">
      <c r="A238" s="1538"/>
      <c r="B238" s="930">
        <v>0.6</v>
      </c>
      <c r="C238" s="931">
        <f>(Y238*KFC!$B$19+KFC!$C$19)*KFC!$C$5</f>
        <v>46.9</v>
      </c>
      <c r="D238" s="932">
        <f>(Z238*KFC!$B$19+KFC!$C$19)*KFC!$C$5</f>
        <v>50.19</v>
      </c>
      <c r="E238" s="932">
        <f>(AA238*KFC!$B$19+KFC!$C$19)*KFC!$C$5</f>
        <v>53.05</v>
      </c>
      <c r="F238" s="932">
        <f>(AB238*KFC!$B$19+KFC!$C$19)*KFC!$C$5</f>
        <v>56.34</v>
      </c>
      <c r="G238" s="932">
        <f>(AC238*KFC!$B$19+KFC!$C$19)*KFC!$C$5</f>
        <v>59.49</v>
      </c>
      <c r="H238" s="932">
        <f>(AD238*KFC!$B$19+KFC!$C$19)*KFC!$C$5</f>
        <v>62.63</v>
      </c>
      <c r="I238" s="932">
        <f>(AE238*KFC!$B$19+KFC!$C$19)*KFC!$C$5</f>
        <v>65.64</v>
      </c>
      <c r="J238" s="932">
        <f>(AF238*KFC!$B$19+KFC!$C$19)*KFC!$C$5</f>
        <v>68.78</v>
      </c>
      <c r="K238" s="932">
        <f>(AG238*KFC!$B$19+KFC!$C$19)*KFC!$C$5</f>
        <v>72.069999999999993</v>
      </c>
      <c r="L238" s="932">
        <f>(AH238*KFC!$B$19+KFC!$C$19)*KFC!$C$5</f>
        <v>75.08</v>
      </c>
      <c r="M238" s="932">
        <f>(AI238*KFC!$B$19+KFC!$C$19)*KFC!$C$5</f>
        <v>78.36</v>
      </c>
      <c r="N238" s="932">
        <f>(AJ238*KFC!$B$19+KFC!$C$19)*KFC!$C$5</f>
        <v>81.510000000000005</v>
      </c>
      <c r="O238" s="932">
        <f>(AK238*KFC!$B$19+KFC!$C$19)*KFC!$C$5</f>
        <v>84.51</v>
      </c>
      <c r="P238" s="932">
        <f>(AL238*KFC!$B$19+KFC!$C$19)*KFC!$C$5</f>
        <v>87.8</v>
      </c>
      <c r="Q238" s="932">
        <f>(AM238*KFC!$B$19+KFC!$C$19)*KFC!$C$5</f>
        <v>91.09</v>
      </c>
      <c r="R238" s="932">
        <f>(AN238*KFC!$B$19+KFC!$C$19)*KFC!$C$5</f>
        <v>94.09</v>
      </c>
      <c r="S238" s="932">
        <f>(AO238*KFC!$B$19+KFC!$C$19)*KFC!$C$5</f>
        <v>97.38</v>
      </c>
      <c r="T238" s="932">
        <f>(AP238*KFC!$B$19+KFC!$C$19)*KFC!$C$5</f>
        <v>100.67</v>
      </c>
      <c r="U238" s="943">
        <f>(AQ238*KFC!$B$19+KFC!$C$19)*KFC!$C$5</f>
        <v>103.96</v>
      </c>
      <c r="V238" s="928"/>
      <c r="X238" s="923">
        <v>0.6</v>
      </c>
      <c r="Y238" s="929">
        <v>46.9</v>
      </c>
      <c r="Z238" s="929">
        <v>50.19</v>
      </c>
      <c r="AA238" s="929">
        <v>53.05</v>
      </c>
      <c r="AB238" s="929">
        <v>56.34</v>
      </c>
      <c r="AC238" s="929">
        <v>59.49</v>
      </c>
      <c r="AD238" s="929">
        <v>62.63</v>
      </c>
      <c r="AE238" s="929">
        <v>65.64</v>
      </c>
      <c r="AF238" s="929">
        <v>68.78</v>
      </c>
      <c r="AG238" s="929">
        <v>72.069999999999993</v>
      </c>
      <c r="AH238" s="929">
        <v>75.08</v>
      </c>
      <c r="AI238" s="929">
        <v>78.36</v>
      </c>
      <c r="AJ238" s="929">
        <v>81.510000000000005</v>
      </c>
      <c r="AK238" s="929">
        <v>84.51</v>
      </c>
      <c r="AL238" s="929">
        <v>87.8</v>
      </c>
      <c r="AM238" s="929">
        <v>91.09</v>
      </c>
      <c r="AN238" s="929">
        <v>94.09</v>
      </c>
      <c r="AO238" s="929">
        <v>97.38</v>
      </c>
      <c r="AP238" s="929">
        <v>100.67</v>
      </c>
      <c r="AQ238" s="929">
        <v>103.96</v>
      </c>
      <c r="AR238" s="929">
        <v>107.25</v>
      </c>
    </row>
    <row r="239" spans="1:44">
      <c r="A239" s="1538"/>
      <c r="B239" s="930">
        <v>0.7</v>
      </c>
      <c r="C239" s="931">
        <f>(Y239*KFC!$B$19+KFC!$C$19)*KFC!$C$5</f>
        <v>48.76</v>
      </c>
      <c r="D239" s="932">
        <f>(Z239*KFC!$B$19+KFC!$C$19)*KFC!$C$5</f>
        <v>52.48</v>
      </c>
      <c r="E239" s="932">
        <f>(AA239*KFC!$B$19+KFC!$C$19)*KFC!$C$5</f>
        <v>56.06</v>
      </c>
      <c r="F239" s="932">
        <f>(AB239*KFC!$B$19+KFC!$C$19)*KFC!$C$5</f>
        <v>59.92</v>
      </c>
      <c r="G239" s="932">
        <f>(AC239*KFC!$B$19+KFC!$C$19)*KFC!$C$5</f>
        <v>63.49</v>
      </c>
      <c r="H239" s="932">
        <f>(AD239*KFC!$B$19+KFC!$C$19)*KFC!$C$5</f>
        <v>67.209999999999994</v>
      </c>
      <c r="I239" s="932">
        <f>(AE239*KFC!$B$19+KFC!$C$19)*KFC!$C$5</f>
        <v>70.930000000000007</v>
      </c>
      <c r="J239" s="932">
        <f>(AF239*KFC!$B$19+KFC!$C$19)*KFC!$C$5</f>
        <v>74.650000000000006</v>
      </c>
      <c r="K239" s="932">
        <f>(AG239*KFC!$B$19+KFC!$C$19)*KFC!$C$5</f>
        <v>78.36</v>
      </c>
      <c r="L239" s="932">
        <f>(AH239*KFC!$B$19+KFC!$C$19)*KFC!$C$5</f>
        <v>81.94</v>
      </c>
      <c r="M239" s="932">
        <f>(AI239*KFC!$B$19+KFC!$C$19)*KFC!$C$5</f>
        <v>85.66</v>
      </c>
      <c r="N239" s="932">
        <f>(AJ239*KFC!$B$19+KFC!$C$19)*KFC!$C$5</f>
        <v>89.66</v>
      </c>
      <c r="O239" s="932">
        <f>(AK239*KFC!$B$19+KFC!$C$19)*KFC!$C$5</f>
        <v>93.24</v>
      </c>
      <c r="P239" s="932">
        <f>(AL239*KFC!$B$19+KFC!$C$19)*KFC!$C$5</f>
        <v>96.81</v>
      </c>
      <c r="Q239" s="932">
        <f>(AM239*KFC!$B$19+KFC!$C$19)*KFC!$C$5</f>
        <v>100.67</v>
      </c>
      <c r="R239" s="932">
        <f>(AN239*KFC!$B$19+KFC!$C$19)*KFC!$C$5</f>
        <v>104.25</v>
      </c>
      <c r="S239" s="932">
        <f>(AO239*KFC!$B$19+KFC!$C$19)*KFC!$C$5</f>
        <v>108.11</v>
      </c>
      <c r="T239" s="932">
        <f>(AP239*KFC!$B$19+KFC!$C$19)*KFC!$C$5</f>
        <v>111.97</v>
      </c>
      <c r="U239" s="943">
        <f>(AQ239*KFC!$B$19+KFC!$C$19)*KFC!$C$5</f>
        <v>115.83</v>
      </c>
      <c r="V239" s="928"/>
      <c r="X239" s="923">
        <v>0.7</v>
      </c>
      <c r="Y239" s="929">
        <v>48.76</v>
      </c>
      <c r="Z239" s="929">
        <v>52.48</v>
      </c>
      <c r="AA239" s="929">
        <v>56.06</v>
      </c>
      <c r="AB239" s="929">
        <v>59.92</v>
      </c>
      <c r="AC239" s="929">
        <v>63.49</v>
      </c>
      <c r="AD239" s="929">
        <v>67.209999999999994</v>
      </c>
      <c r="AE239" s="929">
        <v>70.930000000000007</v>
      </c>
      <c r="AF239" s="929">
        <v>74.650000000000006</v>
      </c>
      <c r="AG239" s="929">
        <v>78.36</v>
      </c>
      <c r="AH239" s="929">
        <v>81.94</v>
      </c>
      <c r="AI239" s="929">
        <v>85.66</v>
      </c>
      <c r="AJ239" s="929">
        <v>89.66</v>
      </c>
      <c r="AK239" s="929">
        <v>93.24</v>
      </c>
      <c r="AL239" s="929">
        <v>96.81</v>
      </c>
      <c r="AM239" s="929">
        <v>100.67</v>
      </c>
      <c r="AN239" s="929">
        <v>104.25</v>
      </c>
      <c r="AO239" s="929">
        <v>108.11</v>
      </c>
      <c r="AP239" s="929">
        <v>111.97</v>
      </c>
      <c r="AQ239" s="929">
        <v>115.83</v>
      </c>
      <c r="AR239" s="929">
        <v>119.69</v>
      </c>
    </row>
    <row r="240" spans="1:44">
      <c r="A240" s="1538"/>
      <c r="B240" s="930">
        <v>0.8</v>
      </c>
      <c r="C240" s="931">
        <f>(Y240*KFC!$B$19+KFC!$C$19)*KFC!$C$5</f>
        <v>50.34</v>
      </c>
      <c r="D240" s="932">
        <f>(Z240*KFC!$B$19+KFC!$C$19)*KFC!$C$5</f>
        <v>54.63</v>
      </c>
      <c r="E240" s="932">
        <f>(AA240*KFC!$B$19+KFC!$C$19)*KFC!$C$5</f>
        <v>59.06</v>
      </c>
      <c r="F240" s="932">
        <f>(AB240*KFC!$B$19+KFC!$C$19)*KFC!$C$5</f>
        <v>63.35</v>
      </c>
      <c r="G240" s="932">
        <f>(AC240*KFC!$B$19+KFC!$C$19)*KFC!$C$5</f>
        <v>67.5</v>
      </c>
      <c r="H240" s="932">
        <f>(AD240*KFC!$B$19+KFC!$C$19)*KFC!$C$5</f>
        <v>71.930000000000007</v>
      </c>
      <c r="I240" s="932">
        <f>(AE240*KFC!$B$19+KFC!$C$19)*KFC!$C$5</f>
        <v>76.22</v>
      </c>
      <c r="J240" s="932">
        <f>(AF240*KFC!$B$19+KFC!$C$19)*KFC!$C$5</f>
        <v>80.37</v>
      </c>
      <c r="K240" s="932">
        <f>(AG240*KFC!$B$19+KFC!$C$19)*KFC!$C$5</f>
        <v>84.66</v>
      </c>
      <c r="L240" s="932">
        <f>(AH240*KFC!$B$19+KFC!$C$19)*KFC!$C$5</f>
        <v>88.95</v>
      </c>
      <c r="M240" s="932">
        <f>(AI240*KFC!$B$19+KFC!$C$19)*KFC!$C$5</f>
        <v>93.24</v>
      </c>
      <c r="N240" s="932">
        <f>(AJ240*KFC!$B$19+KFC!$C$19)*KFC!$C$5</f>
        <v>97.53</v>
      </c>
      <c r="O240" s="932">
        <f>(AK240*KFC!$B$19+KFC!$C$19)*KFC!$C$5</f>
        <v>101.96</v>
      </c>
      <c r="P240" s="932">
        <f>(AL240*KFC!$B$19+KFC!$C$19)*KFC!$C$5</f>
        <v>105.96</v>
      </c>
      <c r="Q240" s="932">
        <f>(AM240*KFC!$B$19+KFC!$C$19)*KFC!$C$5</f>
        <v>109.82</v>
      </c>
      <c r="R240" s="932">
        <f>(AN240*KFC!$B$19+KFC!$C$19)*KFC!$C$5</f>
        <v>113.83</v>
      </c>
      <c r="S240" s="932">
        <f>(AO240*KFC!$B$19+KFC!$C$19)*KFC!$C$5</f>
        <v>117.83</v>
      </c>
      <c r="T240" s="932">
        <f>(AP240*KFC!$B$19+KFC!$C$19)*KFC!$C$5</f>
        <v>121.83</v>
      </c>
      <c r="U240" s="943">
        <f>(AQ240*KFC!$B$19+KFC!$C$19)*KFC!$C$5</f>
        <v>125.83</v>
      </c>
      <c r="V240" s="928"/>
      <c r="X240" s="923">
        <v>0.8</v>
      </c>
      <c r="Y240" s="929">
        <v>50.34</v>
      </c>
      <c r="Z240" s="929">
        <v>54.63</v>
      </c>
      <c r="AA240" s="929">
        <v>59.06</v>
      </c>
      <c r="AB240" s="929">
        <v>63.35</v>
      </c>
      <c r="AC240" s="929">
        <v>67.5</v>
      </c>
      <c r="AD240" s="929">
        <v>71.930000000000007</v>
      </c>
      <c r="AE240" s="929">
        <v>76.22</v>
      </c>
      <c r="AF240" s="929">
        <v>80.37</v>
      </c>
      <c r="AG240" s="929">
        <v>84.66</v>
      </c>
      <c r="AH240" s="929">
        <v>88.95</v>
      </c>
      <c r="AI240" s="929">
        <v>93.24</v>
      </c>
      <c r="AJ240" s="929">
        <v>97.53</v>
      </c>
      <c r="AK240" s="929">
        <v>101.96</v>
      </c>
      <c r="AL240" s="929">
        <v>105.96</v>
      </c>
      <c r="AM240" s="929">
        <v>109.82</v>
      </c>
      <c r="AN240" s="929">
        <v>113.83</v>
      </c>
      <c r="AO240" s="929">
        <v>117.83</v>
      </c>
      <c r="AP240" s="929">
        <v>121.83</v>
      </c>
      <c r="AQ240" s="929">
        <v>125.83</v>
      </c>
      <c r="AR240" s="929">
        <v>129.83000000000001</v>
      </c>
    </row>
    <row r="241" spans="1:44">
      <c r="A241" s="1538"/>
      <c r="B241" s="930">
        <v>0.9</v>
      </c>
      <c r="C241" s="931">
        <f>(Y241*KFC!$B$19+KFC!$C$19)*KFC!$C$5</f>
        <v>52.2</v>
      </c>
      <c r="D241" s="932">
        <f>(Z241*KFC!$B$19+KFC!$C$19)*KFC!$C$5</f>
        <v>57.2</v>
      </c>
      <c r="E241" s="932">
        <f>(AA241*KFC!$B$19+KFC!$C$19)*KFC!$C$5</f>
        <v>61.92</v>
      </c>
      <c r="F241" s="932">
        <f>(AB241*KFC!$B$19+KFC!$C$19)*KFC!$C$5</f>
        <v>66.78</v>
      </c>
      <c r="G241" s="932">
        <f>(AC241*KFC!$B$19+KFC!$C$19)*KFC!$C$5</f>
        <v>71.5</v>
      </c>
      <c r="H241" s="932">
        <f>(AD241*KFC!$B$19+KFC!$C$19)*KFC!$C$5</f>
        <v>76.510000000000005</v>
      </c>
      <c r="I241" s="932">
        <f>(AE241*KFC!$B$19+KFC!$C$19)*KFC!$C$5</f>
        <v>81.22</v>
      </c>
      <c r="J241" s="932">
        <f>(AF241*KFC!$B$19+KFC!$C$19)*KFC!$C$5</f>
        <v>86.23</v>
      </c>
      <c r="K241" s="932">
        <f>(AG241*KFC!$B$19+KFC!$C$19)*KFC!$C$5</f>
        <v>91.09</v>
      </c>
      <c r="L241" s="932">
        <f>(AH241*KFC!$B$19+KFC!$C$19)*KFC!$C$5</f>
        <v>95.95</v>
      </c>
      <c r="M241" s="932">
        <f>(AI241*KFC!$B$19+KFC!$C$19)*KFC!$C$5</f>
        <v>100.67</v>
      </c>
      <c r="N241" s="932">
        <f>(AJ241*KFC!$B$19+KFC!$C$19)*KFC!$C$5</f>
        <v>105.53</v>
      </c>
      <c r="O241" s="932">
        <f>(AK241*KFC!$B$19+KFC!$C$19)*KFC!$C$5</f>
        <v>110.54</v>
      </c>
      <c r="P241" s="932">
        <f>(AL241*KFC!$B$19+KFC!$C$19)*KFC!$C$5</f>
        <v>115.12</v>
      </c>
      <c r="Q241" s="932">
        <f>(AM241*KFC!$B$19+KFC!$C$19)*KFC!$C$5</f>
        <v>119.83</v>
      </c>
      <c r="R241" s="932">
        <f>(AN241*KFC!$B$19+KFC!$C$19)*KFC!$C$5</f>
        <v>124.55</v>
      </c>
      <c r="S241" s="932">
        <f>(AO241*KFC!$B$19+KFC!$C$19)*KFC!$C$5</f>
        <v>129.27000000000001</v>
      </c>
      <c r="T241" s="932">
        <f>(AP241*KFC!$B$19+KFC!$C$19)*KFC!$C$5</f>
        <v>133.99</v>
      </c>
      <c r="U241" s="943">
        <f>(AQ241*KFC!$B$19+KFC!$C$19)*KFC!$C$5</f>
        <v>138.71</v>
      </c>
      <c r="V241" s="928"/>
      <c r="X241" s="923">
        <v>0.9</v>
      </c>
      <c r="Y241" s="929">
        <v>52.2</v>
      </c>
      <c r="Z241" s="929">
        <v>57.2</v>
      </c>
      <c r="AA241" s="929">
        <v>61.92</v>
      </c>
      <c r="AB241" s="929">
        <v>66.78</v>
      </c>
      <c r="AC241" s="929">
        <v>71.5</v>
      </c>
      <c r="AD241" s="929">
        <v>76.510000000000005</v>
      </c>
      <c r="AE241" s="929">
        <v>81.22</v>
      </c>
      <c r="AF241" s="929">
        <v>86.23</v>
      </c>
      <c r="AG241" s="929">
        <v>91.09</v>
      </c>
      <c r="AH241" s="929">
        <v>95.95</v>
      </c>
      <c r="AI241" s="929">
        <v>100.67</v>
      </c>
      <c r="AJ241" s="929">
        <v>105.53</v>
      </c>
      <c r="AK241" s="929">
        <v>110.54</v>
      </c>
      <c r="AL241" s="929">
        <v>115.12</v>
      </c>
      <c r="AM241" s="929">
        <v>119.83</v>
      </c>
      <c r="AN241" s="929">
        <v>124.55</v>
      </c>
      <c r="AO241" s="929">
        <v>129.27000000000001</v>
      </c>
      <c r="AP241" s="929">
        <v>133.99</v>
      </c>
      <c r="AQ241" s="929">
        <v>138.71</v>
      </c>
      <c r="AR241" s="929">
        <v>143.43</v>
      </c>
    </row>
    <row r="242" spans="1:44">
      <c r="A242" s="1538"/>
      <c r="B242" s="930">
        <v>1</v>
      </c>
      <c r="C242" s="931">
        <f>(Y242*KFC!$B$19+KFC!$C$19)*KFC!$C$5</f>
        <v>53.91</v>
      </c>
      <c r="D242" s="932">
        <f>(Z242*KFC!$B$19+KFC!$C$19)*KFC!$C$5</f>
        <v>59.49</v>
      </c>
      <c r="E242" s="932">
        <f>(AA242*KFC!$B$19+KFC!$C$19)*KFC!$C$5</f>
        <v>64.92</v>
      </c>
      <c r="F242" s="932">
        <f>(AB242*KFC!$B$19+KFC!$C$19)*KFC!$C$5</f>
        <v>70.209999999999994</v>
      </c>
      <c r="G242" s="932">
        <f>(AC242*KFC!$B$19+KFC!$C$19)*KFC!$C$5</f>
        <v>75.650000000000006</v>
      </c>
      <c r="H242" s="932">
        <f>(AD242*KFC!$B$19+KFC!$C$19)*KFC!$C$5</f>
        <v>81.08</v>
      </c>
      <c r="I242" s="932">
        <f>(AE242*KFC!$B$19+KFC!$C$19)*KFC!$C$5</f>
        <v>86.52</v>
      </c>
      <c r="J242" s="932">
        <f>(AF242*KFC!$B$19+KFC!$C$19)*KFC!$C$5</f>
        <v>92.09</v>
      </c>
      <c r="K242" s="932">
        <f>(AG242*KFC!$B$19+KFC!$C$19)*KFC!$C$5</f>
        <v>97.38</v>
      </c>
      <c r="L242" s="932">
        <f>(AH242*KFC!$B$19+KFC!$C$19)*KFC!$C$5</f>
        <v>102.82</v>
      </c>
      <c r="M242" s="932">
        <f>(AI242*KFC!$B$19+KFC!$C$19)*KFC!$C$5</f>
        <v>108.11</v>
      </c>
      <c r="N242" s="932">
        <f>(AJ242*KFC!$B$19+KFC!$C$19)*KFC!$C$5</f>
        <v>113.69</v>
      </c>
      <c r="O242" s="932">
        <f>(AK242*KFC!$B$19+KFC!$C$19)*KFC!$C$5</f>
        <v>119.12</v>
      </c>
      <c r="P242" s="932">
        <f>(AL242*KFC!$B$19+KFC!$C$19)*KFC!$C$5</f>
        <v>124.41</v>
      </c>
      <c r="Q242" s="932">
        <f>(AM242*KFC!$B$19+KFC!$C$19)*KFC!$C$5</f>
        <v>129.56</v>
      </c>
      <c r="R242" s="932">
        <f>(AN242*KFC!$B$19+KFC!$C$19)*KFC!$C$5</f>
        <v>134.85</v>
      </c>
      <c r="S242" s="932">
        <f>(AO242*KFC!$B$19+KFC!$C$19)*KFC!$C$5</f>
        <v>140.28</v>
      </c>
      <c r="T242" s="932">
        <f>(AP242*KFC!$B$19+KFC!$C$19)*KFC!$C$5</f>
        <v>145.71</v>
      </c>
      <c r="U242" s="943">
        <f>(AQ242*KFC!$B$19+KFC!$C$19)*KFC!$C$5</f>
        <v>151.13999999999999</v>
      </c>
      <c r="V242" s="928"/>
      <c r="X242" s="923">
        <v>1</v>
      </c>
      <c r="Y242" s="929">
        <v>53.91</v>
      </c>
      <c r="Z242" s="929">
        <v>59.49</v>
      </c>
      <c r="AA242" s="929">
        <v>64.92</v>
      </c>
      <c r="AB242" s="929">
        <v>70.209999999999994</v>
      </c>
      <c r="AC242" s="929">
        <v>75.650000000000006</v>
      </c>
      <c r="AD242" s="929">
        <v>81.08</v>
      </c>
      <c r="AE242" s="929">
        <v>86.52</v>
      </c>
      <c r="AF242" s="929">
        <v>92.09</v>
      </c>
      <c r="AG242" s="929">
        <v>97.38</v>
      </c>
      <c r="AH242" s="929">
        <v>102.82</v>
      </c>
      <c r="AI242" s="929">
        <v>108.11</v>
      </c>
      <c r="AJ242" s="929">
        <v>113.69</v>
      </c>
      <c r="AK242" s="929">
        <v>119.12</v>
      </c>
      <c r="AL242" s="929">
        <v>124.41</v>
      </c>
      <c r="AM242" s="929">
        <v>129.56</v>
      </c>
      <c r="AN242" s="929">
        <v>134.85</v>
      </c>
      <c r="AO242" s="929">
        <v>140.28</v>
      </c>
      <c r="AP242" s="929">
        <v>145.71</v>
      </c>
      <c r="AQ242" s="929">
        <v>151.13999999999999</v>
      </c>
      <c r="AR242" s="929">
        <v>156.57</v>
      </c>
    </row>
    <row r="243" spans="1:44">
      <c r="A243" s="1538"/>
      <c r="B243" s="930">
        <v>1.1000000000000001</v>
      </c>
      <c r="C243" s="931">
        <f>(Y243*KFC!$B$19+KFC!$C$19)*KFC!$C$5</f>
        <v>55.91</v>
      </c>
      <c r="D243" s="932">
        <f>(Z243*KFC!$B$19+KFC!$C$19)*KFC!$C$5</f>
        <v>61.78</v>
      </c>
      <c r="E243" s="932">
        <f>(AA243*KFC!$B$19+KFC!$C$19)*KFC!$C$5</f>
        <v>67.930000000000007</v>
      </c>
      <c r="F243" s="932">
        <f>(AB243*KFC!$B$19+KFC!$C$19)*KFC!$C$5</f>
        <v>73.790000000000006</v>
      </c>
      <c r="G243" s="932">
        <f>(AC243*KFC!$B$19+KFC!$C$19)*KFC!$C$5</f>
        <v>79.790000000000006</v>
      </c>
      <c r="H243" s="932">
        <f>(AD243*KFC!$B$19+KFC!$C$19)*KFC!$C$5</f>
        <v>85.66</v>
      </c>
      <c r="I243" s="932">
        <f>(AE243*KFC!$B$19+KFC!$C$19)*KFC!$C$5</f>
        <v>91.66</v>
      </c>
      <c r="J243" s="932">
        <f>(AF243*KFC!$B$19+KFC!$C$19)*KFC!$C$5</f>
        <v>97.81</v>
      </c>
      <c r="K243" s="932">
        <f>(AG243*KFC!$B$19+KFC!$C$19)*KFC!$C$5</f>
        <v>103.68</v>
      </c>
      <c r="L243" s="932">
        <f>(AH243*KFC!$B$19+KFC!$C$19)*KFC!$C$5</f>
        <v>109.68</v>
      </c>
      <c r="M243" s="932">
        <f>(AI243*KFC!$B$19+KFC!$C$19)*KFC!$C$5</f>
        <v>115.54</v>
      </c>
      <c r="N243" s="932">
        <f>(AJ243*KFC!$B$19+KFC!$C$19)*KFC!$C$5</f>
        <v>121.69</v>
      </c>
      <c r="O243" s="932">
        <f>(AK243*KFC!$B$19+KFC!$C$19)*KFC!$C$5</f>
        <v>127.56</v>
      </c>
      <c r="P243" s="932">
        <f>(AL243*KFC!$B$19+KFC!$C$19)*KFC!$C$5</f>
        <v>133.56</v>
      </c>
      <c r="Q243" s="932">
        <f>(AM243*KFC!$B$19+KFC!$C$19)*KFC!$C$5</f>
        <v>139.71</v>
      </c>
      <c r="R243" s="932">
        <f>(AN243*KFC!$B$19+KFC!$C$19)*KFC!$C$5</f>
        <v>145.86000000000001</v>
      </c>
      <c r="S243" s="932">
        <f>(AO243*KFC!$B$19+KFC!$C$19)*KFC!$C$5</f>
        <v>151.87</v>
      </c>
      <c r="T243" s="932">
        <f>(AP243*KFC!$B$19+KFC!$C$19)*KFC!$C$5</f>
        <v>157.88</v>
      </c>
      <c r="U243" s="943">
        <f>(AQ243*KFC!$B$19+KFC!$C$19)*KFC!$C$5</f>
        <v>163.89</v>
      </c>
      <c r="V243" s="928"/>
      <c r="X243" s="923">
        <v>1.1000000000000001</v>
      </c>
      <c r="Y243" s="929">
        <v>55.91</v>
      </c>
      <c r="Z243" s="929">
        <v>61.78</v>
      </c>
      <c r="AA243" s="929">
        <v>67.930000000000007</v>
      </c>
      <c r="AB243" s="929">
        <v>73.790000000000006</v>
      </c>
      <c r="AC243" s="929">
        <v>79.790000000000006</v>
      </c>
      <c r="AD243" s="929">
        <v>85.66</v>
      </c>
      <c r="AE243" s="929">
        <v>91.66</v>
      </c>
      <c r="AF243" s="929">
        <v>97.81</v>
      </c>
      <c r="AG243" s="929">
        <v>103.68</v>
      </c>
      <c r="AH243" s="929">
        <v>109.68</v>
      </c>
      <c r="AI243" s="929">
        <v>115.54</v>
      </c>
      <c r="AJ243" s="929">
        <v>121.69</v>
      </c>
      <c r="AK243" s="929">
        <v>127.56</v>
      </c>
      <c r="AL243" s="929">
        <v>133.56</v>
      </c>
      <c r="AM243" s="929">
        <v>139.71</v>
      </c>
      <c r="AN243" s="929">
        <v>145.86000000000001</v>
      </c>
      <c r="AO243" s="929">
        <v>151.87</v>
      </c>
      <c r="AP243" s="929">
        <v>157.88</v>
      </c>
      <c r="AQ243" s="929">
        <v>163.89</v>
      </c>
      <c r="AR243" s="929">
        <v>169.9</v>
      </c>
    </row>
    <row r="244" spans="1:44">
      <c r="A244" s="1538"/>
      <c r="B244" s="930">
        <v>1.2</v>
      </c>
      <c r="C244" s="931">
        <f>(Y244*KFC!$B$19+KFC!$C$19)*KFC!$C$5</f>
        <v>57.77</v>
      </c>
      <c r="D244" s="932">
        <f>(Z244*KFC!$B$19+KFC!$C$19)*KFC!$C$5</f>
        <v>64.209999999999994</v>
      </c>
      <c r="E244" s="932">
        <f>(AA244*KFC!$B$19+KFC!$C$19)*KFC!$C$5</f>
        <v>70.64</v>
      </c>
      <c r="F244" s="932">
        <f>(AB244*KFC!$B$19+KFC!$C$19)*KFC!$C$5</f>
        <v>77.36</v>
      </c>
      <c r="G244" s="932">
        <f>(AC244*KFC!$B$19+KFC!$C$19)*KFC!$C$5</f>
        <v>83.8</v>
      </c>
      <c r="H244" s="932">
        <f>(AD244*KFC!$B$19+KFC!$C$19)*KFC!$C$5</f>
        <v>90.52</v>
      </c>
      <c r="I244" s="932">
        <f>(AE244*KFC!$B$19+KFC!$C$19)*KFC!$C$5</f>
        <v>96.81</v>
      </c>
      <c r="J244" s="932">
        <f>(AF244*KFC!$B$19+KFC!$C$19)*KFC!$C$5</f>
        <v>103.53</v>
      </c>
      <c r="K244" s="932">
        <f>(AG244*KFC!$B$19+KFC!$C$19)*KFC!$C$5</f>
        <v>110.11</v>
      </c>
      <c r="L244" s="932">
        <f>(AH244*KFC!$B$19+KFC!$C$19)*KFC!$C$5</f>
        <v>116.55</v>
      </c>
      <c r="M244" s="932">
        <f>(AI244*KFC!$B$19+KFC!$C$19)*KFC!$C$5</f>
        <v>123.27</v>
      </c>
      <c r="N244" s="932">
        <f>(AJ244*KFC!$B$19+KFC!$C$19)*KFC!$C$5</f>
        <v>129.56</v>
      </c>
      <c r="O244" s="932">
        <f>(AK244*KFC!$B$19+KFC!$C$19)*KFC!$C$5</f>
        <v>136.28</v>
      </c>
      <c r="P244" s="932">
        <f>(AL244*KFC!$B$19+KFC!$C$19)*KFC!$C$5</f>
        <v>142.86000000000001</v>
      </c>
      <c r="Q244" s="932">
        <f>(AM244*KFC!$B$19+KFC!$C$19)*KFC!$C$5</f>
        <v>149.29</v>
      </c>
      <c r="R244" s="932">
        <f>(AN244*KFC!$B$19+KFC!$C$19)*KFC!$C$5</f>
        <v>156.01</v>
      </c>
      <c r="S244" s="932">
        <f>(AO244*KFC!$B$19+KFC!$C$19)*KFC!$C$5</f>
        <v>162.59</v>
      </c>
      <c r="T244" s="932">
        <f>(AP244*KFC!$B$19+KFC!$C$19)*KFC!$C$5</f>
        <v>169.17</v>
      </c>
      <c r="U244" s="943">
        <f>(AQ244*KFC!$B$19+KFC!$C$19)*KFC!$C$5</f>
        <v>175.75</v>
      </c>
      <c r="V244" s="928"/>
      <c r="X244" s="923">
        <v>1.2</v>
      </c>
      <c r="Y244" s="929">
        <v>57.77</v>
      </c>
      <c r="Z244" s="929">
        <v>64.209999999999994</v>
      </c>
      <c r="AA244" s="929">
        <v>70.64</v>
      </c>
      <c r="AB244" s="929">
        <v>77.36</v>
      </c>
      <c r="AC244" s="929">
        <v>83.8</v>
      </c>
      <c r="AD244" s="929">
        <v>90.52</v>
      </c>
      <c r="AE244" s="929">
        <v>96.81</v>
      </c>
      <c r="AF244" s="929">
        <v>103.53</v>
      </c>
      <c r="AG244" s="929">
        <v>110.11</v>
      </c>
      <c r="AH244" s="929">
        <v>116.55</v>
      </c>
      <c r="AI244" s="929">
        <v>123.27</v>
      </c>
      <c r="AJ244" s="929">
        <v>129.56</v>
      </c>
      <c r="AK244" s="929">
        <v>136.28</v>
      </c>
      <c r="AL244" s="929">
        <v>142.86000000000001</v>
      </c>
      <c r="AM244" s="929">
        <v>149.29</v>
      </c>
      <c r="AN244" s="929">
        <v>156.01</v>
      </c>
      <c r="AO244" s="929">
        <v>162.59</v>
      </c>
      <c r="AP244" s="929">
        <v>169.17</v>
      </c>
      <c r="AQ244" s="929">
        <v>175.75</v>
      </c>
      <c r="AR244" s="929">
        <v>182.33</v>
      </c>
    </row>
    <row r="245" spans="1:44">
      <c r="A245" s="1538"/>
      <c r="B245" s="930">
        <v>1.3</v>
      </c>
      <c r="C245" s="931">
        <f>(Y245*KFC!$B$19+KFC!$C$19)*KFC!$C$5</f>
        <v>59.49</v>
      </c>
      <c r="D245" s="932">
        <f>(Z245*KFC!$B$19+KFC!$C$19)*KFC!$C$5</f>
        <v>66.64</v>
      </c>
      <c r="E245" s="932">
        <f>(AA245*KFC!$B$19+KFC!$C$19)*KFC!$C$5</f>
        <v>73.650000000000006</v>
      </c>
      <c r="F245" s="932">
        <f>(AB245*KFC!$B$19+KFC!$C$19)*KFC!$C$5</f>
        <v>80.94</v>
      </c>
      <c r="G245" s="932">
        <f>(AC245*KFC!$B$19+KFC!$C$19)*KFC!$C$5</f>
        <v>87.95</v>
      </c>
      <c r="H245" s="932">
        <f>(AD245*KFC!$B$19+KFC!$C$19)*KFC!$C$5</f>
        <v>95.1</v>
      </c>
      <c r="I245" s="932">
        <f>(AE245*KFC!$B$19+KFC!$C$19)*KFC!$C$5</f>
        <v>102.1</v>
      </c>
      <c r="J245" s="932">
        <f>(AF245*KFC!$B$19+KFC!$C$19)*KFC!$C$5</f>
        <v>109.4</v>
      </c>
      <c r="K245" s="932">
        <f>(AG245*KFC!$B$19+KFC!$C$19)*KFC!$C$5</f>
        <v>116.4</v>
      </c>
      <c r="L245" s="932">
        <f>(AH245*KFC!$B$19+KFC!$C$19)*KFC!$C$5</f>
        <v>123.41</v>
      </c>
      <c r="M245" s="932">
        <f>(AI245*KFC!$B$19+KFC!$C$19)*KFC!$C$5</f>
        <v>130.69999999999999</v>
      </c>
      <c r="N245" s="932">
        <f>(AJ245*KFC!$B$19+KFC!$C$19)*KFC!$C$5</f>
        <v>137.71</v>
      </c>
      <c r="O245" s="932">
        <f>(AK245*KFC!$B$19+KFC!$C$19)*KFC!$C$5</f>
        <v>144.86000000000001</v>
      </c>
      <c r="P245" s="932">
        <f>(AL245*KFC!$B$19+KFC!$C$19)*KFC!$C$5</f>
        <v>152.01</v>
      </c>
      <c r="Q245" s="932">
        <f>(AM245*KFC!$B$19+KFC!$C$19)*KFC!$C$5</f>
        <v>159.30000000000001</v>
      </c>
      <c r="R245" s="932">
        <f>(AN245*KFC!$B$19+KFC!$C$19)*KFC!$C$5</f>
        <v>166.6</v>
      </c>
      <c r="S245" s="932">
        <f>(AO245*KFC!$B$19+KFC!$C$19)*KFC!$C$5</f>
        <v>173.75</v>
      </c>
      <c r="T245" s="932">
        <f>(AP245*KFC!$B$19+KFC!$C$19)*KFC!$C$5</f>
        <v>180.9</v>
      </c>
      <c r="U245" s="943">
        <f>(AQ245*KFC!$B$19+KFC!$C$19)*KFC!$C$5</f>
        <v>188.05</v>
      </c>
      <c r="V245" s="928"/>
      <c r="X245" s="923">
        <v>1.3</v>
      </c>
      <c r="Y245" s="929">
        <v>59.49</v>
      </c>
      <c r="Z245" s="929">
        <v>66.64</v>
      </c>
      <c r="AA245" s="929">
        <v>73.650000000000006</v>
      </c>
      <c r="AB245" s="929">
        <v>80.94</v>
      </c>
      <c r="AC245" s="929">
        <v>87.95</v>
      </c>
      <c r="AD245" s="929">
        <v>95.1</v>
      </c>
      <c r="AE245" s="929">
        <v>102.1</v>
      </c>
      <c r="AF245" s="929">
        <v>109.4</v>
      </c>
      <c r="AG245" s="929">
        <v>116.4</v>
      </c>
      <c r="AH245" s="929">
        <v>123.41</v>
      </c>
      <c r="AI245" s="929">
        <v>130.69999999999999</v>
      </c>
      <c r="AJ245" s="929">
        <v>137.71</v>
      </c>
      <c r="AK245" s="929">
        <v>144.86000000000001</v>
      </c>
      <c r="AL245" s="929">
        <v>152.01</v>
      </c>
      <c r="AM245" s="929">
        <v>159.30000000000001</v>
      </c>
      <c r="AN245" s="929">
        <v>166.6</v>
      </c>
      <c r="AO245" s="929">
        <v>173.75</v>
      </c>
      <c r="AP245" s="929">
        <v>180.9</v>
      </c>
      <c r="AQ245" s="929">
        <v>188.05</v>
      </c>
      <c r="AR245" s="929">
        <v>195.2</v>
      </c>
    </row>
    <row r="246" spans="1:44">
      <c r="A246" s="1538"/>
      <c r="B246" s="930">
        <v>1.4</v>
      </c>
      <c r="C246" s="931">
        <f>(Y246*KFC!$B$19+KFC!$C$19)*KFC!$C$5</f>
        <v>61.35</v>
      </c>
      <c r="D246" s="932">
        <f>(Z246*KFC!$B$19+KFC!$C$19)*KFC!$C$5</f>
        <v>68.78</v>
      </c>
      <c r="E246" s="932">
        <f>(AA246*KFC!$B$19+KFC!$C$19)*KFC!$C$5</f>
        <v>76.510000000000005</v>
      </c>
      <c r="F246" s="932">
        <f>(AB246*KFC!$B$19+KFC!$C$19)*KFC!$C$5</f>
        <v>84.23</v>
      </c>
      <c r="G246" s="932">
        <f>(AC246*KFC!$B$19+KFC!$C$19)*KFC!$C$5</f>
        <v>92.09</v>
      </c>
      <c r="H246" s="932">
        <f>(AD246*KFC!$B$19+KFC!$C$19)*KFC!$C$5</f>
        <v>99.53</v>
      </c>
      <c r="I246" s="932">
        <f>(AE246*KFC!$B$19+KFC!$C$19)*KFC!$C$5</f>
        <v>107.39</v>
      </c>
      <c r="J246" s="932">
        <f>(AF246*KFC!$B$19+KFC!$C$19)*KFC!$C$5</f>
        <v>115.12</v>
      </c>
      <c r="K246" s="932">
        <f>(AG246*KFC!$B$19+KFC!$C$19)*KFC!$C$5</f>
        <v>122.55</v>
      </c>
      <c r="L246" s="932">
        <f>(AH246*KFC!$B$19+KFC!$C$19)*KFC!$C$5</f>
        <v>130.56</v>
      </c>
      <c r="M246" s="932">
        <f>(AI246*KFC!$B$19+KFC!$C$19)*KFC!$C$5</f>
        <v>138.13999999999999</v>
      </c>
      <c r="N246" s="932">
        <f>(AJ246*KFC!$B$19+KFC!$C$19)*KFC!$C$5</f>
        <v>145.86000000000001</v>
      </c>
      <c r="O246" s="932">
        <f>(AK246*KFC!$B$19+KFC!$C$19)*KFC!$C$5</f>
        <v>153.30000000000001</v>
      </c>
      <c r="P246" s="932">
        <f>(AL246*KFC!$B$19+KFC!$C$19)*KFC!$C$5</f>
        <v>161.16</v>
      </c>
      <c r="Q246" s="932">
        <f>(AM246*KFC!$B$19+KFC!$C$19)*KFC!$C$5</f>
        <v>168.74</v>
      </c>
      <c r="R246" s="932">
        <f>(AN246*KFC!$B$19+KFC!$C$19)*KFC!$C$5</f>
        <v>176.46</v>
      </c>
      <c r="S246" s="932">
        <f>(AO246*KFC!$B$19+KFC!$C$19)*KFC!$C$5</f>
        <v>184.33</v>
      </c>
      <c r="T246" s="932">
        <f>(AP246*KFC!$B$19+KFC!$C$19)*KFC!$C$5</f>
        <v>192.2</v>
      </c>
      <c r="U246" s="943">
        <f>(AQ246*KFC!$B$19+KFC!$C$19)*KFC!$C$5</f>
        <v>200.07</v>
      </c>
      <c r="V246" s="928"/>
      <c r="X246" s="923">
        <v>1.4</v>
      </c>
      <c r="Y246" s="929">
        <v>61.35</v>
      </c>
      <c r="Z246" s="929">
        <v>68.78</v>
      </c>
      <c r="AA246" s="929">
        <v>76.510000000000005</v>
      </c>
      <c r="AB246" s="929">
        <v>84.23</v>
      </c>
      <c r="AC246" s="929">
        <v>92.09</v>
      </c>
      <c r="AD246" s="929">
        <v>99.53</v>
      </c>
      <c r="AE246" s="929">
        <v>107.39</v>
      </c>
      <c r="AF246" s="929">
        <v>115.12</v>
      </c>
      <c r="AG246" s="929">
        <v>122.55</v>
      </c>
      <c r="AH246" s="929">
        <v>130.56</v>
      </c>
      <c r="AI246" s="929">
        <v>138.13999999999999</v>
      </c>
      <c r="AJ246" s="929">
        <v>145.86000000000001</v>
      </c>
      <c r="AK246" s="929">
        <v>153.30000000000001</v>
      </c>
      <c r="AL246" s="929">
        <v>161.16</v>
      </c>
      <c r="AM246" s="929">
        <v>168.74</v>
      </c>
      <c r="AN246" s="929">
        <v>176.46</v>
      </c>
      <c r="AO246" s="929">
        <v>184.33</v>
      </c>
      <c r="AP246" s="929">
        <v>192.2</v>
      </c>
      <c r="AQ246" s="929">
        <v>200.07</v>
      </c>
      <c r="AR246" s="929">
        <v>207.94</v>
      </c>
    </row>
    <row r="247" spans="1:44">
      <c r="A247" s="1538"/>
      <c r="B247" s="930">
        <v>1.5</v>
      </c>
      <c r="C247" s="931">
        <f>(Y247*KFC!$B$19+KFC!$C$19)*KFC!$C$5</f>
        <v>63.06</v>
      </c>
      <c r="D247" s="932">
        <f>(Z247*KFC!$B$19+KFC!$C$19)*KFC!$C$5</f>
        <v>71.36</v>
      </c>
      <c r="E247" s="932">
        <f>(AA247*KFC!$B$19+KFC!$C$19)*KFC!$C$5</f>
        <v>79.510000000000005</v>
      </c>
      <c r="F247" s="932">
        <f>(AB247*KFC!$B$19+KFC!$C$19)*KFC!$C$5</f>
        <v>87.8</v>
      </c>
      <c r="G247" s="932">
        <f>(AC247*KFC!$B$19+KFC!$C$19)*KFC!$C$5</f>
        <v>95.95</v>
      </c>
      <c r="H247" s="932">
        <f>(AD247*KFC!$B$19+KFC!$C$19)*KFC!$C$5</f>
        <v>104.1</v>
      </c>
      <c r="I247" s="932">
        <f>(AE247*KFC!$B$19+KFC!$C$19)*KFC!$C$5</f>
        <v>112.4</v>
      </c>
      <c r="J247" s="932">
        <f>(AF247*KFC!$B$19+KFC!$C$19)*KFC!$C$5</f>
        <v>120.69</v>
      </c>
      <c r="K247" s="932">
        <f>(AG247*KFC!$B$19+KFC!$C$19)*KFC!$C$5</f>
        <v>129.27000000000001</v>
      </c>
      <c r="L247" s="932">
        <f>(AH247*KFC!$B$19+KFC!$C$19)*KFC!$C$5</f>
        <v>137.41999999999999</v>
      </c>
      <c r="M247" s="932">
        <f>(AI247*KFC!$B$19+KFC!$C$19)*KFC!$C$5</f>
        <v>145.57</v>
      </c>
      <c r="N247" s="932">
        <f>(AJ247*KFC!$B$19+KFC!$C$19)*KFC!$C$5</f>
        <v>153.87</v>
      </c>
      <c r="O247" s="932">
        <f>(AK247*KFC!$B$19+KFC!$C$19)*KFC!$C$5</f>
        <v>162.02000000000001</v>
      </c>
      <c r="P247" s="932">
        <f>(AL247*KFC!$B$19+KFC!$C$19)*KFC!$C$5</f>
        <v>170.31</v>
      </c>
      <c r="Q247" s="932">
        <f>(AM247*KFC!$B$19+KFC!$C$19)*KFC!$C$5</f>
        <v>178.61</v>
      </c>
      <c r="R247" s="932">
        <f>(AN247*KFC!$B$19+KFC!$C$19)*KFC!$C$5</f>
        <v>187.19</v>
      </c>
      <c r="S247" s="932">
        <f>(AO247*KFC!$B$19+KFC!$C$19)*KFC!$C$5</f>
        <v>195.48</v>
      </c>
      <c r="T247" s="932">
        <f>(AP247*KFC!$B$19+KFC!$C$19)*KFC!$C$5</f>
        <v>203.77</v>
      </c>
      <c r="U247" s="943">
        <f>(AQ247*KFC!$B$19+KFC!$C$19)*KFC!$C$5</f>
        <v>212.06</v>
      </c>
      <c r="V247" s="928"/>
      <c r="X247" s="923">
        <v>1.5</v>
      </c>
      <c r="Y247" s="929">
        <v>63.06</v>
      </c>
      <c r="Z247" s="929">
        <v>71.36</v>
      </c>
      <c r="AA247" s="929">
        <v>79.510000000000005</v>
      </c>
      <c r="AB247" s="929">
        <v>87.8</v>
      </c>
      <c r="AC247" s="929">
        <v>95.95</v>
      </c>
      <c r="AD247" s="929">
        <v>104.1</v>
      </c>
      <c r="AE247" s="929">
        <v>112.4</v>
      </c>
      <c r="AF247" s="929">
        <v>120.69</v>
      </c>
      <c r="AG247" s="929">
        <v>129.27000000000001</v>
      </c>
      <c r="AH247" s="929">
        <v>137.41999999999999</v>
      </c>
      <c r="AI247" s="929">
        <v>145.57</v>
      </c>
      <c r="AJ247" s="929">
        <v>153.87</v>
      </c>
      <c r="AK247" s="929">
        <v>162.02000000000001</v>
      </c>
      <c r="AL247" s="929">
        <v>170.31</v>
      </c>
      <c r="AM247" s="929">
        <v>178.61</v>
      </c>
      <c r="AN247" s="929">
        <v>187.19</v>
      </c>
      <c r="AO247" s="929">
        <v>195.48</v>
      </c>
      <c r="AP247" s="929">
        <v>203.77</v>
      </c>
      <c r="AQ247" s="929">
        <v>212.06</v>
      </c>
      <c r="AR247" s="929">
        <v>220.35</v>
      </c>
    </row>
    <row r="248" spans="1:44">
      <c r="A248" s="1538"/>
      <c r="B248" s="930">
        <v>1.6</v>
      </c>
      <c r="C248" s="931">
        <f>(Y248*KFC!$B$19+KFC!$C$19)*KFC!$C$5</f>
        <v>64.78</v>
      </c>
      <c r="D248" s="932">
        <f>(Z248*KFC!$B$19+KFC!$C$19)*KFC!$C$5</f>
        <v>73.650000000000006</v>
      </c>
      <c r="E248" s="932">
        <f>(AA248*KFC!$B$19+KFC!$C$19)*KFC!$C$5</f>
        <v>82.51</v>
      </c>
      <c r="F248" s="932">
        <f>(AB248*KFC!$B$19+KFC!$C$19)*KFC!$C$5</f>
        <v>91.23</v>
      </c>
      <c r="G248" s="932">
        <f>(AC248*KFC!$B$19+KFC!$C$19)*KFC!$C$5</f>
        <v>100.1</v>
      </c>
      <c r="H248" s="932">
        <f>(AD248*KFC!$B$19+KFC!$C$19)*KFC!$C$5</f>
        <v>108.97</v>
      </c>
      <c r="I248" s="932">
        <f>(AE248*KFC!$B$19+KFC!$C$19)*KFC!$C$5</f>
        <v>117.83</v>
      </c>
      <c r="J248" s="932">
        <f>(AF248*KFC!$B$19+KFC!$C$19)*KFC!$C$5</f>
        <v>126.56</v>
      </c>
      <c r="K248" s="932">
        <f>(AG248*KFC!$B$19+KFC!$C$19)*KFC!$C$5</f>
        <v>135.41999999999999</v>
      </c>
      <c r="L248" s="932">
        <f>(AH248*KFC!$B$19+KFC!$C$19)*KFC!$C$5</f>
        <v>144.29</v>
      </c>
      <c r="M248" s="932">
        <f>(AI248*KFC!$B$19+KFC!$C$19)*KFC!$C$5</f>
        <v>153.15</v>
      </c>
      <c r="N248" s="932">
        <f>(AJ248*KFC!$B$19+KFC!$C$19)*KFC!$C$5</f>
        <v>161.88</v>
      </c>
      <c r="O248" s="932">
        <f>(AK248*KFC!$B$19+KFC!$C$19)*KFC!$C$5</f>
        <v>170.74</v>
      </c>
      <c r="P248" s="932">
        <f>(AL248*KFC!$B$19+KFC!$C$19)*KFC!$C$5</f>
        <v>179.61</v>
      </c>
      <c r="Q248" s="932">
        <f>(AM248*KFC!$B$19+KFC!$C$19)*KFC!$C$5</f>
        <v>188.47</v>
      </c>
      <c r="R248" s="932">
        <f>(AN248*KFC!$B$19+KFC!$C$19)*KFC!$C$5</f>
        <v>197.05</v>
      </c>
      <c r="S248" s="932">
        <f>(AO248*KFC!$B$19+KFC!$C$19)*KFC!$C$5</f>
        <v>206.06</v>
      </c>
      <c r="T248" s="932">
        <f>(AP248*KFC!$B$19+KFC!$C$19)*KFC!$C$5</f>
        <v>215.07</v>
      </c>
      <c r="U248" s="943">
        <f>(AQ248*KFC!$B$19+KFC!$C$19)*KFC!$C$5</f>
        <v>224.08</v>
      </c>
      <c r="V248" s="928"/>
      <c r="X248" s="923">
        <v>1.6</v>
      </c>
      <c r="Y248" s="929">
        <v>64.78</v>
      </c>
      <c r="Z248" s="929">
        <v>73.650000000000006</v>
      </c>
      <c r="AA248" s="929">
        <v>82.51</v>
      </c>
      <c r="AB248" s="929">
        <v>91.23</v>
      </c>
      <c r="AC248" s="929">
        <v>100.1</v>
      </c>
      <c r="AD248" s="929">
        <v>108.97</v>
      </c>
      <c r="AE248" s="929">
        <v>117.83</v>
      </c>
      <c r="AF248" s="929">
        <v>126.56</v>
      </c>
      <c r="AG248" s="929">
        <v>135.41999999999999</v>
      </c>
      <c r="AH248" s="929">
        <v>144.29</v>
      </c>
      <c r="AI248" s="929">
        <v>153.15</v>
      </c>
      <c r="AJ248" s="929">
        <v>161.88</v>
      </c>
      <c r="AK248" s="929">
        <v>170.74</v>
      </c>
      <c r="AL248" s="929">
        <v>179.61</v>
      </c>
      <c r="AM248" s="929">
        <v>188.47</v>
      </c>
      <c r="AN248" s="929">
        <v>197.05</v>
      </c>
      <c r="AO248" s="929">
        <v>206.06</v>
      </c>
      <c r="AP248" s="929">
        <v>215.07</v>
      </c>
      <c r="AQ248" s="929">
        <v>224.08</v>
      </c>
      <c r="AR248" s="929">
        <v>233.09</v>
      </c>
    </row>
    <row r="249" spans="1:44">
      <c r="A249" s="1538"/>
      <c r="B249" s="930">
        <v>1.7</v>
      </c>
      <c r="C249" s="931">
        <f>(Y249*KFC!$B$19+KFC!$C$19)*KFC!$C$5</f>
        <v>66.64</v>
      </c>
      <c r="D249" s="932">
        <f>(Z249*KFC!$B$19+KFC!$C$19)*KFC!$C$5</f>
        <v>75.790000000000006</v>
      </c>
      <c r="E249" s="932">
        <f>(AA249*KFC!$B$19+KFC!$C$19)*KFC!$C$5</f>
        <v>85.37</v>
      </c>
      <c r="F249" s="932">
        <f>(AB249*KFC!$B$19+KFC!$C$19)*KFC!$C$5</f>
        <v>94.81</v>
      </c>
      <c r="G249" s="932">
        <f>(AC249*KFC!$B$19+KFC!$C$19)*KFC!$C$5</f>
        <v>104.1</v>
      </c>
      <c r="H249" s="932">
        <f>(AD249*KFC!$B$19+KFC!$C$19)*KFC!$C$5</f>
        <v>113.69</v>
      </c>
      <c r="I249" s="932">
        <f>(AE249*KFC!$B$19+KFC!$C$19)*KFC!$C$5</f>
        <v>123.12</v>
      </c>
      <c r="J249" s="932">
        <f>(AF249*KFC!$B$19+KFC!$C$19)*KFC!$C$5</f>
        <v>132.13</v>
      </c>
      <c r="K249" s="932">
        <f>(AG249*KFC!$B$19+KFC!$C$19)*KFC!$C$5</f>
        <v>141.71</v>
      </c>
      <c r="L249" s="932">
        <f>(AH249*KFC!$B$19+KFC!$C$19)*KFC!$C$5</f>
        <v>151.15</v>
      </c>
      <c r="M249" s="932">
        <f>(AI249*KFC!$B$19+KFC!$C$19)*KFC!$C$5</f>
        <v>160.44999999999999</v>
      </c>
      <c r="N249" s="932">
        <f>(AJ249*KFC!$B$19+KFC!$C$19)*KFC!$C$5</f>
        <v>170.03</v>
      </c>
      <c r="O249" s="932">
        <f>(AK249*KFC!$B$19+KFC!$C$19)*KFC!$C$5</f>
        <v>179.32</v>
      </c>
      <c r="P249" s="932">
        <f>(AL249*KFC!$B$19+KFC!$C$19)*KFC!$C$5</f>
        <v>188.76</v>
      </c>
      <c r="Q249" s="932">
        <f>(AM249*KFC!$B$19+KFC!$C$19)*KFC!$C$5</f>
        <v>198.34</v>
      </c>
      <c r="R249" s="932">
        <f>(AN249*KFC!$B$19+KFC!$C$19)*KFC!$C$5</f>
        <v>207.78</v>
      </c>
      <c r="S249" s="932">
        <f>(AO249*KFC!$B$19+KFC!$C$19)*KFC!$C$5</f>
        <v>217.22</v>
      </c>
      <c r="T249" s="932">
        <f>(AP249*KFC!$B$19+KFC!$C$19)*KFC!$C$5</f>
        <v>226.66</v>
      </c>
      <c r="U249" s="943">
        <f>(AQ249*KFC!$B$19+KFC!$C$19)*KFC!$C$5</f>
        <v>236.1</v>
      </c>
      <c r="V249" s="928"/>
      <c r="X249" s="923">
        <v>1.7</v>
      </c>
      <c r="Y249" s="929">
        <v>66.64</v>
      </c>
      <c r="Z249" s="929">
        <v>75.790000000000006</v>
      </c>
      <c r="AA249" s="929">
        <v>85.37</v>
      </c>
      <c r="AB249" s="929">
        <v>94.81</v>
      </c>
      <c r="AC249" s="929">
        <v>104.1</v>
      </c>
      <c r="AD249" s="929">
        <v>113.69</v>
      </c>
      <c r="AE249" s="929">
        <v>123.12</v>
      </c>
      <c r="AF249" s="929">
        <v>132.13</v>
      </c>
      <c r="AG249" s="929">
        <v>141.71</v>
      </c>
      <c r="AH249" s="929">
        <v>151.15</v>
      </c>
      <c r="AI249" s="929">
        <v>160.44999999999999</v>
      </c>
      <c r="AJ249" s="929">
        <v>170.03</v>
      </c>
      <c r="AK249" s="929">
        <v>179.32</v>
      </c>
      <c r="AL249" s="929">
        <v>188.76</v>
      </c>
      <c r="AM249" s="929">
        <v>198.34</v>
      </c>
      <c r="AN249" s="929">
        <v>207.78</v>
      </c>
      <c r="AO249" s="929">
        <v>217.22</v>
      </c>
      <c r="AP249" s="929">
        <v>226.66</v>
      </c>
      <c r="AQ249" s="929">
        <v>236.1</v>
      </c>
      <c r="AR249" s="929">
        <v>245.54</v>
      </c>
    </row>
    <row r="250" spans="1:44">
      <c r="A250" s="1538"/>
      <c r="B250" s="930">
        <v>1.8</v>
      </c>
      <c r="C250" s="931">
        <f>(Y250*KFC!$B$19+KFC!$C$19)*KFC!$C$5</f>
        <v>68.349999999999994</v>
      </c>
      <c r="D250" s="932">
        <f>(Z250*KFC!$B$19+KFC!$C$19)*KFC!$C$5</f>
        <v>78.36</v>
      </c>
      <c r="E250" s="932">
        <f>(AA250*KFC!$B$19+KFC!$C$19)*KFC!$C$5</f>
        <v>88.37</v>
      </c>
      <c r="F250" s="932">
        <f>(AB250*KFC!$B$19+KFC!$C$19)*KFC!$C$5</f>
        <v>98.24</v>
      </c>
      <c r="G250" s="932">
        <f>(AC250*KFC!$B$19+KFC!$C$19)*KFC!$C$5</f>
        <v>108.11</v>
      </c>
      <c r="H250" s="932">
        <f>(AD250*KFC!$B$19+KFC!$C$19)*KFC!$C$5</f>
        <v>117.98</v>
      </c>
      <c r="I250" s="932">
        <f>(AE250*KFC!$B$19+KFC!$C$19)*KFC!$C$5</f>
        <v>128.13</v>
      </c>
      <c r="J250" s="932">
        <f>(AF250*KFC!$B$19+KFC!$C$19)*KFC!$C$5</f>
        <v>138.13999999999999</v>
      </c>
      <c r="K250" s="932">
        <f>(AG250*KFC!$B$19+KFC!$C$19)*KFC!$C$5</f>
        <v>148.01</v>
      </c>
      <c r="L250" s="932">
        <f>(AH250*KFC!$B$19+KFC!$C$19)*KFC!$C$5</f>
        <v>158.02000000000001</v>
      </c>
      <c r="M250" s="932">
        <f>(AI250*KFC!$B$19+KFC!$C$19)*KFC!$C$5</f>
        <v>168.03</v>
      </c>
      <c r="N250" s="932">
        <f>(AJ250*KFC!$B$19+KFC!$C$19)*KFC!$C$5</f>
        <v>177.89</v>
      </c>
      <c r="O250" s="932">
        <f>(AK250*KFC!$B$19+KFC!$C$19)*KFC!$C$5</f>
        <v>188.05</v>
      </c>
      <c r="P250" s="932">
        <f>(AL250*KFC!$B$19+KFC!$C$19)*KFC!$C$5</f>
        <v>198.06</v>
      </c>
      <c r="Q250" s="932">
        <f>(AM250*KFC!$B$19+KFC!$C$19)*KFC!$C$5</f>
        <v>207.92</v>
      </c>
      <c r="R250" s="932">
        <f>(AN250*KFC!$B$19+KFC!$C$19)*KFC!$C$5</f>
        <v>217.93</v>
      </c>
      <c r="S250" s="932">
        <f>(AO250*KFC!$B$19+KFC!$C$19)*KFC!$C$5</f>
        <v>227.94</v>
      </c>
      <c r="T250" s="932">
        <f>(AP250*KFC!$B$19+KFC!$C$19)*KFC!$C$5</f>
        <v>237.95</v>
      </c>
      <c r="U250" s="943">
        <f>(AQ250*KFC!$B$19+KFC!$C$19)*KFC!$C$5</f>
        <v>247.96</v>
      </c>
      <c r="V250" s="928"/>
      <c r="X250" s="923">
        <v>1.8</v>
      </c>
      <c r="Y250" s="929">
        <v>68.349999999999994</v>
      </c>
      <c r="Z250" s="929">
        <v>78.36</v>
      </c>
      <c r="AA250" s="929">
        <v>88.37</v>
      </c>
      <c r="AB250" s="929">
        <v>98.24</v>
      </c>
      <c r="AC250" s="929">
        <v>108.11</v>
      </c>
      <c r="AD250" s="929">
        <v>117.98</v>
      </c>
      <c r="AE250" s="929">
        <v>128.13</v>
      </c>
      <c r="AF250" s="929">
        <v>138.13999999999999</v>
      </c>
      <c r="AG250" s="929">
        <v>148.01</v>
      </c>
      <c r="AH250" s="929">
        <v>158.02000000000001</v>
      </c>
      <c r="AI250" s="929">
        <v>168.03</v>
      </c>
      <c r="AJ250" s="929">
        <v>177.89</v>
      </c>
      <c r="AK250" s="929">
        <v>188.05</v>
      </c>
      <c r="AL250" s="929">
        <v>198.06</v>
      </c>
      <c r="AM250" s="929">
        <v>207.92</v>
      </c>
      <c r="AN250" s="929">
        <v>217.93</v>
      </c>
      <c r="AO250" s="929">
        <v>227.94</v>
      </c>
      <c r="AP250" s="929">
        <v>237.95</v>
      </c>
      <c r="AQ250" s="929">
        <v>247.96</v>
      </c>
      <c r="AR250" s="929">
        <v>257.97000000000003</v>
      </c>
    </row>
    <row r="251" spans="1:44">
      <c r="A251" s="1538"/>
      <c r="B251" s="930">
        <v>1.9</v>
      </c>
      <c r="C251" s="931">
        <f>(Y251*KFC!$B$19+KFC!$C$19)*KFC!$C$5</f>
        <v>71.930000000000007</v>
      </c>
      <c r="D251" s="932">
        <f>(Z251*KFC!$B$19+KFC!$C$19)*KFC!$C$5</f>
        <v>82.94</v>
      </c>
      <c r="E251" s="932">
        <f>(AA251*KFC!$B$19+KFC!$C$19)*KFC!$C$5</f>
        <v>94.09</v>
      </c>
      <c r="F251" s="932">
        <f>(AB251*KFC!$B$19+KFC!$C$19)*KFC!$C$5</f>
        <v>105.11</v>
      </c>
      <c r="G251" s="932">
        <f>(AC251*KFC!$B$19+KFC!$C$19)*KFC!$C$5</f>
        <v>116.4</v>
      </c>
      <c r="H251" s="932">
        <f>(AD251*KFC!$B$19+KFC!$C$19)*KFC!$C$5</f>
        <v>127.41</v>
      </c>
      <c r="I251" s="932">
        <f>(AE251*KFC!$B$19+KFC!$C$19)*KFC!$C$5</f>
        <v>138.41999999999999</v>
      </c>
      <c r="J251" s="932">
        <f>(AF251*KFC!$B$19+KFC!$C$19)*KFC!$C$5</f>
        <v>149.72</v>
      </c>
      <c r="K251" s="932">
        <f>(AG251*KFC!$B$19+KFC!$C$19)*KFC!$C$5</f>
        <v>160.72999999999999</v>
      </c>
      <c r="L251" s="932">
        <f>(AH251*KFC!$B$19+KFC!$C$19)*KFC!$C$5</f>
        <v>171.74</v>
      </c>
      <c r="M251" s="932">
        <f>(AI251*KFC!$B$19+KFC!$C$19)*KFC!$C$5</f>
        <v>182.75</v>
      </c>
      <c r="N251" s="932">
        <f>(AJ251*KFC!$B$19+KFC!$C$19)*KFC!$C$5</f>
        <v>194.19</v>
      </c>
      <c r="O251" s="932">
        <f>(AK251*KFC!$B$19+KFC!$C$19)*KFC!$C$5</f>
        <v>205.21</v>
      </c>
      <c r="P251" s="932">
        <f>(AL251*KFC!$B$19+KFC!$C$19)*KFC!$C$5</f>
        <v>216.36</v>
      </c>
      <c r="Q251" s="932">
        <f>(AM251*KFC!$B$19+KFC!$C$19)*KFC!$C$5</f>
        <v>227.37</v>
      </c>
      <c r="R251" s="932">
        <f>(AN251*KFC!$B$19+KFC!$C$19)*KFC!$C$5</f>
        <v>238.38</v>
      </c>
      <c r="S251" s="932">
        <f>(AO251*KFC!$B$19+KFC!$C$19)*KFC!$C$5</f>
        <v>249.39</v>
      </c>
      <c r="T251" s="932">
        <f>(AP251*KFC!$B$19+KFC!$C$19)*KFC!$C$5</f>
        <v>260.39999999999998</v>
      </c>
      <c r="U251" s="943">
        <f>(AQ251*KFC!$B$19+KFC!$C$19)*KFC!$C$5</f>
        <v>271.41000000000003</v>
      </c>
      <c r="V251" s="928"/>
      <c r="X251" s="923">
        <v>1.9</v>
      </c>
      <c r="Y251" s="929">
        <v>71.930000000000007</v>
      </c>
      <c r="Z251" s="929">
        <v>82.94</v>
      </c>
      <c r="AA251" s="929">
        <v>94.09</v>
      </c>
      <c r="AB251" s="929">
        <v>105.11</v>
      </c>
      <c r="AC251" s="929">
        <v>116.4</v>
      </c>
      <c r="AD251" s="929">
        <v>127.41</v>
      </c>
      <c r="AE251" s="929">
        <v>138.41999999999999</v>
      </c>
      <c r="AF251" s="929">
        <v>149.72</v>
      </c>
      <c r="AG251" s="929">
        <v>160.72999999999999</v>
      </c>
      <c r="AH251" s="929">
        <v>171.74</v>
      </c>
      <c r="AI251" s="929">
        <v>182.75</v>
      </c>
      <c r="AJ251" s="929">
        <v>194.19</v>
      </c>
      <c r="AK251" s="929">
        <v>205.21</v>
      </c>
      <c r="AL251" s="929">
        <v>216.36</v>
      </c>
      <c r="AM251" s="929">
        <v>227.37</v>
      </c>
      <c r="AN251" s="929">
        <v>238.38</v>
      </c>
      <c r="AO251" s="929">
        <v>249.39</v>
      </c>
      <c r="AP251" s="929">
        <v>260.39999999999998</v>
      </c>
      <c r="AQ251" s="929">
        <v>271.41000000000003</v>
      </c>
      <c r="AR251" s="929">
        <v>282.42</v>
      </c>
    </row>
    <row r="252" spans="1:44">
      <c r="A252" s="1538"/>
      <c r="B252" s="930">
        <v>2</v>
      </c>
      <c r="C252" s="931">
        <f>(Y252*KFC!$B$19+KFC!$C$19)*KFC!$C$5</f>
        <v>73.650000000000006</v>
      </c>
      <c r="D252" s="932">
        <f>(Z252*KFC!$B$19+KFC!$C$19)*KFC!$C$5</f>
        <v>85.37</v>
      </c>
      <c r="E252" s="932">
        <f>(AA252*KFC!$B$19+KFC!$C$19)*KFC!$C$5</f>
        <v>96.81</v>
      </c>
      <c r="F252" s="932">
        <f>(AB252*KFC!$B$19+KFC!$C$19)*KFC!$C$5</f>
        <v>108.82</v>
      </c>
      <c r="G252" s="932">
        <f>(AC252*KFC!$B$19+KFC!$C$19)*KFC!$C$5</f>
        <v>120.41</v>
      </c>
      <c r="H252" s="932">
        <f>(AD252*KFC!$B$19+KFC!$C$19)*KFC!$C$5</f>
        <v>131.99</v>
      </c>
      <c r="I252" s="932">
        <f>(AE252*KFC!$B$19+KFC!$C$19)*KFC!$C$5</f>
        <v>143.72</v>
      </c>
      <c r="J252" s="932">
        <f>(AF252*KFC!$B$19+KFC!$C$19)*KFC!$C$5</f>
        <v>155.44</v>
      </c>
      <c r="K252" s="932">
        <f>(AG252*KFC!$B$19+KFC!$C$19)*KFC!$C$5</f>
        <v>167.31</v>
      </c>
      <c r="L252" s="932">
        <f>(AH252*KFC!$B$19+KFC!$C$19)*KFC!$C$5</f>
        <v>178.61</v>
      </c>
      <c r="M252" s="932">
        <f>(AI252*KFC!$B$19+KFC!$C$19)*KFC!$C$5</f>
        <v>190.62</v>
      </c>
      <c r="N252" s="932">
        <f>(AJ252*KFC!$B$19+KFC!$C$19)*KFC!$C$5</f>
        <v>202.2</v>
      </c>
      <c r="O252" s="932">
        <f>(AK252*KFC!$B$19+KFC!$C$19)*KFC!$C$5</f>
        <v>213.93</v>
      </c>
      <c r="P252" s="932">
        <f>(AL252*KFC!$B$19+KFC!$C$19)*KFC!$C$5</f>
        <v>225.37</v>
      </c>
      <c r="Q252" s="932">
        <f>(AM252*KFC!$B$19+KFC!$C$19)*KFC!$C$5</f>
        <v>236.95</v>
      </c>
      <c r="R252" s="932">
        <f>(AN252*KFC!$B$19+KFC!$C$19)*KFC!$C$5</f>
        <v>248.53</v>
      </c>
      <c r="S252" s="932">
        <f>(AO252*KFC!$B$19+KFC!$C$19)*KFC!$C$5</f>
        <v>260.12</v>
      </c>
      <c r="T252" s="932">
        <f>(AP252*KFC!$B$19+KFC!$C$19)*KFC!$C$5</f>
        <v>271.70999999999998</v>
      </c>
      <c r="U252" s="943">
        <f>(AQ252*KFC!$B$19+KFC!$C$19)*KFC!$C$5</f>
        <v>283.3</v>
      </c>
      <c r="V252" s="928"/>
      <c r="X252" s="923">
        <v>2</v>
      </c>
      <c r="Y252" s="929">
        <v>73.650000000000006</v>
      </c>
      <c r="Z252" s="929">
        <v>85.37</v>
      </c>
      <c r="AA252" s="929">
        <v>96.81</v>
      </c>
      <c r="AB252" s="929">
        <v>108.82</v>
      </c>
      <c r="AC252" s="929">
        <v>120.41</v>
      </c>
      <c r="AD252" s="929">
        <v>131.99</v>
      </c>
      <c r="AE252" s="929">
        <v>143.72</v>
      </c>
      <c r="AF252" s="929">
        <v>155.44</v>
      </c>
      <c r="AG252" s="929">
        <v>167.31</v>
      </c>
      <c r="AH252" s="929">
        <v>178.61</v>
      </c>
      <c r="AI252" s="929">
        <v>190.62</v>
      </c>
      <c r="AJ252" s="929">
        <v>202.2</v>
      </c>
      <c r="AK252" s="929">
        <v>213.93</v>
      </c>
      <c r="AL252" s="929">
        <v>225.37</v>
      </c>
      <c r="AM252" s="929">
        <v>236.95</v>
      </c>
      <c r="AN252" s="929">
        <v>248.53</v>
      </c>
      <c r="AO252" s="929">
        <v>260.12</v>
      </c>
      <c r="AP252" s="929">
        <v>271.70999999999998</v>
      </c>
      <c r="AQ252" s="929">
        <v>283.3</v>
      </c>
      <c r="AR252" s="929">
        <v>294.89</v>
      </c>
    </row>
    <row r="253" spans="1:44">
      <c r="A253" s="1538"/>
      <c r="B253" s="930">
        <v>2.1</v>
      </c>
      <c r="C253" s="931">
        <f>(Y253*KFC!$B$19+KFC!$C$19)*KFC!$C$5</f>
        <v>75.5</v>
      </c>
      <c r="D253" s="932">
        <f>(Z253*KFC!$B$19+KFC!$C$19)*KFC!$C$5</f>
        <v>87.8</v>
      </c>
      <c r="E253" s="932">
        <f>(AA253*KFC!$B$19+KFC!$C$19)*KFC!$C$5</f>
        <v>99.96</v>
      </c>
      <c r="F253" s="932">
        <f>(AB253*KFC!$B$19+KFC!$C$19)*KFC!$C$5</f>
        <v>112.26</v>
      </c>
      <c r="G253" s="932">
        <f>(AC253*KFC!$B$19+KFC!$C$19)*KFC!$C$5</f>
        <v>124.41</v>
      </c>
      <c r="H253" s="932">
        <f>(AD253*KFC!$B$19+KFC!$C$19)*KFC!$C$5</f>
        <v>136.71</v>
      </c>
      <c r="I253" s="932">
        <f>(AE253*KFC!$B$19+KFC!$C$19)*KFC!$C$5</f>
        <v>149.01</v>
      </c>
      <c r="J253" s="932">
        <f>(AF253*KFC!$B$19+KFC!$C$19)*KFC!$C$5</f>
        <v>161.16</v>
      </c>
      <c r="K253" s="932">
        <f>(AG253*KFC!$B$19+KFC!$C$19)*KFC!$C$5</f>
        <v>173.46</v>
      </c>
      <c r="L253" s="932">
        <f>(AH253*KFC!$B$19+KFC!$C$19)*KFC!$C$5</f>
        <v>185.76</v>
      </c>
      <c r="M253" s="932">
        <f>(AI253*KFC!$B$19+KFC!$C$19)*KFC!$C$5</f>
        <v>198.06</v>
      </c>
      <c r="N253" s="932">
        <f>(AJ253*KFC!$B$19+KFC!$C$19)*KFC!$C$5</f>
        <v>210.21</v>
      </c>
      <c r="O253" s="932">
        <f>(AK253*KFC!$B$19+KFC!$C$19)*KFC!$C$5</f>
        <v>222.51</v>
      </c>
      <c r="P253" s="932">
        <f>(AL253*KFC!$B$19+KFC!$C$19)*KFC!$C$5</f>
        <v>234.81</v>
      </c>
      <c r="Q253" s="932">
        <f>(AM253*KFC!$B$19+KFC!$C$19)*KFC!$C$5</f>
        <v>247.1</v>
      </c>
      <c r="R253" s="932">
        <f>(AN253*KFC!$B$19+KFC!$C$19)*KFC!$C$5</f>
        <v>259.39999999999998</v>
      </c>
      <c r="S253" s="932">
        <f>(AO253*KFC!$B$19+KFC!$C$19)*KFC!$C$5</f>
        <v>271.83999999999997</v>
      </c>
      <c r="T253" s="932">
        <f>(AP253*KFC!$B$19+KFC!$C$19)*KFC!$C$5</f>
        <v>284.27999999999997</v>
      </c>
      <c r="U253" s="943">
        <f>(AQ253*KFC!$B$19+KFC!$C$19)*KFC!$C$5</f>
        <v>296.72000000000003</v>
      </c>
      <c r="V253" s="928"/>
      <c r="X253" s="923">
        <v>2.1</v>
      </c>
      <c r="Y253" s="929">
        <v>75.5</v>
      </c>
      <c r="Z253" s="929">
        <v>87.8</v>
      </c>
      <c r="AA253" s="929">
        <v>99.96</v>
      </c>
      <c r="AB253" s="929">
        <v>112.26</v>
      </c>
      <c r="AC253" s="929">
        <v>124.41</v>
      </c>
      <c r="AD253" s="929">
        <v>136.71</v>
      </c>
      <c r="AE253" s="929">
        <v>149.01</v>
      </c>
      <c r="AF253" s="929">
        <v>161.16</v>
      </c>
      <c r="AG253" s="929">
        <v>173.46</v>
      </c>
      <c r="AH253" s="929">
        <v>185.76</v>
      </c>
      <c r="AI253" s="929">
        <v>198.06</v>
      </c>
      <c r="AJ253" s="929">
        <v>210.21</v>
      </c>
      <c r="AK253" s="929">
        <v>222.51</v>
      </c>
      <c r="AL253" s="929">
        <v>234.81</v>
      </c>
      <c r="AM253" s="929">
        <v>247.1</v>
      </c>
      <c r="AN253" s="929">
        <v>259.39999999999998</v>
      </c>
      <c r="AO253" s="929">
        <v>271.83999999999997</v>
      </c>
      <c r="AP253" s="929">
        <v>284.27999999999997</v>
      </c>
      <c r="AQ253" s="929">
        <v>296.72000000000003</v>
      </c>
      <c r="AR253" s="929">
        <v>309.16000000000003</v>
      </c>
    </row>
    <row r="254" spans="1:44">
      <c r="A254" s="1538"/>
      <c r="B254" s="930">
        <v>2.2000000000000002</v>
      </c>
      <c r="C254" s="931">
        <f>(Y254*KFC!$B$19+KFC!$C$19)*KFC!$C$5</f>
        <v>77.36</v>
      </c>
      <c r="D254" s="932">
        <f>(Z254*KFC!$B$19+KFC!$C$19)*KFC!$C$5</f>
        <v>89.95</v>
      </c>
      <c r="E254" s="932">
        <f>(AA254*KFC!$B$19+KFC!$C$19)*KFC!$C$5</f>
        <v>102.82</v>
      </c>
      <c r="F254" s="932">
        <f>(AB254*KFC!$B$19+KFC!$C$19)*KFC!$C$5</f>
        <v>115.83</v>
      </c>
      <c r="G254" s="932">
        <f>(AC254*KFC!$B$19+KFC!$C$19)*KFC!$C$5</f>
        <v>128.56</v>
      </c>
      <c r="H254" s="932">
        <f>(AD254*KFC!$B$19+KFC!$C$19)*KFC!$C$5</f>
        <v>141.43</v>
      </c>
      <c r="I254" s="932">
        <f>(AE254*KFC!$B$19+KFC!$C$19)*KFC!$C$5</f>
        <v>154.15</v>
      </c>
      <c r="J254" s="932">
        <f>(AF254*KFC!$B$19+KFC!$C$19)*KFC!$C$5</f>
        <v>167.02</v>
      </c>
      <c r="K254" s="932">
        <f>(AG254*KFC!$B$19+KFC!$C$19)*KFC!$C$5</f>
        <v>179.75</v>
      </c>
      <c r="L254" s="932">
        <f>(AH254*KFC!$B$19+KFC!$C$19)*KFC!$C$5</f>
        <v>192.62</v>
      </c>
      <c r="M254" s="932">
        <f>(AI254*KFC!$B$19+KFC!$C$19)*KFC!$C$5</f>
        <v>205.49</v>
      </c>
      <c r="N254" s="932">
        <f>(AJ254*KFC!$B$19+KFC!$C$19)*KFC!$C$5</f>
        <v>218.08</v>
      </c>
      <c r="O254" s="932">
        <f>(AK254*KFC!$B$19+KFC!$C$19)*KFC!$C$5</f>
        <v>230.95</v>
      </c>
      <c r="P254" s="932">
        <f>(AL254*KFC!$B$19+KFC!$C$19)*KFC!$C$5</f>
        <v>243.82</v>
      </c>
      <c r="Q254" s="932">
        <f>(AM254*KFC!$B$19+KFC!$C$19)*KFC!$C$5</f>
        <v>256.83</v>
      </c>
      <c r="R254" s="932">
        <f>(AN254*KFC!$B$19+KFC!$C$19)*KFC!$C$5</f>
        <v>269.83999999999997</v>
      </c>
      <c r="S254" s="932">
        <f>(AO254*KFC!$B$19+KFC!$C$19)*KFC!$C$5</f>
        <v>282.85000000000002</v>
      </c>
      <c r="T254" s="932">
        <f>(AP254*KFC!$B$19+KFC!$C$19)*KFC!$C$5</f>
        <v>295.86</v>
      </c>
      <c r="U254" s="943">
        <f>(AQ254*KFC!$B$19+KFC!$C$19)*KFC!$C$5</f>
        <v>308.87</v>
      </c>
      <c r="V254" s="928"/>
      <c r="X254" s="923">
        <v>2.2000000000000002</v>
      </c>
      <c r="Y254" s="929">
        <v>77.36</v>
      </c>
      <c r="Z254" s="929">
        <v>89.95</v>
      </c>
      <c r="AA254" s="929">
        <v>102.82</v>
      </c>
      <c r="AB254" s="929">
        <v>115.83</v>
      </c>
      <c r="AC254" s="929">
        <v>128.56</v>
      </c>
      <c r="AD254" s="929">
        <v>141.43</v>
      </c>
      <c r="AE254" s="929">
        <v>154.15</v>
      </c>
      <c r="AF254" s="929">
        <v>167.02</v>
      </c>
      <c r="AG254" s="929">
        <v>179.75</v>
      </c>
      <c r="AH254" s="929">
        <v>192.62</v>
      </c>
      <c r="AI254" s="929">
        <v>205.49</v>
      </c>
      <c r="AJ254" s="929">
        <v>218.08</v>
      </c>
      <c r="AK254" s="929">
        <v>230.95</v>
      </c>
      <c r="AL254" s="929">
        <v>243.82</v>
      </c>
      <c r="AM254" s="929">
        <v>256.83</v>
      </c>
      <c r="AN254" s="929">
        <v>269.83999999999997</v>
      </c>
      <c r="AO254" s="929">
        <v>282.85000000000002</v>
      </c>
      <c r="AP254" s="929">
        <v>295.86</v>
      </c>
      <c r="AQ254" s="929">
        <v>308.87</v>
      </c>
      <c r="AR254" s="929">
        <v>321.88</v>
      </c>
    </row>
    <row r="255" spans="1:44">
      <c r="A255" s="1538"/>
      <c r="B255" s="930">
        <v>2.2999999999999998</v>
      </c>
      <c r="C255" s="931">
        <f>(Y255*KFC!$B$19+KFC!$C$19)*KFC!$C$5</f>
        <v>79.08</v>
      </c>
      <c r="D255" s="932">
        <f>(Z255*KFC!$B$19+KFC!$C$19)*KFC!$C$5</f>
        <v>92.52</v>
      </c>
      <c r="E255" s="932">
        <f>(AA255*KFC!$B$19+KFC!$C$19)*KFC!$C$5</f>
        <v>105.68</v>
      </c>
      <c r="F255" s="932">
        <f>(AB255*KFC!$B$19+KFC!$C$19)*KFC!$C$5</f>
        <v>119.12</v>
      </c>
      <c r="G255" s="932">
        <f>(AC255*KFC!$B$19+KFC!$C$19)*KFC!$C$5</f>
        <v>132.69999999999999</v>
      </c>
      <c r="H255" s="932">
        <f>(AD255*KFC!$B$19+KFC!$C$19)*KFC!$C$5</f>
        <v>146.15</v>
      </c>
      <c r="I255" s="932">
        <f>(AE255*KFC!$B$19+KFC!$C$19)*KFC!$C$5</f>
        <v>159.30000000000001</v>
      </c>
      <c r="J255" s="932">
        <f>(AF255*KFC!$B$19+KFC!$C$19)*KFC!$C$5</f>
        <v>172.74</v>
      </c>
      <c r="K255" s="932">
        <f>(AG255*KFC!$B$19+KFC!$C$19)*KFC!$C$5</f>
        <v>185.9</v>
      </c>
      <c r="L255" s="932">
        <f>(AH255*KFC!$B$19+KFC!$C$19)*KFC!$C$5</f>
        <v>199.63</v>
      </c>
      <c r="M255" s="932">
        <f>(AI255*KFC!$B$19+KFC!$C$19)*KFC!$C$5</f>
        <v>212.93</v>
      </c>
      <c r="N255" s="932">
        <f>(AJ255*KFC!$B$19+KFC!$C$19)*KFC!$C$5</f>
        <v>226.23</v>
      </c>
      <c r="O255" s="932">
        <f>(AK255*KFC!$B$19+KFC!$C$19)*KFC!$C$5</f>
        <v>239.53</v>
      </c>
      <c r="P255" s="932">
        <f>(AL255*KFC!$B$19+KFC!$C$19)*KFC!$C$5</f>
        <v>253.25</v>
      </c>
      <c r="Q255" s="932">
        <f>(AM255*KFC!$B$19+KFC!$C$19)*KFC!$C$5</f>
        <v>266.83999999999997</v>
      </c>
      <c r="R255" s="932">
        <f>(AN255*KFC!$B$19+KFC!$C$19)*KFC!$C$5</f>
        <v>280.42</v>
      </c>
      <c r="S255" s="932">
        <f>(AO255*KFC!$B$19+KFC!$C$19)*KFC!$C$5</f>
        <v>294.14999999999998</v>
      </c>
      <c r="T255" s="932">
        <f>(AP255*KFC!$B$19+KFC!$C$19)*KFC!$C$5</f>
        <v>307.88</v>
      </c>
      <c r="U255" s="943">
        <f>(AQ255*KFC!$B$19+KFC!$C$19)*KFC!$C$5</f>
        <v>321.61</v>
      </c>
      <c r="V255" s="928"/>
      <c r="X255" s="923">
        <v>2.2999999999999998</v>
      </c>
      <c r="Y255" s="929">
        <v>79.08</v>
      </c>
      <c r="Z255" s="929">
        <v>92.52</v>
      </c>
      <c r="AA255" s="929">
        <v>105.68</v>
      </c>
      <c r="AB255" s="929">
        <v>119.12</v>
      </c>
      <c r="AC255" s="929">
        <v>132.69999999999999</v>
      </c>
      <c r="AD255" s="929">
        <v>146.15</v>
      </c>
      <c r="AE255" s="929">
        <v>159.30000000000001</v>
      </c>
      <c r="AF255" s="929">
        <v>172.74</v>
      </c>
      <c r="AG255" s="929">
        <v>185.9</v>
      </c>
      <c r="AH255" s="929">
        <v>199.63</v>
      </c>
      <c r="AI255" s="929">
        <v>212.93</v>
      </c>
      <c r="AJ255" s="929">
        <v>226.23</v>
      </c>
      <c r="AK255" s="929">
        <v>239.53</v>
      </c>
      <c r="AL255" s="929">
        <v>253.25</v>
      </c>
      <c r="AM255" s="929">
        <v>266.83999999999997</v>
      </c>
      <c r="AN255" s="929">
        <v>280.42</v>
      </c>
      <c r="AO255" s="929">
        <v>294.14999999999998</v>
      </c>
      <c r="AP255" s="929">
        <v>307.88</v>
      </c>
      <c r="AQ255" s="929">
        <v>321.61</v>
      </c>
      <c r="AR255" s="929">
        <v>335.34</v>
      </c>
    </row>
    <row r="256" spans="1:44">
      <c r="A256" s="1538"/>
      <c r="B256" s="930">
        <v>2.4</v>
      </c>
      <c r="C256" s="931">
        <f>(Y256*KFC!$B$19+KFC!$C$19)*KFC!$C$5</f>
        <v>80.94</v>
      </c>
      <c r="D256" s="932">
        <f>(Z256*KFC!$B$19+KFC!$C$19)*KFC!$C$5</f>
        <v>94.81</v>
      </c>
      <c r="E256" s="932">
        <f>(AA256*KFC!$B$19+KFC!$C$19)*KFC!$C$5</f>
        <v>108.82</v>
      </c>
      <c r="F256" s="932">
        <f>(AB256*KFC!$B$19+KFC!$C$19)*KFC!$C$5</f>
        <v>122.55</v>
      </c>
      <c r="G256" s="932">
        <f>(AC256*KFC!$B$19+KFC!$C$19)*KFC!$C$5</f>
        <v>136.41999999999999</v>
      </c>
      <c r="H256" s="932">
        <f>(AD256*KFC!$B$19+KFC!$C$19)*KFC!$C$5</f>
        <v>150.44</v>
      </c>
      <c r="I256" s="932">
        <f>(AE256*KFC!$B$19+KFC!$C$19)*KFC!$C$5</f>
        <v>164.59</v>
      </c>
      <c r="J256" s="932">
        <f>(AF256*KFC!$B$19+KFC!$C$19)*KFC!$C$5</f>
        <v>178.61</v>
      </c>
      <c r="K256" s="932">
        <f>(AG256*KFC!$B$19+KFC!$C$19)*KFC!$C$5</f>
        <v>192.62</v>
      </c>
      <c r="L256" s="932">
        <f>(AH256*KFC!$B$19+KFC!$C$19)*KFC!$C$5</f>
        <v>206.49</v>
      </c>
      <c r="M256" s="932">
        <f>(AI256*KFC!$B$19+KFC!$C$19)*KFC!$C$5</f>
        <v>220.36</v>
      </c>
      <c r="N256" s="932">
        <f>(AJ256*KFC!$B$19+KFC!$C$19)*KFC!$C$5</f>
        <v>234.23</v>
      </c>
      <c r="O256" s="932">
        <f>(AK256*KFC!$B$19+KFC!$C$19)*KFC!$C$5</f>
        <v>248.11</v>
      </c>
      <c r="P256" s="932">
        <f>(AL256*KFC!$B$19+KFC!$C$19)*KFC!$C$5</f>
        <v>262.12</v>
      </c>
      <c r="Q256" s="932">
        <f>(AM256*KFC!$B$19+KFC!$C$19)*KFC!$C$5</f>
        <v>275.99</v>
      </c>
      <c r="R256" s="932">
        <f>(AN256*KFC!$B$19+KFC!$C$19)*KFC!$C$5</f>
        <v>290.14999999999998</v>
      </c>
      <c r="S256" s="932">
        <f>(AO256*KFC!$B$19+KFC!$C$19)*KFC!$C$5</f>
        <v>304.16000000000003</v>
      </c>
      <c r="T256" s="932">
        <f>(AP256*KFC!$B$19+KFC!$C$19)*KFC!$C$5</f>
        <v>318.17</v>
      </c>
      <c r="U256" s="943">
        <f>(AQ256*KFC!$B$19+KFC!$C$19)*KFC!$C$5</f>
        <v>332.18</v>
      </c>
      <c r="V256" s="928"/>
      <c r="X256" s="923">
        <v>2.4</v>
      </c>
      <c r="Y256" s="929">
        <v>80.94</v>
      </c>
      <c r="Z256" s="929">
        <v>94.81</v>
      </c>
      <c r="AA256" s="929">
        <v>108.82</v>
      </c>
      <c r="AB256" s="929">
        <v>122.55</v>
      </c>
      <c r="AC256" s="929">
        <v>136.41999999999999</v>
      </c>
      <c r="AD256" s="929">
        <v>150.44</v>
      </c>
      <c r="AE256" s="929">
        <v>164.59</v>
      </c>
      <c r="AF256" s="929">
        <v>178.61</v>
      </c>
      <c r="AG256" s="929">
        <v>192.62</v>
      </c>
      <c r="AH256" s="929">
        <v>206.49</v>
      </c>
      <c r="AI256" s="929">
        <v>220.36</v>
      </c>
      <c r="AJ256" s="929">
        <v>234.23</v>
      </c>
      <c r="AK256" s="929">
        <v>248.11</v>
      </c>
      <c r="AL256" s="929">
        <v>262.12</v>
      </c>
      <c r="AM256" s="929">
        <v>275.99</v>
      </c>
      <c r="AN256" s="929">
        <v>290.14999999999998</v>
      </c>
      <c r="AO256" s="929">
        <v>304.16000000000003</v>
      </c>
      <c r="AP256" s="929">
        <v>318.17</v>
      </c>
      <c r="AQ256" s="929">
        <v>332.18</v>
      </c>
      <c r="AR256" s="929">
        <v>346.19</v>
      </c>
    </row>
    <row r="257" spans="1:44">
      <c r="A257" s="1538"/>
      <c r="B257" s="930">
        <v>2.5</v>
      </c>
      <c r="C257" s="931">
        <f>(Y257*KFC!$B$19+KFC!$C$19)*KFC!$C$5</f>
        <v>82.51</v>
      </c>
      <c r="D257" s="932">
        <f>(Z257*KFC!$B$19+KFC!$C$19)*KFC!$C$5</f>
        <v>96.95</v>
      </c>
      <c r="E257" s="932">
        <f>(AA257*KFC!$B$19+KFC!$C$19)*KFC!$C$5</f>
        <v>111.68</v>
      </c>
      <c r="F257" s="932">
        <f>(AB257*KFC!$B$19+KFC!$C$19)*KFC!$C$5</f>
        <v>126.13</v>
      </c>
      <c r="G257" s="932">
        <f>(AC257*KFC!$B$19+KFC!$C$19)*KFC!$C$5</f>
        <v>140.71</v>
      </c>
      <c r="H257" s="932">
        <f>(AD257*KFC!$B$19+KFC!$C$19)*KFC!$C$5</f>
        <v>155.16</v>
      </c>
      <c r="I257" s="932">
        <f>(AE257*KFC!$B$19+KFC!$C$19)*KFC!$C$5</f>
        <v>169.74</v>
      </c>
      <c r="J257" s="932">
        <f>(AF257*KFC!$B$19+KFC!$C$19)*KFC!$C$5</f>
        <v>184.33</v>
      </c>
      <c r="K257" s="932">
        <f>(AG257*KFC!$B$19+KFC!$C$19)*KFC!$C$5</f>
        <v>198.77</v>
      </c>
      <c r="L257" s="932">
        <f>(AH257*KFC!$B$19+KFC!$C$19)*KFC!$C$5</f>
        <v>213.21</v>
      </c>
      <c r="M257" s="932">
        <f>(AI257*KFC!$B$19+KFC!$C$19)*KFC!$C$5</f>
        <v>227.94</v>
      </c>
      <c r="N257" s="932">
        <f>(AJ257*KFC!$B$19+KFC!$C$19)*KFC!$C$5</f>
        <v>242.24</v>
      </c>
      <c r="O257" s="932">
        <f>(AK257*KFC!$B$19+KFC!$C$19)*KFC!$C$5</f>
        <v>256.83</v>
      </c>
      <c r="P257" s="932">
        <f>(AL257*KFC!$B$19+KFC!$C$19)*KFC!$C$5</f>
        <v>271.27</v>
      </c>
      <c r="Q257" s="932">
        <f>(AM257*KFC!$B$19+KFC!$C$19)*KFC!$C$5</f>
        <v>285.86</v>
      </c>
      <c r="R257" s="932">
        <f>(AN257*KFC!$B$19+KFC!$C$19)*KFC!$C$5</f>
        <v>300.16000000000003</v>
      </c>
      <c r="S257" s="932">
        <f>(AO257*KFC!$B$19+KFC!$C$19)*KFC!$C$5</f>
        <v>314.60000000000002</v>
      </c>
      <c r="T257" s="932">
        <f>(AP257*KFC!$B$19+KFC!$C$19)*KFC!$C$5</f>
        <v>329.04</v>
      </c>
      <c r="U257" s="943">
        <f>(AQ257*KFC!$B$19+KFC!$C$19)*KFC!$C$5</f>
        <v>343.48</v>
      </c>
      <c r="V257" s="928"/>
      <c r="X257" s="923">
        <v>2.5</v>
      </c>
      <c r="Y257" s="929">
        <v>82.51</v>
      </c>
      <c r="Z257" s="929">
        <v>96.95</v>
      </c>
      <c r="AA257" s="929">
        <v>111.68</v>
      </c>
      <c r="AB257" s="929">
        <v>126.13</v>
      </c>
      <c r="AC257" s="929">
        <v>140.71</v>
      </c>
      <c r="AD257" s="929">
        <v>155.16</v>
      </c>
      <c r="AE257" s="929">
        <v>169.74</v>
      </c>
      <c r="AF257" s="929">
        <v>184.33</v>
      </c>
      <c r="AG257" s="929">
        <v>198.77</v>
      </c>
      <c r="AH257" s="929">
        <v>213.21</v>
      </c>
      <c r="AI257" s="929">
        <v>227.94</v>
      </c>
      <c r="AJ257" s="929">
        <v>242.24</v>
      </c>
      <c r="AK257" s="929">
        <v>256.83</v>
      </c>
      <c r="AL257" s="929">
        <v>271.27</v>
      </c>
      <c r="AM257" s="929">
        <v>285.86</v>
      </c>
      <c r="AN257" s="929">
        <v>300.16000000000003</v>
      </c>
      <c r="AO257" s="929">
        <v>314.60000000000002</v>
      </c>
      <c r="AP257" s="929">
        <v>329.04</v>
      </c>
      <c r="AQ257" s="929">
        <v>343.48</v>
      </c>
      <c r="AR257" s="929">
        <v>357.92</v>
      </c>
    </row>
    <row r="258" spans="1:44">
      <c r="A258" s="1538"/>
      <c r="B258" s="930">
        <v>2.6</v>
      </c>
      <c r="C258" s="931">
        <f>(Y258*KFC!$B$19+KFC!$C$19)*KFC!$C$5</f>
        <v>84.37</v>
      </c>
      <c r="D258" s="932">
        <f>(Z258*KFC!$B$19+KFC!$C$19)*KFC!$C$5</f>
        <v>99.53</v>
      </c>
      <c r="E258" s="932">
        <f>(AA258*KFC!$B$19+KFC!$C$19)*KFC!$C$5</f>
        <v>114.54</v>
      </c>
      <c r="F258" s="932">
        <f>(AB258*KFC!$B$19+KFC!$C$19)*KFC!$C$5</f>
        <v>129.56</v>
      </c>
      <c r="G258" s="932">
        <f>(AC258*KFC!$B$19+KFC!$C$19)*KFC!$C$5</f>
        <v>144.86000000000001</v>
      </c>
      <c r="H258" s="932">
        <f>(AD258*KFC!$B$19+KFC!$C$19)*KFC!$C$5</f>
        <v>160.02000000000001</v>
      </c>
      <c r="I258" s="932">
        <f>(AE258*KFC!$B$19+KFC!$C$19)*KFC!$C$5</f>
        <v>175.03</v>
      </c>
      <c r="J258" s="932">
        <f>(AF258*KFC!$B$19+KFC!$C$19)*KFC!$C$5</f>
        <v>189.9</v>
      </c>
      <c r="K258" s="932">
        <f>(AG258*KFC!$B$19+KFC!$C$19)*KFC!$C$5</f>
        <v>205.06</v>
      </c>
      <c r="L258" s="932">
        <f>(AH258*KFC!$B$19+KFC!$C$19)*KFC!$C$5</f>
        <v>220.08</v>
      </c>
      <c r="M258" s="932">
        <f>(AI258*KFC!$B$19+KFC!$C$19)*KFC!$C$5</f>
        <v>235.09</v>
      </c>
      <c r="N258" s="932">
        <f>(AJ258*KFC!$B$19+KFC!$C$19)*KFC!$C$5</f>
        <v>250.54</v>
      </c>
      <c r="O258" s="932">
        <f>(AK258*KFC!$B$19+KFC!$C$19)*KFC!$C$5</f>
        <v>265.55</v>
      </c>
      <c r="P258" s="932">
        <f>(AL258*KFC!$B$19+KFC!$C$19)*KFC!$C$5</f>
        <v>280.57</v>
      </c>
      <c r="Q258" s="932">
        <f>(AM258*KFC!$B$19+KFC!$C$19)*KFC!$C$5</f>
        <v>295.72000000000003</v>
      </c>
      <c r="R258" s="932">
        <f>(AN258*KFC!$B$19+KFC!$C$19)*KFC!$C$5</f>
        <v>310.74</v>
      </c>
      <c r="S258" s="932">
        <f>(AO258*KFC!$B$19+KFC!$C$19)*KFC!$C$5</f>
        <v>325.75</v>
      </c>
      <c r="T258" s="932">
        <f>(AP258*KFC!$B$19+KFC!$C$19)*KFC!$C$5</f>
        <v>340.76</v>
      </c>
      <c r="U258" s="943">
        <f>(AQ258*KFC!$B$19+KFC!$C$19)*KFC!$C$5</f>
        <v>355.77</v>
      </c>
      <c r="V258" s="928"/>
      <c r="X258" s="923">
        <v>2.6</v>
      </c>
      <c r="Y258" s="929">
        <v>84.37</v>
      </c>
      <c r="Z258" s="929">
        <v>99.53</v>
      </c>
      <c r="AA258" s="929">
        <v>114.54</v>
      </c>
      <c r="AB258" s="929">
        <v>129.56</v>
      </c>
      <c r="AC258" s="929">
        <v>144.86000000000001</v>
      </c>
      <c r="AD258" s="929">
        <v>160.02000000000001</v>
      </c>
      <c r="AE258" s="929">
        <v>175.03</v>
      </c>
      <c r="AF258" s="929">
        <v>189.9</v>
      </c>
      <c r="AG258" s="929">
        <v>205.06</v>
      </c>
      <c r="AH258" s="929">
        <v>220.08</v>
      </c>
      <c r="AI258" s="929">
        <v>235.09</v>
      </c>
      <c r="AJ258" s="929">
        <v>250.54</v>
      </c>
      <c r="AK258" s="929">
        <v>265.55</v>
      </c>
      <c r="AL258" s="929">
        <v>280.57</v>
      </c>
      <c r="AM258" s="929">
        <v>295.72000000000003</v>
      </c>
      <c r="AN258" s="929">
        <v>310.74</v>
      </c>
      <c r="AO258" s="929">
        <v>325.75</v>
      </c>
      <c r="AP258" s="929">
        <v>340.76</v>
      </c>
      <c r="AQ258" s="929">
        <v>355.77</v>
      </c>
      <c r="AR258" s="929">
        <v>370.78</v>
      </c>
    </row>
    <row r="259" spans="1:44">
      <c r="A259" s="1538"/>
      <c r="B259" s="930">
        <v>2.7</v>
      </c>
      <c r="C259" s="931">
        <f>(Y259*KFC!$B$19+KFC!$C$19)*KFC!$C$5</f>
        <v>86.23</v>
      </c>
      <c r="D259" s="932">
        <f>(Z259*KFC!$B$19+KFC!$C$19)*KFC!$C$5</f>
        <v>101.96</v>
      </c>
      <c r="E259" s="932">
        <f>(AA259*KFC!$B$19+KFC!$C$19)*KFC!$C$5</f>
        <v>117.55</v>
      </c>
      <c r="F259" s="932">
        <f>(AB259*KFC!$B$19+KFC!$C$19)*KFC!$C$5</f>
        <v>133.28</v>
      </c>
      <c r="G259" s="932">
        <f>(AC259*KFC!$B$19+KFC!$C$19)*KFC!$C$5</f>
        <v>149.01</v>
      </c>
      <c r="H259" s="932">
        <f>(AD259*KFC!$B$19+KFC!$C$19)*KFC!$C$5</f>
        <v>164.74</v>
      </c>
      <c r="I259" s="932">
        <f>(AE259*KFC!$B$19+KFC!$C$19)*KFC!$C$5</f>
        <v>180.32</v>
      </c>
      <c r="J259" s="932">
        <f>(AF259*KFC!$B$19+KFC!$C$19)*KFC!$C$5</f>
        <v>195.62</v>
      </c>
      <c r="K259" s="932">
        <f>(AG259*KFC!$B$19+KFC!$C$19)*KFC!$C$5</f>
        <v>211.21</v>
      </c>
      <c r="L259" s="932">
        <f>(AH259*KFC!$B$19+KFC!$C$19)*KFC!$C$5</f>
        <v>226.94</v>
      </c>
      <c r="M259" s="932">
        <f>(AI259*KFC!$B$19+KFC!$C$19)*KFC!$C$5</f>
        <v>242.53</v>
      </c>
      <c r="N259" s="932">
        <f>(AJ259*KFC!$B$19+KFC!$C$19)*KFC!$C$5</f>
        <v>258.69</v>
      </c>
      <c r="O259" s="932">
        <f>(AK259*KFC!$B$19+KFC!$C$19)*KFC!$C$5</f>
        <v>274.27</v>
      </c>
      <c r="P259" s="932">
        <f>(AL259*KFC!$B$19+KFC!$C$19)*KFC!$C$5</f>
        <v>290</v>
      </c>
      <c r="Q259" s="932">
        <f>(AM259*KFC!$B$19+KFC!$C$19)*KFC!$C$5</f>
        <v>305.73</v>
      </c>
      <c r="R259" s="932">
        <f>(AN259*KFC!$B$19+KFC!$C$19)*KFC!$C$5</f>
        <v>321.32</v>
      </c>
      <c r="S259" s="932">
        <f>(AO259*KFC!$B$19+KFC!$C$19)*KFC!$C$5</f>
        <v>337.05</v>
      </c>
      <c r="T259" s="932">
        <f>(AP259*KFC!$B$19+KFC!$C$19)*KFC!$C$5</f>
        <v>352.78</v>
      </c>
      <c r="U259" s="943">
        <f>(AQ259*KFC!$B$19+KFC!$C$19)*KFC!$C$5</f>
        <v>368.51</v>
      </c>
      <c r="V259" s="928"/>
      <c r="X259" s="923">
        <v>2.7</v>
      </c>
      <c r="Y259" s="929">
        <v>86.23</v>
      </c>
      <c r="Z259" s="929">
        <v>101.96</v>
      </c>
      <c r="AA259" s="929">
        <v>117.55</v>
      </c>
      <c r="AB259" s="929">
        <v>133.28</v>
      </c>
      <c r="AC259" s="929">
        <v>149.01</v>
      </c>
      <c r="AD259" s="929">
        <v>164.74</v>
      </c>
      <c r="AE259" s="929">
        <v>180.32</v>
      </c>
      <c r="AF259" s="929">
        <v>195.62</v>
      </c>
      <c r="AG259" s="929">
        <v>211.21</v>
      </c>
      <c r="AH259" s="929">
        <v>226.94</v>
      </c>
      <c r="AI259" s="929">
        <v>242.53</v>
      </c>
      <c r="AJ259" s="929">
        <v>258.69</v>
      </c>
      <c r="AK259" s="929">
        <v>274.27</v>
      </c>
      <c r="AL259" s="929">
        <v>290</v>
      </c>
      <c r="AM259" s="929">
        <v>305.73</v>
      </c>
      <c r="AN259" s="929">
        <v>321.32</v>
      </c>
      <c r="AO259" s="929">
        <v>337.05</v>
      </c>
      <c r="AP259" s="929">
        <v>352.78</v>
      </c>
      <c r="AQ259" s="929">
        <v>368.51</v>
      </c>
      <c r="AR259" s="929">
        <v>384.24</v>
      </c>
    </row>
    <row r="260" spans="1:44">
      <c r="A260" s="1538"/>
      <c r="B260" s="930">
        <v>2.8</v>
      </c>
      <c r="C260" s="931">
        <f>(Y260*KFC!$B$19+KFC!$C$19)*KFC!$C$5</f>
        <v>88.09</v>
      </c>
      <c r="D260" s="932">
        <f>(Z260*KFC!$B$19+KFC!$C$19)*KFC!$C$5</f>
        <v>104.39</v>
      </c>
      <c r="E260" s="932">
        <f>(AA260*KFC!$B$19+KFC!$C$19)*KFC!$C$5</f>
        <v>120.56</v>
      </c>
      <c r="F260" s="932">
        <f>(AB260*KFC!$B$19+KFC!$C$19)*KFC!$C$5</f>
        <v>137</v>
      </c>
      <c r="G260" s="932">
        <f>(AC260*KFC!$B$19+KFC!$C$19)*KFC!$C$5</f>
        <v>153.16</v>
      </c>
      <c r="H260" s="932">
        <f>(AD260*KFC!$B$19+KFC!$C$19)*KFC!$C$5</f>
        <v>169.46</v>
      </c>
      <c r="I260" s="932">
        <f>(AE260*KFC!$B$19+KFC!$C$19)*KFC!$C$5</f>
        <v>185.61</v>
      </c>
      <c r="J260" s="932">
        <f>(AF260*KFC!$B$19+KFC!$C$19)*KFC!$C$5</f>
        <v>201.34</v>
      </c>
      <c r="K260" s="932">
        <f>(AG260*KFC!$B$19+KFC!$C$19)*KFC!$C$5</f>
        <v>217.36</v>
      </c>
      <c r="L260" s="932">
        <f>(AH260*KFC!$B$19+KFC!$C$19)*KFC!$C$5</f>
        <v>233.8</v>
      </c>
      <c r="M260" s="932">
        <f>(AI260*KFC!$B$19+KFC!$C$19)*KFC!$C$5</f>
        <v>249.97</v>
      </c>
      <c r="N260" s="932">
        <f>(AJ260*KFC!$B$19+KFC!$C$19)*KFC!$C$5</f>
        <v>266.83999999999997</v>
      </c>
      <c r="O260" s="932">
        <f>(AK260*KFC!$B$19+KFC!$C$19)*KFC!$C$5</f>
        <v>282.99</v>
      </c>
      <c r="P260" s="932">
        <f>(AL260*KFC!$B$19+KFC!$C$19)*KFC!$C$5</f>
        <v>299.43</v>
      </c>
      <c r="Q260" s="932">
        <f>(AM260*KFC!$B$19+KFC!$C$19)*KFC!$C$5</f>
        <v>315.74</v>
      </c>
      <c r="R260" s="932">
        <f>(AN260*KFC!$B$19+KFC!$C$19)*KFC!$C$5</f>
        <v>331.9</v>
      </c>
      <c r="S260" s="932">
        <f>(AO260*KFC!$B$19+KFC!$C$19)*KFC!$C$5</f>
        <v>348.35</v>
      </c>
      <c r="T260" s="932">
        <f>(AP260*KFC!$B$19+KFC!$C$19)*KFC!$C$5</f>
        <v>364.8</v>
      </c>
      <c r="U260" s="943">
        <f>(AQ260*KFC!$B$19+KFC!$C$19)*KFC!$C$5</f>
        <v>381.25</v>
      </c>
      <c r="V260" s="928"/>
      <c r="X260" s="923">
        <v>2.8</v>
      </c>
      <c r="Y260" s="929">
        <v>88.09</v>
      </c>
      <c r="Z260" s="929">
        <v>104.39</v>
      </c>
      <c r="AA260" s="929">
        <v>120.56</v>
      </c>
      <c r="AB260" s="929">
        <v>137</v>
      </c>
      <c r="AC260" s="929">
        <v>153.16</v>
      </c>
      <c r="AD260" s="929">
        <v>169.46</v>
      </c>
      <c r="AE260" s="929">
        <v>185.61</v>
      </c>
      <c r="AF260" s="929">
        <v>201.34</v>
      </c>
      <c r="AG260" s="929">
        <v>217.36</v>
      </c>
      <c r="AH260" s="929">
        <v>233.8</v>
      </c>
      <c r="AI260" s="929">
        <v>249.97</v>
      </c>
      <c r="AJ260" s="929">
        <v>266.83999999999997</v>
      </c>
      <c r="AK260" s="929">
        <v>282.99</v>
      </c>
      <c r="AL260" s="929">
        <v>299.43</v>
      </c>
      <c r="AM260" s="929">
        <v>315.74</v>
      </c>
      <c r="AN260" s="929">
        <v>331.9</v>
      </c>
      <c r="AO260" s="929">
        <v>348.35</v>
      </c>
      <c r="AP260" s="929">
        <v>364.8</v>
      </c>
      <c r="AQ260" s="929">
        <v>381.25</v>
      </c>
      <c r="AR260" s="929">
        <v>397.7</v>
      </c>
    </row>
    <row r="261" spans="1:44">
      <c r="A261" s="1538"/>
      <c r="B261" s="930">
        <v>2.9</v>
      </c>
      <c r="C261" s="931">
        <f>(Y261*KFC!$B$19+KFC!$C$19)*KFC!$C$5</f>
        <v>89.95</v>
      </c>
      <c r="D261" s="932">
        <f>(Z261*KFC!$B$19+KFC!$C$19)*KFC!$C$5</f>
        <v>106.82</v>
      </c>
      <c r="E261" s="932">
        <f>(AA261*KFC!$B$19+KFC!$C$19)*KFC!$C$5</f>
        <v>123.57</v>
      </c>
      <c r="F261" s="932">
        <f>(AB261*KFC!$B$19+KFC!$C$19)*KFC!$C$5</f>
        <v>140.72</v>
      </c>
      <c r="G261" s="932">
        <f>(AC261*KFC!$B$19+KFC!$C$19)*KFC!$C$5</f>
        <v>157.31</v>
      </c>
      <c r="H261" s="932">
        <f>(AD261*KFC!$B$19+KFC!$C$19)*KFC!$C$5</f>
        <v>174.18</v>
      </c>
      <c r="I261" s="932">
        <f>(AE261*KFC!$B$19+KFC!$C$19)*KFC!$C$5</f>
        <v>190.9</v>
      </c>
      <c r="J261" s="932">
        <f>(AF261*KFC!$B$19+KFC!$C$19)*KFC!$C$5</f>
        <v>207.06</v>
      </c>
      <c r="K261" s="932">
        <f>(AG261*KFC!$B$19+KFC!$C$19)*KFC!$C$5</f>
        <v>223.51</v>
      </c>
      <c r="L261" s="932">
        <f>(AH261*KFC!$B$19+KFC!$C$19)*KFC!$C$5</f>
        <v>240.66</v>
      </c>
      <c r="M261" s="932">
        <f>(AI261*KFC!$B$19+KFC!$C$19)*KFC!$C$5</f>
        <v>257.41000000000003</v>
      </c>
      <c r="N261" s="932">
        <f>(AJ261*KFC!$B$19+KFC!$C$19)*KFC!$C$5</f>
        <v>274.99</v>
      </c>
      <c r="O261" s="932">
        <f>(AK261*KFC!$B$19+KFC!$C$19)*KFC!$C$5</f>
        <v>291.70999999999998</v>
      </c>
      <c r="P261" s="932">
        <f>(AL261*KFC!$B$19+KFC!$C$19)*KFC!$C$5</f>
        <v>308.86</v>
      </c>
      <c r="Q261" s="932">
        <f>(AM261*KFC!$B$19+KFC!$C$19)*KFC!$C$5</f>
        <v>325.75</v>
      </c>
      <c r="R261" s="932">
        <f>(AN261*KFC!$B$19+KFC!$C$19)*KFC!$C$5</f>
        <v>342.48</v>
      </c>
      <c r="S261" s="932">
        <f>(AO261*KFC!$B$19+KFC!$C$19)*KFC!$C$5</f>
        <v>359.65</v>
      </c>
      <c r="T261" s="932">
        <f>(AP261*KFC!$B$19+KFC!$C$19)*KFC!$C$5</f>
        <v>376.82</v>
      </c>
      <c r="U261" s="943">
        <f>(AQ261*KFC!$B$19+KFC!$C$19)*KFC!$C$5</f>
        <v>393.99</v>
      </c>
      <c r="V261" s="928"/>
      <c r="X261" s="923">
        <v>2.9</v>
      </c>
      <c r="Y261" s="929">
        <v>89.95</v>
      </c>
      <c r="Z261" s="929">
        <v>106.82</v>
      </c>
      <c r="AA261" s="929">
        <v>123.57</v>
      </c>
      <c r="AB261" s="929">
        <v>140.72</v>
      </c>
      <c r="AC261" s="929">
        <v>157.31</v>
      </c>
      <c r="AD261" s="929">
        <v>174.18</v>
      </c>
      <c r="AE261" s="929">
        <v>190.9</v>
      </c>
      <c r="AF261" s="929">
        <v>207.06</v>
      </c>
      <c r="AG261" s="929">
        <v>223.51</v>
      </c>
      <c r="AH261" s="929">
        <v>240.66</v>
      </c>
      <c r="AI261" s="929">
        <v>257.41000000000003</v>
      </c>
      <c r="AJ261" s="929">
        <v>274.99</v>
      </c>
      <c r="AK261" s="929">
        <v>291.70999999999998</v>
      </c>
      <c r="AL261" s="929">
        <v>308.86</v>
      </c>
      <c r="AM261" s="929">
        <v>325.75</v>
      </c>
      <c r="AN261" s="929">
        <v>342.48</v>
      </c>
      <c r="AO261" s="929">
        <v>359.65</v>
      </c>
      <c r="AP261" s="929">
        <v>376.82</v>
      </c>
      <c r="AQ261" s="929">
        <v>393.99</v>
      </c>
      <c r="AR261" s="929">
        <v>411.16</v>
      </c>
    </row>
    <row r="262" spans="1:44">
      <c r="A262" s="1538"/>
      <c r="B262" s="930">
        <v>3</v>
      </c>
      <c r="C262" s="931">
        <f>(Y262*KFC!$B$19+KFC!$C$19)*KFC!$C$5</f>
        <v>91.81</v>
      </c>
      <c r="D262" s="932">
        <f>(Z262*KFC!$B$19+KFC!$C$19)*KFC!$C$5</f>
        <v>109.25</v>
      </c>
      <c r="E262" s="932">
        <f>(AA262*KFC!$B$19+KFC!$C$19)*KFC!$C$5</f>
        <v>126.58</v>
      </c>
      <c r="F262" s="932">
        <f>(AB262*KFC!$B$19+KFC!$C$19)*KFC!$C$5</f>
        <v>144.44</v>
      </c>
      <c r="G262" s="932">
        <f>(AC262*KFC!$B$19+KFC!$C$19)*KFC!$C$5</f>
        <v>161.46</v>
      </c>
      <c r="H262" s="932">
        <f>(AD262*KFC!$B$19+KFC!$C$19)*KFC!$C$5</f>
        <v>178.9</v>
      </c>
      <c r="I262" s="932">
        <f>(AE262*KFC!$B$19+KFC!$C$19)*KFC!$C$5</f>
        <v>196.19</v>
      </c>
      <c r="J262" s="932">
        <f>(AF262*KFC!$B$19+KFC!$C$19)*KFC!$C$5</f>
        <v>212.78</v>
      </c>
      <c r="K262" s="932">
        <f>(AG262*KFC!$B$19+KFC!$C$19)*KFC!$C$5</f>
        <v>229.66</v>
      </c>
      <c r="L262" s="932">
        <f>(AH262*KFC!$B$19+KFC!$C$19)*KFC!$C$5</f>
        <v>247.52</v>
      </c>
      <c r="M262" s="932">
        <f>(AI262*KFC!$B$19+KFC!$C$19)*KFC!$C$5</f>
        <v>264.85000000000002</v>
      </c>
      <c r="N262" s="932">
        <f>(AJ262*KFC!$B$19+KFC!$C$19)*KFC!$C$5</f>
        <v>283.14</v>
      </c>
      <c r="O262" s="932">
        <f>(AK262*KFC!$B$19+KFC!$C$19)*KFC!$C$5</f>
        <v>300.43</v>
      </c>
      <c r="P262" s="932">
        <f>(AL262*KFC!$B$19+KFC!$C$19)*KFC!$C$5</f>
        <v>318.29000000000002</v>
      </c>
      <c r="Q262" s="932">
        <f>(AM262*KFC!$B$19+KFC!$C$19)*KFC!$C$5</f>
        <v>335.76</v>
      </c>
      <c r="R262" s="932">
        <f>(AN262*KFC!$B$19+KFC!$C$19)*KFC!$C$5</f>
        <v>353.06</v>
      </c>
      <c r="S262" s="932">
        <f>(AO262*KFC!$B$19+KFC!$C$19)*KFC!$C$5</f>
        <v>370.95</v>
      </c>
      <c r="T262" s="932">
        <f>(AP262*KFC!$B$19+KFC!$C$19)*KFC!$C$5</f>
        <v>388.84</v>
      </c>
      <c r="U262" s="943">
        <f>(AQ262*KFC!$B$19+KFC!$C$19)*KFC!$C$5</f>
        <v>406.73</v>
      </c>
      <c r="V262" s="928"/>
      <c r="X262" s="923">
        <v>3</v>
      </c>
      <c r="Y262" s="929">
        <v>91.81</v>
      </c>
      <c r="Z262" s="929">
        <v>109.25</v>
      </c>
      <c r="AA262" s="929">
        <v>126.58</v>
      </c>
      <c r="AB262" s="929">
        <v>144.44</v>
      </c>
      <c r="AC262" s="929">
        <v>161.46</v>
      </c>
      <c r="AD262" s="929">
        <v>178.9</v>
      </c>
      <c r="AE262" s="929">
        <v>196.19</v>
      </c>
      <c r="AF262" s="929">
        <v>212.78</v>
      </c>
      <c r="AG262" s="929">
        <v>229.66</v>
      </c>
      <c r="AH262" s="929">
        <v>247.52</v>
      </c>
      <c r="AI262" s="929">
        <v>264.85000000000002</v>
      </c>
      <c r="AJ262" s="929">
        <v>283.14</v>
      </c>
      <c r="AK262" s="929">
        <v>300.43</v>
      </c>
      <c r="AL262" s="929">
        <v>318.29000000000002</v>
      </c>
      <c r="AM262" s="929">
        <v>335.76</v>
      </c>
      <c r="AN262" s="929">
        <v>353.06</v>
      </c>
      <c r="AO262" s="929">
        <v>370.95</v>
      </c>
      <c r="AP262" s="929">
        <v>388.84</v>
      </c>
      <c r="AQ262" s="929">
        <v>406.73</v>
      </c>
      <c r="AR262" s="929">
        <v>424.62</v>
      </c>
    </row>
    <row r="263" spans="1:44">
      <c r="A263" s="1538"/>
      <c r="B263" s="930">
        <v>3.1</v>
      </c>
      <c r="C263" s="931">
        <f>(Y263*KFC!$B$19+KFC!$C$19)*KFC!$C$5</f>
        <v>93.67</v>
      </c>
      <c r="D263" s="932">
        <f>(Z263*KFC!$B$19+KFC!$C$19)*KFC!$C$5</f>
        <v>111.68</v>
      </c>
      <c r="E263" s="932">
        <f>(AA263*KFC!$B$19+KFC!$C$19)*KFC!$C$5</f>
        <v>129.59</v>
      </c>
      <c r="F263" s="932">
        <f>(AB263*KFC!$B$19+KFC!$C$19)*KFC!$C$5</f>
        <v>148.16</v>
      </c>
      <c r="G263" s="932">
        <f>(AC263*KFC!$B$19+KFC!$C$19)*KFC!$C$5</f>
        <v>165.61</v>
      </c>
      <c r="H263" s="932">
        <f>(AD263*KFC!$B$19+KFC!$C$19)*KFC!$C$5</f>
        <v>183.62</v>
      </c>
      <c r="I263" s="932">
        <f>(AE263*KFC!$B$19+KFC!$C$19)*KFC!$C$5</f>
        <v>201.48</v>
      </c>
      <c r="J263" s="932">
        <f>(AF263*KFC!$B$19+KFC!$C$19)*KFC!$C$5</f>
        <v>218.5</v>
      </c>
      <c r="K263" s="932">
        <f>(AG263*KFC!$B$19+KFC!$C$19)*KFC!$C$5</f>
        <v>235.81</v>
      </c>
      <c r="L263" s="932">
        <f>(AH263*KFC!$B$19+KFC!$C$19)*KFC!$C$5</f>
        <v>254.38</v>
      </c>
      <c r="M263" s="932">
        <f>(AI263*KFC!$B$19+KFC!$C$19)*KFC!$C$5</f>
        <v>272.29000000000002</v>
      </c>
      <c r="N263" s="932">
        <f>(AJ263*KFC!$B$19+KFC!$C$19)*KFC!$C$5</f>
        <v>291.29000000000002</v>
      </c>
      <c r="O263" s="932">
        <f>(AK263*KFC!$B$19+KFC!$C$19)*KFC!$C$5</f>
        <v>309.14999999999998</v>
      </c>
      <c r="P263" s="932">
        <f>(AL263*KFC!$B$19+KFC!$C$19)*KFC!$C$5</f>
        <v>327.72</v>
      </c>
      <c r="Q263" s="932">
        <f>(AM263*KFC!$B$19+KFC!$C$19)*KFC!$C$5</f>
        <v>345.77</v>
      </c>
      <c r="R263" s="932">
        <f>(AN263*KFC!$B$19+KFC!$C$19)*KFC!$C$5</f>
        <v>363.64</v>
      </c>
      <c r="S263" s="932">
        <f>(AO263*KFC!$B$19+KFC!$C$19)*KFC!$C$5</f>
        <v>382.25</v>
      </c>
      <c r="T263" s="932">
        <f>(AP263*KFC!$B$19+KFC!$C$19)*KFC!$C$5</f>
        <v>400.86</v>
      </c>
      <c r="U263" s="943">
        <f>(AQ263*KFC!$B$19+KFC!$C$19)*KFC!$C$5</f>
        <v>419.47</v>
      </c>
      <c r="V263" s="928"/>
      <c r="X263" s="923">
        <v>3.1</v>
      </c>
      <c r="Y263" s="929">
        <v>93.67</v>
      </c>
      <c r="Z263" s="929">
        <v>111.68</v>
      </c>
      <c r="AA263" s="929">
        <v>129.59</v>
      </c>
      <c r="AB263" s="929">
        <v>148.16</v>
      </c>
      <c r="AC263" s="929">
        <v>165.61</v>
      </c>
      <c r="AD263" s="929">
        <v>183.62</v>
      </c>
      <c r="AE263" s="929">
        <v>201.48</v>
      </c>
      <c r="AF263" s="929">
        <v>218.5</v>
      </c>
      <c r="AG263" s="929">
        <v>235.81</v>
      </c>
      <c r="AH263" s="929">
        <v>254.38</v>
      </c>
      <c r="AI263" s="929">
        <v>272.29000000000002</v>
      </c>
      <c r="AJ263" s="929">
        <v>291.29000000000002</v>
      </c>
      <c r="AK263" s="929">
        <v>309.14999999999998</v>
      </c>
      <c r="AL263" s="929">
        <v>327.72</v>
      </c>
      <c r="AM263" s="929">
        <v>345.77</v>
      </c>
      <c r="AN263" s="929">
        <v>363.64</v>
      </c>
      <c r="AO263" s="929">
        <v>382.25</v>
      </c>
      <c r="AP263" s="929">
        <v>400.86</v>
      </c>
      <c r="AQ263" s="929">
        <v>419.47</v>
      </c>
      <c r="AR263" s="929">
        <v>438.08</v>
      </c>
    </row>
    <row r="264" spans="1:44">
      <c r="A264" s="1538"/>
      <c r="B264" s="930">
        <v>3.2</v>
      </c>
      <c r="C264" s="931">
        <f>(Y264*KFC!$B$19+KFC!$C$19)*KFC!$C$5</f>
        <v>95.53</v>
      </c>
      <c r="D264" s="932">
        <f>(Z264*KFC!$B$19+KFC!$C$19)*KFC!$C$5</f>
        <v>114.11</v>
      </c>
      <c r="E264" s="932">
        <f>(AA264*KFC!$B$19+KFC!$C$19)*KFC!$C$5</f>
        <v>132.6</v>
      </c>
      <c r="F264" s="932">
        <f>(AB264*KFC!$B$19+KFC!$C$19)*KFC!$C$5</f>
        <v>151.88</v>
      </c>
      <c r="G264" s="932">
        <f>(AC264*KFC!$B$19+KFC!$C$19)*KFC!$C$5</f>
        <v>169.76</v>
      </c>
      <c r="H264" s="932">
        <f>(AD264*KFC!$B$19+KFC!$C$19)*KFC!$C$5</f>
        <v>188.34</v>
      </c>
      <c r="I264" s="932">
        <f>(AE264*KFC!$B$19+KFC!$C$19)*KFC!$C$5</f>
        <v>206.77</v>
      </c>
      <c r="J264" s="932">
        <f>(AF264*KFC!$B$19+KFC!$C$19)*KFC!$C$5</f>
        <v>224.22</v>
      </c>
      <c r="K264" s="932">
        <f>(AG264*KFC!$B$19+KFC!$C$19)*KFC!$C$5</f>
        <v>241.96</v>
      </c>
      <c r="L264" s="932">
        <f>(AH264*KFC!$B$19+KFC!$C$19)*KFC!$C$5</f>
        <v>261.24</v>
      </c>
      <c r="M264" s="932">
        <f>(AI264*KFC!$B$19+KFC!$C$19)*KFC!$C$5</f>
        <v>279.73</v>
      </c>
      <c r="N264" s="932">
        <f>(AJ264*KFC!$B$19+KFC!$C$19)*KFC!$C$5</f>
        <v>299.44</v>
      </c>
      <c r="O264" s="932">
        <f>(AK264*KFC!$B$19+KFC!$C$19)*KFC!$C$5</f>
        <v>317.87</v>
      </c>
      <c r="P264" s="932">
        <f>(AL264*KFC!$B$19+KFC!$C$19)*KFC!$C$5</f>
        <v>337.15</v>
      </c>
      <c r="Q264" s="932">
        <f>(AM264*KFC!$B$19+KFC!$C$19)*KFC!$C$5</f>
        <v>355.78</v>
      </c>
      <c r="R264" s="932">
        <f>(AN264*KFC!$B$19+KFC!$C$19)*KFC!$C$5</f>
        <v>374.22</v>
      </c>
      <c r="S264" s="932">
        <f>(AO264*KFC!$B$19+KFC!$C$19)*KFC!$C$5</f>
        <v>393.55</v>
      </c>
      <c r="T264" s="932">
        <f>(AP264*KFC!$B$19+KFC!$C$19)*KFC!$C$5</f>
        <v>412.88</v>
      </c>
      <c r="U264" s="943">
        <f>(AQ264*KFC!$B$19+KFC!$C$19)*KFC!$C$5</f>
        <v>432.21</v>
      </c>
      <c r="V264" s="928"/>
      <c r="X264" s="923">
        <v>3.2</v>
      </c>
      <c r="Y264" s="929">
        <v>95.53</v>
      </c>
      <c r="Z264" s="929">
        <v>114.11</v>
      </c>
      <c r="AA264" s="929">
        <v>132.6</v>
      </c>
      <c r="AB264" s="929">
        <v>151.88</v>
      </c>
      <c r="AC264" s="929">
        <v>169.76</v>
      </c>
      <c r="AD264" s="929">
        <v>188.34</v>
      </c>
      <c r="AE264" s="929">
        <v>206.77</v>
      </c>
      <c r="AF264" s="929">
        <v>224.22</v>
      </c>
      <c r="AG264" s="929">
        <v>241.96</v>
      </c>
      <c r="AH264" s="929">
        <v>261.24</v>
      </c>
      <c r="AI264" s="929">
        <v>279.73</v>
      </c>
      <c r="AJ264" s="929">
        <v>299.44</v>
      </c>
      <c r="AK264" s="929">
        <v>317.87</v>
      </c>
      <c r="AL264" s="929">
        <v>337.15</v>
      </c>
      <c r="AM264" s="929">
        <v>355.78</v>
      </c>
      <c r="AN264" s="929">
        <v>374.22</v>
      </c>
      <c r="AO264" s="929">
        <v>393.55</v>
      </c>
      <c r="AP264" s="929">
        <v>412.88</v>
      </c>
      <c r="AQ264" s="929">
        <v>432.21</v>
      </c>
      <c r="AR264" s="929">
        <v>451.54</v>
      </c>
    </row>
    <row r="265" spans="1:44">
      <c r="A265" s="1538"/>
      <c r="B265" s="930">
        <v>3.3</v>
      </c>
      <c r="C265" s="931">
        <f>(Y265*KFC!$B$19+KFC!$C$19)*KFC!$C$5</f>
        <v>97.39</v>
      </c>
      <c r="D265" s="932">
        <f>(Z265*KFC!$B$19+KFC!$C$19)*KFC!$C$5</f>
        <v>116.54</v>
      </c>
      <c r="E265" s="932">
        <f>(AA265*KFC!$B$19+KFC!$C$19)*KFC!$C$5</f>
        <v>135.61000000000001</v>
      </c>
      <c r="F265" s="932">
        <f>(AB265*KFC!$B$19+KFC!$C$19)*KFC!$C$5</f>
        <v>155.6</v>
      </c>
      <c r="G265" s="932">
        <f>(AC265*KFC!$B$19+KFC!$C$19)*KFC!$C$5</f>
        <v>173.91</v>
      </c>
      <c r="H265" s="932">
        <f>(AD265*KFC!$B$19+KFC!$C$19)*KFC!$C$5</f>
        <v>193.06</v>
      </c>
      <c r="I265" s="932">
        <f>(AE265*KFC!$B$19+KFC!$C$19)*KFC!$C$5</f>
        <v>212.06</v>
      </c>
      <c r="J265" s="932">
        <f>(AF265*KFC!$B$19+KFC!$C$19)*KFC!$C$5</f>
        <v>229.94</v>
      </c>
      <c r="K265" s="932">
        <f>(AG265*KFC!$B$19+KFC!$C$19)*KFC!$C$5</f>
        <v>248.11</v>
      </c>
      <c r="L265" s="932">
        <f>(AH265*KFC!$B$19+KFC!$C$19)*KFC!$C$5</f>
        <v>268.10000000000002</v>
      </c>
      <c r="M265" s="932">
        <f>(AI265*KFC!$B$19+KFC!$C$19)*KFC!$C$5</f>
        <v>287.17</v>
      </c>
      <c r="N265" s="932">
        <f>(AJ265*KFC!$B$19+KFC!$C$19)*KFC!$C$5</f>
        <v>307.58999999999997</v>
      </c>
      <c r="O265" s="932">
        <f>(AK265*KFC!$B$19+KFC!$C$19)*KFC!$C$5</f>
        <v>326.58999999999997</v>
      </c>
      <c r="P265" s="932">
        <f>(AL265*KFC!$B$19+KFC!$C$19)*KFC!$C$5</f>
        <v>346.58</v>
      </c>
      <c r="Q265" s="932">
        <f>(AM265*KFC!$B$19+KFC!$C$19)*KFC!$C$5</f>
        <v>365.79</v>
      </c>
      <c r="R265" s="932">
        <f>(AN265*KFC!$B$19+KFC!$C$19)*KFC!$C$5</f>
        <v>384.8</v>
      </c>
      <c r="S265" s="932">
        <f>(AO265*KFC!$B$19+KFC!$C$19)*KFC!$C$5</f>
        <v>404.85</v>
      </c>
      <c r="T265" s="932">
        <f>(AP265*KFC!$B$19+KFC!$C$19)*KFC!$C$5</f>
        <v>424.9</v>
      </c>
      <c r="U265" s="943">
        <f>(AQ265*KFC!$B$19+KFC!$C$19)*KFC!$C$5</f>
        <v>444.95</v>
      </c>
      <c r="V265" s="928"/>
      <c r="X265" s="923">
        <v>3.3</v>
      </c>
      <c r="Y265" s="929">
        <v>97.39</v>
      </c>
      <c r="Z265" s="929">
        <v>116.54</v>
      </c>
      <c r="AA265" s="929">
        <v>135.61000000000001</v>
      </c>
      <c r="AB265" s="929">
        <v>155.6</v>
      </c>
      <c r="AC265" s="929">
        <v>173.91</v>
      </c>
      <c r="AD265" s="929">
        <v>193.06</v>
      </c>
      <c r="AE265" s="929">
        <v>212.06</v>
      </c>
      <c r="AF265" s="929">
        <v>229.94</v>
      </c>
      <c r="AG265" s="929">
        <v>248.11</v>
      </c>
      <c r="AH265" s="929">
        <v>268.10000000000002</v>
      </c>
      <c r="AI265" s="929">
        <v>287.17</v>
      </c>
      <c r="AJ265" s="929">
        <v>307.58999999999997</v>
      </c>
      <c r="AK265" s="929">
        <v>326.58999999999997</v>
      </c>
      <c r="AL265" s="929">
        <v>346.58</v>
      </c>
      <c r="AM265" s="929">
        <v>365.79</v>
      </c>
      <c r="AN265" s="929">
        <v>384.8</v>
      </c>
      <c r="AO265" s="929">
        <v>404.85</v>
      </c>
      <c r="AP265" s="929">
        <v>424.9</v>
      </c>
      <c r="AQ265" s="929">
        <v>444.95</v>
      </c>
      <c r="AR265" s="929">
        <v>465</v>
      </c>
    </row>
    <row r="266" spans="1:44">
      <c r="A266" s="1538"/>
      <c r="B266" s="930">
        <v>3.4</v>
      </c>
      <c r="C266" s="931">
        <f>(Y266*KFC!$B$19+KFC!$C$19)*KFC!$C$5</f>
        <v>99.25</v>
      </c>
      <c r="D266" s="932">
        <f>(Z266*KFC!$B$19+KFC!$C$19)*KFC!$C$5</f>
        <v>118.97</v>
      </c>
      <c r="E266" s="932">
        <f>(AA266*KFC!$B$19+KFC!$C$19)*KFC!$C$5</f>
        <v>138.62</v>
      </c>
      <c r="F266" s="932">
        <f>(AB266*KFC!$B$19+KFC!$C$19)*KFC!$C$5</f>
        <v>159.32</v>
      </c>
      <c r="G266" s="932">
        <f>(AC266*KFC!$B$19+KFC!$C$19)*KFC!$C$5</f>
        <v>178.06</v>
      </c>
      <c r="H266" s="932">
        <f>(AD266*KFC!$B$19+KFC!$C$19)*KFC!$C$5</f>
        <v>197.78</v>
      </c>
      <c r="I266" s="932">
        <f>(AE266*KFC!$B$19+KFC!$C$19)*KFC!$C$5</f>
        <v>217.35</v>
      </c>
      <c r="J266" s="932">
        <f>(AF266*KFC!$B$19+KFC!$C$19)*KFC!$C$5</f>
        <v>235.66</v>
      </c>
      <c r="K266" s="932">
        <f>(AG266*KFC!$B$19+KFC!$C$19)*KFC!$C$5</f>
        <v>254.26</v>
      </c>
      <c r="L266" s="932">
        <f>(AH266*KFC!$B$19+KFC!$C$19)*KFC!$C$5</f>
        <v>274.95999999999998</v>
      </c>
      <c r="M266" s="932">
        <f>(AI266*KFC!$B$19+KFC!$C$19)*KFC!$C$5</f>
        <v>294.61</v>
      </c>
      <c r="N266" s="932">
        <f>(AJ266*KFC!$B$19+KFC!$C$19)*KFC!$C$5</f>
        <v>315.74</v>
      </c>
      <c r="O266" s="932">
        <f>(AK266*KFC!$B$19+KFC!$C$19)*KFC!$C$5</f>
        <v>335.31</v>
      </c>
      <c r="P266" s="932">
        <f>(AL266*KFC!$B$19+KFC!$C$19)*KFC!$C$5</f>
        <v>356.01</v>
      </c>
      <c r="Q266" s="932">
        <f>(AM266*KFC!$B$19+KFC!$C$19)*KFC!$C$5</f>
        <v>375.8</v>
      </c>
      <c r="R266" s="932">
        <f>(AN266*KFC!$B$19+KFC!$C$19)*KFC!$C$5</f>
        <v>395.38</v>
      </c>
      <c r="S266" s="932">
        <f>(AO266*KFC!$B$19+KFC!$C$19)*KFC!$C$5</f>
        <v>416.15</v>
      </c>
      <c r="T266" s="932">
        <f>(AP266*KFC!$B$19+KFC!$C$19)*KFC!$C$5</f>
        <v>436.92</v>
      </c>
      <c r="U266" s="943">
        <f>(AQ266*KFC!$B$19+KFC!$C$19)*KFC!$C$5</f>
        <v>457.69</v>
      </c>
      <c r="V266" s="928"/>
      <c r="X266" s="923">
        <v>3.4</v>
      </c>
      <c r="Y266" s="929">
        <v>99.25</v>
      </c>
      <c r="Z266" s="929">
        <v>118.97</v>
      </c>
      <c r="AA266" s="929">
        <v>138.62</v>
      </c>
      <c r="AB266" s="929">
        <v>159.32</v>
      </c>
      <c r="AC266" s="929">
        <v>178.06</v>
      </c>
      <c r="AD266" s="929">
        <v>197.78</v>
      </c>
      <c r="AE266" s="929">
        <v>217.35</v>
      </c>
      <c r="AF266" s="929">
        <v>235.66</v>
      </c>
      <c r="AG266" s="929">
        <v>254.26</v>
      </c>
      <c r="AH266" s="929">
        <v>274.95999999999998</v>
      </c>
      <c r="AI266" s="929">
        <v>294.61</v>
      </c>
      <c r="AJ266" s="929">
        <v>315.74</v>
      </c>
      <c r="AK266" s="929">
        <v>335.31</v>
      </c>
      <c r="AL266" s="929">
        <v>356.01</v>
      </c>
      <c r="AM266" s="929">
        <v>375.8</v>
      </c>
      <c r="AN266" s="929">
        <v>395.38</v>
      </c>
      <c r="AO266" s="929">
        <v>416.15</v>
      </c>
      <c r="AP266" s="929">
        <v>436.92</v>
      </c>
      <c r="AQ266" s="929">
        <v>457.69</v>
      </c>
      <c r="AR266" s="929">
        <v>478.46</v>
      </c>
    </row>
    <row r="267" spans="1:44" ht="13.8" thickBot="1">
      <c r="A267" s="1539"/>
      <c r="B267" s="934">
        <v>3.5</v>
      </c>
      <c r="C267" s="935">
        <f>(Y267*KFC!$B$19+KFC!$C$19)*KFC!$C$5</f>
        <v>101.11</v>
      </c>
      <c r="D267" s="944">
        <f>(Z267*KFC!$B$19+KFC!$C$19)*KFC!$C$5</f>
        <v>121.4</v>
      </c>
      <c r="E267" s="944">
        <f>(AA267*KFC!$B$19+KFC!$C$19)*KFC!$C$5</f>
        <v>141.63</v>
      </c>
      <c r="F267" s="944">
        <f>(AB267*KFC!$B$19+KFC!$C$19)*KFC!$C$5</f>
        <v>163.04</v>
      </c>
      <c r="G267" s="944">
        <f>(AC267*KFC!$B$19+KFC!$C$19)*KFC!$C$5</f>
        <v>182.21</v>
      </c>
      <c r="H267" s="944">
        <f>(AD267*KFC!$B$19+KFC!$C$19)*KFC!$C$5</f>
        <v>202.5</v>
      </c>
      <c r="I267" s="944">
        <f>(AE267*KFC!$B$19+KFC!$C$19)*KFC!$C$5</f>
        <v>222.64</v>
      </c>
      <c r="J267" s="944">
        <f>(AF267*KFC!$B$19+KFC!$C$19)*KFC!$C$5</f>
        <v>241.38</v>
      </c>
      <c r="K267" s="944">
        <f>(AG267*KFC!$B$19+KFC!$C$19)*KFC!$C$5</f>
        <v>260.41000000000003</v>
      </c>
      <c r="L267" s="944">
        <f>(AH267*KFC!$B$19+KFC!$C$19)*KFC!$C$5</f>
        <v>281.82</v>
      </c>
      <c r="M267" s="944">
        <f>(AI267*KFC!$B$19+KFC!$C$19)*KFC!$C$5</f>
        <v>302.05</v>
      </c>
      <c r="N267" s="944">
        <f>(AJ267*KFC!$B$19+KFC!$C$19)*KFC!$C$5</f>
        <v>323.89</v>
      </c>
      <c r="O267" s="944">
        <f>(AK267*KFC!$B$19+KFC!$C$19)*KFC!$C$5</f>
        <v>344.03</v>
      </c>
      <c r="P267" s="944">
        <f>(AL267*KFC!$B$19+KFC!$C$19)*KFC!$C$5</f>
        <v>365.44</v>
      </c>
      <c r="Q267" s="944">
        <f>(AM267*KFC!$B$19+KFC!$C$19)*KFC!$C$5</f>
        <v>385.81</v>
      </c>
      <c r="R267" s="944">
        <f>(AN267*KFC!$B$19+KFC!$C$19)*KFC!$C$5</f>
        <v>405.96</v>
      </c>
      <c r="S267" s="944">
        <f>(AO267*KFC!$B$19+KFC!$C$19)*KFC!$C$5</f>
        <v>427.45</v>
      </c>
      <c r="T267" s="944">
        <f>(AP267*KFC!$B$19+KFC!$C$19)*KFC!$C$5</f>
        <v>448.94</v>
      </c>
      <c r="U267" s="945">
        <f>(AQ267*KFC!$B$19+KFC!$C$19)*KFC!$C$5</f>
        <v>470.43</v>
      </c>
      <c r="V267" s="928"/>
      <c r="X267" s="923">
        <v>3.5</v>
      </c>
      <c r="Y267" s="929">
        <v>101.11</v>
      </c>
      <c r="Z267" s="929">
        <v>121.4</v>
      </c>
      <c r="AA267" s="929">
        <v>141.63</v>
      </c>
      <c r="AB267" s="929">
        <v>163.04</v>
      </c>
      <c r="AC267" s="929">
        <v>182.21</v>
      </c>
      <c r="AD267" s="929">
        <v>202.5</v>
      </c>
      <c r="AE267" s="929">
        <v>222.64</v>
      </c>
      <c r="AF267" s="929">
        <v>241.38</v>
      </c>
      <c r="AG267" s="929">
        <v>260.41000000000003</v>
      </c>
      <c r="AH267" s="929">
        <v>281.82</v>
      </c>
      <c r="AI267" s="929">
        <v>302.05</v>
      </c>
      <c r="AJ267" s="929">
        <v>323.89</v>
      </c>
      <c r="AK267" s="929">
        <v>344.03</v>
      </c>
      <c r="AL267" s="929">
        <v>365.44</v>
      </c>
      <c r="AM267" s="929">
        <v>385.81</v>
      </c>
      <c r="AN267" s="929">
        <v>405.96</v>
      </c>
      <c r="AO267" s="929">
        <v>427.45</v>
      </c>
      <c r="AP267" s="929">
        <v>448.94</v>
      </c>
      <c r="AQ267" s="929">
        <v>470.43</v>
      </c>
      <c r="AR267" s="929">
        <v>491.92</v>
      </c>
    </row>
    <row r="268" spans="1:44" hidden="1">
      <c r="A268" s="938"/>
      <c r="B268" s="921"/>
      <c r="C268" s="928"/>
      <c r="D268" s="928"/>
      <c r="E268" s="928"/>
      <c r="F268" s="928"/>
      <c r="G268" s="928"/>
      <c r="H268" s="928"/>
      <c r="I268" s="928"/>
      <c r="J268" s="928"/>
      <c r="K268" s="928"/>
      <c r="L268" s="928"/>
      <c r="M268" s="928"/>
      <c r="N268" s="928"/>
      <c r="O268" s="928"/>
      <c r="P268" s="928"/>
      <c r="Q268" s="928"/>
      <c r="R268" s="928"/>
      <c r="S268" s="928"/>
      <c r="T268" s="928"/>
      <c r="U268" s="928"/>
      <c r="V268" s="928"/>
      <c r="X268" s="923">
        <v>3.6</v>
      </c>
      <c r="Y268" s="929">
        <v>102.97</v>
      </c>
      <c r="Z268" s="929">
        <v>123.83</v>
      </c>
      <c r="AA268" s="929">
        <v>144.63999999999999</v>
      </c>
      <c r="AB268" s="929">
        <v>166.76</v>
      </c>
      <c r="AC268" s="929">
        <v>186.36</v>
      </c>
      <c r="AD268" s="929">
        <v>207.22</v>
      </c>
      <c r="AE268" s="929">
        <v>227.93</v>
      </c>
      <c r="AF268" s="929">
        <v>247.1</v>
      </c>
      <c r="AG268" s="929">
        <v>266.56</v>
      </c>
      <c r="AH268" s="929">
        <v>288.68</v>
      </c>
      <c r="AI268" s="929">
        <v>309.49</v>
      </c>
      <c r="AJ268" s="929">
        <v>332.04</v>
      </c>
      <c r="AK268" s="929">
        <v>352.75</v>
      </c>
      <c r="AL268" s="929">
        <v>374.87</v>
      </c>
      <c r="AM268" s="929">
        <v>395.82</v>
      </c>
      <c r="AN268" s="929">
        <v>416.54</v>
      </c>
      <c r="AO268" s="929">
        <v>438.75</v>
      </c>
      <c r="AP268" s="929">
        <v>460.96</v>
      </c>
      <c r="AQ268" s="929">
        <v>483.17</v>
      </c>
      <c r="AR268" s="929">
        <v>505.38</v>
      </c>
    </row>
    <row r="269" spans="1:44" hidden="1">
      <c r="A269" s="938"/>
      <c r="B269" s="921"/>
      <c r="C269" s="928"/>
      <c r="D269" s="928"/>
      <c r="E269" s="928"/>
      <c r="F269" s="928"/>
      <c r="G269" s="928"/>
      <c r="H269" s="928"/>
      <c r="I269" s="928"/>
      <c r="J269" s="928"/>
      <c r="K269" s="928"/>
      <c r="L269" s="928"/>
      <c r="M269" s="928"/>
      <c r="N269" s="928"/>
      <c r="O269" s="928"/>
      <c r="P269" s="928"/>
      <c r="Q269" s="928"/>
      <c r="R269" s="928"/>
      <c r="S269" s="928"/>
      <c r="T269" s="928"/>
      <c r="U269" s="928"/>
      <c r="V269" s="928"/>
      <c r="X269" s="923">
        <v>3.7</v>
      </c>
      <c r="Y269" s="929">
        <v>104.83</v>
      </c>
      <c r="Z269" s="929">
        <v>126.26</v>
      </c>
      <c r="AA269" s="929">
        <v>147.65</v>
      </c>
      <c r="AB269" s="929">
        <v>170.48</v>
      </c>
      <c r="AC269" s="929">
        <v>190.51</v>
      </c>
      <c r="AD269" s="929">
        <v>211.94</v>
      </c>
      <c r="AE269" s="929">
        <v>233.22</v>
      </c>
      <c r="AF269" s="929">
        <v>252.82</v>
      </c>
      <c r="AG269" s="929">
        <v>272.70999999999998</v>
      </c>
      <c r="AH269" s="929">
        <v>295.54000000000002</v>
      </c>
      <c r="AI269" s="929">
        <v>316.93</v>
      </c>
      <c r="AJ269" s="929">
        <v>340.19</v>
      </c>
      <c r="AK269" s="929">
        <v>361.47</v>
      </c>
      <c r="AL269" s="929">
        <v>384.3</v>
      </c>
      <c r="AM269" s="929">
        <v>405.83</v>
      </c>
      <c r="AN269" s="929">
        <v>427.12</v>
      </c>
      <c r="AO269" s="929">
        <v>450.05</v>
      </c>
      <c r="AP269" s="929">
        <v>472.98</v>
      </c>
      <c r="AQ269" s="929">
        <v>495.91</v>
      </c>
      <c r="AR269" s="929">
        <v>518.84</v>
      </c>
    </row>
    <row r="270" spans="1:44" hidden="1">
      <c r="A270" s="938"/>
      <c r="B270" s="921"/>
      <c r="C270" s="928"/>
      <c r="D270" s="928"/>
      <c r="E270" s="928"/>
      <c r="F270" s="928"/>
      <c r="G270" s="928"/>
      <c r="H270" s="928"/>
      <c r="I270" s="928"/>
      <c r="J270" s="928"/>
      <c r="K270" s="928"/>
      <c r="L270" s="928"/>
      <c r="M270" s="928"/>
      <c r="N270" s="928"/>
      <c r="O270" s="928"/>
      <c r="P270" s="928"/>
      <c r="Q270" s="928"/>
      <c r="R270" s="928"/>
      <c r="S270" s="928"/>
      <c r="T270" s="928"/>
      <c r="U270" s="928"/>
      <c r="V270" s="928"/>
      <c r="X270" s="923">
        <v>3.8</v>
      </c>
      <c r="Y270" s="929">
        <v>106.69</v>
      </c>
      <c r="Z270" s="929">
        <v>128.69</v>
      </c>
      <c r="AA270" s="929">
        <v>150.66</v>
      </c>
      <c r="AB270" s="929">
        <v>174.2</v>
      </c>
      <c r="AC270" s="929">
        <v>194.66</v>
      </c>
      <c r="AD270" s="929">
        <v>216.66</v>
      </c>
      <c r="AE270" s="929">
        <v>238.51</v>
      </c>
      <c r="AF270" s="929">
        <v>258.54000000000002</v>
      </c>
      <c r="AG270" s="929">
        <v>278.86</v>
      </c>
      <c r="AH270" s="929">
        <v>302.39999999999998</v>
      </c>
      <c r="AI270" s="929">
        <v>324.37</v>
      </c>
      <c r="AJ270" s="929">
        <v>348.34</v>
      </c>
      <c r="AK270" s="929">
        <v>370.19</v>
      </c>
      <c r="AL270" s="929">
        <v>393.73</v>
      </c>
      <c r="AM270" s="929">
        <v>415.84</v>
      </c>
      <c r="AN270" s="929">
        <v>437.7</v>
      </c>
      <c r="AO270" s="929">
        <v>461.35</v>
      </c>
      <c r="AP270" s="929">
        <v>485</v>
      </c>
      <c r="AQ270" s="929">
        <v>508.65</v>
      </c>
      <c r="AR270" s="929">
        <v>532.29999999999995</v>
      </c>
    </row>
    <row r="271" spans="1:44" hidden="1">
      <c r="A271" s="938"/>
      <c r="B271" s="921"/>
      <c r="C271" s="928"/>
      <c r="D271" s="928"/>
      <c r="E271" s="928"/>
      <c r="F271" s="928"/>
      <c r="G271" s="928"/>
      <c r="H271" s="928"/>
      <c r="I271" s="928"/>
      <c r="J271" s="928"/>
      <c r="K271" s="928"/>
      <c r="L271" s="928"/>
      <c r="M271" s="928"/>
      <c r="N271" s="928"/>
      <c r="O271" s="928"/>
      <c r="P271" s="928"/>
      <c r="Q271" s="928"/>
      <c r="R271" s="928"/>
      <c r="S271" s="928"/>
      <c r="T271" s="928"/>
      <c r="U271" s="928"/>
      <c r="V271" s="928"/>
      <c r="X271" s="923">
        <v>3.9</v>
      </c>
      <c r="Y271" s="929">
        <v>108.55</v>
      </c>
      <c r="Z271" s="929">
        <v>131.12</v>
      </c>
      <c r="AA271" s="929">
        <v>153.66999999999999</v>
      </c>
      <c r="AB271" s="929">
        <v>177.92</v>
      </c>
      <c r="AC271" s="929">
        <v>198.81</v>
      </c>
      <c r="AD271" s="929">
        <v>221.38</v>
      </c>
      <c r="AE271" s="929">
        <v>243.8</v>
      </c>
      <c r="AF271" s="929">
        <v>264.26</v>
      </c>
      <c r="AG271" s="929">
        <v>285.01</v>
      </c>
      <c r="AH271" s="929">
        <v>309.26</v>
      </c>
      <c r="AI271" s="929">
        <v>331.81</v>
      </c>
      <c r="AJ271" s="929">
        <v>356.49</v>
      </c>
      <c r="AK271" s="929">
        <v>378.91</v>
      </c>
      <c r="AL271" s="929">
        <v>403.16</v>
      </c>
      <c r="AM271" s="929">
        <v>425.85</v>
      </c>
      <c r="AN271" s="929">
        <v>448.28</v>
      </c>
      <c r="AO271" s="929">
        <v>472.65</v>
      </c>
      <c r="AP271" s="929">
        <v>497.02</v>
      </c>
      <c r="AQ271" s="929">
        <v>521.39</v>
      </c>
      <c r="AR271" s="929">
        <v>545.76</v>
      </c>
    </row>
    <row r="272" spans="1:44" hidden="1">
      <c r="A272" s="938"/>
      <c r="B272" s="921"/>
      <c r="C272" s="928"/>
      <c r="D272" s="928"/>
      <c r="E272" s="928"/>
      <c r="F272" s="928"/>
      <c r="G272" s="928"/>
      <c r="H272" s="928"/>
      <c r="I272" s="928"/>
      <c r="J272" s="928"/>
      <c r="K272" s="928"/>
      <c r="L272" s="928"/>
      <c r="M272" s="928"/>
      <c r="N272" s="928"/>
      <c r="O272" s="928"/>
      <c r="P272" s="928"/>
      <c r="Q272" s="928"/>
      <c r="R272" s="928"/>
      <c r="S272" s="928"/>
      <c r="T272" s="928"/>
      <c r="U272" s="928"/>
      <c r="V272" s="928"/>
      <c r="X272" s="923">
        <v>4</v>
      </c>
      <c r="Y272" s="929">
        <v>110.41</v>
      </c>
      <c r="Z272" s="929">
        <v>133.55000000000001</v>
      </c>
      <c r="AA272" s="929">
        <v>156.68</v>
      </c>
      <c r="AB272" s="929">
        <v>181.64</v>
      </c>
      <c r="AC272" s="929">
        <v>202.96</v>
      </c>
      <c r="AD272" s="929">
        <v>226.1</v>
      </c>
      <c r="AE272" s="929">
        <v>249.09</v>
      </c>
      <c r="AF272" s="929">
        <v>269.98</v>
      </c>
      <c r="AG272" s="929">
        <v>291.16000000000003</v>
      </c>
      <c r="AH272" s="929">
        <v>316.12</v>
      </c>
      <c r="AI272" s="929">
        <v>339.25</v>
      </c>
      <c r="AJ272" s="929">
        <v>364.64</v>
      </c>
      <c r="AK272" s="929">
        <v>387.63</v>
      </c>
      <c r="AL272" s="929">
        <v>412.59</v>
      </c>
      <c r="AM272" s="929">
        <v>435.86</v>
      </c>
      <c r="AN272" s="929">
        <v>458.86</v>
      </c>
      <c r="AO272" s="929">
        <v>483.95</v>
      </c>
      <c r="AP272" s="929">
        <v>509.04</v>
      </c>
      <c r="AQ272" s="929">
        <v>534.13</v>
      </c>
      <c r="AR272" s="929">
        <v>559.22</v>
      </c>
    </row>
    <row r="273" spans="1:44" hidden="1">
      <c r="B273" s="921"/>
      <c r="C273" s="928"/>
      <c r="D273" s="928"/>
      <c r="E273" s="928"/>
      <c r="F273" s="928"/>
      <c r="G273" s="928"/>
      <c r="H273" s="928"/>
      <c r="I273" s="928"/>
      <c r="J273" s="928"/>
      <c r="K273" s="928"/>
      <c r="L273" s="928"/>
      <c r="M273" s="928"/>
      <c r="N273" s="928"/>
      <c r="O273" s="928"/>
      <c r="P273" s="928"/>
      <c r="Q273" s="928"/>
      <c r="R273" s="928"/>
      <c r="S273" s="928"/>
      <c r="T273" s="928"/>
      <c r="U273" s="928"/>
      <c r="V273" s="928"/>
      <c r="X273" s="923">
        <v>4.0999999999999996</v>
      </c>
      <c r="Y273" s="929">
        <v>112.27</v>
      </c>
      <c r="Z273" s="929">
        <v>135.97999999999999</v>
      </c>
      <c r="AA273" s="929">
        <v>159.69</v>
      </c>
      <c r="AB273" s="929">
        <v>185.36</v>
      </c>
      <c r="AC273" s="929">
        <v>207.11</v>
      </c>
      <c r="AD273" s="929">
        <v>230.82</v>
      </c>
      <c r="AE273" s="929">
        <v>254.38</v>
      </c>
      <c r="AF273" s="929">
        <v>275.7</v>
      </c>
      <c r="AG273" s="929">
        <v>297.31</v>
      </c>
      <c r="AH273" s="929">
        <v>322.98</v>
      </c>
      <c r="AI273" s="929">
        <v>346.69</v>
      </c>
      <c r="AJ273" s="929">
        <v>372.79</v>
      </c>
      <c r="AK273" s="929">
        <v>396.35</v>
      </c>
      <c r="AL273" s="929">
        <v>422.02</v>
      </c>
      <c r="AM273" s="929">
        <v>445.87</v>
      </c>
      <c r="AN273" s="929">
        <v>469.44</v>
      </c>
      <c r="AO273" s="929">
        <v>495.25</v>
      </c>
      <c r="AP273" s="929">
        <v>521.05999999999995</v>
      </c>
      <c r="AQ273" s="929">
        <v>546.87</v>
      </c>
      <c r="AR273" s="929">
        <v>572.67999999999995</v>
      </c>
    </row>
    <row r="274" spans="1:44" hidden="1">
      <c r="B274" s="921"/>
      <c r="C274" s="928"/>
      <c r="D274" s="928"/>
      <c r="E274" s="928"/>
      <c r="F274" s="928"/>
      <c r="G274" s="928"/>
      <c r="H274" s="928"/>
      <c r="I274" s="928"/>
      <c r="J274" s="928"/>
      <c r="K274" s="928"/>
      <c r="L274" s="928"/>
      <c r="M274" s="928"/>
      <c r="N274" s="928"/>
      <c r="O274" s="928"/>
      <c r="P274" s="928"/>
      <c r="Q274" s="928"/>
      <c r="R274" s="928"/>
      <c r="S274" s="928"/>
      <c r="T274" s="928"/>
      <c r="U274" s="928"/>
      <c r="V274" s="928"/>
      <c r="X274" s="923">
        <v>4.2</v>
      </c>
      <c r="Y274" s="929">
        <v>114.13</v>
      </c>
      <c r="Z274" s="929">
        <v>138.41</v>
      </c>
      <c r="AA274" s="929">
        <v>162.69999999999999</v>
      </c>
      <c r="AB274" s="929">
        <v>189.08</v>
      </c>
      <c r="AC274" s="929">
        <v>211.26</v>
      </c>
      <c r="AD274" s="929">
        <v>235.54</v>
      </c>
      <c r="AE274" s="929">
        <v>259.67</v>
      </c>
      <c r="AF274" s="929">
        <v>281.42</v>
      </c>
      <c r="AG274" s="929">
        <v>303.45999999999998</v>
      </c>
      <c r="AH274" s="929">
        <v>329.84</v>
      </c>
      <c r="AI274" s="929">
        <v>354.13</v>
      </c>
      <c r="AJ274" s="929">
        <v>380.94</v>
      </c>
      <c r="AK274" s="929">
        <v>405.07</v>
      </c>
      <c r="AL274" s="929">
        <v>431.45</v>
      </c>
      <c r="AM274" s="929">
        <v>455.88</v>
      </c>
      <c r="AN274" s="929">
        <v>480.02</v>
      </c>
      <c r="AO274" s="929">
        <v>506.55</v>
      </c>
      <c r="AP274" s="929">
        <v>533.08000000000004</v>
      </c>
      <c r="AQ274" s="929">
        <v>559.61</v>
      </c>
      <c r="AR274" s="929">
        <v>586.14</v>
      </c>
    </row>
    <row r="275" spans="1:44" hidden="1">
      <c r="B275" s="921"/>
      <c r="C275" s="928"/>
      <c r="D275" s="928"/>
      <c r="E275" s="928"/>
      <c r="F275" s="928"/>
      <c r="G275" s="928"/>
      <c r="H275" s="928"/>
      <c r="I275" s="928"/>
      <c r="J275" s="928"/>
      <c r="K275" s="928"/>
      <c r="L275" s="928"/>
      <c r="M275" s="928"/>
      <c r="N275" s="928"/>
      <c r="O275" s="928"/>
      <c r="P275" s="928"/>
      <c r="Q275" s="928"/>
      <c r="R275" s="928"/>
      <c r="S275" s="928"/>
      <c r="T275" s="928"/>
      <c r="U275" s="928"/>
      <c r="V275" s="928"/>
      <c r="X275" s="923">
        <v>4.3</v>
      </c>
      <c r="Y275" s="929">
        <v>115.99</v>
      </c>
      <c r="Z275" s="929">
        <v>140.84</v>
      </c>
      <c r="AA275" s="929">
        <v>165.71</v>
      </c>
      <c r="AB275" s="929">
        <v>192.8</v>
      </c>
      <c r="AC275" s="929">
        <v>215.41</v>
      </c>
      <c r="AD275" s="929">
        <v>240.26</v>
      </c>
      <c r="AE275" s="929">
        <v>264.95999999999998</v>
      </c>
      <c r="AF275" s="929">
        <v>287.14</v>
      </c>
      <c r="AG275" s="929">
        <v>309.61</v>
      </c>
      <c r="AH275" s="929">
        <v>336.7</v>
      </c>
      <c r="AI275" s="929">
        <v>361.57</v>
      </c>
      <c r="AJ275" s="929">
        <v>389.09</v>
      </c>
      <c r="AK275" s="929">
        <v>413.79</v>
      </c>
      <c r="AL275" s="929">
        <v>440.88</v>
      </c>
      <c r="AM275" s="929">
        <v>465.89</v>
      </c>
      <c r="AN275" s="929">
        <v>490.6</v>
      </c>
      <c r="AO275" s="929">
        <v>517.85</v>
      </c>
      <c r="AP275" s="929">
        <v>545.1</v>
      </c>
      <c r="AQ275" s="929">
        <v>572.35</v>
      </c>
      <c r="AR275" s="929">
        <v>599.6</v>
      </c>
    </row>
    <row r="276" spans="1:44" hidden="1">
      <c r="B276" s="921"/>
      <c r="C276" s="928"/>
      <c r="D276" s="928"/>
      <c r="E276" s="928"/>
      <c r="F276" s="928"/>
      <c r="G276" s="928"/>
      <c r="H276" s="928"/>
      <c r="I276" s="928"/>
      <c r="J276" s="928"/>
      <c r="K276" s="928"/>
      <c r="L276" s="928"/>
      <c r="M276" s="928"/>
      <c r="N276" s="928"/>
      <c r="O276" s="928"/>
      <c r="P276" s="928"/>
      <c r="Q276" s="928"/>
      <c r="R276" s="928"/>
      <c r="S276" s="928"/>
      <c r="T276" s="928"/>
      <c r="U276" s="928"/>
      <c r="V276" s="928"/>
      <c r="X276" s="923">
        <v>4.4000000000000004</v>
      </c>
      <c r="Y276" s="929">
        <v>117.85</v>
      </c>
      <c r="Z276" s="929">
        <v>143.27000000000001</v>
      </c>
      <c r="AA276" s="929">
        <v>168.72</v>
      </c>
      <c r="AB276" s="929">
        <v>196.52</v>
      </c>
      <c r="AC276" s="929">
        <v>219.56</v>
      </c>
      <c r="AD276" s="929">
        <v>244.98</v>
      </c>
      <c r="AE276" s="929">
        <v>270.25</v>
      </c>
      <c r="AF276" s="929">
        <v>292.86</v>
      </c>
      <c r="AG276" s="929">
        <v>315.76</v>
      </c>
      <c r="AH276" s="929">
        <v>343.56</v>
      </c>
      <c r="AI276" s="929">
        <v>369.01</v>
      </c>
      <c r="AJ276" s="929">
        <v>397.24</v>
      </c>
      <c r="AK276" s="929">
        <v>422.51</v>
      </c>
      <c r="AL276" s="929">
        <v>450.31</v>
      </c>
      <c r="AM276" s="929">
        <v>475.9</v>
      </c>
      <c r="AN276" s="929">
        <v>501.18</v>
      </c>
      <c r="AO276" s="929">
        <v>529.15</v>
      </c>
      <c r="AP276" s="929">
        <v>557.12</v>
      </c>
      <c r="AQ276" s="929">
        <v>585.09</v>
      </c>
      <c r="AR276" s="929">
        <v>613.05999999999995</v>
      </c>
    </row>
    <row r="277" spans="1:44" hidden="1">
      <c r="B277" s="921"/>
      <c r="C277" s="928"/>
      <c r="D277" s="928"/>
      <c r="E277" s="928"/>
      <c r="F277" s="928"/>
      <c r="G277" s="928"/>
      <c r="H277" s="928"/>
      <c r="I277" s="928"/>
      <c r="J277" s="928"/>
      <c r="K277" s="928"/>
      <c r="L277" s="928"/>
      <c r="M277" s="928"/>
      <c r="N277" s="928"/>
      <c r="O277" s="928"/>
      <c r="P277" s="928"/>
      <c r="Q277" s="928"/>
      <c r="R277" s="928"/>
      <c r="S277" s="928"/>
      <c r="T277" s="928"/>
      <c r="U277" s="928"/>
      <c r="V277" s="928"/>
      <c r="X277" s="923">
        <v>4.5</v>
      </c>
      <c r="Y277" s="929">
        <v>119.71</v>
      </c>
      <c r="Z277" s="929">
        <v>145.69999999999999</v>
      </c>
      <c r="AA277" s="929">
        <v>171.73</v>
      </c>
      <c r="AB277" s="929">
        <v>200.24</v>
      </c>
      <c r="AC277" s="929">
        <v>223.71</v>
      </c>
      <c r="AD277" s="929">
        <v>249.7</v>
      </c>
      <c r="AE277" s="929">
        <v>275.54000000000002</v>
      </c>
      <c r="AF277" s="929">
        <v>298.58</v>
      </c>
      <c r="AG277" s="929">
        <v>321.91000000000003</v>
      </c>
      <c r="AH277" s="929">
        <v>350.42</v>
      </c>
      <c r="AI277" s="929">
        <v>376.45</v>
      </c>
      <c r="AJ277" s="929">
        <v>405.39</v>
      </c>
      <c r="AK277" s="929">
        <v>431.23</v>
      </c>
      <c r="AL277" s="929">
        <v>459.74</v>
      </c>
      <c r="AM277" s="929">
        <v>485.91</v>
      </c>
      <c r="AN277" s="929">
        <v>511.76</v>
      </c>
      <c r="AO277" s="929">
        <v>540.45000000000005</v>
      </c>
      <c r="AP277" s="929">
        <v>569.14</v>
      </c>
      <c r="AQ277" s="929">
        <v>597.83000000000004</v>
      </c>
      <c r="AR277" s="929">
        <v>626.52</v>
      </c>
    </row>
    <row r="278" spans="1:44">
      <c r="A278" s="673"/>
      <c r="B278" s="673"/>
      <c r="C278" s="673"/>
      <c r="D278" s="673"/>
      <c r="E278" s="673"/>
      <c r="F278" s="673"/>
      <c r="G278" s="673"/>
      <c r="H278" s="673"/>
      <c r="I278" s="673"/>
      <c r="J278" s="673"/>
      <c r="K278" s="673"/>
      <c r="L278" s="673"/>
      <c r="M278" s="673"/>
      <c r="N278" s="673"/>
      <c r="O278" s="673"/>
      <c r="P278" s="673"/>
      <c r="Q278" s="673"/>
      <c r="R278" s="673"/>
      <c r="S278" s="673"/>
      <c r="T278" s="673"/>
      <c r="U278" s="673"/>
    </row>
    <row r="279" spans="1:44">
      <c r="A279" s="673"/>
      <c r="B279" s="673"/>
      <c r="C279" s="673"/>
      <c r="D279" s="673"/>
      <c r="E279" s="673"/>
      <c r="F279" s="673"/>
      <c r="G279" s="673"/>
      <c r="H279" s="673"/>
      <c r="I279" s="673"/>
      <c r="J279" s="673"/>
      <c r="K279" s="673"/>
      <c r="L279" s="673"/>
      <c r="M279" s="673"/>
      <c r="N279" s="673"/>
      <c r="O279" s="673"/>
      <c r="P279" s="673"/>
      <c r="Q279" s="673"/>
      <c r="R279" s="673"/>
      <c r="S279" s="673"/>
      <c r="T279" s="673"/>
      <c r="U279" s="673"/>
    </row>
    <row r="280" spans="1:44">
      <c r="A280" s="185" t="s">
        <v>303</v>
      </c>
      <c r="B280" s="672"/>
      <c r="C280" s="673"/>
      <c r="D280" s="673"/>
      <c r="E280" s="673"/>
      <c r="F280" s="673"/>
      <c r="G280" s="673"/>
      <c r="H280" s="673"/>
      <c r="I280" s="673"/>
      <c r="J280" s="673"/>
      <c r="K280" s="673"/>
      <c r="L280" s="673"/>
      <c r="M280" s="673"/>
      <c r="N280" s="673"/>
      <c r="O280" s="673"/>
      <c r="P280" s="673"/>
      <c r="Q280" s="673"/>
      <c r="R280" s="673"/>
      <c r="S280" s="673"/>
      <c r="T280" s="673"/>
      <c r="U280" s="673"/>
    </row>
    <row r="281" spans="1:44">
      <c r="A281" s="185" t="s">
        <v>765</v>
      </c>
      <c r="B281" s="672"/>
      <c r="C281" s="673"/>
      <c r="D281" s="673"/>
      <c r="E281" s="673"/>
      <c r="F281" s="673"/>
      <c r="G281" s="673"/>
      <c r="H281" s="673"/>
      <c r="I281" s="673"/>
      <c r="J281" s="673"/>
      <c r="K281" s="673"/>
      <c r="L281" s="673"/>
      <c r="M281" s="673"/>
      <c r="N281" s="673"/>
      <c r="O281" s="673"/>
      <c r="P281" s="673"/>
      <c r="Q281" s="673"/>
      <c r="R281" s="673"/>
      <c r="S281" s="673"/>
      <c r="T281" s="673"/>
      <c r="U281" s="673"/>
    </row>
    <row r="282" spans="1:44">
      <c r="A282" s="500" t="s">
        <v>808</v>
      </c>
      <c r="B282" s="672"/>
      <c r="C282" s="673"/>
      <c r="D282" s="673"/>
      <c r="E282" s="673"/>
      <c r="F282" s="673"/>
      <c r="G282" s="673"/>
      <c r="H282" s="673"/>
      <c r="I282" s="673"/>
      <c r="J282" s="673"/>
      <c r="K282" s="673"/>
      <c r="L282" s="673"/>
      <c r="M282" s="673"/>
      <c r="N282" s="673"/>
      <c r="O282" s="673"/>
      <c r="P282" s="673"/>
      <c r="Q282" s="673"/>
      <c r="R282" s="673"/>
      <c r="S282" s="673"/>
      <c r="T282" s="673"/>
      <c r="U282" s="673"/>
    </row>
    <row r="283" spans="1:44">
      <c r="A283" s="1540" t="s">
        <v>805</v>
      </c>
      <c r="B283" s="1540"/>
      <c r="C283" s="1540"/>
      <c r="D283" s="1540"/>
      <c r="E283" s="1540"/>
      <c r="F283" s="1540"/>
      <c r="G283" s="1540"/>
      <c r="H283" s="1540"/>
      <c r="I283" s="1540"/>
      <c r="J283" s="1540"/>
      <c r="K283" s="674">
        <f>(2.78*KFC!$B$19+KFC!$C$19)*KFC!$C$5</f>
        <v>2.78</v>
      </c>
      <c r="L283" s="675" t="s">
        <v>744</v>
      </c>
      <c r="N283" s="185"/>
      <c r="O283" s="185"/>
      <c r="P283" s="185"/>
      <c r="Q283" s="673"/>
      <c r="R283" s="673"/>
      <c r="S283" s="673"/>
      <c r="T283" s="673"/>
      <c r="U283" s="673"/>
    </row>
    <row r="284" spans="1:44">
      <c r="A284" s="1571" t="s">
        <v>1236</v>
      </c>
      <c r="B284" s="1571"/>
      <c r="C284" s="1571"/>
      <c r="D284" s="1571"/>
      <c r="E284" s="1571"/>
      <c r="F284" s="1571"/>
      <c r="G284" s="1571"/>
      <c r="H284" s="1571"/>
      <c r="I284" s="1572"/>
      <c r="J284" s="946">
        <f>(6.18*KFC!$B$19+KFC!$C$19)*KFC!$C$5</f>
        <v>6.18</v>
      </c>
      <c r="K284" s="675" t="s">
        <v>744</v>
      </c>
      <c r="L284" s="185"/>
      <c r="M284" s="185"/>
      <c r="N284" s="499"/>
      <c r="O284" s="499"/>
      <c r="P284" s="499"/>
      <c r="Q284" s="673"/>
      <c r="R284" s="673"/>
      <c r="S284" s="673"/>
      <c r="T284" s="673"/>
      <c r="U284" s="673"/>
    </row>
    <row r="285" spans="1:44">
      <c r="A285" s="499"/>
      <c r="B285" s="499"/>
      <c r="C285" s="499"/>
      <c r="D285" s="499"/>
      <c r="E285" s="499"/>
      <c r="F285" s="499"/>
      <c r="G285" s="499"/>
      <c r="H285" s="499"/>
      <c r="I285" s="499"/>
      <c r="J285" s="499"/>
      <c r="K285" s="499"/>
      <c r="L285" s="499"/>
      <c r="M285" s="499"/>
      <c r="N285" s="499"/>
      <c r="O285" s="499"/>
      <c r="P285" s="499"/>
      <c r="Q285" s="673"/>
      <c r="R285" s="673"/>
      <c r="S285" s="673"/>
      <c r="T285" s="673"/>
      <c r="U285" s="673"/>
    </row>
    <row r="286" spans="1:44">
      <c r="A286" s="1283" t="s">
        <v>1237</v>
      </c>
      <c r="B286" s="1283"/>
      <c r="C286" s="1283"/>
      <c r="D286" s="1283"/>
      <c r="E286" s="1283"/>
      <c r="F286" s="1283"/>
      <c r="G286" s="1283"/>
      <c r="H286" s="1283"/>
      <c r="I286" s="1283"/>
      <c r="J286" s="1283"/>
      <c r="K286" s="1283"/>
      <c r="L286" s="1283"/>
      <c r="M286" s="1283"/>
      <c r="N286" s="1283"/>
      <c r="O286" s="1283"/>
      <c r="P286" s="1283"/>
      <c r="Q286" s="673"/>
      <c r="R286" s="673"/>
      <c r="S286" s="673"/>
      <c r="T286" s="673"/>
      <c r="U286" s="673"/>
    </row>
    <row r="287" spans="1:44">
      <c r="A287" s="1283" t="s">
        <v>764</v>
      </c>
      <c r="B287" s="1283"/>
      <c r="C287" s="1283"/>
      <c r="D287" s="498">
        <f>(2.24*KFC!$B$19+KFC!$C$19)*KFC!$C$5</f>
        <v>2.2400000000000002</v>
      </c>
      <c r="E287" s="1566" t="s">
        <v>773</v>
      </c>
      <c r="F287" s="1567"/>
      <c r="G287" s="1568"/>
      <c r="H287" s="498">
        <f>(3.55*KFC!$B$19+KFC!$C$19)*KFC!$C$5</f>
        <v>3.55</v>
      </c>
      <c r="I287" s="1569" t="s">
        <v>774</v>
      </c>
      <c r="J287" s="1283"/>
      <c r="K287" s="1283"/>
      <c r="L287" s="1283"/>
      <c r="M287" s="422"/>
      <c r="N287" s="422"/>
      <c r="O287" s="422"/>
      <c r="P287" s="422"/>
      <c r="Q287" s="673"/>
      <c r="R287" s="673"/>
      <c r="S287" s="673"/>
      <c r="T287" s="673"/>
      <c r="U287" s="673"/>
    </row>
  </sheetData>
  <mergeCells count="27">
    <mergeCell ref="A1:U1"/>
    <mergeCell ref="A2:U2"/>
    <mergeCell ref="A3:U3"/>
    <mergeCell ref="A5:B6"/>
    <mergeCell ref="C5:U5"/>
    <mergeCell ref="A7:A37"/>
    <mergeCell ref="A51:B52"/>
    <mergeCell ref="C51:U51"/>
    <mergeCell ref="A53:A83"/>
    <mergeCell ref="A97:B98"/>
    <mergeCell ref="C97:U97"/>
    <mergeCell ref="A99:A129"/>
    <mergeCell ref="A143:B144"/>
    <mergeCell ref="C143:U143"/>
    <mergeCell ref="A145:A175"/>
    <mergeCell ref="A189:B190"/>
    <mergeCell ref="C189:U189"/>
    <mergeCell ref="A191:A221"/>
    <mergeCell ref="A287:C287"/>
    <mergeCell ref="E287:G287"/>
    <mergeCell ref="I287:L287"/>
    <mergeCell ref="A235:B236"/>
    <mergeCell ref="C235:U235"/>
    <mergeCell ref="A237:A267"/>
    <mergeCell ref="A283:J283"/>
    <mergeCell ref="A284:I284"/>
    <mergeCell ref="A286:P286"/>
  </mergeCell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5" manualBreakCount="5">
    <brk id="47" max="16383" man="1"/>
    <brk id="93" max="16383" man="1"/>
    <brk id="129" max="16383" man="1"/>
    <brk id="175" max="16383" man="1"/>
    <brk id="221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CA4CCF-6FC3-401D-8B67-EE1FA314DFB3}">
  <dimension ref="A1:AC176"/>
  <sheetViews>
    <sheetView view="pageBreakPreview" topLeftCell="A149" zoomScaleNormal="100" zoomScaleSheetLayoutView="100" workbookViewId="0">
      <selection activeCell="Q74" sqref="Q74"/>
    </sheetView>
  </sheetViews>
  <sheetFormatPr defaultRowHeight="13.2"/>
  <cols>
    <col min="1" max="2" width="6.6640625" customWidth="1"/>
    <col min="3" max="3" width="10" customWidth="1"/>
    <col min="4" max="16" width="8.33203125" customWidth="1"/>
  </cols>
  <sheetData>
    <row r="1" spans="1:16" ht="42" customHeight="1">
      <c r="A1" s="1222" t="s">
        <v>769</v>
      </c>
      <c r="B1" s="1222"/>
      <c r="C1" s="1222"/>
      <c r="D1" s="1222"/>
      <c r="E1" s="1222"/>
      <c r="F1" s="1222"/>
      <c r="G1" s="1222"/>
      <c r="H1" s="1222"/>
      <c r="I1" s="1222"/>
      <c r="J1" s="1222"/>
      <c r="K1" s="1222"/>
      <c r="L1" s="1222"/>
      <c r="M1" s="1222"/>
      <c r="N1" s="1222"/>
      <c r="O1" s="1222"/>
      <c r="P1" s="1222"/>
    </row>
    <row r="2" spans="1:16">
      <c r="A2" s="1541" t="s">
        <v>761</v>
      </c>
      <c r="B2" s="1541"/>
      <c r="C2" s="1541"/>
      <c r="D2" s="1541"/>
      <c r="E2" s="1541"/>
      <c r="F2" s="1541"/>
      <c r="G2" s="1541"/>
      <c r="H2" s="1541"/>
      <c r="I2" s="1541"/>
      <c r="J2" s="1541"/>
      <c r="K2" s="1541"/>
      <c r="L2" s="1541"/>
      <c r="M2" s="1541"/>
      <c r="N2" s="1541"/>
      <c r="O2" s="1541"/>
      <c r="P2" s="1541"/>
    </row>
    <row r="3" spans="1:16" ht="13.2" customHeight="1">
      <c r="A3" s="1541" t="s">
        <v>763</v>
      </c>
      <c r="B3" s="1541"/>
      <c r="C3" s="1541"/>
      <c r="D3" s="1541"/>
      <c r="E3" s="1541"/>
      <c r="F3" s="1541"/>
      <c r="G3" s="1541"/>
      <c r="H3" s="1541"/>
      <c r="I3" s="1541"/>
      <c r="J3" s="1541"/>
      <c r="K3" s="1541"/>
      <c r="L3" s="1541"/>
      <c r="M3" s="1541"/>
      <c r="N3" s="1541"/>
      <c r="O3" s="1541"/>
      <c r="P3" s="1541"/>
    </row>
    <row r="4" spans="1:16" ht="13.2" customHeight="1">
      <c r="A4" s="1541" t="s">
        <v>762</v>
      </c>
      <c r="B4" s="1541"/>
      <c r="C4" s="1541"/>
      <c r="D4" s="1541"/>
      <c r="E4" s="1541"/>
      <c r="F4" s="1541"/>
      <c r="G4" s="1541"/>
      <c r="H4" s="1541"/>
      <c r="I4" s="1541"/>
      <c r="J4" s="1541"/>
      <c r="K4" s="1541"/>
      <c r="L4" s="1541"/>
      <c r="M4" s="1541"/>
      <c r="N4" s="1541"/>
      <c r="O4" s="1541"/>
      <c r="P4" s="1541"/>
    </row>
    <row r="5" spans="1:16" ht="13.2" customHeight="1">
      <c r="A5" s="1541" t="s">
        <v>983</v>
      </c>
      <c r="B5" s="1541"/>
      <c r="C5" s="1541"/>
      <c r="D5" s="1541"/>
      <c r="E5" s="1541"/>
      <c r="F5" s="1541"/>
      <c r="G5" s="1541"/>
      <c r="H5" s="1541"/>
      <c r="I5" s="1541"/>
      <c r="J5" s="1541"/>
      <c r="K5" s="1541"/>
      <c r="L5" s="1541"/>
      <c r="M5" s="1541"/>
      <c r="N5" s="1541"/>
      <c r="O5" s="1541"/>
      <c r="P5" s="1541"/>
    </row>
    <row r="6" spans="1:16">
      <c r="A6" s="1089" t="s">
        <v>593</v>
      </c>
      <c r="B6" s="1089"/>
      <c r="C6" s="1089"/>
      <c r="D6" s="1089"/>
      <c r="E6" s="1406" t="s">
        <v>872</v>
      </c>
      <c r="F6" s="1545"/>
      <c r="G6" s="1545"/>
      <c r="H6" s="1545"/>
      <c r="I6" s="1545"/>
      <c r="J6" s="1545"/>
      <c r="K6" s="1545"/>
      <c r="L6" s="1545"/>
      <c r="M6" s="1545"/>
      <c r="N6" s="1545"/>
      <c r="O6" s="1545"/>
      <c r="P6" s="1545"/>
    </row>
    <row r="7" spans="1:16" ht="19.95" customHeight="1" thickBot="1">
      <c r="A7" s="1089" t="s">
        <v>611</v>
      </c>
      <c r="B7" s="1089"/>
      <c r="C7" s="1089"/>
      <c r="D7" s="1089"/>
      <c r="E7" s="1406" t="s">
        <v>613</v>
      </c>
      <c r="F7" s="1545"/>
      <c r="G7" s="1545"/>
      <c r="H7" s="1545"/>
      <c r="I7" s="1545"/>
      <c r="J7" s="1545"/>
      <c r="K7" s="1545"/>
      <c r="L7" s="1545"/>
      <c r="M7" s="1545"/>
      <c r="N7" s="1545"/>
      <c r="O7" s="1545"/>
      <c r="P7" s="1545"/>
    </row>
    <row r="8" spans="1:16" ht="13.8" thickBot="1">
      <c r="A8" s="1413" t="s">
        <v>462</v>
      </c>
      <c r="B8" s="1542"/>
      <c r="C8" s="1534" t="s">
        <v>207</v>
      </c>
      <c r="D8" s="1535"/>
      <c r="E8" s="1535"/>
      <c r="F8" s="1535"/>
      <c r="G8" s="1535"/>
      <c r="H8" s="1535"/>
      <c r="I8" s="1535"/>
      <c r="J8" s="1535"/>
      <c r="K8" s="1535"/>
      <c r="L8" s="1535"/>
      <c r="M8" s="1535"/>
      <c r="N8" s="1535"/>
      <c r="O8" s="1535"/>
      <c r="P8" s="1536"/>
    </row>
    <row r="9" spans="1:16" ht="13.8" thickBot="1">
      <c r="A9" s="1543"/>
      <c r="B9" s="1544"/>
      <c r="C9" s="389">
        <v>0.4</v>
      </c>
      <c r="D9" s="389">
        <v>0.5</v>
      </c>
      <c r="E9" s="389">
        <v>0.6</v>
      </c>
      <c r="F9" s="389">
        <v>0.7</v>
      </c>
      <c r="G9" s="389">
        <v>0.8</v>
      </c>
      <c r="H9" s="389">
        <v>0.9</v>
      </c>
      <c r="I9" s="389">
        <v>1</v>
      </c>
      <c r="J9" s="389">
        <v>1.1000000000000001</v>
      </c>
      <c r="K9" s="389">
        <v>1.2</v>
      </c>
      <c r="L9" s="389">
        <v>1.3</v>
      </c>
      <c r="M9" s="389">
        <v>1.4</v>
      </c>
      <c r="N9" s="389">
        <v>1.5</v>
      </c>
      <c r="O9" s="389">
        <v>1.6</v>
      </c>
      <c r="P9" s="390">
        <v>1.7</v>
      </c>
    </row>
    <row r="10" spans="1:16">
      <c r="A10" s="1537" t="s">
        <v>3</v>
      </c>
      <c r="B10" s="297">
        <v>0.5</v>
      </c>
      <c r="C10" s="274">
        <f>C35-C35*10/100</f>
        <v>17.210778749999999</v>
      </c>
      <c r="D10" s="301">
        <f t="shared" ref="D10:P10" si="0">D35-D35*10/100</f>
        <v>17.975702250000001</v>
      </c>
      <c r="E10" s="301">
        <f t="shared" si="0"/>
        <v>18.868113000000001</v>
      </c>
      <c r="F10" s="301">
        <f t="shared" si="0"/>
        <v>19.633036500000003</v>
      </c>
      <c r="G10" s="301">
        <f t="shared" si="0"/>
        <v>20.525447250000003</v>
      </c>
      <c r="H10" s="301">
        <f t="shared" si="0"/>
        <v>21.417858000000006</v>
      </c>
      <c r="I10" s="301">
        <f t="shared" si="0"/>
        <v>22.182781499999997</v>
      </c>
      <c r="J10" s="301">
        <f t="shared" si="0"/>
        <v>23.075192250000008</v>
      </c>
      <c r="K10" s="301">
        <f t="shared" si="0"/>
        <v>23.840115749999999</v>
      </c>
      <c r="L10" s="301">
        <f t="shared" si="0"/>
        <v>24.605039250000001</v>
      </c>
      <c r="M10" s="301">
        <f t="shared" si="0"/>
        <v>25.624937250000006</v>
      </c>
      <c r="N10" s="301">
        <f t="shared" si="0"/>
        <v>26.389860750000004</v>
      </c>
      <c r="O10" s="301">
        <f t="shared" si="0"/>
        <v>27.282271500000004</v>
      </c>
      <c r="P10" s="302">
        <f t="shared" si="0"/>
        <v>28.047195000000002</v>
      </c>
    </row>
    <row r="11" spans="1:16">
      <c r="A11" s="1538"/>
      <c r="B11" s="298">
        <v>0.6</v>
      </c>
      <c r="C11" s="303">
        <f t="shared" ref="C11:P11" si="1">C36-C36*10/100</f>
        <v>17.465753250000002</v>
      </c>
      <c r="D11" s="300">
        <f t="shared" si="1"/>
        <v>18.358164000000002</v>
      </c>
      <c r="E11" s="300">
        <f t="shared" si="1"/>
        <v>19.378062000000003</v>
      </c>
      <c r="F11" s="300">
        <f t="shared" si="1"/>
        <v>20.270472750000003</v>
      </c>
      <c r="G11" s="300">
        <f t="shared" si="1"/>
        <v>21.162883500000003</v>
      </c>
      <c r="H11" s="300">
        <f t="shared" si="1"/>
        <v>22.182781499999997</v>
      </c>
      <c r="I11" s="300">
        <f t="shared" si="1"/>
        <v>23.075192250000008</v>
      </c>
      <c r="J11" s="300">
        <f t="shared" si="1"/>
        <v>23.840115749999999</v>
      </c>
      <c r="K11" s="300">
        <f t="shared" si="1"/>
        <v>24.732526500000002</v>
      </c>
      <c r="L11" s="300">
        <f t="shared" si="1"/>
        <v>25.7524245</v>
      </c>
      <c r="M11" s="300">
        <f t="shared" si="1"/>
        <v>26.64483525</v>
      </c>
      <c r="N11" s="300">
        <f t="shared" si="1"/>
        <v>27.537246000000007</v>
      </c>
      <c r="O11" s="300">
        <f t="shared" si="1"/>
        <v>28.557144000000001</v>
      </c>
      <c r="P11" s="304">
        <f t="shared" si="1"/>
        <v>29.449554750000001</v>
      </c>
    </row>
    <row r="12" spans="1:16">
      <c r="A12" s="1538"/>
      <c r="B12" s="298">
        <v>0.7</v>
      </c>
      <c r="C12" s="303">
        <f t="shared" ref="C12:P12" si="2">C37-C37*10/100</f>
        <v>17.975702250000001</v>
      </c>
      <c r="D12" s="300">
        <f t="shared" si="2"/>
        <v>18.868113000000001</v>
      </c>
      <c r="E12" s="300">
        <f t="shared" si="2"/>
        <v>19.760523750000001</v>
      </c>
      <c r="F12" s="300">
        <f t="shared" si="2"/>
        <v>20.907908999999997</v>
      </c>
      <c r="G12" s="300">
        <f t="shared" si="2"/>
        <v>21.800319750000003</v>
      </c>
      <c r="H12" s="300">
        <f t="shared" si="2"/>
        <v>22.820217749999998</v>
      </c>
      <c r="I12" s="300">
        <f t="shared" si="2"/>
        <v>23.840115749999999</v>
      </c>
      <c r="J12" s="300">
        <f t="shared" si="2"/>
        <v>24.732526500000002</v>
      </c>
      <c r="K12" s="300">
        <f t="shared" si="2"/>
        <v>25.7524245</v>
      </c>
      <c r="L12" s="300">
        <f t="shared" si="2"/>
        <v>26.772322500000005</v>
      </c>
      <c r="M12" s="300">
        <f t="shared" si="2"/>
        <v>27.792220500000006</v>
      </c>
      <c r="N12" s="300">
        <f t="shared" si="2"/>
        <v>28.812118500000011</v>
      </c>
      <c r="O12" s="300">
        <f t="shared" si="2"/>
        <v>29.832016499999998</v>
      </c>
      <c r="P12" s="304">
        <f t="shared" si="2"/>
        <v>30.724427250000002</v>
      </c>
    </row>
    <row r="13" spans="1:16">
      <c r="A13" s="1538"/>
      <c r="B13" s="298">
        <v>0.8</v>
      </c>
      <c r="C13" s="303">
        <f t="shared" ref="C13:P13" si="3">C38-C38*10/100</f>
        <v>18.230676750000001</v>
      </c>
      <c r="D13" s="300">
        <f t="shared" si="3"/>
        <v>19.378062000000003</v>
      </c>
      <c r="E13" s="300">
        <f t="shared" si="3"/>
        <v>20.397960000000001</v>
      </c>
      <c r="F13" s="300">
        <f t="shared" si="3"/>
        <v>21.417858000000006</v>
      </c>
      <c r="G13" s="300">
        <f t="shared" si="3"/>
        <v>22.437756000000004</v>
      </c>
      <c r="H13" s="300">
        <f t="shared" si="3"/>
        <v>23.585141250000003</v>
      </c>
      <c r="I13" s="300">
        <f t="shared" si="3"/>
        <v>24.605039250000001</v>
      </c>
      <c r="J13" s="300">
        <f t="shared" si="3"/>
        <v>25.7524245</v>
      </c>
      <c r="K13" s="300">
        <f t="shared" si="3"/>
        <v>26.772322500000005</v>
      </c>
      <c r="L13" s="300">
        <f t="shared" si="3"/>
        <v>27.792220500000006</v>
      </c>
      <c r="M13" s="300">
        <f t="shared" si="3"/>
        <v>28.812118500000011</v>
      </c>
      <c r="N13" s="300">
        <f t="shared" si="3"/>
        <v>29.959503750000003</v>
      </c>
      <c r="O13" s="300">
        <f t="shared" si="3"/>
        <v>30.979401749999997</v>
      </c>
      <c r="P13" s="304">
        <f t="shared" si="3"/>
        <v>32.126787000000007</v>
      </c>
    </row>
    <row r="14" spans="1:16">
      <c r="A14" s="1538"/>
      <c r="B14" s="298">
        <v>0.9</v>
      </c>
      <c r="C14" s="303">
        <f t="shared" ref="C14:P14" si="4">C39-C39*10/100</f>
        <v>18.613138499999998</v>
      </c>
      <c r="D14" s="300">
        <f t="shared" si="4"/>
        <v>19.633036500000003</v>
      </c>
      <c r="E14" s="300">
        <f t="shared" si="4"/>
        <v>20.907908999999997</v>
      </c>
      <c r="F14" s="300">
        <f t="shared" si="4"/>
        <v>21.927807000000001</v>
      </c>
      <c r="G14" s="300">
        <f t="shared" si="4"/>
        <v>23.075192250000008</v>
      </c>
      <c r="H14" s="300">
        <f t="shared" si="4"/>
        <v>24.350064750000005</v>
      </c>
      <c r="I14" s="300">
        <f t="shared" si="4"/>
        <v>25.369962749999999</v>
      </c>
      <c r="J14" s="300">
        <f t="shared" si="4"/>
        <v>26.517348000000005</v>
      </c>
      <c r="K14" s="300">
        <f t="shared" si="4"/>
        <v>27.792220500000006</v>
      </c>
      <c r="L14" s="300">
        <f t="shared" si="4"/>
        <v>28.812118500000011</v>
      </c>
      <c r="M14" s="300">
        <f t="shared" si="4"/>
        <v>30.086991000000005</v>
      </c>
      <c r="N14" s="300">
        <f t="shared" si="4"/>
        <v>31.234376250000004</v>
      </c>
      <c r="O14" s="300">
        <f t="shared" si="4"/>
        <v>32.254274250000009</v>
      </c>
      <c r="P14" s="304">
        <f t="shared" si="4"/>
        <v>33.529146749999995</v>
      </c>
    </row>
    <row r="15" spans="1:16">
      <c r="A15" s="1538"/>
      <c r="B15" s="298">
        <v>1</v>
      </c>
      <c r="C15" s="303">
        <f t="shared" ref="C15:P15" si="5">C40-C40*10/100</f>
        <v>18.868113000000001</v>
      </c>
      <c r="D15" s="300">
        <f t="shared" si="5"/>
        <v>20.142985500000002</v>
      </c>
      <c r="E15" s="300">
        <f t="shared" si="5"/>
        <v>21.417858000000006</v>
      </c>
      <c r="F15" s="300">
        <f t="shared" si="5"/>
        <v>22.565243249999998</v>
      </c>
      <c r="G15" s="300">
        <f t="shared" si="5"/>
        <v>23.840115749999999</v>
      </c>
      <c r="H15" s="300">
        <f t="shared" si="5"/>
        <v>25.114988250000003</v>
      </c>
      <c r="I15" s="300">
        <f t="shared" si="5"/>
        <v>26.134886250000001</v>
      </c>
      <c r="J15" s="300">
        <f t="shared" si="5"/>
        <v>27.409758750000002</v>
      </c>
      <c r="K15" s="300">
        <f t="shared" si="5"/>
        <v>28.684631250000002</v>
      </c>
      <c r="L15" s="300">
        <f t="shared" si="5"/>
        <v>29.959503750000003</v>
      </c>
      <c r="M15" s="300">
        <f t="shared" si="5"/>
        <v>31.234376250000004</v>
      </c>
      <c r="N15" s="300">
        <f t="shared" si="5"/>
        <v>32.381761499999996</v>
      </c>
      <c r="O15" s="300">
        <f t="shared" si="5"/>
        <v>33.529146749999995</v>
      </c>
      <c r="P15" s="304">
        <f t="shared" si="5"/>
        <v>34.804019249999996</v>
      </c>
    </row>
    <row r="16" spans="1:16">
      <c r="A16" s="1538"/>
      <c r="B16" s="298">
        <v>1.1000000000000001</v>
      </c>
      <c r="C16" s="303">
        <f t="shared" ref="C16:P16" si="6">C41-C41*10/100</f>
        <v>19.378062000000003</v>
      </c>
      <c r="D16" s="300">
        <f t="shared" si="6"/>
        <v>20.525447250000003</v>
      </c>
      <c r="E16" s="300">
        <f t="shared" si="6"/>
        <v>21.800319750000003</v>
      </c>
      <c r="F16" s="300">
        <f t="shared" si="6"/>
        <v>23.202679499999999</v>
      </c>
      <c r="G16" s="300">
        <f t="shared" si="6"/>
        <v>24.477552000000003</v>
      </c>
      <c r="H16" s="300">
        <f t="shared" si="6"/>
        <v>25.7524245</v>
      </c>
      <c r="I16" s="300">
        <f t="shared" si="6"/>
        <v>27.154784250000006</v>
      </c>
      <c r="J16" s="300">
        <f t="shared" si="6"/>
        <v>28.429656750000007</v>
      </c>
      <c r="K16" s="300">
        <f t="shared" si="6"/>
        <v>29.577042000000006</v>
      </c>
      <c r="L16" s="300">
        <f t="shared" si="6"/>
        <v>30.979401749999997</v>
      </c>
      <c r="M16" s="300">
        <f t="shared" si="6"/>
        <v>32.254274250000009</v>
      </c>
      <c r="N16" s="300">
        <f t="shared" si="6"/>
        <v>33.529146749999995</v>
      </c>
      <c r="O16" s="300">
        <f t="shared" si="6"/>
        <v>34.804019249999996</v>
      </c>
      <c r="P16" s="304">
        <f t="shared" si="6"/>
        <v>36.206379000000005</v>
      </c>
    </row>
    <row r="17" spans="1:16">
      <c r="A17" s="1538"/>
      <c r="B17" s="298">
        <v>1.2</v>
      </c>
      <c r="C17" s="303">
        <f t="shared" ref="C17:P17" si="7">C42-C42*10/100</f>
        <v>19.633036500000003</v>
      </c>
      <c r="D17" s="300">
        <f t="shared" si="7"/>
        <v>21.035396250000005</v>
      </c>
      <c r="E17" s="300">
        <f t="shared" si="7"/>
        <v>22.437756000000004</v>
      </c>
      <c r="F17" s="300">
        <f t="shared" si="7"/>
        <v>23.712628500000005</v>
      </c>
      <c r="G17" s="300">
        <f t="shared" si="7"/>
        <v>25.114988250000003</v>
      </c>
      <c r="H17" s="300">
        <f t="shared" si="7"/>
        <v>26.517348000000005</v>
      </c>
      <c r="I17" s="300">
        <f t="shared" si="7"/>
        <v>27.919707749999997</v>
      </c>
      <c r="J17" s="300">
        <f t="shared" si="7"/>
        <v>29.322067500000006</v>
      </c>
      <c r="K17" s="300">
        <f t="shared" si="7"/>
        <v>30.59694</v>
      </c>
      <c r="L17" s="300">
        <f t="shared" si="7"/>
        <v>31.999299749999999</v>
      </c>
      <c r="M17" s="300">
        <f t="shared" si="7"/>
        <v>33.401659500000008</v>
      </c>
      <c r="N17" s="300">
        <f t="shared" si="7"/>
        <v>34.804019249999996</v>
      </c>
      <c r="O17" s="300">
        <f t="shared" si="7"/>
        <v>36.206379000000005</v>
      </c>
      <c r="P17" s="304">
        <f t="shared" si="7"/>
        <v>37.481251499999999</v>
      </c>
    </row>
    <row r="18" spans="1:16">
      <c r="A18" s="1538"/>
      <c r="B18" s="298">
        <v>1.3</v>
      </c>
      <c r="C18" s="303">
        <f t="shared" ref="C18:P18" si="8">C43-C43*10/100</f>
        <v>20.01549825</v>
      </c>
      <c r="D18" s="300">
        <f t="shared" si="8"/>
        <v>21.417858000000006</v>
      </c>
      <c r="E18" s="300">
        <f t="shared" si="8"/>
        <v>22.947704999999999</v>
      </c>
      <c r="F18" s="300">
        <f t="shared" si="8"/>
        <v>24.350064750000005</v>
      </c>
      <c r="G18" s="300">
        <f t="shared" si="8"/>
        <v>25.7524245</v>
      </c>
      <c r="H18" s="300">
        <f t="shared" si="8"/>
        <v>27.282271500000004</v>
      </c>
      <c r="I18" s="300">
        <f t="shared" si="8"/>
        <v>28.684631250000002</v>
      </c>
      <c r="J18" s="300">
        <f t="shared" si="8"/>
        <v>30.086991000000005</v>
      </c>
      <c r="K18" s="300">
        <f t="shared" si="8"/>
        <v>31.616838000000008</v>
      </c>
      <c r="L18" s="300">
        <f t="shared" si="8"/>
        <v>33.019197750000004</v>
      </c>
      <c r="M18" s="300">
        <f t="shared" si="8"/>
        <v>34.421557499999999</v>
      </c>
      <c r="N18" s="300">
        <f t="shared" si="8"/>
        <v>35.823917250000008</v>
      </c>
      <c r="O18" s="300">
        <f t="shared" si="8"/>
        <v>37.481251499999999</v>
      </c>
      <c r="P18" s="304">
        <f t="shared" si="8"/>
        <v>38.883611250000001</v>
      </c>
    </row>
    <row r="19" spans="1:16">
      <c r="A19" s="1538"/>
      <c r="B19" s="298">
        <v>1.4</v>
      </c>
      <c r="C19" s="303">
        <f t="shared" ref="C19:P19" si="9">C44-C44*10/100</f>
        <v>20.270472750000003</v>
      </c>
      <c r="D19" s="300">
        <f t="shared" si="9"/>
        <v>21.800319750000003</v>
      </c>
      <c r="E19" s="300">
        <f t="shared" si="9"/>
        <v>23.330166750000004</v>
      </c>
      <c r="F19" s="300">
        <f t="shared" si="9"/>
        <v>24.987501000000002</v>
      </c>
      <c r="G19" s="300">
        <f t="shared" si="9"/>
        <v>26.517348000000005</v>
      </c>
      <c r="H19" s="300">
        <f t="shared" si="9"/>
        <v>27.919707749999997</v>
      </c>
      <c r="I19" s="300">
        <f t="shared" si="9"/>
        <v>29.449554750000001</v>
      </c>
      <c r="J19" s="300">
        <f t="shared" si="9"/>
        <v>30.979401749999997</v>
      </c>
      <c r="K19" s="300">
        <f t="shared" si="9"/>
        <v>32.636736000000006</v>
      </c>
      <c r="L19" s="300">
        <f t="shared" si="9"/>
        <v>34.166583000000003</v>
      </c>
      <c r="M19" s="300">
        <f t="shared" si="9"/>
        <v>35.568942750000005</v>
      </c>
      <c r="N19" s="300">
        <f t="shared" si="9"/>
        <v>37.098789750000009</v>
      </c>
      <c r="O19" s="300">
        <f t="shared" si="9"/>
        <v>38.628636749999998</v>
      </c>
      <c r="P19" s="304">
        <f t="shared" si="9"/>
        <v>40.285971000000004</v>
      </c>
    </row>
    <row r="20" spans="1:16">
      <c r="A20" s="1538"/>
      <c r="B20" s="298">
        <v>1.5</v>
      </c>
      <c r="C20" s="303">
        <f t="shared" ref="C20:P20" si="10">C45-C45*10/100</f>
        <v>20.780421750000002</v>
      </c>
      <c r="D20" s="300">
        <f t="shared" si="10"/>
        <v>22.310268750000006</v>
      </c>
      <c r="E20" s="300">
        <f t="shared" si="10"/>
        <v>23.840115749999999</v>
      </c>
      <c r="F20" s="300">
        <f t="shared" si="10"/>
        <v>25.624937250000006</v>
      </c>
      <c r="G20" s="300">
        <f t="shared" si="10"/>
        <v>27.154784250000006</v>
      </c>
      <c r="H20" s="300">
        <f t="shared" si="10"/>
        <v>28.684631250000002</v>
      </c>
      <c r="I20" s="300">
        <f t="shared" si="10"/>
        <v>30.214478250000003</v>
      </c>
      <c r="J20" s="300">
        <f t="shared" si="10"/>
        <v>31.999299749999999</v>
      </c>
      <c r="K20" s="300">
        <f t="shared" si="10"/>
        <v>33.529146749999995</v>
      </c>
      <c r="L20" s="300">
        <f t="shared" si="10"/>
        <v>35.058993750000006</v>
      </c>
      <c r="M20" s="300">
        <f t="shared" si="10"/>
        <v>36.843815249999992</v>
      </c>
      <c r="N20" s="300">
        <f t="shared" si="10"/>
        <v>38.37366225000001</v>
      </c>
      <c r="O20" s="300">
        <f t="shared" si="10"/>
        <v>39.903509250000006</v>
      </c>
      <c r="P20" s="304">
        <f t="shared" si="10"/>
        <v>41.433356250000003</v>
      </c>
    </row>
    <row r="21" spans="1:16">
      <c r="A21" s="1538"/>
      <c r="B21" s="298">
        <v>1.6</v>
      </c>
      <c r="C21" s="303">
        <f t="shared" ref="C21:P21" si="11">C46-C46*10/100</f>
        <v>21.035396250000005</v>
      </c>
      <c r="D21" s="300">
        <f t="shared" si="11"/>
        <v>22.820217749999998</v>
      </c>
      <c r="E21" s="300">
        <f t="shared" si="11"/>
        <v>24.477552000000003</v>
      </c>
      <c r="F21" s="300">
        <f t="shared" si="11"/>
        <v>26.007398999999999</v>
      </c>
      <c r="G21" s="300">
        <f t="shared" si="11"/>
        <v>27.792220500000006</v>
      </c>
      <c r="H21" s="300">
        <f t="shared" si="11"/>
        <v>29.449554750000001</v>
      </c>
      <c r="I21" s="300">
        <f t="shared" si="11"/>
        <v>31.234376250000004</v>
      </c>
      <c r="J21" s="300">
        <f t="shared" si="11"/>
        <v>32.764223249999993</v>
      </c>
      <c r="K21" s="300">
        <f t="shared" si="11"/>
        <v>34.421557499999999</v>
      </c>
      <c r="L21" s="300">
        <f t="shared" si="11"/>
        <v>36.206379000000005</v>
      </c>
      <c r="M21" s="300">
        <f t="shared" si="11"/>
        <v>37.863713250000004</v>
      </c>
      <c r="N21" s="300">
        <f t="shared" si="11"/>
        <v>39.39356025</v>
      </c>
      <c r="O21" s="300">
        <f t="shared" si="11"/>
        <v>41.17838175</v>
      </c>
      <c r="P21" s="304">
        <f t="shared" si="11"/>
        <v>42.835716000000012</v>
      </c>
    </row>
    <row r="22" spans="1:16">
      <c r="A22" s="1538"/>
      <c r="B22" s="298">
        <v>1.7</v>
      </c>
      <c r="C22" s="303">
        <f t="shared" ref="C22:P22" si="12">C47-C47*10/100</f>
        <v>21.417858000000006</v>
      </c>
      <c r="D22" s="300">
        <f t="shared" si="12"/>
        <v>23.202679499999999</v>
      </c>
      <c r="E22" s="300">
        <f t="shared" si="12"/>
        <v>24.987501000000002</v>
      </c>
      <c r="F22" s="300">
        <f t="shared" si="12"/>
        <v>26.64483525</v>
      </c>
      <c r="G22" s="300">
        <f t="shared" si="12"/>
        <v>28.429656750000007</v>
      </c>
      <c r="H22" s="300">
        <f t="shared" si="12"/>
        <v>30.214478250000003</v>
      </c>
      <c r="I22" s="300">
        <f t="shared" si="12"/>
        <v>31.999299749999999</v>
      </c>
      <c r="J22" s="300">
        <f t="shared" si="12"/>
        <v>33.656633999999997</v>
      </c>
      <c r="K22" s="300">
        <f t="shared" si="12"/>
        <v>35.441455500000011</v>
      </c>
      <c r="L22" s="300">
        <f t="shared" si="12"/>
        <v>37.226276999999996</v>
      </c>
      <c r="M22" s="300">
        <f t="shared" si="12"/>
        <v>39.011098500000003</v>
      </c>
      <c r="N22" s="300">
        <f t="shared" si="12"/>
        <v>40.668432750000001</v>
      </c>
      <c r="O22" s="300">
        <f t="shared" si="12"/>
        <v>42.453254250000008</v>
      </c>
      <c r="P22" s="304">
        <f t="shared" si="12"/>
        <v>44.238075750000014</v>
      </c>
    </row>
    <row r="23" spans="1:16">
      <c r="A23" s="1538"/>
      <c r="B23" s="298">
        <v>1.8</v>
      </c>
      <c r="C23" s="303">
        <f t="shared" ref="C23:P23" si="13">C48-C48*10/100</f>
        <v>21.800319750000003</v>
      </c>
      <c r="D23" s="300">
        <f t="shared" si="13"/>
        <v>23.585141250000003</v>
      </c>
      <c r="E23" s="300">
        <f t="shared" si="13"/>
        <v>25.369962749999999</v>
      </c>
      <c r="F23" s="300">
        <f t="shared" si="13"/>
        <v>27.282271500000004</v>
      </c>
      <c r="G23" s="300">
        <f t="shared" si="13"/>
        <v>29.194580250000008</v>
      </c>
      <c r="H23" s="300">
        <f t="shared" si="13"/>
        <v>30.851914499999999</v>
      </c>
      <c r="I23" s="300">
        <f t="shared" si="13"/>
        <v>32.764223249999993</v>
      </c>
      <c r="J23" s="300">
        <f t="shared" si="13"/>
        <v>34.676532000000009</v>
      </c>
      <c r="K23" s="300">
        <f t="shared" si="13"/>
        <v>36.461353500000001</v>
      </c>
      <c r="L23" s="300">
        <f t="shared" si="13"/>
        <v>38.246175000000001</v>
      </c>
      <c r="M23" s="300">
        <f t="shared" si="13"/>
        <v>40.030996500000001</v>
      </c>
      <c r="N23" s="300">
        <f t="shared" si="13"/>
        <v>41.943305250000002</v>
      </c>
      <c r="O23" s="300">
        <f t="shared" si="13"/>
        <v>43.855614000000003</v>
      </c>
      <c r="P23" s="304">
        <f t="shared" si="13"/>
        <v>45.512948250000001</v>
      </c>
    </row>
    <row r="24" spans="1:16">
      <c r="A24" s="1538"/>
      <c r="B24" s="298">
        <v>1.9</v>
      </c>
      <c r="C24" s="303">
        <f t="shared" ref="C24:P24" si="14">C49-C49*10/100</f>
        <v>22.437756000000004</v>
      </c>
      <c r="D24" s="300">
        <f t="shared" si="14"/>
        <v>24.477552000000003</v>
      </c>
      <c r="E24" s="300">
        <f t="shared" si="14"/>
        <v>26.517348000000005</v>
      </c>
      <c r="F24" s="300">
        <f t="shared" si="14"/>
        <v>28.429656750000007</v>
      </c>
      <c r="G24" s="300">
        <f t="shared" si="14"/>
        <v>30.341965500000001</v>
      </c>
      <c r="H24" s="300">
        <f t="shared" si="14"/>
        <v>32.381761499999996</v>
      </c>
      <c r="I24" s="300">
        <f t="shared" si="14"/>
        <v>34.294070250000004</v>
      </c>
      <c r="J24" s="300">
        <f t="shared" si="14"/>
        <v>36.33386625</v>
      </c>
      <c r="K24" s="300">
        <f t="shared" si="14"/>
        <v>38.37366225000001</v>
      </c>
      <c r="L24" s="300">
        <f t="shared" si="14"/>
        <v>40.413458250000012</v>
      </c>
      <c r="M24" s="300">
        <f t="shared" si="14"/>
        <v>42.198279750000005</v>
      </c>
      <c r="N24" s="300">
        <f t="shared" si="14"/>
        <v>44.238075750000014</v>
      </c>
      <c r="O24" s="300">
        <f t="shared" si="14"/>
        <v>46.277871750000003</v>
      </c>
      <c r="P24" s="304">
        <f t="shared" si="14"/>
        <v>48.317667750000005</v>
      </c>
    </row>
    <row r="25" spans="1:16">
      <c r="A25" s="1538"/>
      <c r="B25" s="298">
        <v>2</v>
      </c>
      <c r="C25" s="303">
        <f t="shared" ref="C25:P25" si="15">C50-C50*10/100</f>
        <v>22.820217749999998</v>
      </c>
      <c r="D25" s="300">
        <f t="shared" si="15"/>
        <v>24.987501000000002</v>
      </c>
      <c r="E25" s="300">
        <f t="shared" si="15"/>
        <v>27.027297000000001</v>
      </c>
      <c r="F25" s="300">
        <f t="shared" si="15"/>
        <v>28.939605750000002</v>
      </c>
      <c r="G25" s="300">
        <f t="shared" si="15"/>
        <v>30.979401749999997</v>
      </c>
      <c r="H25" s="300">
        <f t="shared" si="15"/>
        <v>33.019197750000004</v>
      </c>
      <c r="I25" s="300">
        <f t="shared" si="15"/>
        <v>35.186481000000001</v>
      </c>
      <c r="J25" s="300">
        <f t="shared" si="15"/>
        <v>37.226276999999996</v>
      </c>
      <c r="K25" s="300">
        <f t="shared" si="15"/>
        <v>39.266073000000006</v>
      </c>
      <c r="L25" s="300">
        <f t="shared" si="15"/>
        <v>41.305869000000008</v>
      </c>
      <c r="M25" s="300">
        <f t="shared" si="15"/>
        <v>43.473152250000012</v>
      </c>
      <c r="N25" s="300">
        <f t="shared" si="15"/>
        <v>45.512948250000001</v>
      </c>
      <c r="O25" s="300">
        <f t="shared" si="15"/>
        <v>47.552744250000003</v>
      </c>
      <c r="P25" s="304">
        <f t="shared" si="15"/>
        <v>49.592540249999999</v>
      </c>
    </row>
    <row r="26" spans="1:16">
      <c r="A26" s="1538"/>
      <c r="B26" s="298">
        <v>2.1</v>
      </c>
      <c r="C26" s="303">
        <f t="shared" ref="C26:P26" si="16">C51-C51*10/100</f>
        <v>23.202679499999999</v>
      </c>
      <c r="D26" s="300">
        <f t="shared" si="16"/>
        <v>25.242475500000005</v>
      </c>
      <c r="E26" s="300">
        <f t="shared" si="16"/>
        <v>27.409758750000002</v>
      </c>
      <c r="F26" s="300">
        <f t="shared" si="16"/>
        <v>29.577042000000006</v>
      </c>
      <c r="G26" s="300">
        <f t="shared" si="16"/>
        <v>31.616838000000008</v>
      </c>
      <c r="H26" s="300">
        <f t="shared" si="16"/>
        <v>33.784121250000005</v>
      </c>
      <c r="I26" s="300">
        <f t="shared" si="16"/>
        <v>36.078891749999997</v>
      </c>
      <c r="J26" s="300">
        <f t="shared" si="16"/>
        <v>38.246175000000001</v>
      </c>
      <c r="K26" s="300">
        <f t="shared" si="16"/>
        <v>40.285971000000004</v>
      </c>
      <c r="L26" s="300">
        <f t="shared" si="16"/>
        <v>42.453254250000008</v>
      </c>
      <c r="M26" s="300">
        <f t="shared" si="16"/>
        <v>44.620537500000012</v>
      </c>
      <c r="N26" s="300">
        <f t="shared" si="16"/>
        <v>46.660333500000007</v>
      </c>
      <c r="O26" s="300">
        <f t="shared" si="16"/>
        <v>48.827616749999997</v>
      </c>
      <c r="P26" s="304">
        <f t="shared" si="16"/>
        <v>50.994900000000001</v>
      </c>
    </row>
    <row r="27" spans="1:16">
      <c r="A27" s="1538"/>
      <c r="B27" s="298">
        <v>2.2000000000000002</v>
      </c>
      <c r="C27" s="303">
        <f t="shared" ref="C27:P27" si="17">C52-C52*10/100</f>
        <v>23.585141250000003</v>
      </c>
      <c r="D27" s="300">
        <f t="shared" si="17"/>
        <v>25.7524245</v>
      </c>
      <c r="E27" s="300">
        <f t="shared" si="17"/>
        <v>27.919707749999997</v>
      </c>
      <c r="F27" s="300">
        <f t="shared" si="17"/>
        <v>30.086991000000005</v>
      </c>
      <c r="G27" s="300">
        <f t="shared" si="17"/>
        <v>32.381761499999996</v>
      </c>
      <c r="H27" s="300">
        <f t="shared" si="17"/>
        <v>34.676532000000009</v>
      </c>
      <c r="I27" s="300">
        <f t="shared" si="17"/>
        <v>36.843815249999992</v>
      </c>
      <c r="J27" s="300">
        <f t="shared" si="17"/>
        <v>39.011098500000003</v>
      </c>
      <c r="K27" s="300">
        <f t="shared" si="17"/>
        <v>41.17838175</v>
      </c>
      <c r="L27" s="300">
        <f t="shared" si="17"/>
        <v>43.473152250000012</v>
      </c>
      <c r="M27" s="300">
        <f t="shared" si="17"/>
        <v>45.640435499999995</v>
      </c>
      <c r="N27" s="300">
        <f t="shared" si="17"/>
        <v>47.807718750000006</v>
      </c>
      <c r="O27" s="300">
        <f t="shared" si="17"/>
        <v>50.102489250000005</v>
      </c>
      <c r="P27" s="304">
        <f t="shared" si="17"/>
        <v>52.269772500000002</v>
      </c>
    </row>
    <row r="28" spans="1:16">
      <c r="A28" s="1538"/>
      <c r="B28" s="298">
        <v>2.2999999999999998</v>
      </c>
      <c r="C28" s="303">
        <f t="shared" ref="C28:P28" si="18">C53-C53*10/100</f>
        <v>23.840115749999999</v>
      </c>
      <c r="D28" s="300">
        <f t="shared" si="18"/>
        <v>26.134886250000001</v>
      </c>
      <c r="E28" s="300">
        <f t="shared" si="18"/>
        <v>28.557144000000001</v>
      </c>
      <c r="F28" s="300">
        <f t="shared" si="18"/>
        <v>30.724427250000002</v>
      </c>
      <c r="G28" s="300">
        <f t="shared" si="18"/>
        <v>33.019197750000004</v>
      </c>
      <c r="H28" s="300">
        <f t="shared" si="18"/>
        <v>35.441455500000011</v>
      </c>
      <c r="I28" s="300">
        <f t="shared" si="18"/>
        <v>37.608738750000001</v>
      </c>
      <c r="J28" s="300">
        <f t="shared" si="18"/>
        <v>39.903509250000006</v>
      </c>
      <c r="K28" s="300">
        <f t="shared" si="18"/>
        <v>42.198279750000005</v>
      </c>
      <c r="L28" s="300">
        <f t="shared" si="18"/>
        <v>44.493050250000003</v>
      </c>
      <c r="M28" s="300">
        <f t="shared" si="18"/>
        <v>46.787820750000009</v>
      </c>
      <c r="N28" s="300">
        <f t="shared" si="18"/>
        <v>49.082591250000007</v>
      </c>
      <c r="O28" s="300">
        <f t="shared" si="18"/>
        <v>51.249874500000011</v>
      </c>
      <c r="P28" s="304">
        <f t="shared" si="18"/>
        <v>53.672132250000004</v>
      </c>
    </row>
    <row r="29" spans="1:16">
      <c r="A29" s="1538"/>
      <c r="B29" s="298">
        <v>2.4</v>
      </c>
      <c r="C29" s="303">
        <f t="shared" ref="C29:P29" si="19">C54-C54*10/100</f>
        <v>24.2225775</v>
      </c>
      <c r="D29" s="300">
        <f t="shared" si="19"/>
        <v>26.64483525</v>
      </c>
      <c r="E29" s="300">
        <f t="shared" si="19"/>
        <v>28.939605750000002</v>
      </c>
      <c r="F29" s="300">
        <f t="shared" si="19"/>
        <v>31.361863500000009</v>
      </c>
      <c r="G29" s="300">
        <f t="shared" si="19"/>
        <v>33.656633999999997</v>
      </c>
      <c r="H29" s="300">
        <f t="shared" si="19"/>
        <v>36.078891749999997</v>
      </c>
      <c r="I29" s="300">
        <f t="shared" si="19"/>
        <v>38.501149499999997</v>
      </c>
      <c r="J29" s="300">
        <f t="shared" si="19"/>
        <v>40.795920000000002</v>
      </c>
      <c r="K29" s="300">
        <f t="shared" si="19"/>
        <v>43.218177750000002</v>
      </c>
      <c r="L29" s="300">
        <f t="shared" si="19"/>
        <v>45.512948250000001</v>
      </c>
      <c r="M29" s="300">
        <f t="shared" si="19"/>
        <v>47.807718750000006</v>
      </c>
      <c r="N29" s="300">
        <f t="shared" si="19"/>
        <v>50.229976500000006</v>
      </c>
      <c r="O29" s="300">
        <f t="shared" si="19"/>
        <v>52.652234250000006</v>
      </c>
      <c r="P29" s="304">
        <f t="shared" si="19"/>
        <v>55.074492000000014</v>
      </c>
    </row>
    <row r="30" spans="1:16">
      <c r="A30" s="1538"/>
      <c r="B30" s="298">
        <v>2.5</v>
      </c>
      <c r="C30" s="303">
        <f t="shared" ref="C30:P30" si="20">C55-C55*10/100</f>
        <v>24.605039250000001</v>
      </c>
      <c r="D30" s="300">
        <f t="shared" si="20"/>
        <v>27.027297000000001</v>
      </c>
      <c r="E30" s="300">
        <f t="shared" si="20"/>
        <v>29.449554750000001</v>
      </c>
      <c r="F30" s="300">
        <f t="shared" si="20"/>
        <v>31.999299749999999</v>
      </c>
      <c r="G30" s="300">
        <f t="shared" si="20"/>
        <v>34.294070250000004</v>
      </c>
      <c r="H30" s="300">
        <f t="shared" si="20"/>
        <v>36.843815249999992</v>
      </c>
      <c r="I30" s="300">
        <f t="shared" si="20"/>
        <v>39.266073000000006</v>
      </c>
      <c r="J30" s="300">
        <f t="shared" si="20"/>
        <v>41.688330750000013</v>
      </c>
      <c r="K30" s="300">
        <f t="shared" si="20"/>
        <v>44.110588500000006</v>
      </c>
      <c r="L30" s="300">
        <f t="shared" si="20"/>
        <v>46.660333500000007</v>
      </c>
      <c r="M30" s="300">
        <f t="shared" si="20"/>
        <v>48.955104000000006</v>
      </c>
      <c r="N30" s="300">
        <f t="shared" si="20"/>
        <v>51.504849</v>
      </c>
      <c r="O30" s="300">
        <f t="shared" si="20"/>
        <v>53.927106750000007</v>
      </c>
      <c r="P30" s="304">
        <f t="shared" si="20"/>
        <v>56.349364500000014</v>
      </c>
    </row>
    <row r="31" spans="1:16" ht="13.8" thickBot="1">
      <c r="A31" s="1539"/>
      <c r="B31" s="299">
        <v>2.5499999999999998</v>
      </c>
      <c r="C31" s="305">
        <f t="shared" ref="C31:P31" si="21">C56-C56*10/100</f>
        <v>24.987501000000002</v>
      </c>
      <c r="D31" s="306">
        <f t="shared" si="21"/>
        <v>27.409758750000002</v>
      </c>
      <c r="E31" s="306">
        <f t="shared" si="21"/>
        <v>29.959503750000003</v>
      </c>
      <c r="F31" s="306">
        <f t="shared" si="21"/>
        <v>32.381761499999996</v>
      </c>
      <c r="G31" s="306">
        <f t="shared" si="21"/>
        <v>35.058993750000006</v>
      </c>
      <c r="H31" s="306">
        <f t="shared" si="21"/>
        <v>37.608738750000001</v>
      </c>
      <c r="I31" s="306">
        <f t="shared" si="21"/>
        <v>40.030996500000001</v>
      </c>
      <c r="J31" s="306">
        <f t="shared" si="21"/>
        <v>42.580741500000002</v>
      </c>
      <c r="K31" s="306">
        <f t="shared" si="21"/>
        <v>45.002999250000002</v>
      </c>
      <c r="L31" s="306">
        <f t="shared" si="21"/>
        <v>47.552744250000003</v>
      </c>
      <c r="M31" s="306">
        <f t="shared" si="21"/>
        <v>50.229976500000006</v>
      </c>
      <c r="N31" s="306">
        <f t="shared" si="21"/>
        <v>52.652234250000006</v>
      </c>
      <c r="O31" s="306">
        <f t="shared" si="21"/>
        <v>55.201979250000001</v>
      </c>
      <c r="P31" s="307">
        <f t="shared" si="21"/>
        <v>57.751724249999995</v>
      </c>
    </row>
    <row r="32" spans="1:16" ht="13.8" thickBot="1">
      <c r="A32" s="385"/>
      <c r="B32" s="385"/>
      <c r="C32" s="385"/>
      <c r="D32" s="385"/>
      <c r="E32" s="385"/>
      <c r="F32" s="385"/>
      <c r="G32" s="385"/>
      <c r="H32" s="385"/>
      <c r="I32" s="385"/>
      <c r="J32" s="385"/>
      <c r="K32" s="385"/>
      <c r="L32" s="385"/>
      <c r="M32" s="385"/>
      <c r="N32" s="385"/>
      <c r="O32" s="385"/>
      <c r="P32" s="385"/>
    </row>
    <row r="33" spans="1:16" ht="13.8" thickBot="1">
      <c r="A33" s="1413" t="s">
        <v>314</v>
      </c>
      <c r="B33" s="1542"/>
      <c r="C33" s="1534" t="s">
        <v>207</v>
      </c>
      <c r="D33" s="1535"/>
      <c r="E33" s="1535"/>
      <c r="F33" s="1535"/>
      <c r="G33" s="1535"/>
      <c r="H33" s="1535"/>
      <c r="I33" s="1535"/>
      <c r="J33" s="1535"/>
      <c r="K33" s="1535"/>
      <c r="L33" s="1535"/>
      <c r="M33" s="1535"/>
      <c r="N33" s="1535"/>
      <c r="O33" s="1535"/>
      <c r="P33" s="1536"/>
    </row>
    <row r="34" spans="1:16" ht="13.8" thickBot="1">
      <c r="A34" s="1543"/>
      <c r="B34" s="1544"/>
      <c r="C34" s="389">
        <v>0.4</v>
      </c>
      <c r="D34" s="389">
        <v>0.5</v>
      </c>
      <c r="E34" s="389">
        <v>0.6</v>
      </c>
      <c r="F34" s="389">
        <v>0.7</v>
      </c>
      <c r="G34" s="389">
        <v>0.8</v>
      </c>
      <c r="H34" s="389">
        <v>0.9</v>
      </c>
      <c r="I34" s="389">
        <v>1</v>
      </c>
      <c r="J34" s="389">
        <v>1.1000000000000001</v>
      </c>
      <c r="K34" s="389">
        <v>1.2</v>
      </c>
      <c r="L34" s="389">
        <v>1.3</v>
      </c>
      <c r="M34" s="389">
        <v>1.4</v>
      </c>
      <c r="N34" s="389">
        <v>1.5</v>
      </c>
      <c r="O34" s="389">
        <v>1.6</v>
      </c>
      <c r="P34" s="390">
        <v>1.7</v>
      </c>
    </row>
    <row r="35" spans="1:16">
      <c r="A35" s="1537" t="s">
        <v>3</v>
      </c>
      <c r="B35" s="297">
        <v>0.5</v>
      </c>
      <c r="C35" s="274">
        <f>'Рулонные СТАНДАРТ'!C34+'Рулонные СТАНДАРТ'!C34*1/100</f>
        <v>19.1230875</v>
      </c>
      <c r="D35" s="301">
        <f>'Рулонные СТАНДАРТ'!D34+'Рулонные СТАНДАРТ'!D34*1/100</f>
        <v>19.9730025</v>
      </c>
      <c r="E35" s="301">
        <f>'Рулонные СТАНДАРТ'!E34+'Рулонные СТАНДАРТ'!E34*1/100</f>
        <v>20.964570000000002</v>
      </c>
      <c r="F35" s="301">
        <f>'Рулонные СТАНДАРТ'!F34+'Рулонные СТАНДАРТ'!F34*1/100</f>
        <v>21.814485000000005</v>
      </c>
      <c r="G35" s="301">
        <f>'Рулонные СТАНДАРТ'!G34+'Рулонные СТАНДАРТ'!G34*1/100</f>
        <v>22.806052500000003</v>
      </c>
      <c r="H35" s="301">
        <f>'Рулонные СТАНДАРТ'!H34+'Рулонные СТАНДАРТ'!H34*1/100</f>
        <v>23.797620000000006</v>
      </c>
      <c r="I35" s="301">
        <f>'Рулонные СТАНДАРТ'!I34+'Рулонные СТАНДАРТ'!I34*1/100</f>
        <v>24.647534999999998</v>
      </c>
      <c r="J35" s="301">
        <f>'Рулонные СТАНДАРТ'!J34+'Рулонные СТАНДАРТ'!J34*1/100</f>
        <v>25.639102500000007</v>
      </c>
      <c r="K35" s="301">
        <f>'Рулонные СТАНДАРТ'!K34+'Рулонные СТАНДАРТ'!K34*1/100</f>
        <v>26.489017499999999</v>
      </c>
      <c r="L35" s="301">
        <f>'Рулонные СТАНДАРТ'!L34+'Рулонные СТАНДАРТ'!L34*1/100</f>
        <v>27.338932500000002</v>
      </c>
      <c r="M35" s="301">
        <f>'Рулонные СТАНДАРТ'!M34+'Рулонные СТАНДАРТ'!M34*1/100</f>
        <v>28.472152500000007</v>
      </c>
      <c r="N35" s="301">
        <f>'Рулонные СТАНДАРТ'!N34+'Рулонные СТАНДАРТ'!N34*1/100</f>
        <v>29.322067500000006</v>
      </c>
      <c r="O35" s="301">
        <f>'Рулонные СТАНДАРТ'!O34+'Рулонные СТАНДАРТ'!O34*1/100</f>
        <v>30.313635000000005</v>
      </c>
      <c r="P35" s="302">
        <f>'Рулонные СТАНДАРТ'!P34+'Рулонные СТАНДАРТ'!P34*1/100</f>
        <v>31.163550000000004</v>
      </c>
    </row>
    <row r="36" spans="1:16">
      <c r="A36" s="1538"/>
      <c r="B36" s="298">
        <v>0.6</v>
      </c>
      <c r="C36" s="303">
        <f>'Рулонные СТАНДАРТ'!C35+'Рулонные СТАНДАРТ'!C35*1/100</f>
        <v>19.406392500000003</v>
      </c>
      <c r="D36" s="300">
        <f>'Рулонные СТАНДАРТ'!D35+'Рулонные СТАНДАРТ'!D35*1/100</f>
        <v>20.397960000000001</v>
      </c>
      <c r="E36" s="300">
        <f>'Рулонные СТАНДАРТ'!E35+'Рулонные СТАНДАРТ'!E35*1/100</f>
        <v>21.531180000000003</v>
      </c>
      <c r="F36" s="300">
        <f>'Рулонные СТАНДАРТ'!F35+'Рулонные СТАНДАРТ'!F35*1/100</f>
        <v>22.522747500000005</v>
      </c>
      <c r="G36" s="300">
        <f>'Рулонные СТАНДАРТ'!G35+'Рулонные СТАНДАРТ'!G35*1/100</f>
        <v>23.514315000000003</v>
      </c>
      <c r="H36" s="300">
        <f>'Рулонные СТАНДАРТ'!H35+'Рулонные СТАНДАРТ'!H35*1/100</f>
        <v>24.647534999999998</v>
      </c>
      <c r="I36" s="300">
        <f>'Рулонные СТАНДАРТ'!I35+'Рулонные СТАНДАРТ'!I35*1/100</f>
        <v>25.639102500000007</v>
      </c>
      <c r="J36" s="300">
        <f>'Рулонные СТАНДАРТ'!J35+'Рулонные СТАНДАРТ'!J35*1/100</f>
        <v>26.489017499999999</v>
      </c>
      <c r="K36" s="300">
        <f>'Рулонные СТАНДАРТ'!K35+'Рулонные СТАНДАРТ'!K35*1/100</f>
        <v>27.480585000000001</v>
      </c>
      <c r="L36" s="300">
        <f>'Рулонные СТАНДАРТ'!L35+'Рулонные СТАНДАРТ'!L35*1/100</f>
        <v>28.613804999999999</v>
      </c>
      <c r="M36" s="300">
        <f>'Рулонные СТАНДАРТ'!M35+'Рулонные СТАНДАРТ'!M35*1/100</f>
        <v>29.605372499999998</v>
      </c>
      <c r="N36" s="300">
        <f>'Рулонные СТАНДАРТ'!N35+'Рулонные СТАНДАРТ'!N35*1/100</f>
        <v>30.596940000000007</v>
      </c>
      <c r="O36" s="300">
        <f>'Рулонные СТАНДАРТ'!O35+'Рулонные СТАНДАРТ'!O35*1/100</f>
        <v>31.730160000000001</v>
      </c>
      <c r="P36" s="304">
        <f>'Рулонные СТАНДАРТ'!P35+'Рулонные СТАНДАРТ'!P35*1/100</f>
        <v>32.7217275</v>
      </c>
    </row>
    <row r="37" spans="1:16">
      <c r="A37" s="1538"/>
      <c r="B37" s="298">
        <v>0.7</v>
      </c>
      <c r="C37" s="303">
        <f>'Рулонные СТАНДАРТ'!C36+'Рулонные СТАНДАРТ'!C36*1/100</f>
        <v>19.9730025</v>
      </c>
      <c r="D37" s="300">
        <f>'Рулонные СТАНДАРТ'!D36+'Рулонные СТАНДАРТ'!D36*1/100</f>
        <v>20.964570000000002</v>
      </c>
      <c r="E37" s="300">
        <f>'Рулонные СТАНДАРТ'!E36+'Рулонные СТАНДАРТ'!E36*1/100</f>
        <v>21.956137500000001</v>
      </c>
      <c r="F37" s="300">
        <f>'Рулонные СТАНДАРТ'!F36+'Рулонные СТАНДАРТ'!F36*1/100</f>
        <v>23.231009999999998</v>
      </c>
      <c r="G37" s="300">
        <f>'Рулонные СТАНДАРТ'!G36+'Рулонные СТАНДАРТ'!G36*1/100</f>
        <v>24.222577500000003</v>
      </c>
      <c r="H37" s="300">
        <f>'Рулонные СТАНДАРТ'!H36+'Рулонные СТАНДАРТ'!H36*1/100</f>
        <v>25.355797499999998</v>
      </c>
      <c r="I37" s="300">
        <f>'Рулонные СТАНДАРТ'!I36+'Рулонные СТАНДАРТ'!I36*1/100</f>
        <v>26.489017499999999</v>
      </c>
      <c r="J37" s="300">
        <f>'Рулонные СТАНДАРТ'!J36+'Рулонные СТАНДАРТ'!J36*1/100</f>
        <v>27.480585000000001</v>
      </c>
      <c r="K37" s="300">
        <f>'Рулонные СТАНДАРТ'!K36+'Рулонные СТАНДАРТ'!K36*1/100</f>
        <v>28.613804999999999</v>
      </c>
      <c r="L37" s="300">
        <f>'Рулонные СТАНДАРТ'!L36+'Рулонные СТАНДАРТ'!L36*1/100</f>
        <v>29.747025000000004</v>
      </c>
      <c r="M37" s="300">
        <f>'Рулонные СТАНДАРТ'!M36+'Рулонные СТАНДАРТ'!M36*1/100</f>
        <v>30.880245000000006</v>
      </c>
      <c r="N37" s="300">
        <f>'Рулонные СТАНДАРТ'!N36+'Рулонные СТАНДАРТ'!N36*1/100</f>
        <v>32.013465000000011</v>
      </c>
      <c r="O37" s="300">
        <f>'Рулонные СТАНДАРТ'!O36+'Рулонные СТАНДАРТ'!O36*1/100</f>
        <v>33.146684999999998</v>
      </c>
      <c r="P37" s="304">
        <f>'Рулонные СТАНДАРТ'!P36+'Рулонные СТАНДАРТ'!P36*1/100</f>
        <v>34.1382525</v>
      </c>
    </row>
    <row r="38" spans="1:16">
      <c r="A38" s="1538"/>
      <c r="B38" s="298">
        <v>0.8</v>
      </c>
      <c r="C38" s="303">
        <f>'Рулонные СТАНДАРТ'!C37+'Рулонные СТАНДАРТ'!C37*1/100</f>
        <v>20.256307500000002</v>
      </c>
      <c r="D38" s="300">
        <f>'Рулонные СТАНДАРТ'!D37+'Рулонные СТАНДАРТ'!D37*1/100</f>
        <v>21.531180000000003</v>
      </c>
      <c r="E38" s="300">
        <f>'Рулонные СТАНДАРТ'!E37+'Рулонные СТАНДАРТ'!E37*1/100</f>
        <v>22.664400000000001</v>
      </c>
      <c r="F38" s="300">
        <f>'Рулонные СТАНДАРТ'!F37+'Рулонные СТАНДАРТ'!F37*1/100</f>
        <v>23.797620000000006</v>
      </c>
      <c r="G38" s="300">
        <f>'Рулонные СТАНДАРТ'!G37+'Рулонные СТАНДАРТ'!G37*1/100</f>
        <v>24.930840000000003</v>
      </c>
      <c r="H38" s="300">
        <f>'Рулонные СТАНДАРТ'!H37+'Рулонные СТАНДАРТ'!H37*1/100</f>
        <v>26.205712500000004</v>
      </c>
      <c r="I38" s="300">
        <f>'Рулонные СТАНДАРТ'!I37+'Рулонные СТАНДАРТ'!I37*1/100</f>
        <v>27.338932500000002</v>
      </c>
      <c r="J38" s="300">
        <f>'Рулонные СТАНДАРТ'!J37+'Рулонные СТАНДАРТ'!J37*1/100</f>
        <v>28.613804999999999</v>
      </c>
      <c r="K38" s="300">
        <f>'Рулонные СТАНДАРТ'!K37+'Рулонные СТАНДАРТ'!K37*1/100</f>
        <v>29.747025000000004</v>
      </c>
      <c r="L38" s="300">
        <f>'Рулонные СТАНДАРТ'!L37+'Рулонные СТАНДАРТ'!L37*1/100</f>
        <v>30.880245000000006</v>
      </c>
      <c r="M38" s="300">
        <f>'Рулонные СТАНДАРТ'!M37+'Рулонные СТАНДАРТ'!M37*1/100</f>
        <v>32.013465000000011</v>
      </c>
      <c r="N38" s="300">
        <f>'Рулонные СТАНДАРТ'!N37+'Рулонные СТАНДАРТ'!N37*1/100</f>
        <v>33.288337500000004</v>
      </c>
      <c r="O38" s="300">
        <f>'Рулонные СТАНДАРТ'!O37+'Рулонные СТАНДАРТ'!O37*1/100</f>
        <v>34.421557499999999</v>
      </c>
      <c r="P38" s="304">
        <f>'Рулонные СТАНДАРТ'!P37+'Рулонные СТАНДАРТ'!P37*1/100</f>
        <v>35.696430000000007</v>
      </c>
    </row>
    <row r="39" spans="1:16">
      <c r="A39" s="1538"/>
      <c r="B39" s="298">
        <v>0.9</v>
      </c>
      <c r="C39" s="303">
        <f>'Рулонные СТАНДАРТ'!C38+'Рулонные СТАНДАРТ'!C38*1/100</f>
        <v>20.681265</v>
      </c>
      <c r="D39" s="300">
        <f>'Рулонные СТАНДАРТ'!D38+'Рулонные СТАНДАРТ'!D38*1/100</f>
        <v>21.814485000000005</v>
      </c>
      <c r="E39" s="300">
        <f>'Рулонные СТАНДАРТ'!E38+'Рулонные СТАНДАРТ'!E38*1/100</f>
        <v>23.231009999999998</v>
      </c>
      <c r="F39" s="300">
        <f>'Рулонные СТАНДАРТ'!F38+'Рулонные СТАНДАРТ'!F38*1/100</f>
        <v>24.364230000000003</v>
      </c>
      <c r="G39" s="300">
        <f>'Рулонные СТАНДАРТ'!G38+'Рулонные СТАНДАРТ'!G38*1/100</f>
        <v>25.639102500000007</v>
      </c>
      <c r="H39" s="300">
        <f>'Рулонные СТАНДАРТ'!H38+'Рулонные СТАНДАРТ'!H38*1/100</f>
        <v>27.055627500000007</v>
      </c>
      <c r="I39" s="300">
        <f>'Рулонные СТАНДАРТ'!I38+'Рулонные СТАНДАРТ'!I38*1/100</f>
        <v>28.188847500000001</v>
      </c>
      <c r="J39" s="300">
        <f>'Рулонные СТАНДАРТ'!J38+'Рулонные СТАНДАРТ'!J38*1/100</f>
        <v>29.463720000000006</v>
      </c>
      <c r="K39" s="300">
        <f>'Рулонные СТАНДАРТ'!K38+'Рулонные СТАНДАРТ'!K38*1/100</f>
        <v>30.880245000000006</v>
      </c>
      <c r="L39" s="300">
        <f>'Рулонные СТАНДАРТ'!L38+'Рулонные СТАНДАРТ'!L38*1/100</f>
        <v>32.013465000000011</v>
      </c>
      <c r="M39" s="300">
        <f>'Рулонные СТАНДАРТ'!M38+'Рулонные СТАНДАРТ'!M38*1/100</f>
        <v>33.429990000000004</v>
      </c>
      <c r="N39" s="300">
        <f>'Рулонные СТАНДАРТ'!N38+'Рулонные СТАНДАРТ'!N38*1/100</f>
        <v>34.704862500000004</v>
      </c>
      <c r="O39" s="300">
        <f>'Рулонные СТАНДАРТ'!O38+'Рулонные СТАНДАРТ'!O38*1/100</f>
        <v>35.838082500000006</v>
      </c>
      <c r="P39" s="304">
        <f>'Рулонные СТАНДАРТ'!P38+'Рулонные СТАНДАРТ'!P38*1/100</f>
        <v>37.254607499999999</v>
      </c>
    </row>
    <row r="40" spans="1:16">
      <c r="A40" s="1538"/>
      <c r="B40" s="298">
        <v>1</v>
      </c>
      <c r="C40" s="303">
        <f>'Рулонные СТАНДАРТ'!C39+'Рулонные СТАНДАРТ'!C39*1/100</f>
        <v>20.964570000000002</v>
      </c>
      <c r="D40" s="300">
        <f>'Рулонные СТАНДАРТ'!D39+'Рулонные СТАНДАРТ'!D39*1/100</f>
        <v>22.381095000000002</v>
      </c>
      <c r="E40" s="300">
        <f>'Рулонные СТАНДАРТ'!E39+'Рулонные СТАНДАРТ'!E39*1/100</f>
        <v>23.797620000000006</v>
      </c>
      <c r="F40" s="300">
        <f>'Рулонные СТАНДАРТ'!F39+'Рулонные СТАНДАРТ'!F39*1/100</f>
        <v>25.072492499999999</v>
      </c>
      <c r="G40" s="300">
        <f>'Рулонные СТАНДАРТ'!G39+'Рулонные СТАНДАРТ'!G39*1/100</f>
        <v>26.489017499999999</v>
      </c>
      <c r="H40" s="300">
        <f>'Рулонные СТАНДАРТ'!H39+'Рулонные СТАНДАРТ'!H39*1/100</f>
        <v>27.905542500000003</v>
      </c>
      <c r="I40" s="300">
        <f>'Рулонные СТАНДАРТ'!I39+'Рулонные СТАНДАРТ'!I39*1/100</f>
        <v>29.038762500000001</v>
      </c>
      <c r="J40" s="300">
        <f>'Рулонные СТАНДАРТ'!J39+'Рулонные СТАНДАРТ'!J39*1/100</f>
        <v>30.455287500000001</v>
      </c>
      <c r="K40" s="300">
        <f>'Рулонные СТАНДАРТ'!K39+'Рулонные СТАНДАРТ'!K39*1/100</f>
        <v>31.871812500000001</v>
      </c>
      <c r="L40" s="300">
        <f>'Рулонные СТАНДАРТ'!L39+'Рулонные СТАНДАРТ'!L39*1/100</f>
        <v>33.288337500000004</v>
      </c>
      <c r="M40" s="300">
        <f>'Рулонные СТАНДАРТ'!M39+'Рулонные СТАНДАРТ'!M39*1/100</f>
        <v>34.704862500000004</v>
      </c>
      <c r="N40" s="300">
        <f>'Рулонные СТАНДАРТ'!N39+'Рулонные СТАНДАРТ'!N39*1/100</f>
        <v>35.979734999999998</v>
      </c>
      <c r="O40" s="300">
        <f>'Рулонные СТАНДАРТ'!O39+'Рулонные СТАНДАРТ'!O39*1/100</f>
        <v>37.254607499999999</v>
      </c>
      <c r="P40" s="304">
        <f>'Рулонные СТАНДАРТ'!P39+'Рулонные СТАНДАРТ'!P39*1/100</f>
        <v>38.671132499999999</v>
      </c>
    </row>
    <row r="41" spans="1:16">
      <c r="A41" s="1538"/>
      <c r="B41" s="298">
        <v>1.1000000000000001</v>
      </c>
      <c r="C41" s="303">
        <f>'Рулонные СТАНДАРТ'!C40+'Рулонные СТАНДАРТ'!C40*1/100</f>
        <v>21.531180000000003</v>
      </c>
      <c r="D41" s="300">
        <f>'Рулонные СТАНДАРТ'!D40+'Рулонные СТАНДАРТ'!D40*1/100</f>
        <v>22.806052500000003</v>
      </c>
      <c r="E41" s="300">
        <f>'Рулонные СТАНДАРТ'!E40+'Рулонные СТАНДАРТ'!E40*1/100</f>
        <v>24.222577500000003</v>
      </c>
      <c r="F41" s="300">
        <f>'Рулонные СТАНДАРТ'!F40+'Рулонные СТАНДАРТ'!F40*1/100</f>
        <v>25.780754999999999</v>
      </c>
      <c r="G41" s="300">
        <f>'Рулонные СТАНДАРТ'!G40+'Рулонные СТАНДАРТ'!G40*1/100</f>
        <v>27.197280000000003</v>
      </c>
      <c r="H41" s="300">
        <f>'Рулонные СТАНДАРТ'!H40+'Рулонные СТАНДАРТ'!H40*1/100</f>
        <v>28.613804999999999</v>
      </c>
      <c r="I41" s="300">
        <f>'Рулонные СТАНДАРТ'!I40+'Рулонные СТАНДАРТ'!I40*1/100</f>
        <v>30.171982500000006</v>
      </c>
      <c r="J41" s="300">
        <f>'Рулонные СТАНДАРТ'!J40+'Рулонные СТАНДАРТ'!J40*1/100</f>
        <v>31.588507500000009</v>
      </c>
      <c r="K41" s="300">
        <f>'Рулонные СТАНДАРТ'!K40+'Рулонные СТАНДАРТ'!K40*1/100</f>
        <v>32.863380000000006</v>
      </c>
      <c r="L41" s="300">
        <f>'Рулонные СТАНДАРТ'!L40+'Рулонные СТАНДАРТ'!L40*1/100</f>
        <v>34.421557499999999</v>
      </c>
      <c r="M41" s="300">
        <f>'Рулонные СТАНДАРТ'!M40+'Рулонные СТАНДАРТ'!M40*1/100</f>
        <v>35.838082500000006</v>
      </c>
      <c r="N41" s="300">
        <f>'Рулонные СТАНДАРТ'!N40+'Рулонные СТАНДАРТ'!N40*1/100</f>
        <v>37.254607499999999</v>
      </c>
      <c r="O41" s="300">
        <f>'Рулонные СТАНДАРТ'!O40+'Рулонные СТАНДАРТ'!O40*1/100</f>
        <v>38.671132499999999</v>
      </c>
      <c r="P41" s="304">
        <f>'Рулонные СТАНДАРТ'!P40+'Рулонные СТАНДАРТ'!P40*1/100</f>
        <v>40.229310000000005</v>
      </c>
    </row>
    <row r="42" spans="1:16">
      <c r="A42" s="1538"/>
      <c r="B42" s="298">
        <v>1.2</v>
      </c>
      <c r="C42" s="303">
        <f>'Рулонные СТАНДАРТ'!C41+'Рулонные СТАНДАРТ'!C41*1/100</f>
        <v>21.814485000000005</v>
      </c>
      <c r="D42" s="300">
        <f>'Рулонные СТАНДАРТ'!D41+'Рулонные СТАНДАРТ'!D41*1/100</f>
        <v>23.372662500000004</v>
      </c>
      <c r="E42" s="300">
        <f>'Рулонные СТАНДАРТ'!E41+'Рулонные СТАНДАРТ'!E41*1/100</f>
        <v>24.930840000000003</v>
      </c>
      <c r="F42" s="300">
        <f>'Рулонные СТАНДАРТ'!F41+'Рулонные СТАНДАРТ'!F41*1/100</f>
        <v>26.347365000000003</v>
      </c>
      <c r="G42" s="300">
        <f>'Рулонные СТАНДАРТ'!G41+'Рулонные СТАНДАРТ'!G41*1/100</f>
        <v>27.905542500000003</v>
      </c>
      <c r="H42" s="300">
        <f>'Рулонные СТАНДАРТ'!H41+'Рулонные СТАНДАРТ'!H41*1/100</f>
        <v>29.463720000000006</v>
      </c>
      <c r="I42" s="300">
        <f>'Рулонные СТАНДАРТ'!I41+'Рулонные СТАНДАРТ'!I41*1/100</f>
        <v>31.021897499999998</v>
      </c>
      <c r="J42" s="300">
        <f>'Рулонные СТАНДАРТ'!J41+'Рулонные СТАНДАРТ'!J41*1/100</f>
        <v>32.580075000000008</v>
      </c>
      <c r="K42" s="300">
        <f>'Рулонные СТАНДАРТ'!K41+'Рулонные СТАНДАРТ'!K41*1/100</f>
        <v>33.996600000000001</v>
      </c>
      <c r="L42" s="300">
        <f>'Рулонные СТАНДАРТ'!L41+'Рулонные СТАНДАРТ'!L41*1/100</f>
        <v>35.5547775</v>
      </c>
      <c r="M42" s="300">
        <f>'Рулонные СТАНДАРТ'!M41+'Рулонные СТАНДАРТ'!M41*1/100</f>
        <v>37.112955000000007</v>
      </c>
      <c r="N42" s="300">
        <f>'Рулонные СТАНДАРТ'!N41+'Рулонные СТАНДАРТ'!N41*1/100</f>
        <v>38.671132499999999</v>
      </c>
      <c r="O42" s="300">
        <f>'Рулонные СТАНДАРТ'!O41+'Рулонные СТАНДАРТ'!O41*1/100</f>
        <v>40.229310000000005</v>
      </c>
      <c r="P42" s="304">
        <f>'Рулонные СТАНДАРТ'!P41+'Рулонные СТАНДАРТ'!P41*1/100</f>
        <v>41.645834999999998</v>
      </c>
    </row>
    <row r="43" spans="1:16">
      <c r="A43" s="1538"/>
      <c r="B43" s="298">
        <v>1.3</v>
      </c>
      <c r="C43" s="303">
        <f>'Рулонные СТАНДАРТ'!C42+'Рулонные СТАНДАРТ'!C42*1/100</f>
        <v>22.239442499999999</v>
      </c>
      <c r="D43" s="300">
        <f>'Рулонные СТАНДАРТ'!D42+'Рулонные СТАНДАРТ'!D42*1/100</f>
        <v>23.797620000000006</v>
      </c>
      <c r="E43" s="300">
        <f>'Рулонные СТАНДАРТ'!E42+'Рулонные СТАНДАРТ'!E42*1/100</f>
        <v>25.497450000000001</v>
      </c>
      <c r="F43" s="300">
        <f>'Рулонные СТАНДАРТ'!F42+'Рулонные СТАНДАРТ'!F42*1/100</f>
        <v>27.055627500000007</v>
      </c>
      <c r="G43" s="300">
        <f>'Рулонные СТАНДАРТ'!G42+'Рулонные СТАНДАРТ'!G42*1/100</f>
        <v>28.613804999999999</v>
      </c>
      <c r="H43" s="300">
        <f>'Рулонные СТАНДАРТ'!H42+'Рулонные СТАНДАРТ'!H42*1/100</f>
        <v>30.313635000000005</v>
      </c>
      <c r="I43" s="300">
        <f>'Рулонные СТАНДАРТ'!I42+'Рулонные СТАНДАРТ'!I42*1/100</f>
        <v>31.871812500000001</v>
      </c>
      <c r="J43" s="300">
        <f>'Рулонные СТАНДАРТ'!J42+'Рулонные СТАНДАРТ'!J42*1/100</f>
        <v>33.429990000000004</v>
      </c>
      <c r="K43" s="300">
        <f>'Рулонные СТАНДАРТ'!K42+'Рулонные СТАНДАРТ'!K42*1/100</f>
        <v>35.129820000000009</v>
      </c>
      <c r="L43" s="300">
        <f>'Рулонные СТАНДАРТ'!L42+'Рулонные СТАНДАРТ'!L42*1/100</f>
        <v>36.687997500000002</v>
      </c>
      <c r="M43" s="300">
        <f>'Рулонные СТАНДАРТ'!M42+'Рулонные СТАНДАРТ'!M42*1/100</f>
        <v>38.246175000000001</v>
      </c>
      <c r="N43" s="300">
        <f>'Рулонные СТАНДАРТ'!N42+'Рулонные СТАНДАРТ'!N42*1/100</f>
        <v>39.804352500000007</v>
      </c>
      <c r="O43" s="300">
        <f>'Рулонные СТАНДАРТ'!O42+'Рулонные СТАНДАРТ'!O42*1/100</f>
        <v>41.645834999999998</v>
      </c>
      <c r="P43" s="304">
        <f>'Рулонные СТАНДАРТ'!P42+'Рулонные СТАНДАРТ'!P42*1/100</f>
        <v>43.204012500000005</v>
      </c>
    </row>
    <row r="44" spans="1:16">
      <c r="A44" s="1538"/>
      <c r="B44" s="298">
        <v>1.4</v>
      </c>
      <c r="C44" s="303">
        <f>'Рулонные СТАНДАРТ'!C43+'Рулонные СТАНДАРТ'!C43*1/100</f>
        <v>22.522747500000005</v>
      </c>
      <c r="D44" s="300">
        <f>'Рулонные СТАНДАРТ'!D43+'Рулонные СТАНДАРТ'!D43*1/100</f>
        <v>24.222577500000003</v>
      </c>
      <c r="E44" s="300">
        <f>'Рулонные СТАНДАРТ'!E43+'Рулонные СТАНДАРТ'!E43*1/100</f>
        <v>25.922407500000002</v>
      </c>
      <c r="F44" s="300">
        <f>'Рулонные СТАНДАРТ'!F43+'Рулонные СТАНДАРТ'!F43*1/100</f>
        <v>27.763890000000004</v>
      </c>
      <c r="G44" s="300">
        <f>'Рулонные СТАНДАРТ'!G43+'Рулонные СТАНДАРТ'!G43*1/100</f>
        <v>29.463720000000006</v>
      </c>
      <c r="H44" s="300">
        <f>'Рулонные СТАНДАРТ'!H43+'Рулонные СТАНДАРТ'!H43*1/100</f>
        <v>31.021897499999998</v>
      </c>
      <c r="I44" s="300">
        <f>'Рулонные СТАНДАРТ'!I43+'Рулонные СТАНДАРТ'!I43*1/100</f>
        <v>32.7217275</v>
      </c>
      <c r="J44" s="300">
        <f>'Рулонные СТАНДАРТ'!J43+'Рулонные СТАНДАРТ'!J43*1/100</f>
        <v>34.421557499999999</v>
      </c>
      <c r="K44" s="300">
        <f>'Рулонные СТАНДАРТ'!K43+'Рулонные СТАНДАРТ'!K43*1/100</f>
        <v>36.263040000000004</v>
      </c>
      <c r="L44" s="300">
        <f>'Рулонные СТАНДАРТ'!L43+'Рулонные СТАНДАРТ'!L43*1/100</f>
        <v>37.962870000000002</v>
      </c>
      <c r="M44" s="300">
        <f>'Рулонные СТАНДАРТ'!M43+'Рулонные СТАНДАРТ'!M43*1/100</f>
        <v>39.521047500000002</v>
      </c>
      <c r="N44" s="300">
        <f>'Рулонные СТАНДАРТ'!N43+'Рулонные СТАНДАРТ'!N43*1/100</f>
        <v>41.220877500000007</v>
      </c>
      <c r="O44" s="300">
        <f>'Рулонные СТАНДАРТ'!O43+'Рулонные СТАНДАРТ'!O43*1/100</f>
        <v>42.920707499999999</v>
      </c>
      <c r="P44" s="304">
        <f>'Рулонные СТАНДАРТ'!P43+'Рулонные СТАНДАРТ'!P43*1/100</f>
        <v>44.762190000000004</v>
      </c>
    </row>
    <row r="45" spans="1:16">
      <c r="A45" s="1538"/>
      <c r="B45" s="298">
        <v>1.5</v>
      </c>
      <c r="C45" s="303">
        <f>'Рулонные СТАНДАРТ'!C44+'Рулонные СТАНДАРТ'!C44*1/100</f>
        <v>23.089357500000002</v>
      </c>
      <c r="D45" s="300">
        <f>'Рулонные СТАНДАРТ'!D44+'Рулонные СТАНДАРТ'!D44*1/100</f>
        <v>24.789187500000004</v>
      </c>
      <c r="E45" s="300">
        <f>'Рулонные СТАНДАРТ'!E44+'Рулонные СТАНДАРТ'!E44*1/100</f>
        <v>26.489017499999999</v>
      </c>
      <c r="F45" s="300">
        <f>'Рулонные СТАНДАРТ'!F44+'Рулонные СТАНДАРТ'!F44*1/100</f>
        <v>28.472152500000007</v>
      </c>
      <c r="G45" s="300">
        <f>'Рулонные СТАНДАРТ'!G44+'Рулонные СТАНДАРТ'!G44*1/100</f>
        <v>30.171982500000006</v>
      </c>
      <c r="H45" s="300">
        <f>'Рулонные СТАНДАРТ'!H44+'Рулонные СТАНДАРТ'!H44*1/100</f>
        <v>31.871812500000001</v>
      </c>
      <c r="I45" s="300">
        <f>'Рулонные СТАНДАРТ'!I44+'Рулонные СТАНДАРТ'!I44*1/100</f>
        <v>33.571642500000003</v>
      </c>
      <c r="J45" s="300">
        <f>'Рулонные СТАНДАРТ'!J44+'Рулонные СТАНДАРТ'!J44*1/100</f>
        <v>35.5547775</v>
      </c>
      <c r="K45" s="300">
        <f>'Рулонные СТАНДАРТ'!K44+'Рулонные СТАНДАРТ'!K44*1/100</f>
        <v>37.254607499999999</v>
      </c>
      <c r="L45" s="300">
        <f>'Рулонные СТАНДАРТ'!L44+'Рулонные СТАНДАРТ'!L44*1/100</f>
        <v>38.954437500000004</v>
      </c>
      <c r="M45" s="300">
        <f>'Рулонные СТАНДАРТ'!M44+'Рулонные СТАНДАРТ'!M44*1/100</f>
        <v>40.937572499999995</v>
      </c>
      <c r="N45" s="300">
        <f>'Рулонные СТАНДАРТ'!N44+'Рулонные СТАНДАРТ'!N44*1/100</f>
        <v>42.637402500000015</v>
      </c>
      <c r="O45" s="300">
        <f>'Рулонные СТАНДАРТ'!O44+'Рулонные СТАНДАРТ'!O44*1/100</f>
        <v>44.337232500000006</v>
      </c>
      <c r="P45" s="304">
        <f>'Рулонные СТАНДАРТ'!P44+'Рулонные СТАНДАРТ'!P44*1/100</f>
        <v>46.037062500000005</v>
      </c>
    </row>
    <row r="46" spans="1:16">
      <c r="A46" s="1538"/>
      <c r="B46" s="298">
        <v>1.6</v>
      </c>
      <c r="C46" s="303">
        <f>'Рулонные СТАНДАРТ'!C45+'Рулонные СТАНДАРТ'!C45*1/100</f>
        <v>23.372662500000004</v>
      </c>
      <c r="D46" s="300">
        <f>'Рулонные СТАНДАРТ'!D45+'Рулонные СТАНДАРТ'!D45*1/100</f>
        <v>25.355797499999998</v>
      </c>
      <c r="E46" s="300">
        <f>'Рулонные СТАНДАРТ'!E45+'Рулонные СТАНДАРТ'!E45*1/100</f>
        <v>27.197280000000003</v>
      </c>
      <c r="F46" s="300">
        <f>'Рулонные СТАНДАРТ'!F45+'Рулонные СТАНДАРТ'!F45*1/100</f>
        <v>28.897110000000001</v>
      </c>
      <c r="G46" s="300">
        <f>'Рулонные СТАНДАРТ'!G45+'Рулонные СТАНДАРТ'!G45*1/100</f>
        <v>30.880245000000006</v>
      </c>
      <c r="H46" s="300">
        <f>'Рулонные СТАНДАРТ'!H45+'Рулонные СТАНДАРТ'!H45*1/100</f>
        <v>32.7217275</v>
      </c>
      <c r="I46" s="300">
        <f>'Рулонные СТАНДАРТ'!I45+'Рулонные СТАНДАРТ'!I45*1/100</f>
        <v>34.704862500000004</v>
      </c>
      <c r="J46" s="300">
        <f>'Рулонные СТАНДАРТ'!J45+'Рулонные СТАНДАРТ'!J45*1/100</f>
        <v>36.404692499999996</v>
      </c>
      <c r="K46" s="300">
        <f>'Рулонные СТАНДАРТ'!K45+'Рулонные СТАНДАРТ'!K45*1/100</f>
        <v>38.246175000000001</v>
      </c>
      <c r="L46" s="300">
        <f>'Рулонные СТАНДАРТ'!L45+'Рулонные СТАНДАРТ'!L45*1/100</f>
        <v>40.229310000000005</v>
      </c>
      <c r="M46" s="300">
        <f>'Рулонные СТАНДАРТ'!M45+'Рулонные СТАНДАРТ'!M45*1/100</f>
        <v>42.070792500000003</v>
      </c>
      <c r="N46" s="300">
        <f>'Рулонные СТАНДАРТ'!N45+'Рулонные СТАНДАРТ'!N45*1/100</f>
        <v>43.770622500000002</v>
      </c>
      <c r="O46" s="300">
        <f>'Рулонные СТАНДАРТ'!O45+'Рулонные СТАНДАРТ'!O45*1/100</f>
        <v>45.753757499999999</v>
      </c>
      <c r="P46" s="304">
        <f>'Рулонные СТАНДАРТ'!P45+'Рулонные СТАНДАРТ'!P45*1/100</f>
        <v>47.595240000000011</v>
      </c>
    </row>
    <row r="47" spans="1:16">
      <c r="A47" s="1538"/>
      <c r="B47" s="298">
        <v>1.7</v>
      </c>
      <c r="C47" s="303">
        <f>'Рулонные СТАНДАРТ'!C46+'Рулонные СТАНДАРТ'!C46*1/100</f>
        <v>23.797620000000006</v>
      </c>
      <c r="D47" s="300">
        <f>'Рулонные СТАНДАРТ'!D46+'Рулонные СТАНДАРТ'!D46*1/100</f>
        <v>25.780754999999999</v>
      </c>
      <c r="E47" s="300">
        <f>'Рулонные СТАНДАРТ'!E46+'Рулонные СТАНДАРТ'!E46*1/100</f>
        <v>27.763890000000004</v>
      </c>
      <c r="F47" s="300">
        <f>'Рулонные СТАНДАРТ'!F46+'Рулонные СТАНДАРТ'!F46*1/100</f>
        <v>29.605372499999998</v>
      </c>
      <c r="G47" s="300">
        <f>'Рулонные СТАНДАРТ'!G46+'Рулонные СТАНДАРТ'!G46*1/100</f>
        <v>31.588507500000009</v>
      </c>
      <c r="H47" s="300">
        <f>'Рулонные СТАНДАРТ'!H46+'Рулонные СТАНДАРТ'!H46*1/100</f>
        <v>33.571642500000003</v>
      </c>
      <c r="I47" s="300">
        <f>'Рулонные СТАНДАРТ'!I46+'Рулонные СТАНДАРТ'!I46*1/100</f>
        <v>35.5547775</v>
      </c>
      <c r="J47" s="300">
        <f>'Рулонные СТАНДАРТ'!J46+'Рулонные СТАНДАРТ'!J46*1/100</f>
        <v>37.396259999999998</v>
      </c>
      <c r="K47" s="300">
        <f>'Рулонные СТАНДАРТ'!K46+'Рулонные СТАНДАРТ'!K46*1/100</f>
        <v>39.379395000000009</v>
      </c>
      <c r="L47" s="300">
        <f>'Рулонные СТАНДАРТ'!L46+'Рулонные СТАНДАРТ'!L46*1/100</f>
        <v>41.36253</v>
      </c>
      <c r="M47" s="300">
        <f>'Рулонные СТАНДАРТ'!M46+'Рулонные СТАНДАРТ'!M46*1/100</f>
        <v>43.345665000000004</v>
      </c>
      <c r="N47" s="300">
        <f>'Рулонные СТАНДАРТ'!N46+'Рулонные СТАНДАРТ'!N46*1/100</f>
        <v>45.187147500000002</v>
      </c>
      <c r="O47" s="300">
        <f>'Рулонные СТАНДАРТ'!O46+'Рулонные СТАНДАРТ'!O46*1/100</f>
        <v>47.170282500000006</v>
      </c>
      <c r="P47" s="304">
        <f>'Рулонные СТАНДАРТ'!P46+'Рулонные СТАНДАРТ'!P46*1/100</f>
        <v>49.153417500000018</v>
      </c>
    </row>
    <row r="48" spans="1:16">
      <c r="A48" s="1538"/>
      <c r="B48" s="298">
        <v>1.8</v>
      </c>
      <c r="C48" s="303">
        <f>'Рулонные СТАНДАРТ'!C47+'Рулонные СТАНДАРТ'!C47*1/100</f>
        <v>24.222577500000003</v>
      </c>
      <c r="D48" s="300">
        <f>'Рулонные СТАНДАРТ'!D47+'Рулонные СТАНДАРТ'!D47*1/100</f>
        <v>26.205712500000004</v>
      </c>
      <c r="E48" s="300">
        <f>'Рулонные СТАНДАРТ'!E47+'Рулонные СТАНДАРТ'!E47*1/100</f>
        <v>28.188847500000001</v>
      </c>
      <c r="F48" s="300">
        <f>'Рулонные СТАНДАРТ'!F47+'Рулонные СТАНДАРТ'!F47*1/100</f>
        <v>30.313635000000005</v>
      </c>
      <c r="G48" s="300">
        <f>'Рулонные СТАНДАРТ'!G47+'Рулонные СТАНДАРТ'!G47*1/100</f>
        <v>32.438422500000009</v>
      </c>
      <c r="H48" s="300">
        <f>'Рулонные СТАНДАРТ'!H47+'Рулонные СТАНДАРТ'!H47*1/100</f>
        <v>34.279904999999999</v>
      </c>
      <c r="I48" s="300">
        <f>'Рулонные СТАНДАРТ'!I47+'Рулонные СТАНДАРТ'!I47*1/100</f>
        <v>36.404692499999996</v>
      </c>
      <c r="J48" s="300">
        <f>'Рулонные СТАНДАРТ'!J47+'Рулонные СТАНДАРТ'!J47*1/100</f>
        <v>38.529480000000007</v>
      </c>
      <c r="K48" s="300">
        <f>'Рулонные СТАНДАРТ'!K47+'Рулонные СТАНДАРТ'!K47*1/100</f>
        <v>40.512615000000004</v>
      </c>
      <c r="L48" s="300">
        <f>'Рулонные СТАНДАРТ'!L47+'Рулонные СТАНДАРТ'!L47*1/100</f>
        <v>42.495750000000001</v>
      </c>
      <c r="M48" s="300">
        <f>'Рулонные СТАНДАРТ'!M47+'Рулонные СТАНДАРТ'!M47*1/100</f>
        <v>44.478884999999998</v>
      </c>
      <c r="N48" s="300">
        <f>'Рулонные СТАНДАРТ'!N47+'Рулонные СТАНДАРТ'!N47*1/100</f>
        <v>46.603672500000002</v>
      </c>
      <c r="O48" s="300">
        <f>'Рулонные СТАНДАРТ'!O47+'Рулонные СТАНДАРТ'!O47*1/100</f>
        <v>48.728460000000005</v>
      </c>
      <c r="P48" s="304">
        <f>'Рулонные СТАНДАРТ'!P47+'Рулонные СТАНДАРТ'!P47*1/100</f>
        <v>50.569942500000003</v>
      </c>
    </row>
    <row r="49" spans="1:16">
      <c r="A49" s="1538"/>
      <c r="B49" s="298">
        <v>1.9</v>
      </c>
      <c r="C49" s="303">
        <f>'Рулонные СТАНДАРТ'!C48+'Рулонные СТАНДАРТ'!C48*1/100</f>
        <v>24.930840000000003</v>
      </c>
      <c r="D49" s="300">
        <f>'Рулонные СТАНДАРТ'!D48+'Рулонные СТАНДАРТ'!D48*1/100</f>
        <v>27.197280000000003</v>
      </c>
      <c r="E49" s="300">
        <f>'Рулонные СТАНДАРТ'!E48+'Рулонные СТАНДАРТ'!E48*1/100</f>
        <v>29.463720000000006</v>
      </c>
      <c r="F49" s="300">
        <f>'Рулонные СТАНДАРТ'!F48+'Рулонные СТАНДАРТ'!F48*1/100</f>
        <v>31.588507500000009</v>
      </c>
      <c r="G49" s="300">
        <f>'Рулонные СТАНДАРТ'!G48+'Рулонные СТАНДАРТ'!G48*1/100</f>
        <v>33.713295000000002</v>
      </c>
      <c r="H49" s="300">
        <f>'Рулонные СТАНДАРТ'!H48+'Рулонные СТАНДАРТ'!H48*1/100</f>
        <v>35.979734999999998</v>
      </c>
      <c r="I49" s="300">
        <f>'Рулонные СТАНДАРТ'!I48+'Рулонные СТАНДАРТ'!I48*1/100</f>
        <v>38.104522500000002</v>
      </c>
      <c r="J49" s="300">
        <f>'Рулонные СТАНДАРТ'!J48+'Рулонные СТАНДАРТ'!J48*1/100</f>
        <v>40.370962500000005</v>
      </c>
      <c r="K49" s="300">
        <f>'Рулонные СТАНДАРТ'!K48+'Рулонные СТАНДАРТ'!K48*1/100</f>
        <v>42.637402500000015</v>
      </c>
      <c r="L49" s="300">
        <f>'Рулонные СТАНДАРТ'!L48+'Рулонные СТАНДАРТ'!L48*1/100</f>
        <v>44.90384250000001</v>
      </c>
      <c r="M49" s="300">
        <f>'Рулонные СТАНДАРТ'!M48+'Рулонные СТАНДАРТ'!M48*1/100</f>
        <v>46.886977500000008</v>
      </c>
      <c r="N49" s="300">
        <f>'Рулонные СТАНДАРТ'!N48+'Рулонные СТАНДАРТ'!N48*1/100</f>
        <v>49.153417500000018</v>
      </c>
      <c r="O49" s="300">
        <f>'Рулонные СТАНДАРТ'!O48+'Рулонные СТАНДАРТ'!O48*1/100</f>
        <v>51.419857499999999</v>
      </c>
      <c r="P49" s="304">
        <f>'Рулонные СТАНДАРТ'!P48+'Рулонные СТАНДАРТ'!P48*1/100</f>
        <v>53.686297500000009</v>
      </c>
    </row>
    <row r="50" spans="1:16">
      <c r="A50" s="1538"/>
      <c r="B50" s="298">
        <v>2</v>
      </c>
      <c r="C50" s="303">
        <f>'Рулонные СТАНДАРТ'!C49+'Рулонные СТАНДАРТ'!C49*1/100</f>
        <v>25.355797499999998</v>
      </c>
      <c r="D50" s="300">
        <f>'Рулонные СТАНДАРТ'!D49+'Рулонные СТАНДАРТ'!D49*1/100</f>
        <v>27.763890000000004</v>
      </c>
      <c r="E50" s="300">
        <f>'Рулонные СТАНДАРТ'!E49+'Рулонные СТАНДАРТ'!E49*1/100</f>
        <v>30.030329999999999</v>
      </c>
      <c r="F50" s="300">
        <f>'Рулонные СТАНДАРТ'!F49+'Рулонные СТАНДАРТ'!F49*1/100</f>
        <v>32.155117500000003</v>
      </c>
      <c r="G50" s="300">
        <f>'Рулонные СТАНДАРТ'!G49+'Рулонные СТАНДАРТ'!G49*1/100</f>
        <v>34.421557499999999</v>
      </c>
      <c r="H50" s="300">
        <f>'Рулонные СТАНДАРТ'!H49+'Рулонные СТАНДАРТ'!H49*1/100</f>
        <v>36.687997500000002</v>
      </c>
      <c r="I50" s="300">
        <f>'Рулонные СТАНДАРТ'!I49+'Рулонные СТАНДАРТ'!I49*1/100</f>
        <v>39.096090000000004</v>
      </c>
      <c r="J50" s="300">
        <f>'Рулонные СТАНДАРТ'!J49+'Рулонные СТАНДАРТ'!J49*1/100</f>
        <v>41.36253</v>
      </c>
      <c r="K50" s="300">
        <f>'Рулонные СТАНДАРТ'!K49+'Рулонные СТАНДАРТ'!K49*1/100</f>
        <v>43.62897000000001</v>
      </c>
      <c r="L50" s="300">
        <f>'Рулонные СТАНДАРТ'!L49+'Рулонные СТАНДАРТ'!L49*1/100</f>
        <v>45.895410000000012</v>
      </c>
      <c r="M50" s="300">
        <f>'Рулонные СТАНДАРТ'!M49+'Рулонные СТАНДАРТ'!M49*1/100</f>
        <v>48.303502500000015</v>
      </c>
      <c r="N50" s="300">
        <f>'Рулонные СТАНДАРТ'!N49+'Рулонные СТАНДАРТ'!N49*1/100</f>
        <v>50.569942500000003</v>
      </c>
      <c r="O50" s="300">
        <f>'Рулонные СТАНДАРТ'!O49+'Рулонные СТАНДАРТ'!O49*1/100</f>
        <v>52.836382500000006</v>
      </c>
      <c r="P50" s="304">
        <f>'Рулонные СТАНДАРТ'!P49+'Рулонные СТАНДАРТ'!P49*1/100</f>
        <v>55.102822500000002</v>
      </c>
    </row>
    <row r="51" spans="1:16">
      <c r="A51" s="1538"/>
      <c r="B51" s="298">
        <v>2.1</v>
      </c>
      <c r="C51" s="303">
        <f>'Рулонные СТАНДАРТ'!C50+'Рулонные СТАНДАРТ'!C50*1/100</f>
        <v>25.780754999999999</v>
      </c>
      <c r="D51" s="300">
        <f>'Рулонные СТАНДАРТ'!D50+'Рулонные СТАНДАРТ'!D50*1/100</f>
        <v>28.047195000000006</v>
      </c>
      <c r="E51" s="300">
        <f>'Рулонные СТАНДАРТ'!E50+'Рулонные СТАНДАРТ'!E50*1/100</f>
        <v>30.455287500000001</v>
      </c>
      <c r="F51" s="300">
        <f>'Рулонные СТАНДАРТ'!F50+'Рулонные СТАНДАРТ'!F50*1/100</f>
        <v>32.863380000000006</v>
      </c>
      <c r="G51" s="300">
        <f>'Рулонные СТАНДАРТ'!G50+'Рулонные СТАНДАРТ'!G50*1/100</f>
        <v>35.129820000000009</v>
      </c>
      <c r="H51" s="300">
        <f>'Рулонные СТАНДАРТ'!H50+'Рулонные СТАНДАРТ'!H50*1/100</f>
        <v>37.537912500000004</v>
      </c>
      <c r="I51" s="300">
        <f>'Рулонные СТАНДАРТ'!I50+'Рулонные СТАНДАРТ'!I50*1/100</f>
        <v>40.087657499999999</v>
      </c>
      <c r="J51" s="300">
        <f>'Рулонные СТАНДАРТ'!J50+'Рулонные СТАНДАРТ'!J50*1/100</f>
        <v>42.495750000000001</v>
      </c>
      <c r="K51" s="300">
        <f>'Рулонные СТАНДАРТ'!K50+'Рулонные СТАНДАРТ'!K50*1/100</f>
        <v>44.762190000000004</v>
      </c>
      <c r="L51" s="300">
        <f>'Рулонные СТАНДАРТ'!L50+'Рулонные СТАНДАРТ'!L50*1/100</f>
        <v>47.170282500000006</v>
      </c>
      <c r="M51" s="300">
        <f>'Рулонные СТАНДАРТ'!M50+'Рулонные СТАНДАРТ'!M50*1/100</f>
        <v>49.578375000000008</v>
      </c>
      <c r="N51" s="300">
        <f>'Рулонные СТАНДАРТ'!N50+'Рулонные СТАНДАРТ'!N50*1/100</f>
        <v>51.844815000000004</v>
      </c>
      <c r="O51" s="300">
        <f>'Рулонные СТАНДАРТ'!O50+'Рулонные СТАНДАРТ'!O50*1/100</f>
        <v>54.252907499999999</v>
      </c>
      <c r="P51" s="304">
        <f>'Рулонные СТАНДАРТ'!P50+'Рулонные СТАНДАРТ'!P50*1/100</f>
        <v>56.661000000000001</v>
      </c>
    </row>
    <row r="52" spans="1:16">
      <c r="A52" s="1538"/>
      <c r="B52" s="298">
        <v>2.2000000000000002</v>
      </c>
      <c r="C52" s="303">
        <f>'Рулонные СТАНДАРТ'!C51+'Рулонные СТАНДАРТ'!C51*1/100</f>
        <v>26.205712500000004</v>
      </c>
      <c r="D52" s="300">
        <f>'Рулонные СТАНДАРТ'!D51+'Рулонные СТАНДАРТ'!D51*1/100</f>
        <v>28.613804999999999</v>
      </c>
      <c r="E52" s="300">
        <f>'Рулонные СТАНДАРТ'!E51+'Рулонные СТАНДАРТ'!E51*1/100</f>
        <v>31.021897499999998</v>
      </c>
      <c r="F52" s="300">
        <f>'Рулонные СТАНДАРТ'!F51+'Рулонные СТАНДАРТ'!F51*1/100</f>
        <v>33.429990000000004</v>
      </c>
      <c r="G52" s="300">
        <f>'Рулонные СТАНДАРТ'!G51+'Рулонные СТАНДАРТ'!G51*1/100</f>
        <v>35.979734999999998</v>
      </c>
      <c r="H52" s="300">
        <f>'Рулонные СТАНДАРТ'!H51+'Рулонные СТАНДАРТ'!H51*1/100</f>
        <v>38.529480000000007</v>
      </c>
      <c r="I52" s="300">
        <f>'Рулонные СТАНДАРТ'!I51+'Рулонные СТАНДАРТ'!I51*1/100</f>
        <v>40.937572499999995</v>
      </c>
      <c r="J52" s="300">
        <f>'Рулонные СТАНДАРТ'!J51+'Рулонные СТАНДАРТ'!J51*1/100</f>
        <v>43.345665000000004</v>
      </c>
      <c r="K52" s="300">
        <f>'Рулонные СТАНДАРТ'!K51+'Рулонные СТАНДАРТ'!K51*1/100</f>
        <v>45.753757499999999</v>
      </c>
      <c r="L52" s="300">
        <f>'Рулонные СТАНДАРТ'!L51+'Рулонные СТАНДАРТ'!L51*1/100</f>
        <v>48.303502500000015</v>
      </c>
      <c r="M52" s="300">
        <f>'Рулонные СТАНДАРТ'!M51+'Рулонные СТАНДАРТ'!M51*1/100</f>
        <v>50.711594999999996</v>
      </c>
      <c r="N52" s="300">
        <f>'Рулонные СТАНДАРТ'!N51+'Рулонные СТАНДАРТ'!N51*1/100</f>
        <v>53.119687500000005</v>
      </c>
      <c r="O52" s="300">
        <f>'Рулонные СТАНДАРТ'!O51+'Рулонные СТАНДАРТ'!O51*1/100</f>
        <v>55.669432500000006</v>
      </c>
      <c r="P52" s="304">
        <f>'Рулонные СТАНДАРТ'!P51+'Рулонные СТАНДАРТ'!P51*1/100</f>
        <v>58.077525000000001</v>
      </c>
    </row>
    <row r="53" spans="1:16">
      <c r="A53" s="1538"/>
      <c r="B53" s="298">
        <v>2.2999999999999998</v>
      </c>
      <c r="C53" s="303">
        <f>'Рулонные СТАНДАРТ'!C52+'Рулонные СТАНДАРТ'!C52*1/100</f>
        <v>26.489017499999999</v>
      </c>
      <c r="D53" s="300">
        <f>'Рулонные СТАНДАРТ'!D52+'Рулонные СТАНДАРТ'!D52*1/100</f>
        <v>29.038762500000001</v>
      </c>
      <c r="E53" s="300">
        <f>'Рулонные СТАНДАРТ'!E52+'Рулонные СТАНДАРТ'!E52*1/100</f>
        <v>31.730160000000001</v>
      </c>
      <c r="F53" s="300">
        <f>'Рулонные СТАНДАРТ'!F52+'Рулонные СТАНДАРТ'!F52*1/100</f>
        <v>34.1382525</v>
      </c>
      <c r="G53" s="300">
        <f>'Рулонные СТАНДАРТ'!G52+'Рулонные СТАНДАРТ'!G52*1/100</f>
        <v>36.687997500000002</v>
      </c>
      <c r="H53" s="300">
        <f>'Рулонные СТАНДАРТ'!H52+'Рулонные СТАНДАРТ'!H52*1/100</f>
        <v>39.379395000000009</v>
      </c>
      <c r="I53" s="300">
        <f>'Рулонные СТАНДАРТ'!I52+'Рулонные СТАНДАРТ'!I52*1/100</f>
        <v>41.787487500000005</v>
      </c>
      <c r="J53" s="300">
        <f>'Рулонные СТАНДАРТ'!J52+'Рулонные СТАНДАРТ'!J52*1/100</f>
        <v>44.337232500000006</v>
      </c>
      <c r="K53" s="300">
        <f>'Рулонные СТАНДАРТ'!K52+'Рулонные СТАНДАРТ'!K52*1/100</f>
        <v>46.886977500000008</v>
      </c>
      <c r="L53" s="300">
        <f>'Рулонные СТАНДАРТ'!L52+'Рулонные СТАНДАРТ'!L52*1/100</f>
        <v>49.436722500000002</v>
      </c>
      <c r="M53" s="300">
        <f>'Рулонные СТАНДАРТ'!M52+'Рулонные СТАНДАРТ'!M52*1/100</f>
        <v>51.98646750000001</v>
      </c>
      <c r="N53" s="300">
        <f>'Рулонные СТАНДАРТ'!N52+'Рулонные СТАНДАРТ'!N52*1/100</f>
        <v>54.536212500000012</v>
      </c>
      <c r="O53" s="300">
        <f>'Рулонные СТАНДАРТ'!O52+'Рулонные СТАНДАРТ'!O52*1/100</f>
        <v>56.944305000000014</v>
      </c>
      <c r="P53" s="304">
        <f>'Рулонные СТАНДАРТ'!P52+'Рулонные СТАНДАРТ'!P52*1/100</f>
        <v>59.635702500000008</v>
      </c>
    </row>
    <row r="54" spans="1:16">
      <c r="A54" s="1538"/>
      <c r="B54" s="298">
        <v>2.4</v>
      </c>
      <c r="C54" s="303">
        <f>'Рулонные СТАНДАРТ'!C53+'Рулонные СТАНДАРТ'!C53*1/100</f>
        <v>26.913975000000001</v>
      </c>
      <c r="D54" s="300">
        <f>'Рулонные СТАНДАРТ'!D53+'Рулонные СТАНДАРТ'!D53*1/100</f>
        <v>29.605372499999998</v>
      </c>
      <c r="E54" s="300">
        <f>'Рулонные СТАНДАРТ'!E53+'Рулонные СТАНДАРТ'!E53*1/100</f>
        <v>32.155117500000003</v>
      </c>
      <c r="F54" s="300">
        <f>'Рулонные СТАНДАРТ'!F53+'Рулонные СТАНДАРТ'!F53*1/100</f>
        <v>34.846515000000011</v>
      </c>
      <c r="G54" s="300">
        <f>'Рулонные СТАНДАРТ'!G53+'Рулонные СТАНДАРТ'!G53*1/100</f>
        <v>37.396259999999998</v>
      </c>
      <c r="H54" s="300">
        <f>'Рулонные СТАНДАРТ'!H53+'Рулонные СТАНДАРТ'!H53*1/100</f>
        <v>40.087657499999999</v>
      </c>
      <c r="I54" s="300">
        <f>'Рулонные СТАНДАРТ'!I53+'Рулонные СТАНДАРТ'!I53*1/100</f>
        <v>42.779055</v>
      </c>
      <c r="J54" s="300">
        <f>'Рулонные СТАНДАРТ'!J53+'Рулонные СТАНДАРТ'!J53*1/100</f>
        <v>45.328800000000001</v>
      </c>
      <c r="K54" s="300">
        <f>'Рулонные СТАНДАРТ'!K53+'Рулонные СТАНДАРТ'!K53*1/100</f>
        <v>48.020197500000002</v>
      </c>
      <c r="L54" s="300">
        <f>'Рулонные СТАНДАРТ'!L53+'Рулонные СТАНДАРТ'!L53*1/100</f>
        <v>50.569942500000003</v>
      </c>
      <c r="M54" s="300">
        <f>'Рулонные СТАНДАРТ'!M53+'Рулонные СТАНДАРТ'!M53*1/100</f>
        <v>53.119687500000005</v>
      </c>
      <c r="N54" s="300">
        <f>'Рулонные СТАНДАРТ'!N53+'Рулонные СТАНДАРТ'!N53*1/100</f>
        <v>55.811085000000006</v>
      </c>
      <c r="O54" s="300">
        <f>'Рулонные СТАНДАРТ'!O53+'Рулонные СТАНДАРТ'!O53*1/100</f>
        <v>58.502482500000006</v>
      </c>
      <c r="P54" s="304">
        <f>'Рулонные СТАНДАРТ'!P53+'Рулонные СТАНДАРТ'!P53*1/100</f>
        <v>61.193880000000014</v>
      </c>
    </row>
    <row r="55" spans="1:16">
      <c r="A55" s="1538"/>
      <c r="B55" s="298">
        <v>2.5</v>
      </c>
      <c r="C55" s="303">
        <f>'Рулонные СТАНДАРТ'!C54+'Рулонные СТАНДАРТ'!C54*1/100</f>
        <v>27.338932500000002</v>
      </c>
      <c r="D55" s="300">
        <f>'Рулонные СТАНДАРТ'!D54+'Рулонные СТАНДАРТ'!D54*1/100</f>
        <v>30.030329999999999</v>
      </c>
      <c r="E55" s="300">
        <f>'Рулонные СТАНДАРТ'!E54+'Рулонные СТАНДАРТ'!E54*1/100</f>
        <v>32.7217275</v>
      </c>
      <c r="F55" s="300">
        <f>'Рулонные СТАНДАРТ'!F54+'Рулонные СТАНДАРТ'!F54*1/100</f>
        <v>35.5547775</v>
      </c>
      <c r="G55" s="300">
        <f>'Рулонные СТАНДАРТ'!G54+'Рулонные СТАНДАРТ'!G54*1/100</f>
        <v>38.104522500000002</v>
      </c>
      <c r="H55" s="300">
        <f>'Рулонные СТАНДАРТ'!H54+'Рулонные СТАНДАРТ'!H54*1/100</f>
        <v>40.937572499999995</v>
      </c>
      <c r="I55" s="300">
        <f>'Рулонные СТАНДАРТ'!I54+'Рулонные СТАНДАРТ'!I54*1/100</f>
        <v>43.62897000000001</v>
      </c>
      <c r="J55" s="300">
        <f>'Рулонные СТАНДАРТ'!J54+'Рулонные СТАНДАРТ'!J54*1/100</f>
        <v>46.320367500000017</v>
      </c>
      <c r="K55" s="300">
        <f>'Рулонные СТАНДАРТ'!K54+'Рулонные СТАНДАРТ'!K54*1/100</f>
        <v>49.011765000000004</v>
      </c>
      <c r="L55" s="300">
        <f>'Рулонные СТАНДАРТ'!L54+'Рулонные СТАНДАРТ'!L54*1/100</f>
        <v>51.844815000000004</v>
      </c>
      <c r="M55" s="300">
        <f>'Рулонные СТАНДАРТ'!M54+'Рулонные СТАНДАРТ'!M54*1/100</f>
        <v>54.394560000000006</v>
      </c>
      <c r="N55" s="300">
        <f>'Рулонные СТАНДАРТ'!N54+'Рулонные СТАНДАРТ'!N54*1/100</f>
        <v>57.227609999999999</v>
      </c>
      <c r="O55" s="300">
        <f>'Рулонные СТАНДАРТ'!O54+'Рулонные СТАНДАРТ'!O54*1/100</f>
        <v>59.919007500000006</v>
      </c>
      <c r="P55" s="304">
        <f>'Рулонные СТАНДАРТ'!P54+'Рулонные СТАНДАРТ'!P54*1/100</f>
        <v>62.610405000000014</v>
      </c>
    </row>
    <row r="56" spans="1:16" ht="13.8" thickBot="1">
      <c r="A56" s="1539"/>
      <c r="B56" s="299">
        <v>2.5499999999999998</v>
      </c>
      <c r="C56" s="305">
        <f>'Рулонные СТАНДАРТ'!C55+'Рулонные СТАНДАРТ'!C55*1/100</f>
        <v>27.763890000000004</v>
      </c>
      <c r="D56" s="306">
        <f>'Рулонные СТАНДАРТ'!D55+'Рулонные СТАНДАРТ'!D55*1/100</f>
        <v>30.455287500000001</v>
      </c>
      <c r="E56" s="306">
        <f>'Рулонные СТАНДАРТ'!E55+'Рулонные СТАНДАРТ'!E55*1/100</f>
        <v>33.288337500000004</v>
      </c>
      <c r="F56" s="306">
        <f>'Рулонные СТАНДАРТ'!F55+'Рулонные СТАНДАРТ'!F55*1/100</f>
        <v>35.979734999999998</v>
      </c>
      <c r="G56" s="306">
        <f>'Рулонные СТАНДАРТ'!G55+'Рулонные СТАНДАРТ'!G55*1/100</f>
        <v>38.954437500000004</v>
      </c>
      <c r="H56" s="306">
        <f>'Рулонные СТАНДАРТ'!H55+'Рулонные СТАНДАРТ'!H55*1/100</f>
        <v>41.787487500000005</v>
      </c>
      <c r="I56" s="306">
        <f>'Рулонные СТАНДАРТ'!I55+'Рулонные СТАНДАРТ'!I55*1/100</f>
        <v>44.478884999999998</v>
      </c>
      <c r="J56" s="306">
        <f>'Рулонные СТАНДАРТ'!J55+'Рулонные СТАНДАРТ'!J55*1/100</f>
        <v>47.311934999999998</v>
      </c>
      <c r="K56" s="306">
        <f>'Рулонные СТАНДАРТ'!K55+'Рулонные СТАНДАРТ'!K55*1/100</f>
        <v>50.003332500000006</v>
      </c>
      <c r="L56" s="306">
        <f>'Рулонные СТАНДАРТ'!L55+'Рулонные СТАНДАРТ'!L55*1/100</f>
        <v>52.836382500000006</v>
      </c>
      <c r="M56" s="306">
        <f>'Рулонные СТАНДАРТ'!M55+'Рулонные СТАНДАРТ'!M55*1/100</f>
        <v>55.811085000000006</v>
      </c>
      <c r="N56" s="306">
        <f>'Рулонные СТАНДАРТ'!N55+'Рулонные СТАНДАРТ'!N55*1/100</f>
        <v>58.502482500000006</v>
      </c>
      <c r="O56" s="306">
        <f>'Рулонные СТАНДАРТ'!O55+'Рулонные СТАНДАРТ'!O55*1/100</f>
        <v>61.335532499999999</v>
      </c>
      <c r="P56" s="307">
        <f>'Рулонные СТАНДАРТ'!P55+'Рулонные СТАНДАРТ'!P55*1/100</f>
        <v>64.168582499999999</v>
      </c>
    </row>
    <row r="57" spans="1:16" ht="13.8" thickBot="1">
      <c r="A57" s="283"/>
      <c r="B57" s="284"/>
      <c r="C57" s="496"/>
      <c r="D57" s="496"/>
      <c r="E57" s="496"/>
      <c r="F57" s="496"/>
      <c r="G57" s="496"/>
      <c r="H57" s="496"/>
      <c r="I57" s="496"/>
      <c r="J57" s="496"/>
      <c r="K57" s="496"/>
      <c r="L57" s="496"/>
      <c r="M57" s="496"/>
      <c r="N57" s="496"/>
      <c r="O57" s="496"/>
      <c r="P57" s="496"/>
    </row>
    <row r="58" spans="1:16" ht="13.8" thickBot="1">
      <c r="A58" s="1413" t="s">
        <v>315</v>
      </c>
      <c r="B58" s="1542"/>
      <c r="C58" s="1534" t="s">
        <v>207</v>
      </c>
      <c r="D58" s="1535"/>
      <c r="E58" s="1535"/>
      <c r="F58" s="1535"/>
      <c r="G58" s="1535"/>
      <c r="H58" s="1535"/>
      <c r="I58" s="1535"/>
      <c r="J58" s="1535"/>
      <c r="K58" s="1535"/>
      <c r="L58" s="1535"/>
      <c r="M58" s="1535"/>
      <c r="N58" s="1535"/>
      <c r="O58" s="1535"/>
      <c r="P58" s="1536"/>
    </row>
    <row r="59" spans="1:16" ht="13.8" thickBot="1">
      <c r="A59" s="1543"/>
      <c r="B59" s="1544"/>
      <c r="C59" s="389">
        <v>0.4</v>
      </c>
      <c r="D59" s="389">
        <v>0.5</v>
      </c>
      <c r="E59" s="389">
        <v>0.6</v>
      </c>
      <c r="F59" s="389">
        <v>0.7</v>
      </c>
      <c r="G59" s="389">
        <v>0.8</v>
      </c>
      <c r="H59" s="389">
        <v>0.9</v>
      </c>
      <c r="I59" s="389">
        <v>1</v>
      </c>
      <c r="J59" s="389">
        <v>1.1000000000000001</v>
      </c>
      <c r="K59" s="389">
        <v>1.2</v>
      </c>
      <c r="L59" s="389">
        <v>1.3</v>
      </c>
      <c r="M59" s="389">
        <v>1.4</v>
      </c>
      <c r="N59" s="389">
        <v>1.5</v>
      </c>
      <c r="O59" s="389">
        <v>1.6</v>
      </c>
      <c r="P59" s="390">
        <v>1.7</v>
      </c>
    </row>
    <row r="60" spans="1:16">
      <c r="A60" s="1537" t="s">
        <v>3</v>
      </c>
      <c r="B60" s="297">
        <v>0.5</v>
      </c>
      <c r="C60" s="274">
        <f>'Рулонные СТАНДАРТ'!C59+'Рулонные СТАНДАРТ'!C59*9/100</f>
        <v>22.472257499999998</v>
      </c>
      <c r="D60" s="301">
        <f>'Рулонные СТАНДАРТ'!D59+'Рулонные СТАНДАРТ'!D59*9/100</f>
        <v>24.000982499999999</v>
      </c>
      <c r="E60" s="301">
        <f>'Рулонные СТАНДАРТ'!E59+'Рулонные СТАНДАРТ'!E59*9/100</f>
        <v>25.682580000000005</v>
      </c>
      <c r="F60" s="301">
        <f>'Рулонные СТАНДАРТ'!F59+'Рулонные СТАНДАРТ'!F59*9/100</f>
        <v>27.058432499999999</v>
      </c>
      <c r="G60" s="301">
        <f>'Рулонные СТАНДАРТ'!G59+'Рулонные СТАНДАРТ'!G59*9/100</f>
        <v>28.740030000000004</v>
      </c>
      <c r="H60" s="301">
        <f>'Рулонные СТАНДАРТ'!H59+'Рулонные СТАНДАРТ'!H59*9/100</f>
        <v>30.268755000000006</v>
      </c>
      <c r="I60" s="301">
        <f>'Рулонные СТАНДАРТ'!I59+'Рулонные СТАНДАРТ'!I59*9/100</f>
        <v>31.950352499999997</v>
      </c>
      <c r="J60" s="301">
        <f>'Рулонные СТАНДАРТ'!J59+'Рулонные СТАНДАРТ'!J59*9/100</f>
        <v>33.479077499999995</v>
      </c>
      <c r="K60" s="301">
        <f>'Рулонные СТАНДАРТ'!K59+'Рулонные СТАНДАРТ'!K59*9/100</f>
        <v>35.160675000000005</v>
      </c>
      <c r="L60" s="301">
        <f>'Рулонные СТАНДАРТ'!L59+'Рулонные СТАНДАРТ'!L59*9/100</f>
        <v>36.689400000000006</v>
      </c>
      <c r="M60" s="301">
        <f>'Рулонные СТАНДАРТ'!M59+'Рулонные СТАНДАРТ'!M59*9/100</f>
        <v>38.370997500000001</v>
      </c>
      <c r="N60" s="301">
        <f>'Рулонные СТАНДАРТ'!N59+'Рулонные СТАНДАРТ'!N59*9/100</f>
        <v>39.746850000000002</v>
      </c>
      <c r="O60" s="301">
        <f>'Рулонные СТАНДАРТ'!O59+'Рулонные СТАНДАРТ'!O59*9/100</f>
        <v>41.581320000000005</v>
      </c>
      <c r="P60" s="302">
        <f>'Рулонные СТАНДАРТ'!P59+'Рулонные СТАНДАРТ'!P59*9/100</f>
        <v>42.957172500000006</v>
      </c>
    </row>
    <row r="61" spans="1:16">
      <c r="A61" s="1538"/>
      <c r="B61" s="298">
        <v>0.6</v>
      </c>
      <c r="C61" s="303">
        <f>'Рулонные СТАНДАРТ'!C60+'Рулонные СТАНДАРТ'!C60*9/100</f>
        <v>23.236620000000002</v>
      </c>
      <c r="D61" s="300">
        <f>'Рулонные СТАНДАРТ'!D60+'Рулонные СТАНДАРТ'!D60*9/100</f>
        <v>24.918217500000004</v>
      </c>
      <c r="E61" s="300">
        <f>'Рулонные СТАНДАРТ'!E60+'Рулонные СТАНДАРТ'!E60*9/100</f>
        <v>26.752687500000004</v>
      </c>
      <c r="F61" s="300">
        <f>'Рулонные СТАНДАРТ'!F60+'Рулонные СТАНДАРТ'!F60*9/100</f>
        <v>28.434285000000006</v>
      </c>
      <c r="G61" s="300">
        <f>'Рулонные СТАНДАРТ'!G60+'Рулонные СТАНДАРТ'!G60*9/100</f>
        <v>30.268755000000006</v>
      </c>
      <c r="H61" s="300">
        <f>'Рулонные СТАНДАРТ'!H60+'Рулонные СТАНДАРТ'!H60*9/100</f>
        <v>31.950352499999997</v>
      </c>
      <c r="I61" s="300">
        <f>'Рулонные СТАНДАРТ'!I60+'Рулонные СТАНДАРТ'!I60*9/100</f>
        <v>33.631950000000003</v>
      </c>
      <c r="J61" s="300">
        <f>'Рулонные СТАНДАРТ'!J60+'Рулонные СТАНДАРТ'!J60*9/100</f>
        <v>35.466420000000006</v>
      </c>
      <c r="K61" s="300">
        <f>'Рулонные СТАНДАРТ'!K60+'Рулонные СТАНДАРТ'!K60*9/100</f>
        <v>37.148017500000002</v>
      </c>
      <c r="L61" s="300">
        <f>'Рулонные СТАНДАРТ'!L60+'Рулонные СТАНДАРТ'!L60*9/100</f>
        <v>38.829614999999997</v>
      </c>
      <c r="M61" s="300">
        <f>'Рулонные СТАНДАРТ'!M60+'Рулонные СТАНДАРТ'!M60*9/100</f>
        <v>40.816957500000001</v>
      </c>
      <c r="N61" s="300">
        <f>'Рулонные СТАНДАРТ'!N60+'Рулонные СТАНДАРТ'!N60*9/100</f>
        <v>42.49855500000001</v>
      </c>
      <c r="O61" s="300">
        <f>'Рулонные СТАНДАРТ'!O60+'Рулонные СТАНДАРТ'!O60*9/100</f>
        <v>44.333025000000006</v>
      </c>
      <c r="P61" s="304">
        <f>'Рулонные СТАНДАРТ'!P60+'Рулонные СТАНДАРТ'!P60*9/100</f>
        <v>46.014622500000016</v>
      </c>
    </row>
    <row r="62" spans="1:16">
      <c r="A62" s="1538"/>
      <c r="B62" s="298">
        <v>0.7</v>
      </c>
      <c r="C62" s="303">
        <f>'Рулонные СТАНДАРТ'!C61+'Рулонные СТАНДАРТ'!C61*9/100</f>
        <v>24.000982499999999</v>
      </c>
      <c r="D62" s="300">
        <f>'Рулонные СТАНДАРТ'!D61+'Рулонные СТАНДАРТ'!D61*9/100</f>
        <v>25.835452500000002</v>
      </c>
      <c r="E62" s="300">
        <f>'Рулонные СТАНДАРТ'!E61+'Рулонные СТАНДАРТ'!E61*9/100</f>
        <v>27.822794999999999</v>
      </c>
      <c r="F62" s="300">
        <f>'Рулонные СТАНДАРТ'!F61+'Рулонные СТАНДАРТ'!F61*9/100</f>
        <v>29.657265000000002</v>
      </c>
      <c r="G62" s="300">
        <f>'Рулонные СТАНДАРТ'!G61+'Рулонные СТАНДАРТ'!G61*9/100</f>
        <v>31.644607500000006</v>
      </c>
      <c r="H62" s="300">
        <f>'Рулонные СТАНДАРТ'!H61+'Рулонные СТАНДАРТ'!H61*9/100</f>
        <v>33.631950000000003</v>
      </c>
      <c r="I62" s="300">
        <f>'Рулонные СТАНДАРТ'!I61+'Рулонные СТАНДАРТ'!I61*9/100</f>
        <v>35.466420000000006</v>
      </c>
      <c r="J62" s="300">
        <f>'Рулонные СТАНДАРТ'!J61+'Рулонные СТАНДАРТ'!J61*9/100</f>
        <v>37.453762500000003</v>
      </c>
      <c r="K62" s="300">
        <f>'Рулонные СТАНДАРТ'!K61+'Рулонные СТАНДАРТ'!K61*9/100</f>
        <v>39.288232499999999</v>
      </c>
      <c r="L62" s="300">
        <f>'Рулонные СТАНДАРТ'!L61+'Рулонные СТАНДАРТ'!L61*9/100</f>
        <v>41.275575000000003</v>
      </c>
      <c r="M62" s="300">
        <f>'Рулонные СТАНДАРТ'!M61+'Рулонные СТАНДАРТ'!M61*9/100</f>
        <v>43.2629175</v>
      </c>
      <c r="N62" s="300">
        <f>'Рулонные СТАНДАРТ'!N61+'Рулонные СТАНДАРТ'!N61*9/100</f>
        <v>45.097387500000004</v>
      </c>
      <c r="O62" s="300">
        <f>'Рулонные СТАНДАРТ'!O61+'Рулонные СТАНДАРТ'!O61*9/100</f>
        <v>47.084730000000008</v>
      </c>
      <c r="P62" s="304">
        <f>'Рулонные СТАНДАРТ'!P61+'Рулонные СТАНДАРТ'!P61*9/100</f>
        <v>48.919200000000004</v>
      </c>
    </row>
    <row r="63" spans="1:16">
      <c r="A63" s="1538"/>
      <c r="B63" s="298">
        <v>0.8</v>
      </c>
      <c r="C63" s="303">
        <f>'Рулонные СТАНДАРТ'!C62+'Рулонные СТАНДАРТ'!C62*9/100</f>
        <v>24.612472500000003</v>
      </c>
      <c r="D63" s="300">
        <f>'Рулонные СТАНДАРТ'!D62+'Рулонные СТАНДАРТ'!D62*9/100</f>
        <v>26.752687500000004</v>
      </c>
      <c r="E63" s="300">
        <f>'Рулонные СТАНДАРТ'!E62+'Рулонные СТАНДАРТ'!E62*9/100</f>
        <v>29.045774999999999</v>
      </c>
      <c r="F63" s="300">
        <f>'Рулонные СТАНДАРТ'!F62+'Рулонные СТАНДАРТ'!F62*9/100</f>
        <v>31.033117500000003</v>
      </c>
      <c r="G63" s="300">
        <f>'Рулонные СТАНДАРТ'!G62+'Рулонные СТАНДАРТ'!G62*9/100</f>
        <v>33.020460000000007</v>
      </c>
      <c r="H63" s="300">
        <f>'Рулонные СТАНДАРТ'!H62+'Рулонные СТАНДАРТ'!H62*9/100</f>
        <v>35.160675000000005</v>
      </c>
      <c r="I63" s="300">
        <f>'Рулонные СТАНДАРТ'!I62+'Рулонные СТАНДАРТ'!I62*9/100</f>
        <v>37.148017500000002</v>
      </c>
      <c r="J63" s="300">
        <f>'Рулонные СТАНДАРТ'!J62+'Рулонные СТАНДАРТ'!J62*9/100</f>
        <v>39.441105000000007</v>
      </c>
      <c r="K63" s="300">
        <f>'Рулонные СТАНДАРТ'!K62+'Рулонные СТАНДАРТ'!K62*9/100</f>
        <v>41.581320000000005</v>
      </c>
      <c r="L63" s="300">
        <f>'Рулонные СТАНДАРТ'!L62+'Рулонные СТАНДАРТ'!L62*9/100</f>
        <v>43.568662500000002</v>
      </c>
      <c r="M63" s="300">
        <f>'Рулонные СТАНДАРТ'!M62+'Рулонные СТАНДАРТ'!M62*9/100</f>
        <v>45.556005000000006</v>
      </c>
      <c r="N63" s="300">
        <f>'Рулонные СТАНДАРТ'!N62+'Рулонные СТАНДАРТ'!N62*9/100</f>
        <v>47.696220000000004</v>
      </c>
      <c r="O63" s="300">
        <f>'Рулонные СТАНДАРТ'!O62+'Рулонные СТАНДАРТ'!O62*9/100</f>
        <v>49.989307500000017</v>
      </c>
      <c r="P63" s="304">
        <f>'Рулонные СТАНДАРТ'!P62+'Рулонные СТАНДАРТ'!P62*9/100</f>
        <v>51.976650000000006</v>
      </c>
    </row>
    <row r="64" spans="1:16">
      <c r="A64" s="1538"/>
      <c r="B64" s="298">
        <v>0.9</v>
      </c>
      <c r="C64" s="303">
        <f>'Рулонные СТАНДАРТ'!C63+'Рулонные СТАНДАРТ'!C63*9/100</f>
        <v>25.376835000000007</v>
      </c>
      <c r="D64" s="300">
        <f>'Рулонные СТАНДАРТ'!D63+'Рулонные СТАНДАРТ'!D63*9/100</f>
        <v>27.669922500000006</v>
      </c>
      <c r="E64" s="300">
        <f>'Рулонные СТАНДАРТ'!E63+'Рулонные СТАНДАРТ'!E63*9/100</f>
        <v>30.115882500000001</v>
      </c>
      <c r="F64" s="300">
        <f>'Рулонные СТАНДАРТ'!F63+'Рулонные СТАНДАРТ'!F63*9/100</f>
        <v>32.408970000000004</v>
      </c>
      <c r="G64" s="300">
        <f>'Рулонные СТАНДАРТ'!G63+'Рулонные СТАНДАРТ'!G63*9/100</f>
        <v>34.549185000000008</v>
      </c>
      <c r="H64" s="300">
        <f>'Рулонные СТАНДАРТ'!H63+'Рулонные СТАНДАРТ'!H63*9/100</f>
        <v>36.8422725</v>
      </c>
      <c r="I64" s="300">
        <f>'Рулонные СТАНДАРТ'!I63+'Рулонные СТАНДАРТ'!I63*9/100</f>
        <v>39.135360000000006</v>
      </c>
      <c r="J64" s="300">
        <f>'Рулонные СТАНДАРТ'!J63+'Рулонные СТАНДАРТ'!J63*9/100</f>
        <v>41.275575000000003</v>
      </c>
      <c r="K64" s="300">
        <f>'Рулонные СТАНДАРТ'!K63+'Рулонные СТАНДАРТ'!K63*9/100</f>
        <v>43.568662500000002</v>
      </c>
      <c r="L64" s="300">
        <f>'Рулонные СТАНДАРТ'!L63+'Рулонные СТАНДАРТ'!L63*9/100</f>
        <v>45.861750000000001</v>
      </c>
      <c r="M64" s="300">
        <f>'Рулонные СТАНДАРТ'!M63+'Рулонные СТАНДАРТ'!M63*9/100</f>
        <v>48.001964999999998</v>
      </c>
      <c r="N64" s="300">
        <f>'Рулонные СТАНДАРТ'!N63+'Рулонные СТАНДАРТ'!N63*9/100</f>
        <v>50.295052500000004</v>
      </c>
      <c r="O64" s="300">
        <f>'Рулонные СТАНДАРТ'!O63+'Рулонные СТАНДАРТ'!O63*9/100</f>
        <v>52.741012500000004</v>
      </c>
      <c r="P64" s="304">
        <f>'Рулонные СТАНДАРТ'!P63+'Рулонные СТАНДАРТ'!P63*9/100</f>
        <v>55.034100000000002</v>
      </c>
    </row>
    <row r="65" spans="1:19">
      <c r="A65" s="1538"/>
      <c r="B65" s="298">
        <v>1</v>
      </c>
      <c r="C65" s="303">
        <f>'Рулонные СТАНДАРТ'!C64+'Рулонные СТАНДАРТ'!C64*9/100</f>
        <v>26.141197500000004</v>
      </c>
      <c r="D65" s="300">
        <f>'Рулонные СТАНДАРТ'!D64+'Рулонные СТАНДАРТ'!D64*9/100</f>
        <v>28.5871575</v>
      </c>
      <c r="E65" s="300">
        <f>'Рулонные СТАНДАРТ'!E64+'Рулонные СТАНДАРТ'!E64*9/100</f>
        <v>31.033117500000003</v>
      </c>
      <c r="F65" s="300">
        <f>'Рулонные СТАНДАРТ'!F64+'Рулонные СТАНДАРТ'!F64*9/100</f>
        <v>33.479077499999995</v>
      </c>
      <c r="G65" s="300">
        <f>'Рулонные СТАНДАРТ'!G64+'Рулонные СТАНДАРТ'!G64*9/100</f>
        <v>35.925037500000002</v>
      </c>
      <c r="H65" s="300">
        <f>'Рулонные СТАНДАРТ'!H64+'Рулонные СТАНДАРТ'!H64*9/100</f>
        <v>38.370997500000001</v>
      </c>
      <c r="I65" s="300">
        <f>'Рулонные СТАНДАРТ'!I64+'Рулонные СТАНДАРТ'!I64*9/100</f>
        <v>40.816957500000001</v>
      </c>
      <c r="J65" s="300">
        <f>'Рулонные СТАНДАРТ'!J64+'Рулонные СТАНДАРТ'!J64*9/100</f>
        <v>43.415790000000001</v>
      </c>
      <c r="K65" s="300">
        <f>'Рулонные СТАНДАРТ'!K64+'Рулонные СТАНДАРТ'!K64*9/100</f>
        <v>45.861750000000001</v>
      </c>
      <c r="L65" s="300">
        <f>'Рулонные СТАНДАРТ'!L64+'Рулонные СТАНДАРТ'!L64*9/100</f>
        <v>48.30771</v>
      </c>
      <c r="M65" s="300">
        <f>'Рулонные СТАНДАРТ'!M64+'Рулонные СТАНДАРТ'!M64*9/100</f>
        <v>50.600797500000006</v>
      </c>
      <c r="N65" s="300">
        <f>'Рулонные СТАНДАРТ'!N64+'Рулонные СТАНДАРТ'!N64*9/100</f>
        <v>53.046757500000012</v>
      </c>
      <c r="O65" s="300">
        <f>'Рулонные СТАНДАРТ'!O64+'Рулонные СТАНДАРТ'!O64*9/100</f>
        <v>55.492717499999998</v>
      </c>
      <c r="P65" s="304">
        <f>'Рулонные СТАНДАРТ'!P64+'Рулонные СТАНДАРТ'!P64*9/100</f>
        <v>57.938677500000011</v>
      </c>
    </row>
    <row r="66" spans="1:19">
      <c r="A66" s="1538"/>
      <c r="B66" s="298">
        <v>1.1000000000000001</v>
      </c>
      <c r="C66" s="303">
        <f>'Рулонные СТАНДАРТ'!C65+'Рулонные СТАНДАРТ'!C65*9/100</f>
        <v>27.058432499999999</v>
      </c>
      <c r="D66" s="300">
        <f>'Рулонные СТАНДАРТ'!D65+'Рулонные СТАНДАРТ'!D65*9/100</f>
        <v>29.504392500000002</v>
      </c>
      <c r="E66" s="300">
        <f>'Рулонные СТАНДАРТ'!E65+'Рулонные СТАНДАРТ'!E65*9/100</f>
        <v>32.103225000000002</v>
      </c>
      <c r="F66" s="300">
        <f>'Рулонные СТАНДАРТ'!F65+'Рулонные СТАНДАРТ'!F65*9/100</f>
        <v>34.702057500000002</v>
      </c>
      <c r="G66" s="300">
        <f>'Рулонные СТАНДАРТ'!G65+'Рулонные СТАНДАРТ'!G65*9/100</f>
        <v>37.453762500000003</v>
      </c>
      <c r="H66" s="300">
        <f>'Рулонные СТАНДАРТ'!H65+'Рулонные СТАНДАРТ'!H65*9/100</f>
        <v>40.052595000000011</v>
      </c>
      <c r="I66" s="300">
        <f>'Рулонные СТАНДАРТ'!I65+'Рулонные СТАНДАРТ'!I65*9/100</f>
        <v>42.651427500000004</v>
      </c>
      <c r="J66" s="300">
        <f>'Рулонные СТАНДАРТ'!J65+'Рулонные СТАНДАРТ'!J65*9/100</f>
        <v>45.250260000000004</v>
      </c>
      <c r="K66" s="300">
        <f>'Рулонные СТАНДАРТ'!K65+'Рулонные СТАНДАРТ'!K65*9/100</f>
        <v>47.849092500000005</v>
      </c>
      <c r="L66" s="300">
        <f>'Рулонные СТАНДАРТ'!L65+'Рулонные СТАНДАРТ'!L65*9/100</f>
        <v>50.447925000000005</v>
      </c>
      <c r="M66" s="300">
        <f>'Рулонные СТАНДАРТ'!M65+'Рулонные СТАНДАРТ'!M65*9/100</f>
        <v>53.046757500000012</v>
      </c>
      <c r="N66" s="300">
        <f>'Рулонные СТАНДАРТ'!N65+'Рулонные СТАНДАРТ'!N65*9/100</f>
        <v>55.645589999999999</v>
      </c>
      <c r="O66" s="300">
        <f>'Рулонные СТАНДАРТ'!O65+'Рулонные СТАНДАРТ'!O65*9/100</f>
        <v>58.397295000000014</v>
      </c>
      <c r="P66" s="304">
        <f>'Рулонные СТАНДАРТ'!P65+'Рулонные СТАНДАРТ'!P65*9/100</f>
        <v>60.690382500000013</v>
      </c>
    </row>
    <row r="67" spans="1:19">
      <c r="A67" s="1538"/>
      <c r="B67" s="298">
        <v>1.2</v>
      </c>
      <c r="C67" s="303">
        <f>'Рулонные СТАНДАРТ'!C66+'Рулонные СТАНДАРТ'!C66*9/100</f>
        <v>27.822794999999999</v>
      </c>
      <c r="D67" s="300">
        <f>'Рулонные СТАНДАРТ'!D66+'Рулонные СТАНДАРТ'!D66*9/100</f>
        <v>30.421627500000003</v>
      </c>
      <c r="E67" s="300">
        <f>'Рулонные СТАНДАРТ'!E66+'Рулонные СТАНДАРТ'!E66*9/100</f>
        <v>33.326205000000002</v>
      </c>
      <c r="F67" s="300">
        <f>'Рулонные СТАНДАРТ'!F66+'Рулонные СТАНДАРТ'!F66*9/100</f>
        <v>36.077910000000003</v>
      </c>
      <c r="G67" s="300">
        <f>'Рулонные СТАНДАРТ'!G66+'Рулонные СТАНДАРТ'!G66*9/100</f>
        <v>38.829614999999997</v>
      </c>
      <c r="H67" s="300">
        <f>'Рулонные СТАНДАРТ'!H66+'Рулонные СТАНДАРТ'!H66*9/100</f>
        <v>41.734192499999999</v>
      </c>
      <c r="I67" s="300">
        <f>'Рулонные СТАНДАРТ'!I66+'Рулонные СТАНДАРТ'!I66*9/100</f>
        <v>44.485897500000007</v>
      </c>
      <c r="J67" s="300">
        <f>'Рулонные СТАНДАРТ'!J66+'Рулонные СТАНДАРТ'!J66*9/100</f>
        <v>47.084730000000008</v>
      </c>
      <c r="K67" s="300">
        <f>'Рулонные СТАНДАРТ'!K66+'Рулонные СТАНДАРТ'!K66*9/100</f>
        <v>49.989307500000017</v>
      </c>
      <c r="L67" s="300">
        <f>'Рулонные СТАНДАРТ'!L66+'Рулонные СТАНДАРТ'!L66*9/100</f>
        <v>52.741012500000004</v>
      </c>
      <c r="M67" s="300">
        <f>'Рулонные СТАНДАРТ'!M66+'Рулонные СТАНДАРТ'!M66*9/100</f>
        <v>55.492717499999998</v>
      </c>
      <c r="N67" s="300">
        <f>'Рулонные СТАНДАРТ'!N66+'Рулонные СТАНДАРТ'!N66*9/100</f>
        <v>58.397295000000014</v>
      </c>
      <c r="O67" s="300">
        <f>'Рулонные СТАНДАРТ'!O66+'Рулонные СТАНДАРТ'!O66*9/100</f>
        <v>61.149000000000001</v>
      </c>
      <c r="P67" s="304">
        <f>'Рулонные СТАНДАРТ'!P66+'Рулонные СТАНДАРТ'!P66*9/100</f>
        <v>63.747832500000008</v>
      </c>
    </row>
    <row r="68" spans="1:19">
      <c r="A68" s="1538"/>
      <c r="B68" s="298">
        <v>1.3</v>
      </c>
      <c r="C68" s="303">
        <f>'Рулонные СТАНДАРТ'!C67+'Рулонные СТАНДАРТ'!C67*9/100</f>
        <v>28.5871575</v>
      </c>
      <c r="D68" s="300">
        <f>'Рулонные СТАНДАРТ'!D67+'Рулонные СТАНДАРТ'!D67*9/100</f>
        <v>31.338862500000001</v>
      </c>
      <c r="E68" s="300">
        <f>'Рулонные СТАНДАРТ'!E67+'Рулонные СТАНДАРТ'!E67*9/100</f>
        <v>34.396312500000001</v>
      </c>
      <c r="F68" s="300">
        <f>'Рулонные СТАНДАРТ'!F67+'Рулонные СТАНДАРТ'!F67*9/100</f>
        <v>37.453762500000003</v>
      </c>
      <c r="G68" s="300">
        <f>'Рулонные СТАНДАРТ'!G67+'Рулонные СТАНДАРТ'!G67*9/100</f>
        <v>40.358339999999998</v>
      </c>
      <c r="H68" s="300">
        <f>'Рулонные СТАНДАРТ'!H67+'Рулонные СТАНДАРТ'!H67*9/100</f>
        <v>43.2629175</v>
      </c>
      <c r="I68" s="300">
        <f>'Рулонные СТАНДАРТ'!I67+'Рулонные СТАНДАРТ'!I67*9/100</f>
        <v>46.167495000000002</v>
      </c>
      <c r="J68" s="300">
        <f>'Рулонные СТАНДАРТ'!J67+'Рулонные СТАНДАРТ'!J67*9/100</f>
        <v>49.224945000000005</v>
      </c>
      <c r="K68" s="300">
        <f>'Рулонные СТАНДАРТ'!K67+'Рулонные СТАНДАРТ'!K67*9/100</f>
        <v>52.129522500000014</v>
      </c>
      <c r="L68" s="300">
        <f>'Рулонные СТАНДАРТ'!L67+'Рулонные СТАНДАРТ'!L67*9/100</f>
        <v>55.034100000000002</v>
      </c>
      <c r="M68" s="300">
        <f>'Рулонные СТАНДАРТ'!M67+'Рулонные СТАНДАРТ'!M67*9/100</f>
        <v>57.938677500000011</v>
      </c>
      <c r="N68" s="300">
        <f>'Рулонные СТАНДАРТ'!N67+'Рулонные СТАНДАРТ'!N67*9/100</f>
        <v>60.996127500000007</v>
      </c>
      <c r="O68" s="300">
        <f>'Рулонные СТАНДАРТ'!O67+'Рулонные СТАНДАРТ'!O67*9/100</f>
        <v>63.900704999999995</v>
      </c>
      <c r="P68" s="304">
        <f>'Рулонные СТАНДАРТ'!P67+'Рулонные СТАНДАРТ'!P67*9/100</f>
        <v>66.805282500000018</v>
      </c>
    </row>
    <row r="69" spans="1:19">
      <c r="A69" s="1538"/>
      <c r="B69" s="298">
        <v>1.4</v>
      </c>
      <c r="C69" s="303">
        <f>'Рулонные СТАНДАРТ'!C68+'Рулонные СТАНДАРТ'!C68*9/100</f>
        <v>29.351520000000004</v>
      </c>
      <c r="D69" s="300">
        <f>'Рулонные СТАНДАРТ'!D68+'Рулонные СТАНДАРТ'!D68*9/100</f>
        <v>32.408970000000004</v>
      </c>
      <c r="E69" s="300">
        <f>'Рулонные СТАНДАРТ'!E68+'Рулонные СТАНДАРТ'!E68*9/100</f>
        <v>35.466420000000006</v>
      </c>
      <c r="F69" s="300">
        <f>'Рулонные СТАНДАРТ'!F68+'Рулонные СТАНДАРТ'!F68*9/100</f>
        <v>38.676742500000003</v>
      </c>
      <c r="G69" s="300">
        <f>'Рулонные СТАНДАРТ'!G68+'Рулонные СТАНДАРТ'!G68*9/100</f>
        <v>41.734192499999999</v>
      </c>
      <c r="H69" s="300">
        <f>'Рулонные СТАНДАРТ'!H68+'Рулонные СТАНДАРТ'!H68*9/100</f>
        <v>44.944514999999996</v>
      </c>
      <c r="I69" s="300">
        <f>'Рулонные СТАНДАРТ'!I68+'Рулонные СТАНДАРТ'!I68*9/100</f>
        <v>48.001964999999998</v>
      </c>
      <c r="J69" s="300">
        <f>'Рулонные СТАНДАРТ'!J68+'Рулонные СТАНДАРТ'!J68*9/100</f>
        <v>51.059415000000001</v>
      </c>
      <c r="K69" s="300">
        <f>'Рулонные СТАНДАРТ'!K68+'Рулонные СТАНДАРТ'!K68*9/100</f>
        <v>54.269737500000005</v>
      </c>
      <c r="L69" s="300">
        <f>'Рулонные СТАНДАРТ'!L68+'Рулонные СТАНДАРТ'!L68*9/100</f>
        <v>57.327187500000008</v>
      </c>
      <c r="M69" s="300">
        <f>'Рулонные СТАНДАРТ'!M68+'Рулонные СТАНДАРТ'!M68*9/100</f>
        <v>60.384637499999997</v>
      </c>
      <c r="N69" s="300">
        <f>'Рулонные СТАНДАРТ'!N68+'Рулонные СТАНДАРТ'!N68*9/100</f>
        <v>63.594960000000007</v>
      </c>
      <c r="O69" s="300">
        <f>'Рулонные СТАНДАРТ'!O68+'Рулонные СТАНДАРТ'!O68*9/100</f>
        <v>66.805282500000018</v>
      </c>
      <c r="P69" s="304">
        <f>'Рулонные СТАНДАРТ'!P68+'Рулонные СТАНДАРТ'!P68*9/100</f>
        <v>69.709860000000006</v>
      </c>
    </row>
    <row r="70" spans="1:19">
      <c r="A70" s="1538"/>
      <c r="B70" s="298">
        <v>1.5</v>
      </c>
      <c r="C70" s="303">
        <f>'Рулонные СТАНДАРТ'!C69+'Рулонные СТАНДАРТ'!C69*9/100</f>
        <v>30.115882500000001</v>
      </c>
      <c r="D70" s="300">
        <f>'Рулонные СТАНДАРТ'!D69+'Рулонные СТАНДАРТ'!D69*9/100</f>
        <v>33.326205000000002</v>
      </c>
      <c r="E70" s="300">
        <f>'Рулонные СТАНДАРТ'!E69+'Рулонные СТАНДАРТ'!E69*9/100</f>
        <v>36.689400000000006</v>
      </c>
      <c r="F70" s="300">
        <f>'Рулонные СТАНДАРТ'!F69+'Рулонные СТАНДАРТ'!F69*9/100</f>
        <v>40.052595000000011</v>
      </c>
      <c r="G70" s="300">
        <f>'Рулонные СТАНДАРТ'!G69+'Рулонные СТАНДАРТ'!G69*9/100</f>
        <v>43.2629175</v>
      </c>
      <c r="H70" s="300">
        <f>'Рулонные СТАНДАРТ'!H69+'Рулонные СТАНДАРТ'!H69*9/100</f>
        <v>46.626112500000005</v>
      </c>
      <c r="I70" s="300">
        <f>'Рулонные СТАНДАРТ'!I69+'Рулонные СТАНДАРТ'!I69*9/100</f>
        <v>49.683562500000008</v>
      </c>
      <c r="J70" s="300">
        <f>'Рулонные СТАНДАРТ'!J69+'Рулонные СТАНДАРТ'!J69*9/100</f>
        <v>53.046757500000012</v>
      </c>
      <c r="K70" s="300">
        <f>'Рулонные СТАНДАРТ'!K69+'Рулонные СТАНДАРТ'!K69*9/100</f>
        <v>56.257079999999995</v>
      </c>
      <c r="L70" s="300">
        <f>'Рулонные СТАНДАРТ'!L69+'Рулонные СТАНДАРТ'!L69*9/100</f>
        <v>59.620275000000007</v>
      </c>
      <c r="M70" s="300">
        <f>'Рулонные СТАНДАРТ'!M69+'Рулонные СТАНДАРТ'!M69*9/100</f>
        <v>62.83059750000001</v>
      </c>
      <c r="N70" s="300">
        <f>'Рулонные СТАНДАРТ'!N69+'Рулонные СТАНДАРТ'!N69*9/100</f>
        <v>66.193792500000001</v>
      </c>
      <c r="O70" s="300">
        <f>'Рулонные СТАНДАРТ'!O69+'Рулонные СТАНДАРТ'!O69*9/100</f>
        <v>69.556987500000005</v>
      </c>
      <c r="P70" s="304">
        <f>'Рулонные СТАНДАРТ'!P69+'Рулонные СТАНДАРТ'!P69*9/100</f>
        <v>72.767309999999995</v>
      </c>
    </row>
    <row r="71" spans="1:19">
      <c r="A71" s="1538"/>
      <c r="B71" s="298">
        <v>1.6</v>
      </c>
      <c r="C71" s="303">
        <f>'Рулонные СТАНДАРТ'!C70+'Рулонные СТАНДАРТ'!C70*9/100</f>
        <v>30.880245000000002</v>
      </c>
      <c r="D71" s="300">
        <f>'Рулонные СТАНДАРТ'!D70+'Рулонные СТАНДАРТ'!D70*9/100</f>
        <v>34.24344</v>
      </c>
      <c r="E71" s="300">
        <f>'Рулонные СТАНДАРТ'!E70+'Рулонные СТАНДАРТ'!E70*9/100</f>
        <v>37.759507500000005</v>
      </c>
      <c r="F71" s="300">
        <f>'Рулонные СТАНДАРТ'!F70+'Рулонные СТАНДАРТ'!F70*9/100</f>
        <v>41.122702500000003</v>
      </c>
      <c r="G71" s="300">
        <f>'Рулонные СТАНДАРТ'!G70+'Рулонные СТАНДАРТ'!G70*9/100</f>
        <v>44.638770000000001</v>
      </c>
      <c r="H71" s="300">
        <f>'Рулонные СТАНДАРТ'!H70+'Рулонные СТАНДАРТ'!H70*9/100</f>
        <v>48.001964999999998</v>
      </c>
      <c r="I71" s="300">
        <f>'Рулонные СТАНДАРТ'!I70+'Рулонные СТАНДАРТ'!I70*9/100</f>
        <v>51.670905000000005</v>
      </c>
      <c r="J71" s="300">
        <f>'Рулонные СТАНДАРТ'!J70+'Рулонные СТАНДАРТ'!J70*9/100</f>
        <v>55.034100000000002</v>
      </c>
      <c r="K71" s="300">
        <f>'Рулонные СТАНДАРТ'!K70+'Рулонные СТАНДАРТ'!K70*9/100</f>
        <v>58.550167500000001</v>
      </c>
      <c r="L71" s="300">
        <f>'Рулонные СТАНДАРТ'!L70+'Рулонные СТАНДАРТ'!L70*9/100</f>
        <v>61.913362500000012</v>
      </c>
      <c r="M71" s="300">
        <f>'Рулонные СТАНДАРТ'!M70+'Рулонные СТАНДАРТ'!M70*9/100</f>
        <v>65.429430000000011</v>
      </c>
      <c r="N71" s="300">
        <f>'Рулонные СТАНДАРТ'!N70+'Рулонные СТАНДАРТ'!N70*9/100</f>
        <v>68.792625000000001</v>
      </c>
      <c r="O71" s="300">
        <f>'Рулонные СТАНДАРТ'!O70+'Рулонные СТАНДАРТ'!O70*9/100</f>
        <v>72.308692499999992</v>
      </c>
      <c r="P71" s="304">
        <f>'Рулонные СТАНДАРТ'!P70+'Рулонные СТАНДАРТ'!P70*9/100</f>
        <v>75.671887500000011</v>
      </c>
    </row>
    <row r="72" spans="1:19">
      <c r="A72" s="1538"/>
      <c r="B72" s="298">
        <v>1.7</v>
      </c>
      <c r="C72" s="303">
        <f>'Рулонные СТАНДАРТ'!C71+'Рулонные СТАНДАРТ'!C71*9/100</f>
        <v>31.644607500000006</v>
      </c>
      <c r="D72" s="300">
        <f>'Рулонные СТАНДАРТ'!D71+'Рулонные СТАНДАРТ'!D71*9/100</f>
        <v>35.160675000000005</v>
      </c>
      <c r="E72" s="300">
        <f>'Рулонные СТАНДАРТ'!E71+'Рулонные СТАНДАРТ'!E71*9/100</f>
        <v>38.829614999999997</v>
      </c>
      <c r="F72" s="300">
        <f>'Рулонные СТАНДАРТ'!F71+'Рулонные СТАНДАРТ'!F71*9/100</f>
        <v>42.49855500000001</v>
      </c>
      <c r="G72" s="300">
        <f>'Рулонные СТАНДАРТ'!G71+'Рулонные СТАНДАРТ'!G71*9/100</f>
        <v>46.167495000000002</v>
      </c>
      <c r="H72" s="300">
        <f>'Рулонные СТАНДАРТ'!H71+'Рулонные СТАНДАРТ'!H71*9/100</f>
        <v>49.683562500000008</v>
      </c>
      <c r="I72" s="300">
        <f>'Рулонные СТАНДАРТ'!I71+'Рулонные СТАНДАРТ'!I71*9/100</f>
        <v>53.352502500000007</v>
      </c>
      <c r="J72" s="300">
        <f>'Рулонные СТАНДАРТ'!J71+'Рулонные СТАНДАРТ'!J71*9/100</f>
        <v>57.021442500000006</v>
      </c>
      <c r="K72" s="300">
        <f>'Рулонные СТАНДАРТ'!K71+'Рулонные СТАНДАРТ'!K71*9/100</f>
        <v>60.537510000000012</v>
      </c>
      <c r="L72" s="300">
        <f>'Рулонные СТАНДАРТ'!L71+'Рулонные СТАНДАРТ'!L71*9/100</f>
        <v>64.053577500000003</v>
      </c>
      <c r="M72" s="300">
        <f>'Рулонные СТАНДАРТ'!M71+'Рулонные СТАНДАРТ'!M71*9/100</f>
        <v>67.87539000000001</v>
      </c>
      <c r="N72" s="300">
        <f>'Рулонные СТАНДАРТ'!N71+'Рулонные СТАНДАРТ'!N71*9/100</f>
        <v>71.391457500000001</v>
      </c>
      <c r="O72" s="300">
        <f>'Рулонные СТАНДАРТ'!O71+'Рулонные СТАНДАРТ'!O71*9/100</f>
        <v>75.213270000000023</v>
      </c>
      <c r="P72" s="304">
        <f>'Рулонные СТАНДАРТ'!P71+'Рулонные СТАНДАРТ'!P71*9/100</f>
        <v>78.7293375</v>
      </c>
    </row>
    <row r="73" spans="1:19">
      <c r="A73" s="1538"/>
      <c r="B73" s="298">
        <v>1.8</v>
      </c>
      <c r="C73" s="303">
        <f>'Рулонные СТАНДАРТ'!C72+'Рулонные СТАНДАРТ'!C72*9/100</f>
        <v>32.408970000000004</v>
      </c>
      <c r="D73" s="300">
        <f>'Рулонные СТАНДАРТ'!D72+'Рулонные СТАНДАРТ'!D72*9/100</f>
        <v>36.077910000000003</v>
      </c>
      <c r="E73" s="300">
        <f>'Рулонные СТАНДАРТ'!E72+'Рулонные СТАНДАРТ'!E72*9/100</f>
        <v>40.052595000000011</v>
      </c>
      <c r="F73" s="300">
        <f>'Рулонные СТАНДАРТ'!F72+'Рулонные СТАНДАРТ'!F72*9/100</f>
        <v>43.72153500000001</v>
      </c>
      <c r="G73" s="300">
        <f>'Рулонные СТАНДАРТ'!G72+'Рулонные СТАНДАРТ'!G72*9/100</f>
        <v>47.54334750000001</v>
      </c>
      <c r="H73" s="300">
        <f>'Рулонные СТАНДАРТ'!H72+'Рулонные СТАНДАРТ'!H72*9/100</f>
        <v>51.36516000000001</v>
      </c>
      <c r="I73" s="300">
        <f>'Рулонные СТАНДАРТ'!I72+'Рулонные СТАНДАРТ'!I72*9/100</f>
        <v>55.18697250000001</v>
      </c>
      <c r="J73" s="300">
        <f>'Рулонные СТАНДАРТ'!J72+'Рулонные СТАНДАРТ'!J72*9/100</f>
        <v>58.855912500000009</v>
      </c>
      <c r="K73" s="300">
        <f>'Рулонные СТАНДАРТ'!K72+'Рулонные СТАНДАРТ'!K72*9/100</f>
        <v>62.677725000000002</v>
      </c>
      <c r="L73" s="300">
        <f>'Рулонные СТАНДАРТ'!L72+'Рулонные СТАНДАРТ'!L72*9/100</f>
        <v>66.499537500000002</v>
      </c>
      <c r="M73" s="300">
        <f>'Рулонные СТАНДАРТ'!M72+'Рулонные СТАНДАРТ'!M72*9/100</f>
        <v>70.32135000000001</v>
      </c>
      <c r="N73" s="300">
        <f>'Рулонные СТАНДАРТ'!N72+'Рулонные СТАНДАРТ'!N72*9/100</f>
        <v>73.990290000000002</v>
      </c>
      <c r="O73" s="300">
        <f>'Рулонные СТАНДАРТ'!O72+'Рулонные СТАНДАРТ'!O72*9/100</f>
        <v>77.964975000000024</v>
      </c>
      <c r="P73" s="304">
        <f>'Рулонные СТАНДАРТ'!P72+'Рулонные СТАНДАРТ'!P72*9/100</f>
        <v>81.633915000000002</v>
      </c>
      <c r="Q73" s="953">
        <f>P73-O73+P73</f>
        <v>85.30285499999998</v>
      </c>
      <c r="R73" s="953">
        <f>Q73-P73+Q73</f>
        <v>88.971794999999958</v>
      </c>
      <c r="S73" s="953">
        <f>R73-Q73+R73</f>
        <v>92.640734999999935</v>
      </c>
    </row>
    <row r="74" spans="1:19">
      <c r="A74" s="1538"/>
      <c r="B74" s="298">
        <v>1.9</v>
      </c>
      <c r="C74" s="303">
        <f>'Рулонные СТАНДАРТ'!C73+'Рулонные СТАНДАРТ'!C73*9/100</f>
        <v>33.784822500000004</v>
      </c>
      <c r="D74" s="300">
        <f>'Рулонные СТАНДАРТ'!D73+'Рулонные СТАНДАРТ'!D73*9/100</f>
        <v>37.912380000000013</v>
      </c>
      <c r="E74" s="300">
        <f>'Рулонные СТАНДАРТ'!E73+'Рулонные СТАНДАРТ'!E73*9/100</f>
        <v>42.192810000000001</v>
      </c>
      <c r="F74" s="300">
        <f>'Рулонные СТАНДАРТ'!F73+'Рулонные СТАНДАРТ'!F73*9/100</f>
        <v>46.320367500000003</v>
      </c>
      <c r="G74" s="300">
        <f>'Рулонные СТАНДАРТ'!G73+'Рулонные СТАНДАРТ'!G73*9/100</f>
        <v>50.447925000000005</v>
      </c>
      <c r="H74" s="300">
        <f>'Рулонные СТАНДАРТ'!H73+'Рулонные СТАНДАРТ'!H73*9/100</f>
        <v>54.575482500000007</v>
      </c>
      <c r="I74" s="300">
        <f>'Рулонные СТАНДАРТ'!I73+'Рулонные СТАНДАРТ'!I73*9/100</f>
        <v>58.703040000000009</v>
      </c>
      <c r="J74" s="300">
        <f>'Рулонные СТАНДАРТ'!J73+'Рулонные СТАНДАРТ'!J73*9/100</f>
        <v>62.83059750000001</v>
      </c>
      <c r="K74" s="300">
        <f>'Рулонные СТАНДАРТ'!K73+'Рулонные СТАНДАРТ'!K73*9/100</f>
        <v>66.958154999999991</v>
      </c>
      <c r="L74" s="300">
        <f>'Рулонные СТАНДАРТ'!L73+'Рулонные СТАНДАРТ'!L73*9/100</f>
        <v>71.0857125</v>
      </c>
      <c r="M74" s="300">
        <f>'Рулонные СТАНДАРТ'!M73+'Рулонные СТАНДАРТ'!M73*9/100</f>
        <v>75.213270000000023</v>
      </c>
      <c r="N74" s="300">
        <f>'Рулонные СТАНДАРТ'!N73+'Рулонные СТАНДАРТ'!N73*9/100</f>
        <v>79.340827500000017</v>
      </c>
      <c r="O74" s="300">
        <f>'Рулонные СТАНДАРТ'!O73+'Рулонные СТАНДАРТ'!O73*9/100</f>
        <v>83.621257500000027</v>
      </c>
      <c r="P74" s="304">
        <f>'Рулонные СТАНДАРТ'!P73+'Рулонные СТАНДАРТ'!P73*9/100</f>
        <v>87.748815000000008</v>
      </c>
      <c r="Q74" s="953">
        <f>P74-O74+P74</f>
        <v>91.876372499999988</v>
      </c>
    </row>
    <row r="75" spans="1:19">
      <c r="A75" s="1538"/>
      <c r="B75" s="298">
        <v>2</v>
      </c>
      <c r="C75" s="303">
        <f>'Рулонные СТАНДАРТ'!C74+'Рулонные СТАНДАРТ'!C74*9/100</f>
        <v>34.549185000000008</v>
      </c>
      <c r="D75" s="300">
        <f>'Рулонные СТАНДАРТ'!D74+'Рулонные СТАНДАРТ'!D74*9/100</f>
        <v>38.829614999999997</v>
      </c>
      <c r="E75" s="300">
        <f>'Рулонные СТАНДАРТ'!E74+'Рулонные СТАНДАРТ'!E74*9/100</f>
        <v>43.2629175</v>
      </c>
      <c r="F75" s="300">
        <f>'Рулонные СТАНДАРТ'!F74+'Рулонные СТАНДАРТ'!F74*9/100</f>
        <v>47.54334750000001</v>
      </c>
      <c r="G75" s="300">
        <f>'Рулонные СТАНДАРТ'!G74+'Рулонные СТАНДАРТ'!G74*9/100</f>
        <v>51.823777499999998</v>
      </c>
      <c r="H75" s="300">
        <f>'Рулонные СТАНДАРТ'!H74+'Рулонные СТАНДАРТ'!H74*9/100</f>
        <v>56.104207500000008</v>
      </c>
      <c r="I75" s="300">
        <f>'Рулонные СТАНДАРТ'!I74+'Рулонные СТАНДАРТ'!I74*9/100</f>
        <v>60.384637499999997</v>
      </c>
      <c r="J75" s="300">
        <f>'Рулонные СТАНДАРТ'!J74+'Рулонные СТАНДАРТ'!J74*9/100</f>
        <v>64.817940000000007</v>
      </c>
      <c r="K75" s="300">
        <f>'Рулонные СТАНДАРТ'!K74+'Рулонные СТАНДАРТ'!K74*9/100</f>
        <v>69.251242499999989</v>
      </c>
      <c r="L75" s="300">
        <f>'Рулонные СТАНДАРТ'!L74+'Рулонные СТАНДАРТ'!L74*9/100</f>
        <v>73.531672500000013</v>
      </c>
      <c r="M75" s="300">
        <f>'Рулонные СТАНДАРТ'!M74+'Рулонные СТАНДАРТ'!M74*9/100</f>
        <v>77.812102499999995</v>
      </c>
      <c r="N75" s="300">
        <f>'Рулонные СТАНДАРТ'!N74+'Рулонные СТАНДАРТ'!N74*9/100</f>
        <v>82.092532500000004</v>
      </c>
      <c r="O75" s="300">
        <f>'Рулонные СТАНДАРТ'!O74+'Рулонные СТАНДАРТ'!O74*9/100</f>
        <v>86.372962500000028</v>
      </c>
      <c r="P75" s="304">
        <f>'Рулонные СТАНДАРТ'!P74+'Рулонные СТАНДАРТ'!P74*9/100</f>
        <v>90.653392500000024</v>
      </c>
    </row>
    <row r="76" spans="1:19">
      <c r="A76" s="1538"/>
      <c r="B76" s="298">
        <v>2.1</v>
      </c>
      <c r="C76" s="303">
        <f>'Рулонные СТАНДАРТ'!C75+'Рулонные СТАНДАРТ'!C75*9/100</f>
        <v>35.466420000000006</v>
      </c>
      <c r="D76" s="300">
        <f>'Рулонные СТАНДАРТ'!D75+'Рулонные СТАНДАРТ'!D75*9/100</f>
        <v>39.746850000000002</v>
      </c>
      <c r="E76" s="300">
        <f>'Рулонные СТАНДАРТ'!E75+'Рулонные СТАНДАРТ'!E75*9/100</f>
        <v>44.333025000000006</v>
      </c>
      <c r="F76" s="300">
        <f>'Рулонные СТАНДАРТ'!F75+'Рулонные СТАНДАРТ'!F75*9/100</f>
        <v>48.766327500000003</v>
      </c>
      <c r="G76" s="300">
        <f>'Рулонные СТАНДАРТ'!G75+'Рулонные СТАНДАРТ'!G75*9/100</f>
        <v>53.352502500000007</v>
      </c>
      <c r="H76" s="300">
        <f>'Рулонные СТАНДАРТ'!H75+'Рулонные СТАНДАРТ'!H75*9/100</f>
        <v>57.785804999999996</v>
      </c>
      <c r="I76" s="300">
        <f>'Рулонные СТАНДАРТ'!I75+'Рулонные СТАНДАРТ'!I75*9/100</f>
        <v>62.219107500000014</v>
      </c>
      <c r="J76" s="300">
        <f>'Рулонные СТАНДАРТ'!J75+'Рулонные СТАНДАРТ'!J75*9/100</f>
        <v>66.805282500000018</v>
      </c>
      <c r="K76" s="300">
        <f>'Рулонные СТАНДАРТ'!K75+'Рулонные СТАНДАРТ'!K75*9/100</f>
        <v>71.238585000000015</v>
      </c>
      <c r="L76" s="300">
        <f>'Рулонные СТАНДАРТ'!L75+'Рулонные СТАНДАРТ'!L75*9/100</f>
        <v>75.671887500000011</v>
      </c>
      <c r="M76" s="300">
        <f>'Рулонные СТАНДАРТ'!M75+'Рулонные СТАНДАРТ'!M75*9/100</f>
        <v>80.258062500000008</v>
      </c>
      <c r="N76" s="300">
        <f>'Рулонные СТАНДАРТ'!N75+'Рулонные СТАНДАРТ'!N75*9/100</f>
        <v>84.691365000000005</v>
      </c>
      <c r="O76" s="300">
        <f>'Рулонные СТАНДАРТ'!O75+'Рулонные СТАНДАРТ'!O75*9/100</f>
        <v>89.124667500000001</v>
      </c>
      <c r="P76" s="304">
        <f>'Рулонные СТАНДАРТ'!P75+'Рулонные СТАНДАРТ'!P75*9/100</f>
        <v>93.557970000000012</v>
      </c>
    </row>
    <row r="77" spans="1:19">
      <c r="A77" s="1538"/>
      <c r="B77" s="298">
        <v>2.2000000000000002</v>
      </c>
      <c r="C77" s="303">
        <f>'Рулонные СТАНДАРТ'!C76+'Рулонные СТАНДАРТ'!C76*9/100</f>
        <v>36.230782500000004</v>
      </c>
      <c r="D77" s="300">
        <f>'Рулонные СТАНДАРТ'!D76+'Рулонные СТАНДАРТ'!D76*9/100</f>
        <v>40.816957500000001</v>
      </c>
      <c r="E77" s="300">
        <f>'Рулонные СТАНДАРТ'!E76+'Рулонные СТАНДАРТ'!E76*9/100</f>
        <v>45.403132500000005</v>
      </c>
      <c r="F77" s="300">
        <f>'Рулонные СТАНДАРТ'!F76+'Рулонные СТАНДАРТ'!F76*9/100</f>
        <v>50.142179999999996</v>
      </c>
      <c r="G77" s="300">
        <f>'Рулонные СТАНДАРТ'!G76+'Рулонные СТАНДАРТ'!G76*9/100</f>
        <v>54.728355000000001</v>
      </c>
      <c r="H77" s="300">
        <f>'Рулонные СТАНДАРТ'!H76+'Рулонные СТАНДАРТ'!H76*9/100</f>
        <v>59.467402500000006</v>
      </c>
      <c r="I77" s="300">
        <f>'Рулонные СТАНДАРТ'!I76+'Рулонные СТАНДАРТ'!I76*9/100</f>
        <v>64.053577500000003</v>
      </c>
      <c r="J77" s="300">
        <f>'Рулонные СТАНДАРТ'!J76+'Рулонные СТАНДАРТ'!J76*9/100</f>
        <v>68.639752500000014</v>
      </c>
      <c r="K77" s="300">
        <f>'Рулонные СТАНДАРТ'!K76+'Рулонные СТАНДАРТ'!K76*9/100</f>
        <v>73.225927499999997</v>
      </c>
      <c r="L77" s="300">
        <f>'Рулонные СТАНДАРТ'!L76+'Рулонные СТАНДАРТ'!L76*9/100</f>
        <v>77.964975000000024</v>
      </c>
      <c r="M77" s="300">
        <f>'Рулонные СТАНДАРТ'!M76+'Рулонные СТАНДАРТ'!M76*9/100</f>
        <v>82.704022500000008</v>
      </c>
      <c r="N77" s="300">
        <f>'Рулонные СТАНДАРТ'!N76+'Рулонные СТАНДАРТ'!N76*9/100</f>
        <v>87.290197500000019</v>
      </c>
      <c r="O77" s="300">
        <f>'Рулонные СТАНДАРТ'!O76+'Рулонные СТАНДАРТ'!O76*9/100</f>
        <v>92.029245000000031</v>
      </c>
      <c r="P77" s="304">
        <f>'Рулонные СТАНДАРТ'!P76+'Рулонные СТАНДАРТ'!P76*9/100</f>
        <v>96.462547500000028</v>
      </c>
    </row>
    <row r="78" spans="1:19">
      <c r="A78" s="1538"/>
      <c r="B78" s="298">
        <v>2.2999999999999998</v>
      </c>
      <c r="C78" s="303">
        <f>'Рулонные СТАНДАРТ'!C77+'Рулонные СТАНДАРТ'!C77*9/100</f>
        <v>36.995145000000001</v>
      </c>
      <c r="D78" s="300">
        <f>'Рулонные СТАНДАРТ'!D77+'Рулонные СТАНДАРТ'!D77*9/100</f>
        <v>41.734192499999999</v>
      </c>
      <c r="E78" s="300">
        <f>'Рулонные СТАНДАРТ'!E77+'Рулонные СТАНДАРТ'!E77*9/100</f>
        <v>46.626112500000005</v>
      </c>
      <c r="F78" s="300">
        <f>'Рулонные СТАНДАРТ'!F77+'Рулонные СТАНДАРТ'!F77*9/100</f>
        <v>51.36516000000001</v>
      </c>
      <c r="G78" s="300">
        <f>'Рулонные СТАНДАРТ'!G77+'Рулонные СТАНДАРТ'!G77*9/100</f>
        <v>56.257079999999995</v>
      </c>
      <c r="H78" s="300">
        <f>'Рулонные СТАНДАРТ'!H77+'Рулонные СТАНДАРТ'!H77*9/100</f>
        <v>60.996127500000007</v>
      </c>
      <c r="I78" s="300">
        <f>'Рулонные СТАНДАРТ'!I77+'Рулонные СТАНДАРТ'!I77*9/100</f>
        <v>65.735174999999998</v>
      </c>
      <c r="J78" s="300">
        <f>'Рулонные СТАНДАРТ'!J77+'Рулонные СТАНДАРТ'!J77*9/100</f>
        <v>70.627094999999997</v>
      </c>
      <c r="K78" s="300">
        <f>'Рулонные СТАНДАРТ'!K77+'Рулонные СТАНДАРТ'!K77*9/100</f>
        <v>75.51901500000001</v>
      </c>
      <c r="L78" s="300">
        <f>'Рулонные СТАНДАРТ'!L77+'Рулонные СТАНДАРТ'!L77*9/100</f>
        <v>80.258062500000008</v>
      </c>
      <c r="M78" s="300">
        <f>'Рулонные СТАНДАРТ'!M77+'Рулонные СТАНДАРТ'!M77*9/100</f>
        <v>84.997110000000021</v>
      </c>
      <c r="N78" s="300">
        <f>'Рулонные СТАНДАРТ'!N77+'Рулонные СТАНДАРТ'!N77*9/100</f>
        <v>89.889029999999991</v>
      </c>
      <c r="O78" s="300">
        <f>'Рулонные СТАНДАРТ'!O77+'Рулонные СТАНДАРТ'!O77*9/100</f>
        <v>94.780950000000004</v>
      </c>
      <c r="P78" s="304">
        <f>'Рулонные СТАНДАРТ'!P77+'Рулонные СТАНДАРТ'!P77*9/100</f>
        <v>99.519997500000002</v>
      </c>
    </row>
    <row r="79" spans="1:19">
      <c r="A79" s="1538"/>
      <c r="B79" s="298">
        <v>2.4</v>
      </c>
      <c r="C79" s="303">
        <f>'Рулонные СТАНДАРТ'!C78+'Рулонные СТАНДАРТ'!C78*9/100</f>
        <v>37.759507500000005</v>
      </c>
      <c r="D79" s="300">
        <f>'Рулонные СТАНДАРТ'!D78+'Рулонные СТАНДАРТ'!D78*9/100</f>
        <v>42.651427500000004</v>
      </c>
      <c r="E79" s="300">
        <f>'Рулонные СТАНДАРТ'!E78+'Рулонные СТАНДАРТ'!E78*9/100</f>
        <v>47.696220000000004</v>
      </c>
      <c r="F79" s="300">
        <f>'Рулонные СТАНДАРТ'!F78+'Рулонные СТАНДАРТ'!F78*9/100</f>
        <v>52.741012500000004</v>
      </c>
      <c r="G79" s="300">
        <f>'Рулонные СТАНДАРТ'!G78+'Рулонные СТАНДАРТ'!G78*9/100</f>
        <v>57.63293250000001</v>
      </c>
      <c r="H79" s="300">
        <f>'Рулонные СТАНДАРТ'!H78+'Рулонные СТАНДАРТ'!H78*9/100</f>
        <v>62.677725000000002</v>
      </c>
      <c r="I79" s="300">
        <f>'Рулонные СТАНДАРТ'!I78+'Рулонные СТАНДАРТ'!I78*9/100</f>
        <v>67.722517500000009</v>
      </c>
      <c r="J79" s="300">
        <f>'Рулонные СТАНДАРТ'!J78+'Рулонные СТАНДАРТ'!J78*9/100</f>
        <v>72.614437500000008</v>
      </c>
      <c r="K79" s="300">
        <f>'Рулонные СТАНДАРТ'!K78+'Рулонные СТАНДАРТ'!K78*9/100</f>
        <v>77.659229999999994</v>
      </c>
      <c r="L79" s="300">
        <f>'Рулонные СТАНДАРТ'!L78+'Рулонные СТАНДАРТ'!L78*9/100</f>
        <v>82.704022500000008</v>
      </c>
      <c r="M79" s="300">
        <f>'Рулонные СТАНДАРТ'!M78+'Рулонные СТАНДАРТ'!M78*9/100</f>
        <v>87.44307000000002</v>
      </c>
      <c r="N79" s="300">
        <f>'Рулонные СТАНДАРТ'!N78+'Рулонные СТАНДАРТ'!N78*9/100</f>
        <v>92.487862500000006</v>
      </c>
      <c r="O79" s="300">
        <f>'Рулонные СТАНДАРТ'!O78+'Рулонные СТАНДАРТ'!O78*9/100</f>
        <v>97.532655000000005</v>
      </c>
      <c r="P79" s="304">
        <f>'Рулонные СТАНДАРТ'!P78+'Рулонные СТАНДАРТ'!P78*9/100</f>
        <v>102.42457500000002</v>
      </c>
    </row>
    <row r="80" spans="1:19">
      <c r="A80" s="1538"/>
      <c r="B80" s="298">
        <v>2.5</v>
      </c>
      <c r="C80" s="303">
        <f>'Рулонные СТАНДАРТ'!C79+'Рулонные СТАНДАРТ'!C79*9/100</f>
        <v>38.523870000000002</v>
      </c>
      <c r="D80" s="300">
        <f>'Рулонные СТАНДАРТ'!D79+'Рулонные СТАНДАРТ'!D79*9/100</f>
        <v>43.568662500000002</v>
      </c>
      <c r="E80" s="300">
        <f>'Рулонные СТАНДАРТ'!E79+'Рулонные СТАНДАРТ'!E79*9/100</f>
        <v>48.766327500000003</v>
      </c>
      <c r="F80" s="300">
        <f>'Рулонные СТАНДАРТ'!F79+'Рулонные СТАНДАРТ'!F79*9/100</f>
        <v>53.963992500000003</v>
      </c>
      <c r="G80" s="300">
        <f>'Рулонные СТАНДАРТ'!G79+'Рулонные СТАНДАРТ'!G79*9/100</f>
        <v>59.008785000000003</v>
      </c>
      <c r="H80" s="300">
        <f>'Рулонные СТАНДАРТ'!H79+'Рулонные СТАНДАРТ'!H79*9/100</f>
        <v>64.359322500000005</v>
      </c>
      <c r="I80" s="300">
        <f>'Рулонные СТАНДАРТ'!I79+'Рулонные СТАНДАРТ'!I79*9/100</f>
        <v>69.404115000000004</v>
      </c>
      <c r="J80" s="300">
        <f>'Рулонные СТАНДАРТ'!J79+'Рулонные СТАНДАРТ'!J79*9/100</f>
        <v>74.601780000000005</v>
      </c>
      <c r="K80" s="300">
        <f>'Рулонные СТАНДАРТ'!K79+'Рулонные СТАНДАРТ'!K79*9/100</f>
        <v>79.646572500000019</v>
      </c>
      <c r="L80" s="300">
        <f>'Рулонные СТАНДАРТ'!L79+'Рулонные СТАНДАРТ'!L79*9/100</f>
        <v>84.844237500000006</v>
      </c>
      <c r="M80" s="300">
        <f>'Рулонные СТАНДАРТ'!M79+'Рулонные СТАНДАРТ'!M79*9/100</f>
        <v>89.889029999999991</v>
      </c>
      <c r="N80" s="300">
        <f>'Рулонные СТАНДАРТ'!N79+'Рулонные СТАНДАРТ'!N79*9/100</f>
        <v>95.239567500000007</v>
      </c>
      <c r="O80" s="300">
        <f>'Рулонные СТАНДАРТ'!O79+'Рулонные СТАНДАРТ'!O79*9/100</f>
        <v>100.43723250000004</v>
      </c>
      <c r="P80" s="304">
        <f>'Рулонные СТАНДАРТ'!P79+'Рулонные СТАНДАРТ'!P79*9/100</f>
        <v>105.48202500000001</v>
      </c>
    </row>
    <row r="81" spans="1:16" ht="13.8" thickBot="1">
      <c r="A81" s="1539"/>
      <c r="B81" s="299">
        <v>2.5499999999999998</v>
      </c>
      <c r="C81" s="305">
        <f>'Рулонные СТАНДАРТ'!C80+'Рулонные СТАНДАРТ'!C80*9/100</f>
        <v>39.288232499999999</v>
      </c>
      <c r="D81" s="306">
        <f>'Рулонные СТАНДАРТ'!D80+'Рулонные СТАНДАРТ'!D80*9/100</f>
        <v>44.485897500000007</v>
      </c>
      <c r="E81" s="306">
        <f>'Рулонные СТАНДАРТ'!E80+'Рулонные СТАНДАРТ'!E80*9/100</f>
        <v>49.989307500000017</v>
      </c>
      <c r="F81" s="306">
        <f>'Рулонные СТАНДАРТ'!F80+'Рулонные СТАНДАРТ'!F80*9/100</f>
        <v>55.18697250000001</v>
      </c>
      <c r="G81" s="306">
        <f>'Рулонные СТАНДАРТ'!G80+'Рулонные СТАНДАРТ'!G80*9/100</f>
        <v>60.537510000000012</v>
      </c>
      <c r="H81" s="306">
        <f>'Рулонные СТАНДАРТ'!H80+'Рулонные СТАНДАРТ'!H80*9/100</f>
        <v>65.735174999999998</v>
      </c>
      <c r="I81" s="306">
        <f>'Рулонные СТАНДАРТ'!I80+'Рулонные СТАНДАРТ'!I80*9/100</f>
        <v>71.238585000000015</v>
      </c>
      <c r="J81" s="306">
        <f>'Рулонные СТАНДАРТ'!J80+'Рулонные СТАНДАРТ'!J80*9/100</f>
        <v>76.436250000000001</v>
      </c>
      <c r="K81" s="306">
        <f>'Рулонные СТАНДАРТ'!K80+'Рулонные СТАНДАРТ'!K80*9/100</f>
        <v>81.939660000000003</v>
      </c>
      <c r="L81" s="306">
        <f>'Рулонные СТАНДАРТ'!L80+'Рулонные СТАНДАРТ'!L80*9/100</f>
        <v>87.137325000000004</v>
      </c>
      <c r="M81" s="306">
        <f>'Рулонные СТАНДАРТ'!M80+'Рулонные СТАНДАРТ'!M80*9/100</f>
        <v>92.487862500000006</v>
      </c>
      <c r="N81" s="306">
        <f>'Рулонные СТАНДАРТ'!N80+'Рулонные СТАНДАРТ'!N80*9/100</f>
        <v>97.838400000000007</v>
      </c>
      <c r="O81" s="306">
        <f>'Рулонные СТАНДАРТ'!O80+'Рулонные СТАНДАРТ'!O80*9/100</f>
        <v>103.18893750000001</v>
      </c>
      <c r="P81" s="307">
        <f>'Рулонные СТАНДАРТ'!P80+'Рулонные СТАНДАРТ'!P80*9/100</f>
        <v>108.38660250000002</v>
      </c>
    </row>
    <row r="82" spans="1:16" ht="13.8" thickBot="1">
      <c r="A82" s="283"/>
      <c r="B82" s="284"/>
      <c r="C82" s="496"/>
      <c r="D82" s="496"/>
      <c r="E82" s="496"/>
      <c r="F82" s="496"/>
      <c r="G82" s="496"/>
      <c r="H82" s="496"/>
      <c r="I82" s="496"/>
      <c r="J82" s="496"/>
      <c r="K82" s="496"/>
      <c r="L82" s="496"/>
      <c r="M82" s="496"/>
      <c r="N82" s="496"/>
      <c r="O82" s="496"/>
      <c r="P82" s="496"/>
    </row>
    <row r="83" spans="1:16" ht="13.8" thickBot="1">
      <c r="A83" s="1413" t="s">
        <v>318</v>
      </c>
      <c r="B83" s="1542"/>
      <c r="C83" s="1534" t="s">
        <v>207</v>
      </c>
      <c r="D83" s="1535"/>
      <c r="E83" s="1535"/>
      <c r="F83" s="1535"/>
      <c r="G83" s="1535"/>
      <c r="H83" s="1535"/>
      <c r="I83" s="1535"/>
      <c r="J83" s="1535"/>
      <c r="K83" s="1535"/>
      <c r="L83" s="1535"/>
      <c r="M83" s="1535"/>
      <c r="N83" s="1535"/>
      <c r="O83" s="1535"/>
      <c r="P83" s="1536"/>
    </row>
    <row r="84" spans="1:16" ht="13.8" thickBot="1">
      <c r="A84" s="1543"/>
      <c r="B84" s="1544"/>
      <c r="C84" s="389">
        <v>0.4</v>
      </c>
      <c r="D84" s="389">
        <v>0.5</v>
      </c>
      <c r="E84" s="389">
        <v>0.6</v>
      </c>
      <c r="F84" s="389">
        <v>0.7</v>
      </c>
      <c r="G84" s="389">
        <v>0.8</v>
      </c>
      <c r="H84" s="389">
        <v>0.9</v>
      </c>
      <c r="I84" s="389">
        <v>1</v>
      </c>
      <c r="J84" s="389">
        <v>1.1000000000000001</v>
      </c>
      <c r="K84" s="389">
        <v>1.2</v>
      </c>
      <c r="L84" s="389">
        <v>1.3</v>
      </c>
      <c r="M84" s="389">
        <v>1.4</v>
      </c>
      <c r="N84" s="389">
        <v>1.5</v>
      </c>
      <c r="O84" s="389">
        <v>1.6</v>
      </c>
      <c r="P84" s="390">
        <v>1.7</v>
      </c>
    </row>
    <row r="85" spans="1:16">
      <c r="A85" s="1537" t="s">
        <v>3</v>
      </c>
      <c r="B85" s="297">
        <v>0.5</v>
      </c>
      <c r="C85" s="274">
        <f>'Рулонные СТАНДАРТ'!C84+'Рулонные СТАНДАРТ'!C84*10/100</f>
        <v>29.361618000000004</v>
      </c>
      <c r="D85" s="301">
        <f>'Рулонные СТАНДАРТ'!D84+'Рулонные СТАНДАРТ'!D84*10/100</f>
        <v>31.447416000000004</v>
      </c>
      <c r="E85" s="301">
        <f>'Рулонные СТАНДАРТ'!E84+'Рулонные СТАНДАРТ'!E84*10/100</f>
        <v>33.372768000000008</v>
      </c>
      <c r="F85" s="301">
        <f>'Рулонные СТАНДАРТ'!F84+'Рулонные СТАНДАРТ'!F84*10/100</f>
        <v>35.298120000000004</v>
      </c>
      <c r="G85" s="301">
        <f>'Рулонные СТАНДАРТ'!G84+'Рулонные СТАНДАРТ'!G84*10/100</f>
        <v>37.223472000000001</v>
      </c>
      <c r="H85" s="301">
        <f>'Рулонные СТАНДАРТ'!H84+'Рулонные СТАНДАРТ'!H84*10/100</f>
        <v>39.309270000000012</v>
      </c>
      <c r="I85" s="301">
        <f>'Рулонные СТАНДАРТ'!I84+'Рулонные СТАНДАРТ'!I84*10/100</f>
        <v>41.234622000000002</v>
      </c>
      <c r="J85" s="301">
        <f>'Рулонные СТАНДАРТ'!J84+'Рулонные СТАНДАРТ'!J84*10/100</f>
        <v>43.159974000000005</v>
      </c>
      <c r="K85" s="301">
        <f>'Рулонные СТАНДАРТ'!K84+'Рулонные СТАНДАРТ'!K84*10/100</f>
        <v>45.085326000000009</v>
      </c>
      <c r="L85" s="301">
        <f>'Рулонные СТАНДАРТ'!L84+'Рулонные СТАНДАРТ'!L84*10/100</f>
        <v>47.171123999999999</v>
      </c>
      <c r="M85" s="301">
        <f>'Рулонные СТАНДАРТ'!M84+'Рулонные СТАНДАРТ'!M84*10/100</f>
        <v>49.09647600000001</v>
      </c>
      <c r="N85" s="301">
        <f>'Рулонные СТАНДАРТ'!N84+'Рулонные СТАНДАРТ'!N84*10/100</f>
        <v>51.021828000000006</v>
      </c>
      <c r="O85" s="301">
        <f>'Рулонные СТАНДАРТ'!O84+'Рулонные СТАНДАРТ'!O84*10/100</f>
        <v>52.947180000000017</v>
      </c>
      <c r="P85" s="302">
        <f>'Рулонные СТАНДАРТ'!P84+'Рулонные СТАНДАРТ'!P84*10/100</f>
        <v>54.872532000000007</v>
      </c>
    </row>
    <row r="86" spans="1:16">
      <c r="A86" s="1538"/>
      <c r="B86" s="298">
        <v>0.6</v>
      </c>
      <c r="C86" s="303">
        <f>'Рулонные СТАНДАРТ'!C85+'Рулонные СТАНДАРТ'!C85*10/100</f>
        <v>30.64518600000001</v>
      </c>
      <c r="D86" s="300">
        <f>'Рулонные СТАНДАРТ'!D85+'Рулонные СТАНДАРТ'!D85*10/100</f>
        <v>32.730984000000007</v>
      </c>
      <c r="E86" s="300">
        <f>'Рулонные СТАНДАРТ'!E85+'Рулонные СТАНДАРТ'!E85*10/100</f>
        <v>34.977228000000004</v>
      </c>
      <c r="F86" s="300">
        <f>'Рулонные СТАНДАРТ'!F85+'Рулонные СТАНДАРТ'!F85*10/100</f>
        <v>37.223472000000001</v>
      </c>
      <c r="G86" s="300">
        <f>'Рулонные СТАНДАРТ'!G85+'Рулонные СТАНДАРТ'!G85*10/100</f>
        <v>39.469716000000005</v>
      </c>
      <c r="H86" s="300">
        <f>'Рулонные СТАНДАРТ'!H85+'Рулонные СТАНДАРТ'!H85*10/100</f>
        <v>41.555514000000009</v>
      </c>
      <c r="I86" s="300">
        <f>'Рулонные СТАНДАРТ'!I85+'Рулонные СТАНДАРТ'!I85*10/100</f>
        <v>43.801758000000007</v>
      </c>
      <c r="J86" s="300">
        <f>'Рулонные СТАНДАРТ'!J85+'Рулонные СТАНДАРТ'!J85*10/100</f>
        <v>46.048002000000011</v>
      </c>
      <c r="K86" s="300">
        <f>'Рулонные СТАНДАРТ'!K85+'Рулонные СТАНДАРТ'!K85*10/100</f>
        <v>48.294246000000008</v>
      </c>
      <c r="L86" s="300">
        <f>'Рулонные СТАНДАРТ'!L85+'Рулонные СТАНДАРТ'!L85*10/100</f>
        <v>50.380044000000005</v>
      </c>
      <c r="M86" s="300">
        <f>'Рулонные СТАНДАРТ'!M85+'Рулонные СТАНДАРТ'!M85*10/100</f>
        <v>52.626287999999995</v>
      </c>
      <c r="N86" s="300">
        <f>'Рулонные СТАНДАРТ'!N85+'Рулонные СТАНДАРТ'!N85*10/100</f>
        <v>54.872532000000007</v>
      </c>
      <c r="O86" s="300">
        <f>'Рулонные СТАНДАРТ'!O85+'Рулонные СТАНДАРТ'!O85*10/100</f>
        <v>57.118776000000018</v>
      </c>
      <c r="P86" s="304">
        <f>'Рулонные СТАНДАРТ'!P85+'Рулонные СТАНДАРТ'!P85*10/100</f>
        <v>59.204574000000008</v>
      </c>
    </row>
    <row r="87" spans="1:16">
      <c r="A87" s="1538"/>
      <c r="B87" s="298">
        <v>0.7</v>
      </c>
      <c r="C87" s="303">
        <f>'Рулонные СТАНДАРТ'!C86+'Рулонные СТАНДАРТ'!C86*10/100</f>
        <v>31.768308000000005</v>
      </c>
      <c r="D87" s="300">
        <f>'Рулонные СТАНДАРТ'!D86+'Рулонные СТАНДАРТ'!D86*10/100</f>
        <v>34.174998000000002</v>
      </c>
      <c r="E87" s="300">
        <f>'Рулонные СТАНДАРТ'!E86+'Рулонные СТАНДАРТ'!E86*10/100</f>
        <v>36.742134000000007</v>
      </c>
      <c r="F87" s="300">
        <f>'Рулонные СТАНДАРТ'!F86+'Рулонные СТАНДАРТ'!F86*10/100</f>
        <v>38.988378000000004</v>
      </c>
      <c r="G87" s="300">
        <f>'Рулонные СТАНДАРТ'!G86+'Рулонные СТАНДАРТ'!G86*10/100</f>
        <v>41.555514000000009</v>
      </c>
      <c r="H87" s="300">
        <f>'Рулонные СТАНДАРТ'!H86+'Рулонные СТАНДАРТ'!H86*10/100</f>
        <v>43.962204</v>
      </c>
      <c r="I87" s="300">
        <f>'Рулонные СТАНДАРТ'!I86+'Рулонные СТАНДАРТ'!I86*10/100</f>
        <v>46.529340000000005</v>
      </c>
      <c r="J87" s="300">
        <f>'Рулонные СТАНДАРТ'!J86+'Рулонные СТАНДАРТ'!J86*10/100</f>
        <v>48.936030000000002</v>
      </c>
      <c r="K87" s="300">
        <f>'Рулонные СТАНДАРТ'!K86+'Рулонные СТАНДАРТ'!K86*10/100</f>
        <v>51.342720000000007</v>
      </c>
      <c r="L87" s="300">
        <f>'Рулонные СТАНДАРТ'!L86+'Рулонные СТАНДАРТ'!L86*10/100</f>
        <v>53.749410000000012</v>
      </c>
      <c r="M87" s="300">
        <f>'Рулонные СТАНДАРТ'!M86+'Рулонные СТАНДАРТ'!M86*10/100</f>
        <v>56.316546000000002</v>
      </c>
      <c r="N87" s="300">
        <f>'Рулонные СТАНДАРТ'!N86+'Рулонные СТАНДАРТ'!N86*10/100</f>
        <v>58.883682000000015</v>
      </c>
      <c r="O87" s="300">
        <f>'Рулонные СТАНДАРТ'!O86+'Рулонные СТАНДАРТ'!O86*10/100</f>
        <v>61.290372000000019</v>
      </c>
      <c r="P87" s="304">
        <f>'Рулонные СТАНДАРТ'!P86+'Рулонные СТАНДАРТ'!P86*10/100</f>
        <v>63.697062000000017</v>
      </c>
    </row>
    <row r="88" spans="1:16">
      <c r="A88" s="1538"/>
      <c r="B88" s="298">
        <v>0.8</v>
      </c>
      <c r="C88" s="303">
        <f>'Рулонные СТАНДАРТ'!C87+'Рулонные СТАНДАРТ'!C87*10/100</f>
        <v>32.89143</v>
      </c>
      <c r="D88" s="300">
        <f>'Рулонные СТАНДАРТ'!D87+'Рулонные СТАНДАРТ'!D87*10/100</f>
        <v>35.779458000000012</v>
      </c>
      <c r="E88" s="300">
        <f>'Рулонные СТАНДАРТ'!E87+'Рулонные СТАНДАРТ'!E87*10/100</f>
        <v>38.186148000000003</v>
      </c>
      <c r="F88" s="300">
        <f>'Рулонные СТАНДАРТ'!F87+'Рулонные СТАНДАРТ'!F87*10/100</f>
        <v>41.074176000000016</v>
      </c>
      <c r="G88" s="300">
        <f>'Рулонные СТАНДАРТ'!G87+'Рулонные СТАНДАРТ'!G87*10/100</f>
        <v>43.801758000000007</v>
      </c>
      <c r="H88" s="300">
        <f>'Рулонные СТАНДАРТ'!H87+'Рулонные СТАНДАРТ'!H87*10/100</f>
        <v>46.529340000000005</v>
      </c>
      <c r="I88" s="300">
        <f>'Рулонные СТАНДАРТ'!I87+'Рулонные СТАНДАРТ'!I87*10/100</f>
        <v>49.09647600000001</v>
      </c>
      <c r="J88" s="300">
        <f>'Рулонные СТАНДАРТ'!J87+'Рулонные СТАНДАРТ'!J87*10/100</f>
        <v>51.824058000000001</v>
      </c>
      <c r="K88" s="300">
        <f>'Рулонные СТАНДАРТ'!K87+'Рулонные СТАНДАРТ'!K87*10/100</f>
        <v>54.551640000000006</v>
      </c>
      <c r="L88" s="300">
        <f>'Рулонные СТАНДАРТ'!L87+'Рулонные СТАНДАРТ'!L87*10/100</f>
        <v>57.279222000000004</v>
      </c>
      <c r="M88" s="300">
        <f>'Рулонные СТАНДАРТ'!M87+'Рулонные СТАНДАРТ'!M87*10/100</f>
        <v>59.846358000000009</v>
      </c>
      <c r="N88" s="300">
        <f>'Рулонные СТАНДАРТ'!N87+'Рулонные СТАНДАРТ'!N87*10/100</f>
        <v>62.573940000000015</v>
      </c>
      <c r="O88" s="300">
        <f>'Рулонные СТАНДАРТ'!O87+'Рулонные СТАНДАРТ'!O87*10/100</f>
        <v>65.301522000000006</v>
      </c>
      <c r="P88" s="304">
        <f>'Рулонные СТАНДАРТ'!P87+'Рулонные СТАНДАРТ'!P87*10/100</f>
        <v>68.029104000000004</v>
      </c>
    </row>
    <row r="89" spans="1:16">
      <c r="A89" s="1538"/>
      <c r="B89" s="298">
        <v>0.9</v>
      </c>
      <c r="C89" s="303">
        <f>'Рулонные СТАНДАРТ'!C88+'Рулонные СТАНДАРТ'!C88*10/100</f>
        <v>34.174998000000002</v>
      </c>
      <c r="D89" s="300">
        <f>'Рулонные СТАНДАРТ'!D88+'Рулонные СТАНДАРТ'!D88*10/100</f>
        <v>37.063026000000001</v>
      </c>
      <c r="E89" s="300">
        <f>'Рулонные СТАНДАРТ'!E88+'Рулонные СТАНДАРТ'!E88*10/100</f>
        <v>39.951054000000006</v>
      </c>
      <c r="F89" s="300">
        <f>'Рулонные СТАНДАРТ'!F88+'Рулонные СТАНДАРТ'!F88*10/100</f>
        <v>42.999528000000012</v>
      </c>
      <c r="G89" s="300">
        <f>'Рулонные СТАНДАРТ'!G88+'Рулонные СТАНДАРТ'!G88*10/100</f>
        <v>45.887556000000004</v>
      </c>
      <c r="H89" s="300">
        <f>'Рулонные СТАНДАРТ'!H88+'Рулонные СТАНДАРТ'!H88*10/100</f>
        <v>48.936030000000002</v>
      </c>
      <c r="I89" s="300">
        <f>'Рулонные СТАНДАРТ'!I88+'Рулонные СТАНДАРТ'!I88*10/100</f>
        <v>51.824058000000001</v>
      </c>
      <c r="J89" s="300">
        <f>'Рулонные СТАНДАРТ'!J88+'Рулонные СТАНДАРТ'!J88*10/100</f>
        <v>54.712086000000014</v>
      </c>
      <c r="K89" s="300">
        <f>'Рулонные СТАНДАРТ'!K88+'Рулонные СТАНДАРТ'!K88*10/100</f>
        <v>57.760559999999998</v>
      </c>
      <c r="L89" s="300">
        <f>'Рулонные СТАНДАРТ'!L88+'Рулонные СТАНДАРТ'!L88*10/100</f>
        <v>60.648588000000004</v>
      </c>
      <c r="M89" s="300">
        <f>'Рулонные СТАНДАРТ'!M88+'Рулонные СТАНДАРТ'!M88*10/100</f>
        <v>63.536616000000009</v>
      </c>
      <c r="N89" s="300">
        <f>'Рулонные СТАНДАРТ'!N88+'Рулонные СТАНДАРТ'!N88*10/100</f>
        <v>66.585089999999994</v>
      </c>
      <c r="O89" s="300">
        <f>'Рулонные СТАНДАРТ'!O88+'Рулонные СТАНДАРТ'!O88*10/100</f>
        <v>69.473117999999999</v>
      </c>
      <c r="P89" s="304">
        <f>'Рулонные СТАНДАРТ'!P88+'Рулонные СТАНДАРТ'!P88*10/100</f>
        <v>72.361146000000019</v>
      </c>
    </row>
    <row r="90" spans="1:16">
      <c r="A90" s="1538"/>
      <c r="B90" s="298">
        <v>1</v>
      </c>
      <c r="C90" s="303">
        <f>'Рулонные СТАНДАРТ'!C89+'Рулонные СТАНДАРТ'!C89*10/100</f>
        <v>35.298120000000004</v>
      </c>
      <c r="D90" s="300">
        <f>'Рулонные СТАНДАРТ'!D89+'Рулонные СТАНДАРТ'!D89*10/100</f>
        <v>38.507040000000003</v>
      </c>
      <c r="E90" s="300">
        <f>'Рулонные СТАНДАРТ'!E89+'Рулонные СТАНДАРТ'!E89*10/100</f>
        <v>41.555514000000009</v>
      </c>
      <c r="F90" s="300">
        <f>'Рулонные СТАНДАРТ'!F89+'Рулонные СТАНДАРТ'!F89*10/100</f>
        <v>44.764434000000001</v>
      </c>
      <c r="G90" s="300">
        <f>'Рулонные СТАНДАРТ'!G89+'Рулонные СТАНДАРТ'!G89*10/100</f>
        <v>48.133800000000001</v>
      </c>
      <c r="H90" s="300">
        <f>'Рулонные СТАНДАРТ'!H89+'Рулонные СТАНДАРТ'!H89*10/100</f>
        <v>51.182274000000007</v>
      </c>
      <c r="I90" s="300">
        <f>'Рулонные СТАНДАРТ'!I89+'Рулонные СТАНДАРТ'!I89*10/100</f>
        <v>54.391194000000006</v>
      </c>
      <c r="J90" s="300">
        <f>'Рулонные СТАНДАРТ'!J89+'Рулонные СТАНДАРТ'!J89*10/100</f>
        <v>57.760559999999998</v>
      </c>
      <c r="K90" s="300">
        <f>'Рулонные СТАНДАРТ'!K89+'Рулонные СТАНДАРТ'!K89*10/100</f>
        <v>60.809034000000011</v>
      </c>
      <c r="L90" s="300">
        <f>'Рулонные СТАНДАРТ'!L89+'Рулонные СТАНДАРТ'!L89*10/100</f>
        <v>64.017954000000003</v>
      </c>
      <c r="M90" s="300">
        <f>'Рулонные СТАНДАРТ'!M89+'Рулонные СТАНДАРТ'!M89*10/100</f>
        <v>67.066428000000002</v>
      </c>
      <c r="N90" s="300">
        <f>'Рулонные СТАНДАРТ'!N89+'Рулонные СТАНДАРТ'!N89*10/100</f>
        <v>70.435794000000001</v>
      </c>
      <c r="O90" s="300">
        <f>'Рулонные СТАНДАРТ'!O89+'Рулонные СТАНДАРТ'!O89*10/100</f>
        <v>73.644714000000008</v>
      </c>
      <c r="P90" s="304">
        <f>'Рулонные СТАНДАРТ'!P89+'Рулонные СТАНДАРТ'!P89*10/100</f>
        <v>76.693188000000021</v>
      </c>
    </row>
    <row r="91" spans="1:16">
      <c r="A91" s="1538"/>
      <c r="B91" s="298">
        <v>1.1000000000000001</v>
      </c>
      <c r="C91" s="303">
        <f>'Рулонные СТАНДАРТ'!C90+'Рулонные СТАНДАРТ'!C90*10/100</f>
        <v>36.260796000000006</v>
      </c>
      <c r="D91" s="300">
        <f>'Рулонные СТАНДАРТ'!D90+'Рулонные СТАНДАРТ'!D90*10/100</f>
        <v>39.790608000000013</v>
      </c>
      <c r="E91" s="300">
        <f>'Рулонные СТАНДАРТ'!E90+'Рулонные СТАНДАРТ'!E90*10/100</f>
        <v>43.320420000000006</v>
      </c>
      <c r="F91" s="300">
        <f>'Рулонные СТАНДАРТ'!F90+'Рулонные СТАНДАРТ'!F90*10/100</f>
        <v>46.689786000000005</v>
      </c>
      <c r="G91" s="300">
        <f>'Рулонные СТАНДАРТ'!G90+'Рулонные СТАНДАРТ'!G90*10/100</f>
        <v>50.219598000000012</v>
      </c>
      <c r="H91" s="300">
        <f>'Рулонные СТАНДАРТ'!H90+'Рулонные СТАНДАРТ'!H90*10/100</f>
        <v>53.588963999999997</v>
      </c>
      <c r="I91" s="300">
        <f>'Рулонные СТАНДАРТ'!I90+'Рулонные СТАНДАРТ'!I90*10/100</f>
        <v>57.118776000000018</v>
      </c>
      <c r="J91" s="300">
        <f>'Рулонные СТАНДАРТ'!J90+'Рулонные СТАНДАРТ'!J90*10/100</f>
        <v>60.488142000000003</v>
      </c>
      <c r="K91" s="300">
        <f>'Рулонные СТАНДАРТ'!K90+'Рулонные СТАНДАРТ'!K90*10/100</f>
        <v>64.017954000000003</v>
      </c>
      <c r="L91" s="300">
        <f>'Рулонные СТАНДАРТ'!L90+'Рулонные СТАНДАРТ'!L90*10/100</f>
        <v>67.226874000000009</v>
      </c>
      <c r="M91" s="300">
        <f>'Рулонные СТАНДАРТ'!M90+'Рулонные СТАНДАРТ'!M90*10/100</f>
        <v>70.917132000000009</v>
      </c>
      <c r="N91" s="300">
        <f>'Рулонные СТАНДАРТ'!N90+'Рулонные СТАНДАРТ'!N90*10/100</f>
        <v>74.446944000000002</v>
      </c>
      <c r="O91" s="300">
        <f>'Рулонные СТАНДАРТ'!O90+'Рулонные СТАНДАРТ'!O90*10/100</f>
        <v>77.655864000000022</v>
      </c>
      <c r="P91" s="304">
        <f>'Рулонные СТАНДАРТ'!P90+'Рулонные СТАНДАРТ'!P90*10/100</f>
        <v>81.185676000000015</v>
      </c>
    </row>
    <row r="92" spans="1:16">
      <c r="A92" s="1538"/>
      <c r="B92" s="298">
        <v>1.2</v>
      </c>
      <c r="C92" s="303">
        <f>'Рулонные СТАНДАРТ'!C91+'Рулонные СТАНДАРТ'!C91*10/100</f>
        <v>37.544364000000002</v>
      </c>
      <c r="D92" s="300">
        <f>'Рулонные СТАНДАРТ'!D91+'Рулонные СТАНДАРТ'!D91*10/100</f>
        <v>41.234622000000002</v>
      </c>
      <c r="E92" s="300">
        <f>'Рулонные СТАНДАРТ'!E91+'Рулонные СТАНДАРТ'!E91*10/100</f>
        <v>44.924880000000009</v>
      </c>
      <c r="F92" s="300">
        <f>'Рулонные СТАНДАРТ'!F91+'Рулонные СТАНДАРТ'!F91*10/100</f>
        <v>48.615138000000009</v>
      </c>
      <c r="G92" s="300">
        <f>'Рулонные СТАНДАРТ'!G91+'Рулонные СТАНДАРТ'!G91*10/100</f>
        <v>52.465842000000023</v>
      </c>
      <c r="H92" s="300">
        <f>'Рулонные СТАНДАРТ'!H91+'Рулонные СТАНДАРТ'!H91*10/100</f>
        <v>55.995654000000002</v>
      </c>
      <c r="I92" s="300">
        <f>'Рулонные СТАНДАРТ'!I91+'Рулонные СТАНДАРТ'!I91*10/100</f>
        <v>59.685912000000009</v>
      </c>
      <c r="J92" s="300">
        <f>'Рулонные СТАНДАРТ'!J91+'Рулонные СТАНДАРТ'!J91*10/100</f>
        <v>63.376170000000009</v>
      </c>
      <c r="K92" s="300">
        <f>'Рулонные СТАНДАРТ'!K91+'Рулонные СТАНДАРТ'!K91*10/100</f>
        <v>67.066428000000002</v>
      </c>
      <c r="L92" s="300">
        <f>'Рулонные СТАНДАРТ'!L91+'Рулонные СТАНДАРТ'!L91*10/100</f>
        <v>70.917132000000009</v>
      </c>
      <c r="M92" s="300">
        <f>'Рулонные СТАНДАРТ'!M91+'Рулонные СТАНДАРТ'!M91*10/100</f>
        <v>74.446944000000002</v>
      </c>
      <c r="N92" s="300">
        <f>'Рулонные СТАНДАРТ'!N91+'Рулонные СТАНДАРТ'!N91*10/100</f>
        <v>78.137202000000016</v>
      </c>
      <c r="O92" s="300">
        <f>'Рулонные СТАНДАРТ'!O91+'Рулонные СТАНДАРТ'!O91*10/100</f>
        <v>81.827460000000016</v>
      </c>
      <c r="P92" s="304">
        <f>'Рулонные СТАНДАРТ'!P91+'Рулонные СТАНДАРТ'!P91*10/100</f>
        <v>85.517718000000002</v>
      </c>
    </row>
    <row r="93" spans="1:16">
      <c r="A93" s="1538"/>
      <c r="B93" s="298">
        <v>1.3</v>
      </c>
      <c r="C93" s="303">
        <f>'Рулонные СТАНДАРТ'!C92+'Рулонные СТАНДАРТ'!C92*10/100</f>
        <v>38.667486000000004</v>
      </c>
      <c r="D93" s="300">
        <f>'Рулонные СТАНДАРТ'!D92+'Рулонные СТАНДАРТ'!D92*10/100</f>
        <v>42.518190000000011</v>
      </c>
      <c r="E93" s="300">
        <f>'Рулонные СТАНДАРТ'!E92+'Рулонные СТАНДАРТ'!E92*10/100</f>
        <v>46.529340000000005</v>
      </c>
      <c r="F93" s="300">
        <f>'Рулонные СТАНДАРТ'!F92+'Рулонные СТАНДАРТ'!F92*10/100</f>
        <v>50.380044000000005</v>
      </c>
      <c r="G93" s="300">
        <f>'Рулонные СТАНДАРТ'!G92+'Рулонные СТАНДАРТ'!G92*10/100</f>
        <v>54.551640000000006</v>
      </c>
      <c r="H93" s="300">
        <f>'Рулонные СТАНДАРТ'!H92+'Рулонные СТАНДАРТ'!H92*10/100</f>
        <v>58.402344000000014</v>
      </c>
      <c r="I93" s="300">
        <f>'Рулонные СТАНДАРТ'!I92+'Рулонные СТАНДАРТ'!I92*10/100</f>
        <v>62.413494</v>
      </c>
      <c r="J93" s="300">
        <f>'Рулонные СТАНДАРТ'!J92+'Рулонные СТАНДАРТ'!J92*10/100</f>
        <v>66.264198000000007</v>
      </c>
      <c r="K93" s="300">
        <f>'Рулонные СТАНДАРТ'!K92+'Рулонные СТАНДАРТ'!K92*10/100</f>
        <v>70.275347999999994</v>
      </c>
      <c r="L93" s="300">
        <f>'Рулонные СТАНДАРТ'!L92+'Рулонные СТАНДАРТ'!L92*10/100</f>
        <v>74.126052000000001</v>
      </c>
      <c r="M93" s="300">
        <f>'Рулонные СТАНДАРТ'!M92+'Рулонные СТАНДАРТ'!M92*10/100</f>
        <v>78.137202000000016</v>
      </c>
      <c r="N93" s="300">
        <f>'Рулонные СТАНДАРТ'!N92+'Рулонные СТАНДАРТ'!N92*10/100</f>
        <v>81.987906000000009</v>
      </c>
      <c r="O93" s="300">
        <f>'Рулонные СТАНДАРТ'!O92+'Рулонные СТАНДАРТ'!O92*10/100</f>
        <v>85.999056000000024</v>
      </c>
      <c r="P93" s="304">
        <f>'Рулонные СТАНДАРТ'!P92+'Рулонные СТАНДАРТ'!P92*10/100</f>
        <v>89.849760000000018</v>
      </c>
    </row>
    <row r="94" spans="1:16">
      <c r="A94" s="1538"/>
      <c r="B94" s="298">
        <v>1.4</v>
      </c>
      <c r="C94" s="303">
        <f>'Рулонные СТАНДАРТ'!C93+'Рулонные СТАНДАРТ'!C93*10/100</f>
        <v>39.790608000000013</v>
      </c>
      <c r="D94" s="300">
        <f>'Рулонные СТАНДАРТ'!D93+'Рулонные СТАНДАРТ'!D93*10/100</f>
        <v>44.122650000000007</v>
      </c>
      <c r="E94" s="300">
        <f>'Рулонные СТАНДАРТ'!E93+'Рулонные СТАНДАРТ'!E93*10/100</f>
        <v>48.294246000000008</v>
      </c>
      <c r="F94" s="300">
        <f>'Рулонные СТАНДАРТ'!F93+'Рулонные СТАНДАРТ'!F93*10/100</f>
        <v>52.465842000000023</v>
      </c>
      <c r="G94" s="300">
        <f>'Рулонные СТАНДАРТ'!G93+'Рулонные СТАНДАРТ'!G93*10/100</f>
        <v>56.47699200000001</v>
      </c>
      <c r="H94" s="300">
        <f>'Рулонные СТАНДАРТ'!H93+'Рулонные СТАНДАРТ'!H93*10/100</f>
        <v>60.809034000000011</v>
      </c>
      <c r="I94" s="300">
        <f>'Рулонные СТАНДАРТ'!I93+'Рулонные СТАНДАРТ'!I93*10/100</f>
        <v>64.980630000000005</v>
      </c>
      <c r="J94" s="300">
        <f>'Рулонные СТАНДАРТ'!J93+'Рулонные СТАНДАРТ'!J93*10/100</f>
        <v>68.991780000000006</v>
      </c>
      <c r="K94" s="300">
        <f>'Рулонные СТАНДАРТ'!K93+'Рулонные СТАНДАРТ'!K93*10/100</f>
        <v>73.323822000000007</v>
      </c>
      <c r="L94" s="300">
        <f>'Рулонные СТАНДАРТ'!L93+'Рулонные СТАНДАРТ'!L93*10/100</f>
        <v>77.495418000000015</v>
      </c>
      <c r="M94" s="300">
        <f>'Рулонные СТАНДАРТ'!M93+'Рулонные СТАНДАРТ'!M93*10/100</f>
        <v>81.667014000000009</v>
      </c>
      <c r="N94" s="300">
        <f>'Рулонные СТАНДАРТ'!N93+'Рулонные СТАНДАРТ'!N93*10/100</f>
        <v>85.999056000000024</v>
      </c>
      <c r="O94" s="300">
        <f>'Рулонные СТАНДАРТ'!O93+'Рулонные СТАНДАРТ'!O93*10/100</f>
        <v>90.010206000000011</v>
      </c>
      <c r="P94" s="304">
        <f>'Рулонные СТАНДАРТ'!P93+'Рулонные СТАНДАРТ'!P93*10/100</f>
        <v>94.181802000000019</v>
      </c>
    </row>
    <row r="95" spans="1:16">
      <c r="A95" s="1538"/>
      <c r="B95" s="298">
        <v>1.5</v>
      </c>
      <c r="C95" s="303">
        <f>'Рулонные СТАНДАРТ'!C94+'Рулонные СТАНДАРТ'!C94*10/100</f>
        <v>41.074176000000016</v>
      </c>
      <c r="D95" s="300">
        <f>'Рулонные СТАНДАРТ'!D94+'Рулонные СТАНДАРТ'!D94*10/100</f>
        <v>45.566664000000003</v>
      </c>
      <c r="E95" s="300">
        <f>'Рулонные СТАНДАРТ'!E94+'Рулонные СТАНДАРТ'!E94*10/100</f>
        <v>49.898706000000011</v>
      </c>
      <c r="F95" s="300">
        <f>'Рулонные СТАНДАРТ'!F94+'Рулонные СТАНДАРТ'!F94*10/100</f>
        <v>54.391194000000006</v>
      </c>
      <c r="G95" s="300">
        <f>'Рулонные СТАНДАРТ'!G94+'Рулонные СТАНДАРТ'!G94*10/100</f>
        <v>58.723236000000007</v>
      </c>
      <c r="H95" s="300">
        <f>'Рулонные СТАНДАРТ'!H94+'Рулонные СТАНДАРТ'!H94*10/100</f>
        <v>63.215724000000016</v>
      </c>
      <c r="I95" s="300">
        <f>'Рулонные СТАНДАРТ'!I94+'Рулонные СТАНДАРТ'!I94*10/100</f>
        <v>67.708212000000017</v>
      </c>
      <c r="J95" s="300">
        <f>'Рулонные СТАНДАРТ'!J94+'Рулонные СТАНДАРТ'!J94*10/100</f>
        <v>72.040254000000019</v>
      </c>
      <c r="K95" s="300">
        <f>'Рулонные СТАНДАРТ'!K94+'Рулонные СТАНДАРТ'!K94*10/100</f>
        <v>76.532742000000013</v>
      </c>
      <c r="L95" s="300">
        <f>'Рулонные СТАНДАРТ'!L94+'Рулонные СТАНДАРТ'!L94*10/100</f>
        <v>80.864784</v>
      </c>
      <c r="M95" s="300">
        <f>'Рулонные СТАНДАРТ'!M94+'Рулонные СТАНДАРТ'!M94*10/100</f>
        <v>85.357272000000023</v>
      </c>
      <c r="N95" s="300">
        <f>'Рулонные СТАНДАРТ'!N94+'Рулонные СТАНДАРТ'!N94*10/100</f>
        <v>89.849760000000018</v>
      </c>
      <c r="O95" s="300">
        <f>'Рулонные СТАНДАРТ'!O94+'Рулонные СТАНДАРТ'!O94*10/100</f>
        <v>94.181802000000019</v>
      </c>
      <c r="P95" s="304">
        <f>'Рулонные СТАНДАРТ'!P94+'Рулонные СТАНДАРТ'!P94*10/100</f>
        <v>98.674290000000013</v>
      </c>
    </row>
    <row r="96" spans="1:16">
      <c r="A96" s="1538"/>
      <c r="B96" s="298">
        <v>1.6</v>
      </c>
      <c r="C96" s="303">
        <f>'Рулонные СТАНДАРТ'!C95+'Рулонные СТАНДАРТ'!C95*10/100</f>
        <v>42.197298000000004</v>
      </c>
      <c r="D96" s="300">
        <f>'Рулонные СТАНДАРТ'!D95+'Рулонные СТАНДАРТ'!D95*10/100</f>
        <v>46.850232000000005</v>
      </c>
      <c r="E96" s="300">
        <f>'Рулонные СТАНДАРТ'!E95+'Рулонные СТАНДАРТ'!E95*10/100</f>
        <v>51.663612000000008</v>
      </c>
      <c r="F96" s="300">
        <f>'Рулонные СТАНДАРТ'!F95+'Рулонные СТАНДАРТ'!F95*10/100</f>
        <v>56.316546000000002</v>
      </c>
      <c r="G96" s="300">
        <f>'Рулонные СТАНДАРТ'!G95+'Рулонные СТАНДАРТ'!G95*10/100</f>
        <v>60.809034000000011</v>
      </c>
      <c r="H96" s="300">
        <f>'Рулонные СТАНДАРТ'!H95+'Рулонные СТАНДАРТ'!H95*10/100</f>
        <v>65.461968000000013</v>
      </c>
      <c r="I96" s="300">
        <f>'Рулонные СТАНДАРТ'!I95+'Рулонные СТАНДАРТ'!I95*10/100</f>
        <v>70.275347999999994</v>
      </c>
      <c r="J96" s="300">
        <f>'Рулонные СТАНДАРТ'!J95+'Рулонные СТАНДАРТ'!J95*10/100</f>
        <v>74.928281999999996</v>
      </c>
      <c r="K96" s="300">
        <f>'Рулонные СТАНДАРТ'!K95+'Рулонные СТАНДАРТ'!K95*10/100</f>
        <v>79.741662000000005</v>
      </c>
      <c r="L96" s="300">
        <f>'Рулонные СТАНДАРТ'!L95+'Рулонные СТАНДАРТ'!L95*10/100</f>
        <v>84.394596000000007</v>
      </c>
      <c r="M96" s="300">
        <f>'Рулонные СТАНДАРТ'!M95+'Рулонные СТАНДАРТ'!M95*10/100</f>
        <v>88.887084000000016</v>
      </c>
      <c r="N96" s="300">
        <f>'Рулонные СТАНДАРТ'!N95+'Рулонные СТАНДАРТ'!N95*10/100</f>
        <v>93.540018000000003</v>
      </c>
      <c r="O96" s="300">
        <f>'Рулонные СТАНДАРТ'!O95+'Рулонные СТАНДАРТ'!O95*10/100</f>
        <v>98.353398000000013</v>
      </c>
      <c r="P96" s="304">
        <f>'Рулонные СТАНДАРТ'!P95+'Рулонные СТАНДАРТ'!P95*10/100</f>
        <v>103.00633200000001</v>
      </c>
    </row>
    <row r="97" spans="1:16">
      <c r="A97" s="1538"/>
      <c r="B97" s="298">
        <v>1.7</v>
      </c>
      <c r="C97" s="303">
        <f>'Рулонные СТАНДАРТ'!C96+'Рулонные СТАНДАРТ'!C96*10/100</f>
        <v>43.320420000000006</v>
      </c>
      <c r="D97" s="300">
        <f>'Рулонные СТАНДАРТ'!D96+'Рулонные СТАНДАРТ'!D96*10/100</f>
        <v>48.294246000000008</v>
      </c>
      <c r="E97" s="300">
        <f>'Рулонные СТАНДАРТ'!E96+'Рулонные СТАНДАРТ'!E96*10/100</f>
        <v>53.107625999999996</v>
      </c>
      <c r="F97" s="300">
        <f>'Рулонные СТАНДАРТ'!F96+'Рулонные СТАНДАРТ'!F96*10/100</f>
        <v>58.08145200000002</v>
      </c>
      <c r="G97" s="300">
        <f>'Рулонные СТАНДАРТ'!G96+'Рулонные СТАНДАРТ'!G96*10/100</f>
        <v>63.055278000000008</v>
      </c>
      <c r="H97" s="300">
        <f>'Рулонные СТАНДАРТ'!H96+'Рулонные СТАНДАРТ'!H96*10/100</f>
        <v>67.868658000000011</v>
      </c>
      <c r="I97" s="300">
        <f>'Рулонные СТАНДАРТ'!I96+'Рулонные СТАНДАРТ'!I96*10/100</f>
        <v>73.002930000000006</v>
      </c>
      <c r="J97" s="300">
        <f>'Рулонные СТАНДАРТ'!J96+'Рулонные СТАНДАРТ'!J96*10/100</f>
        <v>77.976756000000009</v>
      </c>
      <c r="K97" s="300">
        <f>'Рулонные СТАНДАРТ'!K96+'Рулонные СТАНДАРТ'!K96*10/100</f>
        <v>82.790136000000018</v>
      </c>
      <c r="L97" s="300">
        <f>'Рулонные СТАНДАРТ'!L96+'Рулонные СТАНДАРТ'!L96*10/100</f>
        <v>87.763962000000021</v>
      </c>
      <c r="M97" s="300">
        <f>'Рулонные СТАНДАРТ'!M96+'Рулонные СТАНДАРТ'!M96*10/100</f>
        <v>92.577342000000016</v>
      </c>
      <c r="N97" s="300">
        <f>'Рулонные СТАНДАРТ'!N96+'Рулонные СТАНДАРТ'!N96*10/100</f>
        <v>97.551168000000018</v>
      </c>
      <c r="O97" s="300">
        <f>'Рулонные СТАНДАРТ'!O96+'Рулонные СТАНДАРТ'!O96*10/100</f>
        <v>102.36454800000001</v>
      </c>
      <c r="P97" s="304">
        <f>'Рулонные СТАНДАРТ'!P96+'Рулонные СТАНДАРТ'!P96*10/100</f>
        <v>107.33837400000002</v>
      </c>
    </row>
    <row r="98" spans="1:16">
      <c r="A98" s="1538"/>
      <c r="B98" s="298">
        <v>1.8</v>
      </c>
      <c r="C98" s="303">
        <f>'Рулонные СТАНДАРТ'!C97+'Рулонные СТАНДАРТ'!C97*10/100</f>
        <v>44.603988000000001</v>
      </c>
      <c r="D98" s="300">
        <f>'Рулонные СТАНДАРТ'!D97+'Рулонные СТАНДАРТ'!D97*10/100</f>
        <v>49.577814000000011</v>
      </c>
      <c r="E98" s="300">
        <f>'Рулонные СТАНДАРТ'!E97+'Рулонные СТАНДАРТ'!E97*10/100</f>
        <v>54.872532000000007</v>
      </c>
      <c r="F98" s="300">
        <f>'Рулонные СТАНДАРТ'!F97+'Рулонные СТАНДАРТ'!F97*10/100</f>
        <v>60.006804000000002</v>
      </c>
      <c r="G98" s="300">
        <f>'Рулонные СТАНДАРТ'!G97+'Рулонные СТАНДАРТ'!G97*10/100</f>
        <v>65.141075999999998</v>
      </c>
      <c r="H98" s="300">
        <f>'Рулонные СТАНДАРТ'!H97+'Рулонные СТАНДАРТ'!H97*10/100</f>
        <v>70.435794000000001</v>
      </c>
      <c r="I98" s="300">
        <f>'Рулонные СТАНДАРТ'!I97+'Рулонные СТАНДАРТ'!I97*10/100</f>
        <v>75.570066000000011</v>
      </c>
      <c r="J98" s="300">
        <f>'Рулонные СТАНДАРТ'!J97+'Рулонные СТАНДАРТ'!J97*10/100</f>
        <v>80.704338000000007</v>
      </c>
      <c r="K98" s="300">
        <f>'Рулонные СТАНДАРТ'!K97+'Рулонные СТАНДАРТ'!K97*10/100</f>
        <v>85.999056000000024</v>
      </c>
      <c r="L98" s="300">
        <f>'Рулонные СТАНДАРТ'!L97+'Рулонные СТАНДАРТ'!L97*10/100</f>
        <v>90.972882000000013</v>
      </c>
      <c r="M98" s="300">
        <f>'Рулонные СТАНДАРТ'!M97+'Рулонные СТАНДАРТ'!M97*10/100</f>
        <v>96.107154000000008</v>
      </c>
      <c r="N98" s="300">
        <f>'Рулонные СТАНДАРТ'!N97+'Рулонные СТАНДАРТ'!N97*10/100</f>
        <v>101.40187200000003</v>
      </c>
      <c r="O98" s="300">
        <f>'Рулонные СТАНДАРТ'!O97+'Рулонные СТАНДАРТ'!O97*10/100</f>
        <v>106.53614400000004</v>
      </c>
      <c r="P98" s="304">
        <f>'Рулонные СТАНДАРТ'!P97+'Рулонные СТАНДАРТ'!P97*10/100</f>
        <v>111.83086200000002</v>
      </c>
    </row>
    <row r="99" spans="1:16">
      <c r="A99" s="1538"/>
      <c r="B99" s="298">
        <v>1.9</v>
      </c>
      <c r="C99" s="303">
        <f>'Рулонные СТАНДАРТ'!C98+'Рулонные СТАНДАРТ'!C98*10/100</f>
        <v>46.850232000000005</v>
      </c>
      <c r="D99" s="300">
        <f>'Рулонные СТАНДАРТ'!D98+'Рулонные СТАНДАРТ'!D98*10/100</f>
        <v>52.626287999999995</v>
      </c>
      <c r="E99" s="300">
        <f>'Рулонные СТАНДАРТ'!E98+'Рулонные СТАНДАРТ'!E98*10/100</f>
        <v>58.08145200000002</v>
      </c>
      <c r="F99" s="300">
        <f>'Рулонные СТАНДАРТ'!F98+'Рулонные СТАНДАРТ'!F98*10/100</f>
        <v>63.697062000000017</v>
      </c>
      <c r="G99" s="300">
        <f>'Рулонные СТАНДАРТ'!G98+'Рулонные СТАНДАРТ'!G98*10/100</f>
        <v>69.473117999999999</v>
      </c>
      <c r="H99" s="300">
        <f>'Рулонные СТАНДАРТ'!H98+'Рулонные СТАНДАРТ'!H98*10/100</f>
        <v>75.088728000000003</v>
      </c>
      <c r="I99" s="300">
        <f>'Рулонные СТАНДАРТ'!I98+'Рулонные СТАНДАРТ'!I98*10/100</f>
        <v>80.864784</v>
      </c>
      <c r="J99" s="300">
        <f>'Рулонные СТАНДАРТ'!J98+'Рулонные СТАНДАРТ'!J98*10/100</f>
        <v>86.480394000000018</v>
      </c>
      <c r="K99" s="300">
        <f>'Рулонные СТАНДАРТ'!K98+'Рулонные СТАНДАРТ'!K98*10/100</f>
        <v>92.256450000000015</v>
      </c>
      <c r="L99" s="300">
        <f>'Рулонные СТАНДАРТ'!L98+'Рулонные СТАНДАРТ'!L98*10/100</f>
        <v>97.872060000000005</v>
      </c>
      <c r="M99" s="300">
        <f>'Рулонные СТАНДАРТ'!M98+'Рулонные СТАНДАРТ'!M98*10/100</f>
        <v>103.48767000000004</v>
      </c>
      <c r="N99" s="300">
        <f>'Рулонные СТАНДАРТ'!N98+'Рулонные СТАНДАРТ'!N98*10/100</f>
        <v>109.10328000000001</v>
      </c>
      <c r="O99" s="300">
        <f>'Рулонные СТАНДАРТ'!O98+'Рулонные СТАНДАРТ'!O98*10/100</f>
        <v>114.71889000000002</v>
      </c>
      <c r="P99" s="304">
        <f>'Рулонные СТАНДАРТ'!P98+'Рулонные СТАНДАРТ'!P98*10/100</f>
        <v>120.494946</v>
      </c>
    </row>
    <row r="100" spans="1:16">
      <c r="A100" s="1538"/>
      <c r="B100" s="298">
        <v>2</v>
      </c>
      <c r="C100" s="303">
        <f>'Рулонные СТАНДАРТ'!C99+'Рулонные СТАНДАРТ'!C99*10/100</f>
        <v>48.133800000000001</v>
      </c>
      <c r="D100" s="300">
        <f>'Рулонные СТАНДАРТ'!D99+'Рулонные СТАНДАРТ'!D99*10/100</f>
        <v>53.909856000000019</v>
      </c>
      <c r="E100" s="300">
        <f>'Рулонные СТАНДАРТ'!E99+'Рулонные СТАНДАРТ'!E99*10/100</f>
        <v>59.846358000000009</v>
      </c>
      <c r="F100" s="300">
        <f>'Рулонные СТАНДАРТ'!F99+'Рулонные СТАНДАРТ'!F99*10/100</f>
        <v>65.782859999999999</v>
      </c>
      <c r="G100" s="300">
        <f>'Рулонные СТАНДАРТ'!G99+'Рулонные СТАНДАРТ'!G99*10/100</f>
        <v>71.558916000000025</v>
      </c>
      <c r="H100" s="300">
        <f>'Рулонные СТАНДАРТ'!H99+'Рулонные СТАНДАРТ'!H99*10/100</f>
        <v>77.495418000000015</v>
      </c>
      <c r="I100" s="300">
        <f>'Рулонные СТАНДАРТ'!I99+'Рулонные СТАНДАРТ'!I99*10/100</f>
        <v>83.431920000000005</v>
      </c>
      <c r="J100" s="300">
        <f>'Рулонные СТАНДАРТ'!J99+'Рулонные СТАНДАРТ'!J99*10/100</f>
        <v>89.528868000000003</v>
      </c>
      <c r="K100" s="300">
        <f>'Рулонные СТАНДАРТ'!K99+'Рулонные СТАНДАРТ'!K99*10/100</f>
        <v>95.304924000000014</v>
      </c>
      <c r="L100" s="300">
        <f>'Рулонные СТАНДАРТ'!L99+'Рулонные СТАНДАРТ'!L99*10/100</f>
        <v>101.24142600000003</v>
      </c>
      <c r="M100" s="300">
        <f>'Рулонные СТАНДАРТ'!M99+'Рулонные СТАНДАРТ'!M99*10/100</f>
        <v>107.17792799999999</v>
      </c>
      <c r="N100" s="300">
        <f>'Рулонные СТАНДАРТ'!N99+'Рулонные СТАНДАРТ'!N99*10/100</f>
        <v>112.95398400000002</v>
      </c>
      <c r="O100" s="300">
        <f>'Рулонные СТАНДАРТ'!O99+'Рулонные СТАНДАРТ'!O99*10/100</f>
        <v>118.89048600000001</v>
      </c>
      <c r="P100" s="304">
        <f>'Рулонные СТАНДАРТ'!P99+'Рулонные СТАНДАРТ'!P99*10/100</f>
        <v>124.826988</v>
      </c>
    </row>
    <row r="101" spans="1:16">
      <c r="A101" s="1538"/>
      <c r="B101" s="298">
        <v>2.1</v>
      </c>
      <c r="C101" s="303">
        <f>'Рулонные СТАНДАРТ'!C100+'Рулонные СТАНДАРТ'!C100*10/100</f>
        <v>49.09647600000001</v>
      </c>
      <c r="D101" s="300">
        <f>'Рулонные СТАНДАРТ'!D100+'Рулонные СТАНДАРТ'!D100*10/100</f>
        <v>55.353870000000008</v>
      </c>
      <c r="E101" s="300">
        <f>'Рулонные СТАНДАРТ'!E100+'Рулонные СТАНДАРТ'!E100*10/100</f>
        <v>61.450817999999998</v>
      </c>
      <c r="F101" s="300">
        <f>'Рулонные СТАНДАРТ'!F100+'Рулонные СТАНДАРТ'!F100*10/100</f>
        <v>67.708212000000017</v>
      </c>
      <c r="G101" s="300">
        <f>'Рулонные СТАНДАРТ'!G100+'Рулонные СТАНДАРТ'!G100*10/100</f>
        <v>73.805160000000001</v>
      </c>
      <c r="H101" s="300">
        <f>'Рулонные СТАНДАРТ'!H100+'Рулонные СТАНДАРТ'!H100*10/100</f>
        <v>79.902108000000013</v>
      </c>
      <c r="I101" s="300">
        <f>'Рулонные СТАНДАРТ'!I100+'Рулонные СТАНДАРТ'!I100*10/100</f>
        <v>86.159502000000018</v>
      </c>
      <c r="J101" s="300">
        <f>'Рулонные СТАНДАРТ'!J100+'Рулонные СТАНДАРТ'!J100*10/100</f>
        <v>92.256450000000015</v>
      </c>
      <c r="K101" s="300">
        <f>'Рулонные СТАНДАРТ'!K100+'Рулонные СТАНДАРТ'!K100*10/100</f>
        <v>98.513844000000006</v>
      </c>
      <c r="L101" s="300">
        <f>'Рулонные СТАНДАРТ'!L100+'Рулонные СТАНДАРТ'!L100*10/100</f>
        <v>104.610792</v>
      </c>
      <c r="M101" s="300">
        <f>'Рулонные СТАНДАРТ'!M100+'Рулонные СТАНДАРТ'!M100*10/100</f>
        <v>110.70774000000002</v>
      </c>
      <c r="N101" s="300">
        <f>'Рулонные СТАНДАРТ'!N100+'Рулонные СТАНДАРТ'!N100*10/100</f>
        <v>116.96513400000002</v>
      </c>
      <c r="O101" s="300">
        <f>'Рулонные СТАНДАРТ'!O100+'Рулонные СТАНДАРТ'!O100*10/100</f>
        <v>123.06208200000003</v>
      </c>
      <c r="P101" s="304">
        <f>'Рулонные СТАНДАРТ'!P100+'Рулонные СТАНДАРТ'!P100*10/100</f>
        <v>129.31947600000001</v>
      </c>
    </row>
    <row r="102" spans="1:16">
      <c r="A102" s="1538"/>
      <c r="B102" s="298">
        <v>2.2000000000000002</v>
      </c>
      <c r="C102" s="303">
        <f>'Рулонные СТАНДАРТ'!C101+'Рулонные СТАНДАРТ'!C101*10/100</f>
        <v>50.219598000000012</v>
      </c>
      <c r="D102" s="300">
        <f>'Рулонные СТАНДАРТ'!D101+'Рулонные СТАНДАРТ'!D101*10/100</f>
        <v>56.637438000000003</v>
      </c>
      <c r="E102" s="300">
        <f>'Рулонные СТАНДАРТ'!E101+'Рулонные СТАНДАРТ'!E101*10/100</f>
        <v>63.215724000000016</v>
      </c>
      <c r="F102" s="300">
        <f>'Рулонные СТАНДАРТ'!F101+'Рулонные СТАНДАРТ'!F101*10/100</f>
        <v>69.473117999999999</v>
      </c>
      <c r="G102" s="300">
        <f>'Рулонные СТАНДАРТ'!G101+'Рулонные СТАНДАРТ'!G101*10/100</f>
        <v>75.890958000000012</v>
      </c>
      <c r="H102" s="300">
        <f>'Рулонные СТАНДАРТ'!H101+'Рулонные СТАНДАРТ'!H101*10/100</f>
        <v>82.469244000000003</v>
      </c>
      <c r="I102" s="300">
        <f>'Рулонные СТАНДАРТ'!I101+'Рулонные СТАНДАРТ'!I101*10/100</f>
        <v>88.726637999999994</v>
      </c>
      <c r="J102" s="300">
        <f>'Рулонные СТАНДАРТ'!J101+'Рулонные СТАНДАРТ'!J101*10/100</f>
        <v>95.144477999999992</v>
      </c>
      <c r="K102" s="300">
        <f>'Рулонные СТАНДАРТ'!K101+'Рулонные СТАНДАРТ'!K101*10/100</f>
        <v>101.72276400000001</v>
      </c>
      <c r="L102" s="300">
        <f>'Рулонные СТАНДАРТ'!L101+'Рулонные СТАНДАРТ'!L101*10/100</f>
        <v>107.98015800000002</v>
      </c>
      <c r="M102" s="300">
        <f>'Рулонные СТАНДАРТ'!M101+'Рулонные СТАНДАРТ'!M101*10/100</f>
        <v>114.39799800000003</v>
      </c>
      <c r="N102" s="300">
        <f>'Рулонные СТАНДАРТ'!N101+'Рулонные СТАНДАРТ'!N101*10/100</f>
        <v>120.81583800000003</v>
      </c>
      <c r="O102" s="300">
        <f>'Рулонные СТАНДАРТ'!O101+'Рулонные СТАНДАРТ'!O101*10/100</f>
        <v>127.23367800000001</v>
      </c>
      <c r="P102" s="304">
        <f>'Рулонные СТАНДАРТ'!P101+'Рулонные СТАНДАРТ'!P101*10/100</f>
        <v>133.65151800000001</v>
      </c>
    </row>
    <row r="103" spans="1:16">
      <c r="A103" s="1538"/>
      <c r="B103" s="298">
        <v>2.2999999999999998</v>
      </c>
      <c r="C103" s="303">
        <f>'Рулонные СТАНДАРТ'!C102+'Рулонные СТАНДАРТ'!C102*10/100</f>
        <v>51.342720000000007</v>
      </c>
      <c r="D103" s="300">
        <f>'Рулонные СТАНДАРТ'!D102+'Рулонные СТАНДАРТ'!D102*10/100</f>
        <v>58.08145200000002</v>
      </c>
      <c r="E103" s="300">
        <f>'Рулонные СТАНДАРТ'!E102+'Рулонные СТАНДАРТ'!E102*10/100</f>
        <v>64.820184000000012</v>
      </c>
      <c r="F103" s="300">
        <f>'Рулонные СТАНДАРТ'!F102+'Рулонные СТАНДАРТ'!F102*10/100</f>
        <v>71.398470000000003</v>
      </c>
      <c r="G103" s="300">
        <f>'Рулонные СТАНДАРТ'!G102+'Рулонные СТАНДАРТ'!G102*10/100</f>
        <v>78.137202000000016</v>
      </c>
      <c r="H103" s="300">
        <f>'Рулонные СТАНДАРТ'!H102+'Рулонные СТАНДАРТ'!H102*10/100</f>
        <v>84.715488000000008</v>
      </c>
      <c r="I103" s="300">
        <f>'Рулонные СТАНДАРТ'!I102+'Рулонные СТАНДАРТ'!I102*10/100</f>
        <v>91.454220000000021</v>
      </c>
      <c r="J103" s="300">
        <f>'Рулонные СТАНДАРТ'!J102+'Рулонные СТАНДАРТ'!J102*10/100</f>
        <v>98.19295200000002</v>
      </c>
      <c r="K103" s="300">
        <f>'Рулонные СТАНДАРТ'!K102+'Рулонные СТАНДАРТ'!K102*10/100</f>
        <v>104.77123800000001</v>
      </c>
      <c r="L103" s="300">
        <f>'Рулонные СТАНДАРТ'!L102+'Рулонные СТАНДАРТ'!L102*10/100</f>
        <v>111.50997000000002</v>
      </c>
      <c r="M103" s="300">
        <f>'Рулонные СТАНДАРТ'!M102+'Рулонные СТАНДАРТ'!M102*10/100</f>
        <v>117.92781000000001</v>
      </c>
      <c r="N103" s="300">
        <f>'Рулонные СТАНДАРТ'!N102+'Рулонные СТАНДАРТ'!N102*10/100</f>
        <v>124.66654200000001</v>
      </c>
      <c r="O103" s="300">
        <f>'Рулонные СТАНДАРТ'!O102+'Рулонные СТАНДАРТ'!O102*10/100</f>
        <v>131.24482799999998</v>
      </c>
      <c r="P103" s="304">
        <f>'Рулонные СТАНДАРТ'!P102+'Рулонные СТАНДАРТ'!P102*10/100</f>
        <v>137.98356000000001</v>
      </c>
    </row>
    <row r="104" spans="1:16">
      <c r="A104" s="1538"/>
      <c r="B104" s="298">
        <v>2.4</v>
      </c>
      <c r="C104" s="303">
        <f>'Рулонные СТАНДАРТ'!C103+'Рулонные СТАНДАРТ'!C103*10/100</f>
        <v>52.626287999999995</v>
      </c>
      <c r="D104" s="300">
        <f>'Рулонные СТАНДАРТ'!D103+'Рулонные СТАНДАРТ'!D103*10/100</f>
        <v>59.525466000000009</v>
      </c>
      <c r="E104" s="300">
        <f>'Рулонные СТАНДАРТ'!E103+'Рулонные СТАНДАРТ'!E103*10/100</f>
        <v>66.585089999999994</v>
      </c>
      <c r="F104" s="300">
        <f>'Рулонные СТАНДАРТ'!F103+'Рулонные СТАНДАРТ'!F103*10/100</f>
        <v>73.323822000000007</v>
      </c>
      <c r="G104" s="300">
        <f>'Рулонные СТАНДАРТ'!G103+'Рулонные СТАНДАРТ'!G103*10/100</f>
        <v>80.223000000000013</v>
      </c>
      <c r="H104" s="300">
        <f>'Рулонные СТАНДАРТ'!H103+'Рулонные СТАНДАРТ'!H103*10/100</f>
        <v>87.122178000000005</v>
      </c>
      <c r="I104" s="300">
        <f>'Рулонные СТАНДАРТ'!I103+'Рулонные СТАНДАРТ'!I103*10/100</f>
        <v>94.021356000000026</v>
      </c>
      <c r="J104" s="300">
        <f>'Рулонные СТАНДАРТ'!J103+'Рулонные СТАНДАРТ'!J103*10/100</f>
        <v>100.920534</v>
      </c>
      <c r="K104" s="300">
        <f>'Рулонные СТАНДАРТ'!K103+'Рулонные СТАНДАРТ'!K103*10/100</f>
        <v>107.98015800000002</v>
      </c>
      <c r="L104" s="300">
        <f>'Рулонные СТАНДАРТ'!L103+'Рулонные СТАНДАРТ'!L103*10/100</f>
        <v>114.71889000000002</v>
      </c>
      <c r="M104" s="300">
        <f>'Рулонные СТАНДАРТ'!M103+'Рулонные СТАНДАРТ'!M103*10/100</f>
        <v>121.61806800000002</v>
      </c>
      <c r="N104" s="300">
        <f>'Рулонные СТАНДАРТ'!N103+'Рулонные СТАНДАРТ'!N103*10/100</f>
        <v>128.517246</v>
      </c>
      <c r="O104" s="300">
        <f>'Рулонные СТАНДАРТ'!O103+'Рулонные СТАНДАРТ'!O103*10/100</f>
        <v>135.41642400000003</v>
      </c>
      <c r="P104" s="304">
        <f>'Рулонные СТАНДАРТ'!P103+'Рулонные СТАНДАРТ'!P103*10/100</f>
        <v>142.31560200000001</v>
      </c>
    </row>
    <row r="105" spans="1:16">
      <c r="A105" s="1538"/>
      <c r="B105" s="298">
        <v>2.5</v>
      </c>
      <c r="C105" s="303">
        <f>'Рулонные СТАНДАРТ'!C104+'Рулонные СТАНДАРТ'!C104*10/100</f>
        <v>53.749410000000012</v>
      </c>
      <c r="D105" s="300">
        <f>'Рулонные СТАНДАРТ'!D104+'Рулонные СТАНДАРТ'!D104*10/100</f>
        <v>60.969480000000004</v>
      </c>
      <c r="E105" s="300">
        <f>'Рулонные СТАНДАРТ'!E104+'Рулонные СТАНДАРТ'!E104*10/100</f>
        <v>68.029104000000004</v>
      </c>
      <c r="F105" s="300">
        <f>'Рулонные СТАНДАРТ'!F104+'Рулонные СТАНДАРТ'!F104*10/100</f>
        <v>75.088728000000003</v>
      </c>
      <c r="G105" s="300">
        <f>'Рулонные СТАНДАРТ'!G104+'Рулонные СТАНДАРТ'!G104*10/100</f>
        <v>82.469244000000003</v>
      </c>
      <c r="H105" s="300">
        <f>'Рулонные СТАНДАРТ'!H104+'Рулонные СТАНДАРТ'!H104*10/100</f>
        <v>89.528868000000003</v>
      </c>
      <c r="I105" s="300">
        <f>'Рулонные СТАНДАРТ'!I104+'Рулонные СТАНДАРТ'!I104*10/100</f>
        <v>96.74893800000001</v>
      </c>
      <c r="J105" s="300">
        <f>'Рулонные СТАНДАРТ'!J104+'Рулонные СТАНДАРТ'!J104*10/100</f>
        <v>103.80856200000002</v>
      </c>
      <c r="K105" s="300">
        <f>'Рулонные СТАНДАРТ'!K104+'Рулонные СТАНДАРТ'!K104*10/100</f>
        <v>111.02863200000002</v>
      </c>
      <c r="L105" s="300">
        <f>'Рулонные СТАНДАРТ'!L104+'Рулонные СТАНДАРТ'!L104*10/100</f>
        <v>118.08825600000002</v>
      </c>
      <c r="M105" s="300">
        <f>'Рулонные СТАНДАРТ'!M104+'Рулонные СТАНДАРТ'!M104*10/100</f>
        <v>125.14788000000003</v>
      </c>
      <c r="N105" s="300">
        <f>'Рулонные СТАНДАРТ'!N104+'Рулонные СТАНДАРТ'!N104*10/100</f>
        <v>132.52839600000001</v>
      </c>
      <c r="O105" s="300">
        <f>'Рулонные СТАНДАРТ'!O104+'Рулонные СТАНДАРТ'!O104*10/100</f>
        <v>139.58802</v>
      </c>
      <c r="P105" s="304">
        <f>'Рулонные СТАНДАРТ'!P104+'Рулонные СТАНДАРТ'!P104*10/100</f>
        <v>146.80809000000002</v>
      </c>
    </row>
    <row r="106" spans="1:16" ht="13.8" thickBot="1">
      <c r="A106" s="1539"/>
      <c r="B106" s="299">
        <v>2.5499999999999998</v>
      </c>
      <c r="C106" s="305">
        <f>'Рулонные СТАНДАРТ'!C105+'Рулонные СТАНДАРТ'!C105*10/100</f>
        <v>54.872532000000007</v>
      </c>
      <c r="D106" s="306">
        <f>'Рулонные СТАНДАРТ'!D105+'Рулонные СТАНДАРТ'!D105*10/100</f>
        <v>62.413494</v>
      </c>
      <c r="E106" s="306">
        <f>'Рулонные СТАНДАРТ'!E105+'Рулонные СТАНДАРТ'!E105*10/100</f>
        <v>69.633564000000007</v>
      </c>
      <c r="F106" s="306">
        <f>'Рулонные СТАНДАРТ'!F105+'Рулонные СТАНДАРТ'!F105*10/100</f>
        <v>77.174526000000014</v>
      </c>
      <c r="G106" s="306">
        <f>'Рулонные СТАНДАРТ'!G105+'Рулонные СТАНДАРТ'!G105*10/100</f>
        <v>84.555042000000014</v>
      </c>
      <c r="H106" s="306">
        <f>'Рулонные СТАНДАРТ'!H105+'Рулонные СТАНДАРТ'!H105*10/100</f>
        <v>91.775112000000007</v>
      </c>
      <c r="I106" s="306">
        <f>'Рулонные СТАНДАРТ'!I105+'Рулонные СТАНДАРТ'!I105*10/100</f>
        <v>99.316074000000015</v>
      </c>
      <c r="J106" s="306">
        <f>'Рулонные СТАНДАРТ'!J105+'Рулонные СТАНДАРТ'!J105*10/100</f>
        <v>106.69659000000001</v>
      </c>
      <c r="K106" s="306">
        <f>'Рулонные СТАНДАРТ'!K105+'Рулонные СТАНДАРТ'!K105*10/100</f>
        <v>114.23755200000004</v>
      </c>
      <c r="L106" s="306">
        <f>'Рулонные СТАНДАРТ'!L105+'Рулонные СТАНДАРТ'!L105*10/100</f>
        <v>121.45762200000001</v>
      </c>
      <c r="M106" s="306">
        <f>'Рулонные СТАНДАРТ'!M105+'Рулонные СТАНДАРТ'!M105*10/100</f>
        <v>128.99858400000002</v>
      </c>
      <c r="N106" s="306">
        <f>'Рулонные СТАНДАРТ'!N105+'Рулонные СТАНДАРТ'!N105*10/100</f>
        <v>136.37910000000002</v>
      </c>
      <c r="O106" s="306">
        <f>'Рулонные СТАНДАРТ'!O105+'Рулонные СТАНДАРТ'!O105*10/100</f>
        <v>143.59917000000002</v>
      </c>
      <c r="P106" s="307">
        <f>'Рулонные СТАНДАРТ'!P105+'Рулонные СТАНДАРТ'!P105*10/100</f>
        <v>151.14013200000002</v>
      </c>
    </row>
    <row r="107" spans="1:16" ht="13.8" thickBot="1">
      <c r="A107" s="283"/>
      <c r="B107" s="284"/>
      <c r="C107" s="496"/>
      <c r="D107" s="496"/>
      <c r="E107" s="496"/>
      <c r="F107" s="496"/>
      <c r="G107" s="496"/>
      <c r="H107" s="496"/>
      <c r="I107" s="496"/>
      <c r="J107" s="496"/>
      <c r="K107" s="496"/>
      <c r="L107" s="496"/>
      <c r="M107" s="496"/>
      <c r="N107" s="496"/>
      <c r="O107" s="496"/>
      <c r="P107" s="496"/>
    </row>
    <row r="108" spans="1:16" ht="13.8" thickBot="1">
      <c r="A108" s="1413" t="s">
        <v>319</v>
      </c>
      <c r="B108" s="1542"/>
      <c r="C108" s="1534" t="s">
        <v>207</v>
      </c>
      <c r="D108" s="1535"/>
      <c r="E108" s="1535"/>
      <c r="F108" s="1535"/>
      <c r="G108" s="1535"/>
      <c r="H108" s="1535"/>
      <c r="I108" s="1535"/>
      <c r="J108" s="1535"/>
      <c r="K108" s="1535"/>
      <c r="L108" s="1535"/>
      <c r="M108" s="1535"/>
      <c r="N108" s="1535"/>
      <c r="O108" s="1535"/>
      <c r="P108" s="1536"/>
    </row>
    <row r="109" spans="1:16" ht="13.8" thickBot="1">
      <c r="A109" s="1543"/>
      <c r="B109" s="1544"/>
      <c r="C109" s="389">
        <v>0.4</v>
      </c>
      <c r="D109" s="389">
        <v>0.5</v>
      </c>
      <c r="E109" s="389">
        <v>0.6</v>
      </c>
      <c r="F109" s="389">
        <v>0.7</v>
      </c>
      <c r="G109" s="389">
        <v>0.8</v>
      </c>
      <c r="H109" s="389">
        <v>0.9</v>
      </c>
      <c r="I109" s="389">
        <v>1</v>
      </c>
      <c r="J109" s="389">
        <v>1.1000000000000001</v>
      </c>
      <c r="K109" s="389">
        <v>1.2</v>
      </c>
      <c r="L109" s="389">
        <v>1.3</v>
      </c>
      <c r="M109" s="389">
        <v>1.4</v>
      </c>
      <c r="N109" s="389">
        <v>1.5</v>
      </c>
      <c r="O109" s="389">
        <v>1.6</v>
      </c>
      <c r="P109" s="390">
        <v>1.7</v>
      </c>
    </row>
    <row r="110" spans="1:16">
      <c r="A110" s="1537" t="s">
        <v>3</v>
      </c>
      <c r="B110" s="297">
        <v>0.5</v>
      </c>
      <c r="C110" s="274">
        <f>'Рулонные СТАНДАРТ'!C109+'Рулонные СТАНДАРТ'!C109*5/100</f>
        <v>37.52248500000001</v>
      </c>
      <c r="D110" s="301">
        <f>'Рулонные СТАНДАРТ'!D109+'Рулонные СТАНДАРТ'!D109*5/100</f>
        <v>40.58554500000001</v>
      </c>
      <c r="E110" s="301">
        <f>'Рулонные СТАНДАРТ'!E109+'Рулонные СТАНДАРТ'!E109*5/100</f>
        <v>43.801758</v>
      </c>
      <c r="F110" s="301">
        <f>'Рулонные СТАНДАРТ'!F109+'Рулонные СТАНДАРТ'!F109*5/100</f>
        <v>47.017971000000003</v>
      </c>
      <c r="G110" s="301">
        <f>'Рулонные СТАНДАРТ'!G109+'Рулонные СТАНДАРТ'!G109*5/100</f>
        <v>50.234183999999999</v>
      </c>
      <c r="H110" s="301">
        <f>'Рулонные СТАНДАРТ'!H109+'Рулонные СТАНДАРТ'!H109*5/100</f>
        <v>53.450397000000002</v>
      </c>
      <c r="I110" s="301">
        <f>'Рулонные СТАНДАРТ'!I109+'Рулонные СТАНДАРТ'!I109*5/100</f>
        <v>56.513457000000002</v>
      </c>
      <c r="J110" s="301">
        <f>'Рулонные СТАНДАРТ'!J109+'Рулонные СТАНДАРТ'!J109*5/100</f>
        <v>59.576516999999996</v>
      </c>
      <c r="K110" s="301">
        <f>'Рулонные СТАНДАРТ'!K109+'Рулонные СТАНДАРТ'!K109*5/100</f>
        <v>62.792730000000006</v>
      </c>
      <c r="L110" s="301">
        <f>'Рулонные СТАНДАРТ'!L109+'Рулонные СТАНДАРТ'!L109*5/100</f>
        <v>65.855790000000013</v>
      </c>
      <c r="M110" s="301">
        <f>'Рулонные СТАНДАРТ'!M109+'Рулонные СТАНДАРТ'!M109*5/100</f>
        <v>69.072003000000009</v>
      </c>
      <c r="N110" s="301">
        <f>'Рулонные СТАНДАРТ'!N109+'Рулонные СТАНДАРТ'!N109*5/100</f>
        <v>72.28821600000002</v>
      </c>
      <c r="O110" s="301">
        <f>'Рулонные СТАНДАРТ'!O109+'Рулонные СТАНДАРТ'!O109*5/100</f>
        <v>75.504429000000016</v>
      </c>
      <c r="P110" s="302">
        <f>'Рулонные СТАНДАРТ'!P109+'Рулонные СТАНДАРТ'!P109*5/100</f>
        <v>78.720642000000012</v>
      </c>
    </row>
    <row r="111" spans="1:16">
      <c r="A111" s="1538"/>
      <c r="B111" s="298">
        <v>0.6</v>
      </c>
      <c r="C111" s="303">
        <f>'Рулонные СТАНДАРТ'!C110+'Рулонные СТАНДАРТ'!C110*5/100</f>
        <v>38.900861999999996</v>
      </c>
      <c r="D111" s="300">
        <f>'Рулонные СТАНДАРТ'!D110+'Рулонные СТАНДАРТ'!D110*5/100</f>
        <v>42.576534000000002</v>
      </c>
      <c r="E111" s="300">
        <f>'Рулонные СТАНДАРТ'!E110+'Рулонные СТАНДАРТ'!E110*5/100</f>
        <v>45.945900000000002</v>
      </c>
      <c r="F111" s="300">
        <f>'Рулонные СТАНДАРТ'!F110+'Рулонные СТАНДАРТ'!F110*5/100</f>
        <v>49.468418999999997</v>
      </c>
      <c r="G111" s="300">
        <f>'Рулонные СТАНДАРТ'!G110+'Рулонные СТАНДАРТ'!G110*5/100</f>
        <v>52.990938000000007</v>
      </c>
      <c r="H111" s="300">
        <f>'Рулонные СТАНДАРТ'!H110+'Рулонные СТАНДАРТ'!H110*5/100</f>
        <v>56.360304000000006</v>
      </c>
      <c r="I111" s="300">
        <f>'Рулонные СТАНДАРТ'!I110+'Рулонные СТАНДАРТ'!I110*5/100</f>
        <v>59.882823000000016</v>
      </c>
      <c r="J111" s="300">
        <f>'Рулонные СТАНДАРТ'!J110+'Рулонные СТАНДАРТ'!J110*5/100</f>
        <v>63.558495000000001</v>
      </c>
      <c r="K111" s="300">
        <f>'Рулонные СТАНДАРТ'!K110+'Рулонные СТАНДАРТ'!K110*5/100</f>
        <v>66.927861000000021</v>
      </c>
      <c r="L111" s="300">
        <f>'Рулонные СТАНДАРТ'!L110+'Рулонные СТАНДАРТ'!L110*5/100</f>
        <v>70.45038000000001</v>
      </c>
      <c r="M111" s="300">
        <f>'Рулонные СТАНДАРТ'!M110+'Рулонные СТАНДАРТ'!M110*5/100</f>
        <v>73.972899000000012</v>
      </c>
      <c r="N111" s="300">
        <f>'Рулонные СТАНДАРТ'!N110+'Рулонные СТАНДАРТ'!N110*5/100</f>
        <v>77.342264999999998</v>
      </c>
      <c r="O111" s="300">
        <f>'Рулонные СТАНДАРТ'!O110+'Рулонные СТАНДАРТ'!O110*5/100</f>
        <v>80.864784000000014</v>
      </c>
      <c r="P111" s="304">
        <f>'Рулонные СТАНДАРТ'!P110+'Рулонные СТАНДАРТ'!P110*5/100</f>
        <v>84.234150000000014</v>
      </c>
    </row>
    <row r="112" spans="1:16">
      <c r="A112" s="1538"/>
      <c r="B112" s="298">
        <v>0.7</v>
      </c>
      <c r="C112" s="303">
        <f>'Рулонные СТАНДАРТ'!C111+'Рулонные СТАНДАРТ'!C111*5/100</f>
        <v>40.432392000000007</v>
      </c>
      <c r="D112" s="300">
        <f>'Рулонные СТАНДАРТ'!D111+'Рулонные СТАНДАРТ'!D111*5/100</f>
        <v>44.414370000000005</v>
      </c>
      <c r="E112" s="300">
        <f>'Рулонные СТАНДАРТ'!E111+'Рулонные СТАНДАРТ'!E111*5/100</f>
        <v>48.090042000000004</v>
      </c>
      <c r="F112" s="300">
        <f>'Рулонные СТАНДАРТ'!F111+'Рулонные СТАНДАРТ'!F111*5/100</f>
        <v>51.918867000000006</v>
      </c>
      <c r="G112" s="300">
        <f>'Рулонные СТАНДАРТ'!G111+'Рулонные СТАНДАРТ'!G111*5/100</f>
        <v>55.747692000000008</v>
      </c>
      <c r="H112" s="300">
        <f>'Рулонные СТАНДАРТ'!H111+'Рулонные СТАНДАРТ'!H111*5/100</f>
        <v>59.576516999999996</v>
      </c>
      <c r="I112" s="300">
        <f>'Рулонные СТАНДАРТ'!I111+'Рулонные СТАНДАРТ'!I111*5/100</f>
        <v>63.252189000000001</v>
      </c>
      <c r="J112" s="300">
        <f>'Рулонные СТАНДАРТ'!J111+'Рулонные СТАНДАРТ'!J111*5/100</f>
        <v>67.234166999999999</v>
      </c>
      <c r="K112" s="300">
        <f>'Рулонные СТАНДАРТ'!K111+'Рулонные СТАНДАРТ'!K111*5/100</f>
        <v>71.062991999999994</v>
      </c>
      <c r="L112" s="300">
        <f>'Рулонные СТАНДАРТ'!L111+'Рулонные СТАНДАРТ'!L111*5/100</f>
        <v>74.891817000000017</v>
      </c>
      <c r="M112" s="300">
        <f>'Рулонные СТАНДАРТ'!M111+'Рулонные СТАНДАРТ'!M111*5/100</f>
        <v>78.720642000000012</v>
      </c>
      <c r="N112" s="300">
        <f>'Рулонные СТАНДАРТ'!N111+'Рулонные СТАНДАРТ'!N111*5/100</f>
        <v>82.396314000000018</v>
      </c>
      <c r="O112" s="300">
        <f>'Рулонные СТАНДАРТ'!O111+'Рулонные СТАНДАРТ'!O111*5/100</f>
        <v>86.378292000000016</v>
      </c>
      <c r="P112" s="304">
        <f>'Рулонные СТАНДАРТ'!P111+'Рулонные СТАНДАРТ'!P111*5/100</f>
        <v>90.053964000000008</v>
      </c>
    </row>
    <row r="113" spans="1:19">
      <c r="A113" s="1538"/>
      <c r="B113" s="298">
        <v>0.8</v>
      </c>
      <c r="C113" s="303">
        <f>'Рулонные СТАНДАРТ'!C112+'Рулонные СТАНДАРТ'!C112*5/100</f>
        <v>42.117075000000007</v>
      </c>
      <c r="D113" s="300">
        <f>'Рулонные СТАНДАРТ'!D112+'Рулонные СТАНДАРТ'!D112*5/100</f>
        <v>46.252206000000008</v>
      </c>
      <c r="E113" s="300">
        <f>'Рулонные СТАНДАРТ'!E112+'Рулонные СТАНДАРТ'!E112*5/100</f>
        <v>50.387337000000002</v>
      </c>
      <c r="F113" s="300">
        <f>'Рулонные СТАНДАРТ'!F112+'Рулонные СТАНДАРТ'!F112*5/100</f>
        <v>54.522468000000018</v>
      </c>
      <c r="G113" s="300">
        <f>'Рулонные СТАНДАРТ'!G112+'Рулонные СТАНДАРТ'!G112*5/100</f>
        <v>58.657598999999998</v>
      </c>
      <c r="H113" s="300">
        <f>'Рулонные СТАНДАРТ'!H112+'Рулонные СТАНДАРТ'!H112*5/100</f>
        <v>62.792730000000006</v>
      </c>
      <c r="I113" s="300">
        <f>'Рулонные СТАНДАРТ'!I112+'Рулонные СТАНДАРТ'!I112*5/100</f>
        <v>66.927861000000021</v>
      </c>
      <c r="J113" s="300">
        <f>'Рулонные СТАНДАРТ'!J112+'Рулонные СТАНДАРТ'!J112*5/100</f>
        <v>71.062991999999994</v>
      </c>
      <c r="K113" s="300">
        <f>'Рулонные СТАНДАРТ'!K112+'Рулонные СТАНДАРТ'!K112*5/100</f>
        <v>75.044970000000021</v>
      </c>
      <c r="L113" s="300">
        <f>'Рулонные СТАНДАРТ'!L112+'Рулонные СТАНДАРТ'!L112*5/100</f>
        <v>79.180101000000022</v>
      </c>
      <c r="M113" s="300">
        <f>'Рулонные СТАНДАРТ'!M112+'Рулонные СТАНДАРТ'!M112*5/100</f>
        <v>83.315232000000009</v>
      </c>
      <c r="N113" s="300">
        <f>'Рулонные СТАНДАРТ'!N112+'Рулонные СТАНДАРТ'!N112*5/100</f>
        <v>87.45036300000001</v>
      </c>
      <c r="O113" s="300">
        <f>'Рулонные СТАНДАРТ'!O112+'Рулонные СТАНДАРТ'!O112*5/100</f>
        <v>91.585494000000011</v>
      </c>
      <c r="P113" s="304">
        <f>'Рулонные СТАНДАРТ'!P112+'Рулонные СТАНДАРТ'!P112*5/100</f>
        <v>95.720625000000013</v>
      </c>
    </row>
    <row r="114" spans="1:19">
      <c r="A114" s="1538"/>
      <c r="B114" s="298">
        <v>0.9</v>
      </c>
      <c r="C114" s="303">
        <f>'Рулонные СТАНДАРТ'!C113+'Рулонные СТАНДАРТ'!C113*5/100</f>
        <v>43.648605000000011</v>
      </c>
      <c r="D114" s="300">
        <f>'Рулонные СТАНДАРТ'!D113+'Рулонные СТАНДАРТ'!D113*5/100</f>
        <v>48.090042000000004</v>
      </c>
      <c r="E114" s="300">
        <f>'Рулонные СТАНДАРТ'!E113+'Рулонные СТАНДАРТ'!E113*5/100</f>
        <v>52.378326000000008</v>
      </c>
      <c r="F114" s="300">
        <f>'Рулонные СТАНДАРТ'!F113+'Рулонные СТАНДАРТ'!F113*5/100</f>
        <v>56.972916000000012</v>
      </c>
      <c r="G114" s="300">
        <f>'Рулонные СТАНДАРТ'!G113+'Рулонные СТАНДАРТ'!G113*5/100</f>
        <v>61.414353000000006</v>
      </c>
      <c r="H114" s="300">
        <f>'Рулонные СТАНДАРТ'!H113+'Рулонные СТАНДАРТ'!H113*5/100</f>
        <v>65.855790000000013</v>
      </c>
      <c r="I114" s="300">
        <f>'Рулонные СТАНДАРТ'!I113+'Рулонные СТАНДАРТ'!I113*5/100</f>
        <v>70.297227000000007</v>
      </c>
      <c r="J114" s="300">
        <f>'Рулонные СТАНДАРТ'!J113+'Рулонные СТАНДАРТ'!J113*5/100</f>
        <v>74.738664</v>
      </c>
      <c r="K114" s="300">
        <f>'Рулонные СТАНДАРТ'!K113+'Рулонные СТАНДАРТ'!K113*5/100</f>
        <v>79.180101000000022</v>
      </c>
      <c r="L114" s="300">
        <f>'Рулонные СТАНДАРТ'!L113+'Рулонные СТАНДАРТ'!L113*5/100</f>
        <v>83.774691000000018</v>
      </c>
      <c r="M114" s="300">
        <f>'Рулонные СТАНДАРТ'!M113+'Рулонные СТАНДАРТ'!M113*5/100</f>
        <v>88.062975000000023</v>
      </c>
      <c r="N114" s="300">
        <f>'Рулонные СТАНДАРТ'!N113+'Рулонные СТАНДАРТ'!N113*5/100</f>
        <v>92.504412000000016</v>
      </c>
      <c r="O114" s="300">
        <f>'Рулонные СТАНДАРТ'!O113+'Рулонные СТАНДАРТ'!O113*5/100</f>
        <v>97.099002000000013</v>
      </c>
      <c r="P114" s="304">
        <f>'Рулонные СТАНДАРТ'!P113+'Рулонные СТАНДАРТ'!P113*5/100</f>
        <v>101.54043900000002</v>
      </c>
    </row>
    <row r="115" spans="1:19">
      <c r="A115" s="1538"/>
      <c r="B115" s="298">
        <v>1</v>
      </c>
      <c r="C115" s="303">
        <f>'Рулонные СТАНДАРТ'!C114+'Рулонные СТАНДАРТ'!C114*5/100</f>
        <v>45.180135000000007</v>
      </c>
      <c r="D115" s="300">
        <f>'Рулонные СТАНДАРТ'!D114+'Рулонные СТАНДАРТ'!D114*5/100</f>
        <v>49.774725000000004</v>
      </c>
      <c r="E115" s="300">
        <f>'Рулонные СТАНДАРТ'!E114+'Рулонные СТАНДАРТ'!E114*5/100</f>
        <v>54.675621</v>
      </c>
      <c r="F115" s="300">
        <f>'Рулонные СТАНДАРТ'!F114+'Рулонные СТАНДАРТ'!F114*5/100</f>
        <v>59.423364000000014</v>
      </c>
      <c r="G115" s="300">
        <f>'Рулонные СТАНДАРТ'!G114+'Рулонные СТАНДАРТ'!G114*5/100</f>
        <v>64.171107000000006</v>
      </c>
      <c r="H115" s="300">
        <f>'Рулонные СТАНДАРТ'!H114+'Рулонные СТАНДАРТ'!H114*5/100</f>
        <v>68.918850000000006</v>
      </c>
      <c r="I115" s="300">
        <f>'Рулонные СТАНДАРТ'!I114+'Рулонные СТАНДАРТ'!I114*5/100</f>
        <v>73.819746000000009</v>
      </c>
      <c r="J115" s="300">
        <f>'Рулонные СТАНДАРТ'!J114+'Рулонные СТАНДАРТ'!J114*5/100</f>
        <v>78.41433600000002</v>
      </c>
      <c r="K115" s="300">
        <f>'Рулонные СТАНДАРТ'!K114+'Рулонные СТАНДАРТ'!K114*5/100</f>
        <v>83.315232000000009</v>
      </c>
      <c r="L115" s="300">
        <f>'Рулонные СТАНДАРТ'!L114+'Рулонные СТАНДАРТ'!L114*5/100</f>
        <v>88.062975000000023</v>
      </c>
      <c r="M115" s="300">
        <f>'Рулонные СТАНДАРТ'!M114+'Рулонные СТАНДАРТ'!M114*5/100</f>
        <v>92.963871000000012</v>
      </c>
      <c r="N115" s="300">
        <f>'Рулонные СТАНДАРТ'!N114+'Рулонные СТАНДАРТ'!N114*5/100</f>
        <v>97.558461000000023</v>
      </c>
      <c r="O115" s="300">
        <f>'Рулонные СТАНДАРТ'!O114+'Рулонные СТАНДАРТ'!O114*5/100</f>
        <v>102.45935700000003</v>
      </c>
      <c r="P115" s="304">
        <f>'Рулонные СТАНДАРТ'!P114+'Рулонные СТАНДАРТ'!P114*5/100</f>
        <v>107.20710000000003</v>
      </c>
    </row>
    <row r="116" spans="1:19">
      <c r="A116" s="1538"/>
      <c r="B116" s="298">
        <v>1.1000000000000001</v>
      </c>
      <c r="C116" s="303">
        <f>'Рулонные СТАНДАРТ'!C115+'Рулонные СТАНДАРТ'!C115*5/100</f>
        <v>46.711665000000004</v>
      </c>
      <c r="D116" s="300">
        <f>'Рулонные СТАНДАРТ'!D115+'Рулонные СТАНДАРТ'!D115*5/100</f>
        <v>51.76571400000001</v>
      </c>
      <c r="E116" s="300">
        <f>'Рулонные СТАНДАРТ'!E115+'Рулонные СТАНДАРТ'!E115*5/100</f>
        <v>56.819763000000009</v>
      </c>
      <c r="F116" s="300">
        <f>'Рулонные СТАНДАРТ'!F115+'Рулонные СТАНДАРТ'!F115*5/100</f>
        <v>62.026965000000011</v>
      </c>
      <c r="G116" s="300">
        <f>'Рулонные СТАНДАРТ'!G115+'Рулонные СТАНДАРТ'!G115*5/100</f>
        <v>67.081013999999996</v>
      </c>
      <c r="H116" s="300">
        <f>'Рулонные СТАНДАРТ'!H115+'Рулонные СТАНДАРТ'!H115*5/100</f>
        <v>72.135063000000002</v>
      </c>
      <c r="I116" s="300">
        <f>'Рулонные СТАНДАРТ'!I115+'Рулонные СТАНДАРТ'!I115*5/100</f>
        <v>77.189112000000009</v>
      </c>
      <c r="J116" s="300">
        <f>'Рулонные СТАНДАРТ'!J115+'Рулонные СТАНДАРТ'!J115*5/100</f>
        <v>82.396314000000018</v>
      </c>
      <c r="K116" s="300">
        <f>'Рулонные СТАНДАРТ'!K115+'Рулонные СТАНДАРТ'!K115*5/100</f>
        <v>87.45036300000001</v>
      </c>
      <c r="L116" s="300">
        <f>'Рулонные СТАНДАРТ'!L115+'Рулонные СТАНДАРТ'!L115*5/100</f>
        <v>92.504412000000016</v>
      </c>
      <c r="M116" s="300">
        <f>'Рулонные СТАНДАРТ'!M115+'Рулонные СТАНДАРТ'!M115*5/100</f>
        <v>97.558461000000023</v>
      </c>
      <c r="N116" s="300">
        <f>'Рулонные СТАНДАРТ'!N115+'Рулонные СТАНДАРТ'!N115*5/100</f>
        <v>102.61251000000001</v>
      </c>
      <c r="O116" s="300">
        <f>'Рулонные СТАНДАРТ'!O115+'Рулонные СТАНДАРТ'!O115*5/100</f>
        <v>107.81971200000001</v>
      </c>
      <c r="P116" s="304">
        <f>'Рулонные СТАНДАРТ'!P115+'Рулонные СТАНДАРТ'!P115*5/100</f>
        <v>112.873761</v>
      </c>
    </row>
    <row r="117" spans="1:19">
      <c r="A117" s="1538"/>
      <c r="B117" s="298">
        <v>1.2</v>
      </c>
      <c r="C117" s="303">
        <f>'Рулонные СТАНДАРТ'!C116+'Рулонные СТАНДАРТ'!C116*5/100</f>
        <v>48.090042000000004</v>
      </c>
      <c r="D117" s="300">
        <f>'Рулонные СТАНДАРТ'!D116+'Рулонные СТАНДАРТ'!D116*5/100</f>
        <v>53.603550000000013</v>
      </c>
      <c r="E117" s="300">
        <f>'Рулонные СТАНДАРТ'!E116+'Рулонные СТАНДАРТ'!E116*5/100</f>
        <v>58.963905000000018</v>
      </c>
      <c r="F117" s="300">
        <f>'Рулонные СТАНДАРТ'!F116+'Рулонные СТАНДАРТ'!F116*5/100</f>
        <v>64.477413000000013</v>
      </c>
      <c r="G117" s="300">
        <f>'Рулонные СТАНДАРТ'!G116+'Рулонные СТАНДАРТ'!G116*5/100</f>
        <v>69.837768000000011</v>
      </c>
      <c r="H117" s="300">
        <f>'Рулонные СТАНДАРТ'!H116+'Рулонные СТАНДАРТ'!H116*5/100</f>
        <v>75.351276000000013</v>
      </c>
      <c r="I117" s="300">
        <f>'Рулонные СТАНДАРТ'!I116+'Рулонные СТАНДАРТ'!I116*5/100</f>
        <v>80.711631000000011</v>
      </c>
      <c r="J117" s="300">
        <f>'Рулонные СТАНДАРТ'!J116+'Рулонные СТАНДАРТ'!J116*5/100</f>
        <v>86.225138999999999</v>
      </c>
      <c r="K117" s="300">
        <f>'Рулонные СТАНДАРТ'!K116+'Рулонные СТАНДАРТ'!K116*5/100</f>
        <v>91.585494000000011</v>
      </c>
      <c r="L117" s="300">
        <f>'Рулонные СТАНДАРТ'!L116+'Рулонные СТАНДАРТ'!L116*5/100</f>
        <v>97.099002000000013</v>
      </c>
      <c r="M117" s="300">
        <f>'Рулонные СТАНДАРТ'!M116+'Рулонные СТАНДАРТ'!M116*5/100</f>
        <v>102.30620399999999</v>
      </c>
      <c r="N117" s="300">
        <f>'Рулонные СТАНДАРТ'!N116+'Рулонные СТАНДАРТ'!N116*5/100</f>
        <v>107.66655900000002</v>
      </c>
      <c r="O117" s="300">
        <f>'Рулонные СТАНДАРТ'!O116+'Рулонные СТАНДАРТ'!O116*5/100</f>
        <v>113.18006700000001</v>
      </c>
      <c r="P117" s="304">
        <f>'Рулонные СТАНДАРТ'!P116+'Рулонные СТАНДАРТ'!P116*5/100</f>
        <v>118.54042200000004</v>
      </c>
    </row>
    <row r="118" spans="1:19">
      <c r="A118" s="1538"/>
      <c r="B118" s="298">
        <v>1.3</v>
      </c>
      <c r="C118" s="303">
        <f>'Рулонные СТАНДАРТ'!C117+'Рулонные СТАНДАРТ'!C117*5/100</f>
        <v>49.621572000000008</v>
      </c>
      <c r="D118" s="300">
        <f>'Рулонные СТАНДАРТ'!D117+'Рулонные СТАНДАРТ'!D117*5/100</f>
        <v>55.441386000000023</v>
      </c>
      <c r="E118" s="300">
        <f>'Рулонные СТАНДАРТ'!E117+'Рулонные СТАНДАРТ'!E117*5/100</f>
        <v>61.261200000000002</v>
      </c>
      <c r="F118" s="300">
        <f>'Рулонные СТАНДАРТ'!F117+'Рулонные СТАНДАРТ'!F117*5/100</f>
        <v>66.927861000000021</v>
      </c>
      <c r="G118" s="300">
        <f>'Рулонные СТАНДАРТ'!G117+'Рулонные СТАНДАРТ'!G117*5/100</f>
        <v>72.747675000000015</v>
      </c>
      <c r="H118" s="300">
        <f>'Рулонные СТАНДАРТ'!H117+'Рулонные СТАНДАРТ'!H117*5/100</f>
        <v>78.41433600000002</v>
      </c>
      <c r="I118" s="300">
        <f>'Рулонные СТАНДАРТ'!I117+'Рулонные СТАНДАРТ'!I117*5/100</f>
        <v>84.080996999999996</v>
      </c>
      <c r="J118" s="300">
        <f>'Рулонные СТАНДАРТ'!J117+'Рулонные СТАНДАРТ'!J117*5/100</f>
        <v>89.900811000000019</v>
      </c>
      <c r="K118" s="300">
        <f>'Рулонные СТАНДАРТ'!K117+'Рулонные СТАНДАРТ'!K117*5/100</f>
        <v>95.567472000000009</v>
      </c>
      <c r="L118" s="300">
        <f>'Рулонные СТАНДАРТ'!L117+'Рулонные СТАНДАРТ'!L117*5/100</f>
        <v>101.387286</v>
      </c>
      <c r="M118" s="300">
        <f>'Рулонные СТАНДАРТ'!M117+'Рулонные СТАНДАРТ'!M117*5/100</f>
        <v>107.20710000000003</v>
      </c>
      <c r="N118" s="300">
        <f>'Рулонные СТАНДАРТ'!N117+'Рулонные СТАНДАРТ'!N117*5/100</f>
        <v>112.72060800000001</v>
      </c>
      <c r="O118" s="300">
        <f>'Рулонные СТАНДАРТ'!O117+'Рулонные СТАНДАРТ'!O117*5/100</f>
        <v>118.54042200000004</v>
      </c>
      <c r="P118" s="304">
        <f>'Рулонные СТАНДАРТ'!P117+'Рулонные СТАНДАРТ'!P117*5/100</f>
        <v>124.360236</v>
      </c>
    </row>
    <row r="119" spans="1:19">
      <c r="A119" s="1538"/>
      <c r="B119" s="298">
        <v>1.4</v>
      </c>
      <c r="C119" s="303">
        <f>'Рулонные СТАНДАРТ'!C118+'Рулонные СТАНДАРТ'!C118*5/100</f>
        <v>51.306255000000007</v>
      </c>
      <c r="D119" s="300">
        <f>'Рулонные СТАНДАРТ'!D118+'Рулонные СТАНДАРТ'!D118*5/100</f>
        <v>57.279221999999997</v>
      </c>
      <c r="E119" s="300">
        <f>'Рулонные СТАНДАРТ'!E118+'Рулонные СТАНДАРТ'!E118*5/100</f>
        <v>63.252189000000001</v>
      </c>
      <c r="F119" s="300">
        <f>'Рулонные СТАНДАРТ'!F118+'Рулонные СТАНДАРТ'!F118*5/100</f>
        <v>69.531462000000005</v>
      </c>
      <c r="G119" s="300">
        <f>'Рулонные СТАНДАРТ'!G118+'Рулонные СТАНДАРТ'!G118*5/100</f>
        <v>75.504429000000016</v>
      </c>
      <c r="H119" s="300">
        <f>'Рулонные СТАНДАРТ'!H118+'Рулонные СТАНДАРТ'!H118*5/100</f>
        <v>81.477396000000013</v>
      </c>
      <c r="I119" s="300">
        <f>'Рулонные СТАНДАРТ'!I118+'Рулонные СТАНДАРТ'!I118*5/100</f>
        <v>87.603515999999999</v>
      </c>
      <c r="J119" s="300">
        <f>'Рулонные СТАНДАРТ'!J118+'Рулонные СТАНДАРТ'!J118*5/100</f>
        <v>93.729636000000028</v>
      </c>
      <c r="K119" s="300">
        <f>'Рулонные СТАНДАРТ'!K118+'Рулонные СТАНДАРТ'!K118*5/100</f>
        <v>99.702603000000011</v>
      </c>
      <c r="L119" s="300">
        <f>'Рулонные СТАНДАРТ'!L118+'Рулонные СТАНДАРТ'!L118*5/100</f>
        <v>105.828723</v>
      </c>
      <c r="M119" s="300">
        <f>'Рулонные СТАНДАРТ'!M118+'Рулонные СТАНДАРТ'!M118*5/100</f>
        <v>111.80169000000004</v>
      </c>
      <c r="N119" s="300">
        <f>'Рулонные СТАНДАРТ'!N118+'Рулонные СТАНДАРТ'!N118*5/100</f>
        <v>117.77465700000002</v>
      </c>
      <c r="O119" s="300">
        <f>'Рулонные СТАНДАРТ'!O118+'Рулонные СТАНДАРТ'!O118*5/100</f>
        <v>124.05393000000002</v>
      </c>
      <c r="P119" s="304">
        <f>'Рулонные СТАНДАРТ'!P118+'Рулонные СТАНДАРТ'!P118*5/100</f>
        <v>130.02689700000005</v>
      </c>
    </row>
    <row r="120" spans="1:19">
      <c r="A120" s="1538"/>
      <c r="B120" s="298">
        <v>1.5</v>
      </c>
      <c r="C120" s="303">
        <f>'Рулонные СТАНДАРТ'!C119+'Рулонные СТАНДАРТ'!C119*5/100</f>
        <v>52.837785000000011</v>
      </c>
      <c r="D120" s="300">
        <f>'Рулонные СТАНДАРТ'!D119+'Рулонные СТАНДАРТ'!D119*5/100</f>
        <v>59.117058</v>
      </c>
      <c r="E120" s="300">
        <f>'Рулонные СТАНДАРТ'!E119+'Рулонные СТАНДАРТ'!E119*5/100</f>
        <v>65.549484000000007</v>
      </c>
      <c r="F120" s="300">
        <f>'Рулонные СТАНДАРТ'!F119+'Рулонные СТАНДАРТ'!F119*5/100</f>
        <v>71.981909999999999</v>
      </c>
      <c r="G120" s="300">
        <f>'Рулонные СТАНДАРТ'!G119+'Рулонные СТАНДАРТ'!G119*5/100</f>
        <v>78.261183000000017</v>
      </c>
      <c r="H120" s="300">
        <f>'Рулонные СТАНДАРТ'!H119+'Рулонные СТАНДАРТ'!H119*5/100</f>
        <v>84.693608999999995</v>
      </c>
      <c r="I120" s="300">
        <f>'Рулонные СТАНДАРТ'!I119+'Рулонные СТАНДАРТ'!I119*5/100</f>
        <v>90.972882000000013</v>
      </c>
      <c r="J120" s="300">
        <f>'Рулонные СТАНДАРТ'!J119+'Рулонные СТАНДАРТ'!J119*5/100</f>
        <v>97.405308000000019</v>
      </c>
      <c r="K120" s="300">
        <f>'Рулонные СТАНДАРТ'!K119+'Рулонные СТАНДАРТ'!K119*5/100</f>
        <v>103.83773400000001</v>
      </c>
      <c r="L120" s="300">
        <f>'Рулонные СТАНДАРТ'!L119+'Рулонные СТАНДАРТ'!L119*5/100</f>
        <v>110.11700700000003</v>
      </c>
      <c r="M120" s="300">
        <f>'Рулонные СТАНДАРТ'!M119+'Рулонные СТАНДАРТ'!M119*5/100</f>
        <v>116.54943300000002</v>
      </c>
      <c r="N120" s="300">
        <f>'Рулонные СТАНДАРТ'!N119+'Рулонные СТАНДАРТ'!N119*5/100</f>
        <v>122.82870600000001</v>
      </c>
      <c r="O120" s="300">
        <f>'Рулонные СТАНДАРТ'!O119+'Рулонные СТАНДАРТ'!O119*5/100</f>
        <v>129.26113200000003</v>
      </c>
      <c r="P120" s="304">
        <f>'Рулонные СТАНДАРТ'!P119+'Рулонные СТАНДАРТ'!P119*5/100</f>
        <v>135.84671100000003</v>
      </c>
    </row>
    <row r="121" spans="1:19">
      <c r="A121" s="1538"/>
      <c r="B121" s="298">
        <v>1.6</v>
      </c>
      <c r="C121" s="303">
        <f>'Рулонные СТАНДАРТ'!C120+'Рулонные СТАНДАРТ'!C120*5/100</f>
        <v>54.369315</v>
      </c>
      <c r="D121" s="300">
        <f>'Рулонные СТАНДАРТ'!D120+'Рулонные СТАНДАРТ'!D120*5/100</f>
        <v>61.108047000000013</v>
      </c>
      <c r="E121" s="300">
        <f>'Рулонные СТАНДАРТ'!E120+'Рулонные СТАНДАРТ'!E120*5/100</f>
        <v>67.846779000000012</v>
      </c>
      <c r="F121" s="300">
        <f>'Рулонные СТАНДАРТ'!F120+'Рулонные СТАНДАРТ'!F120*5/100</f>
        <v>74.432358000000008</v>
      </c>
      <c r="G121" s="300">
        <f>'Рулонные СТАНДАРТ'!G120+'Рулонные СТАНДАРТ'!G120*5/100</f>
        <v>81.171090000000021</v>
      </c>
      <c r="H121" s="300">
        <f>'Рулонные СТАНДАРТ'!H120+'Рулонные СТАНДАРТ'!H120*5/100</f>
        <v>87.925137300000003</v>
      </c>
      <c r="I121" s="300">
        <f>'Рулонные СТАНДАРТ'!I120+'Рулонные СТАНДАРТ'!I120*5/100</f>
        <v>94.648554000000019</v>
      </c>
      <c r="J121" s="300">
        <f>'Рулонные СТАНДАРТ'!J120+'Рулонные СТАНДАРТ'!J120*5/100</f>
        <v>101.08098000000003</v>
      </c>
      <c r="K121" s="300">
        <f>'Рулонные СТАНДАРТ'!K120+'Рулонные СТАНДАРТ'!K120*5/100</f>
        <v>107.81971200000001</v>
      </c>
      <c r="L121" s="300">
        <f>'Рулонные СТАНДАРТ'!L120+'Рулонные СТАНДАРТ'!L120*5/100</f>
        <v>114.55844399999999</v>
      </c>
      <c r="M121" s="300">
        <f>'Рулонные СТАНДАРТ'!M120+'Рулонные СТАНДАРТ'!M120*5/100</f>
        <v>121.45032900000001</v>
      </c>
      <c r="N121" s="300">
        <f>'Рулонные СТАНДАРТ'!N120+'Рулонные СТАНДАРТ'!N120*5/100</f>
        <v>127.882755</v>
      </c>
      <c r="O121" s="300">
        <f>'Рулонные СТАНДАРТ'!O120+'Рулонные СТАНДАРТ'!O120*5/100</f>
        <v>134.62148700000003</v>
      </c>
      <c r="P121" s="304">
        <f>'Рулонные СТАНДАРТ'!P120+'Рулонные СТАНДАРТ'!P120*5/100</f>
        <v>141.360219</v>
      </c>
    </row>
    <row r="122" spans="1:19">
      <c r="A122" s="1538"/>
      <c r="B122" s="298">
        <v>1.7</v>
      </c>
      <c r="C122" s="303">
        <f>'Рулонные СТАНДАРТ'!C121+'Рулонные СТАНДАРТ'!C121*5/100</f>
        <v>55.747692000000008</v>
      </c>
      <c r="D122" s="300">
        <f>'Рулонные СТАНДАРТ'!D121+'Рулонные СТАНДАРТ'!D121*5/100</f>
        <v>62.945883000000023</v>
      </c>
      <c r="E122" s="300">
        <f>'Рулонные СТАНДАРТ'!E121+'Рулонные СТАНДАРТ'!E121*5/100</f>
        <v>69.837768000000011</v>
      </c>
      <c r="F122" s="300">
        <f>'Рулонные СТАНДАРТ'!F121+'Рулонные СТАНДАРТ'!F121*5/100</f>
        <v>77.035959000000005</v>
      </c>
      <c r="G122" s="300">
        <f>'Рулонные СТАНДАРТ'!G121+'Рулонные СТАНДАРТ'!G121*5/100</f>
        <v>83.927844000000007</v>
      </c>
      <c r="H122" s="300">
        <f>'Рулонные СТАНДАРТ'!H121+'Рулонные СТАНДАРТ'!H121*5/100</f>
        <v>90.972882000000013</v>
      </c>
      <c r="I122" s="300">
        <f>'Рулонные СТАНДАРТ'!I121+'Рулонные СТАНДАРТ'!I121*5/100</f>
        <v>98.017920000000004</v>
      </c>
      <c r="J122" s="300">
        <f>'Рулонные СТАНДАРТ'!J121+'Рулонные СТАНДАРТ'!J121*5/100</f>
        <v>105.06295800000001</v>
      </c>
      <c r="K122" s="300">
        <f>'Рулонные СТАНДАРТ'!K121+'Рулонные СТАНДАРТ'!K121*5/100</f>
        <v>111.954843</v>
      </c>
      <c r="L122" s="300">
        <f>'Рулонные СТАНДАРТ'!L121+'Рулонные СТАНДАРТ'!L121*5/100</f>
        <v>119.15303399999999</v>
      </c>
      <c r="M122" s="300">
        <f>'Рулонные СТАНДАРТ'!M121+'Рулонные СТАНДАРТ'!M121*5/100</f>
        <v>126.04491900000001</v>
      </c>
      <c r="N122" s="300">
        <f>'Рулонные СТАНДАРТ'!N121+'Рулонные СТАНДАРТ'!N121*5/100</f>
        <v>132.93680400000002</v>
      </c>
      <c r="O122" s="300">
        <f>'Рулонные СТАНДАРТ'!O121+'Рулонные СТАНДАРТ'!O121*5/100</f>
        <v>140.134995</v>
      </c>
      <c r="P122" s="304">
        <f>'Рулонные СТАНДАРТ'!P121+'Рулонные СТАНДАРТ'!P121*5/100</f>
        <v>147.02688000000003</v>
      </c>
    </row>
    <row r="123" spans="1:19">
      <c r="A123" s="1538"/>
      <c r="B123" s="298">
        <v>1.8</v>
      </c>
      <c r="C123" s="303">
        <f>'Рулонные СТАНДАРТ'!C122+'Рулонные СТАНДАРТ'!C122*5/100</f>
        <v>57.279221999999997</v>
      </c>
      <c r="D123" s="300">
        <f>'Рулонные СТАНДАРТ'!D122+'Рулонные СТАНДАРТ'!D122*5/100</f>
        <v>64.783719000000005</v>
      </c>
      <c r="E123" s="300">
        <f>'Рулонные СТАНДАРТ'!E122+'Рулонные СТАНДАРТ'!E122*5/100</f>
        <v>72.135063000000002</v>
      </c>
      <c r="F123" s="300">
        <f>'Рулонные СТАНДАРТ'!F122+'Рулонные СТАНДАРТ'!F122*5/100</f>
        <v>79.486407</v>
      </c>
      <c r="G123" s="300">
        <f>'Рулонные СТАНДАРТ'!G122+'Рулонные СТАНДАРТ'!G122*5/100</f>
        <v>86.684598000000008</v>
      </c>
      <c r="H123" s="300">
        <f>'Рулонные СТАНДАРТ'!H122+'Рулонные СТАНДАРТ'!H122*5/100</f>
        <v>94.035942000000006</v>
      </c>
      <c r="I123" s="300">
        <f>'Рулонные СТАНДАРТ'!I122+'Рулонные СТАНДАРТ'!I122*5/100</f>
        <v>101.54043900000002</v>
      </c>
      <c r="J123" s="300">
        <f>'Рулонные СТАНДАРТ'!J122+'Рулонные СТАНДАРТ'!J122*5/100</f>
        <v>108.891783</v>
      </c>
      <c r="K123" s="300">
        <f>'Рулонные СТАНДАРТ'!K122+'Рулонные СТАНДАРТ'!K122*5/100</f>
        <v>116.08997400000001</v>
      </c>
      <c r="L123" s="300">
        <f>'Рулонные СТАНДАРТ'!L122+'Рулонные СТАНДАРТ'!L122*5/100</f>
        <v>123.441318</v>
      </c>
      <c r="M123" s="300">
        <f>'Рулонные СТАНДАРТ'!M122+'Рулонные СТАНДАРТ'!M122*5/100</f>
        <v>130.79266200000001</v>
      </c>
      <c r="N123" s="300">
        <f>'Рулонные СТАНДАРТ'!N122+'Рулонные СТАНДАРТ'!N122*5/100</f>
        <v>138.29715899999999</v>
      </c>
      <c r="O123" s="300">
        <f>'Рулонные СТАНДАРТ'!O122+'Рулонные СТАНДАРТ'!O122*5/100</f>
        <v>145.49535000000003</v>
      </c>
      <c r="P123" s="304">
        <f>'Рулонные СТАНДАРТ'!P122+'Рулонные СТАНДАРТ'!P122*5/100</f>
        <v>152.84669400000001</v>
      </c>
      <c r="Q123" s="953">
        <f>P123-O123+P123</f>
        <v>160.198038</v>
      </c>
      <c r="R123" s="953">
        <f>Q123-P123+Q123</f>
        <v>167.54938199999998</v>
      </c>
      <c r="S123" s="953">
        <f>R123-Q123+R123</f>
        <v>174.90072599999996</v>
      </c>
    </row>
    <row r="124" spans="1:19">
      <c r="A124" s="1538"/>
      <c r="B124" s="298">
        <v>1.9</v>
      </c>
      <c r="C124" s="303">
        <f>'Рулонные СТАНДАРТ'!C123+'Рулонные СТАНДАРТ'!C123*5/100</f>
        <v>60.495435000000008</v>
      </c>
      <c r="D124" s="300">
        <f>'Рулонные СТАНДАРТ'!D123+'Рулонные СТАНДАРТ'!D123*5/100</f>
        <v>68.306238000000022</v>
      </c>
      <c r="E124" s="300">
        <f>'Рулонные СТАНДАРТ'!E123+'Рулонные СТАНДАРТ'!E123*5/100</f>
        <v>76.423347000000007</v>
      </c>
      <c r="F124" s="300">
        <f>'Рулонные СТАНДАРТ'!F123+'Рулонные СТАНДАРТ'!F123*5/100</f>
        <v>84.540456000000006</v>
      </c>
      <c r="G124" s="300">
        <f>'Рулонные СТАНДАРТ'!G123+'Рулонные СТАНДАРТ'!G123*5/100</f>
        <v>92.351259000000013</v>
      </c>
      <c r="H124" s="300">
        <f>'Рулонные СТАНДАРТ'!H123+'Рулонные СТАНДАРТ'!H123*5/100</f>
        <v>100.468368</v>
      </c>
      <c r="I124" s="300">
        <f>'Рулонные СТАНДАРТ'!I123+'Рулонные СТАНДАРТ'!I123*5/100</f>
        <v>108.27917100000002</v>
      </c>
      <c r="J124" s="300">
        <f>'Рулонные СТАНДАРТ'!J123+'Рулонные СТАНДАРТ'!J123*5/100</f>
        <v>116.24312700000003</v>
      </c>
      <c r="K124" s="300">
        <f>'Рулонные СТАНДАРТ'!K123+'Рулонные СТАНДАРТ'!K123*5/100</f>
        <v>124.360236</v>
      </c>
      <c r="L124" s="300">
        <f>'Рулонные СТАНДАРТ'!L123+'Рулонные СТАНДАРТ'!L123*5/100</f>
        <v>132.17103900000001</v>
      </c>
      <c r="M124" s="300">
        <f>'Рулонные СТАНДАРТ'!M123+'Рулонные СТАНДАРТ'!M123*5/100</f>
        <v>140.28814800000001</v>
      </c>
      <c r="N124" s="300">
        <f>'Рулонные СТАНДАРТ'!N123+'Рулонные СТАНДАРТ'!N123*5/100</f>
        <v>148.40525700000003</v>
      </c>
      <c r="O124" s="300">
        <f>'Рулонные СТАНДАРТ'!O123+'Рулонные СТАНДАРТ'!O123*5/100</f>
        <v>156.21606000000003</v>
      </c>
      <c r="P124" s="304">
        <f>'Рулонные СТАНДАРТ'!P123+'Рулонные СТАНДАРТ'!P123*5/100</f>
        <v>164.333169</v>
      </c>
    </row>
    <row r="125" spans="1:19">
      <c r="A125" s="1538"/>
      <c r="B125" s="298">
        <v>2</v>
      </c>
      <c r="C125" s="303">
        <f>'Рулонные СТАНДАРТ'!C124+'Рулонные СТАНДАРТ'!C124*5/100</f>
        <v>62.026965000000011</v>
      </c>
      <c r="D125" s="300">
        <f>'Рулонные СТАНДАРТ'!D124+'Рулонные СТАНДАРТ'!D124*5/100</f>
        <v>70.297227000000007</v>
      </c>
      <c r="E125" s="300">
        <f>'Рулонные СТАНДАРТ'!E124+'Рулонные СТАНДАРТ'!E124*5/100</f>
        <v>78.720642000000012</v>
      </c>
      <c r="F125" s="300">
        <f>'Рулонные СТАНДАРТ'!F124+'Рулонные СТАНДАРТ'!F124*5/100</f>
        <v>86.837751000000011</v>
      </c>
      <c r="G125" s="300">
        <f>'Рулонные СТАНДАРТ'!G124+'Рулонные СТАНДАРТ'!G124*5/100</f>
        <v>95.108013000000028</v>
      </c>
      <c r="H125" s="300">
        <f>'Рулонные СТАНДАРТ'!H124+'Рулонные СТАНДАРТ'!H124*5/100</f>
        <v>103.53142800000002</v>
      </c>
      <c r="I125" s="300">
        <f>'Рулонные СТАНДАРТ'!I124+'Рулонные СТАНДАРТ'!I124*5/100</f>
        <v>111.80169000000004</v>
      </c>
      <c r="J125" s="300">
        <f>'Рулонные СТАНДАРТ'!J124+'Рулонные СТАНДАРТ'!J124*5/100</f>
        <v>120.07195200000002</v>
      </c>
      <c r="K125" s="300">
        <f>'Рулонные СТАНДАРТ'!K124+'Рулонные СТАНДАРТ'!K124*5/100</f>
        <v>128.49536700000002</v>
      </c>
      <c r="L125" s="300">
        <f>'Рулонные СТАНДАРТ'!L124+'Рулонные СТАНДАРТ'!L124*5/100</f>
        <v>136.76562900000002</v>
      </c>
      <c r="M125" s="300">
        <f>'Рулонные СТАНДАРТ'!M124+'Рулонные СТАНДАРТ'!M124*5/100</f>
        <v>145.03589100000002</v>
      </c>
      <c r="N125" s="300">
        <f>'Рулонные СТАНДАРТ'!N124+'Рулонные СТАНДАРТ'!N124*5/100</f>
        <v>153.45930600000005</v>
      </c>
      <c r="O125" s="300">
        <f>'Рулонные СТАНДАРТ'!O124+'Рулонные СТАНДАРТ'!O124*5/100</f>
        <v>161.57641500000003</v>
      </c>
      <c r="P125" s="304">
        <f>'Рулонные СТАНДАРТ'!P124+'Рулонные СТАНДАРТ'!P124*5/100</f>
        <v>169.84667700000003</v>
      </c>
    </row>
    <row r="126" spans="1:19">
      <c r="A126" s="1538"/>
      <c r="B126" s="298">
        <v>2.1</v>
      </c>
      <c r="C126" s="303">
        <f>'Рулонные СТАНДАРТ'!C125+'Рулонные СТАНДАРТ'!C125*5/100</f>
        <v>63.558495000000001</v>
      </c>
      <c r="D126" s="300">
        <f>'Рулонные СТАНДАРТ'!D125+'Рулонные СТАНДАРТ'!D125*5/100</f>
        <v>72.135063000000002</v>
      </c>
      <c r="E126" s="300">
        <f>'Рулонные СТАНДАРТ'!E125+'Рулонные СТАНДАРТ'!E125*5/100</f>
        <v>80.711631000000011</v>
      </c>
      <c r="F126" s="300">
        <f>'Рулонные СТАНДАРТ'!F125+'Рулонные СТАНДАРТ'!F125*5/100</f>
        <v>89.288199000000006</v>
      </c>
      <c r="G126" s="300">
        <f>'Рулонные СТАНДАРТ'!G125+'Рулонные СТАНДАРТ'!G125*5/100</f>
        <v>98.017920000000004</v>
      </c>
      <c r="H126" s="300">
        <f>'Рулонные СТАНДАРТ'!H125+'Рулонные СТАНДАРТ'!H125*5/100</f>
        <v>106.594488</v>
      </c>
      <c r="I126" s="300">
        <f>'Рулонные СТАНДАРТ'!I125+'Рулонные СТАНДАРТ'!I125*5/100</f>
        <v>115.17105600000002</v>
      </c>
      <c r="J126" s="300">
        <f>'Рулонные СТАНДАРТ'!J125+'Рулонные СТАНДАРТ'!J125*5/100</f>
        <v>123.747624</v>
      </c>
      <c r="K126" s="300">
        <f>'Рулонные СТАНДАРТ'!K125+'Рулонные СТАНДАРТ'!K125*5/100</f>
        <v>132.47734500000001</v>
      </c>
      <c r="L126" s="300">
        <f>'Рулонные СТАНДАРТ'!L125+'Рулонные СТАНДАРТ'!L125*5/100</f>
        <v>141.20706600000003</v>
      </c>
      <c r="M126" s="300">
        <f>'Рулонные СТАНДАРТ'!M125+'Рулонные СТАНДАРТ'!M125*5/100</f>
        <v>149.78363400000003</v>
      </c>
      <c r="N126" s="300">
        <f>'Рулонные СТАНДАРТ'!N125+'Рулонные СТАНДАРТ'!N125*5/100</f>
        <v>158.51335500000005</v>
      </c>
      <c r="O126" s="300">
        <f>'Рулонные СТАНДАРТ'!O125+'Рулонные СТАНДАРТ'!O125*5/100</f>
        <v>167.089923</v>
      </c>
      <c r="P126" s="304">
        <f>'Рулонные СТАНДАРТ'!P125+'Рулонные СТАНДАРТ'!P125*5/100</f>
        <v>175.66649100000001</v>
      </c>
    </row>
    <row r="127" spans="1:19">
      <c r="A127" s="1538"/>
      <c r="B127" s="298">
        <v>2.2000000000000002</v>
      </c>
      <c r="C127" s="303">
        <f>'Рулонные СТАНДАРТ'!C126+'Рулонные СТАНДАРТ'!C126*5/100</f>
        <v>64.936872000000008</v>
      </c>
      <c r="D127" s="300">
        <f>'Рулонные СТАНДАРТ'!D126+'Рулонные СТАНДАРТ'!D126*5/100</f>
        <v>73.972899000000012</v>
      </c>
      <c r="E127" s="300">
        <f>'Рулонные СТАНДАРТ'!E126+'Рулонные СТАНДАРТ'!E126*5/100</f>
        <v>83.008926000000002</v>
      </c>
      <c r="F127" s="300">
        <f>'Рулонные СТАНДАРТ'!F126+'Рулонные СТАНДАРТ'!F126*5/100</f>
        <v>91.891800000000003</v>
      </c>
      <c r="G127" s="300">
        <f>'Рулонные СТАНДАРТ'!G126+'Рулонные СТАНДАРТ'!G126*5/100</f>
        <v>100.774674</v>
      </c>
      <c r="H127" s="300">
        <f>'Рулонные СТАНДАРТ'!H126+'Рулонные СТАНДАРТ'!H126*5/100</f>
        <v>109.81070100000002</v>
      </c>
      <c r="I127" s="300">
        <f>'Рулонные СТАНДАРТ'!I126+'Рулонные СТАНДАРТ'!I126*5/100</f>
        <v>118.69357500000001</v>
      </c>
      <c r="J127" s="300">
        <f>'Рулонные СТАНДАРТ'!J126+'Рулонные СТАНДАРТ'!J126*5/100</f>
        <v>127.72960200000004</v>
      </c>
      <c r="K127" s="300">
        <f>'Рулонные СТАНДАРТ'!K126+'Рулонные СТАНДАРТ'!K126*5/100</f>
        <v>136.61247600000004</v>
      </c>
      <c r="L127" s="300">
        <f>'Рулонные СТАНДАРТ'!L126+'Рулонные СТАНДАРТ'!L126*5/100</f>
        <v>145.49535000000003</v>
      </c>
      <c r="M127" s="300">
        <f>'Рулонные СТАНДАРТ'!M126+'Рулонные СТАНДАРТ'!M126*5/100</f>
        <v>154.53137700000002</v>
      </c>
      <c r="N127" s="300">
        <f>'Рулонные СТАНДАРТ'!N126+'Рулонные СТАНДАРТ'!N126*5/100</f>
        <v>163.56740400000001</v>
      </c>
      <c r="O127" s="300">
        <f>'Рулонные СТАНДАРТ'!O126+'Рулонные СТАНДАРТ'!O126*5/100</f>
        <v>172.29712500000002</v>
      </c>
      <c r="P127" s="304">
        <f>'Рулонные СТАНДАРТ'!P126+'Рулонные СТАНДАРТ'!P126*5/100</f>
        <v>181.33315200000007</v>
      </c>
    </row>
    <row r="128" spans="1:19">
      <c r="A128" s="1538"/>
      <c r="B128" s="298">
        <v>2.2999999999999998</v>
      </c>
      <c r="C128" s="303">
        <f>'Рулонные СТАНДАРТ'!C127+'Рулонные СТАНДАРТ'!C127*5/100</f>
        <v>66.468402000000012</v>
      </c>
      <c r="D128" s="300">
        <f>'Рулонные СТАНДАРТ'!D127+'Рулонные СТАНДАРТ'!D127*5/100</f>
        <v>75.810735000000008</v>
      </c>
      <c r="E128" s="300">
        <f>'Рулонные СТАНДАРТ'!E127+'Рулонные СТАНДАРТ'!E127*5/100</f>
        <v>84.999915000000016</v>
      </c>
      <c r="F128" s="300">
        <f>'Рулонные СТАНДАРТ'!F127+'Рулонные СТАНДАРТ'!F127*5/100</f>
        <v>94.342248000000012</v>
      </c>
      <c r="G128" s="300">
        <f>'Рулонные СТАНДАРТ'!G127+'Рулонные СТАНДАРТ'!G127*5/100</f>
        <v>103.53142800000002</v>
      </c>
      <c r="H128" s="300">
        <f>'Рулонные СТАНДАРТ'!H127+'Рулонные СТАНДАРТ'!H127*5/100</f>
        <v>112.873761</v>
      </c>
      <c r="I128" s="300">
        <f>'Рулонные СТАНДАРТ'!I127+'Рулонные СТАНДАРТ'!I127*5/100</f>
        <v>122.06294100000004</v>
      </c>
      <c r="J128" s="300">
        <f>'Рулонные СТАНДАРТ'!J127+'Рулонные СТАНДАРТ'!J127*5/100</f>
        <v>131.55842700000002</v>
      </c>
      <c r="K128" s="300">
        <f>'Рулонные СТАНДАРТ'!K127+'Рулонные СТАНДАРТ'!K127*5/100</f>
        <v>140.59445400000001</v>
      </c>
      <c r="L128" s="300">
        <f>'Рулонные СТАНДАРТ'!L127+'Рулонные СТАНДАРТ'!L127*5/100</f>
        <v>150.08994000000004</v>
      </c>
      <c r="M128" s="300">
        <f>'Рулонные СТАНДАРТ'!M127+'Рулонные СТАНДАРТ'!M127*5/100</f>
        <v>159.27912000000001</v>
      </c>
      <c r="N128" s="300">
        <f>'Рулонные СТАНДАРТ'!N127+'Рулонные СТАНДАРТ'!N127*5/100</f>
        <v>168.621453</v>
      </c>
      <c r="O128" s="300">
        <f>'Рулонные СТАНДАРТ'!O127+'Рулонные СТАНДАРТ'!O127*5/100</f>
        <v>177.81063300000002</v>
      </c>
      <c r="P128" s="304">
        <f>'Рулонные СТАНДАРТ'!P127+'Рулонные СТАНДАРТ'!P127*5/100</f>
        <v>187.15296600000002</v>
      </c>
    </row>
    <row r="129" spans="1:16">
      <c r="A129" s="1538"/>
      <c r="B129" s="298">
        <v>2.4</v>
      </c>
      <c r="C129" s="303">
        <f>'Рулонные СТАНДАРТ'!C128+'Рулонные СТАНДАРТ'!C128*5/100</f>
        <v>68.153085000000004</v>
      </c>
      <c r="D129" s="300">
        <f>'Рулонные СТАНДАРТ'!D128+'Рулонные СТАНДАРТ'!D128*5/100</f>
        <v>77.801723999999993</v>
      </c>
      <c r="E129" s="300">
        <f>'Рулонные СТАНДАРТ'!E128+'Рулонные СТАНДАРТ'!E128*5/100</f>
        <v>87.297210000000021</v>
      </c>
      <c r="F129" s="300">
        <f>'Рулонные СТАНДАРТ'!F128+'Рулонные СТАНДАРТ'!F128*5/100</f>
        <v>96.792696000000021</v>
      </c>
      <c r="G129" s="300">
        <f>'Рулонные СТАНДАРТ'!G128+'Рулонные СТАНДАРТ'!G128*5/100</f>
        <v>106.44133500000002</v>
      </c>
      <c r="H129" s="300">
        <f>'Рулонные СТАНДАРТ'!H128+'Рулонные СТАНДАРТ'!H128*5/100</f>
        <v>116.08997400000001</v>
      </c>
      <c r="I129" s="300">
        <f>'Рулонные СТАНДАРТ'!I128+'Рулонные СТАНДАРТ'!I128*5/100</f>
        <v>125.73861300000002</v>
      </c>
      <c r="J129" s="300">
        <f>'Рулонные СТАНДАРТ'!J128+'Рулонные СТАНДАРТ'!J128*5/100</f>
        <v>135.23409900000001</v>
      </c>
      <c r="K129" s="300">
        <f>'Рулонные СТАНДАРТ'!K128+'Рулонные СТАНДАРТ'!K128*5/100</f>
        <v>144.72958500000001</v>
      </c>
      <c r="L129" s="300">
        <f>'Рулонные СТАНДАРТ'!L128+'Рулонные СТАНДАРТ'!L128*5/100</f>
        <v>154.37822400000002</v>
      </c>
      <c r="M129" s="300">
        <f>'Рулонные СТАНДАРТ'!M128+'Рулонные СТАНДАРТ'!M128*5/100</f>
        <v>164.02686300000002</v>
      </c>
      <c r="N129" s="300">
        <f>'Рулонные СТАНДАРТ'!N128+'Рулонные СТАНДАРТ'!N128*5/100</f>
        <v>173.67550200000002</v>
      </c>
      <c r="O129" s="300">
        <f>'Рулонные СТАНДАРТ'!O128+'Рулонные СТАНДАРТ'!O128*5/100</f>
        <v>183.17098800000002</v>
      </c>
      <c r="P129" s="304">
        <f>'Рулонные СТАНДАРТ'!P128+'Рулонные СТАНДАРТ'!P128*5/100</f>
        <v>192.66647400000002</v>
      </c>
    </row>
    <row r="130" spans="1:16">
      <c r="A130" s="1538"/>
      <c r="B130" s="298">
        <v>2.5</v>
      </c>
      <c r="C130" s="303">
        <f>'Рулонные СТАНДАРТ'!C129+'Рулонные СТАНДАРТ'!C129*5/100</f>
        <v>69.684615000000008</v>
      </c>
      <c r="D130" s="300">
        <f>'Рулонные СТАНДАРТ'!D129+'Рулонные СТАНДАРТ'!D129*5/100</f>
        <v>79.639560000000003</v>
      </c>
      <c r="E130" s="300">
        <f>'Рулонные СТАНДАРТ'!E129+'Рулонные СТАНДАРТ'!E129*5/100</f>
        <v>89.594505000000012</v>
      </c>
      <c r="F130" s="300">
        <f>'Рулонные СТАНДАРТ'!F129+'Рулонные СТАНДАРТ'!F129*5/100</f>
        <v>99.396297000000033</v>
      </c>
      <c r="G130" s="300">
        <f>'Рулонные СТАНДАРТ'!G129+'Рулонные СТАНДАРТ'!G129*5/100</f>
        <v>109.19808900000002</v>
      </c>
      <c r="H130" s="300">
        <f>'Рулонные СТАНДАРТ'!H129+'Рулонные СТАНДАРТ'!H129*5/100</f>
        <v>119.15303399999999</v>
      </c>
      <c r="I130" s="300">
        <f>'Рулонные СТАНДАРТ'!I129+'Рулонные СТАНДАРТ'!I129*5/100</f>
        <v>129.10797900000003</v>
      </c>
      <c r="J130" s="300">
        <f>'Рулонные СТАНДАРТ'!J129+'Рулонные СТАНДАРТ'!J129*5/100</f>
        <v>138.90977100000003</v>
      </c>
      <c r="K130" s="300">
        <f>'Рулонные СТАНДАРТ'!K129+'Рулонные СТАНДАРТ'!K129*5/100</f>
        <v>148.86471600000002</v>
      </c>
      <c r="L130" s="300">
        <f>'Рулонные СТАНДАРТ'!L129+'Рулонные СТАНДАРТ'!L129*5/100</f>
        <v>158.81966100000002</v>
      </c>
      <c r="M130" s="300">
        <f>'Рулонные СТАНДАРТ'!M129+'Рулонные СТАНДАРТ'!M129*5/100</f>
        <v>168.77460600000003</v>
      </c>
      <c r="N130" s="300">
        <f>'Рулонные СТАНДАРТ'!N129+'Рулонные СТАНДАРТ'!N129*5/100</f>
        <v>178.72955100000001</v>
      </c>
      <c r="O130" s="300">
        <f>'Рулонные СТАНДАРТ'!O129+'Рулонные СТАНДАРТ'!O129*5/100</f>
        <v>188.68449600000002</v>
      </c>
      <c r="P130" s="304">
        <f>'Рулонные СТАНДАРТ'!P129+'Рулонные СТАНДАРТ'!P129*5/100</f>
        <v>198.48628800000003</v>
      </c>
    </row>
    <row r="131" spans="1:16" ht="13.8" thickBot="1">
      <c r="A131" s="1539"/>
      <c r="B131" s="299">
        <v>2.5499999999999998</v>
      </c>
      <c r="C131" s="305">
        <f>'Рулонные СТАНДАРТ'!C130+'Рулонные СТАНДАРТ'!C130*5/100</f>
        <v>71.216144999999997</v>
      </c>
      <c r="D131" s="306">
        <f>'Рулонные СТАНДАРТ'!D130+'Рулонные СТАНДАРТ'!D130*5/100</f>
        <v>81.477396000000013</v>
      </c>
      <c r="E131" s="306">
        <f>'Рулонные СТАНДАРТ'!E130+'Рулонные СТАНДАРТ'!E130*5/100</f>
        <v>91.585494000000011</v>
      </c>
      <c r="F131" s="306">
        <f>'Рулонные СТАНДАРТ'!F130+'Рулонные СТАНДАРТ'!F130*5/100</f>
        <v>101.84674500000001</v>
      </c>
      <c r="G131" s="306">
        <f>'Рулонные СТАНДАРТ'!G130+'Рулонные СТАНДАРТ'!G130*5/100</f>
        <v>111.954843</v>
      </c>
      <c r="H131" s="306">
        <f>'Рулонные СТАНДАРТ'!H130+'Рулонные СТАНДАРТ'!H130*5/100</f>
        <v>122.36924700000003</v>
      </c>
      <c r="I131" s="306">
        <f>'Рулонные СТАНДАРТ'!I130+'Рулонные СТАНДАРТ'!I130*5/100</f>
        <v>132.63049800000002</v>
      </c>
      <c r="J131" s="306">
        <f>'Рулонные СТАНДАРТ'!J130+'Рулонные СТАНДАРТ'!J130*5/100</f>
        <v>142.73859600000003</v>
      </c>
      <c r="K131" s="306">
        <f>'Рулонные СТАНДАРТ'!K130+'Рулонные СТАНДАРТ'!K130*5/100</f>
        <v>152.99984700000005</v>
      </c>
      <c r="L131" s="306">
        <f>'Рулонные СТАНДАРТ'!L130+'Рулонные СТАНДАРТ'!L130*5/100</f>
        <v>163.261098</v>
      </c>
      <c r="M131" s="306">
        <f>'Рулонные СТАНДАРТ'!M130+'Рулонные СТАНДАРТ'!M130*5/100</f>
        <v>173.36919600000002</v>
      </c>
      <c r="N131" s="306">
        <f>'Рулонные СТАНДАРТ'!N130+'Рулонные СТАНДАРТ'!N130*5/100</f>
        <v>183.78360000000001</v>
      </c>
      <c r="O131" s="306">
        <f>'Рулонные СТАНДАРТ'!O130+'Рулонные СТАНДАРТ'!O130*5/100</f>
        <v>193.89169800000002</v>
      </c>
      <c r="P131" s="307">
        <f>'Рулонные СТАНДАРТ'!P130+'Рулонные СТАНДАРТ'!P130*5/100</f>
        <v>204.15294900000004</v>
      </c>
    </row>
    <row r="132" spans="1:16" ht="13.8" thickBot="1">
      <c r="A132" s="283"/>
      <c r="B132" s="284"/>
      <c r="C132" s="496"/>
      <c r="D132" s="496"/>
      <c r="E132" s="496"/>
      <c r="F132" s="496"/>
      <c r="G132" s="496"/>
      <c r="H132" s="496"/>
      <c r="I132" s="496"/>
      <c r="J132" s="496"/>
      <c r="K132" s="496"/>
      <c r="L132" s="496"/>
      <c r="M132" s="496"/>
      <c r="N132" s="496"/>
      <c r="O132" s="496"/>
      <c r="P132" s="496"/>
    </row>
    <row r="133" spans="1:16" ht="13.8" thickBot="1">
      <c r="A133" s="1413" t="s">
        <v>320</v>
      </c>
      <c r="B133" s="1542"/>
      <c r="C133" s="1534" t="s">
        <v>207</v>
      </c>
      <c r="D133" s="1535"/>
      <c r="E133" s="1535"/>
      <c r="F133" s="1535"/>
      <c r="G133" s="1535"/>
      <c r="H133" s="1535"/>
      <c r="I133" s="1535"/>
      <c r="J133" s="1535"/>
      <c r="K133" s="1535"/>
      <c r="L133" s="1535"/>
      <c r="M133" s="1535"/>
      <c r="N133" s="1535"/>
      <c r="O133" s="1535"/>
      <c r="P133" s="1536"/>
    </row>
    <row r="134" spans="1:16" ht="13.8" thickBot="1">
      <c r="A134" s="1543"/>
      <c r="B134" s="1544"/>
      <c r="C134" s="389">
        <v>0.4</v>
      </c>
      <c r="D134" s="389">
        <v>0.5</v>
      </c>
      <c r="E134" s="389">
        <v>0.6</v>
      </c>
      <c r="F134" s="389">
        <v>0.7</v>
      </c>
      <c r="G134" s="389">
        <v>0.8</v>
      </c>
      <c r="H134" s="389">
        <v>0.9</v>
      </c>
      <c r="I134" s="389">
        <v>1</v>
      </c>
      <c r="J134" s="389">
        <v>1.1000000000000001</v>
      </c>
      <c r="K134" s="389">
        <v>1.2</v>
      </c>
      <c r="L134" s="389">
        <v>1.3</v>
      </c>
      <c r="M134" s="389">
        <v>1.4</v>
      </c>
      <c r="N134" s="389">
        <v>1.5</v>
      </c>
      <c r="O134" s="389">
        <v>1.6</v>
      </c>
      <c r="P134" s="390">
        <v>1.7</v>
      </c>
    </row>
    <row r="135" spans="1:16">
      <c r="A135" s="1537" t="s">
        <v>3</v>
      </c>
      <c r="B135" s="297">
        <v>0.5</v>
      </c>
      <c r="C135" s="274">
        <f>'Рулонные СТАНДАРТ'!C134+'Рулонные СТАНДАРТ'!C134*10/100</f>
        <v>45.085326000000009</v>
      </c>
      <c r="D135" s="301">
        <f>'Рулонные СТАНДАРТ'!D134+'Рулонные СТАНДАРТ'!D134*10/100</f>
        <v>47.652462000000007</v>
      </c>
      <c r="E135" s="301">
        <f>'Рулонные СТАНДАРТ'!E134+'Рулонные СТАНДАРТ'!E134*10/100</f>
        <v>50.219598000000012</v>
      </c>
      <c r="F135" s="301">
        <f>'Рулонные СТАНДАРТ'!F134+'Рулонные СТАНДАРТ'!F134*10/100</f>
        <v>52.786734000000003</v>
      </c>
      <c r="G135" s="301">
        <f>'Рулонные СТАНДАРТ'!G134+'Рулонные СТАНДАРТ'!G134*10/100</f>
        <v>55.353870000000008</v>
      </c>
      <c r="H135" s="301">
        <f>'Рулонные СТАНДАРТ'!H134+'Рулонные СТАНДАРТ'!H134*10/100</f>
        <v>57.921006000000013</v>
      </c>
      <c r="I135" s="301">
        <f>'Рулонные СТАНДАРТ'!I134+'Рулонные СТАНДАРТ'!I134*10/100</f>
        <v>60.488142000000003</v>
      </c>
      <c r="J135" s="301">
        <f>'Рулонные СТАНДАРТ'!J134+'Рулонные СТАНДАРТ'!J134*10/100</f>
        <v>63.215724000000016</v>
      </c>
      <c r="K135" s="301">
        <f>'Рулонные СТАНДАРТ'!K134+'Рулонные СТАНДАРТ'!K134*10/100</f>
        <v>65.782859999999999</v>
      </c>
      <c r="L135" s="301">
        <f>'Рулонные СТАНДАРТ'!L134+'Рулонные СТАНДАРТ'!L134*10/100</f>
        <v>68.349996000000004</v>
      </c>
      <c r="M135" s="301">
        <f>'Рулонные СТАНДАРТ'!M134+'Рулонные СТАНДАРТ'!M134*10/100</f>
        <v>70.917132000000009</v>
      </c>
      <c r="N135" s="301">
        <f>'Рулонные СТАНДАРТ'!N134+'Рулонные СТАНДАРТ'!N134*10/100</f>
        <v>73.323822000000007</v>
      </c>
      <c r="O135" s="301">
        <f>'Рулонные СТАНДАРТ'!O134+'Рулонные СТАНДАРТ'!O134*10/100</f>
        <v>75.890958000000012</v>
      </c>
      <c r="P135" s="302">
        <f>'Рулонные СТАНДАРТ'!P134+'Рулонные СТАНДАРТ'!P134*10/100</f>
        <v>78.458094000000017</v>
      </c>
    </row>
    <row r="136" spans="1:16">
      <c r="A136" s="1538"/>
      <c r="B136" s="298">
        <v>0.6</v>
      </c>
      <c r="C136" s="303">
        <f>'Рулонные СТАНДАРТ'!C135+'Рулонные СТАНДАРТ'!C135*10/100</f>
        <v>46.850232000000005</v>
      </c>
      <c r="D136" s="300">
        <f>'Рулонные СТАНДАРТ'!D135+'Рулонные СТАНДАРТ'!D135*10/100</f>
        <v>50.059152000000005</v>
      </c>
      <c r="E136" s="300">
        <f>'Рулонные СТАНДАРТ'!E135+'Рулонные СТАНДАРТ'!E135*10/100</f>
        <v>53.107625999999996</v>
      </c>
      <c r="F136" s="300">
        <f>'Рулонные СТАНДАРТ'!F135+'Рулонные СТАНДАРТ'!F135*10/100</f>
        <v>56.316546000000002</v>
      </c>
      <c r="G136" s="300">
        <f>'Рулонные СТАНДАРТ'!G135+'Рулонные СТАНДАРТ'!G135*10/100</f>
        <v>59.525466000000009</v>
      </c>
      <c r="H136" s="300">
        <f>'Рулонные СТАНДАРТ'!H135+'Рулонные СТАНДАРТ'!H135*10/100</f>
        <v>62.573940000000015</v>
      </c>
      <c r="I136" s="300">
        <f>'Рулонные СТАНДАРТ'!I135+'Рулонные СТАНДАРТ'!I135*10/100</f>
        <v>65.782859999999999</v>
      </c>
      <c r="J136" s="300">
        <f>'Рулонные СТАНДАРТ'!J135+'Рулонные СТАНДАРТ'!J135*10/100</f>
        <v>68.831334000000012</v>
      </c>
      <c r="K136" s="300">
        <f>'Рулонные СТАНДАРТ'!K135+'Рулонные СТАНДАРТ'!K135*10/100</f>
        <v>72.040254000000019</v>
      </c>
      <c r="L136" s="300">
        <f>'Рулонные СТАНДАРТ'!L135+'Рулонные СТАНДАРТ'!L135*10/100</f>
        <v>75.088728000000003</v>
      </c>
      <c r="M136" s="300">
        <f>'Рулонные СТАНДАРТ'!M135+'Рулонные СТАНДАРТ'!M135*10/100</f>
        <v>78.297648000000009</v>
      </c>
      <c r="N136" s="300">
        <f>'Рулонные СТАНДАРТ'!N135+'Рулонные СТАНДАРТ'!N135*10/100</f>
        <v>81.506568000000001</v>
      </c>
      <c r="O136" s="300">
        <f>'Рулонные СТАНДАРТ'!O135+'Рулонные СТАНДАРТ'!O135*10/100</f>
        <v>84.555042000000014</v>
      </c>
      <c r="P136" s="304">
        <f>'Рулонные СТАНДАРТ'!P135+'Рулонные СТАНДАРТ'!P135*10/100</f>
        <v>87.763962000000021</v>
      </c>
    </row>
    <row r="137" spans="1:16">
      <c r="A137" s="1538"/>
      <c r="B137" s="298">
        <v>0.7</v>
      </c>
      <c r="C137" s="303">
        <f>'Рулонные СТАНДАРТ'!C136+'Рулонные СТАНДАРТ'!C136*10/100</f>
        <v>48.615138000000009</v>
      </c>
      <c r="D137" s="300">
        <f>'Рулонные СТАНДАРТ'!D136+'Рулонные СТАНДАРТ'!D136*10/100</f>
        <v>52.465842000000023</v>
      </c>
      <c r="E137" s="300">
        <f>'Рулонные СТАНДАРТ'!E136+'Рулонные СТАНДАРТ'!E136*10/100</f>
        <v>56.156100000000009</v>
      </c>
      <c r="F137" s="300">
        <f>'Рулонные СТАНДАРТ'!F136+'Рулонные СТАНДАРТ'!F136*10/100</f>
        <v>59.846358000000009</v>
      </c>
      <c r="G137" s="300">
        <f>'Рулонные СТАНДАРТ'!G136+'Рулонные СТАНДАРТ'!G136*10/100</f>
        <v>63.536616000000009</v>
      </c>
      <c r="H137" s="300">
        <f>'Рулонные СТАНДАРТ'!H136+'Рулонные СТАНДАРТ'!H136*10/100</f>
        <v>67.226874000000009</v>
      </c>
      <c r="I137" s="300">
        <f>'Рулонные СТАНДАРТ'!I136+'Рулонные СТАНДАРТ'!I136*10/100</f>
        <v>70.917132000000009</v>
      </c>
      <c r="J137" s="300">
        <f>'Рулонные СТАНДАРТ'!J136+'Рулонные СТАНДАРТ'!J136*10/100</f>
        <v>74.607389999999995</v>
      </c>
      <c r="K137" s="300">
        <f>'Рулонные СТАНДАРТ'!K136+'Рулонные СТАНДАРТ'!K136*10/100</f>
        <v>78.297648000000009</v>
      </c>
      <c r="L137" s="300">
        <f>'Рулонные СТАНДАРТ'!L136+'Рулонные СТАНДАРТ'!L136*10/100</f>
        <v>81.987906000000009</v>
      </c>
      <c r="M137" s="300">
        <f>'Рулонные СТАНДАРТ'!M136+'Рулонные СТАНДАРТ'!M136*10/100</f>
        <v>85.678163999999995</v>
      </c>
      <c r="N137" s="300">
        <f>'Рулонные СТАНДАРТ'!N136+'Рулонные СТАНДАРТ'!N136*10/100</f>
        <v>89.528868000000003</v>
      </c>
      <c r="O137" s="300">
        <f>'Рулонные СТАНДАРТ'!O136+'Рулонные СТАНДАРТ'!O136*10/100</f>
        <v>93.219126000000017</v>
      </c>
      <c r="P137" s="304">
        <f>'Рулонные СТАНДАРТ'!P136+'Рулонные СТАНДАРТ'!P136*10/100</f>
        <v>96.909384000000017</v>
      </c>
    </row>
    <row r="138" spans="1:16">
      <c r="A138" s="1538"/>
      <c r="B138" s="298">
        <v>0.8</v>
      </c>
      <c r="C138" s="303">
        <f>'Рулонные СТАНДАРТ'!C137+'Рулонные СТАНДАРТ'!C137*10/100</f>
        <v>50.380044000000005</v>
      </c>
      <c r="D138" s="300">
        <f>'Рулонные СТАНДАРТ'!D137+'Рулонные СТАНДАРТ'!D137*10/100</f>
        <v>54.712086000000014</v>
      </c>
      <c r="E138" s="300">
        <f>'Рулонные СТАНДАРТ'!E137+'Рулонные СТАНДАРТ'!E137*10/100</f>
        <v>59.044128000000008</v>
      </c>
      <c r="F138" s="300">
        <f>'Рулонные СТАНДАРТ'!F137+'Рулонные СТАНДАРТ'!F137*10/100</f>
        <v>63.376170000000009</v>
      </c>
      <c r="G138" s="300">
        <f>'Рулонные СТАНДАРТ'!G137+'Рулонные СТАНДАРТ'!G137*10/100</f>
        <v>67.54776600000001</v>
      </c>
      <c r="H138" s="300">
        <f>'Рулонные СТАНДАРТ'!H137+'Рулонные СТАНДАРТ'!H137*10/100</f>
        <v>71.879807999999997</v>
      </c>
      <c r="I138" s="300">
        <f>'Рулонные СТАНДАРТ'!I137+'Рулонные СТАНДАРТ'!I137*10/100</f>
        <v>76.211850000000027</v>
      </c>
      <c r="J138" s="300">
        <f>'Рулонные СТАНДАРТ'!J137+'Рулонные СТАНДАРТ'!J137*10/100</f>
        <v>80.383446000000021</v>
      </c>
      <c r="K138" s="300">
        <f>'Рулонные СТАНДАРТ'!K137+'Рулонные СТАНДАРТ'!K137*10/100</f>
        <v>84.715488000000008</v>
      </c>
      <c r="L138" s="300">
        <f>'Рулонные СТАНДАРТ'!L137+'Рулонные СТАНДАРТ'!L137*10/100</f>
        <v>88.887084000000016</v>
      </c>
      <c r="M138" s="300">
        <f>'Рулонные СТАНДАРТ'!M137+'Рулонные СТАНДАРТ'!M137*10/100</f>
        <v>93.219126000000017</v>
      </c>
      <c r="N138" s="300">
        <f>'Рулонные СТАНДАРТ'!N137+'Рулонные СТАНДАРТ'!N137*10/100</f>
        <v>97.551168000000018</v>
      </c>
      <c r="O138" s="300">
        <f>'Рулонные СТАНДАРТ'!O137+'Рулонные СТАНДАРТ'!O137*10/100</f>
        <v>101.88320999999999</v>
      </c>
      <c r="P138" s="304">
        <f>'Рулонные СТАНДАРТ'!P137+'Рулонные СТАНДАРТ'!P137*10/100</f>
        <v>105.89436000000003</v>
      </c>
    </row>
    <row r="139" spans="1:16">
      <c r="A139" s="1538"/>
      <c r="B139" s="298">
        <v>0.9</v>
      </c>
      <c r="C139" s="303">
        <f>'Рулонные СТАНДАРТ'!C138+'Рулонные СТАНДАРТ'!C138*10/100</f>
        <v>52.144950000000009</v>
      </c>
      <c r="D139" s="300">
        <f>'Рулонные СТАНДАРТ'!D138+'Рулонные СТАНДАРТ'!D138*10/100</f>
        <v>57.118776000000018</v>
      </c>
      <c r="E139" s="300">
        <f>'Рулонные СТАНДАРТ'!E138+'Рулонные СТАНДАРТ'!E138*10/100</f>
        <v>61.932155999999999</v>
      </c>
      <c r="F139" s="300">
        <f>'Рулонные СТАНДАРТ'!F138+'Рулонные СТАНДАРТ'!F138*10/100</f>
        <v>66.745536000000016</v>
      </c>
      <c r="G139" s="300">
        <f>'Рулонные СТАНДАРТ'!G138+'Рулонные СТАНДАРТ'!G138*10/100</f>
        <v>71.558916000000025</v>
      </c>
      <c r="H139" s="300">
        <f>'Рулонные СТАНДАРТ'!H138+'Рулонные СТАНДАРТ'!H138*10/100</f>
        <v>76.532742000000013</v>
      </c>
      <c r="I139" s="300">
        <f>'Рулонные СТАНДАРТ'!I138+'Рулонные СТАНДАРТ'!I138*10/100</f>
        <v>81.185676000000015</v>
      </c>
      <c r="J139" s="300">
        <f>'Рулонные СТАНДАРТ'!J138+'Рулонные СТАНДАРТ'!J138*10/100</f>
        <v>86.159502000000018</v>
      </c>
      <c r="K139" s="300">
        <f>'Рулонные СТАНДАРТ'!K138+'Рулонные СТАНДАРТ'!K138*10/100</f>
        <v>90.972882000000013</v>
      </c>
      <c r="L139" s="300">
        <f>'Рулонные СТАНДАРТ'!L138+'Рулонные СТАНДАРТ'!L138*10/100</f>
        <v>95.946708000000001</v>
      </c>
      <c r="M139" s="300">
        <f>'Рулонные СТАНДАРТ'!M138+'Рулонные СТАНДАРТ'!M138*10/100</f>
        <v>100.59964200000002</v>
      </c>
      <c r="N139" s="300">
        <f>'Рулонные СТАНДАРТ'!N138+'Рулонные СТАНДАРТ'!N138*10/100</f>
        <v>105.57346800000001</v>
      </c>
      <c r="O139" s="300">
        <f>'Рулонные СТАНДАРТ'!O138+'Рулонные СТАНДАРТ'!O138*10/100</f>
        <v>110.54729400000004</v>
      </c>
      <c r="P139" s="304">
        <f>'Рулонные СТАНДАРТ'!P138+'Рулонные СТАНДАРТ'!P138*10/100</f>
        <v>115.20022800000004</v>
      </c>
    </row>
    <row r="140" spans="1:16">
      <c r="A140" s="1538"/>
      <c r="B140" s="298">
        <v>1</v>
      </c>
      <c r="C140" s="303">
        <f>'Рулонные СТАНДАРТ'!C139+'Рулонные СТАНДАРТ'!C139*10/100</f>
        <v>53.909856000000019</v>
      </c>
      <c r="D140" s="300">
        <f>'Рулонные СТАНДАРТ'!D139+'Рулонные СТАНДАРТ'!D139*10/100</f>
        <v>59.525466000000009</v>
      </c>
      <c r="E140" s="300">
        <f>'Рулонные СТАНДАРТ'!E139+'Рулонные СТАНДАРТ'!E139*10/100</f>
        <v>64.980630000000005</v>
      </c>
      <c r="F140" s="300">
        <f>'Рулонные СТАНДАРТ'!F139+'Рулонные СТАНДАРТ'!F139*10/100</f>
        <v>70.275347999999994</v>
      </c>
      <c r="G140" s="300">
        <f>'Рулонные СТАНДАРТ'!G139+'Рулонные СТАНДАРТ'!G139*10/100</f>
        <v>75.730512000000019</v>
      </c>
      <c r="H140" s="300">
        <f>'Рулонные СТАНДАРТ'!H139+'Рулонные СТАНДАРТ'!H139*10/100</f>
        <v>81.025230000000008</v>
      </c>
      <c r="I140" s="300">
        <f>'Рулонные СТАНДАРТ'!I139+'Рулонные СТАНДАРТ'!I139*10/100</f>
        <v>86.480394000000018</v>
      </c>
      <c r="J140" s="300">
        <f>'Рулонные СТАНДАРТ'!J139+'Рулонные СТАНДАРТ'!J139*10/100</f>
        <v>92.096004000000022</v>
      </c>
      <c r="K140" s="300">
        <f>'Рулонные СТАНДАРТ'!K139+'Рулонные СТАНДАРТ'!K139*10/100</f>
        <v>97.390722000000011</v>
      </c>
      <c r="L140" s="300">
        <f>'Рулонные СТАНДАРТ'!L139+'Рулонные СТАНДАРТ'!L139*10/100</f>
        <v>102.84588599999999</v>
      </c>
      <c r="M140" s="300">
        <f>'Рулонные СТАНДАРТ'!M139+'Рулонные СТАНДАРТ'!M139*10/100</f>
        <v>108.14060400000002</v>
      </c>
      <c r="N140" s="300">
        <f>'Рулонные СТАНДАРТ'!N139+'Рулонные СТАНДАРТ'!N139*10/100</f>
        <v>113.59576799999999</v>
      </c>
      <c r="O140" s="300">
        <f>'Рулонные СТАНДАРТ'!O139+'Рулонные СТАНДАРТ'!O139*10/100</f>
        <v>119.05093200000002</v>
      </c>
      <c r="P140" s="304">
        <f>'Рулонные СТАНДАРТ'!P139+'Рулонные СТАНДАРТ'!P139*10/100</f>
        <v>124.34565000000002</v>
      </c>
    </row>
    <row r="141" spans="1:16">
      <c r="A141" s="1538"/>
      <c r="B141" s="298">
        <v>1.1000000000000001</v>
      </c>
      <c r="C141" s="303">
        <f>'Рулонные СТАНДАРТ'!C140+'Рулонные СТАНДАРТ'!C140*10/100</f>
        <v>55.995654000000002</v>
      </c>
      <c r="D141" s="300">
        <f>'Рулонные СТАНДАРТ'!D140+'Рулонные СТАНДАРТ'!D140*10/100</f>
        <v>61.77171000000002</v>
      </c>
      <c r="E141" s="300">
        <f>'Рулонные СТАНДАРТ'!E140+'Рулонные СТАНДАРТ'!E140*10/100</f>
        <v>67.868658000000011</v>
      </c>
      <c r="F141" s="300">
        <f>'Рулонные СТАНДАРТ'!F140+'Рулонные СТАНДАРТ'!F140*10/100</f>
        <v>73.805160000000001</v>
      </c>
      <c r="G141" s="300">
        <f>'Рулонные СТАНДАРТ'!G140+'Рулонные СТАНДАРТ'!G140*10/100</f>
        <v>79.902108000000013</v>
      </c>
      <c r="H141" s="300">
        <f>'Рулонные СТАНДАРТ'!H140+'Рулонные СТАНДАРТ'!H140*10/100</f>
        <v>85.678163999999995</v>
      </c>
      <c r="I141" s="300">
        <f>'Рулонные СТАНДАРТ'!I140+'Рулонные СТАНДАРТ'!I140*10/100</f>
        <v>91.614666</v>
      </c>
      <c r="J141" s="300">
        <f>'Рулонные СТАНДАРТ'!J140+'Рулонные СТАНДАРТ'!J140*10/100</f>
        <v>97.711614000000012</v>
      </c>
      <c r="K141" s="300">
        <f>'Рулонные СТАНДАРТ'!K140+'Рулонные СТАНДАРТ'!K140*10/100</f>
        <v>103.648116</v>
      </c>
      <c r="L141" s="300">
        <f>'Рулонные СТАНДАРТ'!L140+'Рулонные СТАНДАРТ'!L140*10/100</f>
        <v>109.74506400000001</v>
      </c>
      <c r="M141" s="300">
        <f>'Рулонные СТАНДАРТ'!M140+'Рулонные СТАНДАРТ'!M140*10/100</f>
        <v>115.52112</v>
      </c>
      <c r="N141" s="300">
        <f>'Рулонные СТАНДАРТ'!N140+'Рулонные СТАНДАРТ'!N140*10/100</f>
        <v>121.61806800000002</v>
      </c>
      <c r="O141" s="300">
        <f>'Рулонные СТАНДАРТ'!O140+'Рулонные СТАНДАРТ'!O140*10/100</f>
        <v>127.55457000000001</v>
      </c>
      <c r="P141" s="304">
        <f>'Рулонные СТАНДАРТ'!P140+'Рулонные СТАНДАРТ'!P140*10/100</f>
        <v>133.65151800000001</v>
      </c>
    </row>
    <row r="142" spans="1:16">
      <c r="A142" s="1538"/>
      <c r="B142" s="298">
        <v>1.2</v>
      </c>
      <c r="C142" s="303">
        <f>'Рулонные СТАНДАРТ'!C141+'Рулонные СТАНДАРТ'!C141*10/100</f>
        <v>57.760559999999998</v>
      </c>
      <c r="D142" s="300">
        <f>'Рулонные СТАНДАРТ'!D141+'Рулонные СТАНДАРТ'!D141*10/100</f>
        <v>64.178399999999996</v>
      </c>
      <c r="E142" s="300">
        <f>'Рулонные СТАНДАРТ'!E141+'Рулонные СТАНДАРТ'!E141*10/100</f>
        <v>70.596240000000009</v>
      </c>
      <c r="F142" s="300">
        <f>'Рулонные СТАНДАРТ'!F141+'Рулонные СТАНДАРТ'!F141*10/100</f>
        <v>77.334972000000008</v>
      </c>
      <c r="G142" s="300">
        <f>'Рулонные СТАНДАРТ'!G141+'Рулонные СТАНДАРТ'!G141*10/100</f>
        <v>83.75281200000002</v>
      </c>
      <c r="H142" s="300">
        <f>'Рулонные СТАНДАРТ'!H141+'Рулонные СТАНДАРТ'!H141*10/100</f>
        <v>90.491544000000019</v>
      </c>
      <c r="I142" s="300">
        <f>'Рулонные СТАНДАРТ'!I141+'Рулонные СТАНДАРТ'!I141*10/100</f>
        <v>96.909384000000017</v>
      </c>
      <c r="J142" s="300">
        <f>'Рулонные СТАНДАРТ'!J141+'Рулонные СТАНДАРТ'!J141*10/100</f>
        <v>103.48767000000004</v>
      </c>
      <c r="K142" s="300">
        <f>'Рулонные СТАНДАРТ'!K141+'Рулонные СТАНДАРТ'!K141*10/100</f>
        <v>110.065956</v>
      </c>
      <c r="L142" s="300">
        <f>'Рулонные СТАНДАРТ'!L141+'Рулонные СТАНДАРТ'!L141*10/100</f>
        <v>116.48379599999998</v>
      </c>
      <c r="M142" s="300">
        <f>'Рулонные СТАНДАРТ'!M141+'Рулонные СТАНДАРТ'!M141*10/100</f>
        <v>123.22252800000001</v>
      </c>
      <c r="N142" s="300">
        <f>'Рулонные СТАНДАРТ'!N141+'Рулонные СТАНДАРТ'!N141*10/100</f>
        <v>129.64036800000002</v>
      </c>
      <c r="O142" s="300">
        <f>'Рулонные СТАНДАРТ'!O141+'Рулонные СТАНДАРТ'!O141*10/100</f>
        <v>136.21865400000004</v>
      </c>
      <c r="P142" s="304">
        <f>'Рулонные СТАНДАРТ'!P141+'Рулонные СТАНДАРТ'!P141*10/100</f>
        <v>142.79694000000001</v>
      </c>
    </row>
    <row r="143" spans="1:16">
      <c r="A143" s="1538"/>
      <c r="B143" s="298">
        <v>1.3</v>
      </c>
      <c r="C143" s="303">
        <f>'Рулонные СТАНДАРТ'!C142+'Рулонные СТАНДАРТ'!C142*10/100</f>
        <v>59.525466000000009</v>
      </c>
      <c r="D143" s="300">
        <f>'Рулонные СТАНДАРТ'!D142+'Рулонные СТАНДАРТ'!D142*10/100</f>
        <v>66.585089999999994</v>
      </c>
      <c r="E143" s="300">
        <f>'Рулонные СТАНДАРТ'!E142+'Рулонные СТАНДАРТ'!E142*10/100</f>
        <v>73.644714000000008</v>
      </c>
      <c r="F143" s="300">
        <f>'Рулонные СТАНДАРТ'!F142+'Рулонные СТАНДАРТ'!F142*10/100</f>
        <v>80.864784</v>
      </c>
      <c r="G143" s="300">
        <f>'Рулонные СТАНДАРТ'!G142+'Рулонные СТАНДАРТ'!G142*10/100</f>
        <v>87.924408</v>
      </c>
      <c r="H143" s="300">
        <f>'Рулонные СТАНДАРТ'!H142+'Рулонные СТАНДАРТ'!H142*10/100</f>
        <v>94.984032000000028</v>
      </c>
      <c r="I143" s="300">
        <f>'Рулонные СТАНДАРТ'!I142+'Рулонные СТАНДАРТ'!I142*10/100</f>
        <v>102.04365600000001</v>
      </c>
      <c r="J143" s="300">
        <f>'Рулонные СТАНДАРТ'!J142+'Рулонные СТАНДАРТ'!J142*10/100</f>
        <v>109.26372599999999</v>
      </c>
      <c r="K143" s="300">
        <f>'Рулонные СТАНДАРТ'!K142+'Рулонные СТАНДАРТ'!K142*10/100</f>
        <v>116.32335000000002</v>
      </c>
      <c r="L143" s="300">
        <f>'Рулонные СТАНДАРТ'!L142+'Рулонные СТАНДАРТ'!L142*10/100</f>
        <v>123.38297400000002</v>
      </c>
      <c r="M143" s="300">
        <f>'Рулонные СТАНДАРТ'!M142+'Рулонные СТАНДАРТ'!M142*10/100</f>
        <v>130.76349000000002</v>
      </c>
      <c r="N143" s="300">
        <f>'Рулонные СТАНДАРТ'!N142+'Рулонные СТАНДАРТ'!N142*10/100</f>
        <v>137.82311400000003</v>
      </c>
      <c r="O143" s="300">
        <f>'Рулонные СТАНДАРТ'!O142+'Рулонные СТАНДАРТ'!O142*10/100</f>
        <v>144.88273799999999</v>
      </c>
      <c r="P143" s="304">
        <f>'Рулонные СТАНДАРТ'!P142+'Рулонные СТАНДАРТ'!P142*10/100</f>
        <v>152.10280800000001</v>
      </c>
    </row>
    <row r="144" spans="1:16">
      <c r="A144" s="1538"/>
      <c r="B144" s="298">
        <v>1.4</v>
      </c>
      <c r="C144" s="303">
        <f>'Рулонные СТАНДАРТ'!C143+'Рулонные СТАНДАРТ'!C143*10/100</f>
        <v>61.290372000000019</v>
      </c>
      <c r="D144" s="300">
        <f>'Рулонные СТАНДАРТ'!D143+'Рулонные СТАНДАРТ'!D143*10/100</f>
        <v>68.831334000000012</v>
      </c>
      <c r="E144" s="300">
        <f>'Рулонные СТАНДАРТ'!E143+'Рулонные СТАНДАРТ'!E143*10/100</f>
        <v>76.532742000000013</v>
      </c>
      <c r="F144" s="300">
        <f>'Рулонные СТАНДАРТ'!F143+'Рулонные СТАНДАРТ'!F143*10/100</f>
        <v>84.234150000000014</v>
      </c>
      <c r="G144" s="300">
        <f>'Рулонные СТАНДАРТ'!G143+'Рулонные СТАНДАРТ'!G143*10/100</f>
        <v>92.096004000000022</v>
      </c>
      <c r="H144" s="300">
        <f>'Рулонные СТАНДАРТ'!H143+'Рулонные СТАНДАРТ'!H143*10/100</f>
        <v>99.636966000000029</v>
      </c>
      <c r="I144" s="300">
        <f>'Рулонные СТАНДАРТ'!I143+'Рулонные СТАНДАРТ'!I143*10/100</f>
        <v>107.33837400000002</v>
      </c>
      <c r="J144" s="300">
        <f>'Рулонные СТАНДАРТ'!J143+'Рулонные СТАНДАРТ'!J143*10/100</f>
        <v>115.03978200000002</v>
      </c>
      <c r="K144" s="300">
        <f>'Рулонные СТАНДАРТ'!K143+'Рулонные СТАНДАРТ'!K143*10/100</f>
        <v>122.58074400000004</v>
      </c>
      <c r="L144" s="300">
        <f>'Рулонные СТАНДАРТ'!L143+'Рулонные СТАНДАРТ'!L143*10/100</f>
        <v>130.44259800000003</v>
      </c>
      <c r="M144" s="300">
        <f>'Рулонные СТАНДАРТ'!M143+'Рулонные СТАНДАРТ'!M143*10/100</f>
        <v>138.14400600000002</v>
      </c>
      <c r="N144" s="300">
        <f>'Рулонные СТАНДАРТ'!N143+'Рулонные СТАНДАРТ'!N143*10/100</f>
        <v>145.84541400000003</v>
      </c>
      <c r="O144" s="300">
        <f>'Рулонные СТАНДАРТ'!O143+'Рулонные СТАНДАРТ'!O143*10/100</f>
        <v>153.38637600000004</v>
      </c>
      <c r="P144" s="304">
        <f>'Рулонные СТАНДАРТ'!P143+'Рулонные СТАНДАРТ'!P143*10/100</f>
        <v>161.087784</v>
      </c>
    </row>
    <row r="145" spans="1:16">
      <c r="A145" s="1538"/>
      <c r="B145" s="298">
        <v>1.5</v>
      </c>
      <c r="C145" s="303">
        <f>'Рулонные СТАНДАРТ'!C144+'Рулонные СТАНДАРТ'!C144*10/100</f>
        <v>63.055278000000008</v>
      </c>
      <c r="D145" s="300">
        <f>'Рулонные СТАНДАРТ'!D144+'Рулонные СТАНДАРТ'!D144*10/100</f>
        <v>71.238023999999996</v>
      </c>
      <c r="E145" s="300">
        <f>'Рулонные СТАНДАРТ'!E144+'Рулонные СТАНДАРТ'!E144*10/100</f>
        <v>79.420770000000019</v>
      </c>
      <c r="F145" s="300">
        <f>'Рулонные СТАНДАРТ'!F144+'Рулонные СТАНДАРТ'!F144*10/100</f>
        <v>87.763962000000021</v>
      </c>
      <c r="G145" s="300">
        <f>'Рулонные СТАНДАРТ'!G144+'Рулонные СТАНДАРТ'!G144*10/100</f>
        <v>95.946708000000001</v>
      </c>
      <c r="H145" s="300">
        <f>'Рулонные СТАНДАРТ'!H144+'Рулонные СТАНДАРТ'!H144*10/100</f>
        <v>104.12945400000002</v>
      </c>
      <c r="I145" s="300">
        <f>'Рулонные СТАНДАРТ'!I144+'Рулонные СТАНДАРТ'!I144*10/100</f>
        <v>112.47264600000003</v>
      </c>
      <c r="J145" s="300">
        <f>'Рулонные СТАНДАРТ'!J144+'Рулонные СТАНДАРТ'!J144*10/100</f>
        <v>120.81583800000003</v>
      </c>
      <c r="K145" s="300">
        <f>'Рулонные СТАНДАРТ'!K144+'Рулонные СТАНДАРТ'!K144*10/100</f>
        <v>129.15903000000003</v>
      </c>
      <c r="L145" s="300">
        <f>'Рулонные СТАНДАРТ'!L144+'Рулонные СТАНДАРТ'!L144*10/100</f>
        <v>137.34177600000001</v>
      </c>
      <c r="M145" s="300">
        <f>'Рулонные СТАНДАРТ'!M144+'Рулонные СТАНДАРТ'!M144*10/100</f>
        <v>145.52452200000002</v>
      </c>
      <c r="N145" s="300">
        <f>'Рулонные СТАНДАРТ'!N144+'Рулонные СТАНДАРТ'!N144*10/100</f>
        <v>153.86771400000003</v>
      </c>
      <c r="O145" s="300">
        <f>'Рулонные СТАНДАРТ'!O144+'Рулонные СТАНДАРТ'!O144*10/100</f>
        <v>162.05046000000002</v>
      </c>
      <c r="P145" s="304">
        <f>'Рулонные СТАНДАРТ'!P144+'Рулонные СТАНДАРТ'!P144*10/100</f>
        <v>170.393652</v>
      </c>
    </row>
    <row r="146" spans="1:16">
      <c r="A146" s="1538"/>
      <c r="B146" s="298">
        <v>1.6</v>
      </c>
      <c r="C146" s="303">
        <f>'Рулонные СТАНДАРТ'!C145+'Рулонные СТАНДАРТ'!C145*10/100</f>
        <v>64.820184000000012</v>
      </c>
      <c r="D146" s="300">
        <f>'Рулонные СТАНДАРТ'!D145+'Рулонные СТАНДАРТ'!D145*10/100</f>
        <v>73.644714000000008</v>
      </c>
      <c r="E146" s="300">
        <f>'Рулонные СТАНДАРТ'!E145+'Рулонные СТАНДАРТ'!E145*10/100</f>
        <v>82.469244000000003</v>
      </c>
      <c r="F146" s="300">
        <f>'Рулонные СТАНДАРТ'!F145+'Рулонные СТАНДАРТ'!F145*10/100</f>
        <v>91.293774000000013</v>
      </c>
      <c r="G146" s="300">
        <f>'Рулонные СТАНДАРТ'!G145+'Рулонные СТАНДАРТ'!G145*10/100</f>
        <v>100.11830400000001</v>
      </c>
      <c r="H146" s="300">
        <f>'Рулонные СТАНДАРТ'!H145+'Рулонные СТАНДАРТ'!H145*10/100</f>
        <v>108.94283400000003</v>
      </c>
      <c r="I146" s="300">
        <f>'Рулонные СТАНДАРТ'!I145+'Рулонные СТАНДАРТ'!I145*10/100</f>
        <v>117.76736400000003</v>
      </c>
      <c r="J146" s="300">
        <f>'Рулонные СТАНДАРТ'!J145+'Рулонные СТАНДАРТ'!J145*10/100</f>
        <v>126.59189400000001</v>
      </c>
      <c r="K146" s="300">
        <f>'Рулонные СТАНДАРТ'!K145+'Рулонные СТАНДАРТ'!K145*10/100</f>
        <v>135.41642400000003</v>
      </c>
      <c r="L146" s="300">
        <f>'Рулонные СТАНДАРТ'!L145+'Рулонные СТАНДАРТ'!L145*10/100</f>
        <v>144.24095400000004</v>
      </c>
      <c r="M146" s="300">
        <f>'Рулонные СТАНДАРТ'!M145+'Рулонные СТАНДАРТ'!M145*10/100</f>
        <v>153.06548400000003</v>
      </c>
      <c r="N146" s="300">
        <f>'Рулонные СТАНДАРТ'!N145+'Рулонные СТАНДАРТ'!N145*10/100</f>
        <v>161.89001400000004</v>
      </c>
      <c r="O146" s="300">
        <f>'Рулонные СТАНДАРТ'!O145+'Рулонные СТАНДАРТ'!O145*10/100</f>
        <v>170.71454400000005</v>
      </c>
      <c r="P146" s="304">
        <f>'Рулонные СТАНДАРТ'!P145+'Рулонные СТАНДАРТ'!P145*10/100</f>
        <v>179.539074</v>
      </c>
    </row>
    <row r="147" spans="1:16">
      <c r="A147" s="1538"/>
      <c r="B147" s="298">
        <v>1.7</v>
      </c>
      <c r="C147" s="303">
        <f>'Рулонные СТАНДАРТ'!C146+'Рулонные СТАНДАРТ'!C146*10/100</f>
        <v>66.585089999999994</v>
      </c>
      <c r="D147" s="300">
        <f>'Рулонные СТАНДАРТ'!D146+'Рулонные СТАНДАРТ'!D146*10/100</f>
        <v>75.890958000000012</v>
      </c>
      <c r="E147" s="300">
        <f>'Рулонные СТАНДАРТ'!E146+'Рулонные СТАНДАРТ'!E146*10/100</f>
        <v>85.357272000000023</v>
      </c>
      <c r="F147" s="300">
        <f>'Рулонные СТАНДАРТ'!F146+'Рулонные СТАНДАРТ'!F146*10/100</f>
        <v>94.82358600000002</v>
      </c>
      <c r="G147" s="300">
        <f>'Рулонные СТАНДАРТ'!G146+'Рулонные СТАНДАРТ'!G146*10/100</f>
        <v>104.12945400000002</v>
      </c>
      <c r="H147" s="300">
        <f>'Рулонные СТАНДАРТ'!H146+'Рулонные СТАНДАРТ'!H146*10/100</f>
        <v>113.59576799999999</v>
      </c>
      <c r="I147" s="300">
        <f>'Рулонные СТАНДАРТ'!I146+'Рулонные СТАНДАРТ'!I146*10/100</f>
        <v>123.06208200000003</v>
      </c>
      <c r="J147" s="300">
        <f>'Рулонные СТАНДАРТ'!J146+'Рулонные СТАНДАРТ'!J146*10/100</f>
        <v>132.207504</v>
      </c>
      <c r="K147" s="300">
        <f>'Рулонные СТАНДАРТ'!K146+'Рулонные СТАНДАРТ'!K146*10/100</f>
        <v>141.67381800000001</v>
      </c>
      <c r="L147" s="300">
        <f>'Рулонные СТАНДАРТ'!L146+'Рулонные СТАНДАРТ'!L146*10/100</f>
        <v>151.14013200000002</v>
      </c>
      <c r="M147" s="300">
        <f>'Рулонные СТАНДАРТ'!M146+'Рулонные СТАНДАРТ'!M146*10/100</f>
        <v>160.44600000000003</v>
      </c>
      <c r="N147" s="300">
        <f>'Рулонные СТАНДАРТ'!N146+'Рулонные СТАНДАРТ'!N146*10/100</f>
        <v>169.91231400000004</v>
      </c>
      <c r="O147" s="300">
        <f>'Рулонные СТАНДАРТ'!O146+'Рулонные СТАНДАРТ'!O146*10/100</f>
        <v>179.37862800000002</v>
      </c>
      <c r="P147" s="304">
        <f>'Рулонные СТАНДАРТ'!P146+'Рулонные СТАНДАРТ'!P146*10/100</f>
        <v>188.844942</v>
      </c>
    </row>
    <row r="148" spans="1:16">
      <c r="A148" s="1538"/>
      <c r="B148" s="298">
        <v>1.8</v>
      </c>
      <c r="C148" s="303">
        <f>'Рулонные СТАНДАРТ'!C147+'Рулонные СТАНДАРТ'!C147*10/100</f>
        <v>68.349996000000004</v>
      </c>
      <c r="D148" s="300">
        <f>'Рулонные СТАНДАРТ'!D147+'Рулонные СТАНДАРТ'!D147*10/100</f>
        <v>78.297648000000009</v>
      </c>
      <c r="E148" s="300">
        <f>'Рулонные СТАНДАРТ'!E147+'Рулонные СТАНДАРТ'!E147*10/100</f>
        <v>88.245300000000015</v>
      </c>
      <c r="F148" s="300">
        <f>'Рулонные СТАНДАРТ'!F147+'Рулонные СТАНДАРТ'!F147*10/100</f>
        <v>98.353398000000013</v>
      </c>
      <c r="G148" s="300">
        <f>'Рулонные СТАНДАРТ'!G147+'Рулонные СТАНДАРТ'!G147*10/100</f>
        <v>108.14060400000002</v>
      </c>
      <c r="H148" s="300">
        <f>'Рулонные СТАНДАРТ'!H147+'Рулонные СТАНДАРТ'!H147*10/100</f>
        <v>118.08825600000002</v>
      </c>
      <c r="I148" s="300">
        <f>'Рулонные СТАНДАРТ'!I147+'Рулонные СТАНДАРТ'!I147*10/100</f>
        <v>128.19635400000004</v>
      </c>
      <c r="J148" s="300">
        <f>'Рулонные СТАНДАРТ'!J147+'Рулонные СТАНДАРТ'!J147*10/100</f>
        <v>138.14400600000002</v>
      </c>
      <c r="K148" s="300">
        <f>'Рулонные СТАНДАРТ'!K147+'Рулонные СТАНДАРТ'!K147*10/100</f>
        <v>148.091658</v>
      </c>
      <c r="L148" s="300">
        <f>'Рулонные СТАНДАРТ'!L147+'Рулонные СТАНДАРТ'!L147*10/100</f>
        <v>158.03931</v>
      </c>
      <c r="M148" s="300">
        <f>'Рулонные СТАНДАРТ'!M147+'Рулонные СТАНДАРТ'!M147*10/100</f>
        <v>167.98696200000006</v>
      </c>
      <c r="N148" s="300">
        <f>'Рулонные СТАНДАРТ'!N147+'Рулонные СТАНДАРТ'!N147*10/100</f>
        <v>177.93461400000001</v>
      </c>
      <c r="O148" s="300">
        <f>'Рулонные СТАНДАРТ'!O147+'Рулонные СТАНДАРТ'!O147*10/100</f>
        <v>188.04271200000005</v>
      </c>
      <c r="P148" s="304">
        <f>'Рулонные СТАНДАРТ'!P147+'Рулонные СТАНДАРТ'!P147*10/100</f>
        <v>197.99036400000003</v>
      </c>
    </row>
    <row r="149" spans="1:16">
      <c r="A149" s="1538"/>
      <c r="B149" s="298">
        <v>1.9</v>
      </c>
      <c r="C149" s="303">
        <f>'Рулонные СТАНДАРТ'!C148+'Рулонные СТАНДАРТ'!C148*10/100</f>
        <v>71.879807999999997</v>
      </c>
      <c r="D149" s="300">
        <f>'Рулонные СТАНДАРТ'!D148+'Рулонные СТАНДАРТ'!D148*10/100</f>
        <v>82.950582000000026</v>
      </c>
      <c r="E149" s="300">
        <f>'Рулонные СТАНДАРТ'!E148+'Рулонные СТАНДАРТ'!E148*10/100</f>
        <v>94.181802000000019</v>
      </c>
      <c r="F149" s="300">
        <f>'Рулонные СТАНДАРТ'!F148+'Рулонные СТАНДАРТ'!F148*10/100</f>
        <v>105.25257599999999</v>
      </c>
      <c r="G149" s="300">
        <f>'Рулонные СТАНДАРТ'!G148+'Рулонные СТАНДАРТ'!G148*10/100</f>
        <v>116.32335000000002</v>
      </c>
      <c r="H149" s="300">
        <f>'Рулонные СТАНДАРТ'!H148+'Рулонные СТАНДАРТ'!H148*10/100</f>
        <v>127.39412400000003</v>
      </c>
      <c r="I149" s="300">
        <f>'Рулонные СТАНДАРТ'!I148+'Рулонные СТАНДАРТ'!I148*10/100</f>
        <v>138.46489800000001</v>
      </c>
      <c r="J149" s="300">
        <f>'Рулонные СТАНДАРТ'!J148+'Рулонные СТАНДАРТ'!J148*10/100</f>
        <v>149.69611800000001</v>
      </c>
      <c r="K149" s="300">
        <f>'Рулонные СТАНДАРТ'!K148+'Рулонные СТАНДАРТ'!K148*10/100</f>
        <v>160.76689200000004</v>
      </c>
      <c r="L149" s="300">
        <f>'Рулонные СТАНДАРТ'!L148+'Рулонные СТАНДАРТ'!L148*10/100</f>
        <v>171.83766600000004</v>
      </c>
      <c r="M149" s="300">
        <f>'Рулонные СТАНДАРТ'!M148+'Рулонные СТАНДАРТ'!M148*10/100</f>
        <v>182.90844000000004</v>
      </c>
      <c r="N149" s="300">
        <f>'Рулонные СТАНДАРТ'!N148+'Рулонные СТАНДАРТ'!N148*10/100</f>
        <v>194.13965999999999</v>
      </c>
      <c r="O149" s="300">
        <f>'Рулонные СТАНДАРТ'!O148+'Рулонные СТАНДАРТ'!O148*10/100</f>
        <v>205.21043400000002</v>
      </c>
      <c r="P149" s="304">
        <f>'Рулонные СТАНДАРТ'!P148+'Рулонные СТАНДАРТ'!P148*10/100</f>
        <v>216.28120800000005</v>
      </c>
    </row>
    <row r="150" spans="1:16">
      <c r="A150" s="1538"/>
      <c r="B150" s="298">
        <v>2</v>
      </c>
      <c r="C150" s="303">
        <f>'Рулонные СТАНДАРТ'!C149+'Рулонные СТАНДАРТ'!C149*10/100</f>
        <v>73.644714000000008</v>
      </c>
      <c r="D150" s="300">
        <f>'Рулонные СТАНДАРТ'!D149+'Рулонные СТАНДАРТ'!D149*10/100</f>
        <v>85.357272000000023</v>
      </c>
      <c r="E150" s="300">
        <f>'Рулонные СТАНДАРТ'!E149+'Рулонные СТАНДАРТ'!E149*10/100</f>
        <v>96.909384000000017</v>
      </c>
      <c r="F150" s="300">
        <f>'Рулонные СТАНДАРТ'!F149+'Рулонные СТАНДАРТ'!F149*10/100</f>
        <v>108.78238800000001</v>
      </c>
      <c r="G150" s="300">
        <f>'Рулонные СТАНДАРТ'!G149+'Рулонные СТАНДАРТ'!G149*10/100</f>
        <v>120.33450000000001</v>
      </c>
      <c r="H150" s="300">
        <f>'Рулонные СТАНДАРТ'!H149+'Рулонные СТАНДАРТ'!H149*10/100</f>
        <v>132.04705800000002</v>
      </c>
      <c r="I150" s="300">
        <f>'Рулонные СТАНДАРТ'!I149+'Рулонные СТАНДАРТ'!I149*10/100</f>
        <v>143.75961599999999</v>
      </c>
      <c r="J150" s="300">
        <f>'Рулонные СТАНДАРТ'!J149+'Рулонные СТАНДАРТ'!J149*10/100</f>
        <v>155.47217400000005</v>
      </c>
      <c r="K150" s="300">
        <f>'Рулонные СТАНДАРТ'!K149+'Рулонные СТАНДАРТ'!K149*10/100</f>
        <v>167.18473200000003</v>
      </c>
      <c r="L150" s="300">
        <f>'Рулонные СТАНДАРТ'!L149+'Рулонные СТАНДАРТ'!L149*10/100</f>
        <v>178.73684400000005</v>
      </c>
      <c r="M150" s="300">
        <f>'Рулонные СТАНДАРТ'!M149+'Рулонные СТАНДАРТ'!M149*10/100</f>
        <v>190.60984800000003</v>
      </c>
      <c r="N150" s="300">
        <f>'Рулонные СТАНДАРТ'!N149+'Рулонные СТАНДАРТ'!N149*10/100</f>
        <v>202.16196000000002</v>
      </c>
      <c r="O150" s="300">
        <f>'Рулонные СТАНДАРТ'!O149+'Рулонные СТАНДАРТ'!O149*10/100</f>
        <v>213.87451800000005</v>
      </c>
      <c r="P150" s="304">
        <f>'Рулонные СТАНДАРТ'!P149+'Рулонные СТАНДАРТ'!P149*10/100</f>
        <v>225.42662999999999</v>
      </c>
    </row>
    <row r="151" spans="1:16">
      <c r="A151" s="1538"/>
      <c r="B151" s="298">
        <v>2.1</v>
      </c>
      <c r="C151" s="303">
        <f>'Рулонные СТАНДАРТ'!C150+'Рулонные СТАНДАРТ'!C150*10/100</f>
        <v>75.570066000000011</v>
      </c>
      <c r="D151" s="300">
        <f>'Рулонные СТАНДАРТ'!D150+'Рулонные СТАНДАРТ'!D150*10/100</f>
        <v>87.763962000000021</v>
      </c>
      <c r="E151" s="300">
        <f>'Рулонные СТАНДАРТ'!E150+'Рулонные СТАНДАРТ'!E150*10/100</f>
        <v>99.957858000000016</v>
      </c>
      <c r="F151" s="300">
        <f>'Рулонные СТАНДАРТ'!F150+'Рулонные СТАНДАРТ'!F150*10/100</f>
        <v>112.31220000000002</v>
      </c>
      <c r="G151" s="300">
        <f>'Рулонные СТАНДАРТ'!G150+'Рулонные СТАНДАРТ'!G150*10/100</f>
        <v>124.34565000000002</v>
      </c>
      <c r="H151" s="300">
        <f>'Рулонные СТАНДАРТ'!H150+'Рулонные СТАНДАРТ'!H150*10/100</f>
        <v>136.69999200000001</v>
      </c>
      <c r="I151" s="300">
        <f>'Рулонные СТАНДАРТ'!I150+'Рулонные СТАНДАРТ'!I150*10/100</f>
        <v>148.893888</v>
      </c>
      <c r="J151" s="300">
        <f>'Рулонные СТАНДАРТ'!J150+'Рулонные СТАНДАРТ'!J150*10/100</f>
        <v>161.087784</v>
      </c>
      <c r="K151" s="300">
        <f>'Рулонные СТАНДАРТ'!K150+'Рулонные СТАНДАРТ'!K150*10/100</f>
        <v>173.44212600000003</v>
      </c>
      <c r="L151" s="300">
        <f>'Рулонные СТАНДАРТ'!L150+'Рулонные СТАНДАРТ'!L150*10/100</f>
        <v>185.63602200000003</v>
      </c>
      <c r="M151" s="300">
        <f>'Рулонные СТАНДАРТ'!M150+'Рулонные СТАНДАРТ'!M150*10/100</f>
        <v>197.99036400000003</v>
      </c>
      <c r="N151" s="300">
        <f>'Рулонные СТАНДАРТ'!N150+'Рулонные СТАНДАРТ'!N150*10/100</f>
        <v>210.18426000000005</v>
      </c>
      <c r="O151" s="300">
        <f>'Рулонные СТАНДАРТ'!O150+'Рулонные СТАНДАРТ'!O150*10/100</f>
        <v>222.37815599999999</v>
      </c>
      <c r="P151" s="304">
        <f>'Рулонные СТАНДАРТ'!P150+'Рулонные СТАНДАРТ'!P150*10/100</f>
        <v>234.73249800000008</v>
      </c>
    </row>
    <row r="152" spans="1:16">
      <c r="A152" s="1538"/>
      <c r="B152" s="298">
        <v>2.2000000000000002</v>
      </c>
      <c r="C152" s="303">
        <f>'Рулонные СТАНДАРТ'!C151+'Рулонные СТАНДАРТ'!C151*10/100</f>
        <v>77.334972000000008</v>
      </c>
      <c r="D152" s="300">
        <f>'Рулонные СТАНДАРТ'!D151+'Рулонные СТАНДАРТ'!D151*10/100</f>
        <v>90.010206000000011</v>
      </c>
      <c r="E152" s="300">
        <f>'Рулонные СТАНДАРТ'!E151+'Рулонные СТАНДАРТ'!E151*10/100</f>
        <v>102.84588599999999</v>
      </c>
      <c r="F152" s="300">
        <f>'Рулонные СТАНДАРТ'!F151+'Рулонные СТАНДАРТ'!F151*10/100</f>
        <v>115.84201200000003</v>
      </c>
      <c r="G152" s="300">
        <f>'Рулонные СТАНДАРТ'!G151+'Рулонные СТАНДАРТ'!G151*10/100</f>
        <v>128.517246</v>
      </c>
      <c r="H152" s="300">
        <f>'Рулонные СТАНДАРТ'!H151+'Рулонные СТАНДАРТ'!H151*10/100</f>
        <v>141.35292600000002</v>
      </c>
      <c r="I152" s="300">
        <f>'Рулонные СТАНДАРТ'!I151+'Рулонные СТАНДАРТ'!I151*10/100</f>
        <v>154.18860599999999</v>
      </c>
      <c r="J152" s="300">
        <f>'Рулонные СТАНДАРТ'!J151+'Рулонные СТАНДАРТ'!J151*10/100</f>
        <v>167.02428600000002</v>
      </c>
      <c r="K152" s="300">
        <f>'Рулонные СТАНДАРТ'!K151+'Рулонные СТАНДАРТ'!K151*10/100</f>
        <v>179.69952000000004</v>
      </c>
      <c r="L152" s="300">
        <f>'Рулонные СТАНДАРТ'!L151+'Рулонные СТАНДАРТ'!L151*10/100</f>
        <v>192.5352</v>
      </c>
      <c r="M152" s="300">
        <f>'Рулонные СТАНДАРТ'!M151+'Рулонные СТАНДАРТ'!M151*10/100</f>
        <v>205.37088000000003</v>
      </c>
      <c r="N152" s="300">
        <f>'Рулонные СТАНДАРТ'!N151+'Рулонные СТАНДАРТ'!N151*10/100</f>
        <v>218.20656000000002</v>
      </c>
      <c r="O152" s="300">
        <f>'Рулонные СТАНДАРТ'!O151+'Рулонные СТАНДАРТ'!O151*10/100</f>
        <v>230.88179400000001</v>
      </c>
      <c r="P152" s="304">
        <f>'Рулонные СТАНДАРТ'!P151+'Рулонные СТАНДАРТ'!P151*10/100</f>
        <v>243.87792000000002</v>
      </c>
    </row>
    <row r="153" spans="1:16">
      <c r="A153" s="1538"/>
      <c r="B153" s="298">
        <v>2.2999999999999998</v>
      </c>
      <c r="C153" s="303">
        <f>'Рулонные СТАНДАРТ'!C152+'Рулонные СТАНДАРТ'!C152*10/100</f>
        <v>79.099878000000018</v>
      </c>
      <c r="D153" s="300">
        <f>'Рулонные СТАНДАРТ'!D152+'Рулонные СТАНДАРТ'!D152*10/100</f>
        <v>92.416896000000008</v>
      </c>
      <c r="E153" s="300">
        <f>'Рулонные СТАНДАРТ'!E152+'Рулонные СТАНДАРТ'!E152*10/100</f>
        <v>105.73391400000003</v>
      </c>
      <c r="F153" s="300">
        <f>'Рулонные СТАНДАРТ'!F152+'Рулонные СТАНДАРТ'!F152*10/100</f>
        <v>119.05093200000002</v>
      </c>
      <c r="G153" s="300">
        <f>'Рулонные СТАНДАРТ'!G152+'Рулонные СТАНДАРТ'!G152*10/100</f>
        <v>132.68884200000002</v>
      </c>
      <c r="H153" s="300">
        <f>'Рулонные СТАНДАРТ'!H152+'Рулонные СТАНДАРТ'!H152*10/100</f>
        <v>146.00586000000001</v>
      </c>
      <c r="I153" s="300">
        <f>'Рулонные СТАНДАРТ'!I152+'Рулонные СТАНДАРТ'!I152*10/100</f>
        <v>159.32287800000003</v>
      </c>
      <c r="J153" s="300">
        <f>'Рулонные СТАНДАРТ'!J152+'Рулонные СТАНДАРТ'!J152*10/100</f>
        <v>172.63989600000002</v>
      </c>
      <c r="K153" s="300">
        <f>'Рулонные СТАНДАРТ'!K152+'Рулонные СТАНДАРТ'!K152*10/100</f>
        <v>185.95691400000004</v>
      </c>
      <c r="L153" s="300">
        <f>'Рулонные СТАНДАРТ'!L152+'Рулонные СТАНДАРТ'!L152*10/100</f>
        <v>199.59482400000005</v>
      </c>
      <c r="M153" s="300">
        <f>'Рулонные СТАНДАРТ'!M152+'Рулонные СТАНДАРТ'!M152*10/100</f>
        <v>212.91184199999998</v>
      </c>
      <c r="N153" s="300">
        <f>'Рулонные СТАНДАРТ'!N152+'Рулонные СТАНДАРТ'!N152*10/100</f>
        <v>226.22886000000003</v>
      </c>
      <c r="O153" s="300">
        <f>'Рулонные СТАНДАРТ'!O152+'Рулонные СТАНДАРТ'!O152*10/100</f>
        <v>239.54587800000002</v>
      </c>
      <c r="P153" s="304">
        <f>'Рулонные СТАНДАРТ'!P152+'Рулонные СТАНДАРТ'!P152*10/100</f>
        <v>253.18378800000002</v>
      </c>
    </row>
    <row r="154" spans="1:16">
      <c r="A154" s="1538"/>
      <c r="B154" s="298">
        <v>2.4</v>
      </c>
      <c r="C154" s="303">
        <f>'Рулонные СТАНДАРТ'!C153+'Рулонные СТАНДАРТ'!C153*10/100</f>
        <v>80.864784</v>
      </c>
      <c r="D154" s="300">
        <f>'Рулонные СТАНДАРТ'!D153+'Рулонные СТАНДАРТ'!D153*10/100</f>
        <v>94.82358600000002</v>
      </c>
      <c r="E154" s="300">
        <f>'Рулонные СТАНДАРТ'!E153+'Рулонные СТАНДАРТ'!E153*10/100</f>
        <v>108.78238800000001</v>
      </c>
      <c r="F154" s="300">
        <f>'Рулонные СТАНДАРТ'!F153+'Рулонные СТАНДАРТ'!F153*10/100</f>
        <v>122.58074400000004</v>
      </c>
      <c r="G154" s="300">
        <f>'Рулонные СТАНДАРТ'!G153+'Рулонные СТАНДАРТ'!G153*10/100</f>
        <v>136.539546</v>
      </c>
      <c r="H154" s="300">
        <f>'Рулонные СТАНДАРТ'!H153+'Рулонные СТАНДАРТ'!H153*10/100</f>
        <v>150.49834800000002</v>
      </c>
      <c r="I154" s="300">
        <f>'Рулонные СТАНДАРТ'!I153+'Рулонные СТАНДАРТ'!I153*10/100</f>
        <v>164.61759600000005</v>
      </c>
      <c r="J154" s="300">
        <f>'Рулонные СТАНДАРТ'!J153+'Рулонные СТАНДАРТ'!J153*10/100</f>
        <v>178.57639800000001</v>
      </c>
      <c r="K154" s="300">
        <f>'Рулонные СТАНДАРТ'!K153+'Рулонные СТАНДАРТ'!K153*10/100</f>
        <v>192.5352</v>
      </c>
      <c r="L154" s="300">
        <f>'Рулонные СТАНДАРТ'!L153+'Рулонные СТАНДАРТ'!L153*10/100</f>
        <v>206.49400200000002</v>
      </c>
      <c r="M154" s="300">
        <f>'Рулонные СТАНДАРТ'!M153+'Рулонные СТАНДАРТ'!M153*10/100</f>
        <v>220.29235800000004</v>
      </c>
      <c r="N154" s="300">
        <f>'Рулонные СТАНДАРТ'!N153+'Рулонные СТАНДАРТ'!N153*10/100</f>
        <v>234.25116000000006</v>
      </c>
      <c r="O154" s="300">
        <f>'Рулонные СТАНДАРТ'!O153+'Рулонные СТАНДАРТ'!O153*10/100</f>
        <v>248.20996200000002</v>
      </c>
      <c r="P154" s="304">
        <f>'Рулонные СТАНДАРТ'!P153+'Рулонные СТАНДАРТ'!P153*10/100</f>
        <v>262.16876400000001</v>
      </c>
    </row>
    <row r="155" spans="1:16">
      <c r="A155" s="1538"/>
      <c r="B155" s="298">
        <v>2.5</v>
      </c>
      <c r="C155" s="303">
        <f>'Рулонные СТАНДАРТ'!C154+'Рулонные СТАНДАРТ'!C154*10/100</f>
        <v>82.629690000000011</v>
      </c>
      <c r="D155" s="300">
        <f>'Рулонные СТАНДАРТ'!D154+'Рулонные СТАНДАРТ'!D154*10/100</f>
        <v>97.069829999999996</v>
      </c>
      <c r="E155" s="300">
        <f>'Рулонные СТАНДАРТ'!E154+'Рулонные СТАНДАРТ'!E154*10/100</f>
        <v>111.67041599999999</v>
      </c>
      <c r="F155" s="300">
        <f>'Рулонные СТАНДАРТ'!F154+'Рулонные СТАНДАРТ'!F154*10/100</f>
        <v>126.11055600000002</v>
      </c>
      <c r="G155" s="300">
        <f>'Рулонные СТАНДАРТ'!G154+'Рулонные СТАНДАРТ'!G154*10/100</f>
        <v>140.71114200000002</v>
      </c>
      <c r="H155" s="300">
        <f>'Рулонные СТАНДАРТ'!H154+'Рулонные СТАНДАРТ'!H154*10/100</f>
        <v>155.15128200000001</v>
      </c>
      <c r="I155" s="300">
        <f>'Рулонные СТАНДАРТ'!I154+'Рулонные СТАНДАРТ'!I154*10/100</f>
        <v>169.751868</v>
      </c>
      <c r="J155" s="300">
        <f>'Рулонные СТАНДАРТ'!J154+'Рулонные СТАНДАРТ'!J154*10/100</f>
        <v>184.19200800000004</v>
      </c>
      <c r="K155" s="300">
        <f>'Рулонные СТАНДАРТ'!K154+'Рулонные СТАНДАРТ'!K154*10/100</f>
        <v>198.79259400000004</v>
      </c>
      <c r="L155" s="300">
        <f>'Рулонные СТАНДАРТ'!L154+'Рулонные СТАНДАРТ'!L154*10/100</f>
        <v>213.23273400000005</v>
      </c>
      <c r="M155" s="300">
        <f>'Рулонные СТАНДАРТ'!M154+'Рулонные СТАНДАРТ'!M154*10/100</f>
        <v>227.83332000000001</v>
      </c>
      <c r="N155" s="300">
        <f>'Рулонные СТАНДАРТ'!N154+'Рулонные СТАНДАРТ'!N154*10/100</f>
        <v>242.27346000000006</v>
      </c>
      <c r="O155" s="300">
        <f>'Рулонные СТАНДАРТ'!O154+'Рулонные СТАНДАРТ'!O154*10/100</f>
        <v>256.87404600000002</v>
      </c>
      <c r="P155" s="304">
        <f>'Рулонные СТАНДАРТ'!P154+'Рулонные СТАНДАРТ'!P154*10/100</f>
        <v>271.31418600000006</v>
      </c>
    </row>
    <row r="156" spans="1:16" ht="13.8" thickBot="1">
      <c r="A156" s="1539"/>
      <c r="B156" s="299">
        <v>2.5499999999999998</v>
      </c>
      <c r="C156" s="305">
        <f>'Рулонные СТАНДАРТ'!C155+'Рулонные СТАНДАРТ'!C155*10/100</f>
        <v>84.394596000000007</v>
      </c>
      <c r="D156" s="306">
        <f>'Рулонные СТАНДАРТ'!D155+'Рулонные СТАНДАРТ'!D155*10/100</f>
        <v>99.476520000000022</v>
      </c>
      <c r="E156" s="306">
        <f>'Рулонные СТАНДАРТ'!E155+'Рулонные СТАНДАРТ'!E155*10/100</f>
        <v>114.55844400000001</v>
      </c>
      <c r="F156" s="306">
        <f>'Рулонные СТАНДАРТ'!F155+'Рулонные СТАНДАРТ'!F155*10/100</f>
        <v>129.64036800000002</v>
      </c>
      <c r="G156" s="306">
        <f>'Рулонные СТАНДАРТ'!G155+'Рулонные СТАНДАРТ'!G155*10/100</f>
        <v>144.88273799999999</v>
      </c>
      <c r="H156" s="306">
        <f>'Рулонные СТАНДАРТ'!H155+'Рулонные СТАНДАРТ'!H155*10/100</f>
        <v>159.96466200000003</v>
      </c>
      <c r="I156" s="306">
        <f>'Рулонные СТАНДАРТ'!I155+'Рулонные СТАНДАРТ'!I155*10/100</f>
        <v>175.04658600000002</v>
      </c>
      <c r="J156" s="306">
        <f>'Рулонные СТАНДАРТ'!J155+'Рулонные СТАНДАРТ'!J155*10/100</f>
        <v>189.96806400000006</v>
      </c>
      <c r="K156" s="306">
        <f>'Рулонные СТАНДАРТ'!K155+'Рулонные СТАНДАРТ'!K155*10/100</f>
        <v>205.04998799999998</v>
      </c>
      <c r="L156" s="306">
        <f>'Рулонные СТАНДАРТ'!L155+'Рулонные СТАНДАРТ'!L155*10/100</f>
        <v>220.131912</v>
      </c>
      <c r="M156" s="306">
        <f>'Рулонные СТАНДАРТ'!M155+'Рулонные СТАНДАРТ'!M155*10/100</f>
        <v>235.21383600000001</v>
      </c>
      <c r="N156" s="306">
        <f>'Рулонные СТАНДАРТ'!N155+'Рулонные СТАНДАРТ'!N155*10/100</f>
        <v>250.45620600000007</v>
      </c>
      <c r="O156" s="306">
        <f>'Рулонные СТАНДАРТ'!O155+'Рулонные СТАНДАРТ'!O155*10/100</f>
        <v>265.53813000000002</v>
      </c>
      <c r="P156" s="307">
        <f>'Рулонные СТАНДАРТ'!P155+'Рулонные СТАНДАРТ'!P155*10/100</f>
        <v>280.62005400000004</v>
      </c>
    </row>
    <row r="157" spans="1:16">
      <c r="A157" s="180" t="s">
        <v>303</v>
      </c>
      <c r="B157" s="346"/>
      <c r="C157" s="345"/>
      <c r="D157" s="345"/>
      <c r="E157" s="345"/>
      <c r="F157" s="345"/>
      <c r="G157" s="345"/>
      <c r="H157" s="345"/>
      <c r="I157" s="345"/>
      <c r="J157" s="345"/>
      <c r="K157" s="345"/>
      <c r="L157" s="345"/>
      <c r="M157" s="345"/>
      <c r="N157" s="345"/>
      <c r="O157" s="345"/>
      <c r="P157" s="345"/>
    </row>
    <row r="158" spans="1:16">
      <c r="A158" s="185" t="s">
        <v>765</v>
      </c>
      <c r="B158" s="373"/>
      <c r="C158" s="345"/>
      <c r="D158" s="345"/>
      <c r="E158" s="345"/>
      <c r="F158" s="345"/>
      <c r="G158" s="345"/>
      <c r="H158" s="345"/>
      <c r="I158" s="345"/>
      <c r="J158" s="345"/>
      <c r="K158" s="345"/>
      <c r="L158" s="345"/>
      <c r="M158" s="345"/>
      <c r="N158" s="345"/>
      <c r="O158" s="345"/>
      <c r="P158" s="345"/>
    </row>
    <row r="159" spans="1:16">
      <c r="A159" s="500" t="s">
        <v>808</v>
      </c>
      <c r="B159" s="373"/>
      <c r="C159" s="345"/>
      <c r="D159" s="345"/>
      <c r="E159" s="345"/>
      <c r="F159" s="345"/>
      <c r="G159" s="345"/>
      <c r="H159" s="345"/>
      <c r="I159" s="345"/>
      <c r="J159" s="345"/>
      <c r="K159" s="345"/>
      <c r="L159" s="345"/>
      <c r="M159" s="345"/>
      <c r="N159" s="345"/>
      <c r="O159" s="345"/>
      <c r="P159" s="345"/>
    </row>
    <row r="160" spans="1:16">
      <c r="A160" s="1540" t="s">
        <v>805</v>
      </c>
      <c r="B160" s="1540"/>
      <c r="C160" s="1540"/>
      <c r="D160" s="1540"/>
      <c r="E160" s="1540"/>
      <c r="F160" s="1540"/>
      <c r="G160" s="1540"/>
      <c r="H160" s="1540"/>
      <c r="I160" s="1540"/>
      <c r="J160" s="1540"/>
      <c r="K160" s="490">
        <f>(2.53*KFC!$B$19*1.1+KFC!$C$19)*KFC!$C$5</f>
        <v>2.7829999999999999</v>
      </c>
      <c r="L160" s="497" t="s">
        <v>744</v>
      </c>
      <c r="N160" s="185"/>
      <c r="O160" s="185"/>
      <c r="P160" s="185"/>
    </row>
    <row r="161" spans="1:29" ht="13.2" customHeight="1">
      <c r="A161" s="1571" t="s">
        <v>768</v>
      </c>
      <c r="B161" s="1571"/>
      <c r="C161" s="1571"/>
      <c r="D161" s="1571"/>
      <c r="E161" s="1571"/>
      <c r="F161" s="1571"/>
      <c r="G161" s="1571"/>
      <c r="H161" s="1571"/>
      <c r="I161" s="1572"/>
      <c r="J161" s="490">
        <f>(5.1*KFC!$B$19*1.1+KFC!$C$19)*KFC!$C$5</f>
        <v>5.61</v>
      </c>
      <c r="K161" s="497" t="s">
        <v>744</v>
      </c>
      <c r="L161" s="185"/>
      <c r="M161" s="185"/>
      <c r="N161" s="499"/>
      <c r="O161" s="499"/>
      <c r="P161" s="499"/>
    </row>
    <row r="162" spans="1:29" ht="9" customHeight="1" thickBot="1">
      <c r="A162" s="499"/>
      <c r="B162" s="499"/>
      <c r="C162" s="499"/>
      <c r="D162" s="499"/>
      <c r="E162" s="499"/>
      <c r="F162" s="499"/>
      <c r="G162" s="499"/>
      <c r="H162" s="499"/>
      <c r="I162" s="499"/>
      <c r="J162" s="499"/>
      <c r="K162" s="499"/>
      <c r="L162" s="499"/>
      <c r="M162" s="499"/>
      <c r="N162" s="499"/>
      <c r="O162" s="499"/>
      <c r="P162" s="499"/>
    </row>
    <row r="163" spans="1:29" ht="13.8" thickBot="1">
      <c r="A163" s="1580" t="s">
        <v>766</v>
      </c>
      <c r="B163" s="1581"/>
      <c r="C163" s="1581"/>
      <c r="D163" s="1581"/>
      <c r="E163" s="1581"/>
      <c r="F163" s="1581"/>
      <c r="G163" s="1581"/>
      <c r="H163" s="1582"/>
      <c r="I163" s="499"/>
      <c r="J163" s="499"/>
      <c r="K163" s="499"/>
      <c r="L163" s="499"/>
      <c r="M163" s="499"/>
      <c r="N163" s="499"/>
      <c r="O163" s="499"/>
      <c r="P163" s="499"/>
    </row>
    <row r="164" spans="1:29" ht="30.6" customHeight="1">
      <c r="A164" s="1584" t="s">
        <v>556</v>
      </c>
      <c r="B164" s="1576"/>
      <c r="C164" s="1576" t="s">
        <v>767</v>
      </c>
      <c r="D164" s="1576"/>
      <c r="E164" s="1576" t="s">
        <v>770</v>
      </c>
      <c r="F164" s="1576"/>
      <c r="G164" s="1576" t="s">
        <v>771</v>
      </c>
      <c r="H164" s="1577"/>
      <c r="I164" s="499"/>
      <c r="J164" s="499"/>
      <c r="K164" s="499"/>
      <c r="L164" s="499"/>
      <c r="M164" s="499"/>
      <c r="N164" s="499"/>
      <c r="O164" s="499"/>
      <c r="P164" s="499"/>
    </row>
    <row r="165" spans="1:29" ht="13.8" thickBot="1">
      <c r="A165" s="1583">
        <f>(7*KFC!$B$19*1.1+KFC!$C$19)*KFC!$C$5</f>
        <v>7.7000000000000011</v>
      </c>
      <c r="B165" s="1578"/>
      <c r="C165" s="1578">
        <f>(7.6*KFC!$B$19*1.1+KFC!$C$19)*KFC!$C$5</f>
        <v>8.36</v>
      </c>
      <c r="D165" s="1578"/>
      <c r="E165" s="1578">
        <f>(54.8*KFC!$B$19*1.1+KFC!$C$19)*KFC!$C$5</f>
        <v>60.28</v>
      </c>
      <c r="F165" s="1578"/>
      <c r="G165" s="1578">
        <f>(45.6*KFC!$B$19*1.1+KFC!$C$19)*KFC!$C$5</f>
        <v>50.160000000000004</v>
      </c>
      <c r="H165" s="1579"/>
      <c r="I165" s="499"/>
      <c r="J165" s="499"/>
      <c r="K165" s="499"/>
      <c r="L165" s="499"/>
      <c r="M165" s="499"/>
      <c r="N165" s="499"/>
      <c r="O165" s="499"/>
      <c r="P165" s="499"/>
    </row>
    <row r="166" spans="1:29" ht="28.2" customHeight="1">
      <c r="A166" s="1283" t="s">
        <v>772</v>
      </c>
      <c r="B166" s="1283"/>
      <c r="C166" s="1283"/>
      <c r="D166" s="1283"/>
      <c r="E166" s="1283"/>
      <c r="F166" s="1283"/>
      <c r="G166" s="1283"/>
      <c r="H166" s="1283"/>
      <c r="I166" s="1283"/>
      <c r="J166" s="1283"/>
      <c r="K166" s="1283"/>
      <c r="L166" s="1283"/>
      <c r="M166" s="1283"/>
      <c r="N166" s="1283"/>
      <c r="O166" s="1283"/>
      <c r="P166" s="1283"/>
    </row>
    <row r="167" spans="1:29" ht="13.2" customHeight="1">
      <c r="A167" s="1283" t="s">
        <v>764</v>
      </c>
      <c r="B167" s="1283"/>
      <c r="C167" s="1283"/>
      <c r="D167" s="498">
        <f>(2.04*KFC!$B$19*1.1+KFC!$C$19)*KFC!$C$5</f>
        <v>2.2440000000000002</v>
      </c>
      <c r="E167" s="1566" t="s">
        <v>773</v>
      </c>
      <c r="F167" s="1567"/>
      <c r="G167" s="1568"/>
      <c r="H167" s="498">
        <f>(3.23*KFC!$B$19*1.1+KFC!$C$19)*KFC!$C$5</f>
        <v>3.5530000000000004</v>
      </c>
      <c r="I167" s="1569" t="s">
        <v>774</v>
      </c>
      <c r="J167" s="1283"/>
      <c r="K167" s="1283"/>
      <c r="L167" s="1283"/>
      <c r="M167" s="422"/>
      <c r="N167" s="422"/>
      <c r="O167" s="422"/>
      <c r="P167" s="422"/>
    </row>
    <row r="169" spans="1:29" ht="13.8" thickBot="1"/>
    <row r="170" spans="1:29" ht="13.95" customHeight="1" thickBot="1">
      <c r="A170" s="1585" t="s">
        <v>1116</v>
      </c>
      <c r="B170" s="1586"/>
      <c r="C170" s="1586"/>
      <c r="D170" s="1586"/>
      <c r="E170" s="1586"/>
      <c r="F170" s="1586"/>
      <c r="G170" s="1589">
        <f>(13.16*KFC!$B$20+KFC!$C$20)*KFC!$C$5</f>
        <v>13.16</v>
      </c>
      <c r="H170" s="503"/>
      <c r="I170" s="1591" t="s">
        <v>1117</v>
      </c>
      <c r="J170" s="1592"/>
      <c r="K170" s="1592"/>
      <c r="L170" s="1592"/>
      <c r="M170" s="1592"/>
      <c r="N170" s="1593"/>
      <c r="O170" s="1597">
        <f>(15.85*KFC!$B$20+KFC!$C$20)*KFC!$C$5</f>
        <v>15.85</v>
      </c>
      <c r="P170" s="761"/>
      <c r="Q170" s="761"/>
      <c r="R170" s="761"/>
      <c r="S170" s="761"/>
      <c r="T170" s="761"/>
      <c r="U170" s="763"/>
      <c r="V170" s="760"/>
      <c r="W170" s="503"/>
      <c r="X170" s="1"/>
      <c r="Y170" s="1"/>
      <c r="Z170" s="1"/>
      <c r="AA170" s="1"/>
      <c r="AB170" s="1"/>
      <c r="AC170" s="1"/>
    </row>
    <row r="171" spans="1:29" ht="13.95" customHeight="1" thickBot="1">
      <c r="A171" s="1587"/>
      <c r="B171" s="1588"/>
      <c r="C171" s="1588"/>
      <c r="D171" s="1588"/>
      <c r="E171" s="1588"/>
      <c r="F171" s="1588"/>
      <c r="G171" s="1590"/>
      <c r="H171" s="503"/>
      <c r="I171" s="1594"/>
      <c r="J171" s="1595"/>
      <c r="K171" s="1595"/>
      <c r="L171" s="1595"/>
      <c r="M171" s="1595"/>
      <c r="N171" s="1596"/>
      <c r="O171" s="1598"/>
      <c r="P171" s="503"/>
      <c r="Q171" s="503"/>
      <c r="R171" s="503"/>
      <c r="S171" s="503"/>
      <c r="T171" s="503"/>
      <c r="U171" s="503"/>
      <c r="V171" s="503"/>
      <c r="W171" s="503"/>
      <c r="X171" s="1"/>
      <c r="Y171" s="1"/>
      <c r="Z171" s="1"/>
      <c r="AA171" s="1"/>
      <c r="AB171" s="1"/>
      <c r="AC171" s="1"/>
    </row>
    <row r="172" spans="1:29" ht="13.95" customHeight="1">
      <c r="A172" s="688"/>
      <c r="B172" s="688"/>
      <c r="C172" s="688"/>
      <c r="D172" s="688"/>
      <c r="E172" s="688"/>
      <c r="F172" s="688"/>
      <c r="G172" s="503"/>
      <c r="H172" s="503"/>
      <c r="I172" s="764"/>
      <c r="J172" s="764"/>
      <c r="K172" s="764"/>
      <c r="L172" s="764"/>
      <c r="M172" s="764"/>
      <c r="N172" s="764"/>
      <c r="O172" s="503"/>
      <c r="P172" s="503"/>
      <c r="Q172" s="503"/>
      <c r="R172" s="503"/>
      <c r="S172" s="503"/>
      <c r="T172" s="503"/>
      <c r="U172" s="503"/>
      <c r="V172" s="503"/>
      <c r="W172" s="503"/>
      <c r="X172" s="1"/>
      <c r="Y172" s="1"/>
      <c r="Z172" s="1"/>
      <c r="AA172" s="1"/>
      <c r="AB172" s="1"/>
      <c r="AC172" s="1"/>
    </row>
    <row r="173" spans="1:29" ht="13.2" customHeight="1">
      <c r="A173" s="1599" t="s">
        <v>1118</v>
      </c>
      <c r="B173" s="1599"/>
      <c r="C173" s="1599"/>
      <c r="D173" s="1599"/>
      <c r="E173" s="1599"/>
      <c r="F173" s="1599"/>
      <c r="G173" s="1599"/>
      <c r="H173" s="1599"/>
      <c r="I173" s="1599"/>
      <c r="J173" s="1599"/>
      <c r="K173" s="1599"/>
      <c r="L173" s="1599"/>
      <c r="M173" s="1599"/>
      <c r="N173" s="1599"/>
      <c r="O173" s="1599"/>
      <c r="P173" s="1599"/>
      <c r="Q173" s="765"/>
      <c r="R173" s="765"/>
      <c r="S173" s="765"/>
      <c r="T173" s="765"/>
      <c r="U173" s="765"/>
      <c r="V173" s="1"/>
      <c r="W173" s="1"/>
      <c r="X173" s="1"/>
      <c r="Y173" s="1"/>
      <c r="Z173" s="1"/>
      <c r="AA173" s="1"/>
      <c r="AB173" s="1"/>
      <c r="AC173" s="1"/>
    </row>
    <row r="174" spans="1:29">
      <c r="A174" s="762"/>
      <c r="B174" s="762"/>
      <c r="C174" s="762"/>
      <c r="D174" s="762"/>
      <c r="E174" s="762"/>
      <c r="F174" s="762"/>
      <c r="G174" s="762"/>
      <c r="H174" s="762"/>
      <c r="I174" s="762"/>
      <c r="J174" s="762"/>
      <c r="K174" s="762"/>
      <c r="L174" s="762"/>
      <c r="M174" s="762"/>
      <c r="N174" s="762"/>
      <c r="O174" s="762"/>
      <c r="P174" s="762"/>
      <c r="Q174" s="762"/>
      <c r="R174" s="762"/>
      <c r="S174" s="762"/>
      <c r="T174" s="762"/>
      <c r="U174" s="762"/>
      <c r="V174" s="1"/>
      <c r="W174" s="1"/>
      <c r="X174" s="1"/>
      <c r="Y174" s="1"/>
      <c r="Z174" s="1"/>
      <c r="AA174" s="1"/>
      <c r="AB174" s="1"/>
      <c r="AC174" s="1"/>
    </row>
    <row r="175" spans="1:29" ht="13.2" customHeight="1">
      <c r="A175" s="1283" t="s">
        <v>1119</v>
      </c>
      <c r="B175" s="1283"/>
      <c r="C175" s="1283"/>
      <c r="D175" s="1283"/>
      <c r="E175" s="1283"/>
      <c r="F175" s="1283"/>
      <c r="G175" s="1283"/>
      <c r="H175" s="1283"/>
      <c r="I175" s="1283"/>
      <c r="J175" s="1283"/>
      <c r="K175" s="1283"/>
      <c r="L175" s="1283"/>
      <c r="M175" s="1283"/>
      <c r="N175" s="1283"/>
      <c r="O175" s="1283"/>
      <c r="P175" s="1283"/>
      <c r="Q175" s="758"/>
      <c r="R175" s="758"/>
      <c r="S175" s="758"/>
      <c r="T175" s="758"/>
      <c r="U175" s="758"/>
      <c r="V175" s="758"/>
      <c r="W175" s="758"/>
      <c r="X175" s="758"/>
      <c r="Y175" s="758"/>
      <c r="Z175" s="758"/>
      <c r="AA175" s="758"/>
      <c r="AB175" s="758"/>
      <c r="AC175" s="758"/>
    </row>
    <row r="176" spans="1:29">
      <c r="A176" s="1283"/>
      <c r="B176" s="1283"/>
      <c r="C176" s="1283"/>
      <c r="D176" s="1283"/>
      <c r="E176" s="1283"/>
      <c r="F176" s="1283"/>
      <c r="G176" s="1283"/>
      <c r="H176" s="1283"/>
      <c r="I176" s="1283"/>
      <c r="J176" s="1283"/>
      <c r="K176" s="1283"/>
      <c r="L176" s="1283"/>
      <c r="M176" s="1283"/>
      <c r="N176" s="1283"/>
      <c r="O176" s="1283"/>
      <c r="P176" s="1283"/>
    </row>
  </sheetData>
  <mergeCells count="48">
    <mergeCell ref="A170:F171"/>
    <mergeCell ref="G170:G171"/>
    <mergeCell ref="I170:N171"/>
    <mergeCell ref="O170:O171"/>
    <mergeCell ref="A175:P176"/>
    <mergeCell ref="A173:P173"/>
    <mergeCell ref="A160:J160"/>
    <mergeCell ref="E167:G167"/>
    <mergeCell ref="I167:L167"/>
    <mergeCell ref="G164:H164"/>
    <mergeCell ref="G165:H165"/>
    <mergeCell ref="A163:H163"/>
    <mergeCell ref="A166:P166"/>
    <mergeCell ref="A167:C167"/>
    <mergeCell ref="A161:I161"/>
    <mergeCell ref="C164:D164"/>
    <mergeCell ref="A165:B165"/>
    <mergeCell ref="C165:D165"/>
    <mergeCell ref="E164:F164"/>
    <mergeCell ref="A164:B164"/>
    <mergeCell ref="E165:F165"/>
    <mergeCell ref="A135:A156"/>
    <mergeCell ref="A58:B59"/>
    <mergeCell ref="C58:P58"/>
    <mergeCell ref="A60:A81"/>
    <mergeCell ref="A83:B84"/>
    <mergeCell ref="C83:P83"/>
    <mergeCell ref="A85:A106"/>
    <mergeCell ref="A108:B109"/>
    <mergeCell ref="C108:P108"/>
    <mergeCell ref="A110:A131"/>
    <mergeCell ref="A133:B134"/>
    <mergeCell ref="C133:P133"/>
    <mergeCell ref="A1:P1"/>
    <mergeCell ref="A6:D6"/>
    <mergeCell ref="E6:P6"/>
    <mergeCell ref="A5:P5"/>
    <mergeCell ref="A35:A56"/>
    <mergeCell ref="A2:P2"/>
    <mergeCell ref="A7:D7"/>
    <mergeCell ref="E7:P7"/>
    <mergeCell ref="A3:P3"/>
    <mergeCell ref="A4:P4"/>
    <mergeCell ref="A8:B9"/>
    <mergeCell ref="C8:P8"/>
    <mergeCell ref="A10:A31"/>
    <mergeCell ref="A33:B34"/>
    <mergeCell ref="C33:P33"/>
  </mergeCells>
  <hyperlinks>
    <hyperlink ref="E7" r:id="rId1" xr:uid="{9CEC215C-3CF9-4B72-8DB2-53E99337E889}"/>
    <hyperlink ref="E6" r:id="rId2" xr:uid="{EE3F2E7D-5535-47E9-8132-84C0AB22F450}"/>
  </hyperlinks>
  <pageMargins left="0.7" right="0.7" top="0.75" bottom="0.75" header="0.3" footer="0.3"/>
  <pageSetup paperSize="9" scale="59" orientation="portrait" verticalDpi="1200" r:id="rId3"/>
  <rowBreaks count="1" manualBreakCount="1">
    <brk id="81" max="15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F3810B-69C3-4A40-A5DB-3B0B3A3FC718}">
  <sheetPr codeName="Лист4">
    <tabColor indexed="52"/>
  </sheetPr>
  <dimension ref="A1:AC365"/>
  <sheetViews>
    <sheetView view="pageBreakPreview" zoomScale="90" zoomScaleNormal="100" zoomScaleSheetLayoutView="90" workbookViewId="0">
      <pane ySplit="4" topLeftCell="A88" activePane="bottomLeft" state="frozen"/>
      <selection pane="bottomLeft" activeCell="V110" sqref="V110"/>
    </sheetView>
  </sheetViews>
  <sheetFormatPr defaultColWidth="9.109375" defaultRowHeight="13.2"/>
  <cols>
    <col min="1" max="1" width="6.109375" style="58" customWidth="1"/>
    <col min="2" max="2" width="6.109375" style="1" customWidth="1"/>
    <col min="3" max="8" width="5.5546875" style="1" customWidth="1"/>
    <col min="9" max="9" width="6.33203125" style="1" customWidth="1"/>
    <col min="10" max="10" width="5.5546875" style="1" customWidth="1"/>
    <col min="11" max="11" width="6" style="1" customWidth="1"/>
    <col min="12" max="23" width="5.5546875" style="1" customWidth="1"/>
    <col min="24" max="24" width="5.6640625" style="1" bestFit="1" customWidth="1"/>
    <col min="25" max="29" width="5.5546875" style="1" customWidth="1"/>
    <col min="30" max="16384" width="9.109375" style="1"/>
  </cols>
  <sheetData>
    <row r="1" spans="1:29" ht="11.25" customHeight="1">
      <c r="C1" s="1600"/>
      <c r="D1" s="1600"/>
      <c r="E1" s="296"/>
      <c r="F1" s="166"/>
      <c r="G1" s="166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</row>
    <row r="2" spans="1:29" ht="42.75" customHeight="1">
      <c r="A2" s="1222" t="s">
        <v>957</v>
      </c>
      <c r="B2" s="1222"/>
      <c r="C2" s="1222"/>
      <c r="D2" s="1222"/>
      <c r="E2" s="1222"/>
      <c r="F2" s="1222"/>
      <c r="G2" s="1222"/>
      <c r="H2" s="1222"/>
      <c r="I2" s="1222"/>
      <c r="J2" s="1222"/>
      <c r="K2" s="1222"/>
      <c r="L2" s="1222"/>
      <c r="M2" s="1222"/>
      <c r="N2" s="1222"/>
      <c r="O2" s="1222"/>
      <c r="P2" s="1222"/>
      <c r="Q2" s="1222"/>
      <c r="R2" s="1222"/>
      <c r="S2" s="1222"/>
      <c r="T2" s="1222"/>
      <c r="U2" s="1222"/>
      <c r="V2" s="1222"/>
      <c r="W2" s="1222"/>
      <c r="X2" s="1222"/>
      <c r="Y2" s="1222"/>
      <c r="Z2" s="1222"/>
      <c r="AA2" s="1222"/>
      <c r="AB2" s="1222"/>
      <c r="AC2" s="1222"/>
    </row>
    <row r="3" spans="1:29" ht="13.5" customHeight="1">
      <c r="A3" s="1541" t="s">
        <v>560</v>
      </c>
      <c r="B3" s="1541"/>
      <c r="C3" s="1541"/>
      <c r="D3" s="1541"/>
      <c r="E3" s="1541"/>
      <c r="F3" s="1541"/>
      <c r="G3" s="1541"/>
      <c r="H3" s="1541"/>
      <c r="I3" s="1541"/>
      <c r="J3" s="1541"/>
      <c r="K3" s="1541"/>
      <c r="L3" s="1541"/>
      <c r="M3" s="1541"/>
      <c r="N3" s="1541"/>
      <c r="O3" s="1541"/>
      <c r="P3" s="1541"/>
      <c r="Q3" s="1541"/>
      <c r="R3" s="1541"/>
      <c r="S3" s="1541"/>
      <c r="T3" s="1541"/>
      <c r="U3" s="1541"/>
      <c r="V3" s="1541"/>
      <c r="W3" s="1541"/>
      <c r="X3" s="1541"/>
      <c r="Y3" s="1541"/>
      <c r="Z3" s="1541"/>
      <c r="AA3" s="1541"/>
      <c r="AB3" s="1541"/>
      <c r="AC3" s="1541"/>
    </row>
    <row r="4" spans="1:29" ht="13.5" customHeight="1">
      <c r="A4" s="1541" t="s">
        <v>562</v>
      </c>
      <c r="B4" s="1541"/>
      <c r="C4" s="1541"/>
      <c r="D4" s="1541"/>
      <c r="E4" s="1541"/>
      <c r="F4" s="1541"/>
      <c r="G4" s="1541"/>
      <c r="H4" s="1541"/>
      <c r="I4" s="1541"/>
      <c r="J4" s="1541"/>
      <c r="K4" s="1541"/>
      <c r="L4" s="1541"/>
      <c r="M4" s="1541"/>
      <c r="N4" s="1541"/>
      <c r="O4" s="1541"/>
      <c r="P4" s="1541"/>
      <c r="Q4" s="1541"/>
      <c r="R4" s="1541"/>
      <c r="S4" s="1541"/>
      <c r="T4" s="1541"/>
      <c r="U4" s="1541"/>
      <c r="V4" s="1541"/>
      <c r="W4" s="1541"/>
      <c r="X4" s="1541"/>
      <c r="Y4" s="1541"/>
      <c r="Z4" s="1541"/>
      <c r="AA4" s="1541"/>
      <c r="AB4" s="1541"/>
      <c r="AC4" s="1541"/>
    </row>
    <row r="5" spans="1:29" ht="13.5" customHeight="1">
      <c r="A5" s="1541" t="s">
        <v>983</v>
      </c>
      <c r="B5" s="1541"/>
      <c r="C5" s="1541"/>
      <c r="D5" s="1541"/>
      <c r="E5" s="1541"/>
      <c r="F5" s="1541"/>
      <c r="G5" s="1541"/>
      <c r="H5" s="1541"/>
      <c r="I5" s="1541"/>
      <c r="J5" s="1541"/>
      <c r="K5" s="1541"/>
      <c r="L5" s="1541"/>
      <c r="M5" s="1541"/>
      <c r="N5" s="1541"/>
      <c r="O5" s="1541"/>
      <c r="P5" s="1541"/>
      <c r="Q5" s="1541"/>
      <c r="R5" s="1541"/>
      <c r="S5" s="1541"/>
      <c r="T5" s="1541"/>
      <c r="U5" s="1541"/>
      <c r="V5" s="1541"/>
      <c r="W5" s="1541"/>
      <c r="X5" s="1541"/>
      <c r="Y5" s="1541"/>
      <c r="Z5" s="1541"/>
      <c r="AA5" s="1541"/>
      <c r="AB5" s="1541"/>
      <c r="AC5" s="1541"/>
    </row>
    <row r="6" spans="1:29" ht="17.25" customHeight="1">
      <c r="A6" s="1089" t="s">
        <v>593</v>
      </c>
      <c r="B6" s="1089"/>
      <c r="C6" s="1089"/>
      <c r="D6" s="1089"/>
      <c r="E6" s="1089"/>
      <c r="F6" s="1089"/>
      <c r="G6" s="1406" t="s">
        <v>614</v>
      </c>
      <c r="H6" s="1406"/>
      <c r="I6" s="1406"/>
      <c r="J6" s="1406"/>
      <c r="K6" s="1406"/>
      <c r="L6" s="1406"/>
      <c r="M6" s="1406"/>
      <c r="N6" s="1406"/>
      <c r="O6" s="1406"/>
      <c r="P6" s="1406"/>
      <c r="Q6" s="1406"/>
      <c r="R6" s="1406"/>
      <c r="S6" s="1406"/>
      <c r="T6" s="1406"/>
      <c r="U6" s="1406"/>
      <c r="V6" s="1406"/>
      <c r="W6" s="1406"/>
      <c r="X6" s="1406"/>
      <c r="Y6" s="1406"/>
      <c r="Z6" s="1406"/>
      <c r="AA6" s="1406"/>
      <c r="AB6" s="1406"/>
      <c r="AC6" s="1406"/>
    </row>
    <row r="7" spans="1:29" ht="17.25" customHeight="1" thickBot="1">
      <c r="A7" s="1089" t="s">
        <v>611</v>
      </c>
      <c r="B7" s="1089"/>
      <c r="C7" s="1089"/>
      <c r="D7" s="1089"/>
      <c r="E7" s="1089"/>
      <c r="F7" s="1089"/>
      <c r="G7" s="1406" t="s">
        <v>613</v>
      </c>
      <c r="H7" s="1406"/>
      <c r="I7" s="1406"/>
      <c r="J7" s="1406"/>
      <c r="K7" s="1406"/>
      <c r="L7" s="1406"/>
      <c r="M7" s="1406"/>
      <c r="N7" s="1406"/>
      <c r="O7" s="1406"/>
      <c r="P7" s="1406"/>
      <c r="Q7" s="1406"/>
      <c r="R7" s="1406"/>
      <c r="S7" s="1406"/>
      <c r="T7" s="1406"/>
      <c r="U7" s="1406"/>
      <c r="V7" s="1406"/>
      <c r="W7" s="1406"/>
      <c r="X7" s="1406"/>
      <c r="Y7" s="1406"/>
      <c r="Z7" s="1406"/>
      <c r="AA7" s="1406"/>
      <c r="AB7" s="1406"/>
      <c r="AC7" s="1406"/>
    </row>
    <row r="8" spans="1:29" ht="13.5" customHeight="1" thickBot="1">
      <c r="A8" s="1413" t="s">
        <v>462</v>
      </c>
      <c r="B8" s="1601"/>
      <c r="C8" s="1534" t="s">
        <v>207</v>
      </c>
      <c r="D8" s="1535"/>
      <c r="E8" s="1535"/>
      <c r="F8" s="1535"/>
      <c r="G8" s="1535"/>
      <c r="H8" s="1535"/>
      <c r="I8" s="1535"/>
      <c r="J8" s="1535"/>
      <c r="K8" s="1535"/>
      <c r="L8" s="1535"/>
      <c r="M8" s="1535"/>
      <c r="N8" s="1535"/>
      <c r="O8" s="1535"/>
      <c r="P8" s="1535"/>
      <c r="Q8" s="1535"/>
      <c r="R8" s="1535"/>
      <c r="S8" s="1535"/>
      <c r="T8" s="1535"/>
      <c r="U8" s="1535"/>
      <c r="V8" s="1535"/>
      <c r="W8" s="1535"/>
      <c r="X8" s="1535"/>
      <c r="Y8" s="1536"/>
      <c r="Z8" s="345"/>
      <c r="AA8" s="345"/>
      <c r="AB8" s="345"/>
      <c r="AC8" s="345"/>
    </row>
    <row r="9" spans="1:29" ht="13.5" customHeight="1" thickBot="1">
      <c r="A9" s="1543"/>
      <c r="B9" s="1602"/>
      <c r="C9" s="340">
        <v>0.4</v>
      </c>
      <c r="D9" s="341">
        <v>0.5</v>
      </c>
      <c r="E9" s="341">
        <v>0.6</v>
      </c>
      <c r="F9" s="341">
        <v>0.7</v>
      </c>
      <c r="G9" s="341">
        <v>0.8</v>
      </c>
      <c r="H9" s="341">
        <v>0.9</v>
      </c>
      <c r="I9" s="341">
        <v>1</v>
      </c>
      <c r="J9" s="341">
        <v>1.1000000000000001</v>
      </c>
      <c r="K9" s="341">
        <v>1.2</v>
      </c>
      <c r="L9" s="341">
        <v>1.3</v>
      </c>
      <c r="M9" s="341">
        <v>1.4</v>
      </c>
      <c r="N9" s="341">
        <v>1.5</v>
      </c>
      <c r="O9" s="341">
        <v>1.6</v>
      </c>
      <c r="P9" s="341">
        <v>1.7</v>
      </c>
      <c r="Q9" s="341">
        <v>1.8</v>
      </c>
      <c r="R9" s="341">
        <v>1.9</v>
      </c>
      <c r="S9" s="341">
        <v>2</v>
      </c>
      <c r="T9" s="341">
        <v>2.1</v>
      </c>
      <c r="U9" s="341">
        <v>2.2000000000000002</v>
      </c>
      <c r="V9" s="341">
        <v>2.2999999999999998</v>
      </c>
      <c r="W9" s="341">
        <v>2.4</v>
      </c>
      <c r="X9" s="341">
        <v>2.5</v>
      </c>
      <c r="Y9" s="342">
        <v>2.6</v>
      </c>
      <c r="Z9" s="345"/>
      <c r="AA9" s="345"/>
      <c r="AB9" s="345"/>
      <c r="AC9" s="345"/>
    </row>
    <row r="10" spans="1:29" ht="13.5" customHeight="1">
      <c r="A10" s="1537" t="s">
        <v>3</v>
      </c>
      <c r="B10" s="297">
        <v>0.5</v>
      </c>
      <c r="C10" s="274">
        <f>C50-C50*17/100</f>
        <v>23.244249600000003</v>
      </c>
      <c r="D10" s="301">
        <f t="shared" ref="D10:Y10" si="0">D50-D50*17/100</f>
        <v>24.585264000000002</v>
      </c>
      <c r="E10" s="301">
        <f t="shared" si="0"/>
        <v>26.149780799999998</v>
      </c>
      <c r="F10" s="301">
        <f t="shared" si="0"/>
        <v>27.490795200000004</v>
      </c>
      <c r="G10" s="301">
        <f t="shared" si="0"/>
        <v>28.9435608</v>
      </c>
      <c r="H10" s="301">
        <f t="shared" si="0"/>
        <v>30.396326400000003</v>
      </c>
      <c r="I10" s="301">
        <f t="shared" si="0"/>
        <v>31.737340800000002</v>
      </c>
      <c r="J10" s="301">
        <f t="shared" si="0"/>
        <v>33.190106400000005</v>
      </c>
      <c r="K10" s="301">
        <f t="shared" si="0"/>
        <v>34.531120800000004</v>
      </c>
      <c r="L10" s="301">
        <f t="shared" si="0"/>
        <v>35.983886400000003</v>
      </c>
      <c r="M10" s="301">
        <f t="shared" si="0"/>
        <v>37.436651999999995</v>
      </c>
      <c r="N10" s="301">
        <f t="shared" si="0"/>
        <v>38.777666400000008</v>
      </c>
      <c r="O10" s="301">
        <f t="shared" si="0"/>
        <v>40.342183200000001</v>
      </c>
      <c r="P10" s="301">
        <f t="shared" si="0"/>
        <v>41.683197600000007</v>
      </c>
      <c r="Q10" s="301">
        <f t="shared" si="0"/>
        <v>43.024212000000006</v>
      </c>
      <c r="R10" s="301">
        <f t="shared" si="0"/>
        <v>44.588728800000005</v>
      </c>
      <c r="S10" s="301">
        <f t="shared" si="0"/>
        <v>45.929743200000004</v>
      </c>
      <c r="T10" s="301">
        <f t="shared" si="0"/>
        <v>47.382508800000004</v>
      </c>
      <c r="U10" s="301">
        <f t="shared" si="0"/>
        <v>48.83527440000001</v>
      </c>
      <c r="V10" s="301">
        <f t="shared" si="0"/>
        <v>50.176288800000002</v>
      </c>
      <c r="W10" s="301">
        <f t="shared" si="0"/>
        <v>51.629054400000001</v>
      </c>
      <c r="X10" s="301">
        <f t="shared" si="0"/>
        <v>53.081820000000008</v>
      </c>
      <c r="Y10" s="302">
        <f t="shared" si="0"/>
        <v>54.422834400000006</v>
      </c>
      <c r="Z10" s="345"/>
      <c r="AA10" s="345"/>
      <c r="AB10" s="345"/>
      <c r="AC10" s="345"/>
    </row>
    <row r="11" spans="1:29" ht="13.5" customHeight="1">
      <c r="A11" s="1538"/>
      <c r="B11" s="298">
        <v>0.6</v>
      </c>
      <c r="C11" s="303">
        <f t="shared" ref="C11:Y11" si="1">C51-C51*17/100</f>
        <v>23.803005600000002</v>
      </c>
      <c r="D11" s="300">
        <f t="shared" si="1"/>
        <v>25.144020000000001</v>
      </c>
      <c r="E11" s="300">
        <f t="shared" si="1"/>
        <v>26.5967856</v>
      </c>
      <c r="F11" s="300">
        <f t="shared" si="1"/>
        <v>28.1613024</v>
      </c>
      <c r="G11" s="300">
        <f t="shared" si="1"/>
        <v>29.614068</v>
      </c>
      <c r="H11" s="300">
        <f t="shared" si="1"/>
        <v>31.178584799999999</v>
      </c>
      <c r="I11" s="300">
        <f t="shared" si="1"/>
        <v>32.631350400000002</v>
      </c>
      <c r="J11" s="300">
        <f t="shared" si="1"/>
        <v>34.084116000000002</v>
      </c>
      <c r="K11" s="300">
        <f t="shared" si="1"/>
        <v>35.536881600000008</v>
      </c>
      <c r="L11" s="300">
        <f t="shared" si="1"/>
        <v>36.989647200000007</v>
      </c>
      <c r="M11" s="300">
        <f t="shared" si="1"/>
        <v>38.554164</v>
      </c>
      <c r="N11" s="300">
        <f t="shared" si="1"/>
        <v>40.006929599999999</v>
      </c>
      <c r="O11" s="300">
        <f t="shared" si="1"/>
        <v>41.459695199999999</v>
      </c>
      <c r="P11" s="300">
        <f t="shared" si="1"/>
        <v>42.912460799999998</v>
      </c>
      <c r="Q11" s="300">
        <f t="shared" si="1"/>
        <v>44.365226400000012</v>
      </c>
      <c r="R11" s="300">
        <f t="shared" si="1"/>
        <v>45.929743200000004</v>
      </c>
      <c r="S11" s="300">
        <f t="shared" si="1"/>
        <v>47.382508800000004</v>
      </c>
      <c r="T11" s="300">
        <f t="shared" si="1"/>
        <v>48.947025599999996</v>
      </c>
      <c r="U11" s="300">
        <f t="shared" si="1"/>
        <v>50.288040000000002</v>
      </c>
      <c r="V11" s="300">
        <f t="shared" si="1"/>
        <v>51.852556799999995</v>
      </c>
      <c r="W11" s="300">
        <f t="shared" si="1"/>
        <v>53.305322400000001</v>
      </c>
      <c r="X11" s="300">
        <f t="shared" si="1"/>
        <v>54.758088000000001</v>
      </c>
      <c r="Y11" s="304">
        <f t="shared" si="1"/>
        <v>56.322604800000001</v>
      </c>
      <c r="Z11" s="345"/>
      <c r="AA11" s="345"/>
      <c r="AB11" s="345"/>
      <c r="AC11" s="345"/>
    </row>
    <row r="12" spans="1:29" ht="13.5" customHeight="1">
      <c r="A12" s="1538"/>
      <c r="B12" s="298">
        <v>0.7</v>
      </c>
      <c r="C12" s="303">
        <f t="shared" ref="C12:Y12" si="2">C52-C52*17/100</f>
        <v>24.138259200000007</v>
      </c>
      <c r="D12" s="300">
        <f t="shared" si="2"/>
        <v>25.702776000000004</v>
      </c>
      <c r="E12" s="300">
        <f t="shared" si="2"/>
        <v>27.379044</v>
      </c>
      <c r="F12" s="300">
        <f t="shared" si="2"/>
        <v>28.831809600000003</v>
      </c>
      <c r="G12" s="300">
        <f t="shared" si="2"/>
        <v>30.396326400000003</v>
      </c>
      <c r="H12" s="300">
        <f t="shared" si="2"/>
        <v>31.849092000000006</v>
      </c>
      <c r="I12" s="300">
        <f t="shared" si="2"/>
        <v>33.525359999999999</v>
      </c>
      <c r="J12" s="300">
        <f t="shared" si="2"/>
        <v>34.978125600000006</v>
      </c>
      <c r="K12" s="300">
        <f t="shared" si="2"/>
        <v>36.542642400000013</v>
      </c>
      <c r="L12" s="300">
        <f t="shared" si="2"/>
        <v>38.107159200000012</v>
      </c>
      <c r="M12" s="300">
        <f t="shared" si="2"/>
        <v>39.671676000000005</v>
      </c>
      <c r="N12" s="300">
        <f t="shared" si="2"/>
        <v>41.124441599999997</v>
      </c>
      <c r="O12" s="300">
        <f t="shared" si="2"/>
        <v>42.688958400000011</v>
      </c>
      <c r="P12" s="300">
        <f t="shared" si="2"/>
        <v>44.253475200000011</v>
      </c>
      <c r="Q12" s="300">
        <f t="shared" si="2"/>
        <v>45.817992000000004</v>
      </c>
      <c r="R12" s="300">
        <f t="shared" si="2"/>
        <v>47.270757599999996</v>
      </c>
      <c r="S12" s="300">
        <f t="shared" si="2"/>
        <v>48.83527440000001</v>
      </c>
      <c r="T12" s="300">
        <f t="shared" si="2"/>
        <v>50.39979120000001</v>
      </c>
      <c r="U12" s="300">
        <f t="shared" si="2"/>
        <v>51.964308000000003</v>
      </c>
      <c r="V12" s="300">
        <f t="shared" si="2"/>
        <v>53.417073600000009</v>
      </c>
      <c r="W12" s="300">
        <f t="shared" si="2"/>
        <v>55.093341600000002</v>
      </c>
      <c r="X12" s="300">
        <f t="shared" si="2"/>
        <v>56.546107200000002</v>
      </c>
      <c r="Y12" s="304">
        <f t="shared" si="2"/>
        <v>58.110624000000001</v>
      </c>
      <c r="Z12" s="345"/>
      <c r="AA12" s="345"/>
      <c r="AB12" s="345"/>
      <c r="AC12" s="345"/>
    </row>
    <row r="13" spans="1:29" ht="13.5" customHeight="1">
      <c r="A13" s="1538"/>
      <c r="B13" s="298">
        <v>0.8</v>
      </c>
      <c r="C13" s="303">
        <f t="shared" ref="C13:Y13" si="3">C53-C53*17/100</f>
        <v>24.697015200000003</v>
      </c>
      <c r="D13" s="300">
        <f t="shared" si="3"/>
        <v>26.261532000000003</v>
      </c>
      <c r="E13" s="300">
        <f t="shared" si="3"/>
        <v>27.826048799999999</v>
      </c>
      <c r="F13" s="300">
        <f t="shared" si="3"/>
        <v>29.502316799999996</v>
      </c>
      <c r="G13" s="300">
        <f t="shared" si="3"/>
        <v>31.066833600000002</v>
      </c>
      <c r="H13" s="300">
        <f t="shared" si="3"/>
        <v>32.631350400000002</v>
      </c>
      <c r="I13" s="300">
        <f t="shared" si="3"/>
        <v>34.307618399999996</v>
      </c>
      <c r="J13" s="300">
        <f t="shared" si="3"/>
        <v>35.983886400000003</v>
      </c>
      <c r="K13" s="300">
        <f t="shared" si="3"/>
        <v>37.436651999999995</v>
      </c>
      <c r="L13" s="300">
        <f t="shared" si="3"/>
        <v>39.11292000000001</v>
      </c>
      <c r="M13" s="300">
        <f t="shared" si="3"/>
        <v>40.677436800000002</v>
      </c>
      <c r="N13" s="300">
        <f t="shared" si="3"/>
        <v>42.353704800000003</v>
      </c>
      <c r="O13" s="300">
        <f t="shared" si="3"/>
        <v>43.918221599999995</v>
      </c>
      <c r="P13" s="300">
        <f t="shared" si="3"/>
        <v>45.482738400000002</v>
      </c>
      <c r="Q13" s="300">
        <f t="shared" si="3"/>
        <v>47.15900640000001</v>
      </c>
      <c r="R13" s="300">
        <f t="shared" si="3"/>
        <v>48.611771999999995</v>
      </c>
      <c r="S13" s="300">
        <f t="shared" si="3"/>
        <v>50.288040000000002</v>
      </c>
      <c r="T13" s="300">
        <f t="shared" si="3"/>
        <v>51.964308000000003</v>
      </c>
      <c r="U13" s="300">
        <f t="shared" si="3"/>
        <v>53.528824799999995</v>
      </c>
      <c r="V13" s="300">
        <f t="shared" si="3"/>
        <v>55.093341600000002</v>
      </c>
      <c r="W13" s="300">
        <f t="shared" si="3"/>
        <v>56.769609600000003</v>
      </c>
      <c r="X13" s="300">
        <f t="shared" si="3"/>
        <v>58.334126400000009</v>
      </c>
      <c r="Y13" s="304">
        <f t="shared" si="3"/>
        <v>60.010394400000003</v>
      </c>
      <c r="Z13" s="345"/>
      <c r="AA13" s="345"/>
      <c r="AB13" s="345"/>
      <c r="AC13" s="345"/>
    </row>
    <row r="14" spans="1:29" ht="13.5" customHeight="1">
      <c r="A14" s="1538"/>
      <c r="B14" s="298">
        <v>0.9</v>
      </c>
      <c r="C14" s="303">
        <f t="shared" ref="C14:Y14" si="4">C54-C54*17/100</f>
        <v>25.144020000000001</v>
      </c>
      <c r="D14" s="300">
        <f t="shared" si="4"/>
        <v>26.820288000000001</v>
      </c>
      <c r="E14" s="300">
        <f t="shared" si="4"/>
        <v>28.384804800000001</v>
      </c>
      <c r="F14" s="300">
        <f t="shared" si="4"/>
        <v>30.172823999999995</v>
      </c>
      <c r="G14" s="300">
        <f t="shared" si="4"/>
        <v>31.849092000000006</v>
      </c>
      <c r="H14" s="300">
        <f t="shared" si="4"/>
        <v>33.525359999999999</v>
      </c>
      <c r="I14" s="300">
        <f t="shared" si="4"/>
        <v>35.089876799999999</v>
      </c>
      <c r="J14" s="300">
        <f t="shared" si="4"/>
        <v>36.766144799999999</v>
      </c>
      <c r="K14" s="300">
        <f t="shared" si="4"/>
        <v>38.4424128</v>
      </c>
      <c r="L14" s="300">
        <f t="shared" si="4"/>
        <v>40.230432000000008</v>
      </c>
      <c r="M14" s="300">
        <f t="shared" si="4"/>
        <v>41.7949488</v>
      </c>
      <c r="N14" s="300">
        <f t="shared" si="4"/>
        <v>43.471216800000001</v>
      </c>
      <c r="O14" s="300">
        <f t="shared" si="4"/>
        <v>45.147484800000001</v>
      </c>
      <c r="P14" s="300">
        <f t="shared" si="4"/>
        <v>46.712001599999994</v>
      </c>
      <c r="Q14" s="300">
        <f t="shared" si="4"/>
        <v>48.388269600000001</v>
      </c>
      <c r="R14" s="300">
        <f t="shared" si="4"/>
        <v>50.176288800000002</v>
      </c>
      <c r="S14" s="300">
        <f t="shared" si="4"/>
        <v>51.852556799999995</v>
      </c>
      <c r="T14" s="300">
        <f t="shared" si="4"/>
        <v>53.417073600000009</v>
      </c>
      <c r="U14" s="300">
        <f t="shared" si="4"/>
        <v>55.093341600000002</v>
      </c>
      <c r="V14" s="300">
        <f t="shared" si="4"/>
        <v>56.769609600000003</v>
      </c>
      <c r="W14" s="300">
        <f t="shared" si="4"/>
        <v>58.445877600000003</v>
      </c>
      <c r="X14" s="300">
        <f t="shared" si="4"/>
        <v>60.122145599999996</v>
      </c>
      <c r="Y14" s="304">
        <f t="shared" si="4"/>
        <v>61.798413599999996</v>
      </c>
      <c r="Z14" s="345"/>
      <c r="AA14" s="345"/>
      <c r="AB14" s="345"/>
      <c r="AC14" s="345"/>
    </row>
    <row r="15" spans="1:29" ht="13.5" customHeight="1">
      <c r="A15" s="1538"/>
      <c r="B15" s="298">
        <v>1</v>
      </c>
      <c r="C15" s="303">
        <f t="shared" ref="C15:Y15" si="5">C55-C55*17/100</f>
        <v>25.702776000000004</v>
      </c>
      <c r="D15" s="300">
        <f t="shared" si="5"/>
        <v>27.379044</v>
      </c>
      <c r="E15" s="300">
        <f t="shared" si="5"/>
        <v>29.055312000000001</v>
      </c>
      <c r="F15" s="300">
        <f t="shared" si="5"/>
        <v>30.731579999999997</v>
      </c>
      <c r="G15" s="300">
        <f t="shared" si="5"/>
        <v>32.519599200000002</v>
      </c>
      <c r="H15" s="300">
        <f t="shared" si="5"/>
        <v>34.307618399999996</v>
      </c>
      <c r="I15" s="300">
        <f t="shared" si="5"/>
        <v>35.983886400000003</v>
      </c>
      <c r="J15" s="300">
        <f t="shared" si="5"/>
        <v>37.771905599999997</v>
      </c>
      <c r="K15" s="300">
        <f t="shared" si="5"/>
        <v>39.448173600000004</v>
      </c>
      <c r="L15" s="300">
        <f t="shared" si="5"/>
        <v>41.124441599999997</v>
      </c>
      <c r="M15" s="300">
        <f t="shared" si="5"/>
        <v>42.912460799999998</v>
      </c>
      <c r="N15" s="300">
        <f t="shared" si="5"/>
        <v>44.588728800000005</v>
      </c>
      <c r="O15" s="300">
        <f t="shared" si="5"/>
        <v>46.376748000000006</v>
      </c>
      <c r="P15" s="300">
        <f t="shared" si="5"/>
        <v>48.053016</v>
      </c>
      <c r="Q15" s="300">
        <f t="shared" si="5"/>
        <v>49.729284</v>
      </c>
      <c r="R15" s="300">
        <f t="shared" si="5"/>
        <v>51.517303200000015</v>
      </c>
      <c r="S15" s="300">
        <f t="shared" si="5"/>
        <v>53.193571200000001</v>
      </c>
      <c r="T15" s="300">
        <f t="shared" si="5"/>
        <v>54.981590400000009</v>
      </c>
      <c r="U15" s="300">
        <f t="shared" si="5"/>
        <v>56.769609600000003</v>
      </c>
      <c r="V15" s="300">
        <f t="shared" si="5"/>
        <v>58.334126400000009</v>
      </c>
      <c r="W15" s="300">
        <f t="shared" si="5"/>
        <v>60.122145599999996</v>
      </c>
      <c r="X15" s="300">
        <f t="shared" si="5"/>
        <v>61.910164800000004</v>
      </c>
      <c r="Y15" s="304">
        <f t="shared" si="5"/>
        <v>63.586432799999997</v>
      </c>
      <c r="Z15" s="345"/>
      <c r="AA15" s="345"/>
      <c r="AB15" s="345"/>
      <c r="AC15" s="345"/>
    </row>
    <row r="16" spans="1:29" ht="13.5" customHeight="1">
      <c r="A16" s="1538"/>
      <c r="B16" s="298">
        <v>1.1000000000000001</v>
      </c>
      <c r="C16" s="303">
        <f t="shared" ref="C16:Y16" si="6">C56-C56*17/100</f>
        <v>26.149780799999998</v>
      </c>
      <c r="D16" s="300">
        <f t="shared" si="6"/>
        <v>27.826048799999999</v>
      </c>
      <c r="E16" s="300">
        <f t="shared" si="6"/>
        <v>29.614068</v>
      </c>
      <c r="F16" s="300">
        <f t="shared" si="6"/>
        <v>31.402087200000008</v>
      </c>
      <c r="G16" s="300">
        <f t="shared" si="6"/>
        <v>33.190106400000005</v>
      </c>
      <c r="H16" s="300">
        <f t="shared" si="6"/>
        <v>34.978125600000006</v>
      </c>
      <c r="I16" s="300">
        <f t="shared" si="6"/>
        <v>36.766144799999999</v>
      </c>
      <c r="J16" s="300">
        <f t="shared" si="6"/>
        <v>38.665915200000001</v>
      </c>
      <c r="K16" s="300">
        <f t="shared" si="6"/>
        <v>40.453934400000009</v>
      </c>
      <c r="L16" s="300">
        <f t="shared" si="6"/>
        <v>42.241953600000002</v>
      </c>
      <c r="M16" s="300">
        <f t="shared" si="6"/>
        <v>44.029972800000003</v>
      </c>
      <c r="N16" s="300">
        <f t="shared" si="6"/>
        <v>45.817992000000004</v>
      </c>
      <c r="O16" s="300">
        <f t="shared" si="6"/>
        <v>47.606011200000005</v>
      </c>
      <c r="P16" s="300">
        <f t="shared" si="6"/>
        <v>49.394030400000005</v>
      </c>
      <c r="Q16" s="300">
        <f t="shared" si="6"/>
        <v>51.070298400000013</v>
      </c>
      <c r="R16" s="300">
        <f t="shared" si="6"/>
        <v>52.858317599999992</v>
      </c>
      <c r="S16" s="300">
        <f t="shared" si="6"/>
        <v>54.6463368</v>
      </c>
      <c r="T16" s="300">
        <f t="shared" si="6"/>
        <v>56.434356000000001</v>
      </c>
      <c r="U16" s="300">
        <f t="shared" si="6"/>
        <v>58.222375200000002</v>
      </c>
      <c r="V16" s="300">
        <f t="shared" si="6"/>
        <v>60.010394400000003</v>
      </c>
      <c r="W16" s="300">
        <f t="shared" si="6"/>
        <v>61.798413599999996</v>
      </c>
      <c r="X16" s="300">
        <f t="shared" si="6"/>
        <v>63.586432799999997</v>
      </c>
      <c r="Y16" s="304">
        <f t="shared" si="6"/>
        <v>65.486203200000006</v>
      </c>
      <c r="Z16" s="345"/>
      <c r="AA16" s="345"/>
      <c r="AB16" s="345"/>
      <c r="AC16" s="345"/>
    </row>
    <row r="17" spans="1:29" ht="13.5" customHeight="1">
      <c r="A17" s="1538"/>
      <c r="B17" s="298">
        <v>1.2</v>
      </c>
      <c r="C17" s="303">
        <f t="shared" ref="C17:Y17" si="7">C57-C57*17/100</f>
        <v>26.5967856</v>
      </c>
      <c r="D17" s="300">
        <f t="shared" si="7"/>
        <v>28.384804800000001</v>
      </c>
      <c r="E17" s="300">
        <f t="shared" si="7"/>
        <v>30.396326400000003</v>
      </c>
      <c r="F17" s="300">
        <f t="shared" si="7"/>
        <v>32.0725944</v>
      </c>
      <c r="G17" s="300">
        <f t="shared" si="7"/>
        <v>34.084116000000002</v>
      </c>
      <c r="H17" s="300">
        <f t="shared" si="7"/>
        <v>35.760384000000002</v>
      </c>
      <c r="I17" s="300">
        <f t="shared" si="7"/>
        <v>37.771905599999997</v>
      </c>
      <c r="J17" s="300">
        <f t="shared" si="7"/>
        <v>39.448173600000004</v>
      </c>
      <c r="K17" s="300">
        <f t="shared" si="7"/>
        <v>41.459695199999999</v>
      </c>
      <c r="L17" s="300">
        <f t="shared" si="7"/>
        <v>43.135963199999999</v>
      </c>
      <c r="M17" s="300">
        <f t="shared" si="7"/>
        <v>45.147484800000001</v>
      </c>
      <c r="N17" s="300">
        <f t="shared" si="7"/>
        <v>46.823752800000001</v>
      </c>
      <c r="O17" s="300">
        <f t="shared" si="7"/>
        <v>48.83527440000001</v>
      </c>
      <c r="P17" s="300">
        <f t="shared" si="7"/>
        <v>50.623293599999997</v>
      </c>
      <c r="Q17" s="300">
        <f t="shared" si="7"/>
        <v>52.523064000000005</v>
      </c>
      <c r="R17" s="300">
        <f t="shared" si="7"/>
        <v>54.311083200000013</v>
      </c>
      <c r="S17" s="300">
        <f t="shared" si="7"/>
        <v>56.210853599999993</v>
      </c>
      <c r="T17" s="300">
        <f t="shared" si="7"/>
        <v>57.998872800000008</v>
      </c>
      <c r="U17" s="300">
        <f t="shared" si="7"/>
        <v>59.898643200000009</v>
      </c>
      <c r="V17" s="300">
        <f t="shared" si="7"/>
        <v>61.68666240000001</v>
      </c>
      <c r="W17" s="300">
        <f t="shared" si="7"/>
        <v>63.586432799999997</v>
      </c>
      <c r="X17" s="300">
        <f t="shared" si="7"/>
        <v>65.374452000000005</v>
      </c>
      <c r="Y17" s="304">
        <f t="shared" si="7"/>
        <v>67.274222399999999</v>
      </c>
      <c r="Z17" s="345"/>
      <c r="AA17" s="345"/>
      <c r="AB17" s="345"/>
      <c r="AC17" s="345"/>
    </row>
    <row r="18" spans="1:29" ht="13.5" customHeight="1">
      <c r="A18" s="1538"/>
      <c r="B18" s="298">
        <v>1.3</v>
      </c>
      <c r="C18" s="303">
        <f t="shared" ref="C18:Y18" si="8">C58-C58*17/100</f>
        <v>27.043790400000002</v>
      </c>
      <c r="D18" s="300">
        <f t="shared" si="8"/>
        <v>28.9435608</v>
      </c>
      <c r="E18" s="300">
        <f t="shared" si="8"/>
        <v>30.843331200000005</v>
      </c>
      <c r="F18" s="300">
        <f t="shared" si="8"/>
        <v>32.854852800000003</v>
      </c>
      <c r="G18" s="300">
        <f t="shared" si="8"/>
        <v>34.754623200000005</v>
      </c>
      <c r="H18" s="300">
        <f t="shared" si="8"/>
        <v>36.654393599999992</v>
      </c>
      <c r="I18" s="300">
        <f t="shared" si="8"/>
        <v>38.554164</v>
      </c>
      <c r="J18" s="300">
        <f t="shared" si="8"/>
        <v>40.453934400000009</v>
      </c>
      <c r="K18" s="300">
        <f t="shared" si="8"/>
        <v>42.353704800000003</v>
      </c>
      <c r="L18" s="300">
        <f t="shared" si="8"/>
        <v>44.253475200000011</v>
      </c>
      <c r="M18" s="300">
        <f t="shared" si="8"/>
        <v>46.153245599999998</v>
      </c>
      <c r="N18" s="300">
        <f t="shared" si="8"/>
        <v>48.053016</v>
      </c>
      <c r="O18" s="300">
        <f t="shared" si="8"/>
        <v>50.064537600000001</v>
      </c>
      <c r="P18" s="300">
        <f t="shared" si="8"/>
        <v>51.964308000000003</v>
      </c>
      <c r="Q18" s="300">
        <f t="shared" si="8"/>
        <v>53.864078400000011</v>
      </c>
      <c r="R18" s="300">
        <f t="shared" si="8"/>
        <v>55.763848799999991</v>
      </c>
      <c r="S18" s="300">
        <f t="shared" si="8"/>
        <v>57.551868000000006</v>
      </c>
      <c r="T18" s="300">
        <f t="shared" si="8"/>
        <v>59.451638400000007</v>
      </c>
      <c r="U18" s="300">
        <f t="shared" si="8"/>
        <v>61.351408800000002</v>
      </c>
      <c r="V18" s="300">
        <f t="shared" si="8"/>
        <v>63.251179199999996</v>
      </c>
      <c r="W18" s="300">
        <f t="shared" si="8"/>
        <v>65.150949600000018</v>
      </c>
      <c r="X18" s="300">
        <f t="shared" si="8"/>
        <v>67.050719999999998</v>
      </c>
      <c r="Y18" s="304">
        <f t="shared" si="8"/>
        <v>69.062241600000007</v>
      </c>
      <c r="Z18" s="345"/>
      <c r="AA18" s="345"/>
      <c r="AB18" s="345"/>
      <c r="AC18" s="345"/>
    </row>
    <row r="19" spans="1:29" ht="13.5" customHeight="1">
      <c r="A19" s="1538"/>
      <c r="B19" s="298">
        <v>1.4</v>
      </c>
      <c r="C19" s="303">
        <f t="shared" ref="C19:Y19" si="9">C59-C59*17/100</f>
        <v>27.602546399999998</v>
      </c>
      <c r="D19" s="300">
        <f t="shared" si="9"/>
        <v>29.502316799999996</v>
      </c>
      <c r="E19" s="300">
        <f t="shared" si="9"/>
        <v>31.402087200000008</v>
      </c>
      <c r="F19" s="300">
        <f t="shared" si="9"/>
        <v>33.525359999999999</v>
      </c>
      <c r="G19" s="300">
        <f t="shared" si="9"/>
        <v>35.425130400000008</v>
      </c>
      <c r="H19" s="300">
        <f t="shared" si="9"/>
        <v>37.436651999999995</v>
      </c>
      <c r="I19" s="300">
        <f t="shared" si="9"/>
        <v>39.336422400000004</v>
      </c>
      <c r="J19" s="300">
        <f t="shared" si="9"/>
        <v>41.236192800000005</v>
      </c>
      <c r="K19" s="300">
        <f t="shared" si="9"/>
        <v>43.359465600000007</v>
      </c>
      <c r="L19" s="300">
        <f t="shared" si="9"/>
        <v>45.259236000000008</v>
      </c>
      <c r="M19" s="300">
        <f t="shared" si="9"/>
        <v>47.270757599999996</v>
      </c>
      <c r="N19" s="300">
        <f t="shared" si="9"/>
        <v>49.170528000000004</v>
      </c>
      <c r="O19" s="300">
        <f t="shared" si="9"/>
        <v>51.2938008</v>
      </c>
      <c r="P19" s="300">
        <f t="shared" si="9"/>
        <v>53.193571200000001</v>
      </c>
      <c r="Q19" s="300">
        <f t="shared" si="9"/>
        <v>55.093341600000002</v>
      </c>
      <c r="R19" s="300">
        <f t="shared" si="9"/>
        <v>57.104863199999997</v>
      </c>
      <c r="S19" s="300">
        <f t="shared" si="9"/>
        <v>59.004633599999991</v>
      </c>
      <c r="T19" s="300">
        <f t="shared" si="9"/>
        <v>61.127906400000008</v>
      </c>
      <c r="U19" s="300">
        <f t="shared" si="9"/>
        <v>63.027676800000002</v>
      </c>
      <c r="V19" s="300">
        <f t="shared" si="9"/>
        <v>64.927447200000003</v>
      </c>
      <c r="W19" s="300">
        <f t="shared" si="9"/>
        <v>66.938968799999998</v>
      </c>
      <c r="X19" s="300">
        <f t="shared" si="9"/>
        <v>68.838739200000006</v>
      </c>
      <c r="Y19" s="304">
        <f t="shared" si="9"/>
        <v>70.962011999999987</v>
      </c>
      <c r="Z19" s="345"/>
      <c r="AA19" s="345"/>
      <c r="AB19" s="345"/>
      <c r="AC19" s="345"/>
    </row>
    <row r="20" spans="1:29" ht="13.5" customHeight="1">
      <c r="A20" s="1538"/>
      <c r="B20" s="298">
        <v>1.5</v>
      </c>
      <c r="C20" s="303">
        <f t="shared" ref="C20:Y20" si="10">C60-C60*17/100</f>
        <v>28.049551200000003</v>
      </c>
      <c r="D20" s="300">
        <f t="shared" si="10"/>
        <v>30.061072799999998</v>
      </c>
      <c r="E20" s="300">
        <f t="shared" si="10"/>
        <v>32.0725944</v>
      </c>
      <c r="F20" s="300">
        <f t="shared" si="10"/>
        <v>34.195867200000002</v>
      </c>
      <c r="G20" s="300">
        <f t="shared" si="10"/>
        <v>36.207388800000004</v>
      </c>
      <c r="H20" s="300">
        <f t="shared" si="10"/>
        <v>38.107159200000012</v>
      </c>
      <c r="I20" s="300">
        <f t="shared" si="10"/>
        <v>40.230432000000008</v>
      </c>
      <c r="J20" s="300">
        <f t="shared" si="10"/>
        <v>42.241953600000002</v>
      </c>
      <c r="K20" s="300">
        <f t="shared" si="10"/>
        <v>44.253475200000011</v>
      </c>
      <c r="L20" s="300">
        <f t="shared" si="10"/>
        <v>46.376748000000006</v>
      </c>
      <c r="M20" s="300">
        <f t="shared" si="10"/>
        <v>48.388269600000001</v>
      </c>
      <c r="N20" s="300">
        <f t="shared" si="10"/>
        <v>50.39979120000001</v>
      </c>
      <c r="O20" s="300">
        <f t="shared" si="10"/>
        <v>52.299561599999997</v>
      </c>
      <c r="P20" s="300">
        <f t="shared" si="10"/>
        <v>54.422834400000006</v>
      </c>
      <c r="Q20" s="300">
        <f t="shared" si="10"/>
        <v>56.434356000000001</v>
      </c>
      <c r="R20" s="300">
        <f t="shared" si="10"/>
        <v>58.445877600000003</v>
      </c>
      <c r="S20" s="300">
        <f t="shared" si="10"/>
        <v>60.569150400000012</v>
      </c>
      <c r="T20" s="300">
        <f t="shared" si="10"/>
        <v>62.580672000000007</v>
      </c>
      <c r="U20" s="300">
        <f t="shared" si="10"/>
        <v>64.592193599999987</v>
      </c>
      <c r="V20" s="300">
        <f t="shared" si="10"/>
        <v>66.603715200000011</v>
      </c>
      <c r="W20" s="300">
        <f t="shared" si="10"/>
        <v>68.615236799999991</v>
      </c>
      <c r="X20" s="300">
        <f t="shared" si="10"/>
        <v>70.6267584</v>
      </c>
      <c r="Y20" s="304">
        <f t="shared" si="10"/>
        <v>72.750031200000009</v>
      </c>
      <c r="Z20" s="345"/>
      <c r="AA20" s="345"/>
      <c r="AB20" s="345"/>
      <c r="AC20" s="345"/>
    </row>
    <row r="21" spans="1:29" ht="13.5" customHeight="1">
      <c r="A21" s="1538"/>
      <c r="B21" s="298">
        <v>1.6</v>
      </c>
      <c r="C21" s="303">
        <f t="shared" ref="C21:Y21" si="11">C61-C61*17/100</f>
        <v>28.608307200000002</v>
      </c>
      <c r="D21" s="300">
        <f t="shared" si="11"/>
        <v>30.619828800000001</v>
      </c>
      <c r="E21" s="300">
        <f t="shared" si="11"/>
        <v>32.631350400000002</v>
      </c>
      <c r="F21" s="300">
        <f t="shared" si="11"/>
        <v>34.866374399999998</v>
      </c>
      <c r="G21" s="300">
        <f t="shared" si="11"/>
        <v>36.877896000000007</v>
      </c>
      <c r="H21" s="300">
        <f t="shared" si="11"/>
        <v>39.001168799999995</v>
      </c>
      <c r="I21" s="300">
        <f t="shared" si="11"/>
        <v>41.012690400000011</v>
      </c>
      <c r="J21" s="300">
        <f t="shared" si="11"/>
        <v>43.135963199999999</v>
      </c>
      <c r="K21" s="300">
        <f t="shared" si="11"/>
        <v>45.259236000000008</v>
      </c>
      <c r="L21" s="300">
        <f t="shared" si="11"/>
        <v>47.270757599999996</v>
      </c>
      <c r="M21" s="300">
        <f t="shared" si="11"/>
        <v>49.505781600000006</v>
      </c>
      <c r="N21" s="300">
        <f t="shared" si="11"/>
        <v>51.517303200000015</v>
      </c>
      <c r="O21" s="300">
        <f t="shared" si="11"/>
        <v>53.528824799999995</v>
      </c>
      <c r="P21" s="300">
        <f t="shared" si="11"/>
        <v>55.763848799999991</v>
      </c>
      <c r="Q21" s="300">
        <f t="shared" si="11"/>
        <v>57.7753704</v>
      </c>
      <c r="R21" s="300">
        <f t="shared" si="11"/>
        <v>59.898643200000009</v>
      </c>
      <c r="S21" s="300">
        <f t="shared" si="11"/>
        <v>61.910164800000004</v>
      </c>
      <c r="T21" s="300">
        <f t="shared" si="11"/>
        <v>64.1451888</v>
      </c>
      <c r="U21" s="300">
        <f t="shared" si="11"/>
        <v>66.156710400000009</v>
      </c>
      <c r="V21" s="300">
        <f t="shared" si="11"/>
        <v>68.168232000000003</v>
      </c>
      <c r="W21" s="300">
        <f t="shared" si="11"/>
        <v>70.403256000000013</v>
      </c>
      <c r="X21" s="300">
        <f t="shared" si="11"/>
        <v>72.414777600000008</v>
      </c>
      <c r="Y21" s="304">
        <f t="shared" si="11"/>
        <v>74.538050400000003</v>
      </c>
      <c r="Z21" s="345"/>
      <c r="AA21" s="345"/>
      <c r="AB21" s="345"/>
      <c r="AC21" s="345"/>
    </row>
    <row r="22" spans="1:29" ht="13.5" customHeight="1">
      <c r="A22" s="1538"/>
      <c r="B22" s="298">
        <v>1.7</v>
      </c>
      <c r="C22" s="303">
        <f t="shared" ref="C22:Y22" si="12">C62-C62*17/100</f>
        <v>28.9435608</v>
      </c>
      <c r="D22" s="300">
        <f t="shared" si="12"/>
        <v>31.178584799999999</v>
      </c>
      <c r="E22" s="300">
        <f t="shared" si="12"/>
        <v>33.301857600000005</v>
      </c>
      <c r="F22" s="300">
        <f t="shared" si="12"/>
        <v>35.425130400000008</v>
      </c>
      <c r="G22" s="300">
        <f t="shared" si="12"/>
        <v>37.54840320000001</v>
      </c>
      <c r="H22" s="300">
        <f t="shared" si="12"/>
        <v>39.783427200000006</v>
      </c>
      <c r="I22" s="300">
        <f t="shared" si="12"/>
        <v>41.906700000000001</v>
      </c>
      <c r="J22" s="300">
        <f t="shared" si="12"/>
        <v>44.029972800000003</v>
      </c>
      <c r="K22" s="300">
        <f t="shared" si="12"/>
        <v>46.153245599999998</v>
      </c>
      <c r="L22" s="300">
        <f t="shared" si="12"/>
        <v>48.388269600000001</v>
      </c>
      <c r="M22" s="300">
        <f t="shared" si="12"/>
        <v>50.623293599999997</v>
      </c>
      <c r="N22" s="300">
        <f t="shared" si="12"/>
        <v>52.634815200000006</v>
      </c>
      <c r="O22" s="300">
        <f t="shared" si="12"/>
        <v>54.758088000000001</v>
      </c>
      <c r="P22" s="300">
        <f t="shared" si="12"/>
        <v>56.993112000000011</v>
      </c>
      <c r="Q22" s="300">
        <f t="shared" si="12"/>
        <v>59.228135999999999</v>
      </c>
      <c r="R22" s="300">
        <f t="shared" si="12"/>
        <v>61.239657600000001</v>
      </c>
      <c r="S22" s="300">
        <f t="shared" si="12"/>
        <v>63.36293040000001</v>
      </c>
      <c r="T22" s="300">
        <f t="shared" si="12"/>
        <v>65.597954400000006</v>
      </c>
      <c r="U22" s="300">
        <f t="shared" si="12"/>
        <v>67.832978400000002</v>
      </c>
      <c r="V22" s="300">
        <f t="shared" si="12"/>
        <v>69.844500000000011</v>
      </c>
      <c r="W22" s="300">
        <f t="shared" si="12"/>
        <v>72.079524000000006</v>
      </c>
      <c r="X22" s="300">
        <f t="shared" si="12"/>
        <v>74.202796800000016</v>
      </c>
      <c r="Y22" s="304">
        <f t="shared" si="12"/>
        <v>76.437820799999997</v>
      </c>
      <c r="Z22" s="345"/>
      <c r="AA22" s="345"/>
      <c r="AB22" s="345"/>
      <c r="AC22" s="345"/>
    </row>
    <row r="23" spans="1:29" ht="13.5" customHeight="1">
      <c r="A23" s="1538"/>
      <c r="B23" s="298">
        <v>1.8</v>
      </c>
      <c r="C23" s="303">
        <f t="shared" ref="C23:Y23" si="13">C63-C63*17/100</f>
        <v>29.502316799999996</v>
      </c>
      <c r="D23" s="300">
        <f t="shared" si="13"/>
        <v>31.737340800000002</v>
      </c>
      <c r="E23" s="300">
        <f t="shared" si="13"/>
        <v>33.860613600000008</v>
      </c>
      <c r="F23" s="300">
        <f t="shared" si="13"/>
        <v>36.095637600000003</v>
      </c>
      <c r="G23" s="300">
        <f t="shared" si="13"/>
        <v>38.218910399999999</v>
      </c>
      <c r="H23" s="300">
        <f t="shared" si="13"/>
        <v>40.565685599999995</v>
      </c>
      <c r="I23" s="300">
        <f t="shared" si="13"/>
        <v>42.800709599999998</v>
      </c>
      <c r="J23" s="300">
        <f t="shared" si="13"/>
        <v>44.923982400000007</v>
      </c>
      <c r="K23" s="300">
        <f t="shared" si="13"/>
        <v>47.15900640000001</v>
      </c>
      <c r="L23" s="300">
        <f t="shared" si="13"/>
        <v>49.394030400000005</v>
      </c>
      <c r="M23" s="300">
        <f t="shared" si="13"/>
        <v>51.629054400000001</v>
      </c>
      <c r="N23" s="300">
        <f t="shared" si="13"/>
        <v>53.864078400000011</v>
      </c>
      <c r="O23" s="300">
        <f t="shared" si="13"/>
        <v>55.987351200000013</v>
      </c>
      <c r="P23" s="300">
        <f t="shared" si="13"/>
        <v>58.222375200000002</v>
      </c>
      <c r="Q23" s="300">
        <f t="shared" si="13"/>
        <v>60.457399200000005</v>
      </c>
      <c r="R23" s="300">
        <f t="shared" si="13"/>
        <v>62.6924232</v>
      </c>
      <c r="S23" s="300">
        <f t="shared" si="13"/>
        <v>64.927447200000003</v>
      </c>
      <c r="T23" s="300">
        <f t="shared" si="13"/>
        <v>67.050719999999998</v>
      </c>
      <c r="U23" s="300">
        <f t="shared" si="13"/>
        <v>69.285744000000008</v>
      </c>
      <c r="V23" s="300">
        <f t="shared" si="13"/>
        <v>71.520768000000004</v>
      </c>
      <c r="W23" s="300">
        <f t="shared" si="13"/>
        <v>73.755792000000014</v>
      </c>
      <c r="X23" s="300">
        <f t="shared" si="13"/>
        <v>75.990816000000009</v>
      </c>
      <c r="Y23" s="304">
        <f t="shared" si="13"/>
        <v>78.225840000000019</v>
      </c>
      <c r="Z23" s="345"/>
      <c r="AA23" s="345"/>
      <c r="AB23" s="345"/>
      <c r="AC23" s="345"/>
    </row>
    <row r="24" spans="1:29" ht="13.5" customHeight="1">
      <c r="A24" s="1538"/>
      <c r="B24" s="298">
        <v>1.9</v>
      </c>
      <c r="C24" s="303">
        <f t="shared" ref="C24:Y24" si="14">C64-C64*17/100</f>
        <v>30.5080776</v>
      </c>
      <c r="D24" s="300">
        <f t="shared" si="14"/>
        <v>32.854852800000003</v>
      </c>
      <c r="E24" s="300">
        <f t="shared" si="14"/>
        <v>35.089876799999999</v>
      </c>
      <c r="F24" s="300">
        <f t="shared" si="14"/>
        <v>37.436651999999995</v>
      </c>
      <c r="G24" s="300">
        <f t="shared" si="14"/>
        <v>39.783427200000006</v>
      </c>
      <c r="H24" s="300">
        <f t="shared" si="14"/>
        <v>42.130202400000002</v>
      </c>
      <c r="I24" s="300">
        <f t="shared" si="14"/>
        <v>44.365226400000012</v>
      </c>
      <c r="J24" s="300">
        <f t="shared" si="14"/>
        <v>46.712001599999994</v>
      </c>
      <c r="K24" s="300">
        <f t="shared" si="14"/>
        <v>49.058776800000004</v>
      </c>
      <c r="L24" s="300">
        <f t="shared" si="14"/>
        <v>51.517303200000015</v>
      </c>
      <c r="M24" s="300">
        <f t="shared" si="14"/>
        <v>53.864078400000011</v>
      </c>
      <c r="N24" s="300">
        <f t="shared" si="14"/>
        <v>56.210853599999993</v>
      </c>
      <c r="O24" s="300">
        <f t="shared" si="14"/>
        <v>58.445877600000003</v>
      </c>
      <c r="P24" s="300">
        <f t="shared" si="14"/>
        <v>60.792652800000006</v>
      </c>
      <c r="Q24" s="300">
        <f t="shared" si="14"/>
        <v>63.139428000000017</v>
      </c>
      <c r="R24" s="300">
        <f t="shared" si="14"/>
        <v>65.486203200000006</v>
      </c>
      <c r="S24" s="300">
        <f t="shared" si="14"/>
        <v>67.832978400000002</v>
      </c>
      <c r="T24" s="300">
        <f t="shared" si="14"/>
        <v>70.068002399999997</v>
      </c>
      <c r="U24" s="300">
        <f t="shared" si="14"/>
        <v>72.414777600000008</v>
      </c>
      <c r="V24" s="300">
        <f t="shared" si="14"/>
        <v>74.761552800000018</v>
      </c>
      <c r="W24" s="300">
        <f t="shared" si="14"/>
        <v>77.108328</v>
      </c>
      <c r="X24" s="300">
        <f t="shared" si="14"/>
        <v>79.566854400000011</v>
      </c>
      <c r="Y24" s="304">
        <f t="shared" si="14"/>
        <v>81.913629600000007</v>
      </c>
      <c r="Z24" s="345"/>
      <c r="AA24" s="345"/>
      <c r="AB24" s="345"/>
      <c r="AC24" s="345"/>
    </row>
    <row r="25" spans="1:29" ht="13.5" customHeight="1">
      <c r="A25" s="1538"/>
      <c r="B25" s="298">
        <v>2</v>
      </c>
      <c r="C25" s="303">
        <f t="shared" ref="C25:Y25" si="15">C65-C65*17/100</f>
        <v>30.843331200000005</v>
      </c>
      <c r="D25" s="300">
        <f t="shared" si="15"/>
        <v>33.301857600000005</v>
      </c>
      <c r="E25" s="300">
        <f t="shared" si="15"/>
        <v>35.648632800000001</v>
      </c>
      <c r="F25" s="300">
        <f t="shared" si="15"/>
        <v>38.107159200000012</v>
      </c>
      <c r="G25" s="300">
        <f t="shared" si="15"/>
        <v>40.453934400000009</v>
      </c>
      <c r="H25" s="300">
        <f t="shared" si="15"/>
        <v>42.912460799999998</v>
      </c>
      <c r="I25" s="300">
        <f t="shared" si="15"/>
        <v>45.259236000000008</v>
      </c>
      <c r="J25" s="300">
        <f t="shared" si="15"/>
        <v>47.717762400000005</v>
      </c>
      <c r="K25" s="300">
        <f t="shared" si="15"/>
        <v>50.176288800000002</v>
      </c>
      <c r="L25" s="300">
        <f t="shared" si="15"/>
        <v>52.523064000000005</v>
      </c>
      <c r="M25" s="300">
        <f t="shared" si="15"/>
        <v>54.981590400000009</v>
      </c>
      <c r="N25" s="300">
        <f t="shared" si="15"/>
        <v>57.216614400000005</v>
      </c>
      <c r="O25" s="300">
        <f t="shared" si="15"/>
        <v>59.675140800000001</v>
      </c>
      <c r="P25" s="300">
        <f t="shared" si="15"/>
        <v>62.021916000000012</v>
      </c>
      <c r="Q25" s="300">
        <f t="shared" si="15"/>
        <v>64.480442400000015</v>
      </c>
      <c r="R25" s="300">
        <f t="shared" si="15"/>
        <v>66.827217599999997</v>
      </c>
      <c r="S25" s="300">
        <f t="shared" si="15"/>
        <v>69.285744000000008</v>
      </c>
      <c r="T25" s="300">
        <f t="shared" si="15"/>
        <v>71.63251919999999</v>
      </c>
      <c r="U25" s="300">
        <f t="shared" si="15"/>
        <v>74.091045600000001</v>
      </c>
      <c r="V25" s="300">
        <f t="shared" si="15"/>
        <v>76.437820799999997</v>
      </c>
      <c r="W25" s="300">
        <f t="shared" si="15"/>
        <v>78.896347200000008</v>
      </c>
      <c r="X25" s="300">
        <f t="shared" si="15"/>
        <v>81.13137119999999</v>
      </c>
      <c r="Y25" s="304">
        <f t="shared" si="15"/>
        <v>83.5898976</v>
      </c>
      <c r="Z25" s="345"/>
      <c r="AA25" s="345"/>
      <c r="AB25" s="345"/>
      <c r="AC25" s="345"/>
    </row>
    <row r="26" spans="1:29" ht="13.5" customHeight="1">
      <c r="A26" s="1538"/>
      <c r="B26" s="298">
        <v>2.1</v>
      </c>
      <c r="C26" s="303">
        <f t="shared" ref="C26:Y26" si="16">C66-C66*17/100</f>
        <v>31.402087200000008</v>
      </c>
      <c r="D26" s="300">
        <f t="shared" si="16"/>
        <v>33.860613600000008</v>
      </c>
      <c r="E26" s="300">
        <f t="shared" si="16"/>
        <v>36.319139999999997</v>
      </c>
      <c r="F26" s="300">
        <f t="shared" si="16"/>
        <v>38.777666400000008</v>
      </c>
      <c r="G26" s="300">
        <f t="shared" si="16"/>
        <v>41.236192800000005</v>
      </c>
      <c r="H26" s="300">
        <f t="shared" si="16"/>
        <v>43.694719200000009</v>
      </c>
      <c r="I26" s="300">
        <f t="shared" si="16"/>
        <v>46.153245599999998</v>
      </c>
      <c r="J26" s="300">
        <f t="shared" si="16"/>
        <v>48.611771999999995</v>
      </c>
      <c r="K26" s="300">
        <f t="shared" si="16"/>
        <v>51.070298400000013</v>
      </c>
      <c r="L26" s="300">
        <f t="shared" si="16"/>
        <v>53.528824799999995</v>
      </c>
      <c r="M26" s="300">
        <f t="shared" si="16"/>
        <v>55.987351200000013</v>
      </c>
      <c r="N26" s="300">
        <f t="shared" si="16"/>
        <v>58.445877600000003</v>
      </c>
      <c r="O26" s="300">
        <f t="shared" si="16"/>
        <v>60.904404</v>
      </c>
      <c r="P26" s="300">
        <f t="shared" si="16"/>
        <v>63.36293040000001</v>
      </c>
      <c r="Q26" s="300">
        <f t="shared" si="16"/>
        <v>65.709705600000007</v>
      </c>
      <c r="R26" s="300">
        <f t="shared" si="16"/>
        <v>68.168232000000003</v>
      </c>
      <c r="S26" s="300">
        <f t="shared" si="16"/>
        <v>70.6267584</v>
      </c>
      <c r="T26" s="300">
        <f t="shared" si="16"/>
        <v>73.085284800000025</v>
      </c>
      <c r="U26" s="300">
        <f t="shared" si="16"/>
        <v>75.543811199999993</v>
      </c>
      <c r="V26" s="300">
        <f t="shared" si="16"/>
        <v>78.00233759999999</v>
      </c>
      <c r="W26" s="300">
        <f t="shared" si="16"/>
        <v>80.460864000000015</v>
      </c>
      <c r="X26" s="300">
        <f t="shared" si="16"/>
        <v>82.919390399999997</v>
      </c>
      <c r="Y26" s="304">
        <f t="shared" si="16"/>
        <v>85.377916800000023</v>
      </c>
      <c r="Z26" s="345"/>
      <c r="AA26" s="345"/>
      <c r="AB26" s="345"/>
      <c r="AC26" s="345"/>
    </row>
    <row r="27" spans="1:29" ht="13.5" customHeight="1">
      <c r="A27" s="1538"/>
      <c r="B27" s="298">
        <v>2.2000000000000002</v>
      </c>
      <c r="C27" s="303">
        <f t="shared" ref="C27:Y27" si="17">C67-C67*17/100</f>
        <v>31.849092000000006</v>
      </c>
      <c r="D27" s="300">
        <f t="shared" si="17"/>
        <v>34.419369600000003</v>
      </c>
      <c r="E27" s="300">
        <f t="shared" si="17"/>
        <v>36.877896000000007</v>
      </c>
      <c r="F27" s="300">
        <f t="shared" si="17"/>
        <v>39.448173600000004</v>
      </c>
      <c r="G27" s="300">
        <f t="shared" si="17"/>
        <v>41.906700000000001</v>
      </c>
      <c r="H27" s="300">
        <f t="shared" si="17"/>
        <v>44.365226400000012</v>
      </c>
      <c r="I27" s="300">
        <f t="shared" si="17"/>
        <v>47.047255200000002</v>
      </c>
      <c r="J27" s="300">
        <f t="shared" si="17"/>
        <v>49.505781600000006</v>
      </c>
      <c r="K27" s="300">
        <f t="shared" si="17"/>
        <v>52.07605920000001</v>
      </c>
      <c r="L27" s="300">
        <f t="shared" si="17"/>
        <v>54.5345856</v>
      </c>
      <c r="M27" s="300">
        <f t="shared" si="17"/>
        <v>57.104863199999997</v>
      </c>
      <c r="N27" s="300">
        <f t="shared" si="17"/>
        <v>59.563389600000001</v>
      </c>
      <c r="O27" s="300">
        <f t="shared" si="17"/>
        <v>62.021916000000012</v>
      </c>
      <c r="P27" s="300">
        <f t="shared" si="17"/>
        <v>64.592193599999987</v>
      </c>
      <c r="Q27" s="300">
        <f t="shared" si="17"/>
        <v>67.050719999999998</v>
      </c>
      <c r="R27" s="300">
        <f t="shared" si="17"/>
        <v>69.732748799999996</v>
      </c>
      <c r="S27" s="300">
        <f t="shared" si="17"/>
        <v>72.191275200000007</v>
      </c>
      <c r="T27" s="300">
        <f t="shared" si="17"/>
        <v>74.761552800000018</v>
      </c>
      <c r="U27" s="300">
        <f t="shared" si="17"/>
        <v>77.220079200000001</v>
      </c>
      <c r="V27" s="300">
        <f t="shared" si="17"/>
        <v>79.678605600000012</v>
      </c>
      <c r="W27" s="300">
        <f t="shared" si="17"/>
        <v>82.248883199999995</v>
      </c>
      <c r="X27" s="300">
        <f t="shared" si="17"/>
        <v>84.707409600000005</v>
      </c>
      <c r="Y27" s="304">
        <f t="shared" si="17"/>
        <v>87.277687200000003</v>
      </c>
      <c r="Z27" s="345"/>
      <c r="AA27" s="345"/>
      <c r="AB27" s="345"/>
      <c r="AC27" s="345"/>
    </row>
    <row r="28" spans="1:29" ht="13.5" customHeight="1">
      <c r="A28" s="1538"/>
      <c r="B28" s="298">
        <v>2.2999999999999998</v>
      </c>
      <c r="C28" s="303">
        <f t="shared" ref="C28:Y28" si="18">C68-C68*17/100</f>
        <v>32.407848000000008</v>
      </c>
      <c r="D28" s="300">
        <f t="shared" si="18"/>
        <v>34.978125600000006</v>
      </c>
      <c r="E28" s="300">
        <f t="shared" si="18"/>
        <v>37.54840320000001</v>
      </c>
      <c r="F28" s="300">
        <f t="shared" si="18"/>
        <v>40.006929599999999</v>
      </c>
      <c r="G28" s="300">
        <f t="shared" si="18"/>
        <v>42.688958400000011</v>
      </c>
      <c r="H28" s="300">
        <f t="shared" si="18"/>
        <v>45.259236000000008</v>
      </c>
      <c r="I28" s="300">
        <f t="shared" si="18"/>
        <v>47.829513600000006</v>
      </c>
      <c r="J28" s="300">
        <f t="shared" si="18"/>
        <v>50.39979120000001</v>
      </c>
      <c r="K28" s="300">
        <f t="shared" si="18"/>
        <v>53.081820000000008</v>
      </c>
      <c r="L28" s="300">
        <f t="shared" si="18"/>
        <v>55.652097599999998</v>
      </c>
      <c r="M28" s="300">
        <f t="shared" si="18"/>
        <v>58.222375200000002</v>
      </c>
      <c r="N28" s="300">
        <f t="shared" si="18"/>
        <v>60.680901599999991</v>
      </c>
      <c r="O28" s="300">
        <f t="shared" si="18"/>
        <v>63.251179199999996</v>
      </c>
      <c r="P28" s="300">
        <f t="shared" si="18"/>
        <v>65.821456799999993</v>
      </c>
      <c r="Q28" s="300">
        <f t="shared" si="18"/>
        <v>68.503485600000005</v>
      </c>
      <c r="R28" s="300">
        <f t="shared" si="18"/>
        <v>71.073763200000016</v>
      </c>
      <c r="S28" s="300">
        <f t="shared" si="18"/>
        <v>73.644040800000013</v>
      </c>
      <c r="T28" s="300">
        <f t="shared" si="18"/>
        <v>76.214318400000025</v>
      </c>
      <c r="U28" s="300">
        <f t="shared" si="18"/>
        <v>78.896347200000008</v>
      </c>
      <c r="V28" s="300">
        <f t="shared" si="18"/>
        <v>81.354873600000005</v>
      </c>
      <c r="W28" s="300">
        <f t="shared" si="18"/>
        <v>83.925151199999988</v>
      </c>
      <c r="X28" s="300">
        <f t="shared" si="18"/>
        <v>86.495428800000013</v>
      </c>
      <c r="Y28" s="304">
        <f t="shared" si="18"/>
        <v>89.06570640000001</v>
      </c>
      <c r="Z28" s="345"/>
      <c r="AA28" s="345"/>
      <c r="AB28" s="345"/>
      <c r="AC28" s="345"/>
    </row>
    <row r="29" spans="1:29" ht="13.5" customHeight="1">
      <c r="A29" s="1538"/>
      <c r="B29" s="298">
        <v>2.4</v>
      </c>
      <c r="C29" s="303">
        <f t="shared" ref="C29:Y29" si="19">C69-C69*17/100</f>
        <v>32.854852800000003</v>
      </c>
      <c r="D29" s="300">
        <f t="shared" si="19"/>
        <v>35.536881600000008</v>
      </c>
      <c r="E29" s="300">
        <f t="shared" si="19"/>
        <v>38.107159200000012</v>
      </c>
      <c r="F29" s="300">
        <f t="shared" si="19"/>
        <v>40.677436800000002</v>
      </c>
      <c r="G29" s="300">
        <f t="shared" si="19"/>
        <v>43.471216800000001</v>
      </c>
      <c r="H29" s="300">
        <f t="shared" si="19"/>
        <v>46.041494400000005</v>
      </c>
      <c r="I29" s="300">
        <f t="shared" si="19"/>
        <v>48.611771999999995</v>
      </c>
      <c r="J29" s="300">
        <f t="shared" si="19"/>
        <v>51.405552000000007</v>
      </c>
      <c r="K29" s="300">
        <f t="shared" si="19"/>
        <v>53.975829599999997</v>
      </c>
      <c r="L29" s="300">
        <f t="shared" si="19"/>
        <v>56.546107200000002</v>
      </c>
      <c r="M29" s="300">
        <f t="shared" si="19"/>
        <v>59.339887200000007</v>
      </c>
      <c r="N29" s="300">
        <f t="shared" si="19"/>
        <v>61.910164800000004</v>
      </c>
      <c r="O29" s="300">
        <f t="shared" si="19"/>
        <v>64.480442400000015</v>
      </c>
      <c r="P29" s="300">
        <f t="shared" si="19"/>
        <v>67.050719999999998</v>
      </c>
      <c r="Q29" s="300">
        <f t="shared" si="19"/>
        <v>69.844500000000011</v>
      </c>
      <c r="R29" s="300">
        <f t="shared" si="19"/>
        <v>72.414777600000008</v>
      </c>
      <c r="S29" s="300">
        <f t="shared" si="19"/>
        <v>74.985055200000005</v>
      </c>
      <c r="T29" s="300">
        <f t="shared" si="19"/>
        <v>77.778835199999989</v>
      </c>
      <c r="U29" s="300">
        <f t="shared" si="19"/>
        <v>80.3491128</v>
      </c>
      <c r="V29" s="300">
        <f t="shared" si="19"/>
        <v>82.919390399999997</v>
      </c>
      <c r="W29" s="300">
        <f t="shared" si="19"/>
        <v>85.71317040000001</v>
      </c>
      <c r="X29" s="300">
        <f t="shared" si="19"/>
        <v>88.283447999999993</v>
      </c>
      <c r="Y29" s="304">
        <f t="shared" si="19"/>
        <v>90.853725600000004</v>
      </c>
      <c r="Z29" s="345"/>
      <c r="AA29" s="345"/>
      <c r="AB29" s="345"/>
      <c r="AC29" s="345"/>
    </row>
    <row r="30" spans="1:29" ht="13.5" customHeight="1">
      <c r="A30" s="1538"/>
      <c r="B30" s="298">
        <v>2.5</v>
      </c>
      <c r="C30" s="303">
        <f t="shared" ref="C30:Y30" si="20">C70-C70*17/100</f>
        <v>33.301857600000005</v>
      </c>
      <c r="D30" s="300">
        <f t="shared" si="20"/>
        <v>36.095637600000003</v>
      </c>
      <c r="E30" s="300">
        <f t="shared" si="20"/>
        <v>38.665915200000001</v>
      </c>
      <c r="F30" s="300">
        <f t="shared" si="20"/>
        <v>41.459695199999999</v>
      </c>
      <c r="G30" s="300">
        <f t="shared" si="20"/>
        <v>44.141723999999996</v>
      </c>
      <c r="H30" s="300">
        <f t="shared" si="20"/>
        <v>46.823752800000001</v>
      </c>
      <c r="I30" s="300">
        <f t="shared" si="20"/>
        <v>49.505781600000006</v>
      </c>
      <c r="J30" s="300">
        <f t="shared" si="20"/>
        <v>52.187810400000004</v>
      </c>
      <c r="K30" s="300">
        <f t="shared" si="20"/>
        <v>54.981590400000009</v>
      </c>
      <c r="L30" s="300">
        <f t="shared" si="20"/>
        <v>57.663619200000007</v>
      </c>
      <c r="M30" s="300">
        <f t="shared" si="20"/>
        <v>60.233896800000011</v>
      </c>
      <c r="N30" s="300">
        <f t="shared" si="20"/>
        <v>63.027676800000002</v>
      </c>
      <c r="O30" s="300">
        <f t="shared" si="20"/>
        <v>65.709705600000007</v>
      </c>
      <c r="P30" s="300">
        <f t="shared" si="20"/>
        <v>68.503485600000005</v>
      </c>
      <c r="Q30" s="300">
        <f t="shared" si="20"/>
        <v>71.185514400000002</v>
      </c>
      <c r="R30" s="300">
        <f t="shared" si="20"/>
        <v>73.755792000000014</v>
      </c>
      <c r="S30" s="300">
        <f t="shared" si="20"/>
        <v>76.549572000000012</v>
      </c>
      <c r="T30" s="300">
        <f t="shared" si="20"/>
        <v>79.23160080000001</v>
      </c>
      <c r="U30" s="300">
        <f t="shared" si="20"/>
        <v>82.025380800000022</v>
      </c>
      <c r="V30" s="300">
        <f t="shared" si="20"/>
        <v>84.595658399999991</v>
      </c>
      <c r="W30" s="300">
        <f t="shared" si="20"/>
        <v>87.277687200000003</v>
      </c>
      <c r="X30" s="300">
        <f t="shared" si="20"/>
        <v>90.071467199999987</v>
      </c>
      <c r="Y30" s="304">
        <f t="shared" si="20"/>
        <v>92.753496000000013</v>
      </c>
      <c r="Z30" s="345"/>
      <c r="AA30" s="345"/>
      <c r="AB30" s="345"/>
      <c r="AC30" s="345"/>
    </row>
    <row r="31" spans="1:29" ht="13.5" customHeight="1">
      <c r="A31" s="1538"/>
      <c r="B31" s="298">
        <v>2.6</v>
      </c>
      <c r="C31" s="303">
        <f t="shared" ref="C31:Y31" si="21">C71-C71*17/100</f>
        <v>33.7488624</v>
      </c>
      <c r="D31" s="300">
        <f t="shared" si="21"/>
        <v>36.654393599999992</v>
      </c>
      <c r="E31" s="300">
        <f t="shared" si="21"/>
        <v>39.336422400000004</v>
      </c>
      <c r="F31" s="300">
        <f t="shared" si="21"/>
        <v>42.130202400000002</v>
      </c>
      <c r="G31" s="300">
        <f t="shared" si="21"/>
        <v>44.812231200000006</v>
      </c>
      <c r="H31" s="300">
        <f t="shared" si="21"/>
        <v>47.606011200000005</v>
      </c>
      <c r="I31" s="300">
        <f t="shared" si="21"/>
        <v>50.39979120000001</v>
      </c>
      <c r="J31" s="300">
        <f t="shared" si="21"/>
        <v>53.193571200000001</v>
      </c>
      <c r="K31" s="300">
        <f t="shared" si="21"/>
        <v>55.875600000000006</v>
      </c>
      <c r="L31" s="300">
        <f t="shared" si="21"/>
        <v>58.669380000000004</v>
      </c>
      <c r="M31" s="300">
        <f t="shared" si="21"/>
        <v>61.351408800000002</v>
      </c>
      <c r="N31" s="300">
        <f t="shared" si="21"/>
        <v>64.25694</v>
      </c>
      <c r="O31" s="300">
        <f t="shared" si="21"/>
        <v>66.938968799999998</v>
      </c>
      <c r="P31" s="300">
        <f t="shared" si="21"/>
        <v>69.732748799999996</v>
      </c>
      <c r="Q31" s="300">
        <f t="shared" si="21"/>
        <v>72.414777600000008</v>
      </c>
      <c r="R31" s="300">
        <f t="shared" si="21"/>
        <v>75.320308800000006</v>
      </c>
      <c r="S31" s="300">
        <f t="shared" si="21"/>
        <v>78.00233759999999</v>
      </c>
      <c r="T31" s="300">
        <f t="shared" si="21"/>
        <v>80.796117600000002</v>
      </c>
      <c r="U31" s="300">
        <f t="shared" si="21"/>
        <v>83.4781464</v>
      </c>
      <c r="V31" s="300">
        <f t="shared" si="21"/>
        <v>86.271926399999998</v>
      </c>
      <c r="W31" s="300">
        <f t="shared" si="21"/>
        <v>89.06570640000001</v>
      </c>
      <c r="X31" s="300">
        <f t="shared" si="21"/>
        <v>91.859486400000009</v>
      </c>
      <c r="Y31" s="304">
        <f t="shared" si="21"/>
        <v>94.541515199999992</v>
      </c>
      <c r="Z31" s="345"/>
      <c r="AA31" s="345"/>
      <c r="AB31" s="345"/>
      <c r="AC31" s="345"/>
    </row>
    <row r="32" spans="1:29" ht="13.5" customHeight="1">
      <c r="A32" s="1538"/>
      <c r="B32" s="298">
        <v>2.7</v>
      </c>
      <c r="C32" s="303">
        <f t="shared" ref="C32:Y32" si="22">C72-C72*17/100</f>
        <v>34.307618399999996</v>
      </c>
      <c r="D32" s="300">
        <f t="shared" si="22"/>
        <v>36.989647200000007</v>
      </c>
      <c r="E32" s="300">
        <f t="shared" si="22"/>
        <v>39.895178400000006</v>
      </c>
      <c r="F32" s="300">
        <f t="shared" si="22"/>
        <v>42.800709599999998</v>
      </c>
      <c r="G32" s="300">
        <f t="shared" si="22"/>
        <v>45.482738400000002</v>
      </c>
      <c r="H32" s="300">
        <f t="shared" si="22"/>
        <v>48.388269600000001</v>
      </c>
      <c r="I32" s="300">
        <f t="shared" si="22"/>
        <v>51.2938008</v>
      </c>
      <c r="J32" s="300">
        <f t="shared" si="22"/>
        <v>53.975829599999997</v>
      </c>
      <c r="K32" s="300">
        <f t="shared" si="22"/>
        <v>56.881360799999996</v>
      </c>
      <c r="L32" s="300">
        <f t="shared" si="22"/>
        <v>59.675140800000001</v>
      </c>
      <c r="M32" s="300">
        <f t="shared" si="22"/>
        <v>62.468920800000006</v>
      </c>
      <c r="N32" s="300">
        <f t="shared" si="22"/>
        <v>65.374452000000005</v>
      </c>
      <c r="O32" s="300">
        <f t="shared" si="22"/>
        <v>68.168232000000003</v>
      </c>
      <c r="P32" s="300">
        <f t="shared" si="22"/>
        <v>70.962011999999987</v>
      </c>
      <c r="Q32" s="300">
        <f t="shared" si="22"/>
        <v>73.755792000000014</v>
      </c>
      <c r="R32" s="300">
        <f t="shared" si="22"/>
        <v>76.661323199999998</v>
      </c>
      <c r="S32" s="300">
        <f t="shared" si="22"/>
        <v>79.455103199999982</v>
      </c>
      <c r="T32" s="300">
        <f t="shared" si="22"/>
        <v>82.248883199999995</v>
      </c>
      <c r="U32" s="300">
        <f t="shared" si="22"/>
        <v>85.154414400000007</v>
      </c>
      <c r="V32" s="300">
        <f t="shared" si="22"/>
        <v>87.836443199999991</v>
      </c>
      <c r="W32" s="300">
        <f t="shared" si="22"/>
        <v>90.741974400000004</v>
      </c>
      <c r="X32" s="300">
        <f t="shared" si="22"/>
        <v>93.647505600000002</v>
      </c>
      <c r="Y32" s="304">
        <f t="shared" si="22"/>
        <v>96.329534400000014</v>
      </c>
      <c r="Z32" s="345"/>
      <c r="AA32" s="345"/>
      <c r="AB32" s="345"/>
      <c r="AC32" s="345"/>
    </row>
    <row r="33" spans="1:29" ht="13.5" customHeight="1">
      <c r="A33" s="1538"/>
      <c r="B33" s="298">
        <v>2.8</v>
      </c>
      <c r="C33" s="303">
        <f t="shared" ref="C33:Y33" si="23">C73-C73*17/100</f>
        <v>34.754623200000005</v>
      </c>
      <c r="D33" s="300">
        <f t="shared" si="23"/>
        <v>37.54840320000001</v>
      </c>
      <c r="E33" s="300">
        <f t="shared" si="23"/>
        <v>40.565685599999995</v>
      </c>
      <c r="F33" s="300">
        <f t="shared" si="23"/>
        <v>43.471216800000001</v>
      </c>
      <c r="G33" s="300">
        <f t="shared" si="23"/>
        <v>46.376748000000006</v>
      </c>
      <c r="H33" s="300">
        <f t="shared" si="23"/>
        <v>49.170528000000004</v>
      </c>
      <c r="I33" s="300">
        <f t="shared" si="23"/>
        <v>52.07605920000001</v>
      </c>
      <c r="J33" s="300">
        <f t="shared" si="23"/>
        <v>54.981590400000009</v>
      </c>
      <c r="K33" s="300">
        <f t="shared" si="23"/>
        <v>57.7753704</v>
      </c>
      <c r="L33" s="300">
        <f t="shared" si="23"/>
        <v>60.680901599999991</v>
      </c>
      <c r="M33" s="300">
        <f t="shared" si="23"/>
        <v>63.586432799999997</v>
      </c>
      <c r="N33" s="300">
        <f t="shared" si="23"/>
        <v>66.603715200000011</v>
      </c>
      <c r="O33" s="300">
        <f t="shared" si="23"/>
        <v>69.397495200000009</v>
      </c>
      <c r="P33" s="300">
        <f t="shared" si="23"/>
        <v>72.303026399999993</v>
      </c>
      <c r="Q33" s="300">
        <f t="shared" si="23"/>
        <v>75.208557599999992</v>
      </c>
      <c r="R33" s="300">
        <f t="shared" si="23"/>
        <v>78.00233759999999</v>
      </c>
      <c r="S33" s="300">
        <f t="shared" si="23"/>
        <v>80.907868800000017</v>
      </c>
      <c r="T33" s="300">
        <f t="shared" si="23"/>
        <v>83.813400000000001</v>
      </c>
      <c r="U33" s="300">
        <f t="shared" si="23"/>
        <v>86.60718</v>
      </c>
      <c r="V33" s="300">
        <f t="shared" si="23"/>
        <v>89.512711200000012</v>
      </c>
      <c r="W33" s="300">
        <f t="shared" si="23"/>
        <v>92.529993600000012</v>
      </c>
      <c r="X33" s="300">
        <f t="shared" si="23"/>
        <v>95.43552480000001</v>
      </c>
      <c r="Y33" s="304">
        <f t="shared" si="23"/>
        <v>98.229304800000023</v>
      </c>
      <c r="Z33" s="345"/>
      <c r="AA33" s="345"/>
      <c r="AB33" s="345"/>
      <c r="AC33" s="345"/>
    </row>
    <row r="34" spans="1:29" ht="13.5" customHeight="1">
      <c r="A34" s="1538"/>
      <c r="B34" s="298">
        <v>2.9</v>
      </c>
      <c r="C34" s="303">
        <f t="shared" ref="C34:Y34" si="24">C74-C74*17/100</f>
        <v>35.3133792</v>
      </c>
      <c r="D34" s="300">
        <f t="shared" si="24"/>
        <v>38.107159200000012</v>
      </c>
      <c r="E34" s="300">
        <f t="shared" si="24"/>
        <v>41.124441599999997</v>
      </c>
      <c r="F34" s="300">
        <f t="shared" si="24"/>
        <v>44.141723999999996</v>
      </c>
      <c r="G34" s="300">
        <f t="shared" si="24"/>
        <v>47.047255200000002</v>
      </c>
      <c r="H34" s="300">
        <f t="shared" si="24"/>
        <v>50.064537600000001</v>
      </c>
      <c r="I34" s="300">
        <f t="shared" si="24"/>
        <v>52.858317599999992</v>
      </c>
      <c r="J34" s="300">
        <f t="shared" si="24"/>
        <v>55.875600000000006</v>
      </c>
      <c r="K34" s="300">
        <f t="shared" si="24"/>
        <v>58.781131200000011</v>
      </c>
      <c r="L34" s="300">
        <f t="shared" si="24"/>
        <v>61.798413599999996</v>
      </c>
      <c r="M34" s="300">
        <f t="shared" si="24"/>
        <v>64.592193599999987</v>
      </c>
      <c r="N34" s="300">
        <f t="shared" si="24"/>
        <v>67.609476000000001</v>
      </c>
      <c r="O34" s="300">
        <f t="shared" si="24"/>
        <v>70.6267584</v>
      </c>
      <c r="P34" s="300">
        <f t="shared" si="24"/>
        <v>73.532289599999999</v>
      </c>
      <c r="Q34" s="300">
        <f t="shared" si="24"/>
        <v>76.549572000000012</v>
      </c>
      <c r="R34" s="300">
        <f t="shared" si="24"/>
        <v>79.455103199999982</v>
      </c>
      <c r="S34" s="300">
        <f t="shared" si="24"/>
        <v>82.360634400000009</v>
      </c>
      <c r="T34" s="300">
        <f t="shared" si="24"/>
        <v>85.266165599999994</v>
      </c>
      <c r="U34" s="300">
        <f t="shared" si="24"/>
        <v>88.283447999999993</v>
      </c>
      <c r="V34" s="300">
        <f t="shared" si="24"/>
        <v>91.188979200000006</v>
      </c>
      <c r="W34" s="300">
        <f t="shared" si="24"/>
        <v>94.206261600000005</v>
      </c>
      <c r="X34" s="300">
        <f t="shared" si="24"/>
        <v>97.22354399999999</v>
      </c>
      <c r="Y34" s="304">
        <f t="shared" si="24"/>
        <v>100.017324</v>
      </c>
      <c r="Z34" s="345"/>
      <c r="AA34" s="345"/>
      <c r="AB34" s="345"/>
      <c r="AC34" s="345"/>
    </row>
    <row r="35" spans="1:29" ht="13.5" customHeight="1">
      <c r="A35" s="1538"/>
      <c r="B35" s="298">
        <v>3</v>
      </c>
      <c r="C35" s="303">
        <f t="shared" ref="C35:Y35" si="25">C75-C75*17/100</f>
        <v>35.648632800000001</v>
      </c>
      <c r="D35" s="300">
        <f t="shared" si="25"/>
        <v>38.665915200000001</v>
      </c>
      <c r="E35" s="300">
        <f t="shared" si="25"/>
        <v>41.683197600000007</v>
      </c>
      <c r="F35" s="300">
        <f t="shared" si="25"/>
        <v>44.700479999999999</v>
      </c>
      <c r="G35" s="300">
        <f t="shared" si="25"/>
        <v>47.717762400000005</v>
      </c>
      <c r="H35" s="300">
        <f t="shared" si="25"/>
        <v>50.735044800000004</v>
      </c>
      <c r="I35" s="300">
        <f t="shared" si="25"/>
        <v>53.752327200000003</v>
      </c>
      <c r="J35" s="300">
        <f t="shared" si="25"/>
        <v>56.769609600000003</v>
      </c>
      <c r="K35" s="300">
        <f t="shared" si="25"/>
        <v>59.675140800000001</v>
      </c>
      <c r="L35" s="300">
        <f t="shared" si="25"/>
        <v>62.6924232</v>
      </c>
      <c r="M35" s="300">
        <f t="shared" si="25"/>
        <v>65.709705600000007</v>
      </c>
      <c r="N35" s="300">
        <f t="shared" si="25"/>
        <v>68.726988000000006</v>
      </c>
      <c r="O35" s="300">
        <f t="shared" si="25"/>
        <v>71.744270400000005</v>
      </c>
      <c r="P35" s="300">
        <f t="shared" si="25"/>
        <v>74.761552800000018</v>
      </c>
      <c r="Q35" s="300">
        <f t="shared" si="25"/>
        <v>77.778835199999989</v>
      </c>
      <c r="R35" s="300">
        <f t="shared" si="25"/>
        <v>80.796117600000002</v>
      </c>
      <c r="S35" s="300">
        <f t="shared" si="25"/>
        <v>83.813400000000001</v>
      </c>
      <c r="T35" s="300">
        <f t="shared" si="25"/>
        <v>86.830682400000001</v>
      </c>
      <c r="U35" s="300">
        <f t="shared" si="25"/>
        <v>89.847964800000014</v>
      </c>
      <c r="V35" s="300">
        <f t="shared" si="25"/>
        <v>92.753496000000013</v>
      </c>
      <c r="W35" s="300">
        <f t="shared" si="25"/>
        <v>95.770778400000012</v>
      </c>
      <c r="X35" s="300">
        <f t="shared" si="25"/>
        <v>98.788060800000011</v>
      </c>
      <c r="Y35" s="304">
        <f t="shared" si="25"/>
        <v>101.80534320000001</v>
      </c>
      <c r="Z35" s="345"/>
      <c r="AA35" s="345"/>
      <c r="AB35" s="345"/>
      <c r="AC35" s="345"/>
    </row>
    <row r="36" spans="1:29" ht="13.5" customHeight="1">
      <c r="A36" s="1538"/>
      <c r="B36" s="298">
        <v>3.1</v>
      </c>
      <c r="C36" s="303">
        <f t="shared" ref="C36:Y36" si="26">C76-C76*17/100</f>
        <v>36.207388800000004</v>
      </c>
      <c r="D36" s="300">
        <f t="shared" si="26"/>
        <v>39.224671200000003</v>
      </c>
      <c r="E36" s="300">
        <f t="shared" si="26"/>
        <v>42.353704800000003</v>
      </c>
      <c r="F36" s="300">
        <f t="shared" si="26"/>
        <v>45.370987200000002</v>
      </c>
      <c r="G36" s="300">
        <f t="shared" si="26"/>
        <v>48.500020800000001</v>
      </c>
      <c r="H36" s="300">
        <f t="shared" si="26"/>
        <v>51.517303200000015</v>
      </c>
      <c r="I36" s="300">
        <f t="shared" si="26"/>
        <v>54.6463368</v>
      </c>
      <c r="J36" s="300">
        <f t="shared" si="26"/>
        <v>57.663619200000007</v>
      </c>
      <c r="K36" s="300">
        <f t="shared" si="26"/>
        <v>60.680901599999991</v>
      </c>
      <c r="L36" s="300">
        <f t="shared" si="26"/>
        <v>63.809935200000005</v>
      </c>
      <c r="M36" s="300">
        <f t="shared" si="26"/>
        <v>66.827217599999997</v>
      </c>
      <c r="N36" s="300">
        <f t="shared" si="26"/>
        <v>69.956251200000011</v>
      </c>
      <c r="O36" s="300">
        <f t="shared" si="26"/>
        <v>72.973533599999996</v>
      </c>
      <c r="P36" s="300">
        <f t="shared" si="26"/>
        <v>76.102567199999996</v>
      </c>
      <c r="Q36" s="300">
        <f t="shared" si="26"/>
        <v>79.119849599999981</v>
      </c>
      <c r="R36" s="300">
        <f t="shared" si="26"/>
        <v>82.248883199999995</v>
      </c>
      <c r="S36" s="300">
        <f t="shared" si="26"/>
        <v>85.266165599999994</v>
      </c>
      <c r="T36" s="300">
        <f t="shared" si="26"/>
        <v>88.395199200000008</v>
      </c>
      <c r="U36" s="300">
        <f t="shared" si="26"/>
        <v>91.412481599999992</v>
      </c>
      <c r="V36" s="300">
        <f t="shared" si="26"/>
        <v>94.429764000000006</v>
      </c>
      <c r="W36" s="300">
        <f t="shared" si="26"/>
        <v>97.558797599999991</v>
      </c>
      <c r="X36" s="300">
        <f t="shared" si="26"/>
        <v>100.57608</v>
      </c>
      <c r="Y36" s="304">
        <f t="shared" si="26"/>
        <v>103.70511359999999</v>
      </c>
      <c r="Z36" s="345"/>
      <c r="AA36" s="345"/>
      <c r="AB36" s="345"/>
      <c r="AC36" s="345"/>
    </row>
    <row r="37" spans="1:29" ht="13.5" customHeight="1">
      <c r="A37" s="1538"/>
      <c r="B37" s="298">
        <v>3.2</v>
      </c>
      <c r="C37" s="303">
        <f t="shared" ref="C37:Y37" si="27">C77-C77*17/100</f>
        <v>36.654393599999992</v>
      </c>
      <c r="D37" s="300">
        <f t="shared" si="27"/>
        <v>39.783427200000006</v>
      </c>
      <c r="E37" s="300">
        <f t="shared" si="27"/>
        <v>42.912460799999998</v>
      </c>
      <c r="F37" s="300">
        <f t="shared" si="27"/>
        <v>46.041494400000005</v>
      </c>
      <c r="G37" s="300">
        <f t="shared" si="27"/>
        <v>49.170528000000004</v>
      </c>
      <c r="H37" s="300">
        <f t="shared" si="27"/>
        <v>52.299561599999997</v>
      </c>
      <c r="I37" s="300">
        <f t="shared" si="27"/>
        <v>55.540346400000004</v>
      </c>
      <c r="J37" s="300">
        <f t="shared" si="27"/>
        <v>58.669380000000004</v>
      </c>
      <c r="K37" s="300">
        <f t="shared" si="27"/>
        <v>61.798413599999996</v>
      </c>
      <c r="L37" s="300">
        <f t="shared" si="27"/>
        <v>64.815696000000017</v>
      </c>
      <c r="M37" s="300">
        <f t="shared" si="27"/>
        <v>67.944729600000002</v>
      </c>
      <c r="N37" s="300">
        <f t="shared" si="27"/>
        <v>71.073763200000016</v>
      </c>
      <c r="O37" s="300">
        <f t="shared" si="27"/>
        <v>74.202796800000016</v>
      </c>
      <c r="P37" s="300">
        <f t="shared" si="27"/>
        <v>77.331830400000001</v>
      </c>
      <c r="Q37" s="300">
        <f t="shared" si="27"/>
        <v>80.460864000000015</v>
      </c>
      <c r="R37" s="300">
        <f t="shared" si="27"/>
        <v>83.5898976</v>
      </c>
      <c r="S37" s="300">
        <f t="shared" si="27"/>
        <v>86.830682400000001</v>
      </c>
      <c r="T37" s="300">
        <f t="shared" si="27"/>
        <v>89.959716000000014</v>
      </c>
      <c r="U37" s="300">
        <f t="shared" si="27"/>
        <v>93.088749600000014</v>
      </c>
      <c r="V37" s="300">
        <f t="shared" si="27"/>
        <v>96.106031999999999</v>
      </c>
      <c r="W37" s="300">
        <f t="shared" si="27"/>
        <v>99.235065599999999</v>
      </c>
      <c r="X37" s="300">
        <f t="shared" si="27"/>
        <v>102.3640992</v>
      </c>
      <c r="Y37" s="304">
        <f t="shared" si="27"/>
        <v>105.49313280000001</v>
      </c>
      <c r="Z37" s="345"/>
      <c r="AA37" s="345"/>
      <c r="AB37" s="345"/>
      <c r="AC37" s="345"/>
    </row>
    <row r="38" spans="1:29" ht="13.5" customHeight="1">
      <c r="A38" s="1538"/>
      <c r="B38" s="298">
        <v>3.3</v>
      </c>
      <c r="C38" s="303">
        <f t="shared" ref="C38:Y38" si="28">C78-C78*17/100</f>
        <v>37.213149600000001</v>
      </c>
      <c r="D38" s="300">
        <f t="shared" si="28"/>
        <v>40.342183200000001</v>
      </c>
      <c r="E38" s="300">
        <f t="shared" si="28"/>
        <v>43.582968000000001</v>
      </c>
      <c r="F38" s="300">
        <f t="shared" si="28"/>
        <v>46.712001599999994</v>
      </c>
      <c r="G38" s="300">
        <f t="shared" si="28"/>
        <v>49.841035200000007</v>
      </c>
      <c r="H38" s="300">
        <f t="shared" si="28"/>
        <v>53.193571200000001</v>
      </c>
      <c r="I38" s="300">
        <f t="shared" si="28"/>
        <v>56.322604800000001</v>
      </c>
      <c r="J38" s="300">
        <f t="shared" si="28"/>
        <v>59.451638400000007</v>
      </c>
      <c r="K38" s="300">
        <f t="shared" si="28"/>
        <v>62.6924232</v>
      </c>
      <c r="L38" s="300">
        <f t="shared" si="28"/>
        <v>65.821456799999993</v>
      </c>
      <c r="M38" s="300">
        <f t="shared" si="28"/>
        <v>69.062241600000007</v>
      </c>
      <c r="N38" s="300">
        <f t="shared" si="28"/>
        <v>72.303026399999993</v>
      </c>
      <c r="O38" s="300">
        <f t="shared" si="28"/>
        <v>75.432059999999993</v>
      </c>
      <c r="P38" s="300">
        <f t="shared" si="28"/>
        <v>78.561093600000021</v>
      </c>
      <c r="Q38" s="300">
        <f t="shared" si="28"/>
        <v>81.913629600000007</v>
      </c>
      <c r="R38" s="300">
        <f t="shared" si="28"/>
        <v>85.042663200000007</v>
      </c>
      <c r="S38" s="300">
        <f t="shared" si="28"/>
        <v>88.171696800000021</v>
      </c>
      <c r="T38" s="300">
        <f t="shared" si="28"/>
        <v>91.412481599999992</v>
      </c>
      <c r="U38" s="300">
        <f t="shared" si="28"/>
        <v>94.541515199999992</v>
      </c>
      <c r="V38" s="300">
        <f t="shared" si="28"/>
        <v>97.67054880000002</v>
      </c>
      <c r="W38" s="300">
        <f t="shared" si="28"/>
        <v>101.02308480000002</v>
      </c>
      <c r="X38" s="300">
        <f t="shared" si="28"/>
        <v>104.15211840000002</v>
      </c>
      <c r="Y38" s="304">
        <f t="shared" si="28"/>
        <v>107.39290319999999</v>
      </c>
      <c r="Z38" s="345"/>
      <c r="AA38" s="345"/>
      <c r="AB38" s="345"/>
      <c r="AC38" s="345"/>
    </row>
    <row r="39" spans="1:29" ht="13.5" customHeight="1">
      <c r="A39" s="1538"/>
      <c r="B39" s="298">
        <v>3.4</v>
      </c>
      <c r="C39" s="303">
        <f t="shared" ref="C39:Y39" si="29">C79-C79*17/100</f>
        <v>37.54840320000001</v>
      </c>
      <c r="D39" s="300">
        <f t="shared" si="29"/>
        <v>40.900939200000003</v>
      </c>
      <c r="E39" s="300">
        <f t="shared" si="29"/>
        <v>44.141723999999996</v>
      </c>
      <c r="F39" s="300">
        <f t="shared" si="29"/>
        <v>47.382508800000004</v>
      </c>
      <c r="G39" s="300">
        <f t="shared" si="29"/>
        <v>50.735044800000004</v>
      </c>
      <c r="H39" s="300">
        <f t="shared" si="29"/>
        <v>53.864078400000011</v>
      </c>
      <c r="I39" s="300">
        <f t="shared" si="29"/>
        <v>57.104863199999997</v>
      </c>
      <c r="J39" s="300">
        <f t="shared" si="29"/>
        <v>60.457399200000005</v>
      </c>
      <c r="K39" s="300">
        <f t="shared" si="29"/>
        <v>63.698184000000012</v>
      </c>
      <c r="L39" s="300">
        <f t="shared" si="29"/>
        <v>66.938968799999998</v>
      </c>
      <c r="M39" s="300">
        <f t="shared" si="29"/>
        <v>70.068002399999997</v>
      </c>
      <c r="N39" s="300">
        <f t="shared" si="29"/>
        <v>73.420538400000027</v>
      </c>
      <c r="O39" s="300">
        <f t="shared" si="29"/>
        <v>76.661323199999998</v>
      </c>
      <c r="P39" s="300">
        <f t="shared" si="29"/>
        <v>79.902108000000013</v>
      </c>
      <c r="Q39" s="300">
        <f t="shared" si="29"/>
        <v>83.254643999999999</v>
      </c>
      <c r="R39" s="300">
        <f t="shared" si="29"/>
        <v>86.383677599999999</v>
      </c>
      <c r="S39" s="300">
        <f t="shared" si="29"/>
        <v>89.624462400000013</v>
      </c>
      <c r="T39" s="300">
        <f t="shared" si="29"/>
        <v>92.976998400000014</v>
      </c>
      <c r="U39" s="300">
        <f t="shared" si="29"/>
        <v>96.217783200000014</v>
      </c>
      <c r="V39" s="300">
        <f t="shared" si="29"/>
        <v>99.346816800000028</v>
      </c>
      <c r="W39" s="300">
        <f t="shared" si="29"/>
        <v>102.5876016</v>
      </c>
      <c r="X39" s="300">
        <f t="shared" si="29"/>
        <v>105.94013759999999</v>
      </c>
      <c r="Y39" s="304">
        <f t="shared" si="29"/>
        <v>109.18092240000001</v>
      </c>
      <c r="Z39" s="345"/>
      <c r="AA39" s="345"/>
      <c r="AB39" s="345"/>
      <c r="AC39" s="345"/>
    </row>
    <row r="40" spans="1:29" ht="13.5" customHeight="1">
      <c r="A40" s="1538"/>
      <c r="B40" s="298">
        <v>3.5</v>
      </c>
      <c r="C40" s="303">
        <f t="shared" ref="C40:Y40" si="30">C80-C80*17/100</f>
        <v>38.107159200000012</v>
      </c>
      <c r="D40" s="300">
        <f t="shared" si="30"/>
        <v>41.459695199999999</v>
      </c>
      <c r="E40" s="300">
        <f t="shared" si="30"/>
        <v>44.700479999999999</v>
      </c>
      <c r="F40" s="300">
        <f t="shared" si="30"/>
        <v>48.053016</v>
      </c>
      <c r="G40" s="300">
        <f t="shared" si="30"/>
        <v>51.405552000000007</v>
      </c>
      <c r="H40" s="300">
        <f t="shared" si="30"/>
        <v>54.6463368</v>
      </c>
      <c r="I40" s="300">
        <f t="shared" si="30"/>
        <v>57.998872800000008</v>
      </c>
      <c r="J40" s="300">
        <f t="shared" si="30"/>
        <v>61.351408800000002</v>
      </c>
      <c r="K40" s="300">
        <f t="shared" si="30"/>
        <v>64.592193599999987</v>
      </c>
      <c r="L40" s="300">
        <f t="shared" si="30"/>
        <v>67.944729600000002</v>
      </c>
      <c r="M40" s="300">
        <f t="shared" si="30"/>
        <v>71.185514400000002</v>
      </c>
      <c r="N40" s="300">
        <f t="shared" si="30"/>
        <v>74.649801600000004</v>
      </c>
      <c r="O40" s="300">
        <f t="shared" si="30"/>
        <v>77.890586400000018</v>
      </c>
      <c r="P40" s="300">
        <f t="shared" si="30"/>
        <v>81.13137119999999</v>
      </c>
      <c r="Q40" s="300">
        <f t="shared" si="30"/>
        <v>84.483907200000004</v>
      </c>
      <c r="R40" s="300">
        <f t="shared" si="30"/>
        <v>87.836443199999991</v>
      </c>
      <c r="S40" s="300">
        <f t="shared" si="30"/>
        <v>91.188979200000006</v>
      </c>
      <c r="T40" s="300">
        <f t="shared" si="30"/>
        <v>94.429764000000006</v>
      </c>
      <c r="U40" s="300">
        <f t="shared" si="30"/>
        <v>97.67054880000002</v>
      </c>
      <c r="V40" s="300">
        <f t="shared" si="30"/>
        <v>101.13483600000001</v>
      </c>
      <c r="W40" s="300">
        <f t="shared" si="30"/>
        <v>104.37562080000001</v>
      </c>
      <c r="X40" s="300">
        <f t="shared" si="30"/>
        <v>107.72815680000002</v>
      </c>
      <c r="Y40" s="304">
        <f t="shared" si="30"/>
        <v>110.96894159999999</v>
      </c>
      <c r="Z40" s="345"/>
      <c r="AA40" s="345"/>
      <c r="AB40" s="345"/>
      <c r="AC40" s="345"/>
    </row>
    <row r="41" spans="1:29" ht="13.5" customHeight="1">
      <c r="A41" s="1538"/>
      <c r="B41" s="298">
        <v>3.6</v>
      </c>
      <c r="C41" s="303">
        <f t="shared" ref="C41:Y41" si="31">C81-C81*17/100</f>
        <v>38.554164</v>
      </c>
      <c r="D41" s="300">
        <f t="shared" si="31"/>
        <v>41.906700000000001</v>
      </c>
      <c r="E41" s="300">
        <f t="shared" si="31"/>
        <v>45.370987200000002</v>
      </c>
      <c r="F41" s="300">
        <f t="shared" si="31"/>
        <v>48.611771999999995</v>
      </c>
      <c r="G41" s="300">
        <f t="shared" si="31"/>
        <v>52.07605920000001</v>
      </c>
      <c r="H41" s="300">
        <f t="shared" si="31"/>
        <v>55.540346400000004</v>
      </c>
      <c r="I41" s="300">
        <f t="shared" si="31"/>
        <v>58.892882400000012</v>
      </c>
      <c r="J41" s="300">
        <f t="shared" si="31"/>
        <v>62.133667200000005</v>
      </c>
      <c r="K41" s="300">
        <f t="shared" si="31"/>
        <v>65.597954400000006</v>
      </c>
      <c r="L41" s="300">
        <f t="shared" si="31"/>
        <v>69.062241600000007</v>
      </c>
      <c r="M41" s="300">
        <f t="shared" si="31"/>
        <v>72.303026399999993</v>
      </c>
      <c r="N41" s="300">
        <f t="shared" si="31"/>
        <v>75.767313599999994</v>
      </c>
      <c r="O41" s="300">
        <f t="shared" si="31"/>
        <v>79.119849599999981</v>
      </c>
      <c r="P41" s="300">
        <f t="shared" si="31"/>
        <v>82.360634400000009</v>
      </c>
      <c r="Q41" s="300">
        <f t="shared" si="31"/>
        <v>85.824921599999996</v>
      </c>
      <c r="R41" s="300">
        <f t="shared" si="31"/>
        <v>89.289208800000011</v>
      </c>
      <c r="S41" s="300">
        <f t="shared" si="31"/>
        <v>92.529993600000012</v>
      </c>
      <c r="T41" s="300">
        <f t="shared" si="31"/>
        <v>95.994280800000013</v>
      </c>
      <c r="U41" s="300">
        <f t="shared" si="31"/>
        <v>99.346816800000028</v>
      </c>
      <c r="V41" s="300">
        <f t="shared" si="31"/>
        <v>102.81110400000001</v>
      </c>
      <c r="W41" s="300">
        <f t="shared" si="31"/>
        <v>106.05188880000001</v>
      </c>
      <c r="X41" s="300">
        <f t="shared" si="31"/>
        <v>109.516176</v>
      </c>
      <c r="Y41" s="304">
        <f t="shared" si="31"/>
        <v>112.868712</v>
      </c>
      <c r="Z41" s="345"/>
      <c r="AA41" s="345"/>
      <c r="AB41" s="345"/>
      <c r="AC41" s="345"/>
    </row>
    <row r="42" spans="1:29" ht="13.5" customHeight="1">
      <c r="A42" s="1538"/>
      <c r="B42" s="298">
        <v>3.7</v>
      </c>
      <c r="C42" s="303">
        <f t="shared" ref="C42:Y42" si="32">C82-C82*17/100</f>
        <v>39.11292000000001</v>
      </c>
      <c r="D42" s="300">
        <f t="shared" si="32"/>
        <v>42.465455999999996</v>
      </c>
      <c r="E42" s="300">
        <f t="shared" si="32"/>
        <v>45.929743200000004</v>
      </c>
      <c r="F42" s="300">
        <f t="shared" si="32"/>
        <v>49.394030400000005</v>
      </c>
      <c r="G42" s="300">
        <f t="shared" si="32"/>
        <v>52.746566400000006</v>
      </c>
      <c r="H42" s="300">
        <f t="shared" si="32"/>
        <v>56.322604800000001</v>
      </c>
      <c r="I42" s="300">
        <f t="shared" si="32"/>
        <v>59.675140800000001</v>
      </c>
      <c r="J42" s="300">
        <f t="shared" si="32"/>
        <v>63.139428000000017</v>
      </c>
      <c r="K42" s="300">
        <f t="shared" si="32"/>
        <v>66.603715200000011</v>
      </c>
      <c r="L42" s="300">
        <f t="shared" si="32"/>
        <v>69.956251200000011</v>
      </c>
      <c r="M42" s="300">
        <f t="shared" si="32"/>
        <v>73.420538400000027</v>
      </c>
      <c r="N42" s="300">
        <f t="shared" si="32"/>
        <v>76.773074399999999</v>
      </c>
      <c r="O42" s="300">
        <f t="shared" si="32"/>
        <v>80.3491128</v>
      </c>
      <c r="P42" s="300">
        <f t="shared" si="32"/>
        <v>83.813400000000001</v>
      </c>
      <c r="Q42" s="300">
        <f t="shared" si="32"/>
        <v>87.165936000000002</v>
      </c>
      <c r="R42" s="300">
        <f t="shared" si="32"/>
        <v>90.630223199999989</v>
      </c>
      <c r="S42" s="300">
        <f t="shared" si="32"/>
        <v>93.98275919999999</v>
      </c>
      <c r="T42" s="300">
        <f t="shared" si="32"/>
        <v>97.447046400000005</v>
      </c>
      <c r="U42" s="300">
        <f t="shared" si="32"/>
        <v>100.91133360000001</v>
      </c>
      <c r="V42" s="300">
        <f t="shared" si="32"/>
        <v>104.37562080000001</v>
      </c>
      <c r="W42" s="300">
        <f t="shared" si="32"/>
        <v>107.83990800000001</v>
      </c>
      <c r="X42" s="300">
        <f t="shared" si="32"/>
        <v>111.3041952</v>
      </c>
      <c r="Y42" s="304">
        <f t="shared" si="32"/>
        <v>114.6567312</v>
      </c>
      <c r="Z42" s="345"/>
      <c r="AA42" s="345"/>
      <c r="AB42" s="345"/>
      <c r="AC42" s="345"/>
    </row>
    <row r="43" spans="1:29" ht="13.5" customHeight="1">
      <c r="A43" s="1538"/>
      <c r="B43" s="298">
        <v>3.8</v>
      </c>
      <c r="C43" s="303">
        <f t="shared" ref="C43:Y43" si="33">C83-C83*17/100</f>
        <v>39.448173600000004</v>
      </c>
      <c r="D43" s="300">
        <f t="shared" si="33"/>
        <v>43.024212000000006</v>
      </c>
      <c r="E43" s="300">
        <f t="shared" si="33"/>
        <v>46.600250400000007</v>
      </c>
      <c r="F43" s="300">
        <f t="shared" si="33"/>
        <v>50.064537600000001</v>
      </c>
      <c r="G43" s="300">
        <f t="shared" si="33"/>
        <v>64.703944799999988</v>
      </c>
      <c r="H43" s="300">
        <f t="shared" si="33"/>
        <v>56.993112000000011</v>
      </c>
      <c r="I43" s="300">
        <f t="shared" si="33"/>
        <v>60.569150400000012</v>
      </c>
      <c r="J43" s="300">
        <f t="shared" si="33"/>
        <v>64.1451888</v>
      </c>
      <c r="K43" s="300">
        <f t="shared" si="33"/>
        <v>67.4977248</v>
      </c>
      <c r="L43" s="300">
        <f t="shared" si="33"/>
        <v>71.073763200000016</v>
      </c>
      <c r="M43" s="300">
        <f t="shared" si="33"/>
        <v>74.538050400000003</v>
      </c>
      <c r="N43" s="300">
        <f t="shared" si="33"/>
        <v>78.00233759999999</v>
      </c>
      <c r="O43" s="300">
        <f t="shared" si="33"/>
        <v>81.466624800000005</v>
      </c>
      <c r="P43" s="300">
        <f t="shared" si="33"/>
        <v>85.042663200000007</v>
      </c>
      <c r="Q43" s="300">
        <f t="shared" si="33"/>
        <v>88.618701599999994</v>
      </c>
      <c r="R43" s="300">
        <f t="shared" si="33"/>
        <v>91.971237599999995</v>
      </c>
      <c r="S43" s="300">
        <f t="shared" si="33"/>
        <v>95.547276000000011</v>
      </c>
      <c r="T43" s="300">
        <f t="shared" si="33"/>
        <v>98.899811999999997</v>
      </c>
      <c r="U43" s="300">
        <f t="shared" si="33"/>
        <v>102.47585040000001</v>
      </c>
      <c r="V43" s="300">
        <f t="shared" si="33"/>
        <v>106.05188880000001</v>
      </c>
      <c r="W43" s="300">
        <f t="shared" si="33"/>
        <v>109.516176</v>
      </c>
      <c r="X43" s="300">
        <f t="shared" si="33"/>
        <v>112.9804632</v>
      </c>
      <c r="Y43" s="304">
        <f t="shared" si="33"/>
        <v>116.4447504</v>
      </c>
      <c r="Z43" s="345"/>
      <c r="AA43" s="345"/>
      <c r="AB43" s="345"/>
      <c r="AC43" s="345"/>
    </row>
    <row r="44" spans="1:29" ht="13.5" customHeight="1">
      <c r="A44" s="1538"/>
      <c r="B44" s="298">
        <v>3.9</v>
      </c>
      <c r="C44" s="303">
        <f t="shared" ref="C44:Y44" si="34">C84-C84*17/100</f>
        <v>40.006929599999999</v>
      </c>
      <c r="D44" s="300">
        <f t="shared" si="34"/>
        <v>43.582968000000001</v>
      </c>
      <c r="E44" s="300">
        <f t="shared" si="34"/>
        <v>47.15900640000001</v>
      </c>
      <c r="F44" s="300">
        <f t="shared" si="34"/>
        <v>50.735044800000004</v>
      </c>
      <c r="G44" s="300">
        <f t="shared" si="34"/>
        <v>54.311083200000013</v>
      </c>
      <c r="H44" s="300">
        <f t="shared" si="34"/>
        <v>57.7753704</v>
      </c>
      <c r="I44" s="300">
        <f t="shared" si="34"/>
        <v>61.351408800000002</v>
      </c>
      <c r="J44" s="300">
        <f t="shared" si="34"/>
        <v>64.927447200000003</v>
      </c>
      <c r="K44" s="300">
        <f t="shared" si="34"/>
        <v>68.503485600000005</v>
      </c>
      <c r="L44" s="300">
        <f t="shared" si="34"/>
        <v>72.079524000000006</v>
      </c>
      <c r="M44" s="300">
        <f t="shared" si="34"/>
        <v>75.543811199999993</v>
      </c>
      <c r="N44" s="300">
        <f t="shared" si="34"/>
        <v>79.119849599999981</v>
      </c>
      <c r="O44" s="300">
        <f t="shared" si="34"/>
        <v>82.695888000000011</v>
      </c>
      <c r="P44" s="300">
        <f t="shared" si="34"/>
        <v>86.271926399999998</v>
      </c>
      <c r="Q44" s="300">
        <f t="shared" si="34"/>
        <v>89.847964800000014</v>
      </c>
      <c r="R44" s="300">
        <f t="shared" si="34"/>
        <v>93.312252000000001</v>
      </c>
      <c r="S44" s="300">
        <f t="shared" si="34"/>
        <v>96.888290399999988</v>
      </c>
      <c r="T44" s="300">
        <f t="shared" si="34"/>
        <v>100.46432880000002</v>
      </c>
      <c r="U44" s="300">
        <f t="shared" si="34"/>
        <v>104.04036719999999</v>
      </c>
      <c r="V44" s="300">
        <f t="shared" si="34"/>
        <v>107.72815680000002</v>
      </c>
      <c r="W44" s="300">
        <f t="shared" si="34"/>
        <v>111.3041952</v>
      </c>
      <c r="X44" s="300">
        <f t="shared" si="34"/>
        <v>114.76848240000001</v>
      </c>
      <c r="Y44" s="304">
        <f t="shared" si="34"/>
        <v>118.34452080000001</v>
      </c>
      <c r="Z44" s="345"/>
      <c r="AA44" s="345"/>
      <c r="AB44" s="345"/>
      <c r="AC44" s="345"/>
    </row>
    <row r="45" spans="1:29" ht="13.5" customHeight="1">
      <c r="A45" s="1538"/>
      <c r="B45" s="298">
        <v>4</v>
      </c>
      <c r="C45" s="303">
        <f t="shared" ref="C45:Y45" si="35">C85-C85*17/100</f>
        <v>40.453934400000009</v>
      </c>
      <c r="D45" s="300">
        <f t="shared" si="35"/>
        <v>44.141723999999996</v>
      </c>
      <c r="E45" s="300">
        <f t="shared" si="35"/>
        <v>47.717762400000005</v>
      </c>
      <c r="F45" s="300">
        <f t="shared" si="35"/>
        <v>51.405552000000007</v>
      </c>
      <c r="G45" s="300">
        <f t="shared" si="35"/>
        <v>54.981590400000009</v>
      </c>
      <c r="H45" s="300">
        <f t="shared" si="35"/>
        <v>58.669380000000004</v>
      </c>
      <c r="I45" s="300">
        <f t="shared" si="35"/>
        <v>62.133667200000005</v>
      </c>
      <c r="J45" s="300">
        <f t="shared" si="35"/>
        <v>65.821456799999993</v>
      </c>
      <c r="K45" s="300">
        <f t="shared" si="35"/>
        <v>69.397495200000009</v>
      </c>
      <c r="L45" s="300">
        <f t="shared" si="35"/>
        <v>73.085284800000025</v>
      </c>
      <c r="M45" s="300">
        <f t="shared" si="35"/>
        <v>76.661323199999998</v>
      </c>
      <c r="N45" s="300">
        <f t="shared" si="35"/>
        <v>80.3491128</v>
      </c>
      <c r="O45" s="300">
        <f t="shared" si="35"/>
        <v>83.925151199999988</v>
      </c>
      <c r="P45" s="300">
        <f t="shared" si="35"/>
        <v>87.612940800000018</v>
      </c>
      <c r="Q45" s="300">
        <f t="shared" si="35"/>
        <v>91.188979200000006</v>
      </c>
      <c r="R45" s="300">
        <f t="shared" si="35"/>
        <v>94.876768800000008</v>
      </c>
      <c r="S45" s="300">
        <f t="shared" si="35"/>
        <v>98.452807199999995</v>
      </c>
      <c r="T45" s="300">
        <f t="shared" si="35"/>
        <v>102.14059680000003</v>
      </c>
      <c r="U45" s="300">
        <f t="shared" si="35"/>
        <v>105.604884</v>
      </c>
      <c r="V45" s="300">
        <f t="shared" si="35"/>
        <v>109.2926736</v>
      </c>
      <c r="W45" s="300">
        <f t="shared" si="35"/>
        <v>112.868712</v>
      </c>
      <c r="X45" s="300">
        <f t="shared" si="35"/>
        <v>116.4447504</v>
      </c>
      <c r="Y45" s="304">
        <f t="shared" si="35"/>
        <v>120.13254000000002</v>
      </c>
      <c r="Z45" s="345"/>
      <c r="AA45" s="345"/>
      <c r="AB45" s="345"/>
      <c r="AC45" s="345"/>
    </row>
    <row r="46" spans="1:29" ht="13.5" customHeight="1" thickBot="1">
      <c r="A46" s="1539"/>
      <c r="B46" s="299">
        <v>4.05</v>
      </c>
      <c r="C46" s="305">
        <f t="shared" ref="C46:Y46" si="36">C86-C86*17/100</f>
        <v>41.012690400000011</v>
      </c>
      <c r="D46" s="306">
        <f t="shared" si="36"/>
        <v>44.700479999999999</v>
      </c>
      <c r="E46" s="306">
        <f t="shared" si="36"/>
        <v>48.388269600000001</v>
      </c>
      <c r="F46" s="306">
        <f t="shared" si="36"/>
        <v>52.07605920000001</v>
      </c>
      <c r="G46" s="306">
        <f t="shared" si="36"/>
        <v>55.763848799999991</v>
      </c>
      <c r="H46" s="306">
        <f t="shared" si="36"/>
        <v>59.451638400000007</v>
      </c>
      <c r="I46" s="306">
        <f t="shared" si="36"/>
        <v>63.139428000000017</v>
      </c>
      <c r="J46" s="306">
        <f t="shared" si="36"/>
        <v>66.715466400000011</v>
      </c>
      <c r="K46" s="306">
        <f t="shared" si="36"/>
        <v>70.403256000000013</v>
      </c>
      <c r="L46" s="306">
        <f t="shared" si="36"/>
        <v>74.091045600000001</v>
      </c>
      <c r="M46" s="306">
        <f t="shared" si="36"/>
        <v>77.778835199999989</v>
      </c>
      <c r="N46" s="306">
        <f t="shared" si="36"/>
        <v>81.466624800000005</v>
      </c>
      <c r="O46" s="306">
        <f t="shared" si="36"/>
        <v>85.154414400000007</v>
      </c>
      <c r="P46" s="306">
        <f t="shared" si="36"/>
        <v>88.842204000000024</v>
      </c>
      <c r="Q46" s="306">
        <f t="shared" si="36"/>
        <v>92.529993600000012</v>
      </c>
      <c r="R46" s="306">
        <f t="shared" si="36"/>
        <v>96.217783200000014</v>
      </c>
      <c r="S46" s="306">
        <f t="shared" si="36"/>
        <v>99.905572800000016</v>
      </c>
      <c r="T46" s="306">
        <f t="shared" si="36"/>
        <v>103.59336240000002</v>
      </c>
      <c r="U46" s="306">
        <f t="shared" si="36"/>
        <v>107.28115200000001</v>
      </c>
      <c r="V46" s="306">
        <f t="shared" si="36"/>
        <v>110.96894159999999</v>
      </c>
      <c r="W46" s="306">
        <f t="shared" si="36"/>
        <v>114.54498000000001</v>
      </c>
      <c r="X46" s="306">
        <f t="shared" si="36"/>
        <v>118.23276960000001</v>
      </c>
      <c r="Y46" s="307">
        <f t="shared" si="36"/>
        <v>121.92055920000001</v>
      </c>
      <c r="Z46" s="345"/>
      <c r="AA46" s="345"/>
      <c r="AB46" s="345"/>
      <c r="AC46" s="345"/>
    </row>
    <row r="47" spans="1:29" ht="13.5" customHeight="1" thickBot="1">
      <c r="A47" s="385"/>
      <c r="B47" s="385"/>
      <c r="C47" s="386"/>
      <c r="D47" s="386"/>
      <c r="E47" s="386"/>
      <c r="F47" s="386"/>
      <c r="G47" s="386"/>
      <c r="H47" s="386"/>
      <c r="I47" s="386"/>
      <c r="J47" s="386"/>
      <c r="K47" s="386"/>
      <c r="L47" s="386"/>
      <c r="M47" s="386"/>
      <c r="N47" s="386"/>
      <c r="O47" s="386"/>
      <c r="P47" s="386"/>
      <c r="Q47" s="386"/>
      <c r="R47" s="386"/>
      <c r="S47" s="386"/>
      <c r="T47" s="386"/>
      <c r="U47" s="386"/>
      <c r="V47" s="386"/>
      <c r="W47" s="386"/>
      <c r="X47" s="386"/>
      <c r="Y47" s="386"/>
      <c r="Z47" s="345"/>
      <c r="AA47" s="345"/>
      <c r="AB47" s="345"/>
      <c r="AC47" s="345"/>
    </row>
    <row r="48" spans="1:29" s="8" customFormat="1" ht="15.75" customHeight="1" thickBot="1">
      <c r="A48" s="1413" t="s">
        <v>314</v>
      </c>
      <c r="B48" s="1601"/>
      <c r="C48" s="1534" t="s">
        <v>207</v>
      </c>
      <c r="D48" s="1535"/>
      <c r="E48" s="1535"/>
      <c r="F48" s="1535"/>
      <c r="G48" s="1535"/>
      <c r="H48" s="1535"/>
      <c r="I48" s="1535"/>
      <c r="J48" s="1535"/>
      <c r="K48" s="1535"/>
      <c r="L48" s="1535"/>
      <c r="M48" s="1535"/>
      <c r="N48" s="1535"/>
      <c r="O48" s="1535"/>
      <c r="P48" s="1535"/>
      <c r="Q48" s="1535"/>
      <c r="R48" s="1535"/>
      <c r="S48" s="1535"/>
      <c r="T48" s="1535"/>
      <c r="U48" s="1535"/>
      <c r="V48" s="1535"/>
      <c r="W48" s="1535"/>
      <c r="X48" s="1535"/>
      <c r="Y48" s="1536"/>
      <c r="Z48" s="345"/>
      <c r="AA48" s="345"/>
      <c r="AB48" s="345"/>
      <c r="AC48" s="345"/>
    </row>
    <row r="49" spans="1:29" s="8" customFormat="1" ht="12.75" customHeight="1" thickBot="1">
      <c r="A49" s="1543"/>
      <c r="B49" s="1602"/>
      <c r="C49" s="322">
        <v>0.4</v>
      </c>
      <c r="D49" s="323">
        <v>0.5</v>
      </c>
      <c r="E49" s="323">
        <v>0.6</v>
      </c>
      <c r="F49" s="323">
        <v>0.7</v>
      </c>
      <c r="G49" s="323">
        <v>0.8</v>
      </c>
      <c r="H49" s="323">
        <v>0.9</v>
      </c>
      <c r="I49" s="323">
        <v>1</v>
      </c>
      <c r="J49" s="323">
        <v>1.1000000000000001</v>
      </c>
      <c r="K49" s="323">
        <v>1.2</v>
      </c>
      <c r="L49" s="323">
        <v>1.3</v>
      </c>
      <c r="M49" s="323">
        <v>1.4</v>
      </c>
      <c r="N49" s="323">
        <v>1.5</v>
      </c>
      <c r="O49" s="323">
        <v>1.6</v>
      </c>
      <c r="P49" s="323">
        <v>1.7</v>
      </c>
      <c r="Q49" s="323">
        <v>1.8</v>
      </c>
      <c r="R49" s="323">
        <v>1.9</v>
      </c>
      <c r="S49" s="323">
        <v>2</v>
      </c>
      <c r="T49" s="323">
        <v>2.1</v>
      </c>
      <c r="U49" s="323">
        <v>2.2000000000000002</v>
      </c>
      <c r="V49" s="323">
        <v>2.2999999999999998</v>
      </c>
      <c r="W49" s="323">
        <v>2.4</v>
      </c>
      <c r="X49" s="323">
        <v>2.5</v>
      </c>
      <c r="Y49" s="324">
        <v>2.6</v>
      </c>
      <c r="Z49" s="345"/>
      <c r="AA49" s="345"/>
      <c r="AB49" s="345"/>
      <c r="AC49" s="345"/>
    </row>
    <row r="50" spans="1:29" s="8" customFormat="1" ht="12.75" customHeight="1">
      <c r="A50" s="1537" t="s">
        <v>3</v>
      </c>
      <c r="B50" s="297">
        <v>0.5</v>
      </c>
      <c r="C50" s="277">
        <f>(20.8*KFC!$B$20*1.02*1.2*1.1+KFC!$C$20)*KFC!$C$5</f>
        <v>28.005120000000002</v>
      </c>
      <c r="D50" s="320">
        <f>(22*KFC!$B$20*1.02*1.2*1.1+KFC!$C$20)*KFC!$C$5</f>
        <v>29.620800000000003</v>
      </c>
      <c r="E50" s="320">
        <f>(23.4*KFC!$B$20*1.02*1.2*1.1+KFC!$C$20)*KFC!$C$5</f>
        <v>31.505759999999999</v>
      </c>
      <c r="F50" s="320">
        <f>(24.6*KFC!$B$20*1.02*1.2*1.1+KFC!$C$20)*KFC!$C$5</f>
        <v>33.121440000000007</v>
      </c>
      <c r="G50" s="320">
        <f>(25.9*KFC!$B$20*1.02*1.2*1.1+KFC!$C$20)*KFC!$C$5</f>
        <v>34.871760000000002</v>
      </c>
      <c r="H50" s="320">
        <f>(27.2*KFC!$B$20*1.02*1.2*1.1+KFC!$C$20)*KFC!$C$5</f>
        <v>36.622080000000004</v>
      </c>
      <c r="I50" s="320">
        <f>(28.4*KFC!$B$20*1.02*1.2*1.1+KFC!$C$20)*KFC!$C$5</f>
        <v>38.237760000000002</v>
      </c>
      <c r="J50" s="320">
        <f>(29.7*KFC!$B$20*1.02*1.2*1.1+KFC!$C$20)*KFC!$C$5</f>
        <v>39.988080000000004</v>
      </c>
      <c r="K50" s="320">
        <f>(30.9*KFC!$B$20*1.02*1.2*1.1+KFC!$C$20)*KFC!$C$5</f>
        <v>41.603760000000001</v>
      </c>
      <c r="L50" s="320">
        <f>(32.2*KFC!$B$20*1.02*1.2*1.1+KFC!$C$20)*KFC!$C$5</f>
        <v>43.354080000000003</v>
      </c>
      <c r="M50" s="320">
        <f>(33.5*KFC!$B$20*1.02*1.2*1.1+KFC!$C$20)*KFC!$C$5</f>
        <v>45.104399999999998</v>
      </c>
      <c r="N50" s="320">
        <f>(34.7*KFC!$B$20*1.02*1.2*1.1+KFC!$C$20)*KFC!$C$5</f>
        <v>46.72008000000001</v>
      </c>
      <c r="O50" s="320">
        <f>(36.1*KFC!$B$20*1.02*1.2*1.1+KFC!$C$20)*KFC!$C$5</f>
        <v>48.605040000000002</v>
      </c>
      <c r="P50" s="320">
        <f>(37.3*KFC!$B$20*1.02*1.2*1.1+KFC!$C$20)*KFC!$C$5</f>
        <v>50.220720000000007</v>
      </c>
      <c r="Q50" s="320">
        <f>(38.5*KFC!$B$20*1.02*1.2*1.1+KFC!$C$20)*KFC!$C$5</f>
        <v>51.836400000000005</v>
      </c>
      <c r="R50" s="320">
        <f>(39.9*KFC!$B$20*1.02*1.2*1.1+KFC!$C$20)*KFC!$C$5</f>
        <v>53.721360000000004</v>
      </c>
      <c r="S50" s="320">
        <f>(41.1*KFC!$B$20*1.02*1.2*1.1+KFC!$C$20)*KFC!$C$5</f>
        <v>55.337040000000009</v>
      </c>
      <c r="T50" s="320">
        <f>(42.4*KFC!$B$20*1.02*1.2*1.1+KFC!$C$20)*KFC!$C$5</f>
        <v>57.087360000000004</v>
      </c>
      <c r="U50" s="320">
        <f>(43.7*KFC!$B$20*1.02*1.2*1.1+KFC!$C$20)*KFC!$C$5</f>
        <v>58.837680000000013</v>
      </c>
      <c r="V50" s="320">
        <f>(44.9*KFC!$B$20*1.02*1.2*1.1+KFC!$C$20)*KFC!$C$5</f>
        <v>60.453360000000004</v>
      </c>
      <c r="W50" s="320">
        <f>(46.2*KFC!$B$20*1.02*1.2*1.1+KFC!$C$20)*KFC!$C$5</f>
        <v>62.203680000000006</v>
      </c>
      <c r="X50" s="320">
        <f>(47.5*KFC!$B$20*1.02*1.2*1.1+KFC!$C$20)*KFC!$C$5</f>
        <v>63.954000000000008</v>
      </c>
      <c r="Y50" s="321">
        <f>(48.7*KFC!$B$20*1.02*1.2*1.1+KFC!$C$20)*KFC!$C$5</f>
        <v>65.569680000000005</v>
      </c>
      <c r="Z50" s="345"/>
      <c r="AA50" s="345"/>
      <c r="AB50" s="345"/>
      <c r="AC50" s="345"/>
    </row>
    <row r="51" spans="1:29" s="8" customFormat="1" ht="13.8">
      <c r="A51" s="1538"/>
      <c r="B51" s="298">
        <v>0.6</v>
      </c>
      <c r="C51" s="303">
        <f>(21.3*KFC!$B$20*1.02*1.2*1.1+KFC!$C$20)*KFC!$C$5</f>
        <v>28.678320000000003</v>
      </c>
      <c r="D51" s="300">
        <f>(22.5*KFC!$B$20*1.02*1.2*1.1+KFC!$C$20)*KFC!$C$5</f>
        <v>30.294</v>
      </c>
      <c r="E51" s="300">
        <f>(23.8*KFC!$B$20*1.02*1.2*1.1+KFC!$C$20)*KFC!$C$5</f>
        <v>32.044319999999999</v>
      </c>
      <c r="F51" s="300">
        <f>(25.2*KFC!$B$20*1.02*1.2*1.1+KFC!$C$20)*KFC!$C$5</f>
        <v>33.929279999999999</v>
      </c>
      <c r="G51" s="300">
        <f>(26.5*KFC!$B$20*1.02*1.2*1.1+KFC!$C$20)*KFC!$C$5</f>
        <v>35.679600000000001</v>
      </c>
      <c r="H51" s="300">
        <f>(27.9*KFC!$B$20*1.02*1.2*1.1+KFC!$C$20)*KFC!$C$5</f>
        <v>37.56456</v>
      </c>
      <c r="I51" s="300">
        <f>(29.2*KFC!$B$20*1.02*1.2*1.1+KFC!$C$20)*KFC!$C$5</f>
        <v>39.314880000000002</v>
      </c>
      <c r="J51" s="300">
        <f>(30.5*KFC!$B$20*1.02*1.2*1.1+KFC!$C$20)*KFC!$C$5</f>
        <v>41.065200000000004</v>
      </c>
      <c r="K51" s="300">
        <f>(31.8*KFC!$B$20*1.02*1.2*1.1+KFC!$C$20)*KFC!$C$5</f>
        <v>42.815520000000006</v>
      </c>
      <c r="L51" s="300">
        <f>(33.1*KFC!$B$20*1.02*1.2*1.1+KFC!$C$20)*KFC!$C$5</f>
        <v>44.565840000000009</v>
      </c>
      <c r="M51" s="300">
        <f>(34.5*KFC!$B$20*1.02*1.2*1.1+KFC!$C$20)*KFC!$C$5</f>
        <v>46.450800000000001</v>
      </c>
      <c r="N51" s="300">
        <f>(35.8*KFC!$B$20*1.02*1.2*1.1+KFC!$C$20)*KFC!$C$5</f>
        <v>48.201119999999996</v>
      </c>
      <c r="O51" s="300">
        <f>(37.1*KFC!$B$20*1.02*1.2*1.1+KFC!$C$20)*KFC!$C$5</f>
        <v>49.951439999999998</v>
      </c>
      <c r="P51" s="300">
        <f>(38.4*KFC!$B$20*1.02*1.2*1.1+KFC!$C$20)*KFC!$C$5</f>
        <v>51.70176</v>
      </c>
      <c r="Q51" s="300">
        <f>(39.7*KFC!$B$20*1.02*1.2*1.1+KFC!$C$20)*KFC!$C$5</f>
        <v>53.452080000000009</v>
      </c>
      <c r="R51" s="300">
        <f>(41.1*KFC!$B$20*1.02*1.2*1.1+KFC!$C$20)*KFC!$C$5</f>
        <v>55.337040000000009</v>
      </c>
      <c r="S51" s="300">
        <f>(42.4*KFC!$B$20*1.02*1.2*1.1+KFC!$C$20)*KFC!$C$5</f>
        <v>57.087360000000004</v>
      </c>
      <c r="T51" s="300">
        <f>(43.8*KFC!$B$20*1.02*1.2*1.1+KFC!$C$20)*KFC!$C$5</f>
        <v>58.972319999999996</v>
      </c>
      <c r="U51" s="300">
        <f>(45*KFC!$B$20*1.02*1.2*1.1+KFC!$C$20)*KFC!$C$5</f>
        <v>60.588000000000001</v>
      </c>
      <c r="V51" s="300">
        <f>(46.4*KFC!$B$20*1.02*1.2*1.1+KFC!$C$20)*KFC!$C$5</f>
        <v>62.472959999999993</v>
      </c>
      <c r="W51" s="300">
        <f>(47.7*KFC!$B$20*1.02*1.2*1.1+KFC!$C$20)*KFC!$C$5</f>
        <v>64.223280000000003</v>
      </c>
      <c r="X51" s="300">
        <f>(49*KFC!$B$20*1.02*1.2*1.1+KFC!$C$20)*KFC!$C$5</f>
        <v>65.973600000000005</v>
      </c>
      <c r="Y51" s="304">
        <f>(50.4*KFC!$B$20*1.02*1.2*1.1+KFC!$C$20)*KFC!$C$5</f>
        <v>67.858559999999997</v>
      </c>
      <c r="Z51" s="345"/>
      <c r="AA51" s="345"/>
      <c r="AB51" s="345"/>
      <c r="AC51" s="345"/>
    </row>
    <row r="52" spans="1:29" s="8" customFormat="1" ht="12.75" customHeight="1">
      <c r="A52" s="1538"/>
      <c r="B52" s="298">
        <v>0.7</v>
      </c>
      <c r="C52" s="303">
        <f>(21.6*KFC!$B$20*1.02*1.2*1.1+KFC!$C$20)*KFC!$C$5</f>
        <v>29.082240000000009</v>
      </c>
      <c r="D52" s="300">
        <f>(23*KFC!$B$20*1.02*1.2*1.1+KFC!$C$20)*KFC!$C$5</f>
        <v>30.967200000000005</v>
      </c>
      <c r="E52" s="300">
        <f>(24.5*KFC!$B$20*1.02*1.2*1.1+KFC!$C$20)*KFC!$C$5</f>
        <v>32.986800000000002</v>
      </c>
      <c r="F52" s="300">
        <f>(25.8*KFC!$B$20*1.02*1.2*1.1+KFC!$C$20)*KFC!$C$5</f>
        <v>34.737120000000004</v>
      </c>
      <c r="G52" s="300">
        <f>(27.2*KFC!$B$20*1.02*1.2*1.1+KFC!$C$20)*KFC!$C$5</f>
        <v>36.622080000000004</v>
      </c>
      <c r="H52" s="300">
        <f>(28.5*KFC!$B$20*1.02*1.2*1.1+KFC!$C$20)*KFC!$C$5</f>
        <v>38.372400000000006</v>
      </c>
      <c r="I52" s="300">
        <f>(30*KFC!$B$20*1.02*1.2*1.1+KFC!$C$20)*KFC!$C$5</f>
        <v>40.392000000000003</v>
      </c>
      <c r="J52" s="300">
        <f>(31.3*KFC!$B$20*1.02*1.2*1.1+KFC!$C$20)*KFC!$C$5</f>
        <v>42.142320000000005</v>
      </c>
      <c r="K52" s="300">
        <f>(32.7*KFC!$B$20*1.02*1.2*1.1+KFC!$C$20)*KFC!$C$5</f>
        <v>44.027280000000012</v>
      </c>
      <c r="L52" s="300">
        <f>(34.1*KFC!$B$20*1.02*1.2*1.1+KFC!$C$20)*KFC!$C$5</f>
        <v>45.912240000000011</v>
      </c>
      <c r="M52" s="300">
        <f>(35.5*KFC!$B$20*1.02*1.2*1.1+KFC!$C$20)*KFC!$C$5</f>
        <v>47.797200000000004</v>
      </c>
      <c r="N52" s="300">
        <f>(36.8*KFC!$B$20*1.02*1.2*1.1+KFC!$C$20)*KFC!$C$5</f>
        <v>49.547519999999992</v>
      </c>
      <c r="O52" s="300">
        <f>(38.2*KFC!$B$20*1.02*1.2*1.1+KFC!$C$20)*KFC!$C$5</f>
        <v>51.432480000000012</v>
      </c>
      <c r="P52" s="300">
        <f>(39.6*KFC!$B$20*1.02*1.2*1.1+KFC!$C$20)*KFC!$C$5</f>
        <v>53.317440000000012</v>
      </c>
      <c r="Q52" s="300">
        <f>(41*KFC!$B$20*1.02*1.2*1.1+KFC!$C$20)*KFC!$C$5</f>
        <v>55.202400000000004</v>
      </c>
      <c r="R52" s="300">
        <f>(42.3*KFC!$B$20*1.02*1.2*1.1+KFC!$C$20)*KFC!$C$5</f>
        <v>56.952719999999999</v>
      </c>
      <c r="S52" s="300">
        <f>(43.7*KFC!$B$20*1.02*1.2*1.1+KFC!$C$20)*KFC!$C$5</f>
        <v>58.837680000000013</v>
      </c>
      <c r="T52" s="300">
        <f>(45.1*KFC!$B$20*1.02*1.2*1.1+KFC!$C$20)*KFC!$C$5</f>
        <v>60.722640000000013</v>
      </c>
      <c r="U52" s="300">
        <f>(46.5*KFC!$B$20*1.02*1.2*1.1+KFC!$C$20)*KFC!$C$5</f>
        <v>62.607600000000005</v>
      </c>
      <c r="V52" s="300">
        <f>(47.8*KFC!$B$20*1.02*1.2*1.1+KFC!$C$20)*KFC!$C$5</f>
        <v>64.357920000000007</v>
      </c>
      <c r="W52" s="300">
        <f>(49.3*KFC!$B$20*1.02*1.2*1.1+KFC!$C$20)*KFC!$C$5</f>
        <v>66.377520000000004</v>
      </c>
      <c r="X52" s="300">
        <f>(50.6*KFC!$B$20*1.02*1.2*1.1+KFC!$C$20)*KFC!$C$5</f>
        <v>68.127840000000006</v>
      </c>
      <c r="Y52" s="304">
        <f>(52*KFC!$B$20*1.02*1.2*1.1+KFC!$C$20)*KFC!$C$5</f>
        <v>70.012799999999999</v>
      </c>
      <c r="Z52" s="345"/>
      <c r="AA52" s="345"/>
      <c r="AB52" s="345"/>
      <c r="AC52" s="345"/>
    </row>
    <row r="53" spans="1:29" s="8" customFormat="1" ht="12.75" customHeight="1">
      <c r="A53" s="1538"/>
      <c r="B53" s="298">
        <v>0.8</v>
      </c>
      <c r="C53" s="303">
        <f>(22.1*KFC!$B$20*1.02*1.2*1.1+KFC!$C$20)*KFC!$C$5</f>
        <v>29.755440000000004</v>
      </c>
      <c r="D53" s="300">
        <f>(23.5*KFC!$B$20*1.02*1.2*1.1+KFC!$C$20)*KFC!$C$5</f>
        <v>31.640400000000003</v>
      </c>
      <c r="E53" s="300">
        <f>(24.9*KFC!$B$20*1.02*1.2*1.1+KFC!$C$20)*KFC!$C$5</f>
        <v>33.525359999999999</v>
      </c>
      <c r="F53" s="300">
        <f>(26.4*KFC!$B$20*1.02*1.2*1.1+KFC!$C$20)*KFC!$C$5</f>
        <v>35.544959999999996</v>
      </c>
      <c r="G53" s="300">
        <f>(27.8*KFC!$B$20*1.02*1.2*1.1+KFC!$C$20)*KFC!$C$5</f>
        <v>37.429920000000003</v>
      </c>
      <c r="H53" s="300">
        <f>(29.2*KFC!$B$20*1.02*1.2*1.1+KFC!$C$20)*KFC!$C$5</f>
        <v>39.314880000000002</v>
      </c>
      <c r="I53" s="300">
        <f>(30.7*KFC!$B$20*1.02*1.2*1.1+KFC!$C$20)*KFC!$C$5</f>
        <v>41.334479999999999</v>
      </c>
      <c r="J53" s="300">
        <f>(32.2*KFC!$B$20*1.02*1.2*1.1+KFC!$C$20)*KFC!$C$5</f>
        <v>43.354080000000003</v>
      </c>
      <c r="K53" s="300">
        <f>(33.5*KFC!$B$20*1.02*1.2*1.1+KFC!$C$20)*KFC!$C$5</f>
        <v>45.104399999999998</v>
      </c>
      <c r="L53" s="300">
        <f>(35*KFC!$B$20*1.02*1.2*1.1+KFC!$C$20)*KFC!$C$5</f>
        <v>47.124000000000009</v>
      </c>
      <c r="M53" s="300">
        <f>(36.4*KFC!$B$20*1.02*1.2*1.1+KFC!$C$20)*KFC!$C$5</f>
        <v>49.008960000000002</v>
      </c>
      <c r="N53" s="300">
        <f>(37.9*KFC!$B$20*1.02*1.2*1.1+KFC!$C$20)*KFC!$C$5</f>
        <v>51.028560000000006</v>
      </c>
      <c r="O53" s="300">
        <f>(39.3*KFC!$B$20*1.02*1.2*1.1+KFC!$C$20)*KFC!$C$5</f>
        <v>52.913519999999998</v>
      </c>
      <c r="P53" s="300">
        <f>(40.7*KFC!$B$20*1.02*1.2*1.1+KFC!$C$20)*KFC!$C$5</f>
        <v>54.798480000000005</v>
      </c>
      <c r="Q53" s="300">
        <f>(42.2*KFC!$B$20*1.02*1.2*1.1+KFC!$C$20)*KFC!$C$5</f>
        <v>56.818080000000009</v>
      </c>
      <c r="R53" s="300">
        <f>(43.5*KFC!$B$20*1.02*1.2*1.1+KFC!$C$20)*KFC!$C$5</f>
        <v>58.568399999999997</v>
      </c>
      <c r="S53" s="300">
        <f>(45*KFC!$B$20*1.02*1.2*1.1+KFC!$C$20)*KFC!$C$5</f>
        <v>60.588000000000001</v>
      </c>
      <c r="T53" s="300">
        <f>(46.5*KFC!$B$20*1.02*1.2*1.1+KFC!$C$20)*KFC!$C$5</f>
        <v>62.607600000000005</v>
      </c>
      <c r="U53" s="300">
        <f>(47.9*KFC!$B$20*1.02*1.2*1.1+KFC!$C$20)*KFC!$C$5</f>
        <v>64.492559999999997</v>
      </c>
      <c r="V53" s="300">
        <f>(49.3*KFC!$B$20*1.02*1.2*1.1+KFC!$C$20)*KFC!$C$5</f>
        <v>66.377520000000004</v>
      </c>
      <c r="W53" s="300">
        <f>(50.8*KFC!$B$20*1.02*1.2*1.1+KFC!$C$20)*KFC!$C$5</f>
        <v>68.397120000000001</v>
      </c>
      <c r="X53" s="300">
        <f>(52.2*KFC!$B$20*1.02*1.2*1.1+KFC!$C$20)*KFC!$C$5</f>
        <v>70.282080000000008</v>
      </c>
      <c r="Y53" s="304">
        <f>(53.7*KFC!$B$20*1.02*1.2*1.1+KFC!$C$20)*KFC!$C$5</f>
        <v>72.301680000000005</v>
      </c>
      <c r="Z53" s="345"/>
      <c r="AA53" s="345"/>
      <c r="AB53" s="345"/>
      <c r="AC53" s="345"/>
    </row>
    <row r="54" spans="1:29">
      <c r="A54" s="1538"/>
      <c r="B54" s="298">
        <v>0.9</v>
      </c>
      <c r="C54" s="303">
        <f>(22.5*KFC!$B$20*1.02*1.2*1.1+KFC!$C$20)*KFC!$C$5</f>
        <v>30.294</v>
      </c>
      <c r="D54" s="300">
        <f>(24*KFC!$B$20*1.02*1.2*1.1+KFC!$C$20)*KFC!$C$5</f>
        <v>32.313600000000001</v>
      </c>
      <c r="E54" s="300">
        <f>(25.4*KFC!$B$20*1.02*1.2*1.1+KFC!$C$20)*KFC!$C$5</f>
        <v>34.198560000000001</v>
      </c>
      <c r="F54" s="300">
        <f>(27*KFC!$B$20*1.02*1.2*1.1+KFC!$C$20)*KFC!$C$5</f>
        <v>36.352799999999995</v>
      </c>
      <c r="G54" s="300">
        <f>(28.5*KFC!$B$20*1.02*1.2*1.1+KFC!$C$20)*KFC!$C$5</f>
        <v>38.372400000000006</v>
      </c>
      <c r="H54" s="300">
        <f>(30*KFC!$B$20*1.02*1.2*1.1+KFC!$C$20)*KFC!$C$5</f>
        <v>40.392000000000003</v>
      </c>
      <c r="I54" s="300">
        <f>(31.4*KFC!$B$20*1.02*1.2*1.1+KFC!$C$20)*KFC!$C$5</f>
        <v>42.276960000000003</v>
      </c>
      <c r="J54" s="300">
        <f>(32.9*KFC!$B$20*1.02*1.2*1.1+KFC!$C$20)*KFC!$C$5</f>
        <v>44.296559999999999</v>
      </c>
      <c r="K54" s="300">
        <f>(34.4*KFC!$B$20*1.02*1.2*1.1+KFC!$C$20)*KFC!$C$5</f>
        <v>46.316160000000004</v>
      </c>
      <c r="L54" s="300">
        <f>(36*KFC!$B$20*1.02*1.2*1.1+KFC!$C$20)*KFC!$C$5</f>
        <v>48.470400000000005</v>
      </c>
      <c r="M54" s="300">
        <f>(37.4*KFC!$B$20*1.02*1.2*1.1+KFC!$C$20)*KFC!$C$5</f>
        <v>50.355359999999997</v>
      </c>
      <c r="N54" s="300">
        <f>(38.9*KFC!$B$20*1.02*1.2*1.1+KFC!$C$20)*KFC!$C$5</f>
        <v>52.374960000000002</v>
      </c>
      <c r="O54" s="300">
        <f>(40.4*KFC!$B$20*1.02*1.2*1.1+KFC!$C$20)*KFC!$C$5</f>
        <v>54.394559999999998</v>
      </c>
      <c r="P54" s="300">
        <f>(41.8*KFC!$B$20*1.02*1.2*1.1+KFC!$C$20)*KFC!$C$5</f>
        <v>56.279519999999998</v>
      </c>
      <c r="Q54" s="300">
        <f>(43.3*KFC!$B$20*1.02*1.2*1.1+KFC!$C$20)*KFC!$C$5</f>
        <v>58.299120000000002</v>
      </c>
      <c r="R54" s="300">
        <f>(44.9*KFC!$B$20*1.02*1.2*1.1+KFC!$C$20)*KFC!$C$5</f>
        <v>60.453360000000004</v>
      </c>
      <c r="S54" s="300">
        <f>(46.4*KFC!$B$20*1.02*1.2*1.1+KFC!$C$20)*KFC!$C$5</f>
        <v>62.472959999999993</v>
      </c>
      <c r="T54" s="300">
        <f>(47.8*KFC!$B$20*1.02*1.2*1.1+KFC!$C$20)*KFC!$C$5</f>
        <v>64.357920000000007</v>
      </c>
      <c r="U54" s="300">
        <f>(49.3*KFC!$B$20*1.02*1.2*1.1+KFC!$C$20)*KFC!$C$5</f>
        <v>66.377520000000004</v>
      </c>
      <c r="V54" s="300">
        <f>(50.8*KFC!$B$20*1.02*1.2*1.1+KFC!$C$20)*KFC!$C$5</f>
        <v>68.397120000000001</v>
      </c>
      <c r="W54" s="300">
        <f>(52.3*KFC!$B$20*1.02*1.2*1.1+KFC!$C$20)*KFC!$C$5</f>
        <v>70.416719999999998</v>
      </c>
      <c r="X54" s="300">
        <f>(53.8*KFC!$B$20*1.02*1.2*1.1+KFC!$C$20)*KFC!$C$5</f>
        <v>72.436319999999995</v>
      </c>
      <c r="Y54" s="304">
        <f>(55.3*KFC!$B$20*1.02*1.2*1.1+KFC!$C$20)*KFC!$C$5</f>
        <v>74.455919999999992</v>
      </c>
      <c r="Z54" s="345"/>
      <c r="AA54" s="345"/>
      <c r="AB54" s="345"/>
      <c r="AC54" s="345"/>
    </row>
    <row r="55" spans="1:29">
      <c r="A55" s="1538"/>
      <c r="B55" s="298">
        <v>1</v>
      </c>
      <c r="C55" s="303">
        <f>(23*KFC!$B$20*1.02*1.2*1.1+KFC!$C$20)*KFC!$C$5</f>
        <v>30.967200000000005</v>
      </c>
      <c r="D55" s="300">
        <f>(24.5*KFC!$B$20*1.02*1.2*1.1+KFC!$C$20)*KFC!$C$5</f>
        <v>32.986800000000002</v>
      </c>
      <c r="E55" s="300">
        <f>(26*KFC!$B$20*1.02*1.2*1.1+KFC!$C$20)*KFC!$C$5</f>
        <v>35.006399999999999</v>
      </c>
      <c r="F55" s="300">
        <f>(27.5*KFC!$B$20*1.02*1.2*1.1+KFC!$C$20)*KFC!$C$5</f>
        <v>37.025999999999996</v>
      </c>
      <c r="G55" s="300">
        <f>(29.1*KFC!$B$20*1.02*1.2*1.1+KFC!$C$20)*KFC!$C$5</f>
        <v>39.180240000000005</v>
      </c>
      <c r="H55" s="300">
        <f>(30.7*KFC!$B$20*1.02*1.2*1.1+KFC!$C$20)*KFC!$C$5</f>
        <v>41.334479999999999</v>
      </c>
      <c r="I55" s="300">
        <f>(32.2*KFC!$B$20*1.02*1.2*1.1+KFC!$C$20)*KFC!$C$5</f>
        <v>43.354080000000003</v>
      </c>
      <c r="J55" s="300">
        <f>(33.8*KFC!$B$20*1.02*1.2*1.1+KFC!$C$20)*KFC!$C$5</f>
        <v>45.508319999999998</v>
      </c>
      <c r="K55" s="300">
        <f>(35.3*KFC!$B$20*1.02*1.2*1.1+KFC!$C$20)*KFC!$C$5</f>
        <v>47.527920000000002</v>
      </c>
      <c r="L55" s="300">
        <f>(36.8*KFC!$B$20*1.02*1.2*1.1+KFC!$C$20)*KFC!$C$5</f>
        <v>49.547519999999992</v>
      </c>
      <c r="M55" s="300">
        <f>(38.4*KFC!$B$20*1.02*1.2*1.1+KFC!$C$20)*KFC!$C$5</f>
        <v>51.70176</v>
      </c>
      <c r="N55" s="300">
        <f>(39.9*KFC!$B$20*1.02*1.2*1.1+KFC!$C$20)*KFC!$C$5</f>
        <v>53.721360000000004</v>
      </c>
      <c r="O55" s="300">
        <f>(41.5*KFC!$B$20*1.02*1.2*1.1+KFC!$C$20)*KFC!$C$5</f>
        <v>55.875600000000006</v>
      </c>
      <c r="P55" s="300">
        <f>(43*KFC!$B$20*1.02*1.2*1.1+KFC!$C$20)*KFC!$C$5</f>
        <v>57.895200000000003</v>
      </c>
      <c r="Q55" s="300">
        <f>(44.5*KFC!$B$20*1.02*1.2*1.1+KFC!$C$20)*KFC!$C$5</f>
        <v>59.9148</v>
      </c>
      <c r="R55" s="300">
        <f>(46.1*KFC!$B$20*1.02*1.2*1.1+KFC!$C$20)*KFC!$C$5</f>
        <v>62.069040000000015</v>
      </c>
      <c r="S55" s="300">
        <f>(47.6*KFC!$B$20*1.02*1.2*1.1+KFC!$C$20)*KFC!$C$5</f>
        <v>64.088639999999998</v>
      </c>
      <c r="T55" s="300">
        <f>(49.2*KFC!$B$20*1.02*1.2*1.1+KFC!$C$20)*KFC!$C$5</f>
        <v>66.242880000000014</v>
      </c>
      <c r="U55" s="300">
        <f>(50.8*KFC!$B$20*1.02*1.2*1.1+KFC!$C$20)*KFC!$C$5</f>
        <v>68.397120000000001</v>
      </c>
      <c r="V55" s="300">
        <f>(52.2*KFC!$B$20*1.02*1.2*1.1+KFC!$C$20)*KFC!$C$5</f>
        <v>70.282080000000008</v>
      </c>
      <c r="W55" s="300">
        <f>(53.8*KFC!$B$20*1.02*1.2*1.1+KFC!$C$20)*KFC!$C$5</f>
        <v>72.436319999999995</v>
      </c>
      <c r="X55" s="300">
        <f>(55.4*KFC!$B$20*1.02*1.2*1.1+KFC!$C$20)*KFC!$C$5</f>
        <v>74.590560000000011</v>
      </c>
      <c r="Y55" s="304">
        <f>(56.9*KFC!$B$20*1.02*1.2*1.1+KFC!$C$20)*KFC!$C$5</f>
        <v>76.610159999999993</v>
      </c>
      <c r="Z55" s="345"/>
      <c r="AA55" s="345"/>
      <c r="AB55" s="345"/>
      <c r="AC55" s="345"/>
    </row>
    <row r="56" spans="1:29">
      <c r="A56" s="1538"/>
      <c r="B56" s="298">
        <v>1.1000000000000001</v>
      </c>
      <c r="C56" s="303">
        <f>(23.4*KFC!$B$20*1.02*1.2*1.1+KFC!$C$20)*KFC!$C$5</f>
        <v>31.505759999999999</v>
      </c>
      <c r="D56" s="300">
        <f>(24.9*KFC!$B$20*1.02*1.2*1.1+KFC!$C$20)*KFC!$C$5</f>
        <v>33.525359999999999</v>
      </c>
      <c r="E56" s="300">
        <f>(26.5*KFC!$B$20*1.02*1.2*1.1+KFC!$C$20)*KFC!$C$5</f>
        <v>35.679600000000001</v>
      </c>
      <c r="F56" s="300">
        <f>(28.1*KFC!$B$20*1.02*1.2*1.1+KFC!$C$20)*KFC!$C$5</f>
        <v>37.833840000000009</v>
      </c>
      <c r="G56" s="300">
        <f>(29.7*KFC!$B$20*1.02*1.2*1.1+KFC!$C$20)*KFC!$C$5</f>
        <v>39.988080000000004</v>
      </c>
      <c r="H56" s="300">
        <f>(31.3*KFC!$B$20*1.02*1.2*1.1+KFC!$C$20)*KFC!$C$5</f>
        <v>42.142320000000005</v>
      </c>
      <c r="I56" s="300">
        <f>(32.9*KFC!$B$20*1.02*1.2*1.1+KFC!$C$20)*KFC!$C$5</f>
        <v>44.296559999999999</v>
      </c>
      <c r="J56" s="300">
        <f>(34.6*KFC!$B$20*1.02*1.2*1.1+KFC!$C$20)*KFC!$C$5</f>
        <v>46.585440000000006</v>
      </c>
      <c r="K56" s="300">
        <f>(36.2*KFC!$B$20*1.02*1.2*1.1+KFC!$C$20)*KFC!$C$5</f>
        <v>48.739680000000007</v>
      </c>
      <c r="L56" s="300">
        <f>(37.8*KFC!$B$20*1.02*1.2*1.1+KFC!$C$20)*KFC!$C$5</f>
        <v>50.893920000000001</v>
      </c>
      <c r="M56" s="300">
        <f>(39.4*KFC!$B$20*1.02*1.2*1.1+KFC!$C$20)*KFC!$C$5</f>
        <v>53.048160000000003</v>
      </c>
      <c r="N56" s="300">
        <f>(41*KFC!$B$20*1.02*1.2*1.1+KFC!$C$20)*KFC!$C$5</f>
        <v>55.202400000000004</v>
      </c>
      <c r="O56" s="300">
        <f>(42.6*KFC!$B$20*1.02*1.2*1.1+KFC!$C$20)*KFC!$C$5</f>
        <v>57.356640000000006</v>
      </c>
      <c r="P56" s="300">
        <f>(44.2*KFC!$B$20*1.02*1.2*1.1+KFC!$C$20)*KFC!$C$5</f>
        <v>59.510880000000007</v>
      </c>
      <c r="Q56" s="300">
        <f>(45.7*KFC!$B$20*1.02*1.2*1.1+KFC!$C$20)*KFC!$C$5</f>
        <v>61.530480000000011</v>
      </c>
      <c r="R56" s="300">
        <f>(47.3*KFC!$B$20*1.02*1.2*1.1+KFC!$C$20)*KFC!$C$5</f>
        <v>63.684719999999992</v>
      </c>
      <c r="S56" s="300">
        <f>(48.9*KFC!$B$20*1.02*1.2*1.1+KFC!$C$20)*KFC!$C$5</f>
        <v>65.83896</v>
      </c>
      <c r="T56" s="300">
        <f>(50.5*KFC!$B$20*1.02*1.2*1.1+KFC!$C$20)*KFC!$C$5</f>
        <v>67.993200000000002</v>
      </c>
      <c r="U56" s="300">
        <f>(52.1*KFC!$B$20*1.02*1.2*1.1+KFC!$C$20)*KFC!$C$5</f>
        <v>70.147440000000003</v>
      </c>
      <c r="V56" s="300">
        <f>(53.7*KFC!$B$20*1.02*1.2*1.1+KFC!$C$20)*KFC!$C$5</f>
        <v>72.301680000000005</v>
      </c>
      <c r="W56" s="300">
        <f>(55.3*KFC!$B$20*1.02*1.2*1.1+KFC!$C$20)*KFC!$C$5</f>
        <v>74.455919999999992</v>
      </c>
      <c r="X56" s="300">
        <f>(56.9*KFC!$B$20*1.02*1.2*1.1+KFC!$C$20)*KFC!$C$5</f>
        <v>76.610159999999993</v>
      </c>
      <c r="Y56" s="304">
        <f>(58.6*KFC!$B$20*1.02*1.2*1.1+KFC!$C$20)*KFC!$C$5</f>
        <v>78.899039999999999</v>
      </c>
      <c r="Z56" s="345"/>
      <c r="AA56" s="345"/>
      <c r="AB56" s="345"/>
      <c r="AC56" s="345"/>
    </row>
    <row r="57" spans="1:29">
      <c r="A57" s="1538"/>
      <c r="B57" s="298">
        <v>1.2</v>
      </c>
      <c r="C57" s="303">
        <f>(23.8*KFC!$B$20*1.02*1.2*1.1+KFC!$C$20)*KFC!$C$5</f>
        <v>32.044319999999999</v>
      </c>
      <c r="D57" s="300">
        <f>(25.4*KFC!$B$20*1.02*1.2*1.1+KFC!$C$20)*KFC!$C$5</f>
        <v>34.198560000000001</v>
      </c>
      <c r="E57" s="300">
        <f>(27.2*KFC!$B$20*1.02*1.2*1.1+KFC!$C$20)*KFC!$C$5</f>
        <v>36.622080000000004</v>
      </c>
      <c r="F57" s="300">
        <f>(28.7*KFC!$B$20*1.02*1.2*1.1+KFC!$C$20)*KFC!$C$5</f>
        <v>38.641680000000001</v>
      </c>
      <c r="G57" s="300">
        <f>(30.5*KFC!$B$20*1.02*1.2*1.1+KFC!$C$20)*KFC!$C$5</f>
        <v>41.065200000000004</v>
      </c>
      <c r="H57" s="300">
        <f>(32*KFC!$B$20*1.02*1.2*1.1+KFC!$C$20)*KFC!$C$5</f>
        <v>43.084800000000001</v>
      </c>
      <c r="I57" s="300">
        <f>(33.8*KFC!$B$20*1.02*1.2*1.1+KFC!$C$20)*KFC!$C$5</f>
        <v>45.508319999999998</v>
      </c>
      <c r="J57" s="300">
        <f>(35.3*KFC!$B$20*1.02*1.2*1.1+KFC!$C$20)*KFC!$C$5</f>
        <v>47.527920000000002</v>
      </c>
      <c r="K57" s="300">
        <f>(37.1*KFC!$B$20*1.02*1.2*1.1+KFC!$C$20)*KFC!$C$5</f>
        <v>49.951439999999998</v>
      </c>
      <c r="L57" s="300">
        <f>(38.6*KFC!$B$20*1.02*1.2*1.1+KFC!$C$20)*KFC!$C$5</f>
        <v>51.971040000000002</v>
      </c>
      <c r="M57" s="300">
        <f>(40.4*KFC!$B$20*1.02*1.2*1.1+KFC!$C$20)*KFC!$C$5</f>
        <v>54.394559999999998</v>
      </c>
      <c r="N57" s="300">
        <f>(41.9*KFC!$B$20*1.02*1.2*1.1+KFC!$C$20)*KFC!$C$5</f>
        <v>56.414160000000003</v>
      </c>
      <c r="O57" s="300">
        <f>(43.7*KFC!$B$20*1.02*1.2*1.1+KFC!$C$20)*KFC!$C$5</f>
        <v>58.837680000000013</v>
      </c>
      <c r="P57" s="300">
        <f>(45.3*KFC!$B$20*1.02*1.2*1.1+KFC!$C$20)*KFC!$C$5</f>
        <v>60.99192</v>
      </c>
      <c r="Q57" s="300">
        <f>(47*KFC!$B$20*1.02*1.2*1.1+KFC!$C$20)*KFC!$C$5</f>
        <v>63.280800000000006</v>
      </c>
      <c r="R57" s="300">
        <f>(48.6*KFC!$B$20*1.02*1.2*1.1+KFC!$C$20)*KFC!$C$5</f>
        <v>65.435040000000015</v>
      </c>
      <c r="S57" s="300">
        <f>(50.3*KFC!$B$20*1.02*1.2*1.1+KFC!$C$20)*KFC!$C$5</f>
        <v>67.723919999999993</v>
      </c>
      <c r="T57" s="300">
        <f>(51.9*KFC!$B$20*1.02*1.2*1.1+KFC!$C$20)*KFC!$C$5</f>
        <v>69.878160000000008</v>
      </c>
      <c r="U57" s="300">
        <f>(53.6*KFC!$B$20*1.02*1.2*1.1+KFC!$C$20)*KFC!$C$5</f>
        <v>72.167040000000014</v>
      </c>
      <c r="V57" s="300">
        <f>(55.2*KFC!$B$20*1.02*1.2*1.1+KFC!$C$20)*KFC!$C$5</f>
        <v>74.321280000000016</v>
      </c>
      <c r="W57" s="300">
        <f>(56.9*KFC!$B$20*1.02*1.2*1.1+KFC!$C$20)*KFC!$C$5</f>
        <v>76.610159999999993</v>
      </c>
      <c r="X57" s="300">
        <f>(58.5*KFC!$B$20*1.02*1.2*1.1+KFC!$C$20)*KFC!$C$5</f>
        <v>78.764400000000009</v>
      </c>
      <c r="Y57" s="304">
        <f>(60.2*KFC!$B$20*1.02*1.2*1.1+KFC!$C$20)*KFC!$C$5</f>
        <v>81.053280000000001</v>
      </c>
      <c r="Z57" s="345"/>
      <c r="AA57" s="345"/>
      <c r="AB57" s="345"/>
      <c r="AC57" s="345"/>
    </row>
    <row r="58" spans="1:29">
      <c r="A58" s="1538"/>
      <c r="B58" s="298">
        <v>1.3</v>
      </c>
      <c r="C58" s="303">
        <f>(24.2*KFC!$B$20*1.02*1.2*1.1+KFC!$C$20)*KFC!$C$5</f>
        <v>32.582880000000003</v>
      </c>
      <c r="D58" s="300">
        <f>(25.9*KFC!$B$20*1.02*1.2*1.1+KFC!$C$20)*KFC!$C$5</f>
        <v>34.871760000000002</v>
      </c>
      <c r="E58" s="300">
        <f>(27.6*KFC!$B$20*1.02*1.2*1.1+KFC!$C$20)*KFC!$C$5</f>
        <v>37.160640000000008</v>
      </c>
      <c r="F58" s="300">
        <f>(29.4*KFC!$B$20*1.02*1.2*1.1+KFC!$C$20)*KFC!$C$5</f>
        <v>39.584160000000004</v>
      </c>
      <c r="G58" s="300">
        <f>(31.1*KFC!$B$20*1.02*1.2*1.1+KFC!$C$20)*KFC!$C$5</f>
        <v>41.873040000000003</v>
      </c>
      <c r="H58" s="300">
        <f>(32.8*KFC!$B$20*1.02*1.2*1.1+KFC!$C$20)*KFC!$C$5</f>
        <v>44.161919999999995</v>
      </c>
      <c r="I58" s="300">
        <f>(34.5*KFC!$B$20*1.02*1.2*1.1+KFC!$C$20)*KFC!$C$5</f>
        <v>46.450800000000001</v>
      </c>
      <c r="J58" s="300">
        <f>(36.2*KFC!$B$20*1.02*1.2*1.1+KFC!$C$20)*KFC!$C$5</f>
        <v>48.739680000000007</v>
      </c>
      <c r="K58" s="300">
        <f>(37.9*KFC!$B$20*1.02*1.2*1.1+KFC!$C$20)*KFC!$C$5</f>
        <v>51.028560000000006</v>
      </c>
      <c r="L58" s="300">
        <f>(39.6*KFC!$B$20*1.02*1.2*1.1+KFC!$C$20)*KFC!$C$5</f>
        <v>53.317440000000012</v>
      </c>
      <c r="M58" s="300">
        <f>(41.3*KFC!$B$20*1.02*1.2*1.1+KFC!$C$20)*KFC!$C$5</f>
        <v>55.606319999999997</v>
      </c>
      <c r="N58" s="300">
        <f>(43*KFC!$B$20*1.02*1.2*1.1+KFC!$C$20)*KFC!$C$5</f>
        <v>57.895200000000003</v>
      </c>
      <c r="O58" s="300">
        <f>(44.8*KFC!$B$20*1.02*1.2*1.1+KFC!$C$20)*KFC!$C$5</f>
        <v>60.318719999999999</v>
      </c>
      <c r="P58" s="300">
        <f>(46.5*KFC!$B$20*1.02*1.2*1.1+KFC!$C$20)*KFC!$C$5</f>
        <v>62.607600000000005</v>
      </c>
      <c r="Q58" s="300">
        <f>(48.2*KFC!$B$20*1.02*1.2*1.1+KFC!$C$20)*KFC!$C$5</f>
        <v>64.896480000000011</v>
      </c>
      <c r="R58" s="300">
        <f>(49.9*KFC!$B$20*1.02*1.2*1.1+KFC!$C$20)*KFC!$C$5</f>
        <v>67.185359999999989</v>
      </c>
      <c r="S58" s="300">
        <f>(51.5*KFC!$B$20*1.02*1.2*1.1+KFC!$C$20)*KFC!$C$5</f>
        <v>69.339600000000004</v>
      </c>
      <c r="T58" s="300">
        <f>(53.2*KFC!$B$20*1.02*1.2*1.1+KFC!$C$20)*KFC!$C$5</f>
        <v>71.62848000000001</v>
      </c>
      <c r="U58" s="300">
        <f>(54.9*KFC!$B$20*1.02*1.2*1.1+KFC!$C$20)*KFC!$C$5</f>
        <v>73.917360000000002</v>
      </c>
      <c r="V58" s="300">
        <f>(56.6*KFC!$B$20*1.02*1.2*1.1+KFC!$C$20)*KFC!$C$5</f>
        <v>76.206239999999994</v>
      </c>
      <c r="W58" s="300">
        <f>(58.3*KFC!$B$20*1.02*1.2*1.1+KFC!$C$20)*KFC!$C$5</f>
        <v>78.495120000000014</v>
      </c>
      <c r="X58" s="300">
        <f>(60*KFC!$B$20*1.02*1.2*1.1+KFC!$C$20)*KFC!$C$5</f>
        <v>80.784000000000006</v>
      </c>
      <c r="Y58" s="304">
        <f>(61.8*KFC!$B$20*1.02*1.2*1.1+KFC!$C$20)*KFC!$C$5</f>
        <v>83.207520000000002</v>
      </c>
      <c r="Z58" s="345"/>
      <c r="AA58" s="345"/>
      <c r="AB58" s="345"/>
      <c r="AC58" s="345"/>
    </row>
    <row r="59" spans="1:29">
      <c r="A59" s="1538"/>
      <c r="B59" s="298">
        <v>1.4</v>
      </c>
      <c r="C59" s="303">
        <f>(24.7*KFC!$B$20*1.02*1.2*1.1+KFC!$C$20)*KFC!$C$5</f>
        <v>33.256079999999997</v>
      </c>
      <c r="D59" s="300">
        <f>(26.4*KFC!$B$20*1.02*1.2*1.1+KFC!$C$20)*KFC!$C$5</f>
        <v>35.544959999999996</v>
      </c>
      <c r="E59" s="300">
        <f>(28.1*KFC!$B$20*1.02*1.2*1.1+KFC!$C$20)*KFC!$C$5</f>
        <v>37.833840000000009</v>
      </c>
      <c r="F59" s="300">
        <f>(30*KFC!$B$20*1.02*1.2*1.1+KFC!$C$20)*KFC!$C$5</f>
        <v>40.392000000000003</v>
      </c>
      <c r="G59" s="300">
        <f>(31.7*KFC!$B$20*1.02*1.2*1.1+KFC!$C$20)*KFC!$C$5</f>
        <v>42.680880000000009</v>
      </c>
      <c r="H59" s="300">
        <f>(33.5*KFC!$B$20*1.02*1.2*1.1+KFC!$C$20)*KFC!$C$5</f>
        <v>45.104399999999998</v>
      </c>
      <c r="I59" s="300">
        <f>(35.2*KFC!$B$20*1.02*1.2*1.1+KFC!$C$20)*KFC!$C$5</f>
        <v>47.393280000000004</v>
      </c>
      <c r="J59" s="300">
        <f>(36.9*KFC!$B$20*1.02*1.2*1.1+KFC!$C$20)*KFC!$C$5</f>
        <v>49.682160000000003</v>
      </c>
      <c r="K59" s="300">
        <f>(38.8*KFC!$B$20*1.02*1.2*1.1+KFC!$C$20)*KFC!$C$5</f>
        <v>52.240320000000004</v>
      </c>
      <c r="L59" s="300">
        <f>(40.5*KFC!$B$20*1.02*1.2*1.1+KFC!$C$20)*KFC!$C$5</f>
        <v>54.52920000000001</v>
      </c>
      <c r="M59" s="300">
        <f>(42.3*KFC!$B$20*1.02*1.2*1.1+KFC!$C$20)*KFC!$C$5</f>
        <v>56.952719999999999</v>
      </c>
      <c r="N59" s="300">
        <f>(44*KFC!$B$20*1.02*1.2*1.1+KFC!$C$20)*KFC!$C$5</f>
        <v>59.241600000000005</v>
      </c>
      <c r="O59" s="300">
        <f>(45.9*KFC!$B$20*1.02*1.2*1.1+KFC!$C$20)*KFC!$C$5</f>
        <v>61.799759999999999</v>
      </c>
      <c r="P59" s="300">
        <f>(47.6*KFC!$B$20*1.02*1.2*1.1+KFC!$C$20)*KFC!$C$5</f>
        <v>64.088639999999998</v>
      </c>
      <c r="Q59" s="300">
        <f>(49.3*KFC!$B$20*1.02*1.2*1.1+KFC!$C$20)*KFC!$C$5</f>
        <v>66.377520000000004</v>
      </c>
      <c r="R59" s="300">
        <f>(51.1*KFC!$B$20*1.02*1.2*1.1+KFC!$C$20)*KFC!$C$5</f>
        <v>68.80104</v>
      </c>
      <c r="S59" s="300">
        <f>(52.8*KFC!$B$20*1.02*1.2*1.1+KFC!$C$20)*KFC!$C$5</f>
        <v>71.089919999999992</v>
      </c>
      <c r="T59" s="300">
        <f>(54.7*KFC!$B$20*1.02*1.2*1.1+KFC!$C$20)*KFC!$C$5</f>
        <v>73.648080000000007</v>
      </c>
      <c r="U59" s="300">
        <f>(56.4*KFC!$B$20*1.02*1.2*1.1+KFC!$C$20)*KFC!$C$5</f>
        <v>75.936959999999999</v>
      </c>
      <c r="V59" s="300">
        <f>(58.1*KFC!$B$20*1.02*1.2*1.1+KFC!$C$20)*KFC!$C$5</f>
        <v>78.225840000000005</v>
      </c>
      <c r="W59" s="300">
        <f>(59.9*KFC!$B$20*1.02*1.2*1.1+KFC!$C$20)*KFC!$C$5</f>
        <v>80.649360000000001</v>
      </c>
      <c r="X59" s="300">
        <f>(61.6*KFC!$B$20*1.02*1.2*1.1+KFC!$C$20)*KFC!$C$5</f>
        <v>82.938240000000008</v>
      </c>
      <c r="Y59" s="304">
        <f>(63.5*KFC!$B$20*1.02*1.2*1.1+KFC!$C$20)*KFC!$C$5</f>
        <v>85.496399999999994</v>
      </c>
      <c r="Z59" s="345"/>
      <c r="AA59" s="345"/>
      <c r="AB59" s="345"/>
      <c r="AC59" s="345"/>
    </row>
    <row r="60" spans="1:29">
      <c r="A60" s="1538"/>
      <c r="B60" s="298">
        <v>1.5</v>
      </c>
      <c r="C60" s="303">
        <f>(25.1*KFC!$B$20*1.02*1.2*1.1+KFC!$C$20)*KFC!$C$5</f>
        <v>33.794640000000001</v>
      </c>
      <c r="D60" s="300">
        <f>(26.9*KFC!$B$20*1.02*1.2*1.1+KFC!$C$20)*KFC!$C$5</f>
        <v>36.218159999999997</v>
      </c>
      <c r="E60" s="300">
        <f>(28.7*KFC!$B$20*1.02*1.2*1.1+KFC!$C$20)*KFC!$C$5</f>
        <v>38.641680000000001</v>
      </c>
      <c r="F60" s="300">
        <f>(30.6*KFC!$B$20*1.02*1.2*1.1+KFC!$C$20)*KFC!$C$5</f>
        <v>41.199840000000002</v>
      </c>
      <c r="G60" s="300">
        <f>(32.4*KFC!$B$20*1.02*1.2*1.1+KFC!$C$20)*KFC!$C$5</f>
        <v>43.623360000000005</v>
      </c>
      <c r="H60" s="300">
        <f>(34.1*KFC!$B$20*1.02*1.2*1.1+KFC!$C$20)*KFC!$C$5</f>
        <v>45.912240000000011</v>
      </c>
      <c r="I60" s="300">
        <f>(36*KFC!$B$20*1.02*1.2*1.1+KFC!$C$20)*KFC!$C$5</f>
        <v>48.470400000000005</v>
      </c>
      <c r="J60" s="300">
        <f>(37.8*KFC!$B$20*1.02*1.2*1.1+KFC!$C$20)*KFC!$C$5</f>
        <v>50.893920000000001</v>
      </c>
      <c r="K60" s="300">
        <f>(39.6*KFC!$B$20*1.02*1.2*1.1+KFC!$C$20)*KFC!$C$5</f>
        <v>53.317440000000012</v>
      </c>
      <c r="L60" s="300">
        <f>(41.5*KFC!$B$20*1.02*1.2*1.1+KFC!$C$20)*KFC!$C$5</f>
        <v>55.875600000000006</v>
      </c>
      <c r="M60" s="300">
        <f>(43.3*KFC!$B$20*1.02*1.2*1.1+KFC!$C$20)*KFC!$C$5</f>
        <v>58.299120000000002</v>
      </c>
      <c r="N60" s="300">
        <f>(45.1*KFC!$B$20*1.02*1.2*1.1+KFC!$C$20)*KFC!$C$5</f>
        <v>60.722640000000013</v>
      </c>
      <c r="O60" s="300">
        <f>(46.8*KFC!$B$20*1.02*1.2*1.1+KFC!$C$20)*KFC!$C$5</f>
        <v>63.011519999999997</v>
      </c>
      <c r="P60" s="300">
        <f>(48.7*KFC!$B$20*1.02*1.2*1.1+KFC!$C$20)*KFC!$C$5</f>
        <v>65.569680000000005</v>
      </c>
      <c r="Q60" s="300">
        <f>(50.5*KFC!$B$20*1.02*1.2*1.1+KFC!$C$20)*KFC!$C$5</f>
        <v>67.993200000000002</v>
      </c>
      <c r="R60" s="300">
        <f>(52.3*KFC!$B$20*1.02*1.2*1.1+KFC!$C$20)*KFC!$C$5</f>
        <v>70.416719999999998</v>
      </c>
      <c r="S60" s="300">
        <f>(54.2*KFC!$B$20*1.02*1.2*1.1+KFC!$C$20)*KFC!$C$5</f>
        <v>72.974880000000013</v>
      </c>
      <c r="T60" s="300">
        <f>(56*KFC!$B$20*1.02*1.2*1.1+KFC!$C$20)*KFC!$C$5</f>
        <v>75.398400000000009</v>
      </c>
      <c r="U60" s="300">
        <f>(57.8*KFC!$B$20*1.02*1.2*1.1+KFC!$C$20)*KFC!$C$5</f>
        <v>77.821919999999992</v>
      </c>
      <c r="V60" s="300">
        <f>(59.6*KFC!$B$20*1.02*1.2*1.1+KFC!$C$20)*KFC!$C$5</f>
        <v>80.245440000000002</v>
      </c>
      <c r="W60" s="300">
        <f>(61.4*KFC!$B$20*1.02*1.2*1.1+KFC!$C$20)*KFC!$C$5</f>
        <v>82.668959999999998</v>
      </c>
      <c r="X60" s="300">
        <f>(63.2*KFC!$B$20*1.02*1.2*1.1+KFC!$C$20)*KFC!$C$5</f>
        <v>85.092479999999995</v>
      </c>
      <c r="Y60" s="304">
        <f>(65.1*KFC!$B$20*1.02*1.2*1.1+KFC!$C$20)*KFC!$C$5</f>
        <v>87.65064000000001</v>
      </c>
      <c r="Z60" s="345"/>
      <c r="AA60" s="345"/>
      <c r="AB60" s="345"/>
      <c r="AC60" s="345"/>
    </row>
    <row r="61" spans="1:29">
      <c r="A61" s="1538"/>
      <c r="B61" s="298">
        <v>1.6</v>
      </c>
      <c r="C61" s="303">
        <f>(25.6*KFC!$B$20*1.02*1.2*1.1+KFC!$C$20)*KFC!$C$5</f>
        <v>34.467840000000002</v>
      </c>
      <c r="D61" s="300">
        <f>(27.4*KFC!$B$20*1.02*1.2*1.1+KFC!$C$20)*KFC!$C$5</f>
        <v>36.891359999999999</v>
      </c>
      <c r="E61" s="300">
        <f>(29.2*KFC!$B$20*1.02*1.2*1.1+KFC!$C$20)*KFC!$C$5</f>
        <v>39.314880000000002</v>
      </c>
      <c r="F61" s="300">
        <f>(31.2*KFC!$B$20*1.02*1.2*1.1+KFC!$C$20)*KFC!$C$5</f>
        <v>42.007679999999993</v>
      </c>
      <c r="G61" s="300">
        <f>(33*KFC!$B$20*1.02*1.2*1.1+KFC!$C$20)*KFC!$C$5</f>
        <v>44.431200000000004</v>
      </c>
      <c r="H61" s="300">
        <f>(34.9*KFC!$B$20*1.02*1.2*1.1+KFC!$C$20)*KFC!$C$5</f>
        <v>46.989359999999998</v>
      </c>
      <c r="I61" s="300">
        <f>(36.7*KFC!$B$20*1.02*1.2*1.1+KFC!$C$20)*KFC!$C$5</f>
        <v>49.412880000000008</v>
      </c>
      <c r="J61" s="300">
        <f>(38.6*KFC!$B$20*1.02*1.2*1.1+KFC!$C$20)*KFC!$C$5</f>
        <v>51.971040000000002</v>
      </c>
      <c r="K61" s="300">
        <f>(40.5*KFC!$B$20*1.02*1.2*1.1+KFC!$C$20)*KFC!$C$5</f>
        <v>54.52920000000001</v>
      </c>
      <c r="L61" s="300">
        <f>(42.3*KFC!$B$20*1.02*1.2*1.1+KFC!$C$20)*KFC!$C$5</f>
        <v>56.952719999999999</v>
      </c>
      <c r="M61" s="300">
        <f>(44.3*KFC!$B$20*1.02*1.2*1.1+KFC!$C$20)*KFC!$C$5</f>
        <v>59.645520000000005</v>
      </c>
      <c r="N61" s="300">
        <f>(46.1*KFC!$B$20*1.02*1.2*1.1+KFC!$C$20)*KFC!$C$5</f>
        <v>62.069040000000015</v>
      </c>
      <c r="O61" s="300">
        <f>(47.9*KFC!$B$20*1.02*1.2*1.1+KFC!$C$20)*KFC!$C$5</f>
        <v>64.492559999999997</v>
      </c>
      <c r="P61" s="300">
        <f>(49.9*KFC!$B$20*1.02*1.2*1.1+KFC!$C$20)*KFC!$C$5</f>
        <v>67.185359999999989</v>
      </c>
      <c r="Q61" s="300">
        <f>(51.7*KFC!$B$20*1.02*1.2*1.1+KFC!$C$20)*KFC!$C$5</f>
        <v>69.608879999999999</v>
      </c>
      <c r="R61" s="300">
        <f>(53.6*KFC!$B$20*1.02*1.2*1.1+KFC!$C$20)*KFC!$C$5</f>
        <v>72.167040000000014</v>
      </c>
      <c r="S61" s="300">
        <f>(55.4*KFC!$B$20*1.02*1.2*1.1+KFC!$C$20)*KFC!$C$5</f>
        <v>74.590560000000011</v>
      </c>
      <c r="T61" s="300">
        <f>(57.4*KFC!$B$20*1.02*1.2*1.1+KFC!$C$20)*KFC!$C$5</f>
        <v>77.283360000000002</v>
      </c>
      <c r="U61" s="300">
        <f>(59.2*KFC!$B$20*1.02*1.2*1.1+KFC!$C$20)*KFC!$C$5</f>
        <v>79.706880000000012</v>
      </c>
      <c r="V61" s="300">
        <f>(61*KFC!$B$20*1.02*1.2*1.1+KFC!$C$20)*KFC!$C$5</f>
        <v>82.130400000000009</v>
      </c>
      <c r="W61" s="300">
        <f>(63*KFC!$B$20*1.02*1.2*1.1+KFC!$C$20)*KFC!$C$5</f>
        <v>84.823200000000014</v>
      </c>
      <c r="X61" s="300">
        <f>(64.8*KFC!$B$20*1.02*1.2*1.1+KFC!$C$20)*KFC!$C$5</f>
        <v>87.24672000000001</v>
      </c>
      <c r="Y61" s="304">
        <f>(66.7*KFC!$B$20*1.02*1.2*1.1+KFC!$C$20)*KFC!$C$5</f>
        <v>89.804880000000011</v>
      </c>
      <c r="Z61" s="345"/>
      <c r="AA61" s="345"/>
      <c r="AB61" s="345"/>
      <c r="AC61" s="345"/>
    </row>
    <row r="62" spans="1:29">
      <c r="A62" s="1538"/>
      <c r="B62" s="298">
        <v>1.7</v>
      </c>
      <c r="C62" s="303">
        <f>(25.9*KFC!$B$20*1.02*1.2*1.1+KFC!$C$20)*KFC!$C$5</f>
        <v>34.871760000000002</v>
      </c>
      <c r="D62" s="300">
        <f>(27.9*KFC!$B$20*1.02*1.2*1.1+KFC!$C$20)*KFC!$C$5</f>
        <v>37.56456</v>
      </c>
      <c r="E62" s="300">
        <f>(29.8*KFC!$B$20*1.02*1.2*1.1+KFC!$C$20)*KFC!$C$5</f>
        <v>40.122720000000001</v>
      </c>
      <c r="F62" s="300">
        <f>(31.7*KFC!$B$20*1.02*1.2*1.1+KFC!$C$20)*KFC!$C$5</f>
        <v>42.680880000000009</v>
      </c>
      <c r="G62" s="300">
        <f>(33.6*KFC!$B$20*1.02*1.2*1.1+KFC!$C$20)*KFC!$C$5</f>
        <v>45.23904000000001</v>
      </c>
      <c r="H62" s="300">
        <f>(35.6*KFC!$B$20*1.02*1.2*1.1+KFC!$C$20)*KFC!$C$5</f>
        <v>47.931840000000008</v>
      </c>
      <c r="I62" s="300">
        <f>(37.5*KFC!$B$20*1.02*1.2*1.1+KFC!$C$20)*KFC!$C$5</f>
        <v>50.49</v>
      </c>
      <c r="J62" s="300">
        <f>(39.4*KFC!$B$20*1.02*1.2*1.1+KFC!$C$20)*KFC!$C$5</f>
        <v>53.048160000000003</v>
      </c>
      <c r="K62" s="300">
        <f>(41.3*KFC!$B$20*1.02*1.2*1.1+KFC!$C$20)*KFC!$C$5</f>
        <v>55.606319999999997</v>
      </c>
      <c r="L62" s="300">
        <f>(43.3*KFC!$B$20*1.02*1.2*1.1+KFC!$C$20)*KFC!$C$5</f>
        <v>58.299120000000002</v>
      </c>
      <c r="M62" s="300">
        <f>(45.3*KFC!$B$20*1.02*1.2*1.1+KFC!$C$20)*KFC!$C$5</f>
        <v>60.99192</v>
      </c>
      <c r="N62" s="300">
        <f>(47.1*KFC!$B$20*1.02*1.2*1.1+KFC!$C$20)*KFC!$C$5</f>
        <v>63.415440000000004</v>
      </c>
      <c r="O62" s="300">
        <f>(49*KFC!$B$20*1.02*1.2*1.1+KFC!$C$20)*KFC!$C$5</f>
        <v>65.973600000000005</v>
      </c>
      <c r="P62" s="300">
        <f>(51*KFC!$B$20*1.02*1.2*1.1+KFC!$C$20)*KFC!$C$5</f>
        <v>68.66640000000001</v>
      </c>
      <c r="Q62" s="300">
        <f>(53*KFC!$B$20*1.02*1.2*1.1+KFC!$C$20)*KFC!$C$5</f>
        <v>71.359200000000001</v>
      </c>
      <c r="R62" s="300">
        <f>(54.8*KFC!$B$20*1.02*1.2*1.1+KFC!$C$20)*KFC!$C$5</f>
        <v>73.782719999999998</v>
      </c>
      <c r="S62" s="300">
        <f>(56.7*KFC!$B$20*1.02*1.2*1.1+KFC!$C$20)*KFC!$C$5</f>
        <v>76.340880000000013</v>
      </c>
      <c r="T62" s="300">
        <f>(58.7*KFC!$B$20*1.02*1.2*1.1+KFC!$C$20)*KFC!$C$5</f>
        <v>79.033680000000004</v>
      </c>
      <c r="U62" s="300">
        <f>(60.7*KFC!$B$20*1.02*1.2*1.1+KFC!$C$20)*KFC!$C$5</f>
        <v>81.726480000000009</v>
      </c>
      <c r="V62" s="300">
        <f>(62.5*KFC!$B$20*1.02*1.2*1.1+KFC!$C$20)*KFC!$C$5</f>
        <v>84.15</v>
      </c>
      <c r="W62" s="300">
        <f>(64.5*KFC!$B$20*1.02*1.2*1.1+KFC!$C$20)*KFC!$C$5</f>
        <v>86.842800000000011</v>
      </c>
      <c r="X62" s="300">
        <f>(66.4*KFC!$B$20*1.02*1.2*1.1+KFC!$C$20)*KFC!$C$5</f>
        <v>89.400960000000012</v>
      </c>
      <c r="Y62" s="304">
        <f>(68.4*KFC!$B$20*1.02*1.2*1.1+KFC!$C$20)*KFC!$C$5</f>
        <v>92.093760000000003</v>
      </c>
      <c r="Z62" s="345"/>
      <c r="AA62" s="345"/>
      <c r="AB62" s="345"/>
      <c r="AC62" s="345"/>
    </row>
    <row r="63" spans="1:29">
      <c r="A63" s="1538"/>
      <c r="B63" s="298">
        <v>1.8</v>
      </c>
      <c r="C63" s="303">
        <f>(26.4*KFC!$B$20*1.02*1.2*1.1+KFC!$C$20)*KFC!$C$5</f>
        <v>35.544959999999996</v>
      </c>
      <c r="D63" s="300">
        <f>(28.4*KFC!$B$20*1.02*1.2*1.1+KFC!$C$20)*KFC!$C$5</f>
        <v>38.237760000000002</v>
      </c>
      <c r="E63" s="300">
        <f>(30.3*KFC!$B$20*1.02*1.2*1.1+KFC!$C$20)*KFC!$C$5</f>
        <v>40.79592000000001</v>
      </c>
      <c r="F63" s="300">
        <f>(32.3*KFC!$B$20*1.02*1.2*1.1+KFC!$C$20)*KFC!$C$5</f>
        <v>43.488720000000001</v>
      </c>
      <c r="G63" s="300">
        <f>(34.2*KFC!$B$20*1.02*1.2*1.1+KFC!$C$20)*KFC!$C$5</f>
        <v>46.046880000000002</v>
      </c>
      <c r="H63" s="300">
        <f>(36.3*KFC!$B$20*1.02*1.2*1.1+KFC!$C$20)*KFC!$C$5</f>
        <v>48.874319999999997</v>
      </c>
      <c r="I63" s="300">
        <f>(38.3*KFC!$B$20*1.02*1.2*1.1+KFC!$C$20)*KFC!$C$5</f>
        <v>51.567119999999996</v>
      </c>
      <c r="J63" s="300">
        <f>(40.2*KFC!$B$20*1.02*1.2*1.1+KFC!$C$20)*KFC!$C$5</f>
        <v>54.125280000000011</v>
      </c>
      <c r="K63" s="300">
        <f>(42.2*KFC!$B$20*1.02*1.2*1.1+KFC!$C$20)*KFC!$C$5</f>
        <v>56.818080000000009</v>
      </c>
      <c r="L63" s="300">
        <f>(44.2*KFC!$B$20*1.02*1.2*1.1+KFC!$C$20)*KFC!$C$5</f>
        <v>59.510880000000007</v>
      </c>
      <c r="M63" s="300">
        <f>(46.2*KFC!$B$20*1.02*1.2*1.1+KFC!$C$20)*KFC!$C$5</f>
        <v>62.203680000000006</v>
      </c>
      <c r="N63" s="300">
        <f>(48.2*KFC!$B$20*1.02*1.2*1.1+KFC!$C$20)*KFC!$C$5</f>
        <v>64.896480000000011</v>
      </c>
      <c r="O63" s="300">
        <f>(50.1*KFC!$B$20*1.02*1.2*1.1+KFC!$C$20)*KFC!$C$5</f>
        <v>67.454640000000012</v>
      </c>
      <c r="P63" s="300">
        <f>(52.1*KFC!$B$20*1.02*1.2*1.1+KFC!$C$20)*KFC!$C$5</f>
        <v>70.147440000000003</v>
      </c>
      <c r="Q63" s="300">
        <f>(54.1*KFC!$B$20*1.02*1.2*1.1+KFC!$C$20)*KFC!$C$5</f>
        <v>72.840240000000009</v>
      </c>
      <c r="R63" s="300">
        <f>(56.1*KFC!$B$20*1.02*1.2*1.1+KFC!$C$20)*KFC!$C$5</f>
        <v>75.53304</v>
      </c>
      <c r="S63" s="300">
        <f>(58.1*KFC!$B$20*1.02*1.2*1.1+KFC!$C$20)*KFC!$C$5</f>
        <v>78.225840000000005</v>
      </c>
      <c r="T63" s="300">
        <f>(60*KFC!$B$20*1.02*1.2*1.1+KFC!$C$20)*KFC!$C$5</f>
        <v>80.784000000000006</v>
      </c>
      <c r="U63" s="300">
        <f>(62*KFC!$B$20*1.02*1.2*1.1+KFC!$C$20)*KFC!$C$5</f>
        <v>83.476800000000011</v>
      </c>
      <c r="V63" s="300">
        <f>(64*KFC!$B$20*1.02*1.2*1.1+KFC!$C$20)*KFC!$C$5</f>
        <v>86.169600000000003</v>
      </c>
      <c r="W63" s="300">
        <f>(66*KFC!$B$20*1.02*1.2*1.1+KFC!$C$20)*KFC!$C$5</f>
        <v>88.862400000000008</v>
      </c>
      <c r="X63" s="300">
        <f>(68*KFC!$B$20*1.02*1.2*1.1+KFC!$C$20)*KFC!$C$5</f>
        <v>91.555200000000013</v>
      </c>
      <c r="Y63" s="304">
        <f>(70*KFC!$B$20*1.02*1.2*1.1+KFC!$C$20)*KFC!$C$5</f>
        <v>94.248000000000019</v>
      </c>
      <c r="Z63" s="345"/>
      <c r="AA63" s="345"/>
      <c r="AB63" s="345"/>
      <c r="AC63" s="345"/>
    </row>
    <row r="64" spans="1:29">
      <c r="A64" s="1538"/>
      <c r="B64" s="298">
        <v>1.9</v>
      </c>
      <c r="C64" s="303">
        <f>(27.3*KFC!$B$20*1.02*1.2*1.1+KFC!$C$20)*KFC!$C$5</f>
        <v>36.756720000000001</v>
      </c>
      <c r="D64" s="300">
        <f>(29.4*KFC!$B$20*1.02*1.2*1.1+KFC!$C$20)*KFC!$C$5</f>
        <v>39.584160000000004</v>
      </c>
      <c r="E64" s="300">
        <f>(31.4*KFC!$B$20*1.02*1.2*1.1+KFC!$C$20)*KFC!$C$5</f>
        <v>42.276960000000003</v>
      </c>
      <c r="F64" s="300">
        <f>(33.5*KFC!$B$20*1.02*1.2*1.1+KFC!$C$20)*KFC!$C$5</f>
        <v>45.104399999999998</v>
      </c>
      <c r="G64" s="300">
        <f>(35.6*KFC!$B$20*1.02*1.2*1.1+KFC!$C$20)*KFC!$C$5</f>
        <v>47.931840000000008</v>
      </c>
      <c r="H64" s="300">
        <f>(37.7*KFC!$B$20*1.02*1.2*1.1+KFC!$C$20)*KFC!$C$5</f>
        <v>50.759279999999997</v>
      </c>
      <c r="I64" s="300">
        <f>(39.7*KFC!$B$20*1.02*1.2*1.1+KFC!$C$20)*KFC!$C$5</f>
        <v>53.452080000000009</v>
      </c>
      <c r="J64" s="300">
        <f>(41.8*KFC!$B$20*1.02*1.2*1.1+KFC!$C$20)*KFC!$C$5</f>
        <v>56.279519999999998</v>
      </c>
      <c r="K64" s="300">
        <f>(43.9*KFC!$B$20*1.02*1.2*1.1+KFC!$C$20)*KFC!$C$5</f>
        <v>59.106960000000001</v>
      </c>
      <c r="L64" s="300">
        <f>(46.1*KFC!$B$20*1.02*1.2*1.1+KFC!$C$20)*KFC!$C$5</f>
        <v>62.069040000000015</v>
      </c>
      <c r="M64" s="300">
        <f>(48.2*KFC!$B$20*1.02*1.2*1.1+KFC!$C$20)*KFC!$C$5</f>
        <v>64.896480000000011</v>
      </c>
      <c r="N64" s="300">
        <f>(50.3*KFC!$B$20*1.02*1.2*1.1+KFC!$C$20)*KFC!$C$5</f>
        <v>67.723919999999993</v>
      </c>
      <c r="O64" s="300">
        <f>(52.3*KFC!$B$20*1.02*1.2*1.1+KFC!$C$20)*KFC!$C$5</f>
        <v>70.416719999999998</v>
      </c>
      <c r="P64" s="300">
        <f>(54.4*KFC!$B$20*1.02*1.2*1.1+KFC!$C$20)*KFC!$C$5</f>
        <v>73.244160000000008</v>
      </c>
      <c r="Q64" s="300">
        <f>(56.5*KFC!$B$20*1.02*1.2*1.1+KFC!$C$20)*KFC!$C$5</f>
        <v>76.071600000000018</v>
      </c>
      <c r="R64" s="300">
        <f>(58.6*KFC!$B$20*1.02*1.2*1.1+KFC!$C$20)*KFC!$C$5</f>
        <v>78.899039999999999</v>
      </c>
      <c r="S64" s="300">
        <f>(60.7*KFC!$B$20*1.02*1.2*1.1+KFC!$C$20)*KFC!$C$5</f>
        <v>81.726480000000009</v>
      </c>
      <c r="T64" s="300">
        <f>(62.7*KFC!$B$20*1.02*1.2*1.1+KFC!$C$20)*KFC!$C$5</f>
        <v>84.419280000000001</v>
      </c>
      <c r="U64" s="300">
        <f>(64.8*KFC!$B$20*1.02*1.2*1.1+KFC!$C$20)*KFC!$C$5</f>
        <v>87.24672000000001</v>
      </c>
      <c r="V64" s="300">
        <f>(66.9*KFC!$B$20*1.02*1.2*1.1+KFC!$C$20)*KFC!$C$5</f>
        <v>90.07416000000002</v>
      </c>
      <c r="W64" s="300">
        <f>(69*KFC!$B$20*1.02*1.2*1.1+KFC!$C$20)*KFC!$C$5</f>
        <v>92.901600000000002</v>
      </c>
      <c r="X64" s="300">
        <f>(71.2*KFC!$B$20*1.02*1.2*1.1+KFC!$C$20)*KFC!$C$5</f>
        <v>95.863680000000016</v>
      </c>
      <c r="Y64" s="304">
        <f>(73.3*KFC!$B$20*1.02*1.2*1.1+KFC!$C$20)*KFC!$C$5</f>
        <v>98.691120000000012</v>
      </c>
      <c r="Z64" s="345"/>
      <c r="AA64" s="345"/>
      <c r="AB64" s="345"/>
      <c r="AC64" s="345"/>
    </row>
    <row r="65" spans="1:29">
      <c r="A65" s="1538"/>
      <c r="B65" s="298">
        <v>2</v>
      </c>
      <c r="C65" s="303">
        <f>(27.6*KFC!$B$20*1.02*1.2*1.1+KFC!$C$20)*KFC!$C$5</f>
        <v>37.160640000000008</v>
      </c>
      <c r="D65" s="300">
        <f>(29.8*KFC!$B$20*1.02*1.2*1.1+KFC!$C$20)*KFC!$C$5</f>
        <v>40.122720000000001</v>
      </c>
      <c r="E65" s="300">
        <f>(31.9*KFC!$B$20*1.02*1.2*1.1+KFC!$C$20)*KFC!$C$5</f>
        <v>42.950159999999997</v>
      </c>
      <c r="F65" s="300">
        <f>(34.1*KFC!$B$20*1.02*1.2*1.1+KFC!$C$20)*KFC!$C$5</f>
        <v>45.912240000000011</v>
      </c>
      <c r="G65" s="300">
        <f>(36.2*KFC!$B$20*1.02*1.2*1.1+KFC!$C$20)*KFC!$C$5</f>
        <v>48.739680000000007</v>
      </c>
      <c r="H65" s="300">
        <f>(38.4*KFC!$B$20*1.02*1.2*1.1+KFC!$C$20)*KFC!$C$5</f>
        <v>51.70176</v>
      </c>
      <c r="I65" s="300">
        <f>(40.5*KFC!$B$20*1.02*1.2*1.1+KFC!$C$20)*KFC!$C$5</f>
        <v>54.52920000000001</v>
      </c>
      <c r="J65" s="300">
        <f>(42.7*KFC!$B$20*1.02*1.2*1.1+KFC!$C$20)*KFC!$C$5</f>
        <v>57.491280000000003</v>
      </c>
      <c r="K65" s="300">
        <f>(44.9*KFC!$B$20*1.02*1.2*1.1+KFC!$C$20)*KFC!$C$5</f>
        <v>60.453360000000004</v>
      </c>
      <c r="L65" s="300">
        <f>(47*KFC!$B$20*1.02*1.2*1.1+KFC!$C$20)*KFC!$C$5</f>
        <v>63.280800000000006</v>
      </c>
      <c r="M65" s="300">
        <f>(49.2*KFC!$B$20*1.02*1.2*1.1+KFC!$C$20)*KFC!$C$5</f>
        <v>66.242880000000014</v>
      </c>
      <c r="N65" s="300">
        <f>(51.2*KFC!$B$20*1.02*1.2*1.1+KFC!$C$20)*KFC!$C$5</f>
        <v>68.935680000000005</v>
      </c>
      <c r="O65" s="300">
        <f>(53.4*KFC!$B$20*1.02*1.2*1.1+KFC!$C$20)*KFC!$C$5</f>
        <v>71.897760000000005</v>
      </c>
      <c r="P65" s="300">
        <f>(55.5*KFC!$B$20*1.02*1.2*1.1+KFC!$C$20)*KFC!$C$5</f>
        <v>74.725200000000015</v>
      </c>
      <c r="Q65" s="300">
        <f>(57.7*KFC!$B$20*1.02*1.2*1.1+KFC!$C$20)*KFC!$C$5</f>
        <v>77.687280000000015</v>
      </c>
      <c r="R65" s="300">
        <f>(59.8*KFC!$B$20*1.02*1.2*1.1+KFC!$C$20)*KFC!$C$5</f>
        <v>80.514719999999997</v>
      </c>
      <c r="S65" s="300">
        <f>(62*KFC!$B$20*1.02*1.2*1.1+KFC!$C$20)*KFC!$C$5</f>
        <v>83.476800000000011</v>
      </c>
      <c r="T65" s="300">
        <f>(64.1*KFC!$B$20*1.02*1.2*1.1+KFC!$C$20)*KFC!$C$5</f>
        <v>86.304239999999993</v>
      </c>
      <c r="U65" s="300">
        <f>(66.3*KFC!$B$20*1.02*1.2*1.1+KFC!$C$20)*KFC!$C$5</f>
        <v>89.266320000000007</v>
      </c>
      <c r="V65" s="300">
        <f>(68.4*KFC!$B$20*1.02*1.2*1.1+KFC!$C$20)*KFC!$C$5</f>
        <v>92.093760000000003</v>
      </c>
      <c r="W65" s="300">
        <f>(70.6*KFC!$B$20*1.02*1.2*1.1+KFC!$C$20)*KFC!$C$5</f>
        <v>95.055840000000003</v>
      </c>
      <c r="X65" s="300">
        <f>(72.6*KFC!$B$20*1.02*1.2*1.1+KFC!$C$20)*KFC!$C$5</f>
        <v>97.748639999999995</v>
      </c>
      <c r="Y65" s="304">
        <f>(74.8*KFC!$B$20*1.02*1.2*1.1+KFC!$C$20)*KFC!$C$5</f>
        <v>100.71071999999999</v>
      </c>
      <c r="Z65" s="345"/>
      <c r="AA65" s="345"/>
      <c r="AB65" s="345"/>
      <c r="AC65" s="345"/>
    </row>
    <row r="66" spans="1:29">
      <c r="A66" s="1538"/>
      <c r="B66" s="298">
        <v>2.1</v>
      </c>
      <c r="C66" s="303">
        <f>(28.1*KFC!$B$20*1.02*1.2*1.1+KFC!$C$20)*KFC!$C$5</f>
        <v>37.833840000000009</v>
      </c>
      <c r="D66" s="300">
        <f>(30.3*KFC!$B$20*1.02*1.2*1.1+KFC!$C$20)*KFC!$C$5</f>
        <v>40.79592000000001</v>
      </c>
      <c r="E66" s="300">
        <f>(32.5*KFC!$B$20*1.02*1.2*1.1+KFC!$C$20)*KFC!$C$5</f>
        <v>43.757999999999996</v>
      </c>
      <c r="F66" s="300">
        <f>(34.7*KFC!$B$20*1.02*1.2*1.1+KFC!$C$20)*KFC!$C$5</f>
        <v>46.72008000000001</v>
      </c>
      <c r="G66" s="300">
        <f>(36.9*KFC!$B$20*1.02*1.2*1.1+KFC!$C$20)*KFC!$C$5</f>
        <v>49.682160000000003</v>
      </c>
      <c r="H66" s="300">
        <f>(39.1*KFC!$B$20*1.02*1.2*1.1+KFC!$C$20)*KFC!$C$5</f>
        <v>52.644240000000011</v>
      </c>
      <c r="I66" s="300">
        <f>(41.3*KFC!$B$20*1.02*1.2*1.1+KFC!$C$20)*KFC!$C$5</f>
        <v>55.606319999999997</v>
      </c>
      <c r="J66" s="300">
        <f>(43.5*KFC!$B$20*1.02*1.2*1.1+KFC!$C$20)*KFC!$C$5</f>
        <v>58.568399999999997</v>
      </c>
      <c r="K66" s="300">
        <f>(45.7*KFC!$B$20*1.02*1.2*1.1+KFC!$C$20)*KFC!$C$5</f>
        <v>61.530480000000011</v>
      </c>
      <c r="L66" s="300">
        <f>(47.9*KFC!$B$20*1.02*1.2*1.1+KFC!$C$20)*KFC!$C$5</f>
        <v>64.492559999999997</v>
      </c>
      <c r="M66" s="300">
        <f>(50.1*KFC!$B$20*1.02*1.2*1.1+KFC!$C$20)*KFC!$C$5</f>
        <v>67.454640000000012</v>
      </c>
      <c r="N66" s="300">
        <f>(52.3*KFC!$B$20*1.02*1.2*1.1+KFC!$C$20)*KFC!$C$5</f>
        <v>70.416719999999998</v>
      </c>
      <c r="O66" s="300">
        <f>(54.5*KFC!$B$20*1.02*1.2*1.1+KFC!$C$20)*KFC!$C$5</f>
        <v>73.378799999999998</v>
      </c>
      <c r="P66" s="300">
        <f>(56.7*KFC!$B$20*1.02*1.2*1.1+KFC!$C$20)*KFC!$C$5</f>
        <v>76.340880000000013</v>
      </c>
      <c r="Q66" s="300">
        <f>(58.8*KFC!$B$20*1.02*1.2*1.1+KFC!$C$20)*KFC!$C$5</f>
        <v>79.168320000000008</v>
      </c>
      <c r="R66" s="300">
        <f>(61*KFC!$B$20*1.02*1.2*1.1+KFC!$C$20)*KFC!$C$5</f>
        <v>82.130400000000009</v>
      </c>
      <c r="S66" s="300">
        <f>(63.2*KFC!$B$20*1.02*1.2*1.1+KFC!$C$20)*KFC!$C$5</f>
        <v>85.092479999999995</v>
      </c>
      <c r="T66" s="300">
        <f>(65.4*KFC!$B$20*1.02*1.2*1.1+KFC!$C$20)*KFC!$C$5</f>
        <v>88.054560000000023</v>
      </c>
      <c r="U66" s="300">
        <f>(67.6*KFC!$B$20*1.02*1.2*1.1+KFC!$C$20)*KFC!$C$5</f>
        <v>91.016639999999995</v>
      </c>
      <c r="V66" s="300">
        <f>(69.8*KFC!$B$20*1.02*1.2*1.1+KFC!$C$20)*KFC!$C$5</f>
        <v>93.978719999999996</v>
      </c>
      <c r="W66" s="300">
        <f>(72*KFC!$B$20*1.02*1.2*1.1+KFC!$C$20)*KFC!$C$5</f>
        <v>96.94080000000001</v>
      </c>
      <c r="X66" s="300">
        <f>(74.2*KFC!$B$20*1.02*1.2*1.1+KFC!$C$20)*KFC!$C$5</f>
        <v>99.902879999999996</v>
      </c>
      <c r="Y66" s="304">
        <f>(76.4*KFC!$B$20*1.02*1.2*1.1+KFC!$C$20)*KFC!$C$5</f>
        <v>102.86496000000002</v>
      </c>
      <c r="Z66" s="345"/>
      <c r="AA66" s="345"/>
      <c r="AB66" s="345"/>
      <c r="AC66" s="345"/>
    </row>
    <row r="67" spans="1:29">
      <c r="A67" s="1538"/>
      <c r="B67" s="298">
        <v>2.2000000000000002</v>
      </c>
      <c r="C67" s="303">
        <f>(28.5*KFC!$B$20*1.02*1.2*1.1+KFC!$C$20)*KFC!$C$5</f>
        <v>38.372400000000006</v>
      </c>
      <c r="D67" s="300">
        <f>(30.8*KFC!$B$20*1.02*1.2*1.1+KFC!$C$20)*KFC!$C$5</f>
        <v>41.469120000000004</v>
      </c>
      <c r="E67" s="300">
        <f>(33*KFC!$B$20*1.02*1.2*1.1+KFC!$C$20)*KFC!$C$5</f>
        <v>44.431200000000004</v>
      </c>
      <c r="F67" s="300">
        <f>(35.3*KFC!$B$20*1.02*1.2*1.1+KFC!$C$20)*KFC!$C$5</f>
        <v>47.527920000000002</v>
      </c>
      <c r="G67" s="300">
        <f>(37.5*KFC!$B$20*1.02*1.2*1.1+KFC!$C$20)*KFC!$C$5</f>
        <v>50.49</v>
      </c>
      <c r="H67" s="300">
        <f>(39.7*KFC!$B$20*1.02*1.2*1.1+KFC!$C$20)*KFC!$C$5</f>
        <v>53.452080000000009</v>
      </c>
      <c r="I67" s="300">
        <f>(42.1*KFC!$B$20*1.02*1.2*1.1+KFC!$C$20)*KFC!$C$5</f>
        <v>56.683440000000004</v>
      </c>
      <c r="J67" s="300">
        <f>(44.3*KFC!$B$20*1.02*1.2*1.1+KFC!$C$20)*KFC!$C$5</f>
        <v>59.645520000000005</v>
      </c>
      <c r="K67" s="300">
        <f>(46.6*KFC!$B$20*1.02*1.2*1.1+KFC!$C$20)*KFC!$C$5</f>
        <v>62.74224000000001</v>
      </c>
      <c r="L67" s="300">
        <f>(48.8*KFC!$B$20*1.02*1.2*1.1+KFC!$C$20)*KFC!$C$5</f>
        <v>65.704319999999996</v>
      </c>
      <c r="M67" s="300">
        <f>(51.1*KFC!$B$20*1.02*1.2*1.1+KFC!$C$20)*KFC!$C$5</f>
        <v>68.80104</v>
      </c>
      <c r="N67" s="300">
        <f>(53.3*KFC!$B$20*1.02*1.2*1.1+KFC!$C$20)*KFC!$C$5</f>
        <v>71.763120000000001</v>
      </c>
      <c r="O67" s="300">
        <f>(55.5*KFC!$B$20*1.02*1.2*1.1+KFC!$C$20)*KFC!$C$5</f>
        <v>74.725200000000015</v>
      </c>
      <c r="P67" s="300">
        <f>(57.8*KFC!$B$20*1.02*1.2*1.1+KFC!$C$20)*KFC!$C$5</f>
        <v>77.821919999999992</v>
      </c>
      <c r="Q67" s="300">
        <f>(60*KFC!$B$20*1.02*1.2*1.1+KFC!$C$20)*KFC!$C$5</f>
        <v>80.784000000000006</v>
      </c>
      <c r="R67" s="300">
        <f>(62.4*KFC!$B$20*1.02*1.2*1.1+KFC!$C$20)*KFC!$C$5</f>
        <v>84.015359999999987</v>
      </c>
      <c r="S67" s="300">
        <f>(64.6*KFC!$B$20*1.02*1.2*1.1+KFC!$C$20)*KFC!$C$5</f>
        <v>86.977440000000001</v>
      </c>
      <c r="T67" s="300">
        <f>(66.9*KFC!$B$20*1.02*1.2*1.1+KFC!$C$20)*KFC!$C$5</f>
        <v>90.07416000000002</v>
      </c>
      <c r="U67" s="300">
        <f>(69.1*KFC!$B$20*1.02*1.2*1.1+KFC!$C$20)*KFC!$C$5</f>
        <v>93.036240000000006</v>
      </c>
      <c r="V67" s="300">
        <f>(71.3*KFC!$B$20*1.02*1.2*1.1+KFC!$C$20)*KFC!$C$5</f>
        <v>95.998320000000007</v>
      </c>
      <c r="W67" s="300">
        <f>(73.6*KFC!$B$20*1.02*1.2*1.1+KFC!$C$20)*KFC!$C$5</f>
        <v>99.095039999999983</v>
      </c>
      <c r="X67" s="300">
        <f>(75.8*KFC!$B$20*1.02*1.2*1.1+KFC!$C$20)*KFC!$C$5</f>
        <v>102.05712000000001</v>
      </c>
      <c r="Y67" s="304">
        <f>(78.1*KFC!$B$20*1.02*1.2*1.1+KFC!$C$20)*KFC!$C$5</f>
        <v>105.15384</v>
      </c>
      <c r="Z67" s="345"/>
      <c r="AA67" s="345"/>
      <c r="AB67" s="345"/>
      <c r="AC67" s="345"/>
    </row>
    <row r="68" spans="1:29">
      <c r="A68" s="1538"/>
      <c r="B68" s="298">
        <v>2.2999999999999998</v>
      </c>
      <c r="C68" s="303">
        <f>(29*KFC!$B$20*1.02*1.2*1.1+KFC!$C$20)*KFC!$C$5</f>
        <v>39.045600000000007</v>
      </c>
      <c r="D68" s="300">
        <f>(31.3*KFC!$B$20*1.02*1.2*1.1+KFC!$C$20)*KFC!$C$5</f>
        <v>42.142320000000005</v>
      </c>
      <c r="E68" s="300">
        <f>(33.6*KFC!$B$20*1.02*1.2*1.1+KFC!$C$20)*KFC!$C$5</f>
        <v>45.23904000000001</v>
      </c>
      <c r="F68" s="300">
        <f>(35.8*KFC!$B$20*1.02*1.2*1.1+KFC!$C$20)*KFC!$C$5</f>
        <v>48.201119999999996</v>
      </c>
      <c r="G68" s="300">
        <f>(38.2*KFC!$B$20*1.02*1.2*1.1+KFC!$C$20)*KFC!$C$5</f>
        <v>51.432480000000012</v>
      </c>
      <c r="H68" s="300">
        <f>(40.5*KFC!$B$20*1.02*1.2*1.1+KFC!$C$20)*KFC!$C$5</f>
        <v>54.52920000000001</v>
      </c>
      <c r="I68" s="300">
        <f>(42.8*KFC!$B$20*1.02*1.2*1.1+KFC!$C$20)*KFC!$C$5</f>
        <v>57.625920000000008</v>
      </c>
      <c r="J68" s="300">
        <f>(45.1*KFC!$B$20*1.02*1.2*1.1+KFC!$C$20)*KFC!$C$5</f>
        <v>60.722640000000013</v>
      </c>
      <c r="K68" s="300">
        <f>(47.5*KFC!$B$20*1.02*1.2*1.1+KFC!$C$20)*KFC!$C$5</f>
        <v>63.954000000000008</v>
      </c>
      <c r="L68" s="300">
        <f>(49.8*KFC!$B$20*1.02*1.2*1.1+KFC!$C$20)*KFC!$C$5</f>
        <v>67.050719999999998</v>
      </c>
      <c r="M68" s="300">
        <f>(52.1*KFC!$B$20*1.02*1.2*1.1+KFC!$C$20)*KFC!$C$5</f>
        <v>70.147440000000003</v>
      </c>
      <c r="N68" s="300">
        <f>(54.3*KFC!$B$20*1.02*1.2*1.1+KFC!$C$20)*KFC!$C$5</f>
        <v>73.109519999999989</v>
      </c>
      <c r="O68" s="300">
        <f>(56.6*KFC!$B$20*1.02*1.2*1.1+KFC!$C$20)*KFC!$C$5</f>
        <v>76.206239999999994</v>
      </c>
      <c r="P68" s="300">
        <f>(58.9*KFC!$B$20*1.02*1.2*1.1+KFC!$C$20)*KFC!$C$5</f>
        <v>79.302959999999999</v>
      </c>
      <c r="Q68" s="300">
        <f>(61.3*KFC!$B$20*1.02*1.2*1.1+KFC!$C$20)*KFC!$C$5</f>
        <v>82.534320000000008</v>
      </c>
      <c r="R68" s="300">
        <f>(63.6*KFC!$B$20*1.02*1.2*1.1+KFC!$C$20)*KFC!$C$5</f>
        <v>85.631040000000013</v>
      </c>
      <c r="S68" s="300">
        <f>(65.9*KFC!$B$20*1.02*1.2*1.1+KFC!$C$20)*KFC!$C$5</f>
        <v>88.727760000000018</v>
      </c>
      <c r="T68" s="300">
        <f>(68.2*KFC!$B$20*1.02*1.2*1.1+KFC!$C$20)*KFC!$C$5</f>
        <v>91.824480000000023</v>
      </c>
      <c r="U68" s="300">
        <f>(70.6*KFC!$B$20*1.02*1.2*1.1+KFC!$C$20)*KFC!$C$5</f>
        <v>95.055840000000003</v>
      </c>
      <c r="V68" s="300">
        <f>(72.8*KFC!$B$20*1.02*1.2*1.1+KFC!$C$20)*KFC!$C$5</f>
        <v>98.017920000000004</v>
      </c>
      <c r="W68" s="300">
        <f>(75.1*KFC!$B$20*1.02*1.2*1.1+KFC!$C$20)*KFC!$C$5</f>
        <v>101.11463999999999</v>
      </c>
      <c r="X68" s="300">
        <f>(77.4*KFC!$B$20*1.02*1.2*1.1+KFC!$C$20)*KFC!$C$5</f>
        <v>104.21136000000001</v>
      </c>
      <c r="Y68" s="304">
        <f>(79.7*KFC!$B$20*1.02*1.2*1.1+KFC!$C$20)*KFC!$C$5</f>
        <v>107.30808000000002</v>
      </c>
      <c r="Z68" s="345"/>
      <c r="AA68" s="345"/>
      <c r="AB68" s="345"/>
      <c r="AC68" s="345"/>
    </row>
    <row r="69" spans="1:29">
      <c r="A69" s="1538"/>
      <c r="B69" s="298">
        <v>2.4</v>
      </c>
      <c r="C69" s="303">
        <f>(29.4*KFC!$B$20*1.02*1.2*1.1+KFC!$C$20)*KFC!$C$5</f>
        <v>39.584160000000004</v>
      </c>
      <c r="D69" s="300">
        <f>(31.8*KFC!$B$20*1.02*1.2*1.1+KFC!$C$20)*KFC!$C$5</f>
        <v>42.815520000000006</v>
      </c>
      <c r="E69" s="300">
        <f>(34.1*KFC!$B$20*1.02*1.2*1.1+KFC!$C$20)*KFC!$C$5</f>
        <v>45.912240000000011</v>
      </c>
      <c r="F69" s="300">
        <f>(36.4*KFC!$B$20*1.02*1.2*1.1+KFC!$C$20)*KFC!$C$5</f>
        <v>49.008960000000002</v>
      </c>
      <c r="G69" s="300">
        <f>(38.9*KFC!$B$20*1.02*1.2*1.1+KFC!$C$20)*KFC!$C$5</f>
        <v>52.374960000000002</v>
      </c>
      <c r="H69" s="300">
        <f>(41.2*KFC!$B$20*1.02*1.2*1.1+KFC!$C$20)*KFC!$C$5</f>
        <v>55.471680000000006</v>
      </c>
      <c r="I69" s="300">
        <f>(43.5*KFC!$B$20*1.02*1.2*1.1+KFC!$C$20)*KFC!$C$5</f>
        <v>58.568399999999997</v>
      </c>
      <c r="J69" s="300">
        <f>(46*KFC!$B$20*1.02*1.2*1.1+KFC!$C$20)*KFC!$C$5</f>
        <v>61.934400000000011</v>
      </c>
      <c r="K69" s="300">
        <f>(48.3*KFC!$B$20*1.02*1.2*1.1+KFC!$C$20)*KFC!$C$5</f>
        <v>65.031120000000001</v>
      </c>
      <c r="L69" s="300">
        <f>(50.6*KFC!$B$20*1.02*1.2*1.1+KFC!$C$20)*KFC!$C$5</f>
        <v>68.127840000000006</v>
      </c>
      <c r="M69" s="300">
        <f>(53.1*KFC!$B$20*1.02*1.2*1.1+KFC!$C$20)*KFC!$C$5</f>
        <v>71.493840000000006</v>
      </c>
      <c r="N69" s="300">
        <f>(55.4*KFC!$B$20*1.02*1.2*1.1+KFC!$C$20)*KFC!$C$5</f>
        <v>74.590560000000011</v>
      </c>
      <c r="O69" s="300">
        <f>(57.7*KFC!$B$20*1.02*1.2*1.1+KFC!$C$20)*KFC!$C$5</f>
        <v>77.687280000000015</v>
      </c>
      <c r="P69" s="300">
        <f>(60*KFC!$B$20*1.02*1.2*1.1+KFC!$C$20)*KFC!$C$5</f>
        <v>80.784000000000006</v>
      </c>
      <c r="Q69" s="300">
        <f>(62.5*KFC!$B$20*1.02*1.2*1.1+KFC!$C$20)*KFC!$C$5</f>
        <v>84.15</v>
      </c>
      <c r="R69" s="300">
        <f>(64.8*KFC!$B$20*1.02*1.2*1.1+KFC!$C$20)*KFC!$C$5</f>
        <v>87.24672000000001</v>
      </c>
      <c r="S69" s="300">
        <f>(67.1*KFC!$B$20*1.02*1.2*1.1+KFC!$C$20)*KFC!$C$5</f>
        <v>90.343440000000001</v>
      </c>
      <c r="T69" s="300">
        <f>(69.6*KFC!$B$20*1.02*1.2*1.1+KFC!$C$20)*KFC!$C$5</f>
        <v>93.709439999999987</v>
      </c>
      <c r="U69" s="300">
        <f>(71.9*KFC!$B$20*1.02*1.2*1.1+KFC!$C$20)*KFC!$C$5</f>
        <v>96.806160000000006</v>
      </c>
      <c r="V69" s="300">
        <f>(74.2*KFC!$B$20*1.02*1.2*1.1+KFC!$C$20)*KFC!$C$5</f>
        <v>99.902879999999996</v>
      </c>
      <c r="W69" s="300">
        <f>(76.7*KFC!$B$20*1.02*1.2*1.1+KFC!$C$20)*KFC!$C$5</f>
        <v>103.26888000000001</v>
      </c>
      <c r="X69" s="300">
        <f>(79*KFC!$B$20*1.02*1.2*1.1+KFC!$C$20)*KFC!$C$5</f>
        <v>106.3656</v>
      </c>
      <c r="Y69" s="304">
        <f>(81.3*KFC!$B$20*1.02*1.2*1.1+KFC!$C$20)*KFC!$C$5</f>
        <v>109.46232000000001</v>
      </c>
      <c r="Z69" s="345"/>
      <c r="AA69" s="345"/>
      <c r="AB69" s="345"/>
      <c r="AC69" s="345"/>
    </row>
    <row r="70" spans="1:29">
      <c r="A70" s="1538"/>
      <c r="B70" s="298">
        <v>2.5</v>
      </c>
      <c r="C70" s="303">
        <f>(29.8*KFC!$B$20*1.02*1.2*1.1+KFC!$C$20)*KFC!$C$5</f>
        <v>40.122720000000001</v>
      </c>
      <c r="D70" s="300">
        <f>(32.3*KFC!$B$20*1.02*1.2*1.1+KFC!$C$20)*KFC!$C$5</f>
        <v>43.488720000000001</v>
      </c>
      <c r="E70" s="300">
        <f>(34.6*KFC!$B$20*1.02*1.2*1.1+KFC!$C$20)*KFC!$C$5</f>
        <v>46.585440000000006</v>
      </c>
      <c r="F70" s="300">
        <f>(37.1*KFC!$B$20*1.02*1.2*1.1+KFC!$C$20)*KFC!$C$5</f>
        <v>49.951439999999998</v>
      </c>
      <c r="G70" s="300">
        <f>(39.5*KFC!$B$20*1.02*1.2*1.1+KFC!$C$20)*KFC!$C$5</f>
        <v>53.1828</v>
      </c>
      <c r="H70" s="300">
        <f>(41.9*KFC!$B$20*1.02*1.2*1.1+KFC!$C$20)*KFC!$C$5</f>
        <v>56.414160000000003</v>
      </c>
      <c r="I70" s="300">
        <f>(44.3*KFC!$B$20*1.02*1.2*1.1+KFC!$C$20)*KFC!$C$5</f>
        <v>59.645520000000005</v>
      </c>
      <c r="J70" s="300">
        <f>(46.7*KFC!$B$20*1.02*1.2*1.1+KFC!$C$20)*KFC!$C$5</f>
        <v>62.876880000000007</v>
      </c>
      <c r="K70" s="300">
        <f>(49.2*KFC!$B$20*1.02*1.2*1.1+KFC!$C$20)*KFC!$C$5</f>
        <v>66.242880000000014</v>
      </c>
      <c r="L70" s="300">
        <f>(51.6*KFC!$B$20*1.02*1.2*1.1+KFC!$C$20)*KFC!$C$5</f>
        <v>69.474240000000009</v>
      </c>
      <c r="M70" s="300">
        <f>(53.9*KFC!$B$20*1.02*1.2*1.1+KFC!$C$20)*KFC!$C$5</f>
        <v>72.570960000000014</v>
      </c>
      <c r="N70" s="300">
        <f>(56.4*KFC!$B$20*1.02*1.2*1.1+KFC!$C$20)*KFC!$C$5</f>
        <v>75.936959999999999</v>
      </c>
      <c r="O70" s="300">
        <f>(58.8*KFC!$B$20*1.02*1.2*1.1+KFC!$C$20)*KFC!$C$5</f>
        <v>79.168320000000008</v>
      </c>
      <c r="P70" s="300">
        <f>(61.3*KFC!$B$20*1.02*1.2*1.1+KFC!$C$20)*KFC!$C$5</f>
        <v>82.534320000000008</v>
      </c>
      <c r="Q70" s="300">
        <f>(63.7*KFC!$B$20*1.02*1.2*1.1+KFC!$C$20)*KFC!$C$5</f>
        <v>85.765680000000003</v>
      </c>
      <c r="R70" s="300">
        <f>(66*KFC!$B$20*1.02*1.2*1.1+KFC!$C$20)*KFC!$C$5</f>
        <v>88.862400000000008</v>
      </c>
      <c r="S70" s="300">
        <f>(68.5*KFC!$B$20*1.02*1.2*1.1+KFC!$C$20)*KFC!$C$5</f>
        <v>92.228400000000022</v>
      </c>
      <c r="T70" s="300">
        <f>(70.9*KFC!$B$20*1.02*1.2*1.1+KFC!$C$20)*KFC!$C$5</f>
        <v>95.459760000000017</v>
      </c>
      <c r="U70" s="300">
        <f>(73.4*KFC!$B$20*1.02*1.2*1.1+KFC!$C$20)*KFC!$C$5</f>
        <v>98.825760000000017</v>
      </c>
      <c r="V70" s="300">
        <f>(75.7*KFC!$B$20*1.02*1.2*1.1+KFC!$C$20)*KFC!$C$5</f>
        <v>101.92247999999999</v>
      </c>
      <c r="W70" s="300">
        <f>(78.1*KFC!$B$20*1.02*1.2*1.1+KFC!$C$20)*KFC!$C$5</f>
        <v>105.15384</v>
      </c>
      <c r="X70" s="300">
        <f>(80.6*KFC!$B$20*1.02*1.2*1.1+KFC!$C$20)*KFC!$C$5</f>
        <v>108.51983999999999</v>
      </c>
      <c r="Y70" s="304">
        <f>(83*KFC!$B$20*1.02*1.2*1.1+KFC!$C$20)*KFC!$C$5</f>
        <v>111.75120000000001</v>
      </c>
      <c r="Z70" s="345"/>
      <c r="AA70" s="345"/>
      <c r="AB70" s="345"/>
      <c r="AC70" s="345"/>
    </row>
    <row r="71" spans="1:29">
      <c r="A71" s="1538"/>
      <c r="B71" s="298">
        <v>2.6</v>
      </c>
      <c r="C71" s="303">
        <f>(30.2*KFC!$B$20*1.02*1.2*1.1+KFC!$C$20)*KFC!$C$5</f>
        <v>40.661279999999998</v>
      </c>
      <c r="D71" s="300">
        <f>(32.8*KFC!$B$20*1.02*1.2*1.1+KFC!$C$20)*KFC!$C$5</f>
        <v>44.161919999999995</v>
      </c>
      <c r="E71" s="300">
        <f>(35.2*KFC!$B$20*1.02*1.2*1.1+KFC!$C$20)*KFC!$C$5</f>
        <v>47.393280000000004</v>
      </c>
      <c r="F71" s="300">
        <f>(37.7*KFC!$B$20*1.02*1.2*1.1+KFC!$C$20)*KFC!$C$5</f>
        <v>50.759279999999997</v>
      </c>
      <c r="G71" s="300">
        <f>(40.1*KFC!$B$20*1.02*1.2*1.1+KFC!$C$20)*KFC!$C$5</f>
        <v>53.990640000000006</v>
      </c>
      <c r="H71" s="300">
        <f>(42.6*KFC!$B$20*1.02*1.2*1.1+KFC!$C$20)*KFC!$C$5</f>
        <v>57.356640000000006</v>
      </c>
      <c r="I71" s="300">
        <f>(45.1*KFC!$B$20*1.02*1.2*1.1+KFC!$C$20)*KFC!$C$5</f>
        <v>60.722640000000013</v>
      </c>
      <c r="J71" s="300">
        <f>(47.6*KFC!$B$20*1.02*1.2*1.1+KFC!$C$20)*KFC!$C$5</f>
        <v>64.088639999999998</v>
      </c>
      <c r="K71" s="300">
        <f>(50*KFC!$B$20*1.02*1.2*1.1+KFC!$C$20)*KFC!$C$5</f>
        <v>67.320000000000007</v>
      </c>
      <c r="L71" s="300">
        <f>(52.5*KFC!$B$20*1.02*1.2*1.1+KFC!$C$20)*KFC!$C$5</f>
        <v>70.686000000000007</v>
      </c>
      <c r="M71" s="300">
        <f>(54.9*KFC!$B$20*1.02*1.2*1.1+KFC!$C$20)*KFC!$C$5</f>
        <v>73.917360000000002</v>
      </c>
      <c r="N71" s="300">
        <f>(57.5*KFC!$B$20*1.02*1.2*1.1+KFC!$C$20)*KFC!$C$5</f>
        <v>77.418000000000006</v>
      </c>
      <c r="O71" s="300">
        <f>(59.9*KFC!$B$20*1.02*1.2*1.1+KFC!$C$20)*KFC!$C$5</f>
        <v>80.649360000000001</v>
      </c>
      <c r="P71" s="300">
        <f>(62.4*KFC!$B$20*1.02*1.2*1.1+KFC!$C$20)*KFC!$C$5</f>
        <v>84.015359999999987</v>
      </c>
      <c r="Q71" s="300">
        <f>(64.8*KFC!$B$20*1.02*1.2*1.1+KFC!$C$20)*KFC!$C$5</f>
        <v>87.24672000000001</v>
      </c>
      <c r="R71" s="300">
        <f>(67.4*KFC!$B$20*1.02*1.2*1.1+KFC!$C$20)*KFC!$C$5</f>
        <v>90.747360000000015</v>
      </c>
      <c r="S71" s="300">
        <f>(69.8*KFC!$B$20*1.02*1.2*1.1+KFC!$C$20)*KFC!$C$5</f>
        <v>93.978719999999996</v>
      </c>
      <c r="T71" s="300">
        <f>(72.3*KFC!$B$20*1.02*1.2*1.1+KFC!$C$20)*KFC!$C$5</f>
        <v>97.344720000000009</v>
      </c>
      <c r="U71" s="300">
        <f>(74.7*KFC!$B$20*1.02*1.2*1.1+KFC!$C$20)*KFC!$C$5</f>
        <v>100.57608</v>
      </c>
      <c r="V71" s="300">
        <f>(77.2*KFC!$B$20*1.02*1.2*1.1+KFC!$C$20)*KFC!$C$5</f>
        <v>103.94208</v>
      </c>
      <c r="W71" s="300">
        <f>(79.7*KFC!$B$20*1.02*1.2*1.1+KFC!$C$20)*KFC!$C$5</f>
        <v>107.30808000000002</v>
      </c>
      <c r="X71" s="300">
        <f>(82.2*KFC!$B$20*1.02*1.2*1.1+KFC!$C$20)*KFC!$C$5</f>
        <v>110.67408000000002</v>
      </c>
      <c r="Y71" s="304">
        <f>(84.6*KFC!$B$20*1.02*1.2*1.1+KFC!$C$20)*KFC!$C$5</f>
        <v>113.90544</v>
      </c>
      <c r="Z71" s="345"/>
      <c r="AA71" s="345"/>
      <c r="AB71" s="345"/>
      <c r="AC71" s="345"/>
    </row>
    <row r="72" spans="1:29">
      <c r="A72" s="1538"/>
      <c r="B72" s="298">
        <v>2.7</v>
      </c>
      <c r="C72" s="303">
        <f>(30.7*KFC!$B$20*1.02*1.2*1.1+KFC!$C$20)*KFC!$C$5</f>
        <v>41.334479999999999</v>
      </c>
      <c r="D72" s="300">
        <f>(33.1*KFC!$B$20*1.02*1.2*1.1+KFC!$C$20)*KFC!$C$5</f>
        <v>44.565840000000009</v>
      </c>
      <c r="E72" s="300">
        <f>(35.7*KFC!$B$20*1.02*1.2*1.1+KFC!$C$20)*KFC!$C$5</f>
        <v>48.066480000000006</v>
      </c>
      <c r="F72" s="300">
        <f>(38.3*KFC!$B$20*1.02*1.2*1.1+KFC!$C$20)*KFC!$C$5</f>
        <v>51.567119999999996</v>
      </c>
      <c r="G72" s="300">
        <f>(40.7*KFC!$B$20*1.02*1.2*1.1+KFC!$C$20)*KFC!$C$5</f>
        <v>54.798480000000005</v>
      </c>
      <c r="H72" s="300">
        <f>(43.3*KFC!$B$20*1.02*1.2*1.1+KFC!$C$20)*KFC!$C$5</f>
        <v>58.299120000000002</v>
      </c>
      <c r="I72" s="300">
        <f>(45.9*KFC!$B$20*1.02*1.2*1.1+KFC!$C$20)*KFC!$C$5</f>
        <v>61.799759999999999</v>
      </c>
      <c r="J72" s="300">
        <f>(48.3*KFC!$B$20*1.02*1.2*1.1+KFC!$C$20)*KFC!$C$5</f>
        <v>65.031120000000001</v>
      </c>
      <c r="K72" s="300">
        <f>(50.9*KFC!$B$20*1.02*1.2*1.1+KFC!$C$20)*KFC!$C$5</f>
        <v>68.531759999999991</v>
      </c>
      <c r="L72" s="300">
        <f>(53.4*KFC!$B$20*1.02*1.2*1.1+KFC!$C$20)*KFC!$C$5</f>
        <v>71.897760000000005</v>
      </c>
      <c r="M72" s="300">
        <f>(55.9*KFC!$B$20*1.02*1.2*1.1+KFC!$C$20)*KFC!$C$5</f>
        <v>75.263760000000005</v>
      </c>
      <c r="N72" s="300">
        <f>(58.5*KFC!$B$20*1.02*1.2*1.1+KFC!$C$20)*KFC!$C$5</f>
        <v>78.764400000000009</v>
      </c>
      <c r="O72" s="300">
        <f>(61*KFC!$B$20*1.02*1.2*1.1+KFC!$C$20)*KFC!$C$5</f>
        <v>82.130400000000009</v>
      </c>
      <c r="P72" s="300">
        <f>(63.5*KFC!$B$20*1.02*1.2*1.1+KFC!$C$20)*KFC!$C$5</f>
        <v>85.496399999999994</v>
      </c>
      <c r="Q72" s="300">
        <f>(66*KFC!$B$20*1.02*1.2*1.1+KFC!$C$20)*KFC!$C$5</f>
        <v>88.862400000000008</v>
      </c>
      <c r="R72" s="300">
        <f>(68.6*KFC!$B$20*1.02*1.2*1.1+KFC!$C$20)*KFC!$C$5</f>
        <v>92.363039999999998</v>
      </c>
      <c r="S72" s="300">
        <f>(71.1*KFC!$B$20*1.02*1.2*1.1+KFC!$C$20)*KFC!$C$5</f>
        <v>95.729039999999983</v>
      </c>
      <c r="T72" s="300">
        <f>(73.6*KFC!$B$20*1.02*1.2*1.1+KFC!$C$20)*KFC!$C$5</f>
        <v>99.095039999999983</v>
      </c>
      <c r="U72" s="300">
        <f>(76.2*KFC!$B$20*1.02*1.2*1.1+KFC!$C$20)*KFC!$C$5</f>
        <v>102.59568</v>
      </c>
      <c r="V72" s="300">
        <f>(78.6*KFC!$B$20*1.02*1.2*1.1+KFC!$C$20)*KFC!$C$5</f>
        <v>105.82704</v>
      </c>
      <c r="W72" s="300">
        <f>(81.2*KFC!$B$20*1.02*1.2*1.1+KFC!$C$20)*KFC!$C$5</f>
        <v>109.32768</v>
      </c>
      <c r="X72" s="300">
        <f>(83.8*KFC!$B$20*1.02*1.2*1.1+KFC!$C$20)*KFC!$C$5</f>
        <v>112.82832000000001</v>
      </c>
      <c r="Y72" s="304">
        <f>(86.2*KFC!$B$20*1.02*1.2*1.1+KFC!$C$20)*KFC!$C$5</f>
        <v>116.05968000000001</v>
      </c>
      <c r="Z72" s="345"/>
      <c r="AA72" s="345"/>
      <c r="AB72" s="345"/>
      <c r="AC72" s="345"/>
    </row>
    <row r="73" spans="1:29">
      <c r="A73" s="1538"/>
      <c r="B73" s="298">
        <v>2.8</v>
      </c>
      <c r="C73" s="303">
        <f>(31.1*KFC!$B$20*1.02*1.2*1.1+KFC!$C$20)*KFC!$C$5</f>
        <v>41.873040000000003</v>
      </c>
      <c r="D73" s="300">
        <f>(33.6*KFC!$B$20*1.02*1.2*1.1+KFC!$C$20)*KFC!$C$5</f>
        <v>45.23904000000001</v>
      </c>
      <c r="E73" s="300">
        <f>(36.3*KFC!$B$20*1.02*1.2*1.1+KFC!$C$20)*KFC!$C$5</f>
        <v>48.874319999999997</v>
      </c>
      <c r="F73" s="300">
        <f>(38.9*KFC!$B$20*1.02*1.2*1.1+KFC!$C$20)*KFC!$C$5</f>
        <v>52.374960000000002</v>
      </c>
      <c r="G73" s="300">
        <f>(41.5*KFC!$B$20*1.02*1.2*1.1+KFC!$C$20)*KFC!$C$5</f>
        <v>55.875600000000006</v>
      </c>
      <c r="H73" s="300">
        <f>(44*KFC!$B$20*1.02*1.2*1.1+KFC!$C$20)*KFC!$C$5</f>
        <v>59.241600000000005</v>
      </c>
      <c r="I73" s="300">
        <f>(46.6*KFC!$B$20*1.02*1.2*1.1+KFC!$C$20)*KFC!$C$5</f>
        <v>62.74224000000001</v>
      </c>
      <c r="J73" s="300">
        <f>(49.2*KFC!$B$20*1.02*1.2*1.1+KFC!$C$20)*KFC!$C$5</f>
        <v>66.242880000000014</v>
      </c>
      <c r="K73" s="300">
        <f>(51.7*KFC!$B$20*1.02*1.2*1.1+KFC!$C$20)*KFC!$C$5</f>
        <v>69.608879999999999</v>
      </c>
      <c r="L73" s="300">
        <f>(54.3*KFC!$B$20*1.02*1.2*1.1+KFC!$C$20)*KFC!$C$5</f>
        <v>73.109519999999989</v>
      </c>
      <c r="M73" s="300">
        <f>(56.9*KFC!$B$20*1.02*1.2*1.1+KFC!$C$20)*KFC!$C$5</f>
        <v>76.610159999999993</v>
      </c>
      <c r="N73" s="300">
        <f>(59.6*KFC!$B$20*1.02*1.2*1.1+KFC!$C$20)*KFC!$C$5</f>
        <v>80.245440000000002</v>
      </c>
      <c r="O73" s="300">
        <f>(62.1*KFC!$B$20*1.02*1.2*1.1+KFC!$C$20)*KFC!$C$5</f>
        <v>83.611440000000016</v>
      </c>
      <c r="P73" s="300">
        <f>(64.7*KFC!$B$20*1.02*1.2*1.1+KFC!$C$20)*KFC!$C$5</f>
        <v>87.112079999999992</v>
      </c>
      <c r="Q73" s="300">
        <f>(67.3*KFC!$B$20*1.02*1.2*1.1+KFC!$C$20)*KFC!$C$5</f>
        <v>90.612719999999996</v>
      </c>
      <c r="R73" s="300">
        <f>(69.8*KFC!$B$20*1.02*1.2*1.1+KFC!$C$20)*KFC!$C$5</f>
        <v>93.978719999999996</v>
      </c>
      <c r="S73" s="300">
        <f>(72.4*KFC!$B$20*1.02*1.2*1.1+KFC!$C$20)*KFC!$C$5</f>
        <v>97.479360000000014</v>
      </c>
      <c r="T73" s="300">
        <f>(75*KFC!$B$20*1.02*1.2*1.1+KFC!$C$20)*KFC!$C$5</f>
        <v>100.98</v>
      </c>
      <c r="U73" s="300">
        <f>(77.5*KFC!$B$20*1.02*1.2*1.1+KFC!$C$20)*KFC!$C$5</f>
        <v>104.346</v>
      </c>
      <c r="V73" s="300">
        <f>(80.1*KFC!$B$20*1.02*1.2*1.1+KFC!$C$20)*KFC!$C$5</f>
        <v>107.84664000000001</v>
      </c>
      <c r="W73" s="300">
        <f>(82.8*KFC!$B$20*1.02*1.2*1.1+KFC!$C$20)*KFC!$C$5</f>
        <v>111.48192000000002</v>
      </c>
      <c r="X73" s="300">
        <f>(85.4*KFC!$B$20*1.02*1.2*1.1+KFC!$C$20)*KFC!$C$5</f>
        <v>114.98256000000001</v>
      </c>
      <c r="Y73" s="304">
        <f>(87.9*KFC!$B$20*1.02*1.2*1.1+KFC!$C$20)*KFC!$C$5</f>
        <v>118.34856000000002</v>
      </c>
      <c r="Z73" s="345"/>
      <c r="AA73" s="345"/>
      <c r="AB73" s="345"/>
      <c r="AC73" s="345"/>
    </row>
    <row r="74" spans="1:29">
      <c r="A74" s="1538"/>
      <c r="B74" s="298">
        <v>2.9</v>
      </c>
      <c r="C74" s="303">
        <f>(31.6*KFC!$B$20*1.02*1.2*1.1+KFC!$C$20)*KFC!$C$5</f>
        <v>42.546239999999997</v>
      </c>
      <c r="D74" s="300">
        <f>(34.1*KFC!$B$20*1.02*1.2*1.1+KFC!$C$20)*KFC!$C$5</f>
        <v>45.912240000000011</v>
      </c>
      <c r="E74" s="300">
        <f>(36.8*KFC!$B$20*1.02*1.2*1.1+KFC!$C$20)*KFC!$C$5</f>
        <v>49.547519999999992</v>
      </c>
      <c r="F74" s="300">
        <f>(39.5*KFC!$B$20*1.02*1.2*1.1+KFC!$C$20)*KFC!$C$5</f>
        <v>53.1828</v>
      </c>
      <c r="G74" s="300">
        <f>(42.1*KFC!$B$20*1.02*1.2*1.1+KFC!$C$20)*KFC!$C$5</f>
        <v>56.683440000000004</v>
      </c>
      <c r="H74" s="300">
        <f>(44.8*KFC!$B$20*1.02*1.2*1.1+KFC!$C$20)*KFC!$C$5</f>
        <v>60.318719999999999</v>
      </c>
      <c r="I74" s="300">
        <f>(47.3*KFC!$B$20*1.02*1.2*1.1+KFC!$C$20)*KFC!$C$5</f>
        <v>63.684719999999992</v>
      </c>
      <c r="J74" s="300">
        <f>(50*KFC!$B$20*1.02*1.2*1.1+KFC!$C$20)*KFC!$C$5</f>
        <v>67.320000000000007</v>
      </c>
      <c r="K74" s="300">
        <f>(52.6*KFC!$B$20*1.02*1.2*1.1+KFC!$C$20)*KFC!$C$5</f>
        <v>70.820640000000012</v>
      </c>
      <c r="L74" s="300">
        <f>(55.3*KFC!$B$20*1.02*1.2*1.1+KFC!$C$20)*KFC!$C$5</f>
        <v>74.455919999999992</v>
      </c>
      <c r="M74" s="300">
        <f>(57.8*KFC!$B$20*1.02*1.2*1.1+KFC!$C$20)*KFC!$C$5</f>
        <v>77.821919999999992</v>
      </c>
      <c r="N74" s="300">
        <f>(60.5*KFC!$B$20*1.02*1.2*1.1+KFC!$C$20)*KFC!$C$5</f>
        <v>81.4572</v>
      </c>
      <c r="O74" s="300">
        <f>(63.2*KFC!$B$20*1.02*1.2*1.1+KFC!$C$20)*KFC!$C$5</f>
        <v>85.092479999999995</v>
      </c>
      <c r="P74" s="300">
        <f>(65.8*KFC!$B$20*1.02*1.2*1.1+KFC!$C$20)*KFC!$C$5</f>
        <v>88.593119999999999</v>
      </c>
      <c r="Q74" s="300">
        <f>(68.5*KFC!$B$20*1.02*1.2*1.1+KFC!$C$20)*KFC!$C$5</f>
        <v>92.228400000000022</v>
      </c>
      <c r="R74" s="300">
        <f>(71.1*KFC!$B$20*1.02*1.2*1.1+KFC!$C$20)*KFC!$C$5</f>
        <v>95.729039999999983</v>
      </c>
      <c r="S74" s="300">
        <f>(73.7*KFC!$B$20*1.02*1.2*1.1+KFC!$C$20)*KFC!$C$5</f>
        <v>99.229680000000016</v>
      </c>
      <c r="T74" s="300">
        <f>(76.3*KFC!$B$20*1.02*1.2*1.1+KFC!$C$20)*KFC!$C$5</f>
        <v>102.73031999999999</v>
      </c>
      <c r="U74" s="300">
        <f>(79*KFC!$B$20*1.02*1.2*1.1+KFC!$C$20)*KFC!$C$5</f>
        <v>106.3656</v>
      </c>
      <c r="V74" s="300">
        <f>(81.6*KFC!$B$20*1.02*1.2*1.1+KFC!$C$20)*KFC!$C$5</f>
        <v>109.86624</v>
      </c>
      <c r="W74" s="300">
        <f>(84.3*KFC!$B$20*1.02*1.2*1.1+KFC!$C$20)*KFC!$C$5</f>
        <v>113.50152000000001</v>
      </c>
      <c r="X74" s="300">
        <f>(87*KFC!$B$20*1.02*1.2*1.1+KFC!$C$20)*KFC!$C$5</f>
        <v>117.13679999999999</v>
      </c>
      <c r="Y74" s="304">
        <f>(89.5*KFC!$B$20*1.02*1.2*1.1+KFC!$C$20)*KFC!$C$5</f>
        <v>120.50280000000001</v>
      </c>
      <c r="Z74" s="345"/>
      <c r="AA74" s="345"/>
      <c r="AB74" s="345"/>
      <c r="AC74" s="345"/>
    </row>
    <row r="75" spans="1:29">
      <c r="A75" s="1538"/>
      <c r="B75" s="298">
        <v>3</v>
      </c>
      <c r="C75" s="303">
        <f>(31.9*KFC!$B$20*1.02*1.2*1.1+KFC!$C$20)*KFC!$C$5</f>
        <v>42.950159999999997</v>
      </c>
      <c r="D75" s="300">
        <f>(34.6*KFC!$B$20*1.02*1.2*1.1+KFC!$C$20)*KFC!$C$5</f>
        <v>46.585440000000006</v>
      </c>
      <c r="E75" s="300">
        <f>(37.3*KFC!$B$20*1.02*1.2*1.1+KFC!$C$20)*KFC!$C$5</f>
        <v>50.220720000000007</v>
      </c>
      <c r="F75" s="300">
        <f>(40*KFC!$B$20*1.02*1.2*1.1+KFC!$C$20)*KFC!$C$5</f>
        <v>53.855999999999995</v>
      </c>
      <c r="G75" s="300">
        <f>(42.7*KFC!$B$20*1.02*1.2*1.1+KFC!$C$20)*KFC!$C$5</f>
        <v>57.491280000000003</v>
      </c>
      <c r="H75" s="300">
        <f>(45.4*KFC!$B$20*1.02*1.2*1.1+KFC!$C$20)*KFC!$C$5</f>
        <v>61.126560000000005</v>
      </c>
      <c r="I75" s="300">
        <f>(48.1*KFC!$B$20*1.02*1.2*1.1+KFC!$C$20)*KFC!$C$5</f>
        <v>64.761840000000007</v>
      </c>
      <c r="J75" s="300">
        <f>(50.8*KFC!$B$20*1.02*1.2*1.1+KFC!$C$20)*KFC!$C$5</f>
        <v>68.397120000000001</v>
      </c>
      <c r="K75" s="300">
        <f>(53.4*KFC!$B$20*1.02*1.2*1.1+KFC!$C$20)*KFC!$C$5</f>
        <v>71.897760000000005</v>
      </c>
      <c r="L75" s="300">
        <f>(56.1*KFC!$B$20*1.02*1.2*1.1+KFC!$C$20)*KFC!$C$5</f>
        <v>75.53304</v>
      </c>
      <c r="M75" s="300">
        <f>(58.8*KFC!$B$20*1.02*1.2*1.1+KFC!$C$20)*KFC!$C$5</f>
        <v>79.168320000000008</v>
      </c>
      <c r="N75" s="300">
        <f>(61.5*KFC!$B$20*1.02*1.2*1.1+KFC!$C$20)*KFC!$C$5</f>
        <v>82.803600000000003</v>
      </c>
      <c r="O75" s="300">
        <f>(64.2*KFC!$B$20*1.02*1.2*1.1+KFC!$C$20)*KFC!$C$5</f>
        <v>86.438880000000012</v>
      </c>
      <c r="P75" s="300">
        <f>(66.9*KFC!$B$20*1.02*1.2*1.1+KFC!$C$20)*KFC!$C$5</f>
        <v>90.07416000000002</v>
      </c>
      <c r="Q75" s="300">
        <f>(69.6*KFC!$B$20*1.02*1.2*1.1+KFC!$C$20)*KFC!$C$5</f>
        <v>93.709439999999987</v>
      </c>
      <c r="R75" s="300">
        <f>(72.3*KFC!$B$20*1.02*1.2*1.1+KFC!$C$20)*KFC!$C$5</f>
        <v>97.344720000000009</v>
      </c>
      <c r="S75" s="300">
        <f>(75*KFC!$B$20*1.02*1.2*1.1+KFC!$C$20)*KFC!$C$5</f>
        <v>100.98</v>
      </c>
      <c r="T75" s="300">
        <f>(77.7*KFC!$B$20*1.02*1.2*1.1+KFC!$C$20)*KFC!$C$5</f>
        <v>104.61528</v>
      </c>
      <c r="U75" s="300">
        <f>(80.4*KFC!$B$20*1.02*1.2*1.1+KFC!$C$20)*KFC!$C$5</f>
        <v>108.25056000000002</v>
      </c>
      <c r="V75" s="300">
        <f>(83*KFC!$B$20*1.02*1.2*1.1+KFC!$C$20)*KFC!$C$5</f>
        <v>111.75120000000001</v>
      </c>
      <c r="W75" s="300">
        <f>(85.7*KFC!$B$20*1.02*1.2*1.1+KFC!$C$20)*KFC!$C$5</f>
        <v>115.38648000000001</v>
      </c>
      <c r="X75" s="300">
        <f>(88.4*KFC!$B$20*1.02*1.2*1.1+KFC!$C$20)*KFC!$C$5</f>
        <v>119.02176000000001</v>
      </c>
      <c r="Y75" s="304">
        <f>(91.1*KFC!$B$20*1.02*1.2*1.1+KFC!$C$20)*KFC!$C$5</f>
        <v>122.65704000000001</v>
      </c>
      <c r="Z75" s="345"/>
      <c r="AA75" s="345"/>
      <c r="AB75" s="345"/>
      <c r="AC75" s="345"/>
    </row>
    <row r="76" spans="1:29">
      <c r="A76" s="1538"/>
      <c r="B76" s="298">
        <v>3.1</v>
      </c>
      <c r="C76" s="303">
        <f>(32.4*KFC!$B$20*1.02*1.2*1.1+KFC!$C$20)*KFC!$C$5</f>
        <v>43.623360000000005</v>
      </c>
      <c r="D76" s="300">
        <f>(35.1*KFC!$B$20*1.02*1.2*1.1+KFC!$C$20)*KFC!$C$5</f>
        <v>47.25864</v>
      </c>
      <c r="E76" s="300">
        <f>(37.9*KFC!$B$20*1.02*1.2*1.1+KFC!$C$20)*KFC!$C$5</f>
        <v>51.028560000000006</v>
      </c>
      <c r="F76" s="300">
        <f>(40.6*KFC!$B$20*1.02*1.2*1.1+KFC!$C$20)*KFC!$C$5</f>
        <v>54.66384</v>
      </c>
      <c r="G76" s="300">
        <f>(43.4*KFC!$B$20*1.02*1.2*1.1+KFC!$C$20)*KFC!$C$5</f>
        <v>58.433760000000007</v>
      </c>
      <c r="H76" s="300">
        <f>(46.1*KFC!$B$20*1.02*1.2*1.1+KFC!$C$20)*KFC!$C$5</f>
        <v>62.069040000000015</v>
      </c>
      <c r="I76" s="300">
        <f>(48.9*KFC!$B$20*1.02*1.2*1.1+KFC!$C$20)*KFC!$C$5</f>
        <v>65.83896</v>
      </c>
      <c r="J76" s="300">
        <f>(51.6*KFC!$B$20*1.02*1.2*1.1+KFC!$C$20)*KFC!$C$5</f>
        <v>69.474240000000009</v>
      </c>
      <c r="K76" s="300">
        <f>(54.3*KFC!$B$20*1.02*1.2*1.1+KFC!$C$20)*KFC!$C$5</f>
        <v>73.109519999999989</v>
      </c>
      <c r="L76" s="300">
        <f>(57.1*KFC!$B$20*1.02*1.2*1.1+KFC!$C$20)*KFC!$C$5</f>
        <v>76.879440000000002</v>
      </c>
      <c r="M76" s="300">
        <f>(59.8*KFC!$B$20*1.02*1.2*1.1+KFC!$C$20)*KFC!$C$5</f>
        <v>80.514719999999997</v>
      </c>
      <c r="N76" s="300">
        <f>(62.6*KFC!$B$20*1.02*1.2*1.1+KFC!$C$20)*KFC!$C$5</f>
        <v>84.28464000000001</v>
      </c>
      <c r="O76" s="300">
        <f>(65.3*KFC!$B$20*1.02*1.2*1.1+KFC!$C$20)*KFC!$C$5</f>
        <v>87.919919999999991</v>
      </c>
      <c r="P76" s="300">
        <f>(68.1*KFC!$B$20*1.02*1.2*1.1+KFC!$C$20)*KFC!$C$5</f>
        <v>91.68983999999999</v>
      </c>
      <c r="Q76" s="300">
        <f>(70.8*KFC!$B$20*1.02*1.2*1.1+KFC!$C$20)*KFC!$C$5</f>
        <v>95.325119999999984</v>
      </c>
      <c r="R76" s="300">
        <f>(73.6*KFC!$B$20*1.02*1.2*1.1+KFC!$C$20)*KFC!$C$5</f>
        <v>99.095039999999983</v>
      </c>
      <c r="S76" s="300">
        <f>(76.3*KFC!$B$20*1.02*1.2*1.1+KFC!$C$20)*KFC!$C$5</f>
        <v>102.73031999999999</v>
      </c>
      <c r="T76" s="300">
        <f>(79.1*KFC!$B$20*1.02*1.2*1.1+KFC!$C$20)*KFC!$C$5</f>
        <v>106.50024000000001</v>
      </c>
      <c r="U76" s="300">
        <f>(81.8*KFC!$B$20*1.02*1.2*1.1+KFC!$C$20)*KFC!$C$5</f>
        <v>110.13551999999999</v>
      </c>
      <c r="V76" s="300">
        <f>(84.5*KFC!$B$20*1.02*1.2*1.1+KFC!$C$20)*KFC!$C$5</f>
        <v>113.77080000000001</v>
      </c>
      <c r="W76" s="300">
        <f>(87.3*KFC!$B$20*1.02*1.2*1.1+KFC!$C$20)*KFC!$C$5</f>
        <v>117.54071999999999</v>
      </c>
      <c r="X76" s="300">
        <f>(90*KFC!$B$20*1.02*1.2*1.1+KFC!$C$20)*KFC!$C$5</f>
        <v>121.176</v>
      </c>
      <c r="Y76" s="304">
        <f>(92.8*KFC!$B$20*1.02*1.2*1.1+KFC!$C$20)*KFC!$C$5</f>
        <v>124.94591999999999</v>
      </c>
      <c r="Z76" s="345"/>
      <c r="AA76" s="345"/>
      <c r="AB76" s="345"/>
      <c r="AC76" s="345"/>
    </row>
    <row r="77" spans="1:29">
      <c r="A77" s="1538"/>
      <c r="B77" s="298">
        <v>3.2</v>
      </c>
      <c r="C77" s="303">
        <f>(32.8*KFC!$B$20*1.02*1.2*1.1+KFC!$C$20)*KFC!$C$5</f>
        <v>44.161919999999995</v>
      </c>
      <c r="D77" s="300">
        <f>(35.6*KFC!$B$20*1.02*1.2*1.1+KFC!$C$20)*KFC!$C$5</f>
        <v>47.931840000000008</v>
      </c>
      <c r="E77" s="300">
        <f>(38.4*KFC!$B$20*1.02*1.2*1.1+KFC!$C$20)*KFC!$C$5</f>
        <v>51.70176</v>
      </c>
      <c r="F77" s="300">
        <f>(41.2*KFC!$B$20*1.02*1.2*1.1+KFC!$C$20)*KFC!$C$5</f>
        <v>55.471680000000006</v>
      </c>
      <c r="G77" s="300">
        <f>(44*KFC!$B$20*1.02*1.2*1.1+KFC!$C$20)*KFC!$C$5</f>
        <v>59.241600000000005</v>
      </c>
      <c r="H77" s="300">
        <f>(46.8*KFC!$B$20*1.02*1.2*1.1+KFC!$C$20)*KFC!$C$5</f>
        <v>63.011519999999997</v>
      </c>
      <c r="I77" s="300">
        <f>(49.7*KFC!$B$20*1.02*1.2*1.1+KFC!$C$20)*KFC!$C$5</f>
        <v>66.916080000000008</v>
      </c>
      <c r="J77" s="300">
        <f>(52.5*KFC!$B$20*1.02*1.2*1.1+KFC!$C$20)*KFC!$C$5</f>
        <v>70.686000000000007</v>
      </c>
      <c r="K77" s="300">
        <f>(55.3*KFC!$B$20*1.02*1.2*1.1+KFC!$C$20)*KFC!$C$5</f>
        <v>74.455919999999992</v>
      </c>
      <c r="L77" s="300">
        <f>(58*KFC!$B$20*1.02*1.2*1.1+KFC!$C$20)*KFC!$C$5</f>
        <v>78.091200000000015</v>
      </c>
      <c r="M77" s="300">
        <f>(60.8*KFC!$B$20*1.02*1.2*1.1+KFC!$C$20)*KFC!$C$5</f>
        <v>81.86112</v>
      </c>
      <c r="N77" s="300">
        <f>(63.6*KFC!$B$20*1.02*1.2*1.1+KFC!$C$20)*KFC!$C$5</f>
        <v>85.631040000000013</v>
      </c>
      <c r="O77" s="300">
        <f>(66.4*KFC!$B$20*1.02*1.2*1.1+KFC!$C$20)*KFC!$C$5</f>
        <v>89.400960000000012</v>
      </c>
      <c r="P77" s="300">
        <f>(69.2*KFC!$B$20*1.02*1.2*1.1+KFC!$C$20)*KFC!$C$5</f>
        <v>93.170880000000011</v>
      </c>
      <c r="Q77" s="300">
        <f>(72*KFC!$B$20*1.02*1.2*1.1+KFC!$C$20)*KFC!$C$5</f>
        <v>96.94080000000001</v>
      </c>
      <c r="R77" s="300">
        <f>(74.8*KFC!$B$20*1.02*1.2*1.1+KFC!$C$20)*KFC!$C$5</f>
        <v>100.71071999999999</v>
      </c>
      <c r="S77" s="300">
        <f>(77.7*KFC!$B$20*1.02*1.2*1.1+KFC!$C$20)*KFC!$C$5</f>
        <v>104.61528</v>
      </c>
      <c r="T77" s="300">
        <f>(80.5*KFC!$B$20*1.02*1.2*1.1+KFC!$C$20)*KFC!$C$5</f>
        <v>108.38520000000001</v>
      </c>
      <c r="U77" s="300">
        <f>(83.3*KFC!$B$20*1.02*1.2*1.1+KFC!$C$20)*KFC!$C$5</f>
        <v>112.15512000000001</v>
      </c>
      <c r="V77" s="300">
        <f>(86*KFC!$B$20*1.02*1.2*1.1+KFC!$C$20)*KFC!$C$5</f>
        <v>115.79040000000001</v>
      </c>
      <c r="W77" s="300">
        <f>(88.8*KFC!$B$20*1.02*1.2*1.1+KFC!$C$20)*KFC!$C$5</f>
        <v>119.56032</v>
      </c>
      <c r="X77" s="300">
        <f>(91.6*KFC!$B$20*1.02*1.2*1.1+KFC!$C$20)*KFC!$C$5</f>
        <v>123.33024</v>
      </c>
      <c r="Y77" s="304">
        <f>(94.4*KFC!$B$20*1.02*1.2*1.1+KFC!$C$20)*KFC!$C$5</f>
        <v>127.10016000000002</v>
      </c>
      <c r="Z77" s="345"/>
      <c r="AA77" s="345"/>
      <c r="AB77" s="345"/>
      <c r="AC77" s="345"/>
    </row>
    <row r="78" spans="1:29">
      <c r="A78" s="1538"/>
      <c r="B78" s="298">
        <v>3.3</v>
      </c>
      <c r="C78" s="303">
        <f>(33.3*KFC!$B$20*1.02*1.2*1.1+KFC!$C$20)*KFC!$C$5</f>
        <v>44.835120000000003</v>
      </c>
      <c r="D78" s="300">
        <f>(36.1*KFC!$B$20*1.02*1.2*1.1+KFC!$C$20)*KFC!$C$5</f>
        <v>48.605040000000002</v>
      </c>
      <c r="E78" s="300">
        <f>(39*KFC!$B$20*1.02*1.2*1.1+KFC!$C$20)*KFC!$C$5</f>
        <v>52.509599999999999</v>
      </c>
      <c r="F78" s="300">
        <f>(41.8*KFC!$B$20*1.02*1.2*1.1+KFC!$C$20)*KFC!$C$5</f>
        <v>56.279519999999998</v>
      </c>
      <c r="G78" s="300">
        <f>(44.6*KFC!$B$20*1.02*1.2*1.1+KFC!$C$20)*KFC!$C$5</f>
        <v>60.049440000000004</v>
      </c>
      <c r="H78" s="300">
        <f>(47.6*KFC!$B$20*1.02*1.2*1.1+KFC!$C$20)*KFC!$C$5</f>
        <v>64.088639999999998</v>
      </c>
      <c r="I78" s="300">
        <f>(50.4*KFC!$B$20*1.02*1.2*1.1+KFC!$C$20)*KFC!$C$5</f>
        <v>67.858559999999997</v>
      </c>
      <c r="J78" s="300">
        <f>(53.2*KFC!$B$20*1.02*1.2*1.1+KFC!$C$20)*KFC!$C$5</f>
        <v>71.62848000000001</v>
      </c>
      <c r="K78" s="300">
        <f>(56.1*KFC!$B$20*1.02*1.2*1.1+KFC!$C$20)*KFC!$C$5</f>
        <v>75.53304</v>
      </c>
      <c r="L78" s="300">
        <f>(58.9*KFC!$B$20*1.02*1.2*1.1+KFC!$C$20)*KFC!$C$5</f>
        <v>79.302959999999999</v>
      </c>
      <c r="M78" s="300">
        <f>(61.8*KFC!$B$20*1.02*1.2*1.1+KFC!$C$20)*KFC!$C$5</f>
        <v>83.207520000000002</v>
      </c>
      <c r="N78" s="300">
        <f>(64.7*KFC!$B$20*1.02*1.2*1.1+KFC!$C$20)*KFC!$C$5</f>
        <v>87.112079999999992</v>
      </c>
      <c r="O78" s="300">
        <f>(67.5*KFC!$B$20*1.02*1.2*1.1+KFC!$C$20)*KFC!$C$5</f>
        <v>90.881999999999991</v>
      </c>
      <c r="P78" s="300">
        <f>(70.3*KFC!$B$20*1.02*1.2*1.1+KFC!$C$20)*KFC!$C$5</f>
        <v>94.651920000000018</v>
      </c>
      <c r="Q78" s="300">
        <f>(73.3*KFC!$B$20*1.02*1.2*1.1+KFC!$C$20)*KFC!$C$5</f>
        <v>98.691120000000012</v>
      </c>
      <c r="R78" s="300">
        <f>(76.1*KFC!$B$20*1.02*1.2*1.1+KFC!$C$20)*KFC!$C$5</f>
        <v>102.46104000000001</v>
      </c>
      <c r="S78" s="300">
        <f>(78.9*KFC!$B$20*1.02*1.2*1.1+KFC!$C$20)*KFC!$C$5</f>
        <v>106.23096000000002</v>
      </c>
      <c r="T78" s="300">
        <f>(81.8*KFC!$B$20*1.02*1.2*1.1+KFC!$C$20)*KFC!$C$5</f>
        <v>110.13551999999999</v>
      </c>
      <c r="U78" s="300">
        <f>(84.6*KFC!$B$20*1.02*1.2*1.1+KFC!$C$20)*KFC!$C$5</f>
        <v>113.90544</v>
      </c>
      <c r="V78" s="300">
        <f>(87.4*KFC!$B$20*1.02*1.2*1.1+KFC!$C$20)*KFC!$C$5</f>
        <v>117.67536000000003</v>
      </c>
      <c r="W78" s="300">
        <f>(90.4*KFC!$B$20*1.02*1.2*1.1+KFC!$C$20)*KFC!$C$5</f>
        <v>121.71456000000002</v>
      </c>
      <c r="X78" s="300">
        <f>(93.2*KFC!$B$20*1.02*1.2*1.1+KFC!$C$20)*KFC!$C$5</f>
        <v>125.48448000000002</v>
      </c>
      <c r="Y78" s="304">
        <f>(96.1*KFC!$B$20*1.02*1.2*1.1+KFC!$C$20)*KFC!$C$5</f>
        <v>129.38903999999999</v>
      </c>
      <c r="Z78" s="345"/>
      <c r="AA78" s="345"/>
      <c r="AB78" s="345"/>
      <c r="AC78" s="345"/>
    </row>
    <row r="79" spans="1:29">
      <c r="A79" s="1538"/>
      <c r="B79" s="298">
        <v>3.4</v>
      </c>
      <c r="C79" s="303">
        <f>(33.6*KFC!$B$20*1.02*1.2*1.1+KFC!$C$20)*KFC!$C$5</f>
        <v>45.23904000000001</v>
      </c>
      <c r="D79" s="300">
        <f>(36.6*KFC!$B$20*1.02*1.2*1.1+KFC!$C$20)*KFC!$C$5</f>
        <v>49.278240000000004</v>
      </c>
      <c r="E79" s="300">
        <f>(39.5*KFC!$B$20*1.02*1.2*1.1+KFC!$C$20)*KFC!$C$5</f>
        <v>53.1828</v>
      </c>
      <c r="F79" s="300">
        <f>(42.4*KFC!$B$20*1.02*1.2*1.1+KFC!$C$20)*KFC!$C$5</f>
        <v>57.087360000000004</v>
      </c>
      <c r="G79" s="300">
        <f>(45.4*KFC!$B$20*1.02*1.2*1.1+KFC!$C$20)*KFC!$C$5</f>
        <v>61.126560000000005</v>
      </c>
      <c r="H79" s="300">
        <f>(48.2*KFC!$B$20*1.02*1.2*1.1+KFC!$C$20)*KFC!$C$5</f>
        <v>64.896480000000011</v>
      </c>
      <c r="I79" s="300">
        <f>(51.1*KFC!$B$20*1.02*1.2*1.1+KFC!$C$20)*KFC!$C$5</f>
        <v>68.80104</v>
      </c>
      <c r="J79" s="300">
        <f>(54.1*KFC!$B$20*1.02*1.2*1.1+KFC!$C$20)*KFC!$C$5</f>
        <v>72.840240000000009</v>
      </c>
      <c r="K79" s="300">
        <f>(57*KFC!$B$20*1.02*1.2*1.1+KFC!$C$20)*KFC!$C$5</f>
        <v>76.744800000000012</v>
      </c>
      <c r="L79" s="300">
        <f>(59.9*KFC!$B$20*1.02*1.2*1.1+KFC!$C$20)*KFC!$C$5</f>
        <v>80.649360000000001</v>
      </c>
      <c r="M79" s="300">
        <f>(62.7*KFC!$B$20*1.02*1.2*1.1+KFC!$C$20)*KFC!$C$5</f>
        <v>84.419280000000001</v>
      </c>
      <c r="N79" s="300">
        <f>(65.7*KFC!$B$20*1.02*1.2*1.1+KFC!$C$20)*KFC!$C$5</f>
        <v>88.458480000000023</v>
      </c>
      <c r="O79" s="300">
        <f>(68.6*KFC!$B$20*1.02*1.2*1.1+KFC!$C$20)*KFC!$C$5</f>
        <v>92.363039999999998</v>
      </c>
      <c r="P79" s="300">
        <f>(71.5*KFC!$B$20*1.02*1.2*1.1+KFC!$C$20)*KFC!$C$5</f>
        <v>96.267600000000016</v>
      </c>
      <c r="Q79" s="300">
        <f>(74.5*KFC!$B$20*1.02*1.2*1.1+KFC!$C$20)*KFC!$C$5</f>
        <v>100.3068</v>
      </c>
      <c r="R79" s="300">
        <f>(77.3*KFC!$B$20*1.02*1.2*1.1+KFC!$C$20)*KFC!$C$5</f>
        <v>104.07672000000001</v>
      </c>
      <c r="S79" s="300">
        <f>(80.2*KFC!$B$20*1.02*1.2*1.1+KFC!$C$20)*KFC!$C$5</f>
        <v>107.98128000000001</v>
      </c>
      <c r="T79" s="300">
        <f>(83.2*KFC!$B$20*1.02*1.2*1.1+KFC!$C$20)*KFC!$C$5</f>
        <v>112.02048000000001</v>
      </c>
      <c r="U79" s="300">
        <f>(86.1*KFC!$B$20*1.02*1.2*1.1+KFC!$C$20)*KFC!$C$5</f>
        <v>115.92504000000001</v>
      </c>
      <c r="V79" s="300">
        <f>(88.9*KFC!$B$20*1.02*1.2*1.1+KFC!$C$20)*KFC!$C$5</f>
        <v>119.69496000000002</v>
      </c>
      <c r="W79" s="300">
        <f>(91.8*KFC!$B$20*1.02*1.2*1.1+KFC!$C$20)*KFC!$C$5</f>
        <v>123.59952</v>
      </c>
      <c r="X79" s="300">
        <f>(94.8*KFC!$B$20*1.02*1.2*1.1+KFC!$C$20)*KFC!$C$5</f>
        <v>127.63871999999999</v>
      </c>
      <c r="Y79" s="304">
        <f>(97.7*KFC!$B$20*1.02*1.2*1.1+KFC!$C$20)*KFC!$C$5</f>
        <v>131.54328000000001</v>
      </c>
      <c r="Z79" s="345"/>
      <c r="AA79" s="345"/>
      <c r="AB79" s="345"/>
      <c r="AC79" s="345"/>
    </row>
    <row r="80" spans="1:29">
      <c r="A80" s="1538"/>
      <c r="B80" s="298">
        <v>3.5</v>
      </c>
      <c r="C80" s="303">
        <f>(34.1*KFC!$B$20*1.02*1.2*1.1+KFC!$C$20)*KFC!$C$5</f>
        <v>45.912240000000011</v>
      </c>
      <c r="D80" s="300">
        <f>(37.1*KFC!$B$20*1.02*1.2*1.1+KFC!$C$20)*KFC!$C$5</f>
        <v>49.951439999999998</v>
      </c>
      <c r="E80" s="300">
        <f>(40*KFC!$B$20*1.02*1.2*1.1+KFC!$C$20)*KFC!$C$5</f>
        <v>53.855999999999995</v>
      </c>
      <c r="F80" s="300">
        <f>(43*KFC!$B$20*1.02*1.2*1.1+KFC!$C$20)*KFC!$C$5</f>
        <v>57.895200000000003</v>
      </c>
      <c r="G80" s="300">
        <f>(46*KFC!$B$20*1.02*1.2*1.1+KFC!$C$20)*KFC!$C$5</f>
        <v>61.934400000000011</v>
      </c>
      <c r="H80" s="300">
        <f>(48.9*KFC!$B$20*1.02*1.2*1.1+KFC!$C$20)*KFC!$C$5</f>
        <v>65.83896</v>
      </c>
      <c r="I80" s="300">
        <f>(51.9*KFC!$B$20*1.02*1.2*1.1+KFC!$C$20)*KFC!$C$5</f>
        <v>69.878160000000008</v>
      </c>
      <c r="J80" s="300">
        <f>(54.9*KFC!$B$20*1.02*1.2*1.1+KFC!$C$20)*KFC!$C$5</f>
        <v>73.917360000000002</v>
      </c>
      <c r="K80" s="300">
        <f>(57.8*KFC!$B$20*1.02*1.2*1.1+KFC!$C$20)*KFC!$C$5</f>
        <v>77.821919999999992</v>
      </c>
      <c r="L80" s="300">
        <f>(60.8*KFC!$B$20*1.02*1.2*1.1+KFC!$C$20)*KFC!$C$5</f>
        <v>81.86112</v>
      </c>
      <c r="M80" s="300">
        <f>(63.7*KFC!$B$20*1.02*1.2*1.1+KFC!$C$20)*KFC!$C$5</f>
        <v>85.765680000000003</v>
      </c>
      <c r="N80" s="300">
        <f>(66.8*KFC!$B$20*1.02*1.2*1.1+KFC!$C$20)*KFC!$C$5</f>
        <v>89.939520000000002</v>
      </c>
      <c r="O80" s="300">
        <f>(69.7*KFC!$B$20*1.02*1.2*1.1+KFC!$C$20)*KFC!$C$5</f>
        <v>93.844080000000019</v>
      </c>
      <c r="P80" s="300">
        <f>(72.6*KFC!$B$20*1.02*1.2*1.1+KFC!$C$20)*KFC!$C$5</f>
        <v>97.748639999999995</v>
      </c>
      <c r="Q80" s="300">
        <f>(75.6*KFC!$B$20*1.02*1.2*1.1+KFC!$C$20)*KFC!$C$5</f>
        <v>101.78784</v>
      </c>
      <c r="R80" s="300">
        <f>(78.6*KFC!$B$20*1.02*1.2*1.1+KFC!$C$20)*KFC!$C$5</f>
        <v>105.82704</v>
      </c>
      <c r="S80" s="300">
        <f>(81.6*KFC!$B$20*1.02*1.2*1.1+KFC!$C$20)*KFC!$C$5</f>
        <v>109.86624</v>
      </c>
      <c r="T80" s="300">
        <f>(84.5*KFC!$B$20*1.02*1.2*1.1+KFC!$C$20)*KFC!$C$5</f>
        <v>113.77080000000001</v>
      </c>
      <c r="U80" s="300">
        <f>(87.4*KFC!$B$20*1.02*1.2*1.1+KFC!$C$20)*KFC!$C$5</f>
        <v>117.67536000000003</v>
      </c>
      <c r="V80" s="300">
        <f>(90.5*KFC!$B$20*1.02*1.2*1.1+KFC!$C$20)*KFC!$C$5</f>
        <v>121.84920000000001</v>
      </c>
      <c r="W80" s="300">
        <f>(93.4*KFC!$B$20*1.02*1.2*1.1+KFC!$C$20)*KFC!$C$5</f>
        <v>125.75376000000001</v>
      </c>
      <c r="X80" s="300">
        <f>(96.4*KFC!$B$20*1.02*1.2*1.1+KFC!$C$20)*KFC!$C$5</f>
        <v>129.79296000000002</v>
      </c>
      <c r="Y80" s="304">
        <f>(99.3*KFC!$B$20*1.02*1.2*1.1+KFC!$C$20)*KFC!$C$5</f>
        <v>133.69752</v>
      </c>
      <c r="Z80" s="345"/>
      <c r="AA80" s="345"/>
      <c r="AB80" s="345"/>
      <c r="AC80" s="345"/>
    </row>
    <row r="81" spans="1:29">
      <c r="A81" s="1538"/>
      <c r="B81" s="298">
        <v>3.6</v>
      </c>
      <c r="C81" s="303">
        <f>(34.5*KFC!$B$20*1.02*1.2*1.1+KFC!$C$20)*KFC!$C$5</f>
        <v>46.450800000000001</v>
      </c>
      <c r="D81" s="300">
        <f>(37.5*KFC!$B$20*1.02*1.2*1.1+KFC!$C$20)*KFC!$C$5</f>
        <v>50.49</v>
      </c>
      <c r="E81" s="300">
        <f>(40.6*KFC!$B$20*1.02*1.2*1.1+KFC!$C$20)*KFC!$C$5</f>
        <v>54.66384</v>
      </c>
      <c r="F81" s="300">
        <f>(43.5*KFC!$B$20*1.02*1.2*1.1+KFC!$C$20)*KFC!$C$5</f>
        <v>58.568399999999997</v>
      </c>
      <c r="G81" s="300">
        <f>(46.6*KFC!$B$20*1.02*1.2*1.1+KFC!$C$20)*KFC!$C$5</f>
        <v>62.74224000000001</v>
      </c>
      <c r="H81" s="300">
        <f>(49.7*KFC!$B$20*1.02*1.2*1.1+KFC!$C$20)*KFC!$C$5</f>
        <v>66.916080000000008</v>
      </c>
      <c r="I81" s="300">
        <f>(52.7*KFC!$B$20*1.02*1.2*1.1+KFC!$C$20)*KFC!$C$5</f>
        <v>70.955280000000016</v>
      </c>
      <c r="J81" s="300">
        <f>(55.6*KFC!$B$20*1.02*1.2*1.1+KFC!$C$20)*KFC!$C$5</f>
        <v>74.859840000000005</v>
      </c>
      <c r="K81" s="300">
        <f>(58.7*KFC!$B$20*1.02*1.2*1.1+KFC!$C$20)*KFC!$C$5</f>
        <v>79.033680000000004</v>
      </c>
      <c r="L81" s="300">
        <f>(61.8*KFC!$B$20*1.02*1.2*1.1+KFC!$C$20)*KFC!$C$5</f>
        <v>83.207520000000002</v>
      </c>
      <c r="M81" s="300">
        <f>(64.7*KFC!$B$20*1.02*1.2*1.1+KFC!$C$20)*KFC!$C$5</f>
        <v>87.112079999999992</v>
      </c>
      <c r="N81" s="300">
        <f>(67.8*KFC!$B$20*1.02*1.2*1.1+KFC!$C$20)*KFC!$C$5</f>
        <v>91.28591999999999</v>
      </c>
      <c r="O81" s="300">
        <f>(70.8*KFC!$B$20*1.02*1.2*1.1+KFC!$C$20)*KFC!$C$5</f>
        <v>95.325119999999984</v>
      </c>
      <c r="P81" s="300">
        <f>(73.7*KFC!$B$20*1.02*1.2*1.1+KFC!$C$20)*KFC!$C$5</f>
        <v>99.229680000000016</v>
      </c>
      <c r="Q81" s="300">
        <f>(76.8*KFC!$B$20*1.02*1.2*1.1+KFC!$C$20)*KFC!$C$5</f>
        <v>103.40352</v>
      </c>
      <c r="R81" s="300">
        <f>(79.9*KFC!$B$20*1.02*1.2*1.1+KFC!$C$20)*KFC!$C$5</f>
        <v>107.57736000000001</v>
      </c>
      <c r="S81" s="300">
        <f>(82.8*KFC!$B$20*1.02*1.2*1.1+KFC!$C$20)*KFC!$C$5</f>
        <v>111.48192000000002</v>
      </c>
      <c r="T81" s="300">
        <f>(85.9*KFC!$B$20*1.02*1.2*1.1+KFC!$C$20)*KFC!$C$5</f>
        <v>115.65576000000001</v>
      </c>
      <c r="U81" s="300">
        <f>(88.9*KFC!$B$20*1.02*1.2*1.1+KFC!$C$20)*KFC!$C$5</f>
        <v>119.69496000000002</v>
      </c>
      <c r="V81" s="300">
        <f>(92*KFC!$B$20*1.02*1.2*1.1+KFC!$C$20)*KFC!$C$5</f>
        <v>123.86880000000002</v>
      </c>
      <c r="W81" s="300">
        <f>(94.9*KFC!$B$20*1.02*1.2*1.1+KFC!$C$20)*KFC!$C$5</f>
        <v>127.77336000000001</v>
      </c>
      <c r="X81" s="300">
        <f>(98*KFC!$B$20*1.02*1.2*1.1+KFC!$C$20)*KFC!$C$5</f>
        <v>131.94720000000001</v>
      </c>
      <c r="Y81" s="304">
        <f>(101*KFC!$B$20*1.02*1.2*1.1+KFC!$C$20)*KFC!$C$5</f>
        <v>135.9864</v>
      </c>
      <c r="Z81" s="345"/>
      <c r="AA81" s="345"/>
      <c r="AB81" s="345"/>
      <c r="AC81" s="345"/>
    </row>
    <row r="82" spans="1:29">
      <c r="A82" s="1538"/>
      <c r="B82" s="298">
        <v>3.7</v>
      </c>
      <c r="C82" s="303">
        <f>(35*KFC!$B$20*1.02*1.2*1.1+KFC!$C$20)*KFC!$C$5</f>
        <v>47.124000000000009</v>
      </c>
      <c r="D82" s="300">
        <f>(38*KFC!$B$20*1.02*1.2*1.1+KFC!$C$20)*KFC!$C$5</f>
        <v>51.163199999999996</v>
      </c>
      <c r="E82" s="300">
        <f>(41.1*KFC!$B$20*1.02*1.2*1.1+KFC!$C$20)*KFC!$C$5</f>
        <v>55.337040000000009</v>
      </c>
      <c r="F82" s="300">
        <f>(44.2*KFC!$B$20*1.02*1.2*1.1+KFC!$C$20)*KFC!$C$5</f>
        <v>59.510880000000007</v>
      </c>
      <c r="G82" s="300">
        <f>(47.2*KFC!$B$20*1.02*1.2*1.1+KFC!$C$20)*KFC!$C$5</f>
        <v>63.550080000000008</v>
      </c>
      <c r="H82" s="300">
        <f>(50.4*KFC!$B$20*1.02*1.2*1.1+KFC!$C$20)*KFC!$C$5</f>
        <v>67.858559999999997</v>
      </c>
      <c r="I82" s="300">
        <f>(53.4*KFC!$B$20*1.02*1.2*1.1+KFC!$C$20)*KFC!$C$5</f>
        <v>71.897760000000005</v>
      </c>
      <c r="J82" s="300">
        <f>(56.5*KFC!$B$20*1.02*1.2*1.1+KFC!$C$20)*KFC!$C$5</f>
        <v>76.071600000000018</v>
      </c>
      <c r="K82" s="300">
        <f>(59.6*KFC!$B$20*1.02*1.2*1.1+KFC!$C$20)*KFC!$C$5</f>
        <v>80.245440000000002</v>
      </c>
      <c r="L82" s="300">
        <f>(62.6*KFC!$B$20*1.02*1.2*1.1+KFC!$C$20)*KFC!$C$5</f>
        <v>84.28464000000001</v>
      </c>
      <c r="M82" s="300">
        <f>(65.7*KFC!$B$20*1.02*1.2*1.1+KFC!$C$20)*KFC!$C$5</f>
        <v>88.458480000000023</v>
      </c>
      <c r="N82" s="300">
        <f>(68.7*KFC!$B$20*1.02*1.2*1.1+KFC!$C$20)*KFC!$C$5</f>
        <v>92.497680000000003</v>
      </c>
      <c r="O82" s="300">
        <f>(71.9*KFC!$B$20*1.02*1.2*1.1+KFC!$C$20)*KFC!$C$5</f>
        <v>96.806160000000006</v>
      </c>
      <c r="P82" s="300">
        <f>(75*KFC!$B$20*1.02*1.2*1.1+KFC!$C$20)*KFC!$C$5</f>
        <v>100.98</v>
      </c>
      <c r="Q82" s="300">
        <f>(78*KFC!$B$20*1.02*1.2*1.1+KFC!$C$20)*KFC!$C$5</f>
        <v>105.0192</v>
      </c>
      <c r="R82" s="300">
        <f>(81.1*KFC!$B$20*1.02*1.2*1.1+KFC!$C$20)*KFC!$C$5</f>
        <v>109.19304</v>
      </c>
      <c r="S82" s="300">
        <f>(84.1*KFC!$B$20*1.02*1.2*1.1+KFC!$C$20)*KFC!$C$5</f>
        <v>113.23223999999999</v>
      </c>
      <c r="T82" s="300">
        <f>(87.2*KFC!$B$20*1.02*1.2*1.1+KFC!$C$20)*KFC!$C$5</f>
        <v>117.40608</v>
      </c>
      <c r="U82" s="300">
        <f>(90.3*KFC!$B$20*1.02*1.2*1.1+KFC!$C$20)*KFC!$C$5</f>
        <v>121.57992</v>
      </c>
      <c r="V82" s="300">
        <f>(93.4*KFC!$B$20*1.02*1.2*1.1+KFC!$C$20)*KFC!$C$5</f>
        <v>125.75376000000001</v>
      </c>
      <c r="W82" s="300">
        <f>(96.5*KFC!$B$20*1.02*1.2*1.1+KFC!$C$20)*KFC!$C$5</f>
        <v>129.92760000000001</v>
      </c>
      <c r="X82" s="300">
        <f>(99.6*KFC!$B$20*1.02*1.2*1.1+KFC!$C$20)*KFC!$C$5</f>
        <v>134.10144</v>
      </c>
      <c r="Y82" s="304">
        <f>(102.6*KFC!$B$20*1.02*1.2*1.1+KFC!$C$20)*KFC!$C$5</f>
        <v>138.14063999999999</v>
      </c>
      <c r="Z82" s="345"/>
      <c r="AA82" s="345"/>
      <c r="AB82" s="345"/>
      <c r="AC82" s="345"/>
    </row>
    <row r="83" spans="1:29">
      <c r="A83" s="1538"/>
      <c r="B83" s="298">
        <v>3.8</v>
      </c>
      <c r="C83" s="303">
        <f>(35.3*KFC!$B$20*1.02*1.2*1.1+KFC!$C$20)*KFC!$C$5</f>
        <v>47.527920000000002</v>
      </c>
      <c r="D83" s="300">
        <f>(38.5*KFC!$B$20*1.02*1.2*1.1+KFC!$C$20)*KFC!$C$5</f>
        <v>51.836400000000005</v>
      </c>
      <c r="E83" s="300">
        <f>(41.7*KFC!$B$20*1.02*1.2*1.1+KFC!$C$20)*KFC!$C$5</f>
        <v>56.144880000000008</v>
      </c>
      <c r="F83" s="300">
        <f>(44.8*KFC!$B$20*1.02*1.2*1.1+KFC!$C$20)*KFC!$C$5</f>
        <v>60.318719999999999</v>
      </c>
      <c r="G83" s="300">
        <f>(57.9*KFC!$B$20*1.02*1.2*1.1+KFC!$C$20)*KFC!$C$5</f>
        <v>77.956559999999996</v>
      </c>
      <c r="H83" s="300">
        <f>(51*KFC!$B$20*1.02*1.2*1.1+KFC!$C$20)*KFC!$C$5</f>
        <v>68.66640000000001</v>
      </c>
      <c r="I83" s="300">
        <f>(54.2*KFC!$B$20*1.02*1.2*1.1+KFC!$C$20)*KFC!$C$5</f>
        <v>72.974880000000013</v>
      </c>
      <c r="J83" s="300">
        <f>(57.4*KFC!$B$20*1.02*1.2*1.1+KFC!$C$20)*KFC!$C$5</f>
        <v>77.283360000000002</v>
      </c>
      <c r="K83" s="300">
        <f>(60.4*KFC!$B$20*1.02*1.2*1.1+KFC!$C$20)*KFC!$C$5</f>
        <v>81.322559999999996</v>
      </c>
      <c r="L83" s="300">
        <f>(63.6*KFC!$B$20*1.02*1.2*1.1+KFC!$C$20)*KFC!$C$5</f>
        <v>85.631040000000013</v>
      </c>
      <c r="M83" s="300">
        <f>(66.7*KFC!$B$20*1.02*1.2*1.1+KFC!$C$20)*KFC!$C$5</f>
        <v>89.804880000000011</v>
      </c>
      <c r="N83" s="300">
        <f>(69.8*KFC!$B$20*1.02*1.2*1.1+KFC!$C$20)*KFC!$C$5</f>
        <v>93.978719999999996</v>
      </c>
      <c r="O83" s="300">
        <f>(72.9*KFC!$B$20*1.02*1.2*1.1+KFC!$C$20)*KFC!$C$5</f>
        <v>98.152560000000008</v>
      </c>
      <c r="P83" s="300">
        <f>(76.1*KFC!$B$20*1.02*1.2*1.1+KFC!$C$20)*KFC!$C$5</f>
        <v>102.46104000000001</v>
      </c>
      <c r="Q83" s="300">
        <f>(79.3*KFC!$B$20*1.02*1.2*1.1+KFC!$C$20)*KFC!$C$5</f>
        <v>106.76952</v>
      </c>
      <c r="R83" s="300">
        <f>(82.3*KFC!$B$20*1.02*1.2*1.1+KFC!$C$20)*KFC!$C$5</f>
        <v>110.80871999999999</v>
      </c>
      <c r="S83" s="300">
        <f>(85.5*KFC!$B$20*1.02*1.2*1.1+KFC!$C$20)*KFC!$C$5</f>
        <v>115.11720000000001</v>
      </c>
      <c r="T83" s="300">
        <f>(88.5*KFC!$B$20*1.02*1.2*1.1+KFC!$C$20)*KFC!$C$5</f>
        <v>119.1564</v>
      </c>
      <c r="U83" s="300">
        <f>(91.7*KFC!$B$20*1.02*1.2*1.1+KFC!$C$20)*KFC!$C$5</f>
        <v>123.46488000000002</v>
      </c>
      <c r="V83" s="300">
        <f>(94.9*KFC!$B$20*1.02*1.2*1.1+KFC!$C$20)*KFC!$C$5</f>
        <v>127.77336000000001</v>
      </c>
      <c r="W83" s="300">
        <f>(98*KFC!$B$20*1.02*1.2*1.1+KFC!$C$20)*KFC!$C$5</f>
        <v>131.94720000000001</v>
      </c>
      <c r="X83" s="300">
        <f>(101.1*KFC!$B$20*1.02*1.2*1.1+KFC!$C$20)*KFC!$C$5</f>
        <v>136.12103999999999</v>
      </c>
      <c r="Y83" s="304">
        <f>(104.2*KFC!$B$20*1.02*1.2*1.1+KFC!$C$20)*KFC!$C$5</f>
        <v>140.29488000000001</v>
      </c>
      <c r="Z83" s="345"/>
      <c r="AA83" s="345"/>
      <c r="AB83" s="345"/>
      <c r="AC83" s="345"/>
    </row>
    <row r="84" spans="1:29">
      <c r="A84" s="1538"/>
      <c r="B84" s="298">
        <v>3.9</v>
      </c>
      <c r="C84" s="303">
        <f>(35.8*KFC!$B$20*1.02*1.2*1.1+KFC!$C$20)*KFC!$C$5</f>
        <v>48.201119999999996</v>
      </c>
      <c r="D84" s="300">
        <f>(39*KFC!$B$20*1.02*1.2*1.1+KFC!$C$20)*KFC!$C$5</f>
        <v>52.509599999999999</v>
      </c>
      <c r="E84" s="300">
        <f>(42.2*KFC!$B$20*1.02*1.2*1.1+KFC!$C$20)*KFC!$C$5</f>
        <v>56.818080000000009</v>
      </c>
      <c r="F84" s="300">
        <f>(45.4*KFC!$B$20*1.02*1.2*1.1+KFC!$C$20)*KFC!$C$5</f>
        <v>61.126560000000005</v>
      </c>
      <c r="G84" s="300">
        <f>(48.6*KFC!$B$20*1.02*1.2*1.1+KFC!$C$20)*KFC!$C$5</f>
        <v>65.435040000000015</v>
      </c>
      <c r="H84" s="300">
        <f>(51.7*KFC!$B$20*1.02*1.2*1.1+KFC!$C$20)*KFC!$C$5</f>
        <v>69.608879999999999</v>
      </c>
      <c r="I84" s="300">
        <f>(54.9*KFC!$B$20*1.02*1.2*1.1+KFC!$C$20)*KFC!$C$5</f>
        <v>73.917360000000002</v>
      </c>
      <c r="J84" s="300">
        <f>(58.1*KFC!$B$20*1.02*1.2*1.1+KFC!$C$20)*KFC!$C$5</f>
        <v>78.225840000000005</v>
      </c>
      <c r="K84" s="300">
        <f>(61.3*KFC!$B$20*1.02*1.2*1.1+KFC!$C$20)*KFC!$C$5</f>
        <v>82.534320000000008</v>
      </c>
      <c r="L84" s="300">
        <f>(64.5*KFC!$B$20*1.02*1.2*1.1+KFC!$C$20)*KFC!$C$5</f>
        <v>86.842800000000011</v>
      </c>
      <c r="M84" s="300">
        <f>(67.6*KFC!$B$20*1.02*1.2*1.1+KFC!$C$20)*KFC!$C$5</f>
        <v>91.016639999999995</v>
      </c>
      <c r="N84" s="300">
        <f>(70.8*KFC!$B$20*1.02*1.2*1.1+KFC!$C$20)*KFC!$C$5</f>
        <v>95.325119999999984</v>
      </c>
      <c r="O84" s="300">
        <f>(74*KFC!$B$20*1.02*1.2*1.1+KFC!$C$20)*KFC!$C$5</f>
        <v>99.633600000000015</v>
      </c>
      <c r="P84" s="300">
        <f>(77.2*KFC!$B$20*1.02*1.2*1.1+KFC!$C$20)*KFC!$C$5</f>
        <v>103.94208</v>
      </c>
      <c r="Q84" s="300">
        <f>(80.4*KFC!$B$20*1.02*1.2*1.1+KFC!$C$20)*KFC!$C$5</f>
        <v>108.25056000000002</v>
      </c>
      <c r="R84" s="300">
        <f>(83.5*KFC!$B$20*1.02*1.2*1.1+KFC!$C$20)*KFC!$C$5</f>
        <v>112.42440000000001</v>
      </c>
      <c r="S84" s="300">
        <f>(86.7*KFC!$B$20*1.02*1.2*1.1+KFC!$C$20)*KFC!$C$5</f>
        <v>116.73287999999999</v>
      </c>
      <c r="T84" s="300">
        <f>(89.9*KFC!$B$20*1.02*1.2*1.1+KFC!$C$20)*KFC!$C$5</f>
        <v>121.04136000000003</v>
      </c>
      <c r="U84" s="300">
        <f>(93.1*KFC!$B$20*1.02*1.2*1.1+KFC!$C$20)*KFC!$C$5</f>
        <v>125.34983999999999</v>
      </c>
      <c r="V84" s="300">
        <f>(96.4*KFC!$B$20*1.02*1.2*1.1+KFC!$C$20)*KFC!$C$5</f>
        <v>129.79296000000002</v>
      </c>
      <c r="W84" s="300">
        <f>(99.6*KFC!$B$20*1.02*1.2*1.1+KFC!$C$20)*KFC!$C$5</f>
        <v>134.10144</v>
      </c>
      <c r="X84" s="300">
        <f>(102.7*KFC!$B$20*1.02*1.2*1.1+KFC!$C$20)*KFC!$C$5</f>
        <v>138.27528000000001</v>
      </c>
      <c r="Y84" s="304">
        <f>(105.9*KFC!$B$20*1.02*1.2*1.1+KFC!$C$20)*KFC!$C$5</f>
        <v>142.58376000000001</v>
      </c>
      <c r="Z84" s="345"/>
      <c r="AA84" s="345"/>
      <c r="AB84" s="345"/>
      <c r="AC84" s="345"/>
    </row>
    <row r="85" spans="1:29">
      <c r="A85" s="1538"/>
      <c r="B85" s="298">
        <v>4</v>
      </c>
      <c r="C85" s="303">
        <f>(36.2*KFC!$B$20*1.02*1.2*1.1+KFC!$C$20)*KFC!$C$5</f>
        <v>48.739680000000007</v>
      </c>
      <c r="D85" s="300">
        <f>(39.5*KFC!$B$20*1.02*1.2*1.1+KFC!$C$20)*KFC!$C$5</f>
        <v>53.1828</v>
      </c>
      <c r="E85" s="300">
        <f>(42.7*KFC!$B$20*1.02*1.2*1.1+KFC!$C$20)*KFC!$C$5</f>
        <v>57.491280000000003</v>
      </c>
      <c r="F85" s="300">
        <f>(46*KFC!$B$20*1.02*1.2*1.1+KFC!$C$20)*KFC!$C$5</f>
        <v>61.934400000000011</v>
      </c>
      <c r="G85" s="300">
        <f>(49.2*KFC!$B$20*1.02*1.2*1.1+KFC!$C$20)*KFC!$C$5</f>
        <v>66.242880000000014</v>
      </c>
      <c r="H85" s="300">
        <f>(52.5*KFC!$B$20*1.02*1.2*1.1+KFC!$C$20)*KFC!$C$5</f>
        <v>70.686000000000007</v>
      </c>
      <c r="I85" s="300">
        <f>(55.6*KFC!$B$20*1.02*1.2*1.1+KFC!$C$20)*KFC!$C$5</f>
        <v>74.859840000000005</v>
      </c>
      <c r="J85" s="300">
        <f>(58.9*KFC!$B$20*1.02*1.2*1.1+KFC!$C$20)*KFC!$C$5</f>
        <v>79.302959999999999</v>
      </c>
      <c r="K85" s="300">
        <f>(62.1*KFC!$B$20*1.02*1.2*1.1+KFC!$C$20)*KFC!$C$5</f>
        <v>83.611440000000016</v>
      </c>
      <c r="L85" s="300">
        <f>(65.4*KFC!$B$20*1.02*1.2*1.1+KFC!$C$20)*KFC!$C$5</f>
        <v>88.054560000000023</v>
      </c>
      <c r="M85" s="300">
        <f>(68.6*KFC!$B$20*1.02*1.2*1.1+KFC!$C$20)*KFC!$C$5</f>
        <v>92.363039999999998</v>
      </c>
      <c r="N85" s="300">
        <f>(71.9*KFC!$B$20*1.02*1.2*1.1+KFC!$C$20)*KFC!$C$5</f>
        <v>96.806160000000006</v>
      </c>
      <c r="O85" s="300">
        <f>(75.1*KFC!$B$20*1.02*1.2*1.1+KFC!$C$20)*KFC!$C$5</f>
        <v>101.11463999999999</v>
      </c>
      <c r="P85" s="300">
        <f>(78.4*KFC!$B$20*1.02*1.2*1.1+KFC!$C$20)*KFC!$C$5</f>
        <v>105.55776000000002</v>
      </c>
      <c r="Q85" s="300">
        <f>(81.6*KFC!$B$20*1.02*1.2*1.1+KFC!$C$20)*KFC!$C$5</f>
        <v>109.86624</v>
      </c>
      <c r="R85" s="300">
        <f>(84.9*KFC!$B$20*1.02*1.2*1.1+KFC!$C$20)*KFC!$C$5</f>
        <v>114.30936000000001</v>
      </c>
      <c r="S85" s="300">
        <f>(88.1*KFC!$B$20*1.02*1.2*1.1+KFC!$C$20)*KFC!$C$5</f>
        <v>118.61784</v>
      </c>
      <c r="T85" s="300">
        <f>(91.4*KFC!$B$20*1.02*1.2*1.1+KFC!$C$20)*KFC!$C$5</f>
        <v>123.06096000000002</v>
      </c>
      <c r="U85" s="300">
        <f>(94.5*KFC!$B$20*1.02*1.2*1.1+KFC!$C$20)*KFC!$C$5</f>
        <v>127.23480000000001</v>
      </c>
      <c r="V85" s="300">
        <f>(97.8*KFC!$B$20*1.02*1.2*1.1+KFC!$C$20)*KFC!$C$5</f>
        <v>131.67792</v>
      </c>
      <c r="W85" s="300">
        <f>(101*KFC!$B$20*1.02*1.2*1.1+KFC!$C$20)*KFC!$C$5</f>
        <v>135.9864</v>
      </c>
      <c r="X85" s="300">
        <f>(104.2*KFC!$B$20*1.02*1.2*1.1+KFC!$C$20)*KFC!$C$5</f>
        <v>140.29488000000001</v>
      </c>
      <c r="Y85" s="304">
        <f>(107.5*KFC!$B$20*1.02*1.2*1.1+KFC!$C$20)*KFC!$C$5</f>
        <v>144.73800000000003</v>
      </c>
      <c r="Z85" s="345"/>
      <c r="AA85" s="345"/>
      <c r="AB85" s="345"/>
      <c r="AC85" s="345"/>
    </row>
    <row r="86" spans="1:29" ht="13.8" thickBot="1">
      <c r="A86" s="1539"/>
      <c r="B86" s="299">
        <v>4.05</v>
      </c>
      <c r="C86" s="305">
        <f>(36.7*KFC!$B$20*1.02*1.2*1.1+KFC!$C$20)*KFC!$C$5</f>
        <v>49.412880000000008</v>
      </c>
      <c r="D86" s="306">
        <f>(40*KFC!$B$20*1.02*1.2*1.1+KFC!$C$20)*KFC!$C$5</f>
        <v>53.855999999999995</v>
      </c>
      <c r="E86" s="306">
        <f>(43.3*KFC!$B$20*1.02*1.2*1.1+KFC!$C$20)*KFC!$C$5</f>
        <v>58.299120000000002</v>
      </c>
      <c r="F86" s="306">
        <f>(46.6*KFC!$B$20*1.02*1.2*1.1+KFC!$C$20)*KFC!$C$5</f>
        <v>62.74224000000001</v>
      </c>
      <c r="G86" s="306">
        <f>(49.9*KFC!$B$20*1.02*1.2*1.1+KFC!$C$20)*KFC!$C$5</f>
        <v>67.185359999999989</v>
      </c>
      <c r="H86" s="306">
        <f>(53.2*KFC!$B$20*1.02*1.2*1.1+KFC!$C$20)*KFC!$C$5</f>
        <v>71.62848000000001</v>
      </c>
      <c r="I86" s="306">
        <f>(56.5*KFC!$B$20*1.02*1.2*1.1+KFC!$C$20)*KFC!$C$5</f>
        <v>76.071600000000018</v>
      </c>
      <c r="J86" s="306">
        <f>(59.7*KFC!$B$20*1.02*1.2*1.1+KFC!$C$20)*KFC!$C$5</f>
        <v>80.380080000000007</v>
      </c>
      <c r="K86" s="306">
        <f>(63*KFC!$B$20*1.02*1.2*1.1+KFC!$C$20)*KFC!$C$5</f>
        <v>84.823200000000014</v>
      </c>
      <c r="L86" s="306">
        <f>(66.3*KFC!$B$20*1.02*1.2*1.1+KFC!$C$20)*KFC!$C$5</f>
        <v>89.266320000000007</v>
      </c>
      <c r="M86" s="306">
        <f>(69.6*KFC!$B$20*1.02*1.2*1.1+KFC!$C$20)*KFC!$C$5</f>
        <v>93.709439999999987</v>
      </c>
      <c r="N86" s="306">
        <f>(72.9*KFC!$B$20*1.02*1.2*1.1+KFC!$C$20)*KFC!$C$5</f>
        <v>98.152560000000008</v>
      </c>
      <c r="O86" s="306">
        <f>(76.2*KFC!$B$20*1.02*1.2*1.1+KFC!$C$20)*KFC!$C$5</f>
        <v>102.59568</v>
      </c>
      <c r="P86" s="306">
        <f>(79.5*KFC!$B$20*1.02*1.2*1.1+KFC!$C$20)*KFC!$C$5</f>
        <v>107.03880000000002</v>
      </c>
      <c r="Q86" s="306">
        <f>(82.8*KFC!$B$20*1.02*1.2*1.1+KFC!$C$20)*KFC!$C$5</f>
        <v>111.48192000000002</v>
      </c>
      <c r="R86" s="306">
        <f>(86.1*KFC!$B$20*1.02*1.2*1.1+KFC!$C$20)*KFC!$C$5</f>
        <v>115.92504000000001</v>
      </c>
      <c r="S86" s="306">
        <f>(89.4*KFC!$B$20*1.02*1.2*1.1+KFC!$C$20)*KFC!$C$5</f>
        <v>120.36816000000002</v>
      </c>
      <c r="T86" s="306">
        <f>(92.7*KFC!$B$20*1.02*1.2*1.1+KFC!$C$20)*KFC!$C$5</f>
        <v>124.81128000000001</v>
      </c>
      <c r="U86" s="306">
        <f>(96*KFC!$B$20*1.02*1.2*1.1+KFC!$C$20)*KFC!$C$5</f>
        <v>129.2544</v>
      </c>
      <c r="V86" s="306">
        <f>(99.3*KFC!$B$20*1.02*1.2*1.1+KFC!$C$20)*KFC!$C$5</f>
        <v>133.69752</v>
      </c>
      <c r="W86" s="306">
        <f>(102.5*KFC!$B$20*1.02*1.2*1.1+KFC!$C$20)*KFC!$C$5</f>
        <v>138.006</v>
      </c>
      <c r="X86" s="306">
        <f>(105.8*KFC!$B$20*1.02*1.2*1.1+KFC!$C$20)*KFC!$C$5</f>
        <v>142.44912000000002</v>
      </c>
      <c r="Y86" s="307">
        <f>(109.1*KFC!$B$20*1.02*1.2*1.1+KFC!$C$20)*KFC!$C$5</f>
        <v>146.89224000000002</v>
      </c>
      <c r="Z86" s="345"/>
      <c r="AA86" s="345"/>
      <c r="AB86" s="345"/>
      <c r="AC86" s="345"/>
    </row>
    <row r="87" spans="1:29" ht="13.8" thickBot="1">
      <c r="A87" s="216"/>
      <c r="B87" s="216"/>
      <c r="C87" s="215"/>
      <c r="D87" s="215"/>
      <c r="E87" s="215"/>
      <c r="F87" s="215"/>
      <c r="G87" s="215"/>
      <c r="H87" s="215"/>
      <c r="I87" s="215"/>
      <c r="J87" s="215"/>
      <c r="K87" s="215"/>
      <c r="L87" s="215"/>
      <c r="M87" s="215"/>
      <c r="N87" s="215"/>
      <c r="O87" s="215"/>
      <c r="P87" s="215"/>
      <c r="Q87" s="215"/>
      <c r="R87" s="215"/>
      <c r="S87" s="215"/>
      <c r="T87" s="215"/>
      <c r="U87" s="215"/>
      <c r="V87" s="215"/>
      <c r="W87" s="215"/>
      <c r="X87" s="215"/>
      <c r="Y87" s="215"/>
      <c r="Z87" s="345"/>
      <c r="AA87" s="345"/>
      <c r="AB87" s="345"/>
      <c r="AC87" s="345"/>
    </row>
    <row r="88" spans="1:29" ht="13.5" customHeight="1" thickBot="1">
      <c r="A88" s="1413" t="s">
        <v>315</v>
      </c>
      <c r="B88" s="1542"/>
      <c r="C88" s="1534" t="s">
        <v>207</v>
      </c>
      <c r="D88" s="1535"/>
      <c r="E88" s="1535"/>
      <c r="F88" s="1535"/>
      <c r="G88" s="1535"/>
      <c r="H88" s="1535"/>
      <c r="I88" s="1535"/>
      <c r="J88" s="1535"/>
      <c r="K88" s="1535"/>
      <c r="L88" s="1535"/>
      <c r="M88" s="1535"/>
      <c r="N88" s="1535"/>
      <c r="O88" s="1535"/>
      <c r="P88" s="1535"/>
      <c r="Q88" s="1535"/>
      <c r="R88" s="1535"/>
      <c r="S88" s="1535"/>
      <c r="T88" s="1535"/>
      <c r="U88" s="1535"/>
      <c r="V88" s="1535"/>
      <c r="W88" s="1535"/>
      <c r="X88" s="1535"/>
      <c r="Y88" s="1536"/>
      <c r="Z88" s="345"/>
      <c r="AA88" s="345"/>
      <c r="AB88" s="345"/>
      <c r="AC88" s="345"/>
    </row>
    <row r="89" spans="1:29" ht="13.8" thickBot="1">
      <c r="A89" s="1543"/>
      <c r="B89" s="1544"/>
      <c r="C89" s="322">
        <v>0.4</v>
      </c>
      <c r="D89" s="323">
        <v>0.5</v>
      </c>
      <c r="E89" s="323">
        <v>0.6</v>
      </c>
      <c r="F89" s="323">
        <v>0.7</v>
      </c>
      <c r="G89" s="323">
        <v>0.8</v>
      </c>
      <c r="H89" s="323">
        <v>0.9</v>
      </c>
      <c r="I89" s="323">
        <v>1</v>
      </c>
      <c r="J89" s="323">
        <v>1.1000000000000001</v>
      </c>
      <c r="K89" s="323">
        <v>1.2</v>
      </c>
      <c r="L89" s="323">
        <v>1.3</v>
      </c>
      <c r="M89" s="323">
        <v>1.4</v>
      </c>
      <c r="N89" s="323">
        <v>1.5</v>
      </c>
      <c r="O89" s="323">
        <v>1.6</v>
      </c>
      <c r="P89" s="323">
        <v>1.7</v>
      </c>
      <c r="Q89" s="323">
        <v>1.8</v>
      </c>
      <c r="R89" s="323">
        <v>1.9</v>
      </c>
      <c r="S89" s="323">
        <v>2</v>
      </c>
      <c r="T89" s="323">
        <v>2.1</v>
      </c>
      <c r="U89" s="323">
        <v>2.2000000000000002</v>
      </c>
      <c r="V89" s="323">
        <v>2.2999999999999998</v>
      </c>
      <c r="W89" s="323">
        <v>2.4</v>
      </c>
      <c r="X89" s="323">
        <v>2.5</v>
      </c>
      <c r="Y89" s="324">
        <v>2.6</v>
      </c>
      <c r="Z89" s="345"/>
      <c r="AA89" s="345"/>
      <c r="AB89" s="345"/>
      <c r="AC89" s="345"/>
    </row>
    <row r="90" spans="1:29" ht="12.75" customHeight="1">
      <c r="A90" s="1537" t="s">
        <v>3</v>
      </c>
      <c r="B90" s="297">
        <v>0.5</v>
      </c>
      <c r="C90" s="274">
        <f>(29.4*KFC!$B$20*1.02*1.15*1.1+KFC!$C$20)*KFC!$C$5</f>
        <v>37.934820000000002</v>
      </c>
      <c r="D90" s="301">
        <f>(30.8*KFC!$B$20*1.02*1.15*1.1+KFC!$C$20)*KFC!$C$5</f>
        <v>39.741240000000005</v>
      </c>
      <c r="E90" s="301">
        <f>(32.3*KFC!$B$20*1.02*1.15*1.1+KFC!$C$20)*KFC!$C$5</f>
        <v>41.676690000000001</v>
      </c>
      <c r="F90" s="301">
        <f>(33.8*KFC!$B$20*1.02*1.15*1.1+KFC!$C$20)*KFC!$C$5</f>
        <v>43.612140000000004</v>
      </c>
      <c r="G90" s="301">
        <f>(35.2*KFC!$B$20*1.02*1.15*1.1+KFC!$C$20)*KFC!$C$5</f>
        <v>45.418560000000006</v>
      </c>
      <c r="H90" s="301">
        <f>(36.7*KFC!$B$20*1.02*1.15*1.1+KFC!$C$20)*KFC!$C$5</f>
        <v>47.354010000000009</v>
      </c>
      <c r="I90" s="301">
        <f>(38.2*KFC!$B$20*1.02*1.15*1.1+KFC!$C$20)*KFC!$C$5</f>
        <v>49.289460000000012</v>
      </c>
      <c r="J90" s="301">
        <f>(39.5*KFC!$B$20*1.02*1.15*1.1+KFC!$C$20)*KFC!$C$5</f>
        <v>50.966849999999994</v>
      </c>
      <c r="K90" s="301">
        <f>(41*KFC!$B$20*1.02*1.15*1.1+KFC!$C$20)*KFC!$C$5</f>
        <v>52.902300000000004</v>
      </c>
      <c r="L90" s="301">
        <f>(42.4*KFC!$B$20*1.02*1.15*1.1+KFC!$C$20)*KFC!$C$5</f>
        <v>54.708719999999992</v>
      </c>
      <c r="M90" s="301">
        <f>(43.9*KFC!$B$20*1.02*1.15*1.1+KFC!$C$20)*KFC!$C$5</f>
        <v>56.644169999999995</v>
      </c>
      <c r="N90" s="301">
        <f>(45.4*KFC!$B$20*1.02*1.15*1.1+KFC!$C$20)*KFC!$C$5</f>
        <v>58.579619999999998</v>
      </c>
      <c r="O90" s="301">
        <f>(46.8*KFC!$B$20*1.02*1.15*1.1+KFC!$C$20)*KFC!$C$5</f>
        <v>60.386039999999994</v>
      </c>
      <c r="P90" s="301">
        <f>(48.3*KFC!$B$20*1.02*1.15*1.1+KFC!$C$20)*KFC!$C$5</f>
        <v>62.321489999999997</v>
      </c>
      <c r="Q90" s="301">
        <f>(49.8*KFC!$B$20*1.02*1.15*1.1+KFC!$C$20)*KFC!$C$5</f>
        <v>64.25694</v>
      </c>
      <c r="R90" s="301">
        <f>(51.2*KFC!$B$20*1.02*1.15*1.1+KFC!$C$20)*KFC!$C$5</f>
        <v>66.063360000000003</v>
      </c>
      <c r="S90" s="301">
        <f>(52.7*KFC!$B$20*1.02*1.15*1.1+KFC!$C$20)*KFC!$C$5</f>
        <v>67.998810000000006</v>
      </c>
      <c r="T90" s="301">
        <f>(54.2*KFC!$B$20*1.02*1.15*1.1+KFC!$C$20)*KFC!$C$5</f>
        <v>69.934260000000009</v>
      </c>
      <c r="U90" s="301">
        <f>(55.6*KFC!$B$20*1.02*1.15*1.1+KFC!$C$20)*KFC!$C$5</f>
        <v>71.740680000000012</v>
      </c>
      <c r="V90" s="301">
        <f>(57.1*KFC!$B$20*1.02*1.15*1.1+KFC!$C$20)*KFC!$C$5</f>
        <v>73.676130000000015</v>
      </c>
      <c r="W90" s="301">
        <f>(58.5*KFC!$B$20*1.02*1.15*1.1+KFC!$C$20)*KFC!$C$5</f>
        <v>75.482550000000003</v>
      </c>
      <c r="X90" s="301">
        <f>(59.9*KFC!$B$20*1.02*1.15*1.1+KFC!$C$20)*KFC!$C$5</f>
        <v>77.288970000000006</v>
      </c>
      <c r="Y90" s="302">
        <f>(61.4*KFC!$B$20*1.02*1.15*1.1+KFC!$C$20)*KFC!$C$5</f>
        <v>79.224420000000009</v>
      </c>
      <c r="Z90" s="345"/>
      <c r="AA90" s="345"/>
      <c r="AB90" s="345"/>
      <c r="AC90" s="345"/>
    </row>
    <row r="91" spans="1:29">
      <c r="A91" s="1538"/>
      <c r="B91" s="298">
        <v>0.6</v>
      </c>
      <c r="C91" s="303">
        <f>(29.8*KFC!$B$20*1.02*1.15*1.1+KFC!$C$20)*KFC!$C$5</f>
        <v>38.450940000000003</v>
      </c>
      <c r="D91" s="300">
        <f>(31.4*KFC!$B$20*1.02*1.15*1.1+KFC!$C$20)*KFC!$C$5</f>
        <v>40.515419999999999</v>
      </c>
      <c r="E91" s="300">
        <f>(33*KFC!$B$20*1.02*1.15*1.1+KFC!$C$20)*KFC!$C$5</f>
        <v>42.579900000000009</v>
      </c>
      <c r="F91" s="300">
        <f>(34.6*KFC!$B$20*1.02*1.15*1.1+KFC!$C$20)*KFC!$C$5</f>
        <v>44.644380000000005</v>
      </c>
      <c r="G91" s="300">
        <f>(36.1*KFC!$B$20*1.02*1.15*1.1+KFC!$C$20)*KFC!$C$5</f>
        <v>46.579830000000008</v>
      </c>
      <c r="H91" s="300">
        <f>(37.7*KFC!$B$20*1.02*1.15*1.1+KFC!$C$20)*KFC!$C$5</f>
        <v>48.644310000000004</v>
      </c>
      <c r="I91" s="300">
        <f>(39.3*KFC!$B$20*1.02*1.15*1.1+KFC!$C$20)*KFC!$C$5</f>
        <v>50.708789999999993</v>
      </c>
      <c r="J91" s="300">
        <f>(40.8*KFC!$B$20*1.02*1.15*1.1+KFC!$C$20)*KFC!$C$5</f>
        <v>52.644239999999996</v>
      </c>
      <c r="K91" s="300">
        <f>(42.3*KFC!$B$20*1.02*1.15*1.1+KFC!$C$20)*KFC!$C$5</f>
        <v>54.579690000000006</v>
      </c>
      <c r="L91" s="300">
        <f>(43.9*KFC!$B$20*1.02*1.15*1.1+KFC!$C$20)*KFC!$C$5</f>
        <v>56.644169999999995</v>
      </c>
      <c r="M91" s="300">
        <f>(45.5*KFC!$B$20*1.02*1.15*1.1+KFC!$C$20)*KFC!$C$5</f>
        <v>58.708649999999999</v>
      </c>
      <c r="N91" s="300">
        <f>(47.1*KFC!$B$20*1.02*1.15*1.1+KFC!$C$20)*KFC!$C$5</f>
        <v>60.773130000000002</v>
      </c>
      <c r="O91" s="300">
        <f>(48.6*KFC!$B$20*1.02*1.15*1.1+KFC!$C$20)*KFC!$C$5</f>
        <v>62.708579999999998</v>
      </c>
      <c r="P91" s="300">
        <f>(50.1*KFC!$B$20*1.02*1.15*1.1+KFC!$C$20)*KFC!$C$5</f>
        <v>64.644030000000001</v>
      </c>
      <c r="Q91" s="300">
        <f>(51.7*KFC!$B$20*1.02*1.15*1.1+KFC!$C$20)*KFC!$C$5</f>
        <v>66.708510000000004</v>
      </c>
      <c r="R91" s="300">
        <f>(53.2*KFC!$B$20*1.02*1.15*1.1+KFC!$C$20)*KFC!$C$5</f>
        <v>68.643960000000007</v>
      </c>
      <c r="S91" s="300">
        <f>(54.8*KFC!$B$20*1.02*1.15*1.1+KFC!$C$20)*KFC!$C$5</f>
        <v>70.70844000000001</v>
      </c>
      <c r="T91" s="300">
        <f>(56.4*KFC!$B$20*1.02*1.15*1.1+KFC!$C$20)*KFC!$C$5</f>
        <v>72.772919999999999</v>
      </c>
      <c r="U91" s="300">
        <f>(58*KFC!$B$20*1.02*1.15*1.1+KFC!$C$20)*KFC!$C$5</f>
        <v>74.837400000000017</v>
      </c>
      <c r="V91" s="300">
        <f>(59.4*KFC!$B$20*1.02*1.15*1.1+KFC!$C$20)*KFC!$C$5</f>
        <v>76.643820000000005</v>
      </c>
      <c r="W91" s="300">
        <f>(61*KFC!$B$20*1.02*1.15*1.1+KFC!$C$20)*KFC!$C$5</f>
        <v>78.708300000000008</v>
      </c>
      <c r="X91" s="300">
        <f>(62.6*KFC!$B$20*1.02*1.15*1.1+KFC!$C$20)*KFC!$C$5</f>
        <v>80.772780000000012</v>
      </c>
      <c r="Y91" s="304">
        <f>(64.2*KFC!$B$20*1.02*1.15*1.1+KFC!$C$20)*KFC!$C$5</f>
        <v>82.837260000000015</v>
      </c>
      <c r="Z91" s="345"/>
      <c r="AA91" s="345"/>
      <c r="AB91" s="345"/>
      <c r="AC91" s="345"/>
    </row>
    <row r="92" spans="1:29">
      <c r="A92" s="1538"/>
      <c r="B92" s="298">
        <v>0.7</v>
      </c>
      <c r="C92" s="303">
        <f>(30.5*KFC!$B$20*1.02*1.15*1.1+KFC!$C$20)*KFC!$C$5</f>
        <v>39.354150000000004</v>
      </c>
      <c r="D92" s="300">
        <f>(32*KFC!$B$20*1.02*1.15*1.1+KFC!$C$20)*KFC!$C$5</f>
        <v>41.2896</v>
      </c>
      <c r="E92" s="300">
        <f>(33.8*KFC!$B$20*1.02*1.15*1.1+KFC!$C$20)*KFC!$C$5</f>
        <v>43.612140000000004</v>
      </c>
      <c r="F92" s="300">
        <f>(35.3*KFC!$B$20*1.02*1.15*1.1+KFC!$C$20)*KFC!$C$5</f>
        <v>45.547590000000007</v>
      </c>
      <c r="G92" s="300">
        <f>(37.1*KFC!$B$20*1.02*1.15*1.1+KFC!$C$20)*KFC!$C$5</f>
        <v>47.870130000000003</v>
      </c>
      <c r="H92" s="300">
        <f>(38.6*KFC!$B$20*1.02*1.15*1.1+KFC!$C$20)*KFC!$C$5</f>
        <v>49.805580000000006</v>
      </c>
      <c r="I92" s="300">
        <f>(40.4*KFC!$B$20*1.02*1.15*1.1+KFC!$C$20)*KFC!$C$5</f>
        <v>52.128119999999996</v>
      </c>
      <c r="J92" s="300">
        <f>(42.1*KFC!$B$20*1.02*1.15*1.1+KFC!$C$20)*KFC!$C$5</f>
        <v>54.321630000000006</v>
      </c>
      <c r="K92" s="300">
        <f>(43.7*KFC!$B$20*1.02*1.15*1.1+KFC!$C$20)*KFC!$C$5</f>
        <v>56.386110000000009</v>
      </c>
      <c r="L92" s="300">
        <f>(45.4*KFC!$B$20*1.02*1.15*1.1+KFC!$C$20)*KFC!$C$5</f>
        <v>58.579619999999998</v>
      </c>
      <c r="M92" s="300">
        <f>(47*KFC!$B$20*1.02*1.15*1.1+KFC!$C$20)*KFC!$C$5</f>
        <v>60.644099999999995</v>
      </c>
      <c r="N92" s="300">
        <f>(48.7*KFC!$B$20*1.02*1.15*1.1+KFC!$C$20)*KFC!$C$5</f>
        <v>62.837610000000012</v>
      </c>
      <c r="O92" s="300">
        <f>(50.3*KFC!$B$20*1.02*1.15*1.1+KFC!$C$20)*KFC!$C$5</f>
        <v>64.902090000000001</v>
      </c>
      <c r="P92" s="300">
        <f>(52*KFC!$B$20*1.02*1.15*1.1+KFC!$C$20)*KFC!$C$5</f>
        <v>67.095600000000005</v>
      </c>
      <c r="Q92" s="300">
        <f>(53.7*KFC!$B$20*1.02*1.15*1.1+KFC!$C$20)*KFC!$C$5</f>
        <v>69.289110000000008</v>
      </c>
      <c r="R92" s="300">
        <f>(55.3*KFC!$B$20*1.02*1.15*1.1+KFC!$C$20)*KFC!$C$5</f>
        <v>71.353589999999997</v>
      </c>
      <c r="S92" s="300">
        <f>(57*KFC!$B$20*1.02*1.15*1.1+KFC!$C$20)*KFC!$C$5</f>
        <v>73.5471</v>
      </c>
      <c r="T92" s="300">
        <f>(58.6*KFC!$B$20*1.02*1.15*1.1+KFC!$C$20)*KFC!$C$5</f>
        <v>75.611580000000018</v>
      </c>
      <c r="U92" s="300">
        <f>(60.3*KFC!$B$20*1.02*1.15*1.1+KFC!$C$20)*KFC!$C$5</f>
        <v>77.805090000000007</v>
      </c>
      <c r="V92" s="300">
        <f>(61.9*KFC!$B$20*1.02*1.15*1.1+KFC!$C$20)*KFC!$C$5</f>
        <v>79.86957000000001</v>
      </c>
      <c r="W92" s="300">
        <f>(63.6*KFC!$B$20*1.02*1.15*1.1+KFC!$C$20)*KFC!$C$5</f>
        <v>82.063079999999999</v>
      </c>
      <c r="X92" s="300">
        <f>(65.3*KFC!$B$20*1.02*1.15*1.1+KFC!$C$20)*KFC!$C$5</f>
        <v>84.256590000000003</v>
      </c>
      <c r="Y92" s="304">
        <f>(66.9*KFC!$B$20*1.02*1.15*1.1+KFC!$C$20)*KFC!$C$5</f>
        <v>86.32107000000002</v>
      </c>
      <c r="Z92" s="345"/>
      <c r="AA92" s="345"/>
      <c r="AB92" s="345"/>
      <c r="AC92" s="345"/>
    </row>
    <row r="93" spans="1:29">
      <c r="A93" s="1538"/>
      <c r="B93" s="298">
        <v>0.8</v>
      </c>
      <c r="C93" s="303">
        <f>(30.9*KFC!$B$20*1.02*1.15*1.1+KFC!$C$20)*KFC!$C$5</f>
        <v>39.870270000000005</v>
      </c>
      <c r="D93" s="300">
        <f>(32.7*KFC!$B$20*1.02*1.15*1.1+KFC!$C$20)*KFC!$C$5</f>
        <v>42.192810000000009</v>
      </c>
      <c r="E93" s="300">
        <f>(34.5*KFC!$B$20*1.02*1.15*1.1+KFC!$C$20)*KFC!$C$5</f>
        <v>44.515349999999998</v>
      </c>
      <c r="F93" s="300">
        <f>(36.2*KFC!$B$20*1.02*1.15*1.1+KFC!$C$20)*KFC!$C$5</f>
        <v>46.708860000000008</v>
      </c>
      <c r="G93" s="300">
        <f>(38*KFC!$B$20*1.02*1.15*1.1+KFC!$C$20)*KFC!$C$5</f>
        <v>49.031399999999991</v>
      </c>
      <c r="H93" s="300">
        <f>(39.7*KFC!$B$20*1.02*1.15*1.1+KFC!$C$20)*KFC!$C$5</f>
        <v>51.224910000000008</v>
      </c>
      <c r="I93" s="300">
        <f>(41.5*KFC!$B$20*1.02*1.15*1.1+KFC!$C$20)*KFC!$C$5</f>
        <v>53.547450000000005</v>
      </c>
      <c r="J93" s="300">
        <f>(43.3*KFC!$B$20*1.02*1.15*1.1+KFC!$C$20)*KFC!$C$5</f>
        <v>55.869989999999994</v>
      </c>
      <c r="K93" s="300">
        <f>(45*KFC!$B$20*1.02*1.15*1.1+KFC!$C$20)*KFC!$C$5</f>
        <v>58.063499999999998</v>
      </c>
      <c r="L93" s="300">
        <f>(46.7*KFC!$B$20*1.02*1.15*1.1+KFC!$C$20)*KFC!$C$5</f>
        <v>60.257010000000001</v>
      </c>
      <c r="M93" s="300">
        <f>(48.6*KFC!$B$20*1.02*1.15*1.1+KFC!$C$20)*KFC!$C$5</f>
        <v>62.708579999999998</v>
      </c>
      <c r="N93" s="300">
        <f>(50.3*KFC!$B$20*1.02*1.15*1.1+KFC!$C$20)*KFC!$C$5</f>
        <v>64.902090000000001</v>
      </c>
      <c r="O93" s="300">
        <f>(52.1*KFC!$B$20*1.02*1.15*1.1+KFC!$C$20)*KFC!$C$5</f>
        <v>67.224630000000005</v>
      </c>
      <c r="P93" s="300">
        <f>(53.8*KFC!$B$20*1.02*1.15*1.1+KFC!$C$20)*KFC!$C$5</f>
        <v>69.418139999999994</v>
      </c>
      <c r="Q93" s="300">
        <f>(55.5*KFC!$B$20*1.02*1.15*1.1+KFC!$C$20)*KFC!$C$5</f>
        <v>71.611649999999997</v>
      </c>
      <c r="R93" s="300">
        <f>(57.4*KFC!$B$20*1.02*1.15*1.1+KFC!$C$20)*KFC!$C$5</f>
        <v>74.063220000000001</v>
      </c>
      <c r="S93" s="300">
        <f>(59.1*KFC!$B$20*1.02*1.15*1.1+KFC!$C$20)*KFC!$C$5</f>
        <v>76.256730000000005</v>
      </c>
      <c r="T93" s="300">
        <f>(60.9*KFC!$B$20*1.02*1.15*1.1+KFC!$C$20)*KFC!$C$5</f>
        <v>78.579270000000008</v>
      </c>
      <c r="U93" s="300">
        <f>(62.6*KFC!$B$20*1.02*1.15*1.1+KFC!$C$20)*KFC!$C$5</f>
        <v>80.772780000000012</v>
      </c>
      <c r="V93" s="300">
        <f>(64.3*KFC!$B$20*1.02*1.15*1.1+KFC!$C$20)*KFC!$C$5</f>
        <v>82.966290000000001</v>
      </c>
      <c r="W93" s="300">
        <f>(66.2*KFC!$B$20*1.02*1.15*1.1+KFC!$C$20)*KFC!$C$5</f>
        <v>85.417860000000005</v>
      </c>
      <c r="X93" s="300">
        <f>(67.9*KFC!$B$20*1.02*1.15*1.1+KFC!$C$20)*KFC!$C$5</f>
        <v>87.611370000000022</v>
      </c>
      <c r="Y93" s="304">
        <f>(69.6*KFC!$B$20*1.02*1.15*1.1+KFC!$C$20)*KFC!$C$5</f>
        <v>89.804879999999997</v>
      </c>
      <c r="Z93" s="345"/>
      <c r="AA93" s="345"/>
      <c r="AB93" s="345"/>
      <c r="AC93" s="345"/>
    </row>
    <row r="94" spans="1:29">
      <c r="A94" s="1538"/>
      <c r="B94" s="298">
        <v>0.9</v>
      </c>
      <c r="C94" s="303">
        <f>(31.4*KFC!$B$20*1.02*1.15*1.1+KFC!$C$20)*KFC!$C$5</f>
        <v>40.515419999999999</v>
      </c>
      <c r="D94" s="300">
        <f>(33.4*KFC!$B$20*1.02*1.15*1.1+KFC!$C$20)*KFC!$C$5</f>
        <v>43.096020000000003</v>
      </c>
      <c r="E94" s="300">
        <f>(35.2*KFC!$B$20*1.02*1.15*1.1+KFC!$C$20)*KFC!$C$5</f>
        <v>45.418560000000006</v>
      </c>
      <c r="F94" s="300">
        <f>(37.1*KFC!$B$20*1.02*1.15*1.1+KFC!$C$20)*KFC!$C$5</f>
        <v>47.870130000000003</v>
      </c>
      <c r="G94" s="300">
        <f>(38.9*KFC!$B$20*1.02*1.15*1.1+KFC!$C$20)*KFC!$C$5</f>
        <v>50.192669999999993</v>
      </c>
      <c r="H94" s="300">
        <f>(40.7*KFC!$B$20*1.02*1.15*1.1+KFC!$C$20)*KFC!$C$5</f>
        <v>52.51521000000001</v>
      </c>
      <c r="I94" s="300">
        <f>(42.7*KFC!$B$20*1.02*1.15*1.1+KFC!$C$20)*KFC!$C$5</f>
        <v>55.095810000000007</v>
      </c>
      <c r="J94" s="300">
        <f>(44.5*KFC!$B$20*1.02*1.15*1.1+KFC!$C$20)*KFC!$C$5</f>
        <v>57.418349999999997</v>
      </c>
      <c r="K94" s="300">
        <f>(46.4*KFC!$B$20*1.02*1.15*1.1+KFC!$C$20)*KFC!$C$5</f>
        <v>59.869919999999993</v>
      </c>
      <c r="L94" s="300">
        <f>(48.2*KFC!$B$20*1.02*1.15*1.1+KFC!$C$20)*KFC!$C$5</f>
        <v>62.192459999999997</v>
      </c>
      <c r="M94" s="300">
        <f>(50*KFC!$B$20*1.02*1.15*1.1+KFC!$C$20)*KFC!$C$5</f>
        <v>64.515000000000001</v>
      </c>
      <c r="N94" s="300">
        <f>(52*KFC!$B$20*1.02*1.15*1.1+KFC!$C$20)*KFC!$C$5</f>
        <v>67.095600000000005</v>
      </c>
      <c r="O94" s="300">
        <f>(53.8*KFC!$B$20*1.02*1.15*1.1+KFC!$C$20)*KFC!$C$5</f>
        <v>69.418139999999994</v>
      </c>
      <c r="P94" s="300">
        <f>(55.6*KFC!$B$20*1.02*1.15*1.1+KFC!$C$20)*KFC!$C$5</f>
        <v>71.740680000000012</v>
      </c>
      <c r="Q94" s="300">
        <f>(57.5*KFC!$B$20*1.02*1.15*1.1+KFC!$C$20)*KFC!$C$5</f>
        <v>74.192250000000001</v>
      </c>
      <c r="R94" s="300">
        <f>(59.3*KFC!$B$20*1.02*1.15*1.1+KFC!$C$20)*KFC!$C$5</f>
        <v>76.514790000000005</v>
      </c>
      <c r="S94" s="300">
        <f>(61.3*KFC!$B$20*1.02*1.15*1.1+KFC!$C$20)*KFC!$C$5</f>
        <v>79.095389999999995</v>
      </c>
      <c r="T94" s="300">
        <f>(63.1*KFC!$B$20*1.02*1.15*1.1+KFC!$C$20)*KFC!$C$5</f>
        <v>81.417930000000013</v>
      </c>
      <c r="U94" s="300">
        <f>(64.9*KFC!$B$20*1.02*1.15*1.1+KFC!$C$20)*KFC!$C$5</f>
        <v>83.740470000000016</v>
      </c>
      <c r="V94" s="300">
        <f>(66.8*KFC!$B$20*1.02*1.15*1.1+KFC!$C$20)*KFC!$C$5</f>
        <v>86.192040000000006</v>
      </c>
      <c r="W94" s="300">
        <f>(68.6*KFC!$B$20*1.02*1.15*1.1+KFC!$C$20)*KFC!$C$5</f>
        <v>88.514579999999995</v>
      </c>
      <c r="X94" s="300">
        <f>(70.6*KFC!$B$20*1.02*1.15*1.1+KFC!$C$20)*KFC!$C$5</f>
        <v>91.095180000000013</v>
      </c>
      <c r="Y94" s="304">
        <f>(72.4*KFC!$B$20*1.02*1.15*1.1+KFC!$C$20)*KFC!$C$5</f>
        <v>93.417720000000017</v>
      </c>
      <c r="Z94" s="345"/>
      <c r="AA94" s="345"/>
      <c r="AB94" s="345"/>
      <c r="AC94" s="345"/>
    </row>
    <row r="95" spans="1:29">
      <c r="A95" s="1538"/>
      <c r="B95" s="298">
        <v>1</v>
      </c>
      <c r="C95" s="303">
        <f>(32*KFC!$B$20*1.02*1.15*1.1+KFC!$C$20)*KFC!$C$5</f>
        <v>41.2896</v>
      </c>
      <c r="D95" s="300">
        <f>(34*KFC!$B$20*1.02*1.15*1.1+KFC!$C$20)*KFC!$C$5</f>
        <v>43.870200000000004</v>
      </c>
      <c r="E95" s="300">
        <f>(36*KFC!$B$20*1.02*1.15*1.1+KFC!$C$20)*KFC!$C$5</f>
        <v>46.450800000000001</v>
      </c>
      <c r="F95" s="300">
        <f>(37.9*KFC!$B$20*1.02*1.15*1.1+KFC!$C$20)*KFC!$C$5</f>
        <v>48.902370000000005</v>
      </c>
      <c r="G95" s="300">
        <f>(39.9*KFC!$B$20*1.02*1.15*1.1+KFC!$C$20)*KFC!$C$5</f>
        <v>51.482969999999995</v>
      </c>
      <c r="H95" s="300">
        <f>(41.8*KFC!$B$20*1.02*1.15*1.1+KFC!$C$20)*KFC!$C$5</f>
        <v>53.934539999999991</v>
      </c>
      <c r="I95" s="300">
        <f>(43.8*KFC!$B$20*1.02*1.15*1.1+KFC!$C$20)*KFC!$C$5</f>
        <v>56.515139999999988</v>
      </c>
      <c r="J95" s="300">
        <f>(45.7*KFC!$B$20*1.02*1.15*1.1+KFC!$C$20)*KFC!$C$5</f>
        <v>58.966709999999999</v>
      </c>
      <c r="K95" s="300">
        <f>(47.7*KFC!$B$20*1.02*1.15*1.1+KFC!$C$20)*KFC!$C$5</f>
        <v>61.547310000000003</v>
      </c>
      <c r="L95" s="300">
        <f>(49.7*KFC!$B$20*1.02*1.15*1.1+KFC!$C$20)*KFC!$C$5</f>
        <v>64.12791</v>
      </c>
      <c r="M95" s="300">
        <f>(51.6*KFC!$B$20*1.02*1.15*1.1+KFC!$C$20)*KFC!$C$5</f>
        <v>66.579480000000004</v>
      </c>
      <c r="N95" s="300">
        <f>(53.6*KFC!$B$20*1.02*1.15*1.1+KFC!$C$20)*KFC!$C$5</f>
        <v>69.160080000000008</v>
      </c>
      <c r="O95" s="300">
        <f>(55.5*KFC!$B$20*1.02*1.15*1.1+KFC!$C$20)*KFC!$C$5</f>
        <v>71.611649999999997</v>
      </c>
      <c r="P95" s="300">
        <f>(57.5*KFC!$B$20*1.02*1.15*1.1+KFC!$C$20)*KFC!$C$5</f>
        <v>74.192250000000001</v>
      </c>
      <c r="Q95" s="300">
        <f>(59.4*KFC!$B$20*1.02*1.15*1.1+KFC!$C$20)*KFC!$C$5</f>
        <v>76.643820000000005</v>
      </c>
      <c r="R95" s="300">
        <f>(61.4*KFC!$B$20*1.02*1.15*1.1+KFC!$C$20)*KFC!$C$5</f>
        <v>79.224420000000009</v>
      </c>
      <c r="S95" s="300">
        <f>(63.4*KFC!$B$20*1.02*1.15*1.1+KFC!$C$20)*KFC!$C$5</f>
        <v>81.805020000000013</v>
      </c>
      <c r="T95" s="300">
        <f>(65.3*KFC!$B$20*1.02*1.15*1.1+KFC!$C$20)*KFC!$C$5</f>
        <v>84.256590000000003</v>
      </c>
      <c r="U95" s="300">
        <f>(67.3*KFC!$B$20*1.02*1.15*1.1+KFC!$C$20)*KFC!$C$5</f>
        <v>86.837190000000007</v>
      </c>
      <c r="V95" s="300">
        <f>(69.2*KFC!$B$20*1.02*1.15*1.1+KFC!$C$20)*KFC!$C$5</f>
        <v>89.288760000000011</v>
      </c>
      <c r="W95" s="300">
        <f>(71.2*KFC!$B$20*1.02*1.15*1.1+KFC!$C$20)*KFC!$C$5</f>
        <v>91.869360000000015</v>
      </c>
      <c r="X95" s="300">
        <f>(73.1*KFC!$B$20*1.02*1.15*1.1+KFC!$C$20)*KFC!$C$5</f>
        <v>94.320930000000004</v>
      </c>
      <c r="Y95" s="304">
        <f>(75.1*KFC!$B$20*1.02*1.15*1.1+KFC!$C$20)*KFC!$C$5</f>
        <v>96.90152999999998</v>
      </c>
      <c r="Z95" s="345"/>
      <c r="AA95" s="345"/>
      <c r="AB95" s="345"/>
      <c r="AC95" s="345"/>
    </row>
    <row r="96" spans="1:29">
      <c r="A96" s="1538"/>
      <c r="B96" s="298">
        <v>1.1000000000000001</v>
      </c>
      <c r="C96" s="303">
        <f>(32.5*KFC!$B$20*1.02*1.15*1.1+KFC!$C$20)*KFC!$C$5</f>
        <v>41.934750000000001</v>
      </c>
      <c r="D96" s="300">
        <f>(34.6*KFC!$B$20*1.02*1.15*1.1+KFC!$C$20)*KFC!$C$5</f>
        <v>44.644380000000005</v>
      </c>
      <c r="E96" s="300">
        <f>(36.7*KFC!$B$20*1.02*1.15*1.1+KFC!$C$20)*KFC!$C$5</f>
        <v>47.354010000000009</v>
      </c>
      <c r="F96" s="300">
        <f>(38.6*KFC!$B$20*1.02*1.15*1.1+KFC!$C$20)*KFC!$C$5</f>
        <v>49.805580000000006</v>
      </c>
      <c r="G96" s="300">
        <f>(40.7*KFC!$B$20*1.02*1.15*1.1+KFC!$C$20)*KFC!$C$5</f>
        <v>52.51521000000001</v>
      </c>
      <c r="H96" s="300">
        <f>(42.8*KFC!$B$20*1.02*1.15*1.1+KFC!$C$20)*KFC!$C$5</f>
        <v>55.224839999999993</v>
      </c>
      <c r="I96" s="300">
        <f>(44.9*KFC!$B$20*1.02*1.15*1.1+KFC!$C$20)*KFC!$C$5</f>
        <v>57.934469999999997</v>
      </c>
      <c r="J96" s="300">
        <f>(47*KFC!$B$20*1.02*1.15*1.1+KFC!$C$20)*KFC!$C$5</f>
        <v>60.644099999999995</v>
      </c>
      <c r="K96" s="300">
        <f>(49*KFC!$B$20*1.02*1.15*1.1+KFC!$C$20)*KFC!$C$5</f>
        <v>63.224699999999999</v>
      </c>
      <c r="L96" s="300">
        <f>(51.1*KFC!$B$20*1.02*1.15*1.1+KFC!$C$20)*KFC!$C$5</f>
        <v>65.934330000000003</v>
      </c>
      <c r="M96" s="300">
        <f>(53.1*KFC!$B$20*1.02*1.15*1.1+KFC!$C$20)*KFC!$C$5</f>
        <v>68.514930000000007</v>
      </c>
      <c r="N96" s="300">
        <f>(55.2*KFC!$B$20*1.02*1.15*1.1+KFC!$C$20)*KFC!$C$5</f>
        <v>71.224560000000011</v>
      </c>
      <c r="O96" s="300">
        <f>(57.2*KFC!$B$20*1.02*1.15*1.1+KFC!$C$20)*KFC!$C$5</f>
        <v>73.805160000000001</v>
      </c>
      <c r="P96" s="300">
        <f>(59.3*KFC!$B$20*1.02*1.15*1.1+KFC!$C$20)*KFC!$C$5</f>
        <v>76.514790000000005</v>
      </c>
      <c r="Q96" s="300">
        <f>(61.4*KFC!$B$20*1.02*1.15*1.1+KFC!$C$20)*KFC!$C$5</f>
        <v>79.224420000000009</v>
      </c>
      <c r="R96" s="300">
        <f>(63.5*KFC!$B$20*1.02*1.15*1.1+KFC!$C$20)*KFC!$C$5</f>
        <v>81.934049999999999</v>
      </c>
      <c r="S96" s="300">
        <f>(65.6*KFC!$B$20*1.02*1.15*1.1+KFC!$C$20)*KFC!$C$5</f>
        <v>84.643680000000003</v>
      </c>
      <c r="T96" s="300">
        <f>(67.5*KFC!$B$20*1.02*1.15*1.1+KFC!$C$20)*KFC!$C$5</f>
        <v>87.095249999999979</v>
      </c>
      <c r="U96" s="300">
        <f>(69.6*KFC!$B$20*1.02*1.15*1.1+KFC!$C$20)*KFC!$C$5</f>
        <v>89.804879999999997</v>
      </c>
      <c r="V96" s="300">
        <f>(71.7*KFC!$B$20*1.02*1.15*1.1+KFC!$C$20)*KFC!$C$5</f>
        <v>92.514510000000001</v>
      </c>
      <c r="W96" s="300">
        <f>(73.7*KFC!$B$20*1.02*1.15*1.1+KFC!$C$20)*KFC!$C$5</f>
        <v>95.09511000000002</v>
      </c>
      <c r="X96" s="300">
        <f>(75.8*KFC!$B$20*1.02*1.15*1.1+KFC!$C$20)*KFC!$C$5</f>
        <v>97.80474000000001</v>
      </c>
      <c r="Y96" s="304">
        <f>(77.9*KFC!$B$20*1.02*1.15*1.1+KFC!$C$20)*KFC!$C$5</f>
        <v>100.51437000000003</v>
      </c>
      <c r="Z96" s="345"/>
      <c r="AA96" s="345"/>
      <c r="AB96" s="345"/>
      <c r="AC96" s="345"/>
    </row>
    <row r="97" spans="1:29">
      <c r="A97" s="1538"/>
      <c r="B97" s="298">
        <v>1.2</v>
      </c>
      <c r="C97" s="303">
        <f>(33*KFC!$B$20*1.02*1.15*1.1+KFC!$C$20)*KFC!$C$5</f>
        <v>42.579900000000009</v>
      </c>
      <c r="D97" s="300">
        <f>(35.2*KFC!$B$20*1.02*1.15*1.1+KFC!$C$20)*KFC!$C$5</f>
        <v>45.418560000000006</v>
      </c>
      <c r="E97" s="300">
        <f>(37.4*KFC!$B$20*1.02*1.15*1.1+KFC!$C$20)*KFC!$C$5</f>
        <v>48.25721999999999</v>
      </c>
      <c r="F97" s="300">
        <f>(39.5*KFC!$B$20*1.02*1.15*1.1+KFC!$C$20)*KFC!$C$5</f>
        <v>50.966849999999994</v>
      </c>
      <c r="G97" s="300">
        <f>(41.7*KFC!$B$20*1.02*1.15*1.1+KFC!$C$20)*KFC!$C$5</f>
        <v>53.805510000000012</v>
      </c>
      <c r="H97" s="300">
        <f>(43.9*KFC!$B$20*1.02*1.15*1.1+KFC!$C$20)*KFC!$C$5</f>
        <v>56.644169999999995</v>
      </c>
      <c r="I97" s="300">
        <f>(46*KFC!$B$20*1.02*1.15*1.1+KFC!$C$20)*KFC!$C$5</f>
        <v>59.3538</v>
      </c>
      <c r="J97" s="300">
        <f>(48.2*KFC!$B$20*1.02*1.15*1.1+KFC!$C$20)*KFC!$C$5</f>
        <v>62.192459999999997</v>
      </c>
      <c r="K97" s="300">
        <f>(50.4*KFC!$B$20*1.02*1.15*1.1+KFC!$C$20)*KFC!$C$5</f>
        <v>65.031120000000001</v>
      </c>
      <c r="L97" s="300">
        <f>(52.5*KFC!$B$20*1.02*1.15*1.1+KFC!$C$20)*KFC!$C$5</f>
        <v>67.740750000000006</v>
      </c>
      <c r="M97" s="300">
        <f>(54.7*KFC!$B$20*1.02*1.15*1.1+KFC!$C$20)*KFC!$C$5</f>
        <v>70.57941000000001</v>
      </c>
      <c r="N97" s="300">
        <f>(56.9*KFC!$B$20*1.02*1.15*1.1+KFC!$C$20)*KFC!$C$5</f>
        <v>73.41807</v>
      </c>
      <c r="O97" s="300">
        <f>(58.9*KFC!$B$20*1.02*1.15*1.1+KFC!$C$20)*KFC!$C$5</f>
        <v>75.998670000000004</v>
      </c>
      <c r="P97" s="300">
        <f>(61.2*KFC!$B$20*1.02*1.15*1.1+KFC!$C$20)*KFC!$C$5</f>
        <v>78.966360000000009</v>
      </c>
      <c r="Q97" s="300">
        <f>(63.4*KFC!$B$20*1.02*1.15*1.1+KFC!$C$20)*KFC!$C$5</f>
        <v>81.805020000000013</v>
      </c>
      <c r="R97" s="300">
        <f>(65.4*KFC!$B$20*1.02*1.15*1.1+KFC!$C$20)*KFC!$C$5</f>
        <v>84.385620000000017</v>
      </c>
      <c r="S97" s="300">
        <f>(67.6*KFC!$B$20*1.02*1.15*1.1+KFC!$C$20)*KFC!$C$5</f>
        <v>87.224280000000007</v>
      </c>
      <c r="T97" s="300">
        <f>(69.8*KFC!$B$20*1.02*1.15*1.1+KFC!$C$20)*KFC!$C$5</f>
        <v>90.062939999999998</v>
      </c>
      <c r="U97" s="300">
        <f>(71.9*KFC!$B$20*1.02*1.15*1.1+KFC!$C$20)*KFC!$C$5</f>
        <v>92.772570000000016</v>
      </c>
      <c r="V97" s="300">
        <f>(74.1*KFC!$B$20*1.02*1.15*1.1+KFC!$C$20)*KFC!$C$5</f>
        <v>95.611230000000006</v>
      </c>
      <c r="W97" s="300">
        <f>(76.3*KFC!$B$20*1.02*1.15*1.1+KFC!$C$20)*KFC!$C$5</f>
        <v>98.449889999999982</v>
      </c>
      <c r="X97" s="300">
        <f>(78.4*KFC!$B$20*1.02*1.15*1.1+KFC!$C$20)*KFC!$C$5</f>
        <v>101.15952000000001</v>
      </c>
      <c r="Y97" s="304">
        <f>(80.6*KFC!$B$20*1.02*1.15*1.1+KFC!$C$20)*KFC!$C$5</f>
        <v>103.99817999999998</v>
      </c>
      <c r="Z97" s="345"/>
      <c r="AA97" s="345"/>
      <c r="AB97" s="345"/>
      <c r="AC97" s="345"/>
    </row>
    <row r="98" spans="1:29">
      <c r="A98" s="1538"/>
      <c r="B98" s="298">
        <v>1.3</v>
      </c>
      <c r="C98" s="303">
        <f>(33.6*KFC!$B$20*1.02*1.15*1.1+KFC!$C$20)*KFC!$C$5</f>
        <v>43.35408000000001</v>
      </c>
      <c r="D98" s="300">
        <f>(35.8*KFC!$B$20*1.02*1.15*1.1+KFC!$C$20)*KFC!$C$5</f>
        <v>46.192740000000001</v>
      </c>
      <c r="E98" s="300">
        <f>(38.2*KFC!$B$20*1.02*1.15*1.1+KFC!$C$20)*KFC!$C$5</f>
        <v>49.289460000000012</v>
      </c>
      <c r="F98" s="300">
        <f>(40.4*KFC!$B$20*1.02*1.15*1.1+KFC!$C$20)*KFC!$C$5</f>
        <v>52.128119999999996</v>
      </c>
      <c r="G98" s="300">
        <f>(42.7*KFC!$B$20*1.02*1.15*1.1+KFC!$C$20)*KFC!$C$5</f>
        <v>55.095810000000007</v>
      </c>
      <c r="H98" s="300">
        <f>(44.9*KFC!$B$20*1.02*1.15*1.1+KFC!$C$20)*KFC!$C$5</f>
        <v>57.934469999999997</v>
      </c>
      <c r="I98" s="300">
        <f>(47.2*KFC!$B$20*1.02*1.15*1.1+KFC!$C$20)*KFC!$C$5</f>
        <v>60.902160000000002</v>
      </c>
      <c r="J98" s="300">
        <f>(49.4*KFC!$B$20*1.02*1.15*1.1+KFC!$C$20)*KFC!$C$5</f>
        <v>63.740819999999992</v>
      </c>
      <c r="K98" s="300">
        <f>(51.7*KFC!$B$20*1.02*1.15*1.1+KFC!$C$20)*KFC!$C$5</f>
        <v>66.708510000000004</v>
      </c>
      <c r="L98" s="300">
        <f>(53.9*KFC!$B$20*1.02*1.15*1.1+KFC!$C$20)*KFC!$C$5</f>
        <v>69.547170000000008</v>
      </c>
      <c r="M98" s="300">
        <f>(56.3*KFC!$B$20*1.02*1.15*1.1+KFC!$C$20)*KFC!$C$5</f>
        <v>72.643889999999999</v>
      </c>
      <c r="N98" s="300">
        <f>(58.5*KFC!$B$20*1.02*1.15*1.1+KFC!$C$20)*KFC!$C$5</f>
        <v>75.482550000000003</v>
      </c>
      <c r="O98" s="300">
        <f>(60.8*KFC!$B$20*1.02*1.15*1.1+KFC!$C$20)*KFC!$C$5</f>
        <v>78.450240000000008</v>
      </c>
      <c r="P98" s="300">
        <f>(63*KFC!$B$20*1.02*1.15*1.1+KFC!$C$20)*KFC!$C$5</f>
        <v>81.288900000000012</v>
      </c>
      <c r="Q98" s="300">
        <f>(65.2*KFC!$B$20*1.02*1.15*1.1+KFC!$C$20)*KFC!$C$5</f>
        <v>84.127560000000017</v>
      </c>
      <c r="R98" s="300">
        <f>(67.5*KFC!$B$20*1.02*1.15*1.1+KFC!$C$20)*KFC!$C$5</f>
        <v>87.095249999999979</v>
      </c>
      <c r="S98" s="300">
        <f>(69.7*KFC!$B$20*1.02*1.15*1.1+KFC!$C$20)*KFC!$C$5</f>
        <v>89.933910000000012</v>
      </c>
      <c r="T98" s="300">
        <f>(72*KFC!$B$20*1.02*1.15*1.1+KFC!$C$20)*KFC!$C$5</f>
        <v>92.901600000000002</v>
      </c>
      <c r="U98" s="300">
        <f>(74.2*KFC!$B$20*1.02*1.15*1.1+KFC!$C$20)*KFC!$C$5</f>
        <v>95.740260000000006</v>
      </c>
      <c r="V98" s="300">
        <f>(76.6*KFC!$B$20*1.02*1.15*1.1+KFC!$C$20)*KFC!$C$5</f>
        <v>98.836979999999983</v>
      </c>
      <c r="W98" s="300">
        <f>(78.8*KFC!$B$20*1.02*1.15*1.1+KFC!$C$20)*KFC!$C$5</f>
        <v>101.67564000000002</v>
      </c>
      <c r="X98" s="300">
        <f>(81.1*KFC!$B$20*1.02*1.15*1.1+KFC!$C$20)*KFC!$C$5</f>
        <v>104.64332999999999</v>
      </c>
      <c r="Y98" s="304">
        <f>(83.3*KFC!$B$20*1.02*1.15*1.1+KFC!$C$20)*KFC!$C$5</f>
        <v>107.48198999999998</v>
      </c>
      <c r="Z98" s="345"/>
      <c r="AA98" s="345"/>
      <c r="AB98" s="345"/>
      <c r="AC98" s="345"/>
    </row>
    <row r="99" spans="1:29">
      <c r="A99" s="1538"/>
      <c r="B99" s="298">
        <v>1.4</v>
      </c>
      <c r="C99" s="303">
        <f>(34.1*KFC!$B$20*1.02*1.15*1.1+KFC!$C$20)*KFC!$C$5</f>
        <v>43.999230000000004</v>
      </c>
      <c r="D99" s="300">
        <f>(36.4*KFC!$B$20*1.02*1.15*1.1+KFC!$C$20)*KFC!$C$5</f>
        <v>46.966920000000002</v>
      </c>
      <c r="E99" s="300">
        <f>(38.9*KFC!$B$20*1.02*1.15*1.1+KFC!$C$20)*KFC!$C$5</f>
        <v>50.192669999999993</v>
      </c>
      <c r="F99" s="300">
        <f>(41.2*KFC!$B$20*1.02*1.15*1.1+KFC!$C$20)*KFC!$C$5</f>
        <v>53.160360000000004</v>
      </c>
      <c r="G99" s="300">
        <f>(43.5*KFC!$B$20*1.02*1.15*1.1+KFC!$C$20)*KFC!$C$5</f>
        <v>56.128049999999995</v>
      </c>
      <c r="H99" s="300">
        <f>(45.9*KFC!$B$20*1.02*1.15*1.1+KFC!$C$20)*KFC!$C$5</f>
        <v>59.224769999999992</v>
      </c>
      <c r="I99" s="300">
        <f>(48.3*KFC!$B$20*1.02*1.15*1.1+KFC!$C$20)*KFC!$C$5</f>
        <v>62.321489999999997</v>
      </c>
      <c r="J99" s="300">
        <f>(50.6*KFC!$B$20*1.02*1.15*1.1+KFC!$C$20)*KFC!$C$5</f>
        <v>65.289180000000002</v>
      </c>
      <c r="K99" s="300">
        <f>(53*KFC!$B$20*1.02*1.15*1.1+KFC!$C$20)*KFC!$C$5</f>
        <v>68.385900000000007</v>
      </c>
      <c r="L99" s="300">
        <f>(55.4*KFC!$B$20*1.02*1.15*1.1+KFC!$C$20)*KFC!$C$5</f>
        <v>71.482620000000011</v>
      </c>
      <c r="M99" s="300">
        <f>(57.7*KFC!$B$20*1.02*1.15*1.1+KFC!$C$20)*KFC!$C$5</f>
        <v>74.450310000000016</v>
      </c>
      <c r="N99" s="300">
        <f>(60*KFC!$B$20*1.02*1.15*1.1+KFC!$C$20)*KFC!$C$5</f>
        <v>77.418000000000006</v>
      </c>
      <c r="O99" s="300">
        <f>(62.5*KFC!$B$20*1.02*1.15*1.1+KFC!$C$20)*KFC!$C$5</f>
        <v>80.643750000000011</v>
      </c>
      <c r="P99" s="300">
        <f>(64.8*KFC!$B$20*1.02*1.15*1.1+KFC!$C$20)*KFC!$C$5</f>
        <v>83.611440000000016</v>
      </c>
      <c r="Q99" s="300">
        <f>(67.1*KFC!$B$20*1.02*1.15*1.1+KFC!$C$20)*KFC!$C$5</f>
        <v>86.579129999999978</v>
      </c>
      <c r="R99" s="300">
        <f>(69.6*KFC!$B$20*1.02*1.15*1.1+KFC!$C$20)*KFC!$C$5</f>
        <v>89.804879999999997</v>
      </c>
      <c r="S99" s="300">
        <f>(71.9*KFC!$B$20*1.02*1.15*1.1+KFC!$C$20)*KFC!$C$5</f>
        <v>92.772570000000016</v>
      </c>
      <c r="T99" s="300">
        <f>(74.2*KFC!$B$20*1.02*1.15*1.1+KFC!$C$20)*KFC!$C$5</f>
        <v>95.740260000000006</v>
      </c>
      <c r="U99" s="300">
        <f>(76.7*KFC!$B$20*1.02*1.15*1.1+KFC!$C$20)*KFC!$C$5</f>
        <v>98.966010000000011</v>
      </c>
      <c r="V99" s="300">
        <f>(79*KFC!$B$20*1.02*1.15*1.1+KFC!$C$20)*KFC!$C$5</f>
        <v>101.93369999999999</v>
      </c>
      <c r="W99" s="300">
        <f>(81.3*KFC!$B$20*1.02*1.15*1.1+KFC!$C$20)*KFC!$C$5</f>
        <v>104.90138999999999</v>
      </c>
      <c r="X99" s="300">
        <f>(83.8*KFC!$B$20*1.02*1.15*1.1+KFC!$C$20)*KFC!$C$5</f>
        <v>108.12714000000001</v>
      </c>
      <c r="Y99" s="304">
        <f>(86.1*KFC!$B$20*1.02*1.15*1.1+KFC!$C$20)*KFC!$C$5</f>
        <v>111.09483000000002</v>
      </c>
      <c r="Z99" s="345"/>
      <c r="AA99" s="345"/>
      <c r="AB99" s="345"/>
      <c r="AC99" s="345"/>
    </row>
    <row r="100" spans="1:29">
      <c r="A100" s="1538"/>
      <c r="B100" s="298">
        <v>1.5</v>
      </c>
      <c r="C100" s="303">
        <f>(34.6*KFC!$B$20*1.02*1.15*1.1+KFC!$C$20)*KFC!$C$5</f>
        <v>44.644380000000005</v>
      </c>
      <c r="D100" s="300">
        <f>(37.1*KFC!$B$20*1.02*1.15*1.1+KFC!$C$20)*KFC!$C$5</f>
        <v>47.870130000000003</v>
      </c>
      <c r="E100" s="300">
        <f>(39.6*KFC!$B$20*1.02*1.15*1.1+KFC!$C$20)*KFC!$C$5</f>
        <v>51.095880000000008</v>
      </c>
      <c r="F100" s="300">
        <f>(42.1*KFC!$B$20*1.02*1.15*1.1+KFC!$C$20)*KFC!$C$5</f>
        <v>54.321630000000006</v>
      </c>
      <c r="G100" s="300">
        <f>(44.5*KFC!$B$20*1.02*1.15*1.1+KFC!$C$20)*KFC!$C$5</f>
        <v>57.418349999999997</v>
      </c>
      <c r="H100" s="300">
        <f>(47*KFC!$B$20*1.02*1.15*1.1+KFC!$C$20)*KFC!$C$5</f>
        <v>60.644099999999995</v>
      </c>
      <c r="I100" s="300">
        <f>(49.4*KFC!$B$20*1.02*1.15*1.1+KFC!$C$20)*KFC!$C$5</f>
        <v>63.740819999999992</v>
      </c>
      <c r="J100" s="300">
        <f>(51.9*KFC!$B$20*1.02*1.15*1.1+KFC!$C$20)*KFC!$C$5</f>
        <v>66.966570000000004</v>
      </c>
      <c r="K100" s="300">
        <f>(54.3*KFC!$B$20*1.02*1.15*1.1+KFC!$C$20)*KFC!$C$5</f>
        <v>70.063289999999995</v>
      </c>
      <c r="L100" s="300">
        <f>(56.7*KFC!$B$20*1.02*1.15*1.1+KFC!$C$20)*KFC!$C$5</f>
        <v>73.160010000000014</v>
      </c>
      <c r="M100" s="300">
        <f>(59.3*KFC!$B$20*1.02*1.15*1.1+KFC!$C$20)*KFC!$C$5</f>
        <v>76.514790000000005</v>
      </c>
      <c r="N100" s="300">
        <f>(61.8*KFC!$B$20*1.02*1.15*1.1+KFC!$C$20)*KFC!$C$5</f>
        <v>79.74054000000001</v>
      </c>
      <c r="O100" s="300">
        <f>(64.2*KFC!$B$20*1.02*1.15*1.1+KFC!$C$20)*KFC!$C$5</f>
        <v>82.837260000000015</v>
      </c>
      <c r="P100" s="300">
        <f>(66.7*KFC!$B$20*1.02*1.15*1.1+KFC!$C$20)*KFC!$C$5</f>
        <v>86.06301000000002</v>
      </c>
      <c r="Q100" s="300">
        <f>(69.1*KFC!$B$20*1.02*1.15*1.1+KFC!$C$20)*KFC!$C$5</f>
        <v>89.15973000000001</v>
      </c>
      <c r="R100" s="300">
        <f>(71.5*KFC!$B$20*1.02*1.15*1.1+KFC!$C$20)*KFC!$C$5</f>
        <v>92.256450000000015</v>
      </c>
      <c r="S100" s="300">
        <f>(74*KFC!$B$20*1.02*1.15*1.1+KFC!$C$20)*KFC!$C$5</f>
        <v>95.482200000000006</v>
      </c>
      <c r="T100" s="300">
        <f>(76.6*KFC!$B$20*1.02*1.15*1.1+KFC!$C$20)*KFC!$C$5</f>
        <v>98.836979999999983</v>
      </c>
      <c r="U100" s="300">
        <f>(79*KFC!$B$20*1.02*1.15*1.1+KFC!$C$20)*KFC!$C$5</f>
        <v>101.93369999999999</v>
      </c>
      <c r="V100" s="300">
        <f>(81.5*KFC!$B$20*1.02*1.15*1.1+KFC!$C$20)*KFC!$C$5</f>
        <v>105.15944999999999</v>
      </c>
      <c r="W100" s="300">
        <f>(83.9*KFC!$B$20*1.02*1.15*1.1+KFC!$C$20)*KFC!$C$5</f>
        <v>108.25617000000001</v>
      </c>
      <c r="X100" s="300">
        <f>(86.3*KFC!$B$20*1.02*1.15*1.1+KFC!$C$20)*KFC!$C$5</f>
        <v>111.35288999999999</v>
      </c>
      <c r="Y100" s="304">
        <f>(88.8*KFC!$B$20*1.02*1.15*1.1+KFC!$C$20)*KFC!$C$5</f>
        <v>114.57863999999999</v>
      </c>
      <c r="Z100" s="345"/>
      <c r="AA100" s="345"/>
      <c r="AB100" s="345"/>
      <c r="AC100" s="345"/>
    </row>
    <row r="101" spans="1:29">
      <c r="A101" s="1538"/>
      <c r="B101" s="298">
        <v>1.6</v>
      </c>
      <c r="C101" s="303">
        <f>(35.2*KFC!$B$20*1.02*1.15*1.1+KFC!$C$20)*KFC!$C$5</f>
        <v>45.418560000000006</v>
      </c>
      <c r="D101" s="300">
        <f>(37.8*KFC!$B$20*1.02*1.15*1.1+KFC!$C$20)*KFC!$C$5</f>
        <v>48.77333999999999</v>
      </c>
      <c r="E101" s="300">
        <f>(40.2*KFC!$B$20*1.02*1.15*1.1+KFC!$C$20)*KFC!$C$5</f>
        <v>51.870060000000009</v>
      </c>
      <c r="F101" s="300">
        <f>(42.8*KFC!$B$20*1.02*1.15*1.1+KFC!$C$20)*KFC!$C$5</f>
        <v>55.224839999999993</v>
      </c>
      <c r="G101" s="300">
        <f>(45.4*KFC!$B$20*1.02*1.15*1.1+KFC!$C$20)*KFC!$C$5</f>
        <v>58.579619999999998</v>
      </c>
      <c r="H101" s="300">
        <f>(47.9*KFC!$B$20*1.02*1.15*1.1+KFC!$C$20)*KFC!$C$5</f>
        <v>61.805369999999996</v>
      </c>
      <c r="I101" s="300">
        <f>(50.5*KFC!$B$20*1.02*1.15*1.1+KFC!$C$20)*KFC!$C$5</f>
        <v>65.160150000000002</v>
      </c>
      <c r="J101" s="300">
        <f>(53.1*KFC!$B$20*1.02*1.15*1.1+KFC!$C$20)*KFC!$C$5</f>
        <v>68.514930000000007</v>
      </c>
      <c r="K101" s="300">
        <f>(55.6*KFC!$B$20*1.02*1.15*1.1+KFC!$C$20)*KFC!$C$5</f>
        <v>71.740680000000012</v>
      </c>
      <c r="L101" s="300">
        <f>(58.2*KFC!$B$20*1.02*1.15*1.1+KFC!$C$20)*KFC!$C$5</f>
        <v>75.095460000000017</v>
      </c>
      <c r="M101" s="300">
        <f>(60.8*KFC!$B$20*1.02*1.15*1.1+KFC!$C$20)*KFC!$C$5</f>
        <v>78.450240000000008</v>
      </c>
      <c r="N101" s="300">
        <f>(63.4*KFC!$B$20*1.02*1.15*1.1+KFC!$C$20)*KFC!$C$5</f>
        <v>81.805020000000013</v>
      </c>
      <c r="O101" s="300">
        <f>(65.9*KFC!$B$20*1.02*1.15*1.1+KFC!$C$20)*KFC!$C$5</f>
        <v>85.030770000000004</v>
      </c>
      <c r="P101" s="300">
        <f>(68.5*KFC!$B$20*1.02*1.15*1.1+KFC!$C$20)*KFC!$C$5</f>
        <v>88.385550000000009</v>
      </c>
      <c r="Q101" s="300">
        <f>(71.1*KFC!$B$20*1.02*1.15*1.1+KFC!$C$20)*KFC!$C$5</f>
        <v>91.74033</v>
      </c>
      <c r="R101" s="300">
        <f>(73.6*KFC!$B$20*1.02*1.15*1.1+KFC!$C$20)*KFC!$C$5</f>
        <v>94.966079999999977</v>
      </c>
      <c r="S101" s="300">
        <f>(76.2*KFC!$B$20*1.02*1.15*1.1+KFC!$C$20)*KFC!$C$5</f>
        <v>98.32086000000001</v>
      </c>
      <c r="T101" s="300">
        <f>(78.8*KFC!$B$20*1.02*1.15*1.1+KFC!$C$20)*KFC!$C$5</f>
        <v>101.67564000000002</v>
      </c>
      <c r="U101" s="300">
        <f>(81.3*KFC!$B$20*1.02*1.15*1.1+KFC!$C$20)*KFC!$C$5</f>
        <v>104.90138999999999</v>
      </c>
      <c r="V101" s="300">
        <f>(83.9*KFC!$B$20*1.02*1.15*1.1+KFC!$C$20)*KFC!$C$5</f>
        <v>108.25617000000001</v>
      </c>
      <c r="W101" s="300">
        <f>(86.5*KFC!$B$20*1.02*1.15*1.1+KFC!$C$20)*KFC!$C$5</f>
        <v>111.61095000000002</v>
      </c>
      <c r="X101" s="300">
        <f>(89*KFC!$B$20*1.02*1.15*1.1+KFC!$C$20)*KFC!$C$5</f>
        <v>114.83669999999999</v>
      </c>
      <c r="Y101" s="304">
        <f>(91.6*KFC!$B$20*1.02*1.15*1.1+KFC!$C$20)*KFC!$C$5</f>
        <v>118.19148</v>
      </c>
      <c r="Z101" s="345"/>
      <c r="AA101" s="345"/>
      <c r="AB101" s="345"/>
      <c r="AC101" s="345"/>
    </row>
    <row r="102" spans="1:29">
      <c r="A102" s="1538"/>
      <c r="B102" s="298">
        <v>1.7</v>
      </c>
      <c r="C102" s="303">
        <f>(35.7*KFC!$B$20*1.02*1.15*1.1+KFC!$C$20)*KFC!$C$5</f>
        <v>46.063710000000007</v>
      </c>
      <c r="D102" s="300">
        <f>(38.4*KFC!$B$20*1.02*1.15*1.1+KFC!$C$20)*KFC!$C$5</f>
        <v>49.547520000000006</v>
      </c>
      <c r="E102" s="300">
        <f>(41*KFC!$B$20*1.02*1.15*1.1+KFC!$C$20)*KFC!$C$5</f>
        <v>52.902300000000004</v>
      </c>
      <c r="F102" s="300">
        <f>(43.7*KFC!$B$20*1.02*1.15*1.1+KFC!$C$20)*KFC!$C$5</f>
        <v>56.386110000000009</v>
      </c>
      <c r="G102" s="300">
        <f>(46.4*KFC!$B$20*1.02*1.15*1.1+KFC!$C$20)*KFC!$C$5</f>
        <v>59.869919999999993</v>
      </c>
      <c r="H102" s="300">
        <f>(49*KFC!$B$20*1.02*1.15*1.1+KFC!$C$20)*KFC!$C$5</f>
        <v>63.224699999999999</v>
      </c>
      <c r="I102" s="300">
        <f>(51.7*KFC!$B$20*1.02*1.15*1.1+KFC!$C$20)*KFC!$C$5</f>
        <v>66.708510000000004</v>
      </c>
      <c r="J102" s="300">
        <f>(54.3*KFC!$B$20*1.02*1.15*1.1+KFC!$C$20)*KFC!$C$5</f>
        <v>70.063289999999995</v>
      </c>
      <c r="K102" s="300">
        <f>(57*KFC!$B$20*1.02*1.15*1.1+KFC!$C$20)*KFC!$C$5</f>
        <v>73.5471</v>
      </c>
      <c r="L102" s="300">
        <f>(59.7*KFC!$B$20*1.02*1.15*1.1+KFC!$C$20)*KFC!$C$5</f>
        <v>77.030910000000006</v>
      </c>
      <c r="M102" s="300">
        <f>(62.4*KFC!$B$20*1.02*1.15*1.1+KFC!$C$20)*KFC!$C$5</f>
        <v>80.514719999999997</v>
      </c>
      <c r="N102" s="300">
        <f>(64.9*KFC!$B$20*1.02*1.15*1.1+KFC!$C$20)*KFC!$C$5</f>
        <v>83.740470000000016</v>
      </c>
      <c r="O102" s="300">
        <f>(67.6*KFC!$B$20*1.02*1.15*1.1+KFC!$C$20)*KFC!$C$5</f>
        <v>87.224280000000007</v>
      </c>
      <c r="P102" s="300">
        <f>(70.3*KFC!$B$20*1.02*1.15*1.1+KFC!$C$20)*KFC!$C$5</f>
        <v>90.708090000000013</v>
      </c>
      <c r="Q102" s="300">
        <f>(73*KFC!$B$20*1.02*1.15*1.1+KFC!$C$20)*KFC!$C$5</f>
        <v>94.191900000000018</v>
      </c>
      <c r="R102" s="300">
        <f>(75.7*KFC!$B$20*1.02*1.15*1.1+KFC!$C$20)*KFC!$C$5</f>
        <v>97.675710000000009</v>
      </c>
      <c r="S102" s="300">
        <f>(78.3*KFC!$B$20*1.02*1.15*1.1+KFC!$C$20)*KFC!$C$5</f>
        <v>101.03048999999999</v>
      </c>
      <c r="T102" s="300">
        <f>(81*KFC!$B$20*1.02*1.15*1.1+KFC!$C$20)*KFC!$C$5</f>
        <v>104.51429999999999</v>
      </c>
      <c r="U102" s="300">
        <f>(83.7*KFC!$B$20*1.02*1.15*1.1+KFC!$C$20)*KFC!$C$5</f>
        <v>107.99811000000003</v>
      </c>
      <c r="V102" s="300">
        <f>(86.3*KFC!$B$20*1.02*1.15*1.1+KFC!$C$20)*KFC!$C$5</f>
        <v>111.35288999999999</v>
      </c>
      <c r="W102" s="300">
        <f>(88.9*KFC!$B$20*1.02*1.15*1.1+KFC!$C$20)*KFC!$C$5</f>
        <v>114.70767000000002</v>
      </c>
      <c r="X102" s="300">
        <f>(91.6*KFC!$B$20*1.02*1.15*1.1+KFC!$C$20)*KFC!$C$5</f>
        <v>118.19148</v>
      </c>
      <c r="Y102" s="304">
        <f>(94.3*KFC!$B$20*1.02*1.15*1.1+KFC!$C$20)*KFC!$C$5</f>
        <v>121.67528999999999</v>
      </c>
      <c r="Z102" s="345"/>
      <c r="AA102" s="345"/>
      <c r="AB102" s="345"/>
      <c r="AC102" s="345"/>
    </row>
    <row r="103" spans="1:29">
      <c r="A103" s="1538"/>
      <c r="B103" s="298">
        <v>1.8</v>
      </c>
      <c r="C103" s="303">
        <f>(36.2*KFC!$B$20*1.02*1.15*1.1+KFC!$C$20)*KFC!$C$5</f>
        <v>46.708860000000008</v>
      </c>
      <c r="D103" s="300">
        <f>(39*KFC!$B$20*1.02*1.15*1.1+KFC!$C$20)*KFC!$C$5</f>
        <v>50.321700000000007</v>
      </c>
      <c r="E103" s="300">
        <f>(41.7*KFC!$B$20*1.02*1.15*1.1+KFC!$C$20)*KFC!$C$5</f>
        <v>53.805510000000012</v>
      </c>
      <c r="F103" s="300">
        <f>(44.5*KFC!$B$20*1.02*1.15*1.1+KFC!$C$20)*KFC!$C$5</f>
        <v>57.418349999999997</v>
      </c>
      <c r="G103" s="300">
        <f>(47.3*KFC!$B$20*1.02*1.15*1.1+KFC!$C$20)*KFC!$C$5</f>
        <v>61.031189999999988</v>
      </c>
      <c r="H103" s="300">
        <f>(50*KFC!$B$20*1.02*1.15*1.1+KFC!$C$20)*KFC!$C$5</f>
        <v>64.515000000000001</v>
      </c>
      <c r="I103" s="300">
        <f>(52.8*KFC!$B$20*1.02*1.15*1.1+KFC!$C$20)*KFC!$C$5</f>
        <v>68.127839999999992</v>
      </c>
      <c r="J103" s="300">
        <f>(55.5*KFC!$B$20*1.02*1.15*1.1+KFC!$C$20)*KFC!$C$5</f>
        <v>71.611649999999997</v>
      </c>
      <c r="K103" s="300">
        <f>(58.3*KFC!$B$20*1.02*1.15*1.1+KFC!$C$20)*KFC!$C$5</f>
        <v>75.224490000000003</v>
      </c>
      <c r="L103" s="300">
        <f>(61.2*KFC!$B$20*1.02*1.15*1.1+KFC!$C$20)*KFC!$C$5</f>
        <v>78.966360000000009</v>
      </c>
      <c r="M103" s="300">
        <f>(63.8*KFC!$B$20*1.02*1.15*1.1+KFC!$C$20)*KFC!$C$5</f>
        <v>82.32114</v>
      </c>
      <c r="N103" s="300">
        <f>(66.7*KFC!$B$20*1.02*1.15*1.1+KFC!$C$20)*KFC!$C$5</f>
        <v>86.06301000000002</v>
      </c>
      <c r="O103" s="300">
        <f>(69.3*KFC!$B$20*1.02*1.15*1.1+KFC!$C$20)*KFC!$C$5</f>
        <v>89.417789999999997</v>
      </c>
      <c r="P103" s="300">
        <f>(72.2*KFC!$B$20*1.02*1.15*1.1+KFC!$C$20)*KFC!$C$5</f>
        <v>93.159660000000017</v>
      </c>
      <c r="Q103" s="300">
        <f>(75*KFC!$B$20*1.02*1.15*1.1+KFC!$C$20)*KFC!$C$5</f>
        <v>96.772500000000008</v>
      </c>
      <c r="R103" s="300">
        <f>(77.7*KFC!$B$20*1.02*1.15*1.1+KFC!$C$20)*KFC!$C$5</f>
        <v>100.25631000000001</v>
      </c>
      <c r="S103" s="300">
        <f>(80.5*KFC!$B$20*1.02*1.15*1.1+KFC!$C$20)*KFC!$C$5</f>
        <v>103.86914999999999</v>
      </c>
      <c r="T103" s="300">
        <f>(83.2*KFC!$B$20*1.02*1.15*1.1+KFC!$C$20)*KFC!$C$5</f>
        <v>107.35296000000001</v>
      </c>
      <c r="U103" s="300">
        <f>(86*KFC!$B$20*1.02*1.15*1.1+KFC!$C$20)*KFC!$C$5</f>
        <v>110.96579999999999</v>
      </c>
      <c r="V103" s="300">
        <f>(88.8*KFC!$B$20*1.02*1.15*1.1+KFC!$C$20)*KFC!$C$5</f>
        <v>114.57863999999999</v>
      </c>
      <c r="W103" s="300">
        <f>(91.5*KFC!$B$20*1.02*1.15*1.1+KFC!$C$20)*KFC!$C$5</f>
        <v>118.06245</v>
      </c>
      <c r="X103" s="300">
        <f>(94.3*KFC!$B$20*1.02*1.15*1.1+KFC!$C$20)*KFC!$C$5</f>
        <v>121.67528999999999</v>
      </c>
      <c r="Y103" s="304">
        <f>(97*KFC!$B$20*1.02*1.15*1.1+KFC!$C$20)*KFC!$C$5</f>
        <v>125.1591</v>
      </c>
      <c r="Z103" s="345"/>
      <c r="AA103" s="345"/>
      <c r="AB103" s="345"/>
      <c r="AC103" s="345"/>
    </row>
    <row r="104" spans="1:29">
      <c r="A104" s="1538"/>
      <c r="B104" s="298">
        <v>1.9</v>
      </c>
      <c r="C104" s="303">
        <f>(37.3*KFC!$B$20*1.02*1.15*1.1+KFC!$C$20)*KFC!$C$5</f>
        <v>48.128190000000004</v>
      </c>
      <c r="D104" s="300">
        <f>(40.2*KFC!$B$20*1.02*1.15*1.1+KFC!$C$20)*KFC!$C$5</f>
        <v>51.870060000000009</v>
      </c>
      <c r="E104" s="300">
        <f>(43.2*KFC!$B$20*1.02*1.15*1.1+KFC!$C$20)*KFC!$C$5</f>
        <v>55.740960000000015</v>
      </c>
      <c r="F104" s="300">
        <f>(46.2*KFC!$B$20*1.02*1.15*1.1+KFC!$C$20)*KFC!$C$5</f>
        <v>59.61186</v>
      </c>
      <c r="G104" s="300">
        <f>(49.2*KFC!$B$20*1.02*1.15*1.1+KFC!$C$20)*KFC!$C$5</f>
        <v>63.482760000000013</v>
      </c>
      <c r="H104" s="300">
        <f>(52.1*KFC!$B$20*1.02*1.15*1.1+KFC!$C$20)*KFC!$C$5</f>
        <v>67.224630000000005</v>
      </c>
      <c r="I104" s="300">
        <f>(55*KFC!$B$20*1.02*1.15*1.1+KFC!$C$20)*KFC!$C$5</f>
        <v>70.966500000000011</v>
      </c>
      <c r="J104" s="300">
        <f>(58.1*KFC!$B$20*1.02*1.15*1.1+KFC!$C$20)*KFC!$C$5</f>
        <v>74.966430000000003</v>
      </c>
      <c r="K104" s="300">
        <f>(61*KFC!$B$20*1.02*1.15*1.1+KFC!$C$20)*KFC!$C$5</f>
        <v>78.708300000000008</v>
      </c>
      <c r="L104" s="300">
        <f>(64*KFC!$B$20*1.02*1.15*1.1+KFC!$C$20)*KFC!$C$5</f>
        <v>82.5792</v>
      </c>
      <c r="M104" s="300">
        <f>(66.9*KFC!$B$20*1.02*1.15*1.1+KFC!$C$20)*KFC!$C$5</f>
        <v>86.32107000000002</v>
      </c>
      <c r="N104" s="300">
        <f>(70*KFC!$B$20*1.02*1.15*1.1+KFC!$C$20)*KFC!$C$5</f>
        <v>90.321000000000012</v>
      </c>
      <c r="O104" s="300">
        <f>(72.9*KFC!$B$20*1.02*1.15*1.1+KFC!$C$20)*KFC!$C$5</f>
        <v>94.062870000000018</v>
      </c>
      <c r="P104" s="300">
        <f>(75.8*KFC!$B$20*1.02*1.15*1.1+KFC!$C$20)*KFC!$C$5</f>
        <v>97.80474000000001</v>
      </c>
      <c r="Q104" s="300">
        <f>(78.8*KFC!$B$20*1.02*1.15*1.1+KFC!$C$20)*KFC!$C$5</f>
        <v>101.67564000000002</v>
      </c>
      <c r="R104" s="300">
        <f>(81.7*KFC!$B$20*1.02*1.15*1.1+KFC!$C$20)*KFC!$C$5</f>
        <v>105.41750999999999</v>
      </c>
      <c r="S104" s="300">
        <f>(84.8*KFC!$B$20*1.02*1.15*1.1+KFC!$C$20)*KFC!$C$5</f>
        <v>109.41743999999998</v>
      </c>
      <c r="T104" s="300">
        <f>(87.7*KFC!$B$20*1.02*1.15*1.1+KFC!$C$20)*KFC!$C$5</f>
        <v>113.15931000000002</v>
      </c>
      <c r="U104" s="300">
        <f>(90.6*KFC!$B$20*1.02*1.15*1.1+KFC!$C$20)*KFC!$C$5</f>
        <v>116.90117999999998</v>
      </c>
      <c r="V104" s="300">
        <f>(93.6*KFC!$B$20*1.02*1.15*1.1+KFC!$C$20)*KFC!$C$5</f>
        <v>120.77207999999999</v>
      </c>
      <c r="W104" s="300">
        <f>(96.6*KFC!$B$20*1.02*1.15*1.1+KFC!$C$20)*KFC!$C$5</f>
        <v>124.64297999999999</v>
      </c>
      <c r="X104" s="300">
        <f>(99.6*KFC!$B$20*1.02*1.15*1.1+KFC!$C$20)*KFC!$C$5</f>
        <v>128.51388</v>
      </c>
      <c r="Y104" s="304">
        <f>(102.5*KFC!$B$20*1.02*1.15*1.1+KFC!$C$20)*KFC!$C$5</f>
        <v>132.25575000000001</v>
      </c>
      <c r="Z104" s="345"/>
      <c r="AA104" s="345"/>
      <c r="AB104" s="345"/>
      <c r="AC104" s="345"/>
    </row>
    <row r="105" spans="1:29">
      <c r="A105" s="1538"/>
      <c r="B105" s="298">
        <v>2</v>
      </c>
      <c r="C105" s="303">
        <f>(37.8*KFC!$B$20*1.02*1.15*1.1+KFC!$C$20)*KFC!$C$5</f>
        <v>48.77333999999999</v>
      </c>
      <c r="D105" s="300">
        <f>(40.8*KFC!$B$20*1.02*1.15*1.1+KFC!$C$20)*KFC!$C$5</f>
        <v>52.644239999999996</v>
      </c>
      <c r="E105" s="300">
        <f>(43.9*KFC!$B$20*1.02*1.15*1.1+KFC!$C$20)*KFC!$C$5</f>
        <v>56.644169999999995</v>
      </c>
      <c r="F105" s="300">
        <f>(47*KFC!$B$20*1.02*1.15*1.1+KFC!$C$20)*KFC!$C$5</f>
        <v>60.644099999999995</v>
      </c>
      <c r="G105" s="300">
        <f>(50*KFC!$B$20*1.02*1.15*1.1+KFC!$C$20)*KFC!$C$5</f>
        <v>64.515000000000001</v>
      </c>
      <c r="H105" s="300">
        <f>(53.2*KFC!$B$20*1.02*1.15*1.1+KFC!$C$20)*KFC!$C$5</f>
        <v>68.643960000000007</v>
      </c>
      <c r="I105" s="300">
        <f>(56.3*KFC!$B$20*1.02*1.15*1.1+KFC!$C$20)*KFC!$C$5</f>
        <v>72.643889999999999</v>
      </c>
      <c r="J105" s="300">
        <f>(59.3*KFC!$B$20*1.02*1.15*1.1+KFC!$C$20)*KFC!$C$5</f>
        <v>76.514790000000005</v>
      </c>
      <c r="K105" s="300">
        <f>(62.4*KFC!$B$20*1.02*1.15*1.1+KFC!$C$20)*KFC!$C$5</f>
        <v>80.514719999999997</v>
      </c>
      <c r="L105" s="300">
        <f>(65.4*KFC!$B$20*1.02*1.15*1.1+KFC!$C$20)*KFC!$C$5</f>
        <v>84.385620000000017</v>
      </c>
      <c r="M105" s="300">
        <f>(68.5*KFC!$B$20*1.02*1.15*1.1+KFC!$C$20)*KFC!$C$5</f>
        <v>88.385550000000009</v>
      </c>
      <c r="N105" s="300">
        <f>(71.5*KFC!$B$20*1.02*1.15*1.1+KFC!$C$20)*KFC!$C$5</f>
        <v>92.256450000000015</v>
      </c>
      <c r="O105" s="300">
        <f>(74.6*KFC!$B$20*1.02*1.15*1.1+KFC!$C$20)*KFC!$C$5</f>
        <v>96.256380000000007</v>
      </c>
      <c r="P105" s="300">
        <f>(77.7*KFC!$B$20*1.02*1.15*1.1+KFC!$C$20)*KFC!$C$5</f>
        <v>100.25631000000001</v>
      </c>
      <c r="Q105" s="300">
        <f>(80.7*KFC!$B$20*1.02*1.15*1.1+KFC!$C$20)*KFC!$C$5</f>
        <v>104.12721000000002</v>
      </c>
      <c r="R105" s="300">
        <f>(83.8*KFC!$B$20*1.02*1.15*1.1+KFC!$C$20)*KFC!$C$5</f>
        <v>108.12714000000001</v>
      </c>
      <c r="S105" s="300">
        <f>(86.8*KFC!$B$20*1.02*1.15*1.1+KFC!$C$20)*KFC!$C$5</f>
        <v>111.99803999999999</v>
      </c>
      <c r="T105" s="300">
        <f>(89.9*KFC!$B$20*1.02*1.15*1.1+KFC!$C$20)*KFC!$C$5</f>
        <v>115.99797000000002</v>
      </c>
      <c r="U105" s="300">
        <f>(92.9*KFC!$B$20*1.02*1.15*1.1+KFC!$C$20)*KFC!$C$5</f>
        <v>119.86887</v>
      </c>
      <c r="V105" s="300">
        <f>(96*KFC!$B$20*1.02*1.15*1.1+KFC!$C$20)*KFC!$C$5</f>
        <v>123.86879999999999</v>
      </c>
      <c r="W105" s="300">
        <f>(99.1*KFC!$B$20*1.02*1.15*1.1+KFC!$C$20)*KFC!$C$5</f>
        <v>127.86872999999999</v>
      </c>
      <c r="X105" s="300">
        <f>(102.1*KFC!$B$20*1.02*1.15*1.1+KFC!$C$20)*KFC!$C$5</f>
        <v>131.73963000000001</v>
      </c>
      <c r="Y105" s="304">
        <f>(105.3*KFC!$B$20*1.02*1.15*1.1+KFC!$C$20)*KFC!$C$5</f>
        <v>135.86859000000001</v>
      </c>
      <c r="Z105" s="345"/>
      <c r="AA105" s="345"/>
      <c r="AB105" s="345"/>
      <c r="AC105" s="345"/>
    </row>
    <row r="106" spans="1:29">
      <c r="A106" s="1538"/>
      <c r="B106" s="298">
        <v>2.1</v>
      </c>
      <c r="C106" s="303">
        <f>(38.4*KFC!$B$20*1.02*1.15*1.1+KFC!$C$20)*KFC!$C$5</f>
        <v>49.547520000000006</v>
      </c>
      <c r="D106" s="300">
        <f>(41.5*KFC!$B$20*1.02*1.15*1.1+KFC!$C$20)*KFC!$C$5</f>
        <v>53.547450000000005</v>
      </c>
      <c r="E106" s="300">
        <f>(44.6*KFC!$B$20*1.02*1.15*1.1+KFC!$C$20)*KFC!$C$5</f>
        <v>57.547380000000011</v>
      </c>
      <c r="F106" s="300">
        <f>(47.8*KFC!$B$20*1.02*1.15*1.1+KFC!$C$20)*KFC!$C$5</f>
        <v>61.676339999999996</v>
      </c>
      <c r="G106" s="300">
        <f>(51*KFC!$B$20*1.02*1.15*1.1+KFC!$C$20)*KFC!$C$5</f>
        <v>65.805300000000003</v>
      </c>
      <c r="H106" s="300">
        <f>(54.2*KFC!$B$20*1.02*1.15*1.1+KFC!$C$20)*KFC!$C$5</f>
        <v>69.934260000000009</v>
      </c>
      <c r="I106" s="300">
        <f>(57.4*KFC!$B$20*1.02*1.15*1.1+KFC!$C$20)*KFC!$C$5</f>
        <v>74.063220000000001</v>
      </c>
      <c r="J106" s="300">
        <f>(60.5*KFC!$B$20*1.02*1.15*1.1+KFC!$C$20)*KFC!$C$5</f>
        <v>78.063150000000007</v>
      </c>
      <c r="K106" s="300">
        <f>(63.7*KFC!$B$20*1.02*1.15*1.1+KFC!$C$20)*KFC!$C$5</f>
        <v>82.192110000000014</v>
      </c>
      <c r="L106" s="300">
        <f>(66.8*KFC!$B$20*1.02*1.15*1.1+KFC!$C$20)*KFC!$C$5</f>
        <v>86.192040000000006</v>
      </c>
      <c r="M106" s="300">
        <f>(70*KFC!$B$20*1.02*1.15*1.1+KFC!$C$20)*KFC!$C$5</f>
        <v>90.321000000000012</v>
      </c>
      <c r="N106" s="300">
        <f>(73.1*KFC!$B$20*1.02*1.15*1.1+KFC!$C$20)*KFC!$C$5</f>
        <v>94.320930000000004</v>
      </c>
      <c r="O106" s="300">
        <f>(76.3*KFC!$B$20*1.02*1.15*1.1+KFC!$C$20)*KFC!$C$5</f>
        <v>98.449889999999982</v>
      </c>
      <c r="P106" s="300">
        <f>(79.5*KFC!$B$20*1.02*1.15*1.1+KFC!$C$20)*KFC!$C$5</f>
        <v>102.57885000000002</v>
      </c>
      <c r="Q106" s="300">
        <f>(82.7*KFC!$B$20*1.02*1.15*1.1+KFC!$C$20)*KFC!$C$5</f>
        <v>106.70781000000001</v>
      </c>
      <c r="R106" s="300">
        <f>(85.9*KFC!$B$20*1.02*1.15*1.1+KFC!$C$20)*KFC!$C$5</f>
        <v>110.83677000000002</v>
      </c>
      <c r="S106" s="300">
        <f>(89*KFC!$B$20*1.02*1.15*1.1+KFC!$C$20)*KFC!$C$5</f>
        <v>114.83669999999999</v>
      </c>
      <c r="T106" s="300">
        <f>(92.2*KFC!$B$20*1.02*1.15*1.1+KFC!$C$20)*KFC!$C$5</f>
        <v>118.96566000000003</v>
      </c>
      <c r="U106" s="300">
        <f>(95.3*KFC!$B$20*1.02*1.15*1.1+KFC!$C$20)*KFC!$C$5</f>
        <v>122.96558999999999</v>
      </c>
      <c r="V106" s="300">
        <f>(98.5*KFC!$B$20*1.02*1.15*1.1+KFC!$C$20)*KFC!$C$5</f>
        <v>127.09455</v>
      </c>
      <c r="W106" s="300">
        <f>(101.6*KFC!$B$20*1.02*1.15*1.1+KFC!$C$20)*KFC!$C$5</f>
        <v>131.09448</v>
      </c>
      <c r="X106" s="300">
        <f>(104.8*KFC!$B$20*1.02*1.15*1.1+KFC!$C$20)*KFC!$C$5</f>
        <v>135.22344000000001</v>
      </c>
      <c r="Y106" s="304">
        <f>(108*KFC!$B$20*1.02*1.15*1.1+KFC!$C$20)*KFC!$C$5</f>
        <v>139.35239999999999</v>
      </c>
      <c r="Z106" s="345"/>
      <c r="AA106" s="345"/>
      <c r="AB106" s="345"/>
      <c r="AC106" s="345"/>
    </row>
    <row r="107" spans="1:29">
      <c r="A107" s="1538"/>
      <c r="B107" s="298">
        <v>2.2000000000000002</v>
      </c>
      <c r="C107" s="303">
        <f>(38.9*KFC!$B$20*1.02*1.15*1.1+KFC!$C$20)*KFC!$C$5</f>
        <v>50.192669999999993</v>
      </c>
      <c r="D107" s="300">
        <f>(42.2*KFC!$B$20*1.02*1.15*1.1+KFC!$C$20)*KFC!$C$5</f>
        <v>54.450660000000006</v>
      </c>
      <c r="E107" s="300">
        <f>(45.4*KFC!$B$20*1.02*1.15*1.1+KFC!$C$20)*KFC!$C$5</f>
        <v>58.579619999999998</v>
      </c>
      <c r="F107" s="300">
        <f>(48.7*KFC!$B$20*1.02*1.15*1.1+KFC!$C$20)*KFC!$C$5</f>
        <v>62.837610000000012</v>
      </c>
      <c r="G107" s="300">
        <f>(52*KFC!$B$20*1.02*1.15*1.1+KFC!$C$20)*KFC!$C$5</f>
        <v>67.095600000000005</v>
      </c>
      <c r="H107" s="300">
        <f>(55.2*KFC!$B$20*1.02*1.15*1.1+KFC!$C$20)*KFC!$C$5</f>
        <v>71.224560000000011</v>
      </c>
      <c r="I107" s="300">
        <f>(58.5*KFC!$B$20*1.02*1.15*1.1+KFC!$C$20)*KFC!$C$5</f>
        <v>75.482550000000003</v>
      </c>
      <c r="J107" s="300">
        <f>(61.8*KFC!$B$20*1.02*1.15*1.1+KFC!$C$20)*KFC!$C$5</f>
        <v>79.74054000000001</v>
      </c>
      <c r="K107" s="300">
        <f>(64.9*KFC!$B$20*1.02*1.15*1.1+KFC!$C$20)*KFC!$C$5</f>
        <v>83.740470000000016</v>
      </c>
      <c r="L107" s="300">
        <f>(68.2*KFC!$B$20*1.02*1.15*1.1+KFC!$C$20)*KFC!$C$5</f>
        <v>87.998460000000009</v>
      </c>
      <c r="M107" s="300">
        <f>(71.5*KFC!$B$20*1.02*1.15*1.1+KFC!$C$20)*KFC!$C$5</f>
        <v>92.256450000000015</v>
      </c>
      <c r="N107" s="300">
        <f>(74.8*KFC!$B$20*1.02*1.15*1.1+KFC!$C$20)*KFC!$C$5</f>
        <v>96.514439999999979</v>
      </c>
      <c r="O107" s="300">
        <f>(78*KFC!$B$20*1.02*1.15*1.1+KFC!$C$20)*KFC!$C$5</f>
        <v>100.64340000000001</v>
      </c>
      <c r="P107" s="300">
        <f>(81.3*KFC!$B$20*1.02*1.15*1.1+KFC!$C$20)*KFC!$C$5</f>
        <v>104.90138999999999</v>
      </c>
      <c r="Q107" s="300">
        <f>(84.6*KFC!$B$20*1.02*1.15*1.1+KFC!$C$20)*KFC!$C$5</f>
        <v>109.15938000000001</v>
      </c>
      <c r="R107" s="300">
        <f>(87.8*KFC!$B$20*1.02*1.15*1.1+KFC!$C$20)*KFC!$C$5</f>
        <v>113.28833999999999</v>
      </c>
      <c r="S107" s="300">
        <f>(91.1*KFC!$B$20*1.02*1.15*1.1+KFC!$C$20)*KFC!$C$5</f>
        <v>117.54633</v>
      </c>
      <c r="T107" s="300">
        <f>(94.4*KFC!$B$20*1.02*1.15*1.1+KFC!$C$20)*KFC!$C$5</f>
        <v>121.80432</v>
      </c>
      <c r="U107" s="300">
        <f>(97.7*KFC!$B$20*1.02*1.15*1.1+KFC!$C$20)*KFC!$C$5</f>
        <v>126.06231000000002</v>
      </c>
      <c r="V107" s="300">
        <f>(100.9*KFC!$B$20*1.02*1.15*1.1+KFC!$C$20)*KFC!$C$5</f>
        <v>130.19127</v>
      </c>
      <c r="W107" s="300">
        <f>(104.2*KFC!$B$20*1.02*1.15*1.1+KFC!$C$20)*KFC!$C$5</f>
        <v>134.44926000000001</v>
      </c>
      <c r="X107" s="300">
        <f>(107.55*KFC!$B$20*1.02*1.15*1.1+KFC!$C$20)*KFC!$C$5</f>
        <v>138.77176499999999</v>
      </c>
      <c r="Y107" s="304">
        <f>(110.7*KFC!$B$20*1.02*1.15*1.1+KFC!$C$20)*KFC!$C$5</f>
        <v>142.83621000000002</v>
      </c>
      <c r="Z107" s="345"/>
      <c r="AA107" s="345"/>
      <c r="AB107" s="345"/>
      <c r="AC107" s="345"/>
    </row>
    <row r="108" spans="1:29">
      <c r="A108" s="1538"/>
      <c r="B108" s="298">
        <v>2.2999999999999998</v>
      </c>
      <c r="C108" s="303">
        <f>(39.4*KFC!$B$20*1.02*1.15*1.1+KFC!$C$20)*KFC!$C$5</f>
        <v>50.837820000000008</v>
      </c>
      <c r="D108" s="300">
        <f>(42.8*KFC!$B$20*1.02*1.15*1.1+KFC!$C$20)*KFC!$C$5</f>
        <v>55.224839999999993</v>
      </c>
      <c r="E108" s="300">
        <f>(46.1*KFC!$B$20*1.02*1.15*1.1+KFC!$C$20)*KFC!$C$5</f>
        <v>59.482830000000014</v>
      </c>
      <c r="F108" s="300">
        <f>(49.5*KFC!$B$20*1.02*1.15*1.1+KFC!$C$20)*KFC!$C$5</f>
        <v>63.86985</v>
      </c>
      <c r="G108" s="300">
        <f>(52.8*KFC!$B$20*1.02*1.15*1.1+KFC!$C$20)*KFC!$C$5</f>
        <v>68.127839999999992</v>
      </c>
      <c r="H108" s="300">
        <f>(56.3*KFC!$B$20*1.02*1.15*1.1+KFC!$C$20)*KFC!$C$5</f>
        <v>72.643889999999999</v>
      </c>
      <c r="I108" s="300">
        <f>(59.6*KFC!$B$20*1.02*1.15*1.1+KFC!$C$20)*KFC!$C$5</f>
        <v>76.901880000000006</v>
      </c>
      <c r="J108" s="300">
        <f>(63*KFC!$B$20*1.02*1.15*1.1+KFC!$C$20)*KFC!$C$5</f>
        <v>81.288900000000012</v>
      </c>
      <c r="K108" s="300">
        <f>(66.3*KFC!$B$20*1.02*1.15*1.1+KFC!$C$20)*KFC!$C$5</f>
        <v>85.546890000000005</v>
      </c>
      <c r="L108" s="300">
        <f>(69.7*KFC!$B$20*1.02*1.15*1.1+KFC!$C$20)*KFC!$C$5</f>
        <v>89.933910000000012</v>
      </c>
      <c r="M108" s="300">
        <f>(73*KFC!$B$20*1.02*1.15*1.1+KFC!$C$20)*KFC!$C$5</f>
        <v>94.191900000000018</v>
      </c>
      <c r="N108" s="300">
        <f>(76.4*KFC!$B$20*1.02*1.15*1.1+KFC!$C$20)*KFC!$C$5</f>
        <v>98.578920000000025</v>
      </c>
      <c r="O108" s="300">
        <f>(79.7*KFC!$B$20*1.02*1.15*1.1+KFC!$C$20)*KFC!$C$5</f>
        <v>102.83691000000002</v>
      </c>
      <c r="P108" s="300">
        <f>(83.2*KFC!$B$20*1.02*1.15*1.1+KFC!$C$20)*KFC!$C$5</f>
        <v>107.35296000000001</v>
      </c>
      <c r="Q108" s="300">
        <f>(86.6*KFC!$B$20*1.02*1.15*1.1+KFC!$C$20)*KFC!$C$5</f>
        <v>111.73997999999999</v>
      </c>
      <c r="R108" s="300">
        <f>(89.9*KFC!$B$20*1.02*1.15*1.1+KFC!$C$20)*KFC!$C$5</f>
        <v>115.99797000000002</v>
      </c>
      <c r="S108" s="300">
        <f>(93.3*KFC!$B$20*1.02*1.15*1.1+KFC!$C$20)*KFC!$C$5</f>
        <v>120.38498999999999</v>
      </c>
      <c r="T108" s="300">
        <f>(96.6*KFC!$B$20*1.02*1.15*1.1+KFC!$C$20)*KFC!$C$5</f>
        <v>124.64297999999999</v>
      </c>
      <c r="U108" s="300">
        <f>(100*KFC!$B$20*1.02*1.15*1.1+KFC!$C$20)*KFC!$C$5</f>
        <v>129.03</v>
      </c>
      <c r="V108" s="300">
        <f>(103.3*KFC!$B$20*1.02*1.15*1.1+KFC!$C$20)*KFC!$C$5</f>
        <v>133.28799000000001</v>
      </c>
      <c r="W108" s="300">
        <f>(106.8*KFC!$B$20*1.02*1.15*1.1+KFC!$C$20)*KFC!$C$5</f>
        <v>137.80403999999999</v>
      </c>
      <c r="X108" s="300">
        <f>(110.15*KFC!$B$20*1.02*1.15*1.1+KFC!$C$20)*KFC!$C$5</f>
        <v>142.12654500000002</v>
      </c>
      <c r="Y108" s="304">
        <f>(113.5*KFC!$B$20*1.02*1.15*1.1+KFC!$C$20)*KFC!$C$5</f>
        <v>146.44905</v>
      </c>
      <c r="Z108" s="345"/>
      <c r="AA108" s="345"/>
      <c r="AB108" s="345"/>
      <c r="AC108" s="345"/>
    </row>
    <row r="109" spans="1:29">
      <c r="A109" s="1538"/>
      <c r="B109" s="298">
        <v>2.4</v>
      </c>
      <c r="C109" s="303">
        <f>(39.9*KFC!$B$20*1.02*1.15*1.1+KFC!$C$20)*KFC!$C$5</f>
        <v>51.482969999999995</v>
      </c>
      <c r="D109" s="300">
        <f>(43.4*KFC!$B$20*1.02*1.15*1.1+KFC!$C$20)*KFC!$C$5</f>
        <v>55.999019999999994</v>
      </c>
      <c r="E109" s="300">
        <f>(46.8*KFC!$B$20*1.02*1.15*1.1+KFC!$C$20)*KFC!$C$5</f>
        <v>60.386039999999994</v>
      </c>
      <c r="F109" s="300">
        <f>(50.4*KFC!$B$20*1.02*1.15*1.1+KFC!$C$20)*KFC!$C$5</f>
        <v>65.031120000000001</v>
      </c>
      <c r="G109" s="300">
        <f>(53.8*KFC!$B$20*1.02*1.15*1.1+KFC!$C$20)*KFC!$C$5</f>
        <v>69.418139999999994</v>
      </c>
      <c r="H109" s="300">
        <f>(57.2*KFC!$B$20*1.02*1.15*1.1+KFC!$C$20)*KFC!$C$5</f>
        <v>73.805160000000001</v>
      </c>
      <c r="I109" s="300">
        <f>(60.8*KFC!$B$20*1.02*1.15*1.1+KFC!$C$20)*KFC!$C$5</f>
        <v>78.450240000000008</v>
      </c>
      <c r="J109" s="300">
        <f>(64.2*KFC!$B$20*1.02*1.15*1.1+KFC!$C$20)*KFC!$C$5</f>
        <v>82.837260000000015</v>
      </c>
      <c r="K109" s="300">
        <f>(67.6*KFC!$B$20*1.02*1.15*1.1+KFC!$C$20)*KFC!$C$5</f>
        <v>87.224280000000007</v>
      </c>
      <c r="L109" s="300">
        <f>(71.2*KFC!$B$20*1.02*1.15*1.1+KFC!$C$20)*KFC!$C$5</f>
        <v>91.869360000000015</v>
      </c>
      <c r="M109" s="300">
        <f>(74.6*KFC!$B$20*1.02*1.15*1.1+KFC!$C$20)*KFC!$C$5</f>
        <v>96.256380000000007</v>
      </c>
      <c r="N109" s="300">
        <f>(78*KFC!$B$20*1.02*1.15*1.1+KFC!$C$20)*KFC!$C$5</f>
        <v>100.64340000000001</v>
      </c>
      <c r="O109" s="300">
        <f>(81.6*KFC!$B$20*1.02*1.15*1.1+KFC!$C$20)*KFC!$C$5</f>
        <v>105.28847999999999</v>
      </c>
      <c r="P109" s="300">
        <f>(85*KFC!$B$20*1.02*1.15*1.1+KFC!$C$20)*KFC!$C$5</f>
        <v>109.67550000000001</v>
      </c>
      <c r="Q109" s="300">
        <f>(88.4*KFC!$B$20*1.02*1.15*1.1+KFC!$C$20)*KFC!$C$5</f>
        <v>114.06252000000002</v>
      </c>
      <c r="R109" s="300">
        <f>(92*KFC!$B$20*1.02*1.15*1.1+KFC!$C$20)*KFC!$C$5</f>
        <v>118.7076</v>
      </c>
      <c r="S109" s="300">
        <f>(95.4*KFC!$B$20*1.02*1.15*1.1+KFC!$C$20)*KFC!$C$5</f>
        <v>123.09462000000001</v>
      </c>
      <c r="T109" s="300">
        <f>(98.8*KFC!$B$20*1.02*1.15*1.1+KFC!$C$20)*KFC!$C$5</f>
        <v>127.48163999999998</v>
      </c>
      <c r="U109" s="300">
        <f>(102.4*KFC!$B$20*1.02*1.15*1.1+KFC!$C$20)*KFC!$C$5</f>
        <v>132.12672000000001</v>
      </c>
      <c r="V109" s="300">
        <f>(105.8*KFC!$B$20*1.02*1.15*1.1+KFC!$C$20)*KFC!$C$5</f>
        <v>136.51374000000001</v>
      </c>
      <c r="W109" s="300">
        <f>(109.2*KFC!$B$20*1.02*1.15*1.1+KFC!$C$20)*KFC!$C$5</f>
        <v>140.90076000000002</v>
      </c>
      <c r="X109" s="300">
        <f>(112.8*KFC!$B$20*1.02*1.15*1.1+KFC!$C$20)*KFC!$C$5</f>
        <v>145.54584</v>
      </c>
      <c r="Y109" s="304">
        <f>(116.2*KFC!$B$20*1.02*1.15*1.1+KFC!$C$20)*KFC!$C$5</f>
        <v>149.93286000000001</v>
      </c>
      <c r="Z109" s="345"/>
      <c r="AA109" s="345"/>
      <c r="AB109" s="345"/>
      <c r="AC109" s="345"/>
    </row>
    <row r="110" spans="1:29">
      <c r="A110" s="1538"/>
      <c r="B110" s="298">
        <v>2.5</v>
      </c>
      <c r="C110" s="303">
        <f>(40.5*KFC!$B$20*1.02*1.15*1.1+KFC!$C$20)*KFC!$C$5</f>
        <v>52.257149999999996</v>
      </c>
      <c r="D110" s="300">
        <f>(44*KFC!$B$20*1.02*1.15*1.1+KFC!$C$20)*KFC!$C$5</f>
        <v>56.77320000000001</v>
      </c>
      <c r="E110" s="300">
        <f>(47.6*KFC!$B$20*1.02*1.15*1.1+KFC!$C$20)*KFC!$C$5</f>
        <v>61.418279999999996</v>
      </c>
      <c r="F110" s="300">
        <f>(51.1*KFC!$B$20*1.02*1.15*1.1+KFC!$C$20)*KFC!$C$5</f>
        <v>65.934330000000003</v>
      </c>
      <c r="G110" s="300">
        <f>(54.7*KFC!$B$20*1.02*1.15*1.1+KFC!$C$20)*KFC!$C$5</f>
        <v>70.57941000000001</v>
      </c>
      <c r="H110" s="300">
        <f>(58.3*KFC!$B$20*1.02*1.15*1.1+KFC!$C$20)*KFC!$C$5</f>
        <v>75.224490000000003</v>
      </c>
      <c r="I110" s="300">
        <f>(61.9*KFC!$B$20*1.02*1.15*1.1+KFC!$C$20)*KFC!$C$5</f>
        <v>79.86957000000001</v>
      </c>
      <c r="J110" s="300">
        <f>(65.4*KFC!$B$20*1.02*1.15*1.1+KFC!$C$20)*KFC!$C$5</f>
        <v>84.385620000000017</v>
      </c>
      <c r="K110" s="300">
        <f>(69*KFC!$B$20*1.02*1.15*1.1+KFC!$C$20)*KFC!$C$5</f>
        <v>89.030699999999996</v>
      </c>
      <c r="L110" s="300">
        <f>(72.5*KFC!$B$20*1.02*1.15*1.1+KFC!$C$20)*KFC!$C$5</f>
        <v>93.546750000000003</v>
      </c>
      <c r="M110" s="300">
        <f>(76.1*KFC!$B$20*1.02*1.15*1.1+KFC!$C$20)*KFC!$C$5</f>
        <v>98.19183000000001</v>
      </c>
      <c r="N110" s="300">
        <f>(79.7*KFC!$B$20*1.02*1.15*1.1+KFC!$C$20)*KFC!$C$5</f>
        <v>102.83691000000002</v>
      </c>
      <c r="O110" s="300">
        <f>(83.3*KFC!$B$20*1.02*1.15*1.1+KFC!$C$20)*KFC!$C$5</f>
        <v>107.48198999999998</v>
      </c>
      <c r="P110" s="300">
        <f>(86.8*KFC!$B$20*1.02*1.15*1.1+KFC!$C$20)*KFC!$C$5</f>
        <v>111.99803999999999</v>
      </c>
      <c r="Q110" s="300">
        <f>(90.4*KFC!$B$20*1.02*1.15*1.1+KFC!$C$20)*KFC!$C$5</f>
        <v>116.64312000000002</v>
      </c>
      <c r="R110" s="300">
        <f>(93.9*KFC!$B$20*1.02*1.15*1.1+KFC!$C$20)*KFC!$C$5</f>
        <v>121.15917</v>
      </c>
      <c r="S110" s="300">
        <f>(97.6*KFC!$B$20*1.02*1.15*1.1+KFC!$C$20)*KFC!$C$5</f>
        <v>125.93327999999998</v>
      </c>
      <c r="T110" s="300">
        <f>(101.1*KFC!$B$20*1.02*1.15*1.1+KFC!$C$20)*KFC!$C$5</f>
        <v>130.44933</v>
      </c>
      <c r="U110" s="300">
        <f>(104.7*KFC!$B$20*1.02*1.15*1.1+KFC!$C$20)*KFC!$C$5</f>
        <v>135.09441000000001</v>
      </c>
      <c r="V110" s="300">
        <f>(108.2*KFC!$B$20*1.02*1.15*1.1+KFC!$C$20)*KFC!$C$5</f>
        <v>139.61046000000002</v>
      </c>
      <c r="W110" s="300">
        <f>(111.8*KFC!$B$20*1.02*1.15*1.1+KFC!$C$20)*KFC!$C$5</f>
        <v>144.25554000000002</v>
      </c>
      <c r="X110" s="300">
        <f>(115.3*KFC!$B$20*1.02*1.15*1.1+KFC!$C$20)*KFC!$C$5</f>
        <v>148.77159</v>
      </c>
      <c r="Y110" s="304">
        <f>(119*KFC!$B$20*1.02*1.15*1.1+KFC!$C$20)*KFC!$C$5</f>
        <v>153.54570000000001</v>
      </c>
      <c r="Z110" s="345"/>
      <c r="AA110" s="345"/>
      <c r="AB110" s="345"/>
      <c r="AC110" s="345"/>
    </row>
    <row r="111" spans="1:29">
      <c r="A111" s="1538"/>
      <c r="B111" s="298">
        <v>2.6</v>
      </c>
      <c r="C111" s="303">
        <f>(41*KFC!$B$20*1.02*1.15*1.1+KFC!$C$20)*KFC!$C$5</f>
        <v>52.902300000000004</v>
      </c>
      <c r="D111" s="300">
        <f>(44.6*KFC!$B$20*1.02*1.15*1.1+KFC!$C$20)*KFC!$C$5</f>
        <v>57.547380000000011</v>
      </c>
      <c r="E111" s="300">
        <f>(48.3*KFC!$B$20*1.02*1.15*1.1+KFC!$C$20)*KFC!$C$5</f>
        <v>62.321489999999997</v>
      </c>
      <c r="F111" s="300">
        <f>(52*KFC!$B$20*1.02*1.15*1.1+KFC!$C$20)*KFC!$C$5</f>
        <v>67.095600000000005</v>
      </c>
      <c r="G111" s="300">
        <f>(55.6*KFC!$B$20*1.02*1.15*1.1+KFC!$C$20)*KFC!$C$5</f>
        <v>71.740680000000012</v>
      </c>
      <c r="H111" s="300">
        <f>(59.3*KFC!$B$20*1.02*1.15*1.1+KFC!$C$20)*KFC!$C$5</f>
        <v>76.514790000000005</v>
      </c>
      <c r="I111" s="300">
        <f>(63*KFC!$B$20*1.02*1.15*1.1+KFC!$C$20)*KFC!$C$5</f>
        <v>81.288900000000012</v>
      </c>
      <c r="J111" s="300">
        <f>(66.7*KFC!$B$20*1.02*1.15*1.1+KFC!$C$20)*KFC!$C$5</f>
        <v>86.06301000000002</v>
      </c>
      <c r="K111" s="300">
        <f>(70.3*KFC!$B$20*1.02*1.15*1.1+KFC!$C$20)*KFC!$C$5</f>
        <v>90.708090000000013</v>
      </c>
      <c r="L111" s="300">
        <f>(74*KFC!$B$20*1.02*1.15*1.1+KFC!$C$20)*KFC!$C$5</f>
        <v>95.482200000000006</v>
      </c>
      <c r="M111" s="300">
        <f>(77.7*KFC!$B$20*1.02*1.15*1.1+KFC!$C$20)*KFC!$C$5</f>
        <v>100.25631000000001</v>
      </c>
      <c r="N111" s="300">
        <f>(81.3*KFC!$B$20*1.02*1.15*1.1+KFC!$C$20)*KFC!$C$5</f>
        <v>104.90138999999999</v>
      </c>
      <c r="O111" s="300">
        <f>(85*KFC!$B$20*1.02*1.15*1.1+KFC!$C$20)*KFC!$C$5</f>
        <v>109.67550000000001</v>
      </c>
      <c r="P111" s="300">
        <f>(88.7*KFC!$B$20*1.02*1.15*1.1+KFC!$C$20)*KFC!$C$5</f>
        <v>114.44960999999999</v>
      </c>
      <c r="Q111" s="300">
        <f>(92.3*KFC!$B$20*1.02*1.15*1.1+KFC!$C$20)*KFC!$C$5</f>
        <v>119.09469</v>
      </c>
      <c r="R111" s="300">
        <f>(96*KFC!$B$20*1.02*1.15*1.1+KFC!$C$20)*KFC!$C$5</f>
        <v>123.86879999999999</v>
      </c>
      <c r="S111" s="300">
        <f>(99.7*KFC!$B$20*1.02*1.15*1.1+KFC!$C$20)*KFC!$C$5</f>
        <v>128.64291</v>
      </c>
      <c r="T111" s="300">
        <f>(103.3*KFC!$B$20*1.02*1.15*1.1+KFC!$C$20)*KFC!$C$5</f>
        <v>133.28799000000001</v>
      </c>
      <c r="U111" s="300">
        <f>(107*KFC!$B$20*1.02*1.15*1.1+KFC!$C$20)*KFC!$C$5</f>
        <v>138.06210000000002</v>
      </c>
      <c r="V111" s="300">
        <f>(110.7*KFC!$B$20*1.02*1.15*1.1+KFC!$C$20)*KFC!$C$5</f>
        <v>142.83621000000002</v>
      </c>
      <c r="W111" s="300">
        <f>(114.4*KFC!$B$20*1.02*1.15*1.1+KFC!$C$20)*KFC!$C$5</f>
        <v>147.61032</v>
      </c>
      <c r="X111" s="300">
        <f>(118*KFC!$B$20*1.02*1.15*1.1+KFC!$C$20)*KFC!$C$5</f>
        <v>152.25540000000001</v>
      </c>
      <c r="Y111" s="304">
        <f>(121.7*KFC!$B$20*1.02*1.15*1.1+KFC!$C$20)*KFC!$C$5</f>
        <v>157.02951000000002</v>
      </c>
      <c r="Z111" s="345"/>
      <c r="AA111" s="345"/>
      <c r="AB111" s="345"/>
      <c r="AC111" s="345"/>
    </row>
    <row r="112" spans="1:29">
      <c r="A112" s="1538"/>
      <c r="B112" s="298">
        <v>2.7</v>
      </c>
      <c r="C112" s="303">
        <f>(41.5*KFC!$B$20*1.02*1.15*1.1+KFC!$C$20)*KFC!$C$5</f>
        <v>53.547450000000005</v>
      </c>
      <c r="D112" s="300">
        <f>(45.3*KFC!$B$20*1.02*1.15*1.1+KFC!$C$20)*KFC!$C$5</f>
        <v>58.450589999999991</v>
      </c>
      <c r="E112" s="300">
        <f>(49*KFC!$B$20*1.02*1.15*1.1+KFC!$C$20)*KFC!$C$5</f>
        <v>63.224699999999999</v>
      </c>
      <c r="F112" s="300">
        <f>(52.8*KFC!$B$20*1.02*1.15*1.1+KFC!$C$20)*KFC!$C$5</f>
        <v>68.127839999999992</v>
      </c>
      <c r="G112" s="300">
        <f>(56.6*KFC!$B$20*1.02*1.15*1.1+KFC!$C$20)*KFC!$C$5</f>
        <v>73.03098</v>
      </c>
      <c r="H112" s="300">
        <f>(60.4*KFC!$B$20*1.02*1.15*1.1+KFC!$C$20)*KFC!$C$5</f>
        <v>77.934120000000007</v>
      </c>
      <c r="I112" s="300">
        <f>(64.1*KFC!$B$20*1.02*1.15*1.1+KFC!$C$20)*KFC!$C$5</f>
        <v>82.70823</v>
      </c>
      <c r="J112" s="300">
        <f>(67.9*KFC!$B$20*1.02*1.15*1.1+KFC!$C$20)*KFC!$C$5</f>
        <v>87.611370000000022</v>
      </c>
      <c r="K112" s="300">
        <f>(71.7*KFC!$B$20*1.02*1.15*1.1+KFC!$C$20)*KFC!$C$5</f>
        <v>92.514510000000001</v>
      </c>
      <c r="L112" s="300">
        <f>(75.5*KFC!$B$20*1.02*1.15*1.1+KFC!$C$20)*KFC!$C$5</f>
        <v>97.417650000000009</v>
      </c>
      <c r="M112" s="300">
        <f>(79.3*KFC!$B$20*1.02*1.15*1.1+KFC!$C$20)*KFC!$C$5</f>
        <v>102.32078999999999</v>
      </c>
      <c r="N112" s="300">
        <f>(82.9*KFC!$B$20*1.02*1.15*1.1+KFC!$C$20)*KFC!$C$5</f>
        <v>106.96587000000001</v>
      </c>
      <c r="O112" s="300">
        <f>(86.7*KFC!$B$20*1.02*1.15*1.1+KFC!$C$20)*KFC!$C$5</f>
        <v>111.86900999999999</v>
      </c>
      <c r="P112" s="300">
        <f>(90.5*KFC!$B$20*1.02*1.15*1.1+KFC!$C$20)*KFC!$C$5</f>
        <v>116.77215</v>
      </c>
      <c r="Q112" s="300">
        <f>(94.3*KFC!$B$20*1.02*1.15*1.1+KFC!$C$20)*KFC!$C$5</f>
        <v>121.67528999999999</v>
      </c>
      <c r="R112" s="300">
        <f>(98.1*KFC!$B$20*1.02*1.15*1.1+KFC!$C$20)*KFC!$C$5</f>
        <v>126.57843</v>
      </c>
      <c r="S112" s="300">
        <f>(101.8*KFC!$B$20*1.02*1.15*1.1+KFC!$C$20)*KFC!$C$5</f>
        <v>131.35254</v>
      </c>
      <c r="T112" s="300">
        <f>(105.5*KFC!$B$20*1.02*1.15*1.1+KFC!$C$20)*KFC!$C$5</f>
        <v>136.12665000000001</v>
      </c>
      <c r="U112" s="300">
        <f>(109.3*KFC!$B$20*1.02*1.15*1.1+KFC!$C$20)*KFC!$C$5</f>
        <v>141.02979000000002</v>
      </c>
      <c r="V112" s="300">
        <f>(113.1*KFC!$B$20*1.02*1.15*1.1+KFC!$C$20)*KFC!$C$5</f>
        <v>145.93293</v>
      </c>
      <c r="W112" s="300">
        <f>(116.9*KFC!$B$20*1.02*1.15*1.1+KFC!$C$20)*KFC!$C$5</f>
        <v>150.83607000000003</v>
      </c>
      <c r="X112" s="300">
        <f>(120.6*KFC!$B$20*1.02*1.15*1.1+KFC!$C$20)*KFC!$C$5</f>
        <v>155.61018000000001</v>
      </c>
      <c r="Y112" s="304">
        <f>(124.4*KFC!$B$20*1.02*1.15*1.1+KFC!$C$20)*KFC!$C$5</f>
        <v>160.51332000000002</v>
      </c>
      <c r="Z112" s="345"/>
      <c r="AA112" s="345"/>
      <c r="AB112" s="345"/>
      <c r="AC112" s="345"/>
    </row>
    <row r="113" spans="1:29">
      <c r="A113" s="1538"/>
      <c r="B113" s="298">
        <v>2.8</v>
      </c>
      <c r="C113" s="303">
        <f>(42.1*KFC!$B$20*1.02*1.15*1.1+KFC!$C$20)*KFC!$C$5</f>
        <v>54.321630000000006</v>
      </c>
      <c r="D113" s="300">
        <f>(45.9*KFC!$B$20*1.02*1.15*1.1+KFC!$C$20)*KFC!$C$5</f>
        <v>59.224769999999992</v>
      </c>
      <c r="E113" s="300">
        <f>(49.8*KFC!$B$20*1.02*1.15*1.1+KFC!$C$20)*KFC!$C$5</f>
        <v>64.25694</v>
      </c>
      <c r="F113" s="300">
        <f>(53.7*KFC!$B$20*1.02*1.15*1.1+KFC!$C$20)*KFC!$C$5</f>
        <v>69.289110000000008</v>
      </c>
      <c r="G113" s="300">
        <f>(57.5*KFC!$B$20*1.02*1.15*1.1+KFC!$C$20)*KFC!$C$5</f>
        <v>74.192250000000001</v>
      </c>
      <c r="H113" s="300">
        <f>(61.4*KFC!$B$20*1.02*1.15*1.1+KFC!$C$20)*KFC!$C$5</f>
        <v>79.224420000000009</v>
      </c>
      <c r="I113" s="300">
        <f>(65.3*KFC!$B$20*1.02*1.15*1.1+KFC!$C$20)*KFC!$C$5</f>
        <v>84.256590000000003</v>
      </c>
      <c r="J113" s="300">
        <f>(69.1*KFC!$B$20*1.02*1.15*1.1+KFC!$C$20)*KFC!$C$5</f>
        <v>89.15973000000001</v>
      </c>
      <c r="K113" s="300">
        <f>(73*KFC!$B$20*1.02*1.15*1.1+KFC!$C$20)*KFC!$C$5</f>
        <v>94.191900000000018</v>
      </c>
      <c r="L113" s="300">
        <f>(76.85*KFC!$B$20*1.02*1.15*1.1+KFC!$C$20)*KFC!$C$5</f>
        <v>99.159555000000012</v>
      </c>
      <c r="M113" s="300">
        <f>(80.7*KFC!$B$20*1.02*1.15*1.1+KFC!$C$20)*KFC!$C$5</f>
        <v>104.12721000000002</v>
      </c>
      <c r="N113" s="300">
        <f>(84.6*KFC!$B$20*1.02*1.15*1.1+KFC!$C$20)*KFC!$C$5</f>
        <v>109.15938000000001</v>
      </c>
      <c r="O113" s="300">
        <f>(88.4*KFC!$B$20*1.02*1.15*1.1+KFC!$C$20)*KFC!$C$5</f>
        <v>114.06252000000002</v>
      </c>
      <c r="P113" s="300">
        <f>(92.3*KFC!$B$20*1.02*1.15*1.1+KFC!$C$20)*KFC!$C$5</f>
        <v>119.09469</v>
      </c>
      <c r="Q113" s="300">
        <f>(96.3*KFC!$B$20*1.02*1.15*1.1+KFC!$C$20)*KFC!$C$5</f>
        <v>124.25588999999999</v>
      </c>
      <c r="R113" s="300">
        <f>(100*KFC!$B$20*1.02*1.15*1.1+KFC!$C$20)*KFC!$C$5</f>
        <v>129.03</v>
      </c>
      <c r="S113" s="300">
        <f>(104*KFC!$B$20*1.02*1.15*1.1+KFC!$C$20)*KFC!$C$5</f>
        <v>134.19120000000001</v>
      </c>
      <c r="T113" s="300">
        <f>(107.9*KFC!$B$20*1.02*1.15*1.1+KFC!$C$20)*KFC!$C$5</f>
        <v>139.22337000000002</v>
      </c>
      <c r="U113" s="300">
        <f>(111.7*KFC!$B$20*1.02*1.15*1.1+KFC!$C$20)*KFC!$C$5</f>
        <v>144.12651000000002</v>
      </c>
      <c r="V113" s="300">
        <f>(115.6*KFC!$B$20*1.02*1.15*1.1+KFC!$C$20)*KFC!$C$5</f>
        <v>149.15868</v>
      </c>
      <c r="W113" s="300">
        <f>(119.4*KFC!$B$20*1.02*1.15*1.1+KFC!$C$20)*KFC!$C$5</f>
        <v>154.06182000000001</v>
      </c>
      <c r="X113" s="300">
        <f>(123.3*KFC!$B$20*1.02*1.15*1.1+KFC!$C$20)*KFC!$C$5</f>
        <v>159.09399000000002</v>
      </c>
      <c r="Y113" s="304">
        <f>(127.2*KFC!$B$20*1.02*1.15*1.1+KFC!$C$20)*KFC!$C$5</f>
        <v>164.12616</v>
      </c>
      <c r="Z113" s="345"/>
      <c r="AA113" s="345"/>
      <c r="AB113" s="345"/>
      <c r="AC113" s="345"/>
    </row>
    <row r="114" spans="1:29">
      <c r="A114" s="1538"/>
      <c r="B114" s="298">
        <v>2.9</v>
      </c>
      <c r="C114" s="303">
        <f>(42.6*KFC!$B$20*1.02*1.15*1.1+KFC!$C$20)*KFC!$C$5</f>
        <v>54.966780000000007</v>
      </c>
      <c r="D114" s="300">
        <f>(46.6*KFC!$B$20*1.02*1.15*1.1+KFC!$C$20)*KFC!$C$5</f>
        <v>60.127980000000001</v>
      </c>
      <c r="E114" s="300">
        <f>(50.5*KFC!$B$20*1.02*1.15*1.1+KFC!$C$20)*KFC!$C$5</f>
        <v>65.160150000000002</v>
      </c>
      <c r="F114" s="300">
        <f>(54.4*KFC!$B$20*1.02*1.15*1.1+KFC!$C$20)*KFC!$C$5</f>
        <v>70.192319999999995</v>
      </c>
      <c r="G114" s="300">
        <f>(58.5*KFC!$B$20*1.02*1.15*1.1+KFC!$C$20)*KFC!$C$5</f>
        <v>75.482550000000003</v>
      </c>
      <c r="H114" s="300">
        <f>(62.4*KFC!$B$20*1.02*1.15*1.1+KFC!$C$20)*KFC!$C$5</f>
        <v>80.514719999999997</v>
      </c>
      <c r="I114" s="300">
        <f>(66.4*KFC!$B$20*1.02*1.15*1.1+KFC!$C$20)*KFC!$C$5</f>
        <v>85.675920000000019</v>
      </c>
      <c r="J114" s="300">
        <f>(70.3*KFC!$B$20*1.02*1.15*1.1+KFC!$C$20)*KFC!$C$5</f>
        <v>90.708090000000013</v>
      </c>
      <c r="K114" s="300">
        <f>(74.4*KFC!$B$20*1.02*1.15*1.1+KFC!$C$20)*KFC!$C$5</f>
        <v>95.998320000000007</v>
      </c>
      <c r="L114" s="300">
        <f>(78.3*KFC!$B$20*1.02*1.15*1.1+KFC!$C$20)*KFC!$C$5</f>
        <v>101.03048999999999</v>
      </c>
      <c r="M114" s="300">
        <f>(82.3*KFC!$B$20*1.02*1.15*1.1+KFC!$C$20)*KFC!$C$5</f>
        <v>106.19169000000001</v>
      </c>
      <c r="N114" s="300">
        <f>(86.2*KFC!$B$20*1.02*1.15*1.1+KFC!$C$20)*KFC!$C$5</f>
        <v>111.22386000000002</v>
      </c>
      <c r="O114" s="300">
        <f>(90.3*KFC!$B$20*1.02*1.15*1.1+KFC!$C$20)*KFC!$C$5</f>
        <v>116.51408999999998</v>
      </c>
      <c r="P114" s="300">
        <f>(94.2*KFC!$B$20*1.02*1.15*1.1+KFC!$C$20)*KFC!$C$5</f>
        <v>121.54626</v>
      </c>
      <c r="Q114" s="300">
        <f>(98.1*KFC!$B$20*1.02*1.15*1.1+KFC!$C$20)*KFC!$C$5</f>
        <v>126.57843</v>
      </c>
      <c r="R114" s="300">
        <f>(102.1*KFC!$B$20*1.02*1.15*1.1+KFC!$C$20)*KFC!$C$5</f>
        <v>131.73963000000001</v>
      </c>
      <c r="S114" s="300">
        <f>(106*KFC!$B$20*1.02*1.15*1.1+KFC!$C$20)*KFC!$C$5</f>
        <v>136.77180000000001</v>
      </c>
      <c r="T114" s="300">
        <f>(110.1*KFC!$B$20*1.02*1.15*1.1+KFC!$C$20)*KFC!$C$5</f>
        <v>142.06202999999999</v>
      </c>
      <c r="U114" s="300">
        <f>(114*KFC!$B$20*1.02*1.15*1.1+KFC!$C$20)*KFC!$C$5</f>
        <v>147.0942</v>
      </c>
      <c r="V114" s="300">
        <f>(118*KFC!$B$20*1.02*1.15*1.1+KFC!$C$20)*KFC!$C$5</f>
        <v>152.25540000000001</v>
      </c>
      <c r="W114" s="300">
        <f>(121.9*KFC!$B$20*1.02*1.15*1.1+KFC!$C$20)*KFC!$C$5</f>
        <v>157.28757000000002</v>
      </c>
      <c r="X114" s="300">
        <f>(126*KFC!$B$20*1.02*1.15*1.1+KFC!$C$20)*KFC!$C$5</f>
        <v>162.57780000000002</v>
      </c>
      <c r="Y114" s="304">
        <f>(129.9*KFC!$B$20*1.02*1.15*1.1+KFC!$C$20)*KFC!$C$5</f>
        <v>167.60997000000003</v>
      </c>
      <c r="Z114" s="345"/>
      <c r="AA114" s="345"/>
      <c r="AB114" s="345"/>
      <c r="AC114" s="345"/>
    </row>
    <row r="115" spans="1:29">
      <c r="A115" s="1538"/>
      <c r="B115" s="298">
        <v>3</v>
      </c>
      <c r="C115" s="303">
        <f>(43*KFC!$B$20*1.02*1.15*1.1+KFC!$C$20)*KFC!$C$5</f>
        <v>55.482899999999994</v>
      </c>
      <c r="D115" s="300">
        <f>(47.2*KFC!$B$20*1.02*1.15*1.1+KFC!$C$20)*KFC!$C$5</f>
        <v>60.902160000000002</v>
      </c>
      <c r="E115" s="300">
        <f>(51.2*KFC!$B$20*1.02*1.15*1.1+KFC!$C$20)*KFC!$C$5</f>
        <v>66.063360000000003</v>
      </c>
      <c r="F115" s="300">
        <f>(55.3*KFC!$B$20*1.02*1.15*1.1+KFC!$C$20)*KFC!$C$5</f>
        <v>71.353589999999997</v>
      </c>
      <c r="G115" s="300">
        <f>(59.4*KFC!$B$20*1.02*1.15*1.1+KFC!$C$20)*KFC!$C$5</f>
        <v>76.643820000000005</v>
      </c>
      <c r="H115" s="300">
        <f>(63.5*KFC!$B$20*1.02*1.15*1.1+KFC!$C$20)*KFC!$C$5</f>
        <v>81.934049999999999</v>
      </c>
      <c r="I115" s="300">
        <f>(67.5*KFC!$B$20*1.02*1.15*1.1+KFC!$C$20)*KFC!$C$5</f>
        <v>87.095249999999979</v>
      </c>
      <c r="J115" s="300">
        <f>(71.5*KFC!$B$20*1.02*1.15*1.1+KFC!$C$20)*KFC!$C$5</f>
        <v>92.256450000000015</v>
      </c>
      <c r="K115" s="300">
        <f>(75.7*KFC!$B$20*1.02*1.15*1.1+KFC!$C$20)*KFC!$C$5</f>
        <v>97.675710000000009</v>
      </c>
      <c r="L115" s="300">
        <f>(79.7*KFC!$B$20*1.02*1.15*1.1+KFC!$C$20)*KFC!$C$5</f>
        <v>102.83691000000002</v>
      </c>
      <c r="M115" s="300">
        <f>(83.8*KFC!$B$20*1.02*1.15*1.1+KFC!$C$20)*KFC!$C$5</f>
        <v>108.12714000000001</v>
      </c>
      <c r="N115" s="300">
        <f>(87.8*KFC!$B$20*1.02*1.15*1.1+KFC!$C$20)*KFC!$C$5</f>
        <v>113.28833999999999</v>
      </c>
      <c r="O115" s="300">
        <f>(92*KFC!$B$20*1.02*1.15*1.1+KFC!$C$20)*KFC!$C$5</f>
        <v>118.7076</v>
      </c>
      <c r="P115" s="300">
        <f>(96*KFC!$B$20*1.02*1.15*1.1+KFC!$C$20)*KFC!$C$5</f>
        <v>123.86879999999999</v>
      </c>
      <c r="Q115" s="300">
        <f>(100*KFC!$B$20*1.02*1.15*1.1+KFC!$C$20)*KFC!$C$5</f>
        <v>129.03</v>
      </c>
      <c r="R115" s="300">
        <f>(104.2*KFC!$B$20*1.02*1.15*1.1+KFC!$C$20)*KFC!$C$5</f>
        <v>134.44926000000001</v>
      </c>
      <c r="S115" s="300">
        <f>(108.2*KFC!$B$20*1.02*1.15*1.1+KFC!$C$20)*KFC!$C$5</f>
        <v>139.61046000000002</v>
      </c>
      <c r="T115" s="300">
        <f>(112.3*KFC!$B$20*1.02*1.15*1.1+KFC!$C$20)*KFC!$C$5</f>
        <v>144.90069</v>
      </c>
      <c r="U115" s="300">
        <f>(116.3*KFC!$B$20*1.02*1.15*1.1+KFC!$C$20)*KFC!$C$5</f>
        <v>150.06189000000001</v>
      </c>
      <c r="V115" s="300">
        <f>(120.5*KFC!$B$20*1.02*1.15*1.1+KFC!$C$20)*KFC!$C$5</f>
        <v>155.48115000000001</v>
      </c>
      <c r="W115" s="300">
        <f>(124.5*KFC!$B$20*1.02*1.15*1.1+KFC!$C$20)*KFC!$C$5</f>
        <v>160.64235000000002</v>
      </c>
      <c r="X115" s="300">
        <f>(128.5*KFC!$B$20*1.02*1.15*1.1+KFC!$C$20)*KFC!$C$5</f>
        <v>165.80355</v>
      </c>
      <c r="Y115" s="304">
        <f>(132.6*KFC!$B$20*1.02*1.15*1.1+KFC!$C$20)*KFC!$C$5</f>
        <v>171.09378000000001</v>
      </c>
      <c r="Z115" s="345"/>
      <c r="AA115" s="345"/>
      <c r="AB115" s="345"/>
      <c r="AC115" s="345"/>
    </row>
    <row r="116" spans="1:29">
      <c r="A116" s="1538"/>
      <c r="B116" s="298">
        <v>3.1</v>
      </c>
      <c r="C116" s="303">
        <f>(43.7*KFC!$B$20*1.02*1.15*1.1+KFC!$C$20)*KFC!$C$5</f>
        <v>56.386110000000009</v>
      </c>
      <c r="D116" s="300">
        <f>(47.8*KFC!$B$20*1.02*1.15*1.1+KFC!$C$20)*KFC!$C$5</f>
        <v>61.676339999999996</v>
      </c>
      <c r="E116" s="300">
        <f>(52*KFC!$B$20*1.02*1.15*1.1+KFC!$C$20)*KFC!$C$5</f>
        <v>67.095600000000005</v>
      </c>
      <c r="F116" s="300">
        <f>(56.1*KFC!$B$20*1.02*1.15*1.1+KFC!$C$20)*KFC!$C$5</f>
        <v>72.385830000000013</v>
      </c>
      <c r="G116" s="300">
        <f>(60.3*KFC!$B$20*1.02*1.15*1.1+KFC!$C$20)*KFC!$C$5</f>
        <v>77.805090000000007</v>
      </c>
      <c r="H116" s="300">
        <f>(64.5*KFC!$B$20*1.02*1.15*1.1+KFC!$C$20)*KFC!$C$5</f>
        <v>83.224350000000015</v>
      </c>
      <c r="I116" s="300">
        <f>(68.6*KFC!$B$20*1.02*1.15*1.1+KFC!$C$20)*KFC!$C$5</f>
        <v>88.514579999999995</v>
      </c>
      <c r="J116" s="300">
        <f>(72.8*KFC!$B$20*1.02*1.15*1.1+KFC!$C$20)*KFC!$C$5</f>
        <v>93.933840000000004</v>
      </c>
      <c r="K116" s="300">
        <f>(77*KFC!$B$20*1.02*1.15*1.1+KFC!$C$20)*KFC!$C$5</f>
        <v>99.353100000000012</v>
      </c>
      <c r="L116" s="300">
        <f>(81.2*KFC!$B$20*1.02*1.15*1.1+KFC!$C$20)*KFC!$C$5</f>
        <v>104.77235999999999</v>
      </c>
      <c r="M116" s="300">
        <f>(85.4*KFC!$B$20*1.02*1.15*1.1+KFC!$C$20)*KFC!$C$5</f>
        <v>110.19162000000001</v>
      </c>
      <c r="N116" s="300">
        <f>(89.5*KFC!$B$20*1.02*1.15*1.1+KFC!$C$20)*KFC!$C$5</f>
        <v>115.48184999999999</v>
      </c>
      <c r="O116" s="300">
        <f>(93.7*KFC!$B$20*1.02*1.15*1.1+KFC!$C$20)*KFC!$C$5</f>
        <v>120.90110999999999</v>
      </c>
      <c r="P116" s="300">
        <f>(97.8*KFC!$B$20*1.02*1.15*1.1+KFC!$C$20)*KFC!$C$5</f>
        <v>126.19134</v>
      </c>
      <c r="Q116" s="300">
        <f>(102*KFC!$B$20*1.02*1.15*1.1+KFC!$C$20)*KFC!$C$5</f>
        <v>131.61060000000001</v>
      </c>
      <c r="R116" s="300">
        <f>(106.2*KFC!$B$20*1.02*1.15*1.1+KFC!$C$20)*KFC!$C$5</f>
        <v>137.02986000000001</v>
      </c>
      <c r="S116" s="300">
        <f>(110.3*KFC!$B$20*1.02*1.15*1.1+KFC!$C$20)*KFC!$C$5</f>
        <v>142.32009000000002</v>
      </c>
      <c r="T116" s="300">
        <f>(114.5*KFC!$B$20*1.02*1.15*1.1+KFC!$C$20)*KFC!$C$5</f>
        <v>147.73935000000003</v>
      </c>
      <c r="U116" s="300">
        <f>(118.6*KFC!$B$20*1.02*1.15*1.1+KFC!$C$20)*KFC!$C$5</f>
        <v>153.02958000000001</v>
      </c>
      <c r="V116" s="300">
        <f>(122.9*KFC!$B$20*1.02*1.15*1.1+KFC!$C$20)*KFC!$C$5</f>
        <v>158.57787000000002</v>
      </c>
      <c r="W116" s="300">
        <f>(127.1*KFC!$B$20*1.02*1.15*1.1+KFC!$C$20)*KFC!$C$5</f>
        <v>163.99713</v>
      </c>
      <c r="X116" s="300">
        <f>(131.2*KFC!$B$20*1.02*1.15*1.1+KFC!$C$20)*KFC!$C$5</f>
        <v>169.28736000000001</v>
      </c>
      <c r="Y116" s="304">
        <f>(135.4*KFC!$B$20*1.02*1.15*1.1+KFC!$C$20)*KFC!$C$5</f>
        <v>174.70662000000002</v>
      </c>
      <c r="Z116" s="345"/>
      <c r="AA116" s="345"/>
      <c r="AB116" s="345"/>
      <c r="AC116" s="345"/>
    </row>
    <row r="117" spans="1:29">
      <c r="A117" s="1538"/>
      <c r="B117" s="298">
        <v>3.2</v>
      </c>
      <c r="C117" s="303">
        <f>(44.2*KFC!$B$20*1.02*1.15*1.1+KFC!$C$20)*KFC!$C$5</f>
        <v>57.03126000000001</v>
      </c>
      <c r="D117" s="300">
        <f>(48.4*KFC!$B$20*1.02*1.15*1.1+KFC!$C$20)*KFC!$C$5</f>
        <v>62.450519999999997</v>
      </c>
      <c r="E117" s="300">
        <f>(52.7*KFC!$B$20*1.02*1.15*1.1+KFC!$C$20)*KFC!$C$5</f>
        <v>67.998810000000006</v>
      </c>
      <c r="F117" s="300">
        <f>(57*KFC!$B$20*1.02*1.15*1.1+KFC!$C$20)*KFC!$C$5</f>
        <v>73.5471</v>
      </c>
      <c r="G117" s="300">
        <f>(61.3*KFC!$B$20*1.02*1.15*1.1+KFC!$C$20)*KFC!$C$5</f>
        <v>79.095389999999995</v>
      </c>
      <c r="H117" s="300">
        <f>(65.6*KFC!$B$20*1.02*1.15*1.1+KFC!$C$20)*KFC!$C$5</f>
        <v>84.643680000000003</v>
      </c>
      <c r="I117" s="300">
        <f>(69.8*KFC!$B$20*1.02*1.15*1.1+KFC!$C$20)*KFC!$C$5</f>
        <v>90.062939999999998</v>
      </c>
      <c r="J117" s="300">
        <f>(74*KFC!$B$20*1.02*1.15*1.1+KFC!$C$20)*KFC!$C$5</f>
        <v>95.482200000000006</v>
      </c>
      <c r="K117" s="300">
        <f>(78.3*KFC!$B$20*1.02*1.15*1.1+KFC!$C$20)*KFC!$C$5</f>
        <v>101.03048999999999</v>
      </c>
      <c r="L117" s="300">
        <f>(82.6*KFC!$B$20*1.02*1.15*1.1+KFC!$C$20)*KFC!$C$5</f>
        <v>106.57878000000001</v>
      </c>
      <c r="M117" s="300">
        <f>(86.8*KFC!$B$20*1.02*1.15*1.1+KFC!$C$20)*KFC!$C$5</f>
        <v>111.99803999999999</v>
      </c>
      <c r="N117" s="300">
        <f>(91.1*KFC!$B$20*1.02*1.15*1.1+KFC!$C$20)*KFC!$C$5</f>
        <v>117.54633</v>
      </c>
      <c r="O117" s="300">
        <f>(95.4*KFC!$B$20*1.02*1.15*1.1+KFC!$C$20)*KFC!$C$5</f>
        <v>123.09462000000001</v>
      </c>
      <c r="P117" s="300">
        <f>(99.7*KFC!$B$20*1.02*1.15*1.1+KFC!$C$20)*KFC!$C$5</f>
        <v>128.64291</v>
      </c>
      <c r="Q117" s="300">
        <f>(104*KFC!$B$20*1.02*1.15*1.1+KFC!$C$20)*KFC!$C$5</f>
        <v>134.19120000000001</v>
      </c>
      <c r="R117" s="300">
        <f>(108.2*KFC!$B$20*1.02*1.15*1.1+KFC!$C$20)*KFC!$C$5</f>
        <v>139.61046000000002</v>
      </c>
      <c r="S117" s="300">
        <f>(112.5*KFC!$B$20*1.02*1.15*1.1+KFC!$C$20)*KFC!$C$5</f>
        <v>145.15875</v>
      </c>
      <c r="T117" s="300">
        <f>(116.8*KFC!$B$20*1.02*1.15*1.1+KFC!$C$20)*KFC!$C$5</f>
        <v>150.70704000000001</v>
      </c>
      <c r="U117" s="300">
        <f>(121.1*KFC!$B$20*1.02*1.15*1.1+KFC!$C$20)*KFC!$C$5</f>
        <v>156.25533000000001</v>
      </c>
      <c r="V117" s="300">
        <f>(125.4*KFC!$B$20*1.02*1.15*1.1+KFC!$C$20)*KFC!$C$5</f>
        <v>161.80362000000002</v>
      </c>
      <c r="W117" s="300">
        <f>(129.5*KFC!$B$20*1.02*1.15*1.1+KFC!$C$20)*KFC!$C$5</f>
        <v>167.09385</v>
      </c>
      <c r="X117" s="300">
        <f>(133.8*KFC!$B$20*1.02*1.15*1.1+KFC!$C$20)*KFC!$C$5</f>
        <v>172.64214000000004</v>
      </c>
      <c r="Y117" s="304">
        <f>(138.1*KFC!$B$20*1.02*1.15*1.1+KFC!$C$20)*KFC!$C$5</f>
        <v>178.19043000000002</v>
      </c>
      <c r="Z117" s="345"/>
      <c r="AA117" s="345"/>
      <c r="AB117" s="345"/>
      <c r="AC117" s="345"/>
    </row>
    <row r="118" spans="1:29">
      <c r="A118" s="1538"/>
      <c r="B118" s="298">
        <v>3.3</v>
      </c>
      <c r="C118" s="303">
        <f>(44.6*KFC!$B$20*1.02*1.15*1.1+KFC!$C$20)*KFC!$C$5</f>
        <v>57.547380000000011</v>
      </c>
      <c r="D118" s="300">
        <f>(49*KFC!$B$20*1.02*1.15*1.1+KFC!$C$20)*KFC!$C$5</f>
        <v>63.224699999999999</v>
      </c>
      <c r="E118" s="300">
        <f>(53.4*KFC!$B$20*1.02*1.15*1.1+KFC!$C$20)*KFC!$C$5</f>
        <v>68.902019999999993</v>
      </c>
      <c r="F118" s="300">
        <f>(57.8*KFC!$B$20*1.02*1.15*1.1+KFC!$C$20)*KFC!$C$5</f>
        <v>74.579340000000002</v>
      </c>
      <c r="G118" s="300">
        <f>(62.1*KFC!$B$20*1.02*1.15*1.1+KFC!$C$20)*KFC!$C$5</f>
        <v>80.127630000000011</v>
      </c>
      <c r="H118" s="300">
        <f>(66.5*KFC!$B$20*1.02*1.15*1.1+KFC!$C$20)*KFC!$C$5</f>
        <v>85.804950000000005</v>
      </c>
      <c r="I118" s="300">
        <f>(70.9*KFC!$B$20*1.02*1.15*1.1+KFC!$C$20)*KFC!$C$5</f>
        <v>91.482270000000014</v>
      </c>
      <c r="J118" s="300">
        <f>(75.3*KFC!$B$20*1.02*1.15*1.1+KFC!$C$20)*KFC!$C$5</f>
        <v>97.159590000000009</v>
      </c>
      <c r="K118" s="300">
        <f>(79.6*KFC!$B$20*1.02*1.15*1.1+KFC!$C$20)*KFC!$C$5</f>
        <v>102.70787999999999</v>
      </c>
      <c r="L118" s="300">
        <f>(84*KFC!$B$20*1.02*1.15*1.1+KFC!$C$20)*KFC!$C$5</f>
        <v>108.38520000000001</v>
      </c>
      <c r="M118" s="300">
        <f>(88.4*KFC!$B$20*1.02*1.15*1.1+KFC!$C$20)*KFC!$C$5</f>
        <v>114.06252000000002</v>
      </c>
      <c r="N118" s="300">
        <f>(92.8*KFC!$B$20*1.02*1.15*1.1+KFC!$C$20)*KFC!$C$5</f>
        <v>119.73983999999999</v>
      </c>
      <c r="O118" s="300">
        <f>(97.1*KFC!$B$20*1.02*1.15*1.1+KFC!$C$20)*KFC!$C$5</f>
        <v>125.28813</v>
      </c>
      <c r="P118" s="300">
        <f>(101.5*KFC!$B$20*1.02*1.15*1.1+KFC!$C$20)*KFC!$C$5</f>
        <v>130.96545</v>
      </c>
      <c r="Q118" s="300">
        <f>(105.9*KFC!$B$20*1.02*1.15*1.1+KFC!$C$20)*KFC!$C$5</f>
        <v>136.64277000000001</v>
      </c>
      <c r="R118" s="300">
        <f>(110.2*KFC!$B$20*1.02*1.15*1.1+KFC!$C$20)*KFC!$C$5</f>
        <v>142.19106000000002</v>
      </c>
      <c r="S118" s="300">
        <f>(114.6*KFC!$B$20*1.02*1.15*1.1+KFC!$C$20)*KFC!$C$5</f>
        <v>147.86838</v>
      </c>
      <c r="T118" s="300">
        <f>(119*KFC!$B$20*1.02*1.15*1.1+KFC!$C$20)*KFC!$C$5</f>
        <v>153.54570000000001</v>
      </c>
      <c r="U118" s="300">
        <f>(123.4*KFC!$B$20*1.02*1.15*1.1+KFC!$C$20)*KFC!$C$5</f>
        <v>159.22302000000002</v>
      </c>
      <c r="V118" s="300">
        <f>(127.7*KFC!$B$20*1.02*1.15*1.1+KFC!$C$20)*KFC!$C$5</f>
        <v>164.77131000000003</v>
      </c>
      <c r="W118" s="300">
        <f>(132.1*KFC!$B$20*1.02*1.15*1.1+KFC!$C$20)*KFC!$C$5</f>
        <v>170.44863000000001</v>
      </c>
      <c r="X118" s="300">
        <f>(136.5*KFC!$B$20*1.02*1.15*1.1+KFC!$C$20)*KFC!$C$5</f>
        <v>176.12594999999999</v>
      </c>
      <c r="Y118" s="304">
        <f>(140.9*KFC!$B$20*1.02*1.15*1.1+KFC!$C$20)*KFC!$C$5</f>
        <v>181.80327000000003</v>
      </c>
      <c r="Z118" s="345"/>
      <c r="AA118" s="345"/>
      <c r="AB118" s="345"/>
      <c r="AC118" s="345"/>
    </row>
    <row r="119" spans="1:29">
      <c r="A119" s="1538"/>
      <c r="B119" s="298">
        <v>3.4</v>
      </c>
      <c r="C119" s="303">
        <f>(45.3*KFC!$B$20*1.02*1.15*1.1+KFC!$C$20)*KFC!$C$5</f>
        <v>58.450589999999991</v>
      </c>
      <c r="D119" s="300">
        <f>(49.7*KFC!$B$20*1.02*1.15*1.1+KFC!$C$20)*KFC!$C$5</f>
        <v>64.12791</v>
      </c>
      <c r="E119" s="300">
        <f>(54.2*KFC!$B$20*1.02*1.15*1.1+KFC!$C$20)*KFC!$C$5</f>
        <v>69.934260000000009</v>
      </c>
      <c r="F119" s="300">
        <f>(58.6*KFC!$B$20*1.02*1.15*1.1+KFC!$C$20)*KFC!$C$5</f>
        <v>75.611580000000018</v>
      </c>
      <c r="G119" s="300">
        <f>(63.1*KFC!$B$20*1.02*1.15*1.1+KFC!$C$20)*KFC!$C$5</f>
        <v>81.417930000000013</v>
      </c>
      <c r="H119" s="300">
        <f>(67.6*KFC!$B$20*1.02*1.15*1.1+KFC!$C$20)*KFC!$C$5</f>
        <v>87.224280000000007</v>
      </c>
      <c r="I119" s="300">
        <f>(72*KFC!$B$20*1.02*1.15*1.1+KFC!$C$20)*KFC!$C$5</f>
        <v>92.901600000000002</v>
      </c>
      <c r="J119" s="300">
        <f>(76.6*KFC!$B$20*1.02*1.15*1.1+KFC!$C$20)*KFC!$C$5</f>
        <v>98.836979999999983</v>
      </c>
      <c r="K119" s="300">
        <f>(81*KFC!$B$20*1.02*1.15*1.1+KFC!$C$20)*KFC!$C$5</f>
        <v>104.51429999999999</v>
      </c>
      <c r="L119" s="300">
        <f>(85.5*KFC!$B$20*1.02*1.15*1.1+KFC!$C$20)*KFC!$C$5</f>
        <v>110.32065000000001</v>
      </c>
      <c r="M119" s="300">
        <f>(89.9*KFC!$B$20*1.02*1.15*1.1+KFC!$C$20)*KFC!$C$5</f>
        <v>115.99797000000002</v>
      </c>
      <c r="N119" s="300">
        <f>(94.4*KFC!$B$20*1.02*1.15*1.1+KFC!$C$20)*KFC!$C$5</f>
        <v>121.80432</v>
      </c>
      <c r="O119" s="300">
        <f>(98.8*KFC!$B$20*1.02*1.15*1.1+KFC!$C$20)*KFC!$C$5</f>
        <v>127.48163999999998</v>
      </c>
      <c r="P119" s="300">
        <f>(103.3*KFC!$B$20*1.02*1.15*1.1+KFC!$C$20)*KFC!$C$5</f>
        <v>133.28799000000001</v>
      </c>
      <c r="Q119" s="300">
        <f>(107.9*KFC!$B$20*1.02*1.15*1.1+KFC!$C$20)*KFC!$C$5</f>
        <v>139.22337000000002</v>
      </c>
      <c r="R119" s="300">
        <f>(112.3*KFC!$B$20*1.02*1.15*1.1+KFC!$C$20)*KFC!$C$5</f>
        <v>144.90069</v>
      </c>
      <c r="S119" s="300">
        <f>(116.8*KFC!$B$20*1.02*1.15*1.1+KFC!$C$20)*KFC!$C$5</f>
        <v>150.70704000000001</v>
      </c>
      <c r="T119" s="300">
        <f>(121.2*KFC!$B$20*1.02*1.15*1.1+KFC!$C$20)*KFC!$C$5</f>
        <v>156.38436000000002</v>
      </c>
      <c r="U119" s="300">
        <f>(125.7*KFC!$B$20*1.02*1.15*1.1+KFC!$C$20)*KFC!$C$5</f>
        <v>162.19071</v>
      </c>
      <c r="V119" s="300">
        <f>(130.1*KFC!$B$20*1.02*1.15*1.1+KFC!$C$20)*KFC!$C$5</f>
        <v>167.86803</v>
      </c>
      <c r="W119" s="300">
        <f>(134.7*KFC!$B$20*1.02*1.15*1.1+KFC!$C$20)*KFC!$C$5</f>
        <v>173.80340999999996</v>
      </c>
      <c r="X119" s="300">
        <f>(139.1*KFC!$B$20*1.02*1.15*1.1+KFC!$C$20)*KFC!$C$5</f>
        <v>179.48073000000002</v>
      </c>
      <c r="Y119" s="304">
        <f>(143.6*KFC!$B$20*1.02*1.15*1.1+KFC!$C$20)*KFC!$C$5</f>
        <v>185.28708000000003</v>
      </c>
      <c r="Z119" s="345"/>
      <c r="AA119" s="345"/>
      <c r="AB119" s="345"/>
      <c r="AC119" s="345"/>
    </row>
    <row r="120" spans="1:29">
      <c r="A120" s="1538"/>
      <c r="B120" s="298">
        <v>3.5</v>
      </c>
      <c r="C120" s="303">
        <f>(45.7*KFC!$B$20*1.02*1.15*1.1+KFC!$C$20)*KFC!$C$5</f>
        <v>58.966709999999999</v>
      </c>
      <c r="D120" s="300">
        <f>(50.3*KFC!$B$20*1.02*1.15*1.1+KFC!$C$20)*KFC!$C$5</f>
        <v>64.902090000000001</v>
      </c>
      <c r="E120" s="300">
        <f>(54.9*KFC!$B$20*1.02*1.15*1.1+KFC!$C$20)*KFC!$C$5</f>
        <v>70.837469999999996</v>
      </c>
      <c r="F120" s="300">
        <f>(59.4*KFC!$B$20*1.02*1.15*1.1+KFC!$C$20)*KFC!$C$5</f>
        <v>76.643820000000005</v>
      </c>
      <c r="G120" s="300">
        <f>(64.1*KFC!$B$20*1.02*1.15*1.1+KFC!$C$20)*KFC!$C$5</f>
        <v>82.70823</v>
      </c>
      <c r="H120" s="300">
        <f>(68.6*KFC!$B$20*1.02*1.15*1.1+KFC!$C$20)*KFC!$C$5</f>
        <v>88.514579999999995</v>
      </c>
      <c r="I120" s="300">
        <f>(73.1*KFC!$B$20*1.02*1.15*1.1+KFC!$C$20)*KFC!$C$5</f>
        <v>94.320930000000004</v>
      </c>
      <c r="J120" s="300">
        <f>(77.8*KFC!$B$20*1.02*1.15*1.1+KFC!$C$20)*KFC!$C$5</f>
        <v>100.38533999999999</v>
      </c>
      <c r="K120" s="300">
        <f>(82.3*KFC!$B$20*1.02*1.15*1.1+KFC!$C$20)*KFC!$C$5</f>
        <v>106.19169000000001</v>
      </c>
      <c r="L120" s="300">
        <f>(86.8*KFC!$B$20*1.02*1.15*1.1+KFC!$C$20)*KFC!$C$5</f>
        <v>111.99803999999999</v>
      </c>
      <c r="M120" s="300">
        <f>(91.5*KFC!$B$20*1.02*1.15*1.1+KFC!$C$20)*KFC!$C$5</f>
        <v>118.06245</v>
      </c>
      <c r="N120" s="300">
        <f>(96*KFC!$B$20*1.02*1.15*1.1+KFC!$C$20)*KFC!$C$5</f>
        <v>123.86879999999999</v>
      </c>
      <c r="O120" s="300">
        <f>(100.7*KFC!$B$20*1.02*1.15*1.1+KFC!$C$20)*KFC!$C$5</f>
        <v>129.93321</v>
      </c>
      <c r="P120" s="300">
        <f>(105.2*KFC!$B$20*1.02*1.15*1.1+KFC!$C$20)*KFC!$C$5</f>
        <v>135.73956000000001</v>
      </c>
      <c r="Q120" s="300">
        <f>(109.7*KFC!$B$20*1.02*1.15*1.1+KFC!$C$20)*KFC!$C$5</f>
        <v>141.54591000000002</v>
      </c>
      <c r="R120" s="300">
        <f>(114.4*KFC!$B$20*1.02*1.15*1.1+KFC!$C$20)*KFC!$C$5</f>
        <v>147.61032</v>
      </c>
      <c r="S120" s="300">
        <f>(118.9*KFC!$B$20*1.02*1.15*1.1+KFC!$C$20)*KFC!$C$5</f>
        <v>153.41667000000001</v>
      </c>
      <c r="T120" s="300">
        <f>(123.5*KFC!$B$20*1.02*1.15*1.1+KFC!$C$20)*KFC!$C$5</f>
        <v>159.35205000000002</v>
      </c>
      <c r="U120" s="300">
        <f>(128*KFC!$B$20*1.02*1.15*1.1+KFC!$C$20)*KFC!$C$5</f>
        <v>165.1584</v>
      </c>
      <c r="V120" s="300">
        <f>(132.6*KFC!$B$20*1.02*1.15*1.1+KFC!$C$20)*KFC!$C$5</f>
        <v>171.09378000000001</v>
      </c>
      <c r="W120" s="300">
        <f>(137.2*KFC!$B$20*1.02*1.15*1.1+KFC!$C$20)*KFC!$C$5</f>
        <v>177.02915999999999</v>
      </c>
      <c r="X120" s="300">
        <f>(141.7*KFC!$B$20*1.02*1.15*1.1+KFC!$C$20)*KFC!$C$5</f>
        <v>182.83551</v>
      </c>
      <c r="Y120" s="304">
        <f>(146.3*KFC!$B$20*1.02*1.15*1.1+KFC!$C$20)*KFC!$C$5</f>
        <v>188.77089000000004</v>
      </c>
      <c r="Z120" s="345"/>
      <c r="AA120" s="345"/>
      <c r="AB120" s="345"/>
      <c r="AC120" s="345"/>
    </row>
    <row r="121" spans="1:29">
      <c r="A121" s="1538"/>
      <c r="B121" s="298">
        <v>3.6</v>
      </c>
      <c r="C121" s="303">
        <f>(46.2*KFC!$B$20*1.02*1.15*1.1+KFC!$C$20)*KFC!$C$5</f>
        <v>59.61186</v>
      </c>
      <c r="D121" s="300">
        <f>(51*KFC!$B$20*1.02*1.15*1.1+KFC!$C$20)*KFC!$C$5</f>
        <v>65.805300000000003</v>
      </c>
      <c r="E121" s="300">
        <f>(55.6*KFC!$B$20*1.02*1.15*1.1+KFC!$C$20)*KFC!$C$5</f>
        <v>71.740680000000012</v>
      </c>
      <c r="F121" s="300">
        <f>(60.3*KFC!$B$20*1.02*1.15*1.1+KFC!$C$20)*KFC!$C$5</f>
        <v>77.805090000000007</v>
      </c>
      <c r="G121" s="300">
        <f>(64.9*KFC!$B$20*1.02*1.15*1.1+KFC!$C$20)*KFC!$C$5</f>
        <v>83.740470000000016</v>
      </c>
      <c r="H121" s="300">
        <f>(69.6*KFC!$B$20*1.02*1.15*1.1+KFC!$C$20)*KFC!$C$5</f>
        <v>89.804879999999997</v>
      </c>
      <c r="I121" s="300">
        <f>(74.4*KFC!$B$20*1.02*1.15*1.1+KFC!$C$20)*KFC!$C$5</f>
        <v>95.998320000000007</v>
      </c>
      <c r="J121" s="300">
        <f>(79*KFC!$B$20*1.02*1.15*1.1+KFC!$C$20)*KFC!$C$5</f>
        <v>101.93369999999999</v>
      </c>
      <c r="K121" s="300">
        <f>(83.7*KFC!$B$20*1.02*1.15*1.1+KFC!$C$20)*KFC!$C$5</f>
        <v>107.99811000000003</v>
      </c>
      <c r="L121" s="300">
        <f>(88.3*KFC!$B$20*1.02*1.15*1.1+KFC!$C$20)*KFC!$C$5</f>
        <v>113.93348999999999</v>
      </c>
      <c r="M121" s="300">
        <f>(92.9*KFC!$B$20*1.02*1.15*1.1+KFC!$C$20)*KFC!$C$5</f>
        <v>119.86887</v>
      </c>
      <c r="N121" s="300">
        <f>(97.7*KFC!$B$20*1.02*1.15*1.1+KFC!$C$20)*KFC!$C$5</f>
        <v>126.06231000000002</v>
      </c>
      <c r="O121" s="300">
        <f>(102.4*KFC!$B$20*1.02*1.15*1.1+KFC!$C$20)*KFC!$C$5</f>
        <v>132.12672000000001</v>
      </c>
      <c r="P121" s="300">
        <f>(107*KFC!$B$20*1.02*1.15*1.1+KFC!$C$20)*KFC!$C$5</f>
        <v>138.06210000000002</v>
      </c>
      <c r="Q121" s="300">
        <f>(111.7*KFC!$B$20*1.02*1.15*1.1+KFC!$C$20)*KFC!$C$5</f>
        <v>144.12651000000002</v>
      </c>
      <c r="R121" s="300">
        <f>(116.3*KFC!$B$20*1.02*1.15*1.1+KFC!$C$20)*KFC!$C$5</f>
        <v>150.06189000000001</v>
      </c>
      <c r="S121" s="300">
        <f>(121.1*KFC!$B$20*1.02*1.15*1.1+KFC!$C$20)*KFC!$C$5</f>
        <v>156.25533000000001</v>
      </c>
      <c r="T121" s="300">
        <f>(125.7*KFC!$B$20*1.02*1.15*1.1+KFC!$C$20)*KFC!$C$5</f>
        <v>162.19071</v>
      </c>
      <c r="U121" s="300">
        <f>(130.4*KFC!$B$20*1.02*1.15*1.1+KFC!$C$20)*KFC!$C$5</f>
        <v>168.25512000000003</v>
      </c>
      <c r="V121" s="300">
        <f>(135*KFC!$B$20*1.02*1.15*1.1+KFC!$C$20)*KFC!$C$5</f>
        <v>174.19049999999996</v>
      </c>
      <c r="W121" s="300">
        <f>(139.7*KFC!$B$20*1.02*1.15*1.1+KFC!$C$20)*KFC!$C$5</f>
        <v>180.25491000000002</v>
      </c>
      <c r="X121" s="300">
        <f>(144.4*KFC!$B$20*1.02*1.15*1.1+KFC!$C$20)*KFC!$C$5</f>
        <v>186.31932000000003</v>
      </c>
      <c r="Y121" s="304">
        <f>(149.1*KFC!$B$20*1.02*1.15*1.1+KFC!$C$20)*KFC!$C$5</f>
        <v>192.38373000000001</v>
      </c>
      <c r="Z121" s="345"/>
      <c r="AA121" s="345"/>
      <c r="AB121" s="345"/>
      <c r="AC121" s="345"/>
    </row>
    <row r="122" spans="1:29">
      <c r="A122" s="1538"/>
      <c r="B122" s="298">
        <v>3.7</v>
      </c>
      <c r="C122" s="303">
        <f>(46.8*KFC!$B$20*1.02*1.15*1.1+KFC!$C$20)*KFC!$C$5</f>
        <v>60.386039999999994</v>
      </c>
      <c r="D122" s="300">
        <f>(51.6*KFC!$B$20*1.02*1.15*1.1+KFC!$C$20)*KFC!$C$5</f>
        <v>66.579480000000004</v>
      </c>
      <c r="E122" s="300">
        <f>(56.4*KFC!$B$20*1.02*1.15*1.1+KFC!$C$20)*KFC!$C$5</f>
        <v>72.772919999999999</v>
      </c>
      <c r="F122" s="300">
        <f>(61.2*KFC!$B$20*1.02*1.15*1.1+KFC!$C$20)*KFC!$C$5</f>
        <v>78.966360000000009</v>
      </c>
      <c r="G122" s="300">
        <f>(65.9*KFC!$B$20*1.02*1.15*1.1+KFC!$C$20)*KFC!$C$5</f>
        <v>85.030770000000004</v>
      </c>
      <c r="H122" s="300">
        <f>(70.7*KFC!$B$20*1.02*1.15*1.1+KFC!$C$20)*KFC!$C$5</f>
        <v>91.224210000000014</v>
      </c>
      <c r="I122" s="300">
        <f>(75.5*KFC!$B$20*1.02*1.15*1.1+KFC!$C$20)*KFC!$C$5</f>
        <v>97.417650000000009</v>
      </c>
      <c r="J122" s="300">
        <f>(80.2*KFC!$B$20*1.02*1.15*1.1+KFC!$C$20)*KFC!$C$5</f>
        <v>103.48205999999999</v>
      </c>
      <c r="K122" s="300">
        <f>(85*KFC!$B$20*1.02*1.15*1.1+KFC!$C$20)*KFC!$C$5</f>
        <v>109.67550000000001</v>
      </c>
      <c r="L122" s="300">
        <f>(89.8*KFC!$B$20*1.02*1.15*1.1+KFC!$C$20)*KFC!$C$5</f>
        <v>115.86893999999999</v>
      </c>
      <c r="M122" s="300">
        <f>(94.5*KFC!$B$20*1.02*1.15*1.1+KFC!$C$20)*KFC!$C$5</f>
        <v>121.93334999999999</v>
      </c>
      <c r="N122" s="300">
        <f>(99.3*KFC!$B$20*1.02*1.15*1.1+KFC!$C$20)*KFC!$C$5</f>
        <v>128.12679</v>
      </c>
      <c r="O122" s="300">
        <f>(104.1*KFC!$B$20*1.02*1.15*1.1+KFC!$C$20)*KFC!$C$5</f>
        <v>134.32023000000001</v>
      </c>
      <c r="P122" s="300">
        <f>(108.8*KFC!$B$20*1.02*1.15*1.1+KFC!$C$20)*KFC!$C$5</f>
        <v>140.38463999999999</v>
      </c>
      <c r="Q122" s="300">
        <f>(113.6*KFC!$B$20*1.02*1.15*1.1+KFC!$C$20)*KFC!$C$5</f>
        <v>146.57808</v>
      </c>
      <c r="R122" s="300">
        <f>(118.4*KFC!$B$20*1.02*1.15*1.1+KFC!$C$20)*KFC!$C$5</f>
        <v>152.77152000000004</v>
      </c>
      <c r="S122" s="300">
        <f>(123.2*KFC!$B$20*1.02*1.15*1.1+KFC!$C$20)*KFC!$C$5</f>
        <v>158.96496000000002</v>
      </c>
      <c r="T122" s="300">
        <f>(127.9*KFC!$B$20*1.02*1.15*1.1+KFC!$C$20)*KFC!$C$5</f>
        <v>165.02937</v>
      </c>
      <c r="U122" s="300">
        <f>(132.7*KFC!$B$20*1.02*1.15*1.1+KFC!$C$20)*KFC!$C$5</f>
        <v>171.22280999999995</v>
      </c>
      <c r="V122" s="300">
        <f>(137.5*KFC!$B$20*1.02*1.15*1.1+KFC!$C$20)*KFC!$C$5</f>
        <v>177.41625000000002</v>
      </c>
      <c r="W122" s="300">
        <f>(142.2*KFC!$B$20*1.02*1.15*1.1+KFC!$C$20)*KFC!$C$5</f>
        <v>183.48066</v>
      </c>
      <c r="X122" s="300">
        <f>(147*KFC!$B$20*1.02*1.15*1.1+KFC!$C$20)*KFC!$C$5</f>
        <v>189.67410000000001</v>
      </c>
      <c r="Y122" s="304">
        <f>(151.8*KFC!$B$20*1.02*1.15*1.1+KFC!$C$20)*KFC!$C$5</f>
        <v>195.86754000000002</v>
      </c>
      <c r="Z122" s="345"/>
      <c r="AA122" s="345"/>
      <c r="AB122" s="345"/>
      <c r="AC122" s="345"/>
    </row>
    <row r="123" spans="1:29">
      <c r="A123" s="1538"/>
      <c r="B123" s="298">
        <v>3.8</v>
      </c>
      <c r="C123" s="303">
        <f>(47.3*KFC!$B$20*1.02*1.15*1.1+KFC!$C$20)*KFC!$C$5</f>
        <v>61.031189999999988</v>
      </c>
      <c r="D123" s="300">
        <f>(52.2*KFC!$B$20*1.02*1.15*1.1+KFC!$C$20)*KFC!$C$5</f>
        <v>67.353660000000005</v>
      </c>
      <c r="E123" s="300">
        <f>(57.1*KFC!$B$20*1.02*1.15*1.1+KFC!$C$20)*KFC!$C$5</f>
        <v>73.676130000000015</v>
      </c>
      <c r="F123" s="300">
        <f>(62*KFC!$B$20*1.02*1.15*1.1+KFC!$C$20)*KFC!$C$5</f>
        <v>79.99860000000001</v>
      </c>
      <c r="G123" s="300">
        <f>(66.8*KFC!$B$20*1.02*1.15*1.1+KFC!$C$20)*KFC!$C$5</f>
        <v>86.192040000000006</v>
      </c>
      <c r="H123" s="300">
        <f>(71.7*KFC!$B$20*1.02*1.15*1.1+KFC!$C$20)*KFC!$C$5</f>
        <v>92.514510000000001</v>
      </c>
      <c r="I123" s="300">
        <f>(76.6*KFC!$B$20*1.02*1.15*1.1+KFC!$C$20)*KFC!$C$5</f>
        <v>98.836979999999983</v>
      </c>
      <c r="J123" s="300">
        <f>(81.5*KFC!$B$20*1.02*1.15*1.1+KFC!$C$20)*KFC!$C$5</f>
        <v>105.15944999999999</v>
      </c>
      <c r="K123" s="300">
        <f>(86.3*KFC!$B$20*1.02*1.15*1.1+KFC!$C$20)*KFC!$C$5</f>
        <v>111.35288999999999</v>
      </c>
      <c r="L123" s="300">
        <f>(91.2*KFC!$B$20*1.02*1.15*1.1+KFC!$C$20)*KFC!$C$5</f>
        <v>117.67536</v>
      </c>
      <c r="M123" s="300">
        <f>(96*KFC!$B$20*1.02*1.15*1.1+KFC!$C$20)*KFC!$C$5</f>
        <v>123.86879999999999</v>
      </c>
      <c r="N123" s="300">
        <f>(100.9*KFC!$B$20*1.02*1.15*1.1+KFC!$C$20)*KFC!$C$5</f>
        <v>130.19127</v>
      </c>
      <c r="O123" s="300">
        <f>(105.8*KFC!$B$20*1.02*1.15*1.1+KFC!$C$20)*KFC!$C$5</f>
        <v>136.51374000000001</v>
      </c>
      <c r="P123" s="300">
        <f>(110.7*KFC!$B$20*1.02*1.15*1.1+KFC!$C$20)*KFC!$C$5</f>
        <v>142.83621000000002</v>
      </c>
      <c r="Q123" s="300">
        <f>(115.6*KFC!$B$20*1.02*1.15*1.1+KFC!$C$20)*KFC!$C$5</f>
        <v>149.15868</v>
      </c>
      <c r="R123" s="300">
        <f>(120.5*KFC!$B$20*1.02*1.15*1.1+KFC!$C$20)*KFC!$C$5</f>
        <v>155.48115000000001</v>
      </c>
      <c r="S123" s="300">
        <f>(125.4*KFC!$B$20*1.02*1.15*1.1+KFC!$C$20)*KFC!$C$5</f>
        <v>161.80362000000002</v>
      </c>
      <c r="T123" s="300">
        <f>(130.1*KFC!$B$20*1.02*1.15*1.1+KFC!$C$20)*KFC!$C$5</f>
        <v>167.86803</v>
      </c>
      <c r="U123" s="300">
        <f>(135*KFC!$B$20*1.02*1.15*1.1+KFC!$C$20)*KFC!$C$5</f>
        <v>174.19049999999996</v>
      </c>
      <c r="V123" s="300">
        <f>(139.9*KFC!$B$20*1.02*1.15*1.1+KFC!$C$20)*KFC!$C$5</f>
        <v>180.51297000000002</v>
      </c>
      <c r="W123" s="300">
        <f>(144.8*KFC!$B$20*1.02*1.15*1.1+KFC!$C$20)*KFC!$C$5</f>
        <v>186.83544000000003</v>
      </c>
      <c r="X123" s="300">
        <f>(149.7*KFC!$B$20*1.02*1.15*1.1+KFC!$C$20)*KFC!$C$5</f>
        <v>193.15790999999996</v>
      </c>
      <c r="Y123" s="304">
        <f>(154.6*KFC!$B$20*1.02*1.15*1.1+KFC!$C$20)*KFC!$C$5</f>
        <v>199.48038000000003</v>
      </c>
      <c r="Z123" s="345"/>
      <c r="AA123" s="345"/>
      <c r="AB123" s="345"/>
      <c r="AC123" s="345"/>
    </row>
    <row r="124" spans="1:29">
      <c r="A124" s="1538"/>
      <c r="B124" s="298">
        <v>3.9</v>
      </c>
      <c r="C124" s="303">
        <f>(47.8*KFC!$B$20*1.02*1.15*1.1+KFC!$C$20)*KFC!$C$5</f>
        <v>61.676339999999996</v>
      </c>
      <c r="D124" s="300">
        <f>(52.8*KFC!$B$20*1.02*1.15*1.1+KFC!$C$20)*KFC!$C$5</f>
        <v>68.127839999999992</v>
      </c>
      <c r="E124" s="300">
        <f>(57.8*KFC!$B$20*1.02*1.15*1.1+KFC!$C$20)*KFC!$C$5</f>
        <v>74.579340000000002</v>
      </c>
      <c r="F124" s="300">
        <f>(62.7*KFC!$B$20*1.02*1.15*1.1+KFC!$C$20)*KFC!$C$5</f>
        <v>80.901810000000012</v>
      </c>
      <c r="G124" s="300">
        <f>(67.8*KFC!$B$20*1.02*1.15*1.1+KFC!$C$20)*KFC!$C$5</f>
        <v>87.482339999999979</v>
      </c>
      <c r="H124" s="300">
        <f>(72.8*KFC!$B$20*1.02*1.15*1.1+KFC!$C$20)*KFC!$C$5</f>
        <v>93.933840000000004</v>
      </c>
      <c r="I124" s="300">
        <f>(77.7*KFC!$B$20*1.02*1.15*1.1+KFC!$C$20)*KFC!$C$5</f>
        <v>100.25631000000001</v>
      </c>
      <c r="J124" s="300">
        <f>(82.7*KFC!$B$20*1.02*1.15*1.1+KFC!$C$20)*KFC!$C$5</f>
        <v>106.70781000000001</v>
      </c>
      <c r="K124" s="300">
        <f>(87.7*KFC!$B$20*1.02*1.15*1.1+KFC!$C$20)*KFC!$C$5</f>
        <v>113.15931000000002</v>
      </c>
      <c r="L124" s="300">
        <f>(92.6*KFC!$B$20*1.02*1.15*1.1+KFC!$C$20)*KFC!$C$5</f>
        <v>119.48177999999999</v>
      </c>
      <c r="M124" s="300">
        <f>(97.6*KFC!$B$20*1.02*1.15*1.1+KFC!$C$20)*KFC!$C$5</f>
        <v>125.93327999999998</v>
      </c>
      <c r="N124" s="300">
        <f>(102.6*KFC!$B$20*1.02*1.15*1.1+KFC!$C$20)*KFC!$C$5</f>
        <v>132.38478000000001</v>
      </c>
      <c r="O124" s="300">
        <f>(107.5*KFC!$B$20*1.02*1.15*1.1+KFC!$C$20)*KFC!$C$5</f>
        <v>138.70725000000002</v>
      </c>
      <c r="P124" s="300">
        <f>(112.5*KFC!$B$20*1.02*1.15*1.1+KFC!$C$20)*KFC!$C$5</f>
        <v>145.15875</v>
      </c>
      <c r="Q124" s="300">
        <f>(117.5*KFC!$B$20*1.02*1.15*1.1+KFC!$C$20)*KFC!$C$5</f>
        <v>151.61025000000001</v>
      </c>
      <c r="R124" s="300">
        <f>(122.4*KFC!$B$20*1.02*1.15*1.1+KFC!$C$20)*KFC!$C$5</f>
        <v>157.93272000000002</v>
      </c>
      <c r="S124" s="300">
        <f>(127.4*KFC!$B$20*1.02*1.15*1.1+KFC!$C$20)*KFC!$C$5</f>
        <v>164.38422000000003</v>
      </c>
      <c r="T124" s="300">
        <f>(132.5*KFC!$B$20*1.02*1.15*1.1+KFC!$C$20)*KFC!$C$5</f>
        <v>170.96475000000001</v>
      </c>
      <c r="U124" s="300">
        <f>(137.3*KFC!$B$20*1.02*1.15*1.1+KFC!$C$20)*KFC!$C$5</f>
        <v>177.15819000000005</v>
      </c>
      <c r="V124" s="300">
        <f>(142.4*KFC!$B$20*1.02*1.15*1.1+KFC!$C$20)*KFC!$C$5</f>
        <v>183.73872000000003</v>
      </c>
      <c r="W124" s="300">
        <f>(147.4*KFC!$B$20*1.02*1.15*1.1+KFC!$C$20)*KFC!$C$5</f>
        <v>190.19022000000004</v>
      </c>
      <c r="X124" s="300">
        <f>(152.3*KFC!$B$20*1.02*1.15*1.1+KFC!$C$20)*KFC!$C$5</f>
        <v>196.51269000000002</v>
      </c>
      <c r="Y124" s="304">
        <f>(157.3*KFC!$B$20*1.02*1.15*1.1+KFC!$C$20)*KFC!$C$5</f>
        <v>202.96419000000003</v>
      </c>
      <c r="Z124" s="345"/>
      <c r="AA124" s="345"/>
      <c r="AB124" s="345"/>
      <c r="AC124" s="345"/>
    </row>
    <row r="125" spans="1:29">
      <c r="A125" s="1538"/>
      <c r="B125" s="298">
        <v>4</v>
      </c>
      <c r="C125" s="303">
        <f>(48.4*KFC!$B$20*1.02*1.15*1.1+KFC!$C$20)*KFC!$C$5</f>
        <v>62.450519999999997</v>
      </c>
      <c r="D125" s="300">
        <f>(53.4*KFC!$B$20*1.02*1.15*1.1+KFC!$C$20)*KFC!$C$5</f>
        <v>68.902019999999993</v>
      </c>
      <c r="E125" s="300">
        <f>(58.6*KFC!$B$20*1.02*1.15*1.1+KFC!$C$20)*KFC!$C$5</f>
        <v>75.611580000000018</v>
      </c>
      <c r="F125" s="300">
        <f>(63.6*KFC!$B$20*1.02*1.15*1.1+KFC!$C$20)*KFC!$C$5</f>
        <v>82.063079999999999</v>
      </c>
      <c r="G125" s="300">
        <f>(68.7*KFC!$B$20*1.02*1.15*1.1+KFC!$C$20)*KFC!$C$5</f>
        <v>88.64361000000001</v>
      </c>
      <c r="H125" s="300">
        <f>(73.7*KFC!$B$20*1.02*1.15*1.1+KFC!$C$20)*KFC!$C$5</f>
        <v>95.09511000000002</v>
      </c>
      <c r="I125" s="300">
        <f>(78.9*KFC!$B$20*1.02*1.15*1.1+KFC!$C$20)*KFC!$C$5</f>
        <v>101.80467000000002</v>
      </c>
      <c r="J125" s="300">
        <f>(83.9*KFC!$B$20*1.02*1.15*1.1+KFC!$C$20)*KFC!$C$5</f>
        <v>108.25617000000001</v>
      </c>
      <c r="K125" s="300">
        <f>(89*KFC!$B$20*1.02*1.15*1.1+KFC!$C$20)*KFC!$C$5</f>
        <v>114.83669999999999</v>
      </c>
      <c r="L125" s="300">
        <f>(94*KFC!$B$20*1.02*1.15*1.1+KFC!$C$20)*KFC!$C$5</f>
        <v>121.28819999999999</v>
      </c>
      <c r="M125" s="300">
        <f>(99.2*KFC!$B$20*1.02*1.15*1.1+KFC!$C$20)*KFC!$C$5</f>
        <v>127.99776000000003</v>
      </c>
      <c r="N125" s="300">
        <f>(104.2*KFC!$B$20*1.02*1.15*1.1+KFC!$C$20)*KFC!$C$5</f>
        <v>134.44926000000001</v>
      </c>
      <c r="O125" s="300">
        <f>(109.3*KFC!$B$20*1.02*1.15*1.1+KFC!$C$20)*KFC!$C$5</f>
        <v>141.02979000000002</v>
      </c>
      <c r="P125" s="300">
        <f>(114.4*KFC!$B$20*1.02*1.15*1.1+KFC!$C$20)*KFC!$C$5</f>
        <v>147.61032</v>
      </c>
      <c r="Q125" s="300">
        <f>(119.4*KFC!$B$20*1.02*1.15*1.1+KFC!$C$20)*KFC!$C$5</f>
        <v>154.06182000000001</v>
      </c>
      <c r="R125" s="300">
        <f>(124.5*KFC!$B$20*1.02*1.15*1.1+KFC!$C$20)*KFC!$C$5</f>
        <v>160.64235000000002</v>
      </c>
      <c r="S125" s="300">
        <f>(129.5*KFC!$B$20*1.02*1.15*1.1+KFC!$C$20)*KFC!$C$5</f>
        <v>167.09385</v>
      </c>
      <c r="T125" s="300">
        <f>(134.7*KFC!$B$20*1.02*1.15*1.1+KFC!$C$20)*KFC!$C$5</f>
        <v>173.80340999999996</v>
      </c>
      <c r="U125" s="300">
        <f>(139.7*KFC!$B$20*1.02*1.15*1.1+KFC!$C$20)*KFC!$C$5</f>
        <v>180.25491000000002</v>
      </c>
      <c r="V125" s="300">
        <f>(144.8*KFC!$B$20*1.02*1.15*1.1+KFC!$C$20)*KFC!$C$5</f>
        <v>186.83544000000003</v>
      </c>
      <c r="W125" s="300">
        <f>(149.8*KFC!$B$20*1.02*1.15*1.1+KFC!$C$20)*KFC!$C$5</f>
        <v>193.28694000000004</v>
      </c>
      <c r="X125" s="300">
        <f>(155*KFC!$B$20*1.02*1.15*1.1+KFC!$C$20)*KFC!$C$5</f>
        <v>199.99649999999997</v>
      </c>
      <c r="Y125" s="304">
        <f>(160*KFC!$B$20*1.02*1.15*1.1+KFC!$C$20)*KFC!$C$5</f>
        <v>206.44799999999998</v>
      </c>
      <c r="Z125" s="345"/>
      <c r="AA125" s="345"/>
      <c r="AB125" s="345"/>
      <c r="AC125" s="345"/>
    </row>
    <row r="126" spans="1:29" ht="13.8" thickBot="1">
      <c r="A126" s="1539"/>
      <c r="B126" s="299">
        <v>4.05</v>
      </c>
      <c r="C126" s="305">
        <f>(48.9*KFC!$B$20*1.02*1.15*1.1+KFC!$C$20)*KFC!$C$5</f>
        <v>63.095669999999998</v>
      </c>
      <c r="D126" s="306">
        <f>(54.1*KFC!$B$20*1.02*1.15*1.1+KFC!$C$20)*KFC!$C$5</f>
        <v>69.805230000000009</v>
      </c>
      <c r="E126" s="306">
        <f>(59.3*KFC!$B$20*1.02*1.15*1.1+KFC!$C$20)*KFC!$C$5</f>
        <v>76.514790000000005</v>
      </c>
      <c r="F126" s="306">
        <f>(64.5*KFC!$B$20*1.02*1.15*1.1+KFC!$C$20)*KFC!$C$5</f>
        <v>83.224350000000015</v>
      </c>
      <c r="G126" s="306">
        <f>(69.6*KFC!$B$20*1.02*1.15*1.1+KFC!$C$20)*KFC!$C$5</f>
        <v>89.804879999999997</v>
      </c>
      <c r="H126" s="306">
        <f>(74.8*KFC!$B$20*1.02*1.15*1.1+KFC!$C$20)*KFC!$C$5</f>
        <v>96.514439999999979</v>
      </c>
      <c r="I126" s="306">
        <f>(80*KFC!$B$20*1.02*1.15*1.1+KFC!$C$20)*KFC!$C$5</f>
        <v>103.22399999999999</v>
      </c>
      <c r="J126" s="306">
        <f>(85.1*KFC!$B$20*1.02*1.15*1.1+KFC!$C$20)*KFC!$C$5</f>
        <v>109.80452999999999</v>
      </c>
      <c r="K126" s="306">
        <f>(90.3*KFC!$B$20*1.02*1.15*1.1+KFC!$C$20)*KFC!$C$5</f>
        <v>116.51408999999998</v>
      </c>
      <c r="L126" s="306">
        <f>(95.5*KFC!$B$20*1.02*1.15*1.1+KFC!$C$20)*KFC!$C$5</f>
        <v>123.22364999999999</v>
      </c>
      <c r="M126" s="306">
        <f>(100.7*KFC!$B$20*1.02*1.15*1.1+KFC!$C$20)*KFC!$C$5</f>
        <v>129.93321</v>
      </c>
      <c r="N126" s="306">
        <f>(105.8*KFC!$B$20*1.02*1.15*1.1+KFC!$C$20)*KFC!$C$5</f>
        <v>136.51374000000001</v>
      </c>
      <c r="O126" s="306">
        <f>(111*KFC!$B$20*1.02*1.15*1.1+KFC!$C$20)*KFC!$C$5</f>
        <v>143.22329999999999</v>
      </c>
      <c r="P126" s="306">
        <f>(116.2*KFC!$B$20*1.02*1.15*1.1+KFC!$C$20)*KFC!$C$5</f>
        <v>149.93286000000001</v>
      </c>
      <c r="Q126" s="306">
        <f>(121.3*KFC!$B$20*1.02*1.15*1.1+KFC!$C$20)*KFC!$C$5</f>
        <v>156.51339000000002</v>
      </c>
      <c r="R126" s="306">
        <f>(126.6*KFC!$B$20*1.02*1.15*1.1+KFC!$C$20)*KFC!$C$5</f>
        <v>163.35198000000003</v>
      </c>
      <c r="S126" s="306">
        <f>(131.7*KFC!$B$20*1.02*1.15*1.1+KFC!$C$20)*KFC!$C$5</f>
        <v>169.93251000000001</v>
      </c>
      <c r="T126" s="306">
        <f>(136.9*KFC!$B$20*1.02*1.15*1.1+KFC!$C$20)*KFC!$C$5</f>
        <v>176.64207000000002</v>
      </c>
      <c r="U126" s="306">
        <f>(142.1*KFC!$B$20*1.02*1.15*1.1+KFC!$C$20)*KFC!$C$5</f>
        <v>183.35163000000003</v>
      </c>
      <c r="V126" s="306">
        <f>(147.2*KFC!$B$20*1.02*1.15*1.1+KFC!$C$20)*KFC!$C$5</f>
        <v>189.93215999999995</v>
      </c>
      <c r="W126" s="306">
        <f>(152.4*KFC!$B$20*1.02*1.15*1.1+KFC!$C$20)*KFC!$C$5</f>
        <v>196.64172000000002</v>
      </c>
      <c r="X126" s="306">
        <f>(157.5*KFC!$B$20*1.02*1.15*1.1+KFC!$C$20)*KFC!$C$5</f>
        <v>203.22225000000003</v>
      </c>
      <c r="Y126" s="307">
        <f>(162.8*KFC!$B$20*1.02*1.15*1.1+KFC!$C$20)*KFC!$C$5</f>
        <v>210.06084000000004</v>
      </c>
      <c r="Z126" s="345"/>
      <c r="AA126" s="345"/>
      <c r="AB126" s="345"/>
      <c r="AC126" s="345"/>
    </row>
    <row r="127" spans="1:29" ht="13.8" thickBot="1">
      <c r="A127" s="216"/>
      <c r="B127" s="216"/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345"/>
      <c r="AA127" s="345"/>
      <c r="AB127" s="345"/>
      <c r="AC127" s="345"/>
    </row>
    <row r="128" spans="1:29" ht="13.5" customHeight="1" thickBot="1">
      <c r="A128" s="1413" t="s">
        <v>318</v>
      </c>
      <c r="B128" s="1542"/>
      <c r="C128" s="1534" t="s">
        <v>207</v>
      </c>
      <c r="D128" s="1535"/>
      <c r="E128" s="1535"/>
      <c r="F128" s="1535"/>
      <c r="G128" s="1535"/>
      <c r="H128" s="1535"/>
      <c r="I128" s="1535"/>
      <c r="J128" s="1535"/>
      <c r="K128" s="1535"/>
      <c r="L128" s="1535"/>
      <c r="M128" s="1535"/>
      <c r="N128" s="1535"/>
      <c r="O128" s="1535"/>
      <c r="P128" s="1535"/>
      <c r="Q128" s="1535"/>
      <c r="R128" s="1535"/>
      <c r="S128" s="1535"/>
      <c r="T128" s="1535"/>
      <c r="U128" s="1535"/>
      <c r="V128" s="1535"/>
      <c r="W128" s="1535"/>
      <c r="X128" s="1535"/>
      <c r="Y128" s="1536"/>
      <c r="Z128" s="345"/>
      <c r="AA128" s="345"/>
      <c r="AB128" s="345"/>
      <c r="AC128" s="345"/>
    </row>
    <row r="129" spans="1:29" ht="13.8" thickBot="1">
      <c r="A129" s="1543"/>
      <c r="B129" s="1544"/>
      <c r="C129" s="322">
        <v>0.4</v>
      </c>
      <c r="D129" s="323">
        <v>0.5</v>
      </c>
      <c r="E129" s="323">
        <v>0.6</v>
      </c>
      <c r="F129" s="323">
        <v>0.7</v>
      </c>
      <c r="G129" s="323">
        <v>0.8</v>
      </c>
      <c r="H129" s="323">
        <v>0.9</v>
      </c>
      <c r="I129" s="323">
        <v>1</v>
      </c>
      <c r="J129" s="323">
        <v>1.1000000000000001</v>
      </c>
      <c r="K129" s="323">
        <v>1.2</v>
      </c>
      <c r="L129" s="323">
        <v>1.3</v>
      </c>
      <c r="M129" s="323">
        <v>1.4</v>
      </c>
      <c r="N129" s="323">
        <v>1.5</v>
      </c>
      <c r="O129" s="323">
        <v>1.6</v>
      </c>
      <c r="P129" s="323">
        <v>1.7</v>
      </c>
      <c r="Q129" s="323">
        <v>1.8</v>
      </c>
      <c r="R129" s="323">
        <v>1.9</v>
      </c>
      <c r="S129" s="323">
        <v>2</v>
      </c>
      <c r="T129" s="323">
        <v>2.1</v>
      </c>
      <c r="U129" s="323">
        <v>2.2000000000000002</v>
      </c>
      <c r="V129" s="323">
        <v>2.2999999999999998</v>
      </c>
      <c r="W129" s="323">
        <v>2.4</v>
      </c>
      <c r="X129" s="323">
        <v>2.5</v>
      </c>
      <c r="Y129" s="324">
        <v>2.6</v>
      </c>
      <c r="Z129" s="345"/>
      <c r="AA129" s="345"/>
      <c r="AB129" s="345"/>
      <c r="AC129" s="345"/>
    </row>
    <row r="130" spans="1:29" ht="12.75" customHeight="1">
      <c r="A130" s="1537" t="s">
        <v>3</v>
      </c>
      <c r="B130" s="297">
        <v>0.5</v>
      </c>
      <c r="C130" s="274">
        <f>(31.8*KFC!$B$20*1.02*1.15*1.1+KFC!$C$20)*KFC!$C$5</f>
        <v>41.03154</v>
      </c>
      <c r="D130" s="301">
        <f>(33.4*KFC!$B$20*1.02*1.15*1.1+KFC!$C$20)*KFC!$C$5</f>
        <v>43.096020000000003</v>
      </c>
      <c r="E130" s="301">
        <f>(35*KFC!$B$20*1.02*1.15*1.1+KFC!$C$20)*KFC!$C$5</f>
        <v>45.160500000000006</v>
      </c>
      <c r="F130" s="301">
        <f>(36.6*KFC!$B$20*1.02*1.15*1.1+KFC!$C$20)*KFC!$C$5</f>
        <v>47.224980000000002</v>
      </c>
      <c r="G130" s="301">
        <f>(38.2*KFC!$B$20*1.02*1.15*1.1+KFC!$C$20)*KFC!$C$5</f>
        <v>49.289460000000012</v>
      </c>
      <c r="H130" s="301">
        <f>(39.7*KFC!$B$20*1.02*1.15*1.1+KFC!$C$20)*KFC!$C$5</f>
        <v>51.224910000000008</v>
      </c>
      <c r="I130" s="301">
        <f>(41.3*KFC!$B$20*1.02*1.15*1.1+KFC!$C$20)*KFC!$C$5</f>
        <v>53.289390000000004</v>
      </c>
      <c r="J130" s="301">
        <f>(43*KFC!$B$20*1.02*1.15*1.1+KFC!$C$20)*KFC!$C$5</f>
        <v>55.482899999999994</v>
      </c>
      <c r="K130" s="301">
        <f>(44.6*KFC!$B$20*1.02*1.15*1.1+KFC!$C$20)*KFC!$C$5</f>
        <v>57.547380000000011</v>
      </c>
      <c r="L130" s="301">
        <f>(46.2*KFC!$B$20*1.02*1.15*1.1+KFC!$C$20)*KFC!$C$5</f>
        <v>59.61186</v>
      </c>
      <c r="M130" s="301">
        <f>(47.8*KFC!$B$20*1.02*1.15*1.1+KFC!$C$20)*KFC!$C$5</f>
        <v>61.676339999999996</v>
      </c>
      <c r="N130" s="301">
        <f>(49.4*KFC!$B$20*1.02*1.15*1.1+KFC!$C$20)*KFC!$C$5</f>
        <v>63.740819999999992</v>
      </c>
      <c r="O130" s="301">
        <f>(51*KFC!$B$20*1.02*1.15*1.1+KFC!$C$20)*KFC!$C$5</f>
        <v>65.805300000000003</v>
      </c>
      <c r="P130" s="301">
        <f>(52.6*KFC!$B$20*1.02*1.15*1.1+KFC!$C$20)*KFC!$C$5</f>
        <v>67.869780000000006</v>
      </c>
      <c r="Q130" s="301">
        <f>(54.2*KFC!$B$20*1.02*1.15*1.1+KFC!$C$20)*KFC!$C$5</f>
        <v>69.934260000000009</v>
      </c>
      <c r="R130" s="301">
        <f>(55.8*KFC!$B$20*1.02*1.15*1.1+KFC!$C$20)*KFC!$C$5</f>
        <v>71.998739999999998</v>
      </c>
      <c r="S130" s="301">
        <f>(75.36*KFC!$B$20+KFC!$C$20)*KFC!$C$5</f>
        <v>75.36</v>
      </c>
      <c r="T130" s="301">
        <f>(58.9*KFC!$B$20*1.02*1.15*1.1+KFC!$C$20)*KFC!$C$5</f>
        <v>75.998670000000004</v>
      </c>
      <c r="U130" s="301">
        <f>(60.5*KFC!$B$20*1.02*1.15*1.1+KFC!$C$20)*KFC!$C$5</f>
        <v>78.063150000000007</v>
      </c>
      <c r="V130" s="301">
        <f>(62.1*KFC!$B$20*1.02*1.15*1.1+KFC!$C$20)*KFC!$C$5</f>
        <v>80.127630000000011</v>
      </c>
      <c r="W130" s="301">
        <f>(63.8*KFC!$B$20*1.02*1.15*1.1+KFC!$C$20)*KFC!$C$5</f>
        <v>82.32114</v>
      </c>
      <c r="X130" s="301">
        <f>(65.4*KFC!$B$20*1.02*1.15*1.1+KFC!$C$20)*KFC!$C$5</f>
        <v>84.385620000000017</v>
      </c>
      <c r="Y130" s="302">
        <f>(67*KFC!$B$20*1.02*1.15*1.1+KFC!$C$20)*KFC!$C$5</f>
        <v>86.450100000000006</v>
      </c>
      <c r="Z130" s="345"/>
      <c r="AA130" s="345"/>
      <c r="AB130" s="345"/>
      <c r="AC130" s="345"/>
    </row>
    <row r="131" spans="1:29">
      <c r="A131" s="1538"/>
      <c r="B131" s="298">
        <v>0.6</v>
      </c>
      <c r="C131" s="303">
        <f>(32.4*KFC!$B$20*1.02*1.15*1.1+KFC!$C$20)*KFC!$C$5</f>
        <v>41.805720000000008</v>
      </c>
      <c r="D131" s="300">
        <f>(34.1*KFC!$B$20*1.02*1.15*1.1+KFC!$C$20)*KFC!$C$5</f>
        <v>43.999230000000004</v>
      </c>
      <c r="E131" s="300">
        <f>(36*KFC!$B$20*1.02*1.15*1.1+KFC!$C$20)*KFC!$C$5</f>
        <v>46.450800000000001</v>
      </c>
      <c r="F131" s="300">
        <f>(37.7*KFC!$B$20*1.02*1.15*1.1+KFC!$C$20)*KFC!$C$5</f>
        <v>48.644310000000004</v>
      </c>
      <c r="G131" s="300">
        <f>(39.4*KFC!$B$20*1.02*1.15*1.1+KFC!$C$20)*KFC!$C$5</f>
        <v>50.837820000000008</v>
      </c>
      <c r="H131" s="300">
        <f>(41.2*KFC!$B$20*1.02*1.15*1.1+KFC!$C$20)*KFC!$C$5</f>
        <v>53.160360000000004</v>
      </c>
      <c r="I131" s="300">
        <f>(42.9*KFC!$B$20*1.02*1.15*1.1+KFC!$C$20)*KFC!$C$5</f>
        <v>55.353870000000008</v>
      </c>
      <c r="J131" s="300">
        <f>(44.6*KFC!$B$20*1.02*1.15*1.1+KFC!$C$20)*KFC!$C$5</f>
        <v>57.547380000000011</v>
      </c>
      <c r="K131" s="300">
        <f>(46.5*KFC!$B$20*1.02*1.15*1.1+KFC!$C$20)*KFC!$C$5</f>
        <v>59.998949999999994</v>
      </c>
      <c r="L131" s="300">
        <f>(48.2*KFC!$B$20*1.02*1.15*1.1+KFC!$C$20)*KFC!$C$5</f>
        <v>62.192459999999997</v>
      </c>
      <c r="M131" s="300">
        <f>(49.9*KFC!$B$20*1.02*1.15*1.1+KFC!$C$20)*KFC!$C$5</f>
        <v>64.38597</v>
      </c>
      <c r="N131" s="300">
        <f>(51.7*KFC!$B$20*1.02*1.15*1.1+KFC!$C$20)*KFC!$C$5</f>
        <v>66.708510000000004</v>
      </c>
      <c r="O131" s="300">
        <f>(53.4*KFC!$B$20*1.02*1.15*1.1+KFC!$C$20)*KFC!$C$5</f>
        <v>68.902019999999993</v>
      </c>
      <c r="P131" s="300">
        <f>(55.2*KFC!$B$20*1.02*1.15*1.1+KFC!$C$20)*KFC!$C$5</f>
        <v>71.224560000000011</v>
      </c>
      <c r="Q131" s="300">
        <f>(57*KFC!$B$20*1.02*1.15*1.1+KFC!$C$20)*KFC!$C$5</f>
        <v>73.5471</v>
      </c>
      <c r="R131" s="300">
        <f>(58.7*KFC!$B$20*1.02*1.15*1.1+KFC!$C$20)*KFC!$C$5</f>
        <v>75.740610000000004</v>
      </c>
      <c r="S131" s="300">
        <f>(60.4*KFC!$B$20*1.02*1.15*1.1+KFC!$C$20)*KFC!$C$5</f>
        <v>77.934120000000007</v>
      </c>
      <c r="T131" s="300">
        <f>(62.3*KFC!$B$20*1.02*1.15*1.1+KFC!$C$20)*KFC!$C$5</f>
        <v>80.385690000000011</v>
      </c>
      <c r="U131" s="300">
        <f>(64*KFC!$B$20*1.02*1.15*1.1+KFC!$C$20)*KFC!$C$5</f>
        <v>82.5792</v>
      </c>
      <c r="V131" s="300">
        <f>(65.7*KFC!$B$20*1.02*1.15*1.1+KFC!$C$20)*KFC!$C$5</f>
        <v>84.772710000000018</v>
      </c>
      <c r="W131" s="300">
        <f>(67.5*KFC!$B$20*1.02*1.15*1.1+KFC!$C$20)*KFC!$C$5</f>
        <v>87.095249999999979</v>
      </c>
      <c r="X131" s="300">
        <f>(69.2*KFC!$B$20*1.02*1.15*1.1+KFC!$C$20)*KFC!$C$5</f>
        <v>89.288760000000011</v>
      </c>
      <c r="Y131" s="304">
        <f>(70.9*KFC!$B$20*1.02*1.15*1.1+KFC!$C$20)*KFC!$C$5</f>
        <v>91.482270000000014</v>
      </c>
      <c r="Z131" s="345"/>
      <c r="AA131" s="345"/>
      <c r="AB131" s="345"/>
      <c r="AC131" s="345"/>
    </row>
    <row r="132" spans="1:29">
      <c r="A132" s="1538"/>
      <c r="B132" s="298">
        <v>0.7</v>
      </c>
      <c r="C132" s="303">
        <f>(33*KFC!$B$20*1.02*1.15*1.1+KFC!$C$20)*KFC!$C$5</f>
        <v>42.579900000000009</v>
      </c>
      <c r="D132" s="300">
        <f>(35*KFC!$B$20*1.02*1.15*1.1+KFC!$C$20)*KFC!$C$5</f>
        <v>45.160500000000006</v>
      </c>
      <c r="E132" s="300">
        <f>(36.8*KFC!$B$20*1.02*1.15*1.1+KFC!$C$20)*KFC!$C$5</f>
        <v>47.483039999999988</v>
      </c>
      <c r="F132" s="300">
        <f>(38.8*KFC!$B$20*1.02*1.15*1.1+KFC!$C$20)*KFC!$C$5</f>
        <v>50.063640000000007</v>
      </c>
      <c r="G132" s="300">
        <f>(40.7*KFC!$B$20*1.02*1.15*1.1+KFC!$C$20)*KFC!$C$5</f>
        <v>52.51521000000001</v>
      </c>
      <c r="H132" s="300">
        <f>(42.6*KFC!$B$20*1.02*1.15*1.1+KFC!$C$20)*KFC!$C$5</f>
        <v>54.966780000000007</v>
      </c>
      <c r="I132" s="300">
        <f>(44.5*KFC!$B$20*1.02*1.15*1.1+KFC!$C$20)*KFC!$C$5</f>
        <v>57.418349999999997</v>
      </c>
      <c r="J132" s="300">
        <f>(46.4*KFC!$B$20*1.02*1.15*1.1+KFC!$C$20)*KFC!$C$5</f>
        <v>59.869919999999993</v>
      </c>
      <c r="K132" s="300">
        <f>(48.3*KFC!$B$20*1.02*1.15*1.1+KFC!$C$20)*KFC!$C$5</f>
        <v>62.321489999999997</v>
      </c>
      <c r="L132" s="300">
        <f>(50.3*KFC!$B$20*1.02*1.15*1.1+KFC!$C$20)*KFC!$C$5</f>
        <v>64.902090000000001</v>
      </c>
      <c r="M132" s="300">
        <f>(52.1*KFC!$B$20*1.02*1.15*1.1+KFC!$C$20)*KFC!$C$5</f>
        <v>67.224630000000005</v>
      </c>
      <c r="N132" s="300">
        <f>(54.1*KFC!$B$20*1.02*1.15*1.1+KFC!$C$20)*KFC!$C$5</f>
        <v>69.805230000000009</v>
      </c>
      <c r="O132" s="300">
        <f>(55.9*KFC!$B$20*1.02*1.15*1.1+KFC!$C$20)*KFC!$C$5</f>
        <v>72.127770000000012</v>
      </c>
      <c r="P132" s="300">
        <f>(57.8*KFC!$B$20*1.02*1.15*1.1+KFC!$C$20)*KFC!$C$5</f>
        <v>74.579340000000002</v>
      </c>
      <c r="Q132" s="300">
        <f>(59.8*KFC!$B$20*1.02*1.15*1.1+KFC!$C$20)*KFC!$C$5</f>
        <v>77.159940000000006</v>
      </c>
      <c r="R132" s="300">
        <f>(61.6*KFC!$B$20*1.02*1.15*1.1+KFC!$C$20)*KFC!$C$5</f>
        <v>79.48248000000001</v>
      </c>
      <c r="S132" s="300">
        <f>(63.6*KFC!$B$20*1.02*1.15*1.1+KFC!$C$20)*KFC!$C$5</f>
        <v>82.063079999999999</v>
      </c>
      <c r="T132" s="300">
        <f>(65.4*KFC!$B$20*1.02*1.15*1.1+KFC!$C$20)*KFC!$C$5</f>
        <v>84.385620000000017</v>
      </c>
      <c r="U132" s="300">
        <f>(67.4*KFC!$B$20*1.02*1.15*1.1+KFC!$C$20)*KFC!$C$5</f>
        <v>86.966220000000007</v>
      </c>
      <c r="V132" s="300">
        <f>(69.3*KFC!$B$20*1.02*1.15*1.1+KFC!$C$20)*KFC!$C$5</f>
        <v>89.417789999999997</v>
      </c>
      <c r="W132" s="300">
        <f>(71.2*KFC!$B$20*1.02*1.15*1.1+KFC!$C$20)*KFC!$C$5</f>
        <v>91.869360000000015</v>
      </c>
      <c r="X132" s="300">
        <f>(73.1*KFC!$B$20*1.02*1.15*1.1+KFC!$C$20)*KFC!$C$5</f>
        <v>94.320930000000004</v>
      </c>
      <c r="Y132" s="304">
        <f>(75*KFC!$B$20*1.02*1.15*1.1+KFC!$C$20)*KFC!$C$5</f>
        <v>96.772500000000008</v>
      </c>
      <c r="Z132" s="345"/>
      <c r="AA132" s="345"/>
      <c r="AB132" s="345"/>
      <c r="AC132" s="345"/>
    </row>
    <row r="133" spans="1:29">
      <c r="A133" s="1538"/>
      <c r="B133" s="298">
        <v>0.8</v>
      </c>
      <c r="C133" s="303">
        <f>(33.6*KFC!$B$20*1.02*1.15*1.1+KFC!$C$20)*KFC!$C$5</f>
        <v>43.35408000000001</v>
      </c>
      <c r="D133" s="300">
        <f>(35.7*KFC!$B$20*1.02*1.15*1.1+KFC!$C$20)*KFC!$C$5</f>
        <v>46.063710000000007</v>
      </c>
      <c r="E133" s="300">
        <f>(37.8*KFC!$B$20*1.02*1.15*1.1+KFC!$C$20)*KFC!$C$5</f>
        <v>48.77333999999999</v>
      </c>
      <c r="F133" s="300">
        <f>(39.9*KFC!$B$20*1.02*1.15*1.1+KFC!$C$20)*KFC!$C$5</f>
        <v>51.482969999999995</v>
      </c>
      <c r="G133" s="300">
        <f>(41.9*KFC!$B$20*1.02*1.15*1.1+KFC!$C$20)*KFC!$C$5</f>
        <v>54.063570000000006</v>
      </c>
      <c r="H133" s="300">
        <f>(44*KFC!$B$20*1.02*1.15*1.1+KFC!$C$20)*KFC!$C$5</f>
        <v>56.77320000000001</v>
      </c>
      <c r="I133" s="300">
        <f>(46.1*KFC!$B$20*1.02*1.15*1.1+KFC!$C$20)*KFC!$C$5</f>
        <v>59.482830000000014</v>
      </c>
      <c r="J133" s="300">
        <f>(48.1*KFC!$B$20*1.02*1.15*1.1+KFC!$C$20)*KFC!$C$5</f>
        <v>62.063430000000011</v>
      </c>
      <c r="K133" s="300">
        <f>(50.1*KFC!$B$20*1.02*1.15*1.1+KFC!$C$20)*KFC!$C$5</f>
        <v>64.644030000000001</v>
      </c>
      <c r="L133" s="300">
        <f>(52.2*KFC!$B$20*1.02*1.15*1.1+KFC!$C$20)*KFC!$C$5</f>
        <v>67.353660000000005</v>
      </c>
      <c r="M133" s="300">
        <f>(54.3*KFC!$B$20*1.02*1.15*1.1+KFC!$C$20)*KFC!$C$5</f>
        <v>70.063289999999995</v>
      </c>
      <c r="N133" s="300">
        <f>(56.4*KFC!$B$20*1.02*1.15*1.1+KFC!$C$20)*KFC!$C$5</f>
        <v>72.772919999999999</v>
      </c>
      <c r="O133" s="300">
        <f>(58.5*KFC!$B$20*1.02*1.15*1.1+KFC!$C$20)*KFC!$C$5</f>
        <v>75.482550000000003</v>
      </c>
      <c r="P133" s="300">
        <f>(60.4*KFC!$B$20*1.02*1.15*1.1+KFC!$C$20)*KFC!$C$5</f>
        <v>77.934120000000007</v>
      </c>
      <c r="Q133" s="300">
        <f>(62.5*KFC!$B$20*1.02*1.15*1.1+KFC!$C$20)*KFC!$C$5</f>
        <v>80.643750000000011</v>
      </c>
      <c r="R133" s="300">
        <f>(64.6*KFC!$B$20*1.02*1.15*1.1+KFC!$C$20)*KFC!$C$5</f>
        <v>83.353380000000001</v>
      </c>
      <c r="S133" s="300">
        <f>(66.7*KFC!$B$20*1.02*1.15*1.1+KFC!$C$20)*KFC!$C$5</f>
        <v>86.06301000000002</v>
      </c>
      <c r="T133" s="300">
        <f>(68.7*KFC!$B$20*1.02*1.15*1.1+KFC!$C$20)*KFC!$C$5</f>
        <v>88.64361000000001</v>
      </c>
      <c r="U133" s="300">
        <f>(70.8*KFC!$B$20*1.02*1.15*1.1+KFC!$C$20)*KFC!$C$5</f>
        <v>91.35324</v>
      </c>
      <c r="V133" s="300">
        <f>(72.9*KFC!$B$20*1.02*1.15*1.1+KFC!$C$20)*KFC!$C$5</f>
        <v>94.062870000000018</v>
      </c>
      <c r="W133" s="300">
        <f>(74.8*KFC!$B$20*1.02*1.15*1.1+KFC!$C$20)*KFC!$C$5</f>
        <v>96.514439999999979</v>
      </c>
      <c r="X133" s="300">
        <f>(76.9*KFC!$B$20*1.02*1.15*1.1+KFC!$C$20)*KFC!$C$5</f>
        <v>99.224070000000012</v>
      </c>
      <c r="Y133" s="304">
        <f>(79*KFC!$B$20*1.02*1.15*1.1+KFC!$C$20)*KFC!$C$5</f>
        <v>101.93369999999999</v>
      </c>
      <c r="Z133" s="345"/>
      <c r="AA133" s="345"/>
      <c r="AB133" s="345"/>
      <c r="AC133" s="345"/>
    </row>
    <row r="134" spans="1:29">
      <c r="A134" s="1538"/>
      <c r="B134" s="298">
        <v>0.9</v>
      </c>
      <c r="C134" s="303">
        <f>(34.4*KFC!$B$20*1.02*1.15*1.1+KFC!$C$20)*KFC!$C$5</f>
        <v>44.386320000000005</v>
      </c>
      <c r="D134" s="300">
        <f>(36.6*KFC!$B$20*1.02*1.15*1.1+KFC!$C$20)*KFC!$C$5</f>
        <v>47.224980000000002</v>
      </c>
      <c r="E134" s="300">
        <f>(38.8*KFC!$B$20*1.02*1.15*1.1+KFC!$C$20)*KFC!$C$5</f>
        <v>50.063640000000007</v>
      </c>
      <c r="F134" s="300">
        <f>(41*KFC!$B$20*1.02*1.15*1.1+KFC!$C$20)*KFC!$C$5</f>
        <v>52.902300000000004</v>
      </c>
      <c r="G134" s="300">
        <f>(43.2*KFC!$B$20*1.02*1.15*1.1+KFC!$C$20)*KFC!$C$5</f>
        <v>55.740960000000015</v>
      </c>
      <c r="H134" s="300">
        <f>(45.4*KFC!$B$20*1.02*1.15*1.1+KFC!$C$20)*KFC!$C$5</f>
        <v>58.579619999999998</v>
      </c>
      <c r="I134" s="300">
        <f>(47.6*KFC!$B$20*1.02*1.15*1.1+KFC!$C$20)*KFC!$C$5</f>
        <v>61.418279999999996</v>
      </c>
      <c r="J134" s="300">
        <f>(49.8*KFC!$B$20*1.02*1.15*1.1+KFC!$C$20)*KFC!$C$5</f>
        <v>64.25694</v>
      </c>
      <c r="K134" s="300">
        <f>(52*KFC!$B$20*1.02*1.15*1.1+KFC!$C$20)*KFC!$C$5</f>
        <v>67.095600000000005</v>
      </c>
      <c r="L134" s="300">
        <f>(54.3*KFC!$B$20*1.02*1.15*1.1+KFC!$C$20)*KFC!$C$5</f>
        <v>70.063289999999995</v>
      </c>
      <c r="M134" s="300">
        <f>(56.5*KFC!$B$20*1.02*1.15*1.1+KFC!$C$20)*KFC!$C$5</f>
        <v>72.901950000000014</v>
      </c>
      <c r="N134" s="300">
        <f>(58.7*KFC!$B$20*1.02*1.15*1.1+KFC!$C$20)*KFC!$C$5</f>
        <v>75.740610000000004</v>
      </c>
      <c r="O134" s="300">
        <f>(60.9*KFC!$B$20*1.02*1.15*1.1+KFC!$C$20)*KFC!$C$5</f>
        <v>78.579270000000008</v>
      </c>
      <c r="P134" s="300">
        <f>(63.1*KFC!$B$20*1.02*1.15*1.1+KFC!$C$20)*KFC!$C$5</f>
        <v>81.417930000000013</v>
      </c>
      <c r="Q134" s="300">
        <f>(65.3*KFC!$B$20*1.02*1.15*1.1+KFC!$C$20)*KFC!$C$5</f>
        <v>84.256590000000003</v>
      </c>
      <c r="R134" s="300">
        <f>(67.5*KFC!$B$20*1.02*1.15*1.1+KFC!$C$20)*KFC!$C$5</f>
        <v>87.095249999999979</v>
      </c>
      <c r="S134" s="300">
        <f>(69.7*KFC!$B$20*1.02*1.15*1.1+KFC!$C$20)*KFC!$C$5</f>
        <v>89.933910000000012</v>
      </c>
      <c r="T134" s="300">
        <f>(71.9*KFC!$B$20*1.02*1.15*1.1+KFC!$C$20)*KFC!$C$5</f>
        <v>92.772570000000016</v>
      </c>
      <c r="U134" s="300">
        <f>(74.1*KFC!$B$20*1.02*1.15*1.1+KFC!$C$20)*KFC!$C$5</f>
        <v>95.611230000000006</v>
      </c>
      <c r="V134" s="300">
        <f>(76.4*KFC!$B$20*1.02*1.15*1.1+KFC!$C$20)*KFC!$C$5</f>
        <v>98.578920000000025</v>
      </c>
      <c r="W134" s="300">
        <f>(78.6*KFC!$B$20*1.02*1.15*1.1+KFC!$C$20)*KFC!$C$5</f>
        <v>101.41757999999999</v>
      </c>
      <c r="X134" s="300">
        <f>(80.8*KFC!$B$20*1.02*1.15*1.1+KFC!$C$20)*KFC!$C$5</f>
        <v>104.25623999999999</v>
      </c>
      <c r="Y134" s="304">
        <f>(83*KFC!$B$20*1.02*1.15*1.1+KFC!$C$20)*KFC!$C$5</f>
        <v>107.09490000000001</v>
      </c>
      <c r="Z134" s="345"/>
      <c r="AA134" s="345"/>
      <c r="AB134" s="345"/>
      <c r="AC134" s="345"/>
    </row>
    <row r="135" spans="1:29">
      <c r="A135" s="1538"/>
      <c r="B135" s="298">
        <v>1</v>
      </c>
      <c r="C135" s="303">
        <f>(35*KFC!$B$20*1.02*1.15*1.1+KFC!$C$20)*KFC!$C$5</f>
        <v>45.160500000000006</v>
      </c>
      <c r="D135" s="300">
        <f>(37.3*KFC!$B$20*1.02*1.15*1.1+KFC!$C$20)*KFC!$C$5</f>
        <v>48.128190000000004</v>
      </c>
      <c r="E135" s="300">
        <f>(39.6*KFC!$B$20*1.02*1.15*1.1+KFC!$C$20)*KFC!$C$5</f>
        <v>51.095880000000008</v>
      </c>
      <c r="F135" s="300">
        <f>(42.1*KFC!$B$20*1.02*1.15*1.1+KFC!$C$20)*KFC!$C$5</f>
        <v>54.321630000000006</v>
      </c>
      <c r="G135" s="300">
        <f>(44.4*KFC!$B$20*1.02*1.15*1.1+KFC!$C$20)*KFC!$C$5</f>
        <v>57.289319999999996</v>
      </c>
      <c r="H135" s="300">
        <f>(46.8*KFC!$B$20*1.02*1.15*1.1+KFC!$C$20)*KFC!$C$5</f>
        <v>60.386039999999994</v>
      </c>
      <c r="I135" s="300">
        <f>(49.2*KFC!$B$20*1.02*1.15*1.1+KFC!$C$20)*KFC!$C$5</f>
        <v>63.482760000000013</v>
      </c>
      <c r="J135" s="300">
        <f>(51.5*KFC!$B$20*1.02*1.15*1.1+KFC!$C$20)*KFC!$C$5</f>
        <v>66.450450000000004</v>
      </c>
      <c r="K135" s="300">
        <f>(53.9*KFC!$B$20*1.02*1.15*1.1+KFC!$C$20)*KFC!$C$5</f>
        <v>69.547170000000008</v>
      </c>
      <c r="L135" s="300">
        <f>(56.3*KFC!$B$20*1.02*1.15*1.1+KFC!$C$20)*KFC!$C$5</f>
        <v>72.643889999999999</v>
      </c>
      <c r="M135" s="300">
        <f>(58.6*KFC!$B$20*1.02*1.15*1.1+KFC!$C$20)*KFC!$C$5</f>
        <v>75.611580000000018</v>
      </c>
      <c r="N135" s="300">
        <f>(61*KFC!$B$20*1.02*1.15*1.1+KFC!$C$20)*KFC!$C$5</f>
        <v>78.708300000000008</v>
      </c>
      <c r="O135" s="300">
        <f>(63.4*KFC!$B$20*1.02*1.15*1.1+KFC!$C$20)*KFC!$C$5</f>
        <v>81.805020000000013</v>
      </c>
      <c r="P135" s="300">
        <f>(65.7*KFC!$B$20*1.02*1.15*1.1+KFC!$C$20)*KFC!$C$5</f>
        <v>84.772710000000018</v>
      </c>
      <c r="Q135" s="300">
        <f>(68.1*KFC!$B$20*1.02*1.15*1.1+KFC!$C$20)*KFC!$C$5</f>
        <v>87.86942999999998</v>
      </c>
      <c r="R135" s="300">
        <f>(70.4*KFC!$B$20*1.02*1.15*1.1+KFC!$C$20)*KFC!$C$5</f>
        <v>90.837120000000013</v>
      </c>
      <c r="S135" s="300">
        <f>(72.9*KFC!$B$20*1.02*1.15*1.1+KFC!$C$20)*KFC!$C$5</f>
        <v>94.062870000000018</v>
      </c>
      <c r="T135" s="300">
        <f>(75.2*KFC!$B$20*1.02*1.15*1.1+KFC!$C$20)*KFC!$C$5</f>
        <v>97.030560000000023</v>
      </c>
      <c r="U135" s="300">
        <f>(77.5*KFC!$B$20*1.02*1.15*1.1+KFC!$C$20)*KFC!$C$5</f>
        <v>99.998249999999985</v>
      </c>
      <c r="V135" s="300">
        <f>(80*KFC!$B$20*1.02*1.15*1.1+KFC!$C$20)*KFC!$C$5</f>
        <v>103.22399999999999</v>
      </c>
      <c r="W135" s="300">
        <f>(82.3*KFC!$B$20*1.02*1.15*1.1+KFC!$C$20)*KFC!$C$5</f>
        <v>106.19169000000001</v>
      </c>
      <c r="X135" s="300">
        <f>(84.6*KFC!$B$20*1.02*1.15*1.1+KFC!$C$20)*KFC!$C$5</f>
        <v>109.15938000000001</v>
      </c>
      <c r="Y135" s="304">
        <f>(87.1*KFC!$B$20*1.02*1.15*1.1+KFC!$C$20)*KFC!$C$5</f>
        <v>112.38512999999999</v>
      </c>
      <c r="Z135" s="345"/>
      <c r="AA135" s="345"/>
      <c r="AB135" s="345"/>
      <c r="AC135" s="345"/>
    </row>
    <row r="136" spans="1:29">
      <c r="A136" s="1538"/>
      <c r="B136" s="298">
        <v>1.1000000000000001</v>
      </c>
      <c r="C136" s="303">
        <f>(35.6*KFC!$B$20*1.02*1.15*1.1+KFC!$C$20)*KFC!$C$5</f>
        <v>45.934680000000007</v>
      </c>
      <c r="D136" s="300">
        <f>(38*KFC!$B$20*1.02*1.15*1.1+KFC!$C$20)*KFC!$C$5</f>
        <v>49.031399999999991</v>
      </c>
      <c r="E136" s="300">
        <f>(40.6*KFC!$B$20*1.02*1.15*1.1+KFC!$C$20)*KFC!$C$5</f>
        <v>52.386179999999996</v>
      </c>
      <c r="F136" s="300">
        <f>(43.2*KFC!$B$20*1.02*1.15*1.1+KFC!$C$20)*KFC!$C$5</f>
        <v>55.740960000000015</v>
      </c>
      <c r="G136" s="300">
        <f>(45.6*KFC!$B$20*1.02*1.15*1.1+KFC!$C$20)*KFC!$C$5</f>
        <v>58.837679999999999</v>
      </c>
      <c r="H136" s="300">
        <f>(48.2*KFC!$B$20*1.02*1.15*1.1+KFC!$C$20)*KFC!$C$5</f>
        <v>62.192459999999997</v>
      </c>
      <c r="I136" s="300">
        <f>(50.8*KFC!$B$20*1.02*1.15*1.1+KFC!$C$20)*KFC!$C$5</f>
        <v>65.547240000000002</v>
      </c>
      <c r="J136" s="300">
        <f>(53.2*KFC!$B$20*1.02*1.15*1.1+KFC!$C$20)*KFC!$C$5</f>
        <v>68.643960000000007</v>
      </c>
      <c r="K136" s="300">
        <f>(55.8*KFC!$B$20*1.02*1.15*1.1+KFC!$C$20)*KFC!$C$5</f>
        <v>71.998739999999998</v>
      </c>
      <c r="L136" s="300">
        <f>(58.2*KFC!$B$20*1.02*1.15*1.1+KFC!$C$20)*KFC!$C$5</f>
        <v>75.095460000000017</v>
      </c>
      <c r="M136" s="300">
        <f>(60.8*KFC!$B$20*1.02*1.15*1.1+KFC!$C$20)*KFC!$C$5</f>
        <v>78.450240000000008</v>
      </c>
      <c r="N136" s="300">
        <f>(63.4*KFC!$B$20*1.02*1.15*1.1+KFC!$C$20)*KFC!$C$5</f>
        <v>81.805020000000013</v>
      </c>
      <c r="O136" s="300">
        <f>(65.8*KFC!$B$20*1.02*1.15*1.1+KFC!$C$20)*KFC!$C$5</f>
        <v>84.901740000000004</v>
      </c>
      <c r="P136" s="300">
        <f>(68.4*KFC!$B$20*1.02*1.15*1.1+KFC!$C$20)*KFC!$C$5</f>
        <v>88.256520000000009</v>
      </c>
      <c r="Q136" s="300">
        <f>(70.9*KFC!$B$20*1.02*1.15*1.1+KFC!$C$20)*KFC!$C$5</f>
        <v>91.482270000000014</v>
      </c>
      <c r="R136" s="300">
        <f>(73.4*KFC!$B$20*1.02*1.15*1.1+KFC!$C$20)*KFC!$C$5</f>
        <v>94.708020000000019</v>
      </c>
      <c r="S136" s="300">
        <f>(75.9*KFC!$B$20*1.02*1.15*1.1+KFC!$C$20)*KFC!$C$5</f>
        <v>97.93377000000001</v>
      </c>
      <c r="T136" s="300">
        <f>(78.4*KFC!$B$20*1.02*1.15*1.1+KFC!$C$20)*KFC!$C$5</f>
        <v>101.15952000000001</v>
      </c>
      <c r="U136" s="300">
        <f>(81*KFC!$B$20*1.02*1.15*1.1+KFC!$C$20)*KFC!$C$5</f>
        <v>104.51429999999999</v>
      </c>
      <c r="V136" s="300">
        <f>(83.5*KFC!$B$20*1.02*1.15*1.1+KFC!$C$20)*KFC!$C$5</f>
        <v>107.74005000000001</v>
      </c>
      <c r="W136" s="300">
        <f>(86*KFC!$B$20*1.02*1.15*1.1+KFC!$C$20)*KFC!$C$5</f>
        <v>110.96579999999999</v>
      </c>
      <c r="X136" s="300">
        <f>(88.5*KFC!$B$20*1.02*1.15*1.1+KFC!$C$20)*KFC!$C$5</f>
        <v>114.19154999999999</v>
      </c>
      <c r="Y136" s="304">
        <f>(91.1*KFC!$B$20*1.02*1.15*1.1+KFC!$C$20)*KFC!$C$5</f>
        <v>117.54633</v>
      </c>
      <c r="Z136" s="345"/>
      <c r="AA136" s="345"/>
      <c r="AB136" s="345"/>
      <c r="AC136" s="345"/>
    </row>
    <row r="137" spans="1:29">
      <c r="A137" s="1538"/>
      <c r="B137" s="298">
        <v>1.2</v>
      </c>
      <c r="C137" s="303">
        <f>(36.2*KFC!$B$20*1.02*1.15*1.1+KFC!$C$20)*KFC!$C$5</f>
        <v>46.708860000000008</v>
      </c>
      <c r="D137" s="300">
        <f>(38.9*KFC!$B$20*1.02*1.15*1.1+KFC!$C$20)*KFC!$C$5</f>
        <v>50.192669999999993</v>
      </c>
      <c r="E137" s="300">
        <f>(41.6*KFC!$B$20*1.02*1.15*1.1+KFC!$C$20)*KFC!$C$5</f>
        <v>53.676480000000005</v>
      </c>
      <c r="F137" s="300">
        <f>(44.3*KFC!$B$20*1.02*1.15*1.1+KFC!$C$20)*KFC!$C$5</f>
        <v>57.160289999999996</v>
      </c>
      <c r="G137" s="300">
        <f>(46.8*KFC!$B$20*1.02*1.15*1.1+KFC!$C$20)*KFC!$C$5</f>
        <v>60.386039999999994</v>
      </c>
      <c r="H137" s="300">
        <f>(49.5*KFC!$B$20*1.02*1.15*1.1+KFC!$C$20)*KFC!$C$5</f>
        <v>63.86985</v>
      </c>
      <c r="I137" s="300">
        <f>(52.2*KFC!$B$20*1.02*1.15*1.1+KFC!$C$20)*KFC!$C$5</f>
        <v>67.353660000000005</v>
      </c>
      <c r="J137" s="300">
        <f>(54.9*KFC!$B$20*1.02*1.15*1.1+KFC!$C$20)*KFC!$C$5</f>
        <v>70.837469999999996</v>
      </c>
      <c r="K137" s="300">
        <f>(57.6*KFC!$B$20*1.02*1.15*1.1+KFC!$C$20)*KFC!$C$5</f>
        <v>74.321280000000002</v>
      </c>
      <c r="L137" s="300">
        <f>(60.3*KFC!$B$20*1.02*1.15*1.1+KFC!$C$20)*KFC!$C$5</f>
        <v>77.805090000000007</v>
      </c>
      <c r="M137" s="300">
        <f>(63*KFC!$B$20*1.02*1.15*1.1+KFC!$C$20)*KFC!$C$5</f>
        <v>81.288900000000012</v>
      </c>
      <c r="N137" s="300">
        <f>(65.7*KFC!$B$20*1.02*1.15*1.1+KFC!$C$20)*KFC!$C$5</f>
        <v>84.772710000000018</v>
      </c>
      <c r="O137" s="300">
        <f>(68.4*KFC!$B$20*1.02*1.15*1.1+KFC!$C$20)*KFC!$C$5</f>
        <v>88.256520000000009</v>
      </c>
      <c r="P137" s="300">
        <f>(70.9*KFC!$B$20*1.02*1.15*1.1+KFC!$C$20)*KFC!$C$5</f>
        <v>91.482270000000014</v>
      </c>
      <c r="Q137" s="300">
        <f>(73.6*KFC!$B$20*1.02*1.15*1.1+KFC!$C$20)*KFC!$C$5</f>
        <v>94.966079999999977</v>
      </c>
      <c r="R137" s="300">
        <f>(76.3*KFC!$B$20*1.02*1.15*1.1+KFC!$C$20)*KFC!$C$5</f>
        <v>98.449889999999982</v>
      </c>
      <c r="S137" s="300">
        <f>(79*KFC!$B$20*1.02*1.15*1.1+KFC!$C$20)*KFC!$C$5</f>
        <v>101.93369999999999</v>
      </c>
      <c r="T137" s="300">
        <f>(81.7*KFC!$B$20*1.02*1.15*1.1+KFC!$C$20)*KFC!$C$5</f>
        <v>105.41750999999999</v>
      </c>
      <c r="U137" s="300">
        <f>(84.4*KFC!$B$20*1.02*1.15*1.1+KFC!$C$20)*KFC!$C$5</f>
        <v>108.90132000000001</v>
      </c>
      <c r="V137" s="300">
        <f>(87.1*KFC!$B$20*1.02*1.15*1.1+KFC!$C$20)*KFC!$C$5</f>
        <v>112.38512999999999</v>
      </c>
      <c r="W137" s="300">
        <f>(89.8*KFC!$B$20*1.02*1.15*1.1+KFC!$C$20)*KFC!$C$5</f>
        <v>115.86893999999999</v>
      </c>
      <c r="X137" s="300">
        <f>(92.3*KFC!$B$20*1.02*1.15*1.1+KFC!$C$20)*KFC!$C$5</f>
        <v>119.09469</v>
      </c>
      <c r="Y137" s="304">
        <f>(95*KFC!$B$20*1.02*1.15*1.1+KFC!$C$20)*KFC!$C$5</f>
        <v>122.57850000000001</v>
      </c>
      <c r="Z137" s="345"/>
      <c r="AA137" s="345"/>
      <c r="AB137" s="345"/>
      <c r="AC137" s="345"/>
    </row>
    <row r="138" spans="1:29">
      <c r="A138" s="1538"/>
      <c r="B138" s="298">
        <v>1.3</v>
      </c>
      <c r="C138" s="303">
        <f>(36.8*KFC!$B$20*1.02*1.15*1.1+KFC!$C$20)*KFC!$C$5</f>
        <v>47.483039999999988</v>
      </c>
      <c r="D138" s="300">
        <f>(39.6*KFC!$B$20*1.02*1.15*1.1+KFC!$C$20)*KFC!$C$5</f>
        <v>51.095880000000008</v>
      </c>
      <c r="E138" s="300">
        <f>(42.4*KFC!$B$20*1.02*1.15*1.1+KFC!$C$20)*KFC!$C$5</f>
        <v>54.708719999999992</v>
      </c>
      <c r="F138" s="300">
        <f>(45.3*KFC!$B$20*1.02*1.15*1.1+KFC!$C$20)*KFC!$C$5</f>
        <v>58.450589999999991</v>
      </c>
      <c r="G138" s="300">
        <f>(48.2*KFC!$B$20*1.02*1.15*1.1+KFC!$C$20)*KFC!$C$5</f>
        <v>62.192459999999997</v>
      </c>
      <c r="H138" s="300">
        <f>(51*KFC!$B$20*1.02*1.15*1.1+KFC!$C$20)*KFC!$C$5</f>
        <v>65.805300000000003</v>
      </c>
      <c r="I138" s="300">
        <f>(53.8*KFC!$B$20*1.02*1.15*1.1+KFC!$C$20)*KFC!$C$5</f>
        <v>69.418139999999994</v>
      </c>
      <c r="J138" s="300">
        <f>(56.6*KFC!$B$20*1.02*1.15*1.1+KFC!$C$20)*KFC!$C$5</f>
        <v>73.03098</v>
      </c>
      <c r="K138" s="300">
        <f>(59.4*KFC!$B$20*1.02*1.15*1.1+KFC!$C$20)*KFC!$C$5</f>
        <v>76.643820000000005</v>
      </c>
      <c r="L138" s="300">
        <f>(62.3*KFC!$B$20*1.02*1.15*1.1+KFC!$C$20)*KFC!$C$5</f>
        <v>80.385690000000011</v>
      </c>
      <c r="M138" s="300">
        <f>(65.1*KFC!$B$20*1.02*1.15*1.1+KFC!$C$20)*KFC!$C$5</f>
        <v>83.998530000000002</v>
      </c>
      <c r="N138" s="300">
        <f>(68*KFC!$B$20*1.02*1.15*1.1+KFC!$C$20)*KFC!$C$5</f>
        <v>87.740400000000008</v>
      </c>
      <c r="O138" s="300">
        <f>(70.8*KFC!$B$20*1.02*1.15*1.1+KFC!$C$20)*KFC!$C$5</f>
        <v>91.35324</v>
      </c>
      <c r="P138" s="300">
        <f>(73.6*KFC!$B$20*1.02*1.15*1.1+KFC!$C$20)*KFC!$C$5</f>
        <v>94.966079999999977</v>
      </c>
      <c r="Q138" s="300">
        <f>(76.4*KFC!$B$20*1.02*1.15*1.1+KFC!$C$20)*KFC!$C$5</f>
        <v>98.578920000000025</v>
      </c>
      <c r="R138" s="300">
        <f>(79.3*KFC!$B$20*1.02*1.15*1.1+KFC!$C$20)*KFC!$C$5</f>
        <v>102.32078999999999</v>
      </c>
      <c r="S138" s="300">
        <f>(82.1*KFC!$B$20*1.02*1.15*1.1+KFC!$C$20)*KFC!$C$5</f>
        <v>105.93362999999998</v>
      </c>
      <c r="T138" s="300">
        <f>(84.9*KFC!$B$20*1.02*1.15*1.1+KFC!$C$20)*KFC!$C$5</f>
        <v>109.54647000000003</v>
      </c>
      <c r="U138" s="300">
        <f>(87.8*KFC!$B$20*1.02*1.15*1.1+KFC!$C$20)*KFC!$C$5</f>
        <v>113.28833999999999</v>
      </c>
      <c r="V138" s="300">
        <f>(90.6*KFC!$B$20*1.02*1.15*1.1+KFC!$C$20)*KFC!$C$5</f>
        <v>116.90117999999998</v>
      </c>
      <c r="W138" s="300">
        <f>(93.4*KFC!$B$20*1.02*1.15*1.1+KFC!$C$20)*KFC!$C$5</f>
        <v>120.51402</v>
      </c>
      <c r="X138" s="300">
        <f>(96.3*KFC!$B$20*1.02*1.15*1.1+KFC!$C$20)*KFC!$C$5</f>
        <v>124.25588999999999</v>
      </c>
      <c r="Y138" s="304">
        <f>(99.1*KFC!$B$20*1.02*1.15*1.1+KFC!$C$20)*KFC!$C$5</f>
        <v>127.86872999999999</v>
      </c>
      <c r="Z138" s="345"/>
      <c r="AA138" s="345"/>
      <c r="AB138" s="345"/>
      <c r="AC138" s="345"/>
    </row>
    <row r="139" spans="1:29">
      <c r="A139" s="1538"/>
      <c r="B139" s="298">
        <v>1.4</v>
      </c>
      <c r="C139" s="303">
        <f>(37.4*KFC!$B$20*1.02*1.15*1.1+KFC!$C$20)*KFC!$C$5</f>
        <v>48.25721999999999</v>
      </c>
      <c r="D139" s="300">
        <f>(40.5*KFC!$B$20*1.02*1.15*1.1+KFC!$C$20)*KFC!$C$5</f>
        <v>52.257149999999996</v>
      </c>
      <c r="E139" s="300">
        <f>(43.4*KFC!$B$20*1.02*1.15*1.1+KFC!$C$20)*KFC!$C$5</f>
        <v>55.999019999999994</v>
      </c>
      <c r="F139" s="300">
        <f>(46.4*KFC!$B$20*1.02*1.15*1.1+KFC!$C$20)*KFC!$C$5</f>
        <v>59.869919999999993</v>
      </c>
      <c r="G139" s="300">
        <f>(49.4*KFC!$B$20*1.02*1.15*1.1+KFC!$C$20)*KFC!$C$5</f>
        <v>63.740819999999992</v>
      </c>
      <c r="H139" s="300">
        <f>(52.3*KFC!$B$20*1.02*1.15*1.1+KFC!$C$20)*KFC!$C$5</f>
        <v>67.482689999999991</v>
      </c>
      <c r="I139" s="300">
        <f>(55.4*KFC!$B$20*1.02*1.15*1.1+KFC!$C$20)*KFC!$C$5</f>
        <v>71.482620000000011</v>
      </c>
      <c r="J139" s="300">
        <f>(58.3*KFC!$B$20*1.02*1.15*1.1+KFC!$C$20)*KFC!$C$5</f>
        <v>75.224490000000003</v>
      </c>
      <c r="K139" s="300">
        <f>(61.3*KFC!$B$20*1.02*1.15*1.1+KFC!$C$20)*KFC!$C$5</f>
        <v>79.095389999999995</v>
      </c>
      <c r="L139" s="300">
        <f>(64.3*KFC!$B$20*1.02*1.15*1.1+KFC!$C$20)*KFC!$C$5</f>
        <v>82.966290000000001</v>
      </c>
      <c r="M139" s="300">
        <f>(67.3*KFC!$B$20*1.02*1.15*1.1+KFC!$C$20)*KFC!$C$5</f>
        <v>86.837190000000007</v>
      </c>
      <c r="N139" s="300">
        <f>(70.3*KFC!$B$20*1.02*1.15*1.1+KFC!$C$20)*KFC!$C$5</f>
        <v>90.708090000000013</v>
      </c>
      <c r="O139" s="300">
        <f>(73.3*KFC!$B$20*1.02*1.15*1.1+KFC!$C$20)*KFC!$C$5</f>
        <v>94.578990000000019</v>
      </c>
      <c r="P139" s="300">
        <f>(76.2*KFC!$B$20*1.02*1.15*1.1+KFC!$C$20)*KFC!$C$5</f>
        <v>98.32086000000001</v>
      </c>
      <c r="Q139" s="300">
        <f>(79.3*KFC!$B$20*1.02*1.15*1.1+KFC!$C$20)*KFC!$C$5</f>
        <v>102.32078999999999</v>
      </c>
      <c r="R139" s="300">
        <f>(82.2*KFC!$B$20*1.02*1.15*1.1+KFC!$C$20)*KFC!$C$5</f>
        <v>106.06266000000002</v>
      </c>
      <c r="S139" s="300">
        <f>(85.2*KFC!$B$20*1.02*1.15*1.1+KFC!$C$20)*KFC!$C$5</f>
        <v>109.93356000000001</v>
      </c>
      <c r="T139" s="300">
        <f>(88.2*KFC!$B$20*1.02*1.15*1.1+KFC!$C$20)*KFC!$C$5</f>
        <v>113.80445999999999</v>
      </c>
      <c r="U139" s="300">
        <f>(91.1*KFC!$B$20*1.02*1.15*1.1+KFC!$C$20)*KFC!$C$5</f>
        <v>117.54633</v>
      </c>
      <c r="V139" s="300">
        <f>(94.2*KFC!$B$20*1.02*1.15*1.1+KFC!$C$20)*KFC!$C$5</f>
        <v>121.54626</v>
      </c>
      <c r="W139" s="300">
        <f>(97.1*KFC!$B$20*1.02*1.15*1.1+KFC!$C$20)*KFC!$C$5</f>
        <v>125.28813</v>
      </c>
      <c r="X139" s="300">
        <f>(100.2*KFC!$B$20*1.02*1.15*1.1+KFC!$C$20)*KFC!$C$5</f>
        <v>129.28806</v>
      </c>
      <c r="Y139" s="304">
        <f>(103.1*KFC!$B$20*1.02*1.15*1.1+KFC!$C$20)*KFC!$C$5</f>
        <v>133.02992999999998</v>
      </c>
      <c r="Z139" s="345"/>
      <c r="AA139" s="345"/>
      <c r="AB139" s="345"/>
      <c r="AC139" s="345"/>
    </row>
    <row r="140" spans="1:29">
      <c r="A140" s="1538"/>
      <c r="B140" s="298">
        <v>1.5</v>
      </c>
      <c r="C140" s="303">
        <f>(38*KFC!$B$20*1.02*1.15*1.1+KFC!$C$20)*KFC!$C$5</f>
        <v>49.031399999999991</v>
      </c>
      <c r="D140" s="300">
        <f>(41.2*KFC!$B$20*1.02*1.15*1.1+KFC!$C$20)*KFC!$C$5</f>
        <v>53.160360000000004</v>
      </c>
      <c r="E140" s="300">
        <f>(44.4*KFC!$B$20*1.02*1.15*1.1+KFC!$C$20)*KFC!$C$5</f>
        <v>57.289319999999996</v>
      </c>
      <c r="F140" s="300">
        <f>(47.5*KFC!$B$20*1.02*1.15*1.1+KFC!$C$20)*KFC!$C$5</f>
        <v>61.289250000000003</v>
      </c>
      <c r="G140" s="300">
        <f>(50.6*KFC!$B$20*1.02*1.15*1.1+KFC!$C$20)*KFC!$C$5</f>
        <v>65.289180000000002</v>
      </c>
      <c r="H140" s="300">
        <f>(53.8*KFC!$B$20*1.02*1.15*1.1+KFC!$C$20)*KFC!$C$5</f>
        <v>69.418139999999994</v>
      </c>
      <c r="I140" s="300">
        <f>(56.9*KFC!$B$20*1.02*1.15*1.1+KFC!$C$20)*KFC!$C$5</f>
        <v>73.41807</v>
      </c>
      <c r="J140" s="300">
        <f>(60*KFC!$B$20*1.02*1.15*1.1+KFC!$C$20)*KFC!$C$5</f>
        <v>77.418000000000006</v>
      </c>
      <c r="K140" s="300">
        <f>(63.2*KFC!$B$20*1.02*1.15*1.1+KFC!$C$20)*KFC!$C$5</f>
        <v>81.546959999999999</v>
      </c>
      <c r="L140" s="300">
        <f>(66.3*KFC!$B$20*1.02*1.15*1.1+KFC!$C$20)*KFC!$C$5</f>
        <v>85.546890000000005</v>
      </c>
      <c r="M140" s="300">
        <f>(69.5*KFC!$B$20*1.02*1.15*1.1+KFC!$C$20)*KFC!$C$5</f>
        <v>89.675850000000011</v>
      </c>
      <c r="N140" s="300">
        <f>(72.6*KFC!$B$20*1.02*1.15*1.1+KFC!$C$20)*KFC!$C$5</f>
        <v>93.675780000000003</v>
      </c>
      <c r="O140" s="300">
        <f>(75.7*KFC!$B$20*1.02*1.15*1.1+KFC!$C$20)*KFC!$C$5</f>
        <v>97.675710000000009</v>
      </c>
      <c r="P140" s="300">
        <f>(78.9*KFC!$B$20*1.02*1.15*1.1+KFC!$C$20)*KFC!$C$5</f>
        <v>101.80467000000002</v>
      </c>
      <c r="Q140" s="300">
        <f>(82.1*KFC!$B$20*1.02*1.15*1.1+KFC!$C$20)*KFC!$C$5</f>
        <v>105.93362999999998</v>
      </c>
      <c r="R140" s="300">
        <f>(85.1*KFC!$B$20*1.02*1.15*1.1+KFC!$C$20)*KFC!$C$5</f>
        <v>109.80452999999999</v>
      </c>
      <c r="S140" s="300">
        <f>(88.3*KFC!$B$20*1.02*1.15*1.1+KFC!$C$20)*KFC!$C$5</f>
        <v>113.93348999999999</v>
      </c>
      <c r="T140" s="300">
        <f>(91.4*KFC!$B$20*1.02*1.15*1.1+KFC!$C$20)*KFC!$C$5</f>
        <v>117.93342</v>
      </c>
      <c r="U140" s="300">
        <f>(94.5*KFC!$B$20*1.02*1.15*1.1+KFC!$C$20)*KFC!$C$5</f>
        <v>121.93334999999999</v>
      </c>
      <c r="V140" s="300">
        <f>(97.7*KFC!$B$20*1.02*1.15*1.1+KFC!$C$20)*KFC!$C$5</f>
        <v>126.06231000000002</v>
      </c>
      <c r="W140" s="300">
        <f>(100.8*KFC!$B$20*1.02*1.15*1.1+KFC!$C$20)*KFC!$C$5</f>
        <v>130.06224</v>
      </c>
      <c r="X140" s="300">
        <f>(104*KFC!$B$20*1.02*1.15*1.1+KFC!$C$20)*KFC!$C$5</f>
        <v>134.19120000000001</v>
      </c>
      <c r="Y140" s="304">
        <f>(107.1*KFC!$B$20*1.02*1.15*1.1+KFC!$C$20)*KFC!$C$5</f>
        <v>138.19112999999999</v>
      </c>
      <c r="Z140" s="345"/>
      <c r="AA140" s="345"/>
      <c r="AB140" s="345"/>
      <c r="AC140" s="345"/>
    </row>
    <row r="141" spans="1:29">
      <c r="A141" s="1538"/>
      <c r="B141" s="298">
        <v>1.6</v>
      </c>
      <c r="C141" s="303">
        <f>(38.6*KFC!$B$20*1.02*1.15*1.1+KFC!$C$20)*KFC!$C$5</f>
        <v>49.805580000000006</v>
      </c>
      <c r="D141" s="300">
        <f>(41.9*KFC!$B$20*1.02*1.15*1.1+KFC!$C$20)*KFC!$C$5</f>
        <v>54.063570000000006</v>
      </c>
      <c r="E141" s="300">
        <f>(45.3*KFC!$B$20*1.02*1.15*1.1+KFC!$C$20)*KFC!$C$5</f>
        <v>58.450589999999991</v>
      </c>
      <c r="F141" s="300">
        <f>(48.6*KFC!$B$20*1.02*1.15*1.1+KFC!$C$20)*KFC!$C$5</f>
        <v>62.708579999999998</v>
      </c>
      <c r="G141" s="300">
        <f>(51.9*KFC!$B$20*1.02*1.15*1.1+KFC!$C$20)*KFC!$C$5</f>
        <v>66.966570000000004</v>
      </c>
      <c r="H141" s="300">
        <f>(55.2*KFC!$B$20*1.02*1.15*1.1+KFC!$C$20)*KFC!$C$5</f>
        <v>71.224560000000011</v>
      </c>
      <c r="I141" s="300">
        <f>(58.5*KFC!$B$20*1.02*1.15*1.1+KFC!$C$20)*KFC!$C$5</f>
        <v>75.482550000000003</v>
      </c>
      <c r="J141" s="300">
        <f>(61.8*KFC!$B$20*1.02*1.15*1.1+KFC!$C$20)*KFC!$C$5</f>
        <v>79.74054000000001</v>
      </c>
      <c r="K141" s="300">
        <f>(65.1*KFC!$B$20*1.02*1.15*1.1+KFC!$C$20)*KFC!$C$5</f>
        <v>83.998530000000002</v>
      </c>
      <c r="L141" s="300">
        <f>(68.4*KFC!$B$20*1.02*1.15*1.1+KFC!$C$20)*KFC!$C$5</f>
        <v>88.256520000000009</v>
      </c>
      <c r="M141" s="300">
        <f>(71.7*KFC!$B$20*1.02*1.15*1.1+KFC!$C$20)*KFC!$C$5</f>
        <v>92.514510000000001</v>
      </c>
      <c r="N141" s="300">
        <f>(75*KFC!$B$20*1.02*1.15*1.1+KFC!$C$20)*KFC!$C$5</f>
        <v>96.772500000000008</v>
      </c>
      <c r="O141" s="300">
        <f>(78.1*KFC!$B$20*1.02*1.15*1.1+KFC!$C$20)*KFC!$C$5</f>
        <v>100.77242999999999</v>
      </c>
      <c r="P141" s="300">
        <f>(81.5*KFC!$B$20*1.02*1.15*1.1+KFC!$C$20)*KFC!$C$5</f>
        <v>105.15944999999999</v>
      </c>
      <c r="Q141" s="300">
        <f>(84.8*KFC!$B$20*1.02*1.15*1.1+KFC!$C$20)*KFC!$C$5</f>
        <v>109.41743999999998</v>
      </c>
      <c r="R141" s="300">
        <f>(88.1*KFC!$B$20*1.02*1.15*1.1+KFC!$C$20)*KFC!$C$5</f>
        <v>113.67542999999999</v>
      </c>
      <c r="S141" s="300">
        <f>(91.4*KFC!$B$20*1.02*1.15*1.1+KFC!$C$20)*KFC!$C$5</f>
        <v>117.93342</v>
      </c>
      <c r="T141" s="300">
        <f>(94.7*KFC!$B$20*1.02*1.15*1.1+KFC!$C$20)*KFC!$C$5</f>
        <v>122.19141</v>
      </c>
      <c r="U141" s="300">
        <f>(98*KFC!$B$20*1.02*1.15*1.1+KFC!$C$20)*KFC!$C$5</f>
        <v>126.4494</v>
      </c>
      <c r="V141" s="300">
        <f>(101.3*KFC!$B$20*1.02*1.15*1.1+KFC!$C$20)*KFC!$C$5</f>
        <v>130.70739</v>
      </c>
      <c r="W141" s="300">
        <f>(104.6*KFC!$B$20*1.02*1.15*1.1+KFC!$C$20)*KFC!$C$5</f>
        <v>134.96537999999998</v>
      </c>
      <c r="X141" s="300">
        <f>(107.9*KFC!$B$20*1.02*1.15*1.1+KFC!$C$20)*KFC!$C$5</f>
        <v>139.22337000000002</v>
      </c>
      <c r="Y141" s="304">
        <f>(111.2*KFC!$B$20*1.02*1.15*1.1+KFC!$C$20)*KFC!$C$5</f>
        <v>143.48136000000002</v>
      </c>
      <c r="Z141" s="345"/>
      <c r="AA141" s="345"/>
      <c r="AB141" s="345"/>
      <c r="AC141" s="345"/>
    </row>
    <row r="142" spans="1:29">
      <c r="A142" s="1538"/>
      <c r="B142" s="298">
        <v>1.7</v>
      </c>
      <c r="C142" s="303">
        <f>(39.4*KFC!$B$20*1.02*1.15*1.1+KFC!$C$20)*KFC!$C$5</f>
        <v>50.837820000000008</v>
      </c>
      <c r="D142" s="300">
        <f>(42.8*KFC!$B$20*1.02*1.15*1.1+KFC!$C$20)*KFC!$C$5</f>
        <v>55.224839999999993</v>
      </c>
      <c r="E142" s="300">
        <f>(46.2*KFC!$B$20*1.02*1.15*1.1+KFC!$C$20)*KFC!$C$5</f>
        <v>59.61186</v>
      </c>
      <c r="F142" s="300">
        <f>(49.7*KFC!$B$20*1.02*1.15*1.1+KFC!$C$20)*KFC!$C$5</f>
        <v>64.12791</v>
      </c>
      <c r="G142" s="300">
        <f>(53.1*KFC!$B$20*1.02*1.15*1.1+KFC!$C$20)*KFC!$C$5</f>
        <v>68.514930000000007</v>
      </c>
      <c r="H142" s="300">
        <f>(56.5*KFC!$B$20*1.02*1.15*1.1+KFC!$C$20)*KFC!$C$5</f>
        <v>72.901950000000014</v>
      </c>
      <c r="I142" s="300">
        <f>(60*KFC!$B$20*1.02*1.15*1.1+KFC!$C$20)*KFC!$C$5</f>
        <v>77.418000000000006</v>
      </c>
      <c r="J142" s="300">
        <f>(63.5*KFC!$B$20*1.02*1.15*1.1+KFC!$C$20)*KFC!$C$5</f>
        <v>81.934049999999999</v>
      </c>
      <c r="K142" s="300">
        <f>(66.9*KFC!$B$20*1.02*1.15*1.1+KFC!$C$20)*KFC!$C$5</f>
        <v>86.32107000000002</v>
      </c>
      <c r="L142" s="300">
        <f>(70.3*KFC!$B$20*1.02*1.15*1.1+KFC!$C$20)*KFC!$C$5</f>
        <v>90.708090000000013</v>
      </c>
      <c r="M142" s="300">
        <f>(73.7*KFC!$B$20*1.02*1.15*1.1+KFC!$C$20)*KFC!$C$5</f>
        <v>95.09511000000002</v>
      </c>
      <c r="N142" s="300">
        <f>(77.2*KFC!$B$20*1.02*1.15*1.1+KFC!$C$20)*KFC!$C$5</f>
        <v>99.611160000000012</v>
      </c>
      <c r="O142" s="300">
        <f>(80.7*KFC!$B$20*1.02*1.15*1.1+KFC!$C$20)*KFC!$C$5</f>
        <v>104.12721000000002</v>
      </c>
      <c r="P142" s="300">
        <f>(84.1*KFC!$B$20*1.02*1.15*1.1+KFC!$C$20)*KFC!$C$5</f>
        <v>108.51422999999998</v>
      </c>
      <c r="Q142" s="300">
        <f>(87.6*KFC!$B$20*1.02*1.15*1.1+KFC!$C$20)*KFC!$C$5</f>
        <v>113.03027999999998</v>
      </c>
      <c r="R142" s="300">
        <f>(91*KFC!$B$20*1.02*1.15*1.1+KFC!$C$20)*KFC!$C$5</f>
        <v>117.4173</v>
      </c>
      <c r="S142" s="300">
        <f>(94.4*KFC!$B$20*1.02*1.15*1.1+KFC!$C$20)*KFC!$C$5</f>
        <v>121.80432</v>
      </c>
      <c r="T142" s="300">
        <f>(98*KFC!$B$20*1.02*1.15*1.1+KFC!$C$20)*KFC!$C$5</f>
        <v>126.4494</v>
      </c>
      <c r="U142" s="300">
        <f>(101.4*KFC!$B$20*1.02*1.15*1.1+KFC!$C$20)*KFC!$C$5</f>
        <v>130.83642</v>
      </c>
      <c r="V142" s="300">
        <f>(104.8*KFC!$B$20*1.02*1.15*1.1+KFC!$C$20)*KFC!$C$5</f>
        <v>135.22344000000001</v>
      </c>
      <c r="W142" s="300">
        <f>(108.2*KFC!$B$20*1.02*1.15*1.1+KFC!$C$20)*KFC!$C$5</f>
        <v>139.61046000000002</v>
      </c>
      <c r="X142" s="300">
        <f>(111.7*KFC!$B$20*1.02*1.15*1.1+KFC!$C$20)*KFC!$C$5</f>
        <v>144.12651000000002</v>
      </c>
      <c r="Y142" s="304">
        <f>(115.1*KFC!$B$20*1.02*1.15*1.1+KFC!$C$20)*KFC!$C$5</f>
        <v>148.51353</v>
      </c>
      <c r="Z142" s="345"/>
      <c r="AA142" s="345"/>
      <c r="AB142" s="345"/>
      <c r="AC142" s="345"/>
    </row>
    <row r="143" spans="1:29">
      <c r="A143" s="1538"/>
      <c r="B143" s="298">
        <v>1.8</v>
      </c>
      <c r="C143" s="303">
        <f>(40*KFC!$B$20*1.02*1.15*1.1+KFC!$C$20)*KFC!$C$5</f>
        <v>51.611999999999995</v>
      </c>
      <c r="D143" s="300">
        <f>(43.5*KFC!$B$20*1.02*1.15*1.1+KFC!$C$20)*KFC!$C$5</f>
        <v>56.128049999999995</v>
      </c>
      <c r="E143" s="300">
        <f>(47.2*KFC!$B$20*1.02*1.15*1.1+KFC!$C$20)*KFC!$C$5</f>
        <v>60.902160000000002</v>
      </c>
      <c r="F143" s="300">
        <f>(50.8*KFC!$B$20*1.02*1.15*1.1+KFC!$C$20)*KFC!$C$5</f>
        <v>65.547240000000002</v>
      </c>
      <c r="G143" s="300">
        <f>(54.3*KFC!$B$20*1.02*1.15*1.1+KFC!$C$20)*KFC!$C$5</f>
        <v>70.063289999999995</v>
      </c>
      <c r="H143" s="300">
        <f>(58*KFC!$B$20*1.02*1.15*1.1+KFC!$C$20)*KFC!$C$5</f>
        <v>74.837400000000017</v>
      </c>
      <c r="I143" s="300">
        <f>(61.5*KFC!$B$20*1.02*1.15*1.1+KFC!$C$20)*KFC!$C$5</f>
        <v>79.353450000000009</v>
      </c>
      <c r="J143" s="300">
        <f>(65.2*KFC!$B$20*1.02*1.15*1.1+KFC!$C$20)*KFC!$C$5</f>
        <v>84.127560000000017</v>
      </c>
      <c r="K143" s="300">
        <f>(68.7*KFC!$B$20*1.02*1.15*1.1+KFC!$C$20)*KFC!$C$5</f>
        <v>88.64361000000001</v>
      </c>
      <c r="L143" s="300">
        <f>(72.4*KFC!$B$20*1.02*1.15*1.1+KFC!$C$20)*KFC!$C$5</f>
        <v>93.417720000000017</v>
      </c>
      <c r="M143" s="300">
        <f>(75.9*KFC!$B$20*1.02*1.15*1.1+KFC!$C$20)*KFC!$C$5</f>
        <v>97.93377000000001</v>
      </c>
      <c r="N143" s="300">
        <f>(79.5*KFC!$B$20*1.02*1.15*1.1+KFC!$C$20)*KFC!$C$5</f>
        <v>102.57885000000002</v>
      </c>
      <c r="O143" s="300">
        <f>(83.2*KFC!$B$20*1.02*1.15*1.1+KFC!$C$20)*KFC!$C$5</f>
        <v>107.35296000000001</v>
      </c>
      <c r="P143" s="300">
        <f>(86.7*KFC!$B$20*1.02*1.15*1.1+KFC!$C$20)*KFC!$C$5</f>
        <v>111.86900999999999</v>
      </c>
      <c r="Q143" s="300">
        <f>(90.4*KFC!$B$20*1.02*1.15*1.1+KFC!$C$20)*KFC!$C$5</f>
        <v>116.64312000000002</v>
      </c>
      <c r="R143" s="300">
        <f>(93.9*KFC!$B$20*1.02*1.15*1.1+KFC!$C$20)*KFC!$C$5</f>
        <v>121.15917</v>
      </c>
      <c r="S143" s="300">
        <f>(97.6*KFC!$B$20*1.02*1.15*1.1+KFC!$C$20)*KFC!$C$5</f>
        <v>125.93327999999998</v>
      </c>
      <c r="T143" s="300">
        <f>(101.1*KFC!$B$20*1.02*1.15*1.1+KFC!$C$20)*KFC!$C$5</f>
        <v>130.44933</v>
      </c>
      <c r="U143" s="300">
        <f>(104.7*KFC!$B$20*1.02*1.15*1.1+KFC!$C$20)*KFC!$C$5</f>
        <v>135.09441000000001</v>
      </c>
      <c r="V143" s="300">
        <f>(108.4*KFC!$B$20*1.02*1.15*1.1+KFC!$C$20)*KFC!$C$5</f>
        <v>139.86852000000002</v>
      </c>
      <c r="W143" s="300">
        <f>(111.9*KFC!$B$20*1.02*1.15*1.1+KFC!$C$20)*KFC!$C$5</f>
        <v>144.38457000000002</v>
      </c>
      <c r="X143" s="300">
        <f>(115.6*KFC!$B$20*1.02*1.15*1.1+KFC!$C$20)*KFC!$C$5</f>
        <v>149.15868</v>
      </c>
      <c r="Y143" s="304">
        <f>(119.1*KFC!$B$20*1.02*1.15*1.1+KFC!$C$20)*KFC!$C$5</f>
        <v>153.67473000000001</v>
      </c>
      <c r="Z143" s="345"/>
      <c r="AA143" s="345"/>
      <c r="AB143" s="345"/>
      <c r="AC143" s="345"/>
    </row>
    <row r="144" spans="1:29">
      <c r="A144" s="1538"/>
      <c r="B144" s="298">
        <v>1.9</v>
      </c>
      <c r="C144" s="303">
        <f>(41.2*KFC!$B$20*1.02*1.15*1.1+KFC!$C$20)*KFC!$C$5</f>
        <v>53.160360000000004</v>
      </c>
      <c r="D144" s="300">
        <f>(45.1*KFC!$B$20*1.02*1.15*1.1+KFC!$C$20)*KFC!$C$5</f>
        <v>58.192529999999998</v>
      </c>
      <c r="E144" s="300">
        <f>(49*KFC!$B$20*1.02*1.15*1.1+KFC!$C$20)*KFC!$C$5</f>
        <v>63.224699999999999</v>
      </c>
      <c r="F144" s="300">
        <f>(53*KFC!$B$20*1.02*1.15*1.1+KFC!$C$20)*KFC!$C$5</f>
        <v>68.385900000000007</v>
      </c>
      <c r="G144" s="300">
        <f>(56.9*KFC!$B$20*1.02*1.15*1.1+KFC!$C$20)*KFC!$C$5</f>
        <v>73.41807</v>
      </c>
      <c r="H144" s="300">
        <f>(60.8*KFC!$B$20*1.02*1.15*1.1+KFC!$C$20)*KFC!$C$5</f>
        <v>78.450240000000008</v>
      </c>
      <c r="I144" s="300">
        <f>(64.7*KFC!$B$20*1.02*1.15*1.1+KFC!$C$20)*KFC!$C$5</f>
        <v>83.482410000000002</v>
      </c>
      <c r="J144" s="300">
        <f>(68.6*KFC!$B$20*1.02*1.15*1.1+KFC!$C$20)*KFC!$C$5</f>
        <v>88.514579999999995</v>
      </c>
      <c r="K144" s="300">
        <f>(72.5*KFC!$B$20*1.02*1.15*1.1+KFC!$C$20)*KFC!$C$5</f>
        <v>93.546750000000003</v>
      </c>
      <c r="L144" s="300">
        <f>(76.4*KFC!$B$20*1.02*1.15*1.1+KFC!$C$20)*KFC!$C$5</f>
        <v>98.578920000000025</v>
      </c>
      <c r="M144" s="300">
        <f>(80.2*KFC!$B$20*1.02*1.15*1.1+KFC!$C$20)*KFC!$C$5</f>
        <v>103.48205999999999</v>
      </c>
      <c r="N144" s="300">
        <f>(84.1*KFC!$B$20*1.02*1.15*1.1+KFC!$C$20)*KFC!$C$5</f>
        <v>108.51422999999998</v>
      </c>
      <c r="O144" s="300">
        <f>(88.1*KFC!$B$20*1.02*1.15*1.1+KFC!$C$20)*KFC!$C$5</f>
        <v>113.67542999999999</v>
      </c>
      <c r="P144" s="300">
        <f>(92*KFC!$B$20*1.02*1.15*1.1+KFC!$C$20)*KFC!$C$5</f>
        <v>118.7076</v>
      </c>
      <c r="Q144" s="300">
        <f>(95.9*KFC!$B$20*1.02*1.15*1.1+KFC!$C$20)*KFC!$C$5</f>
        <v>123.73977000000002</v>
      </c>
      <c r="R144" s="300">
        <f>(99.8*KFC!$B$20*1.02*1.15*1.1+KFC!$C$20)*KFC!$C$5</f>
        <v>128.77194</v>
      </c>
      <c r="S144" s="300">
        <f>(103.7*KFC!$B$20*1.02*1.15*1.1+KFC!$C$20)*KFC!$C$5</f>
        <v>133.80411000000001</v>
      </c>
      <c r="T144" s="300">
        <f>(107.6*KFC!$B$20*1.02*1.15*1.1+KFC!$C$20)*KFC!$C$5</f>
        <v>138.83627999999999</v>
      </c>
      <c r="U144" s="300">
        <f>(111.5*KFC!$B$20*1.02*1.15*1.1+KFC!$C$20)*KFC!$C$5</f>
        <v>143.86845000000002</v>
      </c>
      <c r="V144" s="300">
        <f>(115.5*KFC!$B$20*1.02*1.15*1.1+KFC!$C$20)*KFC!$C$5</f>
        <v>149.02965</v>
      </c>
      <c r="W144" s="300">
        <f>(119.4*KFC!$B$20*1.02*1.15*1.1+KFC!$C$20)*KFC!$C$5</f>
        <v>154.06182000000001</v>
      </c>
      <c r="X144" s="300">
        <f>(123.3*KFC!$B$20*1.02*1.15*1.1+KFC!$C$20)*KFC!$C$5</f>
        <v>159.09399000000002</v>
      </c>
      <c r="Y144" s="304">
        <f>(127.2*KFC!$B$20*1.02*1.15*1.1+KFC!$C$20)*KFC!$C$5</f>
        <v>164.12616</v>
      </c>
      <c r="Z144" s="345"/>
      <c r="AA144" s="345"/>
      <c r="AB144" s="345"/>
      <c r="AC144" s="345"/>
    </row>
    <row r="145" spans="1:29">
      <c r="A145" s="1538"/>
      <c r="B145" s="298">
        <v>2</v>
      </c>
      <c r="C145" s="303">
        <f>(41.8*KFC!$B$20*1.02*1.15*1.1+KFC!$C$20)*KFC!$C$5</f>
        <v>53.934539999999991</v>
      </c>
      <c r="D145" s="300">
        <f>(45.9*KFC!$B$20*1.02*1.15*1.1+KFC!$C$20)*KFC!$C$5</f>
        <v>59.224769999999992</v>
      </c>
      <c r="E145" s="300">
        <f>(50*KFC!$B$20*1.02*1.15*1.1+KFC!$C$20)*KFC!$C$5</f>
        <v>64.515000000000001</v>
      </c>
      <c r="F145" s="300">
        <f>(54.1*KFC!$B$20*1.02*1.15*1.1+KFC!$C$20)*KFC!$C$5</f>
        <v>69.805230000000009</v>
      </c>
      <c r="G145" s="300">
        <f>(58.1*KFC!$B$20*1.02*1.15*1.1+KFC!$C$20)*KFC!$C$5</f>
        <v>74.966430000000003</v>
      </c>
      <c r="H145" s="300">
        <f>(62.1*KFC!$B$20*1.02*1.15*1.1+KFC!$C$20)*KFC!$C$5</f>
        <v>80.127630000000011</v>
      </c>
      <c r="I145" s="300">
        <f>(66.2*KFC!$B$20*1.02*1.15*1.1+KFC!$C$20)*KFC!$C$5</f>
        <v>85.417860000000005</v>
      </c>
      <c r="J145" s="300">
        <f>(70.3*KFC!$B$20*1.02*1.15*1.1+KFC!$C$20)*KFC!$C$5</f>
        <v>90.708090000000013</v>
      </c>
      <c r="K145" s="300">
        <f>(74.4*KFC!$B$20*1.02*1.15*1.1+KFC!$C$20)*KFC!$C$5</f>
        <v>95.998320000000007</v>
      </c>
      <c r="L145" s="300">
        <f>(78.4*KFC!$B$20*1.02*1.15*1.1+KFC!$C$20)*KFC!$C$5</f>
        <v>101.15952000000001</v>
      </c>
      <c r="M145" s="300">
        <f>(82.4*KFC!$B$20*1.02*1.15*1.1+KFC!$C$20)*KFC!$C$5</f>
        <v>106.32072000000001</v>
      </c>
      <c r="N145" s="300">
        <f>(86.5*KFC!$B$20*1.02*1.15*1.1+KFC!$C$20)*KFC!$C$5</f>
        <v>111.61095000000002</v>
      </c>
      <c r="O145" s="300">
        <f>(90.6*KFC!$B$20*1.02*1.15*1.1+KFC!$C$20)*KFC!$C$5</f>
        <v>116.90117999999998</v>
      </c>
      <c r="P145" s="300">
        <f>(94.7*KFC!$B$20*1.02*1.15*1.1+KFC!$C$20)*KFC!$C$5</f>
        <v>122.19141</v>
      </c>
      <c r="Q145" s="300">
        <f>(98.7*KFC!$B$20*1.02*1.15*1.1+KFC!$C$20)*KFC!$C$5</f>
        <v>127.35261</v>
      </c>
      <c r="R145" s="300">
        <f>(102.7*KFC!$B$20*1.02*1.15*1.1+KFC!$C$20)*KFC!$C$5</f>
        <v>132.51381000000001</v>
      </c>
      <c r="S145" s="300">
        <f>(106.8*KFC!$B$20*1.02*1.15*1.1+KFC!$C$20)*KFC!$C$5</f>
        <v>137.80403999999999</v>
      </c>
      <c r="T145" s="300">
        <f>(110.9*KFC!$B$20*1.02*1.15*1.1+KFC!$C$20)*KFC!$C$5</f>
        <v>143.09427000000002</v>
      </c>
      <c r="U145" s="300">
        <f>(115*KFC!$B$20*1.02*1.15*1.1+KFC!$C$20)*KFC!$C$5</f>
        <v>148.3845</v>
      </c>
      <c r="V145" s="300">
        <f>(119*KFC!$B$20*1.02*1.15*1.1+KFC!$C$20)*KFC!$C$5</f>
        <v>153.54570000000001</v>
      </c>
      <c r="W145" s="300">
        <f>(123*KFC!$B$20*1.02*1.15*1.1+KFC!$C$20)*KFC!$C$5</f>
        <v>158.70690000000002</v>
      </c>
      <c r="X145" s="300">
        <f>(127.1*KFC!$B$20*1.02*1.15*1.1+KFC!$C$20)*KFC!$C$5</f>
        <v>163.99713</v>
      </c>
      <c r="Y145" s="304">
        <f>(131.2*KFC!$B$20*1.02*1.15*1.1+KFC!$C$20)*KFC!$C$5</f>
        <v>169.28736000000001</v>
      </c>
      <c r="Z145" s="345"/>
      <c r="AA145" s="345"/>
      <c r="AB145" s="345"/>
      <c r="AC145" s="345"/>
    </row>
    <row r="146" spans="1:29">
      <c r="A146" s="1538"/>
      <c r="B146" s="298">
        <v>2.1</v>
      </c>
      <c r="C146" s="303">
        <f>(42.4*KFC!$B$20*1.02*1.15*1.1+KFC!$C$20)*KFC!$C$5</f>
        <v>54.708719999999992</v>
      </c>
      <c r="D146" s="300">
        <f>(46.7*KFC!$B$20*1.02*1.15*1.1+KFC!$C$20)*KFC!$C$5</f>
        <v>60.257010000000001</v>
      </c>
      <c r="E146" s="300">
        <f>(50.9*KFC!$B$20*1.02*1.15*1.1+KFC!$C$20)*KFC!$C$5</f>
        <v>65.676270000000002</v>
      </c>
      <c r="F146" s="300">
        <f>(55.2*KFC!$B$20*1.02*1.15*1.1+KFC!$C$20)*KFC!$C$5</f>
        <v>71.224560000000011</v>
      </c>
      <c r="G146" s="300">
        <f>(59.3*KFC!$B$20*1.02*1.15*1.1+KFC!$C$20)*KFC!$C$5</f>
        <v>76.514790000000005</v>
      </c>
      <c r="H146" s="300">
        <f>(63.6*KFC!$B$20*1.02*1.15*1.1+KFC!$C$20)*KFC!$C$5</f>
        <v>82.063079999999999</v>
      </c>
      <c r="I146" s="300">
        <f>(67.8*KFC!$B$20*1.02*1.15*1.1+KFC!$C$20)*KFC!$C$5</f>
        <v>87.482339999999979</v>
      </c>
      <c r="J146" s="300">
        <f>(72*KFC!$B$20*1.02*1.15*1.1+KFC!$C$20)*KFC!$C$5</f>
        <v>92.901600000000002</v>
      </c>
      <c r="K146" s="300">
        <f>(76.2*KFC!$B$20*1.02*1.15*1.1+KFC!$C$20)*KFC!$C$5</f>
        <v>98.32086000000001</v>
      </c>
      <c r="L146" s="300">
        <f>(80.4*KFC!$B$20*1.02*1.15*1.1+KFC!$C$20)*KFC!$C$5</f>
        <v>103.74012000000002</v>
      </c>
      <c r="M146" s="300">
        <f>(84.6*KFC!$B$20*1.02*1.15*1.1+KFC!$C$20)*KFC!$C$5</f>
        <v>109.15938000000001</v>
      </c>
      <c r="N146" s="300">
        <f>(88.8*KFC!$B$20*1.02*1.15*1.1+KFC!$C$20)*KFC!$C$5</f>
        <v>114.57863999999999</v>
      </c>
      <c r="O146" s="300">
        <f>(93.1*KFC!$B$20*1.02*1.15*1.1+KFC!$C$20)*KFC!$C$5</f>
        <v>120.12692999999999</v>
      </c>
      <c r="P146" s="300">
        <f>(97.2*KFC!$B$20*1.02*1.15*1.1+KFC!$C$20)*KFC!$C$5</f>
        <v>125.41716</v>
      </c>
      <c r="Q146" s="300">
        <f>(101.5*KFC!$B$20*1.02*1.15*1.1+KFC!$C$20)*KFC!$C$5</f>
        <v>130.96545</v>
      </c>
      <c r="R146" s="300">
        <f>(105.7*KFC!$B$20*1.02*1.15*1.1+KFC!$C$20)*KFC!$C$5</f>
        <v>136.38471000000001</v>
      </c>
      <c r="S146" s="300">
        <f>(109.9*KFC!$B$20*1.02*1.15*1.1+KFC!$C$20)*KFC!$C$5</f>
        <v>141.80397000000002</v>
      </c>
      <c r="T146" s="300">
        <f>(114.1*KFC!$B$20*1.02*1.15*1.1+KFC!$C$20)*KFC!$C$5</f>
        <v>147.22323</v>
      </c>
      <c r="U146" s="300">
        <f>(118.4*KFC!$B$20*1.02*1.15*1.1+KFC!$C$20)*KFC!$C$5</f>
        <v>152.77152000000004</v>
      </c>
      <c r="V146" s="300">
        <f>(122.5*KFC!$B$20*1.02*1.15*1.1+KFC!$C$20)*KFC!$C$5</f>
        <v>158.06175000000002</v>
      </c>
      <c r="W146" s="300">
        <f>(126.7*KFC!$B$20*1.02*1.15*1.1+KFC!$C$20)*KFC!$C$5</f>
        <v>163.48101000000003</v>
      </c>
      <c r="X146" s="300">
        <f>(131*KFC!$B$20*1.02*1.15*1.1+KFC!$C$20)*KFC!$C$5</f>
        <v>169.02930000000001</v>
      </c>
      <c r="Y146" s="304">
        <f>(135.1*KFC!$B$20*1.02*1.15*1.1+KFC!$C$20)*KFC!$C$5</f>
        <v>174.31953000000001</v>
      </c>
      <c r="Z146" s="345"/>
      <c r="AA146" s="345"/>
      <c r="AB146" s="345"/>
      <c r="AC146" s="345"/>
    </row>
    <row r="147" spans="1:29">
      <c r="A147" s="1538"/>
      <c r="B147" s="298">
        <v>2.2000000000000002</v>
      </c>
      <c r="C147" s="303">
        <f>(43*KFC!$B$20*1.02*1.15*1.1+KFC!$C$20)*KFC!$C$5</f>
        <v>55.482899999999994</v>
      </c>
      <c r="D147" s="300">
        <f>(47.5*KFC!$B$20*1.02*1.15*1.1+KFC!$C$20)*KFC!$C$5</f>
        <v>61.289250000000003</v>
      </c>
      <c r="E147" s="300">
        <f>(51.9*KFC!$B$20*1.02*1.15*1.1+KFC!$C$20)*KFC!$C$5</f>
        <v>66.966570000000004</v>
      </c>
      <c r="F147" s="300">
        <f>(56.3*KFC!$B$20*1.02*1.15*1.1+KFC!$C$20)*KFC!$C$5</f>
        <v>72.643889999999999</v>
      </c>
      <c r="G147" s="300">
        <f>(60.5*KFC!$B$20*1.02*1.15*1.1+KFC!$C$20)*KFC!$C$5</f>
        <v>78.063150000000007</v>
      </c>
      <c r="H147" s="300">
        <f>(64.9*KFC!$B$20*1.02*1.15*1.1+KFC!$C$20)*KFC!$C$5</f>
        <v>83.740470000000016</v>
      </c>
      <c r="I147" s="300">
        <f>(69.3*KFC!$B$20*1.02*1.15*1.1+KFC!$C$20)*KFC!$C$5</f>
        <v>89.417789999999997</v>
      </c>
      <c r="J147" s="300">
        <f>(73.6*KFC!$B$20*1.02*1.15*1.1+KFC!$C$20)*KFC!$C$5</f>
        <v>94.966079999999977</v>
      </c>
      <c r="K147" s="300">
        <f>(78*KFC!$B$20*1.02*1.15*1.1+KFC!$C$20)*KFC!$C$5</f>
        <v>100.64340000000001</v>
      </c>
      <c r="L147" s="300">
        <f>(82.4*KFC!$B$20*1.02*1.15*1.1+KFC!$C$20)*KFC!$C$5</f>
        <v>106.32072000000001</v>
      </c>
      <c r="M147" s="300">
        <f>(86.8*KFC!$B$20*1.02*1.15*1.1+KFC!$C$20)*KFC!$C$5</f>
        <v>111.99803999999999</v>
      </c>
      <c r="N147" s="300">
        <f>(91.1*KFC!$B$20*1.02*1.15*1.1+KFC!$C$20)*KFC!$C$5</f>
        <v>117.54633</v>
      </c>
      <c r="O147" s="300">
        <f>(95.5*KFC!$B$20*1.02*1.15*1.1+KFC!$C$20)*KFC!$C$5</f>
        <v>123.22364999999999</v>
      </c>
      <c r="P147" s="300">
        <f>(99.9*KFC!$B$20*1.02*1.15*1.1+KFC!$C$20)*KFC!$C$5</f>
        <v>128.90097</v>
      </c>
      <c r="Q147" s="300">
        <f>(104.2*KFC!$B$20*1.02*1.15*1.1+KFC!$C$20)*KFC!$C$5</f>
        <v>134.44926000000001</v>
      </c>
      <c r="R147" s="300">
        <f>(108.6*KFC!$B$20*1.02*1.15*1.1+KFC!$C$20)*KFC!$C$5</f>
        <v>140.12657999999999</v>
      </c>
      <c r="S147" s="300">
        <f>(113*KFC!$B$20*1.02*1.15*1.1+KFC!$C$20)*KFC!$C$5</f>
        <v>145.80390000000003</v>
      </c>
      <c r="T147" s="300">
        <f>(117.4*KFC!$B$20*1.02*1.15*1.1+KFC!$C$20)*KFC!$C$5</f>
        <v>151.48122000000001</v>
      </c>
      <c r="U147" s="300">
        <f>(121.7*KFC!$B$20*1.02*1.15*1.1+KFC!$C$20)*KFC!$C$5</f>
        <v>157.02951000000002</v>
      </c>
      <c r="V147" s="300">
        <f>(126.1*KFC!$B$20*1.02*1.15*1.1+KFC!$C$20)*KFC!$C$5</f>
        <v>162.70683</v>
      </c>
      <c r="W147" s="300">
        <f>(130.5*KFC!$B$20*1.02*1.15*1.1+KFC!$C$20)*KFC!$C$5</f>
        <v>168.38415000000003</v>
      </c>
      <c r="X147" s="300">
        <f>(134.8*KFC!$B$20*1.02*1.15*1.1+KFC!$C$20)*KFC!$C$5</f>
        <v>173.93244000000001</v>
      </c>
      <c r="Y147" s="304">
        <f>(139.2*KFC!$B$20*1.02*1.15*1.1+KFC!$C$20)*KFC!$C$5</f>
        <v>179.60975999999999</v>
      </c>
      <c r="Z147" s="345"/>
      <c r="AA147" s="345"/>
      <c r="AB147" s="345"/>
      <c r="AC147" s="345"/>
    </row>
    <row r="148" spans="1:29">
      <c r="A148" s="1538"/>
      <c r="B148" s="298">
        <v>2.2999999999999998</v>
      </c>
      <c r="C148" s="303">
        <f>(43.8*KFC!$B$20*1.02*1.15*1.1+KFC!$C$20)*KFC!$C$5</f>
        <v>56.515139999999988</v>
      </c>
      <c r="D148" s="300">
        <f>(48.3*KFC!$B$20*1.02*1.15*1.1+KFC!$C$20)*KFC!$C$5</f>
        <v>62.321489999999997</v>
      </c>
      <c r="E148" s="300">
        <f>(52.8*KFC!$B$20*1.02*1.15*1.1+KFC!$C$20)*KFC!$C$5</f>
        <v>68.127839999999992</v>
      </c>
      <c r="F148" s="300">
        <f>(57.2*KFC!$B$20*1.02*1.15*1.1+KFC!$C$20)*KFC!$C$5</f>
        <v>73.805160000000001</v>
      </c>
      <c r="G148" s="300">
        <f>(61.8*KFC!$B$20*1.02*1.15*1.1+KFC!$C$20)*KFC!$C$5</f>
        <v>79.74054000000001</v>
      </c>
      <c r="H148" s="300">
        <f>(66.3*KFC!$B$20*1.02*1.15*1.1+KFC!$C$20)*KFC!$C$5</f>
        <v>85.546890000000005</v>
      </c>
      <c r="I148" s="300">
        <f>(70.8*KFC!$B$20*1.02*1.15*1.1+KFC!$C$20)*KFC!$C$5</f>
        <v>91.35324</v>
      </c>
      <c r="J148" s="300">
        <f>(75.3*KFC!$B$20*1.02*1.15*1.1+KFC!$C$20)*KFC!$C$5</f>
        <v>97.159590000000009</v>
      </c>
      <c r="K148" s="300">
        <f>(79.9*KFC!$B$20*1.02*1.15*1.1+KFC!$C$20)*KFC!$C$5</f>
        <v>103.09497000000002</v>
      </c>
      <c r="L148" s="300">
        <f>(84.4*KFC!$B$20*1.02*1.15*1.1+KFC!$C$20)*KFC!$C$5</f>
        <v>108.90132000000001</v>
      </c>
      <c r="M148" s="300">
        <f>(88.9*KFC!$B$20*1.02*1.15*1.1+KFC!$C$20)*KFC!$C$5</f>
        <v>114.70767000000002</v>
      </c>
      <c r="N148" s="300">
        <f>(93.4*KFC!$B$20*1.02*1.15*1.1+KFC!$C$20)*KFC!$C$5</f>
        <v>120.51402</v>
      </c>
      <c r="O148" s="300">
        <f>(98*KFC!$B$20*1.02*1.15*1.1+KFC!$C$20)*KFC!$C$5</f>
        <v>126.4494</v>
      </c>
      <c r="P148" s="300">
        <f>(102.5*KFC!$B$20*1.02*1.15*1.1+KFC!$C$20)*KFC!$C$5</f>
        <v>132.25575000000001</v>
      </c>
      <c r="Q148" s="300">
        <f>(107*KFC!$B$20*1.02*1.15*1.1+KFC!$C$20)*KFC!$C$5</f>
        <v>138.06210000000002</v>
      </c>
      <c r="R148" s="300">
        <f>(111.5*KFC!$B$20*1.02*1.15*1.1+KFC!$C$20)*KFC!$C$5</f>
        <v>143.86845000000002</v>
      </c>
      <c r="S148" s="300">
        <f>(116.1*KFC!$B$20*1.02*1.15*1.1+KFC!$C$20)*KFC!$C$5</f>
        <v>149.80383</v>
      </c>
      <c r="T148" s="300">
        <f>(120.6*KFC!$B$20*1.02*1.15*1.1+KFC!$C$20)*KFC!$C$5</f>
        <v>155.61018000000001</v>
      </c>
      <c r="U148" s="300">
        <f>(125.1*KFC!$B$20*1.02*1.15*1.1+KFC!$C$20)*KFC!$C$5</f>
        <v>161.41652999999999</v>
      </c>
      <c r="V148" s="300">
        <f>(129.6*KFC!$B$20*1.02*1.15*1.1+KFC!$C$20)*KFC!$C$5</f>
        <v>167.22288000000003</v>
      </c>
      <c r="W148" s="300">
        <f>(134.2*KFC!$B$20*1.02*1.15*1.1+KFC!$C$20)*KFC!$C$5</f>
        <v>173.15825999999996</v>
      </c>
      <c r="X148" s="300">
        <f>(138.7*KFC!$B$20*1.02*1.15*1.1+KFC!$C$20)*KFC!$C$5</f>
        <v>178.96460999999999</v>
      </c>
      <c r="Y148" s="304">
        <f>(143.2*KFC!$B$20*1.02*1.15*1.1+KFC!$C$20)*KFC!$C$5</f>
        <v>184.77096</v>
      </c>
      <c r="Z148" s="345"/>
      <c r="AA148" s="345"/>
      <c r="AB148" s="345"/>
      <c r="AC148" s="345"/>
    </row>
    <row r="149" spans="1:29">
      <c r="A149" s="1538"/>
      <c r="B149" s="298">
        <v>2.4</v>
      </c>
      <c r="C149" s="303">
        <f>(44.4*KFC!$B$20*1.02*1.15*1.1+KFC!$C$20)*KFC!$C$5</f>
        <v>57.289319999999996</v>
      </c>
      <c r="D149" s="300">
        <f>(49*KFC!$B$20*1.02*1.15*1.1+KFC!$C$20)*KFC!$C$5</f>
        <v>63.224699999999999</v>
      </c>
      <c r="E149" s="300">
        <f>(53.7*KFC!$B$20*1.02*1.15*1.1+KFC!$C$20)*KFC!$C$5</f>
        <v>69.289110000000008</v>
      </c>
      <c r="F149" s="300">
        <f>(58.3*KFC!$B$20*1.02*1.15*1.1+KFC!$C$20)*KFC!$C$5</f>
        <v>75.224490000000003</v>
      </c>
      <c r="G149" s="300">
        <f>(63.1*KFC!$B$20*1.02*1.15*1.1+KFC!$C$20)*KFC!$C$5</f>
        <v>81.417930000000013</v>
      </c>
      <c r="H149" s="300">
        <f>(67.8*KFC!$B$20*1.02*1.15*1.1+KFC!$C$20)*KFC!$C$5</f>
        <v>87.482339999999979</v>
      </c>
      <c r="I149" s="300">
        <f>(72.4*KFC!$B$20*1.02*1.15*1.1+KFC!$C$20)*KFC!$C$5</f>
        <v>93.417720000000017</v>
      </c>
      <c r="J149" s="300">
        <f>(77*KFC!$B$20*1.02*1.15*1.1+KFC!$C$20)*KFC!$C$5</f>
        <v>99.353100000000012</v>
      </c>
      <c r="K149" s="300">
        <f>(81.8*KFC!$B$20*1.02*1.15*1.1+KFC!$C$20)*KFC!$C$5</f>
        <v>105.54653999999998</v>
      </c>
      <c r="L149" s="300">
        <f>(86.5*KFC!$B$20*1.02*1.15*1.1+KFC!$C$20)*KFC!$C$5</f>
        <v>111.61095000000002</v>
      </c>
      <c r="M149" s="300">
        <f>(91.1*KFC!$B$20*1.02*1.15*1.1+KFC!$C$20)*KFC!$C$5</f>
        <v>117.54633</v>
      </c>
      <c r="N149" s="300">
        <f>(95.8*KFC!$B$20*1.02*1.15*1.1+KFC!$C$20)*KFC!$C$5</f>
        <v>123.61073999999999</v>
      </c>
      <c r="O149" s="300">
        <f>(100.4*KFC!$B$20*1.02*1.15*1.1+KFC!$C$20)*KFC!$C$5</f>
        <v>129.54612</v>
      </c>
      <c r="P149" s="300">
        <f>(105.2*KFC!$B$20*1.02*1.15*1.1+KFC!$C$20)*KFC!$C$5</f>
        <v>135.73956000000001</v>
      </c>
      <c r="Q149" s="300">
        <f>(109.8*KFC!$B$20*1.02*1.15*1.1+KFC!$C$20)*KFC!$C$5</f>
        <v>141.67493999999999</v>
      </c>
      <c r="R149" s="300">
        <f>(114.5*KFC!$B$20*1.02*1.15*1.1+KFC!$C$20)*KFC!$C$5</f>
        <v>147.73935000000003</v>
      </c>
      <c r="S149" s="300">
        <f>(119.1*KFC!$B$20*1.02*1.15*1.1+KFC!$C$20)*KFC!$C$5</f>
        <v>153.67473000000001</v>
      </c>
      <c r="T149" s="300">
        <f>(123.9*KFC!$B$20*1.02*1.15*1.1+KFC!$C$20)*KFC!$C$5</f>
        <v>159.86817000000002</v>
      </c>
      <c r="U149" s="300">
        <f>(128.5*KFC!$B$20*1.02*1.15*1.1+KFC!$C$20)*KFC!$C$5</f>
        <v>165.80355</v>
      </c>
      <c r="V149" s="300">
        <f>(133.2*KFC!$B$20*1.02*1.15*1.1+KFC!$C$20)*KFC!$C$5</f>
        <v>171.86796000000001</v>
      </c>
      <c r="W149" s="300">
        <f>(137.8*KFC!$B$20*1.02*1.15*1.1+KFC!$C$20)*KFC!$C$5</f>
        <v>177.80334000000002</v>
      </c>
      <c r="X149" s="300">
        <f>(142.6*KFC!$B$20*1.02*1.15*1.1+KFC!$C$20)*KFC!$C$5</f>
        <v>183.99678</v>
      </c>
      <c r="Y149" s="304">
        <f>(147.2*KFC!$B$20*1.02*1.15*1.1+KFC!$C$20)*KFC!$C$5</f>
        <v>189.93215999999995</v>
      </c>
      <c r="Z149" s="345"/>
      <c r="AA149" s="345"/>
      <c r="AB149" s="345"/>
      <c r="AC149" s="345"/>
    </row>
    <row r="150" spans="1:29">
      <c r="A150" s="1538"/>
      <c r="B150" s="298">
        <v>2.5</v>
      </c>
      <c r="C150" s="303">
        <f>(45*KFC!$B$20*1.02*1.15*1.1+KFC!$C$20)*KFC!$C$5</f>
        <v>58.063499999999998</v>
      </c>
      <c r="D150" s="300">
        <f>(49.8*KFC!$B$20*1.02*1.15*1.1+KFC!$C$20)*KFC!$C$5</f>
        <v>64.25694</v>
      </c>
      <c r="E150" s="300">
        <f>(54.7*KFC!$B$20*1.02*1.15*1.1+KFC!$C$20)*KFC!$C$5</f>
        <v>70.57941000000001</v>
      </c>
      <c r="F150" s="300">
        <f>(59.4*KFC!$B$20*1.02*1.15*1.1+KFC!$C$20)*KFC!$C$5</f>
        <v>76.643820000000005</v>
      </c>
      <c r="G150" s="300">
        <f>(64.3*KFC!$B$20*1.02*1.15*1.1+KFC!$C$20)*KFC!$C$5</f>
        <v>82.966290000000001</v>
      </c>
      <c r="H150" s="300">
        <f>(69.1*KFC!$B$20*1.02*1.15*1.1+KFC!$C$20)*KFC!$C$5</f>
        <v>89.15973000000001</v>
      </c>
      <c r="I150" s="300">
        <f>(74*KFC!$B$20*1.02*1.15*1.1+KFC!$C$20)*KFC!$C$5</f>
        <v>95.482200000000006</v>
      </c>
      <c r="J150" s="300">
        <f>(78.8*KFC!$B$20*1.02*1.15*1.1+KFC!$C$20)*KFC!$C$5</f>
        <v>101.67564000000002</v>
      </c>
      <c r="K150" s="300">
        <f>(83.7*KFC!$B$20*1.02*1.15*1.1+KFC!$C$20)*KFC!$C$5</f>
        <v>107.99811000000003</v>
      </c>
      <c r="L150" s="300">
        <f>(88.4*KFC!$B$20*1.02*1.15*1.1+KFC!$C$20)*KFC!$C$5</f>
        <v>114.06252000000002</v>
      </c>
      <c r="M150" s="300">
        <f>(93.3*KFC!$B$20*1.02*1.15*1.1+KFC!$C$20)*KFC!$C$5</f>
        <v>120.38498999999999</v>
      </c>
      <c r="N150" s="300">
        <f>(98.1*KFC!$B$20*1.02*1.15*1.1+KFC!$C$20)*KFC!$C$5</f>
        <v>126.57843</v>
      </c>
      <c r="O150" s="300">
        <f>(103*KFC!$B$20*1.02*1.15*1.1+KFC!$C$20)*KFC!$C$5</f>
        <v>132.90090000000001</v>
      </c>
      <c r="P150" s="300">
        <f>(107.7*KFC!$B$20*1.02*1.15*1.1+KFC!$C$20)*KFC!$C$5</f>
        <v>138.96530999999999</v>
      </c>
      <c r="Q150" s="300">
        <f>(112.6*KFC!$B$20*1.02*1.15*1.1+KFC!$C$20)*KFC!$C$5</f>
        <v>145.28778</v>
      </c>
      <c r="R150" s="300">
        <f>(117.4*KFC!$B$20*1.02*1.15*1.1+KFC!$C$20)*KFC!$C$5</f>
        <v>151.48122000000001</v>
      </c>
      <c r="S150" s="300">
        <f>(122.3*KFC!$B$20*1.02*1.15*1.1+KFC!$C$20)*KFC!$C$5</f>
        <v>157.80369000000002</v>
      </c>
      <c r="T150" s="300">
        <f>(127.1*KFC!$B$20*1.02*1.15*1.1+KFC!$C$20)*KFC!$C$5</f>
        <v>163.99713</v>
      </c>
      <c r="U150" s="300">
        <f>(132*KFC!$B$20*1.02*1.15*1.1+KFC!$C$20)*KFC!$C$5</f>
        <v>170.31960000000004</v>
      </c>
      <c r="V150" s="300">
        <f>(136.7*KFC!$B$20*1.02*1.15*1.1+KFC!$C$20)*KFC!$C$5</f>
        <v>176.38401000000002</v>
      </c>
      <c r="W150" s="300">
        <f>(141.6*KFC!$B$20*1.02*1.15*1.1+KFC!$C$20)*KFC!$C$5</f>
        <v>182.70648</v>
      </c>
      <c r="X150" s="300">
        <f>(146.4*KFC!$B$20*1.02*1.15*1.1+KFC!$C$20)*KFC!$C$5</f>
        <v>188.89992000000001</v>
      </c>
      <c r="Y150" s="304">
        <f>(151.3*KFC!$B$20*1.02*1.15*1.1+KFC!$C$20)*KFC!$C$5</f>
        <v>195.22239000000005</v>
      </c>
      <c r="Z150" s="345"/>
      <c r="AA150" s="345"/>
      <c r="AB150" s="345"/>
      <c r="AC150" s="345"/>
    </row>
    <row r="151" spans="1:29">
      <c r="A151" s="1538"/>
      <c r="B151" s="298">
        <v>2.6</v>
      </c>
      <c r="C151" s="303">
        <f>(45.6*KFC!$B$20*1.02*1.15*1.1+KFC!$C$20)*KFC!$C$5</f>
        <v>58.837679999999999</v>
      </c>
      <c r="D151" s="300">
        <f>(50.6*KFC!$B$20*1.02*1.15*1.1+KFC!$C$20)*KFC!$C$5</f>
        <v>65.289180000000002</v>
      </c>
      <c r="E151" s="300">
        <f>(55.5*KFC!$B$20*1.02*1.15*1.1+KFC!$C$20)*KFC!$C$5</f>
        <v>71.611649999999997</v>
      </c>
      <c r="F151" s="300">
        <f>(60.5*KFC!$B$20*1.02*1.15*1.1+KFC!$C$20)*KFC!$C$5</f>
        <v>78.063150000000007</v>
      </c>
      <c r="G151" s="300">
        <f>(65.6*KFC!$B$20*1.02*1.15*1.1+KFC!$C$20)*KFC!$C$5</f>
        <v>84.643680000000003</v>
      </c>
      <c r="H151" s="300">
        <f>(70.6*KFC!$B$20*1.02*1.15*1.1+KFC!$C$20)*KFC!$C$5</f>
        <v>91.095180000000013</v>
      </c>
      <c r="I151" s="300">
        <f>(75.5*KFC!$B$20*1.02*1.15*1.1+KFC!$C$20)*KFC!$C$5</f>
        <v>97.417650000000009</v>
      </c>
      <c r="J151" s="300">
        <f>(80.5*KFC!$B$20*1.02*1.15*1.1+KFC!$C$20)*KFC!$C$5</f>
        <v>103.86914999999999</v>
      </c>
      <c r="K151" s="300">
        <f>(85.5*KFC!$B$20*1.02*1.15*1.1+KFC!$C$20)*KFC!$C$5</f>
        <v>110.32065000000001</v>
      </c>
      <c r="L151" s="300">
        <f>(90.5*KFC!$B$20*1.02*1.15*1.1+KFC!$C$20)*KFC!$C$5</f>
        <v>116.77215</v>
      </c>
      <c r="M151" s="300">
        <f>(95.4*KFC!$B$20*1.02*1.15*1.1+KFC!$C$20)*KFC!$C$5</f>
        <v>123.09462000000001</v>
      </c>
      <c r="N151" s="300">
        <f>(100.4*KFC!$B$20*1.02*1.15*1.1+KFC!$C$20)*KFC!$C$5</f>
        <v>129.54612</v>
      </c>
      <c r="O151" s="300">
        <f>(105.4*KFC!$B$20*1.02*1.15*1.1+KFC!$C$20)*KFC!$C$5</f>
        <v>135.99762000000001</v>
      </c>
      <c r="P151" s="300">
        <f>(110.4*KFC!$B$20*1.02*1.15*1.1+KFC!$C$20)*KFC!$C$5</f>
        <v>142.44912000000002</v>
      </c>
      <c r="Q151" s="300">
        <f>(115.3*KFC!$B$20*1.02*1.15*1.1+KFC!$C$20)*KFC!$C$5</f>
        <v>148.77159</v>
      </c>
      <c r="R151" s="300">
        <f>(120.3*KFC!$B$20*1.02*1.15*1.1+KFC!$C$20)*KFC!$C$5</f>
        <v>155.22309000000001</v>
      </c>
      <c r="S151" s="300">
        <f>(125.4*KFC!$B$20*1.02*1.15*1.1+KFC!$C$20)*KFC!$C$5</f>
        <v>161.80362000000002</v>
      </c>
      <c r="T151" s="300">
        <f>(130.4*KFC!$B$20*1.02*1.15*1.1+KFC!$C$20)*KFC!$C$5</f>
        <v>168.25512000000003</v>
      </c>
      <c r="U151" s="300">
        <f>(135.3*KFC!$B$20*1.02*1.15*1.1+KFC!$C$20)*KFC!$C$5</f>
        <v>174.57759000000001</v>
      </c>
      <c r="V151" s="300">
        <f>(140.3*KFC!$B$20*1.02*1.15*1.1+KFC!$C$20)*KFC!$C$5</f>
        <v>181.02909000000005</v>
      </c>
      <c r="W151" s="300">
        <f>(145.3*KFC!$B$20*1.02*1.15*1.1+KFC!$C$20)*KFC!$C$5</f>
        <v>187.48059000000003</v>
      </c>
      <c r="X151" s="300">
        <f>(150.3*KFC!$B$20*1.02*1.15*1.1+KFC!$C$20)*KFC!$C$5</f>
        <v>193.93209000000002</v>
      </c>
      <c r="Y151" s="304">
        <f>(155.2*KFC!$B$20*1.02*1.15*1.1+KFC!$C$20)*KFC!$C$5</f>
        <v>200.25456000000003</v>
      </c>
      <c r="Z151" s="345"/>
      <c r="AA151" s="345"/>
      <c r="AB151" s="345"/>
      <c r="AC151" s="345"/>
    </row>
    <row r="152" spans="1:29">
      <c r="A152" s="1538"/>
      <c r="B152" s="298">
        <v>2.7</v>
      </c>
      <c r="C152" s="303">
        <f>(46.2*KFC!$B$20*1.02*1.15*1.1+KFC!$C$20)*KFC!$C$5</f>
        <v>59.61186</v>
      </c>
      <c r="D152" s="300">
        <f>(54.4*KFC!$B$20*1.02*1.15*1.1+KFC!$C$20)*KFC!$C$5</f>
        <v>70.192319999999995</v>
      </c>
      <c r="E152" s="300">
        <f>(56.5*KFC!$B$20*1.02*1.15*1.1+KFC!$C$20)*KFC!$C$5</f>
        <v>72.901950000000014</v>
      </c>
      <c r="F152" s="300">
        <f>(61.6*KFC!$B$20*1.02*1.15*1.1+KFC!$C$20)*KFC!$C$5</f>
        <v>79.48248000000001</v>
      </c>
      <c r="G152" s="300">
        <f>(66.8*KFC!$B$20*1.02*1.15*1.1+KFC!$C$20)*KFC!$C$5</f>
        <v>86.192040000000006</v>
      </c>
      <c r="H152" s="300">
        <f>(71.9*KFC!$B$20*1.02*1.15*1.1+KFC!$C$20)*KFC!$C$5</f>
        <v>92.772570000000016</v>
      </c>
      <c r="I152" s="300">
        <f>(77*KFC!$B$20*1.02*1.15*1.1+KFC!$C$20)*KFC!$C$5</f>
        <v>99.353100000000012</v>
      </c>
      <c r="J152" s="300">
        <f>(82.2*KFC!$B$20*1.02*1.15*1.1+KFC!$C$20)*KFC!$C$5</f>
        <v>106.06266000000002</v>
      </c>
      <c r="K152" s="300">
        <f>(87.3*KFC!$B$20*1.02*1.15*1.1+KFC!$C$20)*KFC!$C$5</f>
        <v>112.64318999999999</v>
      </c>
      <c r="L152" s="300">
        <f>(92.5*KFC!$B$20*1.02*1.15*1.1+KFC!$C$20)*KFC!$C$5</f>
        <v>119.35275</v>
      </c>
      <c r="M152" s="300">
        <f>(97.6*KFC!$B$20*1.02*1.15*1.1+KFC!$C$20)*KFC!$C$5</f>
        <v>125.93327999999998</v>
      </c>
      <c r="N152" s="300">
        <f>(102.7*KFC!$B$20*1.02*1.15*1.1+KFC!$C$20)*KFC!$C$5</f>
        <v>132.51381000000001</v>
      </c>
      <c r="O152" s="300">
        <f>(107.9*KFC!$B$20*1.02*1.15*1.1+KFC!$C$20)*KFC!$C$5</f>
        <v>139.22337000000002</v>
      </c>
      <c r="P152" s="300">
        <f>(113*KFC!$B$20*1.02*1.15*1.1+KFC!$C$20)*KFC!$C$5</f>
        <v>145.80390000000003</v>
      </c>
      <c r="Q152" s="300">
        <f>(118.1*KFC!$B$20*1.02*1.15*1.1+KFC!$C$20)*KFC!$C$5</f>
        <v>152.38443000000001</v>
      </c>
      <c r="R152" s="300">
        <f>(123.3*KFC!$B$20*1.02*1.15*1.1+KFC!$C$20)*KFC!$C$5</f>
        <v>159.09399000000002</v>
      </c>
      <c r="S152" s="300">
        <f>(128.4*KFC!$B$20*1.02*1.15*1.1+KFC!$C$20)*KFC!$C$5</f>
        <v>165.67452000000003</v>
      </c>
      <c r="T152" s="300">
        <f>(133.6*KFC!$B$20*1.02*1.15*1.1+KFC!$C$20)*KFC!$C$5</f>
        <v>172.38408000000001</v>
      </c>
      <c r="U152" s="300">
        <f>(138.7*KFC!$B$20*1.02*1.15*1.1+KFC!$C$20)*KFC!$C$5</f>
        <v>178.96460999999999</v>
      </c>
      <c r="V152" s="300">
        <f>(143.8*KFC!$B$20*1.02*1.15*1.1+KFC!$C$20)*KFC!$C$5</f>
        <v>185.54514000000003</v>
      </c>
      <c r="W152" s="300">
        <f>(149*KFC!$B$20*1.02*1.15*1.1+KFC!$C$20)*KFC!$C$5</f>
        <v>192.25470000000001</v>
      </c>
      <c r="X152" s="300">
        <f>(154.1*KFC!$B$20*1.02*1.15*1.1+KFC!$C$20)*KFC!$C$5</f>
        <v>198.83522999999997</v>
      </c>
      <c r="Y152" s="304">
        <f>(159.2*KFC!$B$20*1.02*1.15*1.1+KFC!$C$20)*KFC!$C$5</f>
        <v>205.41575999999998</v>
      </c>
      <c r="Z152" s="345"/>
      <c r="AA152" s="345"/>
      <c r="AB152" s="345"/>
      <c r="AC152" s="345"/>
    </row>
    <row r="153" spans="1:29">
      <c r="A153" s="1538"/>
      <c r="B153" s="298">
        <v>2.8</v>
      </c>
      <c r="C153" s="303">
        <f>(46.8*KFC!$B$20*1.02*1.15*1.1+KFC!$C$20)*KFC!$C$5</f>
        <v>60.386039999999994</v>
      </c>
      <c r="D153" s="300">
        <f>(52.2*KFC!$B$20*1.02*1.15*1.1+KFC!$C$20)*KFC!$C$5</f>
        <v>67.353660000000005</v>
      </c>
      <c r="E153" s="300">
        <f>(57.5*KFC!$B$20*1.02*1.15*1.1+KFC!$C$20)*KFC!$C$5</f>
        <v>74.192250000000001</v>
      </c>
      <c r="F153" s="300">
        <f>(62.7*KFC!$B$20*1.02*1.15*1.1+KFC!$C$20)*KFC!$C$5</f>
        <v>80.901810000000012</v>
      </c>
      <c r="G153" s="300">
        <f>(68*KFC!$B$20*1.02*1.15*1.1+KFC!$C$20)*KFC!$C$5</f>
        <v>87.740400000000008</v>
      </c>
      <c r="H153" s="300">
        <f>(73.4*KFC!$B$20*1.02*1.15*1.1+KFC!$C$20)*KFC!$C$5</f>
        <v>94.708020000000019</v>
      </c>
      <c r="I153" s="300">
        <f>(78.6*KFC!$B$20*1.02*1.15*1.1+KFC!$C$20)*KFC!$C$5</f>
        <v>101.41757999999999</v>
      </c>
      <c r="J153" s="300">
        <f>(83.9*KFC!$B$20*1.02*1.15*1.1+KFC!$C$20)*KFC!$C$5</f>
        <v>108.25617000000001</v>
      </c>
      <c r="K153" s="300">
        <f>(89.2*KFC!$B$20*1.02*1.15*1.1+KFC!$C$20)*KFC!$C$5</f>
        <v>115.09476000000002</v>
      </c>
      <c r="L153" s="300">
        <f>(94.5*KFC!$B$20*1.02*1.15*1.1+KFC!$C$20)*KFC!$C$5</f>
        <v>121.93334999999999</v>
      </c>
      <c r="M153" s="300">
        <f>(99.8*KFC!$B$20*1.02*1.15*1.1+KFC!$C$20)*KFC!$C$5</f>
        <v>128.77194</v>
      </c>
      <c r="N153" s="300">
        <f>(105.1*KFC!$B$20*1.02*1.15*1.1+KFC!$C$20)*KFC!$C$5</f>
        <v>135.61053000000001</v>
      </c>
      <c r="O153" s="300">
        <f>(110.3*KFC!$B$20*1.02*1.15*1.1+KFC!$C$20)*KFC!$C$5</f>
        <v>142.32009000000002</v>
      </c>
      <c r="P153" s="300">
        <f>(115.7*KFC!$B$20*1.02*1.15*1.1+KFC!$C$20)*KFC!$C$5</f>
        <v>149.28771000000003</v>
      </c>
      <c r="Q153" s="300">
        <f>(121*KFC!$B$20*1.02*1.15*1.1+KFC!$C$20)*KFC!$C$5</f>
        <v>156.12630000000001</v>
      </c>
      <c r="R153" s="300">
        <f>(126.2*KFC!$B$20*1.02*1.15*1.1+KFC!$C$20)*KFC!$C$5</f>
        <v>162.83586000000003</v>
      </c>
      <c r="S153" s="300">
        <f>(131.5*KFC!$B$20*1.02*1.15*1.1+KFC!$C$20)*KFC!$C$5</f>
        <v>169.67445000000001</v>
      </c>
      <c r="T153" s="300">
        <f>(136.9*KFC!$B$20*1.02*1.15*1.1+KFC!$C$20)*KFC!$C$5</f>
        <v>176.64207000000002</v>
      </c>
      <c r="U153" s="300">
        <f>(142.1*KFC!$B$20*1.02*1.15*1.1+KFC!$C$20)*KFC!$C$5</f>
        <v>183.35163000000003</v>
      </c>
      <c r="V153" s="300">
        <f>(147.4*KFC!$B$20*1.02*1.15*1.1+KFC!$C$20)*KFC!$C$5</f>
        <v>190.19022000000004</v>
      </c>
      <c r="W153" s="300">
        <f>(152.8*KFC!$B$20*1.02*1.15*1.1+KFC!$C$20)*KFC!$C$5</f>
        <v>197.15784000000005</v>
      </c>
      <c r="X153" s="300">
        <f>(158*KFC!$B$20*1.02*1.15*1.1+KFC!$C$20)*KFC!$C$5</f>
        <v>203.86739999999998</v>
      </c>
      <c r="Y153" s="304">
        <f>(163.3*KFC!$B$20*1.02*1.15*1.1+KFC!$C$20)*KFC!$C$5</f>
        <v>210.70598999999999</v>
      </c>
      <c r="Z153" s="345"/>
      <c r="AA153" s="345"/>
      <c r="AB153" s="345"/>
      <c r="AC153" s="345"/>
    </row>
    <row r="154" spans="1:29">
      <c r="A154" s="1538"/>
      <c r="B154" s="298">
        <v>2.9</v>
      </c>
      <c r="C154" s="303">
        <f>(47.5*KFC!$B$20*1.02*1.15*1.1+KFC!$C$20)*KFC!$C$5</f>
        <v>61.289250000000003</v>
      </c>
      <c r="D154" s="300">
        <f>(53*KFC!$B$20*1.02*1.15*1.1+KFC!$C$20)*KFC!$C$5</f>
        <v>68.385900000000007</v>
      </c>
      <c r="E154" s="300">
        <f>(58.3*KFC!$B$20*1.02*1.15*1.1+KFC!$C$20)*KFC!$C$5</f>
        <v>75.224490000000003</v>
      </c>
      <c r="F154" s="300">
        <f>(63.8*KFC!$B$20*1.02*1.15*1.1+KFC!$C$20)*KFC!$C$5</f>
        <v>82.32114</v>
      </c>
      <c r="G154" s="300">
        <f>(69.2*KFC!$B$20*1.02*1.15*1.1+KFC!$C$20)*KFC!$C$5</f>
        <v>89.288760000000011</v>
      </c>
      <c r="H154" s="300">
        <f>(74.7*KFC!$B$20*1.02*1.15*1.1+KFC!$C$20)*KFC!$C$5</f>
        <v>96.385410000000007</v>
      </c>
      <c r="I154" s="300">
        <f>(80.2*KFC!$B$20*1.02*1.15*1.1+KFC!$C$20)*KFC!$C$5</f>
        <v>103.48205999999999</v>
      </c>
      <c r="J154" s="300">
        <f>(85.6*KFC!$B$20*1.02*1.15*1.1+KFC!$C$20)*KFC!$C$5</f>
        <v>110.44967999999999</v>
      </c>
      <c r="K154" s="300">
        <f>(91.1*KFC!$B$20*1.02*1.15*1.1+KFC!$C$20)*KFC!$C$5</f>
        <v>117.54633</v>
      </c>
      <c r="L154" s="300">
        <f>(96.5*KFC!$B$20*1.02*1.15*1.1+KFC!$C$20)*KFC!$C$5</f>
        <v>124.51395000000002</v>
      </c>
      <c r="M154" s="300">
        <f>(102*KFC!$B$20*1.02*1.15*1.1+KFC!$C$20)*KFC!$C$5</f>
        <v>131.61060000000001</v>
      </c>
      <c r="N154" s="300">
        <f>(107.4*KFC!$B$20*1.02*1.15*1.1+KFC!$C$20)*KFC!$C$5</f>
        <v>138.57822000000002</v>
      </c>
      <c r="O154" s="300">
        <f>(112.9*KFC!$B$20*1.02*1.15*1.1+KFC!$C$20)*KFC!$C$5</f>
        <v>145.67487</v>
      </c>
      <c r="P154" s="300">
        <f>(118.3*KFC!$B$20*1.02*1.15*1.1+KFC!$C$20)*KFC!$C$5</f>
        <v>152.64249000000001</v>
      </c>
      <c r="Q154" s="300">
        <f>(123.8*KFC!$B$20*1.02*1.15*1.1+KFC!$C$20)*KFC!$C$5</f>
        <v>159.73914000000002</v>
      </c>
      <c r="R154" s="300">
        <f>(129.1*KFC!$B$20*1.02*1.15*1.1+KFC!$C$20)*KFC!$C$5</f>
        <v>166.57773</v>
      </c>
      <c r="S154" s="300">
        <f>(134.7*KFC!$B$20*1.02*1.15*1.1+KFC!$C$20)*KFC!$C$5</f>
        <v>173.80340999999996</v>
      </c>
      <c r="T154" s="300">
        <f>(140*KFC!$B$20*1.02*1.15*1.1+KFC!$C$20)*KFC!$C$5</f>
        <v>180.64200000000002</v>
      </c>
      <c r="U154" s="300">
        <f>(145.5*KFC!$B$20*1.02*1.15*1.1+KFC!$C$20)*KFC!$C$5</f>
        <v>187.73865000000001</v>
      </c>
      <c r="V154" s="300">
        <f>(150.9*KFC!$B$20*1.02*1.15*1.1+KFC!$C$20)*KFC!$C$5</f>
        <v>194.70627000000002</v>
      </c>
      <c r="W154" s="300">
        <f>(156.4*KFC!$B$20*1.02*1.15*1.1+KFC!$C$20)*KFC!$C$5</f>
        <v>201.80292000000003</v>
      </c>
      <c r="X154" s="300">
        <f>(161.8*KFC!$B$20*1.02*1.15*1.1+KFC!$C$20)*KFC!$C$5</f>
        <v>208.77053999999998</v>
      </c>
      <c r="Y154" s="304">
        <f>(167.3*KFC!$B$20*1.02*1.15*1.1+KFC!$C$20)*KFC!$C$5</f>
        <v>215.86719000000002</v>
      </c>
      <c r="Z154" s="345"/>
      <c r="AA154" s="345"/>
      <c r="AB154" s="345"/>
      <c r="AC154" s="345"/>
    </row>
    <row r="155" spans="1:29">
      <c r="A155" s="1538"/>
      <c r="B155" s="298">
        <v>3</v>
      </c>
      <c r="C155" s="303">
        <f>(48.2*KFC!$B$20*1.02*1.15*1.1+KFC!$C$20)*KFC!$C$5</f>
        <v>62.192459999999997</v>
      </c>
      <c r="D155" s="300">
        <f>(53.7*KFC!$B$20*1.02*1.15*1.1+KFC!$C$20)*KFC!$C$5</f>
        <v>69.289110000000008</v>
      </c>
      <c r="E155" s="300">
        <f>(59.3*KFC!$B$20*1.02*1.15*1.1+KFC!$C$20)*KFC!$C$5</f>
        <v>76.514790000000005</v>
      </c>
      <c r="F155" s="300">
        <f>(64.9*KFC!$B$20*1.02*1.15*1.1+KFC!$C$20)*KFC!$C$5</f>
        <v>83.740470000000016</v>
      </c>
      <c r="G155" s="300">
        <f>(70.6*KFC!$B$20*1.02*1.15*1.1+KFC!$C$20)*KFC!$C$5</f>
        <v>91.095180000000013</v>
      </c>
      <c r="H155" s="300">
        <f>(76.1*KFC!$B$20*1.02*1.15*1.1+KFC!$C$20)*KFC!$C$5</f>
        <v>98.19183000000001</v>
      </c>
      <c r="I155" s="300">
        <f>(81.7*KFC!$B$20*1.02*1.15*1.1+KFC!$C$20)*KFC!$C$5</f>
        <v>105.41750999999999</v>
      </c>
      <c r="J155" s="300">
        <f>(87.3*KFC!$B$20*1.02*1.15*1.1+KFC!$C$20)*KFC!$C$5</f>
        <v>112.64318999999999</v>
      </c>
      <c r="K155" s="300">
        <f>(92.9*KFC!$B$20*1.02*1.15*1.1+KFC!$C$20)*KFC!$C$5</f>
        <v>119.86887</v>
      </c>
      <c r="L155" s="300">
        <f>(98.6*KFC!$B$20*1.02*1.15*1.1+KFC!$C$20)*KFC!$C$5</f>
        <v>127.22358</v>
      </c>
      <c r="M155" s="300">
        <f>(104.1*KFC!$B$20*1.02*1.15*1.1+KFC!$C$20)*KFC!$C$5</f>
        <v>134.32023000000001</v>
      </c>
      <c r="N155" s="300">
        <f>(109.7*KFC!$B$20*1.02*1.15*1.1+KFC!$C$20)*KFC!$C$5</f>
        <v>141.54591000000002</v>
      </c>
      <c r="O155" s="300">
        <f>(115.3*KFC!$B$20*1.02*1.15*1.1+KFC!$C$20)*KFC!$C$5</f>
        <v>148.77159</v>
      </c>
      <c r="P155" s="300">
        <f>(121*KFC!$B$20*1.02*1.15*1.1+KFC!$C$20)*KFC!$C$5</f>
        <v>156.12630000000001</v>
      </c>
      <c r="Q155" s="300">
        <f>(126.5*KFC!$B$20*1.02*1.15*1.1+KFC!$C$20)*KFC!$C$5</f>
        <v>163.22295000000003</v>
      </c>
      <c r="R155" s="300">
        <f>(132.1*KFC!$B$20*1.02*1.15*1.1+KFC!$C$20)*KFC!$C$5</f>
        <v>170.44863000000001</v>
      </c>
      <c r="S155" s="300">
        <f>(137.7*KFC!$B$20*1.02*1.15*1.1+KFC!$C$20)*KFC!$C$5</f>
        <v>177.67430999999999</v>
      </c>
      <c r="T155" s="300">
        <f>(143.3*KFC!$B$20*1.02*1.15*1.1+KFC!$C$20)*KFC!$C$5</f>
        <v>184.89999000000003</v>
      </c>
      <c r="U155" s="300">
        <f>(149*KFC!$B$20*1.02*1.15*1.1+KFC!$C$20)*KFC!$C$5</f>
        <v>192.25470000000001</v>
      </c>
      <c r="V155" s="300">
        <f>(154.5*KFC!$B$20*1.02*1.15*1.1+KFC!$C$20)*KFC!$C$5</f>
        <v>199.35135000000002</v>
      </c>
      <c r="W155" s="300">
        <f>(160.1*KFC!$B$20*1.02*1.15*1.1+KFC!$C$20)*KFC!$C$5</f>
        <v>206.57702999999998</v>
      </c>
      <c r="X155" s="300">
        <f>(165.7*KFC!$B$20*1.02*1.15*1.1+KFC!$C$20)*KFC!$C$5</f>
        <v>213.80270999999996</v>
      </c>
      <c r="Y155" s="304">
        <f>(171.3*KFC!$B$20*1.02*1.15*1.1+KFC!$C$20)*KFC!$C$5</f>
        <v>221.02839000000006</v>
      </c>
      <c r="Z155" s="345"/>
      <c r="AA155" s="345"/>
      <c r="AB155" s="345"/>
      <c r="AC155" s="345"/>
    </row>
    <row r="156" spans="1:29">
      <c r="A156" s="1538"/>
      <c r="B156" s="298">
        <v>3.1</v>
      </c>
      <c r="C156" s="303">
        <f>(48.8*KFC!$B$20*1.02*1.15*1.1+KFC!$C$20)*KFC!$C$5</f>
        <v>62.966639999999991</v>
      </c>
      <c r="D156" s="300">
        <f>(54.5*KFC!$B$20*1.02*1.15*1.1+KFC!$C$20)*KFC!$C$5</f>
        <v>70.32135000000001</v>
      </c>
      <c r="E156" s="300">
        <f>(60.3*KFC!$B$20*1.02*1.15*1.1+KFC!$C$20)*KFC!$C$5</f>
        <v>77.805090000000007</v>
      </c>
      <c r="F156" s="300">
        <f>(66*KFC!$B$20*1.02*1.15*1.1+KFC!$C$20)*KFC!$C$5</f>
        <v>85.159800000000018</v>
      </c>
      <c r="G156" s="300">
        <f>(71.8*KFC!$B$20*1.02*1.15*1.1+KFC!$C$20)*KFC!$C$5</f>
        <v>92.643540000000016</v>
      </c>
      <c r="H156" s="300">
        <f>(77.5*KFC!$B$20*1.02*1.15*1.1+KFC!$C$20)*KFC!$C$5</f>
        <v>99.998249999999985</v>
      </c>
      <c r="I156" s="300">
        <f>(83.3*KFC!$B$20*1.02*1.15*1.1+KFC!$C$20)*KFC!$C$5</f>
        <v>107.48198999999998</v>
      </c>
      <c r="J156" s="300">
        <f>(89*KFC!$B$20*1.02*1.15*1.1+KFC!$C$20)*KFC!$C$5</f>
        <v>114.83669999999999</v>
      </c>
      <c r="K156" s="300">
        <f>(94.8*KFC!$B$20*1.02*1.15*1.1+KFC!$C$20)*KFC!$C$5</f>
        <v>122.32043999999999</v>
      </c>
      <c r="L156" s="300">
        <f>(100.5*KFC!$B$20*1.02*1.15*1.1+KFC!$C$20)*KFC!$C$5</f>
        <v>129.67515</v>
      </c>
      <c r="M156" s="300">
        <f>(106.3*KFC!$B$20*1.02*1.15*1.1+KFC!$C$20)*KFC!$C$5</f>
        <v>137.15889000000001</v>
      </c>
      <c r="N156" s="300">
        <f>(112*KFC!$B$20*1.02*1.15*1.1+KFC!$C$20)*KFC!$C$5</f>
        <v>144.51360000000003</v>
      </c>
      <c r="O156" s="300">
        <f>(117.8*KFC!$B$20*1.02*1.15*1.1+KFC!$C$20)*KFC!$C$5</f>
        <v>151.99734000000001</v>
      </c>
      <c r="P156" s="300">
        <f>(123.5*KFC!$B$20*1.02*1.15*1.1+KFC!$C$20)*KFC!$C$5</f>
        <v>159.35205000000002</v>
      </c>
      <c r="Q156" s="300">
        <f>(129.3*KFC!$B$20*1.02*1.15*1.1+KFC!$C$20)*KFC!$C$5</f>
        <v>166.83579000000003</v>
      </c>
      <c r="R156" s="300">
        <f>(135*KFC!$B$20*1.02*1.15*1.1+KFC!$C$20)*KFC!$C$5</f>
        <v>174.19049999999996</v>
      </c>
      <c r="S156" s="300">
        <f>(140.8*KFC!$B$20*1.02*1.15*1.1+KFC!$C$20)*KFC!$C$5</f>
        <v>181.67424000000003</v>
      </c>
      <c r="T156" s="300">
        <f>(146.5*KFC!$B$20*1.02*1.15*1.1+KFC!$C$20)*KFC!$C$5</f>
        <v>189.02895000000001</v>
      </c>
      <c r="U156" s="300">
        <f>(152.3*KFC!$B$20*1.02*1.15*1.1+KFC!$C$20)*KFC!$C$5</f>
        <v>196.51269000000002</v>
      </c>
      <c r="V156" s="300">
        <f>(158*KFC!$B$20*1.02*1.15*1.1+KFC!$C$20)*KFC!$C$5</f>
        <v>203.86739999999998</v>
      </c>
      <c r="W156" s="300">
        <f>(163.8*KFC!$B$20*1.02*1.15*1.1+KFC!$C$20)*KFC!$C$5</f>
        <v>211.35114000000004</v>
      </c>
      <c r="X156" s="300">
        <f>(169.5*KFC!$B$20*1.02*1.15*1.1+KFC!$C$20)*KFC!$C$5</f>
        <v>218.70585000000003</v>
      </c>
      <c r="Y156" s="304">
        <f>(175.3*KFC!$B$20*1.02*1.15*1.1+KFC!$C$20)*KFC!$C$5</f>
        <v>226.18959000000004</v>
      </c>
      <c r="Z156" s="345"/>
      <c r="AA156" s="345"/>
      <c r="AB156" s="345"/>
      <c r="AC156" s="345"/>
    </row>
    <row r="157" spans="1:29">
      <c r="A157" s="1538"/>
      <c r="B157" s="298">
        <v>3.2</v>
      </c>
      <c r="C157" s="303">
        <f>(49.4*KFC!$B$20*1.02*1.15*1.1+KFC!$C$20)*KFC!$C$5</f>
        <v>63.740819999999992</v>
      </c>
      <c r="D157" s="300">
        <f>(55.3*KFC!$B$20*1.02*1.15*1.1+KFC!$C$20)*KFC!$C$5</f>
        <v>71.353589999999997</v>
      </c>
      <c r="E157" s="300">
        <f>(61.2*KFC!$B$20*1.02*1.15*1.1+KFC!$C$20)*KFC!$C$5</f>
        <v>78.966360000000009</v>
      </c>
      <c r="F157" s="300">
        <f>(67.1*KFC!$B$20*1.02*1.15*1.1+KFC!$C$20)*KFC!$C$5</f>
        <v>86.579129999999978</v>
      </c>
      <c r="G157" s="300">
        <f>(73*KFC!$B$20*1.02*1.15*1.1+KFC!$C$20)*KFC!$C$5</f>
        <v>94.191900000000018</v>
      </c>
      <c r="H157" s="300">
        <f>(78.9*KFC!$B$20*1.02*1.15*1.1+KFC!$C$20)*KFC!$C$5</f>
        <v>101.80467000000002</v>
      </c>
      <c r="I157" s="300">
        <f>(84.9*KFC!$B$20*1.02*1.15*1.1+KFC!$C$20)*KFC!$C$5</f>
        <v>109.54647000000003</v>
      </c>
      <c r="J157" s="300">
        <f>(90.7*KFC!$B$20*1.02*1.15*1.1+KFC!$C$20)*KFC!$C$5</f>
        <v>117.03021000000003</v>
      </c>
      <c r="K157" s="300">
        <f>(96.6*KFC!$B$20*1.02*1.15*1.1+KFC!$C$20)*KFC!$C$5</f>
        <v>124.64297999999999</v>
      </c>
      <c r="L157" s="300">
        <f>(102.5*KFC!$B$20*1.02*1.15*1.1+KFC!$C$20)*KFC!$C$5</f>
        <v>132.25575000000001</v>
      </c>
      <c r="M157" s="300">
        <f>(108.5*KFC!$B$20*1.02*1.15*1.1+KFC!$C$20)*KFC!$C$5</f>
        <v>139.99755000000002</v>
      </c>
      <c r="N157" s="300">
        <f>(114.4*KFC!$B$20*1.02*1.15*1.1+KFC!$C$20)*KFC!$C$5</f>
        <v>147.61032</v>
      </c>
      <c r="O157" s="300">
        <f>(120.2*KFC!$B$20*1.02*1.15*1.1+KFC!$C$20)*KFC!$C$5</f>
        <v>155.09406000000001</v>
      </c>
      <c r="P157" s="300">
        <f>(126.2*KFC!$B$20*1.02*1.15*1.1+KFC!$C$20)*KFC!$C$5</f>
        <v>162.83586000000003</v>
      </c>
      <c r="Q157" s="300">
        <f>(132.1*KFC!$B$20*1.02*1.15*1.1+KFC!$C$20)*KFC!$C$5</f>
        <v>170.44863000000001</v>
      </c>
      <c r="R157" s="300">
        <f>(138*KFC!$B$20*1.02*1.15*1.1+KFC!$C$20)*KFC!$C$5</f>
        <v>178.06139999999999</v>
      </c>
      <c r="S157" s="300">
        <f>(143.9*KFC!$B$20*1.02*1.15*1.1+KFC!$C$20)*KFC!$C$5</f>
        <v>185.67417000000003</v>
      </c>
      <c r="T157" s="300">
        <f>(149.8*KFC!$B$20*1.02*1.15*1.1+KFC!$C$20)*KFC!$C$5</f>
        <v>193.28694000000004</v>
      </c>
      <c r="U157" s="300">
        <f>(155.7*KFC!$B$20*1.02*1.15*1.1+KFC!$C$20)*KFC!$C$5</f>
        <v>200.89970999999997</v>
      </c>
      <c r="V157" s="300">
        <f>(161.6*KFC!$B$20*1.02*1.15*1.1+KFC!$C$20)*KFC!$C$5</f>
        <v>208.51247999999998</v>
      </c>
      <c r="W157" s="300">
        <f>(167.6*KFC!$B$20*1.02*1.15*1.1+KFC!$C$20)*KFC!$C$5</f>
        <v>216.25428000000002</v>
      </c>
      <c r="X157" s="300">
        <f>(173.4*KFC!$B$20*1.02*1.15*1.1+KFC!$C$20)*KFC!$C$5</f>
        <v>223.73801999999998</v>
      </c>
      <c r="Y157" s="304">
        <f>(179.3*KFC!$B$20*1.02*1.15*1.1+KFC!$C$20)*KFC!$C$5</f>
        <v>231.35079000000005</v>
      </c>
      <c r="Z157" s="345"/>
      <c r="AA157" s="345"/>
      <c r="AB157" s="345"/>
      <c r="AC157" s="345"/>
    </row>
    <row r="158" spans="1:29">
      <c r="A158" s="1538"/>
      <c r="B158" s="298">
        <v>3.3</v>
      </c>
      <c r="C158" s="303">
        <f>(50*KFC!$B$20*1.02*1.15*1.1+KFC!$C$20)*KFC!$C$5</f>
        <v>64.515000000000001</v>
      </c>
      <c r="D158" s="300">
        <f>(56*KFC!$B$20*1.02*1.15*1.1+KFC!$C$20)*KFC!$C$5</f>
        <v>72.256800000000013</v>
      </c>
      <c r="E158" s="300">
        <f>(62.1*KFC!$B$20*1.02*1.15*1.1+KFC!$C$20)*KFC!$C$5</f>
        <v>80.127630000000011</v>
      </c>
      <c r="F158" s="300">
        <f>(68.2*KFC!$B$20*1.02*1.15*1.1+KFC!$C$20)*KFC!$C$5</f>
        <v>87.998460000000009</v>
      </c>
      <c r="G158" s="300">
        <f>(74.2*KFC!$B$20*1.02*1.15*1.1+KFC!$C$20)*KFC!$C$5</f>
        <v>95.740260000000006</v>
      </c>
      <c r="H158" s="300">
        <f>(80.4*KFC!$B$20*1.02*1.15*1.1+KFC!$C$20)*KFC!$C$5</f>
        <v>103.74012000000002</v>
      </c>
      <c r="I158" s="300">
        <f>(86.3*KFC!$B$20*1.02*1.15*1.1+KFC!$C$20)*KFC!$C$5</f>
        <v>111.35288999999999</v>
      </c>
      <c r="J158" s="300">
        <f>(92.5*KFC!$B$20*1.02*1.15*1.1+KFC!$C$20)*KFC!$C$5</f>
        <v>119.35275</v>
      </c>
      <c r="K158" s="300">
        <f>(98.5*KFC!$B$20*1.02*1.15*1.1+KFC!$C$20)*KFC!$C$5</f>
        <v>127.09455</v>
      </c>
      <c r="L158" s="300">
        <f>(104.6*KFC!$B$20*1.02*1.15*1.1+KFC!$C$20)*KFC!$C$5</f>
        <v>134.96537999999998</v>
      </c>
      <c r="M158" s="300">
        <f>(110.6*KFC!$B$20*1.02*1.15*1.1+KFC!$C$20)*KFC!$C$5</f>
        <v>142.70717999999999</v>
      </c>
      <c r="N158" s="300">
        <f>(116.7*KFC!$B$20*1.02*1.15*1.1+KFC!$C$20)*KFC!$C$5</f>
        <v>150.57801000000001</v>
      </c>
      <c r="O158" s="300">
        <f>(122.8*KFC!$B$20*1.02*1.15*1.1+KFC!$C$20)*KFC!$C$5</f>
        <v>158.44884000000002</v>
      </c>
      <c r="P158" s="300">
        <f>(128.8*KFC!$B$20*1.02*1.15*1.1+KFC!$C$20)*KFC!$C$5</f>
        <v>166.19064000000003</v>
      </c>
      <c r="Q158" s="300">
        <f>(134.9*KFC!$B$20*1.02*1.15*1.1+KFC!$C$20)*KFC!$C$5</f>
        <v>174.06147000000001</v>
      </c>
      <c r="R158" s="300">
        <f>(140.9*KFC!$B$20*1.02*1.15*1.1+KFC!$C$20)*KFC!$C$5</f>
        <v>181.80327000000003</v>
      </c>
      <c r="S158" s="300">
        <f>(147*KFC!$B$20*1.02*1.15*1.1+KFC!$C$20)*KFC!$C$5</f>
        <v>189.67410000000001</v>
      </c>
      <c r="T158" s="300">
        <f>(153*KFC!$B$20*1.02*1.15*1.1+KFC!$C$20)*KFC!$C$5</f>
        <v>197.41590000000002</v>
      </c>
      <c r="U158" s="300">
        <f>(159.1*KFC!$B$20*1.02*1.15*1.1+KFC!$C$20)*KFC!$C$5</f>
        <v>205.28673000000003</v>
      </c>
      <c r="V158" s="300">
        <f>(165.1*KFC!$B$20*1.02*1.15*1.1+KFC!$C$20)*KFC!$C$5</f>
        <v>213.02852999999996</v>
      </c>
      <c r="W158" s="300">
        <f>(171.2*KFC!$B$20*1.02*1.15*1.1+KFC!$C$20)*KFC!$C$5</f>
        <v>220.89935999999997</v>
      </c>
      <c r="X158" s="300">
        <f>(177.3*KFC!$B$20*1.02*1.15*1.1+KFC!$C$20)*KFC!$C$5</f>
        <v>228.77018999999999</v>
      </c>
      <c r="Y158" s="304">
        <f>(183.3*KFC!$B$20*1.02*1.15*1.1+KFC!$C$20)*KFC!$C$5</f>
        <v>236.51199</v>
      </c>
      <c r="Z158" s="345"/>
      <c r="AA158" s="345"/>
      <c r="AB158" s="345"/>
      <c r="AC158" s="345"/>
    </row>
    <row r="159" spans="1:29">
      <c r="A159" s="1538"/>
      <c r="B159" s="298">
        <v>3.4</v>
      </c>
      <c r="C159" s="303">
        <f>(50.6*KFC!$B$20*1.02*1.15*1.1+KFC!$C$20)*KFC!$C$5</f>
        <v>65.289180000000002</v>
      </c>
      <c r="D159" s="300">
        <f>(56.9*KFC!$B$20*1.02*1.15*1.1+KFC!$C$20)*KFC!$C$5</f>
        <v>73.41807</v>
      </c>
      <c r="E159" s="300">
        <f>(63.1*KFC!$B$20*1.02*1.15*1.1+KFC!$C$20)*KFC!$C$5</f>
        <v>81.417930000000013</v>
      </c>
      <c r="F159" s="300">
        <f>(69.2*KFC!$B$20*1.02*1.15*1.1+KFC!$C$20)*KFC!$C$5</f>
        <v>89.288760000000011</v>
      </c>
      <c r="G159" s="300">
        <f>(75.5*KFC!$B$20*1.02*1.15*1.1+KFC!$C$20)*KFC!$C$5</f>
        <v>97.417650000000009</v>
      </c>
      <c r="H159" s="300">
        <f>(81.7*KFC!$B$20*1.02*1.15*1.1+KFC!$C$20)*KFC!$C$5</f>
        <v>105.41750999999999</v>
      </c>
      <c r="I159" s="300">
        <f>(87.9*KFC!$B$20*1.02*1.15*1.1+KFC!$C$20)*KFC!$C$5</f>
        <v>113.41736999999999</v>
      </c>
      <c r="J159" s="300">
        <f>(94.2*KFC!$B$20*1.02*1.15*1.1+KFC!$C$20)*KFC!$C$5</f>
        <v>121.54626</v>
      </c>
      <c r="K159" s="300">
        <f>(100.4*KFC!$B$20*1.02*1.15*1.1+KFC!$C$20)*KFC!$C$5</f>
        <v>129.54612</v>
      </c>
      <c r="L159" s="300">
        <f>(106.5*KFC!$B$20*1.02*1.15*1.1+KFC!$C$20)*KFC!$C$5</f>
        <v>137.41694999999999</v>
      </c>
      <c r="M159" s="300">
        <f>(112.8*KFC!$B$20*1.02*1.15*1.1+KFC!$C$20)*KFC!$C$5</f>
        <v>145.54584</v>
      </c>
      <c r="N159" s="300">
        <f>(119*KFC!$B$20*1.02*1.15*1.1+KFC!$C$20)*KFC!$C$5</f>
        <v>153.54570000000001</v>
      </c>
      <c r="O159" s="300">
        <f>(125.2*KFC!$B$20*1.02*1.15*1.1+KFC!$C$20)*KFC!$C$5</f>
        <v>161.54556000000002</v>
      </c>
      <c r="P159" s="300">
        <f>(131.5*KFC!$B$20*1.02*1.15*1.1+KFC!$C$20)*KFC!$C$5</f>
        <v>169.67445000000001</v>
      </c>
      <c r="Q159" s="300">
        <f>(137.6*KFC!$B$20*1.02*1.15*1.1+KFC!$C$20)*KFC!$C$5</f>
        <v>177.54528000000002</v>
      </c>
      <c r="R159" s="300">
        <f>(143.8*KFC!$B$20*1.02*1.15*1.1+KFC!$C$20)*KFC!$C$5</f>
        <v>185.54514000000003</v>
      </c>
      <c r="S159" s="300">
        <f>(150.1*KFC!$B$20*1.02*1.15*1.1+KFC!$C$20)*KFC!$C$5</f>
        <v>193.67403000000002</v>
      </c>
      <c r="T159" s="300">
        <f>(156.3*KFC!$B$20*1.02*1.15*1.1+KFC!$C$20)*KFC!$C$5</f>
        <v>201.67389000000003</v>
      </c>
      <c r="U159" s="300">
        <f>(162.5*KFC!$B$20*1.02*1.15*1.1+KFC!$C$20)*KFC!$C$5</f>
        <v>209.67374999999998</v>
      </c>
      <c r="V159" s="300">
        <f>(168.7*KFC!$B$20*1.02*1.15*1.1+KFC!$C$20)*KFC!$C$5</f>
        <v>217.67360999999997</v>
      </c>
      <c r="W159" s="300">
        <f>(174.9*KFC!$B$20*1.02*1.15*1.1+KFC!$C$20)*KFC!$C$5</f>
        <v>225.67346999999998</v>
      </c>
      <c r="X159" s="300">
        <f>(181.1*KFC!$B$20*1.02*1.15*1.1+KFC!$C$20)*KFC!$C$5</f>
        <v>233.67332999999999</v>
      </c>
      <c r="Y159" s="304">
        <f>(187.4*KFC!$B$20*1.02*1.15*1.1+KFC!$C$20)*KFC!$C$5</f>
        <v>241.80221999999998</v>
      </c>
      <c r="Z159" s="345"/>
      <c r="AA159" s="345"/>
      <c r="AB159" s="345"/>
      <c r="AC159" s="345"/>
    </row>
    <row r="160" spans="1:29">
      <c r="A160" s="1538"/>
      <c r="B160" s="298">
        <v>3.5</v>
      </c>
      <c r="C160" s="303">
        <f>(51.2*KFC!$B$20*1.02*1.15*1.1+KFC!$C$20)*KFC!$C$5</f>
        <v>66.063360000000003</v>
      </c>
      <c r="D160" s="300">
        <f>(57.6*KFC!$B$20*1.02*1.15*1.1+KFC!$C$20)*KFC!$C$5</f>
        <v>74.321280000000002</v>
      </c>
      <c r="E160" s="300">
        <f>(64*KFC!$B$20*1.02*1.15*1.1+KFC!$C$20)*KFC!$C$5</f>
        <v>82.5792</v>
      </c>
      <c r="F160" s="300">
        <f>(70.3*KFC!$B$20*1.02*1.15*1.1+KFC!$C$20)*KFC!$C$5</f>
        <v>90.708090000000013</v>
      </c>
      <c r="G160" s="300">
        <f>(76.7*KFC!$B$20*1.02*1.15*1.1+KFC!$C$20)*KFC!$C$5</f>
        <v>98.966010000000011</v>
      </c>
      <c r="H160" s="300">
        <f>(83.2*KFC!$B$20*1.02*1.15*1.1+KFC!$C$20)*KFC!$C$5</f>
        <v>107.35296000000001</v>
      </c>
      <c r="I160" s="300">
        <f>(89.5*KFC!$B$20*1.02*1.15*1.1+KFC!$C$20)*KFC!$C$5</f>
        <v>115.48184999999999</v>
      </c>
      <c r="J160" s="300">
        <f>(95.9*KFC!$B$20*1.02*1.15*1.1+KFC!$C$20)*KFC!$C$5</f>
        <v>123.73977000000002</v>
      </c>
      <c r="K160" s="300">
        <f>(102.2*KFC!$B$20*1.02*1.15*1.1+KFC!$C$20)*KFC!$C$5</f>
        <v>131.86866000000001</v>
      </c>
      <c r="L160" s="300">
        <f>(108.6*KFC!$B$20*1.02*1.15*1.1+KFC!$C$20)*KFC!$C$5</f>
        <v>140.12657999999999</v>
      </c>
      <c r="M160" s="300">
        <f>(115*KFC!$B$20*1.02*1.15*1.1+KFC!$C$20)*KFC!$C$5</f>
        <v>148.3845</v>
      </c>
      <c r="N160" s="300">
        <f>(121.3*KFC!$B$20*1.02*1.15*1.1+KFC!$C$20)*KFC!$C$5</f>
        <v>156.51339000000002</v>
      </c>
      <c r="O160" s="300">
        <f>(127.7*KFC!$B$20*1.02*1.15*1.1+KFC!$C$20)*KFC!$C$5</f>
        <v>164.77131000000003</v>
      </c>
      <c r="P160" s="300">
        <f>(134*KFC!$B$20*1.02*1.15*1.1+KFC!$C$20)*KFC!$C$5</f>
        <v>172.90020000000001</v>
      </c>
      <c r="Q160" s="300">
        <f>(140.4*KFC!$B$20*1.02*1.15*1.1+KFC!$C$20)*KFC!$C$5</f>
        <v>181.15812000000003</v>
      </c>
      <c r="R160" s="300">
        <f>(146.8*KFC!$B$20*1.02*1.15*1.1+KFC!$C$20)*KFC!$C$5</f>
        <v>189.41604000000004</v>
      </c>
      <c r="S160" s="300">
        <f>(153.1*KFC!$B$20*1.02*1.15*1.1+KFC!$C$20)*KFC!$C$5</f>
        <v>197.54493000000002</v>
      </c>
      <c r="T160" s="300">
        <f>(159.5*KFC!$B$20*1.02*1.15*1.1+KFC!$C$20)*KFC!$C$5</f>
        <v>205.80284999999998</v>
      </c>
      <c r="U160" s="300">
        <f>(165.8*KFC!$B$20*1.02*1.15*1.1+KFC!$C$20)*KFC!$C$5</f>
        <v>213.93174000000002</v>
      </c>
      <c r="V160" s="300">
        <f>(172.2*KFC!$B$20*1.02*1.15*1.1+KFC!$C$20)*KFC!$C$5</f>
        <v>222.18966000000003</v>
      </c>
      <c r="W160" s="300">
        <f>(178.7*KFC!$B$20*1.02*1.15*1.1+KFC!$C$20)*KFC!$C$5</f>
        <v>230.57660999999999</v>
      </c>
      <c r="X160" s="300">
        <f>(185*KFC!$B$20*1.02*1.15*1.1+KFC!$C$20)*KFC!$C$5</f>
        <v>238.7055</v>
      </c>
      <c r="Y160" s="304">
        <f>(191.4*KFC!$B$20*1.02*1.15*1.1+KFC!$C$20)*KFC!$C$5</f>
        <v>246.96341999999999</v>
      </c>
      <c r="Z160" s="345"/>
      <c r="AA160" s="345"/>
      <c r="AB160" s="345"/>
      <c r="AC160" s="345"/>
    </row>
    <row r="161" spans="1:29">
      <c r="A161" s="1538"/>
      <c r="B161" s="298">
        <v>3.6</v>
      </c>
      <c r="C161" s="303">
        <f>(51.9*KFC!$B$20*1.02*1.15*1.1+KFC!$C$20)*KFC!$C$5</f>
        <v>66.966570000000004</v>
      </c>
      <c r="D161" s="300">
        <f>(58.5*KFC!$B$20*1.02*1.15*1.1+KFC!$C$20)*KFC!$C$5</f>
        <v>75.482550000000003</v>
      </c>
      <c r="E161" s="300">
        <f>(64.9*KFC!$B$20*1.02*1.15*1.1+KFC!$C$20)*KFC!$C$5</f>
        <v>83.740470000000016</v>
      </c>
      <c r="F161" s="300">
        <f>(71.4*KFC!$B$20*1.02*1.15*1.1+KFC!$C$20)*KFC!$C$5</f>
        <v>92.127420000000015</v>
      </c>
      <c r="G161" s="300">
        <f>(78*KFC!$B$20*1.02*1.15*1.1+KFC!$C$20)*KFC!$C$5</f>
        <v>100.64340000000001</v>
      </c>
      <c r="H161" s="300">
        <f>(84.5*KFC!$B$20*1.02*1.15*1.1+KFC!$C$20)*KFC!$C$5</f>
        <v>109.03034999999998</v>
      </c>
      <c r="I161" s="300">
        <f>(91*KFC!$B$20*1.02*1.15*1.1+KFC!$C$20)*KFC!$C$5</f>
        <v>117.4173</v>
      </c>
      <c r="J161" s="300">
        <f>(97.6*KFC!$B$20*1.02*1.15*1.1+KFC!$C$20)*KFC!$C$5</f>
        <v>125.93327999999998</v>
      </c>
      <c r="K161" s="300">
        <f>(104.1*KFC!$B$20*1.02*1.15*1.1+KFC!$C$20)*KFC!$C$5</f>
        <v>134.32023000000001</v>
      </c>
      <c r="L161" s="300">
        <f>(110.6*KFC!$B$20*1.02*1.15*1.1+KFC!$C$20)*KFC!$C$5</f>
        <v>142.70717999999999</v>
      </c>
      <c r="M161" s="300">
        <f>(117.2*KFC!$B$20*1.02*1.15*1.1+KFC!$C$20)*KFC!$C$5</f>
        <v>151.22316000000004</v>
      </c>
      <c r="N161" s="300">
        <f>(123.6*KFC!$B$20*1.02*1.15*1.1+KFC!$C$20)*KFC!$C$5</f>
        <v>159.48108000000002</v>
      </c>
      <c r="O161" s="300">
        <f>(130.1*KFC!$B$20*1.02*1.15*1.1+KFC!$C$20)*KFC!$C$5</f>
        <v>167.86803</v>
      </c>
      <c r="P161" s="300">
        <f>(136.7*KFC!$B$20*1.02*1.15*1.1+KFC!$C$20)*KFC!$C$5</f>
        <v>176.38401000000002</v>
      </c>
      <c r="Q161" s="300">
        <f>(143.2*KFC!$B$20*1.02*1.15*1.1+KFC!$C$20)*KFC!$C$5</f>
        <v>184.77096</v>
      </c>
      <c r="R161" s="300">
        <f>(149.7*KFC!$B$20*1.02*1.15*1.1+KFC!$C$20)*KFC!$C$5</f>
        <v>193.15790999999996</v>
      </c>
      <c r="S161" s="300">
        <f>(156.3*KFC!$B$20*1.02*1.15*1.1+KFC!$C$20)*KFC!$C$5</f>
        <v>201.67389000000003</v>
      </c>
      <c r="T161" s="300">
        <f>(162.8*KFC!$B$20*1.02*1.15*1.1+KFC!$C$20)*KFC!$C$5</f>
        <v>210.06084000000004</v>
      </c>
      <c r="U161" s="300">
        <f>(169.3*KFC!$B$20*1.02*1.15*1.1+KFC!$C$20)*KFC!$C$5</f>
        <v>218.44779000000003</v>
      </c>
      <c r="V161" s="300">
        <f>(175.9*KFC!$B$20*1.02*1.15*1.1+KFC!$C$20)*KFC!$C$5</f>
        <v>226.96376999999998</v>
      </c>
      <c r="W161" s="300">
        <f>(182.33*KFC!$B$20*1.02*1.15*1.1+KFC!$C$20)*KFC!$C$5</f>
        <v>235.26039900000004</v>
      </c>
      <c r="X161" s="300">
        <f>(188.8*KFC!$B$20*1.02*1.15*1.1+KFC!$C$20)*KFC!$C$5</f>
        <v>243.60864000000001</v>
      </c>
      <c r="Y161" s="304">
        <f>(195.4*KFC!$B$20*1.02*1.15*1.1+KFC!$C$20)*KFC!$C$5</f>
        <v>252.12462000000005</v>
      </c>
      <c r="Z161" s="345"/>
      <c r="AA161" s="345"/>
      <c r="AB161" s="345"/>
      <c r="AC161" s="345"/>
    </row>
    <row r="162" spans="1:29">
      <c r="A162" s="1538"/>
      <c r="B162" s="298">
        <v>3.7</v>
      </c>
      <c r="C162" s="303">
        <f>(52.9*KFC!$B$20*1.02*1.15*1.1+KFC!$C$20)*KFC!$C$5</f>
        <v>68.256870000000006</v>
      </c>
      <c r="D162" s="300">
        <f>(59.2*KFC!$B$20*1.02*1.15*1.1+KFC!$C$20)*KFC!$C$5</f>
        <v>76.385760000000019</v>
      </c>
      <c r="E162" s="300">
        <f>(65.9*KFC!$B$20*1.02*1.15*1.1+KFC!$C$20)*KFC!$C$5</f>
        <v>85.030770000000004</v>
      </c>
      <c r="F162" s="300">
        <f>(72.5*KFC!$B$20*1.02*1.15*1.1+KFC!$C$20)*KFC!$C$5</f>
        <v>93.546750000000003</v>
      </c>
      <c r="G162" s="300">
        <f>(79.3*KFC!$B$20*1.02*1.15*1.1+KFC!$C$20)*KFC!$C$5</f>
        <v>102.32078999999999</v>
      </c>
      <c r="H162" s="300">
        <f>(85.9*KFC!$B$20*1.02*1.15*1.1+KFC!$C$20)*KFC!$C$5</f>
        <v>110.83677000000002</v>
      </c>
      <c r="I162" s="300">
        <f>(92.6*KFC!$B$20*1.02*1.15*1.1+KFC!$C$20)*KFC!$C$5</f>
        <v>119.48177999999999</v>
      </c>
      <c r="J162" s="300">
        <f>(99.3*KFC!$B$20*1.02*1.15*1.1+KFC!$C$20)*KFC!$C$5</f>
        <v>128.12679</v>
      </c>
      <c r="K162" s="300">
        <f>(105.9*KFC!$B$20*1.02*1.15*1.1+KFC!$C$20)*KFC!$C$5</f>
        <v>136.64277000000001</v>
      </c>
      <c r="L162" s="300">
        <f>(112.6*KFC!$B$20*1.02*1.15*1.1+KFC!$C$20)*KFC!$C$5</f>
        <v>145.28778</v>
      </c>
      <c r="M162" s="300">
        <f>(119.2*KFC!$B$20*1.02*1.15*1.1+KFC!$C$20)*KFC!$C$5</f>
        <v>153.80376000000001</v>
      </c>
      <c r="N162" s="300">
        <f>(126*KFC!$B$20*1.02*1.15*1.1+KFC!$C$20)*KFC!$C$5</f>
        <v>162.57780000000002</v>
      </c>
      <c r="O162" s="300">
        <f>(132.6*KFC!$B$20*1.02*1.15*1.1+KFC!$C$20)*KFC!$C$5</f>
        <v>171.09378000000001</v>
      </c>
      <c r="P162" s="300">
        <f>(139.3*KFC!$B$20*1.02*1.15*1.1+KFC!$C$20)*KFC!$C$5</f>
        <v>179.73879000000002</v>
      </c>
      <c r="Q162" s="300">
        <f>(146*KFC!$B$20*1.02*1.15*1.1+KFC!$C$20)*KFC!$C$5</f>
        <v>188.38380000000004</v>
      </c>
      <c r="R162" s="300">
        <f>(152.6*KFC!$B$20*1.02*1.15*1.1+KFC!$C$20)*KFC!$C$5</f>
        <v>196.89977999999996</v>
      </c>
      <c r="S162" s="300">
        <f>(159.4*KFC!$B$20*1.02*1.15*1.1+KFC!$C$20)*KFC!$C$5</f>
        <v>205.67382000000003</v>
      </c>
      <c r="T162" s="300">
        <f>(166*KFC!$B$20*1.02*1.15*1.1+KFC!$C$20)*KFC!$C$5</f>
        <v>214.18980000000002</v>
      </c>
      <c r="U162" s="300">
        <f>(172.7*KFC!$B$20*1.02*1.15*1.1+KFC!$C$20)*KFC!$C$5</f>
        <v>222.83480999999998</v>
      </c>
      <c r="V162" s="300">
        <f>(179.4*KFC!$B$20*1.02*1.15*1.1+KFC!$C$20)*KFC!$C$5</f>
        <v>231.47981999999999</v>
      </c>
      <c r="W162" s="300">
        <f>(186*KFC!$B$20*1.02*1.15*1.1+KFC!$C$20)*KFC!$C$5</f>
        <v>239.99579999999997</v>
      </c>
      <c r="X162" s="300">
        <f>(192.7*KFC!$B$20*1.02*1.15*1.1+KFC!$C$20)*KFC!$C$5</f>
        <v>248.64080999999999</v>
      </c>
      <c r="Y162" s="304">
        <f>(199.3*KFC!$B$20*1.02*1.15*1.1+KFC!$C$20)*KFC!$C$5</f>
        <v>257.15679</v>
      </c>
      <c r="Z162" s="345"/>
      <c r="AA162" s="345"/>
      <c r="AB162" s="345"/>
      <c r="AC162" s="345"/>
    </row>
    <row r="163" spans="1:29">
      <c r="A163" s="1538"/>
      <c r="B163" s="298">
        <v>3.8</v>
      </c>
      <c r="C163" s="303">
        <f>(53.2*KFC!$B$20*1.02*1.15*1.1+KFC!$C$20)*KFC!$C$5</f>
        <v>68.643960000000007</v>
      </c>
      <c r="D163" s="300">
        <f>(59.9*KFC!$B$20*1.02*1.15*1.1+KFC!$C$20)*KFC!$C$5</f>
        <v>77.288970000000006</v>
      </c>
      <c r="E163" s="300">
        <f>(66.8*KFC!$B$20*1.02*1.15*1.1+KFC!$C$20)*KFC!$C$5</f>
        <v>86.192040000000006</v>
      </c>
      <c r="F163" s="300">
        <f>(73.6*KFC!$B$20*1.02*1.15*1.1+KFC!$C$20)*KFC!$C$5</f>
        <v>94.966079999999977</v>
      </c>
      <c r="G163" s="300">
        <f>(80.5*KFC!$B$20*1.02*1.15*1.1+KFC!$C$20)*KFC!$C$5</f>
        <v>103.86914999999999</v>
      </c>
      <c r="H163" s="300">
        <f>(87.3*KFC!$B$20*1.02*1.15*1.1+KFC!$C$20)*KFC!$C$5</f>
        <v>112.64318999999999</v>
      </c>
      <c r="I163" s="300">
        <f>(94.2*KFC!$B$20*1.02*1.15*1.1+KFC!$C$20)*KFC!$C$5</f>
        <v>121.54626</v>
      </c>
      <c r="J163" s="300">
        <f>(100.9*KFC!$B$20*1.02*1.15*1.1+KFC!$C$20)*KFC!$C$5</f>
        <v>130.19127</v>
      </c>
      <c r="K163" s="300">
        <f>(107.7*KFC!$B$20*1.02*1.15*1.1+KFC!$C$20)*KFC!$C$5</f>
        <v>138.96530999999999</v>
      </c>
      <c r="L163" s="300">
        <f>(114.6*KFC!$B$20*1.02*1.15*1.1+KFC!$C$20)*KFC!$C$5</f>
        <v>147.86838</v>
      </c>
      <c r="M163" s="300">
        <f>(121.4*KFC!$B$20*1.02*1.15*1.1+KFC!$C$20)*KFC!$C$5</f>
        <v>156.64242000000002</v>
      </c>
      <c r="N163" s="300">
        <f>(128.3*KFC!$B$20*1.02*1.15*1.1+KFC!$C$20)*KFC!$C$5</f>
        <v>165.54549000000003</v>
      </c>
      <c r="O163" s="300">
        <f>(135.1*KFC!$B$20*1.02*1.15*1.1+KFC!$C$20)*KFC!$C$5</f>
        <v>174.31953000000001</v>
      </c>
      <c r="P163" s="300">
        <f>(142*KFC!$B$20*1.02*1.15*1.1+KFC!$C$20)*KFC!$C$5</f>
        <v>183.22260000000003</v>
      </c>
      <c r="Q163" s="300">
        <f>(148.7*KFC!$B$20*1.02*1.15*1.1+KFC!$C$20)*KFC!$C$5</f>
        <v>191.86760999999996</v>
      </c>
      <c r="R163" s="300">
        <f>(155.6*KFC!$B$20*1.02*1.15*1.1+KFC!$C$20)*KFC!$C$5</f>
        <v>200.77067999999997</v>
      </c>
      <c r="S163" s="300">
        <f>(162.4*KFC!$B$20*1.02*1.15*1.1+KFC!$C$20)*KFC!$C$5</f>
        <v>209.54471999999998</v>
      </c>
      <c r="T163" s="300">
        <f>(169.3*KFC!$B$20*1.02*1.15*1.1+KFC!$C$20)*KFC!$C$5</f>
        <v>218.44779000000003</v>
      </c>
      <c r="U163" s="300">
        <f>(176.1*KFC!$B$20*1.02*1.15*1.1+KFC!$C$20)*KFC!$C$5</f>
        <v>227.22182999999998</v>
      </c>
      <c r="V163" s="300">
        <f>(183*KFC!$B$20*1.02*1.15*1.1+KFC!$C$20)*KFC!$C$5</f>
        <v>236.1249</v>
      </c>
      <c r="W163" s="300">
        <f>(189.7*KFC!$B$20*1.02*1.15*1.1+KFC!$C$20)*KFC!$C$5</f>
        <v>244.76990999999998</v>
      </c>
      <c r="X163" s="300">
        <f>(196.5*KFC!$B$20*1.02*1.15*1.1+KFC!$C$20)*KFC!$C$5</f>
        <v>253.54395</v>
      </c>
      <c r="Y163" s="304">
        <f>(203.4*KFC!$B$20*1.02*1.15*1.1+KFC!$C$20)*KFC!$C$5</f>
        <v>262.44702000000001</v>
      </c>
      <c r="Z163" s="345"/>
      <c r="AA163" s="345"/>
      <c r="AB163" s="345"/>
      <c r="AC163" s="345"/>
    </row>
    <row r="164" spans="1:29">
      <c r="A164" s="1538"/>
      <c r="B164" s="298">
        <v>3.9</v>
      </c>
      <c r="C164" s="303">
        <f>(53.8*KFC!$B$20*1.02*1.15*1.1+KFC!$C$20)*KFC!$C$5</f>
        <v>69.418139999999994</v>
      </c>
      <c r="D164" s="300">
        <f>(60.8*KFC!$B$20*1.02*1.15*1.1+KFC!$C$20)*KFC!$C$5</f>
        <v>78.450240000000008</v>
      </c>
      <c r="E164" s="300">
        <f>(67.8*KFC!$B$20*1.02*1.15*1.1+KFC!$C$20)*KFC!$C$5</f>
        <v>87.482339999999979</v>
      </c>
      <c r="F164" s="300">
        <f>(74.7*KFC!$B$20*1.02*1.15*1.1+KFC!$C$20)*KFC!$C$5</f>
        <v>96.385410000000007</v>
      </c>
      <c r="G164" s="300">
        <f>(81.7*KFC!$B$20*1.02*1.15*1.1+KFC!$C$20)*KFC!$C$5</f>
        <v>105.41750999999999</v>
      </c>
      <c r="H164" s="300">
        <f>(88.7*KFC!$B$20*1.02*1.15*1.1+KFC!$C$20)*KFC!$C$5</f>
        <v>114.44960999999999</v>
      </c>
      <c r="I164" s="300">
        <f>(95.6*KFC!$B$20*1.02*1.15*1.1+KFC!$C$20)*KFC!$C$5</f>
        <v>123.35267999999999</v>
      </c>
      <c r="J164" s="300">
        <f>(102.6*KFC!$B$20*1.02*1.15*1.1+KFC!$C$20)*KFC!$C$5</f>
        <v>132.38478000000001</v>
      </c>
      <c r="K164" s="300">
        <f>(109.7*KFC!$B$20*1.02*1.15*1.1+KFC!$C$20)*KFC!$C$5</f>
        <v>141.54591000000002</v>
      </c>
      <c r="L164" s="300">
        <f>(116.7*KFC!$B$20*1.02*1.15*1.1+KFC!$C$20)*KFC!$C$5</f>
        <v>150.57801000000001</v>
      </c>
      <c r="M164" s="300">
        <f>(123.6*KFC!$B$20*1.02*1.15*1.1+KFC!$C$20)*KFC!$C$5</f>
        <v>159.48108000000002</v>
      </c>
      <c r="N164" s="300">
        <f>(130.6*KFC!$B$20*1.02*1.15*1.1+KFC!$C$20)*KFC!$C$5</f>
        <v>168.51318000000001</v>
      </c>
      <c r="O164" s="300">
        <f>(137.6*KFC!$B$20*1.02*1.15*1.1+KFC!$C$20)*KFC!$C$5</f>
        <v>177.54528000000002</v>
      </c>
      <c r="P164" s="300">
        <f>(144.6*KFC!$B$20*1.02*1.15*1.1+KFC!$C$20)*KFC!$C$5</f>
        <v>186.57738000000001</v>
      </c>
      <c r="Q164" s="300">
        <f>(151.5*KFC!$B$20*1.02*1.15*1.1+KFC!$C$20)*KFC!$C$5</f>
        <v>195.48045000000002</v>
      </c>
      <c r="R164" s="300">
        <f>(158.5*KFC!$B$20*1.02*1.15*1.1+KFC!$C$20)*KFC!$C$5</f>
        <v>204.51255000000003</v>
      </c>
      <c r="S164" s="300">
        <f>(165.5*KFC!$B$20*1.02*1.15*1.1+KFC!$C$20)*KFC!$C$5</f>
        <v>213.54465000000002</v>
      </c>
      <c r="T164" s="300">
        <f>(172.4*KFC!$B$20*1.02*1.15*1.1+KFC!$C$20)*KFC!$C$5</f>
        <v>222.44772000000003</v>
      </c>
      <c r="U164" s="300">
        <f>(179.5*KFC!$B$20*1.02*1.15*1.1+KFC!$C$20)*KFC!$C$5</f>
        <v>231.60884999999999</v>
      </c>
      <c r="V164" s="300">
        <f>(186.5*KFC!$B$20*1.02*1.15*1.1+KFC!$C$20)*KFC!$C$5</f>
        <v>240.64094999999998</v>
      </c>
      <c r="W164" s="300">
        <f>(193.5*KFC!$B$20*1.02*1.15*1.1+KFC!$C$20)*KFC!$C$5</f>
        <v>249.67304999999999</v>
      </c>
      <c r="X164" s="300">
        <f>(200.4*KFC!$B$20*1.02*1.15*1.1+KFC!$C$20)*KFC!$C$5</f>
        <v>258.57612</v>
      </c>
      <c r="Y164" s="304">
        <f>(207.4*KFC!$B$20*1.02*1.15*1.1+KFC!$C$20)*KFC!$C$5</f>
        <v>267.60822000000002</v>
      </c>
      <c r="Z164" s="345"/>
      <c r="AA164" s="345"/>
      <c r="AB164" s="345"/>
      <c r="AC164" s="345"/>
    </row>
    <row r="165" spans="1:29">
      <c r="A165" s="1538"/>
      <c r="B165" s="298">
        <v>4</v>
      </c>
      <c r="C165" s="303">
        <f>(54.4*KFC!$B$20*1.02*1.15*1.1+KFC!$C$20)*KFC!$C$5</f>
        <v>70.192319999999995</v>
      </c>
      <c r="D165" s="300">
        <f>(61.5*KFC!$B$20*1.02*1.15*1.1+KFC!$C$20)*KFC!$C$5</f>
        <v>79.353450000000009</v>
      </c>
      <c r="E165" s="300">
        <f>(68.7*KFC!$B$20*1.02*1.15*1.1+KFC!$C$20)*KFC!$C$5</f>
        <v>88.64361000000001</v>
      </c>
      <c r="F165" s="300">
        <f>(75.8*KFC!$B$20*1.02*1.15*1.1+KFC!$C$20)*KFC!$C$5</f>
        <v>97.80474000000001</v>
      </c>
      <c r="G165" s="300">
        <f>(82.9*KFC!$B$20*1.02*1.15*1.1+KFC!$C$20)*KFC!$C$5</f>
        <v>106.96587000000001</v>
      </c>
      <c r="H165" s="300">
        <f>(90.1*KFC!$B$20*1.02*1.15*1.1+KFC!$C$20)*KFC!$C$5</f>
        <v>116.25603</v>
      </c>
      <c r="I165" s="300">
        <f>(97.2*KFC!$B$20*1.02*1.15*1.1+KFC!$C$20)*KFC!$C$5</f>
        <v>125.41716</v>
      </c>
      <c r="J165" s="300">
        <f>(104.3*KFC!$B$20*1.02*1.15*1.1+KFC!$C$20)*KFC!$C$5</f>
        <v>134.57829000000001</v>
      </c>
      <c r="K165" s="300">
        <f>(111.5*KFC!$B$20*1.02*1.15*1.1+KFC!$C$20)*KFC!$C$5</f>
        <v>143.86845000000002</v>
      </c>
      <c r="L165" s="300">
        <f>(118.6*KFC!$B$20*1.02*1.15*1.1+KFC!$C$20)*KFC!$C$5</f>
        <v>153.02958000000001</v>
      </c>
      <c r="M165" s="300">
        <f>(125.7*KFC!$B$20*1.02*1.15*1.1+KFC!$C$20)*KFC!$C$5</f>
        <v>162.19071</v>
      </c>
      <c r="N165" s="300">
        <f>(132.9*KFC!$B$20*1.02*1.15*1.1+KFC!$C$20)*KFC!$C$5</f>
        <v>171.48087000000004</v>
      </c>
      <c r="O165" s="300">
        <f>(140*KFC!$B$20*1.02*1.15*1.1+KFC!$C$20)*KFC!$C$5</f>
        <v>180.64200000000002</v>
      </c>
      <c r="P165" s="300">
        <f>(147.2*KFC!$B$20*1.02*1.15*1.1+KFC!$C$20)*KFC!$C$5</f>
        <v>189.93215999999995</v>
      </c>
      <c r="Q165" s="300">
        <f>(154.3*KFC!$B$20*1.02*1.15*1.1+KFC!$C$20)*KFC!$C$5</f>
        <v>199.09329000000005</v>
      </c>
      <c r="R165" s="300">
        <f>(161.4*KFC!$B$20*1.02*1.15*1.1+KFC!$C$20)*KFC!$C$5</f>
        <v>208.25442000000004</v>
      </c>
      <c r="S165" s="300">
        <f>(168.7*KFC!$B$20*1.02*1.15*1.1+KFC!$C$20)*KFC!$C$5</f>
        <v>217.67360999999997</v>
      </c>
      <c r="T165" s="300">
        <f>(175.7*KFC!$B$20*1.02*1.15*1.1+KFC!$C$20)*KFC!$C$5</f>
        <v>226.70570999999998</v>
      </c>
      <c r="U165" s="300">
        <f>(182.8*KFC!$B$20*1.02*1.15*1.1+KFC!$C$20)*KFC!$C$5</f>
        <v>235.86684</v>
      </c>
      <c r="V165" s="300">
        <f>(190.1*KFC!$B$20*1.02*1.15*1.1+KFC!$C$20)*KFC!$C$5</f>
        <v>245.28602999999998</v>
      </c>
      <c r="W165" s="300">
        <f>(197.1*KFC!$B$20*1.02*1.15*1.1+KFC!$C$20)*KFC!$C$5</f>
        <v>254.31813</v>
      </c>
      <c r="X165" s="300">
        <f>(204.2*KFC!$B$20*1.02*1.15*1.1+KFC!$C$20)*KFC!$C$5</f>
        <v>263.47926000000001</v>
      </c>
      <c r="Y165" s="304">
        <f>(211.5*KFC!$B$20*1.02*1.15*1.1+KFC!$C$20)*KFC!$C$5</f>
        <v>272.89844999999997</v>
      </c>
      <c r="Z165" s="345"/>
      <c r="AA165" s="345"/>
      <c r="AB165" s="345"/>
      <c r="AC165" s="345"/>
    </row>
    <row r="166" spans="1:29" ht="13.8" thickBot="1">
      <c r="A166" s="1539"/>
      <c r="B166" s="299">
        <v>4.05</v>
      </c>
      <c r="C166" s="305">
        <f>(55*KFC!$B$20*1.02*1.15*1.1+KFC!$C$20)*KFC!$C$5</f>
        <v>70.966500000000011</v>
      </c>
      <c r="D166" s="306">
        <f>(62.4*KFC!$B$20*1.02*1.15*1.1+KFC!$C$20)*KFC!$C$5</f>
        <v>80.514719999999997</v>
      </c>
      <c r="E166" s="306">
        <f>(69.6*KFC!$B$20*1.02*1.15*1.1+KFC!$C$20)*KFC!$C$5</f>
        <v>89.804879999999997</v>
      </c>
      <c r="F166" s="306">
        <f>(76.9*KFC!$B$20*1.02*1.15*1.1+KFC!$C$20)*KFC!$C$5</f>
        <v>99.224070000000012</v>
      </c>
      <c r="G166" s="306">
        <f>(84.1*KFC!$B$20*1.02*1.15*1.1+KFC!$C$20)*KFC!$C$5</f>
        <v>108.51422999999998</v>
      </c>
      <c r="H166" s="306">
        <f>(91.5*KFC!$B$20*1.02*1.15*1.1+KFC!$C$20)*KFC!$C$5</f>
        <v>118.06245</v>
      </c>
      <c r="I166" s="306">
        <f>(98.8*KFC!$B$20*1.02*1.15*1.1+KFC!$C$20)*KFC!$C$5</f>
        <v>127.48163999999998</v>
      </c>
      <c r="J166" s="306">
        <f>(106*KFC!$B$20*1.02*1.15*1.1+KFC!$C$20)*KFC!$C$5</f>
        <v>136.77180000000001</v>
      </c>
      <c r="K166" s="306">
        <f>(113.4*KFC!$B$20*1.02*1.15*1.1+KFC!$C$20)*KFC!$C$5</f>
        <v>146.32002000000003</v>
      </c>
      <c r="L166" s="306">
        <f>(120.7*KFC!$B$20*1.02*1.15*1.1+KFC!$C$20)*KFC!$C$5</f>
        <v>155.73921000000001</v>
      </c>
      <c r="M166" s="306">
        <f>(127.9*KFC!$B$20*1.02*1.15*1.1+KFC!$C$20)*KFC!$C$5</f>
        <v>165.02937</v>
      </c>
      <c r="N166" s="306">
        <f>(135.3*KFC!$B$20*1.02*1.15*1.1+KFC!$C$20)*KFC!$C$5</f>
        <v>174.57759000000001</v>
      </c>
      <c r="O166" s="306">
        <f>(142.5*KFC!$B$20*1.02*1.15*1.1+KFC!$C$20)*KFC!$C$5</f>
        <v>183.86775</v>
      </c>
      <c r="P166" s="306">
        <f>(149.8*KFC!$B$20*1.02*1.15*1.1+KFC!$C$20)*KFC!$C$5</f>
        <v>193.28694000000004</v>
      </c>
      <c r="Q166" s="306">
        <f>(157.2*KFC!$B$20*1.02*1.15*1.1+KFC!$C$20)*KFC!$C$5</f>
        <v>202.83515999999997</v>
      </c>
      <c r="R166" s="306">
        <f>(164.4*KFC!$B$20*1.02*1.15*1.1+KFC!$C$20)*KFC!$C$5</f>
        <v>212.12532000000004</v>
      </c>
      <c r="S166" s="306">
        <f>(171.7*KFC!$B$20*1.02*1.15*1.1+KFC!$C$20)*KFC!$C$5</f>
        <v>221.54450999999997</v>
      </c>
      <c r="T166" s="306">
        <f>(178.9*KFC!$B$20*1.02*1.15*1.1+KFC!$C$20)*KFC!$C$5</f>
        <v>230.83466999999999</v>
      </c>
      <c r="U166" s="306">
        <f>(186.3*KFC!$B$20*1.02*1.15*1.1+KFC!$C$20)*KFC!$C$5</f>
        <v>240.38289</v>
      </c>
      <c r="V166" s="306">
        <f>(193.6*KFC!$B$20*1.02*1.15*1.1+KFC!$C$20)*KFC!$C$5</f>
        <v>249.80207999999999</v>
      </c>
      <c r="W166" s="306">
        <f>(200.8*KFC!$B$20*1.02*1.15*1.1+KFC!$C$20)*KFC!$C$5</f>
        <v>259.09224</v>
      </c>
      <c r="X166" s="306">
        <f>(208.2*KFC!$B$20*1.02*1.15*1.1+KFC!$C$20)*KFC!$C$5</f>
        <v>268.64046000000002</v>
      </c>
      <c r="Y166" s="307">
        <f>(215.5*KFC!$B$20*1.02*1.15*1.1+KFC!$C$20)*KFC!$C$5</f>
        <v>278.05965000000003</v>
      </c>
      <c r="Z166" s="345"/>
      <c r="AA166" s="345"/>
      <c r="AB166" s="345"/>
      <c r="AC166" s="345"/>
    </row>
    <row r="167" spans="1:29" ht="13.8" thickBot="1">
      <c r="A167" s="216"/>
      <c r="B167" s="216"/>
      <c r="C167" s="216"/>
      <c r="D167" s="216"/>
      <c r="E167" s="216"/>
      <c r="F167" s="216"/>
      <c r="G167" s="216"/>
      <c r="H167" s="216"/>
      <c r="I167" s="216"/>
      <c r="J167" s="216"/>
      <c r="K167" s="216"/>
      <c r="L167" s="216"/>
      <c r="M167" s="216"/>
      <c r="N167" s="216"/>
      <c r="O167" s="216"/>
      <c r="P167" s="216"/>
      <c r="Q167" s="216"/>
      <c r="R167" s="216"/>
      <c r="S167" s="216"/>
      <c r="T167" s="216"/>
      <c r="U167" s="216"/>
      <c r="V167" s="216"/>
      <c r="W167" s="216"/>
      <c r="X167" s="216"/>
      <c r="Y167" s="216"/>
      <c r="Z167" s="345"/>
      <c r="AA167" s="345"/>
      <c r="AB167" s="345"/>
      <c r="AC167" s="345"/>
    </row>
    <row r="168" spans="1:29" ht="13.5" customHeight="1" thickBot="1">
      <c r="A168" s="1413" t="s">
        <v>319</v>
      </c>
      <c r="B168" s="1542"/>
      <c r="C168" s="1534" t="s">
        <v>207</v>
      </c>
      <c r="D168" s="1535"/>
      <c r="E168" s="1535"/>
      <c r="F168" s="1535"/>
      <c r="G168" s="1535"/>
      <c r="H168" s="1535"/>
      <c r="I168" s="1535"/>
      <c r="J168" s="1535"/>
      <c r="K168" s="1535"/>
      <c r="L168" s="1535"/>
      <c r="M168" s="1535"/>
      <c r="N168" s="1535"/>
      <c r="O168" s="1535"/>
      <c r="P168" s="1535"/>
      <c r="Q168" s="1535"/>
      <c r="R168" s="1535"/>
      <c r="S168" s="1535"/>
      <c r="T168" s="1535"/>
      <c r="U168" s="1535"/>
      <c r="V168" s="1535"/>
      <c r="W168" s="1535"/>
      <c r="X168" s="1535"/>
      <c r="Y168" s="1536"/>
      <c r="Z168" s="345"/>
      <c r="AA168" s="345"/>
      <c r="AB168" s="345"/>
      <c r="AC168" s="345"/>
    </row>
    <row r="169" spans="1:29" ht="13.8" thickBot="1">
      <c r="A169" s="1543"/>
      <c r="B169" s="1544"/>
      <c r="C169" s="322">
        <v>0.4</v>
      </c>
      <c r="D169" s="323">
        <v>0.5</v>
      </c>
      <c r="E169" s="323">
        <v>0.6</v>
      </c>
      <c r="F169" s="323">
        <v>0.7</v>
      </c>
      <c r="G169" s="323">
        <v>0.8</v>
      </c>
      <c r="H169" s="323">
        <v>0.9</v>
      </c>
      <c r="I169" s="323">
        <v>1</v>
      </c>
      <c r="J169" s="323">
        <v>1.1000000000000001</v>
      </c>
      <c r="K169" s="323">
        <v>1.2</v>
      </c>
      <c r="L169" s="323">
        <v>1.3</v>
      </c>
      <c r="M169" s="323">
        <v>1.4</v>
      </c>
      <c r="N169" s="323">
        <v>1.5</v>
      </c>
      <c r="O169" s="323">
        <v>1.6</v>
      </c>
      <c r="P169" s="323">
        <v>1.7</v>
      </c>
      <c r="Q169" s="323">
        <v>1.8</v>
      </c>
      <c r="R169" s="323">
        <v>1.9</v>
      </c>
      <c r="S169" s="323">
        <v>2</v>
      </c>
      <c r="T169" s="323">
        <v>2.1</v>
      </c>
      <c r="U169" s="323">
        <v>2.2000000000000002</v>
      </c>
      <c r="V169" s="323">
        <v>2.2999999999999998</v>
      </c>
      <c r="W169" s="323">
        <v>2.4</v>
      </c>
      <c r="X169" s="323">
        <v>2.5</v>
      </c>
      <c r="Y169" s="324">
        <v>2.6</v>
      </c>
      <c r="Z169" s="345"/>
      <c r="AA169" s="345"/>
      <c r="AB169" s="345"/>
      <c r="AC169" s="345"/>
    </row>
    <row r="170" spans="1:29" ht="12.75" customHeight="1">
      <c r="A170" s="1537" t="s">
        <v>3</v>
      </c>
      <c r="B170" s="297">
        <v>0.5</v>
      </c>
      <c r="C170" s="274">
        <f>(40.4*KFC!$B$20*1.02*1.3*1.1+KFC!$C$20)*KFC!$C$5</f>
        <v>58.927440000000004</v>
      </c>
      <c r="D170" s="301">
        <f>(41.8*KFC!$B$20*1.02*1.3*1.1+KFC!$C$20)*KFC!$C$5</f>
        <v>60.969479999999997</v>
      </c>
      <c r="E170" s="301">
        <f>(43.4*KFC!$B$20*1.02*1.3*1.1+KFC!$C$20)*KFC!$C$5</f>
        <v>63.30324000000001</v>
      </c>
      <c r="F170" s="301">
        <f>(44.9*KFC!$B$20*1.02*1.3*1.1+KFC!$C$20)*KFC!$C$5</f>
        <v>65.491140000000016</v>
      </c>
      <c r="G170" s="301">
        <f>(46.4*KFC!$B$20*1.02*1.3*1.1+KFC!$C$20)*KFC!$C$5</f>
        <v>67.679040000000001</v>
      </c>
      <c r="H170" s="301">
        <f>(47.9*KFC!$B$20*1.02*1.3*1.1+KFC!$C$20)*KFC!$C$5</f>
        <v>69.86694</v>
      </c>
      <c r="I170" s="301">
        <f>(49.4*KFC!$B$20*1.02*1.3*1.1+KFC!$C$20)*KFC!$C$5</f>
        <v>72.054840000000013</v>
      </c>
      <c r="J170" s="301">
        <f>(50.9*KFC!$B$20*1.02*1.3*1.1+KFC!$C$20)*KFC!$C$5</f>
        <v>74.242740000000012</v>
      </c>
      <c r="K170" s="301">
        <f>(52.3*KFC!$B$20*1.02*1.3*1.1+KFC!$C$20)*KFC!$C$5</f>
        <v>76.284780000000012</v>
      </c>
      <c r="L170" s="301">
        <f>(53.9*KFC!$B$20*1.02*1.3*1.1+KFC!$C$20)*KFC!$C$5</f>
        <v>78.61854000000001</v>
      </c>
      <c r="M170" s="301">
        <f>(55.4*KFC!$B$20*1.02*1.3*1.1+KFC!$C$20)*KFC!$C$5</f>
        <v>80.806440000000009</v>
      </c>
      <c r="N170" s="301">
        <f>(56.9*KFC!$B$20*1.02*1.3*1.1+KFC!$C$20)*KFC!$C$5</f>
        <v>82.994340000000008</v>
      </c>
      <c r="O170" s="301">
        <f>(58.5*KFC!$B$20*1.02*1.3*1.1+KFC!$C$20)*KFC!$C$5</f>
        <v>85.328100000000006</v>
      </c>
      <c r="P170" s="301">
        <f>(59.9*KFC!$B$20*1.02*1.3*1.1+KFC!$C$20)*KFC!$C$5</f>
        <v>87.370140000000006</v>
      </c>
      <c r="Q170" s="301">
        <f>(61.4*KFC!$B$20*1.02*1.3*1.1+KFC!$C$20)*KFC!$C$5</f>
        <v>89.558040000000005</v>
      </c>
      <c r="R170" s="301">
        <f>(63*KFC!$B$20*1.02*1.3*1.1+KFC!$C$20)*KFC!$C$5</f>
        <v>91.891800000000018</v>
      </c>
      <c r="S170" s="301">
        <f>(64.5*KFC!$B$20*1.02*1.3*1.1+KFC!$C$20)*KFC!$C$5</f>
        <v>94.079700000000031</v>
      </c>
      <c r="T170" s="301">
        <f>(65.9*KFC!$B$20*1.02*1.3*1.1+KFC!$C$20)*KFC!$C$5</f>
        <v>96.121740000000017</v>
      </c>
      <c r="U170" s="301">
        <f>(67.5*KFC!$B$20*1.02*1.3*1.1+KFC!$C$20)*KFC!$C$5</f>
        <v>98.455500000000001</v>
      </c>
      <c r="V170" s="301">
        <f>(69*KFC!$B$20*1.02*1.3*1.1+KFC!$C$20)*KFC!$C$5</f>
        <v>100.64340000000001</v>
      </c>
      <c r="W170" s="301">
        <f>(70.4*KFC!$B$20*1.02*1.3*1.1+KFC!$C$20)*KFC!$C$5</f>
        <v>102.68544000000001</v>
      </c>
      <c r="X170" s="301">
        <f>(71.9*KFC!$B$20*1.02*1.3*1.1+KFC!$C$20)*KFC!$C$5</f>
        <v>104.87334000000003</v>
      </c>
      <c r="Y170" s="302">
        <f>(73.5*KFC!$B$20*1.02*1.3*1.1+KFC!$C$20)*KFC!$C$5</f>
        <v>107.20710000000001</v>
      </c>
      <c r="Z170" s="345"/>
      <c r="AA170" s="345"/>
      <c r="AB170" s="345"/>
      <c r="AC170" s="345"/>
    </row>
    <row r="171" spans="1:29">
      <c r="A171" s="1538"/>
      <c r="B171" s="298">
        <v>0.6</v>
      </c>
      <c r="C171" s="303">
        <f>(41*KFC!$B$20*1.02*1.3*1.1+KFC!$C$20)*KFC!$C$5</f>
        <v>59.802600000000005</v>
      </c>
      <c r="D171" s="300">
        <f>(42.7*KFC!$B$20*1.02*1.3*1.1+KFC!$C$20)*KFC!$C$5</f>
        <v>62.282220000000009</v>
      </c>
      <c r="E171" s="300">
        <f>(44.5*KFC!$B$20*1.02*1.3*1.1+KFC!$C$20)*KFC!$C$5</f>
        <v>64.907700000000006</v>
      </c>
      <c r="F171" s="300">
        <f>(46.2*KFC!$B$20*1.02*1.3*1.1+KFC!$C$20)*KFC!$C$5</f>
        <v>67.387320000000003</v>
      </c>
      <c r="G171" s="300">
        <f>(47.9*KFC!$B$20*1.02*1.3*1.1+KFC!$C$20)*KFC!$C$5</f>
        <v>69.86694</v>
      </c>
      <c r="H171" s="300">
        <f>(49.7*KFC!$B$20*1.02*1.3*1.1+KFC!$C$20)*KFC!$C$5</f>
        <v>72.49242000000001</v>
      </c>
      <c r="I171" s="300">
        <f>(51.4*KFC!$B$20*1.02*1.3*1.1+KFC!$C$20)*KFC!$C$5</f>
        <v>74.972040000000007</v>
      </c>
      <c r="J171" s="300">
        <f>(53.1*KFC!$B$20*1.02*1.3*1.1+KFC!$C$20)*KFC!$C$5</f>
        <v>77.451660000000004</v>
      </c>
      <c r="K171" s="300">
        <f>(54.9*KFC!$B$20*1.02*1.3*1.1+KFC!$C$20)*KFC!$C$5</f>
        <v>80.07714</v>
      </c>
      <c r="L171" s="300">
        <f>(56.6*KFC!$B$20*1.02*1.3*1.1+KFC!$C$20)*KFC!$C$5</f>
        <v>82.556760000000011</v>
      </c>
      <c r="M171" s="300">
        <f>(58.3*KFC!$B$20*1.02*1.3*1.1+KFC!$C$20)*KFC!$C$5</f>
        <v>85.036380000000008</v>
      </c>
      <c r="N171" s="300">
        <f>(60*KFC!$B$20*1.02*1.3*1.1+KFC!$C$20)*KFC!$C$5</f>
        <v>87.516000000000005</v>
      </c>
      <c r="O171" s="300">
        <f>(61.8*KFC!$B$20*1.02*1.3*1.1+KFC!$C$20)*KFC!$C$5</f>
        <v>90.141480000000016</v>
      </c>
      <c r="P171" s="300">
        <f>(63.6*KFC!$B$20*1.02*1.3*1.1+KFC!$C$20)*KFC!$C$5</f>
        <v>92.766960000000012</v>
      </c>
      <c r="Q171" s="300">
        <f>(65.3*KFC!$B$20*1.02*1.3*1.1+KFC!$C$20)*KFC!$C$5</f>
        <v>95.246580000000009</v>
      </c>
      <c r="R171" s="300">
        <f>(67*KFC!$B$20*1.02*1.3*1.1+KFC!$C$20)*KFC!$C$5</f>
        <v>97.72620000000002</v>
      </c>
      <c r="S171" s="300">
        <f>(68.7*KFC!$B$20*1.02*1.3*1.1+KFC!$C$20)*KFC!$C$5</f>
        <v>100.20582</v>
      </c>
      <c r="T171" s="300">
        <f>(70.4*KFC!$B$20*1.02*1.3*1.1+KFC!$C$20)*KFC!$C$5</f>
        <v>102.68544000000001</v>
      </c>
      <c r="U171" s="300">
        <f>(72.3*KFC!$B$20*1.02*1.3*1.1+KFC!$C$20)*KFC!$C$5</f>
        <v>105.45678000000001</v>
      </c>
      <c r="V171" s="300">
        <f>(74*KFC!$B$20*1.02*1.3*1.1+KFC!$C$20)*KFC!$C$5</f>
        <v>107.93640000000002</v>
      </c>
      <c r="W171" s="300">
        <f>(75.7*KFC!$B$20*1.02*1.3*1.1+KFC!$C$20)*KFC!$C$5</f>
        <v>110.41602000000002</v>
      </c>
      <c r="X171" s="300">
        <f>(77.4*KFC!$B$20*1.02*1.3*1.1+KFC!$C$20)*KFC!$C$5</f>
        <v>112.89564000000003</v>
      </c>
      <c r="Y171" s="304">
        <f>(79.1*KFC!$B$20*1.02*1.3*1.1+KFC!$C$20)*KFC!$C$5</f>
        <v>115.37526000000001</v>
      </c>
      <c r="Z171" s="345"/>
      <c r="AA171" s="345"/>
      <c r="AB171" s="345"/>
      <c r="AC171" s="345"/>
    </row>
    <row r="172" spans="1:29">
      <c r="A172" s="1538"/>
      <c r="B172" s="298">
        <v>0.7</v>
      </c>
      <c r="C172" s="303">
        <f>(41.6*KFC!$B$20*1.02*1.3*1.1+KFC!$C$20)*KFC!$C$5</f>
        <v>60.677760000000013</v>
      </c>
      <c r="D172" s="300">
        <f>(43.5*KFC!$B$20*1.02*1.3*1.1+KFC!$C$20)*KFC!$C$5</f>
        <v>63.449100000000001</v>
      </c>
      <c r="E172" s="300">
        <f>(45.5*KFC!$B$20*1.02*1.3*1.1+KFC!$C$20)*KFC!$C$5</f>
        <v>66.36630000000001</v>
      </c>
      <c r="F172" s="300">
        <f>(47.5*KFC!$B$20*1.02*1.3*1.1+KFC!$C$20)*KFC!$C$5</f>
        <v>69.283500000000018</v>
      </c>
      <c r="G172" s="300">
        <f>(49.5*KFC!$B$20*1.02*1.3*1.1+KFC!$C$20)*KFC!$C$5</f>
        <v>72.200700000000012</v>
      </c>
      <c r="H172" s="300">
        <f>(51.5*KFC!$B$20*1.02*1.3*1.1+KFC!$C$20)*KFC!$C$5</f>
        <v>75.117900000000006</v>
      </c>
      <c r="I172" s="300">
        <f>(53.4*KFC!$B$20*1.02*1.3*1.1+KFC!$C$20)*KFC!$C$5</f>
        <v>77.889240000000001</v>
      </c>
      <c r="J172" s="300">
        <f>(55.4*KFC!$B$20*1.02*1.3*1.1+KFC!$C$20)*KFC!$C$5</f>
        <v>80.806440000000009</v>
      </c>
      <c r="K172" s="300">
        <f>(57.4*KFC!$B$20*1.02*1.3*1.1+KFC!$C$20)*KFC!$C$5</f>
        <v>83.723640000000017</v>
      </c>
      <c r="L172" s="300">
        <f>(59.3*KFC!$B$20*1.02*1.3*1.1+KFC!$C$20)*KFC!$C$5</f>
        <v>86.494979999999998</v>
      </c>
      <c r="M172" s="300">
        <f>(61.3*KFC!$B$20*1.02*1.3*1.1+KFC!$C$20)*KFC!$C$5</f>
        <v>89.412180000000006</v>
      </c>
      <c r="N172" s="300">
        <f>(63.2*KFC!$B$20*1.02*1.3*1.1+KFC!$C$20)*KFC!$C$5</f>
        <v>92.183520000000016</v>
      </c>
      <c r="O172" s="300">
        <f>(65.2*KFC!$B$20*1.02*1.3*1.1+KFC!$C$20)*KFC!$C$5</f>
        <v>95.10072000000001</v>
      </c>
      <c r="P172" s="300">
        <f>(67.1*KFC!$B$20*1.02*1.3*1.1+KFC!$C$20)*KFC!$C$5</f>
        <v>97.872060000000005</v>
      </c>
      <c r="Q172" s="300">
        <f>(69.1*KFC!$B$20*1.02*1.3*1.1+KFC!$C$20)*KFC!$C$5</f>
        <v>100.78926</v>
      </c>
      <c r="R172" s="300">
        <f>(71.1*KFC!$B$20*1.02*1.3*1.1+KFC!$C$20)*KFC!$C$5</f>
        <v>103.70646000000001</v>
      </c>
      <c r="S172" s="300">
        <f>(73*KFC!$B$20*1.02*1.3*1.1+KFC!$C$20)*KFC!$C$5</f>
        <v>106.47780000000003</v>
      </c>
      <c r="T172" s="300">
        <f>(75*KFC!$B$20*1.02*1.3*1.1+KFC!$C$20)*KFC!$C$5</f>
        <v>109.39500000000001</v>
      </c>
      <c r="U172" s="300">
        <f>(77*KFC!$B$20*1.02*1.3*1.1+KFC!$C$20)*KFC!$C$5</f>
        <v>112.31220000000003</v>
      </c>
      <c r="V172" s="300">
        <f>(79*KFC!$B$20*1.02*1.3*1.1+KFC!$C$20)*KFC!$C$5</f>
        <v>115.22940000000001</v>
      </c>
      <c r="W172" s="300">
        <f>(81*KFC!$B$20*1.02*1.3*1.1+KFC!$C$20)*KFC!$C$5</f>
        <v>118.14660000000002</v>
      </c>
      <c r="X172" s="300">
        <f>(82.9*KFC!$B$20*1.02*1.3*1.1+KFC!$C$20)*KFC!$C$5</f>
        <v>120.91794000000002</v>
      </c>
      <c r="Y172" s="304">
        <f>(84.9*KFC!$B$20*1.02*1.3*1.1+KFC!$C$20)*KFC!$C$5</f>
        <v>123.83514000000004</v>
      </c>
      <c r="Z172" s="345"/>
      <c r="AA172" s="345"/>
      <c r="AB172" s="345"/>
      <c r="AC172" s="345"/>
    </row>
    <row r="173" spans="1:29">
      <c r="A173" s="1538"/>
      <c r="B173" s="298">
        <v>0.8</v>
      </c>
      <c r="C173" s="303">
        <f>(42.4*KFC!$B$20*1.02*1.3*1.1+KFC!$C$20)*KFC!$C$5</f>
        <v>61.844640000000005</v>
      </c>
      <c r="D173" s="300">
        <f>(44.4*KFC!$B$20*1.02*1.3*1.1+KFC!$C$20)*KFC!$C$5</f>
        <v>64.761839999999992</v>
      </c>
      <c r="E173" s="300">
        <f>(46.6*KFC!$B$20*1.02*1.3*1.1+KFC!$C$20)*KFC!$C$5</f>
        <v>67.970760000000013</v>
      </c>
      <c r="F173" s="300">
        <f>(48.8*KFC!$B$20*1.02*1.3*1.1+KFC!$C$20)*KFC!$C$5</f>
        <v>71.179680000000005</v>
      </c>
      <c r="G173" s="300">
        <f>(51*KFC!$B$20*1.02*1.3*1.1+KFC!$C$20)*KFC!$C$5</f>
        <v>74.388600000000011</v>
      </c>
      <c r="H173" s="300">
        <f>(53.2*KFC!$B$20*1.02*1.3*1.1+KFC!$C$20)*KFC!$C$5</f>
        <v>77.597520000000017</v>
      </c>
      <c r="I173" s="300">
        <f>(55.4*KFC!$B$20*1.02*1.3*1.1+KFC!$C$20)*KFC!$C$5</f>
        <v>80.806440000000009</v>
      </c>
      <c r="J173" s="300">
        <f>(57.6*KFC!$B$20*1.02*1.3*1.1+KFC!$C$20)*KFC!$C$5</f>
        <v>84.015360000000001</v>
      </c>
      <c r="K173" s="300">
        <f>(59.8*KFC!$B$20*1.02*1.3*1.1+KFC!$C$20)*KFC!$C$5</f>
        <v>87.224280000000007</v>
      </c>
      <c r="L173" s="300">
        <f>(62*KFC!$B$20*1.02*1.3*1.1+KFC!$C$20)*KFC!$C$5</f>
        <v>90.433200000000014</v>
      </c>
      <c r="M173" s="300">
        <f>(64.2*KFC!$B$20*1.02*1.3*1.1+KFC!$C$20)*KFC!$C$5</f>
        <v>93.64212000000002</v>
      </c>
      <c r="N173" s="300">
        <f>(66.4*KFC!$B$20*1.02*1.3*1.1+KFC!$C$20)*KFC!$C$5</f>
        <v>96.851040000000026</v>
      </c>
      <c r="O173" s="300">
        <f>(68.6*KFC!$B$20*1.02*1.3*1.1+KFC!$C$20)*KFC!$C$5</f>
        <v>100.05996</v>
      </c>
      <c r="P173" s="300">
        <f>(70.8*KFC!$B$20*1.02*1.3*1.1+KFC!$C$20)*KFC!$C$5</f>
        <v>103.26888</v>
      </c>
      <c r="Q173" s="300">
        <f>(73*KFC!$B$20*1.02*1.3*1.1+KFC!$C$20)*KFC!$C$5</f>
        <v>106.47780000000003</v>
      </c>
      <c r="R173" s="300">
        <f>(75.2*KFC!$B$20*1.02*1.3*1.1+KFC!$C$20)*KFC!$C$5</f>
        <v>109.68672000000002</v>
      </c>
      <c r="S173" s="300">
        <f>(77.4*KFC!$B$20*1.02*1.3*1.1+KFC!$C$20)*KFC!$C$5</f>
        <v>112.89564000000003</v>
      </c>
      <c r="T173" s="300">
        <f>(79.6*KFC!$B$20*1.02*1.3*1.1+KFC!$C$20)*KFC!$C$5</f>
        <v>116.10456000000001</v>
      </c>
      <c r="U173" s="300">
        <f>(81.8*KFC!$B$20*1.02*1.3*1.1+KFC!$C$20)*KFC!$C$5</f>
        <v>119.31348</v>
      </c>
      <c r="V173" s="300">
        <f>(83.9*KFC!$B$20*1.02*1.3*1.1+KFC!$C$20)*KFC!$C$5</f>
        <v>122.37654000000002</v>
      </c>
      <c r="W173" s="300">
        <f>(86.1*KFC!$B$20*1.02*1.3*1.1+KFC!$C$20)*KFC!$C$5</f>
        <v>125.58546000000003</v>
      </c>
      <c r="X173" s="300">
        <f>(88.3*KFC!$B$20*1.02*1.3*1.1+KFC!$C$20)*KFC!$C$5</f>
        <v>128.79438000000002</v>
      </c>
      <c r="Y173" s="304">
        <f>(90.5*KFC!$B$20*1.02*1.3*1.1+KFC!$C$20)*KFC!$C$5</f>
        <v>132.00330000000002</v>
      </c>
      <c r="Z173" s="345"/>
      <c r="AA173" s="345"/>
      <c r="AB173" s="345"/>
      <c r="AC173" s="345"/>
    </row>
    <row r="174" spans="1:29">
      <c r="A174" s="1538"/>
      <c r="B174" s="298">
        <v>0.9</v>
      </c>
      <c r="C174" s="303">
        <f>(42.9*KFC!$B$20*1.02*1.3*1.1+KFC!$C$20)*KFC!$C$5</f>
        <v>62.573940000000007</v>
      </c>
      <c r="D174" s="300">
        <f>(45.3*KFC!$B$20*1.02*1.3*1.1+KFC!$C$20)*KFC!$C$5</f>
        <v>66.074579999999997</v>
      </c>
      <c r="E174" s="300">
        <f>(47.7*KFC!$B$20*1.02*1.3*1.1+KFC!$C$20)*KFC!$C$5</f>
        <v>69.575220000000016</v>
      </c>
      <c r="F174" s="300">
        <f>(50.1*KFC!$B$20*1.02*1.3*1.1+KFC!$C$20)*KFC!$C$5</f>
        <v>73.07586000000002</v>
      </c>
      <c r="G174" s="300">
        <f>(52.6*KFC!$B$20*1.02*1.3*1.1+KFC!$C$20)*KFC!$C$5</f>
        <v>76.722360000000009</v>
      </c>
      <c r="H174" s="300">
        <f>(55*KFC!$B$20*1.02*1.3*1.1+KFC!$C$20)*KFC!$C$5</f>
        <v>80.223000000000013</v>
      </c>
      <c r="I174" s="300">
        <f>(57.5*KFC!$B$20*1.02*1.3*1.1+KFC!$C$20)*KFC!$C$5</f>
        <v>83.869500000000016</v>
      </c>
      <c r="J174" s="300">
        <f>(59.8*KFC!$B$20*1.02*1.3*1.1+KFC!$C$20)*KFC!$C$5</f>
        <v>87.224280000000007</v>
      </c>
      <c r="K174" s="300">
        <f>(62.3*KFC!$B$20*1.02*1.3*1.1+KFC!$C$20)*KFC!$C$5</f>
        <v>90.870780000000011</v>
      </c>
      <c r="L174" s="300">
        <f>(64.7*KFC!$B$20*1.02*1.3*1.1+KFC!$C$20)*KFC!$C$5</f>
        <v>94.371420000000015</v>
      </c>
      <c r="M174" s="300">
        <f>(67.1*KFC!$B$20*1.02*1.3*1.1+KFC!$C$20)*KFC!$C$5</f>
        <v>97.872060000000005</v>
      </c>
      <c r="N174" s="300">
        <f>(69.6*KFC!$B$20*1.02*1.3*1.1+KFC!$C$20)*KFC!$C$5</f>
        <v>101.51855999999999</v>
      </c>
      <c r="O174" s="300">
        <f>(72*KFC!$B$20*1.02*1.3*1.1+KFC!$C$20)*KFC!$C$5</f>
        <v>105.0192</v>
      </c>
      <c r="P174" s="300">
        <f>(74.4*KFC!$B$20*1.02*1.3*1.1+KFC!$C$20)*KFC!$C$5</f>
        <v>108.51984000000002</v>
      </c>
      <c r="Q174" s="300">
        <f>(76.8*KFC!$B$20*1.02*1.3*1.1+KFC!$C$20)*KFC!$C$5</f>
        <v>112.02048000000001</v>
      </c>
      <c r="R174" s="300">
        <f>(79.3*KFC!$B$20*1.02*1.3*1.1+KFC!$C$20)*KFC!$C$5</f>
        <v>115.66698000000001</v>
      </c>
      <c r="S174" s="300">
        <f>(81.7*KFC!$B$20*1.02*1.3*1.1+KFC!$C$20)*KFC!$C$5</f>
        <v>119.16762000000001</v>
      </c>
      <c r="T174" s="300">
        <f>(84.1*KFC!$B$20*1.02*1.3*1.1+KFC!$C$20)*KFC!$C$5</f>
        <v>122.66826</v>
      </c>
      <c r="U174" s="300">
        <f>(86.6*KFC!$B$20*1.02*1.3*1.1+KFC!$C$20)*KFC!$C$5</f>
        <v>126.31476000000001</v>
      </c>
      <c r="V174" s="300">
        <f>(88.9*KFC!$B$20*1.02*1.3*1.1+KFC!$C$20)*KFC!$C$5</f>
        <v>129.66954000000001</v>
      </c>
      <c r="W174" s="300">
        <f>(91.4*KFC!$B$20*1.02*1.3*1.1+KFC!$C$20)*KFC!$C$5</f>
        <v>133.31604000000002</v>
      </c>
      <c r="X174" s="300">
        <f>(93.8*KFC!$B$20*1.02*1.3*1.1+KFC!$C$20)*KFC!$C$5</f>
        <v>136.81668000000002</v>
      </c>
      <c r="Y174" s="304">
        <f>(96.3*KFC!$B$20*1.02*1.3*1.1+KFC!$C$20)*KFC!$C$5</f>
        <v>140.46318000000002</v>
      </c>
      <c r="Z174" s="345"/>
      <c r="AA174" s="345"/>
      <c r="AB174" s="345"/>
      <c r="AC174" s="345"/>
    </row>
    <row r="175" spans="1:29">
      <c r="A175" s="1538"/>
      <c r="B175" s="298">
        <v>1</v>
      </c>
      <c r="C175" s="303">
        <f>(43.5*KFC!$B$20*1.02*1.3*1.1+KFC!$C$20)*KFC!$C$5</f>
        <v>63.449100000000001</v>
      </c>
      <c r="D175" s="300">
        <f>(46.1*KFC!$B$20*1.02*1.3*1.1+KFC!$C$20)*KFC!$C$5</f>
        <v>67.241460000000018</v>
      </c>
      <c r="E175" s="300">
        <f>(48.8*KFC!$B$20*1.02*1.3*1.1+KFC!$C$20)*KFC!$C$5</f>
        <v>71.179680000000005</v>
      </c>
      <c r="F175" s="300">
        <f>(51.5*KFC!$B$20*1.02*1.3*1.1+KFC!$C$20)*KFC!$C$5</f>
        <v>75.117900000000006</v>
      </c>
      <c r="G175" s="300">
        <f>(54.2*KFC!$B$20*1.02*1.3*1.1+KFC!$C$20)*KFC!$C$5</f>
        <v>79.056120000000007</v>
      </c>
      <c r="H175" s="300">
        <f>(56.7*KFC!$B$20*1.02*1.3*1.1+KFC!$C$20)*KFC!$C$5</f>
        <v>82.70262000000001</v>
      </c>
      <c r="I175" s="300">
        <f>(59.4*KFC!$B$20*1.02*1.3*1.1+KFC!$C$20)*KFC!$C$5</f>
        <v>86.640840000000011</v>
      </c>
      <c r="J175" s="300">
        <f>(62.1*KFC!$B$20*1.02*1.3*1.1+KFC!$C$20)*KFC!$C$5</f>
        <v>90.579060000000027</v>
      </c>
      <c r="K175" s="300">
        <f>(64.7*KFC!$B$20*1.02*1.3*1.1+KFC!$C$20)*KFC!$C$5</f>
        <v>94.371420000000015</v>
      </c>
      <c r="L175" s="300">
        <f>(67.4*KFC!$B$20*1.02*1.3*1.1+KFC!$C$20)*KFC!$C$5</f>
        <v>98.309640000000016</v>
      </c>
      <c r="M175" s="300">
        <f>(70.1*KFC!$B$20*1.02*1.3*1.1+KFC!$C$20)*KFC!$C$5</f>
        <v>102.24786000000002</v>
      </c>
      <c r="N175" s="300">
        <f>(72.8*KFC!$B$20*1.02*1.3*1.1+KFC!$C$20)*KFC!$C$5</f>
        <v>106.18608000000002</v>
      </c>
      <c r="O175" s="300">
        <f>(75.3*KFC!$B$20*1.02*1.3*1.1+KFC!$C$20)*KFC!$C$5</f>
        <v>109.83258000000002</v>
      </c>
      <c r="P175" s="300">
        <f>(78*KFC!$B$20*1.02*1.3*1.1+KFC!$C$20)*KFC!$C$5</f>
        <v>113.77080000000002</v>
      </c>
      <c r="Q175" s="300">
        <f>(80.7*KFC!$B$20*1.02*1.3*1.1+KFC!$C$20)*KFC!$C$5</f>
        <v>117.70902000000002</v>
      </c>
      <c r="R175" s="300">
        <f>(83.3*KFC!$B$20*1.02*1.3*1.1+KFC!$C$20)*KFC!$C$5</f>
        <v>121.50138000000001</v>
      </c>
      <c r="S175" s="300">
        <f>(86*KFC!$B$20*1.02*1.3*1.1+KFC!$C$20)*KFC!$C$5</f>
        <v>125.43960000000001</v>
      </c>
      <c r="T175" s="300">
        <f>(88.7*KFC!$B$20*1.02*1.3*1.1+KFC!$C$20)*KFC!$C$5</f>
        <v>129.37782000000001</v>
      </c>
      <c r="U175" s="300">
        <f>(91.4*KFC!$B$20*1.02*1.3*1.1+KFC!$C$20)*KFC!$C$5</f>
        <v>133.31604000000002</v>
      </c>
      <c r="V175" s="300">
        <f>(93.9*KFC!$B$20*1.02*1.3*1.1+KFC!$C$20)*KFC!$C$5</f>
        <v>136.96254000000002</v>
      </c>
      <c r="W175" s="300">
        <f>(96.6*KFC!$B$20*1.02*1.3*1.1+KFC!$C$20)*KFC!$C$5</f>
        <v>140.90076000000002</v>
      </c>
      <c r="X175" s="300">
        <f>(99.3*KFC!$B$20*1.02*1.3*1.1+KFC!$C$20)*KFC!$C$5</f>
        <v>144.83898000000002</v>
      </c>
      <c r="Y175" s="304">
        <f>(101.9*KFC!$B$20*1.02*1.3*1.1+KFC!$C$20)*KFC!$C$5</f>
        <v>148.63134000000002</v>
      </c>
      <c r="Z175" s="345"/>
      <c r="AA175" s="345"/>
      <c r="AB175" s="345"/>
      <c r="AC175" s="345"/>
    </row>
    <row r="176" spans="1:29">
      <c r="A176" s="1538"/>
      <c r="B176" s="298">
        <v>1.1000000000000001</v>
      </c>
      <c r="C176" s="303">
        <f>(44.2*KFC!$B$20*1.02*1.3*1.1+KFC!$C$20)*KFC!$C$5</f>
        <v>64.470120000000009</v>
      </c>
      <c r="D176" s="300">
        <f>(47*KFC!$B$20*1.02*1.3*1.1+KFC!$C$20)*KFC!$C$5</f>
        <v>68.554199999999994</v>
      </c>
      <c r="E176" s="300">
        <f>(49.9*KFC!$B$20*1.02*1.3*1.1+KFC!$C$20)*KFC!$C$5</f>
        <v>72.784140000000008</v>
      </c>
      <c r="F176" s="300">
        <f>(52.8*KFC!$B$20*1.02*1.3*1.1+KFC!$C$20)*KFC!$C$5</f>
        <v>77.014080000000007</v>
      </c>
      <c r="G176" s="300">
        <f>(55.6*KFC!$B$20*1.02*1.3*1.1+KFC!$C$20)*KFC!$C$5</f>
        <v>81.098160000000007</v>
      </c>
      <c r="H176" s="300">
        <f>(58.6*KFC!$B$20*1.02*1.3*1.1+KFC!$C$20)*KFC!$C$5</f>
        <v>85.473960000000019</v>
      </c>
      <c r="I176" s="300">
        <f>(61.4*KFC!$B$20*1.02*1.3*1.1+KFC!$C$20)*KFC!$C$5</f>
        <v>89.558040000000005</v>
      </c>
      <c r="J176" s="300">
        <f>(64.3*KFC!$B$20*1.02*1.3*1.1+KFC!$C$20)*KFC!$C$5</f>
        <v>93.787980000000019</v>
      </c>
      <c r="K176" s="300">
        <f>(67.3*KFC!$B$20*1.02*1.3*1.1+KFC!$C$20)*KFC!$C$5</f>
        <v>98.163780000000017</v>
      </c>
      <c r="L176" s="300">
        <f>(70.1*KFC!$B$20*1.02*1.3*1.1+KFC!$C$20)*KFC!$C$5</f>
        <v>102.24786000000002</v>
      </c>
      <c r="M176" s="300">
        <f>(73*KFC!$B$20*1.02*1.3*1.1+KFC!$C$20)*KFC!$C$5</f>
        <v>106.47780000000003</v>
      </c>
      <c r="N176" s="300">
        <f>(75.8*KFC!$B$20*1.02*1.3*1.1+KFC!$C$20)*KFC!$C$5</f>
        <v>110.56188000000002</v>
      </c>
      <c r="O176" s="300">
        <f>(78.8*KFC!$B$20*1.02*1.3*1.1+KFC!$C$20)*KFC!$C$5</f>
        <v>114.93768000000003</v>
      </c>
      <c r="P176" s="300">
        <f>(81.7*KFC!$B$20*1.02*1.3*1.1+KFC!$C$20)*KFC!$C$5</f>
        <v>119.16762000000001</v>
      </c>
      <c r="Q176" s="300">
        <f>(84.5*KFC!$B$20*1.02*1.3*1.1+KFC!$C$20)*KFC!$C$5</f>
        <v>123.25170000000001</v>
      </c>
      <c r="R176" s="300">
        <f>(87.4*KFC!$B$20*1.02*1.3*1.1+KFC!$C$20)*KFC!$C$5</f>
        <v>127.48164000000004</v>
      </c>
      <c r="S176" s="300">
        <f>(90.3*KFC!$B$20*1.02*1.3*1.1+KFC!$C$20)*KFC!$C$5</f>
        <v>131.71158</v>
      </c>
      <c r="T176" s="300">
        <f>(93.2*KFC!$B$20*1.02*1.3*1.1+KFC!$C$20)*KFC!$C$5</f>
        <v>135.94152000000003</v>
      </c>
      <c r="U176" s="300">
        <f>(96.1*KFC!$B$20*1.02*1.3*1.1+KFC!$C$20)*KFC!$C$5</f>
        <v>140.17146</v>
      </c>
      <c r="V176" s="300">
        <f>(98.9*KFC!$B$20*1.02*1.3*1.1+KFC!$C$20)*KFC!$C$5</f>
        <v>144.25554000000005</v>
      </c>
      <c r="W176" s="300">
        <f>(101.9*KFC!$B$20*1.02*1.3*1.1+KFC!$C$20)*KFC!$C$5</f>
        <v>148.63134000000002</v>
      </c>
      <c r="X176" s="300">
        <f>(104.7*KFC!$B$20*1.02*1.3*1.1+KFC!$C$20)*KFC!$C$5</f>
        <v>152.71542000000005</v>
      </c>
      <c r="Y176" s="304">
        <f>(107.6*KFC!$B$20*1.02*1.3*1.1+KFC!$C$20)*KFC!$C$5</f>
        <v>156.94536000000002</v>
      </c>
      <c r="Z176" s="345"/>
      <c r="AA176" s="345"/>
      <c r="AB176" s="345"/>
      <c r="AC176" s="345"/>
    </row>
    <row r="177" spans="1:29">
      <c r="A177" s="1538"/>
      <c r="B177" s="298">
        <v>1.2</v>
      </c>
      <c r="C177" s="303">
        <f>(44.8*KFC!$B$20*1.02*1.3*1.1+KFC!$C$20)*KFC!$C$5</f>
        <v>65.345280000000002</v>
      </c>
      <c r="D177" s="300">
        <f>(47.8*KFC!$B$20*1.02*1.3*1.1+KFC!$C$20)*KFC!$C$5</f>
        <v>69.721080000000015</v>
      </c>
      <c r="E177" s="300">
        <f>(51*KFC!$B$20*1.02*1.3*1.1+KFC!$C$20)*KFC!$C$5</f>
        <v>74.388600000000011</v>
      </c>
      <c r="F177" s="300">
        <f>(54.1*KFC!$B$20*1.02*1.3*1.1+KFC!$C$20)*KFC!$C$5</f>
        <v>78.910260000000022</v>
      </c>
      <c r="G177" s="300">
        <f>(57.2*KFC!$B$20*1.02*1.3*1.1+KFC!$C$20)*KFC!$C$5</f>
        <v>83.431920000000005</v>
      </c>
      <c r="H177" s="300">
        <f>(60.3*KFC!$B$20*1.02*1.3*1.1+KFC!$C$20)*KFC!$C$5</f>
        <v>87.953580000000017</v>
      </c>
      <c r="I177" s="300">
        <f>(63.5*KFC!$B$20*1.02*1.3*1.1+KFC!$C$20)*KFC!$C$5</f>
        <v>92.621099999999998</v>
      </c>
      <c r="J177" s="300">
        <f>(66.5*KFC!$B$20*1.02*1.3*1.1+KFC!$C$20)*KFC!$C$5</f>
        <v>96.996900000000011</v>
      </c>
      <c r="K177" s="300">
        <f>(69.7*KFC!$B$20*1.02*1.3*1.1+KFC!$C$20)*KFC!$C$5</f>
        <v>101.66442000000002</v>
      </c>
      <c r="L177" s="300">
        <f>(72.8*KFC!$B$20*1.02*1.3*1.1+KFC!$C$20)*KFC!$C$5</f>
        <v>106.18608000000002</v>
      </c>
      <c r="M177" s="300">
        <f>(75.9*KFC!$B$20*1.02*1.3*1.1+KFC!$C$20)*KFC!$C$5</f>
        <v>110.70774000000003</v>
      </c>
      <c r="N177" s="300">
        <f>(79*KFC!$B$20*1.02*1.3*1.1+KFC!$C$20)*KFC!$C$5</f>
        <v>115.22940000000001</v>
      </c>
      <c r="O177" s="300">
        <f>(82.2*KFC!$B$20*1.02*1.3*1.1+KFC!$C$20)*KFC!$C$5</f>
        <v>119.89692000000004</v>
      </c>
      <c r="P177" s="300">
        <f>(85.2*KFC!$B$20*1.02*1.3*1.1+KFC!$C$20)*KFC!$C$5</f>
        <v>124.27272000000002</v>
      </c>
      <c r="Q177" s="300">
        <f>(88.4*KFC!$B$20*1.02*1.3*1.1+KFC!$C$20)*KFC!$C$5</f>
        <v>128.94024000000002</v>
      </c>
      <c r="R177" s="300">
        <f>(91.5*KFC!$B$20*1.02*1.3*1.1+KFC!$C$20)*KFC!$C$5</f>
        <v>133.46190000000001</v>
      </c>
      <c r="S177" s="300">
        <f>(94.7*KFC!$B$20*1.02*1.3*1.1+KFC!$C$20)*KFC!$C$5</f>
        <v>138.12942000000001</v>
      </c>
      <c r="T177" s="300">
        <f>(97.7*KFC!$B$20*1.02*1.3*1.1+KFC!$C$20)*KFC!$C$5</f>
        <v>142.50522000000004</v>
      </c>
      <c r="U177" s="300">
        <f>(100.9*KFC!$B$20*1.02*1.3*1.1+KFC!$C$20)*KFC!$C$5</f>
        <v>147.17274000000003</v>
      </c>
      <c r="V177" s="300">
        <f>(104*KFC!$B$20*1.02*1.3*1.1+KFC!$C$20)*KFC!$C$5</f>
        <v>151.6944</v>
      </c>
      <c r="W177" s="300">
        <f>(107.1*KFC!$B$20*1.02*1.3*1.1+KFC!$C$20)*KFC!$C$5</f>
        <v>156.21606000000003</v>
      </c>
      <c r="X177" s="300">
        <f>(110.2*KFC!$B$20*1.02*1.3*1.1+KFC!$C$20)*KFC!$C$5</f>
        <v>160.73772000000002</v>
      </c>
      <c r="Y177" s="304">
        <f>(113.2*KFC!$B$20*1.02*1.3*1.1+KFC!$C$20)*KFC!$C$5</f>
        <v>165.11352000000002</v>
      </c>
      <c r="Z177" s="345"/>
      <c r="AA177" s="345"/>
      <c r="AB177" s="345"/>
      <c r="AC177" s="345"/>
    </row>
    <row r="178" spans="1:29">
      <c r="A178" s="1538"/>
      <c r="B178" s="298">
        <v>1.3</v>
      </c>
      <c r="C178" s="303">
        <f>(45.4*KFC!$B$20*1.02*1.3*1.1+KFC!$C$20)*KFC!$C$5</f>
        <v>66.220440000000011</v>
      </c>
      <c r="D178" s="300">
        <f>(48.7*KFC!$B$20*1.02*1.3*1.1+KFC!$C$20)*KFC!$C$5</f>
        <v>71.03382000000002</v>
      </c>
      <c r="E178" s="300">
        <f>(52.1*KFC!$B$20*1.02*1.3*1.1+KFC!$C$20)*KFC!$C$5</f>
        <v>75.993060000000014</v>
      </c>
      <c r="F178" s="300">
        <f>(55.4*KFC!$B$20*1.02*1.3*1.1+KFC!$C$20)*KFC!$C$5</f>
        <v>80.806440000000009</v>
      </c>
      <c r="G178" s="300">
        <f>(58.8*KFC!$B$20*1.02*1.3*1.1+KFC!$C$20)*KFC!$C$5</f>
        <v>85.765680000000003</v>
      </c>
      <c r="H178" s="300">
        <f>(62.1*KFC!$B$20*1.02*1.3*1.1+KFC!$C$20)*KFC!$C$5</f>
        <v>90.579060000000027</v>
      </c>
      <c r="I178" s="300">
        <f>(65.4*KFC!$B$20*1.02*1.3*1.1+KFC!$C$20)*KFC!$C$5</f>
        <v>95.392440000000036</v>
      </c>
      <c r="J178" s="300">
        <f>(68.9*KFC!$B$20*1.02*1.3*1.1+KFC!$C$20)*KFC!$C$5</f>
        <v>100.49754000000003</v>
      </c>
      <c r="K178" s="300">
        <f>(72.2*KFC!$B$20*1.02*1.3*1.1+KFC!$C$20)*KFC!$C$5</f>
        <v>105.31092000000002</v>
      </c>
      <c r="L178" s="300">
        <f>(75.5*KFC!$B$20*1.02*1.3*1.1+KFC!$C$20)*KFC!$C$5</f>
        <v>110.12430000000002</v>
      </c>
      <c r="M178" s="300">
        <f>(78.9*KFC!$B$20*1.02*1.3*1.1+KFC!$C$20)*KFC!$C$5</f>
        <v>115.08354000000001</v>
      </c>
      <c r="N178" s="300">
        <f>(82.2*KFC!$B$20*1.02*1.3*1.1+KFC!$C$20)*KFC!$C$5</f>
        <v>119.89692000000004</v>
      </c>
      <c r="O178" s="300">
        <f>(85.5*KFC!$B$20*1.02*1.3*1.1+KFC!$C$20)*KFC!$C$5</f>
        <v>124.71030000000003</v>
      </c>
      <c r="P178" s="300">
        <f>(88.9*KFC!$B$20*1.02*1.3*1.1+KFC!$C$20)*KFC!$C$5</f>
        <v>129.66954000000001</v>
      </c>
      <c r="Q178" s="300">
        <f>(92.2*KFC!$B$20*1.02*1.3*1.1+KFC!$C$20)*KFC!$C$5</f>
        <v>134.48292000000004</v>
      </c>
      <c r="R178" s="300">
        <f>(95.5*KFC!$B$20*1.02*1.3*1.1+KFC!$C$20)*KFC!$C$5</f>
        <v>139.2963</v>
      </c>
      <c r="S178" s="300">
        <f>(98.9*KFC!$B$20*1.02*1.3*1.1+KFC!$C$20)*KFC!$C$5</f>
        <v>144.25554000000005</v>
      </c>
      <c r="T178" s="300">
        <f>(102.2*KFC!$B$20*1.02*1.3*1.1+KFC!$C$20)*KFC!$C$5</f>
        <v>149.06892000000002</v>
      </c>
      <c r="U178" s="300">
        <f>(105.7*KFC!$B$20*1.02*1.3*1.1+KFC!$C$20)*KFC!$C$5</f>
        <v>154.17402000000004</v>
      </c>
      <c r="V178" s="300">
        <f>(109*KFC!$B$20*1.02*1.3*1.1+KFC!$C$20)*KFC!$C$5</f>
        <v>158.98740000000004</v>
      </c>
      <c r="W178" s="300">
        <f>(112.3*KFC!$B$20*1.02*1.3*1.1+KFC!$C$20)*KFC!$C$5</f>
        <v>163.80078</v>
      </c>
      <c r="X178" s="300">
        <f>(115.7*KFC!$B$20*1.02*1.3*1.1+KFC!$C$20)*KFC!$C$5</f>
        <v>168.76002000000003</v>
      </c>
      <c r="Y178" s="304">
        <f>(119*KFC!$B$20*1.02*1.3*1.1+KFC!$C$20)*KFC!$C$5</f>
        <v>173.57340000000002</v>
      </c>
      <c r="Z178" s="345"/>
      <c r="AA178" s="345"/>
      <c r="AB178" s="345"/>
      <c r="AC178" s="345"/>
    </row>
    <row r="179" spans="1:29">
      <c r="A179" s="1538"/>
      <c r="B179" s="298">
        <v>1.4</v>
      </c>
      <c r="C179" s="303">
        <f>(46*KFC!$B$20*1.02*1.3*1.1+KFC!$C$20)*KFC!$C$5</f>
        <v>67.095600000000005</v>
      </c>
      <c r="D179" s="300">
        <f>(49.5*KFC!$B$20*1.02*1.3*1.1+KFC!$C$20)*KFC!$C$5</f>
        <v>72.200700000000012</v>
      </c>
      <c r="E179" s="300">
        <f>(53.2*KFC!$B$20*1.02*1.3*1.1+KFC!$C$20)*KFC!$C$5</f>
        <v>77.597520000000017</v>
      </c>
      <c r="F179" s="300">
        <f>(56.7*KFC!$B$20*1.02*1.3*1.1+KFC!$C$20)*KFC!$C$5</f>
        <v>82.70262000000001</v>
      </c>
      <c r="G179" s="300">
        <f>(60.3*KFC!$B$20*1.02*1.3*1.1+KFC!$C$20)*KFC!$C$5</f>
        <v>87.953580000000017</v>
      </c>
      <c r="H179" s="300">
        <f>(63.8*KFC!$B$20*1.02*1.3*1.1+KFC!$C$20)*KFC!$C$5</f>
        <v>93.05868000000001</v>
      </c>
      <c r="I179" s="300">
        <f>(67.5*KFC!$B$20*1.02*1.3*1.1+KFC!$C$20)*KFC!$C$5</f>
        <v>98.455500000000001</v>
      </c>
      <c r="J179" s="300">
        <f>(71.1*KFC!$B$20*1.02*1.3*1.1+KFC!$C$20)*KFC!$C$5</f>
        <v>103.70646000000001</v>
      </c>
      <c r="K179" s="300">
        <f>(74.6*KFC!$B$20*1.02*1.3*1.1+KFC!$C$20)*KFC!$C$5</f>
        <v>108.81156000000001</v>
      </c>
      <c r="L179" s="300">
        <f>(78.1*KFC!$B$20*1.02*1.3*1.1+KFC!$C$20)*KFC!$C$5</f>
        <v>113.91666000000001</v>
      </c>
      <c r="M179" s="300">
        <f>(81.8*KFC!$B$20*1.02*1.3*1.1+KFC!$C$20)*KFC!$C$5</f>
        <v>119.31348</v>
      </c>
      <c r="N179" s="300">
        <f>(85.4*KFC!$B$20*1.02*1.3*1.1+KFC!$C$20)*KFC!$C$5</f>
        <v>124.56444000000002</v>
      </c>
      <c r="O179" s="300">
        <f>(88.9*KFC!$B$20*1.02*1.3*1.1+KFC!$C$20)*KFC!$C$5</f>
        <v>129.66954000000001</v>
      </c>
      <c r="P179" s="300">
        <f>(92.5*KFC!$B$20*1.02*1.3*1.1+KFC!$C$20)*KFC!$C$5</f>
        <v>134.92050000000003</v>
      </c>
      <c r="Q179" s="300">
        <f>(96.1*KFC!$B$20*1.02*1.3*1.1+KFC!$C$20)*KFC!$C$5</f>
        <v>140.17146</v>
      </c>
      <c r="R179" s="300">
        <f>(99.7*KFC!$B$20*1.02*1.3*1.1+KFC!$C$20)*KFC!$C$5</f>
        <v>145.42242000000002</v>
      </c>
      <c r="S179" s="300">
        <f>(103.2*KFC!$B$20*1.02*1.3*1.1+KFC!$C$20)*KFC!$C$5</f>
        <v>150.52752000000004</v>
      </c>
      <c r="T179" s="300">
        <f>(106.8*KFC!$B$20*1.02*1.3*1.1+KFC!$C$20)*KFC!$C$5</f>
        <v>155.77848</v>
      </c>
      <c r="U179" s="300">
        <f>(110.4*KFC!$B$20*1.02*1.3*1.1+KFC!$C$20)*KFC!$C$5</f>
        <v>161.02944000000002</v>
      </c>
      <c r="V179" s="300">
        <f>(114*KFC!$B$20*1.02*1.3*1.1+KFC!$C$20)*KFC!$C$5</f>
        <v>166.28040000000004</v>
      </c>
      <c r="W179" s="300">
        <f>(117.5*KFC!$B$20*1.02*1.3*1.1+KFC!$C$20)*KFC!$C$5</f>
        <v>171.38550000000001</v>
      </c>
      <c r="X179" s="300">
        <f>(121.1*KFC!$B$20*1.02*1.3*1.1+KFC!$C$20)*KFC!$C$5</f>
        <v>176.63646</v>
      </c>
      <c r="Y179" s="304">
        <f>(124.7*KFC!$B$20*1.02*1.3*1.1+KFC!$C$20)*KFC!$C$5</f>
        <v>181.88742000000002</v>
      </c>
      <c r="Z179" s="345"/>
      <c r="AA179" s="345"/>
      <c r="AB179" s="345"/>
      <c r="AC179" s="345"/>
    </row>
    <row r="180" spans="1:29">
      <c r="A180" s="1538"/>
      <c r="B180" s="298">
        <v>1.5</v>
      </c>
      <c r="C180" s="303">
        <f>(46.6*KFC!$B$20*1.02*1.3*1.1+KFC!$C$20)*KFC!$C$5</f>
        <v>67.970760000000013</v>
      </c>
      <c r="D180" s="300">
        <f>(50.4*KFC!$B$20*1.02*1.3*1.1+KFC!$C$20)*KFC!$C$5</f>
        <v>73.513440000000003</v>
      </c>
      <c r="E180" s="300">
        <f>(54.3*KFC!$B$20*1.02*1.3*1.1+KFC!$C$20)*KFC!$C$5</f>
        <v>79.201980000000006</v>
      </c>
      <c r="F180" s="300">
        <f>(58.1*KFC!$B$20*1.02*1.3*1.1+KFC!$C$20)*KFC!$C$5</f>
        <v>84.74466000000001</v>
      </c>
      <c r="G180" s="300">
        <f>(61.9*KFC!$B$20*1.02*1.3*1.1+KFC!$C$20)*KFC!$C$5</f>
        <v>90.287340000000015</v>
      </c>
      <c r="H180" s="300">
        <f>(65.7*KFC!$B$20*1.02*1.3*1.1+KFC!$C$20)*KFC!$C$5</f>
        <v>95.830020000000019</v>
      </c>
      <c r="I180" s="300">
        <f>(69.5*KFC!$B$20*1.02*1.3*1.1+KFC!$C$20)*KFC!$C$5</f>
        <v>101.37270000000002</v>
      </c>
      <c r="J180" s="300">
        <f>(73.3*KFC!$B$20*1.02*1.3*1.1+KFC!$C$20)*KFC!$C$5</f>
        <v>106.91538000000001</v>
      </c>
      <c r="K180" s="300">
        <f>(77*KFC!$B$20*1.02*1.3*1.1+KFC!$C$20)*KFC!$C$5</f>
        <v>112.31220000000003</v>
      </c>
      <c r="L180" s="300">
        <f>(80.8*KFC!$B$20*1.02*1.3*1.1+KFC!$C$20)*KFC!$C$5</f>
        <v>117.85488000000001</v>
      </c>
      <c r="M180" s="300">
        <f>(84.8*KFC!$B$20*1.02*1.3*1.1+KFC!$C$20)*KFC!$C$5</f>
        <v>123.68928000000001</v>
      </c>
      <c r="N180" s="300">
        <f>(88.5*KFC!$B$20*1.02*1.3*1.1+KFC!$C$20)*KFC!$C$5</f>
        <v>129.08610000000002</v>
      </c>
      <c r="O180" s="300">
        <f>(92.3*KFC!$B$20*1.02*1.3*1.1+KFC!$C$20)*KFC!$C$5</f>
        <v>134.62878000000001</v>
      </c>
      <c r="P180" s="300">
        <f>(96.1*KFC!$B$20*1.02*1.3*1.1+KFC!$C$20)*KFC!$C$5</f>
        <v>140.17146</v>
      </c>
      <c r="Q180" s="300">
        <f>(99.9*KFC!$B$20*1.02*1.3*1.1+KFC!$C$20)*KFC!$C$5</f>
        <v>145.71414000000004</v>
      </c>
      <c r="R180" s="300">
        <f>(103.7*KFC!$B$20*1.02*1.3*1.1+KFC!$C$20)*KFC!$C$5</f>
        <v>151.25682000000003</v>
      </c>
      <c r="S180" s="300">
        <f>(107.5*KFC!$B$20*1.02*1.3*1.1+KFC!$C$20)*KFC!$C$5</f>
        <v>156.79950000000002</v>
      </c>
      <c r="T180" s="300">
        <f>(111.3*KFC!$B$20*1.02*1.3*1.1+KFC!$C$20)*KFC!$C$5</f>
        <v>162.34218000000001</v>
      </c>
      <c r="U180" s="300">
        <f>(115.2*KFC!$B$20*1.02*1.3*1.1+KFC!$C$20)*KFC!$C$5</f>
        <v>168.03072</v>
      </c>
      <c r="V180" s="300">
        <f>(119*KFC!$B$20*1.02*1.3*1.1+KFC!$C$20)*KFC!$C$5</f>
        <v>173.57340000000002</v>
      </c>
      <c r="W180" s="300">
        <f>(122.8*KFC!$B$20*1.02*1.3*1.1+KFC!$C$20)*KFC!$C$5</f>
        <v>179.11608000000001</v>
      </c>
      <c r="X180" s="300">
        <f>(126.6*KFC!$B$20*1.02*1.3*1.1+KFC!$C$20)*KFC!$C$5</f>
        <v>184.65876000000003</v>
      </c>
      <c r="Y180" s="304">
        <f>(130.4*KFC!$B$20*1.02*1.3*1.1+KFC!$C$20)*KFC!$C$5</f>
        <v>190.20144000000002</v>
      </c>
      <c r="Z180" s="345"/>
      <c r="AA180" s="345"/>
      <c r="AB180" s="345"/>
      <c r="AC180" s="345"/>
    </row>
    <row r="181" spans="1:29">
      <c r="A181" s="1538"/>
      <c r="B181" s="298">
        <v>1.6</v>
      </c>
      <c r="C181" s="303">
        <f>(47.2*KFC!$B$20*1.02*1.3*1.1+KFC!$C$20)*KFC!$C$5</f>
        <v>68.845920000000021</v>
      </c>
      <c r="D181" s="300">
        <f>(51.2*KFC!$B$20*1.02*1.3*1.1+KFC!$C$20)*KFC!$C$5</f>
        <v>74.680320000000023</v>
      </c>
      <c r="E181" s="300">
        <f>(55.3*KFC!$B$20*1.02*1.3*1.1+KFC!$C$20)*KFC!$C$5</f>
        <v>80.660579999999996</v>
      </c>
      <c r="F181" s="300">
        <f>(59.3*KFC!$B$20*1.02*1.3*1.1+KFC!$C$20)*KFC!$C$5</f>
        <v>86.494979999999998</v>
      </c>
      <c r="G181" s="300">
        <f>(63.5*KFC!$B$20*1.02*1.3*1.1+KFC!$C$20)*KFC!$C$5</f>
        <v>92.621099999999998</v>
      </c>
      <c r="H181" s="300">
        <f>(67.5*KFC!$B$20*1.02*1.3*1.1+KFC!$C$20)*KFC!$C$5</f>
        <v>98.455500000000001</v>
      </c>
      <c r="I181" s="300">
        <f>(71.5*KFC!$B$20*1.02*1.3*1.1+KFC!$C$20)*KFC!$C$5</f>
        <v>104.28990000000002</v>
      </c>
      <c r="J181" s="300">
        <f>(75.6*KFC!$B$20*1.02*1.3*1.1+KFC!$C$20)*KFC!$C$5</f>
        <v>110.27016</v>
      </c>
      <c r="K181" s="300">
        <f>(79.6*KFC!$B$20*1.02*1.3*1.1+KFC!$C$20)*KFC!$C$5</f>
        <v>116.10456000000001</v>
      </c>
      <c r="L181" s="300">
        <f>(83.7*KFC!$B$20*1.02*1.3*1.1+KFC!$C$20)*KFC!$C$5</f>
        <v>122.08482000000002</v>
      </c>
      <c r="M181" s="300">
        <f>(87.7*KFC!$B$20*1.02*1.3*1.1+KFC!$C$20)*KFC!$C$5</f>
        <v>127.91922000000002</v>
      </c>
      <c r="N181" s="300">
        <f>(91.7*KFC!$B$20*1.02*1.3*1.1+KFC!$C$20)*KFC!$C$5</f>
        <v>133.75362000000004</v>
      </c>
      <c r="O181" s="300">
        <f>(95.8*KFC!$B$20*1.02*1.3*1.1+KFC!$C$20)*KFC!$C$5</f>
        <v>139.73388</v>
      </c>
      <c r="P181" s="300">
        <f>(99.8*KFC!$B$20*1.02*1.3*1.1+KFC!$C$20)*KFC!$C$5</f>
        <v>145.56828000000002</v>
      </c>
      <c r="Q181" s="300">
        <f>(103.8*KFC!$B$20*1.02*1.3*1.1+KFC!$C$20)*KFC!$C$5</f>
        <v>151.40268</v>
      </c>
      <c r="R181" s="300">
        <f>(107.9*KFC!$B$20*1.02*1.3*1.1+KFC!$C$20)*KFC!$C$5</f>
        <v>157.38294000000002</v>
      </c>
      <c r="S181" s="300">
        <f>(111.9*KFC!$B$20*1.02*1.3*1.1+KFC!$C$20)*KFC!$C$5</f>
        <v>163.21734000000001</v>
      </c>
      <c r="T181" s="300">
        <f>(115.9*KFC!$B$20*1.02*1.3*1.1+KFC!$C$20)*KFC!$C$5</f>
        <v>169.05174000000002</v>
      </c>
      <c r="U181" s="300">
        <f>(120*KFC!$B$20*1.02*1.3*1.1+KFC!$C$20)*KFC!$C$5</f>
        <v>175.03200000000001</v>
      </c>
      <c r="V181" s="300">
        <f>(124*KFC!$B$20*1.02*1.3*1.1+KFC!$C$20)*KFC!$C$5</f>
        <v>180.86640000000003</v>
      </c>
      <c r="W181" s="300">
        <f>(128*KFC!$B$20*1.02*1.3*1.1+KFC!$C$20)*KFC!$C$5</f>
        <v>186.70080000000002</v>
      </c>
      <c r="X181" s="300">
        <f>(132.1*KFC!$B$20*1.02*1.3*1.1+KFC!$C$20)*KFC!$C$5</f>
        <v>192.68106000000003</v>
      </c>
      <c r="Y181" s="304">
        <f>(136.1*KFC!$B$20*1.02*1.3*1.1+KFC!$C$20)*KFC!$C$5</f>
        <v>198.51546000000002</v>
      </c>
      <c r="Z181" s="345"/>
      <c r="AA181" s="345"/>
      <c r="AB181" s="345"/>
      <c r="AC181" s="345"/>
    </row>
    <row r="182" spans="1:29">
      <c r="A182" s="1538"/>
      <c r="B182" s="298">
        <v>1.7</v>
      </c>
      <c r="C182" s="303">
        <f>(47.9*KFC!$B$20*1.02*1.3*1.1+KFC!$C$20)*KFC!$C$5</f>
        <v>69.86694</v>
      </c>
      <c r="D182" s="300">
        <f>(52.2*KFC!$B$20*1.02*1.3*1.1+KFC!$C$20)*KFC!$C$5</f>
        <v>76.138920000000013</v>
      </c>
      <c r="E182" s="300">
        <f>(56.4*KFC!$B$20*1.02*1.3*1.1+KFC!$C$20)*KFC!$C$5</f>
        <v>82.265040000000013</v>
      </c>
      <c r="F182" s="300">
        <f>(60.7*KFC!$B$20*1.02*1.3*1.1+KFC!$C$20)*KFC!$C$5</f>
        <v>88.537020000000012</v>
      </c>
      <c r="G182" s="300">
        <f>(64.9*KFC!$B$20*1.02*1.3*1.1+KFC!$C$20)*KFC!$C$5</f>
        <v>94.663140000000027</v>
      </c>
      <c r="H182" s="300">
        <f>(69.2*KFC!$B$20*1.02*1.3*1.1+KFC!$C$20)*KFC!$C$5</f>
        <v>100.93512000000001</v>
      </c>
      <c r="I182" s="300">
        <f>(73.5*KFC!$B$20*1.02*1.3*1.1+KFC!$C$20)*KFC!$C$5</f>
        <v>107.20710000000001</v>
      </c>
      <c r="J182" s="300">
        <f>(77.8*KFC!$B$20*1.02*1.3*1.1+KFC!$C$20)*KFC!$C$5</f>
        <v>113.47908</v>
      </c>
      <c r="K182" s="300">
        <f>(82.1*KFC!$B$20*1.02*1.3*1.1+KFC!$C$20)*KFC!$C$5</f>
        <v>119.75106000000001</v>
      </c>
      <c r="L182" s="300">
        <f>(86.3*KFC!$B$20*1.02*1.3*1.1+KFC!$C$20)*KFC!$C$5</f>
        <v>125.87718000000001</v>
      </c>
      <c r="M182" s="300">
        <f>(90.5*KFC!$B$20*1.02*1.3*1.1+KFC!$C$20)*KFC!$C$5</f>
        <v>132.00330000000002</v>
      </c>
      <c r="N182" s="300">
        <f>(94.8*KFC!$B$20*1.02*1.3*1.1+KFC!$C$20)*KFC!$C$5</f>
        <v>138.27528000000001</v>
      </c>
      <c r="O182" s="300">
        <f>(99.1*KFC!$B$20*1.02*1.3*1.1+KFC!$C$20)*KFC!$C$5</f>
        <v>144.54726000000002</v>
      </c>
      <c r="P182" s="300">
        <f>(103.3*KFC!$B$20*1.02*1.3*1.1+KFC!$C$20)*KFC!$C$5</f>
        <v>150.67338000000001</v>
      </c>
      <c r="Q182" s="300">
        <f>(107.6*KFC!$B$20*1.02*1.3*1.1+KFC!$C$20)*KFC!$C$5</f>
        <v>156.94536000000002</v>
      </c>
      <c r="R182" s="300">
        <f>(111.9*KFC!$B$20*1.02*1.3*1.1+KFC!$C$20)*KFC!$C$5</f>
        <v>163.21734000000001</v>
      </c>
      <c r="S182" s="300">
        <f>(116.2*KFC!$B$20*1.02*1.3*1.1+KFC!$C$20)*KFC!$C$5</f>
        <v>169.48932000000002</v>
      </c>
      <c r="T182" s="300">
        <f>(120.5*KFC!$B$20*1.02*1.3*1.1+KFC!$C$20)*KFC!$C$5</f>
        <v>175.76130000000001</v>
      </c>
      <c r="U182" s="300">
        <f>(124.7*KFC!$B$20*1.02*1.3*1.1+KFC!$C$20)*KFC!$C$5</f>
        <v>181.88742000000002</v>
      </c>
      <c r="V182" s="300">
        <f>(128.9*KFC!$B$20*1.02*1.3*1.1+KFC!$C$20)*KFC!$C$5</f>
        <v>188.01354000000003</v>
      </c>
      <c r="W182" s="300">
        <f>(133.2*KFC!$B$20*1.02*1.3*1.1+KFC!$C$20)*KFC!$C$5</f>
        <v>194.28552000000005</v>
      </c>
      <c r="X182" s="300">
        <f>(137.5*KFC!$B$20*1.02*1.3*1.1+KFC!$C$20)*KFC!$C$5</f>
        <v>200.55750000000003</v>
      </c>
      <c r="Y182" s="304">
        <f>(141.7*KFC!$B$20*1.02*1.3*1.1+KFC!$C$20)*KFC!$C$5</f>
        <v>206.68361999999999</v>
      </c>
      <c r="Z182" s="345"/>
      <c r="AA182" s="345"/>
      <c r="AB182" s="345"/>
      <c r="AC182" s="345"/>
    </row>
    <row r="183" spans="1:29">
      <c r="A183" s="1538"/>
      <c r="B183" s="298">
        <v>1.8</v>
      </c>
      <c r="C183" s="303">
        <f>(48.6*KFC!$B$20*1.02*1.3*1.1+KFC!$C$20)*KFC!$C$5</f>
        <v>70.887960000000007</v>
      </c>
      <c r="D183" s="300">
        <f>(53.1*KFC!$B$20*1.02*1.3*1.1+KFC!$C$20)*KFC!$C$5</f>
        <v>77.451660000000004</v>
      </c>
      <c r="E183" s="300">
        <f>(57.5*KFC!$B$20*1.02*1.3*1.1+KFC!$C$20)*KFC!$C$5</f>
        <v>83.869500000000016</v>
      </c>
      <c r="F183" s="300">
        <f>(62*KFC!$B$20*1.02*1.3*1.1+KFC!$C$20)*KFC!$C$5</f>
        <v>90.433200000000014</v>
      </c>
      <c r="G183" s="300">
        <f>(66.5*KFC!$B$20*1.02*1.3*1.1+KFC!$C$20)*KFC!$C$5</f>
        <v>96.996900000000011</v>
      </c>
      <c r="H183" s="300">
        <f>(71.1*KFC!$B$20*1.02*1.3*1.1+KFC!$C$20)*KFC!$C$5</f>
        <v>103.70646000000001</v>
      </c>
      <c r="I183" s="300">
        <f>(75.5*KFC!$B$20*1.02*1.3*1.1+KFC!$C$20)*KFC!$C$5</f>
        <v>110.12430000000002</v>
      </c>
      <c r="J183" s="300">
        <f>(80*KFC!$B$20*1.02*1.3*1.1+KFC!$C$20)*KFC!$C$5</f>
        <v>116.688</v>
      </c>
      <c r="K183" s="300">
        <f>(84.5*KFC!$B$20*1.02*1.3*1.1+KFC!$C$20)*KFC!$C$5</f>
        <v>123.25170000000001</v>
      </c>
      <c r="L183" s="300">
        <f>(89*KFC!$B$20*1.02*1.3*1.1+KFC!$C$20)*KFC!$C$5</f>
        <v>129.81540000000001</v>
      </c>
      <c r="M183" s="300">
        <f>(93.4*KFC!$B$20*1.02*1.3*1.1+KFC!$C$20)*KFC!$C$5</f>
        <v>136.23324</v>
      </c>
      <c r="N183" s="300">
        <f>(98*KFC!$B$20*1.02*1.3*1.1+KFC!$C$20)*KFC!$C$5</f>
        <v>142.94280000000003</v>
      </c>
      <c r="O183" s="300">
        <f>(102.5*KFC!$B$20*1.02*1.3*1.1+KFC!$C$20)*KFC!$C$5</f>
        <v>149.50650000000002</v>
      </c>
      <c r="P183" s="300">
        <f>(107*KFC!$B$20*1.02*1.3*1.1+KFC!$C$20)*KFC!$C$5</f>
        <v>156.07020000000003</v>
      </c>
      <c r="Q183" s="300">
        <f>(111.4*KFC!$B$20*1.02*1.3*1.1+KFC!$C$20)*KFC!$C$5</f>
        <v>162.48804000000004</v>
      </c>
      <c r="R183" s="300">
        <f>(115.9*KFC!$B$20*1.02*1.3*1.1+KFC!$C$20)*KFC!$C$5</f>
        <v>169.05174000000002</v>
      </c>
      <c r="S183" s="300">
        <f>(120.5*KFC!$B$20*1.02*1.3*1.1+KFC!$C$20)*KFC!$C$5</f>
        <v>175.76130000000001</v>
      </c>
      <c r="T183" s="300">
        <f>(125*KFC!$B$20*1.02*1.3*1.1+KFC!$C$20)*KFC!$C$5</f>
        <v>182.32500000000002</v>
      </c>
      <c r="U183" s="300">
        <f>(129.5*KFC!$B$20*1.02*1.3*1.1+KFC!$C$20)*KFC!$C$5</f>
        <v>188.88870000000003</v>
      </c>
      <c r="V183" s="300">
        <f>(133.9*KFC!$B$20*1.02*1.3*1.1+KFC!$C$20)*KFC!$C$5</f>
        <v>195.30654000000001</v>
      </c>
      <c r="W183" s="300">
        <f>(138.4*KFC!$B$20*1.02*1.3*1.1+KFC!$C$20)*KFC!$C$5</f>
        <v>201.87024000000002</v>
      </c>
      <c r="X183" s="300">
        <f>(143*KFC!$B$20*1.02*1.3*1.1+KFC!$C$20)*KFC!$C$5</f>
        <v>208.57980000000003</v>
      </c>
      <c r="Y183" s="304">
        <f>(147.5*KFC!$B$20*1.02*1.3*1.1+KFC!$C$20)*KFC!$C$5</f>
        <v>215.14349999999999</v>
      </c>
      <c r="Z183" s="345"/>
      <c r="AA183" s="345"/>
      <c r="AB183" s="345"/>
      <c r="AC183" s="345"/>
    </row>
    <row r="184" spans="1:29">
      <c r="A184" s="1538"/>
      <c r="B184" s="298">
        <v>1.9</v>
      </c>
      <c r="C184" s="303">
        <f>(49.8*KFC!$B$20*1.02*1.3*1.1+KFC!$C$20)*KFC!$C$5</f>
        <v>72.638280000000009</v>
      </c>
      <c r="D184" s="300">
        <f>(54.8*KFC!$B$20*1.02*1.3*1.1+KFC!$C$20)*KFC!$C$5</f>
        <v>79.931280000000001</v>
      </c>
      <c r="E184" s="300">
        <f>(59.7*KFC!$B$20*1.02*1.3*1.1+KFC!$C$20)*KFC!$C$5</f>
        <v>87.078420000000023</v>
      </c>
      <c r="F184" s="300">
        <f>(64.7*KFC!$B$20*1.02*1.3*1.1+KFC!$C$20)*KFC!$C$5</f>
        <v>94.371420000000015</v>
      </c>
      <c r="G184" s="300">
        <f>(69.6*KFC!$B$20*1.02*1.3*1.1+KFC!$C$20)*KFC!$C$5</f>
        <v>101.51855999999999</v>
      </c>
      <c r="H184" s="300">
        <f>(74.6*KFC!$B$20*1.02*1.3*1.1+KFC!$C$20)*KFC!$C$5</f>
        <v>108.81156000000001</v>
      </c>
      <c r="I184" s="300">
        <f>(79.5*KFC!$B$20*1.02*1.3*1.1+KFC!$C$20)*KFC!$C$5</f>
        <v>115.95870000000001</v>
      </c>
      <c r="J184" s="300">
        <f>(84.5*KFC!$B$20*1.02*1.3*1.1+KFC!$C$20)*KFC!$C$5</f>
        <v>123.25170000000001</v>
      </c>
      <c r="K184" s="300">
        <f>(89.4*KFC!$B$20*1.02*1.3*1.1+KFC!$C$20)*KFC!$C$5</f>
        <v>130.39884000000004</v>
      </c>
      <c r="L184" s="300">
        <f>(94.4*KFC!$B$20*1.02*1.3*1.1+KFC!$C$20)*KFC!$C$5</f>
        <v>137.69184000000004</v>
      </c>
      <c r="M184" s="300">
        <f>(99.3*KFC!$B$20*1.02*1.3*1.1+KFC!$C$20)*KFC!$C$5</f>
        <v>144.83898000000002</v>
      </c>
      <c r="N184" s="300">
        <f>(104.3*KFC!$B$20*1.02*1.3*1.1+KFC!$C$20)*KFC!$C$5</f>
        <v>152.13198</v>
      </c>
      <c r="O184" s="300">
        <f>(109.2*KFC!$B$20*1.02*1.3*1.1+KFC!$C$20)*KFC!$C$5</f>
        <v>159.27912000000003</v>
      </c>
      <c r="P184" s="300">
        <f>(114.2*KFC!$B$20*1.02*1.3*1.1+KFC!$C$20)*KFC!$C$5</f>
        <v>166.57212000000001</v>
      </c>
      <c r="Q184" s="300">
        <f>(119.1*KFC!$B$20*1.02*1.3*1.1+KFC!$C$20)*KFC!$C$5</f>
        <v>173.71926000000002</v>
      </c>
      <c r="R184" s="300">
        <f>(124.1*KFC!$B$20*1.02*1.3*1.1+KFC!$C$20)*KFC!$C$5</f>
        <v>181.01226000000003</v>
      </c>
      <c r="S184" s="300">
        <f>(129.1*KFC!$B$20*1.02*1.3*1.1+KFC!$C$20)*KFC!$C$5</f>
        <v>188.30526</v>
      </c>
      <c r="T184" s="300">
        <f>(134*KFC!$B$20*1.02*1.3*1.1+KFC!$C$20)*KFC!$C$5</f>
        <v>195.45240000000004</v>
      </c>
      <c r="U184" s="300">
        <f>(139.1*KFC!$B$20*1.02*1.3*1.1+KFC!$C$20)*KFC!$C$5</f>
        <v>202.89126000000005</v>
      </c>
      <c r="V184" s="300">
        <f>(143.9*KFC!$B$20*1.02*1.3*1.1+KFC!$C$20)*KFC!$C$5</f>
        <v>209.89254000000003</v>
      </c>
      <c r="W184" s="300">
        <f>(149*KFC!$B$20*1.02*1.3*1.1+KFC!$C$20)*KFC!$C$5</f>
        <v>217.3314</v>
      </c>
      <c r="X184" s="300">
        <f>(153.9*KFC!$B$20*1.02*1.3*1.1+KFC!$C$20)*KFC!$C$5</f>
        <v>224.47854000000004</v>
      </c>
      <c r="Y184" s="304">
        <f>(158.9*KFC!$B$20*1.02*1.3*1.1+KFC!$C$20)*KFC!$C$5</f>
        <v>231.77154000000002</v>
      </c>
      <c r="Z184" s="345"/>
      <c r="AA184" s="345"/>
      <c r="AB184" s="345"/>
      <c r="AC184" s="345"/>
    </row>
    <row r="185" spans="1:29">
      <c r="A185" s="1538"/>
      <c r="B185" s="298">
        <v>2</v>
      </c>
      <c r="C185" s="303">
        <f>(50.4*KFC!$B$20*1.02*1.3*1.1+KFC!$C$20)*KFC!$C$5</f>
        <v>73.513440000000003</v>
      </c>
      <c r="D185" s="300">
        <f>(55.6*KFC!$B$20*1.02*1.3*1.1+KFC!$C$20)*KFC!$C$5</f>
        <v>81.098160000000007</v>
      </c>
      <c r="E185" s="300">
        <f>(60.8*KFC!$B$20*1.02*1.3*1.1+KFC!$C$20)*KFC!$C$5</f>
        <v>88.682880000000011</v>
      </c>
      <c r="F185" s="300">
        <f>(65.9*KFC!$B$20*1.02*1.3*1.1+KFC!$C$20)*KFC!$C$5</f>
        <v>96.121740000000017</v>
      </c>
      <c r="G185" s="300">
        <f>(71.2*KFC!$B$20*1.02*1.3*1.1+KFC!$C$20)*KFC!$C$5</f>
        <v>103.85232000000003</v>
      </c>
      <c r="H185" s="300">
        <f>(76.3*KFC!$B$20*1.02*1.3*1.1+KFC!$C$20)*KFC!$C$5</f>
        <v>111.29118000000001</v>
      </c>
      <c r="I185" s="300">
        <f>(81.6*KFC!$B$20*1.02*1.3*1.1+KFC!$C$20)*KFC!$C$5</f>
        <v>119.02176000000001</v>
      </c>
      <c r="J185" s="300">
        <f>(86.7*KFC!$B$20*1.02*1.3*1.1+KFC!$C$20)*KFC!$C$5</f>
        <v>126.46062000000002</v>
      </c>
      <c r="K185" s="300">
        <f>(91.8*KFC!$B$20*1.02*1.3*1.1+KFC!$C$20)*KFC!$C$5</f>
        <v>133.89948000000001</v>
      </c>
      <c r="L185" s="300">
        <f>(97.1*KFC!$B$20*1.02*1.3*1.1+KFC!$C$20)*KFC!$C$5</f>
        <v>141.63006000000001</v>
      </c>
      <c r="M185" s="300">
        <f>(102.2*KFC!$B$20*1.02*1.3*1.1+KFC!$C$20)*KFC!$C$5</f>
        <v>149.06892000000002</v>
      </c>
      <c r="N185" s="300">
        <f>(107.5*KFC!$B$20*1.02*1.3*1.1+KFC!$C$20)*KFC!$C$5</f>
        <v>156.79950000000002</v>
      </c>
      <c r="O185" s="300">
        <f>(112.6*KFC!$B$20*1.02*1.3*1.1+KFC!$C$20)*KFC!$C$5</f>
        <v>164.23836</v>
      </c>
      <c r="P185" s="300">
        <f>(117.9*KFC!$B$20*1.02*1.3*1.1+KFC!$C$20)*KFC!$C$5</f>
        <v>171.96894000000003</v>
      </c>
      <c r="Q185" s="300">
        <f>(123*KFC!$B$20*1.02*1.3*1.1+KFC!$C$20)*KFC!$C$5</f>
        <v>179.40780000000004</v>
      </c>
      <c r="R185" s="300">
        <f>(128.2*KFC!$B$20*1.02*1.3*1.1+KFC!$C$20)*KFC!$C$5</f>
        <v>186.99251999999998</v>
      </c>
      <c r="S185" s="300">
        <f>(133.4*KFC!$B$20*1.02*1.3*1.1+KFC!$C$20)*KFC!$C$5</f>
        <v>194.57724000000005</v>
      </c>
      <c r="T185" s="300">
        <f>(138.6*KFC!$B$20*1.02*1.3*1.1+KFC!$C$20)*KFC!$C$5</f>
        <v>202.16195999999999</v>
      </c>
      <c r="U185" s="300">
        <f>(143.8*KFC!$B$20*1.02*1.3*1.1+KFC!$C$20)*KFC!$C$5</f>
        <v>209.74668000000005</v>
      </c>
      <c r="V185" s="300">
        <f>(149*KFC!$B$20*1.02*1.3*1.1+KFC!$C$20)*KFC!$C$5</f>
        <v>217.3314</v>
      </c>
      <c r="W185" s="300">
        <f>(154.1*KFC!$B$20*1.02*1.3*1.1+KFC!$C$20)*KFC!$C$5</f>
        <v>224.77026000000004</v>
      </c>
      <c r="X185" s="300">
        <f>(159.4*KFC!$B$20*1.02*1.3*1.1+KFC!$C$20)*KFC!$C$5</f>
        <v>232.50084000000007</v>
      </c>
      <c r="Y185" s="304">
        <f>(164.5*KFC!$B$20*1.02*1.3*1.1+KFC!$C$20)*KFC!$C$5</f>
        <v>239.93970000000002</v>
      </c>
      <c r="Z185" s="345"/>
      <c r="AA185" s="345"/>
      <c r="AB185" s="345"/>
      <c r="AC185" s="345"/>
    </row>
    <row r="186" spans="1:29">
      <c r="A186" s="1538"/>
      <c r="B186" s="298">
        <v>2.1</v>
      </c>
      <c r="C186" s="303">
        <f>(51*KFC!$B$20*1.02*1.3*1.1+KFC!$C$20)*KFC!$C$5</f>
        <v>74.388600000000011</v>
      </c>
      <c r="D186" s="300">
        <f>(56.5*KFC!$B$20*1.02*1.3*1.1+KFC!$C$20)*KFC!$C$5</f>
        <v>82.410900000000012</v>
      </c>
      <c r="E186" s="300">
        <f>(61.9*KFC!$B$20*1.02*1.3*1.1+KFC!$C$20)*KFC!$C$5</f>
        <v>90.287340000000015</v>
      </c>
      <c r="F186" s="300">
        <f>(67.3*KFC!$B$20*1.02*1.3*1.1+KFC!$C$20)*KFC!$C$5</f>
        <v>98.163780000000017</v>
      </c>
      <c r="G186" s="300">
        <f>(72.6*KFC!$B$20*1.02*1.3*1.1+KFC!$C$20)*KFC!$C$5</f>
        <v>105.89435999999999</v>
      </c>
      <c r="H186" s="300">
        <f>(78.1*KFC!$B$20*1.02*1.3*1.1+KFC!$C$20)*KFC!$C$5</f>
        <v>113.91666000000001</v>
      </c>
      <c r="I186" s="300">
        <f>(83.5*KFC!$B$20*1.02*1.3*1.1+KFC!$C$20)*KFC!$C$5</f>
        <v>121.79310000000001</v>
      </c>
      <c r="J186" s="300">
        <f>(88.9*KFC!$B$20*1.02*1.3*1.1+KFC!$C$20)*KFC!$C$5</f>
        <v>129.66954000000001</v>
      </c>
      <c r="K186" s="300">
        <f>(94.4*KFC!$B$20*1.02*1.3*1.1+KFC!$C$20)*KFC!$C$5</f>
        <v>137.69184000000004</v>
      </c>
      <c r="L186" s="300">
        <f>(99.8*KFC!$B$20*1.02*1.3*1.1+KFC!$C$20)*KFC!$C$5</f>
        <v>145.56828000000002</v>
      </c>
      <c r="M186" s="300">
        <f>(105.2*KFC!$B$20*1.02*1.3*1.1+KFC!$C$20)*KFC!$C$5</f>
        <v>153.44472000000002</v>
      </c>
      <c r="N186" s="300">
        <f>(110.7*KFC!$B$20*1.02*1.3*1.1+KFC!$C$20)*KFC!$C$5</f>
        <v>161.46702000000002</v>
      </c>
      <c r="O186" s="300">
        <f>(116.1*KFC!$B$20*1.02*1.3*1.1+KFC!$C$20)*KFC!$C$5</f>
        <v>169.34346000000002</v>
      </c>
      <c r="P186" s="300">
        <f>(121.4*KFC!$B$20*1.02*1.3*1.1+KFC!$C$20)*KFC!$C$5</f>
        <v>177.07404000000002</v>
      </c>
      <c r="Q186" s="300">
        <f>(126.8*KFC!$B$20*1.02*1.3*1.1+KFC!$C$20)*KFC!$C$5</f>
        <v>184.95048000000003</v>
      </c>
      <c r="R186" s="300">
        <f>(132.3*KFC!$B$20*1.02*1.3*1.1+KFC!$C$20)*KFC!$C$5</f>
        <v>192.97278000000006</v>
      </c>
      <c r="S186" s="300">
        <f>(137.7*KFC!$B$20*1.02*1.3*1.1+KFC!$C$20)*KFC!$C$5</f>
        <v>200.84922</v>
      </c>
      <c r="T186" s="300">
        <f>(143.1*KFC!$B$20*1.02*1.3*1.1+KFC!$C$20)*KFC!$C$5</f>
        <v>208.72566</v>
      </c>
      <c r="U186" s="300">
        <f>(148.6*KFC!$B$20*1.02*1.3*1.1+KFC!$C$20)*KFC!$C$5</f>
        <v>216.74796000000001</v>
      </c>
      <c r="V186" s="300">
        <f>(154*KFC!$B$20*1.02*1.3*1.1+KFC!$C$20)*KFC!$C$5</f>
        <v>224.62440000000007</v>
      </c>
      <c r="W186" s="300">
        <f>(159.4*KFC!$B$20*1.02*1.3*1.1+KFC!$C$20)*KFC!$C$5</f>
        <v>232.50084000000007</v>
      </c>
      <c r="X186" s="300">
        <f>(164.7*KFC!$B$20*1.02*1.3*1.1+KFC!$C$20)*KFC!$C$5</f>
        <v>240.23142000000001</v>
      </c>
      <c r="Y186" s="304">
        <f>(170.2*KFC!$B$20*1.02*1.3*1.1+KFC!$C$20)*KFC!$C$5</f>
        <v>248.25371999999999</v>
      </c>
      <c r="Z186" s="345"/>
      <c r="AA186" s="345"/>
      <c r="AB186" s="345"/>
      <c r="AC186" s="345"/>
    </row>
    <row r="187" spans="1:29">
      <c r="A187" s="1538"/>
      <c r="B187" s="298">
        <v>2.2000000000000002</v>
      </c>
      <c r="C187" s="303">
        <f>(51.6*KFC!$B$20*1.02*1.3*1.1+KFC!$C$20)*KFC!$C$5</f>
        <v>75.263760000000019</v>
      </c>
      <c r="D187" s="300">
        <f>(57.4*KFC!$B$20*1.02*1.3*1.1+KFC!$C$20)*KFC!$C$5</f>
        <v>83.723640000000017</v>
      </c>
      <c r="E187" s="300">
        <f>(63*KFC!$B$20*1.02*1.3*1.1+KFC!$C$20)*KFC!$C$5</f>
        <v>91.891800000000018</v>
      </c>
      <c r="F187" s="300">
        <f>(68.6*KFC!$B$20*1.02*1.3*1.1+KFC!$C$20)*KFC!$C$5</f>
        <v>100.05996</v>
      </c>
      <c r="G187" s="300">
        <f>(74.2*KFC!$B$20*1.02*1.3*1.1+KFC!$C$20)*KFC!$C$5</f>
        <v>108.22812000000002</v>
      </c>
      <c r="H187" s="300">
        <f>(79.9*KFC!$B$20*1.02*1.3*1.1+KFC!$C$20)*KFC!$C$5</f>
        <v>116.54214000000003</v>
      </c>
      <c r="I187" s="300">
        <f>(85.5*KFC!$B$20*1.02*1.3*1.1+KFC!$C$20)*KFC!$C$5</f>
        <v>124.71030000000003</v>
      </c>
      <c r="J187" s="300">
        <f>(91.2*KFC!$B$20*1.02*1.3*1.1+KFC!$C$20)*KFC!$C$5</f>
        <v>133.02432000000002</v>
      </c>
      <c r="K187" s="300">
        <f>(96.9*KFC!$B$20*1.02*1.3*1.1+KFC!$C$20)*KFC!$C$5</f>
        <v>141.33834000000004</v>
      </c>
      <c r="L187" s="300">
        <f>(102.5*KFC!$B$20*1.02*1.3*1.1+KFC!$C$20)*KFC!$C$5</f>
        <v>149.50650000000002</v>
      </c>
      <c r="M187" s="300">
        <f>(108.1*KFC!$B$20*1.02*1.3*1.1+KFC!$C$20)*KFC!$C$5</f>
        <v>157.67466000000002</v>
      </c>
      <c r="N187" s="300">
        <f>(113.7*KFC!$B$20*1.02*1.3*1.1+KFC!$C$20)*KFC!$C$5</f>
        <v>165.84282000000002</v>
      </c>
      <c r="O187" s="300">
        <f>(119.5*KFC!$B$20*1.02*1.3*1.1+KFC!$C$20)*KFC!$C$5</f>
        <v>174.30270000000002</v>
      </c>
      <c r="P187" s="300">
        <f>(125.1*KFC!$B$20*1.02*1.3*1.1+KFC!$C$20)*KFC!$C$5</f>
        <v>182.47086000000002</v>
      </c>
      <c r="Q187" s="300">
        <f>(130.7*KFC!$B$20*1.02*1.3*1.1+KFC!$C$20)*KFC!$C$5</f>
        <v>190.63902000000002</v>
      </c>
      <c r="R187" s="300">
        <f>(136.4*KFC!$B$20*1.02*1.3*1.1+KFC!$C$20)*KFC!$C$5</f>
        <v>198.95304000000004</v>
      </c>
      <c r="S187" s="300">
        <f>(142*KFC!$B$20*1.02*1.3*1.1+KFC!$C$20)*KFC!$C$5</f>
        <v>207.12120000000002</v>
      </c>
      <c r="T187" s="300">
        <f>(147.6*KFC!$B$20*1.02*1.3*1.1+KFC!$C$20)*KFC!$C$5</f>
        <v>215.28936000000002</v>
      </c>
      <c r="U187" s="300">
        <f>(153.4*KFC!$B$20*1.02*1.3*1.1+KFC!$C$20)*KFC!$C$5</f>
        <v>223.74924000000004</v>
      </c>
      <c r="V187" s="300">
        <f>(159*KFC!$B$20*1.02*1.3*1.1+KFC!$C$20)*KFC!$C$5</f>
        <v>231.91740000000001</v>
      </c>
      <c r="W187" s="300">
        <f>(164.6*KFC!$B$20*1.02*1.3*1.1+KFC!$C$20)*KFC!$C$5</f>
        <v>240.08556000000002</v>
      </c>
      <c r="X187" s="300">
        <f>(170.2*KFC!$B$20*1.02*1.3*1.1+KFC!$C$20)*KFC!$C$5</f>
        <v>248.25371999999999</v>
      </c>
      <c r="Y187" s="304">
        <f>(175.9*KFC!$B$20*1.02*1.3*1.1+KFC!$C$20)*KFC!$C$5</f>
        <v>256.56774000000001</v>
      </c>
      <c r="Z187" s="345"/>
      <c r="AA187" s="345"/>
      <c r="AB187" s="345"/>
      <c r="AC187" s="345"/>
    </row>
    <row r="188" spans="1:29">
      <c r="A188" s="1538"/>
      <c r="B188" s="298">
        <v>2.2999999999999998</v>
      </c>
      <c r="C188" s="303">
        <f>(52.3*KFC!$B$20*1.02*1.3*1.1+KFC!$C$20)*KFC!$C$5</f>
        <v>76.284780000000012</v>
      </c>
      <c r="D188" s="300">
        <f>(58.2*KFC!$B$20*1.02*1.3*1.1+KFC!$C$20)*KFC!$C$5</f>
        <v>84.890520000000009</v>
      </c>
      <c r="E188" s="300">
        <f>(64.1*KFC!$B$20*1.02*1.3*1.1+KFC!$C$20)*KFC!$C$5</f>
        <v>93.496259999999992</v>
      </c>
      <c r="F188" s="300">
        <f>(70*KFC!$B$20*1.02*1.3*1.1+KFC!$C$20)*KFC!$C$5</f>
        <v>102.10200000000002</v>
      </c>
      <c r="G188" s="300">
        <f>(75.8*KFC!$B$20*1.02*1.3*1.1+KFC!$C$20)*KFC!$C$5</f>
        <v>110.56188000000002</v>
      </c>
      <c r="H188" s="300">
        <f>(81.7*KFC!$B$20*1.02*1.3*1.1+KFC!$C$20)*KFC!$C$5</f>
        <v>119.16762000000001</v>
      </c>
      <c r="I188" s="300">
        <f>(87.6*KFC!$B$20*1.02*1.3*1.1+KFC!$C$20)*KFC!$C$5</f>
        <v>127.77336</v>
      </c>
      <c r="J188" s="300">
        <f>(93.4*KFC!$B$20*1.02*1.3*1.1+KFC!$C$20)*KFC!$C$5</f>
        <v>136.23324</v>
      </c>
      <c r="K188" s="300">
        <f>(99.3*KFC!$B$20*1.02*1.3*1.1+KFC!$C$20)*KFC!$C$5</f>
        <v>144.83898000000002</v>
      </c>
      <c r="L188" s="300">
        <f>(105.2*KFC!$B$20*1.02*1.3*1.1+KFC!$C$20)*KFC!$C$5</f>
        <v>153.44472000000002</v>
      </c>
      <c r="M188" s="300">
        <f>(111*KFC!$B$20*1.02*1.3*1.1+KFC!$C$20)*KFC!$C$5</f>
        <v>161.90460000000002</v>
      </c>
      <c r="N188" s="300">
        <f>(116.9*KFC!$B$20*1.02*1.3*1.1+KFC!$C$20)*KFC!$C$5</f>
        <v>170.51034000000004</v>
      </c>
      <c r="O188" s="300">
        <f>(122.8*KFC!$B$20*1.02*1.3*1.1+KFC!$C$20)*KFC!$C$5</f>
        <v>179.11608000000001</v>
      </c>
      <c r="P188" s="300">
        <f>(128.7*KFC!$B$20*1.02*1.3*1.1+KFC!$C$20)*KFC!$C$5</f>
        <v>187.72182000000004</v>
      </c>
      <c r="Q188" s="300">
        <f>(134.5*KFC!$B$20*1.02*1.3*1.1+KFC!$C$20)*KFC!$C$5</f>
        <v>196.18170000000003</v>
      </c>
      <c r="R188" s="300">
        <f>(140.4*KFC!$B$20*1.02*1.3*1.1+KFC!$C$20)*KFC!$C$5</f>
        <v>204.78744</v>
      </c>
      <c r="S188" s="300">
        <f>(146.3*KFC!$B$20*1.02*1.3*1.1+KFC!$C$20)*KFC!$C$5</f>
        <v>213.39318000000009</v>
      </c>
      <c r="T188" s="300">
        <f>(152.3*KFC!$B$20*1.02*1.3*1.1+KFC!$C$20)*KFC!$C$5</f>
        <v>222.14478000000003</v>
      </c>
      <c r="U188" s="300">
        <f>(158.1*KFC!$B$20*1.02*1.3*1.1+KFC!$C$20)*KFC!$C$5</f>
        <v>230.60466000000002</v>
      </c>
      <c r="V188" s="300">
        <f>(164*KFC!$B$20*1.02*1.3*1.1+KFC!$C$20)*KFC!$C$5</f>
        <v>239.21040000000002</v>
      </c>
      <c r="W188" s="300">
        <f>(169.9*KFC!$B$20*1.02*1.3*1.1+KFC!$C$20)*KFC!$C$5</f>
        <v>247.81614000000005</v>
      </c>
      <c r="X188" s="300">
        <f>(175.7*KFC!$B$20*1.02*1.3*1.1+KFC!$C$20)*KFC!$C$5</f>
        <v>256.27602000000002</v>
      </c>
      <c r="Y188" s="304">
        <f>(181.6*KFC!$B$20*1.02*1.3*1.1+KFC!$C$20)*KFC!$C$5</f>
        <v>264.88176000000004</v>
      </c>
      <c r="Z188" s="345"/>
      <c r="AA188" s="345"/>
      <c r="AB188" s="345"/>
      <c r="AC188" s="345"/>
    </row>
    <row r="189" spans="1:29">
      <c r="A189" s="1538"/>
      <c r="B189" s="298">
        <v>2.4</v>
      </c>
      <c r="C189" s="303">
        <f>(53*KFC!$B$20*1.02*1.3*1.1+KFC!$C$20)*KFC!$C$5</f>
        <v>77.305800000000019</v>
      </c>
      <c r="D189" s="300">
        <f>(59.1*KFC!$B$20*1.02*1.3*1.1+KFC!$C$20)*KFC!$C$5</f>
        <v>86.203260000000014</v>
      </c>
      <c r="E189" s="300">
        <f>(65.2*KFC!$B$20*1.02*1.3*1.1+KFC!$C$20)*KFC!$C$5</f>
        <v>95.10072000000001</v>
      </c>
      <c r="F189" s="300">
        <f>(71.3*KFC!$B$20*1.02*1.3*1.1+KFC!$C$20)*KFC!$C$5</f>
        <v>103.99818000000002</v>
      </c>
      <c r="G189" s="300">
        <f>(77.3*KFC!$B$20*1.02*1.3*1.1+KFC!$C$20)*KFC!$C$5</f>
        <v>112.74978000000002</v>
      </c>
      <c r="H189" s="300">
        <f>(83.4*KFC!$B$20*1.02*1.3*1.1+KFC!$C$20)*KFC!$C$5</f>
        <v>121.64724000000004</v>
      </c>
      <c r="I189" s="300">
        <f>(89.5*KFC!$B$20*1.02*1.3*1.1+KFC!$C$20)*KFC!$C$5</f>
        <v>130.54470000000001</v>
      </c>
      <c r="J189" s="300">
        <f>(95.6*KFC!$B$20*1.02*1.3*1.1+KFC!$C$20)*KFC!$C$5</f>
        <v>139.44216000000003</v>
      </c>
      <c r="K189" s="300">
        <f>(101.8*KFC!$B$20*1.02*1.3*1.1+KFC!$C$20)*KFC!$C$5</f>
        <v>148.48548000000002</v>
      </c>
      <c r="L189" s="300">
        <f>(107.9*KFC!$B$20*1.02*1.3*1.1+KFC!$C$20)*KFC!$C$5</f>
        <v>157.38294000000002</v>
      </c>
      <c r="M189" s="300">
        <f>(114*KFC!$B$20*1.02*1.3*1.1+KFC!$C$20)*KFC!$C$5</f>
        <v>166.28040000000004</v>
      </c>
      <c r="N189" s="300">
        <f>(120.1*KFC!$B$20*1.02*1.3*1.1+KFC!$C$20)*KFC!$C$5</f>
        <v>175.17786000000001</v>
      </c>
      <c r="O189" s="300">
        <f>(126.2*KFC!$B$20*1.02*1.3*1.1+KFC!$C$20)*KFC!$C$5</f>
        <v>184.07532000000006</v>
      </c>
      <c r="P189" s="300">
        <f>(132.3*KFC!$B$20*1.02*1.3*1.1+KFC!$C$20)*KFC!$C$5</f>
        <v>192.97278000000006</v>
      </c>
      <c r="Q189" s="300">
        <f>(138.4*KFC!$B$20*1.02*1.3*1.1+KFC!$C$20)*KFC!$C$5</f>
        <v>201.87024000000002</v>
      </c>
      <c r="R189" s="300">
        <f>(144.6*KFC!$B$20*1.02*1.3*1.1+KFC!$C$20)*KFC!$C$5</f>
        <v>210.91356000000002</v>
      </c>
      <c r="S189" s="300">
        <f>(150.7*KFC!$B$20*1.02*1.3*1.1+KFC!$C$20)*KFC!$C$5</f>
        <v>219.81102000000004</v>
      </c>
      <c r="T189" s="300">
        <f>(156.8*KFC!$B$20*1.02*1.3*1.1+KFC!$C$20)*KFC!$C$5</f>
        <v>228.70848000000004</v>
      </c>
      <c r="U189" s="300">
        <f>(162.9*KFC!$B$20*1.02*1.3*1.1+KFC!$C$20)*KFC!$C$5</f>
        <v>237.60594000000006</v>
      </c>
      <c r="V189" s="300">
        <f>(169*KFC!$B$20*1.02*1.3*1.1+KFC!$C$20)*KFC!$C$5</f>
        <v>246.50340000000003</v>
      </c>
      <c r="W189" s="300">
        <f>(175*KFC!$B$20*1.02*1.3*1.1+KFC!$C$20)*KFC!$C$5</f>
        <v>255.25500000000002</v>
      </c>
      <c r="X189" s="300">
        <f>(181.1*KFC!$B$20*1.02*1.3*1.1+KFC!$C$20)*KFC!$C$5</f>
        <v>264.15246000000008</v>
      </c>
      <c r="Y189" s="304">
        <f>(187.2*KFC!$B$20*1.02*1.3*1.1+KFC!$C$20)*KFC!$C$5</f>
        <v>273.04991999999999</v>
      </c>
      <c r="Z189" s="345"/>
      <c r="AA189" s="345"/>
      <c r="AB189" s="345"/>
      <c r="AC189" s="345"/>
    </row>
    <row r="190" spans="1:29">
      <c r="A190" s="1538"/>
      <c r="B190" s="298">
        <v>2.5</v>
      </c>
      <c r="C190" s="303">
        <f>(53.6*KFC!$B$20*1.02*1.3*1.1+KFC!$C$20)*KFC!$C$5</f>
        <v>78.180960000000027</v>
      </c>
      <c r="D190" s="300">
        <f>(59.9*KFC!$B$20*1.02*1.3*1.1+KFC!$C$20)*KFC!$C$5</f>
        <v>87.370140000000006</v>
      </c>
      <c r="E190" s="300">
        <f>(66.2*KFC!$B$20*1.02*1.3*1.1+KFC!$C$20)*KFC!$C$5</f>
        <v>96.55932</v>
      </c>
      <c r="F190" s="300">
        <f>(72.5*KFC!$B$20*1.02*1.3*1.1+KFC!$C$20)*KFC!$C$5</f>
        <v>105.74850000000002</v>
      </c>
      <c r="G190" s="300">
        <f>(78.9*KFC!$B$20*1.02*1.3*1.1+KFC!$C$20)*KFC!$C$5</f>
        <v>115.08354000000001</v>
      </c>
      <c r="H190" s="300">
        <f>(85.2*KFC!$B$20*1.02*1.3*1.1+KFC!$C$20)*KFC!$C$5</f>
        <v>124.27272000000002</v>
      </c>
      <c r="I190" s="300">
        <f>(91.6*KFC!$B$20*1.02*1.3*1.1+KFC!$C$20)*KFC!$C$5</f>
        <v>133.60776000000001</v>
      </c>
      <c r="J190" s="300">
        <f>(98*KFC!$B$20*1.02*1.3*1.1+KFC!$C$20)*KFC!$C$5</f>
        <v>142.94280000000003</v>
      </c>
      <c r="K190" s="300">
        <f>(104.2*KFC!$B$20*1.02*1.3*1.1+KFC!$C$20)*KFC!$C$5</f>
        <v>151.98612000000003</v>
      </c>
      <c r="L190" s="300">
        <f>(110.6*KFC!$B$20*1.02*1.3*1.1+KFC!$C$20)*KFC!$C$5</f>
        <v>161.32115999999999</v>
      </c>
      <c r="M190" s="300">
        <f>(116.9*KFC!$B$20*1.02*1.3*1.1+KFC!$C$20)*KFC!$C$5</f>
        <v>170.51034000000004</v>
      </c>
      <c r="N190" s="300">
        <f>(123.3*KFC!$B$20*1.02*1.3*1.1+KFC!$C$20)*KFC!$C$5</f>
        <v>179.84538000000001</v>
      </c>
      <c r="O190" s="300">
        <f>(129.6*KFC!$B$20*1.02*1.3*1.1+KFC!$C$20)*KFC!$C$5</f>
        <v>189.03456000000003</v>
      </c>
      <c r="P190" s="300">
        <f>(135.9*KFC!$B$20*1.02*1.3*1.1+KFC!$C$20)*KFC!$C$5</f>
        <v>198.22373999999999</v>
      </c>
      <c r="Q190" s="300">
        <f>(142.2*KFC!$B$20*1.02*1.3*1.1+KFC!$C$20)*KFC!$C$5</f>
        <v>207.41292000000001</v>
      </c>
      <c r="R190" s="300">
        <f>(148.6*KFC!$B$20*1.02*1.3*1.1+KFC!$C$20)*KFC!$C$5</f>
        <v>216.74796000000001</v>
      </c>
      <c r="S190" s="300">
        <f>(155*KFC!$B$20*1.02*1.3*1.1+KFC!$C$20)*KFC!$C$5</f>
        <v>226.08300000000003</v>
      </c>
      <c r="T190" s="300">
        <f>(161.3*KFC!$B$20*1.02*1.3*1.1+KFC!$C$20)*KFC!$C$5</f>
        <v>235.27218000000002</v>
      </c>
      <c r="U190" s="300">
        <f>(167.7*KFC!$B$20*1.02*1.3*1.1+KFC!$C$20)*KFC!$C$5</f>
        <v>244.60722000000004</v>
      </c>
      <c r="V190" s="300">
        <f>(173.9*KFC!$B$20*1.02*1.3*1.1+KFC!$C$20)*KFC!$C$5</f>
        <v>253.65054000000003</v>
      </c>
      <c r="W190" s="300">
        <f>(180.3*KFC!$B$20*1.02*1.3*1.1+KFC!$C$20)*KFC!$C$5</f>
        <v>262.98558000000003</v>
      </c>
      <c r="X190" s="300">
        <f>(186.6*KFC!$B$20*1.02*1.3*1.1+KFC!$C$20)*KFC!$C$5</f>
        <v>272.17476000000005</v>
      </c>
      <c r="Y190" s="304">
        <f>(193*KFC!$B$20*1.02*1.3*1.1+KFC!$C$20)*KFC!$C$5</f>
        <v>281.50980000000004</v>
      </c>
      <c r="Z190" s="345"/>
      <c r="AA190" s="345"/>
      <c r="AB190" s="345"/>
      <c r="AC190" s="345"/>
    </row>
    <row r="191" spans="1:29">
      <c r="A191" s="1538"/>
      <c r="B191" s="298">
        <v>2.6</v>
      </c>
      <c r="C191" s="303">
        <f>(54.2*KFC!$B$20*1.02*1.3*1.1+KFC!$C$20)*KFC!$C$5</f>
        <v>79.056120000000007</v>
      </c>
      <c r="D191" s="300">
        <f>(60.8*KFC!$B$20*1.02*1.3*1.1+KFC!$C$20)*KFC!$C$5</f>
        <v>88.682880000000011</v>
      </c>
      <c r="E191" s="300">
        <f>(67.3*KFC!$B$20*1.02*1.3*1.1+KFC!$C$20)*KFC!$C$5</f>
        <v>98.163780000000017</v>
      </c>
      <c r="F191" s="300">
        <f>(73.9*KFC!$B$20*1.02*1.3*1.1+KFC!$C$20)*KFC!$C$5</f>
        <v>107.79054000000001</v>
      </c>
      <c r="G191" s="300">
        <f>(80.5*KFC!$B$20*1.02*1.3*1.1+KFC!$C$20)*KFC!$C$5</f>
        <v>117.41730000000003</v>
      </c>
      <c r="H191" s="300">
        <f>(87*KFC!$B$20*1.02*1.3*1.1+KFC!$C$20)*KFC!$C$5</f>
        <v>126.8982</v>
      </c>
      <c r="I191" s="300">
        <f>(93.6*KFC!$B$20*1.02*1.3*1.1+KFC!$C$20)*KFC!$C$5</f>
        <v>136.52495999999999</v>
      </c>
      <c r="J191" s="300">
        <f>(100.2*KFC!$B$20*1.02*1.3*1.1+KFC!$C$20)*KFC!$C$5</f>
        <v>146.15172000000004</v>
      </c>
      <c r="K191" s="300">
        <f>(106.8*KFC!$B$20*1.02*1.3*1.1+KFC!$C$20)*KFC!$C$5</f>
        <v>155.77848</v>
      </c>
      <c r="L191" s="300">
        <f>(113.2*KFC!$B$20*1.02*1.3*1.1+KFC!$C$20)*KFC!$C$5</f>
        <v>165.11352000000002</v>
      </c>
      <c r="M191" s="300">
        <f>(119.9*KFC!$B$20*1.02*1.3*1.1+KFC!$C$20)*KFC!$C$5</f>
        <v>174.88614000000001</v>
      </c>
      <c r="N191" s="300">
        <f>(126.5*KFC!$B$20*1.02*1.3*1.1+KFC!$C$20)*KFC!$C$5</f>
        <v>184.51290000000003</v>
      </c>
      <c r="O191" s="300">
        <f>(132.9*KFC!$B$20*1.02*1.3*1.1+KFC!$C$20)*KFC!$C$5</f>
        <v>193.84794000000005</v>
      </c>
      <c r="P191" s="300">
        <f>(139.5*KFC!$B$20*1.02*1.3*1.1+KFC!$C$20)*KFC!$C$5</f>
        <v>203.47470000000001</v>
      </c>
      <c r="Q191" s="300">
        <f>(146.1*KFC!$B$20*1.02*1.3*1.1+KFC!$C$20)*KFC!$C$5</f>
        <v>213.10146000000003</v>
      </c>
      <c r="R191" s="300">
        <f>(152.6*KFC!$B$20*1.02*1.3*1.1+KFC!$C$20)*KFC!$C$5</f>
        <v>222.58236000000002</v>
      </c>
      <c r="S191" s="300">
        <f>(159.2*KFC!$B$20*1.02*1.3*1.1+KFC!$C$20)*KFC!$C$5</f>
        <v>232.20912000000001</v>
      </c>
      <c r="T191" s="300">
        <f>(165.8*KFC!$B$20*1.02*1.3*1.1+KFC!$C$20)*KFC!$C$5</f>
        <v>241.83588000000003</v>
      </c>
      <c r="U191" s="300">
        <f>(172.4*KFC!$B$20*1.02*1.3*1.1+KFC!$C$20)*KFC!$C$5</f>
        <v>251.46264000000005</v>
      </c>
      <c r="V191" s="300">
        <f>(178.9*KFC!$B$20*1.02*1.3*1.1+KFC!$C$20)*KFC!$C$5</f>
        <v>260.94354000000004</v>
      </c>
      <c r="W191" s="300">
        <f>(185.5*KFC!$B$20*1.02*1.3*1.1+KFC!$C$20)*KFC!$C$5</f>
        <v>270.57030000000003</v>
      </c>
      <c r="X191" s="300">
        <f>(192.1*KFC!$B$20*1.02*1.3*1.1+KFC!$C$20)*KFC!$C$5</f>
        <v>280.19706000000002</v>
      </c>
      <c r="Y191" s="304">
        <f>(198.6*KFC!$B$20*1.02*1.3*1.1+KFC!$C$20)*KFC!$C$5</f>
        <v>289.67796000000004</v>
      </c>
      <c r="Z191" s="345"/>
      <c r="AA191" s="345"/>
      <c r="AB191" s="345"/>
      <c r="AC191" s="345"/>
    </row>
    <row r="192" spans="1:29">
      <c r="A192" s="1538"/>
      <c r="B192" s="298">
        <v>2.7</v>
      </c>
      <c r="C192" s="303">
        <f>(54.8*KFC!$B$20*1.02*1.3*1.1+KFC!$C$20)*KFC!$C$5</f>
        <v>79.931280000000001</v>
      </c>
      <c r="D192" s="300">
        <f>(61.6*KFC!$B$20*1.02*1.3*1.1+KFC!$C$20)*KFC!$C$5</f>
        <v>89.849760000000018</v>
      </c>
      <c r="E192" s="300">
        <f>(68.4*KFC!$B$20*1.02*1.3*1.1+KFC!$C$20)*KFC!$C$5</f>
        <v>99.76824000000002</v>
      </c>
      <c r="F192" s="300">
        <f>(75.2*KFC!$B$20*1.02*1.3*1.1+KFC!$C$20)*KFC!$C$5</f>
        <v>109.68672000000002</v>
      </c>
      <c r="G192" s="300">
        <f>(81.9*KFC!$B$20*1.02*1.3*1.1+KFC!$C$20)*KFC!$C$5</f>
        <v>119.45934000000003</v>
      </c>
      <c r="H192" s="300">
        <f>(88.8*KFC!$B$20*1.02*1.3*1.1+KFC!$C$20)*KFC!$C$5</f>
        <v>129.52367999999998</v>
      </c>
      <c r="I192" s="300">
        <f>(95.6*KFC!$B$20*1.02*1.3*1.1+KFC!$C$20)*KFC!$C$5</f>
        <v>139.44216000000003</v>
      </c>
      <c r="J192" s="300">
        <f>(102.4*KFC!$B$20*1.02*1.3*1.1+KFC!$C$20)*KFC!$C$5</f>
        <v>149.36064000000005</v>
      </c>
      <c r="K192" s="300">
        <f>(109.2*KFC!$B$20*1.02*1.3*1.1+KFC!$C$20)*KFC!$C$5</f>
        <v>159.27912000000003</v>
      </c>
      <c r="L192" s="300">
        <f>(115.9*KFC!$B$20*1.02*1.3*1.1+KFC!$C$20)*KFC!$C$5</f>
        <v>169.05174000000002</v>
      </c>
      <c r="M192" s="300">
        <f>(122.8*KFC!$B$20*1.02*1.3*1.1+KFC!$C$20)*KFC!$C$5</f>
        <v>179.11608000000001</v>
      </c>
      <c r="N192" s="300">
        <f>(129.6*KFC!$B$20*1.02*1.3*1.1+KFC!$C$20)*KFC!$C$5</f>
        <v>189.03456000000003</v>
      </c>
      <c r="O192" s="300">
        <f>(136.4*KFC!$B$20*1.02*1.3*1.1+KFC!$C$20)*KFC!$C$5</f>
        <v>198.95304000000004</v>
      </c>
      <c r="P192" s="300">
        <f>(143.2*KFC!$B$20*1.02*1.3*1.1+KFC!$C$20)*KFC!$C$5</f>
        <v>208.87152</v>
      </c>
      <c r="Q192" s="300">
        <f>(149.9*KFC!$B$20*1.02*1.3*1.1+KFC!$C$20)*KFC!$C$5</f>
        <v>218.64414000000002</v>
      </c>
      <c r="R192" s="300">
        <f>(156.8*KFC!$B$20*1.02*1.3*1.1+KFC!$C$20)*KFC!$C$5</f>
        <v>228.70848000000004</v>
      </c>
      <c r="S192" s="300">
        <f>(163.5*KFC!$B$20*1.02*1.3*1.1+KFC!$C$20)*KFC!$C$5</f>
        <v>238.48110000000003</v>
      </c>
      <c r="T192" s="300">
        <f>(170.4*KFC!$B$20*1.02*1.3*1.1+KFC!$C$20)*KFC!$C$5</f>
        <v>248.54544000000004</v>
      </c>
      <c r="U192" s="300">
        <f>(177.2*KFC!$B$20*1.02*1.3*1.1+KFC!$C$20)*KFC!$C$5</f>
        <v>258.46392000000003</v>
      </c>
      <c r="V192" s="300">
        <f>(183.9*KFC!$B$20*1.02*1.3*1.1+KFC!$C$20)*KFC!$C$5</f>
        <v>268.23654000000005</v>
      </c>
      <c r="W192" s="300">
        <f>(190.8*KFC!$B$20*1.02*1.3*1.1+KFC!$C$20)*KFC!$C$5</f>
        <v>278.30088000000006</v>
      </c>
      <c r="X192" s="300">
        <f>(197.5*KFC!$B$20*1.02*1.3*1.1+KFC!$C$20)*KFC!$C$5</f>
        <v>288.07350000000008</v>
      </c>
      <c r="Y192" s="304">
        <f>(204.4*KFC!$B$20*1.02*1.3*1.1+KFC!$C$20)*KFC!$C$5</f>
        <v>298.13784000000004</v>
      </c>
      <c r="Z192" s="345"/>
      <c r="AA192" s="345"/>
      <c r="AB192" s="345"/>
      <c r="AC192" s="345"/>
    </row>
    <row r="193" spans="1:29">
      <c r="A193" s="1538"/>
      <c r="B193" s="298">
        <v>2.8</v>
      </c>
      <c r="C193" s="303">
        <f>(55.4*KFC!$B$20*1.02*1.3*1.1+KFC!$C$20)*KFC!$C$5</f>
        <v>80.806440000000009</v>
      </c>
      <c r="D193" s="300">
        <f>(62.5*KFC!$B$20*1.02*1.3*1.1+KFC!$C$20)*KFC!$C$5</f>
        <v>91.162500000000009</v>
      </c>
      <c r="E193" s="300">
        <f>(69.5*KFC!$B$20*1.02*1.3*1.1+KFC!$C$20)*KFC!$C$5</f>
        <v>101.37270000000002</v>
      </c>
      <c r="F193" s="300">
        <f>(76.6*KFC!$B$20*1.02*1.3*1.1+KFC!$C$20)*KFC!$C$5</f>
        <v>111.72875999999999</v>
      </c>
      <c r="G193" s="300">
        <f>(83.5*KFC!$B$20*1.02*1.3*1.1+KFC!$C$20)*KFC!$C$5</f>
        <v>121.79310000000001</v>
      </c>
      <c r="H193" s="300">
        <f>(90.6*KFC!$B$20*1.02*1.3*1.1+KFC!$C$20)*KFC!$C$5</f>
        <v>132.14915999999999</v>
      </c>
      <c r="I193" s="300">
        <f>(97.6*KFC!$B$20*1.02*1.3*1.1+KFC!$C$20)*KFC!$C$5</f>
        <v>142.35936000000001</v>
      </c>
      <c r="J193" s="300">
        <f>(104.6*KFC!$B$20*1.02*1.3*1.1+KFC!$C$20)*KFC!$C$5</f>
        <v>152.56956000000002</v>
      </c>
      <c r="K193" s="300">
        <f>(111.7*KFC!$B$20*1.02*1.3*1.1+KFC!$C$20)*KFC!$C$5</f>
        <v>162.92562000000004</v>
      </c>
      <c r="L193" s="300">
        <f>(118.6*KFC!$B$20*1.02*1.3*1.1+KFC!$C$20)*KFC!$C$5</f>
        <v>172.98996</v>
      </c>
      <c r="M193" s="300">
        <f>(125.7*KFC!$B$20*1.02*1.3*1.1+KFC!$C$20)*KFC!$C$5</f>
        <v>183.34602000000001</v>
      </c>
      <c r="N193" s="300">
        <f>(132.7*KFC!$B$20*1.02*1.3*1.1+KFC!$C$20)*KFC!$C$5</f>
        <v>193.55622</v>
      </c>
      <c r="O193" s="300">
        <f>(139.8*KFC!$B$20*1.02*1.3*1.1+KFC!$C$20)*KFC!$C$5</f>
        <v>203.91228000000004</v>
      </c>
      <c r="P193" s="300">
        <f>(146.8*KFC!$B$20*1.02*1.3*1.1+KFC!$C$20)*KFC!$C$5</f>
        <v>214.12248000000005</v>
      </c>
      <c r="Q193" s="300">
        <f>(153.9*KFC!$B$20*1.02*1.3*1.1+KFC!$C$20)*KFC!$C$5</f>
        <v>224.47854000000004</v>
      </c>
      <c r="R193" s="300">
        <f>(160.8*KFC!$B$20*1.02*1.3*1.1+KFC!$C$20)*KFC!$C$5</f>
        <v>234.54288000000005</v>
      </c>
      <c r="S193" s="300">
        <f>(167.9*KFC!$B$20*1.02*1.3*1.1+KFC!$C$20)*KFC!$C$5</f>
        <v>244.89894000000007</v>
      </c>
      <c r="T193" s="300">
        <f>(174.9*KFC!$B$20*1.02*1.3*1.1+KFC!$C$20)*KFC!$C$5</f>
        <v>255.10914000000002</v>
      </c>
      <c r="U193" s="300">
        <f>(182*KFC!$B$20*1.02*1.3*1.1+KFC!$C$20)*KFC!$C$5</f>
        <v>265.46520000000004</v>
      </c>
      <c r="V193" s="300">
        <f>(189*KFC!$B$20*1.02*1.3*1.1+KFC!$C$20)*KFC!$C$5</f>
        <v>275.67540000000002</v>
      </c>
      <c r="W193" s="300">
        <f>(196*KFC!$B$20*1.02*1.3*1.1+KFC!$C$20)*KFC!$C$5</f>
        <v>285.88560000000007</v>
      </c>
      <c r="X193" s="300">
        <f>(203*KFC!$B$20*1.02*1.3*1.1+KFC!$C$20)*KFC!$C$5</f>
        <v>296.0958</v>
      </c>
      <c r="Y193" s="304">
        <f>(210*KFC!$B$20*1.02*1.3*1.1+KFC!$C$20)*KFC!$C$5</f>
        <v>306.30600000000004</v>
      </c>
      <c r="Z193" s="345"/>
      <c r="AA193" s="345"/>
      <c r="AB193" s="345"/>
      <c r="AC193" s="345"/>
    </row>
    <row r="194" spans="1:29">
      <c r="A194" s="1538"/>
      <c r="B194" s="298">
        <v>2.9</v>
      </c>
      <c r="C194" s="303">
        <f>(56*KFC!$B$20*1.02*1.3*1.1+KFC!$C$20)*KFC!$C$5</f>
        <v>81.681600000000017</v>
      </c>
      <c r="D194" s="300">
        <f>(63.4*KFC!$B$20*1.02*1.3*1.1+KFC!$C$20)*KFC!$C$5</f>
        <v>92.475240000000014</v>
      </c>
      <c r="E194" s="300">
        <f>(70.6*KFC!$B$20*1.02*1.3*1.1+KFC!$C$20)*KFC!$C$5</f>
        <v>102.97716000000001</v>
      </c>
      <c r="F194" s="300">
        <f>(77.8*KFC!$B$20*1.02*1.3*1.1+KFC!$C$20)*KFC!$C$5</f>
        <v>113.47908</v>
      </c>
      <c r="G194" s="300">
        <f>(85.1*KFC!$B$20*1.02*1.3*1.1+KFC!$C$20)*KFC!$C$5</f>
        <v>124.12685999999999</v>
      </c>
      <c r="H194" s="300">
        <f>(92.3*KFC!$B$20*1.02*1.3*1.1+KFC!$C$20)*KFC!$C$5</f>
        <v>134.62878000000001</v>
      </c>
      <c r="I194" s="300">
        <f>(99.6*KFC!$B$20*1.02*1.3*1.1+KFC!$C$20)*KFC!$C$5</f>
        <v>145.27656000000002</v>
      </c>
      <c r="J194" s="300">
        <f>(106.9*KFC!$B$20*1.02*1.3*1.1+KFC!$C$20)*KFC!$C$5</f>
        <v>155.92434000000003</v>
      </c>
      <c r="K194" s="300">
        <f>(114.1*KFC!$B$20*1.02*1.3*1.1+KFC!$C$20)*KFC!$C$5</f>
        <v>166.42625999999998</v>
      </c>
      <c r="L194" s="300">
        <f>(121.3*KFC!$B$20*1.02*1.3*1.1+KFC!$C$20)*KFC!$C$5</f>
        <v>176.92818000000003</v>
      </c>
      <c r="M194" s="300">
        <f>(128.7*KFC!$B$20*1.02*1.3*1.1+KFC!$C$20)*KFC!$C$5</f>
        <v>187.72182000000004</v>
      </c>
      <c r="N194" s="300">
        <f>(135.9*KFC!$B$20*1.02*1.3*1.1+KFC!$C$20)*KFC!$C$5</f>
        <v>198.22373999999999</v>
      </c>
      <c r="O194" s="300">
        <f>(143.2*KFC!$B$20*1.02*1.3*1.1+KFC!$C$20)*KFC!$C$5</f>
        <v>208.87152</v>
      </c>
      <c r="P194" s="300">
        <f>(150.4*KFC!$B$20*1.02*1.3*1.1+KFC!$C$20)*KFC!$C$5</f>
        <v>219.37344000000004</v>
      </c>
      <c r="Q194" s="300">
        <f>(157.6*KFC!$B$20*1.02*1.3*1.1+KFC!$C$20)*KFC!$C$5</f>
        <v>229.87536000000006</v>
      </c>
      <c r="R194" s="300">
        <f>(165*KFC!$B$20*1.02*1.3*1.1+KFC!$C$20)*KFC!$C$5</f>
        <v>240.66900000000004</v>
      </c>
      <c r="S194" s="300">
        <f>(172.2*KFC!$B$20*1.02*1.3*1.1+KFC!$C$20)*KFC!$C$5</f>
        <v>251.17092000000005</v>
      </c>
      <c r="T194" s="300">
        <f>(179.4*KFC!$B$20*1.02*1.3*1.1+KFC!$C$20)*KFC!$C$5</f>
        <v>261.67284000000001</v>
      </c>
      <c r="U194" s="300">
        <f>(186.8*KFC!$B$20*1.02*1.3*1.1+KFC!$C$20)*KFC!$C$5</f>
        <v>272.46647999999999</v>
      </c>
      <c r="V194" s="300">
        <f>(194*KFC!$B$20*1.02*1.3*1.1+KFC!$C$20)*KFC!$C$5</f>
        <v>282.96840000000003</v>
      </c>
      <c r="W194" s="300">
        <f>(201.2*KFC!$B$20*1.02*1.3*1.1+KFC!$C$20)*KFC!$C$5</f>
        <v>293.47032000000002</v>
      </c>
      <c r="X194" s="300">
        <f>(208.5*KFC!$B$20*1.02*1.3*1.1+KFC!$C$20)*KFC!$C$5</f>
        <v>304.11810000000003</v>
      </c>
      <c r="Y194" s="304">
        <f>(215.7*KFC!$B$20*1.02*1.3*1.1+KFC!$C$20)*KFC!$C$5</f>
        <v>314.62002000000001</v>
      </c>
      <c r="Z194" s="345"/>
      <c r="AA194" s="345"/>
      <c r="AB194" s="345"/>
      <c r="AC194" s="345"/>
    </row>
    <row r="195" spans="1:29">
      <c r="A195" s="1538"/>
      <c r="B195" s="298">
        <v>3</v>
      </c>
      <c r="C195" s="303">
        <f>(56.7*KFC!$B$20*1.02*1.3*1.1+KFC!$C$20)*KFC!$C$5</f>
        <v>82.70262000000001</v>
      </c>
      <c r="D195" s="300">
        <f>(64.2*KFC!$B$20*1.02*1.3*1.1+KFC!$C$20)*KFC!$C$5</f>
        <v>93.64212000000002</v>
      </c>
      <c r="E195" s="300">
        <f>(71.7*KFC!$B$20*1.02*1.3*1.1+KFC!$C$20)*KFC!$C$5</f>
        <v>104.58162000000002</v>
      </c>
      <c r="F195" s="300">
        <f>(79.1*KFC!$B$20*1.02*1.3*1.1+KFC!$C$20)*KFC!$C$5</f>
        <v>115.37526000000001</v>
      </c>
      <c r="G195" s="300">
        <f>(86.6*KFC!$B$20*1.02*1.3*1.1+KFC!$C$20)*KFC!$C$5</f>
        <v>126.31476000000001</v>
      </c>
      <c r="H195" s="300">
        <f>(94.2*KFC!$B$20*1.02*1.3*1.1+KFC!$C$20)*KFC!$C$5</f>
        <v>137.40012000000002</v>
      </c>
      <c r="I195" s="300">
        <f>(101.6*KFC!$B$20*1.02*1.3*1.1+KFC!$C$20)*KFC!$C$5</f>
        <v>148.19376</v>
      </c>
      <c r="J195" s="300">
        <f>(109.1*KFC!$B$20*1.02*1.3*1.1+KFC!$C$20)*KFC!$C$5</f>
        <v>159.13326000000001</v>
      </c>
      <c r="K195" s="300">
        <f>(116.6*KFC!$B$20*1.02*1.3*1.1+KFC!$C$20)*KFC!$C$5</f>
        <v>170.07276000000002</v>
      </c>
      <c r="L195" s="300">
        <f>(124.1*KFC!$B$20*1.02*1.3*1.1+KFC!$C$20)*KFC!$C$5</f>
        <v>181.01226000000003</v>
      </c>
      <c r="M195" s="300">
        <f>(131.6*KFC!$B$20*1.02*1.3*1.1+KFC!$C$20)*KFC!$C$5</f>
        <v>191.95176000000001</v>
      </c>
      <c r="N195" s="300">
        <f>(139.1*KFC!$B$20*1.02*1.3*1.1+KFC!$C$20)*KFC!$C$5</f>
        <v>202.89126000000005</v>
      </c>
      <c r="O195" s="300">
        <f>(146.5*KFC!$B$20*1.02*1.3*1.1+KFC!$C$20)*KFC!$C$5</f>
        <v>213.68490000000003</v>
      </c>
      <c r="P195" s="300">
        <f>(154*KFC!$B$20*1.02*1.3*1.1+KFC!$C$20)*KFC!$C$5</f>
        <v>224.62440000000007</v>
      </c>
      <c r="Q195" s="300">
        <f>(161.6*KFC!$B$20*1.02*1.3*1.1+KFC!$C$20)*KFC!$C$5</f>
        <v>235.70976000000002</v>
      </c>
      <c r="R195" s="300">
        <f>(169*KFC!$B$20*1.02*1.3*1.1+KFC!$C$20)*KFC!$C$5</f>
        <v>246.50340000000003</v>
      </c>
      <c r="S195" s="300">
        <f>(176.5*KFC!$B$20*1.02*1.3*1.1+KFC!$C$20)*KFC!$C$5</f>
        <v>257.44290000000007</v>
      </c>
      <c r="T195" s="300">
        <f>(183.9*KFC!$B$20*1.02*1.3*1.1+KFC!$C$20)*KFC!$C$5</f>
        <v>268.23654000000005</v>
      </c>
      <c r="U195" s="300">
        <f>(191.5*KFC!$B$20*1.02*1.3*1.1+KFC!$C$20)*KFC!$C$5</f>
        <v>279.32190000000003</v>
      </c>
      <c r="V195" s="300">
        <f>(199*KFC!$B$20*1.02*1.3*1.1+KFC!$C$20)*KFC!$C$5</f>
        <v>290.26140000000004</v>
      </c>
      <c r="W195" s="300">
        <f>(206.4*KFC!$B$20*1.02*1.3*1.1+KFC!$C$20)*KFC!$C$5</f>
        <v>301.05504000000008</v>
      </c>
      <c r="X195" s="300">
        <f>(213.9*KFC!$B$20*1.02*1.3*1.1+KFC!$C$20)*KFC!$C$5</f>
        <v>311.99454000000003</v>
      </c>
      <c r="Y195" s="304">
        <f>(221.4*KFC!$B$20*1.02*1.3*1.1+KFC!$C$20)*KFC!$C$5</f>
        <v>322.93404000000004</v>
      </c>
      <c r="Z195" s="345"/>
      <c r="AA195" s="345"/>
      <c r="AB195" s="345"/>
      <c r="AC195" s="345"/>
    </row>
    <row r="196" spans="1:29">
      <c r="A196" s="1538"/>
      <c r="B196" s="298">
        <v>3.1</v>
      </c>
      <c r="C196" s="303">
        <f>(57.4*KFC!$B$20*1.02*1.3*1.1+KFC!$C$20)*KFC!$C$5</f>
        <v>83.723640000000017</v>
      </c>
      <c r="D196" s="300">
        <f>(65.1*KFC!$B$20*1.02*1.3*1.1+KFC!$C$20)*KFC!$C$5</f>
        <v>94.954860000000011</v>
      </c>
      <c r="E196" s="300">
        <f>(72.8*KFC!$B$20*1.02*1.3*1.1+KFC!$C$20)*KFC!$C$5</f>
        <v>106.18608000000002</v>
      </c>
      <c r="F196" s="300">
        <f>(80.5*KFC!$B$20*1.02*1.3*1.1+KFC!$C$20)*KFC!$C$5</f>
        <v>117.41730000000003</v>
      </c>
      <c r="G196" s="300">
        <f>(88.2*KFC!$B$20*1.02*1.3*1.1+KFC!$C$20)*KFC!$C$5</f>
        <v>128.64852000000002</v>
      </c>
      <c r="H196" s="300">
        <f>(95.9*KFC!$B$20*1.02*1.3*1.1+KFC!$C$20)*KFC!$C$5</f>
        <v>139.87974000000003</v>
      </c>
      <c r="I196" s="300">
        <f>(103.6*KFC!$B$20*1.02*1.3*1.1+KFC!$C$20)*KFC!$C$5</f>
        <v>151.11096000000003</v>
      </c>
      <c r="J196" s="300">
        <f>(111.3*KFC!$B$20*1.02*1.3*1.1+KFC!$C$20)*KFC!$C$5</f>
        <v>162.34218000000001</v>
      </c>
      <c r="K196" s="300">
        <f>(119.1*KFC!$B$20*1.02*1.3*1.1+KFC!$C$20)*KFC!$C$5</f>
        <v>173.71926000000002</v>
      </c>
      <c r="L196" s="300">
        <f>(126.8*KFC!$B$20*1.02*1.3*1.1+KFC!$C$20)*KFC!$C$5</f>
        <v>184.95048000000003</v>
      </c>
      <c r="M196" s="300">
        <f>(134.5*KFC!$B$20*1.02*1.3*1.1+KFC!$C$20)*KFC!$C$5</f>
        <v>196.18170000000003</v>
      </c>
      <c r="N196" s="300">
        <f>(142.2*KFC!$B$20*1.02*1.3*1.1+KFC!$C$20)*KFC!$C$5</f>
        <v>207.41292000000001</v>
      </c>
      <c r="O196" s="300">
        <f>(149.9*KFC!$B$20*1.02*1.3*1.1+KFC!$C$20)*KFC!$C$5</f>
        <v>218.64414000000002</v>
      </c>
      <c r="P196" s="300">
        <f>(157.6*KFC!$B$20*1.02*1.3*1.1+KFC!$C$20)*KFC!$C$5</f>
        <v>229.87536000000006</v>
      </c>
      <c r="Q196" s="300">
        <f>(165.3*KFC!$B$20*1.02*1.3*1.1+KFC!$C$20)*KFC!$C$5</f>
        <v>241.10658000000006</v>
      </c>
      <c r="R196" s="300">
        <f>(173.1*KFC!$B$20*1.02*1.3*1.1+KFC!$C$20)*KFC!$C$5</f>
        <v>252.48366000000001</v>
      </c>
      <c r="S196" s="300">
        <f>(180.8*KFC!$B$20*1.02*1.3*1.1+KFC!$C$20)*KFC!$C$5</f>
        <v>263.71488000000005</v>
      </c>
      <c r="T196" s="300">
        <f>(188.5*KFC!$B$20*1.02*1.3*1.1+KFC!$C$20)*KFC!$C$5</f>
        <v>274.94610000000006</v>
      </c>
      <c r="U196" s="300">
        <f>(196.3*KFC!$B$20*1.02*1.3*1.1+KFC!$C$20)*KFC!$C$5</f>
        <v>286.32318000000004</v>
      </c>
      <c r="V196" s="300">
        <f>(204*KFC!$B$20*1.02*1.3*1.1+KFC!$C$20)*KFC!$C$5</f>
        <v>297.55440000000004</v>
      </c>
      <c r="W196" s="300">
        <f>(211.7*KFC!$B$20*1.02*1.3*1.1+KFC!$C$20)*KFC!$C$5</f>
        <v>308.78562000000005</v>
      </c>
      <c r="X196" s="300">
        <f>(219.4*KFC!$B$20*1.02*1.3*1.1+KFC!$C$20)*KFC!$C$5</f>
        <v>320.01684000000006</v>
      </c>
      <c r="Y196" s="304">
        <f>(227.1*KFC!$B$20*1.02*1.3*1.1+KFC!$C$20)*KFC!$C$5</f>
        <v>331.24806000000001</v>
      </c>
      <c r="Z196" s="345"/>
      <c r="AA196" s="345"/>
      <c r="AB196" s="345"/>
      <c r="AC196" s="345"/>
    </row>
    <row r="197" spans="1:29">
      <c r="A197" s="1538"/>
      <c r="B197" s="298">
        <v>3.2</v>
      </c>
      <c r="C197" s="303">
        <f>(58*KFC!$B$20*1.02*1.3*1.1+KFC!$C$20)*KFC!$C$5</f>
        <v>84.598800000000011</v>
      </c>
      <c r="D197" s="300">
        <f>(65.9*KFC!$B$20*1.02*1.3*1.1+KFC!$C$20)*KFC!$C$5</f>
        <v>96.121740000000017</v>
      </c>
      <c r="E197" s="300">
        <f>(73.9*KFC!$B$20*1.02*1.3*1.1+KFC!$C$20)*KFC!$C$5</f>
        <v>107.79054000000001</v>
      </c>
      <c r="F197" s="300">
        <f>(81.8*KFC!$B$20*1.02*1.3*1.1+KFC!$C$20)*KFC!$C$5</f>
        <v>119.31348</v>
      </c>
      <c r="G197" s="300">
        <f>(89.8*KFC!$B$20*1.02*1.3*1.1+KFC!$C$20)*KFC!$C$5</f>
        <v>130.98228000000003</v>
      </c>
      <c r="H197" s="300">
        <f>(97.7*KFC!$B$20*1.02*1.3*1.1+KFC!$C$20)*KFC!$C$5</f>
        <v>142.50522000000004</v>
      </c>
      <c r="I197" s="300">
        <f>(105.7*KFC!$B$20*1.02*1.3*1.1+KFC!$C$20)*KFC!$C$5</f>
        <v>154.17402000000004</v>
      </c>
      <c r="J197" s="300">
        <f>(113.6*KFC!$B$20*1.02*1.3*1.1+KFC!$C$20)*KFC!$C$5</f>
        <v>165.69696000000002</v>
      </c>
      <c r="K197" s="300">
        <f>(121.6*KFC!$B$20*1.02*1.3*1.1+KFC!$C$20)*KFC!$C$5</f>
        <v>177.36576000000002</v>
      </c>
      <c r="L197" s="300">
        <f>(129.5*KFC!$B$20*1.02*1.3*1.1+KFC!$C$20)*KFC!$C$5</f>
        <v>188.88870000000003</v>
      </c>
      <c r="M197" s="300">
        <f>(137.5*KFC!$B$20*1.02*1.3*1.1+KFC!$C$20)*KFC!$C$5</f>
        <v>200.55750000000003</v>
      </c>
      <c r="N197" s="300">
        <f>(145.4*KFC!$B$20*1.02*1.3*1.1+KFC!$C$20)*KFC!$C$5</f>
        <v>212.08044000000004</v>
      </c>
      <c r="O197" s="300">
        <f>(153.4*KFC!$B$20*1.02*1.3*1.1+KFC!$C$20)*KFC!$C$5</f>
        <v>223.74924000000004</v>
      </c>
      <c r="P197" s="300">
        <f>(161.3*KFC!$B$20*1.02*1.3*1.1+KFC!$C$20)*KFC!$C$5</f>
        <v>235.27218000000002</v>
      </c>
      <c r="Q197" s="300">
        <f>(169.3*KFC!$B$20*1.02*1.3*1.1+KFC!$C$20)*KFC!$C$5</f>
        <v>246.94098000000002</v>
      </c>
      <c r="R197" s="300">
        <f>(177.2*KFC!$B$20*1.02*1.3*1.1+KFC!$C$20)*KFC!$C$5</f>
        <v>258.46392000000003</v>
      </c>
      <c r="S197" s="300">
        <f>(185.2*KFC!$B$20*1.02*1.3*1.1+KFC!$C$20)*KFC!$C$5</f>
        <v>270.13272000000001</v>
      </c>
      <c r="T197" s="300">
        <f>(193.1*KFC!$B$20*1.02*1.3*1.1+KFC!$C$20)*KFC!$C$5</f>
        <v>281.65566000000001</v>
      </c>
      <c r="U197" s="300">
        <f>(201.1*KFC!$B$20*1.02*1.3*1.1+KFC!$C$20)*KFC!$C$5</f>
        <v>293.32445999999999</v>
      </c>
      <c r="V197" s="300">
        <f>(209*KFC!$B$20*1.02*1.3*1.1+KFC!$C$20)*KFC!$C$5</f>
        <v>304.84740000000005</v>
      </c>
      <c r="W197" s="300">
        <f>(217*KFC!$B$20*1.02*1.3*1.1+KFC!$C$20)*KFC!$C$5</f>
        <v>316.51620000000003</v>
      </c>
      <c r="X197" s="300">
        <f>(224.9*KFC!$B$20*1.02*1.3*1.1+KFC!$C$20)*KFC!$C$5</f>
        <v>328.03914000000003</v>
      </c>
      <c r="Y197" s="304">
        <f>(232.9*KFC!$B$20*1.02*1.3*1.1+KFC!$C$20)*KFC!$C$5</f>
        <v>339.70794000000006</v>
      </c>
      <c r="Z197" s="345"/>
      <c r="AA197" s="345"/>
      <c r="AB197" s="345"/>
      <c r="AC197" s="345"/>
    </row>
    <row r="198" spans="1:29">
      <c r="A198" s="1538"/>
      <c r="B198" s="298">
        <v>3.3</v>
      </c>
      <c r="C198" s="303">
        <f>(58.6*KFC!$B$20*1.02*1.3*1.1+KFC!$C$20)*KFC!$C$5</f>
        <v>85.473960000000019</v>
      </c>
      <c r="D198" s="300">
        <f>(66.8*KFC!$B$20*1.02*1.3*1.1+KFC!$C$20)*KFC!$C$5</f>
        <v>97.434479999999994</v>
      </c>
      <c r="E198" s="300">
        <f>(75*KFC!$B$20*1.02*1.3*1.1+KFC!$C$20)*KFC!$C$5</f>
        <v>109.39500000000001</v>
      </c>
      <c r="F198" s="300">
        <f>(83.2*KFC!$B$20*1.02*1.3*1.1+KFC!$C$20)*KFC!$C$5</f>
        <v>121.35552000000003</v>
      </c>
      <c r="G198" s="300">
        <f>(91.2*KFC!$B$20*1.02*1.3*1.1+KFC!$C$20)*KFC!$C$5</f>
        <v>133.02432000000002</v>
      </c>
      <c r="H198" s="300">
        <f>(99.4*KFC!$B$20*1.02*1.3*1.1+KFC!$C$20)*KFC!$C$5</f>
        <v>144.98484000000002</v>
      </c>
      <c r="I198" s="300">
        <f>(107.6*KFC!$B$20*1.02*1.3*1.1+KFC!$C$20)*KFC!$C$5</f>
        <v>156.94536000000002</v>
      </c>
      <c r="J198" s="300">
        <f>(115.8*KFC!$B$20*1.02*1.3*1.1+KFC!$C$20)*KFC!$C$5</f>
        <v>168.90588000000002</v>
      </c>
      <c r="K198" s="300">
        <f>(124*KFC!$B$20*1.02*1.3*1.1+KFC!$C$20)*KFC!$C$5</f>
        <v>180.86640000000003</v>
      </c>
      <c r="L198" s="300">
        <f>(132.2*KFC!$B$20*1.02*1.3*1.1+KFC!$C$20)*KFC!$C$5</f>
        <v>192.82692000000003</v>
      </c>
      <c r="M198" s="300">
        <f>(140.4*KFC!$B$20*1.02*1.3*1.1+KFC!$C$20)*KFC!$C$5</f>
        <v>204.78744</v>
      </c>
      <c r="N198" s="300">
        <f>(148.6*KFC!$B$20*1.02*1.3*1.1+KFC!$C$20)*KFC!$C$5</f>
        <v>216.74796000000001</v>
      </c>
      <c r="O198" s="300">
        <f>(156.7*KFC!$B$20*1.02*1.3*1.1+KFC!$C$20)*KFC!$C$5</f>
        <v>228.56262000000001</v>
      </c>
      <c r="P198" s="300">
        <f>(164.9*KFC!$B$20*1.02*1.3*1.1+KFC!$C$20)*KFC!$C$5</f>
        <v>240.52314000000004</v>
      </c>
      <c r="Q198" s="300">
        <f>(173.1*KFC!$B$20*1.02*1.3*1.1+KFC!$C$20)*KFC!$C$5</f>
        <v>252.48366000000001</v>
      </c>
      <c r="R198" s="300">
        <f>(181.2*KFC!$B$20*1.02*1.3*1.1+KFC!$C$20)*KFC!$C$5</f>
        <v>264.29831999999999</v>
      </c>
      <c r="S198" s="300">
        <f>(189.4*KFC!$B$20*1.02*1.3*1.1+KFC!$C$20)*KFC!$C$5</f>
        <v>276.25884000000002</v>
      </c>
      <c r="T198" s="300">
        <f>(197.6*KFC!$B$20*1.02*1.3*1.1+KFC!$C$20)*KFC!$C$5</f>
        <v>288.21936000000005</v>
      </c>
      <c r="U198" s="300">
        <f>(205.8*KFC!$B$20*1.02*1.3*1.1+KFC!$C$20)*KFC!$C$5</f>
        <v>300.17988000000008</v>
      </c>
      <c r="V198" s="300">
        <f>(213.9*KFC!$B$20*1.02*1.3*1.1+KFC!$C$20)*KFC!$C$5</f>
        <v>311.99454000000003</v>
      </c>
      <c r="W198" s="300">
        <f>(222.1*KFC!$B$20*1.02*1.3*1.1+KFC!$C$20)*KFC!$C$5</f>
        <v>323.95506000000006</v>
      </c>
      <c r="X198" s="300">
        <f>(230.3*KFC!$B$20*1.02*1.3*1.1+KFC!$C$20)*KFC!$C$5</f>
        <v>335.91558000000009</v>
      </c>
      <c r="Y198" s="304">
        <f>(238.5*KFC!$B$20*1.02*1.3*1.1+KFC!$C$20)*KFC!$C$5</f>
        <v>347.87610000000006</v>
      </c>
      <c r="Z198" s="345"/>
      <c r="AA198" s="345"/>
      <c r="AB198" s="345"/>
      <c r="AC198" s="345"/>
    </row>
    <row r="199" spans="1:29">
      <c r="A199" s="1538"/>
      <c r="B199" s="298">
        <v>3.4</v>
      </c>
      <c r="C199" s="303">
        <f>(59.2*KFC!$B$20*1.02*1.3*1.1+KFC!$C$20)*KFC!$C$5</f>
        <v>86.349120000000028</v>
      </c>
      <c r="D199" s="300">
        <f>(67.6*KFC!$B$20*1.02*1.3*1.1+KFC!$C$20)*KFC!$C$5</f>
        <v>98.601360000000014</v>
      </c>
      <c r="E199" s="300">
        <f>(76.1*KFC!$B$20*1.02*1.3*1.1+KFC!$C$20)*KFC!$C$5</f>
        <v>110.99946000000001</v>
      </c>
      <c r="F199" s="300">
        <f>(84.4*KFC!$B$20*1.02*1.3*1.1+KFC!$C$20)*KFC!$C$5</f>
        <v>123.10584000000003</v>
      </c>
      <c r="G199" s="300">
        <f>(92.8*KFC!$B$20*1.02*1.3*1.1+KFC!$C$20)*KFC!$C$5</f>
        <v>135.35808</v>
      </c>
      <c r="H199" s="300">
        <f>(101.3*KFC!$B$20*1.02*1.3*1.1+KFC!$C$20)*KFC!$C$5</f>
        <v>147.75618000000003</v>
      </c>
      <c r="I199" s="300">
        <f>(109.7*KFC!$B$20*1.02*1.3*1.1+KFC!$C$20)*KFC!$C$5</f>
        <v>160.00842000000003</v>
      </c>
      <c r="J199" s="300">
        <f>(118*KFC!$B$20*1.02*1.3*1.1+KFC!$C$20)*KFC!$C$5</f>
        <v>172.11480000000003</v>
      </c>
      <c r="K199" s="300">
        <f>(126.5*KFC!$B$20*1.02*1.3*1.1+KFC!$C$20)*KFC!$C$5</f>
        <v>184.51290000000003</v>
      </c>
      <c r="L199" s="300">
        <f>(134.9*KFC!$B$20*1.02*1.3*1.1+KFC!$C$20)*KFC!$C$5</f>
        <v>196.76514000000003</v>
      </c>
      <c r="M199" s="300">
        <f>(143.3*KFC!$B$20*1.02*1.3*1.1+KFC!$C$20)*KFC!$C$5</f>
        <v>209.01738000000006</v>
      </c>
      <c r="N199" s="300">
        <f>(151.7*KFC!$B$20*1.02*1.3*1.1+KFC!$C$20)*KFC!$C$5</f>
        <v>221.26962</v>
      </c>
      <c r="O199" s="300">
        <f>(160.1*KFC!$B$20*1.02*1.3*1.1+KFC!$C$20)*KFC!$C$5</f>
        <v>233.52186</v>
      </c>
      <c r="P199" s="300">
        <f>(168.5*KFC!$B$20*1.02*1.3*1.1+KFC!$C$20)*KFC!$C$5</f>
        <v>245.77410000000003</v>
      </c>
      <c r="Q199" s="300">
        <f>(177*KFC!$B$20*1.02*1.3*1.1+KFC!$C$20)*KFC!$C$5</f>
        <v>258.17220000000003</v>
      </c>
      <c r="R199" s="300">
        <f>(185.3*KFC!$B$20*1.02*1.3*1.1+KFC!$C$20)*KFC!$C$5</f>
        <v>270.27858000000009</v>
      </c>
      <c r="S199" s="300">
        <f>(193.7*KFC!$B$20*1.02*1.3*1.1+KFC!$C$20)*KFC!$C$5</f>
        <v>282.53082000000006</v>
      </c>
      <c r="T199" s="300">
        <f>(202.2*KFC!$B$20*1.02*1.3*1.1+KFC!$C$20)*KFC!$C$5</f>
        <v>294.92892000000006</v>
      </c>
      <c r="U199" s="300">
        <f>(210.6*KFC!$B$20*1.02*1.3*1.1+KFC!$C$20)*KFC!$C$5</f>
        <v>307.18116000000003</v>
      </c>
      <c r="V199" s="300">
        <f>(218.9*KFC!$B$20*1.02*1.3*1.1+KFC!$C$20)*KFC!$C$5</f>
        <v>319.28754000000009</v>
      </c>
      <c r="W199" s="300">
        <f>(227.4*KFC!$B$20*1.02*1.3*1.1+KFC!$C$20)*KFC!$C$5</f>
        <v>331.68564000000003</v>
      </c>
      <c r="X199" s="300">
        <f>(235.8*KFC!$B$20*1.02*1.3*1.1+KFC!$C$20)*KFC!$C$5</f>
        <v>343.93788000000006</v>
      </c>
      <c r="Y199" s="304">
        <f>(244.2*KFC!$B$20*1.02*1.3*1.1+KFC!$C$20)*KFC!$C$5</f>
        <v>356.19012000000009</v>
      </c>
      <c r="Z199" s="345"/>
      <c r="AA199" s="345"/>
      <c r="AB199" s="345"/>
      <c r="AC199" s="345"/>
    </row>
    <row r="200" spans="1:29">
      <c r="A200" s="1538"/>
      <c r="B200" s="298">
        <v>3.5</v>
      </c>
      <c r="C200" s="303">
        <f>(59.8*KFC!$B$20*1.02*1.3*1.1+KFC!$C$20)*KFC!$C$5</f>
        <v>87.224280000000007</v>
      </c>
      <c r="D200" s="300">
        <f>(68.5*KFC!$B$20*1.02*1.3*1.1+KFC!$C$20)*KFC!$C$5</f>
        <v>99.914100000000005</v>
      </c>
      <c r="E200" s="300">
        <f>(77*KFC!$B$20*1.02*1.3*1.1+KFC!$C$20)*KFC!$C$5</f>
        <v>112.31220000000003</v>
      </c>
      <c r="F200" s="300">
        <f>(85.7*KFC!$B$20*1.02*1.3*1.1+KFC!$C$20)*KFC!$C$5</f>
        <v>125.00202000000003</v>
      </c>
      <c r="G200" s="300">
        <f>(94.4*KFC!$B$20*1.02*1.3*1.1+KFC!$C$20)*KFC!$C$5</f>
        <v>137.69184000000004</v>
      </c>
      <c r="H200" s="300">
        <f>(103*KFC!$B$20*1.02*1.3*1.1+KFC!$C$20)*KFC!$C$5</f>
        <v>150.23580000000001</v>
      </c>
      <c r="I200" s="300">
        <f>(111.7*KFC!$B$20*1.02*1.3*1.1+KFC!$C$20)*KFC!$C$5</f>
        <v>162.92562000000004</v>
      </c>
      <c r="J200" s="300">
        <f>(120.3*KFC!$B$20*1.02*1.3*1.1+KFC!$C$20)*KFC!$C$5</f>
        <v>175.46958000000004</v>
      </c>
      <c r="K200" s="300">
        <f>(128.9*KFC!$B$20*1.02*1.3*1.1+KFC!$C$20)*KFC!$C$5</f>
        <v>188.01354000000003</v>
      </c>
      <c r="L200" s="300">
        <f>(137.6*KFC!$B$20*1.02*1.3*1.1+KFC!$C$20)*KFC!$C$5</f>
        <v>200.70336000000003</v>
      </c>
      <c r="M200" s="300">
        <f>(146.3*KFC!$B$20*1.02*1.3*1.1+KFC!$C$20)*KFC!$C$5</f>
        <v>213.39318000000009</v>
      </c>
      <c r="N200" s="300">
        <f>(154.8*KFC!$B$20*1.02*1.3*1.1+KFC!$C$20)*KFC!$C$5</f>
        <v>225.79128000000006</v>
      </c>
      <c r="O200" s="300">
        <f>(163.5*KFC!$B$20*1.02*1.3*1.1+KFC!$C$20)*KFC!$C$5</f>
        <v>238.48110000000003</v>
      </c>
      <c r="P200" s="300">
        <f>(172.1*KFC!$B$20*1.02*1.3*1.1+KFC!$C$20)*KFC!$C$5</f>
        <v>251.02506000000002</v>
      </c>
      <c r="Q200" s="300">
        <f>(180.8*KFC!$B$20*1.02*1.3*1.1+KFC!$C$20)*KFC!$C$5</f>
        <v>263.71488000000005</v>
      </c>
      <c r="R200" s="300">
        <f>(189.4*KFC!$B$20*1.02*1.3*1.1+KFC!$C$20)*KFC!$C$5</f>
        <v>276.25884000000002</v>
      </c>
      <c r="S200" s="300">
        <f>(198*KFC!$B$20*1.02*1.3*1.1+KFC!$C$20)*KFC!$C$5</f>
        <v>288.80280000000005</v>
      </c>
      <c r="T200" s="300">
        <f>(206.7*KFC!$B$20*1.02*1.3*1.1+KFC!$C$20)*KFC!$C$5</f>
        <v>301.49262000000004</v>
      </c>
      <c r="U200" s="300">
        <f>(215.4*KFC!$B$20*1.02*1.3*1.1+KFC!$C$20)*KFC!$C$5</f>
        <v>314.18244000000004</v>
      </c>
      <c r="V200" s="300">
        <f>(223.9*KFC!$B$20*1.02*1.3*1.1+KFC!$C$20)*KFC!$C$5</f>
        <v>326.58054000000004</v>
      </c>
      <c r="W200" s="300">
        <f>(232.6*KFC!$B$20*1.02*1.3*1.1+KFC!$C$20)*KFC!$C$5</f>
        <v>339.2703600000001</v>
      </c>
      <c r="X200" s="300">
        <f>(241.3*KFC!$B$20*1.02*1.3*1.1+KFC!$C$20)*KFC!$C$5</f>
        <v>351.96018000000004</v>
      </c>
      <c r="Y200" s="304">
        <f>(249.9*KFC!$B$20*1.02*1.3*1.1+KFC!$C$20)*KFC!$C$5</f>
        <v>364.50414000000006</v>
      </c>
      <c r="Z200" s="345"/>
      <c r="AA200" s="345"/>
      <c r="AB200" s="345"/>
      <c r="AC200" s="345"/>
    </row>
    <row r="201" spans="1:29">
      <c r="A201" s="1538"/>
      <c r="B201" s="298">
        <v>3.6</v>
      </c>
      <c r="C201" s="303">
        <f>(80.4*KFC!$B$20*1.02*1.3*1.1+KFC!$C$20)*KFC!$C$5</f>
        <v>117.27144000000003</v>
      </c>
      <c r="D201" s="300">
        <f>(69.3*KFC!$B$20*1.02*1.3*1.1+KFC!$C$20)*KFC!$C$5</f>
        <v>101.08098</v>
      </c>
      <c r="E201" s="300">
        <f>(78.1*KFC!$B$20*1.02*1.3*1.1+KFC!$C$20)*KFC!$C$5</f>
        <v>113.91666000000001</v>
      </c>
      <c r="F201" s="300">
        <f>(87.1*KFC!$B$20*1.02*1.3*1.1+KFC!$C$20)*KFC!$C$5</f>
        <v>127.04406000000002</v>
      </c>
      <c r="G201" s="300">
        <f>(95.9*KFC!$B$20*1.02*1.3*1.1+KFC!$C$20)*KFC!$C$5</f>
        <v>139.87974000000003</v>
      </c>
      <c r="H201" s="300">
        <f>(104.8*KFC!$B$20*1.02*1.3*1.1+KFC!$C$20)*KFC!$C$5</f>
        <v>152.86128000000002</v>
      </c>
      <c r="I201" s="300">
        <f>(113.6*KFC!$B$20*1.02*1.3*1.1+KFC!$C$20)*KFC!$C$5</f>
        <v>165.69696000000002</v>
      </c>
      <c r="J201" s="300">
        <f>(122.5*KFC!$B$20*1.02*1.3*1.1+KFC!$C$20)*KFC!$C$5</f>
        <v>178.67850000000001</v>
      </c>
      <c r="K201" s="300">
        <f>(131.4*KFC!$B$20*1.02*1.3*1.1+KFC!$C$20)*KFC!$C$5</f>
        <v>191.66004000000004</v>
      </c>
      <c r="L201" s="300">
        <f>(140.3*KFC!$B$20*1.02*1.3*1.1+KFC!$C$20)*KFC!$C$5</f>
        <v>204.64158000000006</v>
      </c>
      <c r="M201" s="300">
        <f>(149.1*KFC!$B$20*1.02*1.3*1.1+KFC!$C$20)*KFC!$C$5</f>
        <v>217.47726000000003</v>
      </c>
      <c r="N201" s="300">
        <f>(158*KFC!$B$20*1.02*1.3*1.1+KFC!$C$20)*KFC!$C$5</f>
        <v>230.45880000000002</v>
      </c>
      <c r="O201" s="300">
        <f>(166.9*KFC!$B$20*1.02*1.3*1.1+KFC!$C$20)*KFC!$C$5</f>
        <v>243.44034000000002</v>
      </c>
      <c r="P201" s="300">
        <f>(175.7*KFC!$B$20*1.02*1.3*1.1+KFC!$C$20)*KFC!$C$5</f>
        <v>256.27602000000002</v>
      </c>
      <c r="Q201" s="300">
        <f>(184.7*KFC!$B$20*1.02*1.3*1.1+KFC!$C$20)*KFC!$C$5</f>
        <v>269.40342000000004</v>
      </c>
      <c r="R201" s="300">
        <f>(193.5*KFC!$B$20*1.02*1.3*1.1+KFC!$C$20)*KFC!$C$5</f>
        <v>282.23910000000006</v>
      </c>
      <c r="S201" s="300">
        <f>(202.4*KFC!$B$20*1.02*1.3*1.1+KFC!$C$20)*KFC!$C$5</f>
        <v>295.22064000000006</v>
      </c>
      <c r="T201" s="300">
        <f>(211.2*KFC!$B$20*1.02*1.3*1.1+KFC!$C$20)*KFC!$C$5</f>
        <v>308.05632000000003</v>
      </c>
      <c r="U201" s="300">
        <f>(220.1*KFC!$B$20*1.02*1.3*1.1+KFC!$C$20)*KFC!$C$5</f>
        <v>321.03786000000002</v>
      </c>
      <c r="V201" s="300">
        <f>(228.9*KFC!$B$20*1.02*1.3*1.1+KFC!$C$20)*KFC!$C$5</f>
        <v>333.87354000000005</v>
      </c>
      <c r="W201" s="300">
        <f>(237.9*KFC!$B$20*1.02*1.3*1.1+KFC!$C$20)*KFC!$C$5</f>
        <v>347.00094000000007</v>
      </c>
      <c r="X201" s="300">
        <f>(246.7*KFC!$B$20*1.02*1.3*1.1+KFC!$C$20)*KFC!$C$5</f>
        <v>359.83661999999998</v>
      </c>
      <c r="Y201" s="304">
        <f>(255.6*KFC!$B$20*1.02*1.3*1.1+KFC!$C$20)*KFC!$C$5</f>
        <v>372.81815999999998</v>
      </c>
      <c r="Z201" s="345"/>
      <c r="AA201" s="345"/>
      <c r="AB201" s="345"/>
      <c r="AC201" s="345"/>
    </row>
    <row r="202" spans="1:29">
      <c r="A202" s="1538"/>
      <c r="B202" s="298">
        <v>3.7</v>
      </c>
      <c r="C202" s="303">
        <f>(61*KFC!$B$20*1.02*1.3*1.1+KFC!$C$20)*KFC!$C$5</f>
        <v>88.974600000000009</v>
      </c>
      <c r="D202" s="300">
        <f>(70.2*KFC!$B$20*1.02*1.3*1.1+KFC!$C$20)*KFC!$C$5</f>
        <v>102.39372</v>
      </c>
      <c r="E202" s="300">
        <f>(79.3*KFC!$B$20*1.02*1.3*1.1+KFC!$C$20)*KFC!$C$5</f>
        <v>115.66698000000001</v>
      </c>
      <c r="F202" s="300">
        <f>(88.4*KFC!$B$20*1.02*1.3*1.1+KFC!$C$20)*KFC!$C$5</f>
        <v>128.94024000000002</v>
      </c>
      <c r="G202" s="300">
        <f>(97.5*KFC!$B$20*1.02*1.3*1.1+KFC!$C$20)*KFC!$C$5</f>
        <v>142.21350000000001</v>
      </c>
      <c r="H202" s="300">
        <f>(106.5*KFC!$B$20*1.02*1.3*1.1+KFC!$C$20)*KFC!$C$5</f>
        <v>155.3409</v>
      </c>
      <c r="I202" s="300">
        <f>(115.7*KFC!$B$20*1.02*1.3*1.1+KFC!$C$20)*KFC!$C$5</f>
        <v>168.76002000000003</v>
      </c>
      <c r="J202" s="300">
        <f>(124.7*KFC!$B$20*1.02*1.3*1.1+KFC!$C$20)*KFC!$C$5</f>
        <v>181.88742000000002</v>
      </c>
      <c r="K202" s="300">
        <f>(133.9*KFC!$B$20*1.02*1.3*1.1+KFC!$C$20)*KFC!$C$5</f>
        <v>195.30654000000001</v>
      </c>
      <c r="L202" s="300">
        <f>(143*KFC!$B$20*1.02*1.3*1.1+KFC!$C$20)*KFC!$C$5</f>
        <v>208.57980000000003</v>
      </c>
      <c r="M202" s="300">
        <f>(152*KFC!$B$20*1.02*1.3*1.1+KFC!$C$20)*KFC!$C$5</f>
        <v>221.7072</v>
      </c>
      <c r="N202" s="300">
        <f>(161.2*KFC!$B$20*1.02*1.3*1.1+KFC!$C$20)*KFC!$C$5</f>
        <v>235.12631999999999</v>
      </c>
      <c r="O202" s="300">
        <f>(170.2*KFC!$B$20*1.02*1.3*1.1+KFC!$C$20)*KFC!$C$5</f>
        <v>248.25371999999999</v>
      </c>
      <c r="P202" s="300">
        <f>(179.4*KFC!$B$20*1.02*1.3*1.1+KFC!$C$20)*KFC!$C$5</f>
        <v>261.67284000000001</v>
      </c>
      <c r="Q202" s="300">
        <f>(188.5*KFC!$B$20*1.02*1.3*1.1+KFC!$C$20)*KFC!$C$5</f>
        <v>274.94610000000006</v>
      </c>
      <c r="R202" s="300">
        <f>(197.5*KFC!$B$20*1.02*1.3*1.1+KFC!$C$20)*KFC!$C$5</f>
        <v>288.07350000000008</v>
      </c>
      <c r="S202" s="300">
        <f>(206.7*KFC!$B$20*1.02*1.3*1.1+KFC!$C$20)*KFC!$C$5</f>
        <v>301.49262000000004</v>
      </c>
      <c r="T202" s="300">
        <f>(215.7*KFC!$B$20*1.02*1.3*1.1+KFC!$C$20)*KFC!$C$5</f>
        <v>314.62002000000001</v>
      </c>
      <c r="U202" s="300">
        <f>(224.9*KFC!$B$20*1.02*1.3*1.1+KFC!$C$20)*KFC!$C$5</f>
        <v>328.03914000000003</v>
      </c>
      <c r="V202" s="300">
        <f>(234*KFC!$B$20*1.02*1.3*1.1+KFC!$C$20)*KFC!$C$5</f>
        <v>341.31240000000003</v>
      </c>
      <c r="W202" s="300">
        <f>(243*KFC!$B$20*1.02*1.3*1.1+KFC!$C$20)*KFC!$C$5</f>
        <v>354.43980000000005</v>
      </c>
      <c r="X202" s="300">
        <f>(252.2*KFC!$B$20*1.02*1.3*1.1+KFC!$C$20)*KFC!$C$5</f>
        <v>367.85892000000001</v>
      </c>
      <c r="Y202" s="304">
        <f>(261.2*KFC!$B$20*1.02*1.3*1.1+KFC!$C$20)*KFC!$C$5</f>
        <v>380.98632000000003</v>
      </c>
      <c r="Z202" s="345"/>
      <c r="AA202" s="345"/>
      <c r="AB202" s="345"/>
      <c r="AC202" s="345"/>
    </row>
    <row r="203" spans="1:29">
      <c r="A203" s="1538"/>
      <c r="B203" s="298">
        <v>3.8</v>
      </c>
      <c r="C203" s="303">
        <f>(61.8*KFC!$B$20*1.02*1.3*1.1+KFC!$C$20)*KFC!$C$5</f>
        <v>90.141480000000016</v>
      </c>
      <c r="D203" s="300">
        <f>(71.1*KFC!$B$20*1.02*1.3*1.1+KFC!$C$20)*KFC!$C$5</f>
        <v>103.70646000000001</v>
      </c>
      <c r="E203" s="300">
        <f>(80.4*KFC!$B$20*1.02*1.3*1.1+KFC!$C$20)*KFC!$C$5</f>
        <v>117.27144000000003</v>
      </c>
      <c r="F203" s="300">
        <f>(89.6*KFC!$B$20*1.02*1.3*1.1+KFC!$C$20)*KFC!$C$5</f>
        <v>130.69056</v>
      </c>
      <c r="G203" s="300">
        <f>(99.1*KFC!$B$20*1.02*1.3*1.1+KFC!$C$20)*KFC!$C$5</f>
        <v>144.54726000000002</v>
      </c>
      <c r="H203" s="300">
        <f>(108.4*KFC!$B$20*1.02*1.3*1.1+KFC!$C$20)*KFC!$C$5</f>
        <v>158.11224000000001</v>
      </c>
      <c r="I203" s="300">
        <f>(117.7*KFC!$B$20*1.02*1.3*1.1+KFC!$C$20)*KFC!$C$5</f>
        <v>171.67722000000001</v>
      </c>
      <c r="J203" s="300">
        <f>(127.1*KFC!$B$20*1.02*1.3*1.1+KFC!$C$20)*KFC!$C$5</f>
        <v>185.38806000000002</v>
      </c>
      <c r="K203" s="300">
        <f>(136.4*KFC!$B$20*1.02*1.3*1.1+KFC!$C$20)*KFC!$C$5</f>
        <v>198.95304000000004</v>
      </c>
      <c r="L203" s="300">
        <f>(145.7*KFC!$B$20*1.02*1.3*1.1+KFC!$C$20)*KFC!$C$5</f>
        <v>212.51802000000004</v>
      </c>
      <c r="M203" s="300">
        <f>(155*KFC!$B$20*1.02*1.3*1.1+KFC!$C$20)*KFC!$C$5</f>
        <v>226.08300000000003</v>
      </c>
      <c r="N203" s="300">
        <f>(164.4*KFC!$B$20*1.02*1.3*1.1+KFC!$C$20)*KFC!$C$5</f>
        <v>239.79384000000007</v>
      </c>
      <c r="O203" s="300">
        <f>(173.7*KFC!$B$20*1.02*1.3*1.1+KFC!$C$20)*KFC!$C$5</f>
        <v>253.35881999999998</v>
      </c>
      <c r="P203" s="300">
        <f>(183*KFC!$B$20*1.02*1.3*1.1+KFC!$C$20)*KFC!$C$5</f>
        <v>266.92380000000003</v>
      </c>
      <c r="Q203" s="300">
        <f>(192.3*KFC!$B$20*1.02*1.3*1.1+KFC!$C$20)*KFC!$C$5</f>
        <v>280.48878000000008</v>
      </c>
      <c r="R203" s="300">
        <f>(201.7*KFC!$B$20*1.02*1.3*1.1+KFC!$C$20)*KFC!$C$5</f>
        <v>294.19961999999998</v>
      </c>
      <c r="S203" s="300">
        <f>(211*KFC!$B$20*1.02*1.3*1.1+KFC!$C$20)*KFC!$C$5</f>
        <v>307.76460000000003</v>
      </c>
      <c r="T203" s="300">
        <f>(220.3*KFC!$B$20*1.02*1.3*1.1+KFC!$C$20)*KFC!$C$5</f>
        <v>321.32958000000008</v>
      </c>
      <c r="U203" s="300">
        <f>(229.7*KFC!$B$20*1.02*1.3*1.1+KFC!$C$20)*KFC!$C$5</f>
        <v>335.04042000000004</v>
      </c>
      <c r="V203" s="300">
        <f>(239*KFC!$B$20*1.02*1.3*1.1+KFC!$C$20)*KFC!$C$5</f>
        <v>348.60540000000003</v>
      </c>
      <c r="W203" s="300">
        <f>(248.3*KFC!$B$20*1.02*1.3*1.1+KFC!$C$20)*KFC!$C$5</f>
        <v>362.17038000000008</v>
      </c>
      <c r="X203" s="300">
        <f>(257.6*KFC!$B$20*1.02*1.3*1.1+KFC!$C$20)*KFC!$C$5</f>
        <v>375.73536000000007</v>
      </c>
      <c r="Y203" s="304">
        <f>(267*KFC!$B$20*1.02*1.3*1.1+KFC!$C$20)*KFC!$C$5</f>
        <v>389.44620000000009</v>
      </c>
      <c r="Z203" s="345"/>
      <c r="AA203" s="345"/>
      <c r="AB203" s="345"/>
      <c r="AC203" s="345"/>
    </row>
    <row r="204" spans="1:29">
      <c r="A204" s="1538"/>
      <c r="B204" s="298">
        <v>3.9</v>
      </c>
      <c r="C204" s="303">
        <f>(62.4*KFC!$B$20*1.02*1.3*1.1+KFC!$C$20)*KFC!$C$5</f>
        <v>91.01664000000001</v>
      </c>
      <c r="D204" s="300">
        <f>(71.9*KFC!$B$20*1.02*1.3*1.1+KFC!$C$20)*KFC!$C$5</f>
        <v>104.87334000000003</v>
      </c>
      <c r="E204" s="300">
        <f>(81.5*KFC!$B$20*1.02*1.3*1.1+KFC!$C$20)*KFC!$C$5</f>
        <v>118.87590000000002</v>
      </c>
      <c r="F204" s="300">
        <f>(91*KFC!$B$20*1.02*1.3*1.1+KFC!$C$20)*KFC!$C$5</f>
        <v>132.73260000000002</v>
      </c>
      <c r="G204" s="300">
        <f>(100.5*KFC!$B$20*1.02*1.3*1.1+KFC!$C$20)*KFC!$C$5</f>
        <v>146.58930000000001</v>
      </c>
      <c r="H204" s="300">
        <f>(110.2*KFC!$B$20*1.02*1.3*1.1+KFC!$C$20)*KFC!$C$5</f>
        <v>160.73772000000002</v>
      </c>
      <c r="I204" s="300">
        <f>(119.7*KFC!$B$20*1.02*1.3*1.1+KFC!$C$20)*KFC!$C$5</f>
        <v>174.59442000000004</v>
      </c>
      <c r="J204" s="300">
        <f>(129.3*KFC!$B$20*1.02*1.3*1.1+KFC!$C$20)*KFC!$C$5</f>
        <v>188.59698000000006</v>
      </c>
      <c r="K204" s="300">
        <f>(138.8*KFC!$B$20*1.02*1.3*1.1+KFC!$C$20)*KFC!$C$5</f>
        <v>202.45368000000005</v>
      </c>
      <c r="L204" s="300">
        <f>(148.3*KFC!$B$20*1.02*1.3*1.1+KFC!$C$20)*KFC!$C$5</f>
        <v>216.31038000000007</v>
      </c>
      <c r="M204" s="300">
        <f>(157.9*KFC!$B$20*1.02*1.3*1.1+KFC!$C$20)*KFC!$C$5</f>
        <v>230.31294000000005</v>
      </c>
      <c r="N204" s="300">
        <f>(167.4*KFC!$B$20*1.02*1.3*1.1+KFC!$C$20)*KFC!$C$5</f>
        <v>244.16964000000004</v>
      </c>
      <c r="O204" s="300">
        <f>(177.1*KFC!$B$20*1.02*1.3*1.1+KFC!$C$20)*KFC!$C$5</f>
        <v>258.31806</v>
      </c>
      <c r="P204" s="300">
        <f>(186.6*KFC!$B$20*1.02*1.3*1.1+KFC!$C$20)*KFC!$C$5</f>
        <v>272.17476000000005</v>
      </c>
      <c r="Q204" s="300">
        <f>(196.2*KFC!$B$20*1.02*1.3*1.1+KFC!$C$20)*KFC!$C$5</f>
        <v>286.17732000000001</v>
      </c>
      <c r="R204" s="300">
        <f>(205.7*KFC!$B$20*1.02*1.3*1.1+KFC!$C$20)*KFC!$C$5</f>
        <v>300.03402</v>
      </c>
      <c r="S204" s="300">
        <f>(215.2*KFC!$B$20*1.02*1.3*1.1+KFC!$C$20)*KFC!$C$5</f>
        <v>313.89072000000004</v>
      </c>
      <c r="T204" s="300">
        <f>(224.8*KFC!$B$20*1.02*1.3*1.1+KFC!$C$20)*KFC!$C$5</f>
        <v>327.89328000000006</v>
      </c>
      <c r="U204" s="300">
        <f>(234.4*KFC!$B$20*1.02*1.3*1.1+KFC!$C$20)*KFC!$C$5</f>
        <v>341.89584000000008</v>
      </c>
      <c r="V204" s="300">
        <f>(244*KFC!$B$20*1.02*1.3*1.1+KFC!$C$20)*KFC!$C$5</f>
        <v>355.89840000000004</v>
      </c>
      <c r="W204" s="300">
        <f>(253.5*KFC!$B$20*1.02*1.3*1.1+KFC!$C$20)*KFC!$C$5</f>
        <v>369.75510000000003</v>
      </c>
      <c r="X204" s="300">
        <f>(263.1*KFC!$B$20*1.02*1.3*1.1+KFC!$C$20)*KFC!$C$5</f>
        <v>383.75766000000004</v>
      </c>
      <c r="Y204" s="304">
        <f>(272.6*KFC!$B$20*1.02*1.3*1.1+KFC!$C$20)*KFC!$C$5</f>
        <v>397.61436000000009</v>
      </c>
      <c r="Z204" s="345"/>
      <c r="AA204" s="345"/>
      <c r="AB204" s="345"/>
      <c r="AC204" s="345"/>
    </row>
    <row r="205" spans="1:29">
      <c r="A205" s="1538"/>
      <c r="B205" s="298">
        <v>4</v>
      </c>
      <c r="C205" s="303">
        <f>(63*KFC!$B$20*1.02*1.3*1.1+KFC!$C$20)*KFC!$C$5</f>
        <v>91.891800000000018</v>
      </c>
      <c r="D205" s="300">
        <f>(72.8*KFC!$B$20*1.02*1.3*1.1+KFC!$C$20)*KFC!$C$5</f>
        <v>106.18608000000002</v>
      </c>
      <c r="E205" s="300">
        <f>(82.6*KFC!$B$20*1.02*1.3*1.1+KFC!$C$20)*KFC!$C$5</f>
        <v>120.48036</v>
      </c>
      <c r="F205" s="300">
        <f>(92.3*KFC!$B$20*1.02*1.3*1.1+KFC!$C$20)*KFC!$C$5</f>
        <v>134.62878000000001</v>
      </c>
      <c r="G205" s="300">
        <f>(102.1*KFC!$B$20*1.02*1.3*1.1+KFC!$C$20)*KFC!$C$5</f>
        <v>148.92306000000002</v>
      </c>
      <c r="H205" s="300">
        <f>(111.9*KFC!$B$20*1.02*1.3*1.1+KFC!$C$20)*KFC!$C$5</f>
        <v>163.21734000000001</v>
      </c>
      <c r="I205" s="300">
        <f>(121.7*KFC!$B$20*1.02*1.3*1.1+KFC!$C$20)*KFC!$C$5</f>
        <v>177.51162000000002</v>
      </c>
      <c r="J205" s="300">
        <f>(131.5*KFC!$B$20*1.02*1.3*1.1+KFC!$C$20)*KFC!$C$5</f>
        <v>191.80590000000001</v>
      </c>
      <c r="K205" s="300">
        <f>(141.3*KFC!$B$20*1.02*1.3*1.1+KFC!$C$20)*KFC!$C$5</f>
        <v>206.10018000000005</v>
      </c>
      <c r="L205" s="300">
        <f>(151*KFC!$B$20*1.02*1.3*1.1+KFC!$C$20)*KFC!$C$5</f>
        <v>220.24860000000004</v>
      </c>
      <c r="M205" s="300">
        <f>(160.8*KFC!$B$20*1.02*1.3*1.1+KFC!$C$20)*KFC!$C$5</f>
        <v>234.54288000000005</v>
      </c>
      <c r="N205" s="300">
        <f>(170.6*KFC!$B$20*1.02*1.3*1.1+KFC!$C$20)*KFC!$C$5</f>
        <v>248.83716000000001</v>
      </c>
      <c r="O205" s="300">
        <f>(180.4*KFC!$B$20*1.02*1.3*1.1+KFC!$C$20)*KFC!$C$5</f>
        <v>263.13144000000005</v>
      </c>
      <c r="P205" s="300">
        <f>(190.2*KFC!$B$20*1.02*1.3*1.1+KFC!$C$20)*KFC!$C$5</f>
        <v>277.42572000000001</v>
      </c>
      <c r="Q205" s="300">
        <f>(200*KFC!$B$20*1.02*1.3*1.1+KFC!$C$20)*KFC!$C$5</f>
        <v>291.72000000000003</v>
      </c>
      <c r="R205" s="300">
        <f>(209.7*KFC!$B$20*1.02*1.3*1.1+KFC!$C$20)*KFC!$C$5</f>
        <v>305.86842000000007</v>
      </c>
      <c r="S205" s="300">
        <f>(219.7*KFC!$B$20*1.02*1.3*1.1+KFC!$C$20)*KFC!$C$5</f>
        <v>320.45442000000003</v>
      </c>
      <c r="T205" s="300">
        <f>(229.4*KFC!$B$20*1.02*1.3*1.1+KFC!$C$20)*KFC!$C$5</f>
        <v>334.60284000000001</v>
      </c>
      <c r="U205" s="300">
        <f>(239.2*KFC!$B$20*1.02*1.3*1.1+KFC!$C$20)*KFC!$C$5</f>
        <v>348.89712000000003</v>
      </c>
      <c r="V205" s="300">
        <f>(249*KFC!$B$20*1.02*1.3*1.1+KFC!$C$20)*KFC!$C$5</f>
        <v>363.19140000000004</v>
      </c>
      <c r="W205" s="300">
        <f>(258.8*KFC!$B$20*1.02*1.3*1.1+KFC!$C$20)*KFC!$C$5</f>
        <v>377.48568000000006</v>
      </c>
      <c r="X205" s="300">
        <f>(268.6*KFC!$B$20*1.02*1.3*1.1+KFC!$C$20)*KFC!$C$5</f>
        <v>391.77996000000013</v>
      </c>
      <c r="Y205" s="304">
        <f>(278.4*KFC!$B$20*1.02*1.3*1.1+KFC!$C$20)*KFC!$C$5</f>
        <v>406.07423999999997</v>
      </c>
      <c r="Z205" s="345"/>
      <c r="AA205" s="345"/>
      <c r="AB205" s="345"/>
      <c r="AC205" s="345"/>
    </row>
    <row r="206" spans="1:29" ht="13.8" thickBot="1">
      <c r="A206" s="1539"/>
      <c r="B206" s="299">
        <v>4.05</v>
      </c>
      <c r="C206" s="305">
        <f>(63.6*KFC!$B$20*1.02*1.3*1.1+KFC!$C$20)*KFC!$C$5</f>
        <v>92.766960000000012</v>
      </c>
      <c r="D206" s="306">
        <f>(73.6*KFC!$B$20*1.02*1.3*1.1+KFC!$C$20)*KFC!$C$5</f>
        <v>107.35296000000001</v>
      </c>
      <c r="E206" s="306">
        <f>(83.7*KFC!$B$20*1.02*1.3*1.1+KFC!$C$20)*KFC!$C$5</f>
        <v>122.08482000000002</v>
      </c>
      <c r="F206" s="306">
        <f>(93.7*KFC!$B$20*1.02*1.3*1.1+KFC!$C$20)*KFC!$C$5</f>
        <v>136.67082000000002</v>
      </c>
      <c r="G206" s="306">
        <f>(103.7*KFC!$B$20*1.02*1.3*1.1+KFC!$C$20)*KFC!$C$5</f>
        <v>151.25682000000003</v>
      </c>
      <c r="H206" s="306">
        <f>(113.7*KFC!$B$20*1.02*1.3*1.1+KFC!$C$20)*KFC!$C$5</f>
        <v>165.84282000000002</v>
      </c>
      <c r="I206" s="306">
        <f>(123.8*KFC!$B$20*1.02*1.3*1.1+KFC!$C$20)*KFC!$C$5</f>
        <v>180.57468000000003</v>
      </c>
      <c r="J206" s="306">
        <f>(133.7*KFC!$B$20*1.02*1.3*1.1+KFC!$C$20)*KFC!$C$5</f>
        <v>195.01482000000001</v>
      </c>
      <c r="K206" s="306">
        <f>(143.7*KFC!$B$20*1.02*1.3*1.1+KFC!$C$20)*KFC!$C$5</f>
        <v>209.60082000000003</v>
      </c>
      <c r="L206" s="306">
        <f>(153.7*KFC!$B$20*1.02*1.3*1.1+KFC!$C$20)*KFC!$C$5</f>
        <v>224.18682000000004</v>
      </c>
      <c r="M206" s="306">
        <f>(163.8*KFC!$B$20*1.02*1.3*1.1+KFC!$C$20)*KFC!$C$5</f>
        <v>238.91868000000005</v>
      </c>
      <c r="N206" s="306">
        <f>(173.8*KFC!$B$20*1.02*1.3*1.1+KFC!$C$20)*KFC!$C$5</f>
        <v>253.50468000000004</v>
      </c>
      <c r="O206" s="306">
        <f>(183.8*KFC!$B$20*1.02*1.3*1.1+KFC!$C$20)*KFC!$C$5</f>
        <v>268.09068000000008</v>
      </c>
      <c r="P206" s="306">
        <f>(193.8*KFC!$B$20*1.02*1.3*1.1+KFC!$C$20)*KFC!$C$5</f>
        <v>282.67668000000009</v>
      </c>
      <c r="Q206" s="306">
        <f>(203.9*KFC!$B$20*1.02*1.3*1.1+KFC!$C$20)*KFC!$C$5</f>
        <v>297.40854000000002</v>
      </c>
      <c r="R206" s="306">
        <f>(213.9*KFC!$B$20*1.02*1.3*1.1+KFC!$C$20)*KFC!$C$5</f>
        <v>311.99454000000003</v>
      </c>
      <c r="S206" s="306">
        <f>(223.9*KFC!$B$20*1.02*1.3*1.1+KFC!$C$20)*KFC!$C$5</f>
        <v>326.58054000000004</v>
      </c>
      <c r="T206" s="306">
        <f>(234*KFC!$B$20*1.02*1.3*1.1+KFC!$C$20)*KFC!$C$5</f>
        <v>341.31240000000003</v>
      </c>
      <c r="U206" s="306">
        <f>(244*KFC!$B$20*1.02*1.3*1.1+KFC!$C$20)*KFC!$C$5</f>
        <v>355.89840000000004</v>
      </c>
      <c r="V206" s="306">
        <f>(254*KFC!$B$20*1.02*1.3*1.1+KFC!$C$20)*KFC!$C$5</f>
        <v>370.48439999999999</v>
      </c>
      <c r="W206" s="306">
        <f>(263.9*KFC!$B$20*1.02*1.3*1.1+KFC!$C$20)*KFC!$C$5</f>
        <v>384.92454000000004</v>
      </c>
      <c r="X206" s="306">
        <f>(274*KFC!$B$20*1.02*1.3*1.1+KFC!$C$20)*KFC!$C$5</f>
        <v>399.65640000000002</v>
      </c>
      <c r="Y206" s="307">
        <f>(284*KFC!$B$20*1.02*1.3*1.1+KFC!$C$20)*KFC!$C$5</f>
        <v>414.24240000000003</v>
      </c>
      <c r="Z206" s="345"/>
      <c r="AA206" s="345"/>
      <c r="AB206" s="345"/>
      <c r="AC206" s="345"/>
    </row>
    <row r="207" spans="1:29" ht="13.8" thickBot="1">
      <c r="A207" s="216"/>
      <c r="B207" s="216"/>
      <c r="C207" s="216"/>
      <c r="D207" s="216"/>
      <c r="E207" s="216"/>
      <c r="F207" s="216"/>
      <c r="G207" s="216"/>
      <c r="H207" s="216"/>
      <c r="I207" s="216"/>
      <c r="J207" s="216"/>
      <c r="K207" s="216"/>
      <c r="L207" s="216"/>
      <c r="M207" s="216"/>
      <c r="N207" s="216"/>
      <c r="O207" s="216"/>
      <c r="P207" s="216"/>
      <c r="Q207" s="216"/>
      <c r="R207" s="216"/>
      <c r="S207" s="216"/>
      <c r="T207" s="216"/>
      <c r="U207" s="216"/>
      <c r="V207" s="216"/>
      <c r="W207" s="216"/>
      <c r="X207" s="216"/>
      <c r="Y207" s="216"/>
      <c r="Z207" s="345"/>
      <c r="AA207" s="345"/>
      <c r="AB207" s="345"/>
      <c r="AC207" s="345"/>
    </row>
    <row r="208" spans="1:29" ht="13.5" customHeight="1" thickBot="1">
      <c r="A208" s="1413" t="s">
        <v>320</v>
      </c>
      <c r="B208" s="1542"/>
      <c r="C208" s="1534" t="s">
        <v>207</v>
      </c>
      <c r="D208" s="1535"/>
      <c r="E208" s="1535"/>
      <c r="F208" s="1535"/>
      <c r="G208" s="1535"/>
      <c r="H208" s="1535"/>
      <c r="I208" s="1535"/>
      <c r="J208" s="1535"/>
      <c r="K208" s="1535"/>
      <c r="L208" s="1535"/>
      <c r="M208" s="1535"/>
      <c r="N208" s="1535"/>
      <c r="O208" s="1535"/>
      <c r="P208" s="1535"/>
      <c r="Q208" s="1535"/>
      <c r="R208" s="1535"/>
      <c r="S208" s="1535"/>
      <c r="T208" s="1535"/>
      <c r="U208" s="1535"/>
      <c r="V208" s="1535"/>
      <c r="W208" s="1535"/>
      <c r="X208" s="1535"/>
      <c r="Y208" s="1536"/>
      <c r="Z208" s="345"/>
      <c r="AA208" s="345"/>
      <c r="AB208" s="345"/>
      <c r="AC208" s="345"/>
    </row>
    <row r="209" spans="1:29" ht="13.8" thickBot="1">
      <c r="A209" s="1543"/>
      <c r="B209" s="1544"/>
      <c r="C209" s="322">
        <v>0.4</v>
      </c>
      <c r="D209" s="323">
        <v>0.5</v>
      </c>
      <c r="E209" s="323">
        <v>0.6</v>
      </c>
      <c r="F209" s="323">
        <v>0.7</v>
      </c>
      <c r="G209" s="323">
        <v>0.8</v>
      </c>
      <c r="H209" s="323">
        <v>0.9</v>
      </c>
      <c r="I209" s="323">
        <v>1</v>
      </c>
      <c r="J209" s="323">
        <v>1.1000000000000001</v>
      </c>
      <c r="K209" s="323">
        <v>1.2</v>
      </c>
      <c r="L209" s="323">
        <v>1.3</v>
      </c>
      <c r="M209" s="323">
        <v>1.4</v>
      </c>
      <c r="N209" s="323">
        <v>1.5</v>
      </c>
      <c r="O209" s="323">
        <v>1.6</v>
      </c>
      <c r="P209" s="323">
        <v>1.7</v>
      </c>
      <c r="Q209" s="323">
        <v>1.8</v>
      </c>
      <c r="R209" s="323">
        <v>1.9</v>
      </c>
      <c r="S209" s="323">
        <v>2</v>
      </c>
      <c r="T209" s="323">
        <v>2.1</v>
      </c>
      <c r="U209" s="323">
        <v>2.2000000000000002</v>
      </c>
      <c r="V209" s="323">
        <v>2.2999999999999998</v>
      </c>
      <c r="W209" s="323">
        <v>2.4</v>
      </c>
      <c r="X209" s="323">
        <v>2.5</v>
      </c>
      <c r="Y209" s="324">
        <v>2.6</v>
      </c>
      <c r="Z209" s="345"/>
      <c r="AA209" s="345"/>
      <c r="AB209" s="345"/>
      <c r="AC209" s="345"/>
    </row>
    <row r="210" spans="1:29" ht="12.75" customHeight="1">
      <c r="A210" s="1537" t="s">
        <v>3</v>
      </c>
      <c r="B210" s="297">
        <v>0.5</v>
      </c>
      <c r="C210" s="274">
        <f>(44*KFC!$B$20*1.02*1.3*1.1+KFC!$C$20)*KFC!$C$5</f>
        <v>64.178400000000011</v>
      </c>
      <c r="D210" s="301">
        <f>(46.1*KFC!$B$20*1.02*1.3*1.1+KFC!$C$20)*KFC!$C$5</f>
        <v>67.241460000000018</v>
      </c>
      <c r="E210" s="301">
        <f>(48.2*KFC!$B$20*1.02*1.3*1.1+KFC!$C$20)*KFC!$C$5</f>
        <v>70.304520000000011</v>
      </c>
      <c r="F210" s="301">
        <f>(50.3*KFC!$B$20*1.02*1.3*1.1+KFC!$C$20)*KFC!$C$5</f>
        <v>73.367580000000004</v>
      </c>
      <c r="G210" s="301">
        <f>(52.3*KFC!$B$20*1.02*1.3*1.1+KFC!$C$20)*KFC!$C$5</f>
        <v>76.284780000000012</v>
      </c>
      <c r="H210" s="301">
        <f>(54.4*KFC!$B$20*1.02*1.3*1.1+KFC!$C$20)*KFC!$C$5</f>
        <v>79.347840000000005</v>
      </c>
      <c r="I210" s="301">
        <f>(56.5*KFC!$B$20*1.02*1.3*1.1+KFC!$C$20)*KFC!$C$5</f>
        <v>82.410900000000012</v>
      </c>
      <c r="J210" s="301">
        <f>(58.5*KFC!$B$20*1.02*1.3*1.1+KFC!$C$20)*KFC!$C$5</f>
        <v>85.328100000000006</v>
      </c>
      <c r="K210" s="301">
        <f>(60.5*KFC!$B$20*1.02*1.3*1.1+KFC!$C$20)*KFC!$C$5</f>
        <v>88.2453</v>
      </c>
      <c r="L210" s="301">
        <f>(60.6*KFC!$B$20*1.02*1.3*1.1+KFC!$C$20)*KFC!$C$5</f>
        <v>88.391160000000013</v>
      </c>
      <c r="M210" s="301">
        <f>(64.7*KFC!$B$20*1.02*1.3*1.1+KFC!$C$20)*KFC!$C$5</f>
        <v>94.371420000000015</v>
      </c>
      <c r="N210" s="301">
        <f>(66.8*KFC!$B$20*1.02*1.3*1.1+KFC!$C$20)*KFC!$C$5</f>
        <v>97.434479999999994</v>
      </c>
      <c r="O210" s="301">
        <f>(68.9*KFC!$B$20*1.02*1.3*1.1+KFC!$C$20)*KFC!$C$5</f>
        <v>100.49754000000003</v>
      </c>
      <c r="P210" s="301">
        <f>(70.9*KFC!$B$20*1.02*1.3*1.1+KFC!$C$20)*KFC!$C$5</f>
        <v>103.41474000000002</v>
      </c>
      <c r="Q210" s="301">
        <f>(73*KFC!$B$20*1.02*1.3*1.1+KFC!$C$20)*KFC!$C$5</f>
        <v>106.47780000000003</v>
      </c>
      <c r="R210" s="301">
        <f>(75.1*KFC!$B$20*1.02*1.3*1.1+KFC!$C$20)*KFC!$C$5</f>
        <v>109.54086</v>
      </c>
      <c r="S210" s="301">
        <f>(77.2*KFC!$B$20*1.02*1.3*1.1+KFC!$C$20)*KFC!$C$5</f>
        <v>112.60392</v>
      </c>
      <c r="T210" s="301">
        <f>(79.3*KFC!$B$20*1.02*1.3*1.1+KFC!$C$20)*KFC!$C$5</f>
        <v>115.66698000000001</v>
      </c>
      <c r="U210" s="301">
        <f>(81.3*KFC!$B$20*1.02*1.3*1.1+KFC!$C$20)*KFC!$C$5</f>
        <v>118.58418000000002</v>
      </c>
      <c r="V210" s="301">
        <f>(83.4*KFC!$B$20*1.02*1.3*1.1+KFC!$C$20)*KFC!$C$5</f>
        <v>121.64724000000004</v>
      </c>
      <c r="W210" s="301">
        <f>(85.4*KFC!$B$20*1.02*1.3*1.1+KFC!$C$20)*KFC!$C$5</f>
        <v>124.56444000000002</v>
      </c>
      <c r="X210" s="301">
        <f>(87.4*KFC!$B$20*1.02*1.3*1.1+KFC!$C$20)*KFC!$C$5</f>
        <v>127.48164000000004</v>
      </c>
      <c r="Y210" s="302">
        <f>(89.5*KFC!$B$20*1.02*1.3*1.1+KFC!$C$20)*KFC!$C$5</f>
        <v>130.54470000000001</v>
      </c>
      <c r="Z210" s="345"/>
      <c r="AA210" s="345"/>
      <c r="AB210" s="345"/>
      <c r="AC210" s="345"/>
    </row>
    <row r="211" spans="1:29">
      <c r="A211" s="1538"/>
      <c r="B211" s="298">
        <v>0.6</v>
      </c>
      <c r="C211" s="303">
        <f>(45.1*KFC!$B$20*1.02*1.3*1.1+KFC!$C$20)*KFC!$C$5</f>
        <v>65.782860000000014</v>
      </c>
      <c r="D211" s="300">
        <f>(47.6*KFC!$B$20*1.02*1.3*1.1+KFC!$C$20)*KFC!$C$5</f>
        <v>69.429360000000003</v>
      </c>
      <c r="E211" s="300">
        <f>(49.9*KFC!$B$20*1.02*1.3*1.1+KFC!$C$20)*KFC!$C$5</f>
        <v>72.784140000000008</v>
      </c>
      <c r="F211" s="300">
        <f>(52.3*KFC!$B$20*1.02*1.3*1.1+KFC!$C$20)*KFC!$C$5</f>
        <v>76.284780000000012</v>
      </c>
      <c r="G211" s="300">
        <f>(54.8*KFC!$B$20*1.02*1.3*1.1+KFC!$C$20)*KFC!$C$5</f>
        <v>79.931280000000001</v>
      </c>
      <c r="H211" s="300">
        <f>(57.1*KFC!$B$20*1.02*1.3*1.1+KFC!$C$20)*KFC!$C$5</f>
        <v>83.286060000000006</v>
      </c>
      <c r="I211" s="300">
        <f>(59.6*KFC!$B$20*1.02*1.3*1.1+KFC!$C$20)*KFC!$C$5</f>
        <v>86.932560000000009</v>
      </c>
      <c r="J211" s="300">
        <f>(61.9*KFC!$B$20*1.02*1.3*1.1+KFC!$C$20)*KFC!$C$5</f>
        <v>90.287340000000015</v>
      </c>
      <c r="K211" s="300">
        <f>(64.3*KFC!$B$20*1.02*1.3*1.1+KFC!$C$20)*KFC!$C$5</f>
        <v>93.787980000000019</v>
      </c>
      <c r="L211" s="300">
        <f>(66.7*KFC!$B$20*1.02*1.3*1.1+KFC!$C$20)*KFC!$C$5</f>
        <v>97.288620000000023</v>
      </c>
      <c r="M211" s="300">
        <f>(69.1*KFC!$B$20*1.02*1.3*1.1+KFC!$C$20)*KFC!$C$5</f>
        <v>100.78926</v>
      </c>
      <c r="N211" s="300">
        <f>(71.5*KFC!$B$20*1.02*1.3*1.1+KFC!$C$20)*KFC!$C$5</f>
        <v>104.28990000000002</v>
      </c>
      <c r="O211" s="300">
        <f>(73.9*KFC!$B$20*1.02*1.3*1.1+KFC!$C$20)*KFC!$C$5</f>
        <v>107.79054000000001</v>
      </c>
      <c r="P211" s="300">
        <f>(76.3*KFC!$B$20*1.02*1.3*1.1+KFC!$C$20)*KFC!$C$5</f>
        <v>111.29118000000001</v>
      </c>
      <c r="Q211" s="300">
        <f>(78.6*KFC!$B$20*1.02*1.3*1.1+KFC!$C$20)*KFC!$C$5</f>
        <v>114.64596000000002</v>
      </c>
      <c r="R211" s="300">
        <f>(81.1*KFC!$B$20*1.02*1.3*1.1+KFC!$C$20)*KFC!$C$5</f>
        <v>118.29246000000001</v>
      </c>
      <c r="S211" s="300">
        <f>(83.5*KFC!$B$20*1.02*1.3*1.1+KFC!$C$20)*KFC!$C$5</f>
        <v>121.79310000000001</v>
      </c>
      <c r="T211" s="300">
        <f>(85.9*KFC!$B$20*1.02*1.3*1.1+KFC!$C$20)*KFC!$C$5</f>
        <v>125.29374000000003</v>
      </c>
      <c r="U211" s="300">
        <f>(88.3*KFC!$B$20*1.02*1.3*1.1+KFC!$C$20)*KFC!$C$5</f>
        <v>128.79438000000002</v>
      </c>
      <c r="V211" s="300">
        <f>(90.6*KFC!$B$20*1.02*1.3*1.1+KFC!$C$20)*KFC!$C$5</f>
        <v>132.14915999999999</v>
      </c>
      <c r="W211" s="300">
        <f>(93.1*KFC!$B$20*1.02*1.3*1.1+KFC!$C$20)*KFC!$C$5</f>
        <v>135.79566</v>
      </c>
      <c r="X211" s="300">
        <f>(95.5*KFC!$B$20*1.02*1.3*1.1+KFC!$C$20)*KFC!$C$5</f>
        <v>139.2963</v>
      </c>
      <c r="Y211" s="304">
        <f>(97.8*KFC!$B$20*1.02*1.3*1.1+KFC!$C$20)*KFC!$C$5</f>
        <v>142.65108000000004</v>
      </c>
      <c r="Z211" s="345"/>
      <c r="AA211" s="345"/>
      <c r="AB211" s="345"/>
      <c r="AC211" s="345"/>
    </row>
    <row r="212" spans="1:29">
      <c r="A212" s="1538"/>
      <c r="B212" s="298">
        <v>0.7</v>
      </c>
      <c r="C212" s="303">
        <f>(46.2*KFC!$B$20*1.02*1.3*1.1+KFC!$C$20)*KFC!$C$5</f>
        <v>67.387320000000003</v>
      </c>
      <c r="D212" s="300">
        <f>(49*KFC!$B$20*1.02*1.3*1.1+KFC!$C$20)*KFC!$C$5</f>
        <v>71.471400000000017</v>
      </c>
      <c r="E212" s="300">
        <f>(51.7*KFC!$B$20*1.02*1.3*1.1+KFC!$C$20)*KFC!$C$5</f>
        <v>75.409620000000018</v>
      </c>
      <c r="F212" s="300">
        <f>(54.4*KFC!$B$20*1.02*1.3*1.1+KFC!$C$20)*KFC!$C$5</f>
        <v>79.347840000000005</v>
      </c>
      <c r="G212" s="300">
        <f>(57.1*KFC!$B$20*1.02*1.3*1.1+KFC!$C$20)*KFC!$C$5</f>
        <v>83.286060000000006</v>
      </c>
      <c r="H212" s="300">
        <f>(59.9*KFC!$B$20*1.02*1.3*1.1+KFC!$C$20)*KFC!$C$5</f>
        <v>87.370140000000006</v>
      </c>
      <c r="I212" s="300">
        <f>(62.6*KFC!$B$20*1.02*1.3*1.1+KFC!$C$20)*KFC!$C$5</f>
        <v>91.308360000000022</v>
      </c>
      <c r="J212" s="300">
        <f>(65.3*KFC!$B$20*1.02*1.3*1.1+KFC!$C$20)*KFC!$C$5</f>
        <v>95.246580000000009</v>
      </c>
      <c r="K212" s="300">
        <f>(68*KFC!$B$20*1.02*1.3*1.1+KFC!$C$20)*KFC!$C$5</f>
        <v>99.18480000000001</v>
      </c>
      <c r="L212" s="300">
        <f>(70.8*KFC!$B$20*1.02*1.3*1.1+KFC!$C$20)*KFC!$C$5</f>
        <v>103.26888</v>
      </c>
      <c r="M212" s="300">
        <f>(73.5*KFC!$B$20*1.02*1.3*1.1+KFC!$C$20)*KFC!$C$5</f>
        <v>107.20710000000001</v>
      </c>
      <c r="N212" s="300">
        <f>(76.2*KFC!$B$20*1.02*1.3*1.1+KFC!$C$20)*KFC!$C$5</f>
        <v>111.14532000000001</v>
      </c>
      <c r="O212" s="300">
        <f>(78.9*KFC!$B$20*1.02*1.3*1.1+KFC!$C$20)*KFC!$C$5</f>
        <v>115.08354000000001</v>
      </c>
      <c r="P212" s="300">
        <f>(81.7*KFC!$B$20*1.02*1.3*1.1+KFC!$C$20)*KFC!$C$5</f>
        <v>119.16762000000001</v>
      </c>
      <c r="Q212" s="300">
        <f>(84.4*KFC!$B$20*1.02*1.3*1.1+KFC!$C$20)*KFC!$C$5</f>
        <v>123.10584000000003</v>
      </c>
      <c r="R212" s="300">
        <f>(87.1*KFC!$B$20*1.02*1.3*1.1+KFC!$C$20)*KFC!$C$5</f>
        <v>127.04406000000002</v>
      </c>
      <c r="S212" s="300">
        <f>(89.8*KFC!$B$20*1.02*1.3*1.1+KFC!$C$20)*KFC!$C$5</f>
        <v>130.98228000000003</v>
      </c>
      <c r="T212" s="300">
        <f>(92.6*KFC!$B$20*1.02*1.3*1.1+KFC!$C$20)*KFC!$C$5</f>
        <v>135.06636</v>
      </c>
      <c r="U212" s="300">
        <f>(95.3*KFC!$B$20*1.02*1.3*1.1+KFC!$C$20)*KFC!$C$5</f>
        <v>139.00458</v>
      </c>
      <c r="V212" s="300">
        <f>(98*KFC!$B$20*1.02*1.3*1.1+KFC!$C$20)*KFC!$C$5</f>
        <v>142.94280000000003</v>
      </c>
      <c r="W212" s="300">
        <f>(100.7*KFC!$B$20*1.02*1.3*1.1+KFC!$C$20)*KFC!$C$5</f>
        <v>146.88102000000001</v>
      </c>
      <c r="X212" s="300">
        <f>(103.5*KFC!$B$20*1.02*1.3*1.1+KFC!$C$20)*KFC!$C$5</f>
        <v>150.96510000000004</v>
      </c>
      <c r="Y212" s="304">
        <f>(106.2*KFC!$B$20*1.02*1.3*1.1+KFC!$C$20)*KFC!$C$5</f>
        <v>154.90332000000001</v>
      </c>
      <c r="Z212" s="345"/>
      <c r="AA212" s="345"/>
      <c r="AB212" s="345"/>
      <c r="AC212" s="345"/>
    </row>
    <row r="213" spans="1:29">
      <c r="A213" s="1538"/>
      <c r="B213" s="298">
        <v>0.8</v>
      </c>
      <c r="C213" s="303">
        <f>(47.5*KFC!$B$20*1.02*1.3*1.1+KFC!$C$20)*KFC!$C$5</f>
        <v>69.283500000000018</v>
      </c>
      <c r="D213" s="300">
        <f>(50.4*KFC!$B$20*1.02*1.3*1.1+KFC!$C$20)*KFC!$C$5</f>
        <v>73.513440000000003</v>
      </c>
      <c r="E213" s="300">
        <f>(53.4*KFC!$B$20*1.02*1.3*1.1+KFC!$C$20)*KFC!$C$5</f>
        <v>77.889240000000001</v>
      </c>
      <c r="F213" s="300">
        <f>(56.5*KFC!$B$20*1.02*1.3*1.1+KFC!$C$20)*KFC!$C$5</f>
        <v>82.410900000000012</v>
      </c>
      <c r="G213" s="300">
        <f>(59.6*KFC!$B$20*1.02*1.3*1.1+KFC!$C$20)*KFC!$C$5</f>
        <v>86.932560000000009</v>
      </c>
      <c r="H213" s="300">
        <f>(62.6*KFC!$B$20*1.02*1.3*1.1+KFC!$C$20)*KFC!$C$5</f>
        <v>91.308360000000022</v>
      </c>
      <c r="I213" s="300">
        <f>(65.7*KFC!$B$20*1.02*1.3*1.1+KFC!$C$20)*KFC!$C$5</f>
        <v>95.830020000000019</v>
      </c>
      <c r="J213" s="300">
        <f>(68.7*KFC!$B$20*1.02*1.3*1.1+KFC!$C$20)*KFC!$C$5</f>
        <v>100.20582</v>
      </c>
      <c r="K213" s="300">
        <f>(71.8*KFC!$B$20*1.02*1.3*1.1+KFC!$C$20)*KFC!$C$5</f>
        <v>104.72748000000003</v>
      </c>
      <c r="L213" s="300">
        <f>(74.8*KFC!$B$20*1.02*1.3*1.1+KFC!$C$20)*KFC!$C$5</f>
        <v>109.10328</v>
      </c>
      <c r="M213" s="300">
        <f>(77.9*KFC!$B$20*1.02*1.3*1.1+KFC!$C$20)*KFC!$C$5</f>
        <v>113.62494000000002</v>
      </c>
      <c r="N213" s="300">
        <f>(81*KFC!$B$20*1.02*1.3*1.1+KFC!$C$20)*KFC!$C$5</f>
        <v>118.14660000000002</v>
      </c>
      <c r="O213" s="300">
        <f>(83.9*KFC!$B$20*1.02*1.3*1.1+KFC!$C$20)*KFC!$C$5</f>
        <v>122.37654000000002</v>
      </c>
      <c r="P213" s="300">
        <f>(87*KFC!$B$20*1.02*1.3*1.1+KFC!$C$20)*KFC!$C$5</f>
        <v>126.8982</v>
      </c>
      <c r="Q213" s="300">
        <f>(90*KFC!$B$20*1.02*1.3*1.1+KFC!$C$20)*KFC!$C$5</f>
        <v>131.274</v>
      </c>
      <c r="R213" s="300">
        <f>(93.1*KFC!$B$20*1.02*1.3*1.1+KFC!$C$20)*KFC!$C$5</f>
        <v>135.79566</v>
      </c>
      <c r="S213" s="300">
        <f>(96.1*KFC!$B$20*1.02*1.3*1.1+KFC!$C$20)*KFC!$C$5</f>
        <v>140.17146</v>
      </c>
      <c r="T213" s="300">
        <f>(99.2*KFC!$B$20*1.02*1.3*1.1+KFC!$C$20)*KFC!$C$5</f>
        <v>144.69312000000005</v>
      </c>
      <c r="U213" s="300">
        <f>(102.2*KFC!$B$20*1.02*1.3*1.1+KFC!$C$20)*KFC!$C$5</f>
        <v>149.06892000000002</v>
      </c>
      <c r="V213" s="300">
        <f>(105.3*KFC!$B$20*1.02*1.3*1.1+KFC!$C$20)*KFC!$C$5</f>
        <v>153.59058000000002</v>
      </c>
      <c r="W213" s="300">
        <f>(108.4*KFC!$B$20*1.02*1.3*1.1+KFC!$C$20)*KFC!$C$5</f>
        <v>158.11224000000001</v>
      </c>
      <c r="X213" s="300">
        <f>(111.4*KFC!$B$20*1.02*1.3*1.1+KFC!$C$20)*KFC!$C$5</f>
        <v>162.48804000000004</v>
      </c>
      <c r="Y213" s="304">
        <f>(114.5*KFC!$B$20*1.02*1.3*1.1+KFC!$C$20)*KFC!$C$5</f>
        <v>167.00970000000004</v>
      </c>
      <c r="Z213" s="345"/>
      <c r="AA213" s="345"/>
      <c r="AB213" s="345"/>
      <c r="AC213" s="345"/>
    </row>
    <row r="214" spans="1:29">
      <c r="A214" s="1538"/>
      <c r="B214" s="298">
        <v>0.9</v>
      </c>
      <c r="C214" s="303">
        <f>(48.6*KFC!$B$20*1.02*1.3*1.1+KFC!$C$20)*KFC!$C$5</f>
        <v>70.887960000000007</v>
      </c>
      <c r="D214" s="300">
        <f>(51.9*KFC!$B$20*1.02*1.3*1.1+KFC!$C$20)*KFC!$C$5</f>
        <v>75.701340000000002</v>
      </c>
      <c r="E214" s="300">
        <f>(55.3*KFC!$B$20*1.02*1.3*1.1+KFC!$C$20)*KFC!$C$5</f>
        <v>80.660579999999996</v>
      </c>
      <c r="F214" s="300">
        <f>(58.6*KFC!$B$20*1.02*1.3*1.1+KFC!$C$20)*KFC!$C$5</f>
        <v>85.473960000000019</v>
      </c>
      <c r="G214" s="300">
        <f>(62*KFC!$B$20*1.02*1.3*1.1+KFC!$C$20)*KFC!$C$5</f>
        <v>90.433200000000014</v>
      </c>
      <c r="H214" s="300">
        <f>(65.4*KFC!$B$20*1.02*1.3*1.1+KFC!$C$20)*KFC!$C$5</f>
        <v>95.392440000000036</v>
      </c>
      <c r="I214" s="300">
        <f>(68.7*KFC!$B$20*1.02*1.3*1.1+KFC!$C$20)*KFC!$C$5</f>
        <v>100.20582</v>
      </c>
      <c r="J214" s="300">
        <f>(72.2*KFC!$B$20*1.02*1.3*1.1+KFC!$C$20)*KFC!$C$5</f>
        <v>105.31092000000002</v>
      </c>
      <c r="K214" s="300">
        <f>(75.5*KFC!$B$20*1.02*1.3*1.1+KFC!$C$20)*KFC!$C$5</f>
        <v>110.12430000000002</v>
      </c>
      <c r="L214" s="300">
        <f>(78.9*KFC!$B$20*1.02*1.3*1.1+KFC!$C$20)*KFC!$C$5</f>
        <v>115.08354000000001</v>
      </c>
      <c r="M214" s="300">
        <f>(82.2*KFC!$B$20*1.02*1.3*1.1+KFC!$C$20)*KFC!$C$5</f>
        <v>119.89692000000004</v>
      </c>
      <c r="N214" s="300">
        <f>(85.6*KFC!$B$20*1.02*1.3*1.1+KFC!$C$20)*KFC!$C$5</f>
        <v>124.85616000000002</v>
      </c>
      <c r="O214" s="300">
        <f>(89*KFC!$B$20*1.02*1.3*1.1+KFC!$C$20)*KFC!$C$5</f>
        <v>129.81540000000001</v>
      </c>
      <c r="P214" s="300">
        <f>(92.3*KFC!$B$20*1.02*1.3*1.1+KFC!$C$20)*KFC!$C$5</f>
        <v>134.62878000000001</v>
      </c>
      <c r="Q214" s="300">
        <f>(95.8*KFC!$B$20*1.02*1.3*1.1+KFC!$C$20)*KFC!$C$5</f>
        <v>139.73388</v>
      </c>
      <c r="R214" s="300">
        <f>(99.1*KFC!$B$20*1.02*1.3*1.1+KFC!$C$20)*KFC!$C$5</f>
        <v>144.54726000000002</v>
      </c>
      <c r="S214" s="300">
        <f>(102.5*KFC!$B$20*1.02*1.3*1.1+KFC!$C$20)*KFC!$C$5</f>
        <v>149.50650000000002</v>
      </c>
      <c r="T214" s="300">
        <f>(105.8*KFC!$B$20*1.02*1.3*1.1+KFC!$C$20)*KFC!$C$5</f>
        <v>154.31988000000001</v>
      </c>
      <c r="U214" s="300">
        <f>(109.2*KFC!$B$20*1.02*1.3*1.1+KFC!$C$20)*KFC!$C$5</f>
        <v>159.27912000000003</v>
      </c>
      <c r="V214" s="300">
        <f>(122.6*KFC!$B$20*1.02*1.3*1.1+KFC!$C$20)*KFC!$C$5</f>
        <v>178.82436000000001</v>
      </c>
      <c r="W214" s="300">
        <f>(115.9*KFC!$B$20*1.02*1.3*1.1+KFC!$C$20)*KFC!$C$5</f>
        <v>169.05174000000002</v>
      </c>
      <c r="X214" s="300">
        <f>(119.4*KFC!$B$20*1.02*1.3*1.1+KFC!$C$20)*KFC!$C$5</f>
        <v>174.15684000000005</v>
      </c>
      <c r="Y214" s="304">
        <f>(122.7*KFC!$B$20*1.02*1.3*1.1+KFC!$C$20)*KFC!$C$5</f>
        <v>178.97022000000004</v>
      </c>
      <c r="Z214" s="345"/>
      <c r="AA214" s="345"/>
      <c r="AB214" s="345"/>
      <c r="AC214" s="345"/>
    </row>
    <row r="215" spans="1:29">
      <c r="A215" s="1538"/>
      <c r="B215" s="298">
        <v>1</v>
      </c>
      <c r="C215" s="303">
        <f>(49.7*KFC!$B$20*1.02*1.3*1.1+KFC!$C$20)*KFC!$C$5</f>
        <v>72.49242000000001</v>
      </c>
      <c r="D215" s="300">
        <f>(53.3*KFC!$B$20*1.02*1.3*1.1+KFC!$C$20)*KFC!$C$5</f>
        <v>77.743380000000002</v>
      </c>
      <c r="E215" s="300">
        <f>(57*KFC!$B$20*1.02*1.3*1.1+KFC!$C$20)*KFC!$C$5</f>
        <v>83.140200000000021</v>
      </c>
      <c r="F215" s="300">
        <f>(60.8*KFC!$B$20*1.02*1.3*1.1+KFC!$C$20)*KFC!$C$5</f>
        <v>88.682880000000011</v>
      </c>
      <c r="G215" s="300">
        <f>(64.5*KFC!$B$20*1.02*1.3*1.1+KFC!$C$20)*KFC!$C$5</f>
        <v>94.079700000000031</v>
      </c>
      <c r="H215" s="300">
        <f>(68.1*KFC!$B$20*1.02*1.3*1.1+KFC!$C$20)*KFC!$C$5</f>
        <v>99.330659999999995</v>
      </c>
      <c r="I215" s="300">
        <f>(71.8*KFC!$B$20*1.02*1.3*1.1+KFC!$C$20)*KFC!$C$5</f>
        <v>104.72748000000003</v>
      </c>
      <c r="J215" s="300">
        <f>(75.6*KFC!$B$20*1.02*1.3*1.1+KFC!$C$20)*KFC!$C$5</f>
        <v>110.27016</v>
      </c>
      <c r="K215" s="300">
        <f>(79.3*KFC!$B$20*1.02*1.3*1.1+KFC!$C$20)*KFC!$C$5</f>
        <v>115.66698000000001</v>
      </c>
      <c r="L215" s="300">
        <f>(82.9*KFC!$B$20*1.02*1.3*1.1+KFC!$C$20)*KFC!$C$5</f>
        <v>120.91794000000002</v>
      </c>
      <c r="M215" s="300">
        <f>(86.6*KFC!$B$20*1.02*1.3*1.1+KFC!$C$20)*KFC!$C$5</f>
        <v>126.31476000000001</v>
      </c>
      <c r="N215" s="300">
        <f>(90.3*KFC!$B$20*1.02*1.3*1.1+KFC!$C$20)*KFC!$C$5</f>
        <v>131.71158</v>
      </c>
      <c r="O215" s="300">
        <f>(94*KFC!$B$20*1.02*1.3*1.1+KFC!$C$20)*KFC!$C$5</f>
        <v>137.10839999999999</v>
      </c>
      <c r="P215" s="300">
        <f>(97.7*KFC!$B$20*1.02*1.3*1.1+KFC!$C$20)*KFC!$C$5</f>
        <v>142.50522000000004</v>
      </c>
      <c r="Q215" s="300">
        <f>(101.4*KFC!$B$20*1.02*1.3*1.1+KFC!$C$20)*KFC!$C$5</f>
        <v>147.90204000000006</v>
      </c>
      <c r="R215" s="300">
        <f>(105.1*KFC!$B$20*1.02*1.3*1.1+KFC!$C$20)*KFC!$C$5</f>
        <v>153.29886000000002</v>
      </c>
      <c r="S215" s="300">
        <f>(108.8*KFC!$B$20*1.02*1.3*1.1+KFC!$C$20)*KFC!$C$5</f>
        <v>158.69568000000001</v>
      </c>
      <c r="T215" s="300">
        <f>(112.5*KFC!$B$20*1.02*1.3*1.1+KFC!$C$20)*KFC!$C$5</f>
        <v>164.09250000000003</v>
      </c>
      <c r="U215" s="300">
        <f>(116.2*KFC!$B$20*1.02*1.3*1.1+KFC!$C$20)*KFC!$C$5</f>
        <v>169.48932000000002</v>
      </c>
      <c r="V215" s="300">
        <f>(119.9*KFC!$B$20*1.02*1.3*1.1+KFC!$C$20)*KFC!$C$5</f>
        <v>174.88614000000001</v>
      </c>
      <c r="W215" s="300">
        <f>(123.6*KFC!$B$20*1.02*1.3*1.1+KFC!$C$20)*KFC!$C$5</f>
        <v>180.28296000000003</v>
      </c>
      <c r="X215" s="300">
        <f>(127.3*KFC!$B$20*1.02*1.3*1.1+KFC!$C$20)*KFC!$C$5</f>
        <v>185.67978000000002</v>
      </c>
      <c r="Y215" s="304">
        <f>(131*KFC!$B$20*1.02*1.3*1.1+KFC!$C$20)*KFC!$C$5</f>
        <v>191.07660000000004</v>
      </c>
      <c r="Z215" s="345"/>
      <c r="AA215" s="345"/>
      <c r="AB215" s="345"/>
      <c r="AC215" s="345"/>
    </row>
    <row r="216" spans="1:29">
      <c r="A216" s="1538"/>
      <c r="B216" s="298">
        <v>1.1000000000000001</v>
      </c>
      <c r="C216" s="303">
        <f>(50.8*KFC!$B$20*1.02*1.3*1.1+KFC!$C$20)*KFC!$C$5</f>
        <v>74.096879999999999</v>
      </c>
      <c r="D216" s="300">
        <f>(54.8*KFC!$B$20*1.02*1.3*1.1+KFC!$C$20)*KFC!$C$5</f>
        <v>79.931280000000001</v>
      </c>
      <c r="E216" s="300">
        <f>(58.8*KFC!$B$20*1.02*1.3*1.1+KFC!$C$20)*KFC!$C$5</f>
        <v>85.765680000000003</v>
      </c>
      <c r="F216" s="300">
        <f>(62.9*KFC!$B$20*1.02*1.3*1.1+KFC!$C$20)*KFC!$C$5</f>
        <v>91.745940000000004</v>
      </c>
      <c r="G216" s="300">
        <f>(66.9*KFC!$B$20*1.02*1.3*1.1+KFC!$C$20)*KFC!$C$5</f>
        <v>97.580340000000021</v>
      </c>
      <c r="H216" s="300">
        <f>(70.9*KFC!$B$20*1.02*1.3*1.1+KFC!$C$20)*KFC!$C$5</f>
        <v>103.41474000000002</v>
      </c>
      <c r="I216" s="300">
        <f>(74.8*KFC!$B$20*1.02*1.3*1.1+KFC!$C$20)*KFC!$C$5</f>
        <v>109.10328</v>
      </c>
      <c r="J216" s="300">
        <f>(78.9*KFC!$B$20*1.02*1.3*1.1+KFC!$C$20)*KFC!$C$5</f>
        <v>115.08354000000001</v>
      </c>
      <c r="K216" s="300">
        <f>(82.9*KFC!$B$20*1.02*1.3*1.1+KFC!$C$20)*KFC!$C$5</f>
        <v>120.91794000000002</v>
      </c>
      <c r="L216" s="300">
        <f>(87*KFC!$B$20*1.02*1.3*1.1+KFC!$C$20)*KFC!$C$5</f>
        <v>126.8982</v>
      </c>
      <c r="M216" s="300">
        <f>(91*KFC!$B$20*1.02*1.3*1.1+KFC!$C$20)*KFC!$C$5</f>
        <v>132.73260000000002</v>
      </c>
      <c r="N216" s="300">
        <f>(95*KFC!$B$20*1.02*1.3*1.1+KFC!$C$20)*KFC!$C$5</f>
        <v>138.56700000000004</v>
      </c>
      <c r="O216" s="300">
        <f>(99.1*KFC!$B$20*1.02*1.3*1.1+KFC!$C$20)*KFC!$C$5</f>
        <v>144.54726000000002</v>
      </c>
      <c r="P216" s="300">
        <f>(103.1*KFC!$B$20*1.02*1.3*1.1+KFC!$C$20)*KFC!$C$5</f>
        <v>150.38166000000001</v>
      </c>
      <c r="Q216" s="300">
        <f>(107.1*KFC!$B$20*1.02*1.3*1.1+KFC!$C$20)*KFC!$C$5</f>
        <v>156.21606000000003</v>
      </c>
      <c r="R216" s="300">
        <f>(111*KFC!$B$20*1.02*1.3*1.1+KFC!$C$20)*KFC!$C$5</f>
        <v>161.90460000000002</v>
      </c>
      <c r="S216" s="300">
        <f>(115.1*KFC!$B$20*1.02*1.3*1.1+KFC!$C$20)*KFC!$C$5</f>
        <v>167.88486000000003</v>
      </c>
      <c r="T216" s="300">
        <f>(119.1*KFC!$B$20*1.02*1.3*1.1+KFC!$C$20)*KFC!$C$5</f>
        <v>173.71926000000002</v>
      </c>
      <c r="U216" s="300">
        <f>(12.2*KFC!$B$20*1.02*1.3*1.1+KFC!$C$20)*KFC!$C$5</f>
        <v>17.794920000000001</v>
      </c>
      <c r="V216" s="300">
        <f>(127.2*KFC!$B$20*1.02*1.3*1.1+KFC!$C$20)*KFC!$C$5</f>
        <v>185.53392000000002</v>
      </c>
      <c r="W216" s="300">
        <f>(131.2*KFC!$B$20*1.02*1.3*1.1+KFC!$C$20)*KFC!$C$5</f>
        <v>191.36831999999998</v>
      </c>
      <c r="X216" s="300">
        <f>(135.3*KFC!$B$20*1.02*1.3*1.1+KFC!$C$20)*KFC!$C$5</f>
        <v>197.34858000000003</v>
      </c>
      <c r="Y216" s="304">
        <f>(139.3*KFC!$B$20*1.02*1.3*1.1+KFC!$C$20)*KFC!$C$5</f>
        <v>203.18298000000001</v>
      </c>
      <c r="Z216" s="345"/>
      <c r="AA216" s="345"/>
      <c r="AB216" s="345"/>
      <c r="AC216" s="345"/>
    </row>
    <row r="217" spans="1:29">
      <c r="A217" s="1538"/>
      <c r="B217" s="298">
        <v>1.2</v>
      </c>
      <c r="C217" s="303">
        <f>(51.9*KFC!$B$20*1.02*1.3*1.1+KFC!$C$20)*KFC!$C$5</f>
        <v>75.701340000000002</v>
      </c>
      <c r="D217" s="300">
        <f>(56.3*KFC!$B$20*1.02*1.3*1.1+KFC!$C$20)*KFC!$C$5</f>
        <v>82.11918</v>
      </c>
      <c r="E217" s="300">
        <f>(60.5*KFC!$B$20*1.02*1.3*1.1+KFC!$C$20)*KFC!$C$5</f>
        <v>88.2453</v>
      </c>
      <c r="F217" s="300">
        <f>(64.9*KFC!$B$20*1.02*1.3*1.1+KFC!$C$20)*KFC!$C$5</f>
        <v>94.663140000000027</v>
      </c>
      <c r="G217" s="300">
        <f>(69.3*KFC!$B$20*1.02*1.3*1.1+KFC!$C$20)*KFC!$C$5</f>
        <v>101.08098</v>
      </c>
      <c r="H217" s="300">
        <f>(73.6*KFC!$B$20*1.02*1.3*1.1+KFC!$C$20)*KFC!$C$5</f>
        <v>107.35296000000001</v>
      </c>
      <c r="I217" s="300">
        <f>(78*KFC!$B$20*1.02*1.3*1.1+KFC!$C$20)*KFC!$C$5</f>
        <v>113.77080000000002</v>
      </c>
      <c r="J217" s="300">
        <f>(82.3*KFC!$B$20*1.02*1.3*1.1+KFC!$C$20)*KFC!$C$5</f>
        <v>120.04278000000001</v>
      </c>
      <c r="K217" s="300">
        <f>(86.7*KFC!$B$20*1.02*1.3*1.1+KFC!$C$20)*KFC!$C$5</f>
        <v>126.46062000000002</v>
      </c>
      <c r="L217" s="300">
        <f>(91*KFC!$B$20*1.02*1.3*1.1+KFC!$C$20)*KFC!$C$5</f>
        <v>132.73260000000002</v>
      </c>
      <c r="M217" s="300">
        <f>(95.4*KFC!$B$20*1.02*1.3*1.1+KFC!$C$20)*KFC!$C$5</f>
        <v>139.15044000000003</v>
      </c>
      <c r="N217" s="300">
        <f>(99.7*KFC!$B$20*1.02*1.3*1.1+KFC!$C$20)*KFC!$C$5</f>
        <v>145.42242000000002</v>
      </c>
      <c r="O217" s="300">
        <f>(104.1*KFC!$B$20*1.02*1.3*1.1+KFC!$C$20)*KFC!$C$5</f>
        <v>151.84026000000003</v>
      </c>
      <c r="P217" s="300">
        <f>(108.4*KFC!$B$20*1.02*1.3*1.1+KFC!$C$20)*KFC!$C$5</f>
        <v>158.11224000000001</v>
      </c>
      <c r="Q217" s="300">
        <f>(112.8*KFC!$B$20*1.02*1.3*1.1+KFC!$C$20)*KFC!$C$5</f>
        <v>164.53008000000003</v>
      </c>
      <c r="R217" s="300">
        <f>(117.2*KFC!$B$20*1.02*1.3*1.1+KFC!$C$20)*KFC!$C$5</f>
        <v>170.94792000000004</v>
      </c>
      <c r="S217" s="300">
        <f>(121.4*KFC!$B$20*1.02*1.3*1.1+KFC!$C$20)*KFC!$C$5</f>
        <v>177.07404000000002</v>
      </c>
      <c r="T217" s="300">
        <f>(125.8*KFC!$B$20*1.02*1.3*1.1+KFC!$C$20)*KFC!$C$5</f>
        <v>183.49188000000001</v>
      </c>
      <c r="U217" s="300">
        <f>(130.1*KFC!$B$20*1.02*1.3*1.1+KFC!$C$20)*KFC!$C$5</f>
        <v>189.76385999999999</v>
      </c>
      <c r="V217" s="300">
        <f>(134.5*KFC!$B$20*1.02*1.3*1.1+KFC!$C$20)*KFC!$C$5</f>
        <v>196.18170000000003</v>
      </c>
      <c r="W217" s="300">
        <f>(138.8*KFC!$B$20*1.02*1.3*1.1+KFC!$C$20)*KFC!$C$5</f>
        <v>202.45368000000005</v>
      </c>
      <c r="X217" s="300">
        <f>(143.2*KFC!$B$20*1.02*1.3*1.1+KFC!$C$20)*KFC!$C$5</f>
        <v>208.87152</v>
      </c>
      <c r="Y217" s="304">
        <f>(147.5*KFC!$B$20*1.02*1.3*1.1+KFC!$C$20)*KFC!$C$5</f>
        <v>215.14349999999999</v>
      </c>
      <c r="Z217" s="345"/>
      <c r="AA217" s="345"/>
      <c r="AB217" s="345"/>
      <c r="AC217" s="345"/>
    </row>
    <row r="218" spans="1:29">
      <c r="A218" s="1538"/>
      <c r="B218" s="298">
        <v>1.3</v>
      </c>
      <c r="C218" s="303">
        <f>(53.1*KFC!$B$20*1.02*1.3*1.1+KFC!$C$20)*KFC!$C$5</f>
        <v>77.451660000000004</v>
      </c>
      <c r="D218" s="300">
        <f>(57.7*KFC!$B$20*1.02*1.3*1.1+KFC!$C$20)*KFC!$C$5</f>
        <v>84.161220000000014</v>
      </c>
      <c r="E218" s="300">
        <f>(62.4*KFC!$B$20*1.02*1.3*1.1+KFC!$C$20)*KFC!$C$5</f>
        <v>91.01664000000001</v>
      </c>
      <c r="F218" s="300">
        <f>(67*KFC!$B$20*1.02*1.3*1.1+KFC!$C$20)*KFC!$C$5</f>
        <v>97.72620000000002</v>
      </c>
      <c r="G218" s="300">
        <f>(71.7*KFC!$B$20*1.02*1.3*1.1+KFC!$C$20)*KFC!$C$5</f>
        <v>104.58162000000002</v>
      </c>
      <c r="H218" s="300">
        <f>(76.4*KFC!$B$20*1.02*1.3*1.1+KFC!$C$20)*KFC!$C$5</f>
        <v>111.43704000000004</v>
      </c>
      <c r="I218" s="300">
        <f>(81.1*KFC!$B$20*1.02*1.3*1.1+KFC!$C$20)*KFC!$C$5</f>
        <v>118.29246000000001</v>
      </c>
      <c r="J218" s="300">
        <f>(85.7*KFC!$B$20*1.02*1.3*1.1+KFC!$C$20)*KFC!$C$5</f>
        <v>125.00202000000003</v>
      </c>
      <c r="K218" s="300">
        <f>(90.4*KFC!$B$20*1.02*1.3*1.1+KFC!$C$20)*KFC!$C$5</f>
        <v>131.85744000000003</v>
      </c>
      <c r="L218" s="300">
        <f>(95*KFC!$B$20*1.02*1.3*1.1+KFC!$C$20)*KFC!$C$5</f>
        <v>138.56700000000004</v>
      </c>
      <c r="M218" s="300">
        <f>(99.8*KFC!$B$20*1.02*1.3*1.1+KFC!$C$20)*KFC!$C$5</f>
        <v>145.56828000000002</v>
      </c>
      <c r="N218" s="300">
        <f>(104.4*KFC!$B$20*1.02*1.3*1.1+KFC!$C$20)*KFC!$C$5</f>
        <v>152.27784000000003</v>
      </c>
      <c r="O218" s="300">
        <f>(109.1*KFC!$B$20*1.02*1.3*1.1+KFC!$C$20)*KFC!$C$5</f>
        <v>159.13326000000001</v>
      </c>
      <c r="P218" s="300">
        <f>(113.7*KFC!$B$20*1.02*1.3*1.1+KFC!$C$20)*KFC!$C$5</f>
        <v>165.84282000000002</v>
      </c>
      <c r="Q218" s="300">
        <f>(118.4*KFC!$B$20*1.02*1.3*1.1+KFC!$C$20)*KFC!$C$5</f>
        <v>172.69824000000006</v>
      </c>
      <c r="R218" s="300">
        <f>(123.2*KFC!$B$20*1.02*1.3*1.1+KFC!$C$20)*KFC!$C$5</f>
        <v>179.69952000000004</v>
      </c>
      <c r="S218" s="300">
        <f>(127.8*KFC!$B$20*1.02*1.3*1.1+KFC!$C$20)*KFC!$C$5</f>
        <v>186.40907999999999</v>
      </c>
      <c r="T218" s="300">
        <f>(132.5*KFC!$B$20*1.02*1.3*1.1+KFC!$C$20)*KFC!$C$5</f>
        <v>193.26450000000003</v>
      </c>
      <c r="U218" s="300">
        <f>(137.1*KFC!$B$20*1.02*1.3*1.1+KFC!$C$20)*KFC!$C$5</f>
        <v>199.97405999999998</v>
      </c>
      <c r="V218" s="300">
        <f>(141.9*KFC!$B$20*1.02*1.3*1.1+KFC!$C$20)*KFC!$C$5</f>
        <v>206.97534000000002</v>
      </c>
      <c r="W218" s="300">
        <f>(146.5*KFC!$B$20*1.02*1.3*1.1+KFC!$C$20)*KFC!$C$5</f>
        <v>213.68490000000003</v>
      </c>
      <c r="X218" s="300">
        <f>(151.2*KFC!$B$20*1.02*1.3*1.1+KFC!$C$20)*KFC!$C$5</f>
        <v>220.54032000000001</v>
      </c>
      <c r="Y218" s="304">
        <f>(155.8*KFC!$B$20*1.02*1.3*1.1+KFC!$C$20)*KFC!$C$5</f>
        <v>227.24988000000005</v>
      </c>
      <c r="Z218" s="345"/>
      <c r="AA218" s="345"/>
      <c r="AB218" s="345"/>
      <c r="AC218" s="345"/>
    </row>
    <row r="219" spans="1:29">
      <c r="A219" s="1538"/>
      <c r="B219" s="298">
        <v>1.4</v>
      </c>
      <c r="C219" s="303">
        <f>(54.2*KFC!$B$20*1.02*1.3*1.1+KFC!$C$20)*KFC!$C$5</f>
        <v>79.056120000000007</v>
      </c>
      <c r="D219" s="300">
        <f>(59.2*KFC!$B$20*1.02*1.3*1.1+KFC!$C$20)*KFC!$C$5</f>
        <v>86.349120000000028</v>
      </c>
      <c r="E219" s="300">
        <f>(64.1*KFC!$B$20*1.02*1.3*1.1+KFC!$C$20)*KFC!$C$5</f>
        <v>93.496259999999992</v>
      </c>
      <c r="F219" s="300">
        <f>(69.1*KFC!$B$20*1.02*1.3*1.1+KFC!$C$20)*KFC!$C$5</f>
        <v>100.78926</v>
      </c>
      <c r="G219" s="300">
        <f>(74.1*KFC!$B$20*1.02*1.3*1.1+KFC!$C$20)*KFC!$C$5</f>
        <v>108.08226000000001</v>
      </c>
      <c r="H219" s="300">
        <f>(79.1*KFC!$B$20*1.02*1.3*1.1+KFC!$C$20)*KFC!$C$5</f>
        <v>115.37526000000001</v>
      </c>
      <c r="I219" s="300">
        <f>(84.1*KFC!$B$20*1.02*1.3*1.1+KFC!$C$20)*KFC!$C$5</f>
        <v>122.66826</v>
      </c>
      <c r="J219" s="300">
        <f>(89.2*KFC!$B$20*1.02*1.3*1.1+KFC!$C$20)*KFC!$C$5</f>
        <v>130.10712000000004</v>
      </c>
      <c r="K219" s="300">
        <f>(94.2*KFC!$B$20*1.02*1.3*1.1+KFC!$C$20)*KFC!$C$5</f>
        <v>137.40012000000002</v>
      </c>
      <c r="L219" s="300">
        <f>(99.2*KFC!$B$20*1.02*1.3*1.1+KFC!$C$20)*KFC!$C$5</f>
        <v>144.69312000000005</v>
      </c>
      <c r="M219" s="300">
        <f>(104.1*KFC!$B$20*1.02*1.3*1.1+KFC!$C$20)*KFC!$C$5</f>
        <v>151.84026000000003</v>
      </c>
      <c r="N219" s="300">
        <f>(109.1*KFC!$B$20*1.02*1.3*1.1+KFC!$C$20)*KFC!$C$5</f>
        <v>159.13326000000001</v>
      </c>
      <c r="O219" s="300">
        <f>(114.1*KFC!$B$20*1.02*1.3*1.1+KFC!$C$20)*KFC!$C$5</f>
        <v>166.42625999999998</v>
      </c>
      <c r="P219" s="300">
        <f>(119.1*KFC!$B$20*1.02*1.3*1.1+KFC!$C$20)*KFC!$C$5</f>
        <v>173.71926000000002</v>
      </c>
      <c r="Q219" s="300">
        <f>(124.1*KFC!$B$20*1.02*1.3*1.1+KFC!$C$20)*KFC!$C$5</f>
        <v>181.01226000000003</v>
      </c>
      <c r="R219" s="300">
        <f>(129.1*KFC!$B$20*1.02*1.3*1.1+KFC!$C$20)*KFC!$C$5</f>
        <v>188.30526</v>
      </c>
      <c r="S219" s="300">
        <f>(134.2*KFC!$B$20*1.02*1.3*1.1+KFC!$C$20)*KFC!$C$5</f>
        <v>195.74412000000001</v>
      </c>
      <c r="T219" s="300">
        <f>(139.2*KFC!$B$20*1.02*1.3*1.1+KFC!$C$20)*KFC!$C$5</f>
        <v>203.03711999999999</v>
      </c>
      <c r="U219" s="300">
        <f>(144.1*KFC!$B$20*1.02*1.3*1.1+KFC!$C$20)*KFC!$C$5</f>
        <v>210.18426000000002</v>
      </c>
      <c r="V219" s="300">
        <f>(149.1*KFC!$B$20*1.02*1.3*1.1+KFC!$C$20)*KFC!$C$5</f>
        <v>217.47726000000003</v>
      </c>
      <c r="W219" s="300">
        <f>(154.1*KFC!$B$20*1.02*1.3*1.1+KFC!$C$20)*KFC!$C$5</f>
        <v>224.77026000000004</v>
      </c>
      <c r="X219" s="300">
        <f>(159.1*KFC!$B$20*1.02*1.3*1.1+KFC!$C$20)*KFC!$C$5</f>
        <v>232.06326000000004</v>
      </c>
      <c r="Y219" s="304">
        <f>(164.1*KFC!$B$20*1.02*1.3*1.1+KFC!$C$20)*KFC!$C$5</f>
        <v>239.35626000000005</v>
      </c>
      <c r="Z219" s="345"/>
      <c r="AA219" s="345"/>
      <c r="AB219" s="345"/>
      <c r="AC219" s="345"/>
    </row>
    <row r="220" spans="1:29">
      <c r="A220" s="1538"/>
      <c r="B220" s="298">
        <v>1.5</v>
      </c>
      <c r="C220" s="303">
        <f>(55.3*KFC!$B$20*1.02*1.3*1.1+KFC!$C$20)*KFC!$C$5</f>
        <v>80.660579999999996</v>
      </c>
      <c r="D220" s="300">
        <f>(60.5*KFC!$B$20*1.02*1.3*1.1+KFC!$C$20)*KFC!$C$5</f>
        <v>88.2453</v>
      </c>
      <c r="E220" s="300">
        <f>(65.9*KFC!$B$20*1.02*1.3*1.1+KFC!$C$20)*KFC!$C$5</f>
        <v>96.121740000000017</v>
      </c>
      <c r="F220" s="300">
        <f>(71.2*KFC!$B$20*1.02*1.3*1.1+KFC!$C$20)*KFC!$C$5</f>
        <v>103.85232000000003</v>
      </c>
      <c r="G220" s="300">
        <f>(76.6*KFC!$B$20*1.02*1.3*1.1+KFC!$C$20)*KFC!$C$5</f>
        <v>111.72875999999999</v>
      </c>
      <c r="H220" s="300">
        <f>(81.9*KFC!$B$20*1.02*1.3*1.1+KFC!$C$20)*KFC!$C$5</f>
        <v>119.45934000000003</v>
      </c>
      <c r="I220" s="300">
        <f>(87.2*KFC!$B$20*1.02*1.3*1.1+KFC!$C$20)*KFC!$C$5</f>
        <v>127.18992000000001</v>
      </c>
      <c r="J220" s="300">
        <f>(92.6*KFC!$B$20*1.02*1.3*1.1+KFC!$C$20)*KFC!$C$5</f>
        <v>135.06636</v>
      </c>
      <c r="K220" s="300">
        <f>(97.8*KFC!$B$20*1.02*1.3*1.1+KFC!$C$20)*KFC!$C$5</f>
        <v>142.65108000000004</v>
      </c>
      <c r="L220" s="300">
        <f>(103.2*KFC!$B$20*1.02*1.3*1.1+KFC!$C$20)*KFC!$C$5</f>
        <v>150.52752000000004</v>
      </c>
      <c r="M220" s="300">
        <f>(108.5*KFC!$B$20*1.02*1.3*1.1+KFC!$C$20)*KFC!$C$5</f>
        <v>158.25810000000001</v>
      </c>
      <c r="N220" s="300">
        <f>(113.9*KFC!$B$20*1.02*1.3*1.1+KFC!$C$20)*KFC!$C$5</f>
        <v>166.13454000000004</v>
      </c>
      <c r="O220" s="300">
        <f>(119.1*KFC!$B$20*1.02*1.3*1.1+KFC!$C$20)*KFC!$C$5</f>
        <v>173.71926000000002</v>
      </c>
      <c r="P220" s="300">
        <f>(124.5*KFC!$B$20*1.02*1.3*1.1+KFC!$C$20)*KFC!$C$5</f>
        <v>181.59570000000002</v>
      </c>
      <c r="Q220" s="300">
        <f>(129.8*KFC!$B$20*1.02*1.3*1.1+KFC!$C$20)*KFC!$C$5</f>
        <v>189.32628000000005</v>
      </c>
      <c r="R220" s="300">
        <f>(135.1*KFC!$B$20*1.02*1.3*1.1+KFC!$C$20)*KFC!$C$5</f>
        <v>197.05686</v>
      </c>
      <c r="S220" s="300">
        <f>(140.4*KFC!$B$20*1.02*1.3*1.1+KFC!$C$20)*KFC!$C$5</f>
        <v>204.78744</v>
      </c>
      <c r="T220" s="300">
        <f>(145.8*KFC!$B$20*1.02*1.3*1.1+KFC!$C$20)*KFC!$C$5</f>
        <v>212.66388000000003</v>
      </c>
      <c r="U220" s="300">
        <f>(151.2*KFC!$B$20*1.02*1.3*1.1+KFC!$C$20)*KFC!$C$5</f>
        <v>220.54032000000001</v>
      </c>
      <c r="V220" s="300">
        <f>(156.4*KFC!$B$20*1.02*1.3*1.1+KFC!$C$20)*KFC!$C$5</f>
        <v>228.12504000000007</v>
      </c>
      <c r="W220" s="300">
        <f>(161.8*KFC!$B$20*1.02*1.3*1.1+KFC!$C$20)*KFC!$C$5</f>
        <v>236.00148000000004</v>
      </c>
      <c r="X220" s="300">
        <f>(167.1*KFC!$B$20*1.02*1.3*1.1+KFC!$C$20)*KFC!$C$5</f>
        <v>243.73206000000002</v>
      </c>
      <c r="Y220" s="304">
        <f>(172.4*KFC!$B$20*1.02*1.3*1.1+KFC!$C$20)*KFC!$C$5</f>
        <v>251.46264000000005</v>
      </c>
      <c r="Z220" s="345"/>
      <c r="AA220" s="345"/>
      <c r="AB220" s="345"/>
      <c r="AC220" s="345"/>
    </row>
    <row r="221" spans="1:29">
      <c r="A221" s="1538"/>
      <c r="B221" s="298">
        <v>1.6</v>
      </c>
      <c r="C221" s="303">
        <f>(56.4*KFC!$B$20*1.02*1.3*1.1+KFC!$C$20)*KFC!$C$5</f>
        <v>82.265040000000013</v>
      </c>
      <c r="D221" s="300">
        <f>(62*KFC!$B$20*1.02*1.3*1.1+KFC!$C$20)*KFC!$C$5</f>
        <v>90.433200000000014</v>
      </c>
      <c r="E221" s="300">
        <f>(67.6*KFC!$B$20*1.02*1.3*1.1+KFC!$C$20)*KFC!$C$5</f>
        <v>98.601360000000014</v>
      </c>
      <c r="F221" s="300">
        <f>(73.4*KFC!$B$20*1.02*1.3*1.1+KFC!$C$20)*KFC!$C$5</f>
        <v>107.06124000000003</v>
      </c>
      <c r="G221" s="300">
        <f>(79*KFC!$B$20*1.02*1.3*1.1+KFC!$C$20)*KFC!$C$5</f>
        <v>115.22940000000001</v>
      </c>
      <c r="H221" s="300">
        <f>(84.6*KFC!$B$20*1.02*1.3*1.1+KFC!$C$20)*KFC!$C$5</f>
        <v>123.39756000000001</v>
      </c>
      <c r="I221" s="300">
        <f>(90.3*KFC!$B$20*1.02*1.3*1.1+KFC!$C$20)*KFC!$C$5</f>
        <v>131.71158</v>
      </c>
      <c r="J221" s="300">
        <f>(95.9*KFC!$B$20*1.02*1.3*1.1+KFC!$C$20)*KFC!$C$5</f>
        <v>139.87974000000003</v>
      </c>
      <c r="K221" s="300">
        <f>(101.6*KFC!$B$20*1.02*1.3*1.1+KFC!$C$20)*KFC!$C$5</f>
        <v>148.19376</v>
      </c>
      <c r="L221" s="300">
        <f>(107.3*KFC!$B$20*1.02*1.3*1.1+KFC!$C$20)*KFC!$C$5</f>
        <v>156.50778</v>
      </c>
      <c r="M221" s="300">
        <f>(112.9*KFC!$B$20*1.02*1.3*1.1+KFC!$C$20)*KFC!$C$5</f>
        <v>164.67594</v>
      </c>
      <c r="N221" s="300">
        <f>(118.5*KFC!$B$20*1.02*1.3*1.1+KFC!$C$20)*KFC!$C$5</f>
        <v>172.84410000000003</v>
      </c>
      <c r="O221" s="300">
        <f>(124.1*KFC!$B$20*1.02*1.3*1.1+KFC!$C$20)*KFC!$C$5</f>
        <v>181.01226000000003</v>
      </c>
      <c r="P221" s="300">
        <f>(129.9*KFC!$B$20*1.02*1.3*1.1+KFC!$C$20)*KFC!$C$5</f>
        <v>189.47214000000005</v>
      </c>
      <c r="Q221" s="300">
        <f>(135.5*KFC!$B$20*1.02*1.3*1.1+KFC!$C$20)*KFC!$C$5</f>
        <v>197.64030000000005</v>
      </c>
      <c r="R221" s="300">
        <f>(141.1*KFC!$B$20*1.02*1.3*1.1+KFC!$C$20)*KFC!$C$5</f>
        <v>205.80846000000003</v>
      </c>
      <c r="S221" s="300">
        <f>(146.8*KFC!$B$20*1.02*1.3*1.1+KFC!$C$20)*KFC!$C$5</f>
        <v>214.12248000000005</v>
      </c>
      <c r="T221" s="300">
        <f>(152.4*KFC!$B$20*1.02*1.3*1.1+KFC!$C$20)*KFC!$C$5</f>
        <v>222.29064000000002</v>
      </c>
      <c r="U221" s="300">
        <f>(158.1*KFC!$B$20*1.02*1.3*1.1+KFC!$C$20)*KFC!$C$5</f>
        <v>230.60466000000002</v>
      </c>
      <c r="V221" s="300">
        <f>(163.8*KFC!$B$20*1.02*1.3*1.1+KFC!$C$20)*KFC!$C$5</f>
        <v>238.91868000000005</v>
      </c>
      <c r="W221" s="300">
        <f>(169.4*KFC!$B$20*1.02*1.3*1.1+KFC!$C$20)*KFC!$C$5</f>
        <v>247.08684000000002</v>
      </c>
      <c r="X221" s="300">
        <f>(175*KFC!$B$20*1.02*1.3*1.1+KFC!$C$20)*KFC!$C$5</f>
        <v>255.25500000000002</v>
      </c>
      <c r="Y221" s="304">
        <f>(180.6*KFC!$B$20*1.02*1.3*1.1+KFC!$C$20)*KFC!$C$5</f>
        <v>263.42316</v>
      </c>
      <c r="Z221" s="345"/>
      <c r="AA221" s="345"/>
      <c r="AB221" s="345"/>
      <c r="AC221" s="345"/>
    </row>
    <row r="222" spans="1:29">
      <c r="A222" s="1538"/>
      <c r="B222" s="298">
        <v>1.7</v>
      </c>
      <c r="C222" s="303">
        <f>(57.5*KFC!$B$20*1.02*1.3*1.1+KFC!$C$20)*KFC!$C$5</f>
        <v>83.869500000000016</v>
      </c>
      <c r="D222" s="300">
        <f>(63.5*KFC!$B$20*1.02*1.3*1.1+KFC!$C$20)*KFC!$C$5</f>
        <v>92.621099999999998</v>
      </c>
      <c r="E222" s="300">
        <f>(69.5*KFC!$B$20*1.02*1.3*1.1+KFC!$C$20)*KFC!$C$5</f>
        <v>101.37270000000002</v>
      </c>
      <c r="F222" s="300">
        <f>(75.5*KFC!$B$20*1.02*1.3*1.1+KFC!$C$20)*KFC!$C$5</f>
        <v>110.12430000000002</v>
      </c>
      <c r="G222" s="300">
        <f>(81.5*KFC!$B$20*1.02*1.3*1.1+KFC!$C$20)*KFC!$C$5</f>
        <v>118.87590000000002</v>
      </c>
      <c r="H222" s="300">
        <f>(87.4*KFC!$B$20*1.02*1.3*1.1+KFC!$C$20)*KFC!$C$5</f>
        <v>127.48164000000004</v>
      </c>
      <c r="I222" s="300">
        <f>(93.3*KFC!$B$20*1.02*1.3*1.1+KFC!$C$20)*KFC!$C$5</f>
        <v>136.08738000000002</v>
      </c>
      <c r="J222" s="300">
        <f>(99.3*KFC!$B$20*1.02*1.3*1.1+KFC!$C$20)*KFC!$C$5</f>
        <v>144.83898000000002</v>
      </c>
      <c r="K222" s="300">
        <f>(105.3*KFC!$B$20*1.02*1.3*1.1+KFC!$C$20)*KFC!$C$5</f>
        <v>153.59058000000002</v>
      </c>
      <c r="L222" s="300">
        <f>(111.3*KFC!$B$20*1.02*1.3*1.1+KFC!$C$20)*KFC!$C$5</f>
        <v>162.34218000000001</v>
      </c>
      <c r="M222" s="300">
        <f>(117.3*KFC!$B$20*1.02*1.3*1.1+KFC!$C$20)*KFC!$C$5</f>
        <v>171.09378000000004</v>
      </c>
      <c r="N222" s="300">
        <f>(123.3*KFC!$B$20*1.02*1.3*1.1+KFC!$C$20)*KFC!$C$5</f>
        <v>179.84538000000001</v>
      </c>
      <c r="O222" s="300">
        <f>(129.3*KFC!$B$20*1.02*1.3*1.1+KFC!$C$20)*KFC!$C$5</f>
        <v>188.59698000000006</v>
      </c>
      <c r="P222" s="300">
        <f>(135.1*KFC!$B$20*1.02*1.3*1.1+KFC!$C$20)*KFC!$C$5</f>
        <v>197.05686</v>
      </c>
      <c r="Q222" s="300">
        <f>(141.1*KFC!$B$20*1.02*1.3*1.1+KFC!$C$20)*KFC!$C$5</f>
        <v>205.80846000000003</v>
      </c>
      <c r="R222" s="300">
        <f>(147.1*KFC!$B$20*1.02*1.3*1.1+KFC!$C$20)*KFC!$C$5</f>
        <v>214.56006000000005</v>
      </c>
      <c r="S222" s="300">
        <f>(153.1*KFC!$B$20*1.02*1.3*1.1+KFC!$C$20)*KFC!$C$5</f>
        <v>223.31166000000002</v>
      </c>
      <c r="T222" s="300">
        <f>(159.1*KFC!$B$20*1.02*1.3*1.1+KFC!$C$20)*KFC!$C$5</f>
        <v>232.06326000000004</v>
      </c>
      <c r="U222" s="300">
        <f>(165.1*KFC!$B$20*1.02*1.3*1.1+KFC!$C$20)*KFC!$C$5</f>
        <v>240.81486000000001</v>
      </c>
      <c r="V222" s="300">
        <f>(171.1*KFC!$B$20*1.02*1.3*1.1+KFC!$C$20)*KFC!$C$5</f>
        <v>249.56646000000003</v>
      </c>
      <c r="W222" s="300">
        <f>(177*KFC!$B$20*1.02*1.3*1.1+KFC!$C$20)*KFC!$C$5</f>
        <v>258.17220000000003</v>
      </c>
      <c r="X222" s="300">
        <f>(183*KFC!$B$20*1.02*1.3*1.1+KFC!$C$20)*KFC!$C$5</f>
        <v>266.92380000000003</v>
      </c>
      <c r="Y222" s="304">
        <f>(189*KFC!$B$20*1.02*1.3*1.1+KFC!$C$20)*KFC!$C$5</f>
        <v>275.67540000000002</v>
      </c>
      <c r="Z222" s="345"/>
      <c r="AA222" s="345"/>
      <c r="AB222" s="345"/>
      <c r="AC222" s="345"/>
    </row>
    <row r="223" spans="1:29">
      <c r="A223" s="1538"/>
      <c r="B223" s="298">
        <v>1.8</v>
      </c>
      <c r="C223" s="303">
        <f>(58.6*KFC!$B$20*1.02*1.3*1.1+KFC!$C$20)*KFC!$C$5</f>
        <v>85.473960000000019</v>
      </c>
      <c r="D223" s="300">
        <f>(64.9*KFC!$B$20*1.02*1.3*1.1+KFC!$C$20)*KFC!$C$5</f>
        <v>94.663140000000027</v>
      </c>
      <c r="E223" s="300">
        <f>(71.2*KFC!$B$20*1.02*1.3*1.1+KFC!$C$20)*KFC!$C$5</f>
        <v>103.85232000000003</v>
      </c>
      <c r="F223" s="300">
        <f>(77.5*KFC!$B$20*1.02*1.3*1.1+KFC!$C$20)*KFC!$C$5</f>
        <v>113.04150000000001</v>
      </c>
      <c r="G223" s="300">
        <f>(83.9*KFC!$B$20*1.02*1.3*1.1+KFC!$C$20)*KFC!$C$5</f>
        <v>122.37654000000002</v>
      </c>
      <c r="H223" s="300">
        <f>(90.1*KFC!$B$20*1.02*1.3*1.1+KFC!$C$20)*KFC!$C$5</f>
        <v>131.41986</v>
      </c>
      <c r="I223" s="300">
        <f>(96.5*KFC!$B$20*1.02*1.3*1.1+KFC!$C$20)*KFC!$C$5</f>
        <v>140.75490000000002</v>
      </c>
      <c r="J223" s="300">
        <f>(102.7*KFC!$B$20*1.02*1.3*1.1+KFC!$C$20)*KFC!$C$5</f>
        <v>149.79822000000001</v>
      </c>
      <c r="K223" s="300">
        <f>(109.1*KFC!$B$20*1.02*1.3*1.1+KFC!$C$20)*KFC!$C$5</f>
        <v>159.13326000000001</v>
      </c>
      <c r="L223" s="300">
        <f>(115.3*KFC!$B$20*1.02*1.3*1.1+KFC!$C$20)*KFC!$C$5</f>
        <v>168.17658</v>
      </c>
      <c r="M223" s="300">
        <f>(121.7*KFC!$B$20*1.02*1.3*1.1+KFC!$C$20)*KFC!$C$5</f>
        <v>177.51162000000002</v>
      </c>
      <c r="N223" s="300">
        <f>(127.9*KFC!$B$20*1.02*1.3*1.1+KFC!$C$20)*KFC!$C$5</f>
        <v>186.55494000000002</v>
      </c>
      <c r="O223" s="300">
        <f>(134.3*KFC!$B$20*1.02*1.3*1.1+KFC!$C$20)*KFC!$C$5</f>
        <v>195.88998000000007</v>
      </c>
      <c r="P223" s="300">
        <f>(140.5*KFC!$B$20*1.02*1.3*1.1+KFC!$C$20)*KFC!$C$5</f>
        <v>204.9333</v>
      </c>
      <c r="Q223" s="300">
        <f>(146.9*KFC!$B$20*1.02*1.3*1.1+KFC!$C$20)*KFC!$C$5</f>
        <v>214.26834000000005</v>
      </c>
      <c r="R223" s="300">
        <f>(153.1*KFC!$B$20*1.02*1.3*1.1+KFC!$C$20)*KFC!$C$5</f>
        <v>223.31166000000002</v>
      </c>
      <c r="S223" s="300">
        <f>(159.5*KFC!$B$20*1.02*1.3*1.1+KFC!$C$20)*KFC!$C$5</f>
        <v>232.64670000000004</v>
      </c>
      <c r="T223" s="300">
        <f>(165.7*KFC!$B$20*1.02*1.3*1.1+KFC!$C$20)*KFC!$C$5</f>
        <v>241.69002</v>
      </c>
      <c r="U223" s="300">
        <f>(172.1*KFC!$B$20*1.02*1.3*1.1+KFC!$C$20)*KFC!$C$5</f>
        <v>251.02506000000002</v>
      </c>
      <c r="V223" s="300">
        <f>(178.3*KFC!$B$20*1.02*1.3*1.1+KFC!$C$20)*KFC!$C$5</f>
        <v>260.06838000000005</v>
      </c>
      <c r="W223" s="300">
        <f>(184.7*KFC!$B$20*1.02*1.3*1.1+KFC!$C$20)*KFC!$C$5</f>
        <v>269.40342000000004</v>
      </c>
      <c r="X223" s="300">
        <f>(190.9*KFC!$B$20*1.02*1.3*1.1+KFC!$C$20)*KFC!$C$5</f>
        <v>278.44674000000003</v>
      </c>
      <c r="Y223" s="304">
        <f>(197.3*KFC!$B$20*1.02*1.3*1.1+KFC!$C$20)*KFC!$C$5</f>
        <v>287.78178000000003</v>
      </c>
      <c r="Z223" s="345"/>
      <c r="AA223" s="345"/>
      <c r="AB223" s="345"/>
      <c r="AC223" s="345"/>
    </row>
    <row r="224" spans="1:29">
      <c r="A224" s="1538"/>
      <c r="B224" s="298">
        <v>1.9</v>
      </c>
      <c r="C224" s="303">
        <f>(60.9*KFC!$B$20*1.02*1.3*1.1+KFC!$C$20)*KFC!$C$5</f>
        <v>88.82874000000001</v>
      </c>
      <c r="D224" s="300">
        <f>(67.9*KFC!$B$20*1.02*1.3*1.1+KFC!$C$20)*KFC!$C$5</f>
        <v>99.038940000000025</v>
      </c>
      <c r="E224" s="300">
        <f>(74.8*KFC!$B$20*1.02*1.3*1.1+KFC!$C$20)*KFC!$C$5</f>
        <v>109.10328</v>
      </c>
      <c r="F224" s="300">
        <f>(81.7*KFC!$B$20*1.02*1.3*1.1+KFC!$C$20)*KFC!$C$5</f>
        <v>119.16762000000001</v>
      </c>
      <c r="G224" s="300">
        <f>(88.7*KFC!$B$20*1.02*1.3*1.1+KFC!$C$20)*KFC!$C$5</f>
        <v>129.37782000000001</v>
      </c>
      <c r="H224" s="300">
        <f>(95.6*KFC!$B$20*1.02*1.3*1.1+KFC!$C$20)*KFC!$C$5</f>
        <v>139.44216000000003</v>
      </c>
      <c r="I224" s="300">
        <f>(102.6*KFC!$B$20*1.02*1.3*1.1+KFC!$C$20)*KFC!$C$5</f>
        <v>149.65236000000004</v>
      </c>
      <c r="J224" s="300">
        <f>(109.6*KFC!$B$20*1.02*1.3*1.1+KFC!$C$20)*KFC!$C$5</f>
        <v>159.86256</v>
      </c>
      <c r="K224" s="300">
        <f>(116.6*KFC!$B$20*1.02*1.3*1.1+KFC!$C$20)*KFC!$C$5</f>
        <v>170.07276000000002</v>
      </c>
      <c r="L224" s="300">
        <f>(123.4*KFC!$B$20*1.02*1.3*1.1+KFC!$C$20)*KFC!$C$5</f>
        <v>179.99124000000003</v>
      </c>
      <c r="M224" s="300">
        <f>(130.4*KFC!$B$20*1.02*1.3*1.1+KFC!$C$20)*KFC!$C$5</f>
        <v>190.20144000000002</v>
      </c>
      <c r="N224" s="300">
        <f>(137.3*KFC!$B$20*1.02*1.3*1.1+KFC!$C$20)*KFC!$C$5</f>
        <v>200.26578000000003</v>
      </c>
      <c r="O224" s="300">
        <f>(144.3*KFC!$B$20*1.02*1.3*1.1+KFC!$C$20)*KFC!$C$5</f>
        <v>210.47598000000002</v>
      </c>
      <c r="P224" s="300">
        <f>(151.3*KFC!$B$20*1.02*1.3*1.1+KFC!$C$20)*KFC!$C$5</f>
        <v>220.68618000000006</v>
      </c>
      <c r="Q224" s="300">
        <f>(158.3*KFC!$B$20*1.02*1.3*1.1+KFC!$C$20)*KFC!$C$5</f>
        <v>230.89638000000005</v>
      </c>
      <c r="R224" s="300">
        <f>(165.1*KFC!$B$20*1.02*1.3*1.1+KFC!$C$20)*KFC!$C$5</f>
        <v>240.81486000000001</v>
      </c>
      <c r="S224" s="300">
        <f>(172.1*KFC!$B$20*1.02*1.3*1.1+KFC!$C$20)*KFC!$C$5</f>
        <v>251.02506000000002</v>
      </c>
      <c r="T224" s="300">
        <f>(179*KFC!$B$20*1.02*1.3*1.1+KFC!$C$20)*KFC!$C$5</f>
        <v>261.08940000000001</v>
      </c>
      <c r="U224" s="300">
        <f>(186*KFC!$B$20*1.02*1.3*1.1+KFC!$C$20)*KFC!$C$5</f>
        <v>271.2996</v>
      </c>
      <c r="V224" s="300">
        <f>(193*KFC!$B$20*1.02*1.3*1.1+KFC!$C$20)*KFC!$C$5</f>
        <v>281.50980000000004</v>
      </c>
      <c r="W224" s="300">
        <f>(200*KFC!$B$20*1.02*1.3*1.1+KFC!$C$20)*KFC!$C$5</f>
        <v>291.72000000000003</v>
      </c>
      <c r="X224" s="300">
        <f>(206.8*KFC!$B$20*1.02*1.3*1.1+KFC!$C$20)*KFC!$C$5</f>
        <v>301.63848000000007</v>
      </c>
      <c r="Y224" s="304">
        <f>(213.8*KFC!$B$20*1.02*1.3*1.1+KFC!$C$20)*KFC!$C$5</f>
        <v>311.84868000000006</v>
      </c>
      <c r="Z224" s="345"/>
      <c r="AA224" s="345"/>
      <c r="AB224" s="345"/>
      <c r="AC224" s="345"/>
    </row>
    <row r="225" spans="1:29">
      <c r="A225" s="1538"/>
      <c r="B225" s="298">
        <v>2</v>
      </c>
      <c r="C225" s="303">
        <f>(62*KFC!$B$20*1.02*1.3*1.1+KFC!$C$20)*KFC!$C$5</f>
        <v>90.433200000000014</v>
      </c>
      <c r="D225" s="300">
        <f>(69.3*KFC!$B$20*1.02*1.3*1.1+KFC!$C$20)*KFC!$C$5</f>
        <v>101.08098</v>
      </c>
      <c r="E225" s="300">
        <f>(76.6*KFC!$B$20*1.02*1.3*1.1+KFC!$C$20)*KFC!$C$5</f>
        <v>111.72875999999999</v>
      </c>
      <c r="F225" s="300">
        <f>(83.9*KFC!$B$20*1.02*1.3*1.1+KFC!$C$20)*KFC!$C$5</f>
        <v>122.37654000000002</v>
      </c>
      <c r="G225" s="300">
        <f>(91.1*KFC!$B$20*1.02*1.3*1.1+KFC!$C$20)*KFC!$C$5</f>
        <v>132.87845999999999</v>
      </c>
      <c r="H225" s="300">
        <f>(98.5*KFC!$B$20*1.02*1.3*1.1+KFC!$C$20)*KFC!$C$5</f>
        <v>143.6721</v>
      </c>
      <c r="I225" s="300">
        <f>(105.7*KFC!$B$20*1.02*1.3*1.1+KFC!$C$20)*KFC!$C$5</f>
        <v>154.17402000000004</v>
      </c>
      <c r="J225" s="300">
        <f>(113*KFC!$B$20*1.02*1.3*1.1+KFC!$C$20)*KFC!$C$5</f>
        <v>164.82180000000002</v>
      </c>
      <c r="K225" s="300">
        <f>(120.2*KFC!$B$20*1.02*1.3*1.1+KFC!$C$20)*KFC!$C$5</f>
        <v>175.32372000000001</v>
      </c>
      <c r="L225" s="300">
        <f>(127.6*KFC!$B$20*1.02*1.3*1.1+KFC!$C$20)*KFC!$C$5</f>
        <v>186.11736000000002</v>
      </c>
      <c r="M225" s="300">
        <f>(134.8*KFC!$B$20*1.02*1.3*1.1+KFC!$C$20)*KFC!$C$5</f>
        <v>196.61928000000003</v>
      </c>
      <c r="N225" s="300">
        <f>(142.1*KFC!$B$20*1.02*1.3*1.1+KFC!$C$20)*KFC!$C$5</f>
        <v>207.26706000000004</v>
      </c>
      <c r="O225" s="300">
        <f>(149.3*KFC!$B$20*1.02*1.3*1.1+KFC!$C$20)*KFC!$C$5</f>
        <v>217.76898000000003</v>
      </c>
      <c r="P225" s="300">
        <f>(156.7*KFC!$B$20*1.02*1.3*1.1+KFC!$C$20)*KFC!$C$5</f>
        <v>228.56262000000001</v>
      </c>
      <c r="Q225" s="300">
        <f>(163.9*KFC!$B$20*1.02*1.3*1.1+KFC!$C$20)*KFC!$C$5</f>
        <v>239.06454000000002</v>
      </c>
      <c r="R225" s="300">
        <f>(171.2*KFC!$B$20*1.02*1.3*1.1+KFC!$C$20)*KFC!$C$5</f>
        <v>249.71232000000003</v>
      </c>
      <c r="S225" s="300">
        <f>(178.4*KFC!$B$20*1.02*1.3*1.1+KFC!$C$20)*KFC!$C$5</f>
        <v>260.21424000000007</v>
      </c>
      <c r="T225" s="300">
        <f>(185.8*KFC!$B$20*1.02*1.3*1.1+KFC!$C$20)*KFC!$C$5</f>
        <v>271.00788000000006</v>
      </c>
      <c r="U225" s="300">
        <f>(193*KFC!$B$20*1.02*1.3*1.1+KFC!$C$20)*KFC!$C$5</f>
        <v>281.50980000000004</v>
      </c>
      <c r="V225" s="300">
        <f>(200.3*KFC!$B$20*1.02*1.3*1.1+KFC!$C$20)*KFC!$C$5</f>
        <v>292.15758000000005</v>
      </c>
      <c r="W225" s="300">
        <f>(207.5*KFC!$B$20*1.02*1.3*1.1+KFC!$C$20)*KFC!$C$5</f>
        <v>302.65950000000009</v>
      </c>
      <c r="X225" s="300">
        <f>(214.9*KFC!$B$20*1.02*1.3*1.1+KFC!$C$20)*KFC!$C$5</f>
        <v>313.45314000000002</v>
      </c>
      <c r="Y225" s="304">
        <f>(222.1*KFC!$B$20*1.02*1.3*1.1+KFC!$C$20)*KFC!$C$5</f>
        <v>323.95506000000006</v>
      </c>
      <c r="Z225" s="345"/>
      <c r="AA225" s="345"/>
      <c r="AB225" s="345"/>
      <c r="AC225" s="345"/>
    </row>
    <row r="226" spans="1:29">
      <c r="A226" s="1538"/>
      <c r="B226" s="298">
        <v>2.1</v>
      </c>
      <c r="C226" s="303">
        <f>(63.1*KFC!$B$20*1.02*1.3*1.1+KFC!$C$20)*KFC!$C$5</f>
        <v>92.037660000000031</v>
      </c>
      <c r="D226" s="300">
        <f>(70.7*KFC!$B$20*1.02*1.3*1.1+KFC!$C$20)*KFC!$C$5</f>
        <v>103.12302000000003</v>
      </c>
      <c r="E226" s="300">
        <f>(78.4*KFC!$B$20*1.02*1.3*1.1+KFC!$C$20)*KFC!$C$5</f>
        <v>114.35424000000002</v>
      </c>
      <c r="F226" s="300">
        <f>(86*KFC!$B$20*1.02*1.3*1.1+KFC!$C$20)*KFC!$C$5</f>
        <v>125.43960000000001</v>
      </c>
      <c r="G226" s="300">
        <f>(93.6*KFC!$B$20*1.02*1.3*1.1+KFC!$C$20)*KFC!$C$5</f>
        <v>136.52495999999999</v>
      </c>
      <c r="H226" s="300">
        <f>(101.1*KFC!$B$20*1.02*1.3*1.1+KFC!$C$20)*KFC!$C$5</f>
        <v>147.46446000000003</v>
      </c>
      <c r="I226" s="300">
        <f>(108.7*KFC!$B$20*1.02*1.3*1.1+KFC!$C$20)*KFC!$C$5</f>
        <v>158.54982000000004</v>
      </c>
      <c r="J226" s="300">
        <f>(116.3*KFC!$B$20*1.02*1.3*1.1+KFC!$C$20)*KFC!$C$5</f>
        <v>169.63518000000005</v>
      </c>
      <c r="K226" s="300">
        <f>(124*KFC!$B$20*1.02*1.3*1.1+KFC!$C$20)*KFC!$C$5</f>
        <v>180.86640000000003</v>
      </c>
      <c r="L226" s="300">
        <f>(131.6*KFC!$B$20*1.02*1.3*1.1+KFC!$C$20)*KFC!$C$5</f>
        <v>191.95176000000001</v>
      </c>
      <c r="M226" s="300">
        <f>(139.2*KFC!$B$20*1.02*1.3*1.1+KFC!$C$20)*KFC!$C$5</f>
        <v>203.03711999999999</v>
      </c>
      <c r="N226" s="300">
        <f>(146.8*KFC!$B$20*1.02*1.3*1.1+KFC!$C$20)*KFC!$C$5</f>
        <v>214.12248000000005</v>
      </c>
      <c r="O226" s="300">
        <f>(154.3*KFC!$B$20*1.02*1.3*1.1+KFC!$C$20)*KFC!$C$5</f>
        <v>225.06198000000003</v>
      </c>
      <c r="P226" s="300">
        <f>(161.9*KFC!$B$20*1.02*1.3*1.1+KFC!$C$20)*KFC!$C$5</f>
        <v>236.14734000000004</v>
      </c>
      <c r="Q226" s="300">
        <f>(169.5*KFC!$B$20*1.02*1.3*1.1+KFC!$C$20)*KFC!$C$5</f>
        <v>247.23270000000005</v>
      </c>
      <c r="R226" s="300">
        <f>(177.2*KFC!$B$20*1.02*1.3*1.1+KFC!$C$20)*KFC!$C$5</f>
        <v>258.46392000000003</v>
      </c>
      <c r="S226" s="300">
        <f>(184.8*KFC!$B$20*1.02*1.3*1.1+KFC!$C$20)*KFC!$C$5</f>
        <v>269.54928000000001</v>
      </c>
      <c r="T226" s="300">
        <f>(192.4*KFC!$B$20*1.02*1.3*1.1+KFC!$C$20)*KFC!$C$5</f>
        <v>280.63464000000005</v>
      </c>
      <c r="U226" s="300">
        <f>(200*KFC!$B$20*1.02*1.3*1.1+KFC!$C$20)*KFC!$C$5</f>
        <v>291.72000000000003</v>
      </c>
      <c r="V226" s="300">
        <f>(207.5*KFC!$B$20*1.02*1.3*1.1+KFC!$C$20)*KFC!$C$5</f>
        <v>302.65950000000009</v>
      </c>
      <c r="W226" s="300">
        <f>(215.1*KFC!$B$20*1.02*1.3*1.1+KFC!$C$20)*KFC!$C$5</f>
        <v>313.74486000000002</v>
      </c>
      <c r="X226" s="300">
        <f>(222.8*KFC!$B$20*1.02*1.3*1.1+KFC!$C$20)*KFC!$C$5</f>
        <v>324.97608000000008</v>
      </c>
      <c r="Y226" s="304">
        <f>(230.4*KFC!$B$20*1.02*1.3*1.1+KFC!$C$20)*KFC!$C$5</f>
        <v>336.06144</v>
      </c>
      <c r="Z226" s="345"/>
      <c r="AA226" s="345"/>
      <c r="AB226" s="345"/>
      <c r="AC226" s="345"/>
    </row>
    <row r="227" spans="1:29">
      <c r="A227" s="1538"/>
      <c r="B227" s="298">
        <v>2.2000000000000002</v>
      </c>
      <c r="C227" s="303">
        <f>(64.2*KFC!$B$20*1.02*1.3*1.1+KFC!$C$20)*KFC!$C$5</f>
        <v>93.64212000000002</v>
      </c>
      <c r="D227" s="300">
        <f>(72.2*KFC!$B$20*1.02*1.3*1.1+KFC!$C$20)*KFC!$C$5</f>
        <v>105.31092000000002</v>
      </c>
      <c r="E227" s="300">
        <f>(80.1*KFC!$B$20*1.02*1.3*1.1+KFC!$C$20)*KFC!$C$5</f>
        <v>116.83386</v>
      </c>
      <c r="F227" s="300">
        <f>(88.1*KFC!$B$20*1.02*1.3*1.1+KFC!$C$20)*KFC!$C$5</f>
        <v>128.50266000000002</v>
      </c>
      <c r="G227" s="300">
        <f>(96*KFC!$B$20*1.02*1.3*1.1+KFC!$C$20)*KFC!$C$5</f>
        <v>140.02560000000003</v>
      </c>
      <c r="H227" s="300">
        <f>(104*KFC!$B$20*1.02*1.3*1.1+KFC!$C$20)*KFC!$C$5</f>
        <v>151.6944</v>
      </c>
      <c r="I227" s="300">
        <f>(111.8*KFC!$B$20*1.02*1.3*1.1+KFC!$C$20)*KFC!$C$5</f>
        <v>163.07148000000001</v>
      </c>
      <c r="J227" s="300">
        <f>(119.7*KFC!$B$20*1.02*1.3*1.1+KFC!$C$20)*KFC!$C$5</f>
        <v>174.59442000000004</v>
      </c>
      <c r="K227" s="300">
        <f>(127.7*KFC!$B$20*1.02*1.3*1.1+KFC!$C$20)*KFC!$C$5</f>
        <v>186.26322000000005</v>
      </c>
      <c r="L227" s="300">
        <f>(135.6*KFC!$B$20*1.02*1.3*1.1+KFC!$C$20)*KFC!$C$5</f>
        <v>197.78616000000002</v>
      </c>
      <c r="M227" s="300">
        <f>(143.6*KFC!$B$20*1.02*1.3*1.1+KFC!$C$20)*KFC!$C$5</f>
        <v>209.45496000000006</v>
      </c>
      <c r="N227" s="300">
        <f>(151.4*KFC!$B$20*1.02*1.3*1.1+KFC!$C$20)*KFC!$C$5</f>
        <v>220.83204000000003</v>
      </c>
      <c r="O227" s="300">
        <f>(159.4*KFC!$B$20*1.02*1.3*1.1+KFC!$C$20)*KFC!$C$5</f>
        <v>232.50084000000007</v>
      </c>
      <c r="P227" s="300">
        <f>(167.3*KFC!$B$20*1.02*1.3*1.1+KFC!$C$20)*KFC!$C$5</f>
        <v>244.02378000000004</v>
      </c>
      <c r="Q227" s="300">
        <f>(175.3*KFC!$B$20*1.02*1.3*1.1+KFC!$C$20)*KFC!$C$5</f>
        <v>255.69258000000005</v>
      </c>
      <c r="R227" s="300">
        <f>(183.2*KFC!$B$20*1.02*1.3*1.1+KFC!$C$20)*KFC!$C$5</f>
        <v>267.21552000000003</v>
      </c>
      <c r="S227" s="300">
        <f>(191.2*KFC!$B$20*1.02*1.3*1.1+KFC!$C$20)*KFC!$C$5</f>
        <v>278.88432000000006</v>
      </c>
      <c r="T227" s="300">
        <f>(199*KFC!$B$20*1.02*1.3*1.1+KFC!$C$20)*KFC!$C$5</f>
        <v>290.26140000000004</v>
      </c>
      <c r="U227" s="300">
        <f>(206.9*KFC!$B$20*1.02*1.3*1.1+KFC!$C$20)*KFC!$C$5</f>
        <v>301.78434000000004</v>
      </c>
      <c r="V227" s="300">
        <f>(214.9*KFC!$B$20*1.02*1.3*1.1+KFC!$C$20)*KFC!$C$5</f>
        <v>313.45314000000002</v>
      </c>
      <c r="W227" s="300">
        <f>(222.8*KFC!$B$20*1.02*1.3*1.1+KFC!$C$20)*KFC!$C$5</f>
        <v>324.97608000000008</v>
      </c>
      <c r="X227" s="300">
        <f>(230.8*KFC!$B$20*1.02*1.3*1.1+KFC!$C$20)*KFC!$C$5</f>
        <v>336.64488000000006</v>
      </c>
      <c r="Y227" s="304">
        <f>(238.7*KFC!$B$20*1.02*1.3*1.1+KFC!$C$20)*KFC!$C$5</f>
        <v>348.16782000000001</v>
      </c>
      <c r="Z227" s="345"/>
      <c r="AA227" s="345"/>
      <c r="AB227" s="345"/>
      <c r="AC227" s="345"/>
    </row>
    <row r="228" spans="1:29">
      <c r="A228" s="1538"/>
      <c r="B228" s="298">
        <v>2.2999999999999998</v>
      </c>
      <c r="C228" s="303">
        <f>(65.4*KFC!$B$20*1.02*1.3*1.1+KFC!$C$20)*KFC!$C$5</f>
        <v>95.392440000000036</v>
      </c>
      <c r="D228" s="300">
        <f>(73.6*KFC!$B$20*1.02*1.3*1.1+KFC!$C$20)*KFC!$C$5</f>
        <v>107.35296000000001</v>
      </c>
      <c r="E228" s="300">
        <f>(81.9*KFC!$B$20*1.02*1.3*1.1+KFC!$C$20)*KFC!$C$5</f>
        <v>119.45934000000003</v>
      </c>
      <c r="F228" s="300">
        <f>(90.1*KFC!$B$20*1.02*1.3*1.1+KFC!$C$20)*KFC!$C$5</f>
        <v>131.41986</v>
      </c>
      <c r="G228" s="300">
        <f>(98.5*KFC!$B$20*1.02*1.3*1.1+KFC!$C$20)*KFC!$C$5</f>
        <v>143.6721</v>
      </c>
      <c r="H228" s="300">
        <f>(106.6*KFC!$B$20*1.02*1.3*1.1+KFC!$C$20)*KFC!$C$5</f>
        <v>155.48676</v>
      </c>
      <c r="I228" s="300">
        <f>(115*KFC!$B$20*1.02*1.3*1.1+KFC!$C$20)*KFC!$C$5</f>
        <v>167.73900000000003</v>
      </c>
      <c r="J228" s="300">
        <f>(123.2*KFC!$B$20*1.02*1.3*1.1+KFC!$C$20)*KFC!$C$5</f>
        <v>179.69952000000004</v>
      </c>
      <c r="K228" s="300">
        <f>(131.4*KFC!$B$20*1.02*1.3*1.1+KFC!$C$20)*KFC!$C$5</f>
        <v>191.66004000000004</v>
      </c>
      <c r="L228" s="300">
        <f>(139.7*KFC!$B$20*1.02*1.3*1.1+KFC!$C$20)*KFC!$C$5</f>
        <v>203.76642000000001</v>
      </c>
      <c r="M228" s="300">
        <f>(147.9*KFC!$B$20*1.02*1.3*1.1+KFC!$C$20)*KFC!$C$5</f>
        <v>215.72694000000004</v>
      </c>
      <c r="N228" s="300">
        <f>(156.2*KFC!$B$20*1.02*1.3*1.1+KFC!$C$20)*KFC!$C$5</f>
        <v>227.83332000000001</v>
      </c>
      <c r="O228" s="300">
        <f>(164.4*KFC!$B$20*1.02*1.3*1.1+KFC!$C$20)*KFC!$C$5</f>
        <v>239.79384000000007</v>
      </c>
      <c r="P228" s="300">
        <f>(172.7*KFC!$B$20*1.02*1.3*1.1+KFC!$C$20)*KFC!$C$5</f>
        <v>251.90022000000002</v>
      </c>
      <c r="Q228" s="300">
        <f>(180.9*KFC!$B$20*1.02*1.3*1.1+KFC!$C$20)*KFC!$C$5</f>
        <v>263.86074000000002</v>
      </c>
      <c r="R228" s="300">
        <f>(189.2*KFC!$B$20*1.02*1.3*1.1+KFC!$C$20)*KFC!$C$5</f>
        <v>275.96712000000002</v>
      </c>
      <c r="S228" s="300">
        <f>(197.4*KFC!$B$20*1.02*1.3*1.1+KFC!$C$20)*KFC!$C$5</f>
        <v>287.92764000000005</v>
      </c>
      <c r="T228" s="300">
        <f>(205.7*KFC!$B$20*1.02*1.3*1.1+KFC!$C$20)*KFC!$C$5</f>
        <v>300.03402</v>
      </c>
      <c r="U228" s="300">
        <f>(213.9*KFC!$B$20*1.02*1.3*1.1+KFC!$C$20)*KFC!$C$5</f>
        <v>311.99454000000003</v>
      </c>
      <c r="V228" s="300">
        <f>(222.2*KFC!$B$20*1.02*1.3*1.1+KFC!$C$20)*KFC!$C$5</f>
        <v>324.10092000000003</v>
      </c>
      <c r="W228" s="300">
        <f>(230.4*KFC!$B$20*1.02*1.3*1.1+KFC!$C$20)*KFC!$C$5</f>
        <v>336.06144</v>
      </c>
      <c r="X228" s="300">
        <f>(238.7*KFC!$B$20*1.02*1.3*1.1+KFC!$C$20)*KFC!$C$5</f>
        <v>348.16782000000001</v>
      </c>
      <c r="Y228" s="304">
        <f>(246.9*KFC!$B$20*1.02*1.3*1.1+KFC!$C$20)*KFC!$C$5</f>
        <v>360.12834000000004</v>
      </c>
      <c r="Z228" s="345"/>
      <c r="AA228" s="345"/>
      <c r="AB228" s="345"/>
      <c r="AC228" s="345"/>
    </row>
    <row r="229" spans="1:29">
      <c r="A229" s="1538"/>
      <c r="B229" s="298">
        <v>2.4</v>
      </c>
      <c r="C229" s="303">
        <f>(66.5*KFC!$B$20*1.02*1.3*1.1+KFC!$C$20)*KFC!$C$5</f>
        <v>96.996900000000011</v>
      </c>
      <c r="D229" s="300">
        <f>(75.1*KFC!$B$20*1.02*1.3*1.1+KFC!$C$20)*KFC!$C$5</f>
        <v>109.54086</v>
      </c>
      <c r="E229" s="300">
        <f>(83.7*KFC!$B$20*1.02*1.3*1.1+KFC!$C$20)*KFC!$C$5</f>
        <v>122.08482000000002</v>
      </c>
      <c r="F229" s="300">
        <f>(92.2*KFC!$B$20*1.02*1.3*1.1+KFC!$C$20)*KFC!$C$5</f>
        <v>134.48292000000004</v>
      </c>
      <c r="G229" s="300">
        <f>(100.8*KFC!$B$20*1.02*1.3*1.1+KFC!$C$20)*KFC!$C$5</f>
        <v>147.02688000000001</v>
      </c>
      <c r="H229" s="300">
        <f>(109.5*KFC!$B$20*1.02*1.3*1.1+KFC!$C$20)*KFC!$C$5</f>
        <v>159.7167</v>
      </c>
      <c r="I229" s="300">
        <f>(118*KFC!$B$20*1.02*1.3*1.1+KFC!$C$20)*KFC!$C$5</f>
        <v>172.11480000000003</v>
      </c>
      <c r="J229" s="300">
        <f>(126.6*KFC!$B$20*1.02*1.3*1.1+KFC!$C$20)*KFC!$C$5</f>
        <v>184.65876000000003</v>
      </c>
      <c r="K229" s="300">
        <f>(135.1*KFC!$B$20*1.02*1.3*1.1+KFC!$C$20)*KFC!$C$5</f>
        <v>197.05686</v>
      </c>
      <c r="L229" s="300">
        <f>(143.7*KFC!$B$20*1.02*1.3*1.1+KFC!$C$20)*KFC!$C$5</f>
        <v>209.60082000000003</v>
      </c>
      <c r="M229" s="300">
        <f>(152.3*KFC!$B$20*1.02*1.3*1.1+KFC!$C$20)*KFC!$C$5</f>
        <v>222.14478000000003</v>
      </c>
      <c r="N229" s="300">
        <f>(160.8*KFC!$B$20*1.02*1.3*1.1+KFC!$C$20)*KFC!$C$5</f>
        <v>234.54288000000005</v>
      </c>
      <c r="O229" s="300">
        <f>(169.5*KFC!$B$20*1.02*1.3*1.1+KFC!$C$20)*KFC!$C$5</f>
        <v>247.23270000000005</v>
      </c>
      <c r="P229" s="300">
        <f>(178.1*KFC!$B$20*1.02*1.3*1.1+KFC!$C$20)*KFC!$C$5</f>
        <v>259.77666000000005</v>
      </c>
      <c r="Q229" s="300">
        <f>(186.6*KFC!$B$20*1.02*1.3*1.1+KFC!$C$20)*KFC!$C$5</f>
        <v>272.17476000000005</v>
      </c>
      <c r="R229" s="300">
        <f>(195.2*KFC!$B$20*1.02*1.3*1.1+KFC!$C$20)*KFC!$C$5</f>
        <v>284.71872000000002</v>
      </c>
      <c r="S229" s="300">
        <f>(203.8*KFC!$B$20*1.02*1.3*1.1+KFC!$C$20)*KFC!$C$5</f>
        <v>297.26268000000005</v>
      </c>
      <c r="T229" s="300">
        <f>(212.3*KFC!$B$20*1.02*1.3*1.1+KFC!$C$20)*KFC!$C$5</f>
        <v>309.66078000000005</v>
      </c>
      <c r="U229" s="300">
        <f>(220.9*KFC!$B$20*1.02*1.3*1.1+KFC!$C$20)*KFC!$C$5</f>
        <v>322.20474000000007</v>
      </c>
      <c r="V229" s="300">
        <f>(229.6*KFC!$B$20*1.02*1.3*1.1+KFC!$C$20)*KFC!$C$5</f>
        <v>334.89456000000007</v>
      </c>
      <c r="W229" s="300">
        <f>(238.1*KFC!$B$20*1.02*1.3*1.1+KFC!$C$20)*KFC!$C$5</f>
        <v>347.29266000000001</v>
      </c>
      <c r="X229" s="300">
        <f>(246.7*KFC!$B$20*1.02*1.3*1.1+KFC!$C$20)*KFC!$C$5</f>
        <v>359.83661999999998</v>
      </c>
      <c r="Y229" s="304">
        <f>(255.2*KFC!$B$20*1.02*1.3*1.1+KFC!$C$20)*KFC!$C$5</f>
        <v>372.23472000000004</v>
      </c>
      <c r="Z229" s="345"/>
      <c r="AA229" s="345"/>
      <c r="AB229" s="345"/>
      <c r="AC229" s="345"/>
    </row>
    <row r="230" spans="1:29">
      <c r="A230" s="1538"/>
      <c r="B230" s="298">
        <v>2.5</v>
      </c>
      <c r="C230" s="303">
        <f>(67.6*KFC!$B$20*1.02*1.3*1.1+KFC!$C$20)*KFC!$C$5</f>
        <v>98.601360000000014</v>
      </c>
      <c r="D230" s="300">
        <f>(76.6*KFC!$B$20*1.02*1.3*1.1+KFC!$C$20)*KFC!$C$5</f>
        <v>111.72875999999999</v>
      </c>
      <c r="E230" s="300">
        <f>(85.5*KFC!$B$20*1.02*1.3*1.1+KFC!$C$20)*KFC!$C$5</f>
        <v>124.71030000000003</v>
      </c>
      <c r="F230" s="300">
        <f>(94.3*KFC!$B$20*1.02*1.3*1.1+KFC!$C$20)*KFC!$C$5</f>
        <v>137.54598000000001</v>
      </c>
      <c r="G230" s="300">
        <f>(103.2*KFC!$B$20*1.02*1.3*1.1+KFC!$C$20)*KFC!$C$5</f>
        <v>150.52752000000004</v>
      </c>
      <c r="H230" s="300">
        <f>(112.1*KFC!$B$20*1.02*1.3*1.1+KFC!$C$20)*KFC!$C$5</f>
        <v>163.50906000000001</v>
      </c>
      <c r="I230" s="300">
        <f>(121.1*KFC!$B$20*1.02*1.3*1.1+KFC!$C$20)*KFC!$C$5</f>
        <v>176.63646</v>
      </c>
      <c r="J230" s="300">
        <f>(130*KFC!$B$20*1.02*1.3*1.1+KFC!$C$20)*KFC!$C$5</f>
        <v>189.61800000000002</v>
      </c>
      <c r="K230" s="300">
        <f>(138.8*KFC!$B$20*1.02*1.3*1.1+KFC!$C$20)*KFC!$C$5</f>
        <v>202.45368000000005</v>
      </c>
      <c r="L230" s="300">
        <f>(147.7*KFC!$B$20*1.02*1.3*1.1+KFC!$C$20)*KFC!$C$5</f>
        <v>215.43522000000002</v>
      </c>
      <c r="M230" s="300">
        <f>(156.7*KFC!$B$20*1.02*1.3*1.1+KFC!$C$20)*KFC!$C$5</f>
        <v>228.56262000000001</v>
      </c>
      <c r="N230" s="300">
        <f>(165.6*KFC!$B$20*1.02*1.3*1.1+KFC!$C$20)*KFC!$C$5</f>
        <v>241.54416000000006</v>
      </c>
      <c r="O230" s="300">
        <f>(174.5*KFC!$B$20*1.02*1.3*1.1+KFC!$C$20)*KFC!$C$5</f>
        <v>254.52570000000006</v>
      </c>
      <c r="P230" s="300">
        <f>(183.3*KFC!$B$20*1.02*1.3*1.1+KFC!$C$20)*KFC!$C$5</f>
        <v>267.36138000000005</v>
      </c>
      <c r="Q230" s="300">
        <f>(192.3*KFC!$B$20*1.02*1.3*1.1+KFC!$C$20)*KFC!$C$5</f>
        <v>280.48878000000008</v>
      </c>
      <c r="R230" s="300">
        <f>(201.2*KFC!$B$20*1.02*1.3*1.1+KFC!$C$20)*KFC!$C$5</f>
        <v>293.47032000000002</v>
      </c>
      <c r="S230" s="300">
        <f>(210.1*KFC!$B$20*1.02*1.3*1.1+KFC!$C$20)*KFC!$C$5</f>
        <v>306.45186000000001</v>
      </c>
      <c r="T230" s="300">
        <f>(219*KFC!$B$20*1.02*1.3*1.1+KFC!$C$20)*KFC!$C$5</f>
        <v>319.43340000000001</v>
      </c>
      <c r="U230" s="300">
        <f>(227.8*KFC!$B$20*1.02*1.3*1.1+KFC!$C$20)*KFC!$C$5</f>
        <v>332.26908000000009</v>
      </c>
      <c r="V230" s="300">
        <f>(236.8*KFC!$B$20*1.02*1.3*1.1+KFC!$C$20)*KFC!$C$5</f>
        <v>345.39648000000011</v>
      </c>
      <c r="W230" s="300">
        <f>(245.7*KFC!$B$20*1.02*1.3*1.1+KFC!$C$20)*KFC!$C$5</f>
        <v>358.37802000000005</v>
      </c>
      <c r="X230" s="300">
        <f>(254.6*KFC!$B$20*1.02*1.3*1.1+KFC!$C$20)*KFC!$C$5</f>
        <v>371.35956000000004</v>
      </c>
      <c r="Y230" s="304">
        <f>(263.6*KFC!$B$20*1.02*1.3*1.1+KFC!$C$20)*KFC!$C$5</f>
        <v>384.48696000000007</v>
      </c>
      <c r="Z230" s="345"/>
      <c r="AA230" s="345"/>
      <c r="AB230" s="345"/>
      <c r="AC230" s="345"/>
    </row>
    <row r="231" spans="1:29">
      <c r="A231" s="1538"/>
      <c r="B231" s="298">
        <v>2.6</v>
      </c>
      <c r="C231" s="303">
        <f>(68.7*KFC!$B$20*1.02*1.3*1.1+KFC!$C$20)*KFC!$C$5</f>
        <v>100.20582</v>
      </c>
      <c r="D231" s="300">
        <f>(78*KFC!$B$20*1.02*1.3*1.1+KFC!$C$20)*KFC!$C$5</f>
        <v>113.77080000000002</v>
      </c>
      <c r="E231" s="300">
        <f>(87.2*KFC!$B$20*1.02*1.3*1.1+KFC!$C$20)*KFC!$C$5</f>
        <v>127.18992000000001</v>
      </c>
      <c r="F231" s="300">
        <f>(96.5*KFC!$B$20*1.02*1.3*1.1+KFC!$C$20)*KFC!$C$5</f>
        <v>140.75490000000002</v>
      </c>
      <c r="G231" s="300">
        <f>(105.7*KFC!$B$20*1.02*1.3*1.1+KFC!$C$20)*KFC!$C$5</f>
        <v>154.17402000000004</v>
      </c>
      <c r="H231" s="300">
        <f>(115*KFC!$B$20*1.02*1.3*1.1+KFC!$C$20)*KFC!$C$5</f>
        <v>167.73900000000003</v>
      </c>
      <c r="I231" s="300">
        <f>(124.1*KFC!$B$20*1.02*1.3*1.1+KFC!$C$20)*KFC!$C$5</f>
        <v>181.01226000000003</v>
      </c>
      <c r="J231" s="300">
        <f>(133.3*KFC!$B$20*1.02*1.3*1.1+KFC!$C$20)*KFC!$C$5</f>
        <v>194.43138000000005</v>
      </c>
      <c r="K231" s="300">
        <f>(142.6*KFC!$B$20*1.02*1.3*1.1+KFC!$C$20)*KFC!$C$5</f>
        <v>207.99636000000004</v>
      </c>
      <c r="L231" s="300">
        <f>(151.8*KFC!$B$20*1.02*1.3*1.1+KFC!$C$20)*KFC!$C$5</f>
        <v>221.41548000000006</v>
      </c>
      <c r="M231" s="300">
        <f>(161.1*KFC!$B$20*1.02*1.3*1.1+KFC!$C$20)*KFC!$C$5</f>
        <v>234.98046000000002</v>
      </c>
      <c r="N231" s="300">
        <f>(170.2*KFC!$B$20*1.02*1.3*1.1+KFC!$C$20)*KFC!$C$5</f>
        <v>248.25371999999999</v>
      </c>
      <c r="O231" s="300">
        <f>(179.5*KFC!$B$20*1.02*1.3*1.1+KFC!$C$20)*KFC!$C$5</f>
        <v>261.81870000000004</v>
      </c>
      <c r="P231" s="300">
        <f>(188.7*KFC!$B$20*1.02*1.3*1.1+KFC!$C$20)*KFC!$C$5</f>
        <v>275.23782</v>
      </c>
      <c r="Q231" s="300">
        <f>(198*KFC!$B$20*1.02*1.3*1.1+KFC!$C$20)*KFC!$C$5</f>
        <v>288.80280000000005</v>
      </c>
      <c r="R231" s="300">
        <f>(207.2*KFC!$B$20*1.02*1.3*1.1+KFC!$C$20)*KFC!$C$5</f>
        <v>302.22192000000007</v>
      </c>
      <c r="S231" s="300">
        <f>(216.5*KFC!$B$20*1.02*1.3*1.1+KFC!$C$20)*KFC!$C$5</f>
        <v>315.78690000000006</v>
      </c>
      <c r="T231" s="300">
        <f>(225.6*KFC!$B$20*1.02*1.3*1.1+KFC!$C$20)*KFC!$C$5</f>
        <v>329.06016000000005</v>
      </c>
      <c r="U231" s="300">
        <f>(234.9*KFC!$B$20*1.02*1.3*1.1+KFC!$C$20)*KFC!$C$5</f>
        <v>342.6251400000001</v>
      </c>
      <c r="V231" s="300">
        <f>(244.1*KFC!$B$20*1.02*1.3*1.1+KFC!$C$20)*KFC!$C$5</f>
        <v>356.04426000000007</v>
      </c>
      <c r="W231" s="300">
        <f>(253.4*KFC!$B$20*1.02*1.3*1.1+KFC!$C$20)*KFC!$C$5</f>
        <v>369.60924000000011</v>
      </c>
      <c r="X231" s="300">
        <f>(252.6*KFC!$B$20*1.02*1.3*1.1+KFC!$C$20)*KFC!$C$5</f>
        <v>368.44236000000006</v>
      </c>
      <c r="Y231" s="304">
        <f>(271.8*KFC!$B$20*1.02*1.3*1.1+KFC!$C$20)*KFC!$C$5</f>
        <v>396.44747999999998</v>
      </c>
      <c r="Z231" s="345"/>
      <c r="AA231" s="345"/>
      <c r="AB231" s="345"/>
      <c r="AC231" s="345"/>
    </row>
    <row r="232" spans="1:29">
      <c r="A232" s="1538"/>
      <c r="B232" s="298">
        <v>2.7</v>
      </c>
      <c r="C232" s="303">
        <f>(69.8*KFC!$B$20*1.02*1.3*1.1+KFC!$C$20)*KFC!$C$5</f>
        <v>101.81028000000001</v>
      </c>
      <c r="D232" s="300">
        <f>(79.4*KFC!$B$20*1.02*1.3*1.1+KFC!$C$20)*KFC!$C$5</f>
        <v>115.81284000000004</v>
      </c>
      <c r="E232" s="300">
        <f>(89*KFC!$B$20*1.02*1.3*1.1+KFC!$C$20)*KFC!$C$5</f>
        <v>129.81540000000001</v>
      </c>
      <c r="F232" s="300">
        <f>(98.6*KFC!$B$20*1.02*1.3*1.1+KFC!$C$20)*KFC!$C$5</f>
        <v>143.81796000000003</v>
      </c>
      <c r="G232" s="300">
        <f>(108.1*KFC!$B$20*1.02*1.3*1.1+KFC!$C$20)*KFC!$C$5</f>
        <v>157.67466000000002</v>
      </c>
      <c r="H232" s="300">
        <f>(117.7*KFC!$B$20*1.02*1.3*1.1+KFC!$C$20)*KFC!$C$5</f>
        <v>171.67722000000001</v>
      </c>
      <c r="I232" s="300">
        <f>(127.2*KFC!$B$20*1.02*1.3*1.1+KFC!$C$20)*KFC!$C$5</f>
        <v>185.53392000000002</v>
      </c>
      <c r="J232" s="300">
        <f>(136.7*KFC!$B$20*1.02*1.3*1.1+KFC!$C$20)*KFC!$C$5</f>
        <v>199.39062000000004</v>
      </c>
      <c r="K232" s="300">
        <f>(156.3*KFC!$B$20*1.02*1.3*1.1+KFC!$C$20)*KFC!$C$5</f>
        <v>227.97918000000007</v>
      </c>
      <c r="L232" s="300">
        <f>(155.9*KFC!$B$20*1.02*1.3*1.1+KFC!$C$20)*KFC!$C$5</f>
        <v>227.39574000000002</v>
      </c>
      <c r="M232" s="300">
        <f>(165.5*KFC!$B$20*1.02*1.3*1.1+KFC!$C$20)*KFC!$C$5</f>
        <v>241.39830000000003</v>
      </c>
      <c r="N232" s="300">
        <f>(175*KFC!$B$20*1.02*1.3*1.1+KFC!$C$20)*KFC!$C$5</f>
        <v>255.25500000000002</v>
      </c>
      <c r="O232" s="300">
        <f>(184.6*KFC!$B$20*1.02*1.3*1.1+KFC!$C$20)*KFC!$C$5</f>
        <v>269.25756000000001</v>
      </c>
      <c r="P232" s="300">
        <f>(194.1*KFC!$B$20*1.02*1.3*1.1+KFC!$C$20)*KFC!$C$5</f>
        <v>283.11426</v>
      </c>
      <c r="Q232" s="300">
        <f>(203.6*KFC!$B$20*1.02*1.3*1.1+KFC!$C$20)*KFC!$C$5</f>
        <v>296.97096000000005</v>
      </c>
      <c r="R232" s="300">
        <f>(213.2*KFC!$B$20*1.02*1.3*1.1+KFC!$C$20)*KFC!$C$5</f>
        <v>310.97352000000001</v>
      </c>
      <c r="S232" s="300">
        <f>(222.7*KFC!$B$20*1.02*1.3*1.1+KFC!$C$20)*KFC!$C$5</f>
        <v>324.83022000000005</v>
      </c>
      <c r="T232" s="300">
        <f>(231.4*KFC!$B$20*1.02*1.3*1.1+KFC!$C$20)*KFC!$C$5</f>
        <v>337.52004000000005</v>
      </c>
      <c r="U232" s="300">
        <f>(241.9*KFC!$B$20*1.02*1.3*1.1+KFC!$C$20)*KFC!$C$5</f>
        <v>352.83534000000009</v>
      </c>
      <c r="V232" s="300">
        <f>(251.4*KFC!$B$20*1.02*1.3*1.1+KFC!$C$20)*KFC!$C$5</f>
        <v>366.69204000000002</v>
      </c>
      <c r="W232" s="300">
        <f>(261*KFC!$B$20*1.02*1.3*1.1+KFC!$C$20)*KFC!$C$5</f>
        <v>380.69460000000009</v>
      </c>
      <c r="X232" s="300">
        <f>(270.5*KFC!$B$20*1.02*1.3*1.1+KFC!$C$20)*KFC!$C$5</f>
        <v>394.55130000000008</v>
      </c>
      <c r="Y232" s="304">
        <f>(280.1*KFC!$B$20*1.02*1.3*1.1+KFC!$C$20)*KFC!$C$5</f>
        <v>408.55386000000016</v>
      </c>
      <c r="Z232" s="345"/>
      <c r="AA232" s="345"/>
      <c r="AB232" s="345"/>
      <c r="AC232" s="345"/>
    </row>
    <row r="233" spans="1:29">
      <c r="A233" s="1538"/>
      <c r="B233" s="298">
        <v>2.8</v>
      </c>
      <c r="C233" s="303">
        <f>(71.1*KFC!$B$20*1.02*1.3*1.1+KFC!$C$20)*KFC!$C$5</f>
        <v>103.70646000000001</v>
      </c>
      <c r="D233" s="300">
        <f>(80.8*KFC!$B$20*1.02*1.3*1.1+KFC!$C$20)*KFC!$C$5</f>
        <v>117.85488000000001</v>
      </c>
      <c r="E233" s="300">
        <f>(90.7*KFC!$B$20*1.02*1.3*1.1+KFC!$C$20)*KFC!$C$5</f>
        <v>132.29502000000002</v>
      </c>
      <c r="F233" s="300">
        <f>(100.7*KFC!$B$20*1.02*1.3*1.1+KFC!$C$20)*KFC!$C$5</f>
        <v>146.88102000000001</v>
      </c>
      <c r="G233" s="300">
        <f>(110.6*KFC!$B$20*1.02*1.3*1.1+KFC!$C$20)*KFC!$C$5</f>
        <v>161.32115999999999</v>
      </c>
      <c r="H233" s="300">
        <f>(120.3*KFC!$B$20*1.02*1.3*1.1+KFC!$C$20)*KFC!$C$5</f>
        <v>175.46958000000004</v>
      </c>
      <c r="I233" s="300">
        <f>(120.2*KFC!$B$20*1.02*1.3*1.1+KFC!$C$20)*KFC!$C$5</f>
        <v>175.32372000000001</v>
      </c>
      <c r="J233" s="300">
        <f>(140.2*KFC!$B$20*1.02*1.3*1.1+KFC!$C$20)*KFC!$C$5</f>
        <v>204.49572000000003</v>
      </c>
      <c r="K233" s="300">
        <f>(150.1*KFC!$B$20*1.02*1.3*1.1+KFC!$C$20)*KFC!$C$5</f>
        <v>218.93586000000002</v>
      </c>
      <c r="L233" s="300">
        <f>(160*KFC!$B$20*1.02*1.3*1.1+KFC!$C$20)*KFC!$C$5</f>
        <v>233.376</v>
      </c>
      <c r="M233" s="300">
        <f>(169.8*KFC!$B$20*1.02*1.3*1.1+KFC!$C$20)*KFC!$C$5</f>
        <v>247.67028000000008</v>
      </c>
      <c r="N233" s="300">
        <f>(179.7*KFC!$B$20*1.02*1.3*1.1+KFC!$C$20)*KFC!$C$5</f>
        <v>262.11042000000003</v>
      </c>
      <c r="O233" s="300">
        <f>(189.6*KFC!$B$20*1.02*1.3*1.1+KFC!$C$20)*KFC!$C$5</f>
        <v>276.55056000000002</v>
      </c>
      <c r="P233" s="300">
        <f>(199.5*KFC!$B$20*1.02*1.3*1.1+KFC!$C$20)*KFC!$C$5</f>
        <v>290.99070000000006</v>
      </c>
      <c r="Q233" s="300">
        <f>(209.4*KFC!$B$20*1.02*1.3*1.1+KFC!$C$20)*KFC!$C$5</f>
        <v>305.4308400000001</v>
      </c>
      <c r="R233" s="300">
        <f>(219.2*KFC!$B$20*1.02*1.3*1.1+KFC!$C$20)*KFC!$C$5</f>
        <v>319.72512</v>
      </c>
      <c r="S233" s="300">
        <f>(229.1*KFC!$B$20*1.02*1.3*1.1+KFC!$C$20)*KFC!$C$5</f>
        <v>334.16526000000005</v>
      </c>
      <c r="T233" s="300">
        <f>(239*KFC!$B$20*1.02*1.3*1.1+KFC!$C$20)*KFC!$C$5</f>
        <v>348.60540000000003</v>
      </c>
      <c r="U233" s="300">
        <f>(248.9*KFC!$B$20*1.02*1.3*1.1+KFC!$C$20)*KFC!$C$5</f>
        <v>363.04554000000002</v>
      </c>
      <c r="V233" s="300">
        <f>(258.8*KFC!$B$20*1.02*1.3*1.1+KFC!$C$20)*KFC!$C$5</f>
        <v>377.48568000000006</v>
      </c>
      <c r="W233" s="300">
        <f>(258.6*KFC!$B$20*1.02*1.3*1.1+KFC!$C$20)*KFC!$C$5</f>
        <v>377.19396000000012</v>
      </c>
      <c r="X233" s="300">
        <f>(278.5*KFC!$B$20*1.02*1.3*1.1+KFC!$C$20)*KFC!$C$5</f>
        <v>406.2201</v>
      </c>
      <c r="Y233" s="304">
        <f>(288.4*KFC!$B$20*1.02*1.3*1.1+KFC!$C$20)*KFC!$C$5</f>
        <v>420.66024000000004</v>
      </c>
      <c r="Z233" s="345"/>
      <c r="AA233" s="345"/>
      <c r="AB233" s="345"/>
      <c r="AC233" s="345"/>
    </row>
    <row r="234" spans="1:29">
      <c r="A234" s="1538"/>
      <c r="B234" s="298">
        <v>2.9</v>
      </c>
      <c r="C234" s="303">
        <f>(72.2*KFC!$B$20*1.02*1.3*1.1+KFC!$C$20)*KFC!$C$5</f>
        <v>105.31092000000002</v>
      </c>
      <c r="D234" s="300">
        <f>(82.3*KFC!$B$20*1.02*1.3*1.1+KFC!$C$20)*KFC!$C$5</f>
        <v>120.04278000000001</v>
      </c>
      <c r="E234" s="300">
        <f>(92.6*KFC!$B$20*1.02*1.3*1.1+KFC!$C$20)*KFC!$C$5</f>
        <v>135.06636</v>
      </c>
      <c r="F234" s="300">
        <f>(102.7*KFC!$B$20*1.02*1.3*1.1+KFC!$C$20)*KFC!$C$5</f>
        <v>149.79822000000001</v>
      </c>
      <c r="G234" s="300">
        <f>(113*KFC!$B$20*1.02*1.3*1.1+KFC!$C$20)*KFC!$C$5</f>
        <v>164.82180000000002</v>
      </c>
      <c r="H234" s="300">
        <f>(123.2*KFC!$B$20*1.02*1.3*1.1+KFC!$C$20)*KFC!$C$5</f>
        <v>179.69952000000004</v>
      </c>
      <c r="I234" s="300">
        <f>(133.3*KFC!$B$20*1.02*1.3*1.1+KFC!$C$20)*KFC!$C$5</f>
        <v>194.43138000000005</v>
      </c>
      <c r="J234" s="300">
        <f>(143.6*KFC!$B$20*1.02*1.3*1.1+KFC!$C$20)*KFC!$C$5</f>
        <v>209.45496000000006</v>
      </c>
      <c r="K234" s="300">
        <f>(153.7*KFC!$B$20*1.02*1.3*1.1+KFC!$C$20)*KFC!$C$5</f>
        <v>224.18682000000004</v>
      </c>
      <c r="L234" s="300">
        <f>(164*KFC!$B$20*1.02*1.3*1.1+KFC!$C$20)*KFC!$C$5</f>
        <v>239.21040000000002</v>
      </c>
      <c r="M234" s="300">
        <f>(174.2*KFC!$B$20*1.02*1.3*1.1+KFC!$C$20)*KFC!$C$5</f>
        <v>254.08812000000003</v>
      </c>
      <c r="N234" s="300">
        <f>(184.4*KFC!$B$20*1.02*1.3*1.1+KFC!$C$20)*KFC!$C$5</f>
        <v>268.96584000000007</v>
      </c>
      <c r="O234" s="300">
        <f>(194.6*KFC!$B$20*1.02*1.3*1.1+KFC!$C$20)*KFC!$C$5</f>
        <v>283.84356000000002</v>
      </c>
      <c r="P234" s="300">
        <f>(204.9*KFC!$B$20*1.02*1.3*1.1+KFC!$C$20)*KFC!$C$5</f>
        <v>298.86714000000006</v>
      </c>
      <c r="Q234" s="300">
        <f>(215*KFC!$B$20*1.02*1.3*1.1+KFC!$C$20)*KFC!$C$5</f>
        <v>313.59900000000005</v>
      </c>
      <c r="R234" s="300">
        <f>(225.2*KFC!$B$20*1.02*1.3*1.1+KFC!$C$20)*KFC!$C$5</f>
        <v>328.47672</v>
      </c>
      <c r="S234" s="300">
        <f>(235.4*KFC!$B$20*1.02*1.3*1.1+KFC!$C$20)*KFC!$C$5</f>
        <v>343.35444000000001</v>
      </c>
      <c r="T234" s="300">
        <f>(245.6*KFC!$B$20*1.02*1.3*1.1+KFC!$C$20)*KFC!$C$5</f>
        <v>358.23216000000002</v>
      </c>
      <c r="U234" s="300">
        <f>(255.9*KFC!$B$20*1.02*1.3*1.1+KFC!$C$20)*KFC!$C$5</f>
        <v>373.25574000000006</v>
      </c>
      <c r="V234" s="300">
        <f>(266*KFC!$B$20*1.02*1.3*1.1+KFC!$C$20)*KFC!$C$5</f>
        <v>387.98760000000004</v>
      </c>
      <c r="W234" s="300">
        <f>(276.3*KFC!$B$20*1.02*1.3*1.1+KFC!$C$20)*KFC!$C$5</f>
        <v>403.01118000000002</v>
      </c>
      <c r="X234" s="300">
        <f>(286.4*KFC!$B$20*1.02*1.3*1.1+KFC!$C$20)*KFC!$C$5</f>
        <v>417.74304000000001</v>
      </c>
      <c r="Y234" s="304">
        <f>(296.7*KFC!$B$20*1.02*1.3*1.1+KFC!$C$20)*KFC!$C$5</f>
        <v>432.7666200000001</v>
      </c>
      <c r="Z234" s="345"/>
      <c r="AA234" s="345"/>
      <c r="AB234" s="345"/>
      <c r="AC234" s="345"/>
    </row>
    <row r="235" spans="1:29">
      <c r="A235" s="1538"/>
      <c r="B235" s="298">
        <v>3</v>
      </c>
      <c r="C235" s="303">
        <f>(73.3*KFC!$B$20*1.02*1.3*1.1+KFC!$C$20)*KFC!$C$5</f>
        <v>106.91538000000001</v>
      </c>
      <c r="D235" s="300">
        <f>(83.8*KFC!$B$20*1.02*1.3*1.1+KFC!$C$20)*KFC!$C$5</f>
        <v>122.23068000000002</v>
      </c>
      <c r="E235" s="300">
        <f>(94.3*KFC!$B$20*1.02*1.3*1.1+KFC!$C$20)*KFC!$C$5</f>
        <v>137.54598000000001</v>
      </c>
      <c r="F235" s="300">
        <f>(104.8*KFC!$B$20*1.02*1.3*1.1+KFC!$C$20)*KFC!$C$5</f>
        <v>152.86128000000002</v>
      </c>
      <c r="G235" s="300">
        <f>(115.3*KFC!$B$20*1.02*1.3*1.1+KFC!$C$20)*KFC!$C$5</f>
        <v>168.17658</v>
      </c>
      <c r="H235" s="300">
        <f>(125.8*KFC!$B$20*1.02*1.3*1.1+KFC!$C$20)*KFC!$C$5</f>
        <v>183.49188000000001</v>
      </c>
      <c r="I235" s="300">
        <f>(136.5*KFC!$B$20*1.02*1.3*1.1+KFC!$C$20)*KFC!$C$5</f>
        <v>199.09890000000001</v>
      </c>
      <c r="J235" s="300">
        <f>(147*KFC!$B$20*1.02*1.3*1.1+KFC!$C$20)*KFC!$C$5</f>
        <v>214.41420000000002</v>
      </c>
      <c r="K235" s="300">
        <f>(157.5*KFC!$B$20*1.02*1.3*1.1+KFC!$C$20)*KFC!$C$5</f>
        <v>229.72950000000006</v>
      </c>
      <c r="L235" s="300">
        <f>(168*KFC!$B$20*1.02*1.3*1.1+KFC!$C$20)*KFC!$C$5</f>
        <v>245.04480000000004</v>
      </c>
      <c r="M235" s="300">
        <f>(178.6*KFC!$B$20*1.02*1.3*1.1+KFC!$C$20)*KFC!$C$5</f>
        <v>260.50596000000002</v>
      </c>
      <c r="N235" s="300">
        <f>(189.1*KFC!$B$20*1.02*1.3*1.1+KFC!$C$20)*KFC!$C$5</f>
        <v>275.82126000000005</v>
      </c>
      <c r="O235" s="300">
        <f>(199.6*KFC!$B$20*1.02*1.3*1.1+KFC!$C$20)*KFC!$C$5</f>
        <v>291.13656000000003</v>
      </c>
      <c r="P235" s="300">
        <f>(210.1*KFC!$B$20*1.02*1.3*1.1+KFC!$C$20)*KFC!$C$5</f>
        <v>306.45186000000001</v>
      </c>
      <c r="Q235" s="300">
        <f>(220.6*KFC!$B$20*1.02*1.3*1.1+KFC!$C$20)*KFC!$C$5</f>
        <v>321.76716000000005</v>
      </c>
      <c r="R235" s="300">
        <f>(231.3*KFC!$B$20*1.02*1.3*1.1+KFC!$C$20)*KFC!$C$5</f>
        <v>337.37418000000008</v>
      </c>
      <c r="S235" s="300">
        <f>(241.8*KFC!$B$20*1.02*1.3*1.1+KFC!$C$20)*KFC!$C$5</f>
        <v>352.68948000000012</v>
      </c>
      <c r="T235" s="300">
        <f>(252.3*KFC!$B$20*1.02*1.3*1.1+KFC!$C$20)*KFC!$C$5</f>
        <v>368.00478000000004</v>
      </c>
      <c r="U235" s="300">
        <f>(262.8*KFC!$B$20*1.02*1.3*1.1+KFC!$C$20)*KFC!$C$5</f>
        <v>383.32008000000008</v>
      </c>
      <c r="V235" s="300">
        <f>(273.3*KFC!$B$20*1.02*1.3*1.1+KFC!$C$20)*KFC!$C$5</f>
        <v>398.63538000000011</v>
      </c>
      <c r="W235" s="300">
        <f>(283.9*KFC!$B$20*1.02*1.3*1.1+KFC!$C$20)*KFC!$C$5</f>
        <v>414.09654</v>
      </c>
      <c r="X235" s="300">
        <f>(294.4*KFC!$B$20*1.02*1.3*1.1+KFC!$C$20)*KFC!$C$5</f>
        <v>429.41184000000004</v>
      </c>
      <c r="Y235" s="304">
        <f>(304.9*KFC!$B$20*1.02*1.3*1.1+KFC!$C$20)*KFC!$C$5</f>
        <v>444.72714000000002</v>
      </c>
      <c r="Z235" s="345"/>
      <c r="AA235" s="345"/>
      <c r="AB235" s="345"/>
      <c r="AC235" s="345"/>
    </row>
    <row r="236" spans="1:29">
      <c r="A236" s="1538"/>
      <c r="B236" s="298">
        <v>3.1</v>
      </c>
      <c r="C236" s="303">
        <f>(74.4*KFC!$B$20*1.02*1.3*1.1+KFC!$C$20)*KFC!$C$5</f>
        <v>108.51984000000002</v>
      </c>
      <c r="D236" s="300">
        <f>(85.2*KFC!$B$20*1.02*1.3*1.1+KFC!$C$20)*KFC!$C$5</f>
        <v>124.27272000000002</v>
      </c>
      <c r="E236" s="300">
        <f>(96.1*KFC!$B$20*1.02*1.3*1.1+KFC!$C$20)*KFC!$C$5</f>
        <v>140.17146</v>
      </c>
      <c r="F236" s="300">
        <f>(106.9*KFC!$B$20*1.02*1.3*1.1+KFC!$C$20)*KFC!$C$5</f>
        <v>155.92434000000003</v>
      </c>
      <c r="G236" s="300">
        <f>(117.8*KFC!$B$20*1.02*1.3*1.1+KFC!$C$20)*KFC!$C$5</f>
        <v>171.82308000000003</v>
      </c>
      <c r="H236" s="300">
        <f>(128.7*KFC!$B$20*1.02*1.3*1.1+KFC!$C$20)*KFC!$C$5</f>
        <v>187.72182000000004</v>
      </c>
      <c r="I236" s="300">
        <f>(139.5*KFC!$B$20*1.02*1.3*1.1+KFC!$C$20)*KFC!$C$5</f>
        <v>203.47470000000001</v>
      </c>
      <c r="J236" s="300">
        <f>(150.4*KFC!$B$20*1.02*1.3*1.1+KFC!$C$20)*KFC!$C$5</f>
        <v>219.37344000000004</v>
      </c>
      <c r="K236" s="300">
        <f>(161.2*KFC!$B$20*1.02*1.3*1.1+KFC!$C$20)*KFC!$C$5</f>
        <v>235.12631999999999</v>
      </c>
      <c r="L236" s="300">
        <f>(172.1*KFC!$B$20*1.02*1.3*1.1+KFC!$C$20)*KFC!$C$5</f>
        <v>251.02506000000002</v>
      </c>
      <c r="M236" s="300">
        <f>(183*KFC!$B$20*1.02*1.3*1.1+KFC!$C$20)*KFC!$C$5</f>
        <v>266.92380000000003</v>
      </c>
      <c r="N236" s="300">
        <f>(193.8*KFC!$B$20*1.02*1.3*1.1+KFC!$C$20)*KFC!$C$5</f>
        <v>282.67668000000009</v>
      </c>
      <c r="O236" s="300">
        <f>(204.6*KFC!$B$20*1.02*1.3*1.1+KFC!$C$20)*KFC!$C$5</f>
        <v>298.42956000000004</v>
      </c>
      <c r="P236" s="300">
        <f>(215.5*KFC!$B$20*1.02*1.3*1.1+KFC!$C$20)*KFC!$C$5</f>
        <v>314.32830000000001</v>
      </c>
      <c r="Q236" s="300">
        <f>(226.4*KFC!$B$20*1.02*1.3*1.1+KFC!$C$20)*KFC!$C$5</f>
        <v>330.22704000000004</v>
      </c>
      <c r="R236" s="300">
        <f>(237.3*KFC!$B$20*1.02*1.3*1.1+KFC!$C$20)*KFC!$C$5</f>
        <v>346.12578000000002</v>
      </c>
      <c r="S236" s="300">
        <f>(248*KFC!$B$20*1.02*1.3*1.1+KFC!$C$20)*KFC!$C$5</f>
        <v>361.73280000000005</v>
      </c>
      <c r="T236" s="300">
        <f>(258.9*KFC!$B$20*1.02*1.3*1.1+KFC!$C$20)*KFC!$C$5</f>
        <v>377.63154000000003</v>
      </c>
      <c r="U236" s="300">
        <f>(269.8*KFC!$B$20*1.02*1.3*1.1+KFC!$C$20)*KFC!$C$5</f>
        <v>393.53028000000006</v>
      </c>
      <c r="V236" s="300">
        <f>(280.7*KFC!$B$20*1.02*1.3*1.1+KFC!$C$20)*KFC!$C$5</f>
        <v>409.42902000000009</v>
      </c>
      <c r="W236" s="300">
        <f>(291.6*KFC!$B$20*1.02*1.3*1.1+KFC!$C$20)*KFC!$C$5</f>
        <v>425.32776000000007</v>
      </c>
      <c r="X236" s="300">
        <f>(302.3*KFC!$B$20*1.02*1.3*1.1+KFC!$C$20)*KFC!$C$5</f>
        <v>440.93478000000005</v>
      </c>
      <c r="Y236" s="304">
        <f>(313.2*KFC!$B$20*1.02*1.3*1.1+KFC!$C$20)*KFC!$C$5</f>
        <v>456.83352000000002</v>
      </c>
      <c r="Z236" s="345"/>
      <c r="AA236" s="345"/>
      <c r="AB236" s="345"/>
      <c r="AC236" s="345"/>
    </row>
    <row r="237" spans="1:29">
      <c r="A237" s="1538"/>
      <c r="B237" s="298">
        <v>3.2</v>
      </c>
      <c r="C237" s="303">
        <f>(75.5*KFC!$B$20*1.02*1.3*1.1+KFC!$C$20)*KFC!$C$5</f>
        <v>110.12430000000002</v>
      </c>
      <c r="D237" s="300">
        <f>(86.7*KFC!$B$20*1.02*1.3*1.1+KFC!$C$20)*KFC!$C$5</f>
        <v>126.46062000000002</v>
      </c>
      <c r="E237" s="300">
        <f>(97.8*KFC!$B$20*1.02*1.3*1.1+KFC!$C$20)*KFC!$C$5</f>
        <v>142.65108000000004</v>
      </c>
      <c r="F237" s="300">
        <f>(109.1*KFC!$B$20*1.02*1.3*1.1+KFC!$C$20)*KFC!$C$5</f>
        <v>159.13326000000001</v>
      </c>
      <c r="G237" s="300">
        <f>(120.2*KFC!$B$20*1.02*1.3*1.1+KFC!$C$20)*KFC!$C$5</f>
        <v>175.32372000000001</v>
      </c>
      <c r="H237" s="300">
        <f>(131.4*KFC!$B$20*1.02*1.3*1.1+KFC!$C$20)*KFC!$C$5</f>
        <v>191.66004000000004</v>
      </c>
      <c r="I237" s="300">
        <f>(142.6*KFC!$B$20*1.02*1.3*1.1+KFC!$C$20)*KFC!$C$5</f>
        <v>207.99636000000004</v>
      </c>
      <c r="J237" s="300">
        <f>(153.7*KFC!$B$20*1.02*1.3*1.1+KFC!$C$20)*KFC!$C$5</f>
        <v>224.18682000000004</v>
      </c>
      <c r="K237" s="300">
        <f>(165*KFC!$B$20*1.02*1.3*1.1+KFC!$C$20)*KFC!$C$5</f>
        <v>240.66900000000004</v>
      </c>
      <c r="L237" s="300">
        <f>(176.1*KFC!$B$20*1.02*1.3*1.1+KFC!$C$20)*KFC!$C$5</f>
        <v>256.85946000000001</v>
      </c>
      <c r="M237" s="300">
        <f>(187.4*KFC!$B$20*1.02*1.3*1.1+KFC!$C$20)*KFC!$C$5</f>
        <v>273.34164000000004</v>
      </c>
      <c r="N237" s="300">
        <f>(198.5*KFC!$B$20*1.02*1.3*1.1+KFC!$C$20)*KFC!$C$5</f>
        <v>289.53210000000001</v>
      </c>
      <c r="O237" s="300">
        <f>(209.7*KFC!$B$20*1.02*1.3*1.1+KFC!$C$20)*KFC!$C$5</f>
        <v>305.86842000000007</v>
      </c>
      <c r="P237" s="300">
        <f>(220.9*KFC!$B$20*1.02*1.3*1.1+KFC!$C$20)*KFC!$C$5</f>
        <v>322.20474000000007</v>
      </c>
      <c r="Q237" s="300">
        <f>(232*KFC!$B$20*1.02*1.3*1.1+KFC!$C$20)*KFC!$C$5</f>
        <v>338.39520000000005</v>
      </c>
      <c r="R237" s="300">
        <f>(243.3*KFC!$B$20*1.02*1.3*1.1+KFC!$C$20)*KFC!$C$5</f>
        <v>354.87738000000007</v>
      </c>
      <c r="S237" s="300">
        <f>(254.4*KFC!$B$20*1.02*1.3*1.1+KFC!$C$20)*KFC!$C$5</f>
        <v>371.06784000000005</v>
      </c>
      <c r="T237" s="300">
        <f>(265.6*KFC!$B$20*1.02*1.3*1.1+KFC!$C$20)*KFC!$C$5</f>
        <v>387.4041600000001</v>
      </c>
      <c r="U237" s="300">
        <f>(276.8*KFC!$B$20*1.02*1.3*1.1+KFC!$C$20)*KFC!$C$5</f>
        <v>403.74048000000005</v>
      </c>
      <c r="V237" s="300">
        <f>(288*KFC!$B$20*1.02*1.3*1.1+KFC!$C$20)*KFC!$C$5</f>
        <v>420.07679999999999</v>
      </c>
      <c r="W237" s="300">
        <f>(299.1*KFC!$B$20*1.02*1.3*1.1+KFC!$C$20)*KFC!$C$5</f>
        <v>436.26726000000014</v>
      </c>
      <c r="X237" s="300">
        <f>(310.3*KFC!$B$20*1.02*1.3*1.1+KFC!$C$20)*KFC!$C$5</f>
        <v>452.60358000000014</v>
      </c>
      <c r="Y237" s="304">
        <f>(321.5*KFC!$B$20*1.02*1.3*1.1+KFC!$C$20)*KFC!$C$5</f>
        <v>468.93990000000008</v>
      </c>
      <c r="Z237" s="345"/>
      <c r="AA237" s="345"/>
      <c r="AB237" s="345"/>
      <c r="AC237" s="345"/>
    </row>
    <row r="238" spans="1:29">
      <c r="A238" s="1538"/>
      <c r="B238" s="298">
        <v>3.3</v>
      </c>
      <c r="C238" s="303">
        <f>(76.6*KFC!$B$20*1.02*1.3*1.1+KFC!$C$20)*KFC!$C$5</f>
        <v>111.72875999999999</v>
      </c>
      <c r="D238" s="300">
        <f>(88.2*KFC!$B$20*1.02*1.3*1.1+KFC!$C$20)*KFC!$C$5</f>
        <v>128.64852000000002</v>
      </c>
      <c r="E238" s="300">
        <f>(99.7*KFC!$B$20*1.02*1.3*1.1+KFC!$C$20)*KFC!$C$5</f>
        <v>145.42242000000002</v>
      </c>
      <c r="F238" s="300">
        <f>(111.2*KFC!$B$20*1.02*1.3*1.1+KFC!$C$20)*KFC!$C$5</f>
        <v>162.19632000000001</v>
      </c>
      <c r="G238" s="300">
        <f>(122.7*KFC!$B$20*1.02*1.3*1.1+KFC!$C$20)*KFC!$C$5</f>
        <v>178.97022000000004</v>
      </c>
      <c r="H238" s="300">
        <f>(134.2*KFC!$B$20*1.02*1.3*1.1+KFC!$C$20)*KFC!$C$5</f>
        <v>195.74412000000001</v>
      </c>
      <c r="I238" s="300">
        <f>(145.7*KFC!$B$20*1.02*1.3*1.1+KFC!$C$20)*KFC!$C$5</f>
        <v>212.51802000000004</v>
      </c>
      <c r="J238" s="300">
        <f>(157.2*KFC!$B$20*1.02*1.3*1.1+KFC!$C$20)*KFC!$C$5</f>
        <v>229.29192000000003</v>
      </c>
      <c r="K238" s="300">
        <f>(168.7*KFC!$B$20*1.02*1.3*1.1+KFC!$C$20)*KFC!$C$5</f>
        <v>246.06582</v>
      </c>
      <c r="L238" s="300">
        <f>(180.1*KFC!$B$20*1.02*1.3*1.1+KFC!$C$20)*KFC!$C$5</f>
        <v>262.69386000000003</v>
      </c>
      <c r="M238" s="300">
        <f>(191.6*KFC!$B$20*1.02*1.3*1.1+KFC!$C$20)*KFC!$C$5</f>
        <v>279.46776</v>
      </c>
      <c r="N238" s="300">
        <f>(203.3*KFC!$B$20*1.02*1.3*1.1+KFC!$C$20)*KFC!$C$5</f>
        <v>296.53338000000002</v>
      </c>
      <c r="O238" s="300">
        <f>(214.8*KFC!$B$20*1.02*1.3*1.1+KFC!$C$20)*KFC!$C$5</f>
        <v>313.30728000000005</v>
      </c>
      <c r="P238" s="300">
        <f>(226.3*KFC!$B$20*1.02*1.3*1.1+KFC!$C$20)*KFC!$C$5</f>
        <v>330.08118000000007</v>
      </c>
      <c r="Q238" s="300">
        <f>(237.8*KFC!$B$20*1.02*1.3*1.1+KFC!$C$20)*KFC!$C$5</f>
        <v>346.85508000000004</v>
      </c>
      <c r="R238" s="300">
        <f>(249.2*KFC!$B$20*1.02*1.3*1.1+KFC!$C$20)*KFC!$C$5</f>
        <v>363.48312000000004</v>
      </c>
      <c r="S238" s="300">
        <f>(260.7*KFC!$B$20*1.02*1.3*1.1+KFC!$C$20)*KFC!$C$5</f>
        <v>380.25702000000001</v>
      </c>
      <c r="T238" s="300">
        <f>(272.2*KFC!$B$20*1.02*1.3*1.1+KFC!$C$20)*KFC!$C$5</f>
        <v>397.03092000000004</v>
      </c>
      <c r="U238" s="300">
        <f>(283.7*KFC!$B$20*1.02*1.3*1.1+KFC!$C$20)*KFC!$C$5</f>
        <v>413.80482000000001</v>
      </c>
      <c r="V238" s="300">
        <f>(295.2*KFC!$B$20*1.02*1.3*1.1+KFC!$C$20)*KFC!$C$5</f>
        <v>430.57872000000003</v>
      </c>
      <c r="W238" s="300">
        <f>(306.7*KFC!$B$20*1.02*1.3*1.1+KFC!$C$20)*KFC!$C$5</f>
        <v>447.35262000000006</v>
      </c>
      <c r="X238" s="300">
        <f>(318.2*KFC!$B$20*1.02*1.3*1.1+KFC!$C$20)*KFC!$C$5</f>
        <v>464.12652000000008</v>
      </c>
      <c r="Y238" s="304">
        <f>(329.8*KFC!$B$20*1.02*1.3*1.1+KFC!$C$20)*KFC!$C$5</f>
        <v>481.04628000000008</v>
      </c>
      <c r="Z238" s="345"/>
      <c r="AA238" s="345"/>
      <c r="AB238" s="345"/>
      <c r="AC238" s="345"/>
    </row>
    <row r="239" spans="1:29">
      <c r="A239" s="1538"/>
      <c r="B239" s="298">
        <v>3.4</v>
      </c>
      <c r="C239" s="303">
        <f>(77.8*KFC!$B$20*1.02*1.3*1.1+KFC!$C$20)*KFC!$C$5</f>
        <v>113.47908</v>
      </c>
      <c r="D239" s="300">
        <f>(89.5*KFC!$B$20*1.02*1.3*1.1+KFC!$C$20)*KFC!$C$5</f>
        <v>130.54470000000001</v>
      </c>
      <c r="E239" s="300">
        <f>(101.4*KFC!$B$20*1.02*1.3*1.1+KFC!$C$20)*KFC!$C$5</f>
        <v>147.90204000000006</v>
      </c>
      <c r="F239" s="300">
        <f>(113.2*KFC!$B$20*1.02*1.3*1.1+KFC!$C$20)*KFC!$C$5</f>
        <v>165.11352000000002</v>
      </c>
      <c r="G239" s="300">
        <f>(125.1*KFC!$B$20*1.02*1.3*1.1+KFC!$C$20)*KFC!$C$5</f>
        <v>182.47086000000002</v>
      </c>
      <c r="H239" s="300">
        <f>(136.9*KFC!$B$20*1.02*1.3*1.1+KFC!$C$20)*KFC!$C$5</f>
        <v>199.68234000000004</v>
      </c>
      <c r="I239" s="300">
        <f>(148.7*KFC!$B$20*1.02*1.3*1.1+KFC!$C$20)*KFC!$C$5</f>
        <v>216.89381999999998</v>
      </c>
      <c r="J239" s="300">
        <f>(160.6*KFC!$B$20*1.02*1.3*1.1+KFC!$C$20)*KFC!$C$5</f>
        <v>234.25116</v>
      </c>
      <c r="K239" s="300">
        <f>(172.4*KFC!$B$20*1.02*1.3*1.1+KFC!$C$20)*KFC!$C$5</f>
        <v>251.46264000000005</v>
      </c>
      <c r="L239" s="300">
        <f>(184.2*KFC!$B$20*1.02*1.3*1.1+KFC!$C$20)*KFC!$C$5</f>
        <v>268.67412000000002</v>
      </c>
      <c r="M239" s="300">
        <f>(196*KFC!$B$20*1.02*1.3*1.1+KFC!$C$20)*KFC!$C$5</f>
        <v>285.88560000000007</v>
      </c>
      <c r="N239" s="300">
        <f>(207.9*KFC!$B$20*1.02*1.3*1.1+KFC!$C$20)*KFC!$C$5</f>
        <v>303.24294000000003</v>
      </c>
      <c r="O239" s="300">
        <f>(219.8*KFC!$B$20*1.02*1.3*1.1+KFC!$C$20)*KFC!$C$5</f>
        <v>320.60028000000005</v>
      </c>
      <c r="P239" s="300">
        <f>(231.6*KFC!$B$20*1.02*1.3*1.1+KFC!$C$20)*KFC!$C$5</f>
        <v>337.81176000000005</v>
      </c>
      <c r="Q239" s="300">
        <f>(243.4*KFC!$B$20*1.02*1.3*1.1+KFC!$C$20)*KFC!$C$5</f>
        <v>355.02324000000004</v>
      </c>
      <c r="R239" s="300">
        <f>(255.2*KFC!$B$20*1.02*1.3*1.1+KFC!$C$20)*KFC!$C$5</f>
        <v>372.23472000000004</v>
      </c>
      <c r="S239" s="300">
        <f>(267.1*KFC!$B$20*1.02*1.3*1.1+KFC!$C$20)*KFC!$C$5</f>
        <v>389.59206</v>
      </c>
      <c r="T239" s="300">
        <f>(279*KFC!$B$20*1.02*1.3*1.1+KFC!$C$20)*KFC!$C$5</f>
        <v>406.94940000000003</v>
      </c>
      <c r="U239" s="300">
        <f>(290.7*KFC!$B$20*1.02*1.3*1.1+KFC!$C$20)*KFC!$C$5</f>
        <v>424.01502000000005</v>
      </c>
      <c r="V239" s="300">
        <f>(302.6*KFC!$B$20*1.02*1.3*1.1+KFC!$C$20)*KFC!$C$5</f>
        <v>441.37236000000013</v>
      </c>
      <c r="W239" s="300">
        <f>(214.4*KFC!$B$20*1.02*1.3*1.1+KFC!$C$20)*KFC!$C$5</f>
        <v>312.72384000000011</v>
      </c>
      <c r="X239" s="300">
        <f>(326.3*KFC!$B$20*1.02*1.3*1.1+KFC!$C$20)*KFC!$C$5</f>
        <v>475.94118000000009</v>
      </c>
      <c r="Y239" s="304">
        <f>(338*KFC!$B$20*1.02*1.3*1.1+KFC!$C$20)*KFC!$C$5</f>
        <v>493.00680000000006</v>
      </c>
      <c r="Z239" s="345"/>
      <c r="AA239" s="345"/>
      <c r="AB239" s="345"/>
      <c r="AC239" s="345"/>
    </row>
    <row r="240" spans="1:29">
      <c r="A240" s="1538"/>
      <c r="B240" s="298">
        <v>3.5</v>
      </c>
      <c r="C240" s="303">
        <f>(78.9*KFC!$B$20*1.02*1.3*1.1+KFC!$C$20)*KFC!$C$5</f>
        <v>115.08354000000001</v>
      </c>
      <c r="D240" s="300">
        <f>(91*KFC!$B$20*1.02*1.3*1.1+KFC!$C$20)*KFC!$C$5</f>
        <v>132.73260000000002</v>
      </c>
      <c r="E240" s="300">
        <f>(103.2*KFC!$B$20*1.02*1.3*1.1+KFC!$C$20)*KFC!$C$5</f>
        <v>150.52752000000004</v>
      </c>
      <c r="F240" s="300">
        <f>(115.3*KFC!$B$20*1.02*1.3*1.1+KFC!$C$20)*KFC!$C$5</f>
        <v>168.17658</v>
      </c>
      <c r="G240" s="300">
        <f>(127.6*KFC!$B$20*1.02*1.3*1.1+KFC!$C$20)*KFC!$C$5</f>
        <v>186.11736000000002</v>
      </c>
      <c r="H240" s="300">
        <f>(139.7*KFC!$B$20*1.02*1.3*1.1+KFC!$C$20)*KFC!$C$5</f>
        <v>203.76642000000001</v>
      </c>
      <c r="I240" s="300">
        <f>(151.8*KFC!$B$20*1.02*1.3*1.1+KFC!$C$20)*KFC!$C$5</f>
        <v>221.41548000000006</v>
      </c>
      <c r="J240" s="300">
        <f>(164*KFC!$B$20*1.02*1.3*1.1+KFC!$C$20)*KFC!$C$5</f>
        <v>239.21040000000002</v>
      </c>
      <c r="K240" s="300">
        <f>(176.1*KFC!$B$20*1.02*1.3*1.1+KFC!$C$20)*KFC!$C$5</f>
        <v>256.85946000000001</v>
      </c>
      <c r="L240" s="300">
        <f>(188.3*KFC!$B$20*1.02*1.3*1.1+KFC!$C$20)*KFC!$C$5</f>
        <v>274.65438</v>
      </c>
      <c r="M240" s="300">
        <f>(200.4*KFC!$B$20*1.02*1.3*1.1+KFC!$C$20)*KFC!$C$5</f>
        <v>292.30344000000008</v>
      </c>
      <c r="N240" s="300">
        <f>(212.6*KFC!$B$20*1.02*1.3*1.1+KFC!$C$20)*KFC!$C$5</f>
        <v>310.09836000000001</v>
      </c>
      <c r="O240" s="300">
        <f>(224.8*KFC!$B$20*1.02*1.3*1.1+KFC!$C$20)*KFC!$C$5</f>
        <v>327.89328000000006</v>
      </c>
      <c r="P240" s="300">
        <f>(236.9*KFC!$B$20*1.02*1.3*1.1+KFC!$C$20)*KFC!$C$5</f>
        <v>345.54234000000008</v>
      </c>
      <c r="Q240" s="300">
        <f>(249.1*KFC!$B$20*1.02*1.3*1.1+KFC!$C$20)*KFC!$C$5</f>
        <v>363.33726000000001</v>
      </c>
      <c r="R240" s="300">
        <f>(261.2*KFC!$B$20*1.02*1.3*1.1+KFC!$C$20)*KFC!$C$5</f>
        <v>380.98632000000003</v>
      </c>
      <c r="S240" s="300">
        <f>(273.5*KFC!$B$20*1.02*1.3*1.1+KFC!$C$20)*KFC!$C$5</f>
        <v>398.92710000000011</v>
      </c>
      <c r="T240" s="300">
        <f>(285.6*KFC!$B$20*1.02*1.3*1.1+KFC!$C$20)*KFC!$C$5</f>
        <v>416.57616000000002</v>
      </c>
      <c r="U240" s="300">
        <f>(297.7*KFC!$B$20*1.02*1.3*1.1+KFC!$C$20)*KFC!$C$5</f>
        <v>434.22522000000004</v>
      </c>
      <c r="V240" s="300">
        <f>(309.9*KFC!$B$20*1.02*1.3*1.1+KFC!$C$20)*KFC!$C$5</f>
        <v>452.02014000000003</v>
      </c>
      <c r="W240" s="300">
        <f>(322*KFC!$B$20*1.02*1.3*1.1+KFC!$C$20)*KFC!$C$5</f>
        <v>469.6692000000001</v>
      </c>
      <c r="X240" s="300">
        <f>(334.2*KFC!$B$20*1.02*1.3*1.1+KFC!$C$20)*KFC!$C$5</f>
        <v>487.46412000000004</v>
      </c>
      <c r="Y240" s="304">
        <f>(346.4*KFC!$B$20*1.02*1.3*1.1+KFC!$C$20)*KFC!$C$5</f>
        <v>505.25904000000003</v>
      </c>
      <c r="Z240" s="345"/>
      <c r="AA240" s="345"/>
      <c r="AB240" s="345"/>
      <c r="AC240" s="345"/>
    </row>
    <row r="241" spans="1:29">
      <c r="A241" s="1538"/>
      <c r="B241" s="298">
        <v>3.6</v>
      </c>
      <c r="C241" s="303">
        <f>(80*KFC!$B$20*1.02*1.3*1.1+KFC!$C$20)*KFC!$C$5</f>
        <v>116.688</v>
      </c>
      <c r="D241" s="300">
        <f>(92.5*KFC!$B$20*1.02*1.3*1.1+KFC!$C$20)*KFC!$C$5</f>
        <v>134.92050000000003</v>
      </c>
      <c r="E241" s="300">
        <f>(104.9*KFC!$B$20*1.02*1.3*1.1+KFC!$C$20)*KFC!$C$5</f>
        <v>153.00714000000005</v>
      </c>
      <c r="F241" s="300">
        <f>(117.4*KFC!$B$20*1.02*1.3*1.1+KFC!$C$20)*KFC!$C$5</f>
        <v>171.23964000000004</v>
      </c>
      <c r="G241" s="300">
        <f>(129.9*KFC!$B$20*1.02*1.3*1.1+KFC!$C$20)*KFC!$C$5</f>
        <v>189.47214000000005</v>
      </c>
      <c r="H241" s="300">
        <f>(142.4*KFC!$B$20*1.02*1.3*1.1+KFC!$C$20)*KFC!$C$5</f>
        <v>207.70464000000007</v>
      </c>
      <c r="I241" s="300">
        <f>(155*KFC!$B$20*1.02*1.3*1.1+KFC!$C$20)*KFC!$C$5</f>
        <v>226.08300000000003</v>
      </c>
      <c r="J241" s="300">
        <f>(167.4*KFC!$B$20*1.02*1.3*1.1+KFC!$C$20)*KFC!$C$5</f>
        <v>244.16964000000004</v>
      </c>
      <c r="K241" s="300">
        <f>(179.9*KFC!$B$20*1.02*1.3*1.1+KFC!$C$20)*KFC!$C$5</f>
        <v>262.40214000000009</v>
      </c>
      <c r="L241" s="300">
        <f>(192.4*KFC!$B$20*1.02*1.3*1.1+KFC!$C$20)*KFC!$C$5</f>
        <v>280.63464000000005</v>
      </c>
      <c r="M241" s="300">
        <f>(204.9*KFC!$B$20*1.02*1.3*1.1+KFC!$C$20)*KFC!$C$5</f>
        <v>298.86714000000006</v>
      </c>
      <c r="N241" s="300">
        <f>(217.3*KFC!$B$20*1.02*1.3*1.1+KFC!$C$20)*KFC!$C$5</f>
        <v>316.95378000000005</v>
      </c>
      <c r="O241" s="300">
        <f>(229.8*KFC!$B$20*1.02*1.3*1.1+KFC!$C$20)*KFC!$C$5</f>
        <v>335.18628000000007</v>
      </c>
      <c r="P241" s="300">
        <f>(242.3*KFC!$B$20*1.02*1.3*1.1+KFC!$C$20)*KFC!$C$5</f>
        <v>353.41878000000003</v>
      </c>
      <c r="Q241" s="300">
        <f>(254.8*KFC!$B$20*1.02*1.3*1.1+KFC!$C$20)*KFC!$C$5</f>
        <v>371.6512800000001</v>
      </c>
      <c r="R241" s="300">
        <f>(267.2*KFC!$B$20*1.02*1.3*1.1+KFC!$C$20)*KFC!$C$5</f>
        <v>389.73791999999997</v>
      </c>
      <c r="S241" s="300">
        <f>(279.7*KFC!$B$20*1.02*1.3*1.1+KFC!$C$20)*KFC!$C$5</f>
        <v>407.97042000000005</v>
      </c>
      <c r="T241" s="300">
        <f>(292.2*KFC!$B$20*1.02*1.3*1.1+KFC!$C$20)*KFC!$C$5</f>
        <v>426.20292000000006</v>
      </c>
      <c r="U241" s="300">
        <f>(304.6*KFC!$B$20*1.02*1.3*1.1+KFC!$C$20)*KFC!$C$5</f>
        <v>444.28956000000005</v>
      </c>
      <c r="V241" s="300">
        <f>(317.2*KFC!$B$20*1.02*1.3*1.1+KFC!$C$20)*KFC!$C$5</f>
        <v>462.66792000000004</v>
      </c>
      <c r="W241" s="300">
        <f>(329.7*KFC!$B$20*1.02*1.3*1.1+KFC!$C$20)*KFC!$C$5</f>
        <v>480.90042</v>
      </c>
      <c r="X241" s="300">
        <f>(342.2*KFC!$B$20*1.02*1.3*1.1+KFC!$C$20)*KFC!$C$5</f>
        <v>499.13292000000007</v>
      </c>
      <c r="Y241" s="304">
        <f>(354.7*KFC!$B$20*1.02*1.3*1.1+KFC!$C$20)*KFC!$C$5</f>
        <v>517.36542000000009</v>
      </c>
      <c r="Z241" s="345"/>
      <c r="AA241" s="345"/>
      <c r="AB241" s="345"/>
      <c r="AC241" s="345"/>
    </row>
    <row r="242" spans="1:29">
      <c r="A242" s="1538"/>
      <c r="B242" s="298">
        <v>3.7</v>
      </c>
      <c r="C242" s="303">
        <f>(81.1*KFC!$B$20*1.02*1.3*1.1+KFC!$C$20)*KFC!$C$5</f>
        <v>118.29246000000001</v>
      </c>
      <c r="D242" s="300">
        <f>(93.9*KFC!$B$20*1.02*1.3*1.1+KFC!$C$20)*KFC!$C$5</f>
        <v>136.96254000000002</v>
      </c>
      <c r="E242" s="300">
        <f>(106.8*KFC!$B$20*1.02*1.3*1.1+KFC!$C$20)*KFC!$C$5</f>
        <v>155.77848</v>
      </c>
      <c r="F242" s="300">
        <f>(119.5*KFC!$B$20*1.02*1.3*1.1+KFC!$C$20)*KFC!$C$5</f>
        <v>174.30270000000002</v>
      </c>
      <c r="G242" s="300">
        <f>(132.3*KFC!$B$20*1.02*1.3*1.1+KFC!$C$20)*KFC!$C$5</f>
        <v>192.97278000000006</v>
      </c>
      <c r="H242" s="300">
        <f>(145.2*KFC!$B$20*1.02*1.3*1.1+KFC!$C$20)*KFC!$C$5</f>
        <v>211.78871999999998</v>
      </c>
      <c r="I242" s="300">
        <f>(158*KFC!$B$20*1.02*1.3*1.1+KFC!$C$20)*KFC!$C$5</f>
        <v>230.45880000000002</v>
      </c>
      <c r="J242" s="300">
        <f>(170.7*KFC!$B$20*1.02*1.3*1.1+KFC!$C$20)*KFC!$C$5</f>
        <v>248.98302000000004</v>
      </c>
      <c r="K242" s="300">
        <f>(183.6*KFC!$B$20*1.02*1.3*1.1+KFC!$C$20)*KFC!$C$5</f>
        <v>267.79896000000002</v>
      </c>
      <c r="L242" s="300">
        <f>(196.4*KFC!$B$20*1.02*1.3*1.1+KFC!$C$20)*KFC!$C$5</f>
        <v>286.46904000000001</v>
      </c>
      <c r="M242" s="300">
        <f>(309.3*KFC!$B$20*1.02*1.3*1.1+KFC!$C$20)*KFC!$C$5</f>
        <v>451.14498000000003</v>
      </c>
      <c r="N242" s="300">
        <f>(222*KFC!$B$20*1.02*1.3*1.1+KFC!$C$20)*KFC!$C$5</f>
        <v>323.80920000000003</v>
      </c>
      <c r="O242" s="300">
        <f>(234.8*KFC!$B$20*1.02*1.3*1.1+KFC!$C$20)*KFC!$C$5</f>
        <v>342.47928000000007</v>
      </c>
      <c r="P242" s="300">
        <f>(247.7*KFC!$B$20*1.02*1.3*1.1+KFC!$C$20)*KFC!$C$5</f>
        <v>361.29522000000003</v>
      </c>
      <c r="Q242" s="300">
        <f>(260.5*KFC!$B$20*1.02*1.3*1.1+KFC!$C$20)*KFC!$C$5</f>
        <v>379.96530000000001</v>
      </c>
      <c r="R242" s="300">
        <f>(273.2*KFC!$B$20*1.02*1.3*1.1+KFC!$C$20)*KFC!$C$5</f>
        <v>398.48952000000003</v>
      </c>
      <c r="S242" s="300">
        <f>(286.1*KFC!$B$20*1.02*1.3*1.1+KFC!$C$20)*KFC!$C$5</f>
        <v>417.30546000000004</v>
      </c>
      <c r="T242" s="300">
        <f>(298.9*KFC!$B$20*1.02*1.3*1.1+KFC!$C$20)*KFC!$C$5</f>
        <v>435.97554000000008</v>
      </c>
      <c r="U242" s="300">
        <f>(311.7*KFC!$B$20*1.02*1.3*1.1+KFC!$C$20)*KFC!$C$5</f>
        <v>454.64562000000001</v>
      </c>
      <c r="V242" s="300">
        <f>(324.5*KFC!$B$20*1.02*1.3*1.1+KFC!$C$20)*KFC!$C$5</f>
        <v>473.31570000000005</v>
      </c>
      <c r="W242" s="300">
        <f>(337.3*KFC!$B$20*1.02*1.3*1.1+KFC!$C$20)*KFC!$C$5</f>
        <v>491.98578000000003</v>
      </c>
      <c r="X242" s="300">
        <f>(350.1*KFC!$B$20*1.02*1.3*1.1+KFC!$C$20)*KFC!$C$5</f>
        <v>510.65586000000008</v>
      </c>
      <c r="Y242" s="304">
        <f>(363*KFC!$B$20*1.02*1.3*1.1+KFC!$C$20)*KFC!$C$5</f>
        <v>529.47180000000003</v>
      </c>
      <c r="Z242" s="345"/>
      <c r="AA242" s="345"/>
      <c r="AB242" s="345"/>
      <c r="AC242" s="345"/>
    </row>
    <row r="243" spans="1:29">
      <c r="A243" s="1538"/>
      <c r="B243" s="298">
        <v>3.8</v>
      </c>
      <c r="C243" s="303">
        <f>(82.2*KFC!$B$20*1.02*1.3*1.1+KFC!$C$20)*KFC!$C$5</f>
        <v>119.89692000000004</v>
      </c>
      <c r="D243" s="300">
        <f>(95.4*KFC!$B$20*1.02*1.3*1.1+KFC!$C$20)*KFC!$C$5</f>
        <v>139.15044000000003</v>
      </c>
      <c r="E243" s="300">
        <f>(108.5*KFC!$B$20*1.02*1.3*1.1+KFC!$C$20)*KFC!$C$5</f>
        <v>158.25810000000001</v>
      </c>
      <c r="F243" s="300">
        <f>(121.7*KFC!$B$20*1.02*1.3*1.1+KFC!$C$20)*KFC!$C$5</f>
        <v>177.51162000000002</v>
      </c>
      <c r="G243" s="300">
        <f>(134.8*KFC!$B$20*1.02*1.3*1.1+KFC!$C$20)*KFC!$C$5</f>
        <v>196.61928000000003</v>
      </c>
      <c r="H243" s="300">
        <f>(147.9*KFC!$B$20*1.02*1.3*1.1+KFC!$C$20)*KFC!$C$5</f>
        <v>215.72694000000004</v>
      </c>
      <c r="I243" s="300">
        <f>(161.1*KFC!$B$20*1.02*1.3*1.1+KFC!$C$20)*KFC!$C$5</f>
        <v>234.98046000000002</v>
      </c>
      <c r="J243" s="300">
        <f>(174.2*KFC!$B$20*1.02*1.3*1.1+KFC!$C$20)*KFC!$C$5</f>
        <v>254.08812000000003</v>
      </c>
      <c r="K243" s="300">
        <f>(187.4*KFC!$B$20*1.02*1.3*1.1+KFC!$C$20)*KFC!$C$5</f>
        <v>273.34164000000004</v>
      </c>
      <c r="L243" s="300">
        <f>(200.4*KFC!$B$20*1.02*1.3*1.1+KFC!$C$20)*KFC!$C$5</f>
        <v>292.30344000000008</v>
      </c>
      <c r="M243" s="300">
        <f>(213.5*KFC!$B$20*1.02*1.3*1.1+KFC!$C$20)*KFC!$C$5</f>
        <v>311.41110000000003</v>
      </c>
      <c r="N243" s="300">
        <f>(226.7*KFC!$B$20*1.02*1.3*1.1+KFC!$C$20)*KFC!$C$5</f>
        <v>330.66462000000001</v>
      </c>
      <c r="O243" s="300">
        <f>(239.8*KFC!$B$20*1.02*1.3*1.1+KFC!$C$20)*KFC!$C$5</f>
        <v>349.77228000000002</v>
      </c>
      <c r="P243" s="300">
        <f>(253*KFC!$B$20*1.02*1.3*1.1+KFC!$C$20)*KFC!$C$5</f>
        <v>369.02580000000006</v>
      </c>
      <c r="Q243" s="300">
        <f>(266.1*KFC!$B$20*1.02*1.3*1.1+KFC!$C$20)*KFC!$C$5</f>
        <v>388.13346000000007</v>
      </c>
      <c r="R243" s="300">
        <f>(279.2*KFC!$B$20*1.02*1.3*1.1+KFC!$C$20)*KFC!$C$5</f>
        <v>407.24112000000002</v>
      </c>
      <c r="S243" s="300">
        <f>(292.4*KFC!$B$20*1.02*1.3*1.1+KFC!$C$20)*KFC!$C$5</f>
        <v>426.49464</v>
      </c>
      <c r="T243" s="300">
        <f>(305.5*KFC!$B$20*1.02*1.3*1.1+KFC!$C$20)*KFC!$C$5</f>
        <v>445.60230000000007</v>
      </c>
      <c r="U243" s="300">
        <f>(318.7*KFC!$B$20*1.02*1.3*1.1+KFC!$C$20)*KFC!$C$5</f>
        <v>464.85582000000005</v>
      </c>
      <c r="V243" s="300">
        <f>(331.8*KFC!$B$20*1.02*1.3*1.1+KFC!$C$20)*KFC!$C$5</f>
        <v>483.96348000000006</v>
      </c>
      <c r="W243" s="300">
        <f>(344.9*KFC!$B$20*1.02*1.3*1.1+KFC!$C$20)*KFC!$C$5</f>
        <v>503.07114000000007</v>
      </c>
      <c r="X243" s="300">
        <f>(358.1*KFC!$B$20*1.02*1.3*1.1+KFC!$C$20)*KFC!$C$5</f>
        <v>522.32466000000011</v>
      </c>
      <c r="Y243" s="304">
        <f>(371.2*KFC!$B$20*1.02*1.3*1.1+KFC!$C$20)*KFC!$C$5</f>
        <v>541.43232</v>
      </c>
      <c r="Z243" s="345"/>
      <c r="AA243" s="345"/>
      <c r="AB243" s="345"/>
      <c r="AC243" s="345"/>
    </row>
    <row r="244" spans="1:29">
      <c r="A244" s="1538"/>
      <c r="B244" s="298">
        <v>3.9</v>
      </c>
      <c r="C244" s="303">
        <f>(83.4*KFC!$B$20*1.02*1.3*1.1+KFC!$C$20)*KFC!$C$5</f>
        <v>121.64724000000004</v>
      </c>
      <c r="D244" s="300">
        <f>(96.9*KFC!$B$20*1.02*1.3*1.1+KFC!$C$20)*KFC!$C$5</f>
        <v>141.33834000000004</v>
      </c>
      <c r="E244" s="300">
        <f>(110.3*KFC!$B$20*1.02*1.3*1.1+KFC!$C$20)*KFC!$C$5</f>
        <v>160.88358000000002</v>
      </c>
      <c r="F244" s="300">
        <f>(123.8*KFC!$B$20*1.02*1.3*1.1+KFC!$C$20)*KFC!$C$5</f>
        <v>180.57468000000003</v>
      </c>
      <c r="G244" s="300">
        <f>(137.2*KFC!$B$20*1.02*1.3*1.1+KFC!$C$20)*KFC!$C$5</f>
        <v>200.11992000000001</v>
      </c>
      <c r="H244" s="300">
        <f>(150.7*KFC!$B$20*1.02*1.3*1.1+KFC!$C$20)*KFC!$C$5</f>
        <v>219.81102000000004</v>
      </c>
      <c r="I244" s="300">
        <f>(164.1*KFC!$B$20*1.02*1.3*1.1+KFC!$C$20)*KFC!$C$5</f>
        <v>239.35626000000005</v>
      </c>
      <c r="J244" s="300">
        <f>(177.6*KFC!$B$20*1.02*1.3*1.1+KFC!$C$20)*KFC!$C$5</f>
        <v>259.04735999999997</v>
      </c>
      <c r="K244" s="300">
        <f>(191*KFC!$B$20*1.02*1.3*1.1+KFC!$C$20)*KFC!$C$5</f>
        <v>278.5926</v>
      </c>
      <c r="L244" s="300">
        <f>(204.5*KFC!$B$20*1.02*1.3*1.1+KFC!$C$20)*KFC!$C$5</f>
        <v>298.28370000000007</v>
      </c>
      <c r="M244" s="300">
        <f>(217.9*KFC!$B$20*1.02*1.3*1.1+KFC!$C$20)*KFC!$C$5</f>
        <v>317.82894000000005</v>
      </c>
      <c r="N244" s="300">
        <f>(231.4*KFC!$B$20*1.02*1.3*1.1+KFC!$C$20)*KFC!$C$5</f>
        <v>337.52004000000005</v>
      </c>
      <c r="O244" s="300">
        <f>(244.8*KFC!$B$20*1.02*1.3*1.1+KFC!$C$20)*KFC!$C$5</f>
        <v>357.06528000000009</v>
      </c>
      <c r="P244" s="300">
        <f>(258.3*KFC!$B$20*1.02*1.3*1.1+KFC!$C$20)*KFC!$C$5</f>
        <v>376.75638000000004</v>
      </c>
      <c r="Q244" s="300">
        <f>(271.8*KFC!$B$20*1.02*1.3*1.1+KFC!$C$20)*KFC!$C$5</f>
        <v>396.44747999999998</v>
      </c>
      <c r="R244" s="300">
        <f>(285.3*KFC!$B$20*1.02*1.3*1.1+KFC!$C$20)*KFC!$C$5</f>
        <v>416.1385800000001</v>
      </c>
      <c r="S244" s="300">
        <f>(298.8*KFC!$B$20*1.02*1.3*1.1+KFC!$C$20)*KFC!$C$5</f>
        <v>435.82968000000011</v>
      </c>
      <c r="T244" s="300">
        <f>(312.2*KFC!$B$20*1.02*1.3*1.1+KFC!$C$20)*KFC!$C$5</f>
        <v>455.37492000000009</v>
      </c>
      <c r="U244" s="300">
        <f>(325.7*KFC!$B$20*1.02*1.3*1.1+KFC!$C$20)*KFC!$C$5</f>
        <v>475.06602000000004</v>
      </c>
      <c r="V244" s="300">
        <f>(339.1*KFC!$B$20*1.02*1.3*1.1+KFC!$C$20)*KFC!$C$5</f>
        <v>494.61126000000007</v>
      </c>
      <c r="W244" s="300">
        <f>(352.6*KFC!$B$20*1.02*1.3*1.1+KFC!$C$20)*KFC!$C$5</f>
        <v>514.30236000000014</v>
      </c>
      <c r="X244" s="300">
        <f>(366*KFC!$B$20*1.02*1.3*1.1+KFC!$C$20)*KFC!$C$5</f>
        <v>533.84760000000006</v>
      </c>
      <c r="Y244" s="304">
        <f>(379.5*KFC!$B$20*1.02*1.3*1.1+KFC!$C$20)*KFC!$C$5</f>
        <v>553.53870000000006</v>
      </c>
      <c r="Z244" s="345"/>
      <c r="AA244" s="345"/>
      <c r="AB244" s="345"/>
      <c r="AC244" s="345"/>
    </row>
    <row r="245" spans="1:29">
      <c r="A245" s="1538"/>
      <c r="B245" s="298">
        <v>4</v>
      </c>
      <c r="C245" s="303">
        <f>(84.5*KFC!$B$20*1.02*1.3*1.1+KFC!$C$20)*KFC!$C$5</f>
        <v>123.25170000000001</v>
      </c>
      <c r="D245" s="300">
        <f>(98.3*KFC!$B$20*1.02*1.3*1.1+KFC!$C$20)*KFC!$C$5</f>
        <v>143.38038000000003</v>
      </c>
      <c r="E245" s="300">
        <f>(112*KFC!$B$20*1.02*1.3*1.1+KFC!$C$20)*KFC!$C$5</f>
        <v>163.36320000000003</v>
      </c>
      <c r="F245" s="300">
        <f>(125.8*KFC!$B$20*1.02*1.3*1.1+KFC!$C$20)*KFC!$C$5</f>
        <v>183.49188000000001</v>
      </c>
      <c r="G245" s="300">
        <f>(139.7*KFC!$B$20*1.02*1.3*1.1+KFC!$C$20)*KFC!$C$5</f>
        <v>203.76642000000001</v>
      </c>
      <c r="H245" s="300">
        <f>(153.4*KFC!$B$20*1.02*1.3*1.1+KFC!$C$20)*KFC!$C$5</f>
        <v>223.74924000000004</v>
      </c>
      <c r="I245" s="300">
        <f>(167.2*KFC!$B$20*1.02*1.3*1.1+KFC!$C$20)*KFC!$C$5</f>
        <v>243.87791999999999</v>
      </c>
      <c r="J245" s="300">
        <f>(181*KFC!$B$20*1.02*1.3*1.1+KFC!$C$20)*KFC!$C$5</f>
        <v>264.00660000000005</v>
      </c>
      <c r="K245" s="300">
        <f>(194.8*KFC!$B$20*1.02*1.3*1.1+KFC!$C$20)*KFC!$C$5</f>
        <v>284.13528000000008</v>
      </c>
      <c r="L245" s="300">
        <f>(208.5*KFC!$B$20*1.02*1.3*1.1+KFC!$C$20)*KFC!$C$5</f>
        <v>304.11810000000003</v>
      </c>
      <c r="M245" s="300">
        <f>(222.3*KFC!$B$20*1.02*1.3*1.1+KFC!$C$20)*KFC!$C$5</f>
        <v>324.24678000000006</v>
      </c>
      <c r="N245" s="300">
        <f>(236.2*KFC!$B$20*1.02*1.3*1.1+KFC!$C$20)*KFC!$C$5</f>
        <v>344.52132000000006</v>
      </c>
      <c r="O245" s="300">
        <f>(249.9*KFC!$B$20*1.02*1.3*1.1+KFC!$C$20)*KFC!$C$5</f>
        <v>364.50414000000006</v>
      </c>
      <c r="P245" s="300">
        <f>(263.7*KFC!$B$20*1.02*1.3*1.1+KFC!$C$20)*KFC!$C$5</f>
        <v>384.63282000000004</v>
      </c>
      <c r="Q245" s="300">
        <f>(277.5*KFC!$B$20*1.02*1.3*1.1+KFC!$C$20)*KFC!$C$5</f>
        <v>404.76150000000007</v>
      </c>
      <c r="R245" s="300">
        <f>(291.3*KFC!$B$20*1.02*1.3*1.1+KFC!$C$20)*KFC!$C$5</f>
        <v>424.8901800000001</v>
      </c>
      <c r="S245" s="300">
        <f>(305*KFC!$B$20*1.02*1.3*1.1+KFC!$C$20)*KFC!$C$5</f>
        <v>444.8730000000001</v>
      </c>
      <c r="T245" s="300">
        <f>(318.8*KFC!$B$20*1.02*1.3*1.1+KFC!$C$20)*KFC!$C$5</f>
        <v>465.00168000000014</v>
      </c>
      <c r="U245" s="300">
        <f>(332.7*KFC!$B$20*1.02*1.3*1.1+KFC!$C$20)*KFC!$C$5</f>
        <v>485.27622000000002</v>
      </c>
      <c r="V245" s="300">
        <f>(346.5*KFC!$B$20*1.02*1.3*1.1+KFC!$C$20)*KFC!$C$5</f>
        <v>505.40490000000005</v>
      </c>
      <c r="W245" s="300">
        <f>(360.2*KFC!$B$20*1.02*1.3*1.1+KFC!$C$20)*KFC!$C$5</f>
        <v>525.38772000000006</v>
      </c>
      <c r="X245" s="300">
        <f>(374*KFC!$B$20*1.02*1.3*1.1+KFC!$C$20)*KFC!$C$5</f>
        <v>545.51640000000009</v>
      </c>
      <c r="Y245" s="304">
        <f>(387.8*KFC!$B$20*1.02*1.3*1.1+KFC!$C$20)*KFC!$C$5</f>
        <v>565.64508000000023</v>
      </c>
      <c r="Z245" s="345"/>
      <c r="AA245" s="345"/>
      <c r="AB245" s="345"/>
      <c r="AC245" s="345"/>
    </row>
    <row r="246" spans="1:29" ht="13.8" thickBot="1">
      <c r="A246" s="1539"/>
      <c r="B246" s="299">
        <v>4.05</v>
      </c>
      <c r="C246" s="305">
        <f>(85.6*KFC!$B$20*1.02*1.3*1.1+KFC!$C$20)*KFC!$C$5</f>
        <v>124.85616000000002</v>
      </c>
      <c r="D246" s="306">
        <f>(99.7*KFC!$B$20*1.02*1.3*1.1+KFC!$C$20)*KFC!$C$5</f>
        <v>145.42242000000002</v>
      </c>
      <c r="E246" s="306">
        <f>(113.9*KFC!$B$20*1.02*1.3*1.1+KFC!$C$20)*KFC!$C$5</f>
        <v>166.13454000000004</v>
      </c>
      <c r="F246" s="306">
        <f>(127.9*KFC!$B$20*1.02*1.3*1.1+KFC!$C$20)*KFC!$C$5</f>
        <v>186.55494000000002</v>
      </c>
      <c r="G246" s="306">
        <f>(142.1*KFC!$B$20*1.02*1.3*1.1+KFC!$C$20)*KFC!$C$5</f>
        <v>207.26706000000004</v>
      </c>
      <c r="H246" s="306">
        <f>(156.2*KFC!$B$20*1.02*1.3*1.1+KFC!$C$20)*KFC!$C$5</f>
        <v>227.83332000000001</v>
      </c>
      <c r="I246" s="306">
        <f>(170.2*KFC!$B$20*1.02*1.3*1.1+KFC!$C$20)*KFC!$C$5</f>
        <v>248.25371999999999</v>
      </c>
      <c r="J246" s="306">
        <f>(184.4*KFC!$B$20*1.02*1.3*1.1+KFC!$C$20)*KFC!$C$5</f>
        <v>268.96584000000007</v>
      </c>
      <c r="K246" s="306">
        <f>(198.5*KFC!$B$20*1.02*1.3*1.1+KFC!$C$20)*KFC!$C$5</f>
        <v>289.53210000000001</v>
      </c>
      <c r="L246" s="306">
        <f>(212.6*KFC!$B$20*1.02*1.3*1.1+KFC!$C$20)*KFC!$C$5</f>
        <v>310.09836000000001</v>
      </c>
      <c r="M246" s="306">
        <f>(226.7*KFC!$B$20*1.02*1.3*1.1+KFC!$C$20)*KFC!$C$5</f>
        <v>330.66462000000001</v>
      </c>
      <c r="N246" s="306">
        <f>(240.8*KFC!$B$20*1.02*1.3*1.1+KFC!$C$20)*KFC!$C$5</f>
        <v>351.23088000000007</v>
      </c>
      <c r="O246" s="306">
        <f>(255*KFC!$B$20*1.02*1.3*1.1+KFC!$C$20)*KFC!$C$5</f>
        <v>371.9430000000001</v>
      </c>
      <c r="P246" s="306">
        <f>(269.1*KFC!$B$20*1.02*1.3*1.1+KFC!$C$20)*KFC!$C$5</f>
        <v>392.5092600000001</v>
      </c>
      <c r="Q246" s="306">
        <f>(283.1*KFC!$B$20*1.02*1.3*1.1+KFC!$C$20)*KFC!$C$5</f>
        <v>412.92966000000001</v>
      </c>
      <c r="R246" s="306">
        <f>(297.3*KFC!$B$20*1.02*1.3*1.1+KFC!$C$20)*KFC!$C$5</f>
        <v>433.6417800000001</v>
      </c>
      <c r="S246" s="306">
        <f>(311.4*KFC!$B$20*1.02*1.3*1.1+KFC!$C$20)*KFC!$C$5</f>
        <v>454.20804000000004</v>
      </c>
      <c r="T246" s="306">
        <f>(325.6*KFC!$B$20*1.02*1.3*1.1+KFC!$C$20)*KFC!$C$5</f>
        <v>474.92016000000007</v>
      </c>
      <c r="U246" s="306">
        <f>(339.6*KFC!$B$20*1.02*1.3*1.1+KFC!$C$20)*KFC!$C$5</f>
        <v>495.34056000000015</v>
      </c>
      <c r="V246" s="306">
        <f>(353.7*KFC!$B$20*1.02*1.3*1.1+KFC!$C$20)*KFC!$C$5</f>
        <v>515.90682000000004</v>
      </c>
      <c r="W246" s="306">
        <f>(367.9*KFC!$B$20*1.02*1.3*1.1+KFC!$C$20)*KFC!$C$5</f>
        <v>536.61894000000007</v>
      </c>
      <c r="X246" s="306">
        <f>(381.9*KFC!$B$20*1.02*1.3*1.1+KFC!$C$20)*KFC!$C$5</f>
        <v>557.03934000000004</v>
      </c>
      <c r="Y246" s="307">
        <f>(396*KFC!$B$20*1.02*1.3*1.1+KFC!$C$20)*KFC!$C$5</f>
        <v>577.60560000000009</v>
      </c>
      <c r="Z246" s="345"/>
      <c r="AA246" s="345"/>
      <c r="AB246" s="345"/>
      <c r="AC246" s="345"/>
    </row>
    <row r="247" spans="1:29">
      <c r="A247" s="180" t="s">
        <v>303</v>
      </c>
      <c r="B247" s="346"/>
      <c r="C247" s="347"/>
      <c r="D247" s="347"/>
      <c r="E247" s="347"/>
      <c r="F247" s="347"/>
      <c r="G247" s="347"/>
      <c r="H247" s="347"/>
      <c r="I247" s="347"/>
      <c r="J247" s="347"/>
      <c r="K247" s="347"/>
      <c r="L247" s="347"/>
      <c r="M247" s="347"/>
      <c r="N247" s="347"/>
      <c r="O247" s="347"/>
      <c r="P247" s="347"/>
      <c r="Q247" s="347"/>
      <c r="R247" s="347"/>
      <c r="S247" s="347"/>
      <c r="T247" s="347"/>
      <c r="U247" s="347"/>
      <c r="V247" s="347"/>
      <c r="W247" s="347"/>
      <c r="X247" s="347"/>
      <c r="Y247" s="347"/>
      <c r="Z247" s="345"/>
      <c r="AA247" s="345"/>
      <c r="AB247" s="345"/>
      <c r="AC247" s="345"/>
    </row>
    <row r="248" spans="1:29">
      <c r="A248" s="185" t="s">
        <v>808</v>
      </c>
      <c r="B248" s="373"/>
      <c r="C248" s="345"/>
      <c r="D248" s="345"/>
      <c r="E248" s="345"/>
      <c r="F248" s="345"/>
      <c r="G248" s="345"/>
      <c r="H248" s="345"/>
      <c r="I248" s="345"/>
      <c r="J248" s="345"/>
      <c r="K248" s="345"/>
      <c r="L248" s="345"/>
      <c r="M248" s="345"/>
      <c r="N248" s="345"/>
      <c r="O248" s="345"/>
      <c r="P248" s="345"/>
      <c r="Q248" s="345"/>
      <c r="R248" s="345"/>
      <c r="S248" s="345"/>
      <c r="T248" s="345"/>
      <c r="U248" s="345"/>
      <c r="V248" s="345"/>
      <c r="W248" s="345"/>
      <c r="X248" s="345"/>
      <c r="Y248" s="345"/>
      <c r="Z248" s="345"/>
      <c r="AA248" s="345"/>
      <c r="AB248" s="345"/>
      <c r="AC248" s="345"/>
    </row>
    <row r="249" spans="1:29">
      <c r="A249" s="1612" t="s">
        <v>807</v>
      </c>
      <c r="B249" s="1612"/>
      <c r="C249" s="1612"/>
      <c r="D249" s="1612"/>
      <c r="E249" s="1612"/>
      <c r="F249" s="1612"/>
      <c r="G249" s="1612"/>
      <c r="H249" s="1612"/>
      <c r="I249" s="1612"/>
      <c r="J249" s="1612"/>
      <c r="K249" s="1612"/>
      <c r="L249" s="1612"/>
      <c r="M249" s="1612"/>
      <c r="N249" s="1612"/>
      <c r="O249" s="1612"/>
      <c r="P249" s="490">
        <f>(2.53*KFC!$B$20*1.1+KFC!$C$20)*KFC!$C$5</f>
        <v>2.7829999999999999</v>
      </c>
      <c r="Q249" s="523" t="s">
        <v>744</v>
      </c>
      <c r="S249" s="524"/>
      <c r="T249" s="524"/>
      <c r="U249" s="524"/>
      <c r="V249" s="345"/>
      <c r="W249" s="345"/>
      <c r="X249" s="345"/>
      <c r="Y249" s="345"/>
      <c r="Z249" s="345"/>
      <c r="AA249" s="345"/>
      <c r="AB249" s="345"/>
      <c r="AC249" s="345"/>
    </row>
    <row r="250" spans="1:29" ht="31.95" customHeight="1" thickBot="1">
      <c r="A250" s="1184" t="s">
        <v>463</v>
      </c>
      <c r="B250" s="1184"/>
      <c r="C250" s="1184"/>
      <c r="D250" s="1184"/>
      <c r="E250" s="1184"/>
      <c r="F250" s="1184"/>
      <c r="G250" s="1184"/>
      <c r="H250" s="1184"/>
      <c r="I250" s="1184"/>
      <c r="J250" s="1184"/>
      <c r="K250" s="1184"/>
      <c r="L250" s="1184"/>
      <c r="M250" s="1184"/>
      <c r="N250" s="1184"/>
      <c r="O250" s="1184"/>
      <c r="P250" s="1184"/>
      <c r="Q250" s="1184"/>
      <c r="R250" s="1184"/>
      <c r="S250" s="1184"/>
      <c r="T250" s="1184"/>
      <c r="U250" s="1184"/>
      <c r="V250" s="1184"/>
      <c r="W250" s="1184"/>
      <c r="X250" s="1184"/>
      <c r="Y250" s="1184"/>
      <c r="Z250" s="1184"/>
      <c r="AA250" s="1184"/>
      <c r="AB250" s="1184"/>
      <c r="AC250" s="1184"/>
    </row>
    <row r="251" spans="1:29" ht="21.75" customHeight="1" thickBot="1">
      <c r="A251" s="1620" t="s">
        <v>182</v>
      </c>
      <c r="B251" s="1621"/>
      <c r="C251" s="1621"/>
      <c r="D251" s="1621"/>
      <c r="E251" s="1621"/>
      <c r="F251" s="1621"/>
      <c r="G251" s="1621"/>
      <c r="H251" s="1621"/>
      <c r="I251" s="1621"/>
      <c r="J251" s="1621"/>
      <c r="K251" s="1621"/>
      <c r="L251" s="1621"/>
      <c r="M251" s="1621"/>
      <c r="N251" s="1621"/>
      <c r="O251" s="1621"/>
      <c r="P251" s="1621"/>
      <c r="Q251" s="1621"/>
      <c r="R251" s="1621"/>
      <c r="S251" s="1621"/>
      <c r="T251" s="1621"/>
      <c r="U251" s="1621"/>
      <c r="V251" s="1621"/>
      <c r="W251" s="1621"/>
      <c r="X251" s="1621"/>
      <c r="Y251" s="1621"/>
      <c r="Z251" s="1621"/>
      <c r="AA251" s="1621"/>
      <c r="AB251" s="1621"/>
      <c r="AC251" s="1622"/>
    </row>
    <row r="252" spans="1:29" ht="18.75" customHeight="1" thickBot="1">
      <c r="A252" s="511"/>
      <c r="B252" s="512"/>
      <c r="C252" s="512"/>
      <c r="D252" s="512"/>
      <c r="E252" s="513"/>
      <c r="F252" s="1603" t="s">
        <v>388</v>
      </c>
      <c r="G252" s="1604"/>
      <c r="H252" s="1604"/>
      <c r="I252" s="1605"/>
      <c r="J252" s="1617" t="s">
        <v>561</v>
      </c>
      <c r="K252" s="1618"/>
      <c r="L252" s="1618"/>
      <c r="M252" s="1618"/>
      <c r="N252" s="1618"/>
      <c r="O252" s="1618"/>
      <c r="P252" s="1618"/>
      <c r="Q252" s="1618"/>
      <c r="R252" s="1618"/>
      <c r="S252" s="1618"/>
      <c r="T252" s="1618"/>
      <c r="U252" s="1619"/>
      <c r="V252" s="1603" t="s">
        <v>389</v>
      </c>
      <c r="W252" s="1604"/>
      <c r="X252" s="1604"/>
      <c r="Y252" s="1605"/>
      <c r="Z252" s="517"/>
      <c r="AA252" s="512"/>
      <c r="AB252" s="512"/>
      <c r="AC252" s="512"/>
    </row>
    <row r="253" spans="1:29" ht="40.950000000000003" customHeight="1" thickBot="1">
      <c r="A253" s="514"/>
      <c r="B253" s="220"/>
      <c r="C253" s="220"/>
      <c r="D253" s="220"/>
      <c r="E253" s="515"/>
      <c r="F253" s="1606"/>
      <c r="G253" s="1607"/>
      <c r="H253" s="1607"/>
      <c r="I253" s="1608"/>
      <c r="J253" s="1616" t="s">
        <v>556</v>
      </c>
      <c r="K253" s="1611"/>
      <c r="L253" s="1611" t="s">
        <v>557</v>
      </c>
      <c r="M253" s="1611"/>
      <c r="N253" s="1611" t="s">
        <v>558</v>
      </c>
      <c r="O253" s="1611"/>
      <c r="P253" s="1611" t="s">
        <v>559</v>
      </c>
      <c r="Q253" s="1611"/>
      <c r="R253" s="1611" t="s">
        <v>553</v>
      </c>
      <c r="S253" s="1611"/>
      <c r="T253" s="1611" t="s">
        <v>554</v>
      </c>
      <c r="U253" s="1615"/>
      <c r="V253" s="1606" t="s">
        <v>390</v>
      </c>
      <c r="W253" s="1607"/>
      <c r="X253" s="1607" t="s">
        <v>555</v>
      </c>
      <c r="Y253" s="1608"/>
      <c r="Z253" s="518"/>
      <c r="AA253" s="220"/>
      <c r="AB253" s="220"/>
      <c r="AC253" s="220"/>
    </row>
    <row r="254" spans="1:29" ht="20.25" customHeight="1" thickBot="1">
      <c r="A254" s="514"/>
      <c r="B254" s="220"/>
      <c r="C254" s="220"/>
      <c r="D254" s="220"/>
      <c r="E254" s="516"/>
      <c r="F254" s="1613">
        <f>(5.5*KFC!$B$20*1.02*1.1+KFC!$C$20)*KFC!$C$5</f>
        <v>6.1710000000000012</v>
      </c>
      <c r="G254" s="1614"/>
      <c r="H254" s="1614"/>
      <c r="I254" s="1623"/>
      <c r="J254" s="1609" t="s">
        <v>1255</v>
      </c>
      <c r="K254" s="1610"/>
      <c r="L254" s="1610">
        <f>(17.68*KFC!$B$20*1.02*1.1+KFC!$C$20)*KFC!$C$5</f>
        <v>19.836960000000001</v>
      </c>
      <c r="M254" s="1610"/>
      <c r="N254" s="1609" t="s">
        <v>1255</v>
      </c>
      <c r="O254" s="1610"/>
      <c r="P254" s="1610">
        <f>(19.89*KFC!$B$20*1.02*1.1+KFC!$C$20)*KFC!$C$5</f>
        <v>22.316580000000002</v>
      </c>
      <c r="Q254" s="1610"/>
      <c r="R254" s="1610">
        <f>(63.3*KFC!$B$20*1.02*1.1+KFC!$C$20)*KFC!$C$5</f>
        <v>71.022600000000011</v>
      </c>
      <c r="S254" s="1610"/>
      <c r="T254" s="1610">
        <f>(72.15*KFC!$B$20*1.02*1.1+KFC!$C$20)*KFC!$C$5</f>
        <v>80.952300000000008</v>
      </c>
      <c r="U254" s="1633"/>
      <c r="V254" s="1613">
        <f>(11*KFC!$B$20*1.02*1.1+KFC!$C$20)*KFC!$C$5</f>
        <v>12.342000000000002</v>
      </c>
      <c r="W254" s="1614"/>
      <c r="X254" s="1614">
        <f>(13*KFC!$B$20*1.02*1.1+KFC!$C$20)*KFC!$C$5</f>
        <v>14.586</v>
      </c>
      <c r="Y254" s="1623"/>
      <c r="Z254" s="518"/>
      <c r="AA254" s="220"/>
      <c r="AB254" s="220"/>
      <c r="AC254" s="220"/>
    </row>
    <row r="255" spans="1:29" ht="25.95" customHeight="1">
      <c r="A255" s="1283" t="s">
        <v>772</v>
      </c>
      <c r="B255" s="1283"/>
      <c r="C255" s="1283"/>
      <c r="D255" s="1283"/>
      <c r="E255" s="1283"/>
      <c r="F255" s="1637"/>
      <c r="G255" s="1637"/>
      <c r="H255" s="1637"/>
      <c r="I255" s="1637"/>
      <c r="J255" s="1637"/>
      <c r="K255" s="1637"/>
      <c r="L255" s="1637"/>
      <c r="M255" s="1637"/>
      <c r="N255" s="1637"/>
      <c r="O255" s="1637"/>
      <c r="P255" s="1637"/>
      <c r="Q255" s="1637"/>
      <c r="R255" s="1637"/>
      <c r="S255" s="1637"/>
      <c r="T255" s="1637"/>
      <c r="U255" s="1637"/>
      <c r="V255" s="1637"/>
      <c r="W255" s="1637"/>
      <c r="X255" s="1637"/>
      <c r="Y255" s="1637"/>
      <c r="Z255" s="1283"/>
      <c r="AA255" s="1283"/>
      <c r="AB255" s="1283"/>
      <c r="AC255" s="1283"/>
    </row>
    <row r="256" spans="1:29" ht="30" customHeight="1">
      <c r="A256" s="1283" t="s">
        <v>764</v>
      </c>
      <c r="B256" s="1283"/>
      <c r="C256" s="1283"/>
      <c r="D256" s="498">
        <f>(2.04*KFC!$B$20*1.1+KFC!$C$20)*KFC!$C$5</f>
        <v>2.2440000000000002</v>
      </c>
      <c r="E256" s="1566" t="s">
        <v>773</v>
      </c>
      <c r="F256" s="1567"/>
      <c r="G256" s="1567"/>
      <c r="H256" s="1567"/>
      <c r="I256" s="1567"/>
      <c r="J256" s="498">
        <f>(3.23*KFC!$B$20*1.1+KFC!$C$20)*KFC!$C$5</f>
        <v>3.5530000000000004</v>
      </c>
      <c r="K256" s="1569" t="s">
        <v>774</v>
      </c>
      <c r="L256" s="1283"/>
      <c r="M256" s="1283"/>
      <c r="N256" s="1283"/>
      <c r="O256" s="1283"/>
      <c r="P256" s="1283"/>
      <c r="Q256" s="1283"/>
      <c r="S256" s="422"/>
      <c r="T256" s="422"/>
      <c r="U256" s="422"/>
      <c r="V256" s="422"/>
      <c r="W256" s="422"/>
      <c r="X256" s="422"/>
      <c r="Y256" s="422"/>
      <c r="Z256" s="422"/>
      <c r="AA256" s="422"/>
      <c r="AB256" s="422"/>
      <c r="AC256" s="422"/>
    </row>
    <row r="257" spans="1:29">
      <c r="A257" s="1283" t="s">
        <v>802</v>
      </c>
      <c r="B257" s="1283"/>
      <c r="C257" s="1283"/>
      <c r="D257" s="1283"/>
      <c r="E257" s="1283"/>
      <c r="F257" s="1283"/>
      <c r="G257" s="1283"/>
      <c r="H257" s="1283"/>
      <c r="I257" s="1283"/>
      <c r="J257" s="1283"/>
      <c r="K257" s="1283"/>
      <c r="L257" s="1283"/>
      <c r="M257" s="1283"/>
      <c r="N257" s="1283"/>
      <c r="O257" s="1283"/>
      <c r="P257" s="1283"/>
      <c r="Q257" s="1283"/>
      <c r="R257" s="1283"/>
      <c r="S257" s="1283"/>
      <c r="T257" s="1283"/>
      <c r="U257" s="1283"/>
      <c r="V257" s="1283"/>
      <c r="W257" s="1283"/>
      <c r="X257" s="1283"/>
      <c r="Y257" s="1283"/>
      <c r="Z257" s="1283"/>
      <c r="AA257" s="1283"/>
      <c r="AB257" s="1283"/>
      <c r="AC257" s="1283"/>
    </row>
    <row r="258" spans="1:29" ht="31.2" customHeight="1" thickBot="1">
      <c r="A258" s="1283" t="s">
        <v>764</v>
      </c>
      <c r="B258" s="1283"/>
      <c r="C258" s="1283"/>
      <c r="D258" s="759">
        <f>(6.58*KFC!$B$20*1.1+KFC!$C$20)*KFC!$C$5</f>
        <v>7.2380000000000004</v>
      </c>
      <c r="E258" s="1283" t="s">
        <v>803</v>
      </c>
      <c r="F258" s="1283"/>
      <c r="G258" s="1283"/>
      <c r="H258" s="1283"/>
      <c r="I258" s="1283"/>
      <c r="J258" s="1283"/>
      <c r="K258" s="1283"/>
    </row>
    <row r="259" spans="1:29" ht="31.2" customHeight="1" thickBot="1">
      <c r="A259" s="1713" t="s">
        <v>1116</v>
      </c>
      <c r="B259" s="1714"/>
      <c r="C259" s="1714"/>
      <c r="D259" s="1714"/>
      <c r="E259" s="1714"/>
      <c r="F259" s="1714"/>
      <c r="G259" s="1715"/>
      <c r="H259" s="767">
        <f>(13.16*KFC!$B$20+KFC!$C$20)*KFC!$C$5</f>
        <v>13.16</v>
      </c>
      <c r="I259" s="1634" t="s">
        <v>1117</v>
      </c>
      <c r="J259" s="1635"/>
      <c r="K259" s="1635"/>
      <c r="L259" s="1635"/>
      <c r="M259" s="1635"/>
      <c r="N259" s="1635"/>
      <c r="O259" s="1635"/>
      <c r="P259" s="1635"/>
      <c r="Q259" s="1635"/>
      <c r="R259" s="1635"/>
      <c r="S259" s="1635"/>
      <c r="T259" s="1635"/>
      <c r="U259" s="1635"/>
      <c r="V259" s="1635"/>
      <c r="W259" s="1636"/>
      <c r="X259" s="766">
        <f>(15.85*KFC!$B$20+KFC!$C$20)*KFC!$C$5</f>
        <v>15.85</v>
      </c>
    </row>
    <row r="260" spans="1:29" ht="31.2" customHeight="1">
      <c r="A260" s="1599" t="s">
        <v>1115</v>
      </c>
      <c r="B260" s="1599"/>
      <c r="C260" s="1599"/>
      <c r="D260" s="1599"/>
      <c r="E260" s="1599"/>
      <c r="F260" s="1599"/>
      <c r="G260" s="1599"/>
      <c r="H260" s="1599"/>
      <c r="I260" s="1599"/>
      <c r="J260" s="1599"/>
      <c r="K260" s="1599"/>
      <c r="L260" s="1599"/>
      <c r="M260" s="1599"/>
      <c r="N260" s="1599"/>
      <c r="O260" s="1599"/>
      <c r="P260" s="1599"/>
      <c r="Q260" s="1599"/>
      <c r="R260" s="1599"/>
      <c r="S260" s="1599"/>
      <c r="T260" s="1599"/>
      <c r="U260" s="1599"/>
    </row>
    <row r="261" spans="1:29" ht="31.2" customHeight="1">
      <c r="A261" s="1283" t="s">
        <v>1122</v>
      </c>
      <c r="B261" s="1283"/>
      <c r="C261" s="1283"/>
      <c r="D261" s="1283"/>
      <c r="E261" s="1283"/>
      <c r="F261" s="1283"/>
      <c r="G261" s="1283"/>
      <c r="H261" s="1283"/>
      <c r="I261" s="1283"/>
      <c r="J261" s="1283"/>
      <c r="K261" s="1283"/>
      <c r="L261" s="1283"/>
      <c r="M261" s="1283"/>
      <c r="N261" s="1283"/>
      <c r="O261" s="1283"/>
      <c r="P261" s="1283"/>
      <c r="Q261" s="1283"/>
      <c r="R261" s="1283"/>
      <c r="S261" s="1283"/>
      <c r="T261" s="1283"/>
      <c r="U261" s="1283"/>
      <c r="V261" s="1283"/>
      <c r="W261" s="1283"/>
      <c r="X261" s="1283"/>
      <c r="Y261" s="1283"/>
      <c r="Z261" s="1283"/>
      <c r="AA261" s="1283"/>
      <c r="AB261" s="1283"/>
      <c r="AC261" s="1283"/>
    </row>
    <row r="262" spans="1:29" ht="31.2" customHeight="1" thickBot="1">
      <c r="A262" s="678"/>
      <c r="B262" s="678"/>
      <c r="C262" s="678"/>
      <c r="D262" s="678"/>
      <c r="E262" s="678"/>
      <c r="F262" s="678"/>
      <c r="G262" s="678"/>
      <c r="H262" s="678"/>
      <c r="I262" s="678"/>
      <c r="J262" s="678"/>
      <c r="K262" s="678"/>
      <c r="L262" s="678"/>
      <c r="M262" s="678"/>
      <c r="N262" s="678"/>
      <c r="O262" s="678"/>
      <c r="P262" s="678"/>
      <c r="Q262" s="678"/>
      <c r="R262" s="678"/>
      <c r="S262" s="678"/>
      <c r="T262" s="678"/>
      <c r="U262" s="678"/>
      <c r="V262" s="678"/>
      <c r="W262" s="678"/>
      <c r="X262" s="678"/>
      <c r="Y262" s="678"/>
      <c r="Z262" s="678"/>
      <c r="AA262" s="678"/>
      <c r="AB262" s="678"/>
      <c r="AC262" s="678"/>
    </row>
    <row r="263" spans="1:29" ht="31.2" customHeight="1" thickBot="1">
      <c r="A263" s="1723" t="s">
        <v>1114</v>
      </c>
      <c r="B263" s="1724"/>
      <c r="C263" s="1724"/>
      <c r="D263" s="1724"/>
      <c r="E263" s="1724"/>
      <c r="F263" s="1724"/>
      <c r="G263" s="1724"/>
      <c r="H263" s="1724"/>
      <c r="I263" s="1724"/>
      <c r="J263" s="1724"/>
      <c r="K263" s="1724"/>
      <c r="L263" s="1724"/>
      <c r="M263" s="1724"/>
      <c r="N263" s="1724"/>
      <c r="O263" s="1724"/>
      <c r="P263" s="1724"/>
      <c r="Q263" s="1642"/>
      <c r="R263" s="758"/>
      <c r="S263" s="758"/>
      <c r="T263" s="758"/>
      <c r="U263" s="758"/>
      <c r="V263" s="758"/>
      <c r="W263" s="758"/>
      <c r="X263" s="758"/>
      <c r="Y263" s="758"/>
      <c r="Z263" s="758"/>
      <c r="AA263" s="758"/>
      <c r="AB263" s="758"/>
      <c r="AC263" s="758"/>
    </row>
    <row r="264" spans="1:29" ht="31.2" customHeight="1" thickBot="1">
      <c r="A264" s="1624" t="s">
        <v>123</v>
      </c>
      <c r="B264" s="1625"/>
      <c r="C264" s="1625"/>
      <c r="D264" s="1625"/>
      <c r="E264" s="1626"/>
      <c r="F264" s="1624" t="s">
        <v>124</v>
      </c>
      <c r="G264" s="1625"/>
      <c r="H264" s="1625"/>
      <c r="I264" s="1625"/>
      <c r="J264" s="1625"/>
      <c r="K264" s="1625"/>
      <c r="L264" s="1625"/>
      <c r="M264" s="1626"/>
      <c r="N264" s="1720" t="s">
        <v>125</v>
      </c>
      <c r="O264" s="1721"/>
      <c r="P264" s="1721"/>
      <c r="Q264" s="1722"/>
    </row>
    <row r="265" spans="1:29" ht="31.2" customHeight="1">
      <c r="A265" s="1716" t="s">
        <v>832</v>
      </c>
      <c r="B265" s="1717"/>
      <c r="C265" s="1717"/>
      <c r="D265" s="1717"/>
      <c r="E265" s="1717"/>
      <c r="F265" s="1627" t="s">
        <v>838</v>
      </c>
      <c r="G265" s="1628"/>
      <c r="H265" s="1628"/>
      <c r="I265" s="1628"/>
      <c r="J265" s="1628"/>
      <c r="K265" s="1628"/>
      <c r="L265" s="1628"/>
      <c r="M265" s="1629"/>
      <c r="N265" s="1707">
        <f>(6.6*KFC!$B$11+KFC!$C$11)*KFC!$C$5</f>
        <v>6.6</v>
      </c>
      <c r="O265" s="1708"/>
      <c r="P265" s="1708"/>
      <c r="Q265" s="1709"/>
    </row>
    <row r="266" spans="1:29" ht="31.2" customHeight="1" thickBot="1">
      <c r="A266" s="1718"/>
      <c r="B266" s="1719"/>
      <c r="C266" s="1719"/>
      <c r="D266" s="1719"/>
      <c r="E266" s="1719"/>
      <c r="F266" s="1630" t="s">
        <v>834</v>
      </c>
      <c r="G266" s="1631"/>
      <c r="H266" s="1631"/>
      <c r="I266" s="1631"/>
      <c r="J266" s="1631"/>
      <c r="K266" s="1631"/>
      <c r="L266" s="1631"/>
      <c r="M266" s="1632"/>
      <c r="N266" s="1710"/>
      <c r="O266" s="1711"/>
      <c r="P266" s="1711"/>
      <c r="Q266" s="1712"/>
    </row>
    <row r="267" spans="1:29" ht="31.2" customHeight="1">
      <c r="A267" s="1716" t="s">
        <v>833</v>
      </c>
      <c r="B267" s="1717"/>
      <c r="C267" s="1717"/>
      <c r="D267" s="1717"/>
      <c r="E267" s="1717"/>
      <c r="F267" s="1627" t="s">
        <v>838</v>
      </c>
      <c r="G267" s="1628"/>
      <c r="H267" s="1628"/>
      <c r="I267" s="1628"/>
      <c r="J267" s="1628"/>
      <c r="K267" s="1628"/>
      <c r="L267" s="1628"/>
      <c r="M267" s="1629"/>
      <c r="N267" s="1707">
        <f>(6.6*KFC!$B$11+KFC!$C$11)*KFC!$C$5</f>
        <v>6.6</v>
      </c>
      <c r="O267" s="1708"/>
      <c r="P267" s="1708"/>
      <c r="Q267" s="1709"/>
    </row>
    <row r="268" spans="1:29" ht="31.2" customHeight="1" thickBot="1">
      <c r="A268" s="1718"/>
      <c r="B268" s="1719"/>
      <c r="C268" s="1719"/>
      <c r="D268" s="1719"/>
      <c r="E268" s="1719"/>
      <c r="F268" s="1630" t="s">
        <v>835</v>
      </c>
      <c r="G268" s="1631"/>
      <c r="H268" s="1631"/>
      <c r="I268" s="1631"/>
      <c r="J268" s="1631"/>
      <c r="K268" s="1631"/>
      <c r="L268" s="1631"/>
      <c r="M268" s="1632"/>
      <c r="N268" s="1710"/>
      <c r="O268" s="1711"/>
      <c r="P268" s="1711"/>
      <c r="Q268" s="1712"/>
    </row>
    <row r="269" spans="1:29" ht="31.2" customHeight="1">
      <c r="A269" s="1716" t="s">
        <v>830</v>
      </c>
      <c r="B269" s="1717"/>
      <c r="C269" s="1717"/>
      <c r="D269" s="1717"/>
      <c r="E269" s="1717"/>
      <c r="F269" s="1627" t="s">
        <v>841</v>
      </c>
      <c r="G269" s="1628"/>
      <c r="H269" s="1628"/>
      <c r="I269" s="1628"/>
      <c r="J269" s="1628"/>
      <c r="K269" s="1628"/>
      <c r="L269" s="1628"/>
      <c r="M269" s="1629"/>
      <c r="N269" s="1707">
        <f>(6.6*KFC!$B$11+KFC!$C$11)*KFC!$C$5</f>
        <v>6.6</v>
      </c>
      <c r="O269" s="1708"/>
      <c r="P269" s="1708"/>
      <c r="Q269" s="1709"/>
    </row>
    <row r="270" spans="1:29" ht="31.2" customHeight="1" thickBot="1">
      <c r="A270" s="1718"/>
      <c r="B270" s="1719"/>
      <c r="C270" s="1719"/>
      <c r="D270" s="1719"/>
      <c r="E270" s="1719"/>
      <c r="F270" s="1630" t="s">
        <v>842</v>
      </c>
      <c r="G270" s="1631"/>
      <c r="H270" s="1631"/>
      <c r="I270" s="1631"/>
      <c r="J270" s="1631"/>
      <c r="K270" s="1631"/>
      <c r="L270" s="1631"/>
      <c r="M270" s="1632"/>
      <c r="N270" s="1710"/>
      <c r="O270" s="1711"/>
      <c r="P270" s="1711"/>
      <c r="Q270" s="1712"/>
    </row>
    <row r="271" spans="1:29" ht="31.2" customHeight="1">
      <c r="A271" s="1716" t="s">
        <v>831</v>
      </c>
      <c r="B271" s="1717"/>
      <c r="C271" s="1717"/>
      <c r="D271" s="1717"/>
      <c r="E271" s="1717"/>
      <c r="F271" s="1627" t="s">
        <v>841</v>
      </c>
      <c r="G271" s="1628"/>
      <c r="H271" s="1628"/>
      <c r="I271" s="1628"/>
      <c r="J271" s="1628"/>
      <c r="K271" s="1628"/>
      <c r="L271" s="1628"/>
      <c r="M271" s="1629"/>
      <c r="N271" s="1707">
        <f>(6.6*KFC!$B$11+KFC!$C$11)*KFC!$C$5</f>
        <v>6.6</v>
      </c>
      <c r="O271" s="1708"/>
      <c r="P271" s="1708"/>
      <c r="Q271" s="1709"/>
    </row>
    <row r="272" spans="1:29" ht="31.2" customHeight="1" thickBot="1">
      <c r="A272" s="1718"/>
      <c r="B272" s="1719"/>
      <c r="C272" s="1719"/>
      <c r="D272" s="1719"/>
      <c r="E272" s="1719"/>
      <c r="F272" s="1630" t="s">
        <v>843</v>
      </c>
      <c r="G272" s="1631"/>
      <c r="H272" s="1631"/>
      <c r="I272" s="1631"/>
      <c r="J272" s="1631"/>
      <c r="K272" s="1631"/>
      <c r="L272" s="1631"/>
      <c r="M272" s="1632"/>
      <c r="N272" s="1710"/>
      <c r="O272" s="1711"/>
      <c r="P272" s="1711"/>
      <c r="Q272" s="1712"/>
    </row>
    <row r="273" spans="1:29" ht="31.2" customHeight="1">
      <c r="A273" s="678"/>
      <c r="B273" s="678"/>
      <c r="C273" s="678"/>
      <c r="D273" s="503"/>
      <c r="E273" s="678"/>
      <c r="F273" s="678"/>
      <c r="G273" s="678"/>
      <c r="H273" s="678"/>
      <c r="I273" s="678"/>
      <c r="J273" s="678"/>
      <c r="K273" s="678"/>
    </row>
    <row r="274" spans="1:29" ht="18" customHeight="1" thickBot="1">
      <c r="A274" s="1643" t="s">
        <v>925</v>
      </c>
      <c r="B274" s="1643"/>
      <c r="C274" s="1643"/>
      <c r="D274" s="1643"/>
      <c r="E274" s="1643"/>
      <c r="F274" s="1643"/>
      <c r="G274" s="1643"/>
      <c r="H274" s="1643"/>
      <c r="I274" s="1643"/>
      <c r="J274" s="1643"/>
      <c r="K274" s="1643"/>
      <c r="L274" s="1643"/>
      <c r="M274" s="1643"/>
      <c r="N274" s="1643"/>
      <c r="O274" s="1643"/>
      <c r="P274" s="1643"/>
      <c r="Q274" s="1643"/>
      <c r="R274" s="1643"/>
      <c r="S274" s="1643"/>
      <c r="T274" s="1643"/>
      <c r="U274" s="1643"/>
      <c r="V274" s="1643"/>
      <c r="W274" s="1643"/>
      <c r="X274" s="1643"/>
      <c r="Y274" s="1643"/>
      <c r="Z274" s="1643"/>
      <c r="AA274" s="1643"/>
      <c r="AB274" s="1643"/>
      <c r="AC274" s="1643"/>
    </row>
    <row r="275" spans="1:29" ht="18" customHeight="1">
      <c r="A275" s="569"/>
      <c r="B275" s="569"/>
      <c r="C275" s="569"/>
      <c r="D275" s="569"/>
      <c r="E275" s="569"/>
      <c r="F275" s="569"/>
      <c r="G275" s="569"/>
      <c r="H275" s="1617" t="s">
        <v>926</v>
      </c>
      <c r="I275" s="1618"/>
      <c r="J275" s="1618"/>
      <c r="K275" s="1618"/>
      <c r="L275" s="1618"/>
      <c r="M275" s="1618"/>
      <c r="N275" s="1618"/>
      <c r="O275" s="1618"/>
      <c r="P275" s="1618"/>
      <c r="Q275" s="1618"/>
      <c r="R275" s="1618"/>
      <c r="S275" s="1618"/>
      <c r="T275" s="1618"/>
      <c r="U275" s="1619"/>
      <c r="V275" s="569"/>
      <c r="W275" s="569"/>
      <c r="X275" s="569"/>
      <c r="Y275" s="569"/>
      <c r="Z275" s="569"/>
      <c r="AA275" s="569"/>
      <c r="AB275" s="569"/>
      <c r="AC275" s="569"/>
    </row>
    <row r="276" spans="1:29" ht="39.6" customHeight="1">
      <c r="A276" s="569"/>
      <c r="B276" s="569"/>
      <c r="C276" s="569"/>
      <c r="D276" s="569"/>
      <c r="E276" s="569"/>
      <c r="F276" s="569"/>
      <c r="G276" s="569"/>
      <c r="H276" s="1616" t="s">
        <v>927</v>
      </c>
      <c r="I276" s="1611"/>
      <c r="J276" s="1611" t="s">
        <v>928</v>
      </c>
      <c r="K276" s="1611"/>
      <c r="L276" s="1611" t="s">
        <v>929</v>
      </c>
      <c r="M276" s="1611"/>
      <c r="N276" s="1611" t="s">
        <v>930</v>
      </c>
      <c r="O276" s="1611"/>
      <c r="P276" s="1611" t="s">
        <v>931</v>
      </c>
      <c r="Q276" s="1611"/>
      <c r="R276" s="1611" t="s">
        <v>932</v>
      </c>
      <c r="S276" s="1611"/>
      <c r="T276" s="1611" t="s">
        <v>933</v>
      </c>
      <c r="U276" s="1615"/>
      <c r="V276" s="569"/>
      <c r="W276" s="569"/>
      <c r="X276" s="569"/>
      <c r="Y276" s="569"/>
      <c r="Z276" s="569"/>
      <c r="AA276" s="569"/>
      <c r="AB276" s="569"/>
      <c r="AC276" s="569"/>
    </row>
    <row r="277" spans="1:29" ht="18" customHeight="1" thickBot="1">
      <c r="A277" s="569"/>
      <c r="B277" s="569"/>
      <c r="C277" s="569"/>
      <c r="D277" s="569"/>
      <c r="E277" s="569"/>
      <c r="F277" s="569"/>
      <c r="G277" s="569"/>
      <c r="H277" s="1646" t="s">
        <v>1255</v>
      </c>
      <c r="I277" s="1645"/>
      <c r="J277" s="1646" t="s">
        <v>1255</v>
      </c>
      <c r="K277" s="1645"/>
      <c r="L277" s="1645">
        <f>(19.8*KFC!$B$20*1.1+KFC!$C$20)*KFC!$C$5</f>
        <v>21.78</v>
      </c>
      <c r="M277" s="1645"/>
      <c r="N277" s="1645">
        <f>(26.3*KFC!$B$20*1.1+KFC!$C$20)*KFC!$C$5</f>
        <v>28.930000000000003</v>
      </c>
      <c r="O277" s="1645"/>
      <c r="P277" s="1645">
        <f>(28.6*KFC!$B$20*1.1+KFC!$C$20)*KFC!$C$5</f>
        <v>31.460000000000004</v>
      </c>
      <c r="Q277" s="1645"/>
      <c r="R277" s="1645">
        <f>(31.7*KFC!$B$20*1.1+KFC!$C$20)*KFC!$C$5</f>
        <v>34.870000000000005</v>
      </c>
      <c r="S277" s="1645"/>
      <c r="T277" s="1645">
        <f>(31.3*KFC!$B$20*1.1+KFC!$C$20)*KFC!$C$5</f>
        <v>34.430000000000007</v>
      </c>
      <c r="U277" s="1703"/>
      <c r="V277" s="569"/>
      <c r="W277" s="569"/>
      <c r="X277" s="569"/>
      <c r="Y277" s="569"/>
      <c r="Z277" s="569"/>
      <c r="AA277" s="569"/>
      <c r="AB277" s="569"/>
      <c r="AC277" s="569"/>
    </row>
    <row r="278" spans="1:29" ht="16.2" customHeight="1" thickBot="1">
      <c r="A278" s="1644" t="s">
        <v>1005</v>
      </c>
      <c r="B278" s="1644"/>
      <c r="C278" s="1644"/>
      <c r="D278" s="1644"/>
      <c r="E278" s="1644"/>
      <c r="F278" s="1644"/>
      <c r="G278" s="1644"/>
      <c r="H278" s="1644"/>
      <c r="I278" s="1644"/>
      <c r="J278" s="1644"/>
      <c r="K278" s="1644"/>
      <c r="L278" s="1644"/>
      <c r="M278" s="1644"/>
      <c r="N278" s="1644"/>
      <c r="O278" s="1644"/>
      <c r="P278" s="1644"/>
      <c r="Q278" s="1644"/>
      <c r="R278" s="1644"/>
      <c r="S278" s="1644"/>
      <c r="T278" s="1644"/>
      <c r="U278" s="1644"/>
      <c r="V278" s="1644"/>
      <c r="W278" s="1644"/>
      <c r="X278" s="1644"/>
      <c r="Y278" s="1644"/>
      <c r="Z278" s="1644"/>
      <c r="AA278" s="1644"/>
      <c r="AB278" s="1644"/>
      <c r="AC278" s="1644"/>
    </row>
    <row r="279" spans="1:29" ht="23.4" customHeight="1" thickBot="1">
      <c r="A279" s="1"/>
      <c r="H279" s="1638" t="s">
        <v>88</v>
      </c>
      <c r="I279" s="1639"/>
      <c r="J279" s="1640"/>
      <c r="K279" s="1114" t="s">
        <v>87</v>
      </c>
      <c r="L279" s="1006"/>
      <c r="M279" s="1006"/>
      <c r="N279" s="1006"/>
      <c r="O279" s="1006"/>
      <c r="P279" s="1006"/>
      <c r="Q279" s="1006"/>
      <c r="R279" s="1006"/>
      <c r="S279" s="1115"/>
      <c r="T279" s="1641" t="s">
        <v>24</v>
      </c>
      <c r="U279" s="1642"/>
    </row>
    <row r="280" spans="1:29" ht="13.95" customHeight="1">
      <c r="A280" s="1"/>
      <c r="H280" s="1653" t="s">
        <v>695</v>
      </c>
      <c r="I280" s="1654"/>
      <c r="J280" s="1654"/>
      <c r="K280" s="1117" t="s">
        <v>704</v>
      </c>
      <c r="L280" s="1117"/>
      <c r="M280" s="1117"/>
      <c r="N280" s="1117"/>
      <c r="O280" s="1117"/>
      <c r="P280" s="1117"/>
      <c r="Q280" s="1117"/>
      <c r="R280" s="1117"/>
      <c r="S280" s="1117"/>
      <c r="T280" s="1655">
        <f>(348.1*KFC!$B$41+KFC!$C$41)*KFC!$C$5</f>
        <v>348.1</v>
      </c>
      <c r="U280" s="1656"/>
    </row>
    <row r="281" spans="1:29" ht="13.95" customHeight="1">
      <c r="A281" s="1"/>
      <c r="H281" s="1035"/>
      <c r="I281" s="1218"/>
      <c r="J281" s="1218"/>
      <c r="K281" s="1647" t="s">
        <v>852</v>
      </c>
      <c r="L281" s="1118"/>
      <c r="M281" s="1118"/>
      <c r="N281" s="1118"/>
      <c r="O281" s="1118"/>
      <c r="P281" s="1118"/>
      <c r="Q281" s="1118"/>
      <c r="R281" s="1118"/>
      <c r="S281" s="1118"/>
      <c r="T281" s="1293"/>
      <c r="U281" s="1294"/>
    </row>
    <row r="282" spans="1:29" ht="13.95" customHeight="1">
      <c r="A282" s="1"/>
      <c r="H282" s="1035" t="s">
        <v>698</v>
      </c>
      <c r="I282" s="1218"/>
      <c r="J282" s="1218"/>
      <c r="K282" s="1118" t="s">
        <v>705</v>
      </c>
      <c r="L282" s="1118"/>
      <c r="M282" s="1118"/>
      <c r="N282" s="1118"/>
      <c r="O282" s="1118"/>
      <c r="P282" s="1118"/>
      <c r="Q282" s="1118"/>
      <c r="R282" s="1118"/>
      <c r="S282" s="1118"/>
      <c r="T282" s="1293">
        <f>(493.7*KFC!$B$41+KFC!$C$41)*KFC!$C$5</f>
        <v>493.7</v>
      </c>
      <c r="U282" s="1294"/>
    </row>
    <row r="283" spans="1:29" ht="14.4" customHeight="1">
      <c r="A283" s="1"/>
      <c r="H283" s="1035"/>
      <c r="I283" s="1218"/>
      <c r="J283" s="1218"/>
      <c r="K283" s="1647" t="s">
        <v>853</v>
      </c>
      <c r="L283" s="1118"/>
      <c r="M283" s="1118"/>
      <c r="N283" s="1118"/>
      <c r="O283" s="1118"/>
      <c r="P283" s="1118"/>
      <c r="Q283" s="1118"/>
      <c r="R283" s="1118"/>
      <c r="S283" s="1118"/>
      <c r="T283" s="1293"/>
      <c r="U283" s="1294"/>
    </row>
    <row r="284" spans="1:29" ht="13.8">
      <c r="A284" s="1"/>
      <c r="H284" s="1035" t="s">
        <v>691</v>
      </c>
      <c r="I284" s="1218"/>
      <c r="J284" s="1218"/>
      <c r="K284" s="1650" t="s">
        <v>663</v>
      </c>
      <c r="L284" s="1650"/>
      <c r="M284" s="1650"/>
      <c r="N284" s="1650"/>
      <c r="O284" s="1650"/>
      <c r="P284" s="1650"/>
      <c r="Q284" s="1650"/>
      <c r="R284" s="1650"/>
      <c r="S284" s="1650"/>
      <c r="T284" s="1293">
        <f>(154.43*KFC!$B$41*1.45+KFC!$C$41)*KFC!$C$5</f>
        <v>223.92349999999999</v>
      </c>
      <c r="U284" s="1294"/>
    </row>
    <row r="285" spans="1:29" ht="13.8">
      <c r="A285" s="1"/>
      <c r="H285" s="1648"/>
      <c r="I285" s="1649"/>
      <c r="J285" s="1649"/>
      <c r="K285" s="1647" t="s">
        <v>854</v>
      </c>
      <c r="L285" s="1650"/>
      <c r="M285" s="1650"/>
      <c r="N285" s="1650"/>
      <c r="O285" s="1650"/>
      <c r="P285" s="1650"/>
      <c r="Q285" s="1650"/>
      <c r="R285" s="1650"/>
      <c r="S285" s="1650"/>
      <c r="T285" s="1651"/>
      <c r="U285" s="1652"/>
    </row>
    <row r="286" spans="1:29" ht="28.95" customHeight="1">
      <c r="A286" s="1"/>
      <c r="H286" s="1035" t="s">
        <v>691</v>
      </c>
      <c r="I286" s="1218"/>
      <c r="J286" s="1218"/>
      <c r="K286" s="1650" t="s">
        <v>664</v>
      </c>
      <c r="L286" s="1650"/>
      <c r="M286" s="1650"/>
      <c r="N286" s="1650"/>
      <c r="O286" s="1650"/>
      <c r="P286" s="1650"/>
      <c r="Q286" s="1650"/>
      <c r="R286" s="1650"/>
      <c r="S286" s="1650"/>
      <c r="T286" s="1293">
        <f>(227.85*KFC!$B$41*1.45+KFC!$C$41)*KFC!$C$5</f>
        <v>330.38249999999999</v>
      </c>
      <c r="U286" s="1294"/>
    </row>
    <row r="287" spans="1:29" ht="13.8">
      <c r="A287" s="1"/>
      <c r="H287" s="1035" t="s">
        <v>691</v>
      </c>
      <c r="I287" s="1218"/>
      <c r="J287" s="1218"/>
      <c r="K287" s="1650" t="s">
        <v>665</v>
      </c>
      <c r="L287" s="1650"/>
      <c r="M287" s="1650"/>
      <c r="N287" s="1650"/>
      <c r="O287" s="1650"/>
      <c r="P287" s="1650"/>
      <c r="Q287" s="1650"/>
      <c r="R287" s="1650"/>
      <c r="S287" s="1650"/>
      <c r="T287" s="1293">
        <f>(265.82*KFC!$B$41*1.45+KFC!$C$41)*KFC!$C$5</f>
        <v>385.43899999999996</v>
      </c>
      <c r="U287" s="1294"/>
    </row>
    <row r="288" spans="1:29" ht="13.8">
      <c r="A288" s="1"/>
      <c r="H288" s="1648"/>
      <c r="I288" s="1649"/>
      <c r="J288" s="1649"/>
      <c r="K288" s="1647" t="s">
        <v>873</v>
      </c>
      <c r="L288" s="1650"/>
      <c r="M288" s="1650"/>
      <c r="N288" s="1650"/>
      <c r="O288" s="1650"/>
      <c r="P288" s="1650"/>
      <c r="Q288" s="1650"/>
      <c r="R288" s="1650"/>
      <c r="S288" s="1650"/>
      <c r="T288" s="1651"/>
      <c r="U288" s="1652"/>
    </row>
    <row r="289" spans="1:25" ht="13.8">
      <c r="A289" s="1"/>
      <c r="H289" s="1035" t="s">
        <v>903</v>
      </c>
      <c r="I289" s="1218"/>
      <c r="J289" s="1218"/>
      <c r="K289" s="1118" t="s">
        <v>1039</v>
      </c>
      <c r="L289" s="1118"/>
      <c r="M289" s="1118"/>
      <c r="N289" s="1118"/>
      <c r="O289" s="1118"/>
      <c r="P289" s="1118"/>
      <c r="Q289" s="1118"/>
      <c r="R289" s="1118"/>
      <c r="S289" s="1118"/>
      <c r="T289" s="1293">
        <f>(120.3*KFC!$B$41+KFC!$C$41)*KFC!$C$5</f>
        <v>120.3</v>
      </c>
      <c r="U289" s="1294"/>
    </row>
    <row r="290" spans="1:25" ht="13.8">
      <c r="A290" s="1"/>
      <c r="H290" s="1035"/>
      <c r="I290" s="1218"/>
      <c r="J290" s="1218"/>
      <c r="K290" s="1647" t="s">
        <v>855</v>
      </c>
      <c r="L290" s="1118"/>
      <c r="M290" s="1118"/>
      <c r="N290" s="1118"/>
      <c r="O290" s="1118"/>
      <c r="P290" s="1118"/>
      <c r="Q290" s="1118"/>
      <c r="R290" s="1118"/>
      <c r="S290" s="1118"/>
      <c r="T290" s="1293"/>
      <c r="U290" s="1294"/>
    </row>
    <row r="291" spans="1:25" ht="31.2" customHeight="1">
      <c r="A291" s="1"/>
      <c r="H291" s="1035" t="s">
        <v>903</v>
      </c>
      <c r="I291" s="1218"/>
      <c r="J291" s="1218"/>
      <c r="K291" s="1118" t="s">
        <v>1008</v>
      </c>
      <c r="L291" s="1118"/>
      <c r="M291" s="1118"/>
      <c r="N291" s="1118"/>
      <c r="O291" s="1118"/>
      <c r="P291" s="1118"/>
      <c r="Q291" s="1118"/>
      <c r="R291" s="1118"/>
      <c r="S291" s="1118"/>
      <c r="T291" s="1293">
        <f>(132.9*KFC!$B$41+KFC!$C$41)*KFC!$C$5</f>
        <v>132.9</v>
      </c>
      <c r="U291" s="1294"/>
    </row>
    <row r="292" spans="1:25" ht="13.8">
      <c r="A292" s="1"/>
      <c r="H292" s="1035"/>
      <c r="I292" s="1218"/>
      <c r="J292" s="1218"/>
      <c r="K292" s="1647" t="s">
        <v>856</v>
      </c>
      <c r="L292" s="1118"/>
      <c r="M292" s="1118"/>
      <c r="N292" s="1118"/>
      <c r="O292" s="1118"/>
      <c r="P292" s="1118"/>
      <c r="Q292" s="1118"/>
      <c r="R292" s="1118"/>
      <c r="S292" s="1118"/>
      <c r="T292" s="1293"/>
      <c r="U292" s="1294"/>
    </row>
    <row r="293" spans="1:25" ht="13.95" customHeight="1">
      <c r="A293" s="1"/>
      <c r="H293" s="1526" t="s">
        <v>904</v>
      </c>
      <c r="I293" s="1252"/>
      <c r="J293" s="1253"/>
      <c r="K293" s="1650" t="s">
        <v>1003</v>
      </c>
      <c r="L293" s="1650"/>
      <c r="M293" s="1650"/>
      <c r="N293" s="1650"/>
      <c r="O293" s="1650"/>
      <c r="P293" s="1650"/>
      <c r="Q293" s="1650"/>
      <c r="R293" s="1650"/>
      <c r="S293" s="1650"/>
      <c r="T293" s="1657">
        <f>(177*KFC!$B$41+KFC!$C$41)*KFC!$C$5</f>
        <v>177</v>
      </c>
      <c r="U293" s="1658"/>
    </row>
    <row r="294" spans="1:25" ht="28.2" customHeight="1">
      <c r="A294" s="1"/>
      <c r="H294" s="1663"/>
      <c r="I294" s="1255"/>
      <c r="J294" s="1256"/>
      <c r="K294" s="1661" t="s">
        <v>1002</v>
      </c>
      <c r="L294" s="1662"/>
      <c r="M294" s="1662"/>
      <c r="N294" s="1662"/>
      <c r="O294" s="1662"/>
      <c r="P294" s="1662"/>
      <c r="Q294" s="1662"/>
      <c r="R294" s="1662"/>
      <c r="S294" s="1662"/>
      <c r="T294" s="1659"/>
      <c r="U294" s="1660"/>
    </row>
    <row r="295" spans="1:25" ht="28.2" customHeight="1">
      <c r="A295" s="1"/>
      <c r="H295" s="1035" t="s">
        <v>904</v>
      </c>
      <c r="I295" s="1218"/>
      <c r="J295" s="1218"/>
      <c r="K295" s="1650" t="s">
        <v>912</v>
      </c>
      <c r="L295" s="1650"/>
      <c r="M295" s="1650"/>
      <c r="N295" s="1650"/>
      <c r="O295" s="1650"/>
      <c r="P295" s="1650"/>
      <c r="Q295" s="1650"/>
      <c r="R295" s="1650"/>
      <c r="S295" s="1650"/>
      <c r="T295" s="1293">
        <f>(120.3*KFC!$B$41+KFC!$C$41)*KFC!$C$5</f>
        <v>120.3</v>
      </c>
      <c r="U295" s="1294"/>
    </row>
    <row r="296" spans="1:25" ht="28.2" customHeight="1">
      <c r="A296" s="1"/>
      <c r="H296" s="1035" t="s">
        <v>904</v>
      </c>
      <c r="I296" s="1218"/>
      <c r="J296" s="1218"/>
      <c r="K296" s="1650" t="s">
        <v>913</v>
      </c>
      <c r="L296" s="1650"/>
      <c r="M296" s="1650"/>
      <c r="N296" s="1650"/>
      <c r="O296" s="1650"/>
      <c r="P296" s="1650"/>
      <c r="Q296" s="1650"/>
      <c r="R296" s="1650"/>
      <c r="S296" s="1650"/>
      <c r="T296" s="1293">
        <f>(126.6*KFC!$B$41+KFC!$C$41)*KFC!$C$5</f>
        <v>126.6</v>
      </c>
      <c r="U296" s="1294"/>
    </row>
    <row r="297" spans="1:25" ht="28.2" customHeight="1">
      <c r="A297" s="1"/>
      <c r="H297" s="1035" t="s">
        <v>904</v>
      </c>
      <c r="I297" s="1218"/>
      <c r="J297" s="1218"/>
      <c r="K297" s="1650" t="s">
        <v>914</v>
      </c>
      <c r="L297" s="1650"/>
      <c r="M297" s="1650"/>
      <c r="N297" s="1650"/>
      <c r="O297" s="1650"/>
      <c r="P297" s="1650"/>
      <c r="Q297" s="1650"/>
      <c r="R297" s="1650"/>
      <c r="S297" s="1650"/>
      <c r="T297" s="1293">
        <f>(126.3*KFC!$B$41+KFC!$C$41)*KFC!$C$5</f>
        <v>126.3</v>
      </c>
      <c r="U297" s="1294"/>
    </row>
    <row r="298" spans="1:25" ht="28.2" customHeight="1" thickBot="1">
      <c r="A298" s="1"/>
      <c r="H298" s="1036" t="s">
        <v>904</v>
      </c>
      <c r="I298" s="1564"/>
      <c r="J298" s="1564"/>
      <c r="K298" s="1556" t="s">
        <v>905</v>
      </c>
      <c r="L298" s="1556"/>
      <c r="M298" s="1556"/>
      <c r="N298" s="1556"/>
      <c r="O298" s="1556"/>
      <c r="P298" s="1556"/>
      <c r="Q298" s="1556"/>
      <c r="R298" s="1556"/>
      <c r="S298" s="1556"/>
      <c r="T298" s="1295">
        <f>(173.42*KFC!$B$41+KFC!$C$41)*KFC!$C$5</f>
        <v>173.42</v>
      </c>
      <c r="U298" s="1296"/>
    </row>
    <row r="299" spans="1:25" ht="28.2" customHeight="1">
      <c r="A299" s="398"/>
      <c r="B299" s="398"/>
      <c r="C299" s="398"/>
      <c r="D299" s="398"/>
      <c r="E299" s="398"/>
      <c r="F299" s="398"/>
      <c r="G299" s="398"/>
      <c r="H299" s="398"/>
      <c r="I299" s="398"/>
      <c r="J299" s="398"/>
      <c r="K299" s="398"/>
      <c r="L299" s="398"/>
      <c r="M299" s="398"/>
      <c r="N299" s="399"/>
      <c r="O299" s="326"/>
      <c r="P299" s="326"/>
      <c r="Q299" s="326"/>
      <c r="R299" s="326"/>
      <c r="S299" s="326"/>
      <c r="T299" s="326"/>
      <c r="U299" s="326"/>
      <c r="V299" s="326"/>
      <c r="W299" s="326"/>
      <c r="X299" s="326"/>
      <c r="Y299" s="326"/>
    </row>
    <row r="301" spans="1:25" ht="16.2" thickBot="1">
      <c r="A301" s="1"/>
      <c r="H301" s="1664" t="s">
        <v>934</v>
      </c>
      <c r="I301" s="1664"/>
      <c r="J301" s="1664"/>
      <c r="K301" s="1664"/>
      <c r="L301" s="1664"/>
      <c r="M301" s="1664"/>
      <c r="N301" s="1664"/>
      <c r="O301" s="1664"/>
      <c r="P301" s="1664"/>
      <c r="Q301" s="1664"/>
      <c r="R301" s="1664"/>
      <c r="S301" s="1664"/>
      <c r="T301" s="1664"/>
      <c r="U301" s="1664"/>
      <c r="V301" s="1664"/>
      <c r="W301" s="1664"/>
      <c r="X301" s="1664"/>
    </row>
    <row r="302" spans="1:25" ht="14.4" thickBot="1">
      <c r="A302" s="1"/>
      <c r="H302" s="1665" t="s">
        <v>88</v>
      </c>
      <c r="I302" s="1666"/>
      <c r="J302" s="1666"/>
      <c r="K302" s="1051" t="s">
        <v>87</v>
      </c>
      <c r="L302" s="1052"/>
      <c r="M302" s="1052"/>
      <c r="N302" s="1052"/>
      <c r="O302" s="1052"/>
      <c r="P302" s="1052"/>
      <c r="Q302" s="1052"/>
      <c r="R302" s="1052"/>
      <c r="S302" s="1052"/>
      <c r="T302" s="1053"/>
      <c r="U302" s="1049" t="s">
        <v>24</v>
      </c>
      <c r="V302" s="1667"/>
      <c r="W302" s="1667"/>
      <c r="X302" s="1050"/>
    </row>
    <row r="303" spans="1:25" ht="13.8">
      <c r="A303" s="1"/>
      <c r="H303" s="1668" t="s">
        <v>689</v>
      </c>
      <c r="I303" s="1669"/>
      <c r="J303" s="1669"/>
      <c r="K303" s="1192" t="s">
        <v>644</v>
      </c>
      <c r="L303" s="1193"/>
      <c r="M303" s="1193"/>
      <c r="N303" s="1193"/>
      <c r="O303" s="1193"/>
      <c r="P303" s="1193"/>
      <c r="Q303" s="1193"/>
      <c r="R303" s="1193"/>
      <c r="S303" s="1193"/>
      <c r="T303" s="1194"/>
      <c r="U303" s="1672">
        <f>(44.31*KFC!$B$41*1.6+KFC!$C$41)*KFC!$C$5</f>
        <v>70.896000000000001</v>
      </c>
      <c r="V303" s="1673"/>
      <c r="W303" s="1673"/>
      <c r="X303" s="1674"/>
    </row>
    <row r="304" spans="1:25" ht="13.8">
      <c r="A304" s="1"/>
      <c r="H304" s="1670"/>
      <c r="I304" s="1671"/>
      <c r="J304" s="1671"/>
      <c r="K304" s="1388" t="s">
        <v>858</v>
      </c>
      <c r="L304" s="1678"/>
      <c r="M304" s="1678"/>
      <c r="N304" s="1678"/>
      <c r="O304" s="1678"/>
      <c r="P304" s="1678"/>
      <c r="Q304" s="1678"/>
      <c r="R304" s="1678"/>
      <c r="S304" s="1678"/>
      <c r="T304" s="1679"/>
      <c r="U304" s="1675"/>
      <c r="V304" s="1676"/>
      <c r="W304" s="1676"/>
      <c r="X304" s="1677"/>
    </row>
    <row r="305" spans="1:24" ht="13.8">
      <c r="A305" s="1"/>
      <c r="H305" s="1680" t="s">
        <v>689</v>
      </c>
      <c r="I305" s="1681"/>
      <c r="J305" s="1681"/>
      <c r="K305" s="1170" t="s">
        <v>645</v>
      </c>
      <c r="L305" s="1171"/>
      <c r="M305" s="1171"/>
      <c r="N305" s="1171"/>
      <c r="O305" s="1171"/>
      <c r="P305" s="1171"/>
      <c r="Q305" s="1171"/>
      <c r="R305" s="1171"/>
      <c r="S305" s="1171"/>
      <c r="T305" s="1172"/>
      <c r="U305" s="1657">
        <f>(75.95*KFC!$B$41*1.6+KFC!$C$41)*KFC!$C$5</f>
        <v>121.52000000000001</v>
      </c>
      <c r="V305" s="1682"/>
      <c r="W305" s="1682"/>
      <c r="X305" s="1658"/>
    </row>
    <row r="306" spans="1:24" ht="13.8">
      <c r="A306" s="1"/>
      <c r="H306" s="1670"/>
      <c r="I306" s="1671"/>
      <c r="J306" s="1671"/>
      <c r="K306" s="1388" t="s">
        <v>859</v>
      </c>
      <c r="L306" s="1678"/>
      <c r="M306" s="1678"/>
      <c r="N306" s="1678"/>
      <c r="O306" s="1678"/>
      <c r="P306" s="1678"/>
      <c r="Q306" s="1678"/>
      <c r="R306" s="1678"/>
      <c r="S306" s="1678"/>
      <c r="T306" s="1679"/>
      <c r="U306" s="1675"/>
      <c r="V306" s="1676"/>
      <c r="W306" s="1676"/>
      <c r="X306" s="1677"/>
    </row>
    <row r="307" spans="1:24" ht="13.8">
      <c r="A307" s="1"/>
      <c r="H307" s="1680" t="s">
        <v>695</v>
      </c>
      <c r="I307" s="1681"/>
      <c r="J307" s="1681"/>
      <c r="K307" s="1170" t="s">
        <v>91</v>
      </c>
      <c r="L307" s="1171"/>
      <c r="M307" s="1171"/>
      <c r="N307" s="1171"/>
      <c r="O307" s="1171"/>
      <c r="P307" s="1171"/>
      <c r="Q307" s="1171"/>
      <c r="R307" s="1171"/>
      <c r="S307" s="1171"/>
      <c r="T307" s="1172"/>
      <c r="U307" s="1657">
        <f>(181.52*KFC!$B$41*1.6+KFC!$C$41)*KFC!$C$5</f>
        <v>290.43200000000002</v>
      </c>
      <c r="V307" s="1682"/>
      <c r="W307" s="1682"/>
      <c r="X307" s="1658"/>
    </row>
    <row r="308" spans="1:24" ht="13.8">
      <c r="A308" s="1"/>
      <c r="H308" s="1670"/>
      <c r="I308" s="1671"/>
      <c r="J308" s="1671"/>
      <c r="K308" s="1388" t="s">
        <v>860</v>
      </c>
      <c r="L308" s="1678"/>
      <c r="M308" s="1678"/>
      <c r="N308" s="1678"/>
      <c r="O308" s="1678"/>
      <c r="P308" s="1678"/>
      <c r="Q308" s="1678"/>
      <c r="R308" s="1678"/>
      <c r="S308" s="1678"/>
      <c r="T308" s="1679"/>
      <c r="U308" s="1683"/>
      <c r="V308" s="1684"/>
      <c r="W308" s="1684"/>
      <c r="X308" s="1685"/>
    </row>
    <row r="309" spans="1:24" ht="13.8">
      <c r="A309" s="1"/>
      <c r="H309" s="1680" t="s">
        <v>696</v>
      </c>
      <c r="I309" s="1681"/>
      <c r="J309" s="1681"/>
      <c r="K309" s="1170" t="s">
        <v>819</v>
      </c>
      <c r="L309" s="1171"/>
      <c r="M309" s="1171"/>
      <c r="N309" s="1171"/>
      <c r="O309" s="1171"/>
      <c r="P309" s="1171"/>
      <c r="Q309" s="1171"/>
      <c r="R309" s="1171"/>
      <c r="S309" s="1171"/>
      <c r="T309" s="1171"/>
      <c r="U309" s="1657">
        <f>(95.07*KFC!$B$41*1.6+KFC!$C$41)*KFC!$C$5</f>
        <v>152.11199999999999</v>
      </c>
      <c r="V309" s="1682"/>
      <c r="W309" s="1682"/>
      <c r="X309" s="1658"/>
    </row>
    <row r="310" spans="1:24" ht="13.8">
      <c r="A310" s="1"/>
      <c r="H310" s="1670"/>
      <c r="I310" s="1671"/>
      <c r="J310" s="1671"/>
      <c r="K310" s="1388" t="s">
        <v>861</v>
      </c>
      <c r="L310" s="1678"/>
      <c r="M310" s="1678"/>
      <c r="N310" s="1678"/>
      <c r="O310" s="1678"/>
      <c r="P310" s="1678"/>
      <c r="Q310" s="1678"/>
      <c r="R310" s="1678"/>
      <c r="S310" s="1678"/>
      <c r="T310" s="1678"/>
      <c r="U310" s="559"/>
      <c r="V310" s="560"/>
      <c r="W310" s="560"/>
      <c r="X310" s="561"/>
    </row>
    <row r="311" spans="1:24" ht="13.8">
      <c r="A311" s="1"/>
      <c r="H311" s="1680" t="s">
        <v>690</v>
      </c>
      <c r="I311" s="1681"/>
      <c r="J311" s="1681"/>
      <c r="K311" s="1170" t="s">
        <v>820</v>
      </c>
      <c r="L311" s="1171"/>
      <c r="M311" s="1171"/>
      <c r="N311" s="1171"/>
      <c r="O311" s="1171"/>
      <c r="P311" s="1171"/>
      <c r="Q311" s="1171"/>
      <c r="R311" s="1171"/>
      <c r="S311" s="1171"/>
      <c r="T311" s="1172"/>
      <c r="U311" s="1657">
        <f>(113.93*KFC!$B$41*1.6+KFC!$C$41)*KFC!$C$5</f>
        <v>182.28800000000001</v>
      </c>
      <c r="V311" s="1682"/>
      <c r="W311" s="1682"/>
      <c r="X311" s="1658"/>
    </row>
    <row r="312" spans="1:24" ht="13.8">
      <c r="A312" s="1"/>
      <c r="H312" s="1670"/>
      <c r="I312" s="1671"/>
      <c r="J312" s="1671"/>
      <c r="K312" s="1388" t="s">
        <v>862</v>
      </c>
      <c r="L312" s="1678"/>
      <c r="M312" s="1678"/>
      <c r="N312" s="1678"/>
      <c r="O312" s="1678"/>
      <c r="P312" s="1678"/>
      <c r="Q312" s="1678"/>
      <c r="R312" s="1678"/>
      <c r="S312" s="1678"/>
      <c r="T312" s="1679"/>
      <c r="U312" s="1675"/>
      <c r="V312" s="1676"/>
      <c r="W312" s="1676"/>
      <c r="X312" s="1677"/>
    </row>
    <row r="313" spans="1:24" ht="13.8">
      <c r="A313" s="1"/>
      <c r="H313" s="1680" t="s">
        <v>697</v>
      </c>
      <c r="I313" s="1681"/>
      <c r="J313" s="1681"/>
      <c r="K313" s="1170" t="s">
        <v>92</v>
      </c>
      <c r="L313" s="1171"/>
      <c r="M313" s="1171"/>
      <c r="N313" s="1171"/>
      <c r="O313" s="1171"/>
      <c r="P313" s="1171"/>
      <c r="Q313" s="1171"/>
      <c r="R313" s="1171"/>
      <c r="S313" s="1171"/>
      <c r="T313" s="1172"/>
      <c r="U313" s="1657">
        <f>(38.74*KFC!$B$41*1.6+KFC!$C$41)*KFC!$C$5</f>
        <v>61.984000000000009</v>
      </c>
      <c r="V313" s="1682"/>
      <c r="W313" s="1682"/>
      <c r="X313" s="1658"/>
    </row>
    <row r="314" spans="1:24" ht="13.8">
      <c r="A314" s="1"/>
      <c r="H314" s="1670"/>
      <c r="I314" s="1671"/>
      <c r="J314" s="1671"/>
      <c r="K314" s="1017" t="s">
        <v>863</v>
      </c>
      <c r="L314" s="1403"/>
      <c r="M314" s="1403"/>
      <c r="N314" s="1403"/>
      <c r="O314" s="1403"/>
      <c r="P314" s="1403"/>
      <c r="Q314" s="1403"/>
      <c r="R314" s="1403"/>
      <c r="S314" s="1403"/>
      <c r="T314" s="1404"/>
      <c r="U314" s="1675"/>
      <c r="V314" s="1676"/>
      <c r="W314" s="1676"/>
      <c r="X314" s="1677"/>
    </row>
    <row r="315" spans="1:24" ht="27.6" customHeight="1">
      <c r="A315" s="1"/>
      <c r="H315" s="1686" t="s">
        <v>696</v>
      </c>
      <c r="I315" s="1687"/>
      <c r="J315" s="1687"/>
      <c r="K315" s="1008" t="s">
        <v>93</v>
      </c>
      <c r="L315" s="1008"/>
      <c r="M315" s="1008"/>
      <c r="N315" s="1008"/>
      <c r="O315" s="1008"/>
      <c r="P315" s="1008"/>
      <c r="Q315" s="1008"/>
      <c r="R315" s="1008"/>
      <c r="S315" s="1008"/>
      <c r="T315" s="1008"/>
      <c r="U315" s="1293">
        <f>(143.17*KFC!$B$41*1.6+KFC!$C$41)*KFC!$C$5</f>
        <v>229.072</v>
      </c>
      <c r="V315" s="1293"/>
      <c r="W315" s="1293"/>
      <c r="X315" s="1294"/>
    </row>
    <row r="316" spans="1:24" ht="27.6" customHeight="1">
      <c r="A316" s="1"/>
      <c r="H316" s="1686" t="s">
        <v>697</v>
      </c>
      <c r="I316" s="1687"/>
      <c r="J316" s="1687"/>
      <c r="K316" s="1003" t="s">
        <v>649</v>
      </c>
      <c r="L316" s="1003"/>
      <c r="M316" s="1003"/>
      <c r="N316" s="1003"/>
      <c r="O316" s="1003"/>
      <c r="P316" s="1003"/>
      <c r="Q316" s="1003"/>
      <c r="R316" s="1003"/>
      <c r="S316" s="1003"/>
      <c r="T316" s="1003"/>
      <c r="U316" s="1293">
        <f>(21.52*KFC!$B$41*1.6+KFC!$C$41)*KFC!$C$5</f>
        <v>34.432000000000002</v>
      </c>
      <c r="V316" s="1293"/>
      <c r="W316" s="1293"/>
      <c r="X316" s="1294"/>
    </row>
    <row r="317" spans="1:24" ht="27.6" customHeight="1">
      <c r="A317" s="1"/>
      <c r="H317" s="1686" t="s">
        <v>695</v>
      </c>
      <c r="I317" s="1687"/>
      <c r="J317" s="1687"/>
      <c r="K317" s="1003" t="s">
        <v>650</v>
      </c>
      <c r="L317" s="1003"/>
      <c r="M317" s="1003"/>
      <c r="N317" s="1003"/>
      <c r="O317" s="1003"/>
      <c r="P317" s="1003"/>
      <c r="Q317" s="1003"/>
      <c r="R317" s="1003"/>
      <c r="S317" s="1003"/>
      <c r="T317" s="1003"/>
      <c r="U317" s="1293">
        <f>(1.9*KFC!$B$41*1.6+KFC!$C$41)*KFC!$C$5</f>
        <v>3.04</v>
      </c>
      <c r="V317" s="1293"/>
      <c r="W317" s="1293"/>
      <c r="X317" s="1294"/>
    </row>
    <row r="318" spans="1:24" ht="27.6" customHeight="1">
      <c r="A318" s="1"/>
      <c r="H318" s="1686" t="s">
        <v>690</v>
      </c>
      <c r="I318" s="1687"/>
      <c r="J318" s="1687"/>
      <c r="K318" s="1003" t="s">
        <v>651</v>
      </c>
      <c r="L318" s="1003"/>
      <c r="M318" s="1003"/>
      <c r="N318" s="1003"/>
      <c r="O318" s="1003"/>
      <c r="P318" s="1003"/>
      <c r="Q318" s="1003"/>
      <c r="R318" s="1003"/>
      <c r="S318" s="1003"/>
      <c r="T318" s="1003"/>
      <c r="U318" s="1293">
        <f>(4.43*KFC!$B$41*1.6+KFC!$C$41)*KFC!$C$5</f>
        <v>7.0880000000000001</v>
      </c>
      <c r="V318" s="1293"/>
      <c r="W318" s="1293"/>
      <c r="X318" s="1294"/>
    </row>
    <row r="319" spans="1:24" ht="27.6" customHeight="1">
      <c r="A319" s="1"/>
      <c r="H319" s="1686" t="s">
        <v>696</v>
      </c>
      <c r="I319" s="1687"/>
      <c r="J319" s="1687"/>
      <c r="K319" s="1003" t="s">
        <v>816</v>
      </c>
      <c r="L319" s="1003"/>
      <c r="M319" s="1003"/>
      <c r="N319" s="1003"/>
      <c r="O319" s="1003"/>
      <c r="P319" s="1003"/>
      <c r="Q319" s="1003"/>
      <c r="R319" s="1003"/>
      <c r="S319" s="1003"/>
      <c r="T319" s="1003"/>
      <c r="U319" s="1293">
        <f>(17.85*KFC!$B$41*1.6+KFC!$C$41)*KFC!$C$5</f>
        <v>28.560000000000002</v>
      </c>
      <c r="V319" s="1293"/>
      <c r="W319" s="1293"/>
      <c r="X319" s="1294"/>
    </row>
    <row r="320" spans="1:24" ht="27.6" customHeight="1">
      <c r="A320" s="1"/>
      <c r="H320" s="1686" t="s">
        <v>890</v>
      </c>
      <c r="I320" s="1687"/>
      <c r="J320" s="1687"/>
      <c r="K320" s="1003" t="s">
        <v>643</v>
      </c>
      <c r="L320" s="1003"/>
      <c r="M320" s="1003"/>
      <c r="N320" s="1003"/>
      <c r="O320" s="1003"/>
      <c r="P320" s="1003"/>
      <c r="Q320" s="1003"/>
      <c r="R320" s="1003"/>
      <c r="S320" s="1003"/>
      <c r="T320" s="1003"/>
      <c r="U320" s="1293">
        <f>(17.73*KFC!$B$41+KFC!$C$41)*KFC!$C$5</f>
        <v>17.73</v>
      </c>
      <c r="V320" s="1293"/>
      <c r="W320" s="1293"/>
      <c r="X320" s="1294"/>
    </row>
    <row r="321" spans="1:24" ht="13.8">
      <c r="A321" s="1"/>
      <c r="H321" s="1680" t="s">
        <v>891</v>
      </c>
      <c r="I321" s="1681"/>
      <c r="J321" s="1688"/>
      <c r="K321" s="1408" t="s">
        <v>458</v>
      </c>
      <c r="L321" s="1408"/>
      <c r="M321" s="1408"/>
      <c r="N321" s="1408"/>
      <c r="O321" s="1408"/>
      <c r="P321" s="1408"/>
      <c r="Q321" s="1408"/>
      <c r="R321" s="1408"/>
      <c r="S321" s="1408"/>
      <c r="T321" s="1408"/>
      <c r="U321" s="1657">
        <f>(31.65*KFC!$B$41+KFC!$C$41)*KFC!$C$5</f>
        <v>31.65</v>
      </c>
      <c r="V321" s="1682"/>
      <c r="W321" s="1682"/>
      <c r="X321" s="1658"/>
    </row>
    <row r="322" spans="1:24">
      <c r="A322" s="1"/>
      <c r="H322" s="1689"/>
      <c r="I322" s="1690"/>
      <c r="J322" s="1691"/>
      <c r="K322" s="1047" t="s">
        <v>870</v>
      </c>
      <c r="L322" s="1047"/>
      <c r="M322" s="1047"/>
      <c r="N322" s="1047"/>
      <c r="O322" s="1047"/>
      <c r="P322" s="1047"/>
      <c r="Q322" s="1047"/>
      <c r="R322" s="1047"/>
      <c r="S322" s="1047"/>
      <c r="T322" s="1047"/>
      <c r="U322" s="1692"/>
      <c r="V322" s="1551"/>
      <c r="W322" s="1551"/>
      <c r="X322" s="1693"/>
    </row>
    <row r="323" spans="1:24" ht="13.8">
      <c r="A323" s="1"/>
      <c r="H323" s="1680" t="s">
        <v>892</v>
      </c>
      <c r="I323" s="1681"/>
      <c r="J323" s="1688"/>
      <c r="K323" s="1408" t="s">
        <v>459</v>
      </c>
      <c r="L323" s="1408"/>
      <c r="M323" s="1408"/>
      <c r="N323" s="1408"/>
      <c r="O323" s="1408"/>
      <c r="P323" s="1408"/>
      <c r="Q323" s="1408"/>
      <c r="R323" s="1408"/>
      <c r="S323" s="1408"/>
      <c r="T323" s="1408"/>
      <c r="U323" s="1657">
        <f>(40.51*KFC!$B$41+KFC!$C$41)*KFC!$C$5</f>
        <v>40.51</v>
      </c>
      <c r="V323" s="1682"/>
      <c r="W323" s="1682"/>
      <c r="X323" s="1658"/>
    </row>
    <row r="324" spans="1:24">
      <c r="A324" s="1"/>
      <c r="H324" s="1689"/>
      <c r="I324" s="1690"/>
      <c r="J324" s="1691"/>
      <c r="K324" s="1694" t="s">
        <v>864</v>
      </c>
      <c r="L324" s="1694"/>
      <c r="M324" s="1694"/>
      <c r="N324" s="1694"/>
      <c r="O324" s="1694"/>
      <c r="P324" s="1694"/>
      <c r="Q324" s="1694"/>
      <c r="R324" s="1694"/>
      <c r="S324" s="1694"/>
      <c r="T324" s="1694"/>
      <c r="U324" s="1692"/>
      <c r="V324" s="1551"/>
      <c r="W324" s="1551"/>
      <c r="X324" s="1693"/>
    </row>
    <row r="325" spans="1:24" ht="13.8">
      <c r="A325" s="1"/>
      <c r="H325" s="1680" t="s">
        <v>893</v>
      </c>
      <c r="I325" s="1681"/>
      <c r="J325" s="1688"/>
      <c r="K325" s="1695" t="s">
        <v>460</v>
      </c>
      <c r="L325" s="1695"/>
      <c r="M325" s="1695"/>
      <c r="N325" s="1695"/>
      <c r="O325" s="1695"/>
      <c r="P325" s="1695"/>
      <c r="Q325" s="1695"/>
      <c r="R325" s="1695"/>
      <c r="S325" s="1695"/>
      <c r="T325" s="1695"/>
      <c r="U325" s="1293">
        <f>(31.65*KFC!$B$41+KFC!$C$41)*KFC!$C$5</f>
        <v>31.65</v>
      </c>
      <c r="V325" s="1293"/>
      <c r="W325" s="1293"/>
      <c r="X325" s="1294"/>
    </row>
    <row r="326" spans="1:24">
      <c r="A326" s="1"/>
      <c r="H326" s="1689"/>
      <c r="I326" s="1690"/>
      <c r="J326" s="1691"/>
      <c r="K326" s="1047" t="s">
        <v>867</v>
      </c>
      <c r="L326" s="1047"/>
      <c r="M326" s="1047"/>
      <c r="N326" s="1047"/>
      <c r="O326" s="1047"/>
      <c r="P326" s="1047"/>
      <c r="Q326" s="1047"/>
      <c r="R326" s="1047"/>
      <c r="S326" s="1047"/>
      <c r="T326" s="1047"/>
      <c r="U326" s="1293"/>
      <c r="V326" s="1293"/>
      <c r="W326" s="1293"/>
      <c r="X326" s="1294"/>
    </row>
    <row r="327" spans="1:24" ht="13.8">
      <c r="A327" s="1"/>
      <c r="H327" s="1680" t="s">
        <v>892</v>
      </c>
      <c r="I327" s="1681"/>
      <c r="J327" s="1688"/>
      <c r="K327" s="1408" t="s">
        <v>485</v>
      </c>
      <c r="L327" s="1408"/>
      <c r="M327" s="1408"/>
      <c r="N327" s="1408"/>
      <c r="O327" s="1408"/>
      <c r="P327" s="1408"/>
      <c r="Q327" s="1408"/>
      <c r="R327" s="1408"/>
      <c r="S327" s="1408"/>
      <c r="T327" s="1408"/>
      <c r="U327" s="1293">
        <f>(40.51*KFC!$B$41+KFC!$C$41)*KFC!$C$5</f>
        <v>40.51</v>
      </c>
      <c r="V327" s="1293"/>
      <c r="W327" s="1293"/>
      <c r="X327" s="1294"/>
    </row>
    <row r="328" spans="1:24">
      <c r="A328" s="1"/>
      <c r="H328" s="1689"/>
      <c r="I328" s="1690"/>
      <c r="J328" s="1691"/>
      <c r="K328" s="1047" t="s">
        <v>868</v>
      </c>
      <c r="L328" s="1047"/>
      <c r="M328" s="1047"/>
      <c r="N328" s="1047"/>
      <c r="O328" s="1047"/>
      <c r="P328" s="1047"/>
      <c r="Q328" s="1047"/>
      <c r="R328" s="1047"/>
      <c r="S328" s="1047"/>
      <c r="T328" s="1047"/>
      <c r="U328" s="1293"/>
      <c r="V328" s="1293"/>
      <c r="W328" s="1293"/>
      <c r="X328" s="1294"/>
    </row>
    <row r="329" spans="1:24" ht="28.95" customHeight="1">
      <c r="A329" s="1"/>
      <c r="H329" s="1686" t="s">
        <v>892</v>
      </c>
      <c r="I329" s="1687"/>
      <c r="J329" s="1687"/>
      <c r="K329" s="1003" t="s">
        <v>652</v>
      </c>
      <c r="L329" s="1003"/>
      <c r="M329" s="1003"/>
      <c r="N329" s="1003"/>
      <c r="O329" s="1003"/>
      <c r="P329" s="1003"/>
      <c r="Q329" s="1003"/>
      <c r="R329" s="1003"/>
      <c r="S329" s="1003"/>
      <c r="T329" s="1003"/>
      <c r="U329" s="1293">
        <f>(50.64*KFC!$B$41+KFC!$C$41)*KFC!$C$5</f>
        <v>50.64</v>
      </c>
      <c r="V329" s="1293"/>
      <c r="W329" s="1293"/>
      <c r="X329" s="1294"/>
    </row>
    <row r="330" spans="1:24" ht="13.8">
      <c r="A330" s="1"/>
      <c r="H330" s="1680" t="s">
        <v>893</v>
      </c>
      <c r="I330" s="1681"/>
      <c r="J330" s="1688"/>
      <c r="K330" s="1408" t="s">
        <v>653</v>
      </c>
      <c r="L330" s="1408"/>
      <c r="M330" s="1408"/>
      <c r="N330" s="1408"/>
      <c r="O330" s="1408"/>
      <c r="P330" s="1408"/>
      <c r="Q330" s="1408"/>
      <c r="R330" s="1408"/>
      <c r="S330" s="1408"/>
      <c r="T330" s="1408"/>
      <c r="U330" s="1293">
        <f>(7.6*KFC!$B$41+KFC!$C$41)*KFC!$C$5</f>
        <v>7.6</v>
      </c>
      <c r="V330" s="1293"/>
      <c r="W330" s="1293"/>
      <c r="X330" s="1294"/>
    </row>
    <row r="331" spans="1:24">
      <c r="A331" s="1"/>
      <c r="H331" s="1689"/>
      <c r="I331" s="1690"/>
      <c r="J331" s="1691"/>
      <c r="K331" s="1047" t="s">
        <v>869</v>
      </c>
      <c r="L331" s="1047"/>
      <c r="M331" s="1047"/>
      <c r="N331" s="1047"/>
      <c r="O331" s="1047"/>
      <c r="P331" s="1047"/>
      <c r="Q331" s="1047"/>
      <c r="R331" s="1047"/>
      <c r="S331" s="1047"/>
      <c r="T331" s="1047"/>
      <c r="U331" s="1293"/>
      <c r="V331" s="1293"/>
      <c r="W331" s="1293"/>
      <c r="X331" s="1294"/>
    </row>
    <row r="332" spans="1:24" ht="30" customHeight="1">
      <c r="A332" s="1"/>
      <c r="H332" s="1686" t="s">
        <v>894</v>
      </c>
      <c r="I332" s="1687"/>
      <c r="J332" s="1687"/>
      <c r="K332" s="1003" t="s">
        <v>654</v>
      </c>
      <c r="L332" s="1003"/>
      <c r="M332" s="1003"/>
      <c r="N332" s="1003"/>
      <c r="O332" s="1003"/>
      <c r="P332" s="1003"/>
      <c r="Q332" s="1003"/>
      <c r="R332" s="1003"/>
      <c r="S332" s="1003"/>
      <c r="T332" s="1003"/>
      <c r="U332" s="1293">
        <f>(2.54*KFC!$B$41+KFC!$C$41)*KFC!$C$5</f>
        <v>2.54</v>
      </c>
      <c r="V332" s="1293"/>
      <c r="W332" s="1293"/>
      <c r="X332" s="1294"/>
    </row>
    <row r="333" spans="1:24" ht="30" customHeight="1" thickBot="1">
      <c r="A333" s="1"/>
      <c r="H333" s="1701" t="s">
        <v>891</v>
      </c>
      <c r="I333" s="1702"/>
      <c r="J333" s="1702"/>
      <c r="K333" s="1170" t="s">
        <v>655</v>
      </c>
      <c r="L333" s="1171"/>
      <c r="M333" s="1171"/>
      <c r="N333" s="1171"/>
      <c r="O333" s="1171"/>
      <c r="P333" s="1171"/>
      <c r="Q333" s="1171"/>
      <c r="R333" s="1171"/>
      <c r="S333" s="1171"/>
      <c r="T333" s="1172"/>
      <c r="U333" s="1704">
        <f>(37.98*KFC!$B$41+KFC!$C$41)*KFC!$C$5</f>
        <v>37.979999999999997</v>
      </c>
      <c r="V333" s="1704"/>
      <c r="W333" s="1704"/>
      <c r="X333" s="1397"/>
    </row>
    <row r="334" spans="1:24" ht="30" customHeight="1">
      <c r="A334" s="1"/>
      <c r="H334" s="1705" t="s">
        <v>895</v>
      </c>
      <c r="I334" s="1706"/>
      <c r="J334" s="1706"/>
      <c r="K334" s="1192" t="s">
        <v>896</v>
      </c>
      <c r="L334" s="1193"/>
      <c r="M334" s="1193"/>
      <c r="N334" s="1193"/>
      <c r="O334" s="1193"/>
      <c r="P334" s="1193"/>
      <c r="Q334" s="1193"/>
      <c r="R334" s="1193"/>
      <c r="S334" s="1193"/>
      <c r="T334" s="1194"/>
      <c r="U334" s="1655">
        <f>(31.65*KFC!$B$41+KFC!$C$41)*KFC!$C$5</f>
        <v>31.65</v>
      </c>
      <c r="V334" s="1655"/>
      <c r="W334" s="1655"/>
      <c r="X334" s="1656"/>
    </row>
    <row r="335" spans="1:24" ht="30" customHeight="1">
      <c r="A335" s="1"/>
      <c r="H335" s="1701" t="s">
        <v>895</v>
      </c>
      <c r="I335" s="1702"/>
      <c r="J335" s="1702"/>
      <c r="K335" s="1170" t="s">
        <v>897</v>
      </c>
      <c r="L335" s="1171"/>
      <c r="M335" s="1171"/>
      <c r="N335" s="1171"/>
      <c r="O335" s="1171"/>
      <c r="P335" s="1171"/>
      <c r="Q335" s="1171"/>
      <c r="R335" s="1171"/>
      <c r="S335" s="1171"/>
      <c r="T335" s="1172"/>
      <c r="U335" s="1293">
        <f>(37.98*KFC!$B$41+KFC!$C$41)*KFC!$C$5</f>
        <v>37.979999999999997</v>
      </c>
      <c r="V335" s="1293"/>
      <c r="W335" s="1293"/>
      <c r="X335" s="1294"/>
    </row>
    <row r="336" spans="1:24" ht="30" customHeight="1">
      <c r="A336" s="1"/>
      <c r="H336" s="1701" t="s">
        <v>895</v>
      </c>
      <c r="I336" s="1702"/>
      <c r="J336" s="1702"/>
      <c r="K336" s="1170" t="s">
        <v>898</v>
      </c>
      <c r="L336" s="1171"/>
      <c r="M336" s="1171"/>
      <c r="N336" s="1171"/>
      <c r="O336" s="1171"/>
      <c r="P336" s="1171"/>
      <c r="Q336" s="1171"/>
      <c r="R336" s="1171"/>
      <c r="S336" s="1171"/>
      <c r="T336" s="1172"/>
      <c r="U336" s="1293">
        <f>(44.31*KFC!$B$41+KFC!$C$41)*KFC!$C$5</f>
        <v>44.31</v>
      </c>
      <c r="V336" s="1293"/>
      <c r="W336" s="1293"/>
      <c r="X336" s="1294"/>
    </row>
    <row r="337" spans="1:24" ht="30" customHeight="1">
      <c r="A337" s="1"/>
      <c r="H337" s="1701" t="s">
        <v>895</v>
      </c>
      <c r="I337" s="1702"/>
      <c r="J337" s="1702"/>
      <c r="K337" s="1170" t="s">
        <v>899</v>
      </c>
      <c r="L337" s="1171"/>
      <c r="M337" s="1171"/>
      <c r="N337" s="1171"/>
      <c r="O337" s="1171"/>
      <c r="P337" s="1171"/>
      <c r="Q337" s="1171"/>
      <c r="R337" s="1171"/>
      <c r="S337" s="1171"/>
      <c r="T337" s="1172"/>
      <c r="U337" s="1293">
        <f>(31.65*KFC!$B$41+KFC!$C$41)*KFC!$C$5</f>
        <v>31.65</v>
      </c>
      <c r="V337" s="1293"/>
      <c r="W337" s="1293"/>
      <c r="X337" s="1294"/>
    </row>
    <row r="338" spans="1:24" ht="30" customHeight="1">
      <c r="A338" s="1"/>
      <c r="H338" s="1701" t="s">
        <v>895</v>
      </c>
      <c r="I338" s="1702"/>
      <c r="J338" s="1702"/>
      <c r="K338" s="1170" t="s">
        <v>900</v>
      </c>
      <c r="L338" s="1171"/>
      <c r="M338" s="1171"/>
      <c r="N338" s="1171"/>
      <c r="O338" s="1171"/>
      <c r="P338" s="1171"/>
      <c r="Q338" s="1171"/>
      <c r="R338" s="1171"/>
      <c r="S338" s="1171"/>
      <c r="T338" s="1172"/>
      <c r="U338" s="1293">
        <f>(37.98*KFC!$B$41+KFC!$C$41)*KFC!$C$5</f>
        <v>37.979999999999997</v>
      </c>
      <c r="V338" s="1293"/>
      <c r="W338" s="1293"/>
      <c r="X338" s="1294"/>
    </row>
    <row r="339" spans="1:24" ht="30" customHeight="1">
      <c r="A339" s="1"/>
      <c r="H339" s="1701" t="s">
        <v>895</v>
      </c>
      <c r="I339" s="1702"/>
      <c r="J339" s="1702"/>
      <c r="K339" s="1170" t="s">
        <v>901</v>
      </c>
      <c r="L339" s="1171"/>
      <c r="M339" s="1171"/>
      <c r="N339" s="1171"/>
      <c r="O339" s="1171"/>
      <c r="P339" s="1171"/>
      <c r="Q339" s="1171"/>
      <c r="R339" s="1171"/>
      <c r="S339" s="1171"/>
      <c r="T339" s="1172"/>
      <c r="U339" s="1293">
        <f>(75.95*KFC!$B$41+KFC!$C$41)*KFC!$C$5</f>
        <v>75.95</v>
      </c>
      <c r="V339" s="1293"/>
      <c r="W339" s="1293"/>
      <c r="X339" s="1294"/>
    </row>
    <row r="340" spans="1:24" ht="30" customHeight="1">
      <c r="A340" s="1"/>
      <c r="H340" s="1701" t="s">
        <v>895</v>
      </c>
      <c r="I340" s="1702"/>
      <c r="J340" s="1702"/>
      <c r="K340" s="1170" t="s">
        <v>1054</v>
      </c>
      <c r="L340" s="1171"/>
      <c r="M340" s="1171"/>
      <c r="N340" s="1171"/>
      <c r="O340" s="1171"/>
      <c r="P340" s="1171"/>
      <c r="Q340" s="1171"/>
      <c r="R340" s="1171"/>
      <c r="S340" s="1171"/>
      <c r="T340" s="1172"/>
      <c r="U340" s="1293">
        <f>(76*KFC!$B$41+KFC!$C$41)*KFC!$C$5</f>
        <v>76</v>
      </c>
      <c r="V340" s="1293"/>
      <c r="W340" s="1293"/>
      <c r="X340" s="1294"/>
    </row>
    <row r="341" spans="1:24" ht="30" customHeight="1" thickBot="1">
      <c r="A341" s="1"/>
      <c r="H341" s="1696" t="s">
        <v>895</v>
      </c>
      <c r="I341" s="1697"/>
      <c r="J341" s="1697"/>
      <c r="K341" s="1698" t="s">
        <v>902</v>
      </c>
      <c r="L341" s="1699"/>
      <c r="M341" s="1699"/>
      <c r="N341" s="1699"/>
      <c r="O341" s="1699"/>
      <c r="P341" s="1699"/>
      <c r="Q341" s="1699"/>
      <c r="R341" s="1699"/>
      <c r="S341" s="1699"/>
      <c r="T341" s="1700"/>
      <c r="U341" s="1295">
        <f>(25.32*KFC!$B$41+KFC!$C$41)*KFC!$C$5</f>
        <v>25.32</v>
      </c>
      <c r="V341" s="1295"/>
      <c r="W341" s="1295"/>
      <c r="X341" s="1296"/>
    </row>
    <row r="345" spans="1:24">
      <c r="H345" s="719"/>
      <c r="I345" s="719"/>
      <c r="J345" s="719"/>
      <c r="K345" s="719"/>
      <c r="L345" s="719"/>
    </row>
    <row r="346" spans="1:24">
      <c r="H346" s="719"/>
      <c r="I346" s="719"/>
      <c r="J346" s="719"/>
      <c r="K346" s="719"/>
      <c r="L346" s="719"/>
    </row>
    <row r="347" spans="1:24">
      <c r="H347" s="719"/>
      <c r="I347" s="719"/>
      <c r="J347" s="719"/>
      <c r="K347" s="719"/>
      <c r="L347" s="719"/>
    </row>
    <row r="348" spans="1:24" ht="13.8">
      <c r="H348" s="870"/>
      <c r="I348" s="870"/>
      <c r="J348" s="870"/>
      <c r="K348" s="870"/>
      <c r="L348" s="719"/>
    </row>
    <row r="349" spans="1:24" ht="13.8">
      <c r="H349" s="870"/>
      <c r="I349" s="870"/>
      <c r="J349" s="870"/>
      <c r="K349" s="870"/>
      <c r="L349" s="719"/>
    </row>
    <row r="350" spans="1:24" ht="13.8">
      <c r="H350" s="870"/>
      <c r="I350" s="870"/>
      <c r="J350" s="870"/>
      <c r="K350" s="870"/>
      <c r="L350" s="719"/>
    </row>
    <row r="352" spans="1:24" ht="15.6">
      <c r="H352" s="1004" t="s">
        <v>1190</v>
      </c>
      <c r="I352" s="1004"/>
      <c r="J352" s="1004"/>
      <c r="K352" s="1004"/>
      <c r="L352" s="1004"/>
      <c r="M352" s="1004"/>
      <c r="N352" s="1004"/>
      <c r="O352" s="1004"/>
      <c r="P352" s="1004"/>
      <c r="Q352" s="1004"/>
      <c r="R352" s="1004"/>
      <c r="S352" s="1004"/>
      <c r="T352" s="1004"/>
      <c r="U352" s="1004"/>
      <c r="V352" s="1004"/>
      <c r="W352" s="1004"/>
      <c r="X352" s="1004"/>
    </row>
    <row r="353" spans="8:24" ht="13.8" thickBot="1"/>
    <row r="354" spans="8:24" ht="39" customHeight="1" thickBot="1">
      <c r="H354" s="1727" t="s">
        <v>87</v>
      </c>
      <c r="I354" s="1409"/>
      <c r="J354" s="1409"/>
      <c r="K354" s="1409"/>
      <c r="L354" s="1409"/>
      <c r="M354" s="1409"/>
      <c r="N354" s="1409"/>
      <c r="O354" s="1409"/>
      <c r="P354" s="1409"/>
      <c r="Q354" s="1409"/>
      <c r="R354" s="1409"/>
      <c r="S354" s="1409"/>
      <c r="T354" s="1409"/>
      <c r="U354" s="839" t="s">
        <v>1191</v>
      </c>
      <c r="V354" s="1092" t="s">
        <v>1194</v>
      </c>
      <c r="W354" s="1092"/>
      <c r="X354" s="1093"/>
    </row>
    <row r="355" spans="8:24" ht="15" customHeight="1">
      <c r="H355" s="1725" t="s">
        <v>1180</v>
      </c>
      <c r="I355" s="1726"/>
      <c r="J355" s="1726"/>
      <c r="K355" s="1726"/>
      <c r="L355" s="1726"/>
      <c r="M355" s="1726"/>
      <c r="N355" s="1726"/>
      <c r="O355" s="1726"/>
      <c r="P355" s="1726"/>
      <c r="Q355" s="1726"/>
      <c r="R355" s="1726"/>
      <c r="S355" s="1726"/>
      <c r="T355" s="1726"/>
      <c r="U355" s="873" t="s">
        <v>526</v>
      </c>
      <c r="V355" s="1655">
        <f>(206.72*KFC!$B$41+KFC!$C$41)</f>
        <v>206.72</v>
      </c>
      <c r="W355" s="1655"/>
      <c r="X355" s="1656"/>
    </row>
    <row r="356" spans="8:24" ht="15" customHeight="1">
      <c r="H356" s="1215" t="s">
        <v>1181</v>
      </c>
      <c r="I356" s="1003"/>
      <c r="J356" s="1003"/>
      <c r="K356" s="1003"/>
      <c r="L356" s="1003"/>
      <c r="M356" s="1003"/>
      <c r="N356" s="1003"/>
      <c r="O356" s="1003"/>
      <c r="P356" s="1003"/>
      <c r="Q356" s="1003"/>
      <c r="R356" s="1003"/>
      <c r="S356" s="1003"/>
      <c r="T356" s="1003"/>
      <c r="U356" s="869" t="s">
        <v>526</v>
      </c>
      <c r="V356" s="1293">
        <f>(226.92*KFC!$B$41+KFC!$C$41)</f>
        <v>226.92</v>
      </c>
      <c r="W356" s="1293"/>
      <c r="X356" s="1294"/>
    </row>
    <row r="357" spans="8:24" ht="15" customHeight="1">
      <c r="H357" s="1215" t="s">
        <v>1182</v>
      </c>
      <c r="I357" s="1003"/>
      <c r="J357" s="1003"/>
      <c r="K357" s="1003"/>
      <c r="L357" s="1003"/>
      <c r="M357" s="1003"/>
      <c r="N357" s="1003"/>
      <c r="O357" s="1003"/>
      <c r="P357" s="1003"/>
      <c r="Q357" s="1003"/>
      <c r="R357" s="1003"/>
      <c r="S357" s="1003"/>
      <c r="T357" s="1003"/>
      <c r="U357" s="869" t="s">
        <v>526</v>
      </c>
      <c r="V357" s="1293">
        <f>(624.88*KFC!$B$41+KFC!$C$41)</f>
        <v>624.88</v>
      </c>
      <c r="W357" s="1293"/>
      <c r="X357" s="1294"/>
    </row>
    <row r="358" spans="8:24" ht="15" customHeight="1">
      <c r="H358" s="1215" t="s">
        <v>1183</v>
      </c>
      <c r="I358" s="1003"/>
      <c r="J358" s="1003"/>
      <c r="K358" s="1003"/>
      <c r="L358" s="1003"/>
      <c r="M358" s="1003"/>
      <c r="N358" s="1003"/>
      <c r="O358" s="1003"/>
      <c r="P358" s="1003"/>
      <c r="Q358" s="1003"/>
      <c r="R358" s="1003"/>
      <c r="S358" s="1003"/>
      <c r="T358" s="1003"/>
      <c r="U358" s="869" t="s">
        <v>526</v>
      </c>
      <c r="V358" s="1293">
        <f>(687.38*KFC!$B$41+KFC!$C$41)</f>
        <v>687.38</v>
      </c>
      <c r="W358" s="1293"/>
      <c r="X358" s="1294"/>
    </row>
    <row r="359" spans="8:24" ht="15" customHeight="1">
      <c r="H359" s="1215" t="s">
        <v>1184</v>
      </c>
      <c r="I359" s="1003"/>
      <c r="J359" s="1003"/>
      <c r="K359" s="1003"/>
      <c r="L359" s="1003"/>
      <c r="M359" s="1003"/>
      <c r="N359" s="1003"/>
      <c r="O359" s="1003"/>
      <c r="P359" s="1003"/>
      <c r="Q359" s="1003"/>
      <c r="R359" s="1003"/>
      <c r="S359" s="1003"/>
      <c r="T359" s="1003"/>
      <c r="U359" s="869" t="s">
        <v>1192</v>
      </c>
      <c r="V359" s="1293">
        <f>(97.05*KFC!$B$41+KFC!$C$41)</f>
        <v>97.05</v>
      </c>
      <c r="W359" s="1293"/>
      <c r="X359" s="1294"/>
    </row>
    <row r="360" spans="8:24" ht="15" customHeight="1">
      <c r="H360" s="1215" t="s">
        <v>1185</v>
      </c>
      <c r="I360" s="1003"/>
      <c r="J360" s="1003"/>
      <c r="K360" s="1003"/>
      <c r="L360" s="1003"/>
      <c r="M360" s="1003"/>
      <c r="N360" s="1003"/>
      <c r="O360" s="1003"/>
      <c r="P360" s="1003"/>
      <c r="Q360" s="1003"/>
      <c r="R360" s="1003"/>
      <c r="S360" s="1003"/>
      <c r="T360" s="1003"/>
      <c r="U360" s="869" t="s">
        <v>1192</v>
      </c>
      <c r="V360" s="1293">
        <f>(125.45*KFC!$B$41+KFC!$C$41)</f>
        <v>125.45</v>
      </c>
      <c r="W360" s="1293"/>
      <c r="X360" s="1294"/>
    </row>
    <row r="361" spans="8:24" ht="15" customHeight="1">
      <c r="H361" s="1215" t="s">
        <v>1186</v>
      </c>
      <c r="I361" s="1003"/>
      <c r="J361" s="1003"/>
      <c r="K361" s="1003"/>
      <c r="L361" s="1003"/>
      <c r="M361" s="1003"/>
      <c r="N361" s="1003"/>
      <c r="O361" s="1003"/>
      <c r="P361" s="1003"/>
      <c r="Q361" s="1003"/>
      <c r="R361" s="1003"/>
      <c r="S361" s="1003"/>
      <c r="T361" s="1003"/>
      <c r="U361" s="869" t="s">
        <v>1192</v>
      </c>
      <c r="V361" s="1293">
        <f>(222.81*KFC!$B$41+KFC!$C$41)</f>
        <v>222.81</v>
      </c>
      <c r="W361" s="1293"/>
      <c r="X361" s="1294"/>
    </row>
    <row r="362" spans="8:24" ht="15" customHeight="1">
      <c r="H362" s="1215" t="s">
        <v>1187</v>
      </c>
      <c r="I362" s="1003"/>
      <c r="J362" s="1003"/>
      <c r="K362" s="1003"/>
      <c r="L362" s="1003"/>
      <c r="M362" s="1003"/>
      <c r="N362" s="1003"/>
      <c r="O362" s="1003"/>
      <c r="P362" s="1003"/>
      <c r="Q362" s="1003"/>
      <c r="R362" s="1003"/>
      <c r="S362" s="1003"/>
      <c r="T362" s="1003"/>
      <c r="U362" s="869" t="s">
        <v>526</v>
      </c>
      <c r="V362" s="1293">
        <f>(269.6*KFC!$B$41+KFC!$C$41)</f>
        <v>269.60000000000002</v>
      </c>
      <c r="W362" s="1293"/>
      <c r="X362" s="1294"/>
    </row>
    <row r="363" spans="8:24" ht="15" customHeight="1">
      <c r="H363" s="1215" t="s">
        <v>1193</v>
      </c>
      <c r="I363" s="1003"/>
      <c r="J363" s="1003"/>
      <c r="K363" s="1003"/>
      <c r="L363" s="1003"/>
      <c r="M363" s="1003"/>
      <c r="N363" s="1003"/>
      <c r="O363" s="1003"/>
      <c r="P363" s="1003"/>
      <c r="Q363" s="1003"/>
      <c r="R363" s="1003"/>
      <c r="S363" s="1003"/>
      <c r="T363" s="1003"/>
      <c r="U363" s="869" t="s">
        <v>526</v>
      </c>
      <c r="V363" s="1293">
        <f>(402.86*KFC!$B$41+KFC!$C$41)</f>
        <v>402.86</v>
      </c>
      <c r="W363" s="1293"/>
      <c r="X363" s="1294"/>
    </row>
    <row r="364" spans="8:24" ht="15" customHeight="1">
      <c r="H364" s="1215" t="s">
        <v>1188</v>
      </c>
      <c r="I364" s="1003"/>
      <c r="J364" s="1003"/>
      <c r="K364" s="1003"/>
      <c r="L364" s="1003"/>
      <c r="M364" s="1003"/>
      <c r="N364" s="1003"/>
      <c r="O364" s="1003"/>
      <c r="P364" s="1003"/>
      <c r="Q364" s="1003"/>
      <c r="R364" s="1003"/>
      <c r="S364" s="1003"/>
      <c r="T364" s="1003"/>
      <c r="U364" s="869" t="s">
        <v>526</v>
      </c>
      <c r="V364" s="1293">
        <f>(132.48*KFC!$B$41+KFC!$C$41)</f>
        <v>132.47999999999999</v>
      </c>
      <c r="W364" s="1293"/>
      <c r="X364" s="1294"/>
    </row>
    <row r="365" spans="8:24" ht="15.75" customHeight="1" thickBot="1">
      <c r="H365" s="1213" t="s">
        <v>1189</v>
      </c>
      <c r="I365" s="1214"/>
      <c r="J365" s="1214"/>
      <c r="K365" s="1214"/>
      <c r="L365" s="1214"/>
      <c r="M365" s="1214"/>
      <c r="N365" s="1214"/>
      <c r="O365" s="1214"/>
      <c r="P365" s="1214"/>
      <c r="Q365" s="1214"/>
      <c r="R365" s="1214"/>
      <c r="S365" s="1214"/>
      <c r="T365" s="1214"/>
      <c r="U365" s="872" t="s">
        <v>526</v>
      </c>
      <c r="V365" s="1295">
        <f>(121.32*KFC!$B$41+KFC!$C$41)</f>
        <v>121.32</v>
      </c>
      <c r="W365" s="1295"/>
      <c r="X365" s="1296"/>
    </row>
  </sheetData>
  <mergeCells count="268">
    <mergeCell ref="H363:T363"/>
    <mergeCell ref="H364:T364"/>
    <mergeCell ref="H365:T365"/>
    <mergeCell ref="V361:X361"/>
    <mergeCell ref="V362:X362"/>
    <mergeCell ref="V363:X363"/>
    <mergeCell ref="V364:X364"/>
    <mergeCell ref="V365:X365"/>
    <mergeCell ref="H362:T362"/>
    <mergeCell ref="H355:T355"/>
    <mergeCell ref="H356:T356"/>
    <mergeCell ref="H357:T357"/>
    <mergeCell ref="H358:T358"/>
    <mergeCell ref="H359:T359"/>
    <mergeCell ref="H352:X352"/>
    <mergeCell ref="V354:X354"/>
    <mergeCell ref="H354:T354"/>
    <mergeCell ref="V355:X355"/>
    <mergeCell ref="V356:X356"/>
    <mergeCell ref="V357:X357"/>
    <mergeCell ref="V358:X358"/>
    <mergeCell ref="V359:X359"/>
    <mergeCell ref="V360:X360"/>
    <mergeCell ref="H360:T360"/>
    <mergeCell ref="H361:T361"/>
    <mergeCell ref="F272:M272"/>
    <mergeCell ref="N269:Q270"/>
    <mergeCell ref="N271:Q272"/>
    <mergeCell ref="A259:G259"/>
    <mergeCell ref="A269:E270"/>
    <mergeCell ref="A271:E272"/>
    <mergeCell ref="N264:Q264"/>
    <mergeCell ref="N265:Q266"/>
    <mergeCell ref="A263:Q263"/>
    <mergeCell ref="A267:E268"/>
    <mergeCell ref="F267:M267"/>
    <mergeCell ref="F268:M268"/>
    <mergeCell ref="A265:E266"/>
    <mergeCell ref="F269:M269"/>
    <mergeCell ref="F264:M264"/>
    <mergeCell ref="H339:J339"/>
    <mergeCell ref="K339:T339"/>
    <mergeCell ref="N267:Q268"/>
    <mergeCell ref="F270:M270"/>
    <mergeCell ref="F271:M271"/>
    <mergeCell ref="H338:J338"/>
    <mergeCell ref="K335:T335"/>
    <mergeCell ref="U335:X335"/>
    <mergeCell ref="H336:J336"/>
    <mergeCell ref="K336:T336"/>
    <mergeCell ref="U336:X336"/>
    <mergeCell ref="H335:J335"/>
    <mergeCell ref="H291:J292"/>
    <mergeCell ref="K291:S291"/>
    <mergeCell ref="T291:U292"/>
    <mergeCell ref="K292:S292"/>
    <mergeCell ref="H333:J333"/>
    <mergeCell ref="K333:T333"/>
    <mergeCell ref="U333:X333"/>
    <mergeCell ref="H334:J334"/>
    <mergeCell ref="K334:T334"/>
    <mergeCell ref="U334:X334"/>
    <mergeCell ref="H330:J331"/>
    <mergeCell ref="K330:T330"/>
    <mergeCell ref="U330:X331"/>
    <mergeCell ref="K331:T331"/>
    <mergeCell ref="H332:J332"/>
    <mergeCell ref="K332:T332"/>
    <mergeCell ref="U332:X332"/>
    <mergeCell ref="H327:J328"/>
    <mergeCell ref="H289:J290"/>
    <mergeCell ref="K290:S290"/>
    <mergeCell ref="T287:U288"/>
    <mergeCell ref="A5:AC5"/>
    <mergeCell ref="H276:I276"/>
    <mergeCell ref="H277:I277"/>
    <mergeCell ref="H275:U275"/>
    <mergeCell ref="N277:O277"/>
    <mergeCell ref="P277:Q277"/>
    <mergeCell ref="R277:S277"/>
    <mergeCell ref="C168:Y168"/>
    <mergeCell ref="T277:U277"/>
    <mergeCell ref="A257:AC257"/>
    <mergeCell ref="H286:J286"/>
    <mergeCell ref="K286:S286"/>
    <mergeCell ref="T286:U286"/>
    <mergeCell ref="H287:J288"/>
    <mergeCell ref="K287:S287"/>
    <mergeCell ref="K288:S288"/>
    <mergeCell ref="K289:S289"/>
    <mergeCell ref="T289:U290"/>
    <mergeCell ref="H282:J283"/>
    <mergeCell ref="K282:S282"/>
    <mergeCell ref="T282:U283"/>
    <mergeCell ref="H341:J341"/>
    <mergeCell ref="K341:T341"/>
    <mergeCell ref="U341:X341"/>
    <mergeCell ref="H337:J337"/>
    <mergeCell ref="K337:T337"/>
    <mergeCell ref="H340:J340"/>
    <mergeCell ref="K340:T340"/>
    <mergeCell ref="U340:X340"/>
    <mergeCell ref="U339:X339"/>
    <mergeCell ref="U337:X337"/>
    <mergeCell ref="K338:T338"/>
    <mergeCell ref="U338:X338"/>
    <mergeCell ref="K327:T327"/>
    <mergeCell ref="U327:X328"/>
    <mergeCell ref="K328:T328"/>
    <mergeCell ref="H329:J329"/>
    <mergeCell ref="K329:T329"/>
    <mergeCell ref="U329:X329"/>
    <mergeCell ref="H323:J324"/>
    <mergeCell ref="K323:T323"/>
    <mergeCell ref="U323:X324"/>
    <mergeCell ref="K324:T324"/>
    <mergeCell ref="H325:J326"/>
    <mergeCell ref="K325:T325"/>
    <mergeCell ref="U325:X326"/>
    <mergeCell ref="K326:T326"/>
    <mergeCell ref="H320:J320"/>
    <mergeCell ref="K320:T320"/>
    <mergeCell ref="U320:X320"/>
    <mergeCell ref="H321:J322"/>
    <mergeCell ref="K321:T321"/>
    <mergeCell ref="U321:X322"/>
    <mergeCell ref="K322:T322"/>
    <mergeCell ref="H318:J318"/>
    <mergeCell ref="K318:T318"/>
    <mergeCell ref="U318:X318"/>
    <mergeCell ref="H319:J319"/>
    <mergeCell ref="K319:T319"/>
    <mergeCell ref="U319:X319"/>
    <mergeCell ref="H316:J316"/>
    <mergeCell ref="K316:T316"/>
    <mergeCell ref="U316:X316"/>
    <mergeCell ref="H317:J317"/>
    <mergeCell ref="K317:T317"/>
    <mergeCell ref="U317:X317"/>
    <mergeCell ref="H313:J314"/>
    <mergeCell ref="K313:T313"/>
    <mergeCell ref="U313:X314"/>
    <mergeCell ref="K314:T314"/>
    <mergeCell ref="H315:J315"/>
    <mergeCell ref="K315:T315"/>
    <mergeCell ref="U315:X315"/>
    <mergeCell ref="H309:J310"/>
    <mergeCell ref="K309:T309"/>
    <mergeCell ref="U309:X309"/>
    <mergeCell ref="K310:T310"/>
    <mergeCell ref="H311:J312"/>
    <mergeCell ref="K311:T311"/>
    <mergeCell ref="U311:X312"/>
    <mergeCell ref="K312:T312"/>
    <mergeCell ref="H305:J306"/>
    <mergeCell ref="K305:T305"/>
    <mergeCell ref="U305:X306"/>
    <mergeCell ref="K306:T306"/>
    <mergeCell ref="H307:J308"/>
    <mergeCell ref="K307:T307"/>
    <mergeCell ref="U307:X308"/>
    <mergeCell ref="K308:T308"/>
    <mergeCell ref="H301:X301"/>
    <mergeCell ref="H302:J302"/>
    <mergeCell ref="K302:T302"/>
    <mergeCell ref="U302:X302"/>
    <mergeCell ref="H298:J298"/>
    <mergeCell ref="H303:J304"/>
    <mergeCell ref="K303:T303"/>
    <mergeCell ref="U303:X304"/>
    <mergeCell ref="K304:T304"/>
    <mergeCell ref="T293:U294"/>
    <mergeCell ref="H297:J297"/>
    <mergeCell ref="K297:S297"/>
    <mergeCell ref="T297:U297"/>
    <mergeCell ref="K298:S298"/>
    <mergeCell ref="T298:U298"/>
    <mergeCell ref="H295:J295"/>
    <mergeCell ref="K295:S295"/>
    <mergeCell ref="T295:U295"/>
    <mergeCell ref="K294:S294"/>
    <mergeCell ref="H296:J296"/>
    <mergeCell ref="K296:S296"/>
    <mergeCell ref="T296:U296"/>
    <mergeCell ref="H293:J294"/>
    <mergeCell ref="K293:S293"/>
    <mergeCell ref="K283:S283"/>
    <mergeCell ref="H284:J285"/>
    <mergeCell ref="K284:S284"/>
    <mergeCell ref="T284:U285"/>
    <mergeCell ref="K285:S285"/>
    <mergeCell ref="H280:J281"/>
    <mergeCell ref="K280:S280"/>
    <mergeCell ref="T280:U281"/>
    <mergeCell ref="K281:S281"/>
    <mergeCell ref="L276:M276"/>
    <mergeCell ref="P276:Q276"/>
    <mergeCell ref="T276:U276"/>
    <mergeCell ref="N276:O276"/>
    <mergeCell ref="J276:K276"/>
    <mergeCell ref="H279:J279"/>
    <mergeCell ref="K279:S279"/>
    <mergeCell ref="T279:U279"/>
    <mergeCell ref="A274:AC274"/>
    <mergeCell ref="A278:AC278"/>
    <mergeCell ref="L277:M277"/>
    <mergeCell ref="R276:S276"/>
    <mergeCell ref="J277:K277"/>
    <mergeCell ref="J252:U252"/>
    <mergeCell ref="A251:AC251"/>
    <mergeCell ref="X254:Y254"/>
    <mergeCell ref="A258:C258"/>
    <mergeCell ref="E258:K258"/>
    <mergeCell ref="A264:E264"/>
    <mergeCell ref="F265:M265"/>
    <mergeCell ref="F266:M266"/>
    <mergeCell ref="A260:U260"/>
    <mergeCell ref="F254:I254"/>
    <mergeCell ref="R254:S254"/>
    <mergeCell ref="T254:U254"/>
    <mergeCell ref="A261:AC261"/>
    <mergeCell ref="I259:W259"/>
    <mergeCell ref="A256:C256"/>
    <mergeCell ref="E256:I256"/>
    <mergeCell ref="K256:Q256"/>
    <mergeCell ref="A255:AC255"/>
    <mergeCell ref="A250:AC250"/>
    <mergeCell ref="F252:I253"/>
    <mergeCell ref="C208:Y208"/>
    <mergeCell ref="N254:O254"/>
    <mergeCell ref="C128:Y128"/>
    <mergeCell ref="N253:O253"/>
    <mergeCell ref="L254:M254"/>
    <mergeCell ref="P254:Q254"/>
    <mergeCell ref="A130:A166"/>
    <mergeCell ref="A208:B209"/>
    <mergeCell ref="A210:A246"/>
    <mergeCell ref="A168:B169"/>
    <mergeCell ref="A128:B129"/>
    <mergeCell ref="A249:O249"/>
    <mergeCell ref="X253:Y253"/>
    <mergeCell ref="V253:W253"/>
    <mergeCell ref="V254:W254"/>
    <mergeCell ref="T253:U253"/>
    <mergeCell ref="R253:S253"/>
    <mergeCell ref="V252:Y252"/>
    <mergeCell ref="J254:K254"/>
    <mergeCell ref="J253:K253"/>
    <mergeCell ref="L253:M253"/>
    <mergeCell ref="P253:Q253"/>
    <mergeCell ref="C1:D1"/>
    <mergeCell ref="A170:A206"/>
    <mergeCell ref="A50:A86"/>
    <mergeCell ref="A88:B89"/>
    <mergeCell ref="C48:Y48"/>
    <mergeCell ref="G6:AC6"/>
    <mergeCell ref="C88:Y88"/>
    <mergeCell ref="A48:B49"/>
    <mergeCell ref="C8:Y8"/>
    <mergeCell ref="A2:AC2"/>
    <mergeCell ref="A7:F7"/>
    <mergeCell ref="A10:A46"/>
    <mergeCell ref="A8:B9"/>
    <mergeCell ref="G7:AC7"/>
    <mergeCell ref="A4:AC4"/>
    <mergeCell ref="A6:F6"/>
    <mergeCell ref="A90:A126"/>
    <mergeCell ref="A3:AC3"/>
  </mergeCells>
  <phoneticPr fontId="7" type="noConversion"/>
  <hyperlinks>
    <hyperlink ref="G7" r:id="rId1" xr:uid="{7A7596C6-C7AE-4BD1-9BC4-55E533C9A615}"/>
    <hyperlink ref="G6" r:id="rId2" xr:uid="{449DE7FF-E72C-4F25-9DBB-753C57134F7E}"/>
    <hyperlink ref="K281" r:id="rId3" xr:uid="{5E23B5CD-5F12-471F-A22F-D4A7722B9267}"/>
    <hyperlink ref="K283" r:id="rId4" xr:uid="{0E4FCDC2-4E34-499E-98B1-E80BF566EE43}"/>
    <hyperlink ref="K290" r:id="rId5" xr:uid="{330D06B7-0597-4053-AC1E-D84435E71199}"/>
    <hyperlink ref="K328" r:id="rId6" xr:uid="{15F8BAF1-5C88-42C4-861B-983CDFCB40C1}"/>
    <hyperlink ref="K326" r:id="rId7" xr:uid="{1517BDDC-03AA-481C-9AF0-1B110DE283DE}"/>
    <hyperlink ref="K331" r:id="rId8" xr:uid="{9F6A0DCD-708C-441F-9A6E-9B374D19F6CD}"/>
    <hyperlink ref="K324" r:id="rId9" xr:uid="{306C0B28-42E6-4A4D-AFE1-795AC7CBA14D}"/>
    <hyperlink ref="K322" r:id="rId10" xr:uid="{E89D5415-2C53-4F9C-AB79-1C448C505000}"/>
    <hyperlink ref="K285" r:id="rId11" xr:uid="{C87BC701-7757-4302-9030-5D4ADEA0CEB0}"/>
    <hyperlink ref="K288" r:id="rId12" xr:uid="{3F3847D4-291C-44DF-812F-6D4E644E6036}"/>
    <hyperlink ref="K304" r:id="rId13" xr:uid="{A0A34619-8669-429D-87C7-A33653FD582A}"/>
    <hyperlink ref="K306" r:id="rId14" xr:uid="{89F78347-70D2-4BEE-8229-01FF83664684}"/>
    <hyperlink ref="K308" r:id="rId15" xr:uid="{D55B2035-846C-4B17-A7A6-FAE39C81C1BC}"/>
    <hyperlink ref="K310" r:id="rId16" xr:uid="{9A66175A-3D50-4235-B8CE-B8B12B275353}"/>
    <hyperlink ref="K312" r:id="rId17" xr:uid="{D7824AF2-D67B-484E-B019-50E85909CF00}"/>
    <hyperlink ref="K314" r:id="rId18" xr:uid="{E77B48C2-D25B-4A6F-8E19-AAED0F49B8BB}"/>
    <hyperlink ref="K292" r:id="rId19" xr:uid="{41CD5E07-F9E9-4477-9352-1D085A1C689B}"/>
    <hyperlink ref="K294" r:id="rId20" xr:uid="{801D54B6-A192-4A7C-BAE0-3A3E47FB047C}"/>
  </hyperlinks>
  <pageMargins left="0.43307086614173229" right="0.19685039370078741" top="0.19685039370078741" bottom="0" header="0" footer="0"/>
  <pageSetup paperSize="9" scale="54" fitToHeight="10" orientation="landscape" verticalDpi="200" r:id="rId21"/>
  <headerFooter alignWithMargins="0"/>
  <rowBreaks count="5" manualBreakCount="5">
    <brk id="47" max="28" man="1"/>
    <brk id="87" max="28" man="1"/>
    <brk id="127" max="28" man="1"/>
    <brk id="167" max="28" man="1"/>
    <brk id="207" max="28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A999DA-3A21-47C2-95A0-3CEB44B8E5E5}">
  <sheetPr>
    <pageSetUpPr fitToPage="1"/>
  </sheetPr>
  <dimension ref="A1:S185"/>
  <sheetViews>
    <sheetView view="pageBreakPreview" zoomScale="70" zoomScaleNormal="100" zoomScaleSheetLayoutView="70" workbookViewId="0">
      <selection sqref="A1:IV5"/>
    </sheetView>
  </sheetViews>
  <sheetFormatPr defaultColWidth="9.109375" defaultRowHeight="13.2"/>
  <cols>
    <col min="1" max="1" width="3.33203125" style="462" customWidth="1"/>
    <col min="2" max="2" width="7.44140625" style="462" customWidth="1"/>
    <col min="3" max="19" width="8.33203125" style="462" customWidth="1"/>
    <col min="20" max="16384" width="9.109375" style="462"/>
  </cols>
  <sheetData>
    <row r="1" spans="1:19" ht="34.200000000000003" customHeight="1">
      <c r="A1" s="1222" t="s">
        <v>1072</v>
      </c>
      <c r="B1" s="1222"/>
      <c r="C1" s="1222"/>
      <c r="D1" s="1222"/>
      <c r="E1" s="1222"/>
      <c r="F1" s="1222"/>
      <c r="G1" s="1222"/>
      <c r="H1" s="1222"/>
      <c r="I1" s="1222"/>
      <c r="J1" s="1222"/>
      <c r="K1" s="1222"/>
      <c r="L1" s="1222"/>
      <c r="M1" s="1222"/>
      <c r="N1" s="1222"/>
      <c r="O1" s="1222"/>
      <c r="P1" s="1222"/>
      <c r="Q1" s="1222"/>
      <c r="R1" s="1222"/>
      <c r="S1" s="1222"/>
    </row>
    <row r="2" spans="1:19" ht="12.75" customHeight="1">
      <c r="A2" s="1729" t="s">
        <v>761</v>
      </c>
      <c r="B2" s="1729"/>
      <c r="C2" s="1729"/>
      <c r="D2" s="1729"/>
      <c r="E2" s="1729"/>
      <c r="F2" s="1729"/>
      <c r="G2" s="1729"/>
      <c r="H2" s="1729"/>
      <c r="I2" s="1729"/>
      <c r="J2" s="1729"/>
      <c r="K2" s="1729"/>
      <c r="L2" s="1729"/>
      <c r="M2" s="1729"/>
      <c r="N2" s="1729"/>
      <c r="O2" s="1729"/>
      <c r="P2" s="1729"/>
      <c r="Q2" s="1729"/>
      <c r="R2" s="1729"/>
      <c r="S2" s="1729"/>
    </row>
    <row r="3" spans="1:19" ht="13.5" customHeight="1">
      <c r="A3" s="1729" t="s">
        <v>983</v>
      </c>
      <c r="B3" s="1729"/>
      <c r="C3" s="1729"/>
      <c r="D3" s="1729"/>
      <c r="E3" s="1729"/>
      <c r="F3" s="1729"/>
      <c r="G3" s="1729"/>
      <c r="H3" s="1729"/>
      <c r="I3" s="1729"/>
      <c r="J3" s="1729"/>
      <c r="K3" s="1729"/>
      <c r="L3" s="1729"/>
      <c r="M3" s="1729"/>
      <c r="N3" s="1729"/>
      <c r="O3" s="1729"/>
      <c r="P3" s="1729"/>
      <c r="Q3" s="1729"/>
      <c r="R3" s="1729"/>
      <c r="S3" s="1729"/>
    </row>
    <row r="4" spans="1:19">
      <c r="A4" s="1089" t="s">
        <v>593</v>
      </c>
      <c r="B4" s="1089"/>
      <c r="C4" s="1089"/>
      <c r="D4" s="1089"/>
      <c r="E4" s="1406" t="s">
        <v>1060</v>
      </c>
      <c r="F4" s="1730"/>
      <c r="G4" s="1730"/>
      <c r="H4" s="1730"/>
      <c r="I4" s="1730"/>
      <c r="J4" s="1730"/>
      <c r="K4" s="1730"/>
      <c r="L4" s="1730"/>
      <c r="M4" s="1730"/>
      <c r="N4" s="1730"/>
      <c r="O4" s="1730"/>
      <c r="P4" s="1730"/>
    </row>
    <row r="5" spans="1:19">
      <c r="A5" s="1089" t="s">
        <v>611</v>
      </c>
      <c r="B5" s="1089"/>
      <c r="C5" s="1089"/>
      <c r="D5" s="1089"/>
      <c r="E5" s="1406" t="s">
        <v>613</v>
      </c>
      <c r="F5" s="1730"/>
      <c r="G5" s="1730"/>
      <c r="H5" s="1730"/>
      <c r="I5" s="1730"/>
      <c r="J5" s="1730"/>
      <c r="K5" s="1730"/>
      <c r="L5" s="1730"/>
      <c r="M5" s="1730"/>
      <c r="N5" s="1730"/>
      <c r="O5" s="1730"/>
      <c r="P5" s="1730"/>
    </row>
    <row r="6" spans="1:19" ht="13.5" customHeight="1">
      <c r="A6" s="1731" t="s">
        <v>1010</v>
      </c>
      <c r="B6" s="1732"/>
      <c r="C6" s="1735" t="s">
        <v>207</v>
      </c>
      <c r="D6" s="1736"/>
      <c r="E6" s="1736"/>
      <c r="F6" s="1736"/>
      <c r="G6" s="1736"/>
      <c r="H6" s="1736"/>
      <c r="I6" s="1736"/>
      <c r="J6" s="1736"/>
      <c r="K6" s="1736"/>
      <c r="L6" s="1736"/>
      <c r="M6" s="1736"/>
      <c r="N6" s="1736"/>
      <c r="O6" s="1736"/>
      <c r="P6" s="1736"/>
      <c r="Q6" s="1736"/>
      <c r="R6" s="1736"/>
      <c r="S6" s="1737"/>
    </row>
    <row r="7" spans="1:19">
      <c r="A7" s="1732"/>
      <c r="B7" s="1732"/>
      <c r="C7" s="671">
        <v>0.4</v>
      </c>
      <c r="D7" s="671">
        <v>0.5</v>
      </c>
      <c r="E7" s="671">
        <v>0.6</v>
      </c>
      <c r="F7" s="671">
        <v>0.7</v>
      </c>
      <c r="G7" s="671">
        <v>0.8</v>
      </c>
      <c r="H7" s="671">
        <v>0.9</v>
      </c>
      <c r="I7" s="671">
        <v>1</v>
      </c>
      <c r="J7" s="671">
        <v>1.1000000000000001</v>
      </c>
      <c r="K7" s="671">
        <v>1.2</v>
      </c>
      <c r="L7" s="671">
        <v>1.3</v>
      </c>
      <c r="M7" s="671">
        <v>1.4</v>
      </c>
      <c r="N7" s="671">
        <v>1.5</v>
      </c>
      <c r="O7" s="671">
        <v>1.6</v>
      </c>
      <c r="P7" s="671">
        <v>1.7</v>
      </c>
      <c r="Q7" s="671">
        <v>1.8</v>
      </c>
      <c r="R7" s="671">
        <v>1.9</v>
      </c>
      <c r="S7" s="671">
        <v>2</v>
      </c>
    </row>
    <row r="8" spans="1:19" ht="12.75" customHeight="1">
      <c r="A8" s="1728" t="s">
        <v>3</v>
      </c>
      <c r="B8" s="671">
        <v>0.5</v>
      </c>
      <c r="C8" s="689">
        <f>(35.7*KFC!$B$21+KFC!$C$21)*KFC!$C$5</f>
        <v>35.700000000000003</v>
      </c>
      <c r="D8" s="689">
        <f>(39.2*KFC!$B$21+KFC!$C$21)*KFC!$C$5</f>
        <v>39.200000000000003</v>
      </c>
      <c r="E8" s="689">
        <f>(42.7*KFC!$B$21+KFC!$C$21)*KFC!$C$5</f>
        <v>42.7</v>
      </c>
      <c r="F8" s="689">
        <f>(46.2*KFC!$B$21+KFC!$C$21)*KFC!$C$5</f>
        <v>46.2</v>
      </c>
      <c r="G8" s="689">
        <f>(49.7*KFC!$B$21+KFC!$C$21)*KFC!$C$5</f>
        <v>49.7</v>
      </c>
      <c r="H8" s="689">
        <f>(53.2*KFC!$B$21+KFC!$C$21)*KFC!$C$5</f>
        <v>53.2</v>
      </c>
      <c r="I8" s="689">
        <f>(56.7*KFC!$B$21+KFC!$C$21)*KFC!$C$5</f>
        <v>56.7</v>
      </c>
      <c r="J8" s="689">
        <f>(60.2*KFC!$B$21+KFC!$C$21)*KFC!$C$5</f>
        <v>60.2</v>
      </c>
      <c r="K8" s="689">
        <f>(63.7*KFC!$B$21+KFC!$C$21)*KFC!$C$5</f>
        <v>63.7</v>
      </c>
      <c r="L8" s="689">
        <f>(67.2*KFC!$B$21+KFC!$C$21)*KFC!$C$5</f>
        <v>67.2</v>
      </c>
      <c r="M8" s="689">
        <f>(70.7*KFC!$B$21+KFC!$C$21)*KFC!$C$5</f>
        <v>70.7</v>
      </c>
      <c r="N8" s="689">
        <f>(74.2*KFC!$B$21+KFC!$C$21)*KFC!$C$5</f>
        <v>74.2</v>
      </c>
      <c r="O8" s="689">
        <f>(77.7*KFC!$B$21+KFC!$C$21)*KFC!$C$5</f>
        <v>77.7</v>
      </c>
      <c r="P8" s="689">
        <f>(81.2*KFC!$B$21+KFC!$C$21)*KFC!$C$5</f>
        <v>81.2</v>
      </c>
      <c r="Q8" s="689">
        <f>(84.7*KFC!$B$21+KFC!$C$21)*KFC!$C$5</f>
        <v>84.7</v>
      </c>
      <c r="R8" s="689">
        <f>(88.2*KFC!$B$21+KFC!$C$21)*KFC!$C$5</f>
        <v>88.2</v>
      </c>
      <c r="S8" s="689">
        <f>(91.7*KFC!$B$21+KFC!$C$21)*KFC!$C$5</f>
        <v>91.7</v>
      </c>
    </row>
    <row r="9" spans="1:19">
      <c r="A9" s="1728"/>
      <c r="B9" s="671">
        <v>0.6</v>
      </c>
      <c r="C9" s="689">
        <f>(35.9*KFC!$B$21+KFC!$C$21)*KFC!$C$5</f>
        <v>35.9</v>
      </c>
      <c r="D9" s="689">
        <f>(39.4*KFC!$B$21+KFC!$C$21)*KFC!$C$5</f>
        <v>39.4</v>
      </c>
      <c r="E9" s="689">
        <f>(43*KFC!$B$21+KFC!$C$21)*KFC!$C$5</f>
        <v>43</v>
      </c>
      <c r="F9" s="689">
        <f>(46.5*KFC!$B$21+KFC!$C$21)*KFC!$C$5</f>
        <v>46.5</v>
      </c>
      <c r="G9" s="689">
        <f>(50.1*KFC!$B$21+KFC!$C$21)*KFC!$C$5</f>
        <v>50.1</v>
      </c>
      <c r="H9" s="689">
        <f>(53.6*KFC!$B$21+KFC!$C$21)*KFC!$C$5</f>
        <v>53.6</v>
      </c>
      <c r="I9" s="689">
        <f>(57.2*KFC!$B$21+KFC!$C$21)*KFC!$C$5</f>
        <v>57.2</v>
      </c>
      <c r="J9" s="689">
        <f>(60.8*KFC!$B$21+KFC!$C$21)*KFC!$C$5</f>
        <v>60.8</v>
      </c>
      <c r="K9" s="689">
        <f>(64.3*KFC!$B$21+KFC!$C$21)*KFC!$C$5</f>
        <v>64.3</v>
      </c>
      <c r="L9" s="689">
        <f>(67.9*KFC!$B$21+KFC!$C$21)*KFC!$C$5</f>
        <v>67.900000000000006</v>
      </c>
      <c r="M9" s="689">
        <f>(71.4*KFC!$B$21+KFC!$C$21)*KFC!$C$5</f>
        <v>71.400000000000006</v>
      </c>
      <c r="N9" s="689">
        <f>(75*KFC!$B$21+KFC!$C$21)*KFC!$C$5</f>
        <v>75</v>
      </c>
      <c r="O9" s="689">
        <f>(78.5*KFC!$B$21+KFC!$C$21)*KFC!$C$5</f>
        <v>78.5</v>
      </c>
      <c r="P9" s="689">
        <f>(82.1*KFC!$B$21+KFC!$C$21)*KFC!$C$5</f>
        <v>82.1</v>
      </c>
      <c r="Q9" s="689">
        <f>(85.6*KFC!$B$21+KFC!$C$21)*KFC!$C$5</f>
        <v>85.6</v>
      </c>
      <c r="R9" s="689">
        <f>(89.2*KFC!$B$21+KFC!$C$21)*KFC!$C$5</f>
        <v>89.2</v>
      </c>
      <c r="S9" s="689">
        <f>(92.7*KFC!$B$21+KFC!$C$21)*KFC!$C$5</f>
        <v>92.7</v>
      </c>
    </row>
    <row r="10" spans="1:19">
      <c r="A10" s="1728"/>
      <c r="B10" s="671">
        <v>0.7</v>
      </c>
      <c r="C10" s="689">
        <f>(36.1*KFC!$B$21+KFC!$C$21)*KFC!$C$5</f>
        <v>36.1</v>
      </c>
      <c r="D10" s="689">
        <f>(39.7*KFC!$B$21+KFC!$C$21)*KFC!$C$5</f>
        <v>39.700000000000003</v>
      </c>
      <c r="E10" s="689">
        <f>(43.3*KFC!$B$21+KFC!$C$21)*KFC!$C$5</f>
        <v>43.3</v>
      </c>
      <c r="F10" s="689">
        <f>(46.9*KFC!$B$21+KFC!$C$21)*KFC!$C$5</f>
        <v>46.9</v>
      </c>
      <c r="G10" s="689">
        <f>(50.5*KFC!$B$21+KFC!$C$21)*KFC!$C$5</f>
        <v>50.5</v>
      </c>
      <c r="H10" s="689">
        <f>(54.1*KFC!$B$21+KFC!$C$21)*KFC!$C$5</f>
        <v>54.1</v>
      </c>
      <c r="I10" s="689">
        <f>(57.7*KFC!$B$21+KFC!$C$21)*KFC!$C$5</f>
        <v>57.7</v>
      </c>
      <c r="J10" s="689">
        <f>(61.3*KFC!$B$21+KFC!$C$21)*KFC!$C$5</f>
        <v>61.3</v>
      </c>
      <c r="K10" s="689">
        <f>(64.9*KFC!$B$21+KFC!$C$21)*KFC!$C$5</f>
        <v>64.900000000000006</v>
      </c>
      <c r="L10" s="689">
        <f>(68.5*KFC!$B$21+KFC!$C$21)*KFC!$C$5</f>
        <v>68.5</v>
      </c>
      <c r="M10" s="689">
        <f>(72.1*KFC!$B$21+KFC!$C$21)*KFC!$C$5</f>
        <v>72.099999999999994</v>
      </c>
      <c r="N10" s="689">
        <f>(75.7*KFC!$B$21+KFC!$C$21)*KFC!$C$5</f>
        <v>75.7</v>
      </c>
      <c r="O10" s="689">
        <f>(79.3*KFC!$B$21+KFC!$C$21)*KFC!$C$5</f>
        <v>79.3</v>
      </c>
      <c r="P10" s="689">
        <f>(82.9*KFC!$B$21+KFC!$C$21)*KFC!$C$5</f>
        <v>82.9</v>
      </c>
      <c r="Q10" s="689">
        <f>(86.5*KFC!$B$21+KFC!$C$21)*KFC!$C$5</f>
        <v>86.5</v>
      </c>
      <c r="R10" s="689">
        <f>(90.1*KFC!$B$21+KFC!$C$21)*KFC!$C$5</f>
        <v>90.1</v>
      </c>
      <c r="S10" s="689">
        <f>(93.7*KFC!$B$21+KFC!$C$21)*KFC!$C$5</f>
        <v>93.7</v>
      </c>
    </row>
    <row r="11" spans="1:19">
      <c r="A11" s="1728"/>
      <c r="B11" s="671">
        <v>0.8</v>
      </c>
      <c r="C11" s="689">
        <f>(36.3*KFC!$B$21+KFC!$C$21)*KFC!$C$5</f>
        <v>36.299999999999997</v>
      </c>
      <c r="D11" s="689">
        <f>(39.9*KFC!$B$21+KFC!$C$21)*KFC!$C$5</f>
        <v>39.9</v>
      </c>
      <c r="E11" s="689">
        <f>(43.6*KFC!$B$21+KFC!$C$21)*KFC!$C$5</f>
        <v>43.6</v>
      </c>
      <c r="F11" s="689">
        <f>(47.3*KFC!$B$21+KFC!$C$21)*KFC!$C$5</f>
        <v>47.3</v>
      </c>
      <c r="G11" s="689">
        <f>(50.9*KFC!$B$21+KFC!$C$21)*KFC!$C$5</f>
        <v>50.9</v>
      </c>
      <c r="H11" s="689">
        <f>(54.6*KFC!$B$21+KFC!$C$21)*KFC!$C$5</f>
        <v>54.6</v>
      </c>
      <c r="I11" s="689">
        <f>(58.2*KFC!$B$21+KFC!$C$21)*KFC!$C$5</f>
        <v>58.2</v>
      </c>
      <c r="J11" s="689">
        <f>(61.9*KFC!$B$21+KFC!$C$21)*KFC!$C$5</f>
        <v>61.9</v>
      </c>
      <c r="K11" s="689">
        <f>(65.5*KFC!$B$21+KFC!$C$21)*KFC!$C$5</f>
        <v>65.5</v>
      </c>
      <c r="L11" s="689">
        <f>(69.2*KFC!$B$21+KFC!$C$21)*KFC!$C$5</f>
        <v>69.2</v>
      </c>
      <c r="M11" s="689">
        <f>(72.8*KFC!$B$21+KFC!$C$21)*KFC!$C$5</f>
        <v>72.8</v>
      </c>
      <c r="N11" s="689">
        <f>(76.5*KFC!$B$21+KFC!$C$21)*KFC!$C$5</f>
        <v>76.5</v>
      </c>
      <c r="O11" s="689">
        <f>(80.1*KFC!$B$21+KFC!$C$21)*KFC!$C$5</f>
        <v>80.099999999999994</v>
      </c>
      <c r="P11" s="689">
        <f>(83.8*KFC!$B$21+KFC!$C$21)*KFC!$C$5</f>
        <v>83.8</v>
      </c>
      <c r="Q11" s="689">
        <f>(87.4*KFC!$B$21+KFC!$C$21)*KFC!$C$5</f>
        <v>87.4</v>
      </c>
      <c r="R11" s="689">
        <f>(91.1*KFC!$B$21+KFC!$C$21)*KFC!$C$5</f>
        <v>91.1</v>
      </c>
      <c r="S11" s="689">
        <f>(94.7*KFC!$B$21+KFC!$C$21)*KFC!$C$5</f>
        <v>94.7</v>
      </c>
    </row>
    <row r="12" spans="1:19">
      <c r="A12" s="1728"/>
      <c r="B12" s="671">
        <v>0.9</v>
      </c>
      <c r="C12" s="689">
        <f>(36.5*KFC!$B$21+KFC!$C$21)*KFC!$C$5</f>
        <v>36.5</v>
      </c>
      <c r="D12" s="689">
        <f>(40.2*KFC!$B$21+KFC!$C$21)*KFC!$C$5</f>
        <v>40.200000000000003</v>
      </c>
      <c r="E12" s="689">
        <f>(43.9*KFC!$B$21+KFC!$C$21)*KFC!$C$5</f>
        <v>43.9</v>
      </c>
      <c r="F12" s="689">
        <f>(47.6*KFC!$B$21+KFC!$C$21)*KFC!$C$5</f>
        <v>47.6</v>
      </c>
      <c r="G12" s="689">
        <f>(51.3*KFC!$B$21+KFC!$C$21)*KFC!$C$5</f>
        <v>51.3</v>
      </c>
      <c r="H12" s="689">
        <f>(55*KFC!$B$21+KFC!$C$21)*KFC!$C$5</f>
        <v>55</v>
      </c>
      <c r="I12" s="689">
        <f>(58.7*KFC!$B$21+KFC!$C$21)*KFC!$C$5</f>
        <v>58.7</v>
      </c>
      <c r="J12" s="689">
        <f>(62.4*KFC!$B$21+KFC!$C$21)*KFC!$C$5</f>
        <v>62.4</v>
      </c>
      <c r="K12" s="689">
        <f>(66.1*KFC!$B$21+KFC!$C$21)*KFC!$C$5</f>
        <v>66.099999999999994</v>
      </c>
      <c r="L12" s="689">
        <f>(69.8*KFC!$B$21+KFC!$C$21)*KFC!$C$5</f>
        <v>69.8</v>
      </c>
      <c r="M12" s="689">
        <f>(73.5*KFC!$B$21+KFC!$C$21)*KFC!$C$5</f>
        <v>73.5</v>
      </c>
      <c r="N12" s="689">
        <f>(77.2*KFC!$B$21+KFC!$C$21)*KFC!$C$5</f>
        <v>77.2</v>
      </c>
      <c r="O12" s="689">
        <f>(80.9*KFC!$B$21+KFC!$C$21)*KFC!$C$5</f>
        <v>80.900000000000006</v>
      </c>
      <c r="P12" s="689">
        <f>(84.7*KFC!$B$21+KFC!$C$21)*KFC!$C$5</f>
        <v>84.7</v>
      </c>
      <c r="Q12" s="689">
        <f>(88.4*KFC!$B$21+KFC!$C$21)*KFC!$C$5</f>
        <v>88.4</v>
      </c>
      <c r="R12" s="689">
        <f>(92.1*KFC!$B$21+KFC!$C$21)*KFC!$C$5</f>
        <v>92.1</v>
      </c>
      <c r="S12" s="689">
        <f>(95.8*KFC!$B$21+KFC!$C$21)*KFC!$C$5</f>
        <v>95.8</v>
      </c>
    </row>
    <row r="13" spans="1:19">
      <c r="A13" s="1728"/>
      <c r="B13" s="671">
        <v>1</v>
      </c>
      <c r="C13" s="689">
        <f>(36.7*KFC!$B$21+KFC!$C$21)*KFC!$C$5</f>
        <v>36.700000000000003</v>
      </c>
      <c r="D13" s="689">
        <f>(40.5*KFC!$B$21+KFC!$C$21)*KFC!$C$5</f>
        <v>40.5</v>
      </c>
      <c r="E13" s="689">
        <f>(44.2*KFC!$B$21+KFC!$C$21)*KFC!$C$5</f>
        <v>44.2</v>
      </c>
      <c r="F13" s="689">
        <f>(48*KFC!$B$21+KFC!$C$21)*KFC!$C$5</f>
        <v>48</v>
      </c>
      <c r="G13" s="689">
        <f>(51.7*KFC!$B$21+KFC!$C$21)*KFC!$C$5</f>
        <v>51.7</v>
      </c>
      <c r="H13" s="689">
        <f>(55.5*KFC!$B$21+KFC!$C$21)*KFC!$C$5</f>
        <v>55.5</v>
      </c>
      <c r="I13" s="689">
        <f>(59.2*KFC!$B$21+KFC!$C$21)*KFC!$C$5</f>
        <v>59.2</v>
      </c>
      <c r="J13" s="689">
        <f>(63*KFC!$B$21+KFC!$C$21)*KFC!$C$5</f>
        <v>63</v>
      </c>
      <c r="K13" s="689">
        <f>(66.7*KFC!$B$21+KFC!$C$21)*KFC!$C$5</f>
        <v>66.7</v>
      </c>
      <c r="L13" s="689">
        <f>(70.5*KFC!$B$21+KFC!$C$21)*KFC!$C$5</f>
        <v>70.5</v>
      </c>
      <c r="M13" s="689">
        <f>(74.3*KFC!$B$21+KFC!$C$21)*KFC!$C$5</f>
        <v>74.3</v>
      </c>
      <c r="N13" s="689">
        <f>(78*KFC!$B$21+KFC!$C$21)*KFC!$C$5</f>
        <v>78</v>
      </c>
      <c r="O13" s="689">
        <f>(81.8*KFC!$B$21+KFC!$C$21)*KFC!$C$5</f>
        <v>81.8</v>
      </c>
      <c r="P13" s="689">
        <f>(85.5*KFC!$B$21+KFC!$C$21)*KFC!$C$5</f>
        <v>85.5</v>
      </c>
      <c r="Q13" s="689">
        <f>(89.3*KFC!$B$21+KFC!$C$21)*KFC!$C$5</f>
        <v>89.3</v>
      </c>
      <c r="R13" s="689">
        <f>(93*KFC!$B$21+KFC!$C$21)*KFC!$C$5</f>
        <v>93</v>
      </c>
      <c r="S13" s="689">
        <f>(96.8*KFC!$B$21+KFC!$C$21)*KFC!$C$5</f>
        <v>96.8</v>
      </c>
    </row>
    <row r="14" spans="1:19">
      <c r="A14" s="1728"/>
      <c r="B14" s="671">
        <v>1.1000000000000001</v>
      </c>
      <c r="C14" s="689">
        <f>(36.9*KFC!$B$21+KFC!$C$21)*KFC!$C$5</f>
        <v>36.9</v>
      </c>
      <c r="D14" s="689">
        <f>(40.7*KFC!$B$21+KFC!$C$21)*KFC!$C$5</f>
        <v>40.700000000000003</v>
      </c>
      <c r="E14" s="689">
        <f>(44.5*KFC!$B$21+KFC!$C$21)*KFC!$C$5</f>
        <v>44.5</v>
      </c>
      <c r="F14" s="689">
        <f>(48.3*KFC!$B$21+KFC!$C$21)*KFC!$C$5</f>
        <v>48.3</v>
      </c>
      <c r="G14" s="689">
        <f>(52.1*KFC!$B$21+KFC!$C$21)*KFC!$C$5</f>
        <v>52.1</v>
      </c>
      <c r="H14" s="689">
        <f>(55.9*KFC!$B$21+KFC!$C$21)*KFC!$C$5</f>
        <v>55.9</v>
      </c>
      <c r="I14" s="689">
        <f>(59.7*KFC!$B$21+KFC!$C$21)*KFC!$C$5</f>
        <v>59.7</v>
      </c>
      <c r="J14" s="689">
        <f>(63.5*KFC!$B$21+KFC!$C$21)*KFC!$C$5</f>
        <v>63.5</v>
      </c>
      <c r="K14" s="689">
        <f>(67.4*KFC!$B$21+KFC!$C$21)*KFC!$C$5</f>
        <v>67.400000000000006</v>
      </c>
      <c r="L14" s="689">
        <f>(71.2*KFC!$B$21+KFC!$C$21)*KFC!$C$5</f>
        <v>71.2</v>
      </c>
      <c r="M14" s="689">
        <f>(75*KFC!$B$21+KFC!$C$21)*KFC!$C$5</f>
        <v>75</v>
      </c>
      <c r="N14" s="689">
        <f>(78.8*KFC!$B$21+KFC!$C$21)*KFC!$C$5</f>
        <v>78.8</v>
      </c>
      <c r="O14" s="689">
        <f>(82.6*KFC!$B$21+KFC!$C$21)*KFC!$C$5</f>
        <v>82.6</v>
      </c>
      <c r="P14" s="689">
        <f>(86.4*KFC!$B$21+KFC!$C$21)*KFC!$C$5</f>
        <v>86.4</v>
      </c>
      <c r="Q14" s="689">
        <f>(90.2*KFC!$B$21+KFC!$C$21)*KFC!$C$5</f>
        <v>90.2</v>
      </c>
      <c r="R14" s="689">
        <f>(94*KFC!$B$21+KFC!$C$21)*KFC!$C$5</f>
        <v>94</v>
      </c>
      <c r="S14" s="689">
        <f>(97.8*KFC!$B$21+KFC!$C$21)*KFC!$C$5</f>
        <v>97.8</v>
      </c>
    </row>
    <row r="15" spans="1:19">
      <c r="A15" s="1728"/>
      <c r="B15" s="671">
        <v>1.2</v>
      </c>
      <c r="C15" s="689">
        <f>(37.1*KFC!$B$21+KFC!$C$21)*KFC!$C$5</f>
        <v>37.1</v>
      </c>
      <c r="D15" s="689">
        <f>(41*KFC!$B$21+KFC!$C$21)*KFC!$C$5</f>
        <v>41</v>
      </c>
      <c r="E15" s="689">
        <f>(44.8*KFC!$B$21+KFC!$C$21)*KFC!$C$5</f>
        <v>44.8</v>
      </c>
      <c r="F15" s="689">
        <f>(48.7*KFC!$B$21+KFC!$C$21)*KFC!$C$5</f>
        <v>48.7</v>
      </c>
      <c r="G15" s="689">
        <f>(52.5*KFC!$B$21+KFC!$C$21)*KFC!$C$5</f>
        <v>52.5</v>
      </c>
      <c r="H15" s="689">
        <f>(56.4*KFC!$B$21+KFC!$C$21)*KFC!$C$5</f>
        <v>56.4</v>
      </c>
      <c r="I15" s="689">
        <f>(60.3*KFC!$B$21+KFC!$C$21)*KFC!$C$5</f>
        <v>60.3</v>
      </c>
      <c r="J15" s="689">
        <f>(64.1*KFC!$B$21+KFC!$C$21)*KFC!$C$5</f>
        <v>64.099999999999994</v>
      </c>
      <c r="K15" s="689">
        <f>(68*KFC!$B$21+KFC!$C$21)*KFC!$C$5</f>
        <v>68</v>
      </c>
      <c r="L15" s="689">
        <f>(71.8*KFC!$B$21+KFC!$C$21)*KFC!$C$5</f>
        <v>71.8</v>
      </c>
      <c r="M15" s="689">
        <f>(75.7*KFC!$B$21+KFC!$C$21)*KFC!$C$5</f>
        <v>75.7</v>
      </c>
      <c r="N15" s="689">
        <f>(79.5*KFC!$B$21+KFC!$C$21)*KFC!$C$5</f>
        <v>79.5</v>
      </c>
      <c r="O15" s="689">
        <f>(83.4*KFC!$B$21+KFC!$C$21)*KFC!$C$5</f>
        <v>83.4</v>
      </c>
      <c r="P15" s="689">
        <f>(87.2*KFC!$B$21+KFC!$C$21)*KFC!$C$5</f>
        <v>87.2</v>
      </c>
      <c r="Q15" s="689">
        <f>(91.1*KFC!$B$21+KFC!$C$21)*KFC!$C$5</f>
        <v>91.1</v>
      </c>
      <c r="R15" s="689">
        <f>(95*KFC!$B$21+KFC!$C$21)*KFC!$C$5</f>
        <v>95</v>
      </c>
      <c r="S15" s="689">
        <f>(98.8*KFC!$B$21+KFC!$C$21)*KFC!$C$5</f>
        <v>98.8</v>
      </c>
    </row>
    <row r="16" spans="1:19">
      <c r="A16" s="1728"/>
      <c r="B16" s="671">
        <v>1.3</v>
      </c>
      <c r="C16" s="689">
        <f>(37.3*KFC!$B$21+KFC!$C$21)*KFC!$C$5</f>
        <v>37.299999999999997</v>
      </c>
      <c r="D16" s="689">
        <f>(41.2*KFC!$B$21+KFC!$C$21)*KFC!$C$5</f>
        <v>41.2</v>
      </c>
      <c r="E16" s="689">
        <f>(45.1*KFC!$B$21+KFC!$C$21)*KFC!$C$5</f>
        <v>45.1</v>
      </c>
      <c r="F16" s="689">
        <f>(49*KFC!$B$21+KFC!$C$21)*KFC!$C$5</f>
        <v>49</v>
      </c>
      <c r="G16" s="689">
        <f>(52.9*KFC!$B$21+KFC!$C$21)*KFC!$C$5</f>
        <v>52.9</v>
      </c>
      <c r="H16" s="689">
        <f>(56.8*KFC!$B$21+KFC!$C$21)*KFC!$C$5</f>
        <v>56.8</v>
      </c>
      <c r="I16" s="689">
        <f>(60.8*KFC!$B$21+KFC!$C$21)*KFC!$C$5</f>
        <v>60.8</v>
      </c>
      <c r="J16" s="689">
        <f>(64.7*KFC!$B$21+KFC!$C$21)*KFC!$C$5</f>
        <v>64.7</v>
      </c>
      <c r="K16" s="689">
        <f>(68.6*KFC!$B$21+KFC!$C$21)*KFC!$C$5</f>
        <v>68.599999999999994</v>
      </c>
      <c r="L16" s="689">
        <f>(72.5*KFC!$B$21+KFC!$C$21)*KFC!$C$5</f>
        <v>72.5</v>
      </c>
      <c r="M16" s="689">
        <f>(76.4*KFC!$B$21+KFC!$C$21)*KFC!$C$5</f>
        <v>76.400000000000006</v>
      </c>
      <c r="N16" s="689">
        <f>(80.3*KFC!$B$21+KFC!$C$21)*KFC!$C$5</f>
        <v>80.3</v>
      </c>
      <c r="O16" s="689">
        <f>(84.2*KFC!$B$21+KFC!$C$21)*KFC!$C$5</f>
        <v>84.2</v>
      </c>
      <c r="P16" s="689">
        <f>(88.1*KFC!$B$21+KFC!$C$21)*KFC!$C$5</f>
        <v>88.1</v>
      </c>
      <c r="Q16" s="689">
        <f>(92*KFC!$B$21+KFC!$C$21)*KFC!$C$5</f>
        <v>92</v>
      </c>
      <c r="R16" s="689">
        <f>(95.9*KFC!$B$21+KFC!$C$21)*KFC!$C$5</f>
        <v>95.9</v>
      </c>
      <c r="S16" s="689">
        <f>(99.8*KFC!$B$21+KFC!$C$21)*KFC!$C$5</f>
        <v>99.8</v>
      </c>
    </row>
    <row r="17" spans="1:19">
      <c r="A17" s="1728"/>
      <c r="B17" s="671">
        <v>1.4</v>
      </c>
      <c r="C17" s="689">
        <f>(37.5*KFC!$B$21+KFC!$C$21)*KFC!$C$5</f>
        <v>37.5</v>
      </c>
      <c r="D17" s="689">
        <f>(41.5*KFC!$B$21+KFC!$C$21)*KFC!$C$5</f>
        <v>41.5</v>
      </c>
      <c r="E17" s="689">
        <f>(45.4*KFC!$B$21+KFC!$C$21)*KFC!$C$5</f>
        <v>45.4</v>
      </c>
      <c r="F17" s="689">
        <f>(49.4*KFC!$B$21+KFC!$C$21)*KFC!$C$5</f>
        <v>49.4</v>
      </c>
      <c r="G17" s="689">
        <f>(53.3*KFC!$B$21+KFC!$C$21)*KFC!$C$5</f>
        <v>53.3</v>
      </c>
      <c r="H17" s="689">
        <f>(57.3*KFC!$B$21+KFC!$C$21)*KFC!$C$5</f>
        <v>57.3</v>
      </c>
      <c r="I17" s="689">
        <f>(61.3*KFC!$B$21+KFC!$C$21)*KFC!$C$5</f>
        <v>61.3</v>
      </c>
      <c r="J17" s="689">
        <f>(65.2*KFC!$B$21+KFC!$C$21)*KFC!$C$5</f>
        <v>65.2</v>
      </c>
      <c r="K17" s="689">
        <f>(69.2*KFC!$B$21+KFC!$C$21)*KFC!$C$5</f>
        <v>69.2</v>
      </c>
      <c r="L17" s="689">
        <f>(73.1*KFC!$B$21+KFC!$C$21)*KFC!$C$5</f>
        <v>73.099999999999994</v>
      </c>
      <c r="M17" s="689">
        <f>(77.1*KFC!$B$21+KFC!$C$21)*KFC!$C$5</f>
        <v>77.099999999999994</v>
      </c>
      <c r="N17" s="689">
        <f>(81*KFC!$B$21+KFC!$C$21)*KFC!$C$5</f>
        <v>81</v>
      </c>
      <c r="O17" s="689">
        <f>(85*KFC!$B$21+KFC!$C$21)*KFC!$C$5</f>
        <v>85</v>
      </c>
      <c r="P17" s="689">
        <f>(89*KFC!$B$21+KFC!$C$21)*KFC!$C$5</f>
        <v>89</v>
      </c>
      <c r="Q17" s="689">
        <f>(92.9*KFC!$B$21+KFC!$C$21)*KFC!$C$5</f>
        <v>92.9</v>
      </c>
      <c r="R17" s="689">
        <f>(96.9*KFC!$B$21+KFC!$C$21)*KFC!$C$5</f>
        <v>96.9</v>
      </c>
      <c r="S17" s="689">
        <f>(100.8*KFC!$B$21+KFC!$C$21)*KFC!$C$5</f>
        <v>100.8</v>
      </c>
    </row>
    <row r="18" spans="1:19">
      <c r="A18" s="1728"/>
      <c r="B18" s="671">
        <v>1.5</v>
      </c>
      <c r="C18" s="689">
        <f>(37.7*KFC!$B$21+KFC!$C$21)*KFC!$C$5</f>
        <v>37.700000000000003</v>
      </c>
      <c r="D18" s="689">
        <f>(41.7*KFC!$B$21+KFC!$C$21)*KFC!$C$5</f>
        <v>41.7</v>
      </c>
      <c r="E18" s="689">
        <f>(45.7*KFC!$B$21+KFC!$C$21)*KFC!$C$5</f>
        <v>45.7</v>
      </c>
      <c r="F18" s="689">
        <f>(49.7*KFC!$B$21+KFC!$C$21)*KFC!$C$5</f>
        <v>49.7</v>
      </c>
      <c r="G18" s="689">
        <f>(53.8*KFC!$B$21+KFC!$C$21)*KFC!$C$5</f>
        <v>53.8</v>
      </c>
      <c r="H18" s="689">
        <f>(57.8*KFC!$B$21+KFC!$C$21)*KFC!$C$5</f>
        <v>57.8</v>
      </c>
      <c r="I18" s="689">
        <f>(61.8*KFC!$B$21+KFC!$C$21)*KFC!$C$5</f>
        <v>61.8</v>
      </c>
      <c r="J18" s="689">
        <f>(65.8*KFC!$B$21+KFC!$C$21)*KFC!$C$5</f>
        <v>65.8</v>
      </c>
      <c r="K18" s="689">
        <f>(69.8*KFC!$B$21+KFC!$C$21)*KFC!$C$5</f>
        <v>69.8</v>
      </c>
      <c r="L18" s="689">
        <f>(73.8*KFC!$B$21+KFC!$C$21)*KFC!$C$5</f>
        <v>73.8</v>
      </c>
      <c r="M18" s="689">
        <f>(77.8*KFC!$B$21+KFC!$C$21)*KFC!$C$5</f>
        <v>77.8</v>
      </c>
      <c r="N18" s="689">
        <f>(81.8*KFC!$B$21+KFC!$C$21)*KFC!$C$5</f>
        <v>81.8</v>
      </c>
      <c r="O18" s="689">
        <f>(85.8*KFC!$B$21+KFC!$C$21)*KFC!$C$5</f>
        <v>85.8</v>
      </c>
      <c r="P18" s="689">
        <f>(89.8*KFC!$B$21+KFC!$C$21)*KFC!$C$5</f>
        <v>89.8</v>
      </c>
      <c r="Q18" s="689">
        <f>(93.8*KFC!$B$21+KFC!$C$21)*KFC!$C$5</f>
        <v>93.8</v>
      </c>
      <c r="R18" s="689">
        <f>(97.8*KFC!$B$21+KFC!$C$21)*KFC!$C$5</f>
        <v>97.8</v>
      </c>
      <c r="S18" s="689">
        <f>(101.8*KFC!$B$21+KFC!$C$21)*KFC!$C$5</f>
        <v>101.8</v>
      </c>
    </row>
    <row r="19" spans="1:19">
      <c r="A19" s="1728"/>
      <c r="B19" s="671">
        <v>1.6</v>
      </c>
      <c r="C19" s="689">
        <f>(37.9*KFC!$B$21+KFC!$C$21)*KFC!$C$5</f>
        <v>37.9</v>
      </c>
      <c r="D19" s="689">
        <f>(42*KFC!$B$21+KFC!$C$21)*KFC!$C$5</f>
        <v>42</v>
      </c>
      <c r="E19" s="689">
        <f>(46*KFC!$B$21+KFC!$C$21)*KFC!$C$5</f>
        <v>46</v>
      </c>
      <c r="F19" s="689">
        <f>(50.1*KFC!$B$21+KFC!$C$21)*KFC!$C$5</f>
        <v>50.1</v>
      </c>
      <c r="G19" s="689">
        <f>(54.1*KFC!$B$21+KFC!$C$21)*KFC!$C$5</f>
        <v>54.1</v>
      </c>
      <c r="H19" s="689">
        <f>(58.2*KFC!$B$21+KFC!$C$21)*KFC!$C$5</f>
        <v>58.2</v>
      </c>
      <c r="I19" s="689">
        <f>(62.3*KFC!$B$21+KFC!$C$21)*KFC!$C$5</f>
        <v>62.3</v>
      </c>
      <c r="J19" s="689">
        <f>(66.3*KFC!$B$21+KFC!$C$21)*KFC!$C$5</f>
        <v>66.3</v>
      </c>
      <c r="K19" s="689">
        <f>(70.4*KFC!$B$21+KFC!$C$21)*KFC!$C$5</f>
        <v>70.400000000000006</v>
      </c>
      <c r="L19" s="689">
        <f>(74.5*KFC!$B$21+KFC!$C$21)*KFC!$C$5</f>
        <v>74.5</v>
      </c>
      <c r="M19" s="689">
        <f>(78.5*KFC!$B$21+KFC!$C$21)*KFC!$C$5</f>
        <v>78.5</v>
      </c>
      <c r="N19" s="689">
        <f>(82.6*KFC!$B$21+KFC!$C$21)*KFC!$C$5</f>
        <v>82.6</v>
      </c>
      <c r="O19" s="689">
        <f>(86.6*KFC!$B$21+KFC!$C$21)*KFC!$C$5</f>
        <v>86.6</v>
      </c>
      <c r="P19" s="689">
        <f>(90.7*KFC!$B$21+KFC!$C$21)*KFC!$C$5</f>
        <v>90.7</v>
      </c>
      <c r="Q19" s="689">
        <f>(94.7*KFC!$B$21+KFC!$C$21)*KFC!$C$5</f>
        <v>94.7</v>
      </c>
      <c r="R19" s="689">
        <f>(98.8*KFC!$B$21+KFC!$C$21)*KFC!$C$5</f>
        <v>98.8</v>
      </c>
      <c r="S19" s="689">
        <f>(102.9*KFC!$B$21+KFC!$C$21)*KFC!$C$5</f>
        <v>102.9</v>
      </c>
    </row>
    <row r="20" spans="1:19">
      <c r="A20" s="1728"/>
      <c r="B20" s="671">
        <v>1.7</v>
      </c>
      <c r="C20" s="689">
        <f>(38.1*KFC!$B$21+KFC!$C$21)*KFC!$C$5</f>
        <v>38.1</v>
      </c>
      <c r="D20" s="689">
        <f>(42.2*KFC!$B$21+KFC!$C$21)*KFC!$C$5</f>
        <v>42.2</v>
      </c>
      <c r="E20" s="689">
        <f>(46.3*KFC!$B$21+KFC!$C$21)*KFC!$C$5</f>
        <v>46.3</v>
      </c>
      <c r="F20" s="689">
        <f>(50.5*KFC!$B$21+KFC!$C$21)*KFC!$C$5</f>
        <v>50.5</v>
      </c>
      <c r="G20" s="689">
        <f>(54.6*KFC!$B$21+KFC!$C$21)*KFC!$C$5</f>
        <v>54.6</v>
      </c>
      <c r="H20" s="689">
        <f>(58.7*KFC!$B$21+KFC!$C$21)*KFC!$C$5</f>
        <v>58.7</v>
      </c>
      <c r="I20" s="689">
        <f>(62.8*KFC!$B$21+KFC!$C$21)*KFC!$C$5</f>
        <v>62.8</v>
      </c>
      <c r="J20" s="689">
        <f>(66.9*KFC!$B$21+KFC!$C$21)*KFC!$C$5</f>
        <v>66.900000000000006</v>
      </c>
      <c r="K20" s="689">
        <f>(71*KFC!$B$21+KFC!$C$21)*KFC!$C$5</f>
        <v>71</v>
      </c>
      <c r="L20" s="689">
        <f>(75.1*KFC!$B$21+KFC!$C$21)*KFC!$C$5</f>
        <v>75.099999999999994</v>
      </c>
      <c r="M20" s="689">
        <f>(79.2*KFC!$B$21+KFC!$C$21)*KFC!$C$5</f>
        <v>79.2</v>
      </c>
      <c r="N20" s="689">
        <f>(83.3*KFC!$B$21+KFC!$C$21)*KFC!$C$5</f>
        <v>83.3</v>
      </c>
      <c r="O20" s="689">
        <f>(87.4*KFC!$B$21+KFC!$C$21)*KFC!$C$5</f>
        <v>87.4</v>
      </c>
      <c r="P20" s="689">
        <f>(91.5*KFC!$B$21+KFC!$C$21)*KFC!$C$5</f>
        <v>91.5</v>
      </c>
      <c r="Q20" s="689">
        <f>(95.7*KFC!$B$21+KFC!$C$21)*KFC!$C$5</f>
        <v>95.7</v>
      </c>
      <c r="R20" s="689">
        <f>(99.8*KFC!$B$21+KFC!$C$21)*KFC!$C$5</f>
        <v>99.8</v>
      </c>
      <c r="S20" s="689">
        <f>(103.9*KFC!$B$21+KFC!$C$21)*KFC!$C$5</f>
        <v>103.9</v>
      </c>
    </row>
    <row r="21" spans="1:19">
      <c r="A21" s="1728"/>
      <c r="B21" s="671">
        <v>1.8</v>
      </c>
      <c r="C21" s="689">
        <f>(38.3*KFC!$B$21+KFC!$C$21)*KFC!$C$5</f>
        <v>38.299999999999997</v>
      </c>
      <c r="D21" s="689">
        <f>(42.5*KFC!$B$21+KFC!$C$21)*KFC!$C$5</f>
        <v>42.5</v>
      </c>
      <c r="E21" s="689">
        <f>(46.6*KFC!$B$21+KFC!$C$21)*KFC!$C$5</f>
        <v>46.6</v>
      </c>
      <c r="F21" s="689">
        <f>(50.8*KFC!$B$21+KFC!$C$21)*KFC!$C$5</f>
        <v>50.8</v>
      </c>
      <c r="G21" s="689">
        <f>(55*KFC!$B$21+KFC!$C$21)*KFC!$C$5</f>
        <v>55</v>
      </c>
      <c r="H21" s="689">
        <f>(59.1*KFC!$B$21+KFC!$C$21)*KFC!$C$5</f>
        <v>59.1</v>
      </c>
      <c r="I21" s="689">
        <f>(63.3*KFC!$B$21+KFC!$C$21)*KFC!$C$5</f>
        <v>63.3</v>
      </c>
      <c r="J21" s="689">
        <f>(67.4*KFC!$B$21+KFC!$C$21)*KFC!$C$5</f>
        <v>67.400000000000006</v>
      </c>
      <c r="K21" s="689">
        <f>(71.6*KFC!$B$21+KFC!$C$21)*KFC!$C$5</f>
        <v>71.599999999999994</v>
      </c>
      <c r="L21" s="689">
        <f>(75.8*KFC!$B$21+KFC!$C$21)*KFC!$C$5</f>
        <v>75.8</v>
      </c>
      <c r="M21" s="689">
        <f>(79.9*KFC!$B$21+KFC!$C$21)*KFC!$C$5</f>
        <v>79.900000000000006</v>
      </c>
      <c r="N21" s="689">
        <f>(84.1*KFC!$B$21+KFC!$C$21)*KFC!$C$5</f>
        <v>84.1</v>
      </c>
      <c r="O21" s="689">
        <f>(88.2*KFC!$B$21+KFC!$C$21)*KFC!$C$5</f>
        <v>88.2</v>
      </c>
      <c r="P21" s="689">
        <f>(92.4*KFC!$B$21+KFC!$C$21)*KFC!$C$5</f>
        <v>92.4</v>
      </c>
      <c r="Q21" s="689">
        <f>(96.6*KFC!$B$21+KFC!$C$21)*KFC!$C$5</f>
        <v>96.6</v>
      </c>
      <c r="R21" s="689">
        <f>(100.7*KFC!$B$21+KFC!$C$21)*KFC!$C$5</f>
        <v>100.7</v>
      </c>
      <c r="S21" s="689">
        <f>(104.9*KFC!$B$21+KFC!$C$21)*KFC!$C$5</f>
        <v>104.9</v>
      </c>
    </row>
    <row r="22" spans="1:19">
      <c r="A22" s="1728"/>
      <c r="B22" s="671">
        <v>1.9</v>
      </c>
      <c r="C22" s="689">
        <f>(38.5*KFC!$B$21+KFC!$C$21)*KFC!$C$5</f>
        <v>38.5</v>
      </c>
      <c r="D22" s="689">
        <f>(42.7*KFC!$B$21+KFC!$C$21)*KFC!$C$5</f>
        <v>42.7</v>
      </c>
      <c r="E22" s="689">
        <f>(47*KFC!$B$21+KFC!$C$21)*KFC!$C$5</f>
        <v>47</v>
      </c>
      <c r="F22" s="689">
        <f>(51.2*KFC!$B$21+KFC!$C$21)*KFC!$C$5</f>
        <v>51.2</v>
      </c>
      <c r="G22" s="689">
        <f>(55.4*KFC!$B$21+KFC!$C$21)*KFC!$C$5</f>
        <v>55.4</v>
      </c>
      <c r="H22" s="689">
        <f>(59.6*KFC!$B$21+KFC!$C$21)*KFC!$C$5</f>
        <v>59.6</v>
      </c>
      <c r="I22" s="689">
        <f>(63.8*KFC!$B$21+KFC!$C$21)*KFC!$C$5</f>
        <v>63.8</v>
      </c>
      <c r="J22" s="689">
        <f>(68*KFC!$B$21+KFC!$C$21)*KFC!$C$5</f>
        <v>68</v>
      </c>
      <c r="K22" s="689">
        <f>(72.2*KFC!$B$21+KFC!$C$21)*KFC!$C$5</f>
        <v>72.2</v>
      </c>
      <c r="L22" s="689">
        <f>(76.4*KFC!$B$21+KFC!$C$21)*KFC!$C$5</f>
        <v>76.400000000000006</v>
      </c>
      <c r="M22" s="689">
        <f>(80.6*KFC!$B$21+KFC!$C$21)*KFC!$C$5</f>
        <v>80.599999999999994</v>
      </c>
      <c r="N22" s="689">
        <f>(84.9*KFC!$B$21+KFC!$C$21)*KFC!$C$5</f>
        <v>84.9</v>
      </c>
      <c r="O22" s="689">
        <f>(89.1*KFC!$B$21+KFC!$C$21)*KFC!$C$5</f>
        <v>89.1</v>
      </c>
      <c r="P22" s="689">
        <f>(93.3*KFC!$B$21+KFC!$C$21)*KFC!$C$5</f>
        <v>93.3</v>
      </c>
      <c r="Q22" s="689">
        <f>(97.5*KFC!$B$21+KFC!$C$21)*KFC!$C$5</f>
        <v>97.5</v>
      </c>
      <c r="R22" s="689">
        <f>(101.7*KFC!$B$21+KFC!$C$21)*KFC!$C$5</f>
        <v>101.7</v>
      </c>
      <c r="S22" s="689">
        <f>(105.9*KFC!$B$21+KFC!$C$21)*KFC!$C$5</f>
        <v>105.9</v>
      </c>
    </row>
    <row r="23" spans="1:19">
      <c r="A23" s="1728"/>
      <c r="B23" s="671">
        <v>2</v>
      </c>
      <c r="C23" s="689">
        <f>(38.7*KFC!$B$21+KFC!$C$21)*KFC!$C$5</f>
        <v>38.700000000000003</v>
      </c>
      <c r="D23" s="689">
        <f>(43*KFC!$B$21+KFC!$C$21)*KFC!$C$5</f>
        <v>43</v>
      </c>
      <c r="E23" s="689">
        <f>(47.3*KFC!$B$21+KFC!$C$21)*KFC!$C$5</f>
        <v>47.3</v>
      </c>
      <c r="F23" s="689">
        <f>(51.5*KFC!$B$21+KFC!$C$21)*KFC!$C$5</f>
        <v>51.5</v>
      </c>
      <c r="G23" s="689">
        <f>(55.8*KFC!$B$21+KFC!$C$21)*KFC!$C$5</f>
        <v>55.8</v>
      </c>
      <c r="H23" s="689">
        <f>(60*KFC!$B$21+KFC!$C$21)*KFC!$C$5</f>
        <v>60</v>
      </c>
      <c r="I23" s="689">
        <f>(64.3*KFC!$B$21+KFC!$C$21)*KFC!$C$5</f>
        <v>64.3</v>
      </c>
      <c r="J23" s="689">
        <f>(68.6*KFC!$B$21+KFC!$C$21)*KFC!$C$5</f>
        <v>68.599999999999994</v>
      </c>
      <c r="K23" s="689">
        <f>(72.8*KFC!$B$21+KFC!$C$21)*KFC!$C$5</f>
        <v>72.8</v>
      </c>
      <c r="L23" s="689">
        <f>(77.1*KFC!$B$21+KFC!$C$21)*KFC!$C$5</f>
        <v>77.099999999999994</v>
      </c>
      <c r="M23" s="689">
        <f>(81.4*KFC!$B$21+KFC!$C$21)*KFC!$C$5</f>
        <v>81.400000000000006</v>
      </c>
      <c r="N23" s="689">
        <f>(85.6*KFC!$B$21+KFC!$C$21)*KFC!$C$5</f>
        <v>85.6</v>
      </c>
      <c r="O23" s="689">
        <f>(89.9*KFC!$B$21+KFC!$C$21)*KFC!$C$5</f>
        <v>89.9</v>
      </c>
      <c r="P23" s="689">
        <f>(94.1*KFC!$B$21+KFC!$C$21)*KFC!$C$5</f>
        <v>94.1</v>
      </c>
      <c r="Q23" s="689">
        <f>(98.4*KFC!$B$21+KFC!$C$21)*KFC!$C$5</f>
        <v>98.4</v>
      </c>
      <c r="R23" s="689">
        <f>(102.7*KFC!$B$21+KFC!$C$21)*KFC!$C$5</f>
        <v>102.7</v>
      </c>
      <c r="S23" s="689">
        <f>(106.9*KFC!$B$21+KFC!$C$21)*KFC!$C$5</f>
        <v>106.9</v>
      </c>
    </row>
    <row r="24" spans="1:19">
      <c r="A24" s="1728"/>
      <c r="B24" s="671">
        <v>2.1</v>
      </c>
      <c r="C24" s="689">
        <f>(38.9*KFC!$B$21+KFC!$C$21)*KFC!$C$5</f>
        <v>38.9</v>
      </c>
      <c r="D24" s="689">
        <f>(43.2*KFC!$B$21+KFC!$C$21)*KFC!$C$5</f>
        <v>43.2</v>
      </c>
      <c r="E24" s="689">
        <f>(47.6*KFC!$B$21+KFC!$C$21)*KFC!$C$5</f>
        <v>47.6</v>
      </c>
      <c r="F24" s="689">
        <f>(51.9*KFC!$B$21+KFC!$C$21)*KFC!$C$5</f>
        <v>51.9</v>
      </c>
      <c r="G24" s="689">
        <f>(56.2*KFC!$B$21+KFC!$C$21)*KFC!$C$5</f>
        <v>56.2</v>
      </c>
      <c r="H24" s="689">
        <f>(60.5*KFC!$B$21+KFC!$C$21)*KFC!$C$5</f>
        <v>60.5</v>
      </c>
      <c r="I24" s="689">
        <f>(64.8*KFC!$B$21+KFC!$C$21)*KFC!$C$5</f>
        <v>64.8</v>
      </c>
      <c r="J24" s="689">
        <f>(69.1*KFC!$B$21+KFC!$C$21)*KFC!$C$5</f>
        <v>69.099999999999994</v>
      </c>
      <c r="K24" s="689">
        <f>(73.4*KFC!$B$21+KFC!$C$21)*KFC!$C$5</f>
        <v>73.400000000000006</v>
      </c>
      <c r="L24" s="689">
        <f>(77.8*KFC!$B$21+KFC!$C$21)*KFC!$C$5</f>
        <v>77.8</v>
      </c>
      <c r="M24" s="689">
        <f>(82.1*KFC!$B$21+KFC!$C$21)*KFC!$C$5</f>
        <v>82.1</v>
      </c>
      <c r="N24" s="689">
        <f>(86.4*KFC!$B$21+KFC!$C$21)*KFC!$C$5</f>
        <v>86.4</v>
      </c>
      <c r="O24" s="689">
        <f>(90.7*KFC!$B$21+KFC!$C$21)*KFC!$C$5</f>
        <v>90.7</v>
      </c>
      <c r="P24" s="689">
        <f>(95*KFC!$B$21+KFC!$C$21)*KFC!$C$5</f>
        <v>95</v>
      </c>
      <c r="Q24" s="689">
        <f>(99.3*KFC!$B$21+KFC!$C$21)*KFC!$C$5</f>
        <v>99.3</v>
      </c>
      <c r="R24" s="689">
        <f>(103.6*KFC!$B$21+KFC!$C$21)*KFC!$C$5</f>
        <v>103.6</v>
      </c>
      <c r="S24" s="689">
        <f>(107.9*KFC!$B$21+KFC!$C$21)*KFC!$C$5</f>
        <v>107.9</v>
      </c>
    </row>
    <row r="25" spans="1:19">
      <c r="A25" s="1728"/>
      <c r="B25" s="671">
        <v>2.2000000000000002</v>
      </c>
      <c r="C25" s="689">
        <f>(39.1*KFC!$B$21+KFC!$C$21)*KFC!$C$5</f>
        <v>39.1</v>
      </c>
      <c r="D25" s="689">
        <f>(43.5*KFC!$B$21+KFC!$C$21)*KFC!$C$5</f>
        <v>43.5</v>
      </c>
      <c r="E25" s="689">
        <f>(47.9*KFC!$B$21+KFC!$C$21)*KFC!$C$5</f>
        <v>47.9</v>
      </c>
      <c r="F25" s="689">
        <f>(52.2*KFC!$B$21+KFC!$C$21)*KFC!$C$5</f>
        <v>52.2</v>
      </c>
      <c r="G25" s="689">
        <f>(56.6*KFC!$B$21+KFC!$C$21)*KFC!$C$5</f>
        <v>56.6</v>
      </c>
      <c r="H25" s="689">
        <f>(60.9*KFC!$B$21+KFC!$C$21)*KFC!$C$5</f>
        <v>60.9</v>
      </c>
      <c r="I25" s="689">
        <f>(65.3*KFC!$B$21+KFC!$C$21)*KFC!$C$5</f>
        <v>65.3</v>
      </c>
      <c r="J25" s="689">
        <f>(69.7*KFC!$B$21+KFC!$C$21)*KFC!$C$5</f>
        <v>69.7</v>
      </c>
      <c r="K25" s="689">
        <f>(74*KFC!$B$21+KFC!$C$21)*KFC!$C$5</f>
        <v>74</v>
      </c>
      <c r="L25" s="689">
        <f>(78.4*KFC!$B$21+KFC!$C$21)*KFC!$C$5</f>
        <v>78.400000000000006</v>
      </c>
      <c r="M25" s="689">
        <f>(82.8*KFC!$B$21+KFC!$C$21)*KFC!$C$5</f>
        <v>82.8</v>
      </c>
      <c r="N25" s="689">
        <f>(87.1*KFC!$B$21+KFC!$C$21)*KFC!$C$5</f>
        <v>87.1</v>
      </c>
      <c r="O25" s="689">
        <f>(91.5*KFC!$B$21+KFC!$C$21)*KFC!$C$5</f>
        <v>91.5</v>
      </c>
      <c r="P25" s="689">
        <f>(95.9*KFC!$B$21+KFC!$C$21)*KFC!$C$5</f>
        <v>95.9</v>
      </c>
      <c r="Q25" s="689">
        <f>(100.2*KFC!$B$21+KFC!$C$21)*KFC!$C$5</f>
        <v>100.2</v>
      </c>
      <c r="R25" s="689">
        <f>(104.6*KFC!$B$21+KFC!$C$21)*KFC!$C$5</f>
        <v>104.6</v>
      </c>
      <c r="S25" s="689">
        <f>(108.9*KFC!$B$21+KFC!$C$21)*KFC!$C$5</f>
        <v>108.9</v>
      </c>
    </row>
    <row r="26" spans="1:19">
      <c r="A26" s="1728"/>
      <c r="B26" s="671">
        <v>2.2999999999999998</v>
      </c>
      <c r="C26" s="689">
        <f>(39.3*KFC!$B$21+KFC!$C$21)*KFC!$C$5</f>
        <v>39.299999999999997</v>
      </c>
      <c r="D26" s="689">
        <f>(43.7*KFC!$B$21+KFC!$C$21)*KFC!$C$5</f>
        <v>43.7</v>
      </c>
      <c r="E26" s="689">
        <f>(48.2*KFC!$B$21+KFC!$C$21)*KFC!$C$5</f>
        <v>48.2</v>
      </c>
      <c r="F26" s="689">
        <f>(52.6*KFC!$B$21+KFC!$C$21)*KFC!$C$5</f>
        <v>52.6</v>
      </c>
      <c r="G26" s="689">
        <f>(57*KFC!$B$21+KFC!$C$21)*KFC!$C$5</f>
        <v>57</v>
      </c>
      <c r="H26" s="689">
        <f>(61.4*KFC!$B$21+KFC!$C$21)*KFC!$C$5</f>
        <v>61.4</v>
      </c>
      <c r="I26" s="689">
        <f>(65.8*KFC!$B$21+KFC!$C$21)*KFC!$C$5</f>
        <v>65.8</v>
      </c>
      <c r="J26" s="689">
        <f>(70.2*KFC!$B$21+KFC!$C$21)*KFC!$C$5</f>
        <v>70.2</v>
      </c>
      <c r="K26" s="689">
        <f>(74.6*KFC!$B$21+KFC!$C$21)*KFC!$C$5</f>
        <v>74.599999999999994</v>
      </c>
      <c r="L26" s="689">
        <f>(79.1*KFC!$B$21+KFC!$C$21)*KFC!$C$5</f>
        <v>79.099999999999994</v>
      </c>
      <c r="M26" s="689">
        <f>(83.5*KFC!$B$21+KFC!$C$21)*KFC!$C$5</f>
        <v>83.5</v>
      </c>
      <c r="N26" s="689">
        <f>(87.9*KFC!$B$21+KFC!$C$21)*KFC!$C$5</f>
        <v>87.9</v>
      </c>
      <c r="O26" s="689">
        <f>(92.3*KFC!$B$21+KFC!$C$21)*KFC!$C$5</f>
        <v>92.3</v>
      </c>
      <c r="P26" s="689">
        <f>(96.7*KFC!$B$21+KFC!$C$21)*KFC!$C$5</f>
        <v>96.7</v>
      </c>
      <c r="Q26" s="689">
        <f>(101.1*KFC!$B$21+KFC!$C$21)*KFC!$C$5</f>
        <v>101.1</v>
      </c>
      <c r="R26" s="689">
        <f>(105.6*KFC!$B$21+KFC!$C$21)*KFC!$C$5</f>
        <v>105.6</v>
      </c>
      <c r="S26" s="689">
        <f>(110*KFC!$B$21+KFC!$C$21)*KFC!$C$5</f>
        <v>110</v>
      </c>
    </row>
    <row r="27" spans="1:19">
      <c r="A27" s="1728"/>
      <c r="B27" s="671">
        <v>2.4</v>
      </c>
      <c r="C27" s="689">
        <f>(39.5*KFC!$B$21+KFC!$C$21)*KFC!$C$5</f>
        <v>39.5</v>
      </c>
      <c r="D27" s="689">
        <f>(44*KFC!$B$21+KFC!$C$21)*KFC!$C$5</f>
        <v>44</v>
      </c>
      <c r="E27" s="689">
        <f>(48.5*KFC!$B$21+KFC!$C$21)*KFC!$C$5</f>
        <v>48.5</v>
      </c>
      <c r="F27" s="689">
        <f>(52.9*KFC!$B$21+KFC!$C$21)*KFC!$C$5</f>
        <v>52.9</v>
      </c>
      <c r="G27" s="689">
        <f>(57.4*KFC!$B$21+KFC!$C$21)*KFC!$C$5</f>
        <v>57.4</v>
      </c>
      <c r="H27" s="689">
        <f>(61.9*KFC!$B$21+KFC!$C$21)*KFC!$C$5</f>
        <v>61.9</v>
      </c>
      <c r="I27" s="689">
        <f>(66.3*KFC!$B$21+KFC!$C$21)*KFC!$C$5</f>
        <v>66.3</v>
      </c>
      <c r="J27" s="689">
        <f>(70.8*KFC!$B$21+KFC!$C$21)*KFC!$C$5</f>
        <v>70.8</v>
      </c>
      <c r="K27" s="689">
        <f>(75.3*KFC!$B$21+KFC!$C$21)*KFC!$C$5</f>
        <v>75.3</v>
      </c>
      <c r="L27" s="689">
        <f>(79.7*KFC!$B$21+KFC!$C$21)*KFC!$C$5</f>
        <v>79.7</v>
      </c>
      <c r="M27" s="689">
        <f>(84.2*KFC!$B$21+KFC!$C$21)*KFC!$C$5</f>
        <v>84.2</v>
      </c>
      <c r="N27" s="689">
        <f>(88.7*KFC!$B$21+KFC!$C$21)*KFC!$C$5</f>
        <v>88.7</v>
      </c>
      <c r="O27" s="689">
        <f>(93.1*KFC!$B$21+KFC!$C$21)*KFC!$C$5</f>
        <v>93.1</v>
      </c>
      <c r="P27" s="689">
        <f>(97.6*KFC!$B$21+KFC!$C$21)*KFC!$C$5</f>
        <v>97.6</v>
      </c>
      <c r="Q27" s="689">
        <f>(102.1*KFC!$B$21+KFC!$C$21)*KFC!$C$5</f>
        <v>102.1</v>
      </c>
      <c r="R27" s="689">
        <f>(106.5*KFC!$B$21+KFC!$C$21)*KFC!$C$5</f>
        <v>106.5</v>
      </c>
      <c r="S27" s="689">
        <f>(111*KFC!$B$21+KFC!$C$21)*KFC!$C$5</f>
        <v>111</v>
      </c>
    </row>
    <row r="28" spans="1:19">
      <c r="A28" s="1728"/>
      <c r="B28" s="671">
        <v>2.5</v>
      </c>
      <c r="C28" s="689">
        <f>(39.7*KFC!$B$21+KFC!$C$21)*KFC!$C$5</f>
        <v>39.700000000000003</v>
      </c>
      <c r="D28" s="689">
        <f>(44.3*KFC!$B$21+KFC!$C$21)*KFC!$C$5</f>
        <v>44.3</v>
      </c>
      <c r="E28" s="689">
        <f>(48.8*KFC!$B$21+KFC!$C$21)*KFC!$C$5</f>
        <v>48.8</v>
      </c>
      <c r="F28" s="689">
        <f>(53.3*KFC!$B$21+KFC!$C$21)*KFC!$C$5</f>
        <v>53.3</v>
      </c>
      <c r="G28" s="689">
        <f>(57.8*KFC!$B$21+KFC!$C$21)*KFC!$C$5</f>
        <v>57.8</v>
      </c>
      <c r="H28" s="689">
        <f>(62.3*KFC!$B$21+KFC!$C$21)*KFC!$C$5</f>
        <v>62.3</v>
      </c>
      <c r="I28" s="689">
        <f>(66.8*KFC!$B$21+KFC!$C$21)*KFC!$C$5</f>
        <v>66.8</v>
      </c>
      <c r="J28" s="689">
        <f>(71.3*KFC!$B$21+KFC!$C$21)*KFC!$C$5</f>
        <v>71.3</v>
      </c>
      <c r="K28" s="689">
        <f>(75.9*KFC!$B$21+KFC!$C$21)*KFC!$C$5</f>
        <v>75.900000000000006</v>
      </c>
      <c r="L28" s="689">
        <f>(80.4*KFC!$B$21+KFC!$C$21)*KFC!$C$5</f>
        <v>80.400000000000006</v>
      </c>
      <c r="M28" s="689">
        <f>(84.9*KFC!$B$21+KFC!$C$21)*KFC!$C$5</f>
        <v>84.9</v>
      </c>
      <c r="N28" s="689">
        <f>(89.4*KFC!$B$21+KFC!$C$21)*KFC!$C$5</f>
        <v>89.4</v>
      </c>
      <c r="O28" s="689">
        <f>(93.9*KFC!$B$21+KFC!$C$21)*KFC!$C$5</f>
        <v>93.9</v>
      </c>
      <c r="P28" s="689">
        <f>(98.5*KFC!$B$21+KFC!$C$21)*KFC!$C$5</f>
        <v>98.5</v>
      </c>
      <c r="Q28" s="689">
        <f>(103*KFC!$B$21+KFC!$C$21)*KFC!$C$5</f>
        <v>103</v>
      </c>
      <c r="R28" s="689">
        <f>(107.5*KFC!$B$21+KFC!$C$21)*KFC!$C$5</f>
        <v>107.5</v>
      </c>
      <c r="S28" s="689">
        <f>(112*KFC!$B$21+KFC!$C$21)*KFC!$C$5</f>
        <v>112</v>
      </c>
    </row>
    <row r="29" spans="1:19">
      <c r="A29" s="1728"/>
      <c r="B29" s="671">
        <v>2.6</v>
      </c>
      <c r="C29" s="689">
        <f>(39.9*KFC!$B$21+KFC!$C$21)*KFC!$C$5</f>
        <v>39.9</v>
      </c>
      <c r="D29" s="689">
        <f>(44.5*KFC!$B$21+KFC!$C$21)*KFC!$C$5</f>
        <v>44.5</v>
      </c>
      <c r="E29" s="689">
        <f>(49.1*KFC!$B$21+KFC!$C$21)*KFC!$C$5</f>
        <v>49.1</v>
      </c>
      <c r="F29" s="689">
        <f>(53.6*KFC!$B$21+KFC!$C$21)*KFC!$C$5</f>
        <v>53.6</v>
      </c>
      <c r="G29" s="689">
        <f>(58.2*KFC!$B$21+KFC!$C$21)*KFC!$C$5</f>
        <v>58.2</v>
      </c>
      <c r="H29" s="689">
        <f>(62.8*KFC!$B$21+KFC!$C$21)*KFC!$C$5</f>
        <v>62.8</v>
      </c>
      <c r="I29" s="689">
        <f>(67.4*KFC!$B$21+KFC!$C$21)*KFC!$C$5</f>
        <v>67.400000000000006</v>
      </c>
      <c r="J29" s="689">
        <f>(71.9*KFC!$B$21+KFC!$C$21)*KFC!$C$5</f>
        <v>71.900000000000006</v>
      </c>
      <c r="K29" s="689">
        <f>(76.5*KFC!$B$21+KFC!$C$21)*KFC!$C$5</f>
        <v>76.5</v>
      </c>
      <c r="L29" s="689">
        <f>(81*KFC!$B$21+KFC!$C$21)*KFC!$C$5</f>
        <v>81</v>
      </c>
      <c r="M29" s="689">
        <f>(85.6*KFC!$B$21+KFC!$C$21)*KFC!$C$5</f>
        <v>85.6</v>
      </c>
      <c r="N29" s="689">
        <f>(90.2*KFC!$B$21+KFC!$C$21)*KFC!$C$5</f>
        <v>90.2</v>
      </c>
      <c r="O29" s="689">
        <f>(94.7*KFC!$B$21+KFC!$C$21)*KFC!$C$5</f>
        <v>94.7</v>
      </c>
      <c r="P29" s="689">
        <f>(99.3*KFC!$B$21+KFC!$C$21)*KFC!$C$5</f>
        <v>99.3</v>
      </c>
      <c r="Q29" s="689">
        <f>(103.9*KFC!$B$21+KFC!$C$21)*KFC!$C$5</f>
        <v>103.9</v>
      </c>
      <c r="R29" s="689">
        <f>(108.4*KFC!$B$21+KFC!$C$21)*KFC!$C$5</f>
        <v>108.4</v>
      </c>
      <c r="S29" s="689">
        <f>(113*KFC!$B$21+KFC!$C$21)*KFC!$C$5</f>
        <v>113</v>
      </c>
    </row>
    <row r="30" spans="1:19">
      <c r="A30" s="1728"/>
      <c r="B30" s="671">
        <v>2.7</v>
      </c>
      <c r="C30" s="689">
        <f>(40.1*KFC!$B$21+KFC!$C$21)*KFC!$C$5</f>
        <v>40.1</v>
      </c>
      <c r="D30" s="689">
        <f>(44.8*KFC!$B$21+KFC!$C$21)*KFC!$C$5</f>
        <v>44.8</v>
      </c>
      <c r="E30" s="689">
        <f>(49.4*KFC!$B$21+KFC!$C$21)*KFC!$C$5</f>
        <v>49.4</v>
      </c>
      <c r="F30" s="689">
        <f>(54*KFC!$B$21+KFC!$C$21)*KFC!$C$5</f>
        <v>54</v>
      </c>
      <c r="G30" s="689">
        <f>(58.6*KFC!$B$21+KFC!$C$21)*KFC!$C$5</f>
        <v>58.6</v>
      </c>
      <c r="H30" s="689">
        <f>(63.2*KFC!$B$21+KFC!$C$21)*KFC!$C$5</f>
        <v>63.2</v>
      </c>
      <c r="I30" s="689">
        <f>(67.9*KFC!$B$21+KFC!$C$21)*KFC!$C$5</f>
        <v>67.900000000000006</v>
      </c>
      <c r="J30" s="689">
        <f>(72.5*KFC!$B$21+KFC!$C$21)*KFC!$C$5</f>
        <v>72.5</v>
      </c>
      <c r="K30" s="689">
        <f>(77.1*KFC!$B$21+KFC!$C$21)*KFC!$C$5</f>
        <v>77.099999999999994</v>
      </c>
      <c r="L30" s="689">
        <f>(81.7*KFC!$B$21+KFC!$C$21)*KFC!$C$5</f>
        <v>81.7</v>
      </c>
      <c r="M30" s="689">
        <f>(86.3*KFC!$B$21+KFC!$C$21)*KFC!$C$5</f>
        <v>86.3</v>
      </c>
      <c r="N30" s="689">
        <f>(90.9*KFC!$B$21+KFC!$C$21)*KFC!$C$5</f>
        <v>90.9</v>
      </c>
      <c r="O30" s="689">
        <f>(95.6*KFC!$B$21+KFC!$C$21)*KFC!$C$5</f>
        <v>95.6</v>
      </c>
      <c r="P30" s="689">
        <f>(100.2*KFC!$B$21+KFC!$C$21)*KFC!$C$5</f>
        <v>100.2</v>
      </c>
      <c r="Q30" s="689">
        <f>(104.8*KFC!$B$21+KFC!$C$21)*KFC!$C$5</f>
        <v>104.8</v>
      </c>
      <c r="R30" s="689">
        <f>(109.4*KFC!$B$21+KFC!$C$21)*KFC!$C$5</f>
        <v>109.4</v>
      </c>
      <c r="S30" s="689">
        <f>(114*KFC!$B$21+KFC!$C$21)*KFC!$C$5</f>
        <v>114</v>
      </c>
    </row>
    <row r="31" spans="1:19" ht="13.5" customHeight="1">
      <c r="A31" s="1728"/>
      <c r="B31" s="671">
        <v>2.8</v>
      </c>
      <c r="C31" s="689">
        <f>(40.4*KFC!$B$21+KFC!$C$21)*KFC!$C$5</f>
        <v>40.4</v>
      </c>
      <c r="D31" s="689">
        <f>(45*KFC!$B$21+KFC!$C$21)*KFC!$C$5</f>
        <v>45</v>
      </c>
      <c r="E31" s="689">
        <f>(49.7*KFC!$B$21+KFC!$C$21)*KFC!$C$5</f>
        <v>49.7</v>
      </c>
      <c r="F31" s="689">
        <f>(54.4*KFC!$B$21+KFC!$C$21)*KFC!$C$5</f>
        <v>54.4</v>
      </c>
      <c r="G31" s="689">
        <f>(59*KFC!$B$21+KFC!$C$21)*KFC!$C$5</f>
        <v>59</v>
      </c>
      <c r="H31" s="689">
        <f>(63.7*KFC!$B$21+KFC!$C$21)*KFC!$C$5</f>
        <v>63.7</v>
      </c>
      <c r="I31" s="689">
        <f>(68.4*KFC!$B$21+KFC!$C$21)*KFC!$C$5</f>
        <v>68.400000000000006</v>
      </c>
      <c r="J31" s="689">
        <f>(73*KFC!$B$21+KFC!$C$21)*KFC!$C$5</f>
        <v>73</v>
      </c>
      <c r="K31" s="689">
        <f>(77.7*KFC!$B$21+KFC!$C$21)*KFC!$C$5</f>
        <v>77.7</v>
      </c>
      <c r="L31" s="689">
        <f>(82.4*KFC!$B$21+KFC!$C$21)*KFC!$C$5</f>
        <v>82.4</v>
      </c>
      <c r="M31" s="689">
        <f>(87*KFC!$B$21+KFC!$C$21)*KFC!$C$5</f>
        <v>87</v>
      </c>
      <c r="N31" s="689">
        <f>(91.7*KFC!$B$21+KFC!$C$21)*KFC!$C$5</f>
        <v>91.7</v>
      </c>
      <c r="O31" s="689">
        <f>(96.4*KFC!$B$21+KFC!$C$21)*KFC!$C$5</f>
        <v>96.4</v>
      </c>
      <c r="P31" s="689">
        <f>(101*KFC!$B$21+KFC!$C$21)*KFC!$C$5</f>
        <v>101</v>
      </c>
      <c r="Q31" s="689">
        <f>(105.7*KFC!$B$21+KFC!$C$21)*KFC!$C$5</f>
        <v>105.7</v>
      </c>
      <c r="R31" s="689">
        <f>(110.4*KFC!$B$21+KFC!$C$21)*KFC!$C$5</f>
        <v>110.4</v>
      </c>
      <c r="S31" s="689">
        <f>(115*KFC!$B$21+KFC!$C$21)*KFC!$C$5</f>
        <v>115</v>
      </c>
    </row>
    <row r="32" spans="1:19">
      <c r="A32" s="1728"/>
      <c r="B32" s="671">
        <v>2.9</v>
      </c>
      <c r="C32" s="689">
        <f>(40.6*KFC!$B$21+KFC!$C$21)*KFC!$C$5</f>
        <v>40.6</v>
      </c>
      <c r="D32" s="689">
        <f>(45.3*KFC!$B$21+KFC!$C$21)*KFC!$C$5</f>
        <v>45.3</v>
      </c>
      <c r="E32" s="689">
        <f>(50*KFC!$B$21+KFC!$C$21)*KFC!$C$5</f>
        <v>50</v>
      </c>
      <c r="F32" s="689">
        <f>(54.7*KFC!$B$21+KFC!$C$21)*KFC!$C$5</f>
        <v>54.7</v>
      </c>
      <c r="G32" s="689">
        <f>(59.4*KFC!$B$21+KFC!$C$21)*KFC!$C$5</f>
        <v>59.4</v>
      </c>
      <c r="H32" s="689">
        <f>(64.1*KFC!$B$21+KFC!$C$21)*KFC!$C$5</f>
        <v>64.099999999999994</v>
      </c>
      <c r="I32" s="689">
        <f>(68.9*KFC!$B$21+KFC!$C$21)*KFC!$C$5</f>
        <v>68.900000000000006</v>
      </c>
      <c r="J32" s="689">
        <f>(73.6*KFC!$B$21+KFC!$C$21)*KFC!$C$5</f>
        <v>73.599999999999994</v>
      </c>
      <c r="K32" s="689">
        <f>(78.3*KFC!$B$21+KFC!$C$21)*KFC!$C$5</f>
        <v>78.3</v>
      </c>
      <c r="L32" s="689">
        <f>(83*KFC!$B$21+KFC!$C$21)*KFC!$C$5</f>
        <v>83</v>
      </c>
      <c r="M32" s="689">
        <f>(87.7*KFC!$B$21+KFC!$C$21)*KFC!$C$5</f>
        <v>87.7</v>
      </c>
      <c r="N32" s="689">
        <f>(92.5*KFC!$B$21+KFC!$C$21)*KFC!$C$5</f>
        <v>92.5</v>
      </c>
      <c r="O32" s="689">
        <f>(97.2*KFC!$B$21+KFC!$C$21)*KFC!$C$5</f>
        <v>97.2</v>
      </c>
      <c r="P32" s="689">
        <f>(101.9*KFC!$B$21+KFC!$C$21)*KFC!$C$5</f>
        <v>101.9</v>
      </c>
      <c r="Q32" s="689">
        <f>(106.6*KFC!$B$21+KFC!$C$21)*KFC!$C$5</f>
        <v>106.6</v>
      </c>
      <c r="R32" s="689">
        <f>(111.3*KFC!$B$21+KFC!$C$21)*KFC!$C$5</f>
        <v>111.3</v>
      </c>
      <c r="S32" s="689">
        <f>(116*KFC!$B$21+KFC!$C$21)*KFC!$C$5</f>
        <v>116</v>
      </c>
    </row>
    <row r="33" spans="1:19" ht="12.75" customHeight="1">
      <c r="A33" s="1728"/>
      <c r="B33" s="671">
        <v>3</v>
      </c>
      <c r="C33" s="689">
        <f>(40.8*KFC!$B$21+KFC!$C$21)*KFC!$C$5</f>
        <v>40.799999999999997</v>
      </c>
      <c r="D33" s="689">
        <f>(45.5*KFC!$B$21+KFC!$C$21)*KFC!$C$5</f>
        <v>45.5</v>
      </c>
      <c r="E33" s="689">
        <f>(50.3*KFC!$B$21+KFC!$C$21)*KFC!$C$5</f>
        <v>50.3</v>
      </c>
      <c r="F33" s="689">
        <f>(55.1*KFC!$B$21+KFC!$C$21)*KFC!$C$5</f>
        <v>55.1</v>
      </c>
      <c r="G33" s="689">
        <f>(59.8*KFC!$B$21+KFC!$C$21)*KFC!$C$5</f>
        <v>59.8</v>
      </c>
      <c r="H33" s="689">
        <f>(64.6*KFC!$B$21+KFC!$C$21)*KFC!$C$5</f>
        <v>64.599999999999994</v>
      </c>
      <c r="I33" s="689">
        <f>(69.4*KFC!$B$21+KFC!$C$21)*KFC!$C$5</f>
        <v>69.400000000000006</v>
      </c>
      <c r="J33" s="689">
        <f>(74.1*KFC!$B$21+KFC!$C$21)*KFC!$C$5</f>
        <v>74.099999999999994</v>
      </c>
      <c r="K33" s="689">
        <f>(78.9*KFC!$B$21+KFC!$C$21)*KFC!$C$5</f>
        <v>78.900000000000006</v>
      </c>
      <c r="L33" s="689">
        <f>(83.7*KFC!$B$21+KFC!$C$21)*KFC!$C$5</f>
        <v>83.7</v>
      </c>
      <c r="M33" s="689">
        <f>(88.5*KFC!$B$21+KFC!$C$21)*KFC!$C$5</f>
        <v>88.5</v>
      </c>
      <c r="N33" s="689">
        <f>(93.2*KFC!$B$21+KFC!$C$21)*KFC!$C$5</f>
        <v>93.2</v>
      </c>
      <c r="O33" s="689">
        <f>(98*KFC!$B$21+KFC!$C$21)*KFC!$C$5</f>
        <v>98</v>
      </c>
      <c r="P33" s="689">
        <f>(102.8*KFC!$B$21+KFC!$C$21)*KFC!$C$5</f>
        <v>102.8</v>
      </c>
      <c r="Q33" s="689">
        <f>(107.5*KFC!$B$21+KFC!$C$21)*KFC!$C$5</f>
        <v>107.5</v>
      </c>
      <c r="R33" s="689">
        <f>(112.3*KFC!$B$21+KFC!$C$21)*KFC!$C$5</f>
        <v>112.3</v>
      </c>
      <c r="S33" s="689">
        <f>(117.1*KFC!$B$21+KFC!$C$21)*KFC!$C$5</f>
        <v>117.1</v>
      </c>
    </row>
    <row r="35" spans="1:19">
      <c r="A35" s="1733" t="s">
        <v>988</v>
      </c>
      <c r="B35" s="1734"/>
      <c r="C35" s="1735" t="s">
        <v>207</v>
      </c>
      <c r="D35" s="1736"/>
      <c r="E35" s="1736"/>
      <c r="F35" s="1736"/>
      <c r="G35" s="1736"/>
      <c r="H35" s="1736"/>
      <c r="I35" s="1736"/>
      <c r="J35" s="1736"/>
      <c r="K35" s="1736"/>
      <c r="L35" s="1736"/>
      <c r="M35" s="1736"/>
      <c r="N35" s="1736"/>
      <c r="O35" s="1736"/>
      <c r="P35" s="1736"/>
      <c r="Q35" s="1736"/>
      <c r="R35" s="1736"/>
      <c r="S35" s="1737"/>
    </row>
    <row r="36" spans="1:19">
      <c r="A36" s="1734"/>
      <c r="B36" s="1734"/>
      <c r="C36" s="671">
        <v>0.4</v>
      </c>
      <c r="D36" s="671">
        <v>0.5</v>
      </c>
      <c r="E36" s="671">
        <v>0.6</v>
      </c>
      <c r="F36" s="671">
        <v>0.7</v>
      </c>
      <c r="G36" s="671">
        <v>0.8</v>
      </c>
      <c r="H36" s="671">
        <v>0.9</v>
      </c>
      <c r="I36" s="671">
        <v>1</v>
      </c>
      <c r="J36" s="671">
        <v>1.1000000000000001</v>
      </c>
      <c r="K36" s="671">
        <v>1.2</v>
      </c>
      <c r="L36" s="671">
        <v>1.3</v>
      </c>
      <c r="M36" s="671">
        <v>1.4</v>
      </c>
      <c r="N36" s="671">
        <v>1.5</v>
      </c>
      <c r="O36" s="671">
        <v>1.6</v>
      </c>
      <c r="P36" s="671">
        <v>1.7</v>
      </c>
      <c r="Q36" s="671">
        <v>1.8</v>
      </c>
      <c r="R36" s="671">
        <v>1.9</v>
      </c>
      <c r="S36" s="671">
        <v>2</v>
      </c>
    </row>
    <row r="37" spans="1:19">
      <c r="A37" s="1728" t="s">
        <v>3</v>
      </c>
      <c r="B37" s="671">
        <v>0.5</v>
      </c>
      <c r="C37" s="689">
        <f>(36.3*KFC!$B$21+KFC!$C$21)*KFC!$C$5</f>
        <v>36.299999999999997</v>
      </c>
      <c r="D37" s="689">
        <f>(40*KFC!$B$21+KFC!$C$21)*KFC!$C$5</f>
        <v>40</v>
      </c>
      <c r="E37" s="689">
        <f>(43.7*KFC!$B$21+KFC!$C$21)*KFC!$C$5</f>
        <v>43.7</v>
      </c>
      <c r="F37" s="689">
        <f>(47.3*KFC!$B$21+KFC!$C$21)*KFC!$C$5</f>
        <v>47.3</v>
      </c>
      <c r="G37" s="689">
        <f>(51*KFC!$B$21+KFC!$C$21)*KFC!$C$5</f>
        <v>51</v>
      </c>
      <c r="H37" s="689">
        <f>(54.7*KFC!$B$21+KFC!$C$21)*KFC!$C$5</f>
        <v>54.7</v>
      </c>
      <c r="I37" s="689">
        <f>(58.3*KFC!$B$21+KFC!$C$21)*KFC!$C$5</f>
        <v>58.3</v>
      </c>
      <c r="J37" s="689">
        <f>(62*KFC!$B$21+KFC!$C$21)*KFC!$C$5</f>
        <v>62</v>
      </c>
      <c r="K37" s="689">
        <f>(65.7*KFC!$B$21+KFC!$C$21)*KFC!$C$5</f>
        <v>65.7</v>
      </c>
      <c r="L37" s="689">
        <f>(69.3*KFC!$B$21+KFC!$C$21)*KFC!$C$5</f>
        <v>69.3</v>
      </c>
      <c r="M37" s="689">
        <f>(73*KFC!$B$21+KFC!$C$21)*KFC!$C$5</f>
        <v>73</v>
      </c>
      <c r="N37" s="689">
        <f>(76.7*KFC!$B$21+KFC!$C$21)*KFC!$C$5</f>
        <v>76.7</v>
      </c>
      <c r="O37" s="689">
        <f>(80.3*KFC!$B$21+KFC!$C$21)*KFC!$C$5</f>
        <v>80.3</v>
      </c>
      <c r="P37" s="689">
        <f>(84*KFC!$B$21+KFC!$C$21)*KFC!$C$5</f>
        <v>84</v>
      </c>
      <c r="Q37" s="689">
        <f>(87.7*KFC!$B$21+KFC!$C$21)*KFC!$C$5</f>
        <v>87.7</v>
      </c>
      <c r="R37" s="689">
        <f>(91.3*KFC!$B$21+KFC!$C$21)*KFC!$C$5</f>
        <v>91.3</v>
      </c>
      <c r="S37" s="689">
        <f>(95*KFC!$B$21+KFC!$C$21)*KFC!$C$5</f>
        <v>95</v>
      </c>
    </row>
    <row r="38" spans="1:19">
      <c r="A38" s="1728"/>
      <c r="B38" s="671">
        <v>0.6</v>
      </c>
      <c r="C38" s="689">
        <f>(36.7*KFC!$B$21+KFC!$C$21)*KFC!$C$5</f>
        <v>36.700000000000003</v>
      </c>
      <c r="D38" s="689">
        <f>(40.4*KFC!$B$21+KFC!$C$21)*KFC!$C$5</f>
        <v>40.4</v>
      </c>
      <c r="E38" s="689">
        <f>(44.2*KFC!$B$21+KFC!$C$21)*KFC!$C$5</f>
        <v>44.2</v>
      </c>
      <c r="F38" s="689">
        <f>(47.9*KFC!$B$21+KFC!$C$21)*KFC!$C$5</f>
        <v>47.9</v>
      </c>
      <c r="G38" s="689">
        <f>(51.7*KFC!$B$21+KFC!$C$21)*KFC!$C$5</f>
        <v>51.7</v>
      </c>
      <c r="H38" s="689">
        <f>(55.4*KFC!$B$21+KFC!$C$21)*KFC!$C$5</f>
        <v>55.4</v>
      </c>
      <c r="I38" s="689">
        <f>(59.2*KFC!$B$21+KFC!$C$21)*KFC!$C$5</f>
        <v>59.2</v>
      </c>
      <c r="J38" s="689">
        <f>(62.9*KFC!$B$21+KFC!$C$21)*KFC!$C$5</f>
        <v>62.9</v>
      </c>
      <c r="K38" s="689">
        <f>(66.7*KFC!$B$21+KFC!$C$21)*KFC!$C$5</f>
        <v>66.7</v>
      </c>
      <c r="L38" s="689">
        <f>(70.4*KFC!$B$21+KFC!$C$21)*KFC!$C$5</f>
        <v>70.400000000000006</v>
      </c>
      <c r="M38" s="689">
        <f>(74.2*KFC!$B$21+KFC!$C$21)*KFC!$C$5</f>
        <v>74.2</v>
      </c>
      <c r="N38" s="689">
        <f>(77.9*KFC!$B$21+KFC!$C$21)*KFC!$C$5</f>
        <v>77.900000000000006</v>
      </c>
      <c r="O38" s="689">
        <f>(81.7*KFC!$B$21+KFC!$C$21)*KFC!$C$5</f>
        <v>81.7</v>
      </c>
      <c r="P38" s="689">
        <f>(85.4*KFC!$B$21+KFC!$C$21)*KFC!$C$5</f>
        <v>85.4</v>
      </c>
      <c r="Q38" s="689">
        <f>(89.2*KFC!$B$21+KFC!$C$21)*KFC!$C$5</f>
        <v>89.2</v>
      </c>
      <c r="R38" s="689">
        <f>(92.9*KFC!$B$21+KFC!$C$21)*KFC!$C$5</f>
        <v>92.9</v>
      </c>
      <c r="S38" s="689">
        <f>(96.7*KFC!$B$21+KFC!$C$21)*KFC!$C$5</f>
        <v>96.7</v>
      </c>
    </row>
    <row r="39" spans="1:19">
      <c r="A39" s="1728"/>
      <c r="B39" s="671">
        <v>0.7</v>
      </c>
      <c r="C39" s="689">
        <f>(37*KFC!$B$21+KFC!$C$21)*KFC!$C$5</f>
        <v>37</v>
      </c>
      <c r="D39" s="689">
        <f>(40.8*KFC!$B$21+KFC!$C$21)*KFC!$C$5</f>
        <v>40.799999999999997</v>
      </c>
      <c r="E39" s="689">
        <f>(44.7*KFC!$B$21+KFC!$C$21)*KFC!$C$5</f>
        <v>44.7</v>
      </c>
      <c r="F39" s="689">
        <f>(48.5*KFC!$B$21+KFC!$C$21)*KFC!$C$5</f>
        <v>48.5</v>
      </c>
      <c r="G39" s="689">
        <f>(52.3*KFC!$B$21+KFC!$C$21)*KFC!$C$5</f>
        <v>52.3</v>
      </c>
      <c r="H39" s="689">
        <f>(56.2*KFC!$B$21+KFC!$C$21)*KFC!$C$5</f>
        <v>56.2</v>
      </c>
      <c r="I39" s="689">
        <f>(60*KFC!$B$21+KFC!$C$21)*KFC!$C$5</f>
        <v>60</v>
      </c>
      <c r="J39" s="689">
        <f>(63.8*KFC!$B$21+KFC!$C$21)*KFC!$C$5</f>
        <v>63.8</v>
      </c>
      <c r="K39" s="689">
        <f>(67.7*KFC!$B$21+KFC!$C$21)*KFC!$C$5</f>
        <v>67.7</v>
      </c>
      <c r="L39" s="689">
        <f>(71.5*KFC!$B$21+KFC!$C$21)*KFC!$C$5</f>
        <v>71.5</v>
      </c>
      <c r="M39" s="689">
        <f>(75.3*KFC!$B$21+KFC!$C$21)*KFC!$C$5</f>
        <v>75.3</v>
      </c>
      <c r="N39" s="689">
        <f>(79.2*KFC!$B$21+KFC!$C$21)*KFC!$C$5</f>
        <v>79.2</v>
      </c>
      <c r="O39" s="689">
        <f>(83*KFC!$B$21+KFC!$C$21)*KFC!$C$5</f>
        <v>83</v>
      </c>
      <c r="P39" s="689">
        <f>(86.8*KFC!$B$21+KFC!$C$21)*KFC!$C$5</f>
        <v>86.8</v>
      </c>
      <c r="Q39" s="689">
        <f>(90.7*KFC!$B$21+KFC!$C$21)*KFC!$C$5</f>
        <v>90.7</v>
      </c>
      <c r="R39" s="689">
        <f>(94.5*KFC!$B$21+KFC!$C$21)*KFC!$C$5</f>
        <v>94.5</v>
      </c>
      <c r="S39" s="689">
        <f>(98.3*KFC!$B$21+KFC!$C$21)*KFC!$C$5</f>
        <v>98.3</v>
      </c>
    </row>
    <row r="40" spans="1:19">
      <c r="A40" s="1728"/>
      <c r="B40" s="671">
        <v>0.8</v>
      </c>
      <c r="C40" s="689">
        <f>(37.3*KFC!$B$21+KFC!$C$21)*KFC!$C$5</f>
        <v>37.299999999999997</v>
      </c>
      <c r="D40" s="689">
        <f>(41.3*KFC!$B$21+KFC!$C$21)*KFC!$C$5</f>
        <v>41.3</v>
      </c>
      <c r="E40" s="689">
        <f>(45.2*KFC!$B$21+KFC!$C$21)*KFC!$C$5</f>
        <v>45.2</v>
      </c>
      <c r="F40" s="689">
        <f>(49.1*KFC!$B$21+KFC!$C$21)*KFC!$C$5</f>
        <v>49.1</v>
      </c>
      <c r="G40" s="689">
        <f>(53*KFC!$B$21+KFC!$C$21)*KFC!$C$5</f>
        <v>53</v>
      </c>
      <c r="H40" s="689">
        <f>(56.9*KFC!$B$21+KFC!$C$21)*KFC!$C$5</f>
        <v>56.9</v>
      </c>
      <c r="I40" s="689">
        <f>(60.8*KFC!$B$21+KFC!$C$21)*KFC!$C$5</f>
        <v>60.8</v>
      </c>
      <c r="J40" s="689">
        <f>(64.8*KFC!$B$21+KFC!$C$21)*KFC!$C$5</f>
        <v>64.8</v>
      </c>
      <c r="K40" s="689">
        <f>(68.7*KFC!$B$21+KFC!$C$21)*KFC!$C$5</f>
        <v>68.7</v>
      </c>
      <c r="L40" s="689">
        <f>(72.6*KFC!$B$21+KFC!$C$21)*KFC!$C$5</f>
        <v>72.599999999999994</v>
      </c>
      <c r="M40" s="689">
        <f>(76.5*KFC!$B$21+KFC!$C$21)*KFC!$C$5</f>
        <v>76.5</v>
      </c>
      <c r="N40" s="689">
        <f>(80.4*KFC!$B$21+KFC!$C$21)*KFC!$C$5</f>
        <v>80.400000000000006</v>
      </c>
      <c r="O40" s="689">
        <f>(84.3*KFC!$B$21+KFC!$C$21)*KFC!$C$5</f>
        <v>84.3</v>
      </c>
      <c r="P40" s="689">
        <f>(88.2*KFC!$B$21+KFC!$C$21)*KFC!$C$5</f>
        <v>88.2</v>
      </c>
      <c r="Q40" s="689">
        <f>(92.2*KFC!$B$21+KFC!$C$21)*KFC!$C$5</f>
        <v>92.2</v>
      </c>
      <c r="R40" s="689">
        <f>(96.1*KFC!$B$21+KFC!$C$21)*KFC!$C$5</f>
        <v>96.1</v>
      </c>
      <c r="S40" s="689">
        <f>(100*KFC!$B$21+KFC!$C$21)*KFC!$C$5</f>
        <v>100</v>
      </c>
    </row>
    <row r="41" spans="1:19">
      <c r="A41" s="1728"/>
      <c r="B41" s="671">
        <v>0.9</v>
      </c>
      <c r="C41" s="689">
        <f>(37.7*KFC!$B$21+KFC!$C$21)*KFC!$C$5</f>
        <v>37.700000000000003</v>
      </c>
      <c r="D41" s="689">
        <f>(41.7*KFC!$B$21+KFC!$C$21)*KFC!$C$5</f>
        <v>41.7</v>
      </c>
      <c r="E41" s="689">
        <f>(45.7*KFC!$B$21+KFC!$C$21)*KFC!$C$5</f>
        <v>45.7</v>
      </c>
      <c r="F41" s="689">
        <f>(49.7*KFC!$B$21+KFC!$C$21)*KFC!$C$5</f>
        <v>49.7</v>
      </c>
      <c r="G41" s="689">
        <f>(53.7*KFC!$B$21+KFC!$C$21)*KFC!$C$5</f>
        <v>53.7</v>
      </c>
      <c r="H41" s="689">
        <f>(57.7*KFC!$B$21+KFC!$C$21)*KFC!$C$5</f>
        <v>57.7</v>
      </c>
      <c r="I41" s="689">
        <f>(61.7*KFC!$B$21+KFC!$C$21)*KFC!$C$5</f>
        <v>61.7</v>
      </c>
      <c r="J41" s="689">
        <f>(65.7*KFC!$B$21+KFC!$C$21)*KFC!$C$5</f>
        <v>65.7</v>
      </c>
      <c r="K41" s="689">
        <f>(69.7*KFC!$B$21+KFC!$C$21)*KFC!$C$5</f>
        <v>69.7</v>
      </c>
      <c r="L41" s="689">
        <f>(73.7*KFC!$B$21+KFC!$C$21)*KFC!$C$5</f>
        <v>73.7</v>
      </c>
      <c r="M41" s="689">
        <f>(77.7*KFC!$B$21+KFC!$C$21)*KFC!$C$5</f>
        <v>77.7</v>
      </c>
      <c r="N41" s="689">
        <f>(81.7*KFC!$B$21+KFC!$C$21)*KFC!$C$5</f>
        <v>81.7</v>
      </c>
      <c r="O41" s="689">
        <f>(85.7*KFC!$B$21+KFC!$C$21)*KFC!$C$5</f>
        <v>85.7</v>
      </c>
      <c r="P41" s="689">
        <f>(89.7*KFC!$B$21+KFC!$C$21)*KFC!$C$5</f>
        <v>89.7</v>
      </c>
      <c r="Q41" s="689">
        <f>(93.7*KFC!$B$21+KFC!$C$21)*KFC!$C$5</f>
        <v>93.7</v>
      </c>
      <c r="R41" s="689">
        <f>(97.7*KFC!$B$21+KFC!$C$21)*KFC!$C$5</f>
        <v>97.7</v>
      </c>
      <c r="S41" s="689">
        <f>(101.7*KFC!$B$21+KFC!$C$21)*KFC!$C$5</f>
        <v>101.7</v>
      </c>
    </row>
    <row r="42" spans="1:19">
      <c r="A42" s="1728"/>
      <c r="B42" s="671">
        <v>1</v>
      </c>
      <c r="C42" s="689">
        <f>(38*KFC!$B$21+KFC!$C$21)*KFC!$C$5</f>
        <v>38</v>
      </c>
      <c r="D42" s="689">
        <f>(42.1*KFC!$B$21+KFC!$C$21)*KFC!$C$5</f>
        <v>42.1</v>
      </c>
      <c r="E42" s="689">
        <f>(46.2*KFC!$B$21+KFC!$C$21)*KFC!$C$5</f>
        <v>46.2</v>
      </c>
      <c r="F42" s="689">
        <f>(50.3*KFC!$B$21+KFC!$C$21)*KFC!$C$5</f>
        <v>50.3</v>
      </c>
      <c r="G42" s="689">
        <f>(54.3*KFC!$B$21+KFC!$C$21)*KFC!$C$5</f>
        <v>54.3</v>
      </c>
      <c r="H42" s="689">
        <f>(58.4*KFC!$B$21+KFC!$C$21)*KFC!$C$5</f>
        <v>58.4</v>
      </c>
      <c r="I42" s="689">
        <f>(62.5*KFC!$B$21+KFC!$C$21)*KFC!$C$5</f>
        <v>62.5</v>
      </c>
      <c r="J42" s="689">
        <f>(66.6*KFC!$B$21+KFC!$C$21)*KFC!$C$5</f>
        <v>66.599999999999994</v>
      </c>
      <c r="K42" s="689">
        <f>(70.7*KFC!$B$21+KFC!$C$21)*KFC!$C$5</f>
        <v>70.7</v>
      </c>
      <c r="L42" s="689">
        <f>(74.8*KFC!$B$21+KFC!$C$21)*KFC!$C$5</f>
        <v>74.8</v>
      </c>
      <c r="M42" s="689">
        <f>(78.8*KFC!$B$21+KFC!$C$21)*KFC!$C$5</f>
        <v>78.8</v>
      </c>
      <c r="N42" s="689">
        <f>(82.9*KFC!$B$21+KFC!$C$21)*KFC!$C$5</f>
        <v>82.9</v>
      </c>
      <c r="O42" s="689">
        <f>(87*KFC!$B$21+KFC!$C$21)*KFC!$C$5</f>
        <v>87</v>
      </c>
      <c r="P42" s="689">
        <f>(91.1*KFC!$B$21+KFC!$C$21)*KFC!$C$5</f>
        <v>91.1</v>
      </c>
      <c r="Q42" s="689">
        <f>(95.2*KFC!$B$21+KFC!$C$21)*KFC!$C$5</f>
        <v>95.2</v>
      </c>
      <c r="R42" s="689">
        <f>(99.2*KFC!$B$21+KFC!$C$21)*KFC!$C$5</f>
        <v>99.2</v>
      </c>
      <c r="S42" s="689">
        <f>(103.3*KFC!$B$21+KFC!$C$21)*KFC!$C$5</f>
        <v>103.3</v>
      </c>
    </row>
    <row r="43" spans="1:19">
      <c r="A43" s="1728"/>
      <c r="B43" s="671">
        <v>1.1000000000000001</v>
      </c>
      <c r="C43" s="689">
        <f>(38.4*KFC!$B$21+KFC!$C$21)*KFC!$C$5</f>
        <v>38.4</v>
      </c>
      <c r="D43" s="689">
        <f>(42.5*KFC!$B$21+KFC!$C$21)*KFC!$C$5</f>
        <v>42.5</v>
      </c>
      <c r="E43" s="689">
        <f>(46.7*KFC!$B$21+KFC!$C$21)*KFC!$C$5</f>
        <v>46.7</v>
      </c>
      <c r="F43" s="689">
        <f>(50.8*KFC!$B$21+KFC!$C$21)*KFC!$C$5</f>
        <v>50.8</v>
      </c>
      <c r="G43" s="689">
        <f>(55*KFC!$B$21+KFC!$C$21)*KFC!$C$5</f>
        <v>55</v>
      </c>
      <c r="H43" s="689">
        <f>(59.2*KFC!$B$21+KFC!$C$21)*KFC!$C$5</f>
        <v>59.2</v>
      </c>
      <c r="I43" s="689">
        <f>(63.3*KFC!$B$21+KFC!$C$21)*KFC!$C$5</f>
        <v>63.3</v>
      </c>
      <c r="J43" s="689">
        <f>(67.5*KFC!$B$21+KFC!$C$21)*KFC!$C$5</f>
        <v>67.5</v>
      </c>
      <c r="K43" s="689">
        <f>(71.7*KFC!$B$21+KFC!$C$21)*KFC!$C$5</f>
        <v>71.7</v>
      </c>
      <c r="L43" s="689">
        <f>(75.8*KFC!$B$21+KFC!$C$21)*KFC!$C$5</f>
        <v>75.8</v>
      </c>
      <c r="M43" s="689">
        <f>(80*KFC!$B$21+KFC!$C$21)*KFC!$C$5</f>
        <v>80</v>
      </c>
      <c r="N43" s="689">
        <f>(84.2*KFC!$B$21+KFC!$C$21)*KFC!$C$5</f>
        <v>84.2</v>
      </c>
      <c r="O43" s="689">
        <f>(88.3*KFC!$B$21+KFC!$C$21)*KFC!$C$5</f>
        <v>88.3</v>
      </c>
      <c r="P43" s="689">
        <f>(92.5*KFC!$B$21+KFC!$C$21)*KFC!$C$5</f>
        <v>92.5</v>
      </c>
      <c r="Q43" s="689">
        <f>(96.7*KFC!$B$21+KFC!$C$21)*KFC!$C$5</f>
        <v>96.7</v>
      </c>
      <c r="R43" s="689">
        <f>(100.8*KFC!$B$21+KFC!$C$21)*KFC!$C$5</f>
        <v>100.8</v>
      </c>
      <c r="S43" s="689">
        <f>(105*KFC!$B$21+KFC!$C$21)*KFC!$C$5</f>
        <v>105</v>
      </c>
    </row>
    <row r="44" spans="1:19">
      <c r="A44" s="1728"/>
      <c r="B44" s="671">
        <v>1.2</v>
      </c>
      <c r="C44" s="689">
        <f>(38.7*KFC!$B$21+KFC!$C$21)*KFC!$C$5</f>
        <v>38.700000000000003</v>
      </c>
      <c r="D44" s="689">
        <f>(42.9*KFC!$B$21+KFC!$C$21)*KFC!$C$5</f>
        <v>42.9</v>
      </c>
      <c r="E44" s="689">
        <f>(47.2*KFC!$B$21+KFC!$C$21)*KFC!$C$5</f>
        <v>47.2</v>
      </c>
      <c r="F44" s="689">
        <f>(51.4*KFC!$B$21+KFC!$C$21)*KFC!$C$5</f>
        <v>51.4</v>
      </c>
      <c r="G44" s="689">
        <f>(55.7*KFC!$B$21+KFC!$C$21)*KFC!$C$5</f>
        <v>55.7</v>
      </c>
      <c r="H44" s="689">
        <f>(59.9*KFC!$B$21+KFC!$C$21)*KFC!$C$5</f>
        <v>59.9</v>
      </c>
      <c r="I44" s="689">
        <f>(64.2*KFC!$B$21+KFC!$C$21)*KFC!$C$5</f>
        <v>64.2</v>
      </c>
      <c r="J44" s="689">
        <f>(68.4*KFC!$B$21+KFC!$C$21)*KFC!$C$5</f>
        <v>68.400000000000006</v>
      </c>
      <c r="K44" s="689">
        <f>(72.7*KFC!$B$21+KFC!$C$21)*KFC!$C$5</f>
        <v>72.7</v>
      </c>
      <c r="L44" s="689">
        <f>(76.9*KFC!$B$21+KFC!$C$21)*KFC!$C$5</f>
        <v>76.900000000000006</v>
      </c>
      <c r="M44" s="689">
        <f>(81.2*KFC!$B$21+KFC!$C$21)*KFC!$C$5</f>
        <v>81.2</v>
      </c>
      <c r="N44" s="689">
        <f>(85.4*KFC!$B$21+KFC!$C$21)*KFC!$C$5</f>
        <v>85.4</v>
      </c>
      <c r="O44" s="689">
        <f>(89.7*KFC!$B$21+KFC!$C$21)*KFC!$C$5</f>
        <v>89.7</v>
      </c>
      <c r="P44" s="689">
        <f>(93.9*KFC!$B$21+KFC!$C$21)*KFC!$C$5</f>
        <v>93.9</v>
      </c>
      <c r="Q44" s="689">
        <f>(98.2*KFC!$B$21+KFC!$C$21)*KFC!$C$5</f>
        <v>98.2</v>
      </c>
      <c r="R44" s="689">
        <f>(102.4*KFC!$B$21+KFC!$C$21)*KFC!$C$5</f>
        <v>102.4</v>
      </c>
      <c r="S44" s="689">
        <f>(106.7*KFC!$B$21+KFC!$C$21)*KFC!$C$5</f>
        <v>106.7</v>
      </c>
    </row>
    <row r="45" spans="1:19">
      <c r="A45" s="1728"/>
      <c r="B45" s="671">
        <v>1.3</v>
      </c>
      <c r="C45" s="689">
        <f>(39*KFC!$B$21+KFC!$C$21)*KFC!$C$5</f>
        <v>39</v>
      </c>
      <c r="D45" s="689">
        <f>(43.4*KFC!$B$21+KFC!$C$21)*KFC!$C$5</f>
        <v>43.4</v>
      </c>
      <c r="E45" s="689">
        <f>(47.7*KFC!$B$21+KFC!$C$21)*KFC!$C$5</f>
        <v>47.7</v>
      </c>
      <c r="F45" s="689">
        <f>(52*KFC!$B$21+KFC!$C$21)*KFC!$C$5</f>
        <v>52</v>
      </c>
      <c r="G45" s="689">
        <f>(56.3*KFC!$B$21+KFC!$C$21)*KFC!$C$5</f>
        <v>56.3</v>
      </c>
      <c r="H45" s="689">
        <f>(60.7*KFC!$B$21+KFC!$C$21)*KFC!$C$5</f>
        <v>60.7</v>
      </c>
      <c r="I45" s="689">
        <f>(65*KFC!$B$21+KFC!$C$21)*KFC!$C$5</f>
        <v>65</v>
      </c>
      <c r="J45" s="689">
        <f>(69.3*KFC!$B$21+KFC!$C$21)*KFC!$C$5</f>
        <v>69.3</v>
      </c>
      <c r="K45" s="689">
        <f>(73.7*KFC!$B$21+KFC!$C$21)*KFC!$C$5</f>
        <v>73.7</v>
      </c>
      <c r="L45" s="689">
        <f>(78*KFC!$B$21+KFC!$C$21)*KFC!$C$5</f>
        <v>78</v>
      </c>
      <c r="M45" s="689">
        <f>(82.3*KFC!$B$21+KFC!$C$21)*KFC!$C$5</f>
        <v>82.3</v>
      </c>
      <c r="N45" s="689">
        <f>(86.7*KFC!$B$21+KFC!$C$21)*KFC!$C$5</f>
        <v>86.7</v>
      </c>
      <c r="O45" s="689">
        <f>(91*KFC!$B$21+KFC!$C$21)*KFC!$C$5</f>
        <v>91</v>
      </c>
      <c r="P45" s="689">
        <f>(95.3*KFC!$B$21+KFC!$C$21)*KFC!$C$5</f>
        <v>95.3</v>
      </c>
      <c r="Q45" s="689">
        <f>(99.7*KFC!$B$21+KFC!$C$21)*KFC!$C$5</f>
        <v>99.7</v>
      </c>
      <c r="R45" s="689">
        <f>(104*KFC!$B$21+KFC!$C$21)*KFC!$C$5</f>
        <v>104</v>
      </c>
      <c r="S45" s="689">
        <f>(108.3*KFC!$B$21+KFC!$C$21)*KFC!$C$5</f>
        <v>108.3</v>
      </c>
    </row>
    <row r="46" spans="1:19" ht="13.5" customHeight="1">
      <c r="A46" s="1728"/>
      <c r="B46" s="671">
        <v>1.4</v>
      </c>
      <c r="C46" s="689">
        <f>(39.4*KFC!$B$21+KFC!$C$21)*KFC!$C$5</f>
        <v>39.4</v>
      </c>
      <c r="D46" s="689">
        <f>(43.8*KFC!$B$21+KFC!$C$21)*KFC!$C$5</f>
        <v>43.8</v>
      </c>
      <c r="E46" s="689">
        <f>(48.2*KFC!$B$21+KFC!$C$21)*KFC!$C$5</f>
        <v>48.2</v>
      </c>
      <c r="F46" s="689">
        <f>(52.6*KFC!$B$21+KFC!$C$21)*KFC!$C$5</f>
        <v>52.6</v>
      </c>
      <c r="G46" s="689">
        <f>(57*KFC!$B$21+KFC!$C$21)*KFC!$C$5</f>
        <v>57</v>
      </c>
      <c r="H46" s="689">
        <f>(61.4*KFC!$B$21+KFC!$C$21)*KFC!$C$5</f>
        <v>61.4</v>
      </c>
      <c r="I46" s="689">
        <f>(65.8*KFC!$B$21+KFC!$C$21)*KFC!$C$5</f>
        <v>65.8</v>
      </c>
      <c r="J46" s="689">
        <f>(70.3*KFC!$B$21+KFC!$C$21)*KFC!$C$5</f>
        <v>70.3</v>
      </c>
      <c r="K46" s="689">
        <f>(74.7*KFC!$B$21+KFC!$C$21)*KFC!$C$5</f>
        <v>74.7</v>
      </c>
      <c r="L46" s="689">
        <f>(79.1*KFC!$B$21+KFC!$C$21)*KFC!$C$5</f>
        <v>79.099999999999994</v>
      </c>
      <c r="M46" s="689">
        <f>(83.5*KFC!$B$21+KFC!$C$21)*KFC!$C$5</f>
        <v>83.5</v>
      </c>
      <c r="N46" s="689">
        <f>(87.9*KFC!$B$21+KFC!$C$21)*KFC!$C$5</f>
        <v>87.9</v>
      </c>
      <c r="O46" s="689">
        <f>(92.3*KFC!$B$21+KFC!$C$21)*KFC!$C$5</f>
        <v>92.3</v>
      </c>
      <c r="P46" s="689">
        <f>(96.8*KFC!$B$21+KFC!$C$21)*KFC!$C$5</f>
        <v>96.8</v>
      </c>
      <c r="Q46" s="689">
        <f>(101.2*KFC!$B$21+KFC!$C$21)*KFC!$C$5</f>
        <v>101.2</v>
      </c>
      <c r="R46" s="689">
        <f>(105.6*KFC!$B$21+KFC!$C$21)*KFC!$C$5</f>
        <v>105.6</v>
      </c>
      <c r="S46" s="689">
        <f>(110*KFC!$B$21+KFC!$C$21)*KFC!$C$5</f>
        <v>110</v>
      </c>
    </row>
    <row r="47" spans="1:19">
      <c r="A47" s="1728"/>
      <c r="B47" s="671">
        <v>1.5</v>
      </c>
      <c r="C47" s="689">
        <f>(39.7*KFC!$B$21+KFC!$C$21)*KFC!$C$5</f>
        <v>39.700000000000003</v>
      </c>
      <c r="D47" s="689">
        <f>(44.2*KFC!$B$21+KFC!$C$21)*KFC!$C$5</f>
        <v>44.2</v>
      </c>
      <c r="E47" s="689">
        <f>(48.7*KFC!$B$21+KFC!$C$21)*KFC!$C$5</f>
        <v>48.7</v>
      </c>
      <c r="F47" s="689">
        <f>(53.2*KFC!$B$21+KFC!$C$21)*KFC!$C$5</f>
        <v>53.2</v>
      </c>
      <c r="G47" s="689">
        <f>(57.7*KFC!$B$21+KFC!$C$21)*KFC!$C$5</f>
        <v>57.7</v>
      </c>
      <c r="H47" s="689">
        <f>(62.2*KFC!$B$21+KFC!$C$21)*KFC!$C$5</f>
        <v>62.2</v>
      </c>
      <c r="I47" s="689">
        <f>(66.7*KFC!$B$21+KFC!$C$21)*KFC!$C$5</f>
        <v>66.7</v>
      </c>
      <c r="J47" s="689">
        <f>(71.2*KFC!$B$21+KFC!$C$21)*KFC!$C$5</f>
        <v>71.2</v>
      </c>
      <c r="K47" s="689">
        <f>(75.7*KFC!$B$21+KFC!$C$21)*KFC!$C$5</f>
        <v>75.7</v>
      </c>
      <c r="L47" s="689">
        <f>(80.2*KFC!$B$21+KFC!$C$21)*KFC!$C$5</f>
        <v>80.2</v>
      </c>
      <c r="M47" s="689">
        <f>(84.7*KFC!$B$21+KFC!$C$21)*KFC!$C$5</f>
        <v>84.7</v>
      </c>
      <c r="N47" s="689">
        <f>(89.2*KFC!$B$21+KFC!$C$21)*KFC!$C$5</f>
        <v>89.2</v>
      </c>
      <c r="O47" s="689">
        <f>(93.7*KFC!$B$21+KFC!$C$21)*KFC!$C$5</f>
        <v>93.7</v>
      </c>
      <c r="P47" s="689">
        <f>(98.2*KFC!$B$21+KFC!$C$21)*KFC!$C$5</f>
        <v>98.2</v>
      </c>
      <c r="Q47" s="689">
        <f>(102.7*KFC!$B$21+KFC!$C$21)*KFC!$C$5</f>
        <v>102.7</v>
      </c>
      <c r="R47" s="689">
        <f>(107.2*KFC!$B$21+KFC!$C$21)*KFC!$C$5</f>
        <v>107.2</v>
      </c>
      <c r="S47" s="689">
        <f>(111.7*KFC!$B$21+KFC!$C$21)*KFC!$C$5</f>
        <v>111.7</v>
      </c>
    </row>
    <row r="48" spans="1:19" ht="12.75" customHeight="1">
      <c r="A48" s="1728"/>
      <c r="B48" s="671">
        <v>1.6</v>
      </c>
      <c r="C48" s="689">
        <f>(40*KFC!$B$21+KFC!$C$21)*KFC!$C$5</f>
        <v>40</v>
      </c>
      <c r="D48" s="689">
        <f>(44.6*KFC!$B$21+KFC!$C$21)*KFC!$C$5</f>
        <v>44.6</v>
      </c>
      <c r="E48" s="689">
        <f>(49.2*KFC!$B$21+KFC!$C$21)*KFC!$C$5</f>
        <v>49.2</v>
      </c>
      <c r="F48" s="689">
        <f>(53.8*KFC!$B$21+KFC!$C$21)*KFC!$C$5</f>
        <v>53.8</v>
      </c>
      <c r="G48" s="689">
        <f>(58.3*KFC!$B$21+KFC!$C$21)*KFC!$C$5</f>
        <v>58.3</v>
      </c>
      <c r="H48" s="689">
        <f>(62.9*KFC!$B$21+KFC!$C$21)*KFC!$C$5</f>
        <v>62.9</v>
      </c>
      <c r="I48" s="689">
        <f>(67.5*KFC!$B$21+KFC!$C$21)*KFC!$C$5</f>
        <v>67.5</v>
      </c>
      <c r="J48" s="689">
        <f>(72.1*KFC!$B$21+KFC!$C$21)*KFC!$C$5</f>
        <v>72.099999999999994</v>
      </c>
      <c r="K48" s="689">
        <f>(76.7*KFC!$B$21+KFC!$C$21)*KFC!$C$5</f>
        <v>76.7</v>
      </c>
      <c r="L48" s="689">
        <f>(81.3*KFC!$B$21+KFC!$C$21)*KFC!$C$5</f>
        <v>81.3</v>
      </c>
      <c r="M48" s="689">
        <f>(85.8*KFC!$B$21+KFC!$C$21)*KFC!$C$5</f>
        <v>85.8</v>
      </c>
      <c r="N48" s="689">
        <f>(90.4*KFC!$B$21+KFC!$C$21)*KFC!$C$5</f>
        <v>90.4</v>
      </c>
      <c r="O48" s="689">
        <f>(95*KFC!$B$21+KFC!$C$21)*KFC!$C$5</f>
        <v>95</v>
      </c>
      <c r="P48" s="689">
        <f>(99.6*KFC!$B$21+KFC!$C$21)*KFC!$C$5</f>
        <v>99.6</v>
      </c>
      <c r="Q48" s="689">
        <f>(104.2*KFC!$B$21+KFC!$C$21)*KFC!$C$5</f>
        <v>104.2</v>
      </c>
      <c r="R48" s="689">
        <f>(108.7*KFC!$B$21+KFC!$C$21)*KFC!$C$5</f>
        <v>108.7</v>
      </c>
      <c r="S48" s="689">
        <f>(113.3*KFC!$B$21+KFC!$C$21)*KFC!$C$5</f>
        <v>113.3</v>
      </c>
    </row>
    <row r="49" spans="1:19">
      <c r="A49" s="1728"/>
      <c r="B49" s="671">
        <v>1.7</v>
      </c>
      <c r="C49" s="689">
        <f>(40.4*KFC!$B$21+KFC!$C$21)*KFC!$C$5</f>
        <v>40.4</v>
      </c>
      <c r="D49" s="689">
        <f>(45*KFC!$B$21+KFC!$C$21)*KFC!$C$5</f>
        <v>45</v>
      </c>
      <c r="E49" s="689">
        <f>(49.7*KFC!$B$21+KFC!$C$21)*KFC!$C$5</f>
        <v>49.7</v>
      </c>
      <c r="F49" s="689">
        <f>(54.3*KFC!$B$21+KFC!$C$21)*KFC!$C$5</f>
        <v>54.3</v>
      </c>
      <c r="G49" s="689">
        <f>(59*KFC!$B$21+KFC!$C$21)*KFC!$C$5</f>
        <v>59</v>
      </c>
      <c r="H49" s="689">
        <f>(63.7*KFC!$B$21+KFC!$C$21)*KFC!$C$5</f>
        <v>63.7</v>
      </c>
      <c r="I49" s="689">
        <f>(68.4*KFC!$B$21+KFC!$C$21)*KFC!$C$5</f>
        <v>68.400000000000006</v>
      </c>
      <c r="J49" s="689">
        <f>(73*KFC!$B$21+KFC!$C$21)*KFC!$C$5</f>
        <v>73</v>
      </c>
      <c r="K49" s="689">
        <f>(77.7*KFC!$B$21+KFC!$C$21)*KFC!$C$5</f>
        <v>77.7</v>
      </c>
      <c r="L49" s="689">
        <f>(82.3*KFC!$B$21+KFC!$C$21)*KFC!$C$5</f>
        <v>82.3</v>
      </c>
      <c r="M49" s="689">
        <f>(87*KFC!$B$21+KFC!$C$21)*KFC!$C$5</f>
        <v>87</v>
      </c>
      <c r="N49" s="689">
        <f>(91.7*KFC!$B$21+KFC!$C$21)*KFC!$C$5</f>
        <v>91.7</v>
      </c>
      <c r="O49" s="689">
        <f>(96.3*KFC!$B$21+KFC!$C$21)*KFC!$C$5</f>
        <v>96.3</v>
      </c>
      <c r="P49" s="689">
        <f>(101*KFC!$B$21+KFC!$C$21)*KFC!$C$5</f>
        <v>101</v>
      </c>
      <c r="Q49" s="689">
        <f>(105.7*KFC!$B$21+KFC!$C$21)*KFC!$C$5</f>
        <v>105.7</v>
      </c>
      <c r="R49" s="689">
        <f>(110.3*KFC!$B$21+KFC!$C$21)*KFC!$C$5</f>
        <v>110.3</v>
      </c>
      <c r="S49" s="689">
        <f>(115*KFC!$B$21+KFC!$C$21)*KFC!$C$5</f>
        <v>115</v>
      </c>
    </row>
    <row r="50" spans="1:19">
      <c r="A50" s="1728"/>
      <c r="B50" s="671">
        <v>1.8</v>
      </c>
      <c r="C50" s="689">
        <f>(40.7*KFC!$B$21+KFC!$C$21)*KFC!$C$5</f>
        <v>40.700000000000003</v>
      </c>
      <c r="D50" s="689">
        <f>(45.4*KFC!$B$21+KFC!$C$21)*KFC!$C$5</f>
        <v>45.4</v>
      </c>
      <c r="E50" s="689">
        <f>(50.2*KFC!$B$21+KFC!$C$21)*KFC!$C$5</f>
        <v>50.2</v>
      </c>
      <c r="F50" s="689">
        <f>(54.9*KFC!$B$21+KFC!$C$21)*KFC!$C$5</f>
        <v>54.9</v>
      </c>
      <c r="G50" s="689">
        <f>(59.7*KFC!$B$21+KFC!$C$21)*KFC!$C$5</f>
        <v>59.7</v>
      </c>
      <c r="H50" s="689">
        <f>(64.4*KFC!$B$21+KFC!$C$21)*KFC!$C$5</f>
        <v>64.400000000000006</v>
      </c>
      <c r="I50" s="689">
        <f>(69.2*KFC!$B$21+KFC!$C$21)*KFC!$C$5</f>
        <v>69.2</v>
      </c>
      <c r="J50" s="689">
        <f>(73.9*KFC!$B$21+KFC!$C$21)*KFC!$C$5</f>
        <v>73.900000000000006</v>
      </c>
      <c r="K50" s="689">
        <f>(78.7*KFC!$B$21+KFC!$C$21)*KFC!$C$5</f>
        <v>78.7</v>
      </c>
      <c r="L50" s="689">
        <f>(83.4*KFC!$B$21+KFC!$C$21)*KFC!$C$5</f>
        <v>83.4</v>
      </c>
      <c r="M50" s="689">
        <f>(88.2*KFC!$B$21+KFC!$C$21)*KFC!$C$5</f>
        <v>88.2</v>
      </c>
      <c r="N50" s="689">
        <f>(92.9*KFC!$B$21+KFC!$C$21)*KFC!$C$5</f>
        <v>92.9</v>
      </c>
      <c r="O50" s="689">
        <f>(97.7*KFC!$B$21+KFC!$C$21)*KFC!$C$5</f>
        <v>97.7</v>
      </c>
      <c r="P50" s="689">
        <f>(102.4*KFC!$B$21+KFC!$C$21)*KFC!$C$5</f>
        <v>102.4</v>
      </c>
      <c r="Q50" s="689">
        <f>(107.2*KFC!$B$21+KFC!$C$21)*KFC!$C$5</f>
        <v>107.2</v>
      </c>
      <c r="R50" s="689">
        <f>(111.9*KFC!$B$21+KFC!$C$21)*KFC!$C$5</f>
        <v>111.9</v>
      </c>
      <c r="S50" s="689">
        <f>(116.7*KFC!$B$21+KFC!$C$21)*KFC!$C$5</f>
        <v>116.7</v>
      </c>
    </row>
    <row r="51" spans="1:19">
      <c r="A51" s="1728"/>
      <c r="B51" s="671">
        <v>1.9</v>
      </c>
      <c r="C51" s="689">
        <f>(41*KFC!$B$21+KFC!$C$21)*KFC!$C$5</f>
        <v>41</v>
      </c>
      <c r="D51" s="689">
        <f>(45.9*KFC!$B$21+KFC!$C$21)*KFC!$C$5</f>
        <v>45.9</v>
      </c>
      <c r="E51" s="689">
        <f>(50.7*KFC!$B$21+KFC!$C$21)*KFC!$C$5</f>
        <v>50.7</v>
      </c>
      <c r="F51" s="689">
        <f>(55.5*KFC!$B$21+KFC!$C$21)*KFC!$C$5</f>
        <v>55.5</v>
      </c>
      <c r="G51" s="689">
        <f>(60.4*KFC!$B$21+KFC!$C$21)*KFC!$C$5</f>
        <v>60.4</v>
      </c>
      <c r="H51" s="689">
        <f>(65.2*KFC!$B$21+KFC!$C$21)*KFC!$C$5</f>
        <v>65.2</v>
      </c>
      <c r="I51" s="689">
        <f>(70*KFC!$B$21+KFC!$C$21)*KFC!$C$5</f>
        <v>70</v>
      </c>
      <c r="J51" s="689">
        <f>(74.8*KFC!$B$21+KFC!$C$21)*KFC!$C$5</f>
        <v>74.8</v>
      </c>
      <c r="K51" s="689">
        <f>(79.7*KFC!$B$21+KFC!$C$21)*KFC!$C$5</f>
        <v>79.7</v>
      </c>
      <c r="L51" s="689">
        <f>(84.5*KFC!$B$21+KFC!$C$21)*KFC!$C$5</f>
        <v>84.5</v>
      </c>
      <c r="M51" s="689">
        <f>(89.3*KFC!$B$21+KFC!$C$21)*KFC!$C$5</f>
        <v>89.3</v>
      </c>
      <c r="N51" s="689">
        <f>(94.2*KFC!$B$21+KFC!$C$21)*KFC!$C$5</f>
        <v>94.2</v>
      </c>
      <c r="O51" s="689">
        <f>(99*KFC!$B$21+KFC!$C$21)*KFC!$C$5</f>
        <v>99</v>
      </c>
      <c r="P51" s="689">
        <f>(103.8*KFC!$B$21+KFC!$C$21)*KFC!$C$5</f>
        <v>103.8</v>
      </c>
      <c r="Q51" s="689">
        <f>(108.7*KFC!$B$21+KFC!$C$21)*KFC!$C$5</f>
        <v>108.7</v>
      </c>
      <c r="R51" s="689">
        <f>(113.5*KFC!$B$21+KFC!$C$21)*KFC!$C$5</f>
        <v>113.5</v>
      </c>
      <c r="S51" s="689">
        <f>(118.3*KFC!$B$21+KFC!$C$21)*KFC!$C$5</f>
        <v>118.3</v>
      </c>
    </row>
    <row r="52" spans="1:19">
      <c r="A52" s="1728"/>
      <c r="B52" s="671">
        <v>2</v>
      </c>
      <c r="C52" s="689">
        <f>(41.4*KFC!$B$21+KFC!$C$21)*KFC!$C$5</f>
        <v>41.4</v>
      </c>
      <c r="D52" s="689">
        <f>(46.3*KFC!$B$21+KFC!$C$21)*KFC!$C$5</f>
        <v>46.3</v>
      </c>
      <c r="E52" s="689">
        <f>(51.2*KFC!$B$21+KFC!$C$21)*KFC!$C$5</f>
        <v>51.2</v>
      </c>
      <c r="F52" s="689">
        <f>(56.1*KFC!$B$21+KFC!$C$21)*KFC!$C$5</f>
        <v>56.1</v>
      </c>
      <c r="G52" s="689">
        <f>(61*KFC!$B$21+KFC!$C$21)*KFC!$C$5</f>
        <v>61</v>
      </c>
      <c r="H52" s="689">
        <f>(65.9*KFC!$B$21+KFC!$C$21)*KFC!$C$5</f>
        <v>65.900000000000006</v>
      </c>
      <c r="I52" s="689">
        <f>(70.8*KFC!$B$21+KFC!$C$21)*KFC!$C$5</f>
        <v>70.8</v>
      </c>
      <c r="J52" s="689">
        <f>(75.8*KFC!$B$21+KFC!$C$21)*KFC!$C$5</f>
        <v>75.8</v>
      </c>
      <c r="K52" s="689">
        <f>(80.7*KFC!$B$21+KFC!$C$21)*KFC!$C$5</f>
        <v>80.7</v>
      </c>
      <c r="L52" s="689">
        <f>(85.6*KFC!$B$21+KFC!$C$21)*KFC!$C$5</f>
        <v>85.6</v>
      </c>
      <c r="M52" s="689">
        <f>(90.5*KFC!$B$21+KFC!$C$21)*KFC!$C$5</f>
        <v>90.5</v>
      </c>
      <c r="N52" s="689">
        <f>(95.4*KFC!$B$21+KFC!$C$21)*KFC!$C$5</f>
        <v>95.4</v>
      </c>
      <c r="O52" s="689">
        <f>(100.3*KFC!$B$21+KFC!$C$21)*KFC!$C$5</f>
        <v>100.3</v>
      </c>
      <c r="P52" s="689">
        <f>(105.2*KFC!$B$21+KFC!$C$21)*KFC!$C$5</f>
        <v>105.2</v>
      </c>
      <c r="Q52" s="689">
        <f>(110.2*KFC!$B$21+KFC!$C$21)*KFC!$C$5</f>
        <v>110.2</v>
      </c>
      <c r="R52" s="689">
        <f>(115.1*KFC!$B$21+KFC!$C$21)*KFC!$C$5</f>
        <v>115.1</v>
      </c>
      <c r="S52" s="689">
        <f>(120*KFC!$B$21+KFC!$C$21)*KFC!$C$5</f>
        <v>120</v>
      </c>
    </row>
    <row r="53" spans="1:19">
      <c r="A53" s="1728"/>
      <c r="B53" s="671">
        <v>2.1</v>
      </c>
      <c r="C53" s="689">
        <f>(41.7*KFC!$B$21+KFC!$C$21)*KFC!$C$5</f>
        <v>41.7</v>
      </c>
      <c r="D53" s="689">
        <f>(46.7*KFC!$B$21+KFC!$C$21)*KFC!$C$5</f>
        <v>46.7</v>
      </c>
      <c r="E53" s="689">
        <f>(51.7*KFC!$B$21+KFC!$C$21)*KFC!$C$5</f>
        <v>51.7</v>
      </c>
      <c r="F53" s="689">
        <f>(56.7*KFC!$B$21+KFC!$C$21)*KFC!$C$5</f>
        <v>56.7</v>
      </c>
      <c r="G53" s="689">
        <f>(61.7*KFC!$B$21+KFC!$C$21)*KFC!$C$5</f>
        <v>61.7</v>
      </c>
      <c r="H53" s="689">
        <f>(66.7*KFC!$B$21+KFC!$C$21)*KFC!$C$5</f>
        <v>66.7</v>
      </c>
      <c r="I53" s="689">
        <f>(71.7*KFC!$B$21+KFC!$C$21)*KFC!$C$5</f>
        <v>71.7</v>
      </c>
      <c r="J53" s="689">
        <f>(76.7*KFC!$B$21+KFC!$C$21)*KFC!$C$5</f>
        <v>76.7</v>
      </c>
      <c r="K53" s="689">
        <f>(81.7*KFC!$B$21+KFC!$C$21)*KFC!$C$5</f>
        <v>81.7</v>
      </c>
      <c r="L53" s="689">
        <f>(86.7*KFC!$B$21+KFC!$C$21)*KFC!$C$5</f>
        <v>86.7</v>
      </c>
      <c r="M53" s="689">
        <f>(91.7*KFC!$B$21+KFC!$C$21)*KFC!$C$5</f>
        <v>91.7</v>
      </c>
      <c r="N53" s="689">
        <f>(96.7*KFC!$B$21+KFC!$C$21)*KFC!$C$5</f>
        <v>96.7</v>
      </c>
      <c r="O53" s="689">
        <f>(101.7*KFC!$B$21+KFC!$C$21)*KFC!$C$5</f>
        <v>101.7</v>
      </c>
      <c r="P53" s="689">
        <f>(106.7*KFC!$B$21+KFC!$C$21)*KFC!$C$5</f>
        <v>106.7</v>
      </c>
      <c r="Q53" s="689">
        <f>(111.7*KFC!$B$21+KFC!$C$21)*KFC!$C$5</f>
        <v>111.7</v>
      </c>
      <c r="R53" s="689">
        <f>(116.7*KFC!$B$21+KFC!$C$21)*KFC!$C$5</f>
        <v>116.7</v>
      </c>
      <c r="S53" s="689">
        <f>(121.7*KFC!$B$21+KFC!$C$21)*KFC!$C$5</f>
        <v>121.7</v>
      </c>
    </row>
    <row r="54" spans="1:19">
      <c r="A54" s="1728"/>
      <c r="B54" s="671">
        <v>2.2000000000000002</v>
      </c>
      <c r="C54" s="689">
        <f>(42*KFC!$B$21+KFC!$C$21)*KFC!$C$5</f>
        <v>42</v>
      </c>
      <c r="D54" s="689">
        <f>(47.1*KFC!$B$21+KFC!$C$21)*KFC!$C$5</f>
        <v>47.1</v>
      </c>
      <c r="E54" s="689">
        <f>(52.2*KFC!$B$21+KFC!$C$21)*KFC!$C$5</f>
        <v>52.2</v>
      </c>
      <c r="F54" s="689">
        <f>(57.3*KFC!$B$21+KFC!$C$21)*KFC!$C$5</f>
        <v>57.3</v>
      </c>
      <c r="G54" s="689">
        <f>(62.4*KFC!$B$21+KFC!$C$21)*KFC!$C$5</f>
        <v>62.4</v>
      </c>
      <c r="H54" s="689">
        <f>(67.4*KFC!$B$21+KFC!$C$21)*KFC!$C$5</f>
        <v>67.400000000000006</v>
      </c>
      <c r="I54" s="689">
        <f>(72.5*KFC!$B$21+KFC!$C$21)*KFC!$C$5</f>
        <v>72.5</v>
      </c>
      <c r="J54" s="689">
        <f>(77.6*KFC!$B$21+KFC!$C$21)*KFC!$C$5</f>
        <v>77.599999999999994</v>
      </c>
      <c r="K54" s="689">
        <f>(82.7*KFC!$B$21+KFC!$C$21)*KFC!$C$5</f>
        <v>82.7</v>
      </c>
      <c r="L54" s="689">
        <f>(87.8*KFC!$B$21+KFC!$C$21)*KFC!$C$5</f>
        <v>87.8</v>
      </c>
      <c r="M54" s="689">
        <f>(92.8*KFC!$B$21+KFC!$C$21)*KFC!$C$5</f>
        <v>92.8</v>
      </c>
      <c r="N54" s="689">
        <f>(97.9*KFC!$B$21+KFC!$C$21)*KFC!$C$5</f>
        <v>97.9</v>
      </c>
      <c r="O54" s="689">
        <f>(103*KFC!$B$21+KFC!$C$21)*KFC!$C$5</f>
        <v>103</v>
      </c>
      <c r="P54" s="689">
        <f>(108.1*KFC!$B$21+KFC!$C$21)*KFC!$C$5</f>
        <v>108.1</v>
      </c>
      <c r="Q54" s="689">
        <f>(113.2*KFC!$B$21+KFC!$C$21)*KFC!$C$5</f>
        <v>113.2</v>
      </c>
      <c r="R54" s="689">
        <f>(118.3*KFC!$B$21+KFC!$C$21)*KFC!$C$5</f>
        <v>118.3</v>
      </c>
      <c r="S54" s="689">
        <f>(123.3*KFC!$B$21+KFC!$C$21)*KFC!$C$5</f>
        <v>123.3</v>
      </c>
    </row>
    <row r="55" spans="1:19">
      <c r="A55" s="1728"/>
      <c r="B55" s="671">
        <v>2.2999999999999998</v>
      </c>
      <c r="C55" s="689">
        <f>(42.4*KFC!$B$21+KFC!$C$21)*KFC!$C$5</f>
        <v>42.4</v>
      </c>
      <c r="D55" s="689">
        <f>(47.5*KFC!$B$21+KFC!$C$21)*KFC!$C$5</f>
        <v>47.5</v>
      </c>
      <c r="E55" s="689">
        <f>(52.7*KFC!$B$21+KFC!$C$21)*KFC!$C$5</f>
        <v>52.7</v>
      </c>
      <c r="F55" s="689">
        <f>(57.9*KFC!$B$21+KFC!$C$21)*KFC!$C$5</f>
        <v>57.9</v>
      </c>
      <c r="G55" s="689">
        <f>(63*KFC!$B$21+KFC!$C$21)*KFC!$C$5</f>
        <v>63</v>
      </c>
      <c r="H55" s="689">
        <f>(68.2*KFC!$B$21+KFC!$C$21)*KFC!$C$5</f>
        <v>68.2</v>
      </c>
      <c r="I55" s="689">
        <f>(73.3*KFC!$B$21+KFC!$C$21)*KFC!$C$5</f>
        <v>73.3</v>
      </c>
      <c r="J55" s="689">
        <f>(78.5*KFC!$B$21+KFC!$C$21)*KFC!$C$5</f>
        <v>78.5</v>
      </c>
      <c r="K55" s="689">
        <f>(83.7*KFC!$B$21+KFC!$C$21)*KFC!$C$5</f>
        <v>83.7</v>
      </c>
      <c r="L55" s="689">
        <f>(88.8*KFC!$B$21+KFC!$C$21)*KFC!$C$5</f>
        <v>88.8</v>
      </c>
      <c r="M55" s="689">
        <f>(94*KFC!$B$21+KFC!$C$21)*KFC!$C$5</f>
        <v>94</v>
      </c>
      <c r="N55" s="689">
        <f>(99.2*KFC!$B$21+KFC!$C$21)*KFC!$C$5</f>
        <v>99.2</v>
      </c>
      <c r="O55" s="689">
        <f>(104.3*KFC!$B$21+KFC!$C$21)*KFC!$C$5</f>
        <v>104.3</v>
      </c>
      <c r="P55" s="689">
        <f>(109.5*KFC!$B$21+KFC!$C$21)*KFC!$C$5</f>
        <v>109.5</v>
      </c>
      <c r="Q55" s="689">
        <f>(114.7*KFC!$B$21+KFC!$C$21)*KFC!$C$5</f>
        <v>114.7</v>
      </c>
      <c r="R55" s="689">
        <f>(119.8*KFC!$B$21+KFC!$C$21)*KFC!$C$5</f>
        <v>119.8</v>
      </c>
      <c r="S55" s="689">
        <f>(125*KFC!$B$21+KFC!$C$21)*KFC!$C$5</f>
        <v>125</v>
      </c>
    </row>
    <row r="56" spans="1:19">
      <c r="A56" s="1728"/>
      <c r="B56" s="671">
        <v>2.4</v>
      </c>
      <c r="C56" s="689">
        <f>(42.7*KFC!$B$21+KFC!$C$21)*KFC!$C$5</f>
        <v>42.7</v>
      </c>
      <c r="D56" s="689">
        <f>(47.9*KFC!$B$21+KFC!$C$21)*KFC!$C$5</f>
        <v>47.9</v>
      </c>
      <c r="E56" s="689">
        <f>(53.2*KFC!$B$21+KFC!$C$21)*KFC!$C$5</f>
        <v>53.2</v>
      </c>
      <c r="F56" s="689">
        <f>(58.4*KFC!$B$21+KFC!$C$21)*KFC!$C$5</f>
        <v>58.4</v>
      </c>
      <c r="G56" s="689">
        <f>(63.7*KFC!$B$21+KFC!$C$21)*KFC!$C$5</f>
        <v>63.7</v>
      </c>
      <c r="H56" s="689">
        <f>(68.9*KFC!$B$21+KFC!$C$21)*KFC!$C$5</f>
        <v>68.900000000000006</v>
      </c>
      <c r="I56" s="689">
        <f>(74.2*KFC!$B$21+KFC!$C$21)*KFC!$C$5</f>
        <v>74.2</v>
      </c>
      <c r="J56" s="689">
        <f>(79.4*KFC!$B$21+KFC!$C$21)*KFC!$C$5</f>
        <v>79.400000000000006</v>
      </c>
      <c r="K56" s="689">
        <f>(84.7*KFC!$B$21+KFC!$C$21)*KFC!$C$5</f>
        <v>84.7</v>
      </c>
      <c r="L56" s="689">
        <f>(89.9*KFC!$B$21+KFC!$C$21)*KFC!$C$5</f>
        <v>89.9</v>
      </c>
      <c r="M56" s="689">
        <f>(95.2*KFC!$B$21+KFC!$C$21)*KFC!$C$5</f>
        <v>95.2</v>
      </c>
      <c r="N56" s="689">
        <f>(100.4*KFC!$B$21+KFC!$C$21)*KFC!$C$5</f>
        <v>100.4</v>
      </c>
      <c r="O56" s="689">
        <f>(105.7*KFC!$B$21+KFC!$C$21)*KFC!$C$5</f>
        <v>105.7</v>
      </c>
      <c r="P56" s="689">
        <f>(110.9*KFC!$B$21+KFC!$C$21)*KFC!$C$5</f>
        <v>110.9</v>
      </c>
      <c r="Q56" s="689">
        <f>(116.2*KFC!$B$21+KFC!$C$21)*KFC!$C$5</f>
        <v>116.2</v>
      </c>
      <c r="R56" s="689">
        <f>(121.4*KFC!$B$21+KFC!$C$21)*KFC!$C$5</f>
        <v>121.4</v>
      </c>
      <c r="S56" s="689">
        <f>(126.7*KFC!$B$21+KFC!$C$21)*KFC!$C$5</f>
        <v>126.7</v>
      </c>
    </row>
    <row r="57" spans="1:19">
      <c r="A57" s="1728"/>
      <c r="B57" s="671">
        <v>2.5</v>
      </c>
      <c r="C57" s="689">
        <f>(43*KFC!$B$21+KFC!$C$21)*KFC!$C$5</f>
        <v>43</v>
      </c>
      <c r="D57" s="689">
        <f>(48.4*KFC!$B$21+KFC!$C$21)*KFC!$C$5</f>
        <v>48.4</v>
      </c>
      <c r="E57" s="689">
        <f>(53.7*KFC!$B$21+KFC!$C$21)*KFC!$C$5</f>
        <v>53.7</v>
      </c>
      <c r="F57" s="689">
        <f>(59*KFC!$B$21+KFC!$C$21)*KFC!$C$5</f>
        <v>59</v>
      </c>
      <c r="G57" s="689">
        <f>(64.4*KFC!$B$21+KFC!$C$21)*KFC!$C$5</f>
        <v>64.400000000000006</v>
      </c>
      <c r="H57" s="689">
        <f>(69.7*KFC!$B$21+KFC!$C$21)*KFC!$C$5</f>
        <v>69.7</v>
      </c>
      <c r="I57" s="689">
        <f>(75*KFC!$B$21+KFC!$C$21)*KFC!$C$5</f>
        <v>75</v>
      </c>
      <c r="J57" s="689">
        <f>(80.3*KFC!$B$21+KFC!$C$21)*KFC!$C$5</f>
        <v>80.3</v>
      </c>
      <c r="K57" s="689">
        <f>(85.7*KFC!$B$21+KFC!$C$21)*KFC!$C$5</f>
        <v>85.7</v>
      </c>
      <c r="L57" s="689">
        <f>(91*KFC!$B$21+KFC!$C$21)*KFC!$C$5</f>
        <v>91</v>
      </c>
      <c r="M57" s="689">
        <f>(96.3*KFC!$B$21+KFC!$C$21)*KFC!$C$5</f>
        <v>96.3</v>
      </c>
      <c r="N57" s="689">
        <f>(101.7*KFC!$B$21+KFC!$C$21)*KFC!$C$5</f>
        <v>101.7</v>
      </c>
      <c r="O57" s="689">
        <f>(107*KFC!$B$21+KFC!$C$21)*KFC!$C$5</f>
        <v>107</v>
      </c>
      <c r="P57" s="689">
        <f>(112.3*KFC!$B$21+KFC!$C$21)*KFC!$C$5</f>
        <v>112.3</v>
      </c>
      <c r="Q57" s="689">
        <f>(117.7*KFC!$B$21+KFC!$C$21)*KFC!$C$5</f>
        <v>117.7</v>
      </c>
      <c r="R57" s="689">
        <f>(123*KFC!$B$21+KFC!$C$21)*KFC!$C$5</f>
        <v>123</v>
      </c>
      <c r="S57" s="689">
        <f>(128.3*KFC!$B$21+KFC!$C$21)*KFC!$C$5</f>
        <v>128.30000000000001</v>
      </c>
    </row>
    <row r="58" spans="1:19">
      <c r="A58" s="1728"/>
      <c r="B58" s="671">
        <v>2.6</v>
      </c>
      <c r="C58" s="689">
        <f>(43.4*KFC!$B$21+KFC!$C$21)*KFC!$C$5</f>
        <v>43.4</v>
      </c>
      <c r="D58" s="689">
        <f>(48.8*KFC!$B$21+KFC!$C$21)*KFC!$C$5</f>
        <v>48.8</v>
      </c>
      <c r="E58" s="689">
        <f>(54.2*KFC!$B$21+KFC!$C$21)*KFC!$C$5</f>
        <v>54.2</v>
      </c>
      <c r="F58" s="689">
        <f>(59.6*KFC!$B$21+KFC!$C$21)*KFC!$C$5</f>
        <v>59.6</v>
      </c>
      <c r="G58" s="689">
        <f>(65*KFC!$B$21+KFC!$C$21)*KFC!$C$5</f>
        <v>65</v>
      </c>
      <c r="H58" s="689">
        <f>(70.4*KFC!$B$21+KFC!$C$21)*KFC!$C$5</f>
        <v>70.400000000000006</v>
      </c>
      <c r="I58" s="689">
        <f>(75.9*KFC!$B$21+KFC!$C$21)*KFC!$C$5</f>
        <v>75.900000000000006</v>
      </c>
      <c r="J58" s="689">
        <f>(81.3*KFC!$B$21+KFC!$C$21)*KFC!$C$5</f>
        <v>81.3</v>
      </c>
      <c r="K58" s="689">
        <f>(86.7*KFC!$B$21+KFC!$C$21)*KFC!$C$5</f>
        <v>86.7</v>
      </c>
      <c r="L58" s="689">
        <f>(92.1*KFC!$B$21+KFC!$C$21)*KFC!$C$5</f>
        <v>92.1</v>
      </c>
      <c r="M58" s="689">
        <f>(97.5*KFC!$B$21+KFC!$C$21)*KFC!$C$5</f>
        <v>97.5</v>
      </c>
      <c r="N58" s="689">
        <f>(102.9*KFC!$B$21+KFC!$C$21)*KFC!$C$5</f>
        <v>102.9</v>
      </c>
      <c r="O58" s="689">
        <f>(108.3*KFC!$B$21+KFC!$C$21)*KFC!$C$5</f>
        <v>108.3</v>
      </c>
      <c r="P58" s="689">
        <f>(113.8*KFC!$B$21+KFC!$C$21)*KFC!$C$5</f>
        <v>113.8</v>
      </c>
      <c r="Q58" s="689">
        <f>(119.2*KFC!$B$21+KFC!$C$21)*KFC!$C$5</f>
        <v>119.2</v>
      </c>
      <c r="R58" s="689">
        <f>(124.6*KFC!$B$21+KFC!$C$21)*KFC!$C$5</f>
        <v>124.6</v>
      </c>
      <c r="S58" s="689">
        <f>(130*KFC!$B$21+KFC!$C$21)*KFC!$C$5</f>
        <v>130</v>
      </c>
    </row>
    <row r="59" spans="1:19">
      <c r="A59" s="1728"/>
      <c r="B59" s="671">
        <v>2.7</v>
      </c>
      <c r="C59" s="689">
        <f>(43.7*KFC!$B$21+KFC!$C$21)*KFC!$C$5</f>
        <v>43.7</v>
      </c>
      <c r="D59" s="689">
        <f>(49.2*KFC!$B$21+KFC!$C$21)*KFC!$C$5</f>
        <v>49.2</v>
      </c>
      <c r="E59" s="689">
        <f>(54.7*KFC!$B$21+KFC!$C$21)*KFC!$C$5</f>
        <v>54.7</v>
      </c>
      <c r="F59" s="689">
        <f>(60.2*KFC!$B$21+KFC!$C$21)*KFC!$C$5</f>
        <v>60.2</v>
      </c>
      <c r="G59" s="689">
        <f>(65.7*KFC!$B$21+KFC!$C$21)*KFC!$C$5</f>
        <v>65.7</v>
      </c>
      <c r="H59" s="689">
        <f>(71.2*KFC!$B$21+KFC!$C$21)*KFC!$C$5</f>
        <v>71.2</v>
      </c>
      <c r="I59" s="689">
        <f>(76.7*KFC!$B$21+KFC!$C$21)*KFC!$C$5</f>
        <v>76.7</v>
      </c>
      <c r="J59" s="689">
        <f>(82.2*KFC!$B$21+KFC!$C$21)*KFC!$C$5</f>
        <v>82.2</v>
      </c>
      <c r="K59" s="689">
        <f>(87.7*KFC!$B$21+KFC!$C$21)*KFC!$C$5</f>
        <v>87.7</v>
      </c>
      <c r="L59" s="689">
        <f>(93.2*KFC!$B$21+KFC!$C$21)*KFC!$C$5</f>
        <v>93.2</v>
      </c>
      <c r="M59" s="689">
        <f>(98.7*KFC!$B$21+KFC!$C$21)*KFC!$C$5</f>
        <v>98.7</v>
      </c>
      <c r="N59" s="689">
        <f>(104.2*KFC!$B$21+KFC!$C$21)*KFC!$C$5</f>
        <v>104.2</v>
      </c>
      <c r="O59" s="689">
        <f>(109.7*KFC!$B$21+KFC!$C$21)*KFC!$C$5</f>
        <v>109.7</v>
      </c>
      <c r="P59" s="689">
        <f>(115.2*KFC!$B$21+KFC!$C$21)*KFC!$C$5</f>
        <v>115.2</v>
      </c>
      <c r="Q59" s="689">
        <f>(120.7*KFC!$B$21+KFC!$C$21)*KFC!$C$5</f>
        <v>120.7</v>
      </c>
      <c r="R59" s="689">
        <f>(126.2*KFC!$B$21+KFC!$C$21)*KFC!$C$5</f>
        <v>126.2</v>
      </c>
      <c r="S59" s="689">
        <f>(131.7*KFC!$B$21+KFC!$C$21)*KFC!$C$5</f>
        <v>131.69999999999999</v>
      </c>
    </row>
    <row r="60" spans="1:19">
      <c r="A60" s="1728"/>
      <c r="B60" s="671">
        <v>2.8</v>
      </c>
      <c r="C60" s="689">
        <f>(44*KFC!$B$21+KFC!$C$21)*KFC!$C$5</f>
        <v>44</v>
      </c>
      <c r="D60" s="689">
        <f>(49.6*KFC!$B$21+KFC!$C$21)*KFC!$C$5</f>
        <v>49.6</v>
      </c>
      <c r="E60" s="689">
        <f>(55.2*KFC!$B$21+KFC!$C$21)*KFC!$C$5</f>
        <v>55.2</v>
      </c>
      <c r="F60" s="689">
        <f>(60.8*KFC!$B$21+KFC!$C$21)*KFC!$C$5</f>
        <v>60.8</v>
      </c>
      <c r="G60" s="689">
        <f>(66.4*KFC!$B$21+KFC!$C$21)*KFC!$C$5</f>
        <v>66.400000000000006</v>
      </c>
      <c r="H60" s="689">
        <f>(71.9*KFC!$B$21+KFC!$C$21)*KFC!$C$5</f>
        <v>71.900000000000006</v>
      </c>
      <c r="I60" s="689">
        <f>(77.5*KFC!$B$21+KFC!$C$21)*KFC!$C$5</f>
        <v>77.5</v>
      </c>
      <c r="J60" s="689">
        <f>(83.1*KFC!$B$21+KFC!$C$21)*KFC!$C$5</f>
        <v>83.1</v>
      </c>
      <c r="K60" s="689">
        <f>(88.7*KFC!$B$21+KFC!$C$21)*KFC!$C$5</f>
        <v>88.7</v>
      </c>
      <c r="L60" s="689">
        <f>(94.3*KFC!$B$21+KFC!$C$21)*KFC!$C$5</f>
        <v>94.3</v>
      </c>
      <c r="M60" s="689">
        <f>(99.8*KFC!$B$21+KFC!$C$21)*KFC!$C$5</f>
        <v>99.8</v>
      </c>
      <c r="N60" s="689">
        <f>(105.4*KFC!$B$21+KFC!$C$21)*KFC!$C$5</f>
        <v>105.4</v>
      </c>
      <c r="O60" s="689">
        <f>(111*KFC!$B$21+KFC!$C$21)*KFC!$C$5</f>
        <v>111</v>
      </c>
      <c r="P60" s="689">
        <f>(116.6*KFC!$B$21+KFC!$C$21)*KFC!$C$5</f>
        <v>116.6</v>
      </c>
      <c r="Q60" s="689">
        <f>(122.2*KFC!$B$21+KFC!$C$21)*KFC!$C$5</f>
        <v>122.2</v>
      </c>
      <c r="R60" s="689">
        <f>(127.7*KFC!$B$21+KFC!$C$21)*KFC!$C$5</f>
        <v>127.7</v>
      </c>
      <c r="S60" s="689">
        <f>(133.3*KFC!$B$21+KFC!$C$21)*KFC!$C$5</f>
        <v>133.30000000000001</v>
      </c>
    </row>
    <row r="61" spans="1:19">
      <c r="A61" s="1728"/>
      <c r="B61" s="671">
        <v>2.9</v>
      </c>
      <c r="C61" s="689">
        <f>(44.4*KFC!$B$21+KFC!$C$21)*KFC!$C$5</f>
        <v>44.4</v>
      </c>
      <c r="D61" s="689">
        <f>(50*KFC!$B$21+KFC!$C$21)*KFC!$C$5</f>
        <v>50</v>
      </c>
      <c r="E61" s="689">
        <f>(55.7*KFC!$B$21+KFC!$C$21)*KFC!$C$5</f>
        <v>55.7</v>
      </c>
      <c r="F61" s="689">
        <f>(61.4*KFC!$B$21+KFC!$C$21)*KFC!$C$5</f>
        <v>61.4</v>
      </c>
      <c r="G61" s="689">
        <f>(67*KFC!$B$21+KFC!$C$21)*KFC!$C$5</f>
        <v>67</v>
      </c>
      <c r="H61" s="689">
        <f>(72.7*KFC!$B$21+KFC!$C$21)*KFC!$C$5</f>
        <v>72.7</v>
      </c>
      <c r="I61" s="689">
        <f>(78.4*KFC!$B$21+KFC!$C$21)*KFC!$C$5</f>
        <v>78.400000000000006</v>
      </c>
      <c r="J61" s="689">
        <f>(84*KFC!$B$21+KFC!$C$21)*KFC!$C$5</f>
        <v>84</v>
      </c>
      <c r="K61" s="689">
        <f>(89.7*KFC!$B$21+KFC!$C$21)*KFC!$C$5</f>
        <v>89.7</v>
      </c>
      <c r="L61" s="689">
        <f>(95.3*KFC!$B$21+KFC!$C$21)*KFC!$C$5</f>
        <v>95.3</v>
      </c>
      <c r="M61" s="689">
        <f>(101*KFC!$B$21+KFC!$C$21)*KFC!$C$5</f>
        <v>101</v>
      </c>
      <c r="N61" s="689">
        <f>(106.7*KFC!$B$21+KFC!$C$21)*KFC!$C$5</f>
        <v>106.7</v>
      </c>
      <c r="O61" s="689">
        <f>(112.3*KFC!$B$21+KFC!$C$21)*KFC!$C$5</f>
        <v>112.3</v>
      </c>
      <c r="P61" s="689">
        <f>(118*KFC!$B$21+KFC!$C$21)*KFC!$C$5</f>
        <v>118</v>
      </c>
      <c r="Q61" s="689">
        <f>(123.7*KFC!$B$21+KFC!$C$21)*KFC!$C$5</f>
        <v>123.7</v>
      </c>
      <c r="R61" s="689">
        <f>(129.3*KFC!$B$21+KFC!$C$21)*KFC!$C$5</f>
        <v>129.30000000000001</v>
      </c>
      <c r="S61" s="689">
        <f>(135*KFC!$B$21+KFC!$C$21)*KFC!$C$5</f>
        <v>135</v>
      </c>
    </row>
    <row r="62" spans="1:19">
      <c r="A62" s="1728"/>
      <c r="B62" s="671">
        <v>3</v>
      </c>
      <c r="C62" s="689">
        <f>(44.7*KFC!$B$21+KFC!$C$21)*KFC!$C$5</f>
        <v>44.7</v>
      </c>
      <c r="D62" s="689">
        <f>(50.5*KFC!$B$21+KFC!$C$21)*KFC!$C$5</f>
        <v>50.5</v>
      </c>
      <c r="E62" s="689">
        <f>(56.2*KFC!$B$21+KFC!$C$21)*KFC!$C$5</f>
        <v>56.2</v>
      </c>
      <c r="F62" s="689">
        <f>(61.9*KFC!$B$21+KFC!$C$21)*KFC!$C$5</f>
        <v>61.9</v>
      </c>
      <c r="G62" s="689">
        <f>(67.7*KFC!$B$21+KFC!$C$21)*KFC!$C$5</f>
        <v>67.7</v>
      </c>
      <c r="H62" s="689">
        <f>(73.4*KFC!$B$21+KFC!$C$21)*KFC!$C$5</f>
        <v>73.400000000000006</v>
      </c>
      <c r="I62" s="689">
        <f>(79.2*KFC!$B$21+KFC!$C$21)*KFC!$C$5</f>
        <v>79.2</v>
      </c>
      <c r="J62" s="689">
        <f>(84.9*KFC!$B$21+KFC!$C$21)*KFC!$C$5</f>
        <v>84.9</v>
      </c>
      <c r="K62" s="689">
        <f>(90.7*KFC!$B$21+KFC!$C$21)*KFC!$C$5</f>
        <v>90.7</v>
      </c>
      <c r="L62" s="689">
        <f>(96.4*KFC!$B$21+KFC!$C$21)*KFC!$C$5</f>
        <v>96.4</v>
      </c>
      <c r="M62" s="689">
        <f>(102.2*KFC!$B$21+KFC!$C$21)*KFC!$C$5</f>
        <v>102.2</v>
      </c>
      <c r="N62" s="689">
        <f>(107.9*KFC!$B$21+KFC!$C$21)*KFC!$C$5</f>
        <v>107.9</v>
      </c>
      <c r="O62" s="689">
        <f>(113.7*KFC!$B$21+KFC!$C$21)*KFC!$C$5</f>
        <v>113.7</v>
      </c>
      <c r="P62" s="689">
        <f>(119.4*KFC!$B$21+KFC!$C$21)*KFC!$C$5</f>
        <v>119.4</v>
      </c>
      <c r="Q62" s="689">
        <f>(125.2*KFC!$B$21+KFC!$C$21)*KFC!$C$5</f>
        <v>125.2</v>
      </c>
      <c r="R62" s="689">
        <f>(130.9*KFC!$B$21+KFC!$C$21)*KFC!$C$5</f>
        <v>130.9</v>
      </c>
      <c r="S62" s="689">
        <f>(136.7*KFC!$B$21+KFC!$C$21)*KFC!$C$5</f>
        <v>136.69999999999999</v>
      </c>
    </row>
    <row r="63" spans="1:19" ht="12.75" customHeight="1"/>
    <row r="64" spans="1:19">
      <c r="A64" s="1733" t="s">
        <v>1011</v>
      </c>
      <c r="B64" s="1734"/>
      <c r="C64" s="1735" t="s">
        <v>207</v>
      </c>
      <c r="D64" s="1736"/>
      <c r="E64" s="1736"/>
      <c r="F64" s="1736"/>
      <c r="G64" s="1736"/>
      <c r="H64" s="1736"/>
      <c r="I64" s="1736"/>
      <c r="J64" s="1736"/>
      <c r="K64" s="1736"/>
      <c r="L64" s="1736"/>
      <c r="M64" s="1736"/>
      <c r="N64" s="1736"/>
      <c r="O64" s="1736"/>
      <c r="P64" s="1736"/>
      <c r="Q64" s="1736"/>
      <c r="R64" s="1736"/>
      <c r="S64" s="1737"/>
    </row>
    <row r="65" spans="1:19">
      <c r="A65" s="1734"/>
      <c r="B65" s="1734"/>
      <c r="C65" s="671">
        <v>0.4</v>
      </c>
      <c r="D65" s="671">
        <v>0.5</v>
      </c>
      <c r="E65" s="671">
        <v>0.6</v>
      </c>
      <c r="F65" s="671">
        <v>0.7</v>
      </c>
      <c r="G65" s="671">
        <v>0.8</v>
      </c>
      <c r="H65" s="671">
        <v>0.9</v>
      </c>
      <c r="I65" s="671">
        <v>1</v>
      </c>
      <c r="J65" s="671">
        <v>1.1000000000000001</v>
      </c>
      <c r="K65" s="671">
        <v>1.2</v>
      </c>
      <c r="L65" s="671">
        <v>1.3</v>
      </c>
      <c r="M65" s="671">
        <v>1.4</v>
      </c>
      <c r="N65" s="671">
        <v>1.5</v>
      </c>
      <c r="O65" s="671">
        <v>1.6</v>
      </c>
      <c r="P65" s="671">
        <v>1.7</v>
      </c>
      <c r="Q65" s="671">
        <v>1.8</v>
      </c>
      <c r="R65" s="671">
        <v>1.9</v>
      </c>
      <c r="S65" s="671">
        <v>2</v>
      </c>
    </row>
    <row r="66" spans="1:19">
      <c r="A66" s="1728" t="s">
        <v>3</v>
      </c>
      <c r="B66" s="671">
        <v>0.5</v>
      </c>
      <c r="C66" s="689">
        <f>(38.3*KFC!$B$21+KFC!$C$21)*KFC!$C$5</f>
        <v>38.299999999999997</v>
      </c>
      <c r="D66" s="689">
        <f>(42.5*KFC!$B$21+KFC!$C$21)*KFC!$C$5</f>
        <v>42.5</v>
      </c>
      <c r="E66" s="689">
        <f>(46.6*KFC!$B$21+KFC!$C$21)*KFC!$C$5</f>
        <v>46.6</v>
      </c>
      <c r="F66" s="689">
        <f>(50.8*KFC!$B$21+KFC!$C$21)*KFC!$C$5</f>
        <v>50.8</v>
      </c>
      <c r="G66" s="689">
        <f>(54.9*KFC!$B$21+KFC!$C$21)*KFC!$C$5</f>
        <v>54.9</v>
      </c>
      <c r="H66" s="689">
        <f>(59.1*KFC!$B$21+KFC!$C$21)*KFC!$C$5</f>
        <v>59.1</v>
      </c>
      <c r="I66" s="689">
        <f>(63.2*KFC!$B$21+KFC!$C$21)*KFC!$C$5</f>
        <v>63.2</v>
      </c>
      <c r="J66" s="689">
        <f>(67.4*KFC!$B$21+KFC!$C$21)*KFC!$C$5</f>
        <v>67.400000000000006</v>
      </c>
      <c r="K66" s="689">
        <f>(71.5*KFC!$B$21+KFC!$C$21)*KFC!$C$5</f>
        <v>71.5</v>
      </c>
      <c r="L66" s="689">
        <f>(75.7*KFC!$B$21+KFC!$C$21)*KFC!$C$5</f>
        <v>75.7</v>
      </c>
      <c r="M66" s="689">
        <f>(79.8*KFC!$B$21+KFC!$C$21)*KFC!$C$5</f>
        <v>79.8</v>
      </c>
      <c r="N66" s="689">
        <f>(84*KFC!$B$21+KFC!$C$21)*KFC!$C$5</f>
        <v>84</v>
      </c>
      <c r="O66" s="689">
        <f>(88.2*KFC!$B$21+KFC!$C$21)*KFC!$C$5</f>
        <v>88.2</v>
      </c>
      <c r="P66" s="689">
        <f>(92.3*KFC!$B$21+KFC!$C$21)*KFC!$C$5</f>
        <v>92.3</v>
      </c>
      <c r="Q66" s="689">
        <f>(96.5*KFC!$B$21+KFC!$C$21)*KFC!$C$5</f>
        <v>96.5</v>
      </c>
      <c r="R66" s="689">
        <f>(100.6*KFC!$B$21+KFC!$C$21)*KFC!$C$5</f>
        <v>100.6</v>
      </c>
      <c r="S66" s="689">
        <f>(104.8*KFC!$B$21+KFC!$C$21)*KFC!$C$5</f>
        <v>104.8</v>
      </c>
    </row>
    <row r="67" spans="1:19">
      <c r="A67" s="1728"/>
      <c r="B67" s="671">
        <v>0.6</v>
      </c>
      <c r="C67" s="689">
        <f>(39*KFC!$B$21+KFC!$C$21)*KFC!$C$5</f>
        <v>39</v>
      </c>
      <c r="D67" s="689">
        <f>(43.4*KFC!$B$21+KFC!$C$21)*KFC!$C$5</f>
        <v>43.4</v>
      </c>
      <c r="E67" s="689">
        <f>(47.7*KFC!$B$21+KFC!$C$21)*KFC!$C$5</f>
        <v>47.7</v>
      </c>
      <c r="F67" s="689">
        <f>(52*KFC!$B$21+KFC!$C$21)*KFC!$C$5</f>
        <v>52</v>
      </c>
      <c r="G67" s="689">
        <f>(56.4*KFC!$B$21+KFC!$C$21)*KFC!$C$5</f>
        <v>56.4</v>
      </c>
      <c r="H67" s="689">
        <f>(60.7*KFC!$B$21+KFC!$C$21)*KFC!$C$5</f>
        <v>60.7</v>
      </c>
      <c r="I67" s="689">
        <f>(65.1*KFC!$B$21+KFC!$C$21)*KFC!$C$5</f>
        <v>65.099999999999994</v>
      </c>
      <c r="J67" s="689">
        <f>(69.4*KFC!$B$21+KFC!$C$21)*KFC!$C$5</f>
        <v>69.400000000000006</v>
      </c>
      <c r="K67" s="689">
        <f>(73.7*KFC!$B$21+KFC!$C$21)*KFC!$C$5</f>
        <v>73.7</v>
      </c>
      <c r="L67" s="689">
        <f>(78.1*KFC!$B$21+KFC!$C$21)*KFC!$C$5</f>
        <v>78.099999999999994</v>
      </c>
      <c r="M67" s="689">
        <f>(82.4*KFC!$B$21+KFC!$C$21)*KFC!$C$5</f>
        <v>82.4</v>
      </c>
      <c r="N67" s="689">
        <f>(86.7*KFC!$B$21+KFC!$C$21)*KFC!$C$5</f>
        <v>86.7</v>
      </c>
      <c r="O67" s="689">
        <f>(91*KFC!$B$21+KFC!$C$21)*KFC!$C$5</f>
        <v>91</v>
      </c>
      <c r="P67" s="689">
        <f>(95.4*KFC!$B$21+KFC!$C$21)*KFC!$C$5</f>
        <v>95.4</v>
      </c>
      <c r="Q67" s="689">
        <f>(99.7*KFC!$B$21+KFC!$C$21)*KFC!$C$5</f>
        <v>99.7</v>
      </c>
      <c r="R67" s="689">
        <f>(104.1*KFC!$B$21+KFC!$C$21)*KFC!$C$5</f>
        <v>104.1</v>
      </c>
      <c r="S67" s="689">
        <f>(108.4*KFC!$B$21+KFC!$C$21)*KFC!$C$5</f>
        <v>108.4</v>
      </c>
    </row>
    <row r="68" spans="1:19">
      <c r="A68" s="1728"/>
      <c r="B68" s="671">
        <v>0.7</v>
      </c>
      <c r="C68" s="689">
        <f>(39.8*KFC!$B$21+KFC!$C$21)*KFC!$C$5</f>
        <v>39.799999999999997</v>
      </c>
      <c r="D68" s="689">
        <f>(44.3*KFC!$B$21+KFC!$C$21)*KFC!$C$5</f>
        <v>44.3</v>
      </c>
      <c r="E68" s="689">
        <f>(48.8*KFC!$B$21+KFC!$C$21)*KFC!$C$5</f>
        <v>48.8</v>
      </c>
      <c r="F68" s="689">
        <f>(53.3*KFC!$B$21+KFC!$C$21)*KFC!$C$5</f>
        <v>53.3</v>
      </c>
      <c r="G68" s="689">
        <f>(57.8*KFC!$B$21+KFC!$C$21)*KFC!$C$5</f>
        <v>57.8</v>
      </c>
      <c r="H68" s="689">
        <f>(62.3*KFC!$B$21+KFC!$C$21)*KFC!$C$5</f>
        <v>62.3</v>
      </c>
      <c r="I68" s="689">
        <f>(66.9*KFC!$B$21+KFC!$C$21)*KFC!$C$5</f>
        <v>66.900000000000006</v>
      </c>
      <c r="J68" s="689">
        <f>(71.4*KFC!$B$21+KFC!$C$21)*KFC!$C$5</f>
        <v>71.400000000000006</v>
      </c>
      <c r="K68" s="689">
        <f>(75.9*KFC!$B$21+KFC!$C$21)*KFC!$C$5</f>
        <v>75.900000000000006</v>
      </c>
      <c r="L68" s="689">
        <f>(80.4*KFC!$B$21+KFC!$C$21)*KFC!$C$5</f>
        <v>80.400000000000006</v>
      </c>
      <c r="M68" s="689">
        <f>(84.9*KFC!$B$21+KFC!$C$21)*KFC!$C$5</f>
        <v>84.9</v>
      </c>
      <c r="N68" s="689">
        <f>(89.4*KFC!$B$21+KFC!$C$21)*KFC!$C$5</f>
        <v>89.4</v>
      </c>
      <c r="O68" s="689">
        <f>(94*KFC!$B$21+KFC!$C$21)*KFC!$C$5</f>
        <v>94</v>
      </c>
      <c r="P68" s="689">
        <f>(98.5*KFC!$B$21+KFC!$C$21)*KFC!$C$5</f>
        <v>98.5</v>
      </c>
      <c r="Q68" s="689">
        <f>(103*KFC!$B$21+KFC!$C$21)*KFC!$C$5</f>
        <v>103</v>
      </c>
      <c r="R68" s="689">
        <f>(107.5*KFC!$B$21+KFC!$C$21)*KFC!$C$5</f>
        <v>107.5</v>
      </c>
      <c r="S68" s="689">
        <f>(112*KFC!$B$21+KFC!$C$21)*KFC!$C$5</f>
        <v>112</v>
      </c>
    </row>
    <row r="69" spans="1:19">
      <c r="A69" s="1728"/>
      <c r="B69" s="671">
        <v>0.8</v>
      </c>
      <c r="C69" s="689">
        <f>(40.5*KFC!$B$21+KFC!$C$21)*KFC!$C$5</f>
        <v>40.5</v>
      </c>
      <c r="D69" s="689">
        <f>(45.2*KFC!$B$21+KFC!$C$21)*KFC!$C$5</f>
        <v>45.2</v>
      </c>
      <c r="E69" s="689">
        <f>(49.9*KFC!$B$21+KFC!$C$21)*KFC!$C$5</f>
        <v>49.9</v>
      </c>
      <c r="F69" s="689">
        <f>(54.6*KFC!$B$21+KFC!$C$21)*KFC!$C$5</f>
        <v>54.6</v>
      </c>
      <c r="G69" s="689">
        <f>(59.3*KFC!$B$21+KFC!$C$21)*KFC!$C$5</f>
        <v>59.3</v>
      </c>
      <c r="H69" s="689">
        <f>(64*KFC!$B$21+KFC!$C$21)*KFC!$C$5</f>
        <v>64</v>
      </c>
      <c r="I69" s="689">
        <f>(68.7*KFC!$B$21+KFC!$C$21)*KFC!$C$5</f>
        <v>68.7</v>
      </c>
      <c r="J69" s="689">
        <f>(73.4*KFC!$B$21+KFC!$C$21)*KFC!$C$5</f>
        <v>73.400000000000006</v>
      </c>
      <c r="K69" s="689">
        <f>(78.1*KFC!$B$21+KFC!$C$21)*KFC!$C$5</f>
        <v>78.099999999999994</v>
      </c>
      <c r="L69" s="689">
        <f>(82.8*KFC!$B$21+KFC!$C$21)*KFC!$C$5</f>
        <v>82.8</v>
      </c>
      <c r="M69" s="689">
        <f>(87.5*KFC!$B$21+KFC!$C$21)*KFC!$C$5</f>
        <v>87.5</v>
      </c>
      <c r="N69" s="689">
        <f>(92.2*KFC!$B$21+KFC!$C$21)*KFC!$C$5</f>
        <v>92.2</v>
      </c>
      <c r="O69" s="689">
        <f>(96.8*KFC!$B$21+KFC!$C$21)*KFC!$C$5</f>
        <v>96.8</v>
      </c>
      <c r="P69" s="689">
        <f>(101.5*KFC!$B$21+KFC!$C$21)*KFC!$C$5</f>
        <v>101.5</v>
      </c>
      <c r="Q69" s="689">
        <f>(106.2*KFC!$B$21+KFC!$C$21)*KFC!$C$5</f>
        <v>106.2</v>
      </c>
      <c r="R69" s="689">
        <f>(110.9*KFC!$B$21+KFC!$C$21)*KFC!$C$5</f>
        <v>110.9</v>
      </c>
      <c r="S69" s="689">
        <f>(115.6*KFC!$B$21+KFC!$C$21)*KFC!$C$5</f>
        <v>115.6</v>
      </c>
    </row>
    <row r="70" spans="1:19">
      <c r="A70" s="1728"/>
      <c r="B70" s="671">
        <v>0.9</v>
      </c>
      <c r="C70" s="689">
        <f>(41.2*KFC!$B$21+KFC!$C$21)*KFC!$C$5</f>
        <v>41.2</v>
      </c>
      <c r="D70" s="689">
        <f>(46.1*KFC!$B$21+KFC!$C$21)*KFC!$C$5</f>
        <v>46.1</v>
      </c>
      <c r="E70" s="689">
        <f>(51*KFC!$B$21+KFC!$C$21)*KFC!$C$5</f>
        <v>51</v>
      </c>
      <c r="F70" s="689">
        <f>(55.8*KFC!$B$21+KFC!$C$21)*KFC!$C$5</f>
        <v>55.8</v>
      </c>
      <c r="G70" s="689">
        <f>(60.7*KFC!$B$21+KFC!$C$21)*KFC!$C$5</f>
        <v>60.7</v>
      </c>
      <c r="H70" s="689">
        <f>(65.6*KFC!$B$21+KFC!$C$21)*KFC!$C$5</f>
        <v>65.599999999999994</v>
      </c>
      <c r="I70" s="689">
        <f>(70.5*KFC!$B$21+KFC!$C$21)*KFC!$C$5</f>
        <v>70.5</v>
      </c>
      <c r="J70" s="689">
        <f>(75.4*KFC!$B$21+KFC!$C$21)*KFC!$C$5</f>
        <v>75.400000000000006</v>
      </c>
      <c r="K70" s="689">
        <f>(80.2*KFC!$B$21+KFC!$C$21)*KFC!$C$5</f>
        <v>80.2</v>
      </c>
      <c r="L70" s="689">
        <f>(85.1*KFC!$B$21+KFC!$C$21)*KFC!$C$5</f>
        <v>85.1</v>
      </c>
      <c r="M70" s="689">
        <f>(90*KFC!$B$21+KFC!$C$21)*KFC!$C$5</f>
        <v>90</v>
      </c>
      <c r="N70" s="689">
        <f>(94.9*KFC!$B$21+KFC!$C$21)*KFC!$C$5</f>
        <v>94.9</v>
      </c>
      <c r="O70" s="689">
        <f>(99.8*KFC!$B$21+KFC!$C$21)*KFC!$C$5</f>
        <v>99.8</v>
      </c>
      <c r="P70" s="689">
        <f>(104.6*KFC!$B$21+KFC!$C$21)*KFC!$C$5</f>
        <v>104.6</v>
      </c>
      <c r="Q70" s="689">
        <f>(109.5*KFC!$B$21+KFC!$C$21)*KFC!$C$5</f>
        <v>109.5</v>
      </c>
      <c r="R70" s="689">
        <f>(114.4*KFC!$B$21+KFC!$C$21)*KFC!$C$5</f>
        <v>114.4</v>
      </c>
      <c r="S70" s="689">
        <f>(119.3*KFC!$B$21+KFC!$C$21)*KFC!$C$5</f>
        <v>119.3</v>
      </c>
    </row>
    <row r="71" spans="1:19">
      <c r="A71" s="1728"/>
      <c r="B71" s="671">
        <v>1</v>
      </c>
      <c r="C71" s="689">
        <f>(41.9*KFC!$B$21+KFC!$C$21)*KFC!$C$5</f>
        <v>41.9</v>
      </c>
      <c r="D71" s="689">
        <f>(47*KFC!$B$21+KFC!$C$21)*KFC!$C$5</f>
        <v>47</v>
      </c>
      <c r="E71" s="689">
        <f>(52.1*KFC!$B$21+KFC!$C$21)*KFC!$C$5</f>
        <v>52.1</v>
      </c>
      <c r="F71" s="689">
        <f>(57.1*KFC!$B$21+KFC!$C$21)*KFC!$C$5</f>
        <v>57.1</v>
      </c>
      <c r="G71" s="689">
        <f>(62.2*KFC!$B$21+KFC!$C$21)*KFC!$C$5</f>
        <v>62.2</v>
      </c>
      <c r="H71" s="689">
        <f>(67.2*KFC!$B$21+KFC!$C$21)*KFC!$C$5</f>
        <v>67.2</v>
      </c>
      <c r="I71" s="689">
        <f>(72.3*KFC!$B$21+KFC!$C$21)*KFC!$C$5</f>
        <v>72.3</v>
      </c>
      <c r="J71" s="689">
        <f>(77.4*KFC!$B$21+KFC!$C$21)*KFC!$C$5</f>
        <v>77.400000000000006</v>
      </c>
      <c r="K71" s="689">
        <f>(82.4*KFC!$B$21+KFC!$C$21)*KFC!$C$5</f>
        <v>82.4</v>
      </c>
      <c r="L71" s="689">
        <f>(87.5*KFC!$B$21+KFC!$C$21)*KFC!$C$5</f>
        <v>87.5</v>
      </c>
      <c r="M71" s="689">
        <f>(92.5*KFC!$B$21+KFC!$C$21)*KFC!$C$5</f>
        <v>92.5</v>
      </c>
      <c r="N71" s="689">
        <f>(97.6*KFC!$B$21+KFC!$C$21)*KFC!$C$5</f>
        <v>97.6</v>
      </c>
      <c r="O71" s="689">
        <f>(102.6*KFC!$B$21+KFC!$C$21)*KFC!$C$5</f>
        <v>102.6</v>
      </c>
      <c r="P71" s="689">
        <f>(107.7*KFC!$B$21+KFC!$C$21)*KFC!$C$5</f>
        <v>107.7</v>
      </c>
      <c r="Q71" s="689">
        <f>(112.8*KFC!$B$21+KFC!$C$21)*KFC!$C$5</f>
        <v>112.8</v>
      </c>
      <c r="R71" s="689">
        <f>(117.8*KFC!$B$21+KFC!$C$21)*KFC!$C$5</f>
        <v>117.8</v>
      </c>
      <c r="S71" s="689">
        <f>(122.9*KFC!$B$21+KFC!$C$21)*KFC!$C$5</f>
        <v>122.9</v>
      </c>
    </row>
    <row r="72" spans="1:19">
      <c r="A72" s="1728"/>
      <c r="B72" s="671">
        <v>1.1000000000000001</v>
      </c>
      <c r="C72" s="689">
        <f>(42.7*KFC!$B$21+KFC!$C$21)*KFC!$C$5</f>
        <v>42.7</v>
      </c>
      <c r="D72" s="689">
        <f>(47.9*KFC!$B$21+KFC!$C$21)*KFC!$C$5</f>
        <v>47.9</v>
      </c>
      <c r="E72" s="689">
        <f>(53.1*KFC!$B$21+KFC!$C$21)*KFC!$C$5</f>
        <v>53.1</v>
      </c>
      <c r="F72" s="689">
        <f>(58.4*KFC!$B$21+KFC!$C$21)*KFC!$C$5</f>
        <v>58.4</v>
      </c>
      <c r="G72" s="689">
        <f>(63.6*KFC!$B$21+KFC!$C$21)*KFC!$C$5</f>
        <v>63.6</v>
      </c>
      <c r="H72" s="689">
        <f>(68.9*KFC!$B$21+KFC!$C$21)*KFC!$C$5</f>
        <v>68.900000000000006</v>
      </c>
      <c r="I72" s="689">
        <f>(74.1*KFC!$B$21+KFC!$C$21)*KFC!$C$5</f>
        <v>74.099999999999994</v>
      </c>
      <c r="J72" s="689">
        <f>(79.3*KFC!$B$21+KFC!$C$21)*KFC!$C$5</f>
        <v>79.3</v>
      </c>
      <c r="K72" s="689">
        <f>(84.6*KFC!$B$21+KFC!$C$21)*KFC!$C$5</f>
        <v>84.6</v>
      </c>
      <c r="L72" s="689">
        <f>(89.8*KFC!$B$21+KFC!$C$21)*KFC!$C$5</f>
        <v>89.8</v>
      </c>
      <c r="M72" s="689">
        <f>(95.1*KFC!$B$21+KFC!$C$21)*KFC!$C$5</f>
        <v>95.1</v>
      </c>
      <c r="N72" s="689">
        <f>(100.3*KFC!$B$21+KFC!$C$21)*KFC!$C$5</f>
        <v>100.3</v>
      </c>
      <c r="O72" s="689">
        <f>(105.6*KFC!$B$21+KFC!$C$21)*KFC!$C$5</f>
        <v>105.6</v>
      </c>
      <c r="P72" s="689">
        <f>(110.8*KFC!$B$21+KFC!$C$21)*KFC!$C$5</f>
        <v>110.8</v>
      </c>
      <c r="Q72" s="689">
        <f>(116*KFC!$B$21+KFC!$C$21)*KFC!$C$5</f>
        <v>116</v>
      </c>
      <c r="R72" s="689">
        <f>(121.3*KFC!$B$21+KFC!$C$21)*KFC!$C$5</f>
        <v>121.3</v>
      </c>
      <c r="S72" s="689">
        <f>(126.5*KFC!$B$21+KFC!$C$21)*KFC!$C$5</f>
        <v>126.5</v>
      </c>
    </row>
    <row r="73" spans="1:19">
      <c r="A73" s="1728"/>
      <c r="B73" s="671">
        <v>1.2</v>
      </c>
      <c r="C73" s="689">
        <f>(43.4*KFC!$B$21+KFC!$C$21)*KFC!$C$5</f>
        <v>43.4</v>
      </c>
      <c r="D73" s="689">
        <f>(48.8*KFC!$B$21+KFC!$C$21)*KFC!$C$5</f>
        <v>48.8</v>
      </c>
      <c r="E73" s="689">
        <f>(54.2*KFC!$B$21+KFC!$C$21)*KFC!$C$5</f>
        <v>54.2</v>
      </c>
      <c r="F73" s="689">
        <f>(59.7*KFC!$B$21+KFC!$C$21)*KFC!$C$5</f>
        <v>59.7</v>
      </c>
      <c r="G73" s="689">
        <f>(65.1*KFC!$B$21+KFC!$C$21)*KFC!$C$5</f>
        <v>65.099999999999994</v>
      </c>
      <c r="H73" s="689">
        <f>(70.5*KFC!$B$21+KFC!$C$21)*KFC!$C$5</f>
        <v>70.5</v>
      </c>
      <c r="I73" s="689">
        <f>(75.9*KFC!$B$21+KFC!$C$21)*KFC!$C$5</f>
        <v>75.900000000000006</v>
      </c>
      <c r="J73" s="689">
        <f>(81.3*KFC!$B$21+KFC!$C$21)*KFC!$C$5</f>
        <v>81.3</v>
      </c>
      <c r="K73" s="689">
        <f>(86.8*KFC!$B$21+KFC!$C$21)*KFC!$C$5</f>
        <v>86.8</v>
      </c>
      <c r="L73" s="689">
        <f>(92.2*KFC!$B$21+KFC!$C$21)*KFC!$C$5</f>
        <v>92.2</v>
      </c>
      <c r="M73" s="689">
        <f>(97.6*KFC!$B$21+KFC!$C$21)*KFC!$C$5</f>
        <v>97.6</v>
      </c>
      <c r="N73" s="689">
        <f>(103*KFC!$B$21+KFC!$C$21)*KFC!$C$5</f>
        <v>103</v>
      </c>
      <c r="O73" s="689">
        <f>(108.4*KFC!$B$21+KFC!$C$21)*KFC!$C$5</f>
        <v>108.4</v>
      </c>
      <c r="P73" s="689">
        <f>(113.9*KFC!$B$21+KFC!$C$21)*KFC!$C$5</f>
        <v>113.9</v>
      </c>
      <c r="Q73" s="689">
        <f>(119.3*KFC!$B$21+KFC!$C$21)*KFC!$C$5</f>
        <v>119.3</v>
      </c>
      <c r="R73" s="689">
        <f>(124.7*KFC!$B$21+KFC!$C$21)*KFC!$C$5</f>
        <v>124.7</v>
      </c>
      <c r="S73" s="689">
        <f>(130.1*KFC!$B$21+KFC!$C$21)*KFC!$C$5</f>
        <v>130.1</v>
      </c>
    </row>
    <row r="74" spans="1:19">
      <c r="A74" s="1728"/>
      <c r="B74" s="671">
        <v>1.3</v>
      </c>
      <c r="C74" s="689">
        <f>(44.1*KFC!$B$21+KFC!$C$21)*KFC!$C$5</f>
        <v>44.1</v>
      </c>
      <c r="D74" s="689">
        <f>(49.7*KFC!$B$21+KFC!$C$21)*KFC!$C$5</f>
        <v>49.7</v>
      </c>
      <c r="E74" s="689">
        <f>(55.3*KFC!$B$21+KFC!$C$21)*KFC!$C$5</f>
        <v>55.3</v>
      </c>
      <c r="F74" s="689">
        <f>(60.9*KFC!$B$21+KFC!$C$21)*KFC!$C$5</f>
        <v>60.9</v>
      </c>
      <c r="G74" s="689">
        <f>(66.5*KFC!$B$21+KFC!$C$21)*KFC!$C$5</f>
        <v>66.5</v>
      </c>
      <c r="H74" s="689">
        <f>(72.1*KFC!$B$21+KFC!$C$21)*KFC!$C$5</f>
        <v>72.099999999999994</v>
      </c>
      <c r="I74" s="689">
        <f>(77.7*KFC!$B$21+KFC!$C$21)*KFC!$C$5</f>
        <v>77.7</v>
      </c>
      <c r="J74" s="689">
        <f>(83.3*KFC!$B$21+KFC!$C$21)*KFC!$C$5</f>
        <v>83.3</v>
      </c>
      <c r="K74" s="689">
        <f>(88.9*KFC!$B$21+KFC!$C$21)*KFC!$C$5</f>
        <v>88.9</v>
      </c>
      <c r="L74" s="689">
        <f>(94.5*KFC!$B$21+KFC!$C$21)*KFC!$C$5</f>
        <v>94.5</v>
      </c>
      <c r="M74" s="689">
        <f>(100.1*KFC!$B$21+KFC!$C$21)*KFC!$C$5</f>
        <v>100.1</v>
      </c>
      <c r="N74" s="689">
        <f>(105.7*KFC!$B$21+KFC!$C$21)*KFC!$C$5</f>
        <v>105.7</v>
      </c>
      <c r="O74" s="689">
        <f>(111.3*KFC!$B$21+KFC!$C$21)*KFC!$C$5</f>
        <v>111.3</v>
      </c>
      <c r="P74" s="689">
        <f>(116.9*KFC!$B$21+KFC!$C$21)*KFC!$C$5</f>
        <v>116.9</v>
      </c>
      <c r="Q74" s="689">
        <f>(122.5*KFC!$B$21+KFC!$C$21)*KFC!$C$5</f>
        <v>122.5</v>
      </c>
      <c r="R74" s="689">
        <f>(128.2*KFC!$B$21+KFC!$C$21)*KFC!$C$5</f>
        <v>128.19999999999999</v>
      </c>
      <c r="S74" s="689">
        <f>(133.8*KFC!$B$21+KFC!$C$21)*KFC!$C$5</f>
        <v>133.80000000000001</v>
      </c>
    </row>
    <row r="75" spans="1:19">
      <c r="A75" s="1728"/>
      <c r="B75" s="671">
        <v>1.4</v>
      </c>
      <c r="C75" s="689">
        <f>(44.8*KFC!$B$21+KFC!$C$21)*KFC!$C$5</f>
        <v>44.8</v>
      </c>
      <c r="D75" s="689">
        <f>(50.6*KFC!$B$21+KFC!$C$21)*KFC!$C$5</f>
        <v>50.6</v>
      </c>
      <c r="E75" s="689">
        <f>(56.4*KFC!$B$21+KFC!$C$21)*KFC!$C$5</f>
        <v>56.4</v>
      </c>
      <c r="F75" s="689">
        <f>(62.2*KFC!$B$21+KFC!$C$21)*KFC!$C$5</f>
        <v>62.2</v>
      </c>
      <c r="G75" s="689">
        <f>(68*KFC!$B$21+KFC!$C$21)*KFC!$C$5</f>
        <v>68</v>
      </c>
      <c r="H75" s="689">
        <f>(73.8*KFC!$B$21+KFC!$C$21)*KFC!$C$5</f>
        <v>73.8</v>
      </c>
      <c r="I75" s="689">
        <f>(79.5*KFC!$B$21+KFC!$C$21)*KFC!$C$5</f>
        <v>79.5</v>
      </c>
      <c r="J75" s="689">
        <f>(85.3*KFC!$B$21+KFC!$C$21)*KFC!$C$5</f>
        <v>85.3</v>
      </c>
      <c r="K75" s="689">
        <f>(91.1*KFC!$B$21+KFC!$C$21)*KFC!$C$5</f>
        <v>91.1</v>
      </c>
      <c r="L75" s="689">
        <f>(96.9*KFC!$B$21+KFC!$C$21)*KFC!$C$5</f>
        <v>96.9</v>
      </c>
      <c r="M75" s="689">
        <f>(102.7*KFC!$B$21+KFC!$C$21)*KFC!$C$5</f>
        <v>102.7</v>
      </c>
      <c r="N75" s="689">
        <f>(108.5*KFC!$B$21+KFC!$C$21)*KFC!$C$5</f>
        <v>108.5</v>
      </c>
      <c r="O75" s="689">
        <f>(114.2*KFC!$B$21+KFC!$C$21)*KFC!$C$5</f>
        <v>114.2</v>
      </c>
      <c r="P75" s="689">
        <f>(120*KFC!$B$21+KFC!$C$21)*KFC!$C$5</f>
        <v>120</v>
      </c>
      <c r="Q75" s="689">
        <f>(125.8*KFC!$B$21+KFC!$C$21)*KFC!$C$5</f>
        <v>125.8</v>
      </c>
      <c r="R75" s="689">
        <f>(131.6*KFC!$B$21+KFC!$C$21)*KFC!$C$5</f>
        <v>131.6</v>
      </c>
      <c r="S75" s="689">
        <f>(137.4*KFC!$B$21+KFC!$C$21)*KFC!$C$5</f>
        <v>137.4</v>
      </c>
    </row>
    <row r="76" spans="1:19">
      <c r="A76" s="1728"/>
      <c r="B76" s="671">
        <v>1.5</v>
      </c>
      <c r="C76" s="689">
        <f>(45.6*KFC!$B$21+KFC!$C$21)*KFC!$C$5</f>
        <v>45.6</v>
      </c>
      <c r="D76" s="689">
        <f>(51.5*KFC!$B$21+KFC!$C$21)*KFC!$C$5</f>
        <v>51.5</v>
      </c>
      <c r="E76" s="689">
        <f>(57.5*KFC!$B$21+KFC!$C$21)*KFC!$C$5</f>
        <v>57.5</v>
      </c>
      <c r="F76" s="689">
        <f>(63.5*KFC!$B$21+KFC!$C$21)*KFC!$C$5</f>
        <v>63.5</v>
      </c>
      <c r="G76" s="689">
        <f>(69.4*KFC!$B$21+KFC!$C$21)*KFC!$C$5</f>
        <v>69.400000000000006</v>
      </c>
      <c r="H76" s="689">
        <f>(75.4*KFC!$B$21+KFC!$C$21)*KFC!$C$5</f>
        <v>75.400000000000006</v>
      </c>
      <c r="I76" s="689">
        <f>(81.4*KFC!$B$21+KFC!$C$21)*KFC!$C$5</f>
        <v>81.400000000000006</v>
      </c>
      <c r="J76" s="689">
        <f>(87.3*KFC!$B$21+KFC!$C$21)*KFC!$C$5</f>
        <v>87.3</v>
      </c>
      <c r="K76" s="689">
        <f>(93.3*KFC!$B$21+KFC!$C$21)*KFC!$C$5</f>
        <v>93.3</v>
      </c>
      <c r="L76" s="689">
        <f>(99.3*KFC!$B$21+KFC!$C$21)*KFC!$C$5</f>
        <v>99.3</v>
      </c>
      <c r="M76" s="689">
        <f>(105.2*KFC!$B$21+KFC!$C$21)*KFC!$C$5</f>
        <v>105.2</v>
      </c>
      <c r="N76" s="689">
        <f>(111.2*KFC!$B$21+KFC!$C$21)*KFC!$C$5</f>
        <v>111.2</v>
      </c>
      <c r="O76" s="689">
        <f>(117.1*KFC!$B$21+KFC!$C$21)*KFC!$C$5</f>
        <v>117.1</v>
      </c>
      <c r="P76" s="689">
        <f>(123.1*KFC!$B$21+KFC!$C$21)*KFC!$C$5</f>
        <v>123.1</v>
      </c>
      <c r="Q76" s="689">
        <f>(129.1*KFC!$B$21+KFC!$C$21)*KFC!$C$5</f>
        <v>129.1</v>
      </c>
      <c r="R76" s="689">
        <f>(135*KFC!$B$21+KFC!$C$21)*KFC!$C$5</f>
        <v>135</v>
      </c>
      <c r="S76" s="689">
        <f>(141*KFC!$B$21+KFC!$C$21)*KFC!$C$5</f>
        <v>141</v>
      </c>
    </row>
    <row r="77" spans="1:19">
      <c r="A77" s="1728"/>
      <c r="B77" s="671">
        <v>1.6</v>
      </c>
      <c r="C77" s="689">
        <f>(46.3*KFC!$B$21+KFC!$C$21)*KFC!$C$5</f>
        <v>46.3</v>
      </c>
      <c r="D77" s="689">
        <f>(52.4*KFC!$B$21+KFC!$C$21)*KFC!$C$5</f>
        <v>52.4</v>
      </c>
      <c r="E77" s="689">
        <f>(58.6*KFC!$B$21+KFC!$C$21)*KFC!$C$5</f>
        <v>58.6</v>
      </c>
      <c r="F77" s="689">
        <f>(64.7*KFC!$B$21+KFC!$C$21)*KFC!$C$5</f>
        <v>64.7</v>
      </c>
      <c r="G77" s="689">
        <f>(70.9*KFC!$B$21+KFC!$C$21)*KFC!$C$5</f>
        <v>70.900000000000006</v>
      </c>
      <c r="H77" s="689">
        <f>(77*KFC!$B$21+KFC!$C$21)*KFC!$C$5</f>
        <v>77</v>
      </c>
      <c r="I77" s="689">
        <f>(83.2*KFC!$B$21+KFC!$C$21)*KFC!$C$5</f>
        <v>83.2</v>
      </c>
      <c r="J77" s="689">
        <f>(89.3*KFC!$B$21+KFC!$C$21)*KFC!$C$5</f>
        <v>89.3</v>
      </c>
      <c r="K77" s="689">
        <f>(95.5*KFC!$B$21+KFC!$C$21)*KFC!$C$5</f>
        <v>95.5</v>
      </c>
      <c r="L77" s="689">
        <f>(101.6*KFC!$B$21+KFC!$C$21)*KFC!$C$5</f>
        <v>101.6</v>
      </c>
      <c r="M77" s="689">
        <f>(107.7*KFC!$B$21+KFC!$C$21)*KFC!$C$5</f>
        <v>107.7</v>
      </c>
      <c r="N77" s="689">
        <f>(113.9*KFC!$B$21+KFC!$C$21)*KFC!$C$5</f>
        <v>113.9</v>
      </c>
      <c r="O77" s="689">
        <f>(120*KFC!$B$21+KFC!$C$21)*KFC!$C$5</f>
        <v>120</v>
      </c>
      <c r="P77" s="689">
        <f>(126.2*KFC!$B$21+KFC!$C$21)*KFC!$C$5</f>
        <v>126.2</v>
      </c>
      <c r="Q77" s="689">
        <f>(132.3*KFC!$B$21+KFC!$C$21)*KFC!$C$5</f>
        <v>132.30000000000001</v>
      </c>
      <c r="R77" s="689">
        <f>(138.5*KFC!$B$21+KFC!$C$21)*KFC!$C$5</f>
        <v>138.5</v>
      </c>
      <c r="S77" s="689">
        <f>(144.6*KFC!$B$21+KFC!$C$21)*KFC!$C$5</f>
        <v>144.6</v>
      </c>
    </row>
    <row r="78" spans="1:19">
      <c r="A78" s="1728"/>
      <c r="B78" s="671">
        <v>1.7</v>
      </c>
      <c r="C78" s="689">
        <f>(47*KFC!$B$21+KFC!$C$21)*KFC!$C$5</f>
        <v>47</v>
      </c>
      <c r="D78" s="689">
        <f>(53.3*KFC!$B$21+KFC!$C$21)*KFC!$C$5</f>
        <v>53.3</v>
      </c>
      <c r="E78" s="689">
        <f>(59.7*KFC!$B$21+KFC!$C$21)*KFC!$C$5</f>
        <v>59.7</v>
      </c>
      <c r="F78" s="689">
        <f>(66*KFC!$B$21+KFC!$C$21)*KFC!$C$5</f>
        <v>66</v>
      </c>
      <c r="G78" s="689">
        <f>(72.3*KFC!$B$21+KFC!$C$21)*KFC!$C$5</f>
        <v>72.3</v>
      </c>
      <c r="H78" s="689">
        <f>(78.6*KFC!$B$21+KFC!$C$21)*KFC!$C$5</f>
        <v>78.599999999999994</v>
      </c>
      <c r="I78" s="689">
        <f>(85*KFC!$B$21+KFC!$C$21)*KFC!$C$5</f>
        <v>85</v>
      </c>
      <c r="J78" s="689">
        <f>(91.3*KFC!$B$21+KFC!$C$21)*KFC!$C$5</f>
        <v>91.3</v>
      </c>
      <c r="K78" s="689">
        <f>(97.6*KFC!$B$21+KFC!$C$21)*KFC!$C$5</f>
        <v>97.6</v>
      </c>
      <c r="L78" s="689">
        <f>(104*KFC!$B$21+KFC!$C$21)*KFC!$C$5</f>
        <v>104</v>
      </c>
      <c r="M78" s="689">
        <f>(110.3*KFC!$B$21+KFC!$C$21)*KFC!$C$5</f>
        <v>110.3</v>
      </c>
      <c r="N78" s="689">
        <f>(116.6*KFC!$B$21+KFC!$C$21)*KFC!$C$5</f>
        <v>116.6</v>
      </c>
      <c r="O78" s="689">
        <f>(122.9*KFC!$B$21+KFC!$C$21)*KFC!$C$5</f>
        <v>122.9</v>
      </c>
      <c r="P78" s="689">
        <f>(129.3*KFC!$B$21+KFC!$C$21)*KFC!$C$5</f>
        <v>129.30000000000001</v>
      </c>
      <c r="Q78" s="689">
        <f>(135.6*KFC!$B$21+KFC!$C$21)*KFC!$C$5</f>
        <v>135.6</v>
      </c>
      <c r="R78" s="689">
        <f>(141.9*KFC!$B$21+KFC!$C$21)*KFC!$C$5</f>
        <v>141.9</v>
      </c>
      <c r="S78" s="689">
        <f>(148.3*KFC!$B$21+KFC!$C$21)*KFC!$C$5</f>
        <v>148.30000000000001</v>
      </c>
    </row>
    <row r="79" spans="1:19">
      <c r="A79" s="1728"/>
      <c r="B79" s="671">
        <v>1.8</v>
      </c>
      <c r="C79" s="689">
        <f>(47.7*KFC!$B$21+KFC!$C$21)*KFC!$C$5</f>
        <v>47.7</v>
      </c>
      <c r="D79" s="689">
        <f>(54.3*KFC!$B$21+KFC!$C$21)*KFC!$C$5</f>
        <v>54.3</v>
      </c>
      <c r="E79" s="689">
        <f>(60.8*KFC!$B$21+KFC!$C$21)*KFC!$C$5</f>
        <v>60.8</v>
      </c>
      <c r="F79" s="689">
        <f>(67.3*KFC!$B$21+KFC!$C$21)*KFC!$C$5</f>
        <v>67.3</v>
      </c>
      <c r="G79" s="689">
        <f>(73.8*KFC!$B$21+KFC!$C$21)*KFC!$C$5</f>
        <v>73.8</v>
      </c>
      <c r="H79" s="689">
        <f>(80.3*KFC!$B$21+KFC!$C$21)*KFC!$C$5</f>
        <v>80.3</v>
      </c>
      <c r="I79" s="689">
        <f>(86.8*KFC!$B$21+KFC!$C$21)*KFC!$C$5</f>
        <v>86.8</v>
      </c>
      <c r="J79" s="689">
        <f>(93.3*KFC!$B$21+KFC!$C$21)*KFC!$C$5</f>
        <v>93.3</v>
      </c>
      <c r="K79" s="689">
        <f>(99.8*KFC!$B$21+KFC!$C$21)*KFC!$C$5</f>
        <v>99.8</v>
      </c>
      <c r="L79" s="689">
        <f>(106.3*KFC!$B$21+KFC!$C$21)*KFC!$C$5</f>
        <v>106.3</v>
      </c>
      <c r="M79" s="689">
        <f>(112.8*KFC!$B$21+KFC!$C$21)*KFC!$C$5</f>
        <v>112.8</v>
      </c>
      <c r="N79" s="689">
        <f>(119.3*KFC!$B$21+KFC!$C$21)*KFC!$C$5</f>
        <v>119.3</v>
      </c>
      <c r="O79" s="689">
        <f>(125.8*KFC!$B$21+KFC!$C$21)*KFC!$C$5</f>
        <v>125.8</v>
      </c>
      <c r="P79" s="689">
        <f>(132.3*KFC!$B$21+KFC!$C$21)*KFC!$C$5</f>
        <v>132.30000000000001</v>
      </c>
      <c r="Q79" s="689">
        <f>(138.8*KFC!$B$21+KFC!$C$21)*KFC!$C$5</f>
        <v>138.80000000000001</v>
      </c>
      <c r="R79" s="689">
        <f>(145.4*KFC!$B$21+KFC!$C$21)*KFC!$C$5</f>
        <v>145.4</v>
      </c>
      <c r="S79" s="689">
        <f>(151.9*KFC!$B$21+KFC!$C$21)*KFC!$C$5</f>
        <v>151.9</v>
      </c>
    </row>
    <row r="80" spans="1:19">
      <c r="A80" s="1728"/>
      <c r="B80" s="671">
        <v>1.9</v>
      </c>
      <c r="C80" s="689">
        <f>(48.5*KFC!$B$21+KFC!$C$21)*KFC!$C$5</f>
        <v>48.5</v>
      </c>
      <c r="D80" s="689">
        <f>(55.2*KFC!$B$21+KFC!$C$21)*KFC!$C$5</f>
        <v>55.2</v>
      </c>
      <c r="E80" s="689">
        <f>(61.8*KFC!$B$21+KFC!$C$21)*KFC!$C$5</f>
        <v>61.8</v>
      </c>
      <c r="F80" s="689">
        <f>(68.5*KFC!$B$21+KFC!$C$21)*KFC!$C$5</f>
        <v>68.5</v>
      </c>
      <c r="G80" s="689">
        <f>(75.2*KFC!$B$21+KFC!$C$21)*KFC!$C$5</f>
        <v>75.2</v>
      </c>
      <c r="H80" s="689">
        <f>(81.9*KFC!$B$21+KFC!$C$21)*KFC!$C$5</f>
        <v>81.900000000000006</v>
      </c>
      <c r="I80" s="689">
        <f>(88.6*KFC!$B$21+KFC!$C$21)*KFC!$C$5</f>
        <v>88.6</v>
      </c>
      <c r="J80" s="689">
        <f>(95.3*KFC!$B$21+KFC!$C$21)*KFC!$C$5</f>
        <v>95.3</v>
      </c>
      <c r="K80" s="689">
        <f>(102*KFC!$B$21+KFC!$C$21)*KFC!$C$5</f>
        <v>102</v>
      </c>
      <c r="L80" s="689">
        <f>(108.7*KFC!$B$21+KFC!$C$21)*KFC!$C$5</f>
        <v>108.7</v>
      </c>
      <c r="M80" s="689">
        <f>(115.4*KFC!$B$21+KFC!$C$21)*KFC!$C$5</f>
        <v>115.4</v>
      </c>
      <c r="N80" s="689">
        <f>(122*KFC!$B$21+KFC!$C$21)*KFC!$C$5</f>
        <v>122</v>
      </c>
      <c r="O80" s="689">
        <f>(128.7*KFC!$B$21+KFC!$C$21)*KFC!$C$5</f>
        <v>128.69999999999999</v>
      </c>
      <c r="P80" s="689">
        <f>(135.4*KFC!$B$21+KFC!$C$21)*KFC!$C$5</f>
        <v>135.4</v>
      </c>
      <c r="Q80" s="689">
        <f>(142.1*KFC!$B$21+KFC!$C$21)*KFC!$C$5</f>
        <v>142.1</v>
      </c>
      <c r="R80" s="689">
        <f>(148.8*KFC!$B$21+KFC!$C$21)*KFC!$C$5</f>
        <v>148.80000000000001</v>
      </c>
      <c r="S80" s="689">
        <f>(155.5*KFC!$B$21+KFC!$C$21)*KFC!$C$5</f>
        <v>155.5</v>
      </c>
    </row>
    <row r="81" spans="1:19">
      <c r="A81" s="1728"/>
      <c r="B81" s="671">
        <v>2</v>
      </c>
      <c r="C81" s="689">
        <f>(49.2*KFC!$B$21+KFC!$C$21)*KFC!$C$5</f>
        <v>49.2</v>
      </c>
      <c r="D81" s="689">
        <f>(56.1*KFC!$B$21+KFC!$C$21)*KFC!$C$5</f>
        <v>56.1</v>
      </c>
      <c r="E81" s="689">
        <f>(62.9*KFC!$B$21+KFC!$C$21)*KFC!$C$5</f>
        <v>62.9</v>
      </c>
      <c r="F81" s="689">
        <f>(69.8*KFC!$B$21+KFC!$C$21)*KFC!$C$5</f>
        <v>69.8</v>
      </c>
      <c r="G81" s="689">
        <f>(76.7*KFC!$B$21+KFC!$C$21)*KFC!$C$5</f>
        <v>76.7</v>
      </c>
      <c r="H81" s="689">
        <f>(83.5*KFC!$B$21+KFC!$C$21)*KFC!$C$5</f>
        <v>83.5</v>
      </c>
      <c r="I81" s="689">
        <f>(90.4*KFC!$B$21+KFC!$C$21)*KFC!$C$5</f>
        <v>90.4</v>
      </c>
      <c r="J81" s="689">
        <f>(97.3*KFC!$B$21+KFC!$C$21)*KFC!$C$5</f>
        <v>97.3</v>
      </c>
      <c r="K81" s="689">
        <f>(104.2*KFC!$B$21+KFC!$C$21)*KFC!$C$5</f>
        <v>104.2</v>
      </c>
      <c r="L81" s="689">
        <f>(111*KFC!$B$21+KFC!$C$21)*KFC!$C$5</f>
        <v>111</v>
      </c>
      <c r="M81" s="689">
        <f>(117.9*KFC!$B$21+KFC!$C$21)*KFC!$C$5</f>
        <v>117.9</v>
      </c>
      <c r="N81" s="689">
        <f>(124.8*KFC!$B$21+KFC!$C$21)*KFC!$C$5</f>
        <v>124.8</v>
      </c>
      <c r="O81" s="689">
        <f>(131.6*KFC!$B$21+KFC!$C$21)*KFC!$C$5</f>
        <v>131.6</v>
      </c>
      <c r="P81" s="689">
        <f>(138.5*KFC!$B$21+KFC!$C$21)*KFC!$C$5</f>
        <v>138.5</v>
      </c>
      <c r="Q81" s="689">
        <f>(145.4*KFC!$B$21+KFC!$C$21)*KFC!$C$5</f>
        <v>145.4</v>
      </c>
      <c r="R81" s="689">
        <f>(152.2*KFC!$B$21+KFC!$C$21)*KFC!$C$5</f>
        <v>152.19999999999999</v>
      </c>
      <c r="S81" s="689">
        <f>(159.1*KFC!$B$21+KFC!$C$21)*KFC!$C$5</f>
        <v>159.1</v>
      </c>
    </row>
    <row r="82" spans="1:19">
      <c r="A82" s="1728"/>
      <c r="B82" s="671">
        <v>2.1</v>
      </c>
      <c r="C82" s="689">
        <f>(49.9*KFC!$B$21+KFC!$C$21)*KFC!$C$5</f>
        <v>49.9</v>
      </c>
      <c r="D82" s="689">
        <f>(57*KFC!$B$21+KFC!$C$21)*KFC!$C$5</f>
        <v>57</v>
      </c>
      <c r="E82" s="689">
        <f>(64*KFC!$B$21+KFC!$C$21)*KFC!$C$5</f>
        <v>64</v>
      </c>
      <c r="F82" s="689">
        <f>(71.1*KFC!$B$21+KFC!$C$21)*KFC!$C$5</f>
        <v>71.099999999999994</v>
      </c>
      <c r="G82" s="689">
        <f>(78.1*KFC!$B$21+KFC!$C$21)*KFC!$C$5</f>
        <v>78.099999999999994</v>
      </c>
      <c r="H82" s="689">
        <f>(85.2*KFC!$B$21+KFC!$C$21)*KFC!$C$5</f>
        <v>85.2</v>
      </c>
      <c r="I82" s="689">
        <f>(92.2*KFC!$B$21+KFC!$C$21)*KFC!$C$5</f>
        <v>92.2</v>
      </c>
      <c r="J82" s="689">
        <f>(99.3*KFC!$B$21+KFC!$C$21)*KFC!$C$5</f>
        <v>99.3</v>
      </c>
      <c r="K82" s="689">
        <f>(106.3*KFC!$B$21+KFC!$C$21)*KFC!$C$5</f>
        <v>106.3</v>
      </c>
      <c r="L82" s="689">
        <f>(113.4*KFC!$B$21+KFC!$C$21)*KFC!$C$5</f>
        <v>113.4</v>
      </c>
      <c r="M82" s="689">
        <f>(120.4*KFC!$B$21+KFC!$C$21)*KFC!$C$5</f>
        <v>120.4</v>
      </c>
      <c r="N82" s="689">
        <f>(127.5*KFC!$B$21+KFC!$C$21)*KFC!$C$5</f>
        <v>127.5</v>
      </c>
      <c r="O82" s="689">
        <f>(134.5*KFC!$B$21+KFC!$C$21)*KFC!$C$5</f>
        <v>134.5</v>
      </c>
      <c r="P82" s="689">
        <f>(141.6*KFC!$B$21+KFC!$C$21)*KFC!$C$5</f>
        <v>141.6</v>
      </c>
      <c r="Q82" s="689">
        <f>(148.6*KFC!$B$21+KFC!$C$21)*KFC!$C$5</f>
        <v>148.6</v>
      </c>
      <c r="R82" s="689">
        <f>(155.7*KFC!$B$21+KFC!$C$21)*KFC!$C$5</f>
        <v>155.69999999999999</v>
      </c>
      <c r="S82" s="689">
        <f>(162.7*KFC!$B$21+KFC!$C$21)*KFC!$C$5</f>
        <v>162.69999999999999</v>
      </c>
    </row>
    <row r="83" spans="1:19">
      <c r="A83" s="1728"/>
      <c r="B83" s="671">
        <v>2.2000000000000002</v>
      </c>
      <c r="C83" s="689">
        <f>(50.6*KFC!$B$21+KFC!$C$21)*KFC!$C$5</f>
        <v>50.6</v>
      </c>
      <c r="D83" s="689">
        <f>(57.9*KFC!$B$21+KFC!$C$21)*KFC!$C$5</f>
        <v>57.9</v>
      </c>
      <c r="E83" s="689">
        <f>(65.1*KFC!$B$21+KFC!$C$21)*KFC!$C$5</f>
        <v>65.099999999999994</v>
      </c>
      <c r="F83" s="689">
        <f>(72.3*KFC!$B$21+KFC!$C$21)*KFC!$C$5</f>
        <v>72.3</v>
      </c>
      <c r="G83" s="689">
        <f>(79.6*KFC!$B$21+KFC!$C$21)*KFC!$C$5</f>
        <v>79.599999999999994</v>
      </c>
      <c r="H83" s="689">
        <f>(86.8*KFC!$B$21+KFC!$C$21)*KFC!$C$5</f>
        <v>86.8</v>
      </c>
      <c r="I83" s="689">
        <f>(94*KFC!$B$21+KFC!$C$21)*KFC!$C$5</f>
        <v>94</v>
      </c>
      <c r="J83" s="689">
        <f>(101.3*KFC!$B$21+KFC!$C$21)*KFC!$C$5</f>
        <v>101.3</v>
      </c>
      <c r="K83" s="689">
        <f>(108.5*KFC!$B$21+KFC!$C$21)*KFC!$C$5</f>
        <v>108.5</v>
      </c>
      <c r="L83" s="689">
        <f>(115.7*KFC!$B$21+KFC!$C$21)*KFC!$C$5</f>
        <v>115.7</v>
      </c>
      <c r="M83" s="689">
        <f>(123*KFC!$B$21+KFC!$C$21)*KFC!$C$5</f>
        <v>123</v>
      </c>
      <c r="N83" s="689">
        <f>(130.2*KFC!$B$21+KFC!$C$21)*KFC!$C$5</f>
        <v>130.19999999999999</v>
      </c>
      <c r="O83" s="689">
        <f>(137.4*KFC!$B$21+KFC!$C$21)*KFC!$C$5</f>
        <v>137.4</v>
      </c>
      <c r="P83" s="689">
        <f>(144.7*KFC!$B$21+KFC!$C$21)*KFC!$C$5</f>
        <v>144.69999999999999</v>
      </c>
      <c r="Q83" s="689">
        <f>(151.9*KFC!$B$21+KFC!$C$21)*KFC!$C$5</f>
        <v>151.9</v>
      </c>
      <c r="R83" s="689">
        <f>(159.1*KFC!$B$21+KFC!$C$21)*KFC!$C$5</f>
        <v>159.1</v>
      </c>
      <c r="S83" s="689">
        <f>(166.4*KFC!$B$21+KFC!$C$21)*KFC!$C$5</f>
        <v>166.4</v>
      </c>
    </row>
    <row r="84" spans="1:19">
      <c r="A84" s="1728"/>
      <c r="B84" s="671">
        <v>2.2999999999999998</v>
      </c>
      <c r="C84" s="689">
        <f>(51.4*KFC!$B$21+KFC!$C$21)*KFC!$C$5</f>
        <v>51.4</v>
      </c>
      <c r="D84" s="689">
        <f>(58.8*KFC!$B$21+KFC!$C$21)*KFC!$C$5</f>
        <v>58.8</v>
      </c>
      <c r="E84" s="689">
        <f>(66.2*KFC!$B$21+KFC!$C$21)*KFC!$C$5</f>
        <v>66.2</v>
      </c>
      <c r="F84" s="689">
        <f>(73.6*KFC!$B$21+KFC!$C$21)*KFC!$C$5</f>
        <v>73.599999999999994</v>
      </c>
      <c r="G84" s="689">
        <f>(81*KFC!$B$21+KFC!$C$21)*KFC!$C$5</f>
        <v>81</v>
      </c>
      <c r="H84" s="689">
        <f>(88.4*KFC!$B$21+KFC!$C$21)*KFC!$C$5</f>
        <v>88.4</v>
      </c>
      <c r="I84" s="689">
        <f>(95.8*KFC!$B$21+KFC!$C$21)*KFC!$C$5</f>
        <v>95.8</v>
      </c>
      <c r="J84" s="689">
        <f>(103.3*KFC!$B$21+KFC!$C$21)*KFC!$C$5</f>
        <v>103.3</v>
      </c>
      <c r="K84" s="689">
        <f>(110.7*KFC!$B$21+KFC!$C$21)*KFC!$C$5</f>
        <v>110.7</v>
      </c>
      <c r="L84" s="689">
        <f>(118.1*KFC!$B$21+KFC!$C$21)*KFC!$C$5</f>
        <v>118.1</v>
      </c>
      <c r="M84" s="689">
        <f>(125.5*KFC!$B$21+KFC!$C$21)*KFC!$C$5</f>
        <v>125.5</v>
      </c>
      <c r="N84" s="689">
        <f>(132.9*KFC!$B$21+KFC!$C$21)*KFC!$C$5</f>
        <v>132.9</v>
      </c>
      <c r="O84" s="689">
        <f>(140.3*KFC!$B$21+KFC!$C$21)*KFC!$C$5</f>
        <v>140.30000000000001</v>
      </c>
      <c r="P84" s="689">
        <f>(147.7*KFC!$B$21+KFC!$C$21)*KFC!$C$5</f>
        <v>147.69999999999999</v>
      </c>
      <c r="Q84" s="689">
        <f>(155.2*KFC!$B$21+KFC!$C$21)*KFC!$C$5</f>
        <v>155.19999999999999</v>
      </c>
      <c r="R84" s="689">
        <f>(162.6*KFC!$B$21+KFC!$C$21)*KFC!$C$5</f>
        <v>162.6</v>
      </c>
      <c r="S84" s="689">
        <f>(170*KFC!$B$21+KFC!$C$21)*KFC!$C$5</f>
        <v>170</v>
      </c>
    </row>
    <row r="85" spans="1:19">
      <c r="A85" s="1728"/>
      <c r="B85" s="671">
        <v>2.4</v>
      </c>
      <c r="C85" s="689">
        <f>(52.1*KFC!$B$21+KFC!$C$21)*KFC!$C$5</f>
        <v>52.1</v>
      </c>
      <c r="D85" s="689">
        <f>(59.7*KFC!$B$21+KFC!$C$21)*KFC!$C$5</f>
        <v>59.7</v>
      </c>
      <c r="E85" s="689">
        <f>(67.3*KFC!$B$21+KFC!$C$21)*KFC!$C$5</f>
        <v>67.3</v>
      </c>
      <c r="F85" s="689">
        <f>(74.9*KFC!$B$21+KFC!$C$21)*KFC!$C$5</f>
        <v>74.900000000000006</v>
      </c>
      <c r="G85" s="689">
        <f>(82.5*KFC!$B$21+KFC!$C$21)*KFC!$C$5</f>
        <v>82.5</v>
      </c>
      <c r="H85" s="689">
        <f>(90.1*KFC!$B$21+KFC!$C$21)*KFC!$C$5</f>
        <v>90.1</v>
      </c>
      <c r="I85" s="689">
        <f>(97.7*KFC!$B$21+KFC!$C$21)*KFC!$C$5</f>
        <v>97.7</v>
      </c>
      <c r="J85" s="689">
        <f>(105.2*KFC!$B$21+KFC!$C$21)*KFC!$C$5</f>
        <v>105.2</v>
      </c>
      <c r="K85" s="689">
        <f>(112.9*KFC!$B$21+KFC!$C$21)*KFC!$C$5</f>
        <v>112.9</v>
      </c>
      <c r="L85" s="689">
        <f>(120.5*KFC!$B$21+KFC!$C$21)*KFC!$C$5</f>
        <v>120.5</v>
      </c>
      <c r="M85" s="689">
        <f>(128*KFC!$B$21+KFC!$C$21)*KFC!$C$5</f>
        <v>128</v>
      </c>
      <c r="N85" s="689">
        <f>(135.6*KFC!$B$21+KFC!$C$21)*KFC!$C$5</f>
        <v>135.6</v>
      </c>
      <c r="O85" s="689">
        <f>(143.2*KFC!$B$21+KFC!$C$21)*KFC!$C$5</f>
        <v>143.19999999999999</v>
      </c>
      <c r="P85" s="689">
        <f>(150.8*KFC!$B$21+KFC!$C$21)*KFC!$C$5</f>
        <v>150.80000000000001</v>
      </c>
      <c r="Q85" s="689">
        <f>(158.4*KFC!$B$21+KFC!$C$21)*KFC!$C$5</f>
        <v>158.4</v>
      </c>
      <c r="R85" s="689">
        <f>(166*KFC!$B$21+KFC!$C$21)*KFC!$C$5</f>
        <v>166</v>
      </c>
      <c r="S85" s="689">
        <f>(173.6*KFC!$B$21+KFC!$C$21)*KFC!$C$5</f>
        <v>173.6</v>
      </c>
    </row>
    <row r="86" spans="1:19" ht="13.5" customHeight="1">
      <c r="A86" s="1728"/>
      <c r="B86" s="671">
        <v>2.5</v>
      </c>
      <c r="C86" s="689">
        <f>(52.8*KFC!$B$21+KFC!$C$21)*KFC!$C$5</f>
        <v>52.8</v>
      </c>
      <c r="D86" s="689">
        <f>(60.6*KFC!$B$21+KFC!$C$21)*KFC!$C$5</f>
        <v>60.6</v>
      </c>
      <c r="E86" s="689">
        <f>(68.4*KFC!$B$21+KFC!$C$21)*KFC!$C$5</f>
        <v>68.400000000000006</v>
      </c>
      <c r="F86" s="689">
        <f>(76.1*KFC!$B$21+KFC!$C$21)*KFC!$C$5</f>
        <v>76.099999999999994</v>
      </c>
      <c r="G86" s="689">
        <f>(83.9*KFC!$B$21+KFC!$C$21)*KFC!$C$5</f>
        <v>83.9</v>
      </c>
      <c r="H86" s="689">
        <f>(91.7*KFC!$B$21+KFC!$C$21)*KFC!$C$5</f>
        <v>91.7</v>
      </c>
      <c r="I86" s="689">
        <f>(99.5*KFC!$B$21+KFC!$C$21)*KFC!$C$5</f>
        <v>99.5</v>
      </c>
      <c r="J86" s="689">
        <f>(107.2*KFC!$B$21+KFC!$C$21)*KFC!$C$5</f>
        <v>107.2</v>
      </c>
      <c r="K86" s="689">
        <f>(115*KFC!$B$21+KFC!$C$21)*KFC!$C$5</f>
        <v>115</v>
      </c>
      <c r="L86" s="689">
        <f>(122.8*KFC!$B$21+KFC!$C$21)*KFC!$C$5</f>
        <v>122.8</v>
      </c>
      <c r="M86" s="689">
        <f>(130.6*KFC!$B$21+KFC!$C$21)*KFC!$C$5</f>
        <v>130.6</v>
      </c>
      <c r="N86" s="689">
        <f>(138.3*KFC!$B$21+KFC!$C$21)*KFC!$C$5</f>
        <v>138.30000000000001</v>
      </c>
      <c r="O86" s="689">
        <f>(146.1*KFC!$B$21+KFC!$C$21)*KFC!$C$5</f>
        <v>146.1</v>
      </c>
      <c r="P86" s="689">
        <f>(153.9*KFC!$B$21+KFC!$C$21)*KFC!$C$5</f>
        <v>153.9</v>
      </c>
      <c r="Q86" s="689">
        <f>(161.7*KFC!$B$21+KFC!$C$21)*KFC!$C$5</f>
        <v>161.69999999999999</v>
      </c>
      <c r="R86" s="689">
        <f>(169.5*KFC!$B$21+KFC!$C$21)*KFC!$C$5</f>
        <v>169.5</v>
      </c>
      <c r="S86" s="689">
        <f>(177.2*KFC!$B$21+KFC!$C$21)*KFC!$C$5</f>
        <v>177.2</v>
      </c>
    </row>
    <row r="87" spans="1:19">
      <c r="A87" s="1728"/>
      <c r="B87" s="671">
        <v>2.6</v>
      </c>
      <c r="C87" s="689">
        <f>(53.5*KFC!$B$21+KFC!$C$21)*KFC!$C$5</f>
        <v>53.5</v>
      </c>
      <c r="D87" s="689">
        <f>(61.5*KFC!$B$21+KFC!$C$21)*KFC!$C$5</f>
        <v>61.5</v>
      </c>
      <c r="E87" s="689">
        <f>(69.5*KFC!$B$21+KFC!$C$21)*KFC!$C$5</f>
        <v>69.5</v>
      </c>
      <c r="F87" s="689">
        <f>(77.4*KFC!$B$21+KFC!$C$21)*KFC!$C$5</f>
        <v>77.400000000000006</v>
      </c>
      <c r="G87" s="689">
        <f>(85.4*KFC!$B$21+KFC!$C$21)*KFC!$C$5</f>
        <v>85.4</v>
      </c>
      <c r="H87" s="689">
        <f>(93.3*KFC!$B$21+KFC!$C$21)*KFC!$C$5</f>
        <v>93.3</v>
      </c>
      <c r="I87" s="689">
        <f>(101.3*KFC!$B$21+KFC!$C$21)*KFC!$C$5</f>
        <v>101.3</v>
      </c>
      <c r="J87" s="689">
        <f>(109.2*KFC!$B$21+KFC!$C$21)*KFC!$C$5</f>
        <v>109.2</v>
      </c>
      <c r="K87" s="689">
        <f>(117.2*KFC!$B$21+KFC!$C$21)*KFC!$C$5</f>
        <v>117.2</v>
      </c>
      <c r="L87" s="689">
        <f>(125.2*KFC!$B$21+KFC!$C$21)*KFC!$C$5</f>
        <v>125.2</v>
      </c>
      <c r="M87" s="689">
        <f>(133.1*KFC!$B$21+KFC!$C$21)*KFC!$C$5</f>
        <v>133.1</v>
      </c>
      <c r="N87" s="689">
        <f>(141.1*KFC!$B$21+KFC!$C$21)*KFC!$C$5</f>
        <v>141.1</v>
      </c>
      <c r="O87" s="689">
        <f>(149*KFC!$B$21+KFC!$C$21)*KFC!$C$5</f>
        <v>149</v>
      </c>
      <c r="P87" s="689">
        <f>(157*KFC!$B$21+KFC!$C$21)*KFC!$C$5</f>
        <v>157</v>
      </c>
      <c r="Q87" s="689">
        <f>(164.9*KFC!$B$21+KFC!$C$21)*KFC!$C$5</f>
        <v>164.9</v>
      </c>
      <c r="R87" s="689">
        <f>(172.9*KFC!$B$21+KFC!$C$21)*KFC!$C$5</f>
        <v>172.9</v>
      </c>
      <c r="S87" s="689">
        <f>(180.8*KFC!$B$21+KFC!$C$21)*KFC!$C$5</f>
        <v>180.8</v>
      </c>
    </row>
    <row r="88" spans="1:19" ht="12.75" customHeight="1">
      <c r="A88" s="1728"/>
      <c r="B88" s="671">
        <v>2.7</v>
      </c>
      <c r="C88" s="689">
        <f>(54.3*KFC!$B$21+KFC!$C$21)*KFC!$C$5</f>
        <v>54.3</v>
      </c>
      <c r="D88" s="689">
        <f>(62.4*KFC!$B$21+KFC!$C$21)*KFC!$C$5</f>
        <v>62.4</v>
      </c>
      <c r="E88" s="689">
        <f>(70.5*KFC!$B$21+KFC!$C$21)*KFC!$C$5</f>
        <v>70.5</v>
      </c>
      <c r="F88" s="689">
        <f>(78.7*KFC!$B$21+KFC!$C$21)*KFC!$C$5</f>
        <v>78.7</v>
      </c>
      <c r="G88" s="689">
        <f>(86.8*KFC!$B$21+KFC!$C$21)*KFC!$C$5</f>
        <v>86.8</v>
      </c>
      <c r="H88" s="689">
        <f>(95*KFC!$B$21+KFC!$C$21)*KFC!$C$5</f>
        <v>95</v>
      </c>
      <c r="I88" s="689">
        <f>(103.1*KFC!$B$21+KFC!$C$21)*KFC!$C$5</f>
        <v>103.1</v>
      </c>
      <c r="J88" s="689">
        <f>(111.2*KFC!$B$21+KFC!$C$21)*KFC!$C$5</f>
        <v>111.2</v>
      </c>
      <c r="K88" s="689">
        <f>(119.4*KFC!$B$21+KFC!$C$21)*KFC!$C$5</f>
        <v>119.4</v>
      </c>
      <c r="L88" s="689">
        <f>(127.5*KFC!$B$21+KFC!$C$21)*KFC!$C$5</f>
        <v>127.5</v>
      </c>
      <c r="M88" s="689">
        <f>(135.7*KFC!$B$21+KFC!$C$21)*KFC!$C$5</f>
        <v>135.69999999999999</v>
      </c>
      <c r="N88" s="689">
        <f>(143.8*KFC!$B$21+KFC!$C$21)*KFC!$C$5</f>
        <v>143.80000000000001</v>
      </c>
      <c r="O88" s="689">
        <f>(151.9*KFC!$B$21+KFC!$C$21)*KFC!$C$5</f>
        <v>151.9</v>
      </c>
      <c r="P88" s="689">
        <f>(160.1*KFC!$B$21+KFC!$C$21)*KFC!$C$5</f>
        <v>160.1</v>
      </c>
      <c r="Q88" s="689">
        <f>(168.2*KFC!$B$21+KFC!$C$21)*KFC!$C$5</f>
        <v>168.2</v>
      </c>
      <c r="R88" s="689">
        <f>(176.3*KFC!$B$21+KFC!$C$21)*KFC!$C$5</f>
        <v>176.3</v>
      </c>
      <c r="S88" s="689">
        <f>(184.5*KFC!$B$21+KFC!$C$21)*KFC!$C$5</f>
        <v>184.5</v>
      </c>
    </row>
    <row r="89" spans="1:19">
      <c r="A89" s="1728"/>
      <c r="B89" s="671">
        <v>2.8</v>
      </c>
      <c r="C89" s="689">
        <f>(55*KFC!$B$21+KFC!$C$21)*KFC!$C$5</f>
        <v>55</v>
      </c>
      <c r="D89" s="689">
        <f>(63.3*KFC!$B$21+KFC!$C$21)*KFC!$C$5</f>
        <v>63.3</v>
      </c>
      <c r="E89" s="689">
        <f>(71.6*KFC!$B$21+KFC!$C$21)*KFC!$C$5</f>
        <v>71.599999999999994</v>
      </c>
      <c r="F89" s="689">
        <f>(79.9*KFC!$B$21+KFC!$C$21)*KFC!$C$5</f>
        <v>79.900000000000006</v>
      </c>
      <c r="G89" s="689">
        <f>(88.3*KFC!$B$21+KFC!$C$21)*KFC!$C$5</f>
        <v>88.3</v>
      </c>
      <c r="H89" s="689">
        <f>(96.6*KFC!$B$21+KFC!$C$21)*KFC!$C$5</f>
        <v>96.6</v>
      </c>
      <c r="I89" s="689">
        <f>(104.9*KFC!$B$21+KFC!$C$21)*KFC!$C$5</f>
        <v>104.9</v>
      </c>
      <c r="J89" s="689">
        <f>(113.2*KFC!$B$21+KFC!$C$21)*KFC!$C$5</f>
        <v>113.2</v>
      </c>
      <c r="K89" s="689">
        <f>(121.5*KFC!$B$21+KFC!$C$21)*KFC!$C$5</f>
        <v>121.5</v>
      </c>
      <c r="L89" s="689">
        <f>(129.9*KFC!$B$21+KFC!$C$21)*KFC!$C$5</f>
        <v>129.9</v>
      </c>
      <c r="M89" s="689">
        <f>(138.2*KFC!$B$21+KFC!$C$21)*KFC!$C$5</f>
        <v>138.19999999999999</v>
      </c>
      <c r="N89" s="689">
        <f>(146.5*KFC!$B$21+KFC!$C$21)*KFC!$C$5</f>
        <v>146.5</v>
      </c>
      <c r="O89" s="689">
        <f>(154.8*KFC!$B$21+KFC!$C$21)*KFC!$C$5</f>
        <v>154.80000000000001</v>
      </c>
      <c r="P89" s="689">
        <f>(163.1*KFC!$B$21+KFC!$C$21)*KFC!$C$5</f>
        <v>163.1</v>
      </c>
      <c r="Q89" s="689">
        <f>(171.5*KFC!$B$21+KFC!$C$21)*KFC!$C$5</f>
        <v>171.5</v>
      </c>
      <c r="R89" s="689">
        <f>(179.8*KFC!$B$21+KFC!$C$21)*KFC!$C$5</f>
        <v>179.8</v>
      </c>
      <c r="S89" s="689">
        <f>(188.1*KFC!$B$21+KFC!$C$21)*KFC!$C$5</f>
        <v>188.1</v>
      </c>
    </row>
    <row r="90" spans="1:19">
      <c r="A90" s="1728"/>
      <c r="B90" s="671">
        <v>2.9</v>
      </c>
      <c r="C90" s="689">
        <f>(55.7*KFC!$B$21+KFC!$C$21)*KFC!$C$5</f>
        <v>55.7</v>
      </c>
      <c r="D90" s="689">
        <f>(64.2*KFC!$B$21+KFC!$C$21)*KFC!$C$5</f>
        <v>64.2</v>
      </c>
      <c r="E90" s="689">
        <f>(72.7*KFC!$B$21+KFC!$C$21)*KFC!$C$5</f>
        <v>72.7</v>
      </c>
      <c r="F90" s="689">
        <f>(81.2*KFC!$B$21+KFC!$C$21)*KFC!$C$5</f>
        <v>81.2</v>
      </c>
      <c r="G90" s="689">
        <f>(89.7*KFC!$B$21+KFC!$C$21)*KFC!$C$5</f>
        <v>89.7</v>
      </c>
      <c r="H90" s="689">
        <f>(98.2*KFC!$B$21+KFC!$C$21)*KFC!$C$5</f>
        <v>98.2</v>
      </c>
      <c r="I90" s="689">
        <f>(106.7*KFC!$B$21+KFC!$C$21)*KFC!$C$5</f>
        <v>106.7</v>
      </c>
      <c r="J90" s="689">
        <f>(115.2*KFC!$B$21+KFC!$C$21)*KFC!$C$5</f>
        <v>115.2</v>
      </c>
      <c r="K90" s="689">
        <f>(123.7*KFC!$B$21+KFC!$C$21)*KFC!$C$5</f>
        <v>123.7</v>
      </c>
      <c r="L90" s="689">
        <f>(132.2*KFC!$B$21+KFC!$C$21)*KFC!$C$5</f>
        <v>132.19999999999999</v>
      </c>
      <c r="M90" s="689">
        <f>(140.7*KFC!$B$21+KFC!$C$21)*KFC!$C$5</f>
        <v>140.69999999999999</v>
      </c>
      <c r="N90" s="689">
        <f>(149.2*KFC!$B$21+KFC!$C$21)*KFC!$C$5</f>
        <v>149.19999999999999</v>
      </c>
      <c r="O90" s="689">
        <f>(157.7*KFC!$B$21+KFC!$C$21)*KFC!$C$5</f>
        <v>157.69999999999999</v>
      </c>
      <c r="P90" s="689">
        <f>(166.2*KFC!$B$21+KFC!$C$21)*KFC!$C$5</f>
        <v>166.2</v>
      </c>
      <c r="Q90" s="689">
        <f>(174.7*KFC!$B$21+KFC!$C$21)*KFC!$C$5</f>
        <v>174.7</v>
      </c>
      <c r="R90" s="689">
        <f>(183.2*KFC!$B$21+KFC!$C$21)*KFC!$C$5</f>
        <v>183.2</v>
      </c>
      <c r="S90" s="689">
        <f>(191.7*KFC!$B$21+KFC!$C$21)*KFC!$C$5</f>
        <v>191.7</v>
      </c>
    </row>
    <row r="91" spans="1:19">
      <c r="A91" s="1728"/>
      <c r="B91" s="671">
        <v>3</v>
      </c>
      <c r="C91" s="689">
        <f>(56.5*KFC!$B$21+KFC!$C$21)*KFC!$C$5</f>
        <v>56.5</v>
      </c>
      <c r="D91" s="689">
        <f>(65.1*KFC!$B$21+KFC!$C$21)*KFC!$C$5</f>
        <v>65.099999999999994</v>
      </c>
      <c r="E91" s="689">
        <f>(73.8*KFC!$B$21+KFC!$C$21)*KFC!$C$5</f>
        <v>73.8</v>
      </c>
      <c r="F91" s="689">
        <f>(82.5*KFC!$B$21+KFC!$C$21)*KFC!$C$5</f>
        <v>82.5</v>
      </c>
      <c r="G91" s="689">
        <f>(91.2*KFC!$B$21+KFC!$C$21)*KFC!$C$5</f>
        <v>91.2</v>
      </c>
      <c r="H91" s="689">
        <f>(99.8*KFC!$B$21+KFC!$C$21)*KFC!$C$5</f>
        <v>99.8</v>
      </c>
      <c r="I91" s="689">
        <f>(108.5*KFC!$B$21+KFC!$C$21)*KFC!$C$5</f>
        <v>108.5</v>
      </c>
      <c r="J91" s="689">
        <f>(117.2*KFC!$B$21+KFC!$C$21)*KFC!$C$5</f>
        <v>117.2</v>
      </c>
      <c r="K91" s="689">
        <f>(125.9*KFC!$B$21+KFC!$C$21)*KFC!$C$5</f>
        <v>125.9</v>
      </c>
      <c r="L91" s="689">
        <f>(134.6*KFC!$B$21+KFC!$C$21)*KFC!$C$5</f>
        <v>134.6</v>
      </c>
      <c r="M91" s="689">
        <f>(143.3*KFC!$B$21+KFC!$C$21)*KFC!$C$5</f>
        <v>143.30000000000001</v>
      </c>
      <c r="N91" s="689">
        <f>(151.9*KFC!$B$21+KFC!$C$21)*KFC!$C$5</f>
        <v>151.9</v>
      </c>
      <c r="O91" s="689">
        <f>(160.6*KFC!$B$21+KFC!$C$21)*KFC!$C$5</f>
        <v>160.6</v>
      </c>
      <c r="P91" s="689">
        <f>(169.3*KFC!$B$21+KFC!$C$21)*KFC!$C$5</f>
        <v>169.3</v>
      </c>
      <c r="Q91" s="689">
        <f>(178*KFC!$B$21+KFC!$C$21)*KFC!$C$5</f>
        <v>178</v>
      </c>
      <c r="R91" s="689">
        <f>(186.7*KFC!$B$21+KFC!$C$21)*KFC!$C$5</f>
        <v>186.7</v>
      </c>
      <c r="S91" s="689">
        <f>(195.3*KFC!$B$21+KFC!$C$21)*KFC!$C$5</f>
        <v>195.3</v>
      </c>
    </row>
    <row r="93" spans="1:19">
      <c r="A93" s="1733" t="s">
        <v>1012</v>
      </c>
      <c r="B93" s="1734"/>
      <c r="C93" s="1735" t="s">
        <v>207</v>
      </c>
      <c r="D93" s="1736"/>
      <c r="E93" s="1736"/>
      <c r="F93" s="1736"/>
      <c r="G93" s="1736"/>
      <c r="H93" s="1736"/>
      <c r="I93" s="1736"/>
      <c r="J93" s="1736"/>
      <c r="K93" s="1736"/>
      <c r="L93" s="1736"/>
      <c r="M93" s="1736"/>
      <c r="N93" s="1736"/>
      <c r="O93" s="1736"/>
      <c r="P93" s="1736"/>
      <c r="Q93" s="1736"/>
      <c r="R93" s="1736"/>
      <c r="S93" s="1737"/>
    </row>
    <row r="94" spans="1:19">
      <c r="A94" s="1734"/>
      <c r="B94" s="1734"/>
      <c r="C94" s="671">
        <v>0.4</v>
      </c>
      <c r="D94" s="671">
        <v>0.5</v>
      </c>
      <c r="E94" s="671">
        <v>0.6</v>
      </c>
      <c r="F94" s="671">
        <v>0.7</v>
      </c>
      <c r="G94" s="671">
        <v>0.8</v>
      </c>
      <c r="H94" s="671">
        <v>0.9</v>
      </c>
      <c r="I94" s="671">
        <v>1</v>
      </c>
      <c r="J94" s="671">
        <v>1.1000000000000001</v>
      </c>
      <c r="K94" s="671">
        <v>1.2</v>
      </c>
      <c r="L94" s="671">
        <v>1.3</v>
      </c>
      <c r="M94" s="671">
        <v>1.4</v>
      </c>
      <c r="N94" s="671">
        <v>1.5</v>
      </c>
      <c r="O94" s="671">
        <v>1.6</v>
      </c>
      <c r="P94" s="671">
        <v>1.7</v>
      </c>
      <c r="Q94" s="671">
        <v>1.8</v>
      </c>
      <c r="R94" s="671">
        <v>1.9</v>
      </c>
      <c r="S94" s="671">
        <v>2</v>
      </c>
    </row>
    <row r="95" spans="1:19">
      <c r="A95" s="1728" t="s">
        <v>3</v>
      </c>
      <c r="B95" s="671">
        <v>0.5</v>
      </c>
      <c r="C95" s="689">
        <f>(40*KFC!$B$21+KFC!$C$21)*KFC!$C$5</f>
        <v>40</v>
      </c>
      <c r="D95" s="689">
        <f>(44.6*KFC!$B$21+KFC!$C$21)*KFC!$C$5</f>
        <v>44.6</v>
      </c>
      <c r="E95" s="689">
        <f>(49.2*KFC!$B$21+KFC!$C$21)*KFC!$C$5</f>
        <v>49.2</v>
      </c>
      <c r="F95" s="689">
        <f>(53.7*KFC!$B$21+KFC!$C$21)*KFC!$C$5</f>
        <v>53.7</v>
      </c>
      <c r="G95" s="689">
        <f>(58.3*KFC!$B$21+KFC!$C$21)*KFC!$C$5</f>
        <v>58.3</v>
      </c>
      <c r="H95" s="689">
        <f>(62.9*KFC!$B$21+KFC!$C$21)*KFC!$C$5</f>
        <v>62.9</v>
      </c>
      <c r="I95" s="689">
        <f>(67.4*KFC!$B$21+KFC!$C$21)*KFC!$C$5</f>
        <v>67.400000000000006</v>
      </c>
      <c r="J95" s="689">
        <f>(72*KFC!$B$21+KFC!$C$21)*KFC!$C$5</f>
        <v>72</v>
      </c>
      <c r="K95" s="689">
        <f>(76.6*KFC!$B$21+KFC!$C$21)*KFC!$C$5</f>
        <v>76.599999999999994</v>
      </c>
      <c r="L95" s="689">
        <f>(81.2*KFC!$B$21+KFC!$C$21)*KFC!$C$5</f>
        <v>81.2</v>
      </c>
      <c r="M95" s="689">
        <f>(85.7*KFC!$B$21+KFC!$C$21)*KFC!$C$5</f>
        <v>85.7</v>
      </c>
      <c r="N95" s="689">
        <f>(90.3*KFC!$B$21+KFC!$C$21)*KFC!$C$5</f>
        <v>90.3</v>
      </c>
      <c r="O95" s="689">
        <f>(94.9*KFC!$B$21+KFC!$C$21)*KFC!$C$5</f>
        <v>94.9</v>
      </c>
      <c r="P95" s="689">
        <f>(99.4*KFC!$B$21+KFC!$C$21)*KFC!$C$5</f>
        <v>99.4</v>
      </c>
      <c r="Q95" s="689">
        <f>(104*KFC!$B$21+KFC!$C$21)*KFC!$C$5</f>
        <v>104</v>
      </c>
      <c r="R95" s="689">
        <f>(108.6*KFC!$B$21+KFC!$C$21)*KFC!$C$5</f>
        <v>108.6</v>
      </c>
      <c r="S95" s="689">
        <f>(113.1*KFC!$B$21+KFC!$C$21)*KFC!$C$5</f>
        <v>113.1</v>
      </c>
    </row>
    <row r="96" spans="1:19">
      <c r="A96" s="1728"/>
      <c r="B96" s="671">
        <v>0.6</v>
      </c>
      <c r="C96" s="689">
        <f>(41.1*KFC!$B$21+KFC!$C$21)*KFC!$C$5</f>
        <v>41.1</v>
      </c>
      <c r="D96" s="689">
        <f>(45.9*KFC!$B$21+KFC!$C$21)*KFC!$C$5</f>
        <v>45.9</v>
      </c>
      <c r="E96" s="689">
        <f>(50.8*KFC!$B$21+KFC!$C$21)*KFC!$C$5</f>
        <v>50.8</v>
      </c>
      <c r="F96" s="689">
        <f>(55.6*KFC!$B$21+KFC!$C$21)*KFC!$C$5</f>
        <v>55.6</v>
      </c>
      <c r="G96" s="689">
        <f>(60.4*KFC!$B$21+KFC!$C$21)*KFC!$C$5</f>
        <v>60.4</v>
      </c>
      <c r="H96" s="689">
        <f>(65.3*KFC!$B$21+KFC!$C$21)*KFC!$C$5</f>
        <v>65.3</v>
      </c>
      <c r="I96" s="689">
        <f>(70.1*KFC!$B$21+KFC!$C$21)*KFC!$C$5</f>
        <v>70.099999999999994</v>
      </c>
      <c r="J96" s="689">
        <f>(74.9*KFC!$B$21+KFC!$C$21)*KFC!$C$5</f>
        <v>74.900000000000006</v>
      </c>
      <c r="K96" s="689">
        <f>(79.8*KFC!$B$21+KFC!$C$21)*KFC!$C$5</f>
        <v>79.8</v>
      </c>
      <c r="L96" s="689">
        <f>(84.6*KFC!$B$21+KFC!$C$21)*KFC!$C$5</f>
        <v>84.6</v>
      </c>
      <c r="M96" s="689">
        <f>(89.4*KFC!$B$21+KFC!$C$21)*KFC!$C$5</f>
        <v>89.4</v>
      </c>
      <c r="N96" s="689">
        <f>(94.3*KFC!$B$21+KFC!$C$21)*KFC!$C$5</f>
        <v>94.3</v>
      </c>
      <c r="O96" s="689">
        <f>(99.1*KFC!$B$21+KFC!$C$21)*KFC!$C$5</f>
        <v>99.1</v>
      </c>
      <c r="P96" s="689">
        <f>(103.9*KFC!$B$21+KFC!$C$21)*KFC!$C$5</f>
        <v>103.9</v>
      </c>
      <c r="Q96" s="689">
        <f>(108.8*KFC!$B$21+KFC!$C$21)*KFC!$C$5</f>
        <v>108.8</v>
      </c>
      <c r="R96" s="689">
        <f>(113.6*KFC!$B$21+KFC!$C$21)*KFC!$C$5</f>
        <v>113.6</v>
      </c>
      <c r="S96" s="689">
        <f>(118.4*KFC!$B$21+KFC!$C$21)*KFC!$C$5</f>
        <v>118.4</v>
      </c>
    </row>
    <row r="97" spans="1:19">
      <c r="A97" s="1728"/>
      <c r="B97" s="671">
        <v>0.7</v>
      </c>
      <c r="C97" s="689">
        <f>(42.1*KFC!$B$21+KFC!$C$21)*KFC!$C$5</f>
        <v>42.1</v>
      </c>
      <c r="D97" s="689">
        <f>(47.2*KFC!$B$21+KFC!$C$21)*KFC!$C$5</f>
        <v>47.2</v>
      </c>
      <c r="E97" s="689">
        <f>(52.3*KFC!$B$21+KFC!$C$21)*KFC!$C$5</f>
        <v>52.3</v>
      </c>
      <c r="F97" s="689">
        <f>(57.4*KFC!$B$21+KFC!$C$21)*KFC!$C$5</f>
        <v>57.4</v>
      </c>
      <c r="G97" s="689">
        <f>(62.5*KFC!$B$21+KFC!$C$21)*KFC!$C$5</f>
        <v>62.5</v>
      </c>
      <c r="H97" s="689">
        <f>(67.6*KFC!$B$21+KFC!$C$21)*KFC!$C$5</f>
        <v>67.599999999999994</v>
      </c>
      <c r="I97" s="689">
        <f>(72.7*KFC!$B$21+KFC!$C$21)*KFC!$C$5</f>
        <v>72.7</v>
      </c>
      <c r="J97" s="689">
        <f>(77.8*KFC!$B$21+KFC!$C$21)*KFC!$C$5</f>
        <v>77.8</v>
      </c>
      <c r="K97" s="689">
        <f>(82.9*KFC!$B$21+KFC!$C$21)*KFC!$C$5</f>
        <v>82.9</v>
      </c>
      <c r="L97" s="689">
        <f>(88*KFC!$B$21+KFC!$C$21)*KFC!$C$5</f>
        <v>88</v>
      </c>
      <c r="M97" s="689">
        <f>(93.1*KFC!$B$21+KFC!$C$21)*KFC!$C$5</f>
        <v>93.1</v>
      </c>
      <c r="N97" s="689">
        <f>(98.2*KFC!$B$21+KFC!$C$21)*KFC!$C$5</f>
        <v>98.2</v>
      </c>
      <c r="O97" s="689">
        <f>(103.3*KFC!$B$21+KFC!$C$21)*KFC!$C$5</f>
        <v>103.3</v>
      </c>
      <c r="P97" s="689">
        <f>(108.4*KFC!$B$21+KFC!$C$21)*KFC!$C$5</f>
        <v>108.4</v>
      </c>
      <c r="Q97" s="689">
        <f>(113.5*KFC!$B$21+KFC!$C$21)*KFC!$C$5</f>
        <v>113.5</v>
      </c>
      <c r="R97" s="689">
        <f>(118.6*KFC!$B$21+KFC!$C$21)*KFC!$C$5</f>
        <v>118.6</v>
      </c>
      <c r="S97" s="689">
        <f>(123.7*KFC!$B$21+KFC!$C$21)*KFC!$C$5</f>
        <v>123.7</v>
      </c>
    </row>
    <row r="98" spans="1:19">
      <c r="A98" s="1728"/>
      <c r="B98" s="671">
        <v>0.8</v>
      </c>
      <c r="C98" s="689">
        <f>(43.2*KFC!$B$21+KFC!$C$21)*KFC!$C$5</f>
        <v>43.2</v>
      </c>
      <c r="D98" s="689">
        <f>(48.6*KFC!$B$21+KFC!$C$21)*KFC!$C$5</f>
        <v>48.6</v>
      </c>
      <c r="E98" s="689">
        <f>(53.9*KFC!$B$21+KFC!$C$21)*KFC!$C$5</f>
        <v>53.9</v>
      </c>
      <c r="F98" s="689">
        <f>(59.3*KFC!$B$21+KFC!$C$21)*KFC!$C$5</f>
        <v>59.3</v>
      </c>
      <c r="G98" s="689">
        <f>(64.7*KFC!$B$21+KFC!$C$21)*KFC!$C$5</f>
        <v>64.7</v>
      </c>
      <c r="H98" s="689">
        <f>(70*KFC!$B$21+KFC!$C$21)*KFC!$C$5</f>
        <v>70</v>
      </c>
      <c r="I98" s="689">
        <f>(75.4*KFC!$B$21+KFC!$C$21)*KFC!$C$5</f>
        <v>75.400000000000006</v>
      </c>
      <c r="J98" s="689">
        <f>(80.8*KFC!$B$21+KFC!$C$21)*KFC!$C$5</f>
        <v>80.8</v>
      </c>
      <c r="K98" s="689">
        <f>(86.1*KFC!$B$21+KFC!$C$21)*KFC!$C$5</f>
        <v>86.1</v>
      </c>
      <c r="L98" s="689">
        <f>(91.5*KFC!$B$21+KFC!$C$21)*KFC!$C$5</f>
        <v>91.5</v>
      </c>
      <c r="M98" s="689">
        <f>(96.8*KFC!$B$21+KFC!$C$21)*KFC!$C$5</f>
        <v>96.8</v>
      </c>
      <c r="N98" s="689">
        <f>(102.2*KFC!$B$21+KFC!$C$21)*KFC!$C$5</f>
        <v>102.2</v>
      </c>
      <c r="O98" s="689">
        <f>(107.6*KFC!$B$21+KFC!$C$21)*KFC!$C$5</f>
        <v>107.6</v>
      </c>
      <c r="P98" s="689">
        <f>(112.9*KFC!$B$21+KFC!$C$21)*KFC!$C$5</f>
        <v>112.9</v>
      </c>
      <c r="Q98" s="689">
        <f>(118.3*KFC!$B$21+KFC!$C$21)*KFC!$C$5</f>
        <v>118.3</v>
      </c>
      <c r="R98" s="689">
        <f>(123.7*KFC!$B$21+KFC!$C$21)*KFC!$C$5</f>
        <v>123.7</v>
      </c>
      <c r="S98" s="689">
        <f>(129*KFC!$B$21+KFC!$C$21)*KFC!$C$5</f>
        <v>129</v>
      </c>
    </row>
    <row r="99" spans="1:19">
      <c r="A99" s="1728"/>
      <c r="B99" s="671">
        <v>0.9</v>
      </c>
      <c r="C99" s="689">
        <f>(44.3*KFC!$B$21+KFC!$C$21)*KFC!$C$5</f>
        <v>44.3</v>
      </c>
      <c r="D99" s="689">
        <f>(49.9*KFC!$B$21+KFC!$C$21)*KFC!$C$5</f>
        <v>49.9</v>
      </c>
      <c r="E99" s="689">
        <f>(55.5*KFC!$B$21+KFC!$C$21)*KFC!$C$5</f>
        <v>55.5</v>
      </c>
      <c r="F99" s="689">
        <f>(61.2*KFC!$B$21+KFC!$C$21)*KFC!$C$5</f>
        <v>61.2</v>
      </c>
      <c r="G99" s="689">
        <f>(66.8*KFC!$B$21+KFC!$C$21)*KFC!$C$5</f>
        <v>66.8</v>
      </c>
      <c r="H99" s="689">
        <f>(72.4*KFC!$B$21+KFC!$C$21)*KFC!$C$5</f>
        <v>72.400000000000006</v>
      </c>
      <c r="I99" s="689">
        <f>(78*KFC!$B$21+KFC!$C$21)*KFC!$C$5</f>
        <v>78</v>
      </c>
      <c r="J99" s="689">
        <f>(83.7*KFC!$B$21+KFC!$C$21)*KFC!$C$5</f>
        <v>83.7</v>
      </c>
      <c r="K99" s="689">
        <f>(89.3*KFC!$B$21+KFC!$C$21)*KFC!$C$5</f>
        <v>89.3</v>
      </c>
      <c r="L99" s="689">
        <f>(94.9*KFC!$B$21+KFC!$C$21)*KFC!$C$5</f>
        <v>94.9</v>
      </c>
      <c r="M99" s="689">
        <f>(100.6*KFC!$B$21+KFC!$C$21)*KFC!$C$5</f>
        <v>100.6</v>
      </c>
      <c r="N99" s="689">
        <f>(106.2*KFC!$B$21+KFC!$C$21)*KFC!$C$5</f>
        <v>106.2</v>
      </c>
      <c r="O99" s="689">
        <f>(111.8*KFC!$B$21+KFC!$C$21)*KFC!$C$5</f>
        <v>111.8</v>
      </c>
      <c r="P99" s="689">
        <f>(117.5*KFC!$B$21+KFC!$C$21)*KFC!$C$5</f>
        <v>117.5</v>
      </c>
      <c r="Q99" s="689">
        <f>(123.1*KFC!$B$21+KFC!$C$21)*KFC!$C$5</f>
        <v>123.1</v>
      </c>
      <c r="R99" s="689">
        <f>(128.7*KFC!$B$21+KFC!$C$21)*KFC!$C$5</f>
        <v>128.69999999999999</v>
      </c>
      <c r="S99" s="689">
        <f>(134.3*KFC!$B$21+KFC!$C$21)*KFC!$C$5</f>
        <v>134.30000000000001</v>
      </c>
    </row>
    <row r="100" spans="1:19">
      <c r="A100" s="1728"/>
      <c r="B100" s="671">
        <v>1</v>
      </c>
      <c r="C100" s="689">
        <f>(45.3*KFC!$B$21+KFC!$C$21)*KFC!$C$5</f>
        <v>45.3</v>
      </c>
      <c r="D100" s="689">
        <f>(51.2*KFC!$B$21+KFC!$C$21)*KFC!$C$5</f>
        <v>51.2</v>
      </c>
      <c r="E100" s="689">
        <f>(57.1*KFC!$B$21+KFC!$C$21)*KFC!$C$5</f>
        <v>57.1</v>
      </c>
      <c r="F100" s="689">
        <f>(63*KFC!$B$21+KFC!$C$21)*KFC!$C$5</f>
        <v>63</v>
      </c>
      <c r="G100" s="689">
        <f>(68.9*KFC!$B$21+KFC!$C$21)*KFC!$C$5</f>
        <v>68.900000000000006</v>
      </c>
      <c r="H100" s="689">
        <f>(74.8*KFC!$B$21+KFC!$C$21)*KFC!$C$5</f>
        <v>74.8</v>
      </c>
      <c r="I100" s="689">
        <f>(80.7*KFC!$B$21+KFC!$C$21)*KFC!$C$5</f>
        <v>80.7</v>
      </c>
      <c r="J100" s="689">
        <f>(86.6*KFC!$B$21+KFC!$C$21)*KFC!$C$5</f>
        <v>86.6</v>
      </c>
      <c r="K100" s="689">
        <f>(92.5*KFC!$B$21+KFC!$C$21)*KFC!$C$5</f>
        <v>92.5</v>
      </c>
      <c r="L100" s="689">
        <f>(98.4*KFC!$B$21+KFC!$C$21)*KFC!$C$5</f>
        <v>98.4</v>
      </c>
      <c r="M100" s="689">
        <f>(104.3*KFC!$B$21+KFC!$C$21)*KFC!$C$5</f>
        <v>104.3</v>
      </c>
      <c r="N100" s="689">
        <f>(110.2*KFC!$B$21+KFC!$C$21)*KFC!$C$5</f>
        <v>110.2</v>
      </c>
      <c r="O100" s="689">
        <f>(116.1*KFC!$B$21+KFC!$C$21)*KFC!$C$5</f>
        <v>116.1</v>
      </c>
      <c r="P100" s="689">
        <f>(122*KFC!$B$21+KFC!$C$21)*KFC!$C$5</f>
        <v>122</v>
      </c>
      <c r="Q100" s="689">
        <f>(127.9*KFC!$B$21+KFC!$C$21)*KFC!$C$5</f>
        <v>127.9</v>
      </c>
      <c r="R100" s="689">
        <f>(133.7*KFC!$B$21+KFC!$C$21)*KFC!$C$5</f>
        <v>133.69999999999999</v>
      </c>
      <c r="S100" s="689">
        <f>(139.6*KFC!$B$21+KFC!$C$21)*KFC!$C$5</f>
        <v>139.6</v>
      </c>
    </row>
    <row r="101" spans="1:19" ht="13.5" customHeight="1">
      <c r="A101" s="1728"/>
      <c r="B101" s="671">
        <v>1.1000000000000001</v>
      </c>
      <c r="C101" s="689">
        <f>(46.4*KFC!$B$21+KFC!$C$21)*KFC!$C$5</f>
        <v>46.4</v>
      </c>
      <c r="D101" s="689">
        <f>(52.5*KFC!$B$21+KFC!$C$21)*KFC!$C$5</f>
        <v>52.5</v>
      </c>
      <c r="E101" s="689">
        <f>(58.7*KFC!$B$21+KFC!$C$21)*KFC!$C$5</f>
        <v>58.7</v>
      </c>
      <c r="F101" s="689">
        <f>(64.9*KFC!$B$21+KFC!$C$21)*KFC!$C$5</f>
        <v>64.900000000000006</v>
      </c>
      <c r="G101" s="689">
        <f>(71*KFC!$B$21+KFC!$C$21)*KFC!$C$5</f>
        <v>71</v>
      </c>
      <c r="H101" s="689">
        <f>(77.2*KFC!$B$21+KFC!$C$21)*KFC!$C$5</f>
        <v>77.2</v>
      </c>
      <c r="I101" s="689">
        <f>(83.3*KFC!$B$21+KFC!$C$21)*KFC!$C$5</f>
        <v>83.3</v>
      </c>
      <c r="J101" s="689">
        <f>(89.5*KFC!$B$21+KFC!$C$21)*KFC!$C$5</f>
        <v>89.5</v>
      </c>
      <c r="K101" s="689">
        <f>(95.7*KFC!$B$21+KFC!$C$21)*KFC!$C$5</f>
        <v>95.7</v>
      </c>
      <c r="L101" s="689">
        <f>(101.8*KFC!$B$21+KFC!$C$21)*KFC!$C$5</f>
        <v>101.8</v>
      </c>
      <c r="M101" s="689">
        <f>(108*KFC!$B$21+KFC!$C$21)*KFC!$C$5</f>
        <v>108</v>
      </c>
      <c r="N101" s="689">
        <f>(114.1*KFC!$B$21+KFC!$C$21)*KFC!$C$5</f>
        <v>114.1</v>
      </c>
      <c r="O101" s="689">
        <f>(120.3*KFC!$B$21+KFC!$C$21)*KFC!$C$5</f>
        <v>120.3</v>
      </c>
      <c r="P101" s="689">
        <f>(126.5*KFC!$B$21+KFC!$C$21)*KFC!$C$5</f>
        <v>126.5</v>
      </c>
      <c r="Q101" s="689">
        <f>(132.6*KFC!$B$21+KFC!$C$21)*KFC!$C$5</f>
        <v>132.6</v>
      </c>
      <c r="R101" s="689">
        <f>(138.8*KFC!$B$21+KFC!$C$21)*KFC!$C$5</f>
        <v>138.80000000000001</v>
      </c>
      <c r="S101" s="689">
        <f>(144.9*KFC!$B$21+KFC!$C$21)*KFC!$C$5</f>
        <v>144.9</v>
      </c>
    </row>
    <row r="102" spans="1:19">
      <c r="A102" s="1728"/>
      <c r="B102" s="671">
        <v>1.2</v>
      </c>
      <c r="C102" s="689">
        <f>(47.4*KFC!$B$21+KFC!$C$21)*KFC!$C$5</f>
        <v>47.4</v>
      </c>
      <c r="D102" s="689">
        <f>(53.9*KFC!$B$21+KFC!$C$21)*KFC!$C$5</f>
        <v>53.9</v>
      </c>
      <c r="E102" s="689">
        <f>(60.3*KFC!$B$21+KFC!$C$21)*KFC!$C$5</f>
        <v>60.3</v>
      </c>
      <c r="F102" s="689">
        <f>(66.7*KFC!$B$21+KFC!$C$21)*KFC!$C$5</f>
        <v>66.7</v>
      </c>
      <c r="G102" s="689">
        <f>(73.1*KFC!$B$21+KFC!$C$21)*KFC!$C$5</f>
        <v>73.099999999999994</v>
      </c>
      <c r="H102" s="689">
        <f>(79.6*KFC!$B$21+KFC!$C$21)*KFC!$C$5</f>
        <v>79.599999999999994</v>
      </c>
      <c r="I102" s="689">
        <f>(86*KFC!$B$21+KFC!$C$21)*KFC!$C$5</f>
        <v>86</v>
      </c>
      <c r="J102" s="689">
        <f>(92.4*KFC!$B$21+KFC!$C$21)*KFC!$C$5</f>
        <v>92.4</v>
      </c>
      <c r="K102" s="689">
        <f>(98.8*KFC!$B$21+KFC!$C$21)*KFC!$C$5</f>
        <v>98.8</v>
      </c>
      <c r="L102" s="689">
        <f>(105.3*KFC!$B$21+KFC!$C$21)*KFC!$C$5</f>
        <v>105.3</v>
      </c>
      <c r="M102" s="689">
        <f>(111.7*KFC!$B$21+KFC!$C$21)*KFC!$C$5</f>
        <v>111.7</v>
      </c>
      <c r="N102" s="689">
        <f>(118.1*KFC!$B$21+KFC!$C$21)*KFC!$C$5</f>
        <v>118.1</v>
      </c>
      <c r="O102" s="689">
        <f>(124.5*KFC!$B$21+KFC!$C$21)*KFC!$C$5</f>
        <v>124.5</v>
      </c>
      <c r="P102" s="689">
        <f>(131*KFC!$B$21+KFC!$C$21)*KFC!$C$5</f>
        <v>131</v>
      </c>
      <c r="Q102" s="689">
        <f>(137.4*KFC!$B$21+KFC!$C$21)*KFC!$C$5</f>
        <v>137.4</v>
      </c>
      <c r="R102" s="689">
        <f>(143.8*KFC!$B$21+KFC!$C$21)*KFC!$C$5</f>
        <v>143.80000000000001</v>
      </c>
      <c r="S102" s="689">
        <f>(150.2*KFC!$B$21+KFC!$C$21)*KFC!$C$5</f>
        <v>150.19999999999999</v>
      </c>
    </row>
    <row r="103" spans="1:19" ht="12.75" customHeight="1">
      <c r="A103" s="1728"/>
      <c r="B103" s="671">
        <v>1.3</v>
      </c>
      <c r="C103" s="689">
        <f>(48.5*KFC!$B$21+KFC!$C$21)*KFC!$C$5</f>
        <v>48.5</v>
      </c>
      <c r="D103" s="689">
        <f>(55.2*KFC!$B$21+KFC!$C$21)*KFC!$C$5</f>
        <v>55.2</v>
      </c>
      <c r="E103" s="689">
        <f>(61.9*KFC!$B$21+KFC!$C$21)*KFC!$C$5</f>
        <v>61.9</v>
      </c>
      <c r="F103" s="689">
        <f>(68.6*KFC!$B$21+KFC!$C$21)*KFC!$C$5</f>
        <v>68.599999999999994</v>
      </c>
      <c r="G103" s="689">
        <f>(75.3*KFC!$B$21+KFC!$C$21)*KFC!$C$5</f>
        <v>75.3</v>
      </c>
      <c r="H103" s="689">
        <f>(81.9*KFC!$B$21+KFC!$C$21)*KFC!$C$5</f>
        <v>81.900000000000006</v>
      </c>
      <c r="I103" s="689">
        <f>(88.6*KFC!$B$21+KFC!$C$21)*KFC!$C$5</f>
        <v>88.6</v>
      </c>
      <c r="J103" s="689">
        <f>(95.3*KFC!$B$21+KFC!$C$21)*KFC!$C$5</f>
        <v>95.3</v>
      </c>
      <c r="K103" s="689">
        <f>(102*KFC!$B$21+KFC!$C$21)*KFC!$C$5</f>
        <v>102</v>
      </c>
      <c r="L103" s="689">
        <f>(108.7*KFC!$B$21+KFC!$C$21)*KFC!$C$5</f>
        <v>108.7</v>
      </c>
      <c r="M103" s="689">
        <f>(115.4*KFC!$B$21+KFC!$C$21)*KFC!$C$5</f>
        <v>115.4</v>
      </c>
      <c r="N103" s="689">
        <f>(122.1*KFC!$B$21+KFC!$C$21)*KFC!$C$5</f>
        <v>122.1</v>
      </c>
      <c r="O103" s="689">
        <f>(128.8*KFC!$B$21+KFC!$C$21)*KFC!$C$5</f>
        <v>128.80000000000001</v>
      </c>
      <c r="P103" s="689">
        <f>(135.5*KFC!$B$21+KFC!$C$21)*KFC!$C$5</f>
        <v>135.5</v>
      </c>
      <c r="Q103" s="689">
        <f>(142.2*KFC!$B$21+KFC!$C$21)*KFC!$C$5</f>
        <v>142.19999999999999</v>
      </c>
      <c r="R103" s="689">
        <f>(148.9*KFC!$B$21+KFC!$C$21)*KFC!$C$5</f>
        <v>148.9</v>
      </c>
      <c r="S103" s="689">
        <f>(155.5*KFC!$B$21+KFC!$C$21)*KFC!$C$5</f>
        <v>155.5</v>
      </c>
    </row>
    <row r="104" spans="1:19">
      <c r="A104" s="1728"/>
      <c r="B104" s="671">
        <v>1.4</v>
      </c>
      <c r="C104" s="689">
        <f>(49.6*KFC!$B$21+KFC!$C$21)*KFC!$C$5</f>
        <v>49.6</v>
      </c>
      <c r="D104" s="689">
        <f>(56.5*KFC!$B$21+KFC!$C$21)*KFC!$C$5</f>
        <v>56.5</v>
      </c>
      <c r="E104" s="689">
        <f>(63.5*KFC!$B$21+KFC!$C$21)*KFC!$C$5</f>
        <v>63.5</v>
      </c>
      <c r="F104" s="689">
        <f>(70.4*KFC!$B$21+KFC!$C$21)*KFC!$C$5</f>
        <v>70.400000000000006</v>
      </c>
      <c r="G104" s="689">
        <f>(77.4*KFC!$B$21+KFC!$C$21)*KFC!$C$5</f>
        <v>77.400000000000006</v>
      </c>
      <c r="H104" s="689">
        <f>(84.3*KFC!$B$21+KFC!$C$21)*KFC!$C$5</f>
        <v>84.3</v>
      </c>
      <c r="I104" s="689">
        <f>(91.3*KFC!$B$21+KFC!$C$21)*KFC!$C$5</f>
        <v>91.3</v>
      </c>
      <c r="J104" s="689">
        <f>(98.2*KFC!$B$21+KFC!$C$21)*KFC!$C$5</f>
        <v>98.2</v>
      </c>
      <c r="K104" s="689">
        <f>(105.2*KFC!$B$21+KFC!$C$21)*KFC!$C$5</f>
        <v>105.2</v>
      </c>
      <c r="L104" s="689">
        <f>(112.2*KFC!$B$21+KFC!$C$21)*KFC!$C$5</f>
        <v>112.2</v>
      </c>
      <c r="M104" s="689">
        <f>(119.1*KFC!$B$21+KFC!$C$21)*KFC!$C$5</f>
        <v>119.1</v>
      </c>
      <c r="N104" s="689">
        <f>(126.1*KFC!$B$21+KFC!$C$21)*KFC!$C$5</f>
        <v>126.1</v>
      </c>
      <c r="O104" s="689">
        <f>(133*KFC!$B$21+KFC!$C$21)*KFC!$C$5</f>
        <v>133</v>
      </c>
      <c r="P104" s="689">
        <f>(140*KFC!$B$21+KFC!$C$21)*KFC!$C$5</f>
        <v>140</v>
      </c>
      <c r="Q104" s="689">
        <f>(146.9*KFC!$B$21+KFC!$C$21)*KFC!$C$5</f>
        <v>146.9</v>
      </c>
      <c r="R104" s="689">
        <f>(153.9*KFC!$B$21+KFC!$C$21)*KFC!$C$5</f>
        <v>153.9</v>
      </c>
      <c r="S104" s="689">
        <f>(160.8*KFC!$B$21+KFC!$C$21)*KFC!$C$5</f>
        <v>160.80000000000001</v>
      </c>
    </row>
    <row r="105" spans="1:19">
      <c r="A105" s="1728"/>
      <c r="B105" s="671">
        <v>1.5</v>
      </c>
      <c r="C105" s="689">
        <f>(50.6*KFC!$B$21+KFC!$C$21)*KFC!$C$5</f>
        <v>50.6</v>
      </c>
      <c r="D105" s="689">
        <f>(57.8*KFC!$B$21+KFC!$C$21)*KFC!$C$5</f>
        <v>57.8</v>
      </c>
      <c r="E105" s="689">
        <f>(65.1*KFC!$B$21+KFC!$C$21)*KFC!$C$5</f>
        <v>65.099999999999994</v>
      </c>
      <c r="F105" s="689">
        <f>(72.3*KFC!$B$21+KFC!$C$21)*KFC!$C$5</f>
        <v>72.3</v>
      </c>
      <c r="G105" s="689">
        <f>(79.5*KFC!$B$21+KFC!$C$21)*KFC!$C$5</f>
        <v>79.5</v>
      </c>
      <c r="H105" s="689">
        <f>(86.7*KFC!$B$21+KFC!$C$21)*KFC!$C$5</f>
        <v>86.7</v>
      </c>
      <c r="I105" s="689">
        <f>(93.9*KFC!$B$21+KFC!$C$21)*KFC!$C$5</f>
        <v>93.9</v>
      </c>
      <c r="J105" s="689">
        <f>(101.2*KFC!$B$21+KFC!$C$21)*KFC!$C$5</f>
        <v>101.2</v>
      </c>
      <c r="K105" s="689">
        <f>(108.4*KFC!$B$21+KFC!$C$21)*KFC!$C$5</f>
        <v>108.4</v>
      </c>
      <c r="L105" s="689">
        <f>(115.6*KFC!$B$21+KFC!$C$21)*KFC!$C$5</f>
        <v>115.6</v>
      </c>
      <c r="M105" s="689">
        <f>(122.8*KFC!$B$21+KFC!$C$21)*KFC!$C$5</f>
        <v>122.8</v>
      </c>
      <c r="N105" s="689">
        <f>(130*KFC!$B$21+KFC!$C$21)*KFC!$C$5</f>
        <v>130</v>
      </c>
      <c r="O105" s="689">
        <f>(137.3*KFC!$B$21+KFC!$C$21)*KFC!$C$5</f>
        <v>137.30000000000001</v>
      </c>
      <c r="P105" s="689">
        <f>(144.5*KFC!$B$21+KFC!$C$21)*KFC!$C$5</f>
        <v>144.5</v>
      </c>
      <c r="Q105" s="689">
        <f>(151.7*KFC!$B$21+KFC!$C$21)*KFC!$C$5</f>
        <v>151.69999999999999</v>
      </c>
      <c r="R105" s="689">
        <f>(158.9*KFC!$B$21+KFC!$C$21)*KFC!$C$5</f>
        <v>158.9</v>
      </c>
      <c r="S105" s="689">
        <f>(166.1*KFC!$B$21+KFC!$C$21)*KFC!$C$5</f>
        <v>166.1</v>
      </c>
    </row>
    <row r="106" spans="1:19">
      <c r="A106" s="1728"/>
      <c r="B106" s="671">
        <v>1.6</v>
      </c>
      <c r="C106" s="689">
        <f>(51.7*KFC!$B$21+KFC!$C$21)*KFC!$C$5</f>
        <v>51.7</v>
      </c>
      <c r="D106" s="689">
        <f>(59.2*KFC!$B$21+KFC!$C$21)*KFC!$C$5</f>
        <v>59.2</v>
      </c>
      <c r="E106" s="689">
        <f>(66.7*KFC!$B$21+KFC!$C$21)*KFC!$C$5</f>
        <v>66.7</v>
      </c>
      <c r="F106" s="689">
        <f>(74.1*KFC!$B$21+KFC!$C$21)*KFC!$C$5</f>
        <v>74.099999999999994</v>
      </c>
      <c r="G106" s="689">
        <f>(81.6*KFC!$B$21+KFC!$C$21)*KFC!$C$5</f>
        <v>81.599999999999994</v>
      </c>
      <c r="H106" s="689">
        <f>(89.1*KFC!$B$21+KFC!$C$21)*KFC!$C$5</f>
        <v>89.1</v>
      </c>
      <c r="I106" s="689">
        <f>(96.6*KFC!$B$21+KFC!$C$21)*KFC!$C$5</f>
        <v>96.6</v>
      </c>
      <c r="J106" s="689">
        <f>(104.1*KFC!$B$21+KFC!$C$21)*KFC!$C$5</f>
        <v>104.1</v>
      </c>
      <c r="K106" s="689">
        <f>(111.6*KFC!$B$21+KFC!$C$21)*KFC!$C$5</f>
        <v>111.6</v>
      </c>
      <c r="L106" s="689">
        <f>(119*KFC!$B$21+KFC!$C$21)*KFC!$C$5</f>
        <v>119</v>
      </c>
      <c r="M106" s="689">
        <f>(126.5*KFC!$B$21+KFC!$C$21)*KFC!$C$5</f>
        <v>126.5</v>
      </c>
      <c r="N106" s="689">
        <f>(134*KFC!$B$21+KFC!$C$21)*KFC!$C$5</f>
        <v>134</v>
      </c>
      <c r="O106" s="689">
        <f>(141.5*KFC!$B$21+KFC!$C$21)*KFC!$C$5</f>
        <v>141.5</v>
      </c>
      <c r="P106" s="689">
        <f>(149*KFC!$B$21+KFC!$C$21)*KFC!$C$5</f>
        <v>149</v>
      </c>
      <c r="Q106" s="689">
        <f>(156.5*KFC!$B$21+KFC!$C$21)*KFC!$C$5</f>
        <v>156.5</v>
      </c>
      <c r="R106" s="689">
        <f>(164*KFC!$B$21+KFC!$C$21)*KFC!$C$5</f>
        <v>164</v>
      </c>
      <c r="S106" s="689">
        <f>(171.4*KFC!$B$21+KFC!$C$21)*KFC!$C$5</f>
        <v>171.4</v>
      </c>
    </row>
    <row r="107" spans="1:19">
      <c r="A107" s="1728"/>
      <c r="B107" s="671">
        <v>1.7</v>
      </c>
      <c r="C107" s="689">
        <f>(52.7*KFC!$B$21+KFC!$C$21)*KFC!$C$5</f>
        <v>52.7</v>
      </c>
      <c r="D107" s="689">
        <f>(60.5*KFC!$B$21+KFC!$C$21)*KFC!$C$5</f>
        <v>60.5</v>
      </c>
      <c r="E107" s="689">
        <f>(68.2*KFC!$B$21+KFC!$C$21)*KFC!$C$5</f>
        <v>68.2</v>
      </c>
      <c r="F107" s="689">
        <f>(76*KFC!$B$21+KFC!$C$21)*KFC!$C$5</f>
        <v>76</v>
      </c>
      <c r="G107" s="689">
        <f>(83.7*KFC!$B$21+KFC!$C$21)*KFC!$C$5</f>
        <v>83.7</v>
      </c>
      <c r="H107" s="689">
        <f>(91.5*KFC!$B$21+KFC!$C$21)*KFC!$C$5</f>
        <v>91.5</v>
      </c>
      <c r="I107" s="689">
        <f>(99.2*KFC!$B$21+KFC!$C$21)*KFC!$C$5</f>
        <v>99.2</v>
      </c>
      <c r="J107" s="689">
        <f>(107*KFC!$B$21+KFC!$C$21)*KFC!$C$5</f>
        <v>107</v>
      </c>
      <c r="K107" s="689">
        <f>(114.7*KFC!$B$21+KFC!$C$21)*KFC!$C$5</f>
        <v>114.7</v>
      </c>
      <c r="L107" s="689">
        <f>(122.5*KFC!$B$21+KFC!$C$21)*KFC!$C$5</f>
        <v>122.5</v>
      </c>
      <c r="M107" s="689">
        <f>(130.2*KFC!$B$21+KFC!$C$21)*KFC!$C$5</f>
        <v>130.19999999999999</v>
      </c>
      <c r="N107" s="689">
        <f>(138*KFC!$B$21+KFC!$C$21)*KFC!$C$5</f>
        <v>138</v>
      </c>
      <c r="O107" s="689">
        <f>(145.7*KFC!$B$21+KFC!$C$21)*KFC!$C$5</f>
        <v>145.69999999999999</v>
      </c>
      <c r="P107" s="689">
        <f>(153.5*KFC!$B$21+KFC!$C$21)*KFC!$C$5</f>
        <v>153.5</v>
      </c>
      <c r="Q107" s="689">
        <f>(161.2*KFC!$B$21+KFC!$C$21)*KFC!$C$5</f>
        <v>161.19999999999999</v>
      </c>
      <c r="R107" s="689">
        <f>(169*KFC!$B$21+KFC!$C$21)*KFC!$C$5</f>
        <v>169</v>
      </c>
      <c r="S107" s="689">
        <f>(176.7*KFC!$B$21+KFC!$C$21)*KFC!$C$5</f>
        <v>176.7</v>
      </c>
    </row>
    <row r="108" spans="1:19">
      <c r="A108" s="1728"/>
      <c r="B108" s="671">
        <v>1.8</v>
      </c>
      <c r="C108" s="689">
        <f>(53.8*KFC!$B$21+KFC!$C$21)*KFC!$C$5</f>
        <v>53.8</v>
      </c>
      <c r="D108" s="689">
        <f>(61.8*KFC!$B$21+KFC!$C$21)*KFC!$C$5</f>
        <v>61.8</v>
      </c>
      <c r="E108" s="689">
        <f>(69.8*KFC!$B$21+KFC!$C$21)*KFC!$C$5</f>
        <v>69.8</v>
      </c>
      <c r="F108" s="689">
        <f>(77.8*KFC!$B$21+KFC!$C$21)*KFC!$C$5</f>
        <v>77.8</v>
      </c>
      <c r="G108" s="689">
        <f>(85.9*KFC!$B$21+KFC!$C$21)*KFC!$C$5</f>
        <v>85.9</v>
      </c>
      <c r="H108" s="689">
        <f>(93.9*KFC!$B$21+KFC!$C$21)*KFC!$C$5</f>
        <v>93.9</v>
      </c>
      <c r="I108" s="689">
        <f>(101.9*KFC!$B$21+KFC!$C$21)*KFC!$C$5</f>
        <v>101.9</v>
      </c>
      <c r="J108" s="689">
        <f>(109.9*KFC!$B$21+KFC!$C$21)*KFC!$C$5</f>
        <v>109.9</v>
      </c>
      <c r="K108" s="689">
        <f>(117.9*KFC!$B$21+KFC!$C$21)*KFC!$C$5</f>
        <v>117.9</v>
      </c>
      <c r="L108" s="689">
        <f>(125.9*KFC!$B$21+KFC!$C$21)*KFC!$C$5</f>
        <v>125.9</v>
      </c>
      <c r="M108" s="689">
        <f>(134*KFC!$B$21+KFC!$C$21)*KFC!$C$5</f>
        <v>134</v>
      </c>
      <c r="N108" s="689">
        <f>(142*KFC!$B$21+KFC!$C$21)*KFC!$C$5</f>
        <v>142</v>
      </c>
      <c r="O108" s="689">
        <f>(150*KFC!$B$21+KFC!$C$21)*KFC!$C$5</f>
        <v>150</v>
      </c>
      <c r="P108" s="689">
        <f>(158*KFC!$B$21+KFC!$C$21)*KFC!$C$5</f>
        <v>158</v>
      </c>
      <c r="Q108" s="689">
        <f>(166*KFC!$B$21+KFC!$C$21)*KFC!$C$5</f>
        <v>166</v>
      </c>
      <c r="R108" s="689">
        <f>(174*KFC!$B$21+KFC!$C$21)*KFC!$C$5</f>
        <v>174</v>
      </c>
      <c r="S108" s="689">
        <f>(182*KFC!$B$21+KFC!$C$21)*KFC!$C$5</f>
        <v>182</v>
      </c>
    </row>
    <row r="109" spans="1:19">
      <c r="A109" s="1728"/>
      <c r="B109" s="671">
        <v>1.9</v>
      </c>
      <c r="C109" s="689">
        <f>(54.9*KFC!$B$21+KFC!$C$21)*KFC!$C$5</f>
        <v>54.9</v>
      </c>
      <c r="D109" s="689">
        <f>(63.1*KFC!$B$21+KFC!$C$21)*KFC!$C$5</f>
        <v>63.1</v>
      </c>
      <c r="E109" s="689">
        <f>(71.4*KFC!$B$21+KFC!$C$21)*KFC!$C$5</f>
        <v>71.400000000000006</v>
      </c>
      <c r="F109" s="689">
        <f>(79.7*KFC!$B$21+KFC!$C$21)*KFC!$C$5</f>
        <v>79.7</v>
      </c>
      <c r="G109" s="689">
        <f>(88*KFC!$B$21+KFC!$C$21)*KFC!$C$5</f>
        <v>88</v>
      </c>
      <c r="H109" s="689">
        <f>(96.3*KFC!$B$21+KFC!$C$21)*KFC!$C$5</f>
        <v>96.3</v>
      </c>
      <c r="I109" s="689">
        <f>(104.5*KFC!$B$21+KFC!$C$21)*KFC!$C$5</f>
        <v>104.5</v>
      </c>
      <c r="J109" s="689">
        <f>(112.8*KFC!$B$21+KFC!$C$21)*KFC!$C$5</f>
        <v>112.8</v>
      </c>
      <c r="K109" s="689">
        <f>(121.1*KFC!$B$21+KFC!$C$21)*KFC!$C$5</f>
        <v>121.1</v>
      </c>
      <c r="L109" s="689">
        <f>(129.4*KFC!$B$21+KFC!$C$21)*KFC!$C$5</f>
        <v>129.4</v>
      </c>
      <c r="M109" s="689">
        <f>(137.7*KFC!$B$21+KFC!$C$21)*KFC!$C$5</f>
        <v>137.69999999999999</v>
      </c>
      <c r="N109" s="689">
        <f>(145.9*KFC!$B$21+KFC!$C$21)*KFC!$C$5</f>
        <v>145.9</v>
      </c>
      <c r="O109" s="689">
        <f>(154.2*KFC!$B$21+KFC!$C$21)*KFC!$C$5</f>
        <v>154.19999999999999</v>
      </c>
      <c r="P109" s="689">
        <f>(162.5*KFC!$B$21+KFC!$C$21)*KFC!$C$5</f>
        <v>162.5</v>
      </c>
      <c r="Q109" s="689">
        <f>(170.8*KFC!$B$21+KFC!$C$21)*KFC!$C$5</f>
        <v>170.8</v>
      </c>
      <c r="R109" s="689">
        <f>(179.1*KFC!$B$21+KFC!$C$21)*KFC!$C$5</f>
        <v>179.1</v>
      </c>
      <c r="S109" s="689">
        <f>(187.3*KFC!$B$21+KFC!$C$21)*KFC!$C$5</f>
        <v>187.3</v>
      </c>
    </row>
    <row r="110" spans="1:19">
      <c r="A110" s="1728"/>
      <c r="B110" s="671">
        <v>2</v>
      </c>
      <c r="C110" s="689">
        <f>(55.9*KFC!$B$21+KFC!$C$21)*KFC!$C$5</f>
        <v>55.9</v>
      </c>
      <c r="D110" s="689">
        <f>(64.5*KFC!$B$21+KFC!$C$21)*KFC!$C$5</f>
        <v>64.5</v>
      </c>
      <c r="E110" s="689">
        <f>(73*KFC!$B$21+KFC!$C$21)*KFC!$C$5</f>
        <v>73</v>
      </c>
      <c r="F110" s="689">
        <f>(81.6*KFC!$B$21+KFC!$C$21)*KFC!$C$5</f>
        <v>81.599999999999994</v>
      </c>
      <c r="G110" s="689">
        <f>(90.1*KFC!$B$21+KFC!$C$21)*KFC!$C$5</f>
        <v>90.1</v>
      </c>
      <c r="H110" s="689">
        <f>(98.6*KFC!$B$21+KFC!$C$21)*KFC!$C$5</f>
        <v>98.6</v>
      </c>
      <c r="I110" s="689">
        <f>(107.2*KFC!$B$21+KFC!$C$21)*KFC!$C$5</f>
        <v>107.2</v>
      </c>
      <c r="J110" s="689">
        <f>(115.7*KFC!$B$21+KFC!$C$21)*KFC!$C$5</f>
        <v>115.7</v>
      </c>
      <c r="K110" s="689">
        <f>(124.3*KFC!$B$21+KFC!$C$21)*KFC!$C$5</f>
        <v>124.3</v>
      </c>
      <c r="L110" s="689">
        <f>(132.8*KFC!$B$21+KFC!$C$21)*KFC!$C$5</f>
        <v>132.80000000000001</v>
      </c>
      <c r="M110" s="689">
        <f>(141.4*KFC!$B$21+KFC!$C$21)*KFC!$C$5</f>
        <v>141.4</v>
      </c>
      <c r="N110" s="689">
        <f>(149.9*KFC!$B$21+KFC!$C$21)*KFC!$C$5</f>
        <v>149.9</v>
      </c>
      <c r="O110" s="689">
        <f>(158.5*KFC!$B$21+KFC!$C$21)*KFC!$C$5</f>
        <v>158.5</v>
      </c>
      <c r="P110" s="689">
        <f>(167*KFC!$B$21+KFC!$C$21)*KFC!$C$5</f>
        <v>167</v>
      </c>
      <c r="Q110" s="689">
        <f>(175.5*KFC!$B$21+KFC!$C$21)*KFC!$C$5</f>
        <v>175.5</v>
      </c>
      <c r="R110" s="689">
        <f>(184.1*KFC!$B$21+KFC!$C$21)*KFC!$C$5</f>
        <v>184.1</v>
      </c>
      <c r="S110" s="689">
        <f>(192.6*KFC!$B$21+KFC!$C$21)*KFC!$C$5</f>
        <v>192.6</v>
      </c>
    </row>
    <row r="111" spans="1:19">
      <c r="A111" s="1728"/>
      <c r="B111" s="671">
        <v>2.1</v>
      </c>
      <c r="C111" s="689">
        <f>(57*KFC!$B$21+KFC!$C$21)*KFC!$C$5</f>
        <v>57</v>
      </c>
      <c r="D111" s="689">
        <f>(65.8*KFC!$B$21+KFC!$C$21)*KFC!$C$5</f>
        <v>65.8</v>
      </c>
      <c r="E111" s="689">
        <f>(74.6*KFC!$B$21+KFC!$C$21)*KFC!$C$5</f>
        <v>74.599999999999994</v>
      </c>
      <c r="F111" s="689">
        <f>(83.4*KFC!$B$21+KFC!$C$21)*KFC!$C$5</f>
        <v>83.4</v>
      </c>
      <c r="G111" s="689">
        <f>(92.2*KFC!$B$21+KFC!$C$21)*KFC!$C$5</f>
        <v>92.2</v>
      </c>
      <c r="H111" s="689">
        <f>(101*KFC!$B$21+KFC!$C$21)*KFC!$C$5</f>
        <v>101</v>
      </c>
      <c r="I111" s="689">
        <f>(109.8*KFC!$B$21+KFC!$C$21)*KFC!$C$5</f>
        <v>109.8</v>
      </c>
      <c r="J111" s="689">
        <f>(118.6*KFC!$B$21+KFC!$C$21)*KFC!$C$5</f>
        <v>118.6</v>
      </c>
      <c r="K111" s="689">
        <f>(127.5*KFC!$B$21+KFC!$C$21)*KFC!$C$5</f>
        <v>127.5</v>
      </c>
      <c r="L111" s="689">
        <f>(136.3*KFC!$B$21+KFC!$C$21)*KFC!$C$5</f>
        <v>136.30000000000001</v>
      </c>
      <c r="M111" s="689">
        <f>(145.1*KFC!$B$21+KFC!$C$21)*KFC!$C$5</f>
        <v>145.1</v>
      </c>
      <c r="N111" s="689">
        <f>(153.9*KFC!$B$21+KFC!$C$21)*KFC!$C$5</f>
        <v>153.9</v>
      </c>
      <c r="O111" s="689">
        <f>(162.7*KFC!$B$21+KFC!$C$21)*KFC!$C$5</f>
        <v>162.69999999999999</v>
      </c>
      <c r="P111" s="689">
        <f>(171.5*KFC!$B$21+KFC!$C$21)*KFC!$C$5</f>
        <v>171.5</v>
      </c>
      <c r="Q111" s="689">
        <f>(180.3*KFC!$B$21+KFC!$C$21)*KFC!$C$5</f>
        <v>180.3</v>
      </c>
      <c r="R111" s="689">
        <f>(189.1*KFC!$B$21+KFC!$C$21)*KFC!$C$5</f>
        <v>189.1</v>
      </c>
      <c r="S111" s="689">
        <f>(197.9*KFC!$B$21+KFC!$C$21)*KFC!$C$5</f>
        <v>197.9</v>
      </c>
    </row>
    <row r="112" spans="1:19">
      <c r="A112" s="1728"/>
      <c r="B112" s="671">
        <v>2.2000000000000002</v>
      </c>
      <c r="C112" s="689">
        <f>(58*KFC!$B$21+KFC!$C$21)*KFC!$C$5</f>
        <v>58</v>
      </c>
      <c r="D112" s="689">
        <f>(67.1*KFC!$B$21+KFC!$C$21)*KFC!$C$5</f>
        <v>67.099999999999994</v>
      </c>
      <c r="E112" s="689">
        <f>(76.2*KFC!$B$21+KFC!$C$21)*KFC!$C$5</f>
        <v>76.2</v>
      </c>
      <c r="F112" s="689">
        <f>(85.3*KFC!$B$21+KFC!$C$21)*KFC!$C$5</f>
        <v>85.3</v>
      </c>
      <c r="G112" s="689">
        <f>(94.3*KFC!$B$21+KFC!$C$21)*KFC!$C$5</f>
        <v>94.3</v>
      </c>
      <c r="H112" s="689">
        <f>(103.4*KFC!$B$21+KFC!$C$21)*KFC!$C$5</f>
        <v>103.4</v>
      </c>
      <c r="I112" s="689">
        <f>(112.5*KFC!$B$21+KFC!$C$21)*KFC!$C$5</f>
        <v>112.5</v>
      </c>
      <c r="J112" s="689">
        <f>(121.6*KFC!$B$21+KFC!$C$21)*KFC!$C$5</f>
        <v>121.6</v>
      </c>
      <c r="K112" s="689">
        <f>(130.6*KFC!$B$21+KFC!$C$21)*KFC!$C$5</f>
        <v>130.6</v>
      </c>
      <c r="L112" s="689">
        <f>(139.7*KFC!$B$21+KFC!$C$21)*KFC!$C$5</f>
        <v>139.69999999999999</v>
      </c>
      <c r="M112" s="689">
        <f>(148.8*KFC!$B$21+KFC!$C$21)*KFC!$C$5</f>
        <v>148.80000000000001</v>
      </c>
      <c r="N112" s="689">
        <f>(157.9*KFC!$B$21+KFC!$C$21)*KFC!$C$5</f>
        <v>157.9</v>
      </c>
      <c r="O112" s="689">
        <f>(166.9*KFC!$B$21+KFC!$C$21)*KFC!$C$5</f>
        <v>166.9</v>
      </c>
      <c r="P112" s="689">
        <f>(176*KFC!$B$21+KFC!$C$21)*KFC!$C$5</f>
        <v>176</v>
      </c>
      <c r="Q112" s="689">
        <f>(185.1*KFC!$B$21+KFC!$C$21)*KFC!$C$5</f>
        <v>185.1</v>
      </c>
      <c r="R112" s="689">
        <f>(194.2*KFC!$B$21+KFC!$C$21)*KFC!$C$5</f>
        <v>194.2</v>
      </c>
      <c r="S112" s="689">
        <f>(203.2*KFC!$B$21+KFC!$C$21)*KFC!$C$5</f>
        <v>203.2</v>
      </c>
    </row>
    <row r="113" spans="1:19">
      <c r="A113" s="1728"/>
      <c r="B113" s="671">
        <v>2.2999999999999998</v>
      </c>
      <c r="C113" s="689">
        <f>(59.1*KFC!$B$21+KFC!$C$21)*KFC!$C$5</f>
        <v>59.1</v>
      </c>
      <c r="D113" s="689">
        <f>(68.4*KFC!$B$21+KFC!$C$21)*KFC!$C$5</f>
        <v>68.400000000000006</v>
      </c>
      <c r="E113" s="689">
        <f>(77.8*KFC!$B$21+KFC!$C$21)*KFC!$C$5</f>
        <v>77.8</v>
      </c>
      <c r="F113" s="689">
        <f>(87.1*KFC!$B$21+KFC!$C$21)*KFC!$C$5</f>
        <v>87.1</v>
      </c>
      <c r="G113" s="689">
        <f>(96.5*KFC!$B$21+KFC!$C$21)*KFC!$C$5</f>
        <v>96.5</v>
      </c>
      <c r="H113" s="689">
        <f>(105.8*KFC!$B$21+KFC!$C$21)*KFC!$C$5</f>
        <v>105.8</v>
      </c>
      <c r="I113" s="689">
        <f>(115.1*KFC!$B$21+KFC!$C$21)*KFC!$C$5</f>
        <v>115.1</v>
      </c>
      <c r="J113" s="689">
        <f>(124.5*KFC!$B$21+KFC!$C$21)*KFC!$C$5</f>
        <v>124.5</v>
      </c>
      <c r="K113" s="689">
        <f>(133.8*KFC!$B$21+KFC!$C$21)*KFC!$C$5</f>
        <v>133.80000000000001</v>
      </c>
      <c r="L113" s="689">
        <f>(143.2*KFC!$B$21+KFC!$C$21)*KFC!$C$5</f>
        <v>143.19999999999999</v>
      </c>
      <c r="M113" s="689">
        <f>(152.5*KFC!$B$21+KFC!$C$21)*KFC!$C$5</f>
        <v>152.5</v>
      </c>
      <c r="N113" s="689">
        <f>(161.8*KFC!$B$21+KFC!$C$21)*KFC!$C$5</f>
        <v>161.80000000000001</v>
      </c>
      <c r="O113" s="689">
        <f>(171.2*KFC!$B$21+KFC!$C$21)*KFC!$C$5</f>
        <v>171.2</v>
      </c>
      <c r="P113" s="689">
        <f>(180.5*KFC!$B$21+KFC!$C$21)*KFC!$C$5</f>
        <v>180.5</v>
      </c>
      <c r="Q113" s="689">
        <f>(189.9*KFC!$B$21+KFC!$C$21)*KFC!$C$5</f>
        <v>189.9</v>
      </c>
      <c r="R113" s="689">
        <f>(199.2*KFC!$B$21+KFC!$C$21)*KFC!$C$5</f>
        <v>199.2</v>
      </c>
      <c r="S113" s="689">
        <f>(208.5*KFC!$B$21+KFC!$C$21)*KFC!$C$5</f>
        <v>208.5</v>
      </c>
    </row>
    <row r="114" spans="1:19">
      <c r="A114" s="1728"/>
      <c r="B114" s="671">
        <v>2.4</v>
      </c>
      <c r="C114" s="689">
        <f>(60.2*KFC!$B$21+KFC!$C$21)*KFC!$C$5</f>
        <v>60.2</v>
      </c>
      <c r="D114" s="689">
        <f>(69.8*KFC!$B$21+KFC!$C$21)*KFC!$C$5</f>
        <v>69.8</v>
      </c>
      <c r="E114" s="689">
        <f>(79.4*KFC!$B$21+KFC!$C$21)*KFC!$C$5</f>
        <v>79.400000000000006</v>
      </c>
      <c r="F114" s="689">
        <f>(89*KFC!$B$21+KFC!$C$21)*KFC!$C$5</f>
        <v>89</v>
      </c>
      <c r="G114" s="689">
        <f>(98.6*KFC!$B$21+KFC!$C$21)*KFC!$C$5</f>
        <v>98.6</v>
      </c>
      <c r="H114" s="689">
        <f>(108.2*KFC!$B$21+KFC!$C$21)*KFC!$C$5</f>
        <v>108.2</v>
      </c>
      <c r="I114" s="689">
        <f>(117.8*KFC!$B$21+KFC!$C$21)*KFC!$C$5</f>
        <v>117.8</v>
      </c>
      <c r="J114" s="689">
        <f>(127.4*KFC!$B$21+KFC!$C$21)*KFC!$C$5</f>
        <v>127.4</v>
      </c>
      <c r="K114" s="689">
        <f>(137*KFC!$B$21+KFC!$C$21)*KFC!$C$5</f>
        <v>137</v>
      </c>
      <c r="L114" s="689">
        <f>(146.6*KFC!$B$21+KFC!$C$21)*KFC!$C$5</f>
        <v>146.6</v>
      </c>
      <c r="M114" s="689">
        <f>(156.2*KFC!$B$21+KFC!$C$21)*KFC!$C$5</f>
        <v>156.19999999999999</v>
      </c>
      <c r="N114" s="689">
        <f>(165.8*KFC!$B$21+KFC!$C$21)*KFC!$C$5</f>
        <v>165.8</v>
      </c>
      <c r="O114" s="689">
        <f>(175.4*KFC!$B$21+KFC!$C$21)*KFC!$C$5</f>
        <v>175.4</v>
      </c>
      <c r="P114" s="689">
        <f>(185*KFC!$B$21+KFC!$C$21)*KFC!$C$5</f>
        <v>185</v>
      </c>
      <c r="Q114" s="689">
        <f>(194.6*KFC!$B$21+KFC!$C$21)*KFC!$C$5</f>
        <v>194.6</v>
      </c>
      <c r="R114" s="689">
        <f>(204.2*KFC!$B$21+KFC!$C$21)*KFC!$C$5</f>
        <v>204.2</v>
      </c>
      <c r="S114" s="689">
        <f>(213.8*KFC!$B$21+KFC!$C$21)*KFC!$C$5</f>
        <v>213.8</v>
      </c>
    </row>
    <row r="115" spans="1:19">
      <c r="A115" s="1728"/>
      <c r="B115" s="671">
        <v>2.5</v>
      </c>
      <c r="C115" s="689">
        <f>(61.2*KFC!$B$21+KFC!$C$21)*KFC!$C$5</f>
        <v>61.2</v>
      </c>
      <c r="D115" s="689">
        <f>(71.1*KFC!$B$21+KFC!$C$21)*KFC!$C$5</f>
        <v>71.099999999999994</v>
      </c>
      <c r="E115" s="689">
        <f>(81*KFC!$B$21+KFC!$C$21)*KFC!$C$5</f>
        <v>81</v>
      </c>
      <c r="F115" s="689">
        <f>(90.8*KFC!$B$21+KFC!$C$21)*KFC!$C$5</f>
        <v>90.8</v>
      </c>
      <c r="G115" s="689">
        <f>(100.7*KFC!$B$21+KFC!$C$21)*KFC!$C$5</f>
        <v>100.7</v>
      </c>
      <c r="H115" s="689">
        <f>(110.6*KFC!$B$21+KFC!$C$21)*KFC!$C$5</f>
        <v>110.6</v>
      </c>
      <c r="I115" s="689">
        <f>(120.4*KFC!$B$21+KFC!$C$21)*KFC!$C$5</f>
        <v>120.4</v>
      </c>
      <c r="J115" s="689">
        <f>(130.3*KFC!$B$21+KFC!$C$21)*KFC!$C$5</f>
        <v>130.30000000000001</v>
      </c>
      <c r="K115" s="689">
        <f>(140.2*KFC!$B$21+KFC!$C$21)*KFC!$C$5</f>
        <v>140.19999999999999</v>
      </c>
      <c r="L115" s="689">
        <f>(150.1*KFC!$B$21+KFC!$C$21)*KFC!$C$5</f>
        <v>150.1</v>
      </c>
      <c r="M115" s="689">
        <f>(159.9*KFC!$B$21+KFC!$C$21)*KFC!$C$5</f>
        <v>159.9</v>
      </c>
      <c r="N115" s="689">
        <f>(169.8*KFC!$B$21+KFC!$C$21)*KFC!$C$5</f>
        <v>169.8</v>
      </c>
      <c r="O115" s="689">
        <f>(179.7*KFC!$B$21+KFC!$C$21)*KFC!$C$5</f>
        <v>179.7</v>
      </c>
      <c r="P115" s="689">
        <f>(189.5*KFC!$B$21+KFC!$C$21)*KFC!$C$5</f>
        <v>189.5</v>
      </c>
      <c r="Q115" s="689">
        <f>(199.4*KFC!$B$21+KFC!$C$21)*KFC!$C$5</f>
        <v>199.4</v>
      </c>
      <c r="R115" s="689">
        <f>(209.3*KFC!$B$21+KFC!$C$21)*KFC!$C$5</f>
        <v>209.3</v>
      </c>
      <c r="S115" s="689">
        <f>(219.1*KFC!$B$21+KFC!$C$21)*KFC!$C$5</f>
        <v>219.1</v>
      </c>
    </row>
    <row r="116" spans="1:19">
      <c r="A116" s="1728"/>
      <c r="B116" s="671">
        <v>2.6</v>
      </c>
      <c r="C116" s="689">
        <f>(62.3*KFC!$B$21+KFC!$C$21)*KFC!$C$5</f>
        <v>62.3</v>
      </c>
      <c r="D116" s="689">
        <f>(72.4*KFC!$B$21+KFC!$C$21)*KFC!$C$5</f>
        <v>72.400000000000006</v>
      </c>
      <c r="E116" s="689">
        <f>(82.6*KFC!$B$21+KFC!$C$21)*KFC!$C$5</f>
        <v>82.6</v>
      </c>
      <c r="F116" s="689">
        <f>(92.7*KFC!$B$21+KFC!$C$21)*KFC!$C$5</f>
        <v>92.7</v>
      </c>
      <c r="G116" s="689">
        <f>(102.8*KFC!$B$21+KFC!$C$21)*KFC!$C$5</f>
        <v>102.8</v>
      </c>
      <c r="H116" s="689">
        <f>(113*KFC!$B$21+KFC!$C$21)*KFC!$C$5</f>
        <v>113</v>
      </c>
      <c r="I116" s="689">
        <f>(123.1*KFC!$B$21+KFC!$C$21)*KFC!$C$5</f>
        <v>123.1</v>
      </c>
      <c r="J116" s="689">
        <f>(133.2*KFC!$B$21+KFC!$C$21)*KFC!$C$5</f>
        <v>133.19999999999999</v>
      </c>
      <c r="K116" s="689">
        <f>(143.4*KFC!$B$21+KFC!$C$21)*KFC!$C$5</f>
        <v>143.4</v>
      </c>
      <c r="L116" s="689">
        <f>(153.5*KFC!$B$21+KFC!$C$21)*KFC!$C$5</f>
        <v>153.5</v>
      </c>
      <c r="M116" s="689">
        <f>(163.6*KFC!$B$21+KFC!$C$21)*KFC!$C$5</f>
        <v>163.6</v>
      </c>
      <c r="N116" s="689">
        <f>(173.8*KFC!$B$21+KFC!$C$21)*KFC!$C$5</f>
        <v>173.8</v>
      </c>
      <c r="O116" s="689">
        <f>(183.9*KFC!$B$21+KFC!$C$21)*KFC!$C$5</f>
        <v>183.9</v>
      </c>
      <c r="P116" s="689">
        <f>(194*KFC!$B$21+KFC!$C$21)*KFC!$C$5</f>
        <v>194</v>
      </c>
      <c r="Q116" s="689">
        <f>(204.2*KFC!$B$21+KFC!$C$21)*KFC!$C$5</f>
        <v>204.2</v>
      </c>
      <c r="R116" s="689">
        <f>(214.3*KFC!$B$21+KFC!$C$21)*KFC!$C$5</f>
        <v>214.3</v>
      </c>
      <c r="S116" s="689">
        <f>(224.4*KFC!$B$21+KFC!$C$21)*KFC!$C$5</f>
        <v>224.4</v>
      </c>
    </row>
    <row r="117" spans="1:19">
      <c r="A117" s="1728"/>
      <c r="B117" s="671">
        <v>2.7</v>
      </c>
      <c r="C117" s="689">
        <f>(63.3*KFC!$B$21+KFC!$C$21)*KFC!$C$5</f>
        <v>63.3</v>
      </c>
      <c r="D117" s="689">
        <f>(73.7*KFC!$B$21+KFC!$C$21)*KFC!$C$5</f>
        <v>73.7</v>
      </c>
      <c r="E117" s="689">
        <f>(84.1*KFC!$B$21+KFC!$C$21)*KFC!$C$5</f>
        <v>84.1</v>
      </c>
      <c r="F117" s="689">
        <f>(94.5*KFC!$B$21+KFC!$C$21)*KFC!$C$5</f>
        <v>94.5</v>
      </c>
      <c r="G117" s="689">
        <f>(104.9*KFC!$B$21+KFC!$C$21)*KFC!$C$5</f>
        <v>104.9</v>
      </c>
      <c r="H117" s="689">
        <f>(115.3*KFC!$B$21+KFC!$C$21)*KFC!$C$5</f>
        <v>115.3</v>
      </c>
      <c r="I117" s="689">
        <f>(125.7*KFC!$B$21+KFC!$C$21)*KFC!$C$5</f>
        <v>125.7</v>
      </c>
      <c r="J117" s="689">
        <f>(136.1*KFC!$B$21+KFC!$C$21)*KFC!$C$5</f>
        <v>136.1</v>
      </c>
      <c r="K117" s="689">
        <f>(146.5*KFC!$B$21+KFC!$C$21)*KFC!$C$5</f>
        <v>146.5</v>
      </c>
      <c r="L117" s="689">
        <f>(156.9*KFC!$B$21+KFC!$C$21)*KFC!$C$5</f>
        <v>156.9</v>
      </c>
      <c r="M117" s="689">
        <f>(167.3*KFC!$B$21+KFC!$C$21)*KFC!$C$5</f>
        <v>167.3</v>
      </c>
      <c r="N117" s="689">
        <f>(177.7*KFC!$B$21+KFC!$C$21)*KFC!$C$5</f>
        <v>177.7</v>
      </c>
      <c r="O117" s="689">
        <f>(188.1*KFC!$B$21+KFC!$C$21)*KFC!$C$5</f>
        <v>188.1</v>
      </c>
      <c r="P117" s="689">
        <f>(198.5*KFC!$B$21+KFC!$C$21)*KFC!$C$5</f>
        <v>198.5</v>
      </c>
      <c r="Q117" s="689">
        <f>(208.9*KFC!$B$21+KFC!$C$21)*KFC!$C$5</f>
        <v>208.9</v>
      </c>
      <c r="R117" s="689">
        <f>(219.3*KFC!$B$21+KFC!$C$21)*KFC!$C$5</f>
        <v>219.3</v>
      </c>
      <c r="S117" s="689">
        <f>(229.7*KFC!$B$21+KFC!$C$21)*KFC!$C$5</f>
        <v>229.7</v>
      </c>
    </row>
    <row r="118" spans="1:19">
      <c r="A118" s="1728"/>
      <c r="B118" s="671">
        <v>2.8</v>
      </c>
      <c r="C118" s="689">
        <f>(64.4*KFC!$B$21+KFC!$C$21)*KFC!$C$5</f>
        <v>64.400000000000006</v>
      </c>
      <c r="D118" s="689">
        <f>(75.1*KFC!$B$21+KFC!$C$21)*KFC!$C$5</f>
        <v>75.099999999999994</v>
      </c>
      <c r="E118" s="689">
        <f>(85.7*KFC!$B$21+KFC!$C$21)*KFC!$C$5</f>
        <v>85.7</v>
      </c>
      <c r="F118" s="689">
        <f>(96.4*KFC!$B$21+KFC!$C$21)*KFC!$C$5</f>
        <v>96.4</v>
      </c>
      <c r="G118" s="689">
        <f>(107.1*KFC!$B$21+KFC!$C$21)*KFC!$C$5</f>
        <v>107.1</v>
      </c>
      <c r="H118" s="689">
        <f>(117.7*KFC!$B$21+KFC!$C$21)*KFC!$C$5</f>
        <v>117.7</v>
      </c>
      <c r="I118" s="689">
        <f>(128.4*KFC!$B$21+KFC!$C$21)*KFC!$C$5</f>
        <v>128.4</v>
      </c>
      <c r="J118" s="689">
        <f>(139.1*KFC!$B$21+KFC!$C$21)*KFC!$C$5</f>
        <v>139.1</v>
      </c>
      <c r="K118" s="689">
        <f>(149.7*KFC!$B$21+KFC!$C$21)*KFC!$C$5</f>
        <v>149.69999999999999</v>
      </c>
      <c r="L118" s="689">
        <f>(160.4*KFC!$B$21+KFC!$C$21)*KFC!$C$5</f>
        <v>160.4</v>
      </c>
      <c r="M118" s="689">
        <f>(171.1*KFC!$B$21+KFC!$C$21)*KFC!$C$5</f>
        <v>171.1</v>
      </c>
      <c r="N118" s="689">
        <f>(181.7*KFC!$B$21+KFC!$C$21)*KFC!$C$5</f>
        <v>181.7</v>
      </c>
      <c r="O118" s="689">
        <f>(192.4*KFC!$B$21+KFC!$C$21)*KFC!$C$5</f>
        <v>192.4</v>
      </c>
      <c r="P118" s="689">
        <f>(203*KFC!$B$21+KFC!$C$21)*KFC!$C$5</f>
        <v>203</v>
      </c>
      <c r="Q118" s="689">
        <f>(213.7*KFC!$B$21+KFC!$C$21)*KFC!$C$5</f>
        <v>213.7</v>
      </c>
      <c r="R118" s="689">
        <f>(224.4*KFC!$B$21+KFC!$C$21)*KFC!$C$5</f>
        <v>224.4</v>
      </c>
      <c r="S118" s="689">
        <f>(235*KFC!$B$21+KFC!$C$21)*KFC!$C$5</f>
        <v>235</v>
      </c>
    </row>
    <row r="119" spans="1:19">
      <c r="A119" s="1728"/>
      <c r="B119" s="671">
        <v>2.9</v>
      </c>
      <c r="C119" s="689">
        <f>(65.5*KFC!$B$21+KFC!$C$21)*KFC!$C$5</f>
        <v>65.5</v>
      </c>
      <c r="D119" s="689">
        <f>(76.4*KFC!$B$21+KFC!$C$21)*KFC!$C$5</f>
        <v>76.400000000000006</v>
      </c>
      <c r="E119" s="689">
        <f>(87.3*KFC!$B$21+KFC!$C$21)*KFC!$C$5</f>
        <v>87.3</v>
      </c>
      <c r="F119" s="689">
        <f>(98.2*KFC!$B$21+KFC!$C$21)*KFC!$C$5</f>
        <v>98.2</v>
      </c>
      <c r="G119" s="689">
        <f>(109.2*KFC!$B$21+KFC!$C$21)*KFC!$C$5</f>
        <v>109.2</v>
      </c>
      <c r="H119" s="689">
        <f>(120.1*KFC!$B$21+KFC!$C$21)*KFC!$C$5</f>
        <v>120.1</v>
      </c>
      <c r="I119" s="689">
        <f>(131*KFC!$B$21+KFC!$C$21)*KFC!$C$5</f>
        <v>131</v>
      </c>
      <c r="J119" s="689">
        <f>(142*KFC!$B$21+KFC!$C$21)*KFC!$C$5</f>
        <v>142</v>
      </c>
      <c r="K119" s="689">
        <f>(152.9*KFC!$B$21+KFC!$C$21)*KFC!$C$5</f>
        <v>152.9</v>
      </c>
      <c r="L119" s="689">
        <f>(163.8*KFC!$B$21+KFC!$C$21)*KFC!$C$5</f>
        <v>163.80000000000001</v>
      </c>
      <c r="M119" s="689">
        <f>(174.8*KFC!$B$21+KFC!$C$21)*KFC!$C$5</f>
        <v>174.8</v>
      </c>
      <c r="N119" s="689">
        <f>(185.7*KFC!$B$21+KFC!$C$21)*KFC!$C$5</f>
        <v>185.7</v>
      </c>
      <c r="O119" s="689">
        <f>(196.6*KFC!$B$21+KFC!$C$21)*KFC!$C$5</f>
        <v>196.6</v>
      </c>
      <c r="P119" s="689">
        <f>(207.6*KFC!$B$21+KFC!$C$21)*KFC!$C$5</f>
        <v>207.6</v>
      </c>
      <c r="Q119" s="689">
        <f>(218.5*KFC!$B$21+KFC!$C$21)*KFC!$C$5</f>
        <v>218.5</v>
      </c>
      <c r="R119" s="689">
        <f>(229.4*KFC!$B$21+KFC!$C$21)*KFC!$C$5</f>
        <v>229.4</v>
      </c>
      <c r="S119" s="689">
        <f>(240.3*KFC!$B$21+KFC!$C$21)*KFC!$C$5</f>
        <v>240.3</v>
      </c>
    </row>
    <row r="120" spans="1:19">
      <c r="A120" s="1728"/>
      <c r="B120" s="671">
        <v>3</v>
      </c>
      <c r="C120" s="689">
        <f>(66.5*KFC!$B$21+KFC!$C$21)*KFC!$C$5</f>
        <v>66.5</v>
      </c>
      <c r="D120" s="689">
        <f>(77.7*KFC!$B$21+KFC!$C$21)*KFC!$C$5</f>
        <v>77.7</v>
      </c>
      <c r="E120" s="689">
        <f>(88.9*KFC!$B$21+KFC!$C$21)*KFC!$C$5</f>
        <v>88.9</v>
      </c>
      <c r="F120" s="689">
        <f>(100.1*KFC!$B$21+KFC!$C$21)*KFC!$C$5</f>
        <v>100.1</v>
      </c>
      <c r="G120" s="689">
        <f>(111.3*KFC!$B$21+KFC!$C$21)*KFC!$C$5</f>
        <v>111.3</v>
      </c>
      <c r="H120" s="689">
        <f>(122.5*KFC!$B$21+KFC!$C$21)*KFC!$C$5</f>
        <v>122.5</v>
      </c>
      <c r="I120" s="689">
        <f>(133.7*KFC!$B$21+KFC!$C$21)*KFC!$C$5</f>
        <v>133.69999999999999</v>
      </c>
      <c r="J120" s="689">
        <f>(144.9*KFC!$B$21+KFC!$C$21)*KFC!$C$5</f>
        <v>144.9</v>
      </c>
      <c r="K120" s="689">
        <f>(156.1*KFC!$B$21+KFC!$C$21)*KFC!$C$5</f>
        <v>156.1</v>
      </c>
      <c r="L120" s="689">
        <f>(167.3*KFC!$B$21+KFC!$C$21)*KFC!$C$5</f>
        <v>167.3</v>
      </c>
      <c r="M120" s="689">
        <f>(178.5*KFC!$B$21+KFC!$C$21)*KFC!$C$5</f>
        <v>178.5</v>
      </c>
      <c r="N120" s="689">
        <f>(189.7*KFC!$B$21+KFC!$C$21)*KFC!$C$5</f>
        <v>189.7</v>
      </c>
      <c r="O120" s="689">
        <f>(200.9*KFC!$B$21+KFC!$C$21)*KFC!$C$5</f>
        <v>200.9</v>
      </c>
      <c r="P120" s="689">
        <f>(212.1*KFC!$B$21+KFC!$C$21)*KFC!$C$5</f>
        <v>212.1</v>
      </c>
      <c r="Q120" s="689">
        <f>(223.2*KFC!$B$21+KFC!$C$21)*KFC!$C$5</f>
        <v>223.2</v>
      </c>
      <c r="R120" s="689">
        <f>(234.4*KFC!$B$21+KFC!$C$21)*KFC!$C$5</f>
        <v>234.4</v>
      </c>
      <c r="S120" s="689">
        <f>(245.6*KFC!$B$21+KFC!$C$21)*KFC!$C$5</f>
        <v>245.6</v>
      </c>
    </row>
    <row r="122" spans="1:19">
      <c r="A122" s="1733" t="s">
        <v>1013</v>
      </c>
      <c r="B122" s="1734"/>
      <c r="C122" s="1735" t="s">
        <v>207</v>
      </c>
      <c r="D122" s="1736"/>
      <c r="E122" s="1736"/>
      <c r="F122" s="1736"/>
      <c r="G122" s="1736"/>
      <c r="H122" s="1736"/>
      <c r="I122" s="1736"/>
      <c r="J122" s="1736"/>
      <c r="K122" s="1736"/>
      <c r="L122" s="1736"/>
      <c r="M122" s="1736"/>
      <c r="N122" s="1736"/>
      <c r="O122" s="1736"/>
      <c r="P122" s="1736"/>
      <c r="Q122" s="1736"/>
      <c r="R122" s="1736"/>
      <c r="S122" s="1737"/>
    </row>
    <row r="123" spans="1:19">
      <c r="A123" s="1734"/>
      <c r="B123" s="1734"/>
      <c r="C123" s="671">
        <v>0.4</v>
      </c>
      <c r="D123" s="671">
        <v>0.5</v>
      </c>
      <c r="E123" s="671">
        <v>0.6</v>
      </c>
      <c r="F123" s="671">
        <v>0.7</v>
      </c>
      <c r="G123" s="671">
        <v>0.8</v>
      </c>
      <c r="H123" s="671">
        <v>0.9</v>
      </c>
      <c r="I123" s="671">
        <v>1</v>
      </c>
      <c r="J123" s="671">
        <v>1.1000000000000001</v>
      </c>
      <c r="K123" s="671">
        <v>1.2</v>
      </c>
      <c r="L123" s="671">
        <v>1.3</v>
      </c>
      <c r="M123" s="671">
        <v>1.4</v>
      </c>
      <c r="N123" s="671">
        <v>1.5</v>
      </c>
      <c r="O123" s="671">
        <v>1.6</v>
      </c>
      <c r="P123" s="671">
        <v>1.7</v>
      </c>
      <c r="Q123" s="671">
        <v>1.8</v>
      </c>
      <c r="R123" s="671">
        <v>1.9</v>
      </c>
      <c r="S123" s="671">
        <v>2</v>
      </c>
    </row>
    <row r="124" spans="1:19">
      <c r="A124" s="1728" t="s">
        <v>3</v>
      </c>
      <c r="B124" s="671">
        <v>0.5</v>
      </c>
      <c r="C124" s="689">
        <f>(42.1*KFC!$B$21+KFC!$C$21)*KFC!$C$5</f>
        <v>42.1</v>
      </c>
      <c r="D124" s="689">
        <f>(47.2*KFC!$B$21+KFC!$C$21)*KFC!$C$5</f>
        <v>47.2</v>
      </c>
      <c r="E124" s="689">
        <f>(52.4*KFC!$B$21+KFC!$C$21)*KFC!$C$5</f>
        <v>52.4</v>
      </c>
      <c r="F124" s="689">
        <f>(57.5*KFC!$B$21+KFC!$C$21)*KFC!$C$5</f>
        <v>57.5</v>
      </c>
      <c r="G124" s="689">
        <f>(62.6*KFC!$B$21+KFC!$C$21)*KFC!$C$5</f>
        <v>62.6</v>
      </c>
      <c r="H124" s="689">
        <f>(67.7*KFC!$B$21+KFC!$C$21)*KFC!$C$5</f>
        <v>67.7</v>
      </c>
      <c r="I124" s="689">
        <f>(72.8*KFC!$B$21+KFC!$C$21)*KFC!$C$5</f>
        <v>72.8</v>
      </c>
      <c r="J124" s="689">
        <f>(77.9*KFC!$B$21+KFC!$C$21)*KFC!$C$5</f>
        <v>77.900000000000006</v>
      </c>
      <c r="K124" s="689">
        <f>(83*KFC!$B$21+KFC!$C$21)*KFC!$C$5</f>
        <v>83</v>
      </c>
      <c r="L124" s="689">
        <f>(88.1*KFC!$B$21+KFC!$C$21)*KFC!$C$5</f>
        <v>88.1</v>
      </c>
      <c r="M124" s="689">
        <f>(93.3*KFC!$B$21+KFC!$C$21)*KFC!$C$5</f>
        <v>93.3</v>
      </c>
      <c r="N124" s="689">
        <f>(98.4*KFC!$B$21+KFC!$C$21)*KFC!$C$5</f>
        <v>98.4</v>
      </c>
      <c r="O124" s="689">
        <f>(103.5*KFC!$B$21+KFC!$C$21)*KFC!$C$5</f>
        <v>103.5</v>
      </c>
      <c r="P124" s="689">
        <f>(108.6*KFC!$B$21+KFC!$C$21)*KFC!$C$5</f>
        <v>108.6</v>
      </c>
      <c r="Q124" s="689">
        <f>(113.7*KFC!$B$21+KFC!$C$21)*KFC!$C$5</f>
        <v>113.7</v>
      </c>
      <c r="R124" s="689">
        <f>(118.8*KFC!$B$21+KFC!$C$21)*KFC!$C$5</f>
        <v>118.8</v>
      </c>
      <c r="S124" s="689">
        <f>(123.9*KFC!$B$21+KFC!$C$21)*KFC!$C$5</f>
        <v>123.9</v>
      </c>
    </row>
    <row r="125" spans="1:19">
      <c r="A125" s="1728"/>
      <c r="B125" s="671">
        <v>0.6</v>
      </c>
      <c r="C125" s="689">
        <f>(43.6*KFC!$B$21+KFC!$C$21)*KFC!$C$5</f>
        <v>43.6</v>
      </c>
      <c r="D125" s="689">
        <f>(49.1*KFC!$B$21+KFC!$C$21)*KFC!$C$5</f>
        <v>49.1</v>
      </c>
      <c r="E125" s="689">
        <f>(54.6*KFC!$B$21+KFC!$C$21)*KFC!$C$5</f>
        <v>54.6</v>
      </c>
      <c r="F125" s="689">
        <f>(60.1*KFC!$B$21+KFC!$C$21)*KFC!$C$5</f>
        <v>60.1</v>
      </c>
      <c r="G125" s="689">
        <f>(65.6*KFC!$B$21+KFC!$C$21)*KFC!$C$5</f>
        <v>65.599999999999994</v>
      </c>
      <c r="H125" s="689">
        <f>(71*KFC!$B$21+KFC!$C$21)*KFC!$C$5</f>
        <v>71</v>
      </c>
      <c r="I125" s="689">
        <f>(76.5*KFC!$B$21+KFC!$C$21)*KFC!$C$5</f>
        <v>76.5</v>
      </c>
      <c r="J125" s="689">
        <f>(82*KFC!$B$21+KFC!$C$21)*KFC!$C$5</f>
        <v>82</v>
      </c>
      <c r="K125" s="689">
        <f>(87.5*KFC!$B$21+KFC!$C$21)*KFC!$C$5</f>
        <v>87.5</v>
      </c>
      <c r="L125" s="689">
        <f>(93*KFC!$B$21+KFC!$C$21)*KFC!$C$5</f>
        <v>93</v>
      </c>
      <c r="M125" s="689">
        <f>(98.5*KFC!$B$21+KFC!$C$21)*KFC!$C$5</f>
        <v>98.5</v>
      </c>
      <c r="N125" s="689">
        <f>(104*KFC!$B$21+KFC!$C$21)*KFC!$C$5</f>
        <v>104</v>
      </c>
      <c r="O125" s="689">
        <f>(109.4*KFC!$B$21+KFC!$C$21)*KFC!$C$5</f>
        <v>109.4</v>
      </c>
      <c r="P125" s="689">
        <f>(114.9*KFC!$B$21+KFC!$C$21)*KFC!$C$5</f>
        <v>114.9</v>
      </c>
      <c r="Q125" s="689">
        <f>(120.4*KFC!$B$21+KFC!$C$21)*KFC!$C$5</f>
        <v>120.4</v>
      </c>
      <c r="R125" s="689">
        <f>(125.9*KFC!$B$21+KFC!$C$21)*KFC!$C$5</f>
        <v>125.9</v>
      </c>
      <c r="S125" s="689">
        <f>(131.4*KFC!$B$21+KFC!$C$21)*KFC!$C$5</f>
        <v>131.4</v>
      </c>
    </row>
    <row r="126" spans="1:19">
      <c r="A126" s="1728"/>
      <c r="B126" s="671">
        <v>0.7</v>
      </c>
      <c r="C126" s="689">
        <f>(45.1*KFC!$B$21+KFC!$C$21)*KFC!$C$5</f>
        <v>45.1</v>
      </c>
      <c r="D126" s="689">
        <f>(51*KFC!$B$21+KFC!$C$21)*KFC!$C$5</f>
        <v>51</v>
      </c>
      <c r="E126" s="689">
        <f>(56.8*KFC!$B$21+KFC!$C$21)*KFC!$C$5</f>
        <v>56.8</v>
      </c>
      <c r="F126" s="689">
        <f>(62.7*KFC!$B$21+KFC!$C$21)*KFC!$C$5</f>
        <v>62.7</v>
      </c>
      <c r="G126" s="689">
        <f>(68.5*KFC!$B$21+KFC!$C$21)*KFC!$C$5</f>
        <v>68.5</v>
      </c>
      <c r="H126" s="689">
        <f>(74.4*KFC!$B$21+KFC!$C$21)*KFC!$C$5</f>
        <v>74.400000000000006</v>
      </c>
      <c r="I126" s="689">
        <f>(80.3*KFC!$B$21+KFC!$C$21)*KFC!$C$5</f>
        <v>80.3</v>
      </c>
      <c r="J126" s="689">
        <f>(86.1*KFC!$B$21+KFC!$C$21)*KFC!$C$5</f>
        <v>86.1</v>
      </c>
      <c r="K126" s="689">
        <f>(92*KFC!$B$21+KFC!$C$21)*KFC!$C$5</f>
        <v>92</v>
      </c>
      <c r="L126" s="689">
        <f>(97.8*KFC!$B$21+KFC!$C$21)*KFC!$C$5</f>
        <v>97.8</v>
      </c>
      <c r="M126" s="689">
        <f>(103.7*KFC!$B$21+KFC!$C$21)*KFC!$C$5</f>
        <v>103.7</v>
      </c>
      <c r="N126" s="689">
        <f>(109.6*KFC!$B$21+KFC!$C$21)*KFC!$C$5</f>
        <v>109.6</v>
      </c>
      <c r="O126" s="689">
        <f>(115.4*KFC!$B$21+KFC!$C$21)*KFC!$C$5</f>
        <v>115.4</v>
      </c>
      <c r="P126" s="689">
        <f>(121.3*KFC!$B$21+KFC!$C$21)*KFC!$C$5</f>
        <v>121.3</v>
      </c>
      <c r="Q126" s="689">
        <f>(127.1*KFC!$B$21+KFC!$C$21)*KFC!$C$5</f>
        <v>127.1</v>
      </c>
      <c r="R126" s="689">
        <f>(133*KFC!$B$21+KFC!$C$21)*KFC!$C$5</f>
        <v>133</v>
      </c>
      <c r="S126" s="689">
        <f>(138.8*KFC!$B$21+KFC!$C$21)*KFC!$C$5</f>
        <v>138.80000000000001</v>
      </c>
    </row>
    <row r="127" spans="1:19">
      <c r="A127" s="1728"/>
      <c r="B127" s="671">
        <v>0.8</v>
      </c>
      <c r="C127" s="689">
        <f>(46.6*KFC!$B$21+KFC!$C$21)*KFC!$C$5</f>
        <v>46.6</v>
      </c>
      <c r="D127" s="689">
        <f>(52.8*KFC!$B$21+KFC!$C$21)*KFC!$C$5</f>
        <v>52.8</v>
      </c>
      <c r="E127" s="689">
        <f>(59.1*KFC!$B$21+KFC!$C$21)*KFC!$C$5</f>
        <v>59.1</v>
      </c>
      <c r="F127" s="689">
        <f>(65.3*KFC!$B$21+KFC!$C$21)*KFC!$C$5</f>
        <v>65.3</v>
      </c>
      <c r="G127" s="689">
        <f>(71.5*KFC!$B$21+KFC!$C$21)*KFC!$C$5</f>
        <v>71.5</v>
      </c>
      <c r="H127" s="689">
        <f>(77.8*KFC!$B$21+KFC!$C$21)*KFC!$C$5</f>
        <v>77.8</v>
      </c>
      <c r="I127" s="689">
        <f>(84*KFC!$B$21+KFC!$C$21)*KFC!$C$5</f>
        <v>84</v>
      </c>
      <c r="J127" s="689">
        <f>(90.2*KFC!$B$21+KFC!$C$21)*KFC!$C$5</f>
        <v>90.2</v>
      </c>
      <c r="K127" s="689">
        <f>(96.5*KFC!$B$21+KFC!$C$21)*KFC!$C$5</f>
        <v>96.5</v>
      </c>
      <c r="L127" s="689">
        <f>(102.7*KFC!$B$21+KFC!$C$21)*KFC!$C$5</f>
        <v>102.7</v>
      </c>
      <c r="M127" s="689">
        <f>(108.9*KFC!$B$21+KFC!$C$21)*KFC!$C$5</f>
        <v>108.9</v>
      </c>
      <c r="N127" s="689">
        <f>(115.1*KFC!$B$21+KFC!$C$21)*KFC!$C$5</f>
        <v>115.1</v>
      </c>
      <c r="O127" s="689">
        <f>(121.4*KFC!$B$21+KFC!$C$21)*KFC!$C$5</f>
        <v>121.4</v>
      </c>
      <c r="P127" s="689">
        <f>(127.6*KFC!$B$21+KFC!$C$21)*KFC!$C$5</f>
        <v>127.6</v>
      </c>
      <c r="Q127" s="689">
        <f>(133.8*KFC!$B$21+KFC!$C$21)*KFC!$C$5</f>
        <v>133.80000000000001</v>
      </c>
      <c r="R127" s="689">
        <f>(140.1*KFC!$B$21+KFC!$C$21)*KFC!$C$5</f>
        <v>140.1</v>
      </c>
      <c r="S127" s="689">
        <f>(146.3*KFC!$B$21+KFC!$C$21)*KFC!$C$5</f>
        <v>146.30000000000001</v>
      </c>
    </row>
    <row r="128" spans="1:19">
      <c r="A128" s="1728"/>
      <c r="B128" s="671">
        <v>0.9</v>
      </c>
      <c r="C128" s="689">
        <f>(48.1*KFC!$B$21+KFC!$C$21)*KFC!$C$5</f>
        <v>48.1</v>
      </c>
      <c r="D128" s="689">
        <f>(54.7*KFC!$B$21+KFC!$C$21)*KFC!$C$5</f>
        <v>54.7</v>
      </c>
      <c r="E128" s="689">
        <f>(61.3*KFC!$B$21+KFC!$C$21)*KFC!$C$5</f>
        <v>61.3</v>
      </c>
      <c r="F128" s="689">
        <f>(67.9*KFC!$B$21+KFC!$C$21)*KFC!$C$5</f>
        <v>67.900000000000006</v>
      </c>
      <c r="G128" s="689">
        <f>(74.5*KFC!$B$21+KFC!$C$21)*KFC!$C$5</f>
        <v>74.5</v>
      </c>
      <c r="H128" s="689">
        <f>(81.1*KFC!$B$21+KFC!$C$21)*KFC!$C$5</f>
        <v>81.099999999999994</v>
      </c>
      <c r="I128" s="689">
        <f>(87.7*KFC!$B$21+KFC!$C$21)*KFC!$C$5</f>
        <v>87.7</v>
      </c>
      <c r="J128" s="689">
        <f>(94.3*KFC!$B$21+KFC!$C$21)*KFC!$C$5</f>
        <v>94.3</v>
      </c>
      <c r="K128" s="689">
        <f>(100.9*KFC!$B$21+KFC!$C$21)*KFC!$C$5</f>
        <v>100.9</v>
      </c>
      <c r="L128" s="689">
        <f>(107.5*KFC!$B$21+KFC!$C$21)*KFC!$C$5</f>
        <v>107.5</v>
      </c>
      <c r="M128" s="689">
        <f>(114.1*KFC!$B$21+KFC!$C$21)*KFC!$C$5</f>
        <v>114.1</v>
      </c>
      <c r="N128" s="689">
        <f>(120.7*KFC!$B$21+KFC!$C$21)*KFC!$C$5</f>
        <v>120.7</v>
      </c>
      <c r="O128" s="689">
        <f>(127.3*KFC!$B$21+KFC!$C$21)*KFC!$C$5</f>
        <v>127.3</v>
      </c>
      <c r="P128" s="689">
        <f>(133.9*KFC!$B$21+KFC!$C$21)*KFC!$C$5</f>
        <v>133.9</v>
      </c>
      <c r="Q128" s="689">
        <f>(140.5*KFC!$B$21+KFC!$C$21)*KFC!$C$5</f>
        <v>140.5</v>
      </c>
      <c r="R128" s="689">
        <f>(147.1*KFC!$B$21+KFC!$C$21)*KFC!$C$5</f>
        <v>147.1</v>
      </c>
      <c r="S128" s="689">
        <f>(153.8*KFC!$B$21+KFC!$C$21)*KFC!$C$5</f>
        <v>153.80000000000001</v>
      </c>
    </row>
    <row r="129" spans="1:19">
      <c r="A129" s="1728"/>
      <c r="B129" s="671">
        <v>1</v>
      </c>
      <c r="C129" s="689">
        <f>(49.6*KFC!$B$21+KFC!$C$21)*KFC!$C$5</f>
        <v>49.6</v>
      </c>
      <c r="D129" s="689">
        <f>(56.6*KFC!$B$21+KFC!$C$21)*KFC!$C$5</f>
        <v>56.6</v>
      </c>
      <c r="E129" s="689">
        <f>(63.5*KFC!$B$21+KFC!$C$21)*KFC!$C$5</f>
        <v>63.5</v>
      </c>
      <c r="F129" s="689">
        <f>(70.5*KFC!$B$21+KFC!$C$21)*KFC!$C$5</f>
        <v>70.5</v>
      </c>
      <c r="G129" s="689">
        <f>(77.5*KFC!$B$21+KFC!$C$21)*KFC!$C$5</f>
        <v>77.5</v>
      </c>
      <c r="H129" s="689">
        <f>(84.5*KFC!$B$21+KFC!$C$21)*KFC!$C$5</f>
        <v>84.5</v>
      </c>
      <c r="I129" s="689">
        <f>(91.4*KFC!$B$21+KFC!$C$21)*KFC!$C$5</f>
        <v>91.4</v>
      </c>
      <c r="J129" s="689">
        <f>(98.4*KFC!$B$21+KFC!$C$21)*KFC!$C$5</f>
        <v>98.4</v>
      </c>
      <c r="K129" s="689">
        <f>(105.4*KFC!$B$21+KFC!$C$21)*KFC!$C$5</f>
        <v>105.4</v>
      </c>
      <c r="L129" s="689">
        <f>(112.4*KFC!$B$21+KFC!$C$21)*KFC!$C$5</f>
        <v>112.4</v>
      </c>
      <c r="M129" s="689">
        <f>(119.4*KFC!$B$21+KFC!$C$21)*KFC!$C$5</f>
        <v>119.4</v>
      </c>
      <c r="N129" s="689">
        <f>(126.3*KFC!$B$21+KFC!$C$21)*KFC!$C$5</f>
        <v>126.3</v>
      </c>
      <c r="O129" s="689">
        <f>(133.3*KFC!$B$21+KFC!$C$21)*KFC!$C$5</f>
        <v>133.30000000000001</v>
      </c>
      <c r="P129" s="689">
        <f>(140.3*KFC!$B$21+KFC!$C$21)*KFC!$C$5</f>
        <v>140.30000000000001</v>
      </c>
      <c r="Q129" s="689">
        <f>(147.3*KFC!$B$21+KFC!$C$21)*KFC!$C$5</f>
        <v>147.30000000000001</v>
      </c>
      <c r="R129" s="689">
        <f>(154.2*KFC!$B$21+KFC!$C$21)*KFC!$C$5</f>
        <v>154.19999999999999</v>
      </c>
      <c r="S129" s="689">
        <f>(161.2*KFC!$B$21+KFC!$C$21)*KFC!$C$5</f>
        <v>161.19999999999999</v>
      </c>
    </row>
    <row r="130" spans="1:19">
      <c r="A130" s="1728"/>
      <c r="B130" s="671">
        <v>1.1000000000000001</v>
      </c>
      <c r="C130" s="689">
        <f>(51.1*KFC!$B$21+KFC!$C$21)*KFC!$C$5</f>
        <v>51.1</v>
      </c>
      <c r="D130" s="689">
        <f>(58.4*KFC!$B$21+KFC!$C$21)*KFC!$C$5</f>
        <v>58.4</v>
      </c>
      <c r="E130" s="689">
        <f>(65.8*KFC!$B$21+KFC!$C$21)*KFC!$C$5</f>
        <v>65.8</v>
      </c>
      <c r="F130" s="689">
        <f>(73.1*KFC!$B$21+KFC!$C$21)*KFC!$C$5</f>
        <v>73.099999999999994</v>
      </c>
      <c r="G130" s="689">
        <f>(80.5*KFC!$B$21+KFC!$C$21)*KFC!$C$5</f>
        <v>80.5</v>
      </c>
      <c r="H130" s="689">
        <f>(87.8*KFC!$B$21+KFC!$C$21)*KFC!$C$5</f>
        <v>87.8</v>
      </c>
      <c r="I130" s="689">
        <f>(95.2*KFC!$B$21+KFC!$C$21)*KFC!$C$5</f>
        <v>95.2</v>
      </c>
      <c r="J130" s="689">
        <f>(102.5*KFC!$B$21+KFC!$C$21)*KFC!$C$5</f>
        <v>102.5</v>
      </c>
      <c r="K130" s="689">
        <f>(109.9*KFC!$B$21+KFC!$C$21)*KFC!$C$5</f>
        <v>109.9</v>
      </c>
      <c r="L130" s="689">
        <f>(117.2*KFC!$B$21+KFC!$C$21)*KFC!$C$5</f>
        <v>117.2</v>
      </c>
      <c r="M130" s="689">
        <f>(124.6*KFC!$B$21+KFC!$C$21)*KFC!$C$5</f>
        <v>124.6</v>
      </c>
      <c r="N130" s="689">
        <f>(131.9*KFC!$B$21+KFC!$C$21)*KFC!$C$5</f>
        <v>131.9</v>
      </c>
      <c r="O130" s="689">
        <f>(139.3*KFC!$B$21+KFC!$C$21)*KFC!$C$5</f>
        <v>139.30000000000001</v>
      </c>
      <c r="P130" s="689">
        <f>(146.6*KFC!$B$21+KFC!$C$21)*KFC!$C$5</f>
        <v>146.6</v>
      </c>
      <c r="Q130" s="689">
        <f>(154*KFC!$B$21+KFC!$C$21)*KFC!$C$5</f>
        <v>154</v>
      </c>
      <c r="R130" s="689">
        <f>(161.3*KFC!$B$21+KFC!$C$21)*KFC!$C$5</f>
        <v>161.30000000000001</v>
      </c>
      <c r="S130" s="689">
        <f>(168.7*KFC!$B$21+KFC!$C$21)*KFC!$C$5</f>
        <v>168.7</v>
      </c>
    </row>
    <row r="131" spans="1:19">
      <c r="A131" s="1728"/>
      <c r="B131" s="671">
        <v>1.2</v>
      </c>
      <c r="C131" s="689">
        <f>(52.6*KFC!$B$21+KFC!$C$21)*KFC!$C$5</f>
        <v>52.6</v>
      </c>
      <c r="D131" s="689">
        <f>(60.3*KFC!$B$21+KFC!$C$21)*KFC!$C$5</f>
        <v>60.3</v>
      </c>
      <c r="E131" s="689">
        <f>(68*KFC!$B$21+KFC!$C$21)*KFC!$C$5</f>
        <v>68</v>
      </c>
      <c r="F131" s="689">
        <f>(75.7*KFC!$B$21+KFC!$C$21)*KFC!$C$5</f>
        <v>75.7</v>
      </c>
      <c r="G131" s="689">
        <f>(83.5*KFC!$B$21+KFC!$C$21)*KFC!$C$5</f>
        <v>83.5</v>
      </c>
      <c r="H131" s="689">
        <f>(91.2*KFC!$B$21+KFC!$C$21)*KFC!$C$5</f>
        <v>91.2</v>
      </c>
      <c r="I131" s="689">
        <f>(98.9*KFC!$B$21+KFC!$C$21)*KFC!$C$5</f>
        <v>98.9</v>
      </c>
      <c r="J131" s="689">
        <f>(106.6*KFC!$B$21+KFC!$C$21)*KFC!$C$5</f>
        <v>106.6</v>
      </c>
      <c r="K131" s="689">
        <f>(114.3*KFC!$B$21+KFC!$C$21)*KFC!$C$5</f>
        <v>114.3</v>
      </c>
      <c r="L131" s="689">
        <f>(122.1*KFC!$B$21+KFC!$C$21)*KFC!$C$5</f>
        <v>122.1</v>
      </c>
      <c r="M131" s="689">
        <f>(129.8*KFC!$B$21+KFC!$C$21)*KFC!$C$5</f>
        <v>129.80000000000001</v>
      </c>
      <c r="N131" s="689">
        <f>(137.5*KFC!$B$21+KFC!$C$21)*KFC!$C$5</f>
        <v>137.5</v>
      </c>
      <c r="O131" s="689">
        <f>(145.2*KFC!$B$21+KFC!$C$21)*KFC!$C$5</f>
        <v>145.19999999999999</v>
      </c>
      <c r="P131" s="689">
        <f>(153*KFC!$B$21+KFC!$C$21)*KFC!$C$5</f>
        <v>153</v>
      </c>
      <c r="Q131" s="689">
        <f>(160.7*KFC!$B$21+KFC!$C$21)*KFC!$C$5</f>
        <v>160.69999999999999</v>
      </c>
      <c r="R131" s="689">
        <f>(168.4*KFC!$B$21+KFC!$C$21)*KFC!$C$5</f>
        <v>168.4</v>
      </c>
      <c r="S131" s="689">
        <f>(176.1*KFC!$B$21+KFC!$C$21)*KFC!$C$5</f>
        <v>176.1</v>
      </c>
    </row>
    <row r="132" spans="1:19">
      <c r="A132" s="1728"/>
      <c r="B132" s="671">
        <v>1.3</v>
      </c>
      <c r="C132" s="689">
        <f>(54.1*KFC!$B$21+KFC!$C$21)*KFC!$C$5</f>
        <v>54.1</v>
      </c>
      <c r="D132" s="689">
        <f>(62.2*KFC!$B$21+KFC!$C$21)*KFC!$C$5</f>
        <v>62.2</v>
      </c>
      <c r="E132" s="689">
        <f>(70.3*KFC!$B$21+KFC!$C$21)*KFC!$C$5</f>
        <v>70.3</v>
      </c>
      <c r="F132" s="689">
        <f>(78.3*KFC!$B$21+KFC!$C$21)*KFC!$C$5</f>
        <v>78.3</v>
      </c>
      <c r="G132" s="689">
        <f>(86.4*KFC!$B$21+KFC!$C$21)*KFC!$C$5</f>
        <v>86.4</v>
      </c>
      <c r="H132" s="689">
        <f>(94.5*KFC!$B$21+KFC!$C$21)*KFC!$C$5</f>
        <v>94.5</v>
      </c>
      <c r="I132" s="689">
        <f>(102.6*KFC!$B$21+KFC!$C$21)*KFC!$C$5</f>
        <v>102.6</v>
      </c>
      <c r="J132" s="689">
        <f>(110.7*KFC!$B$21+KFC!$C$21)*KFC!$C$5</f>
        <v>110.7</v>
      </c>
      <c r="K132" s="689">
        <f>(118.8*KFC!$B$21+KFC!$C$21)*KFC!$C$5</f>
        <v>118.8</v>
      </c>
      <c r="L132" s="689">
        <f>(126.9*KFC!$B$21+KFC!$C$21)*KFC!$C$5</f>
        <v>126.9</v>
      </c>
      <c r="M132" s="689">
        <f>(135*KFC!$B$21+KFC!$C$21)*KFC!$C$5</f>
        <v>135</v>
      </c>
      <c r="N132" s="689">
        <f>(143.1*KFC!$B$21+KFC!$C$21)*KFC!$C$5</f>
        <v>143.1</v>
      </c>
      <c r="O132" s="689">
        <f>(151.2*KFC!$B$21+KFC!$C$21)*KFC!$C$5</f>
        <v>151.19999999999999</v>
      </c>
      <c r="P132" s="689">
        <f>(159.3*KFC!$B$21+KFC!$C$21)*KFC!$C$5</f>
        <v>159.30000000000001</v>
      </c>
      <c r="Q132" s="689">
        <f>(167.4*KFC!$B$21+KFC!$C$21)*KFC!$C$5</f>
        <v>167.4</v>
      </c>
      <c r="R132" s="689">
        <f>(175.5*KFC!$B$21+KFC!$C$21)*KFC!$C$5</f>
        <v>175.5</v>
      </c>
      <c r="S132" s="689">
        <f>(183.6*KFC!$B$21+KFC!$C$21)*KFC!$C$5</f>
        <v>183.6</v>
      </c>
    </row>
    <row r="133" spans="1:19">
      <c r="A133" s="1728"/>
      <c r="B133" s="671">
        <v>1.4</v>
      </c>
      <c r="C133" s="689">
        <f>(55.6*KFC!$B$21+KFC!$C$21)*KFC!$C$5</f>
        <v>55.6</v>
      </c>
      <c r="D133" s="689">
        <f>(64*KFC!$B$21+KFC!$C$21)*KFC!$C$5</f>
        <v>64</v>
      </c>
      <c r="E133" s="689">
        <f>(72.5*KFC!$B$21+KFC!$C$21)*KFC!$C$5</f>
        <v>72.5</v>
      </c>
      <c r="F133" s="689">
        <f>(81*KFC!$B$21+KFC!$C$21)*KFC!$C$5</f>
        <v>81</v>
      </c>
      <c r="G133" s="689">
        <f>(89.4*KFC!$B$21+KFC!$C$21)*KFC!$C$5</f>
        <v>89.4</v>
      </c>
      <c r="H133" s="689">
        <f>(97.9*KFC!$B$21+KFC!$C$21)*KFC!$C$5</f>
        <v>97.9</v>
      </c>
      <c r="I133" s="689">
        <f>(106.4*KFC!$B$21+KFC!$C$21)*KFC!$C$5</f>
        <v>106.4</v>
      </c>
      <c r="J133" s="689">
        <f>(114.8*KFC!$B$21+KFC!$C$21)*KFC!$C$5</f>
        <v>114.8</v>
      </c>
      <c r="K133" s="689">
        <f>(123.3*KFC!$B$21+KFC!$C$21)*KFC!$C$5</f>
        <v>123.3</v>
      </c>
      <c r="L133" s="689">
        <f>(131.8*KFC!$B$21+KFC!$C$21)*KFC!$C$5</f>
        <v>131.80000000000001</v>
      </c>
      <c r="M133" s="689">
        <f>(140.2*KFC!$B$21+KFC!$C$21)*KFC!$C$5</f>
        <v>140.19999999999999</v>
      </c>
      <c r="N133" s="689">
        <f>(148.7*KFC!$B$21+KFC!$C$21)*KFC!$C$5</f>
        <v>148.69999999999999</v>
      </c>
      <c r="O133" s="689">
        <f>(157.2*KFC!$B$21+KFC!$C$21)*KFC!$C$5</f>
        <v>157.19999999999999</v>
      </c>
      <c r="P133" s="689">
        <f>(165.6*KFC!$B$21+KFC!$C$21)*KFC!$C$5</f>
        <v>165.6</v>
      </c>
      <c r="Q133" s="689">
        <f>(174.1*KFC!$B$21+KFC!$C$21)*KFC!$C$5</f>
        <v>174.1</v>
      </c>
      <c r="R133" s="689">
        <f>(182.6*KFC!$B$21+KFC!$C$21)*KFC!$C$5</f>
        <v>182.6</v>
      </c>
      <c r="S133" s="689">
        <f>(191*KFC!$B$21+KFC!$C$21)*KFC!$C$5</f>
        <v>191</v>
      </c>
    </row>
    <row r="134" spans="1:19">
      <c r="A134" s="1728"/>
      <c r="B134" s="671">
        <v>1.5</v>
      </c>
      <c r="C134" s="689">
        <f>(57*KFC!$B$21+KFC!$C$21)*KFC!$C$5</f>
        <v>57</v>
      </c>
      <c r="D134" s="689">
        <f>(65.9*KFC!$B$21+KFC!$C$21)*KFC!$C$5</f>
        <v>65.900000000000006</v>
      </c>
      <c r="E134" s="689">
        <f>(74.7*KFC!$B$21+KFC!$C$21)*KFC!$C$5</f>
        <v>74.7</v>
      </c>
      <c r="F134" s="689">
        <f>(83.6*KFC!$B$21+KFC!$C$21)*KFC!$C$5</f>
        <v>83.6</v>
      </c>
      <c r="G134" s="689">
        <f>(92.4*KFC!$B$21+KFC!$C$21)*KFC!$C$5</f>
        <v>92.4</v>
      </c>
      <c r="H134" s="689">
        <f>(101.3*KFC!$B$21+KFC!$C$21)*KFC!$C$5</f>
        <v>101.3</v>
      </c>
      <c r="I134" s="689">
        <f>(110.1*KFC!$B$21+KFC!$C$21)*KFC!$C$5</f>
        <v>110.1</v>
      </c>
      <c r="J134" s="689">
        <f>(118.9*KFC!$B$21+KFC!$C$21)*KFC!$C$5</f>
        <v>118.9</v>
      </c>
      <c r="K134" s="689">
        <f>(127.8*KFC!$B$21+KFC!$C$21)*KFC!$C$5</f>
        <v>127.8</v>
      </c>
      <c r="L134" s="689">
        <f>(136.6*KFC!$B$21+KFC!$C$21)*KFC!$C$5</f>
        <v>136.6</v>
      </c>
      <c r="M134" s="689">
        <f>(145.5*KFC!$B$21+KFC!$C$21)*KFC!$C$5</f>
        <v>145.5</v>
      </c>
      <c r="N134" s="689">
        <f>(154.3*KFC!$B$21+KFC!$C$21)*KFC!$C$5</f>
        <v>154.30000000000001</v>
      </c>
      <c r="O134" s="689">
        <f>(163.1*KFC!$B$21+KFC!$C$21)*KFC!$C$5</f>
        <v>163.1</v>
      </c>
      <c r="P134" s="689">
        <f>(172*KFC!$B$21+KFC!$C$21)*KFC!$C$5</f>
        <v>172</v>
      </c>
      <c r="Q134" s="689">
        <f>(180.8*KFC!$B$21+KFC!$C$21)*KFC!$C$5</f>
        <v>180.8</v>
      </c>
      <c r="R134" s="689">
        <f>(189.7*KFC!$B$21+KFC!$C$21)*KFC!$C$5</f>
        <v>189.7</v>
      </c>
      <c r="S134" s="689">
        <f>(198.5*KFC!$B$21+KFC!$C$21)*KFC!$C$5</f>
        <v>198.5</v>
      </c>
    </row>
    <row r="135" spans="1:19">
      <c r="A135" s="1728"/>
      <c r="B135" s="671">
        <v>1.6</v>
      </c>
      <c r="C135" s="689">
        <f>(58.5*KFC!$B$21+KFC!$C$21)*KFC!$C$5</f>
        <v>58.5</v>
      </c>
      <c r="D135" s="689">
        <f>(67.7*KFC!$B$21+KFC!$C$21)*KFC!$C$5</f>
        <v>67.7</v>
      </c>
      <c r="E135" s="689">
        <f>(77*KFC!$B$21+KFC!$C$21)*KFC!$C$5</f>
        <v>77</v>
      </c>
      <c r="F135" s="689">
        <f>(86.2*KFC!$B$21+KFC!$C$21)*KFC!$C$5</f>
        <v>86.2</v>
      </c>
      <c r="G135" s="689">
        <f>(95.4*KFC!$B$21+KFC!$C$21)*KFC!$C$5</f>
        <v>95.4</v>
      </c>
      <c r="H135" s="689">
        <f>(104.6*KFC!$B$21+KFC!$C$21)*KFC!$C$5</f>
        <v>104.6</v>
      </c>
      <c r="I135" s="689">
        <f>(113.8*KFC!$B$21+KFC!$C$21)*KFC!$C$5</f>
        <v>113.8</v>
      </c>
      <c r="J135" s="689">
        <f>(123*KFC!$B$21+KFC!$C$21)*KFC!$C$5</f>
        <v>123</v>
      </c>
      <c r="K135" s="689">
        <f>(132.2*KFC!$B$21+KFC!$C$21)*KFC!$C$5</f>
        <v>132.19999999999999</v>
      </c>
      <c r="L135" s="689">
        <f>(141.5*KFC!$B$21+KFC!$C$21)*KFC!$C$5</f>
        <v>141.5</v>
      </c>
      <c r="M135" s="689">
        <f>(150.7*KFC!$B$21+KFC!$C$21)*KFC!$C$5</f>
        <v>150.69999999999999</v>
      </c>
      <c r="N135" s="689">
        <f>(159.9*KFC!$B$21+KFC!$C$21)*KFC!$C$5</f>
        <v>159.9</v>
      </c>
      <c r="O135" s="689">
        <f>(169.1*KFC!$B$21+KFC!$C$21)*KFC!$C$5</f>
        <v>169.1</v>
      </c>
      <c r="P135" s="689">
        <f>(178.3*KFC!$B$21+KFC!$C$21)*KFC!$C$5</f>
        <v>178.3</v>
      </c>
      <c r="Q135" s="689">
        <f>(187.5*KFC!$B$21+KFC!$C$21)*KFC!$C$5</f>
        <v>187.5</v>
      </c>
      <c r="R135" s="689">
        <f>(196.7*KFC!$B$21+KFC!$C$21)*KFC!$C$5</f>
        <v>196.7</v>
      </c>
      <c r="S135" s="689">
        <f>(206*KFC!$B$21+KFC!$C$21)*KFC!$C$5</f>
        <v>206</v>
      </c>
    </row>
    <row r="136" spans="1:19">
      <c r="A136" s="1728"/>
      <c r="B136" s="671">
        <v>1.7</v>
      </c>
      <c r="C136" s="689">
        <f>(60*KFC!$B$21+KFC!$C$21)*KFC!$C$5</f>
        <v>60</v>
      </c>
      <c r="D136" s="689">
        <f>(69.6*KFC!$B$21+KFC!$C$21)*KFC!$C$5</f>
        <v>69.599999999999994</v>
      </c>
      <c r="E136" s="689">
        <f>(79.2*KFC!$B$21+KFC!$C$21)*KFC!$C$5</f>
        <v>79.2</v>
      </c>
      <c r="F136" s="689">
        <f>(88.8*KFC!$B$21+KFC!$C$21)*KFC!$C$5</f>
        <v>88.8</v>
      </c>
      <c r="G136" s="689">
        <f>(98.4*KFC!$B$21+KFC!$C$21)*KFC!$C$5</f>
        <v>98.4</v>
      </c>
      <c r="H136" s="689">
        <f>(108*KFC!$B$21+KFC!$C$21)*KFC!$C$5</f>
        <v>108</v>
      </c>
      <c r="I136" s="689">
        <f>(117.5*KFC!$B$21+KFC!$C$21)*KFC!$C$5</f>
        <v>117.5</v>
      </c>
      <c r="J136" s="689">
        <f>(127.1*KFC!$B$21+KFC!$C$21)*KFC!$C$5</f>
        <v>127.1</v>
      </c>
      <c r="K136" s="689">
        <f>(136.7*KFC!$B$21+KFC!$C$21)*KFC!$C$5</f>
        <v>136.69999999999999</v>
      </c>
      <c r="L136" s="689">
        <f>(146.3*KFC!$B$21+KFC!$C$21)*KFC!$C$5</f>
        <v>146.30000000000001</v>
      </c>
      <c r="M136" s="689">
        <f>(155.9*KFC!$B$21+KFC!$C$21)*KFC!$C$5</f>
        <v>155.9</v>
      </c>
      <c r="N136" s="689">
        <f>(165.5*KFC!$B$21+KFC!$C$21)*KFC!$C$5</f>
        <v>165.5</v>
      </c>
      <c r="O136" s="689">
        <f>(175.1*KFC!$B$21+KFC!$C$21)*KFC!$C$5</f>
        <v>175.1</v>
      </c>
      <c r="P136" s="689">
        <f>(184.7*KFC!$B$21+KFC!$C$21)*KFC!$C$5</f>
        <v>184.7</v>
      </c>
      <c r="Q136" s="689">
        <f>(194.2*KFC!$B$21+KFC!$C$21)*KFC!$C$5</f>
        <v>194.2</v>
      </c>
      <c r="R136" s="689">
        <f>(203.8*KFC!$B$21+KFC!$C$21)*KFC!$C$5</f>
        <v>203.8</v>
      </c>
      <c r="S136" s="689">
        <f>(213.4*KFC!$B$21+KFC!$C$21)*KFC!$C$5</f>
        <v>213.4</v>
      </c>
    </row>
    <row r="137" spans="1:19">
      <c r="A137" s="1728"/>
      <c r="B137" s="671">
        <v>1.8</v>
      </c>
      <c r="C137" s="689">
        <f>(61.5*KFC!$B$21+KFC!$C$21)*KFC!$C$5</f>
        <v>61.5</v>
      </c>
      <c r="D137" s="689">
        <f>(71.5*KFC!$B$21+KFC!$C$21)*KFC!$C$5</f>
        <v>71.5</v>
      </c>
      <c r="E137" s="689">
        <f>(81.4*KFC!$B$21+KFC!$C$21)*KFC!$C$5</f>
        <v>81.400000000000006</v>
      </c>
      <c r="F137" s="689">
        <f>(91.4*KFC!$B$21+KFC!$C$21)*KFC!$C$5</f>
        <v>91.4</v>
      </c>
      <c r="G137" s="689">
        <f>(101.4*KFC!$B$21+KFC!$C$21)*KFC!$C$5</f>
        <v>101.4</v>
      </c>
      <c r="H137" s="689">
        <f>(111.3*KFC!$B$21+KFC!$C$21)*KFC!$C$5</f>
        <v>111.3</v>
      </c>
      <c r="I137" s="689">
        <f>(121.3*KFC!$B$21+KFC!$C$21)*KFC!$C$5</f>
        <v>121.3</v>
      </c>
      <c r="J137" s="689">
        <f>(131.2*KFC!$B$21+KFC!$C$21)*KFC!$C$5</f>
        <v>131.19999999999999</v>
      </c>
      <c r="K137" s="689">
        <f>(141.2*KFC!$B$21+KFC!$C$21)*KFC!$C$5</f>
        <v>141.19999999999999</v>
      </c>
      <c r="L137" s="689">
        <f>(151.2*KFC!$B$21+KFC!$C$21)*KFC!$C$5</f>
        <v>151.19999999999999</v>
      </c>
      <c r="M137" s="689">
        <f>(161.1*KFC!$B$21+KFC!$C$21)*KFC!$C$5</f>
        <v>161.1</v>
      </c>
      <c r="N137" s="689">
        <f>(171.1*KFC!$B$21+KFC!$C$21)*KFC!$C$5</f>
        <v>171.1</v>
      </c>
      <c r="O137" s="689">
        <f>(181*KFC!$B$21+KFC!$C$21)*KFC!$C$5</f>
        <v>181</v>
      </c>
      <c r="P137" s="689">
        <f>(191*KFC!$B$21+KFC!$C$21)*KFC!$C$5</f>
        <v>191</v>
      </c>
      <c r="Q137" s="689">
        <f>(201*KFC!$B$21+KFC!$C$21)*KFC!$C$5</f>
        <v>201</v>
      </c>
      <c r="R137" s="689">
        <f>(210.9*KFC!$B$21+KFC!$C$21)*KFC!$C$5</f>
        <v>210.9</v>
      </c>
      <c r="S137" s="689">
        <f>(220.9*KFC!$B$21+KFC!$C$21)*KFC!$C$5</f>
        <v>220.9</v>
      </c>
    </row>
    <row r="138" spans="1:19">
      <c r="A138" s="1728"/>
      <c r="B138" s="671">
        <v>1.9</v>
      </c>
      <c r="C138" s="689">
        <f>(63*KFC!$B$21+KFC!$C$21)*KFC!$C$5</f>
        <v>63</v>
      </c>
      <c r="D138" s="689">
        <f>(73.3*KFC!$B$21+KFC!$C$21)*KFC!$C$5</f>
        <v>73.3</v>
      </c>
      <c r="E138" s="689">
        <f>(83.7*KFC!$B$21+KFC!$C$21)*KFC!$C$5</f>
        <v>83.7</v>
      </c>
      <c r="F138" s="689">
        <f>(94*KFC!$B$21+KFC!$C$21)*KFC!$C$5</f>
        <v>94</v>
      </c>
      <c r="G138" s="689">
        <f>(104.3*KFC!$B$21+KFC!$C$21)*KFC!$C$5</f>
        <v>104.3</v>
      </c>
      <c r="H138" s="689">
        <f>(114.7*KFC!$B$21+KFC!$C$21)*KFC!$C$5</f>
        <v>114.7</v>
      </c>
      <c r="I138" s="689">
        <f>(125*KFC!$B$21+KFC!$C$21)*KFC!$C$5</f>
        <v>125</v>
      </c>
      <c r="J138" s="689">
        <f>(135.3*KFC!$B$21+KFC!$C$21)*KFC!$C$5</f>
        <v>135.30000000000001</v>
      </c>
      <c r="K138" s="689">
        <f>(145.7*KFC!$B$21+KFC!$C$21)*KFC!$C$5</f>
        <v>145.69999999999999</v>
      </c>
      <c r="L138" s="689">
        <f>(156*KFC!$B$21+KFC!$C$21)*KFC!$C$5</f>
        <v>156</v>
      </c>
      <c r="M138" s="689">
        <f>(166.3*KFC!$B$21+KFC!$C$21)*KFC!$C$5</f>
        <v>166.3</v>
      </c>
      <c r="N138" s="689">
        <f>(176.7*KFC!$B$21+KFC!$C$21)*KFC!$C$5</f>
        <v>176.7</v>
      </c>
      <c r="O138" s="689">
        <f>(187*KFC!$B$21+KFC!$C$21)*KFC!$C$5</f>
        <v>187</v>
      </c>
      <c r="P138" s="689">
        <f>(197.3*KFC!$B$21+KFC!$C$21)*KFC!$C$5</f>
        <v>197.3</v>
      </c>
      <c r="Q138" s="689">
        <f>(207.7*KFC!$B$21+KFC!$C$21)*KFC!$C$5</f>
        <v>207.7</v>
      </c>
      <c r="R138" s="689">
        <f>(218*KFC!$B$21+KFC!$C$21)*KFC!$C$5</f>
        <v>218</v>
      </c>
      <c r="S138" s="689">
        <f>(228.3*KFC!$B$21+KFC!$C$21)*KFC!$C$5</f>
        <v>228.3</v>
      </c>
    </row>
    <row r="139" spans="1:19">
      <c r="A139" s="1728"/>
      <c r="B139" s="671">
        <v>2</v>
      </c>
      <c r="C139" s="689">
        <f>(64.5*KFC!$B$21+KFC!$C$21)*KFC!$C$5</f>
        <v>64.5</v>
      </c>
      <c r="D139" s="689">
        <f>(75.2*KFC!$B$21+KFC!$C$21)*KFC!$C$5</f>
        <v>75.2</v>
      </c>
      <c r="E139" s="689">
        <f>(85.9*KFC!$B$21+KFC!$C$21)*KFC!$C$5</f>
        <v>85.9</v>
      </c>
      <c r="F139" s="689">
        <f>(96.6*KFC!$B$21+KFC!$C$21)*KFC!$C$5</f>
        <v>96.6</v>
      </c>
      <c r="G139" s="689">
        <f>(107.3*KFC!$B$21+KFC!$C$21)*KFC!$C$5</f>
        <v>107.3</v>
      </c>
      <c r="H139" s="689">
        <f>(118*KFC!$B$21+KFC!$C$21)*KFC!$C$5</f>
        <v>118</v>
      </c>
      <c r="I139" s="689">
        <f>(128.7*KFC!$B$21+KFC!$C$21)*KFC!$C$5</f>
        <v>128.69999999999999</v>
      </c>
      <c r="J139" s="689">
        <f>(139.4*KFC!$B$21+KFC!$C$21)*KFC!$C$5</f>
        <v>139.4</v>
      </c>
      <c r="K139" s="689">
        <f>(150.1*KFC!$B$21+KFC!$C$21)*KFC!$C$5</f>
        <v>150.1</v>
      </c>
      <c r="L139" s="689">
        <f>(160.8*KFC!$B$21+KFC!$C$21)*KFC!$C$5</f>
        <v>160.80000000000001</v>
      </c>
      <c r="M139" s="689">
        <f>(171.6*KFC!$B$21+KFC!$C$21)*KFC!$C$5</f>
        <v>171.6</v>
      </c>
      <c r="N139" s="689">
        <f>(182.3*KFC!$B$21+KFC!$C$21)*KFC!$C$5</f>
        <v>182.3</v>
      </c>
      <c r="O139" s="689">
        <f>(193*KFC!$B$21+KFC!$C$21)*KFC!$C$5</f>
        <v>193</v>
      </c>
      <c r="P139" s="689">
        <f>(203.7*KFC!$B$21+KFC!$C$21)*KFC!$C$5</f>
        <v>203.7</v>
      </c>
      <c r="Q139" s="689">
        <f>(214.4*KFC!$B$21+KFC!$C$21)*KFC!$C$5</f>
        <v>214.4</v>
      </c>
      <c r="R139" s="689">
        <f>(225.1*KFC!$B$21+KFC!$C$21)*KFC!$C$5</f>
        <v>225.1</v>
      </c>
      <c r="S139" s="689">
        <f>(235.8*KFC!$B$21+KFC!$C$21)*KFC!$C$5</f>
        <v>235.8</v>
      </c>
    </row>
    <row r="140" spans="1:19">
      <c r="A140" s="1728"/>
      <c r="B140" s="671">
        <v>2.1</v>
      </c>
      <c r="C140" s="689">
        <f>(66*KFC!$B$21+KFC!$C$21)*KFC!$C$5</f>
        <v>66</v>
      </c>
      <c r="D140" s="689">
        <f>(77.1*KFC!$B$21+KFC!$C$21)*KFC!$C$5</f>
        <v>77.099999999999994</v>
      </c>
      <c r="E140" s="689">
        <f>(88.2*KFC!$B$21+KFC!$C$21)*KFC!$C$5</f>
        <v>88.2</v>
      </c>
      <c r="F140" s="689">
        <f>(99.2*KFC!$B$21+KFC!$C$21)*KFC!$C$5</f>
        <v>99.2</v>
      </c>
      <c r="G140" s="689">
        <f>(110.3*KFC!$B$21+KFC!$C$21)*KFC!$C$5</f>
        <v>110.3</v>
      </c>
      <c r="H140" s="689">
        <f>(121.4*KFC!$B$21+KFC!$C$21)*KFC!$C$5</f>
        <v>121.4</v>
      </c>
      <c r="I140" s="689">
        <f>(132.5*KFC!$B$21+KFC!$C$21)*KFC!$C$5</f>
        <v>132.5</v>
      </c>
      <c r="J140" s="689">
        <f>(143.5*KFC!$B$21+KFC!$C$21)*KFC!$C$5</f>
        <v>143.5</v>
      </c>
      <c r="K140" s="689">
        <f>(154.6*KFC!$B$21+KFC!$C$21)*KFC!$C$5</f>
        <v>154.6</v>
      </c>
      <c r="L140" s="689">
        <f>(165.7*KFC!$B$21+KFC!$C$21)*KFC!$C$5</f>
        <v>165.7</v>
      </c>
      <c r="M140" s="689">
        <f>(176.8*KFC!$B$21+KFC!$C$21)*KFC!$C$5</f>
        <v>176.8</v>
      </c>
      <c r="N140" s="689">
        <f>(187.9*KFC!$B$21+KFC!$C$21)*KFC!$C$5</f>
        <v>187.9</v>
      </c>
      <c r="O140" s="689">
        <f>(198.9*KFC!$B$21+KFC!$C$21)*KFC!$C$5</f>
        <v>198.9</v>
      </c>
      <c r="P140" s="689">
        <f>(210*KFC!$B$21+KFC!$C$21)*KFC!$C$5</f>
        <v>210</v>
      </c>
      <c r="Q140" s="689">
        <f>(221.1*KFC!$B$21+KFC!$C$21)*KFC!$C$5</f>
        <v>221.1</v>
      </c>
      <c r="R140" s="689">
        <f>(232.2*KFC!$B$21+KFC!$C$21)*KFC!$C$5</f>
        <v>232.2</v>
      </c>
      <c r="S140" s="689">
        <f>(243.2*KFC!$B$21+KFC!$C$21)*KFC!$C$5</f>
        <v>243.2</v>
      </c>
    </row>
    <row r="141" spans="1:19">
      <c r="A141" s="1728"/>
      <c r="B141" s="671">
        <v>2.2000000000000002</v>
      </c>
      <c r="C141" s="689">
        <f>(67.5*KFC!$B$21+KFC!$C$21)*KFC!$C$5</f>
        <v>67.5</v>
      </c>
      <c r="D141" s="689">
        <f>(78.9*KFC!$B$21+KFC!$C$21)*KFC!$C$5</f>
        <v>78.900000000000006</v>
      </c>
      <c r="E141" s="689">
        <f>(90.4*KFC!$B$21+KFC!$C$21)*KFC!$C$5</f>
        <v>90.4</v>
      </c>
      <c r="F141" s="689">
        <f>(101.8*KFC!$B$21+KFC!$C$21)*KFC!$C$5</f>
        <v>101.8</v>
      </c>
      <c r="G141" s="689">
        <f>(113.3*KFC!$B$21+KFC!$C$21)*KFC!$C$5</f>
        <v>113.3</v>
      </c>
      <c r="H141" s="689">
        <f>(124.7*KFC!$B$21+KFC!$C$21)*KFC!$C$5</f>
        <v>124.7</v>
      </c>
      <c r="I141" s="689">
        <f>(136.2*KFC!$B$21+KFC!$C$21)*KFC!$C$5</f>
        <v>136.19999999999999</v>
      </c>
      <c r="J141" s="689">
        <f>(147.6*KFC!$B$21+KFC!$C$21)*KFC!$C$5</f>
        <v>147.6</v>
      </c>
      <c r="K141" s="689">
        <f>(159.1*KFC!$B$21+KFC!$C$21)*KFC!$C$5</f>
        <v>159.1</v>
      </c>
      <c r="L141" s="689">
        <f>(170.6*KFC!$B$21+KFC!$C$21)*KFC!$C$5</f>
        <v>170.6</v>
      </c>
      <c r="M141" s="689">
        <f>(182*KFC!$B$21+KFC!$C$21)*KFC!$C$5</f>
        <v>182</v>
      </c>
      <c r="N141" s="689">
        <f>(193.4*KFC!$B$21+KFC!$C$21)*KFC!$C$5</f>
        <v>193.4</v>
      </c>
      <c r="O141" s="689">
        <f>(204.9*KFC!$B$21+KFC!$C$21)*KFC!$C$5</f>
        <v>204.9</v>
      </c>
      <c r="P141" s="689">
        <f>(216.4*KFC!$B$21+KFC!$C$21)*KFC!$C$5</f>
        <v>216.4</v>
      </c>
      <c r="Q141" s="689">
        <f>(227.8*KFC!$B$21+KFC!$C$21)*KFC!$C$5</f>
        <v>227.8</v>
      </c>
      <c r="R141" s="689">
        <f>(239.3*KFC!$B$21+KFC!$C$21)*KFC!$C$5</f>
        <v>239.3</v>
      </c>
      <c r="S141" s="689">
        <f>(250.7*KFC!$B$21+KFC!$C$21)*KFC!$C$5</f>
        <v>250.7</v>
      </c>
    </row>
    <row r="142" spans="1:19">
      <c r="A142" s="1728"/>
      <c r="B142" s="671">
        <v>2.2999999999999998</v>
      </c>
      <c r="C142" s="689">
        <f>(69*KFC!$B$21+KFC!$C$21)*KFC!$C$5</f>
        <v>69</v>
      </c>
      <c r="D142" s="689">
        <f>(80.8*KFC!$B$21+KFC!$C$21)*KFC!$C$5</f>
        <v>80.8</v>
      </c>
      <c r="E142" s="689">
        <f>(92.6*KFC!$B$21+KFC!$C$21)*KFC!$C$5</f>
        <v>92.6</v>
      </c>
      <c r="F142" s="689">
        <f>(104.4*KFC!$B$21+KFC!$C$21)*KFC!$C$5</f>
        <v>104.4</v>
      </c>
      <c r="G142" s="689">
        <f>(116.3*KFC!$B$21+KFC!$C$21)*KFC!$C$5</f>
        <v>116.3</v>
      </c>
      <c r="H142" s="689">
        <f>(128.1*KFC!$B$21+KFC!$C$21)*KFC!$C$5</f>
        <v>128.1</v>
      </c>
      <c r="I142" s="689">
        <f>(139.9*KFC!$B$21+KFC!$C$21)*KFC!$C$5</f>
        <v>139.9</v>
      </c>
      <c r="J142" s="689">
        <f>(151.7*KFC!$B$21+KFC!$C$21)*KFC!$C$5</f>
        <v>151.69999999999999</v>
      </c>
      <c r="K142" s="689">
        <f>(163.6*KFC!$B$21+KFC!$C$21)*KFC!$C$5</f>
        <v>163.6</v>
      </c>
      <c r="L142" s="689">
        <f>(175.4*KFC!$B$21+KFC!$C$21)*KFC!$C$5</f>
        <v>175.4</v>
      </c>
      <c r="M142" s="689">
        <f>(187.2*KFC!$B$21+KFC!$C$21)*KFC!$C$5</f>
        <v>187.2</v>
      </c>
      <c r="N142" s="689">
        <f>(199*KFC!$B$21+KFC!$C$21)*KFC!$C$5</f>
        <v>199</v>
      </c>
      <c r="O142" s="689">
        <f>(210.9*KFC!$B$21+KFC!$C$21)*KFC!$C$5</f>
        <v>210.9</v>
      </c>
      <c r="P142" s="689">
        <f>(222.7*KFC!$B$21+KFC!$C$21)*KFC!$C$5</f>
        <v>222.7</v>
      </c>
      <c r="Q142" s="689">
        <f>(234.5*KFC!$B$21+KFC!$C$21)*KFC!$C$5</f>
        <v>234.5</v>
      </c>
      <c r="R142" s="689">
        <f>(246.3*KFC!$B$21+KFC!$C$21)*KFC!$C$5</f>
        <v>246.3</v>
      </c>
      <c r="S142" s="689">
        <f>(258.2*KFC!$B$21+KFC!$C$21)*KFC!$C$5</f>
        <v>258.2</v>
      </c>
    </row>
    <row r="143" spans="1:19">
      <c r="A143" s="1728"/>
      <c r="B143" s="671">
        <v>2.4</v>
      </c>
      <c r="C143" s="689">
        <f>(70.5*KFC!$B$21+KFC!$C$21)*KFC!$C$5</f>
        <v>70.5</v>
      </c>
      <c r="D143" s="689">
        <f>(82.7*KFC!$B$21+KFC!$C$21)*KFC!$C$5</f>
        <v>82.7</v>
      </c>
      <c r="E143" s="689">
        <f>(94.9*KFC!$B$21+KFC!$C$21)*KFC!$C$5</f>
        <v>94.9</v>
      </c>
      <c r="F143" s="689">
        <f>(107.1*KFC!$B$21+KFC!$C$21)*KFC!$C$5</f>
        <v>107.1</v>
      </c>
      <c r="G143" s="689">
        <f>(119.3*KFC!$B$21+KFC!$C$21)*KFC!$C$5</f>
        <v>119.3</v>
      </c>
      <c r="H143" s="689">
        <f>(131.5*KFC!$B$21+KFC!$C$21)*KFC!$C$5</f>
        <v>131.5</v>
      </c>
      <c r="I143" s="689">
        <f>(143.6*KFC!$B$21+KFC!$C$21)*KFC!$C$5</f>
        <v>143.6</v>
      </c>
      <c r="J143" s="689">
        <f>(155.9*KFC!$B$21+KFC!$C$21)*KFC!$C$5</f>
        <v>155.9</v>
      </c>
      <c r="K143" s="689">
        <f>(168*KFC!$B$21+KFC!$C$21)*KFC!$C$5</f>
        <v>168</v>
      </c>
      <c r="L143" s="689">
        <f>(180.2*KFC!$B$21+KFC!$C$21)*KFC!$C$5</f>
        <v>180.2</v>
      </c>
      <c r="M143" s="689">
        <f>(192.4*KFC!$B$21+KFC!$C$21)*KFC!$C$5</f>
        <v>192.4</v>
      </c>
      <c r="N143" s="689">
        <f>(204.6*KFC!$B$21+KFC!$C$21)*KFC!$C$5</f>
        <v>204.6</v>
      </c>
      <c r="O143" s="689">
        <f>(216.8*KFC!$B$21+KFC!$C$21)*KFC!$C$5</f>
        <v>216.8</v>
      </c>
      <c r="P143" s="689">
        <f>(229*KFC!$B$21+KFC!$C$21)*KFC!$C$5</f>
        <v>229</v>
      </c>
      <c r="Q143" s="689">
        <f>(241.2*KFC!$B$21+KFC!$C$21)*KFC!$C$5</f>
        <v>241.2</v>
      </c>
      <c r="R143" s="689">
        <f>(253.4*KFC!$B$21+KFC!$C$21)*KFC!$C$5</f>
        <v>253.4</v>
      </c>
      <c r="S143" s="689">
        <f>(265.6*KFC!$B$21+KFC!$C$21)*KFC!$C$5</f>
        <v>265.60000000000002</v>
      </c>
    </row>
    <row r="144" spans="1:19">
      <c r="A144" s="1728"/>
      <c r="B144" s="671">
        <v>2.5</v>
      </c>
      <c r="C144" s="689">
        <f>(72*KFC!$B$21+KFC!$C$21)*KFC!$C$5</f>
        <v>72</v>
      </c>
      <c r="D144" s="689">
        <f>(84.5*KFC!$B$21+KFC!$C$21)*KFC!$C$5</f>
        <v>84.5</v>
      </c>
      <c r="E144" s="689">
        <f>(97.1*KFC!$B$21+KFC!$C$21)*KFC!$C$5</f>
        <v>97.1</v>
      </c>
      <c r="F144" s="689">
        <f>(109.7*KFC!$B$21+KFC!$C$21)*KFC!$C$5</f>
        <v>109.7</v>
      </c>
      <c r="G144" s="689">
        <f>(122.2*KFC!$B$21+KFC!$C$21)*KFC!$C$5</f>
        <v>122.2</v>
      </c>
      <c r="H144" s="689">
        <f>(134.8*KFC!$B$21+KFC!$C$21)*KFC!$C$5</f>
        <v>134.80000000000001</v>
      </c>
      <c r="I144" s="689">
        <f>(147.4*KFC!$B$21+KFC!$C$21)*KFC!$C$5</f>
        <v>147.4</v>
      </c>
      <c r="J144" s="689">
        <f>(160*KFC!$B$21+KFC!$C$21)*KFC!$C$5</f>
        <v>160</v>
      </c>
      <c r="K144" s="689">
        <f>(172.5*KFC!$B$21+KFC!$C$21)*KFC!$C$5</f>
        <v>172.5</v>
      </c>
      <c r="L144" s="689">
        <f>(185.1*KFC!$B$21+KFC!$C$21)*KFC!$C$5</f>
        <v>185.1</v>
      </c>
      <c r="M144" s="689">
        <f>(197.7*KFC!$B$21+KFC!$C$21)*KFC!$C$5</f>
        <v>197.7</v>
      </c>
      <c r="N144" s="689">
        <f>(210.2*KFC!$B$21+KFC!$C$21)*KFC!$C$5</f>
        <v>210.2</v>
      </c>
      <c r="O144" s="689">
        <f>(222.8*KFC!$B$21+KFC!$C$21)*KFC!$C$5</f>
        <v>222.8</v>
      </c>
      <c r="P144" s="689">
        <f>(235.4*KFC!$B$21+KFC!$C$21)*KFC!$C$5</f>
        <v>235.4</v>
      </c>
      <c r="Q144" s="689">
        <f>(247.9*KFC!$B$21+KFC!$C$21)*KFC!$C$5</f>
        <v>247.9</v>
      </c>
      <c r="R144" s="689">
        <f>(260.5*KFC!$B$21+KFC!$C$21)*KFC!$C$5</f>
        <v>260.5</v>
      </c>
      <c r="S144" s="689">
        <f>(273.1*KFC!$B$21+KFC!$C$21)*KFC!$C$5</f>
        <v>273.10000000000002</v>
      </c>
    </row>
    <row r="145" spans="1:19">
      <c r="A145" s="1728"/>
      <c r="B145" s="671">
        <v>2.6</v>
      </c>
      <c r="C145" s="689">
        <f>(73.5*KFC!$B$21+KFC!$C$21)*KFC!$C$5</f>
        <v>73.5</v>
      </c>
      <c r="D145" s="689">
        <f>(86.4*KFC!$B$21+KFC!$C$21)*KFC!$C$5</f>
        <v>86.4</v>
      </c>
      <c r="E145" s="689">
        <f>(99.3*KFC!$B$21+KFC!$C$21)*KFC!$C$5</f>
        <v>99.3</v>
      </c>
      <c r="F145" s="689">
        <f>(112.3*KFC!$B$21+KFC!$C$21)*KFC!$C$5</f>
        <v>112.3</v>
      </c>
      <c r="G145" s="689">
        <f>(125.2*KFC!$B$21+KFC!$C$21)*KFC!$C$5</f>
        <v>125.2</v>
      </c>
      <c r="H145" s="689">
        <f>(138.2*KFC!$B$21+KFC!$C$21)*KFC!$C$5</f>
        <v>138.19999999999999</v>
      </c>
      <c r="I145" s="689">
        <f>(151.1*KFC!$B$21+KFC!$C$21)*KFC!$C$5</f>
        <v>151.1</v>
      </c>
      <c r="J145" s="689">
        <f>(164.1*KFC!$B$21+KFC!$C$21)*KFC!$C$5</f>
        <v>164.1</v>
      </c>
      <c r="K145" s="689">
        <f>(177*KFC!$B$21+KFC!$C$21)*KFC!$C$5</f>
        <v>177</v>
      </c>
      <c r="L145" s="689">
        <f>(189.9*KFC!$B$21+KFC!$C$21)*KFC!$C$5</f>
        <v>189.9</v>
      </c>
      <c r="M145" s="689">
        <f>(202.9*KFC!$B$21+KFC!$C$21)*KFC!$C$5</f>
        <v>202.9</v>
      </c>
      <c r="N145" s="689">
        <f>(215.8*KFC!$B$21+KFC!$C$21)*KFC!$C$5</f>
        <v>215.8</v>
      </c>
      <c r="O145" s="689">
        <f>(228.8*KFC!$B$21+KFC!$C$21)*KFC!$C$5</f>
        <v>228.8</v>
      </c>
      <c r="P145" s="689">
        <f>(241.7*KFC!$B$21+KFC!$C$21)*KFC!$C$5</f>
        <v>241.7</v>
      </c>
      <c r="Q145" s="689">
        <f>(254.7*KFC!$B$21+KFC!$C$21)*KFC!$C$5</f>
        <v>254.7</v>
      </c>
      <c r="R145" s="689">
        <f>(267.6*KFC!$B$21+KFC!$C$21)*KFC!$C$5</f>
        <v>267.60000000000002</v>
      </c>
      <c r="S145" s="689">
        <f>(280.5*KFC!$B$21+KFC!$C$21)*KFC!$C$5</f>
        <v>280.5</v>
      </c>
    </row>
    <row r="146" spans="1:19">
      <c r="A146" s="1728"/>
      <c r="B146" s="671">
        <v>2.7</v>
      </c>
      <c r="C146" s="689">
        <f>(74.9*KFC!$B$21+KFC!$C$21)*KFC!$C$5</f>
        <v>74.900000000000006</v>
      </c>
      <c r="D146" s="689">
        <f>(88.3*KFC!$B$21+KFC!$C$21)*KFC!$C$5</f>
        <v>88.3</v>
      </c>
      <c r="E146" s="689">
        <f>(101.6*KFC!$B$21+KFC!$C$21)*KFC!$C$5</f>
        <v>101.6</v>
      </c>
      <c r="F146" s="689">
        <f>(114.9*KFC!$B$21+KFC!$C$21)*KFC!$C$5</f>
        <v>114.9</v>
      </c>
      <c r="G146" s="689">
        <f>(128.2*KFC!$B$21+KFC!$C$21)*KFC!$C$5</f>
        <v>128.19999999999999</v>
      </c>
      <c r="H146" s="689">
        <f>(141.5*KFC!$B$21+KFC!$C$21)*KFC!$C$5</f>
        <v>141.5</v>
      </c>
      <c r="I146" s="689">
        <f>(154.8*KFC!$B$21+KFC!$C$21)*KFC!$C$5</f>
        <v>154.80000000000001</v>
      </c>
      <c r="J146" s="689">
        <f>(168.2*KFC!$B$21+KFC!$C$21)*KFC!$C$5</f>
        <v>168.2</v>
      </c>
      <c r="K146" s="689">
        <f>(181.5*KFC!$B$21+KFC!$C$21)*KFC!$C$5</f>
        <v>181.5</v>
      </c>
      <c r="L146" s="689">
        <f>(194.8*KFC!$B$21+KFC!$C$21)*KFC!$C$5</f>
        <v>194.8</v>
      </c>
      <c r="M146" s="689">
        <f>(208.1*KFC!$B$21+KFC!$C$21)*KFC!$C$5</f>
        <v>208.1</v>
      </c>
      <c r="N146" s="689">
        <f>(221.4*KFC!$B$21+KFC!$C$21)*KFC!$C$5</f>
        <v>221.4</v>
      </c>
      <c r="O146" s="689">
        <f>(234.7*KFC!$B$21+KFC!$C$21)*KFC!$C$5</f>
        <v>234.7</v>
      </c>
      <c r="P146" s="689">
        <f>(248*KFC!$B$21+KFC!$C$21)*KFC!$C$5</f>
        <v>248</v>
      </c>
      <c r="Q146" s="689">
        <f>(261.4*KFC!$B$21+KFC!$C$21)*KFC!$C$5</f>
        <v>261.39999999999998</v>
      </c>
      <c r="R146" s="689">
        <f>(274.7*KFC!$B$21+KFC!$C$21)*KFC!$C$5</f>
        <v>274.7</v>
      </c>
      <c r="S146" s="689">
        <f>(288*KFC!$B$21+KFC!$C$21)*KFC!$C$5</f>
        <v>288</v>
      </c>
    </row>
    <row r="147" spans="1:19">
      <c r="A147" s="1728"/>
      <c r="B147" s="671">
        <v>2.8</v>
      </c>
      <c r="C147" s="689">
        <f>(76.4*KFC!$B$21+KFC!$C$21)*KFC!$C$5</f>
        <v>76.400000000000006</v>
      </c>
      <c r="D147" s="689">
        <f>(90.1*KFC!$B$21+KFC!$C$21)*KFC!$C$5</f>
        <v>90.1</v>
      </c>
      <c r="E147" s="689">
        <f>(103.8*KFC!$B$21+KFC!$C$21)*KFC!$C$5</f>
        <v>103.8</v>
      </c>
      <c r="F147" s="689">
        <f>(117.5*KFC!$B$21+KFC!$C$21)*KFC!$C$5</f>
        <v>117.5</v>
      </c>
      <c r="G147" s="689">
        <f>(131.2*KFC!$B$21+KFC!$C$21)*KFC!$C$5</f>
        <v>131.19999999999999</v>
      </c>
      <c r="H147" s="689">
        <f>(144.9*KFC!$B$21+KFC!$C$21)*KFC!$C$5</f>
        <v>144.9</v>
      </c>
      <c r="I147" s="689">
        <f>(158.6*KFC!$B$21+KFC!$C$21)*KFC!$C$5</f>
        <v>158.6</v>
      </c>
      <c r="J147" s="689">
        <f>(172.3*KFC!$B$21+KFC!$C$21)*KFC!$C$5</f>
        <v>172.3</v>
      </c>
      <c r="K147" s="689">
        <f>(186*KFC!$B$21+KFC!$C$21)*KFC!$C$5</f>
        <v>186</v>
      </c>
      <c r="L147" s="689">
        <f>(199.6*KFC!$B$21+KFC!$C$21)*KFC!$C$5</f>
        <v>199.6</v>
      </c>
      <c r="M147" s="689">
        <f>(213.3*KFC!$B$21+KFC!$C$21)*KFC!$C$5</f>
        <v>213.3</v>
      </c>
      <c r="N147" s="689">
        <f>(227*KFC!$B$21+KFC!$C$21)*KFC!$C$5</f>
        <v>227</v>
      </c>
      <c r="O147" s="689">
        <f>(240.7*KFC!$B$21+KFC!$C$21)*KFC!$C$5</f>
        <v>240.7</v>
      </c>
      <c r="P147" s="689">
        <f>(254.4*KFC!$B$21+KFC!$C$21)*KFC!$C$5</f>
        <v>254.4</v>
      </c>
      <c r="Q147" s="689">
        <f>(268.1*KFC!$B$21+KFC!$C$21)*KFC!$C$5</f>
        <v>268.10000000000002</v>
      </c>
      <c r="R147" s="689">
        <f>(281.8*KFC!$B$21+KFC!$C$21)*KFC!$C$5</f>
        <v>281.8</v>
      </c>
      <c r="S147" s="689">
        <f>(295.5*KFC!$B$21+KFC!$C$21)*KFC!$C$5</f>
        <v>295.5</v>
      </c>
    </row>
    <row r="148" spans="1:19">
      <c r="A148" s="1728"/>
      <c r="B148" s="671">
        <v>2.9</v>
      </c>
      <c r="C148" s="689">
        <f>(77.9*KFC!$B$21+KFC!$C$21)*KFC!$C$5</f>
        <v>77.900000000000006</v>
      </c>
      <c r="D148" s="689">
        <f>(92*KFC!$B$21+KFC!$C$21)*KFC!$C$5</f>
        <v>92</v>
      </c>
      <c r="E148" s="689">
        <f>(106.1*KFC!$B$21+KFC!$C$21)*KFC!$C$5</f>
        <v>106.1</v>
      </c>
      <c r="F148" s="689">
        <f>(120.1*KFC!$B$21+KFC!$C$21)*KFC!$C$5</f>
        <v>120.1</v>
      </c>
      <c r="G148" s="689">
        <f>(134.2*KFC!$B$21+KFC!$C$21)*KFC!$C$5</f>
        <v>134.19999999999999</v>
      </c>
      <c r="H148" s="689">
        <f>(148.2*KFC!$B$21+KFC!$C$21)*KFC!$C$5</f>
        <v>148.19999999999999</v>
      </c>
      <c r="I148" s="689">
        <f>(162.3*KFC!$B$21+KFC!$C$21)*KFC!$C$5</f>
        <v>162.30000000000001</v>
      </c>
      <c r="J148" s="689">
        <f>(176.4*KFC!$B$21+KFC!$C$21)*KFC!$C$5</f>
        <v>176.4</v>
      </c>
      <c r="K148" s="689">
        <f>(190.4*KFC!$B$21+KFC!$C$21)*KFC!$C$5</f>
        <v>190.4</v>
      </c>
      <c r="L148" s="689">
        <f>(204.5*KFC!$B$21+KFC!$C$21)*KFC!$C$5</f>
        <v>204.5</v>
      </c>
      <c r="M148" s="689">
        <f>(218.6*KFC!$B$21+KFC!$C$21)*KFC!$C$5</f>
        <v>218.6</v>
      </c>
      <c r="N148" s="689">
        <f>(232.6*KFC!$B$21+KFC!$C$21)*KFC!$C$5</f>
        <v>232.6</v>
      </c>
      <c r="O148" s="689">
        <f>(246.7*KFC!$B$21+KFC!$C$21)*KFC!$C$5</f>
        <v>246.7</v>
      </c>
      <c r="P148" s="689">
        <f>(260.7*KFC!$B$21+KFC!$C$21)*KFC!$C$5</f>
        <v>260.7</v>
      </c>
      <c r="Q148" s="689">
        <f>(274.8*KFC!$B$21+KFC!$C$21)*KFC!$C$5</f>
        <v>274.8</v>
      </c>
      <c r="R148" s="689">
        <f>(288.9*KFC!$B$21+KFC!$C$21)*KFC!$C$5</f>
        <v>288.89999999999998</v>
      </c>
      <c r="S148" s="689">
        <f>(302.9*KFC!$B$21+KFC!$C$21)*KFC!$C$5</f>
        <v>302.89999999999998</v>
      </c>
    </row>
    <row r="149" spans="1:19">
      <c r="A149" s="1728"/>
      <c r="B149" s="671">
        <v>3</v>
      </c>
      <c r="C149" s="689">
        <f>(79.4*KFC!$B$21+KFC!$C$21)*KFC!$C$5</f>
        <v>79.400000000000006</v>
      </c>
      <c r="D149" s="689">
        <f>(93.8*KFC!$B$21+KFC!$C$21)*KFC!$C$5</f>
        <v>93.8</v>
      </c>
      <c r="E149" s="689">
        <f>(108.3*KFC!$B$21+KFC!$C$21)*KFC!$C$5</f>
        <v>108.3</v>
      </c>
      <c r="F149" s="689">
        <f>(122.7*KFC!$B$21+KFC!$C$21)*KFC!$C$5</f>
        <v>122.7</v>
      </c>
      <c r="G149" s="689">
        <f>(137.2*KFC!$B$21+KFC!$C$21)*KFC!$C$5</f>
        <v>137.19999999999999</v>
      </c>
      <c r="H149" s="689">
        <f>(151.6*KFC!$B$21+KFC!$C$21)*KFC!$C$5</f>
        <v>151.6</v>
      </c>
      <c r="I149" s="689">
        <f>(166*KFC!$B$21+KFC!$C$21)*KFC!$C$5</f>
        <v>166</v>
      </c>
      <c r="J149" s="689">
        <f>(180.5*KFC!$B$21+KFC!$C$21)*KFC!$C$5</f>
        <v>180.5</v>
      </c>
      <c r="K149" s="689">
        <f>(194.9*KFC!$B$21+KFC!$C$21)*KFC!$C$5</f>
        <v>194.9</v>
      </c>
      <c r="L149" s="689">
        <f>(209.3*KFC!$B$21+KFC!$C$21)*KFC!$C$5</f>
        <v>209.3</v>
      </c>
      <c r="M149" s="689">
        <f>(223.8*KFC!$B$21+KFC!$C$21)*KFC!$C$5</f>
        <v>223.8</v>
      </c>
      <c r="N149" s="689">
        <f>(238.2*KFC!$B$21+KFC!$C$21)*KFC!$C$5</f>
        <v>238.2</v>
      </c>
      <c r="O149" s="689">
        <f>(252.6*KFC!$B$21+KFC!$C$21)*KFC!$C$5</f>
        <v>252.6</v>
      </c>
      <c r="P149" s="689">
        <f>(267.1*KFC!$B$21+KFC!$C$21)*KFC!$C$5</f>
        <v>267.10000000000002</v>
      </c>
      <c r="Q149" s="689">
        <f>(281.5*KFC!$B$21+KFC!$C$21)*KFC!$C$5</f>
        <v>281.5</v>
      </c>
      <c r="R149" s="689">
        <f>(295.9*KFC!$B$21+KFC!$C$21)*KFC!$C$5</f>
        <v>295.89999999999998</v>
      </c>
      <c r="S149" s="689">
        <f>(310.4*KFC!$B$21+KFC!$C$21)*KFC!$C$5</f>
        <v>310.39999999999998</v>
      </c>
    </row>
    <row r="150" spans="1:19" ht="13.8" thickBot="1"/>
    <row r="151" spans="1:19">
      <c r="A151" s="1745" t="s">
        <v>1014</v>
      </c>
      <c r="B151" s="1082"/>
      <c r="C151" s="1741" t="s">
        <v>207</v>
      </c>
      <c r="D151" s="1742"/>
      <c r="E151" s="1742"/>
      <c r="F151" s="1742"/>
      <c r="G151" s="1742"/>
      <c r="H151" s="1742"/>
      <c r="I151" s="1742"/>
      <c r="J151" s="1742"/>
      <c r="K151" s="1742"/>
      <c r="L151" s="1742"/>
      <c r="M151" s="1742"/>
      <c r="N151" s="1742"/>
      <c r="O151" s="1742"/>
      <c r="P151" s="1742"/>
      <c r="Q151" s="1742"/>
      <c r="R151" s="1742"/>
      <c r="S151" s="1743"/>
    </row>
    <row r="152" spans="1:19">
      <c r="A152" s="1746"/>
      <c r="B152" s="1734"/>
      <c r="C152" s="671">
        <v>0.4</v>
      </c>
      <c r="D152" s="671">
        <v>0.5</v>
      </c>
      <c r="E152" s="671">
        <v>0.6</v>
      </c>
      <c r="F152" s="671">
        <v>0.7</v>
      </c>
      <c r="G152" s="671">
        <v>0.8</v>
      </c>
      <c r="H152" s="671">
        <v>0.9</v>
      </c>
      <c r="I152" s="671">
        <v>1</v>
      </c>
      <c r="J152" s="671">
        <v>1.1000000000000001</v>
      </c>
      <c r="K152" s="671">
        <v>1.2</v>
      </c>
      <c r="L152" s="671">
        <v>1.3</v>
      </c>
      <c r="M152" s="671">
        <v>1.4</v>
      </c>
      <c r="N152" s="671">
        <v>1.5</v>
      </c>
      <c r="O152" s="671">
        <v>1.6</v>
      </c>
      <c r="P152" s="671">
        <v>1.7</v>
      </c>
      <c r="Q152" s="671">
        <v>1.8</v>
      </c>
      <c r="R152" s="671">
        <v>1.9</v>
      </c>
      <c r="S152" s="671">
        <v>2</v>
      </c>
    </row>
    <row r="153" spans="1:19">
      <c r="A153" s="1740" t="s">
        <v>3</v>
      </c>
      <c r="B153" s="671">
        <v>0.5</v>
      </c>
      <c r="C153" s="689">
        <f>(43.4*KFC!$B$21+KFC!$C$21)*KFC!$C$5</f>
        <v>43.4</v>
      </c>
      <c r="D153" s="689">
        <f>(48.9*KFC!$B$21+KFC!$C$21)*KFC!$C$5</f>
        <v>48.9</v>
      </c>
      <c r="E153" s="689">
        <f>(54.3*KFC!$B$21+KFC!$C$21)*KFC!$C$5</f>
        <v>54.3</v>
      </c>
      <c r="F153" s="689">
        <f>(59.7*KFC!$B$21+KFC!$C$21)*KFC!$C$5</f>
        <v>59.7</v>
      </c>
      <c r="G153" s="689">
        <f>(65.1*KFC!$B$21+KFC!$C$21)*KFC!$C$5</f>
        <v>65.099999999999994</v>
      </c>
      <c r="H153" s="689">
        <f>(70.6*KFC!$B$21+KFC!$C$21)*KFC!$C$5</f>
        <v>70.599999999999994</v>
      </c>
      <c r="I153" s="689">
        <f>(76*KFC!$B$21+KFC!$C$21)*KFC!$C$5</f>
        <v>76</v>
      </c>
      <c r="J153" s="689">
        <f>(81.4*KFC!$B$21+KFC!$C$21)*KFC!$C$5</f>
        <v>81.400000000000006</v>
      </c>
      <c r="K153" s="689">
        <f>(86.8*KFC!$B$21+KFC!$C$21)*KFC!$C$5</f>
        <v>86.8</v>
      </c>
      <c r="L153" s="689">
        <f>(92.3*KFC!$B$21+KFC!$C$21)*KFC!$C$5</f>
        <v>92.3</v>
      </c>
      <c r="M153" s="689">
        <f>(97.7*KFC!$B$21+KFC!$C$21)*KFC!$C$5</f>
        <v>97.7</v>
      </c>
      <c r="N153" s="689">
        <f>(103.1*KFC!$B$21+KFC!$C$21)*KFC!$C$5</f>
        <v>103.1</v>
      </c>
      <c r="O153" s="689">
        <f>(108.5*KFC!$B$21+KFC!$C$21)*KFC!$C$5</f>
        <v>108.5</v>
      </c>
      <c r="P153" s="689">
        <f>(114*KFC!$B$21+KFC!$C$21)*KFC!$C$5</f>
        <v>114</v>
      </c>
      <c r="Q153" s="689">
        <f>(119.4*KFC!$B$21+KFC!$C$21)*KFC!$C$5</f>
        <v>119.4</v>
      </c>
      <c r="R153" s="689">
        <f>(124.8*KFC!$B$21+KFC!$C$21)*KFC!$C$5</f>
        <v>124.8</v>
      </c>
      <c r="S153" s="689">
        <f>(130.2*KFC!$B$21+KFC!$C$21)*KFC!$C$5</f>
        <v>130.19999999999999</v>
      </c>
    </row>
    <row r="154" spans="1:19">
      <c r="A154" s="1740"/>
      <c r="B154" s="671">
        <v>0.6</v>
      </c>
      <c r="C154" s="689">
        <f>(45.2*KFC!$B$21+KFC!$C$21)*KFC!$C$5</f>
        <v>45.2</v>
      </c>
      <c r="D154" s="689">
        <f>(51*KFC!$B$21+KFC!$C$21)*KFC!$C$5</f>
        <v>51</v>
      </c>
      <c r="E154" s="689">
        <f>(56.9*KFC!$B$21+KFC!$C$21)*KFC!$C$5</f>
        <v>56.9</v>
      </c>
      <c r="F154" s="689">
        <f>(62.8*KFC!$B$21+KFC!$C$21)*KFC!$C$5</f>
        <v>62.8</v>
      </c>
      <c r="G154" s="689">
        <f>(68.6*KFC!$B$21+KFC!$C$21)*KFC!$C$5</f>
        <v>68.599999999999994</v>
      </c>
      <c r="H154" s="689">
        <f>(74.5*KFC!$B$21+KFC!$C$21)*KFC!$C$5</f>
        <v>74.5</v>
      </c>
      <c r="I154" s="689">
        <f>(80.3*KFC!$B$21+KFC!$C$21)*KFC!$C$5</f>
        <v>80.3</v>
      </c>
      <c r="J154" s="689">
        <f>(86.2*KFC!$B$21+KFC!$C$21)*KFC!$C$5</f>
        <v>86.2</v>
      </c>
      <c r="K154" s="689">
        <f>(92.1*KFC!$B$21+KFC!$C$21)*KFC!$C$5</f>
        <v>92.1</v>
      </c>
      <c r="L154" s="689">
        <f>(97.9*KFC!$B$21+KFC!$C$21)*KFC!$C$5</f>
        <v>97.9</v>
      </c>
      <c r="M154" s="689">
        <f>(103.8*KFC!$B$21+KFC!$C$21)*KFC!$C$5</f>
        <v>103.8</v>
      </c>
      <c r="N154" s="689">
        <f>(109.7*KFC!$B$21+KFC!$C$21)*KFC!$C$5</f>
        <v>109.7</v>
      </c>
      <c r="O154" s="689">
        <f>(115.5*KFC!$B$21+KFC!$C$21)*KFC!$C$5</f>
        <v>115.5</v>
      </c>
      <c r="P154" s="689">
        <f>(121.4*KFC!$B$21+KFC!$C$21)*KFC!$C$5</f>
        <v>121.4</v>
      </c>
      <c r="Q154" s="689">
        <f>(127.2*KFC!$B$21+KFC!$C$21)*KFC!$C$5</f>
        <v>127.2</v>
      </c>
      <c r="R154" s="689">
        <f>(133.1*KFC!$B$21+KFC!$C$21)*KFC!$C$5</f>
        <v>133.1</v>
      </c>
      <c r="S154" s="689">
        <f>(139*KFC!$B$21+KFC!$C$21)*KFC!$C$5</f>
        <v>139</v>
      </c>
    </row>
    <row r="155" spans="1:19">
      <c r="A155" s="1740"/>
      <c r="B155" s="671">
        <v>0.7</v>
      </c>
      <c r="C155" s="689">
        <f>(46.9*KFC!$B$21+KFC!$C$21)*KFC!$C$5</f>
        <v>46.9</v>
      </c>
      <c r="D155" s="689">
        <f>(53.2*KFC!$B$21+KFC!$C$21)*KFC!$C$5</f>
        <v>53.2</v>
      </c>
      <c r="E155" s="689">
        <f>(59.5*KFC!$B$21+KFC!$C$21)*KFC!$C$5</f>
        <v>59.5</v>
      </c>
      <c r="F155" s="689">
        <f>(65.8*KFC!$B$21+KFC!$C$21)*KFC!$C$5</f>
        <v>65.8</v>
      </c>
      <c r="G155" s="689">
        <f>(72.1*KFC!$B$21+KFC!$C$21)*KFC!$C$5</f>
        <v>72.099999999999994</v>
      </c>
      <c r="H155" s="689">
        <f>(78.4*KFC!$B$21+KFC!$C$21)*KFC!$C$5</f>
        <v>78.400000000000006</v>
      </c>
      <c r="I155" s="689">
        <f>(84.7*KFC!$B$21+KFC!$C$21)*KFC!$C$5</f>
        <v>84.7</v>
      </c>
      <c r="J155" s="689">
        <f>(91*KFC!$B$21+KFC!$C$21)*KFC!$C$5</f>
        <v>91</v>
      </c>
      <c r="K155" s="689">
        <f>(97.3*KFC!$B$21+KFC!$C$21)*KFC!$C$5</f>
        <v>97.3</v>
      </c>
      <c r="L155" s="689">
        <f>(103.6*KFC!$B$21+KFC!$C$21)*KFC!$C$5</f>
        <v>103.6</v>
      </c>
      <c r="M155" s="689">
        <f>(109.9*KFC!$B$21+KFC!$C$21)*KFC!$C$5</f>
        <v>109.9</v>
      </c>
      <c r="N155" s="689">
        <f>(116.2*KFC!$B$21+KFC!$C$21)*KFC!$C$5</f>
        <v>116.2</v>
      </c>
      <c r="O155" s="689">
        <f>(122.5*KFC!$B$21+KFC!$C$21)*KFC!$C$5</f>
        <v>122.5</v>
      </c>
      <c r="P155" s="689">
        <f>(128.8*KFC!$B$21+KFC!$C$21)*KFC!$C$5</f>
        <v>128.80000000000001</v>
      </c>
      <c r="Q155" s="689">
        <f>(135.1*KFC!$B$21+KFC!$C$21)*KFC!$C$5</f>
        <v>135.1</v>
      </c>
      <c r="R155" s="689">
        <f>(141.4*KFC!$B$21+KFC!$C$21)*KFC!$C$5</f>
        <v>141.4</v>
      </c>
      <c r="S155" s="689">
        <f>(147.7*KFC!$B$21+KFC!$C$21)*KFC!$C$5</f>
        <v>147.69999999999999</v>
      </c>
    </row>
    <row r="156" spans="1:19">
      <c r="A156" s="1740"/>
      <c r="B156" s="671">
        <v>0.8</v>
      </c>
      <c r="C156" s="689">
        <f>(48.7*KFC!$B$21+KFC!$C$21)*KFC!$C$5</f>
        <v>48.7</v>
      </c>
      <c r="D156" s="689">
        <f>(55.4*KFC!$B$21+KFC!$C$21)*KFC!$C$5</f>
        <v>55.4</v>
      </c>
      <c r="E156" s="689">
        <f>(62.1*KFC!$B$21+KFC!$C$21)*KFC!$C$5</f>
        <v>62.1</v>
      </c>
      <c r="F156" s="689">
        <f>(68.9*KFC!$B$21+KFC!$C$21)*KFC!$C$5</f>
        <v>68.900000000000006</v>
      </c>
      <c r="G156" s="689">
        <f>(75.6*KFC!$B$21+KFC!$C$21)*KFC!$C$5</f>
        <v>75.599999999999994</v>
      </c>
      <c r="H156" s="689">
        <f>(82.3*KFC!$B$21+KFC!$C$21)*KFC!$C$5</f>
        <v>82.3</v>
      </c>
      <c r="I156" s="689">
        <f>(89.1*KFC!$B$21+KFC!$C$21)*KFC!$C$5</f>
        <v>89.1</v>
      </c>
      <c r="J156" s="689">
        <f>(95.8*KFC!$B$21+KFC!$C$21)*KFC!$C$5</f>
        <v>95.8</v>
      </c>
      <c r="K156" s="689">
        <f>(102.5*KFC!$B$21+KFC!$C$21)*KFC!$C$5</f>
        <v>102.5</v>
      </c>
      <c r="L156" s="689">
        <f>(109.3*KFC!$B$21+KFC!$C$21)*KFC!$C$5</f>
        <v>109.3</v>
      </c>
      <c r="M156" s="689">
        <f>(116*KFC!$B$21+KFC!$C$21)*KFC!$C$5</f>
        <v>116</v>
      </c>
      <c r="N156" s="689">
        <f>(122.7*KFC!$B$21+KFC!$C$21)*KFC!$C$5</f>
        <v>122.7</v>
      </c>
      <c r="O156" s="689">
        <f>(129.4*KFC!$B$21+KFC!$C$21)*KFC!$C$5</f>
        <v>129.4</v>
      </c>
      <c r="P156" s="689">
        <f>(136.2*KFC!$B$21+KFC!$C$21)*KFC!$C$5</f>
        <v>136.19999999999999</v>
      </c>
      <c r="Q156" s="689">
        <f>(142.9*KFC!$B$21+KFC!$C$21)*KFC!$C$5</f>
        <v>142.9</v>
      </c>
      <c r="R156" s="689">
        <f>(149.6*KFC!$B$21+KFC!$C$21)*KFC!$C$5</f>
        <v>149.6</v>
      </c>
      <c r="S156" s="689">
        <f>(156.4*KFC!$B$21+KFC!$C$21)*KFC!$C$5</f>
        <v>156.4</v>
      </c>
    </row>
    <row r="157" spans="1:19">
      <c r="A157" s="1740"/>
      <c r="B157" s="671">
        <v>0.9</v>
      </c>
      <c r="C157" s="689">
        <f>(50.4*KFC!$B$21+KFC!$C$21)*KFC!$C$5</f>
        <v>50.4</v>
      </c>
      <c r="D157" s="689">
        <f>(57.6*KFC!$B$21+KFC!$C$21)*KFC!$C$5</f>
        <v>57.6</v>
      </c>
      <c r="E157" s="689">
        <f>(64.7*KFC!$B$21+KFC!$C$21)*KFC!$C$5</f>
        <v>64.7</v>
      </c>
      <c r="F157" s="689">
        <f>(71.9*KFC!$B$21+KFC!$C$21)*KFC!$C$5</f>
        <v>71.900000000000006</v>
      </c>
      <c r="G157" s="689">
        <f>(79.1*KFC!$B$21+KFC!$C$21)*KFC!$C$5</f>
        <v>79.099999999999994</v>
      </c>
      <c r="H157" s="689">
        <f>(86.2*KFC!$B$21+KFC!$C$21)*KFC!$C$5</f>
        <v>86.2</v>
      </c>
      <c r="I157" s="689">
        <f>(93.4*KFC!$B$21+KFC!$C$21)*KFC!$C$5</f>
        <v>93.4</v>
      </c>
      <c r="J157" s="689">
        <f>(100.6*KFC!$B$21+KFC!$C$21)*KFC!$C$5</f>
        <v>100.6</v>
      </c>
      <c r="K157" s="689">
        <f>(107.7*KFC!$B$21+KFC!$C$21)*KFC!$C$5</f>
        <v>107.7</v>
      </c>
      <c r="L157" s="689">
        <f>(114.9*KFC!$B$21+KFC!$C$21)*KFC!$C$5</f>
        <v>114.9</v>
      </c>
      <c r="M157" s="689">
        <f>(122.1*KFC!$B$21+KFC!$C$21)*KFC!$C$5</f>
        <v>122.1</v>
      </c>
      <c r="N157" s="689">
        <f>(129.3*KFC!$B$21+KFC!$C$21)*KFC!$C$5</f>
        <v>129.30000000000001</v>
      </c>
      <c r="O157" s="689">
        <f>(136.4*KFC!$B$21+KFC!$C$21)*KFC!$C$5</f>
        <v>136.4</v>
      </c>
      <c r="P157" s="689">
        <f>(143.6*KFC!$B$21+KFC!$C$21)*KFC!$C$5</f>
        <v>143.6</v>
      </c>
      <c r="Q157" s="689">
        <f>(150.8*KFC!$B$21+KFC!$C$21)*KFC!$C$5</f>
        <v>150.80000000000001</v>
      </c>
      <c r="R157" s="689">
        <f>(157.9*KFC!$B$21+KFC!$C$21)*KFC!$C$5</f>
        <v>157.9</v>
      </c>
      <c r="S157" s="689">
        <f>(165.1*KFC!$B$21+KFC!$C$21)*KFC!$C$5</f>
        <v>165.1</v>
      </c>
    </row>
    <row r="158" spans="1:19">
      <c r="A158" s="1740"/>
      <c r="B158" s="671">
        <v>1</v>
      </c>
      <c r="C158" s="689">
        <f>(52.2*KFC!$B$21+KFC!$C$21)*KFC!$C$5</f>
        <v>52.2</v>
      </c>
      <c r="D158" s="689">
        <f>(59.8*KFC!$B$21+KFC!$C$21)*KFC!$C$5</f>
        <v>59.8</v>
      </c>
      <c r="E158" s="689">
        <f>(67.4*KFC!$B$21+KFC!$C$21)*KFC!$C$5</f>
        <v>67.400000000000006</v>
      </c>
      <c r="F158" s="689">
        <f>(75*KFC!$B$21+KFC!$C$21)*KFC!$C$5</f>
        <v>75</v>
      </c>
      <c r="G158" s="689">
        <f>(82.6*KFC!$B$21+KFC!$C$21)*KFC!$C$5</f>
        <v>82.6</v>
      </c>
      <c r="H158" s="689">
        <f>(90.2*KFC!$B$21+KFC!$C$21)*KFC!$C$5</f>
        <v>90.2</v>
      </c>
      <c r="I158" s="689">
        <f>(97.8*KFC!$B$21+KFC!$C$21)*KFC!$C$5</f>
        <v>97.8</v>
      </c>
      <c r="J158" s="689">
        <f>(105.4*KFC!$B$21+KFC!$C$21)*KFC!$C$5</f>
        <v>105.4</v>
      </c>
      <c r="K158" s="689">
        <f>(113*KFC!$B$21+KFC!$C$21)*KFC!$C$5</f>
        <v>113</v>
      </c>
      <c r="L158" s="689">
        <f>(120.6*KFC!$B$21+KFC!$C$21)*KFC!$C$5</f>
        <v>120.6</v>
      </c>
      <c r="M158" s="689">
        <f>(128.2*KFC!$B$21+KFC!$C$21)*KFC!$C$5</f>
        <v>128.19999999999999</v>
      </c>
      <c r="N158" s="689">
        <f>(135.8*KFC!$B$21+KFC!$C$21)*KFC!$C$5</f>
        <v>135.80000000000001</v>
      </c>
      <c r="O158" s="689">
        <f>(143.4*KFC!$B$21+KFC!$C$21)*KFC!$C$5</f>
        <v>143.4</v>
      </c>
      <c r="P158" s="689">
        <f>(151*KFC!$B$21+KFC!$C$21)*KFC!$C$5</f>
        <v>151</v>
      </c>
      <c r="Q158" s="689">
        <f>(158.6*KFC!$B$21+KFC!$C$21)*KFC!$C$5</f>
        <v>158.6</v>
      </c>
      <c r="R158" s="689">
        <f>(166.2*KFC!$B$21+KFC!$C$21)*KFC!$C$5</f>
        <v>166.2</v>
      </c>
      <c r="S158" s="689">
        <f>(173.8*KFC!$B$21+KFC!$C$21)*KFC!$C$5</f>
        <v>173.8</v>
      </c>
    </row>
    <row r="159" spans="1:19">
      <c r="A159" s="1740"/>
      <c r="B159" s="671">
        <v>1.1000000000000001</v>
      </c>
      <c r="C159" s="689">
        <f>(53.9*KFC!$B$21+KFC!$C$21)*KFC!$C$5</f>
        <v>53.9</v>
      </c>
      <c r="D159" s="689">
        <f>(61.9*KFC!$B$21+KFC!$C$21)*KFC!$C$5</f>
        <v>61.9</v>
      </c>
      <c r="E159" s="689">
        <f>(70*KFC!$B$21+KFC!$C$21)*KFC!$C$5</f>
        <v>70</v>
      </c>
      <c r="F159" s="689">
        <f>(78*KFC!$B$21+KFC!$C$21)*KFC!$C$5</f>
        <v>78</v>
      </c>
      <c r="G159" s="689">
        <f>(86.1*KFC!$B$21+KFC!$C$21)*KFC!$C$5</f>
        <v>86.1</v>
      </c>
      <c r="H159" s="689">
        <f>(94.1*KFC!$B$21+KFC!$C$21)*KFC!$C$5</f>
        <v>94.1</v>
      </c>
      <c r="I159" s="689">
        <f>(102.1*KFC!$B$21+KFC!$C$21)*KFC!$C$5</f>
        <v>102.1</v>
      </c>
      <c r="J159" s="689">
        <f>(110.2*KFC!$B$21+KFC!$C$21)*KFC!$C$5</f>
        <v>110.2</v>
      </c>
      <c r="K159" s="689">
        <f>(118.2*KFC!$B$21+KFC!$C$21)*KFC!$C$5</f>
        <v>118.2</v>
      </c>
      <c r="L159" s="689">
        <f>(126.3*KFC!$B$21+KFC!$C$21)*KFC!$C$5</f>
        <v>126.3</v>
      </c>
      <c r="M159" s="689">
        <f>(134.3*KFC!$B$21+KFC!$C$21)*KFC!$C$5</f>
        <v>134.30000000000001</v>
      </c>
      <c r="N159" s="689">
        <f>(142.3*KFC!$B$21+KFC!$C$21)*KFC!$C$5</f>
        <v>142.30000000000001</v>
      </c>
      <c r="O159" s="689">
        <f>(150.4*KFC!$B$21+KFC!$C$21)*KFC!$C$5</f>
        <v>150.4</v>
      </c>
      <c r="P159" s="689">
        <f>(158.4*KFC!$B$21+KFC!$C$21)*KFC!$C$5</f>
        <v>158.4</v>
      </c>
      <c r="Q159" s="689">
        <f>(166.4*KFC!$B$21+KFC!$C$21)*KFC!$C$5</f>
        <v>166.4</v>
      </c>
      <c r="R159" s="689">
        <f>(174.5*KFC!$B$21+KFC!$C$21)*KFC!$C$5</f>
        <v>174.5</v>
      </c>
      <c r="S159" s="689">
        <f>(182.5*KFC!$B$21+KFC!$C$21)*KFC!$C$5</f>
        <v>182.5</v>
      </c>
    </row>
    <row r="160" spans="1:19">
      <c r="A160" s="1740"/>
      <c r="B160" s="671">
        <v>1.2</v>
      </c>
      <c r="C160" s="689">
        <f>(55.6*KFC!$B$21+KFC!$C$21)*KFC!$C$5</f>
        <v>55.6</v>
      </c>
      <c r="D160" s="689">
        <f>(64.1*KFC!$B$21+KFC!$C$21)*KFC!$C$5</f>
        <v>64.099999999999994</v>
      </c>
      <c r="E160" s="689">
        <f>(72.6*KFC!$B$21+KFC!$C$21)*KFC!$C$5</f>
        <v>72.599999999999994</v>
      </c>
      <c r="F160" s="689">
        <f>(81.1*KFC!$B$21+KFC!$C$21)*KFC!$C$5</f>
        <v>81.099999999999994</v>
      </c>
      <c r="G160" s="689">
        <f>(89.5*KFC!$B$21+KFC!$C$21)*KFC!$C$5</f>
        <v>89.5</v>
      </c>
      <c r="H160" s="689">
        <f>(98*KFC!$B$21+KFC!$C$21)*KFC!$C$5</f>
        <v>98</v>
      </c>
      <c r="I160" s="689">
        <f>(106.5*KFC!$B$21+KFC!$C$21)*KFC!$C$5</f>
        <v>106.5</v>
      </c>
      <c r="J160" s="689">
        <f>(115*KFC!$B$21+KFC!$C$21)*KFC!$C$5</f>
        <v>115</v>
      </c>
      <c r="K160" s="689">
        <f>(123.4*KFC!$B$21+KFC!$C$21)*KFC!$C$5</f>
        <v>123.4</v>
      </c>
      <c r="L160" s="689">
        <f>(131.9*KFC!$B$21+KFC!$C$21)*KFC!$C$5</f>
        <v>131.9</v>
      </c>
      <c r="M160" s="689">
        <f>(140.4*KFC!$B$21+KFC!$C$21)*KFC!$C$5</f>
        <v>140.4</v>
      </c>
      <c r="N160" s="689">
        <f>(148.9*KFC!$B$21+KFC!$C$21)*KFC!$C$5</f>
        <v>148.9</v>
      </c>
      <c r="O160" s="689">
        <f>(157.3*KFC!$B$21+KFC!$C$21)*KFC!$C$5</f>
        <v>157.30000000000001</v>
      </c>
      <c r="P160" s="689">
        <f>(165.8*KFC!$B$21+KFC!$C$21)*KFC!$C$5</f>
        <v>165.8</v>
      </c>
      <c r="Q160" s="689">
        <f>(174.3*KFC!$B$21+KFC!$C$21)*KFC!$C$5</f>
        <v>174.3</v>
      </c>
      <c r="R160" s="689">
        <f>(182.8*KFC!$B$21+KFC!$C$21)*KFC!$C$5</f>
        <v>182.8</v>
      </c>
      <c r="S160" s="689">
        <f>(191.2*KFC!$B$21+KFC!$C$21)*KFC!$C$5</f>
        <v>191.2</v>
      </c>
    </row>
    <row r="161" spans="1:19">
      <c r="A161" s="1740"/>
      <c r="B161" s="671">
        <v>1.3</v>
      </c>
      <c r="C161" s="689">
        <f>(57.4*KFC!$B$21+KFC!$C$21)*KFC!$C$5</f>
        <v>57.4</v>
      </c>
      <c r="D161" s="689">
        <f>(66.3*KFC!$B$21+KFC!$C$21)*KFC!$C$5</f>
        <v>66.3</v>
      </c>
      <c r="E161" s="689">
        <f>(75.2*KFC!$B$21+KFC!$C$21)*KFC!$C$5</f>
        <v>75.2</v>
      </c>
      <c r="F161" s="689">
        <f>(84.1*KFC!$B$21+KFC!$C$21)*KFC!$C$5</f>
        <v>84.1</v>
      </c>
      <c r="G161" s="689">
        <f>(93*KFC!$B$21+KFC!$C$21)*KFC!$C$5</f>
        <v>93</v>
      </c>
      <c r="H161" s="689">
        <f>(101.9*KFC!$B$21+KFC!$C$21)*KFC!$C$5</f>
        <v>101.9</v>
      </c>
      <c r="I161" s="689">
        <f>(110.9*KFC!$B$21+KFC!$C$21)*KFC!$C$5</f>
        <v>110.9</v>
      </c>
      <c r="J161" s="689">
        <f>(119.8*KFC!$B$21+KFC!$C$21)*KFC!$C$5</f>
        <v>119.8</v>
      </c>
      <c r="K161" s="689">
        <f>(128.7*KFC!$B$21+KFC!$C$21)*KFC!$C$5</f>
        <v>128.69999999999999</v>
      </c>
      <c r="L161" s="689">
        <f>(137.6*KFC!$B$21+KFC!$C$21)*KFC!$C$5</f>
        <v>137.6</v>
      </c>
      <c r="M161" s="689">
        <f>(146.5*KFC!$B$21+KFC!$C$21)*KFC!$C$5</f>
        <v>146.5</v>
      </c>
      <c r="N161" s="689">
        <f>(155.4*KFC!$B$21+KFC!$C$21)*KFC!$C$5</f>
        <v>155.4</v>
      </c>
      <c r="O161" s="689">
        <f>(164.3*KFC!$B$21+KFC!$C$21)*KFC!$C$5</f>
        <v>164.3</v>
      </c>
      <c r="P161" s="689">
        <f>(173.2*KFC!$B$21+KFC!$C$21)*KFC!$C$5</f>
        <v>173.2</v>
      </c>
      <c r="Q161" s="689">
        <f>(182.1*KFC!$B$21+KFC!$C$21)*KFC!$C$5</f>
        <v>182.1</v>
      </c>
      <c r="R161" s="689">
        <f>(191*KFC!$B$21+KFC!$C$21)*KFC!$C$5</f>
        <v>191</v>
      </c>
      <c r="S161" s="689">
        <f>(199.9*KFC!$B$21+KFC!$C$21)*KFC!$C$5</f>
        <v>199.9</v>
      </c>
    </row>
    <row r="162" spans="1:19">
      <c r="A162" s="1740"/>
      <c r="B162" s="671">
        <v>1.4</v>
      </c>
      <c r="C162" s="689">
        <f>(59.1*KFC!$B$21+KFC!$C$21)*KFC!$C$5</f>
        <v>59.1</v>
      </c>
      <c r="D162" s="689">
        <f>(68.5*KFC!$B$21+KFC!$C$21)*KFC!$C$5</f>
        <v>68.5</v>
      </c>
      <c r="E162" s="689">
        <f>(77.8*KFC!$B$21+KFC!$C$21)*KFC!$C$5</f>
        <v>77.8</v>
      </c>
      <c r="F162" s="689">
        <f>(87.2*KFC!$B$21+KFC!$C$21)*KFC!$C$5</f>
        <v>87.2</v>
      </c>
      <c r="G162" s="689">
        <f>(96.5*KFC!$B$21+KFC!$C$21)*KFC!$C$5</f>
        <v>96.5</v>
      </c>
      <c r="H162" s="689">
        <f>(105.9*KFC!$B$21+KFC!$C$21)*KFC!$C$5</f>
        <v>105.9</v>
      </c>
      <c r="I162" s="689">
        <f>(115.2*KFC!$B$21+KFC!$C$21)*KFC!$C$5</f>
        <v>115.2</v>
      </c>
      <c r="J162" s="689">
        <f>(124.6*KFC!$B$21+KFC!$C$21)*KFC!$C$5</f>
        <v>124.6</v>
      </c>
      <c r="K162" s="689">
        <f>(133.9*KFC!$B$21+KFC!$C$21)*KFC!$C$5</f>
        <v>133.9</v>
      </c>
      <c r="L162" s="689">
        <f>(143.2*KFC!$B$21+KFC!$C$21)*KFC!$C$5</f>
        <v>143.19999999999999</v>
      </c>
      <c r="M162" s="689">
        <f>(152.6*KFC!$B$21+KFC!$C$21)*KFC!$C$5</f>
        <v>152.6</v>
      </c>
      <c r="N162" s="689">
        <f>(161.9*KFC!$B$21+KFC!$C$21)*KFC!$C$5</f>
        <v>161.9</v>
      </c>
      <c r="O162" s="689">
        <f>(171.3*KFC!$B$21+KFC!$C$21)*KFC!$C$5</f>
        <v>171.3</v>
      </c>
      <c r="P162" s="689">
        <f>(180.6*KFC!$B$21+KFC!$C$21)*KFC!$C$5</f>
        <v>180.6</v>
      </c>
      <c r="Q162" s="689">
        <f>(190*KFC!$B$21+KFC!$C$21)*KFC!$C$5</f>
        <v>190</v>
      </c>
      <c r="R162" s="689">
        <f>(199.3*KFC!$B$21+KFC!$C$21)*KFC!$C$5</f>
        <v>199.3</v>
      </c>
      <c r="S162" s="689">
        <f>(208.7*KFC!$B$21+KFC!$C$21)*KFC!$C$5</f>
        <v>208.7</v>
      </c>
    </row>
    <row r="163" spans="1:19">
      <c r="A163" s="1740"/>
      <c r="B163" s="671">
        <v>1.5</v>
      </c>
      <c r="C163" s="689">
        <f>(60.9*KFC!$B$21+KFC!$C$21)*KFC!$C$5</f>
        <v>60.9</v>
      </c>
      <c r="D163" s="689">
        <f>(70.7*KFC!$B$21+KFC!$C$21)*KFC!$C$5</f>
        <v>70.7</v>
      </c>
      <c r="E163" s="689">
        <f>(80.4*KFC!$B$21+KFC!$C$21)*KFC!$C$5</f>
        <v>80.400000000000006</v>
      </c>
      <c r="F163" s="689">
        <f>(90.2*KFC!$B$21+KFC!$C$21)*KFC!$C$5</f>
        <v>90.2</v>
      </c>
      <c r="G163" s="689">
        <f>(100*KFC!$B$21+KFC!$C$21)*KFC!$C$5</f>
        <v>100</v>
      </c>
      <c r="H163" s="689">
        <f>(109.8*KFC!$B$21+KFC!$C$21)*KFC!$C$5</f>
        <v>109.8</v>
      </c>
      <c r="I163" s="689">
        <f>(119.6*KFC!$B$21+KFC!$C$21)*KFC!$C$5</f>
        <v>119.6</v>
      </c>
      <c r="J163" s="689">
        <f>(129.3*KFC!$B$21+KFC!$C$21)*KFC!$C$5</f>
        <v>129.30000000000001</v>
      </c>
      <c r="K163" s="689">
        <f>(139.1*KFC!$B$21+KFC!$C$21)*KFC!$C$5</f>
        <v>139.1</v>
      </c>
      <c r="L163" s="689">
        <f>(148.9*KFC!$B$21+KFC!$C$21)*KFC!$C$5</f>
        <v>148.9</v>
      </c>
      <c r="M163" s="689">
        <f>(158.7*KFC!$B$21+KFC!$C$21)*KFC!$C$5</f>
        <v>158.69999999999999</v>
      </c>
      <c r="N163" s="689">
        <f>(168.5*KFC!$B$21+KFC!$C$21)*KFC!$C$5</f>
        <v>168.5</v>
      </c>
      <c r="O163" s="689">
        <f>(178.2*KFC!$B$21+KFC!$C$21)*KFC!$C$5</f>
        <v>178.2</v>
      </c>
      <c r="P163" s="689">
        <f>(188*KFC!$B$21+KFC!$C$21)*KFC!$C$5</f>
        <v>188</v>
      </c>
      <c r="Q163" s="689">
        <f>(197.8*KFC!$B$21+KFC!$C$21)*KFC!$C$5</f>
        <v>197.8</v>
      </c>
      <c r="R163" s="689">
        <f>(207.6*KFC!$B$21+KFC!$C$21)*KFC!$C$5</f>
        <v>207.6</v>
      </c>
      <c r="S163" s="689">
        <f>(217.4*KFC!$B$21+KFC!$C$21)*KFC!$C$5</f>
        <v>217.4</v>
      </c>
    </row>
    <row r="164" spans="1:19">
      <c r="A164" s="1740"/>
      <c r="B164" s="671">
        <v>1.6</v>
      </c>
      <c r="C164" s="689">
        <f>(62.6*KFC!$B$21+KFC!$C$21)*KFC!$C$5</f>
        <v>62.6</v>
      </c>
      <c r="D164" s="689">
        <f>(72.8*KFC!$B$21+KFC!$C$21)*KFC!$C$5</f>
        <v>72.8</v>
      </c>
      <c r="E164" s="689">
        <f>(83.1*KFC!$B$21+KFC!$C$21)*KFC!$C$5</f>
        <v>83.1</v>
      </c>
      <c r="F164" s="689">
        <f>(93.3*KFC!$B$21+KFC!$C$21)*KFC!$C$5</f>
        <v>93.3</v>
      </c>
      <c r="G164" s="689">
        <f>(103.5*KFC!$B$21+KFC!$C$21)*KFC!$C$5</f>
        <v>103.5</v>
      </c>
      <c r="H164" s="689">
        <f>(113.7*KFC!$B$21+KFC!$C$21)*KFC!$C$5</f>
        <v>113.7</v>
      </c>
      <c r="I164" s="689">
        <f>(123.9*KFC!$B$21+KFC!$C$21)*KFC!$C$5</f>
        <v>123.9</v>
      </c>
      <c r="J164" s="689">
        <f>(134.1*KFC!$B$21+KFC!$C$21)*KFC!$C$5</f>
        <v>134.1</v>
      </c>
      <c r="K164" s="689">
        <f>(144.4*KFC!$B$21+KFC!$C$21)*KFC!$C$5</f>
        <v>144.4</v>
      </c>
      <c r="L164" s="689">
        <f>(154.6*KFC!$B$21+KFC!$C$21)*KFC!$C$5</f>
        <v>154.6</v>
      </c>
      <c r="M164" s="689">
        <f>(164.8*KFC!$B$21+KFC!$C$21)*KFC!$C$5</f>
        <v>164.8</v>
      </c>
      <c r="N164" s="689">
        <f>(175*KFC!$B$21+KFC!$C$21)*KFC!$C$5</f>
        <v>175</v>
      </c>
      <c r="O164" s="689">
        <f>(185.2*KFC!$B$21+KFC!$C$21)*KFC!$C$5</f>
        <v>185.2</v>
      </c>
      <c r="P164" s="689">
        <f>(195.4*KFC!$B$21+KFC!$C$21)*KFC!$C$5</f>
        <v>195.4</v>
      </c>
      <c r="Q164" s="689">
        <f>(205.7*KFC!$B$21+KFC!$C$21)*KFC!$C$5</f>
        <v>205.7</v>
      </c>
      <c r="R164" s="689">
        <f>(215.9*KFC!$B$21+KFC!$C$21)*KFC!$C$5</f>
        <v>215.9</v>
      </c>
      <c r="S164" s="689">
        <f>(226.1*KFC!$B$21+KFC!$C$21)*KFC!$C$5</f>
        <v>226.1</v>
      </c>
    </row>
    <row r="165" spans="1:19">
      <c r="A165" s="1740"/>
      <c r="B165" s="671">
        <v>1.7</v>
      </c>
      <c r="C165" s="689">
        <f>(64.4*KFC!$B$21+KFC!$C$21)*KFC!$C$5</f>
        <v>64.400000000000006</v>
      </c>
      <c r="D165" s="689">
        <f>(75*KFC!$B$21+KFC!$C$21)*KFC!$C$5</f>
        <v>75</v>
      </c>
      <c r="E165" s="689">
        <f>(85.7*KFC!$B$21+KFC!$C$21)*KFC!$C$5</f>
        <v>85.7</v>
      </c>
      <c r="F165" s="689">
        <f>(96.3*KFC!$B$21+KFC!$C$21)*KFC!$C$5</f>
        <v>96.3</v>
      </c>
      <c r="G165" s="689">
        <f>(107*KFC!$B$21+KFC!$C$21)*KFC!$C$5</f>
        <v>107</v>
      </c>
      <c r="H165" s="689">
        <f>(117.6*KFC!$B$21+KFC!$C$21)*KFC!$C$5</f>
        <v>117.6</v>
      </c>
      <c r="I165" s="689">
        <f>(128.3*KFC!$B$21+KFC!$C$21)*KFC!$C$5</f>
        <v>128.30000000000001</v>
      </c>
      <c r="J165" s="689">
        <f>(138.9*KFC!$B$21+KFC!$C$21)*KFC!$C$5</f>
        <v>138.9</v>
      </c>
      <c r="K165" s="689">
        <f>(149.6*KFC!$B$21+KFC!$C$21)*KFC!$C$5</f>
        <v>149.6</v>
      </c>
      <c r="L165" s="689">
        <f>(160.2*KFC!$B$21+KFC!$C$21)*KFC!$C$5</f>
        <v>160.19999999999999</v>
      </c>
      <c r="M165" s="689">
        <f>(170.9*KFC!$B$21+KFC!$C$21)*KFC!$C$5</f>
        <v>170.9</v>
      </c>
      <c r="N165" s="689">
        <f>(181.5*KFC!$B$21+KFC!$C$21)*KFC!$C$5</f>
        <v>181.5</v>
      </c>
      <c r="O165" s="689">
        <f>(192.2*KFC!$B$21+KFC!$C$21)*KFC!$C$5</f>
        <v>192.2</v>
      </c>
      <c r="P165" s="689">
        <f>(202.8*KFC!$B$21+KFC!$C$21)*KFC!$C$5</f>
        <v>202.8</v>
      </c>
      <c r="Q165" s="689">
        <f>(213.5*KFC!$B$21+KFC!$C$21)*KFC!$C$5</f>
        <v>213.5</v>
      </c>
      <c r="R165" s="689">
        <f>(224.2*KFC!$B$21+KFC!$C$21)*KFC!$C$5</f>
        <v>224.2</v>
      </c>
      <c r="S165" s="689">
        <f>(234.8*KFC!$B$21+KFC!$C$21)*KFC!$C$5</f>
        <v>234.8</v>
      </c>
    </row>
    <row r="166" spans="1:19">
      <c r="A166" s="1740"/>
      <c r="B166" s="671">
        <v>1.8</v>
      </c>
      <c r="C166" s="689">
        <f>(66.1*KFC!$B$21+KFC!$C$21)*KFC!$C$5</f>
        <v>66.099999999999994</v>
      </c>
      <c r="D166" s="689">
        <f>(77.2*KFC!$B$21+KFC!$C$21)*KFC!$C$5</f>
        <v>77.2</v>
      </c>
      <c r="E166" s="689">
        <f>(88.3*KFC!$B$21+KFC!$C$21)*KFC!$C$5</f>
        <v>88.3</v>
      </c>
      <c r="F166" s="689">
        <f>(99.4*KFC!$B$21+KFC!$C$21)*KFC!$C$5</f>
        <v>99.4</v>
      </c>
      <c r="G166" s="689">
        <f>(110.5*KFC!$B$21+KFC!$C$21)*KFC!$C$5</f>
        <v>110.5</v>
      </c>
      <c r="H166" s="689">
        <f>(121.5*KFC!$B$21+KFC!$C$21)*KFC!$C$5</f>
        <v>121.5</v>
      </c>
      <c r="I166" s="689">
        <f>(132.6*KFC!$B$21+KFC!$C$21)*KFC!$C$5</f>
        <v>132.6</v>
      </c>
      <c r="J166" s="689">
        <f>(143.7*KFC!$B$21+KFC!$C$21)*KFC!$C$5</f>
        <v>143.69999999999999</v>
      </c>
      <c r="K166" s="689">
        <f>(154.8*KFC!$B$21+KFC!$C$21)*KFC!$C$5</f>
        <v>154.80000000000001</v>
      </c>
      <c r="L166" s="689">
        <f>(165.9*KFC!$B$21+KFC!$C$21)*KFC!$C$5</f>
        <v>165.9</v>
      </c>
      <c r="M166" s="689">
        <f>(177*KFC!$B$21+KFC!$C$21)*KFC!$C$5</f>
        <v>177</v>
      </c>
      <c r="N166" s="689">
        <f>(188.1*KFC!$B$21+KFC!$C$21)*KFC!$C$5</f>
        <v>188.1</v>
      </c>
      <c r="O166" s="689">
        <f>(199.2*KFC!$B$21+KFC!$C$21)*KFC!$C$5</f>
        <v>199.2</v>
      </c>
      <c r="P166" s="689">
        <f>(210.3*KFC!$B$21+KFC!$C$21)*KFC!$C$5</f>
        <v>210.3</v>
      </c>
      <c r="Q166" s="689">
        <f>(221.3*KFC!$B$21+KFC!$C$21)*KFC!$C$5</f>
        <v>221.3</v>
      </c>
      <c r="R166" s="689">
        <f>(232.4*KFC!$B$21+KFC!$C$21)*KFC!$C$5</f>
        <v>232.4</v>
      </c>
      <c r="S166" s="689">
        <f>(243.5*KFC!$B$21+KFC!$C$21)*KFC!$C$5</f>
        <v>243.5</v>
      </c>
    </row>
    <row r="167" spans="1:19">
      <c r="A167" s="1740"/>
      <c r="B167" s="671">
        <v>1.9</v>
      </c>
      <c r="C167" s="689">
        <f>(67.9*KFC!$B$21+KFC!$C$21)*KFC!$C$5</f>
        <v>67.900000000000006</v>
      </c>
      <c r="D167" s="689">
        <f>(79.4*KFC!$B$21+KFC!$C$21)*KFC!$C$5</f>
        <v>79.400000000000006</v>
      </c>
      <c r="E167" s="689">
        <f>(90.9*KFC!$B$21+KFC!$C$21)*KFC!$C$5</f>
        <v>90.9</v>
      </c>
      <c r="F167" s="689">
        <f>(102.4*KFC!$B$21+KFC!$C$21)*KFC!$C$5</f>
        <v>102.4</v>
      </c>
      <c r="G167" s="689">
        <f>(113.9*KFC!$B$21+KFC!$C$21)*KFC!$C$5</f>
        <v>113.9</v>
      </c>
      <c r="H167" s="689">
        <f>(125.5*KFC!$B$21+KFC!$C$21)*KFC!$C$5</f>
        <v>125.5</v>
      </c>
      <c r="I167" s="689">
        <f>(137*KFC!$B$21+KFC!$C$21)*KFC!$C$5</f>
        <v>137</v>
      </c>
      <c r="J167" s="689">
        <f>(148.5*KFC!$B$21+KFC!$C$21)*KFC!$C$5</f>
        <v>148.5</v>
      </c>
      <c r="K167" s="689">
        <f>(160*KFC!$B$21+KFC!$C$21)*KFC!$C$5</f>
        <v>160</v>
      </c>
      <c r="L167" s="689">
        <f>(171.6*KFC!$B$21+KFC!$C$21)*KFC!$C$5</f>
        <v>171.6</v>
      </c>
      <c r="M167" s="689">
        <f>(183.1*KFC!$B$21+KFC!$C$21)*KFC!$C$5</f>
        <v>183.1</v>
      </c>
      <c r="N167" s="689">
        <f>(194.6*KFC!$B$21+KFC!$C$21)*KFC!$C$5</f>
        <v>194.6</v>
      </c>
      <c r="O167" s="689">
        <f>(206.1*KFC!$B$21+KFC!$C$21)*KFC!$C$5</f>
        <v>206.1</v>
      </c>
      <c r="P167" s="689">
        <f>(217.7*KFC!$B$21+KFC!$C$21)*KFC!$C$5</f>
        <v>217.7</v>
      </c>
      <c r="Q167" s="689">
        <f>(229.2*KFC!$B$21+KFC!$C$21)*KFC!$C$5</f>
        <v>229.2</v>
      </c>
      <c r="R167" s="689">
        <f>(240.7*KFC!$B$21+KFC!$C$21)*KFC!$C$5</f>
        <v>240.7</v>
      </c>
      <c r="S167" s="689">
        <f>(252.2*KFC!$B$21+KFC!$C$21)*KFC!$C$5</f>
        <v>252.2</v>
      </c>
    </row>
    <row r="168" spans="1:19">
      <c r="A168" s="1740"/>
      <c r="B168" s="671">
        <v>2</v>
      </c>
      <c r="C168" s="689">
        <f>(69.6*KFC!$B$21+KFC!$C$21)*KFC!$C$5</f>
        <v>69.599999999999994</v>
      </c>
      <c r="D168" s="689">
        <f>(81.6*KFC!$B$21+KFC!$C$21)*KFC!$C$5</f>
        <v>81.599999999999994</v>
      </c>
      <c r="E168" s="689">
        <f>(93.5*KFC!$B$21+KFC!$C$21)*KFC!$C$5</f>
        <v>93.5</v>
      </c>
      <c r="F168" s="689">
        <f>(105.5*KFC!$B$21+KFC!$C$21)*KFC!$C$5</f>
        <v>105.5</v>
      </c>
      <c r="G168" s="689">
        <f>(117.4*KFC!$B$21+KFC!$C$21)*KFC!$C$5</f>
        <v>117.4</v>
      </c>
      <c r="H168" s="689">
        <f>(129.4*KFC!$B$21+KFC!$C$21)*KFC!$C$5</f>
        <v>129.4</v>
      </c>
      <c r="I168" s="689">
        <f>(141.3*KFC!$B$21+KFC!$C$21)*KFC!$C$5</f>
        <v>141.30000000000001</v>
      </c>
      <c r="J168" s="689">
        <f>(153.3*KFC!$B$21+KFC!$C$21)*KFC!$C$5</f>
        <v>153.30000000000001</v>
      </c>
      <c r="K168" s="689">
        <f>(165.3*KFC!$B$21+KFC!$C$21)*KFC!$C$5</f>
        <v>165.3</v>
      </c>
      <c r="L168" s="689">
        <f>(177.2*KFC!$B$21+KFC!$C$21)*KFC!$C$5</f>
        <v>177.2</v>
      </c>
      <c r="M168" s="689">
        <f>(189.2*KFC!$B$21+KFC!$C$21)*KFC!$C$5</f>
        <v>189.2</v>
      </c>
      <c r="N168" s="689">
        <f>(201.2*KFC!$B$21+KFC!$C$21)*KFC!$C$5</f>
        <v>201.2</v>
      </c>
      <c r="O168" s="689">
        <f>(213.1*KFC!$B$21+KFC!$C$21)*KFC!$C$5</f>
        <v>213.1</v>
      </c>
      <c r="P168" s="689">
        <f>(225.1*KFC!$B$21+KFC!$C$21)*KFC!$C$5</f>
        <v>225.1</v>
      </c>
      <c r="Q168" s="689">
        <f>(237*KFC!$B$21+KFC!$C$21)*KFC!$C$5</f>
        <v>237</v>
      </c>
      <c r="R168" s="689">
        <f>(249*KFC!$B$21+KFC!$C$21)*KFC!$C$5</f>
        <v>249</v>
      </c>
      <c r="S168" s="689">
        <f>(260.9*KFC!$B$21+KFC!$C$21)*KFC!$C$5</f>
        <v>260.89999999999998</v>
      </c>
    </row>
    <row r="169" spans="1:19">
      <c r="A169" s="1740"/>
      <c r="B169" s="671">
        <v>2.1</v>
      </c>
      <c r="C169" s="689">
        <f>(71.3*KFC!$B$21+KFC!$C$21)*KFC!$C$5</f>
        <v>71.3</v>
      </c>
      <c r="D169" s="689">
        <f>(83.7*KFC!$B$21+KFC!$C$21)*KFC!$C$5</f>
        <v>83.7</v>
      </c>
      <c r="E169" s="689">
        <f>(96.1*KFC!$B$21+KFC!$C$21)*KFC!$C$5</f>
        <v>96.1</v>
      </c>
      <c r="F169" s="689">
        <f>(108.5*KFC!$B$21+KFC!$C$21)*KFC!$C$5</f>
        <v>108.5</v>
      </c>
      <c r="G169" s="689">
        <f>(120.9*KFC!$B$21+KFC!$C$21)*KFC!$C$5</f>
        <v>120.9</v>
      </c>
      <c r="H169" s="689">
        <f>(133.3*KFC!$B$21+KFC!$C$21)*KFC!$C$5</f>
        <v>133.30000000000001</v>
      </c>
      <c r="I169" s="689">
        <f>(145.7*KFC!$B$21+KFC!$C$21)*KFC!$C$5</f>
        <v>145.69999999999999</v>
      </c>
      <c r="J169" s="689">
        <f>(158.1*KFC!$B$21+KFC!$C$21)*KFC!$C$5</f>
        <v>158.1</v>
      </c>
      <c r="K169" s="689">
        <f>(170.5*KFC!$B$21+KFC!$C$21)*KFC!$C$5</f>
        <v>170.5</v>
      </c>
      <c r="L169" s="689">
        <f>(182.9*KFC!$B$21+KFC!$C$21)*KFC!$C$5</f>
        <v>182.9</v>
      </c>
      <c r="M169" s="689">
        <f>(195.3*KFC!$B$21+KFC!$C$21)*KFC!$C$5</f>
        <v>195.3</v>
      </c>
      <c r="N169" s="689">
        <f>(207.7*KFC!$B$21+KFC!$C$21)*KFC!$C$5</f>
        <v>207.7</v>
      </c>
      <c r="O169" s="689">
        <f>(220.1*KFC!$B$21+KFC!$C$21)*KFC!$C$5</f>
        <v>220.1</v>
      </c>
      <c r="P169" s="689">
        <f>(232.5*KFC!$B$21+KFC!$C$21)*KFC!$C$5</f>
        <v>232.5</v>
      </c>
      <c r="Q169" s="689">
        <f>(244.9*KFC!$B$21+KFC!$C$21)*KFC!$C$5</f>
        <v>244.9</v>
      </c>
      <c r="R169" s="689">
        <f>(257.3*KFC!$B$21+KFC!$C$21)*KFC!$C$5</f>
        <v>257.3</v>
      </c>
      <c r="S169" s="689">
        <f>(269.7*KFC!$B$21+KFC!$C$21)*KFC!$C$5</f>
        <v>269.7</v>
      </c>
    </row>
    <row r="170" spans="1:19">
      <c r="A170" s="1740"/>
      <c r="B170" s="671">
        <v>2.2000000000000002</v>
      </c>
      <c r="C170" s="689">
        <f>(73.1*KFC!$B$21+KFC!$C$21)*KFC!$C$5</f>
        <v>73.099999999999994</v>
      </c>
      <c r="D170" s="689">
        <f>(85.9*KFC!$B$21+KFC!$C$21)*KFC!$C$5</f>
        <v>85.9</v>
      </c>
      <c r="E170" s="689">
        <f>(98.7*KFC!$B$21+KFC!$C$21)*KFC!$C$5</f>
        <v>98.7</v>
      </c>
      <c r="F170" s="689">
        <f>(111.6*KFC!$B$21+KFC!$C$21)*KFC!$C$5</f>
        <v>111.6</v>
      </c>
      <c r="G170" s="689">
        <f>(124.4*KFC!$B$21+KFC!$C$21)*KFC!$C$5</f>
        <v>124.4</v>
      </c>
      <c r="H170" s="689">
        <f>(137.2*KFC!$B$21+KFC!$C$21)*KFC!$C$5</f>
        <v>137.19999999999999</v>
      </c>
      <c r="I170" s="689">
        <f>(150.1*KFC!$B$21+KFC!$C$21)*KFC!$C$5</f>
        <v>150.1</v>
      </c>
      <c r="J170" s="689">
        <f>(162.9*KFC!$B$21+KFC!$C$21)*KFC!$C$5</f>
        <v>162.9</v>
      </c>
      <c r="K170" s="689">
        <f>(175.7*KFC!$B$21+KFC!$C$21)*KFC!$C$5</f>
        <v>175.7</v>
      </c>
      <c r="L170" s="689">
        <f>(188.6*KFC!$B$21+KFC!$C$21)*KFC!$C$5</f>
        <v>188.6</v>
      </c>
      <c r="M170" s="689">
        <f>(201.4*KFC!$B$21+KFC!$C$21)*KFC!$C$5</f>
        <v>201.4</v>
      </c>
      <c r="N170" s="689">
        <f>(214.2*KFC!$B$21+KFC!$C$21)*KFC!$C$5</f>
        <v>214.2</v>
      </c>
      <c r="O170" s="689">
        <f>(227*KFC!$B$21+KFC!$C$21)*KFC!$C$5</f>
        <v>227</v>
      </c>
      <c r="P170" s="689">
        <f>(239.9*KFC!$B$21+KFC!$C$21)*KFC!$C$5</f>
        <v>239.9</v>
      </c>
      <c r="Q170" s="689">
        <f>(252.7*KFC!$B$21+KFC!$C$21)*KFC!$C$5</f>
        <v>252.7</v>
      </c>
      <c r="R170" s="689">
        <f>(265.5*KFC!$B$21+KFC!$C$21)*KFC!$C$5</f>
        <v>265.5</v>
      </c>
      <c r="S170" s="689">
        <f>(278.4*KFC!$B$21+KFC!$C$21)*KFC!$C$5</f>
        <v>278.39999999999998</v>
      </c>
    </row>
    <row r="171" spans="1:19">
      <c r="A171" s="1740"/>
      <c r="B171" s="671">
        <v>2.2999999999999998</v>
      </c>
      <c r="C171" s="689">
        <f>(74.8*KFC!$B$21+KFC!$C$21)*KFC!$C$5</f>
        <v>74.8</v>
      </c>
      <c r="D171" s="689">
        <f>(88.1*KFC!$B$21+KFC!$C$21)*KFC!$C$5</f>
        <v>88.1</v>
      </c>
      <c r="E171" s="689">
        <f>(101.4*KFC!$B$21+KFC!$C$21)*KFC!$C$5</f>
        <v>101.4</v>
      </c>
      <c r="F171" s="689">
        <f>(114.6*KFC!$B$21+KFC!$C$21)*KFC!$C$5</f>
        <v>114.6</v>
      </c>
      <c r="G171" s="689">
        <f>(127.9*KFC!$B$21+KFC!$C$21)*KFC!$C$5</f>
        <v>127.9</v>
      </c>
      <c r="H171" s="689">
        <f>(141.2*KFC!$B$21+KFC!$C$21)*KFC!$C$5</f>
        <v>141.19999999999999</v>
      </c>
      <c r="I171" s="689">
        <f>(154.4*KFC!$B$21+KFC!$C$21)*KFC!$C$5</f>
        <v>154.4</v>
      </c>
      <c r="J171" s="689">
        <f>(167.7*KFC!$B$21+KFC!$C$21)*KFC!$C$5</f>
        <v>167.7</v>
      </c>
      <c r="K171" s="689">
        <f>(181*KFC!$B$21+KFC!$C$21)*KFC!$C$5</f>
        <v>181</v>
      </c>
      <c r="L171" s="689">
        <f>(194.2*KFC!$B$21+KFC!$C$21)*KFC!$C$5</f>
        <v>194.2</v>
      </c>
      <c r="M171" s="689">
        <f>(207.5*KFC!$B$21+KFC!$C$21)*KFC!$C$5</f>
        <v>207.5</v>
      </c>
      <c r="N171" s="689">
        <f>(220.8*KFC!$B$21+KFC!$C$21)*KFC!$C$5</f>
        <v>220.8</v>
      </c>
      <c r="O171" s="689">
        <f>(234*KFC!$B$21+KFC!$C$21)*KFC!$C$5</f>
        <v>234</v>
      </c>
      <c r="P171" s="689">
        <f>(247.3*KFC!$B$21+KFC!$C$21)*KFC!$C$5</f>
        <v>247.3</v>
      </c>
      <c r="Q171" s="689">
        <f>(260.6*KFC!$B$21+KFC!$C$21)*KFC!$C$5</f>
        <v>260.60000000000002</v>
      </c>
      <c r="R171" s="689">
        <f>(273.8*KFC!$B$21+KFC!$C$21)*KFC!$C$5</f>
        <v>273.8</v>
      </c>
      <c r="S171" s="689">
        <f>(287.1*KFC!$B$21+KFC!$C$21)*KFC!$C$5</f>
        <v>287.10000000000002</v>
      </c>
    </row>
    <row r="172" spans="1:19">
      <c r="A172" s="1740"/>
      <c r="B172" s="671">
        <v>2.4</v>
      </c>
      <c r="C172" s="689">
        <f>(76.6*KFC!$B$21+KFC!$C$21)*KFC!$C$5</f>
        <v>76.599999999999994</v>
      </c>
      <c r="D172" s="689">
        <f>(90.3*KFC!$B$21+KFC!$C$21)*KFC!$C$5</f>
        <v>90.3</v>
      </c>
      <c r="E172" s="689">
        <f>(104*KFC!$B$21+KFC!$C$21)*KFC!$C$5</f>
        <v>104</v>
      </c>
      <c r="F172" s="689">
        <f>(117.7*KFC!$B$21+KFC!$C$21)*KFC!$C$5</f>
        <v>117.7</v>
      </c>
      <c r="G172" s="689">
        <f>(131.4*KFC!$B$21+KFC!$C$21)*KFC!$C$5</f>
        <v>131.4</v>
      </c>
      <c r="H172" s="689">
        <f>(145.1*KFC!$B$21+KFC!$C$21)*KFC!$C$5</f>
        <v>145.1</v>
      </c>
      <c r="I172" s="689">
        <f>(158.8*KFC!$B$21+KFC!$C$21)*KFC!$C$5</f>
        <v>158.80000000000001</v>
      </c>
      <c r="J172" s="689">
        <f>(172.5*KFC!$B$21+KFC!$C$21)*KFC!$C$5</f>
        <v>172.5</v>
      </c>
      <c r="K172" s="689">
        <f>(186.2*KFC!$B$21+KFC!$C$21)*KFC!$C$5</f>
        <v>186.2</v>
      </c>
      <c r="L172" s="689">
        <f>(199.9*KFC!$B$21+KFC!$C$21)*KFC!$C$5</f>
        <v>199.9</v>
      </c>
      <c r="M172" s="689">
        <f>(213.6*KFC!$B$21+KFC!$C$21)*KFC!$C$5</f>
        <v>213.6</v>
      </c>
      <c r="N172" s="689">
        <f>(227.3*KFC!$B$21+KFC!$C$21)*KFC!$C$5</f>
        <v>227.3</v>
      </c>
      <c r="O172" s="689">
        <f>(241*KFC!$B$21+KFC!$C$21)*KFC!$C$5</f>
        <v>241</v>
      </c>
      <c r="P172" s="689">
        <f>(254.7*KFC!$B$21+KFC!$C$21)*KFC!$C$5</f>
        <v>254.7</v>
      </c>
      <c r="Q172" s="689">
        <f>(268.4*KFC!$B$21+KFC!$C$21)*KFC!$C$5</f>
        <v>268.39999999999998</v>
      </c>
      <c r="R172" s="689">
        <f>(282.1*KFC!$B$21+KFC!$C$21)*KFC!$C$5</f>
        <v>282.10000000000002</v>
      </c>
      <c r="S172" s="689">
        <f>(295.8*KFC!$B$21+KFC!$C$21)*KFC!$C$5</f>
        <v>295.8</v>
      </c>
    </row>
    <row r="173" spans="1:19">
      <c r="A173" s="1740"/>
      <c r="B173" s="671">
        <v>2.5</v>
      </c>
      <c r="C173" s="689">
        <f>(78.3*KFC!$B$21+KFC!$C$21)*KFC!$C$5</f>
        <v>78.3</v>
      </c>
      <c r="D173" s="689">
        <f>(92.5*KFC!$B$21+KFC!$C$21)*KFC!$C$5</f>
        <v>92.5</v>
      </c>
      <c r="E173" s="689">
        <f>(106.6*KFC!$B$21+KFC!$C$21)*KFC!$C$5</f>
        <v>106.6</v>
      </c>
      <c r="F173" s="689">
        <f>(120.7*KFC!$B$21+KFC!$C$21)*KFC!$C$5</f>
        <v>120.7</v>
      </c>
      <c r="G173" s="689">
        <f>(134.9*KFC!$B$21+KFC!$C$21)*KFC!$C$5</f>
        <v>134.9</v>
      </c>
      <c r="H173" s="689">
        <f>(149*KFC!$B$21+KFC!$C$21)*KFC!$C$5</f>
        <v>149</v>
      </c>
      <c r="I173" s="689">
        <f>(163.1*KFC!$B$21+KFC!$C$21)*KFC!$C$5</f>
        <v>163.1</v>
      </c>
      <c r="J173" s="689">
        <f>(177.3*KFC!$B$21+KFC!$C$21)*KFC!$C$5</f>
        <v>177.3</v>
      </c>
      <c r="K173" s="689">
        <f>(191.4*KFC!$B$21+KFC!$C$21)*KFC!$C$5</f>
        <v>191.4</v>
      </c>
      <c r="L173" s="689">
        <f>(205.6*KFC!$B$21+KFC!$C$21)*KFC!$C$5</f>
        <v>205.6</v>
      </c>
      <c r="M173" s="689">
        <f>(219.7*KFC!$B$21+KFC!$C$21)*KFC!$C$5</f>
        <v>219.7</v>
      </c>
      <c r="N173" s="689">
        <f>(233.8*KFC!$B$21+KFC!$C$21)*KFC!$C$5</f>
        <v>233.8</v>
      </c>
      <c r="O173" s="689">
        <f>(248*KFC!$B$21+KFC!$C$21)*KFC!$C$5</f>
        <v>248</v>
      </c>
      <c r="P173" s="689">
        <f>(262.1*KFC!$B$21+KFC!$C$21)*KFC!$C$5</f>
        <v>262.10000000000002</v>
      </c>
      <c r="Q173" s="689">
        <f>(276.2*KFC!$B$21+KFC!$C$21)*KFC!$C$5</f>
        <v>276.2</v>
      </c>
      <c r="R173" s="689">
        <f>(290.4*KFC!$B$21+KFC!$C$21)*KFC!$C$5</f>
        <v>290.39999999999998</v>
      </c>
      <c r="S173" s="689">
        <f>(304.5*KFC!$B$21+KFC!$C$21)*KFC!$C$5</f>
        <v>304.5</v>
      </c>
    </row>
    <row r="174" spans="1:19">
      <c r="A174" s="1740"/>
      <c r="B174" s="671">
        <v>2.6</v>
      </c>
      <c r="C174" s="689">
        <f>(80.1*KFC!$B$21+KFC!$C$21)*KFC!$C$5</f>
        <v>80.099999999999994</v>
      </c>
      <c r="D174" s="689">
        <f>(94.6*KFC!$B$21+KFC!$C$21)*KFC!$C$5</f>
        <v>94.6</v>
      </c>
      <c r="E174" s="689">
        <f>(109.2*KFC!$B$21+KFC!$C$21)*KFC!$C$5</f>
        <v>109.2</v>
      </c>
      <c r="F174" s="689">
        <f>(123.8*KFC!$B$21+KFC!$C$21)*KFC!$C$5</f>
        <v>123.8</v>
      </c>
      <c r="G174" s="689">
        <f>(138.3*KFC!$B$21+KFC!$C$21)*KFC!$C$5</f>
        <v>138.30000000000001</v>
      </c>
      <c r="H174" s="689">
        <f>(152.9*KFC!$B$21+KFC!$C$21)*KFC!$C$5</f>
        <v>152.9</v>
      </c>
      <c r="I174" s="689">
        <f>(167.5*KFC!$B$21+KFC!$C$21)*KFC!$C$5</f>
        <v>167.5</v>
      </c>
      <c r="J174" s="689">
        <f>(182.1*KFC!$B$21+KFC!$C$21)*KFC!$C$5</f>
        <v>182.1</v>
      </c>
      <c r="K174" s="689">
        <f>(196.6*KFC!$B$21+KFC!$C$21)*KFC!$C$5</f>
        <v>196.6</v>
      </c>
      <c r="L174" s="689">
        <f>(211.2*KFC!$B$21+KFC!$C$21)*KFC!$C$5</f>
        <v>211.2</v>
      </c>
      <c r="M174" s="689">
        <f>(225.8*KFC!$B$21+KFC!$C$21)*KFC!$C$5</f>
        <v>225.8</v>
      </c>
      <c r="N174" s="689">
        <f>(240.4*KFC!$B$21+KFC!$C$21)*KFC!$C$5</f>
        <v>240.4</v>
      </c>
      <c r="O174" s="689">
        <f>(254.9*KFC!$B$21+KFC!$C$21)*KFC!$C$5</f>
        <v>254.9</v>
      </c>
      <c r="P174" s="689">
        <f>(269.5*KFC!$B$21+KFC!$C$21)*KFC!$C$5</f>
        <v>269.5</v>
      </c>
      <c r="Q174" s="689">
        <f>(284.1*KFC!$B$21+KFC!$C$21)*KFC!$C$5</f>
        <v>284.10000000000002</v>
      </c>
      <c r="R174" s="689">
        <f>(298.7*KFC!$B$21+KFC!$C$21)*KFC!$C$5</f>
        <v>298.7</v>
      </c>
      <c r="S174" s="689">
        <f>(313.2*KFC!$B$21+KFC!$C$21)*KFC!$C$5</f>
        <v>313.2</v>
      </c>
    </row>
    <row r="175" spans="1:19">
      <c r="A175" s="1740"/>
      <c r="B175" s="671">
        <v>2.7</v>
      </c>
      <c r="C175" s="689">
        <f>(81.8*KFC!$B$21+KFC!$C$21)*KFC!$C$5</f>
        <v>81.8</v>
      </c>
      <c r="D175" s="689">
        <f>(96.8*KFC!$B$21+KFC!$C$21)*KFC!$C$5</f>
        <v>96.8</v>
      </c>
      <c r="E175" s="689">
        <f>(111.8*KFC!$B$21+KFC!$C$21)*KFC!$C$5</f>
        <v>111.8</v>
      </c>
      <c r="F175" s="689">
        <f>(126.8*KFC!$B$21+KFC!$C$21)*KFC!$C$5</f>
        <v>126.8</v>
      </c>
      <c r="G175" s="689">
        <f>(141.8*KFC!$B$21+KFC!$C$21)*KFC!$C$5</f>
        <v>141.80000000000001</v>
      </c>
      <c r="H175" s="689">
        <f>(156.8*KFC!$B$21+KFC!$C$21)*KFC!$C$5</f>
        <v>156.80000000000001</v>
      </c>
      <c r="I175" s="689">
        <f>(171.9*KFC!$B$21+KFC!$C$21)*KFC!$C$5</f>
        <v>171.9</v>
      </c>
      <c r="J175" s="689">
        <f>(186.9*KFC!$B$21+KFC!$C$21)*KFC!$C$5</f>
        <v>186.9</v>
      </c>
      <c r="K175" s="689">
        <f>(201.9*KFC!$B$21+KFC!$C$21)*KFC!$C$5</f>
        <v>201.9</v>
      </c>
      <c r="L175" s="689">
        <f>(216.9*KFC!$B$21+KFC!$C$21)*KFC!$C$5</f>
        <v>216.9</v>
      </c>
      <c r="M175" s="689">
        <f>(231.9*KFC!$B$21+KFC!$C$21)*KFC!$C$5</f>
        <v>231.9</v>
      </c>
      <c r="N175" s="689">
        <f>(246.9*KFC!$B$21+KFC!$C$21)*KFC!$C$5</f>
        <v>246.9</v>
      </c>
      <c r="O175" s="689">
        <f>(261.9*KFC!$B$21+KFC!$C$21)*KFC!$C$5</f>
        <v>261.89999999999998</v>
      </c>
      <c r="P175" s="689">
        <f>(276.9*KFC!$B$21+KFC!$C$21)*KFC!$C$5</f>
        <v>276.89999999999998</v>
      </c>
      <c r="Q175" s="689">
        <f>(291.9*KFC!$B$21+KFC!$C$21)*KFC!$C$5</f>
        <v>291.89999999999998</v>
      </c>
      <c r="R175" s="689">
        <f>(306.9*KFC!$B$21+KFC!$C$21)*KFC!$C$5</f>
        <v>306.89999999999998</v>
      </c>
      <c r="S175" s="689">
        <f>(321.9*KFC!$B$21+KFC!$C$21)*KFC!$C$5</f>
        <v>321.89999999999998</v>
      </c>
    </row>
    <row r="176" spans="1:19">
      <c r="A176" s="1740"/>
      <c r="B176" s="671">
        <v>2.8</v>
      </c>
      <c r="C176" s="689">
        <f>(83.5*KFC!$B$21+KFC!$C$21)*KFC!$C$5</f>
        <v>83.5</v>
      </c>
      <c r="D176" s="689">
        <f>(99*KFC!$B$21+KFC!$C$21)*KFC!$C$5</f>
        <v>99</v>
      </c>
      <c r="E176" s="689">
        <f>(114.4*KFC!$B$21+KFC!$C$21)*KFC!$C$5</f>
        <v>114.4</v>
      </c>
      <c r="F176" s="689">
        <f>(129.9*KFC!$B$21+KFC!$C$21)*KFC!$C$5</f>
        <v>129.9</v>
      </c>
      <c r="G176" s="689">
        <f>(145.3*KFC!$B$21+KFC!$C$21)*KFC!$C$5</f>
        <v>145.30000000000001</v>
      </c>
      <c r="H176" s="689">
        <f>(160.8*KFC!$B$21+KFC!$C$21)*KFC!$C$5</f>
        <v>160.80000000000001</v>
      </c>
      <c r="I176" s="689">
        <f>(176.2*KFC!$B$21+KFC!$C$21)*KFC!$C$5</f>
        <v>176.2</v>
      </c>
      <c r="J176" s="689">
        <f>(191.7*KFC!$B$21+KFC!$C$21)*KFC!$C$5</f>
        <v>191.7</v>
      </c>
      <c r="K176" s="689">
        <f>(207.1*KFC!$B$21+KFC!$C$21)*KFC!$C$5</f>
        <v>207.1</v>
      </c>
      <c r="L176" s="689">
        <f>(222.5*KFC!$B$21+KFC!$C$21)*KFC!$C$5</f>
        <v>222.5</v>
      </c>
      <c r="M176" s="689">
        <f>(238*KFC!$B$21+KFC!$C$21)*KFC!$C$5</f>
        <v>238</v>
      </c>
      <c r="N176" s="689">
        <f>(253.4*KFC!$B$21+KFC!$C$21)*KFC!$C$5</f>
        <v>253.4</v>
      </c>
      <c r="O176" s="689">
        <f>(268.9*KFC!$B$21+KFC!$C$21)*KFC!$C$5</f>
        <v>268.89999999999998</v>
      </c>
      <c r="P176" s="689">
        <f>(284.3*KFC!$B$21+KFC!$C$21)*KFC!$C$5</f>
        <v>284.3</v>
      </c>
      <c r="Q176" s="689">
        <f>(299.8*KFC!$B$21+KFC!$C$21)*KFC!$C$5</f>
        <v>299.8</v>
      </c>
      <c r="R176" s="689">
        <f>(315.2*KFC!$B$21+KFC!$C$21)*KFC!$C$5</f>
        <v>315.2</v>
      </c>
      <c r="S176" s="689">
        <f>(330.7*KFC!$B$21+KFC!$C$21)*KFC!$C$5</f>
        <v>330.7</v>
      </c>
    </row>
    <row r="177" spans="1:19">
      <c r="A177" s="1740"/>
      <c r="B177" s="671">
        <v>2.9</v>
      </c>
      <c r="C177" s="689">
        <f>(85.3*KFC!$B$21+KFC!$C$21)*KFC!$C$5</f>
        <v>85.3</v>
      </c>
      <c r="D177" s="689">
        <f>(101.2*KFC!$B$21+KFC!$C$21)*KFC!$C$5</f>
        <v>101.2</v>
      </c>
      <c r="E177" s="689">
        <f>(117*KFC!$B$21+KFC!$C$21)*KFC!$C$5</f>
        <v>117</v>
      </c>
      <c r="F177" s="689">
        <f>(132.9*KFC!$B$21+KFC!$C$21)*KFC!$C$5</f>
        <v>132.9</v>
      </c>
      <c r="G177" s="689">
        <f>(148.8*KFC!$B$21+KFC!$C$21)*KFC!$C$5</f>
        <v>148.80000000000001</v>
      </c>
      <c r="H177" s="689">
        <f>(164.7*KFC!$B$21+KFC!$C$21)*KFC!$C$5</f>
        <v>164.7</v>
      </c>
      <c r="I177" s="689">
        <f>(180.6*KFC!$B$21+KFC!$C$21)*KFC!$C$5</f>
        <v>180.6</v>
      </c>
      <c r="J177" s="689">
        <f>(196.4*KFC!$B$21+KFC!$C$21)*KFC!$C$5</f>
        <v>196.4</v>
      </c>
      <c r="K177" s="689">
        <f>(212.3*KFC!$B$21+KFC!$C$21)*KFC!$C$5</f>
        <v>212.3</v>
      </c>
      <c r="L177" s="689">
        <f>(228.2*KFC!$B$21+KFC!$C$21)*KFC!$C$5</f>
        <v>228.2</v>
      </c>
      <c r="M177" s="689">
        <f>(244.1*KFC!$B$21+KFC!$C$21)*KFC!$C$5</f>
        <v>244.1</v>
      </c>
      <c r="N177" s="689">
        <f>(260*KFC!$B$21+KFC!$C$21)*KFC!$C$5</f>
        <v>260</v>
      </c>
      <c r="O177" s="689">
        <f>(275.8*KFC!$B$21+KFC!$C$21)*KFC!$C$5</f>
        <v>275.8</v>
      </c>
      <c r="P177" s="689">
        <f>(291.7*KFC!$B$21+KFC!$C$21)*KFC!$C$5</f>
        <v>291.7</v>
      </c>
      <c r="Q177" s="689">
        <f>(307.6*KFC!$B$21+KFC!$C$21)*KFC!$C$5</f>
        <v>307.60000000000002</v>
      </c>
      <c r="R177" s="689">
        <f>(323.5*KFC!$B$21+KFC!$C$21)*KFC!$C$5</f>
        <v>323.5</v>
      </c>
      <c r="S177" s="689">
        <f>(339.4*KFC!$B$21+KFC!$C$21)*KFC!$C$5</f>
        <v>339.4</v>
      </c>
    </row>
    <row r="178" spans="1:19">
      <c r="A178" s="1740"/>
      <c r="B178" s="671">
        <v>3</v>
      </c>
      <c r="C178" s="689">
        <f>(87*KFC!$B$21+KFC!$C$21)*KFC!$C$5</f>
        <v>87</v>
      </c>
      <c r="D178" s="689">
        <f>(103.3*KFC!$B$21+KFC!$C$21)*KFC!$C$5</f>
        <v>103.3</v>
      </c>
      <c r="E178" s="689">
        <f>(119.7*KFC!$B$21+KFC!$C$21)*KFC!$C$5</f>
        <v>119.7</v>
      </c>
      <c r="F178" s="689">
        <f>(136*KFC!$B$21+KFC!$C$21)*KFC!$C$5</f>
        <v>136</v>
      </c>
      <c r="G178" s="689">
        <f>(152.3*KFC!$B$21+KFC!$C$21)*KFC!$C$5</f>
        <v>152.30000000000001</v>
      </c>
      <c r="H178" s="689">
        <f>(168.6*KFC!$B$21+KFC!$C$21)*KFC!$C$5</f>
        <v>168.6</v>
      </c>
      <c r="I178" s="689">
        <f>(184.9*KFC!$B$21+KFC!$C$21)*KFC!$C$5</f>
        <v>184.9</v>
      </c>
      <c r="J178" s="689">
        <f>(201.2*KFC!$B$21+KFC!$C$21)*KFC!$C$5</f>
        <v>201.2</v>
      </c>
      <c r="K178" s="689">
        <f>(217.6*KFC!$B$21+KFC!$C$21)*KFC!$C$5</f>
        <v>217.6</v>
      </c>
      <c r="L178" s="689">
        <f>(233.9*KFC!$B$21+KFC!$C$21)*KFC!$C$5</f>
        <v>233.9</v>
      </c>
      <c r="M178" s="689">
        <f>(250.2*KFC!$B$21+KFC!$C$21)*KFC!$C$5</f>
        <v>250.2</v>
      </c>
      <c r="N178" s="689">
        <f>(266.5*KFC!$B$21+KFC!$C$21)*KFC!$C$5</f>
        <v>266.5</v>
      </c>
      <c r="O178" s="689">
        <f>(282.8*KFC!$B$21+KFC!$C$21)*KFC!$C$5</f>
        <v>282.8</v>
      </c>
      <c r="P178" s="689">
        <f>(299.1*KFC!$B$21+KFC!$C$21)*KFC!$C$5</f>
        <v>299.10000000000002</v>
      </c>
      <c r="Q178" s="689">
        <f>(315.5*KFC!$B$21+KFC!$C$21)*KFC!$C$5</f>
        <v>315.5</v>
      </c>
      <c r="R178" s="689">
        <f>(331.8*KFC!$B$21+KFC!$C$21)*KFC!$C$5</f>
        <v>331.8</v>
      </c>
      <c r="S178" s="689">
        <f>(348.1*KFC!$B$21+KFC!$C$21)*KFC!$C$5</f>
        <v>348.1</v>
      </c>
    </row>
    <row r="179" spans="1:19">
      <c r="A179" s="185" t="s">
        <v>303</v>
      </c>
      <c r="B179" s="672"/>
      <c r="C179" s="673"/>
      <c r="D179" s="673"/>
      <c r="E179" s="673"/>
      <c r="F179" s="673"/>
      <c r="G179" s="673"/>
      <c r="H179" s="673"/>
      <c r="I179" s="673"/>
      <c r="J179" s="673"/>
      <c r="K179" s="673"/>
      <c r="L179" s="673"/>
      <c r="M179" s="673"/>
      <c r="N179" s="673"/>
      <c r="O179" s="673"/>
      <c r="P179" s="673"/>
      <c r="Q179" s="673"/>
      <c r="R179" s="673"/>
      <c r="S179" s="673"/>
    </row>
    <row r="180" spans="1:19">
      <c r="A180" s="185" t="s">
        <v>765</v>
      </c>
      <c r="B180" s="672"/>
      <c r="C180" s="673"/>
      <c r="D180" s="673"/>
      <c r="E180" s="673"/>
      <c r="F180" s="673"/>
      <c r="G180" s="673"/>
      <c r="H180" s="673"/>
      <c r="I180" s="673"/>
      <c r="J180" s="673"/>
      <c r="K180" s="673"/>
      <c r="L180" s="673"/>
      <c r="M180" s="673"/>
      <c r="N180" s="673"/>
      <c r="O180" s="673"/>
      <c r="P180" s="673"/>
    </row>
    <row r="181" spans="1:19">
      <c r="A181" s="500" t="s">
        <v>808</v>
      </c>
      <c r="B181" s="672"/>
      <c r="C181" s="673"/>
      <c r="D181" s="673"/>
      <c r="E181" s="673"/>
      <c r="F181" s="673"/>
      <c r="G181" s="673"/>
      <c r="H181" s="673"/>
      <c r="I181" s="673"/>
      <c r="J181" s="673"/>
      <c r="K181" s="673"/>
      <c r="L181" s="673"/>
      <c r="M181" s="673"/>
      <c r="N181" s="673"/>
      <c r="O181" s="673"/>
      <c r="P181" s="673"/>
    </row>
    <row r="182" spans="1:19">
      <c r="A182" s="1540" t="s">
        <v>805</v>
      </c>
      <c r="B182" s="1540"/>
      <c r="C182" s="1540"/>
      <c r="D182" s="1540"/>
      <c r="E182" s="1540"/>
      <c r="F182" s="1540"/>
      <c r="G182" s="1540"/>
      <c r="H182" s="1540"/>
      <c r="I182" s="1540"/>
      <c r="J182" s="1540"/>
      <c r="K182" s="1540"/>
      <c r="L182" s="1540"/>
      <c r="M182" s="1744"/>
      <c r="N182" s="674">
        <f>(2.78*KFC!$B$21+KFC!$C$21)*KFC!$C$5</f>
        <v>2.78</v>
      </c>
      <c r="O182" s="675" t="s">
        <v>744</v>
      </c>
      <c r="Q182" s="185"/>
    </row>
    <row r="183" spans="1:19" ht="13.2" customHeight="1">
      <c r="A183" s="1571" t="s">
        <v>1015</v>
      </c>
      <c r="B183" s="1571"/>
      <c r="C183" s="1571"/>
      <c r="D183" s="1571"/>
      <c r="E183" s="1571"/>
      <c r="F183" s="674">
        <f>(26.32*KFC!$B$21+KFC!$C$21)*KFC!$C$5</f>
        <v>26.32</v>
      </c>
      <c r="G183" s="675" t="s">
        <v>1066</v>
      </c>
      <c r="H183" s="676"/>
      <c r="I183" s="676"/>
      <c r="J183" s="676"/>
      <c r="K183" s="676"/>
      <c r="L183" s="676"/>
      <c r="O183" s="185"/>
      <c r="P183" s="185"/>
    </row>
    <row r="184" spans="1:19" ht="27" customHeight="1">
      <c r="A184" s="1283" t="s">
        <v>1016</v>
      </c>
      <c r="B184" s="1283"/>
      <c r="C184" s="1283"/>
      <c r="D184" s="1283"/>
      <c r="E184" s="1283"/>
      <c r="F184" s="1283"/>
      <c r="G184" s="1283"/>
      <c r="H184" s="1283"/>
      <c r="I184" s="1283"/>
      <c r="J184" s="1283"/>
      <c r="K184" s="1283"/>
      <c r="L184" s="1283"/>
      <c r="M184" s="1283"/>
      <c r="N184" s="1283"/>
      <c r="O184" s="1283"/>
      <c r="P184" s="1283"/>
    </row>
    <row r="185" spans="1:19" ht="15.75" customHeight="1">
      <c r="A185" s="1567" t="s">
        <v>764</v>
      </c>
      <c r="B185" s="1567"/>
      <c r="C185" s="1567"/>
      <c r="D185" s="1567"/>
      <c r="E185" s="677">
        <f>(2.24*KFC!$B$21+KFC!$C$21)*KFC!$C$5</f>
        <v>2.2400000000000002</v>
      </c>
      <c r="F185" s="1738" t="s">
        <v>773</v>
      </c>
      <c r="G185" s="1567"/>
      <c r="H185" s="1567"/>
      <c r="I185" s="1739"/>
      <c r="J185" s="677">
        <f>(3.55*KFC!$B$21+KFC!$C$21)*KFC!$C$5</f>
        <v>3.55</v>
      </c>
      <c r="K185" s="1738" t="s">
        <v>774</v>
      </c>
      <c r="L185" s="1567"/>
      <c r="M185" s="1567"/>
      <c r="N185" s="1567"/>
      <c r="O185" s="678"/>
      <c r="P185" s="678"/>
    </row>
  </sheetData>
  <mergeCells count="31">
    <mergeCell ref="C93:S93"/>
    <mergeCell ref="C122:S122"/>
    <mergeCell ref="C151:S151"/>
    <mergeCell ref="A182:M182"/>
    <mergeCell ref="A183:E183"/>
    <mergeCell ref="A93:B94"/>
    <mergeCell ref="A95:A120"/>
    <mergeCell ref="A122:B123"/>
    <mergeCell ref="A124:A149"/>
    <mergeCell ref="A151:B152"/>
    <mergeCell ref="A184:P184"/>
    <mergeCell ref="A185:D185"/>
    <mergeCell ref="F185:I185"/>
    <mergeCell ref="K185:N185"/>
    <mergeCell ref="A153:A178"/>
    <mergeCell ref="A66:A91"/>
    <mergeCell ref="A1:S1"/>
    <mergeCell ref="A2:S2"/>
    <mergeCell ref="A3:S3"/>
    <mergeCell ref="A4:D4"/>
    <mergeCell ref="E4:P4"/>
    <mergeCell ref="A5:D5"/>
    <mergeCell ref="E5:P5"/>
    <mergeCell ref="A6:B7"/>
    <mergeCell ref="A8:A33"/>
    <mergeCell ref="A35:B36"/>
    <mergeCell ref="A37:A62"/>
    <mergeCell ref="A64:B65"/>
    <mergeCell ref="C6:S6"/>
    <mergeCell ref="C35:S35"/>
    <mergeCell ref="C64:S64"/>
  </mergeCells>
  <hyperlinks>
    <hyperlink ref="E5" r:id="rId1" xr:uid="{99B17301-0E03-4952-9DC3-77026A66DB5F}"/>
    <hyperlink ref="E4" r:id="rId2" xr:uid="{14F24603-0A4C-4F2C-A967-CBE0BC7EB2B3}"/>
  </hyperlinks>
  <pageMargins left="0.7" right="0.7" top="0.75" bottom="0.75" header="0.3" footer="0.3"/>
  <pageSetup paperSize="9" scale="88" fitToHeight="0" orientation="landscape" r:id="rId3"/>
  <rowBreaks count="5" manualBreakCount="5">
    <brk id="34" max="26" man="1"/>
    <brk id="63" max="26" man="1"/>
    <brk id="92" max="26" man="1"/>
    <brk id="121" max="26" man="1"/>
    <brk id="150" max="26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1CF2CA-E69B-46B9-8288-8D6A1A624FC2}">
  <sheetPr>
    <pageSetUpPr fitToPage="1"/>
  </sheetPr>
  <dimension ref="A1:AY406"/>
  <sheetViews>
    <sheetView view="pageBreakPreview" zoomScale="80" zoomScaleNormal="80" zoomScaleSheetLayoutView="80" workbookViewId="0">
      <selection activeCell="P15" sqref="P15"/>
    </sheetView>
  </sheetViews>
  <sheetFormatPr defaultRowHeight="13.2"/>
  <cols>
    <col min="1" max="2" width="6.88671875" customWidth="1"/>
    <col min="3" max="26" width="8.33203125" customWidth="1"/>
    <col min="28" max="51" width="8.88671875" hidden="1" customWidth="1"/>
  </cols>
  <sheetData>
    <row r="1" spans="1:51" ht="42" customHeight="1">
      <c r="A1" s="1222" t="s">
        <v>1061</v>
      </c>
      <c r="B1" s="1222"/>
      <c r="C1" s="1222"/>
      <c r="D1" s="1222"/>
      <c r="E1" s="1222"/>
      <c r="F1" s="1222"/>
      <c r="G1" s="1222"/>
      <c r="H1" s="1222"/>
      <c r="I1" s="1222"/>
      <c r="J1" s="1222"/>
      <c r="K1" s="1222"/>
      <c r="L1" s="1222"/>
      <c r="M1" s="1222"/>
      <c r="N1" s="1222"/>
      <c r="O1" s="1222"/>
      <c r="P1" s="1222"/>
      <c r="Q1" s="1222"/>
      <c r="R1" s="1222"/>
      <c r="S1" s="1222"/>
      <c r="T1" s="1222"/>
      <c r="U1" s="1222"/>
      <c r="V1" s="1222"/>
      <c r="W1" s="1222"/>
      <c r="X1" s="1222"/>
      <c r="Y1" s="1222"/>
      <c r="Z1" s="1222"/>
    </row>
    <row r="2" spans="1:51">
      <c r="A2" s="1541" t="s">
        <v>1017</v>
      </c>
      <c r="B2" s="1541"/>
      <c r="C2" s="1541"/>
      <c r="D2" s="1541"/>
      <c r="E2" s="1541"/>
      <c r="F2" s="1541"/>
      <c r="G2" s="1541"/>
      <c r="H2" s="1541"/>
      <c r="I2" s="1541"/>
      <c r="J2" s="1541"/>
      <c r="K2" s="1541"/>
      <c r="L2" s="1541"/>
      <c r="M2" s="1541"/>
      <c r="N2" s="1541"/>
      <c r="O2" s="1541"/>
      <c r="P2" s="1541"/>
      <c r="Q2" s="1541"/>
      <c r="R2" s="1541"/>
      <c r="S2" s="1541"/>
      <c r="T2" s="1541"/>
      <c r="U2" s="1541"/>
      <c r="V2" s="1541"/>
      <c r="W2" s="1541"/>
      <c r="X2" s="1541"/>
      <c r="Y2" s="1541"/>
      <c r="Z2" s="1541"/>
    </row>
    <row r="3" spans="1:51" s="680" customFormat="1" ht="13.5" customHeight="1">
      <c r="A3" s="1748" t="s">
        <v>983</v>
      </c>
      <c r="B3" s="1748"/>
      <c r="C3" s="1748"/>
      <c r="D3" s="1748"/>
      <c r="E3" s="1748"/>
      <c r="F3" s="1748"/>
      <c r="G3" s="1748"/>
      <c r="H3" s="1748"/>
      <c r="I3" s="1748"/>
      <c r="J3" s="1748"/>
      <c r="K3" s="1748"/>
      <c r="L3" s="1748"/>
      <c r="M3" s="1748"/>
      <c r="N3" s="1748"/>
      <c r="O3" s="1748"/>
      <c r="P3" s="1748"/>
      <c r="Q3" s="679"/>
      <c r="R3" s="679"/>
      <c r="S3" s="679"/>
      <c r="T3" s="679"/>
      <c r="U3" s="679"/>
      <c r="V3" s="679"/>
      <c r="W3" s="679"/>
      <c r="X3" s="679"/>
      <c r="Y3" s="679"/>
      <c r="Z3" s="679"/>
      <c r="AA3" s="679"/>
      <c r="AB3" s="679"/>
      <c r="AC3" s="679"/>
    </row>
    <row r="4" spans="1:51">
      <c r="A4" s="1089" t="s">
        <v>593</v>
      </c>
      <c r="B4" s="1089"/>
      <c r="C4" s="1089"/>
      <c r="D4" s="1089"/>
      <c r="E4" s="1089"/>
      <c r="F4" s="1089"/>
      <c r="G4" s="1406" t="s">
        <v>1062</v>
      </c>
      <c r="H4" s="1406"/>
      <c r="I4" s="1406"/>
      <c r="J4" s="1406"/>
      <c r="K4" s="1406"/>
      <c r="L4" s="1406"/>
      <c r="M4" s="1406"/>
      <c r="N4" s="1406"/>
      <c r="O4" s="1406"/>
      <c r="P4" s="1406"/>
      <c r="Q4" s="1406"/>
      <c r="R4" s="1406"/>
      <c r="S4" s="1406"/>
      <c r="T4" s="1406"/>
      <c r="U4" s="1406"/>
      <c r="V4" s="1406"/>
      <c r="W4" s="1406"/>
      <c r="X4" s="1406"/>
      <c r="Y4" s="1406"/>
      <c r="Z4" s="1406"/>
    </row>
    <row r="5" spans="1:51">
      <c r="A5" s="1089" t="s">
        <v>611</v>
      </c>
      <c r="B5" s="1089"/>
      <c r="C5" s="1089"/>
      <c r="D5" s="1089"/>
      <c r="E5" s="1089"/>
      <c r="F5" s="1089"/>
      <c r="G5" s="1406" t="s">
        <v>613</v>
      </c>
      <c r="H5" s="1406"/>
      <c r="I5" s="1406"/>
      <c r="J5" s="1406"/>
      <c r="K5" s="1406"/>
      <c r="L5" s="1406"/>
      <c r="M5" s="1406"/>
      <c r="N5" s="1406"/>
      <c r="O5" s="1406"/>
      <c r="P5" s="1406"/>
      <c r="Q5" s="1406"/>
      <c r="R5" s="1406"/>
      <c r="S5" s="1406"/>
      <c r="T5" s="1406"/>
      <c r="U5" s="1406"/>
      <c r="V5" s="1406"/>
      <c r="W5" s="1406"/>
      <c r="X5" s="1406"/>
      <c r="Y5" s="1406"/>
      <c r="Z5" s="1406"/>
    </row>
    <row r="6" spans="1:51" ht="13.5" customHeight="1">
      <c r="A6" s="1747" t="s">
        <v>462</v>
      </c>
      <c r="B6" s="1747"/>
      <c r="C6" s="1735" t="s">
        <v>207</v>
      </c>
      <c r="D6" s="1736"/>
      <c r="E6" s="1736"/>
      <c r="F6" s="1736"/>
      <c r="G6" s="1736"/>
      <c r="H6" s="1736"/>
      <c r="I6" s="1736"/>
      <c r="J6" s="1736"/>
      <c r="K6" s="1736"/>
      <c r="L6" s="1736"/>
      <c r="M6" s="1736"/>
      <c r="N6" s="1736"/>
      <c r="O6" s="1736"/>
      <c r="P6" s="1736"/>
      <c r="Q6" s="1736"/>
      <c r="R6" s="1736"/>
      <c r="S6" s="1736"/>
      <c r="T6" s="1736"/>
      <c r="U6" s="1736"/>
      <c r="V6" s="1736"/>
      <c r="W6" s="1736"/>
      <c r="X6" s="1736"/>
      <c r="Y6" s="1736"/>
      <c r="Z6" s="1737"/>
    </row>
    <row r="7" spans="1:51" ht="13.8" thickBot="1">
      <c r="A7" s="1747"/>
      <c r="B7" s="1747"/>
      <c r="C7" s="671">
        <v>0.7</v>
      </c>
      <c r="D7" s="671">
        <v>0.8</v>
      </c>
      <c r="E7" s="671">
        <v>0.9</v>
      </c>
      <c r="F7" s="671">
        <v>1</v>
      </c>
      <c r="G7" s="671">
        <v>1.1000000000000001</v>
      </c>
      <c r="H7" s="671">
        <v>1.2</v>
      </c>
      <c r="I7" s="671">
        <v>1.3</v>
      </c>
      <c r="J7" s="671">
        <v>1.4</v>
      </c>
      <c r="K7" s="671">
        <v>1.5</v>
      </c>
      <c r="L7" s="671">
        <v>1.6</v>
      </c>
      <c r="M7" s="671">
        <v>1.7</v>
      </c>
      <c r="N7" s="671">
        <v>1.8</v>
      </c>
      <c r="O7" s="671">
        <v>1.9</v>
      </c>
      <c r="P7" s="671">
        <v>2</v>
      </c>
      <c r="Q7" s="671">
        <v>2.1</v>
      </c>
      <c r="R7" s="671">
        <v>2.2000000000000002</v>
      </c>
      <c r="S7" s="671">
        <v>2.2999999999999998</v>
      </c>
      <c r="T7" s="671">
        <v>2.4</v>
      </c>
      <c r="U7" s="671">
        <v>2.5</v>
      </c>
      <c r="V7" s="671">
        <v>2.6</v>
      </c>
      <c r="W7" s="671">
        <v>2.7</v>
      </c>
      <c r="X7" s="671">
        <v>2.8</v>
      </c>
      <c r="Y7" s="671">
        <v>2.9</v>
      </c>
      <c r="Z7" s="671">
        <v>3</v>
      </c>
    </row>
    <row r="8" spans="1:51" ht="12.75" customHeight="1">
      <c r="A8" s="1728" t="s">
        <v>3</v>
      </c>
      <c r="B8" s="671">
        <v>0.5</v>
      </c>
      <c r="C8" s="955">
        <f>(AB8*KFC!$B$22+KFC!$C$22)*KFC!$C$5</f>
        <v>57.23684325</v>
      </c>
      <c r="D8" s="955">
        <f>(AC8*KFC!$B$22+KFC!$C$22)*KFC!$C$5</f>
        <v>61.121282686956526</v>
      </c>
      <c r="E8" s="955">
        <f>(AD8*KFC!$B$22+KFC!$C$22)*KFC!$C$5</f>
        <v>65.005722123913046</v>
      </c>
      <c r="F8" s="955">
        <f>(AE8*KFC!$B$22+KFC!$C$22)*KFC!$C$5</f>
        <v>68.890161560869572</v>
      </c>
      <c r="G8" s="955">
        <f>(AF8*KFC!$B$22+KFC!$C$22)*KFC!$C$5</f>
        <v>72.774600997826099</v>
      </c>
      <c r="H8" s="955">
        <f>(AG8*KFC!$B$22+KFC!$C$22)*KFC!$C$5</f>
        <v>76.659040434782625</v>
      </c>
      <c r="I8" s="955">
        <f>(AH8*KFC!$B$22+KFC!$C$22)*KFC!$C$5</f>
        <v>80.543479871739152</v>
      </c>
      <c r="J8" s="955">
        <f>(AI8*KFC!$B$22+KFC!$C$22)*KFC!$C$5</f>
        <v>84.427919308695678</v>
      </c>
      <c r="K8" s="955">
        <f>(AJ8*KFC!$B$22+KFC!$C$22)*KFC!$C$5</f>
        <v>88.312358745652205</v>
      </c>
      <c r="L8" s="955">
        <f>(AK8*KFC!$B$22+KFC!$C$22)*KFC!$C$5</f>
        <v>92.196798182608731</v>
      </c>
      <c r="M8" s="955">
        <f>(AL8*KFC!$B$22+KFC!$C$22)*KFC!$C$5</f>
        <v>96.081237619565243</v>
      </c>
      <c r="N8" s="955">
        <f>(AM8*KFC!$B$22+KFC!$C$22)*KFC!$C$5</f>
        <v>99.96567705652177</v>
      </c>
      <c r="O8" s="955">
        <f>(AN8*KFC!$B$22+KFC!$C$22)*KFC!$C$5</f>
        <v>103.8501164934783</v>
      </c>
      <c r="P8" s="955">
        <f>(AO8*KFC!$B$22+KFC!$C$22)*KFC!$C$5</f>
        <v>107.73455593043482</v>
      </c>
      <c r="Q8" s="955">
        <f>(AP8*KFC!$B$22+KFC!$C$22)*KFC!$C$5</f>
        <v>111.61899536739135</v>
      </c>
      <c r="R8" s="955">
        <f>(AQ8*KFC!$B$22+KFC!$C$22)*KFC!$C$5</f>
        <v>115.50343480434788</v>
      </c>
      <c r="S8" s="955">
        <f>(AR8*KFC!$B$22+KFC!$C$22)*KFC!$C$5</f>
        <v>119.3878742413044</v>
      </c>
      <c r="T8" s="955">
        <f>(AS8*KFC!$B$22+KFC!$C$22)*KFC!$C$5</f>
        <v>123.27231367826093</v>
      </c>
      <c r="U8" s="955">
        <f>(AT8*KFC!$B$22+KFC!$C$22)*KFC!$C$5</f>
        <v>127.15675311521746</v>
      </c>
      <c r="V8" s="955">
        <f>(AU8*KFC!$B$22+KFC!$C$22)*KFC!$C$5</f>
        <v>131.04119255217398</v>
      </c>
      <c r="W8" s="955">
        <f>(AV8*KFC!$B$22+KFC!$C$22)*KFC!$C$5</f>
        <v>134.92563198913049</v>
      </c>
      <c r="X8" s="955">
        <f>(AW8*KFC!$B$22+KFC!$C$22)*KFC!$C$5</f>
        <v>138.81007142608703</v>
      </c>
      <c r="Y8" s="955">
        <f>(AX8*KFC!$B$22+KFC!$C$22)*KFC!$C$5</f>
        <v>142.69451086304355</v>
      </c>
      <c r="Z8" s="955">
        <f>(AY8*KFC!$B$22+KFC!$C$22)*KFC!$C$5</f>
        <v>146.5789503</v>
      </c>
      <c r="AB8" s="768">
        <v>57.23684325</v>
      </c>
      <c r="AC8" s="769">
        <v>61.121282686956526</v>
      </c>
      <c r="AD8" s="769">
        <v>65.005722123913046</v>
      </c>
      <c r="AE8" s="769">
        <v>68.890161560869572</v>
      </c>
      <c r="AF8" s="769">
        <v>72.774600997826099</v>
      </c>
      <c r="AG8" s="769">
        <v>76.659040434782625</v>
      </c>
      <c r="AH8" s="769">
        <v>80.543479871739152</v>
      </c>
      <c r="AI8" s="769">
        <v>84.427919308695678</v>
      </c>
      <c r="AJ8" s="769">
        <v>88.312358745652205</v>
      </c>
      <c r="AK8" s="769">
        <v>92.196798182608731</v>
      </c>
      <c r="AL8" s="769">
        <v>96.081237619565243</v>
      </c>
      <c r="AM8" s="769">
        <v>99.96567705652177</v>
      </c>
      <c r="AN8" s="769">
        <v>103.8501164934783</v>
      </c>
      <c r="AO8" s="769">
        <v>107.73455593043482</v>
      </c>
      <c r="AP8" s="769">
        <v>111.61899536739135</v>
      </c>
      <c r="AQ8" s="769">
        <v>115.50343480434788</v>
      </c>
      <c r="AR8" s="769">
        <v>119.3878742413044</v>
      </c>
      <c r="AS8" s="769">
        <v>123.27231367826093</v>
      </c>
      <c r="AT8" s="769">
        <v>127.15675311521746</v>
      </c>
      <c r="AU8" s="769">
        <v>131.04119255217398</v>
      </c>
      <c r="AV8" s="769">
        <v>134.92563198913049</v>
      </c>
      <c r="AW8" s="769">
        <v>138.81007142608703</v>
      </c>
      <c r="AX8" s="769">
        <v>142.69451086304355</v>
      </c>
      <c r="AY8" s="770">
        <v>146.5789503</v>
      </c>
    </row>
    <row r="9" spans="1:51">
      <c r="A9" s="1728"/>
      <c r="B9" s="671">
        <v>0.6</v>
      </c>
      <c r="C9" s="955">
        <f>(AB9*KFC!$B$22+KFC!$C$22)*KFC!$C$5</f>
        <v>57.634789342682929</v>
      </c>
      <c r="D9" s="955">
        <f>(AC9*KFC!$B$22+KFC!$C$22)*KFC!$C$5</f>
        <v>61.576018421898198</v>
      </c>
      <c r="E9" s="955">
        <f>(AD9*KFC!$B$22+KFC!$C$22)*KFC!$C$5</f>
        <v>65.517247501113474</v>
      </c>
      <c r="F9" s="955">
        <f>(AE9*KFC!$B$22+KFC!$C$22)*KFC!$C$5</f>
        <v>69.458476580328735</v>
      </c>
      <c r="G9" s="955">
        <f>(AF9*KFC!$B$22+KFC!$C$22)*KFC!$C$5</f>
        <v>73.399705659544011</v>
      </c>
      <c r="H9" s="955">
        <f>(AG9*KFC!$B$22+KFC!$C$22)*KFC!$C$5</f>
        <v>77.340934738759273</v>
      </c>
      <c r="I9" s="955">
        <f>(AH9*KFC!$B$22+KFC!$C$22)*KFC!$C$5</f>
        <v>81.282163817974549</v>
      </c>
      <c r="J9" s="955">
        <f>(AI9*KFC!$B$22+KFC!$C$22)*KFC!$C$5</f>
        <v>85.223392897189825</v>
      </c>
      <c r="K9" s="955">
        <f>(AJ9*KFC!$B$22+KFC!$C$22)*KFC!$C$5</f>
        <v>89.164621976405101</v>
      </c>
      <c r="L9" s="955">
        <f>(AK9*KFC!$B$22+KFC!$C$22)*KFC!$C$5</f>
        <v>93.105851055620363</v>
      </c>
      <c r="M9" s="955">
        <f>(AL9*KFC!$B$22+KFC!$C$22)*KFC!$C$5</f>
        <v>97.047080134835639</v>
      </c>
      <c r="N9" s="955">
        <f>(AM9*KFC!$B$22+KFC!$C$22)*KFC!$C$5</f>
        <v>100.98830921405091</v>
      </c>
      <c r="O9" s="955">
        <f>(AN9*KFC!$B$22+KFC!$C$22)*KFC!$C$5</f>
        <v>104.92953829326618</v>
      </c>
      <c r="P9" s="955">
        <f>(AO9*KFC!$B$22+KFC!$C$22)*KFC!$C$5</f>
        <v>108.87076737248145</v>
      </c>
      <c r="Q9" s="955">
        <f>(AP9*KFC!$B$22+KFC!$C$22)*KFC!$C$5</f>
        <v>112.81199645169671</v>
      </c>
      <c r="R9" s="955">
        <f>(AQ9*KFC!$B$22+KFC!$C$22)*KFC!$C$5</f>
        <v>116.75322553091199</v>
      </c>
      <c r="S9" s="955">
        <f>(AR9*KFC!$B$22+KFC!$C$22)*KFC!$C$5</f>
        <v>120.69445461012725</v>
      </c>
      <c r="T9" s="955">
        <f>(AS9*KFC!$B$22+KFC!$C$22)*KFC!$C$5</f>
        <v>124.63568368934253</v>
      </c>
      <c r="U9" s="955">
        <f>(AT9*KFC!$B$22+KFC!$C$22)*KFC!$C$5</f>
        <v>128.5769127685578</v>
      </c>
      <c r="V9" s="955">
        <f>(AU9*KFC!$B$22+KFC!$C$22)*KFC!$C$5</f>
        <v>132.51814184777308</v>
      </c>
      <c r="W9" s="955">
        <f>(AV9*KFC!$B$22+KFC!$C$22)*KFC!$C$5</f>
        <v>136.45937092698833</v>
      </c>
      <c r="X9" s="955">
        <f>(AW9*KFC!$B$22+KFC!$C$22)*KFC!$C$5</f>
        <v>140.4006000062036</v>
      </c>
      <c r="Y9" s="955">
        <f>(AX9*KFC!$B$22+KFC!$C$22)*KFC!$C$5</f>
        <v>144.34182908541888</v>
      </c>
      <c r="Z9" s="955">
        <f>(AY9*KFC!$B$22+KFC!$C$22)*KFC!$C$5</f>
        <v>148.28305816463416</v>
      </c>
      <c r="AB9" s="771">
        <v>57.634789342682929</v>
      </c>
      <c r="AC9" s="772">
        <v>61.576018421898198</v>
      </c>
      <c r="AD9" s="772">
        <v>65.517247501113474</v>
      </c>
      <c r="AE9" s="772">
        <v>69.458476580328735</v>
      </c>
      <c r="AF9" s="772">
        <v>73.399705659544011</v>
      </c>
      <c r="AG9" s="772">
        <v>77.340934738759273</v>
      </c>
      <c r="AH9" s="772">
        <v>81.282163817974549</v>
      </c>
      <c r="AI9" s="772">
        <v>85.223392897189825</v>
      </c>
      <c r="AJ9" s="772">
        <v>89.164621976405101</v>
      </c>
      <c r="AK9" s="772">
        <v>93.105851055620363</v>
      </c>
      <c r="AL9" s="772">
        <v>97.047080134835639</v>
      </c>
      <c r="AM9" s="772">
        <v>100.98830921405091</v>
      </c>
      <c r="AN9" s="772">
        <v>104.92953829326618</v>
      </c>
      <c r="AO9" s="772">
        <v>108.87076737248145</v>
      </c>
      <c r="AP9" s="772">
        <v>112.81199645169671</v>
      </c>
      <c r="AQ9" s="772">
        <v>116.75322553091199</v>
      </c>
      <c r="AR9" s="772">
        <v>120.69445461012725</v>
      </c>
      <c r="AS9" s="772">
        <v>124.63568368934253</v>
      </c>
      <c r="AT9" s="772">
        <v>128.5769127685578</v>
      </c>
      <c r="AU9" s="772">
        <v>132.51814184777308</v>
      </c>
      <c r="AV9" s="772">
        <v>136.45937092698833</v>
      </c>
      <c r="AW9" s="772">
        <v>140.4006000062036</v>
      </c>
      <c r="AX9" s="772">
        <v>144.34182908541888</v>
      </c>
      <c r="AY9" s="773">
        <v>148.28305816463416</v>
      </c>
    </row>
    <row r="10" spans="1:51">
      <c r="A10" s="1728"/>
      <c r="B10" s="671">
        <v>0.7</v>
      </c>
      <c r="C10" s="955">
        <f>(AB10*KFC!$B$22+KFC!$C$22)*KFC!$C$5</f>
        <v>58.032735435365858</v>
      </c>
      <c r="D10" s="955">
        <f>(AC10*KFC!$B$22+KFC!$C$22)*KFC!$C$5</f>
        <v>62.030754156839869</v>
      </c>
      <c r="E10" s="955">
        <f>(AD10*KFC!$B$22+KFC!$C$22)*KFC!$C$5</f>
        <v>66.028772878313887</v>
      </c>
      <c r="F10" s="955">
        <f>(AE10*KFC!$B$22+KFC!$C$22)*KFC!$C$5</f>
        <v>70.026791599787899</v>
      </c>
      <c r="G10" s="955">
        <f>(AF10*KFC!$B$22+KFC!$C$22)*KFC!$C$5</f>
        <v>74.024810321261924</v>
      </c>
      <c r="H10" s="955">
        <f>(AG10*KFC!$B$22+KFC!$C$22)*KFC!$C$5</f>
        <v>78.022829042735935</v>
      </c>
      <c r="I10" s="955">
        <f>(AH10*KFC!$B$22+KFC!$C$22)*KFC!$C$5</f>
        <v>82.020847764209947</v>
      </c>
      <c r="J10" s="955">
        <f>(AI10*KFC!$B$22+KFC!$C$22)*KFC!$C$5</f>
        <v>86.018866485683958</v>
      </c>
      <c r="K10" s="955">
        <f>(AJ10*KFC!$B$22+KFC!$C$22)*KFC!$C$5</f>
        <v>90.016885207157983</v>
      </c>
      <c r="L10" s="955">
        <f>(AK10*KFC!$B$22+KFC!$C$22)*KFC!$C$5</f>
        <v>94.014903928631995</v>
      </c>
      <c r="M10" s="955">
        <f>(AL10*KFC!$B$22+KFC!$C$22)*KFC!$C$5</f>
        <v>98.012922650106006</v>
      </c>
      <c r="N10" s="955">
        <f>(AM10*KFC!$B$22+KFC!$C$22)*KFC!$C$5</f>
        <v>102.01094137158002</v>
      </c>
      <c r="O10" s="955">
        <f>(AN10*KFC!$B$22+KFC!$C$22)*KFC!$C$5</f>
        <v>106.00896009305404</v>
      </c>
      <c r="P10" s="955">
        <f>(AO10*KFC!$B$22+KFC!$C$22)*KFC!$C$5</f>
        <v>110.00697881452805</v>
      </c>
      <c r="Q10" s="955">
        <f>(AP10*KFC!$B$22+KFC!$C$22)*KFC!$C$5</f>
        <v>114.00499753600207</v>
      </c>
      <c r="R10" s="955">
        <f>(AQ10*KFC!$B$22+KFC!$C$22)*KFC!$C$5</f>
        <v>118.00301625747608</v>
      </c>
      <c r="S10" s="955">
        <f>(AR10*KFC!$B$22+KFC!$C$22)*KFC!$C$5</f>
        <v>122.0010349789501</v>
      </c>
      <c r="T10" s="955">
        <f>(AS10*KFC!$B$22+KFC!$C$22)*KFC!$C$5</f>
        <v>125.99905370042411</v>
      </c>
      <c r="U10" s="955">
        <f>(AT10*KFC!$B$22+KFC!$C$22)*KFC!$C$5</f>
        <v>129.99707242189814</v>
      </c>
      <c r="V10" s="955">
        <f>(AU10*KFC!$B$22+KFC!$C$22)*KFC!$C$5</f>
        <v>133.99509114337215</v>
      </c>
      <c r="W10" s="955">
        <f>(AV10*KFC!$B$22+KFC!$C$22)*KFC!$C$5</f>
        <v>137.99310986484616</v>
      </c>
      <c r="X10" s="955">
        <f>(AW10*KFC!$B$22+KFC!$C$22)*KFC!$C$5</f>
        <v>141.99112858632017</v>
      </c>
      <c r="Y10" s="955">
        <f>(AX10*KFC!$B$22+KFC!$C$22)*KFC!$C$5</f>
        <v>145.98914730779418</v>
      </c>
      <c r="Z10" s="955">
        <f>(AY10*KFC!$B$22+KFC!$C$22)*KFC!$C$5</f>
        <v>149.98716602926831</v>
      </c>
      <c r="AB10" s="771">
        <v>58.032735435365858</v>
      </c>
      <c r="AC10" s="772">
        <v>62.030754156839869</v>
      </c>
      <c r="AD10" s="772">
        <v>66.028772878313887</v>
      </c>
      <c r="AE10" s="772">
        <v>70.026791599787899</v>
      </c>
      <c r="AF10" s="772">
        <v>74.024810321261924</v>
      </c>
      <c r="AG10" s="772">
        <v>78.022829042735935</v>
      </c>
      <c r="AH10" s="772">
        <v>82.020847764209947</v>
      </c>
      <c r="AI10" s="772">
        <v>86.018866485683958</v>
      </c>
      <c r="AJ10" s="772">
        <v>90.016885207157983</v>
      </c>
      <c r="AK10" s="772">
        <v>94.014903928631995</v>
      </c>
      <c r="AL10" s="772">
        <v>98.012922650106006</v>
      </c>
      <c r="AM10" s="772">
        <v>102.01094137158002</v>
      </c>
      <c r="AN10" s="772">
        <v>106.00896009305404</v>
      </c>
      <c r="AO10" s="772">
        <v>110.00697881452805</v>
      </c>
      <c r="AP10" s="772">
        <v>114.00499753600207</v>
      </c>
      <c r="AQ10" s="772">
        <v>118.00301625747608</v>
      </c>
      <c r="AR10" s="772">
        <v>122.0010349789501</v>
      </c>
      <c r="AS10" s="772">
        <v>125.99905370042411</v>
      </c>
      <c r="AT10" s="772">
        <v>129.99707242189814</v>
      </c>
      <c r="AU10" s="772">
        <v>133.99509114337215</v>
      </c>
      <c r="AV10" s="772">
        <v>137.99310986484616</v>
      </c>
      <c r="AW10" s="772">
        <v>141.99112858632017</v>
      </c>
      <c r="AX10" s="772">
        <v>145.98914730779418</v>
      </c>
      <c r="AY10" s="773">
        <v>149.98716602926831</v>
      </c>
    </row>
    <row r="11" spans="1:51">
      <c r="A11" s="1728"/>
      <c r="B11" s="671">
        <v>0.8</v>
      </c>
      <c r="C11" s="955">
        <f>(AB11*KFC!$B$22+KFC!$C$22)*KFC!$C$5</f>
        <v>58.430681528048787</v>
      </c>
      <c r="D11" s="955">
        <f>(AC11*KFC!$B$22+KFC!$C$22)*KFC!$C$5</f>
        <v>62.485489891781555</v>
      </c>
      <c r="E11" s="955">
        <f>(AD11*KFC!$B$22+KFC!$C$22)*KFC!$C$5</f>
        <v>66.54029825551433</v>
      </c>
      <c r="F11" s="955">
        <f>(AE11*KFC!$B$22+KFC!$C$22)*KFC!$C$5</f>
        <v>70.59510661924709</v>
      </c>
      <c r="G11" s="955">
        <f>(AF11*KFC!$B$22+KFC!$C$22)*KFC!$C$5</f>
        <v>74.649914982979865</v>
      </c>
      <c r="H11" s="955">
        <f>(AG11*KFC!$B$22+KFC!$C$22)*KFC!$C$5</f>
        <v>78.70472334671264</v>
      </c>
      <c r="I11" s="955">
        <f>(AH11*KFC!$B$22+KFC!$C$22)*KFC!$C$5</f>
        <v>82.759531710445401</v>
      </c>
      <c r="J11" s="955">
        <f>(AI11*KFC!$B$22+KFC!$C$22)*KFC!$C$5</f>
        <v>86.814340074178176</v>
      </c>
      <c r="K11" s="955">
        <f>(AJ11*KFC!$B$22+KFC!$C$22)*KFC!$C$5</f>
        <v>90.869148437910937</v>
      </c>
      <c r="L11" s="955">
        <f>(AK11*KFC!$B$22+KFC!$C$22)*KFC!$C$5</f>
        <v>94.923956801643698</v>
      </c>
      <c r="M11" s="955">
        <f>(AL11*KFC!$B$22+KFC!$C$22)*KFC!$C$5</f>
        <v>98.978765165376458</v>
      </c>
      <c r="N11" s="955">
        <f>(AM11*KFC!$B$22+KFC!$C$22)*KFC!$C$5</f>
        <v>103.03357352910922</v>
      </c>
      <c r="O11" s="955">
        <f>(AN11*KFC!$B$22+KFC!$C$22)*KFC!$C$5</f>
        <v>107.08838189284198</v>
      </c>
      <c r="P11" s="955">
        <f>(AO11*KFC!$B$22+KFC!$C$22)*KFC!$C$5</f>
        <v>111.14319025657473</v>
      </c>
      <c r="Q11" s="955">
        <f>(AP11*KFC!$B$22+KFC!$C$22)*KFC!$C$5</f>
        <v>115.19799862030749</v>
      </c>
      <c r="R11" s="955">
        <f>(AQ11*KFC!$B$22+KFC!$C$22)*KFC!$C$5</f>
        <v>119.25280698404025</v>
      </c>
      <c r="S11" s="955">
        <f>(AR11*KFC!$B$22+KFC!$C$22)*KFC!$C$5</f>
        <v>123.30761534777301</v>
      </c>
      <c r="T11" s="955">
        <f>(AS11*KFC!$B$22+KFC!$C$22)*KFC!$C$5</f>
        <v>127.36242371150577</v>
      </c>
      <c r="U11" s="955">
        <f>(AT11*KFC!$B$22+KFC!$C$22)*KFC!$C$5</f>
        <v>131.41723207523853</v>
      </c>
      <c r="V11" s="955">
        <f>(AU11*KFC!$B$22+KFC!$C$22)*KFC!$C$5</f>
        <v>135.47204043897131</v>
      </c>
      <c r="W11" s="955">
        <f>(AV11*KFC!$B$22+KFC!$C$22)*KFC!$C$5</f>
        <v>139.52684880270405</v>
      </c>
      <c r="X11" s="955">
        <f>(AW11*KFC!$B$22+KFC!$C$22)*KFC!$C$5</f>
        <v>143.58165716643683</v>
      </c>
      <c r="Y11" s="955">
        <f>(AX11*KFC!$B$22+KFC!$C$22)*KFC!$C$5</f>
        <v>147.63646553016957</v>
      </c>
      <c r="Z11" s="955">
        <f>(AY11*KFC!$B$22+KFC!$C$22)*KFC!$C$5</f>
        <v>151.69127389390243</v>
      </c>
      <c r="AB11" s="771">
        <v>58.430681528048787</v>
      </c>
      <c r="AC11" s="772">
        <v>62.485489891781555</v>
      </c>
      <c r="AD11" s="772">
        <v>66.54029825551433</v>
      </c>
      <c r="AE11" s="772">
        <v>70.59510661924709</v>
      </c>
      <c r="AF11" s="772">
        <v>74.649914982979865</v>
      </c>
      <c r="AG11" s="772">
        <v>78.70472334671264</v>
      </c>
      <c r="AH11" s="772">
        <v>82.759531710445401</v>
      </c>
      <c r="AI11" s="772">
        <v>86.814340074178176</v>
      </c>
      <c r="AJ11" s="772">
        <v>90.869148437910937</v>
      </c>
      <c r="AK11" s="772">
        <v>94.923956801643698</v>
      </c>
      <c r="AL11" s="772">
        <v>98.978765165376458</v>
      </c>
      <c r="AM11" s="772">
        <v>103.03357352910922</v>
      </c>
      <c r="AN11" s="772">
        <v>107.08838189284198</v>
      </c>
      <c r="AO11" s="772">
        <v>111.14319025657473</v>
      </c>
      <c r="AP11" s="772">
        <v>115.19799862030749</v>
      </c>
      <c r="AQ11" s="772">
        <v>119.25280698404025</v>
      </c>
      <c r="AR11" s="772">
        <v>123.30761534777301</v>
      </c>
      <c r="AS11" s="772">
        <v>127.36242371150577</v>
      </c>
      <c r="AT11" s="772">
        <v>131.41723207523853</v>
      </c>
      <c r="AU11" s="772">
        <v>135.47204043897131</v>
      </c>
      <c r="AV11" s="772">
        <v>139.52684880270405</v>
      </c>
      <c r="AW11" s="772">
        <v>143.58165716643683</v>
      </c>
      <c r="AX11" s="772">
        <v>147.63646553016957</v>
      </c>
      <c r="AY11" s="773">
        <v>151.69127389390243</v>
      </c>
    </row>
    <row r="12" spans="1:51">
      <c r="A12" s="1728"/>
      <c r="B12" s="671">
        <v>0.9</v>
      </c>
      <c r="C12" s="955">
        <f>(AB12*KFC!$B$22+KFC!$C$22)*KFC!$C$5</f>
        <v>58.828627620731716</v>
      </c>
      <c r="D12" s="955">
        <f>(AC12*KFC!$B$22+KFC!$C$22)*KFC!$C$5</f>
        <v>62.940225626723233</v>
      </c>
      <c r="E12" s="955">
        <f>(AD12*KFC!$B$22+KFC!$C$22)*KFC!$C$5</f>
        <v>67.051823632714743</v>
      </c>
      <c r="F12" s="955">
        <f>(AE12*KFC!$B$22+KFC!$C$22)*KFC!$C$5</f>
        <v>71.163421638706254</v>
      </c>
      <c r="G12" s="955">
        <f>(AF12*KFC!$B$22+KFC!$C$22)*KFC!$C$5</f>
        <v>75.275019644697778</v>
      </c>
      <c r="H12" s="955">
        <f>(AG12*KFC!$B$22+KFC!$C$22)*KFC!$C$5</f>
        <v>79.386617650689288</v>
      </c>
      <c r="I12" s="955">
        <f>(AH12*KFC!$B$22+KFC!$C$22)*KFC!$C$5</f>
        <v>83.498215656680799</v>
      </c>
      <c r="J12" s="955">
        <f>(AI12*KFC!$B$22+KFC!$C$22)*KFC!$C$5</f>
        <v>87.609813662672323</v>
      </c>
      <c r="K12" s="955">
        <f>(AJ12*KFC!$B$22+KFC!$C$22)*KFC!$C$5</f>
        <v>91.721411668663848</v>
      </c>
      <c r="L12" s="955">
        <f>(AK12*KFC!$B$22+KFC!$C$22)*KFC!$C$5</f>
        <v>95.833009674655372</v>
      </c>
      <c r="M12" s="955">
        <f>(AL12*KFC!$B$22+KFC!$C$22)*KFC!$C$5</f>
        <v>99.944607680646897</v>
      </c>
      <c r="N12" s="955">
        <f>(AM12*KFC!$B$22+KFC!$C$22)*KFC!$C$5</f>
        <v>104.05620568663842</v>
      </c>
      <c r="O12" s="955">
        <f>(AN12*KFC!$B$22+KFC!$C$22)*KFC!$C$5</f>
        <v>108.16780369262995</v>
      </c>
      <c r="P12" s="955">
        <f>(AO12*KFC!$B$22+KFC!$C$22)*KFC!$C$5</f>
        <v>112.27940169862147</v>
      </c>
      <c r="Q12" s="955">
        <f>(AP12*KFC!$B$22+KFC!$C$22)*KFC!$C$5</f>
        <v>116.39099970461299</v>
      </c>
      <c r="R12" s="955">
        <f>(AQ12*KFC!$B$22+KFC!$C$22)*KFC!$C$5</f>
        <v>120.50259771060452</v>
      </c>
      <c r="S12" s="955">
        <f>(AR12*KFC!$B$22+KFC!$C$22)*KFC!$C$5</f>
        <v>124.61419571659604</v>
      </c>
      <c r="T12" s="955">
        <f>(AS12*KFC!$B$22+KFC!$C$22)*KFC!$C$5</f>
        <v>128.72579372258755</v>
      </c>
      <c r="U12" s="955">
        <f>(AT12*KFC!$B$22+KFC!$C$22)*KFC!$C$5</f>
        <v>132.83739172857909</v>
      </c>
      <c r="V12" s="955">
        <f>(AU12*KFC!$B$22+KFC!$C$22)*KFC!$C$5</f>
        <v>136.9489897345706</v>
      </c>
      <c r="W12" s="955">
        <f>(AV12*KFC!$B$22+KFC!$C$22)*KFC!$C$5</f>
        <v>141.06058774056214</v>
      </c>
      <c r="X12" s="955">
        <f>(AW12*KFC!$B$22+KFC!$C$22)*KFC!$C$5</f>
        <v>145.17218574655365</v>
      </c>
      <c r="Y12" s="955">
        <f>(AX12*KFC!$B$22+KFC!$C$22)*KFC!$C$5</f>
        <v>149.28378375254519</v>
      </c>
      <c r="Z12" s="955">
        <f>(AY12*KFC!$B$22+KFC!$C$22)*KFC!$C$5</f>
        <v>153.39538175853659</v>
      </c>
      <c r="AB12" s="771">
        <v>58.828627620731716</v>
      </c>
      <c r="AC12" s="772">
        <v>62.940225626723233</v>
      </c>
      <c r="AD12" s="772">
        <v>67.051823632714743</v>
      </c>
      <c r="AE12" s="772">
        <v>71.163421638706254</v>
      </c>
      <c r="AF12" s="772">
        <v>75.275019644697778</v>
      </c>
      <c r="AG12" s="772">
        <v>79.386617650689288</v>
      </c>
      <c r="AH12" s="772">
        <v>83.498215656680799</v>
      </c>
      <c r="AI12" s="772">
        <v>87.609813662672323</v>
      </c>
      <c r="AJ12" s="772">
        <v>91.721411668663848</v>
      </c>
      <c r="AK12" s="772">
        <v>95.833009674655372</v>
      </c>
      <c r="AL12" s="772">
        <v>99.944607680646897</v>
      </c>
      <c r="AM12" s="772">
        <v>104.05620568663842</v>
      </c>
      <c r="AN12" s="772">
        <v>108.16780369262995</v>
      </c>
      <c r="AO12" s="772">
        <v>112.27940169862147</v>
      </c>
      <c r="AP12" s="772">
        <v>116.39099970461299</v>
      </c>
      <c r="AQ12" s="772">
        <v>120.50259771060452</v>
      </c>
      <c r="AR12" s="772">
        <v>124.61419571659604</v>
      </c>
      <c r="AS12" s="772">
        <v>128.72579372258755</v>
      </c>
      <c r="AT12" s="772">
        <v>132.83739172857909</v>
      </c>
      <c r="AU12" s="772">
        <v>136.9489897345706</v>
      </c>
      <c r="AV12" s="772">
        <v>141.06058774056214</v>
      </c>
      <c r="AW12" s="772">
        <v>145.17218574655365</v>
      </c>
      <c r="AX12" s="772">
        <v>149.28378375254519</v>
      </c>
      <c r="AY12" s="773">
        <v>153.39538175853659</v>
      </c>
    </row>
    <row r="13" spans="1:51">
      <c r="A13" s="1728"/>
      <c r="B13" s="671">
        <v>1</v>
      </c>
      <c r="C13" s="955">
        <f>(AB13*KFC!$B$22+KFC!$C$22)*KFC!$C$5</f>
        <v>59.226573713414645</v>
      </c>
      <c r="D13" s="955">
        <f>(AC13*KFC!$B$22+KFC!$C$22)*KFC!$C$5</f>
        <v>63.394961361664912</v>
      </c>
      <c r="E13" s="955">
        <f>(AD13*KFC!$B$22+KFC!$C$22)*KFC!$C$5</f>
        <v>67.563349009915186</v>
      </c>
      <c r="F13" s="955">
        <f>(AE13*KFC!$B$22+KFC!$C$22)*KFC!$C$5</f>
        <v>71.731736658165445</v>
      </c>
      <c r="G13" s="955">
        <f>(AF13*KFC!$B$22+KFC!$C$22)*KFC!$C$5</f>
        <v>75.900124306415719</v>
      </c>
      <c r="H13" s="955">
        <f>(AG13*KFC!$B$22+KFC!$C$22)*KFC!$C$5</f>
        <v>80.068511954665993</v>
      </c>
      <c r="I13" s="955">
        <f>(AH13*KFC!$B$22+KFC!$C$22)*KFC!$C$5</f>
        <v>84.236899602916253</v>
      </c>
      <c r="J13" s="955">
        <f>(AI13*KFC!$B$22+KFC!$C$22)*KFC!$C$5</f>
        <v>88.405287251166513</v>
      </c>
      <c r="K13" s="955">
        <f>(AJ13*KFC!$B$22+KFC!$C$22)*KFC!$C$5</f>
        <v>92.573674899416787</v>
      </c>
      <c r="L13" s="955">
        <f>(AK13*KFC!$B$22+KFC!$C$22)*KFC!$C$5</f>
        <v>96.742062547667061</v>
      </c>
      <c r="M13" s="955">
        <f>(AL13*KFC!$B$22+KFC!$C$22)*KFC!$C$5</f>
        <v>100.91045019591732</v>
      </c>
      <c r="N13" s="955">
        <f>(AM13*KFC!$B$22+KFC!$C$22)*KFC!$C$5</f>
        <v>105.07883784416759</v>
      </c>
      <c r="O13" s="955">
        <f>(AN13*KFC!$B$22+KFC!$C$22)*KFC!$C$5</f>
        <v>109.24722549241785</v>
      </c>
      <c r="P13" s="955">
        <f>(AO13*KFC!$B$22+KFC!$C$22)*KFC!$C$5</f>
        <v>113.41561314066813</v>
      </c>
      <c r="Q13" s="955">
        <f>(AP13*KFC!$B$22+KFC!$C$22)*KFC!$C$5</f>
        <v>117.5840007889184</v>
      </c>
      <c r="R13" s="955">
        <f>(AQ13*KFC!$B$22+KFC!$C$22)*KFC!$C$5</f>
        <v>121.75238843716866</v>
      </c>
      <c r="S13" s="955">
        <f>(AR13*KFC!$B$22+KFC!$C$22)*KFC!$C$5</f>
        <v>125.92077608541894</v>
      </c>
      <c r="T13" s="955">
        <f>(AS13*KFC!$B$22+KFC!$C$22)*KFC!$C$5</f>
        <v>130.08916373366921</v>
      </c>
      <c r="U13" s="955">
        <f>(AT13*KFC!$B$22+KFC!$C$22)*KFC!$C$5</f>
        <v>134.25755138191948</v>
      </c>
      <c r="V13" s="955">
        <f>(AU13*KFC!$B$22+KFC!$C$22)*KFC!$C$5</f>
        <v>138.42593903016973</v>
      </c>
      <c r="W13" s="955">
        <f>(AV13*KFC!$B$22+KFC!$C$22)*KFC!$C$5</f>
        <v>142.59432667842</v>
      </c>
      <c r="X13" s="955">
        <f>(AW13*KFC!$B$22+KFC!$C$22)*KFC!$C$5</f>
        <v>146.76271432667028</v>
      </c>
      <c r="Y13" s="955">
        <f>(AX13*KFC!$B$22+KFC!$C$22)*KFC!$C$5</f>
        <v>150.93110197492055</v>
      </c>
      <c r="Z13" s="955">
        <f>(AY13*KFC!$B$22+KFC!$C$22)*KFC!$C$5</f>
        <v>155.09948962317074</v>
      </c>
      <c r="AB13" s="771">
        <v>59.226573713414645</v>
      </c>
      <c r="AC13" s="772">
        <v>63.394961361664912</v>
      </c>
      <c r="AD13" s="772">
        <v>67.563349009915186</v>
      </c>
      <c r="AE13" s="772">
        <v>71.731736658165445</v>
      </c>
      <c r="AF13" s="772">
        <v>75.900124306415719</v>
      </c>
      <c r="AG13" s="772">
        <v>80.068511954665993</v>
      </c>
      <c r="AH13" s="772">
        <v>84.236899602916253</v>
      </c>
      <c r="AI13" s="772">
        <v>88.405287251166513</v>
      </c>
      <c r="AJ13" s="772">
        <v>92.573674899416787</v>
      </c>
      <c r="AK13" s="772">
        <v>96.742062547667061</v>
      </c>
      <c r="AL13" s="772">
        <v>100.91045019591732</v>
      </c>
      <c r="AM13" s="772">
        <v>105.07883784416759</v>
      </c>
      <c r="AN13" s="772">
        <v>109.24722549241785</v>
      </c>
      <c r="AO13" s="772">
        <v>113.41561314066813</v>
      </c>
      <c r="AP13" s="772">
        <v>117.5840007889184</v>
      </c>
      <c r="AQ13" s="772">
        <v>121.75238843716866</v>
      </c>
      <c r="AR13" s="772">
        <v>125.92077608541894</v>
      </c>
      <c r="AS13" s="772">
        <v>130.08916373366921</v>
      </c>
      <c r="AT13" s="772">
        <v>134.25755138191948</v>
      </c>
      <c r="AU13" s="772">
        <v>138.42593903016973</v>
      </c>
      <c r="AV13" s="772">
        <v>142.59432667842</v>
      </c>
      <c r="AW13" s="772">
        <v>146.76271432667028</v>
      </c>
      <c r="AX13" s="772">
        <v>150.93110197492055</v>
      </c>
      <c r="AY13" s="773">
        <v>155.09948962317074</v>
      </c>
    </row>
    <row r="14" spans="1:51">
      <c r="A14" s="1728"/>
      <c r="B14" s="671">
        <v>1.1000000000000001</v>
      </c>
      <c r="C14" s="955">
        <f>(AB14*KFC!$B$22+KFC!$C$22)*KFC!$C$5</f>
        <v>59.624519806097574</v>
      </c>
      <c r="D14" s="955">
        <f>(AC14*KFC!$B$22+KFC!$C$22)*KFC!$C$5</f>
        <v>63.84969709660659</v>
      </c>
      <c r="E14" s="955">
        <f>(AD14*KFC!$B$22+KFC!$C$22)*KFC!$C$5</f>
        <v>68.074874387115599</v>
      </c>
      <c r="F14" s="955">
        <f>(AE14*KFC!$B$22+KFC!$C$22)*KFC!$C$5</f>
        <v>72.300051677624623</v>
      </c>
      <c r="G14" s="955">
        <f>(AF14*KFC!$B$22+KFC!$C$22)*KFC!$C$5</f>
        <v>76.525228968133632</v>
      </c>
      <c r="H14" s="955">
        <f>(AG14*KFC!$B$22+KFC!$C$22)*KFC!$C$5</f>
        <v>80.750406258642641</v>
      </c>
      <c r="I14" s="955">
        <f>(AH14*KFC!$B$22+KFC!$C$22)*KFC!$C$5</f>
        <v>84.975583549151651</v>
      </c>
      <c r="J14" s="955">
        <f>(AI14*KFC!$B$22+KFC!$C$22)*KFC!$C$5</f>
        <v>89.200760839660674</v>
      </c>
      <c r="K14" s="955">
        <f>(AJ14*KFC!$B$22+KFC!$C$22)*KFC!$C$5</f>
        <v>93.425938130169683</v>
      </c>
      <c r="L14" s="955">
        <f>(AK14*KFC!$B$22+KFC!$C$22)*KFC!$C$5</f>
        <v>97.651115420678693</v>
      </c>
      <c r="M14" s="955">
        <f>(AL14*KFC!$B$22+KFC!$C$22)*KFC!$C$5</f>
        <v>101.87629271118772</v>
      </c>
      <c r="N14" s="955">
        <f>(AM14*KFC!$B$22+KFC!$C$22)*KFC!$C$5</f>
        <v>106.10147000169673</v>
      </c>
      <c r="O14" s="955">
        <f>(AN14*KFC!$B$22+KFC!$C$22)*KFC!$C$5</f>
        <v>110.32664729220573</v>
      </c>
      <c r="P14" s="955">
        <f>(AO14*KFC!$B$22+KFC!$C$22)*KFC!$C$5</f>
        <v>114.55182458271476</v>
      </c>
      <c r="Q14" s="955">
        <f>(AP14*KFC!$B$22+KFC!$C$22)*KFC!$C$5</f>
        <v>118.77700187322377</v>
      </c>
      <c r="R14" s="955">
        <f>(AQ14*KFC!$B$22+KFC!$C$22)*KFC!$C$5</f>
        <v>123.00217916373278</v>
      </c>
      <c r="S14" s="955">
        <f>(AR14*KFC!$B$22+KFC!$C$22)*KFC!$C$5</f>
        <v>127.2273564542418</v>
      </c>
      <c r="T14" s="955">
        <f>(AS14*KFC!$B$22+KFC!$C$22)*KFC!$C$5</f>
        <v>131.45253374475081</v>
      </c>
      <c r="U14" s="955">
        <f>(AT14*KFC!$B$22+KFC!$C$22)*KFC!$C$5</f>
        <v>135.67771103525982</v>
      </c>
      <c r="V14" s="955">
        <f>(AU14*KFC!$B$22+KFC!$C$22)*KFC!$C$5</f>
        <v>139.90288832576883</v>
      </c>
      <c r="W14" s="955">
        <f>(AV14*KFC!$B$22+KFC!$C$22)*KFC!$C$5</f>
        <v>144.12806561627784</v>
      </c>
      <c r="X14" s="955">
        <f>(AW14*KFC!$B$22+KFC!$C$22)*KFC!$C$5</f>
        <v>148.35324290678687</v>
      </c>
      <c r="Y14" s="955">
        <f>(AX14*KFC!$B$22+KFC!$C$22)*KFC!$C$5</f>
        <v>152.57842019729588</v>
      </c>
      <c r="Z14" s="955">
        <f>(AY14*KFC!$B$22+KFC!$C$22)*KFC!$C$5</f>
        <v>156.80359748780489</v>
      </c>
      <c r="AB14" s="771">
        <v>59.624519806097574</v>
      </c>
      <c r="AC14" s="772">
        <v>63.84969709660659</v>
      </c>
      <c r="AD14" s="772">
        <v>68.074874387115599</v>
      </c>
      <c r="AE14" s="772">
        <v>72.300051677624623</v>
      </c>
      <c r="AF14" s="772">
        <v>76.525228968133632</v>
      </c>
      <c r="AG14" s="772">
        <v>80.750406258642641</v>
      </c>
      <c r="AH14" s="772">
        <v>84.975583549151651</v>
      </c>
      <c r="AI14" s="772">
        <v>89.200760839660674</v>
      </c>
      <c r="AJ14" s="772">
        <v>93.425938130169683</v>
      </c>
      <c r="AK14" s="772">
        <v>97.651115420678693</v>
      </c>
      <c r="AL14" s="772">
        <v>101.87629271118772</v>
      </c>
      <c r="AM14" s="772">
        <v>106.10147000169673</v>
      </c>
      <c r="AN14" s="772">
        <v>110.32664729220573</v>
      </c>
      <c r="AO14" s="772">
        <v>114.55182458271476</v>
      </c>
      <c r="AP14" s="772">
        <v>118.77700187322377</v>
      </c>
      <c r="AQ14" s="772">
        <v>123.00217916373278</v>
      </c>
      <c r="AR14" s="772">
        <v>127.2273564542418</v>
      </c>
      <c r="AS14" s="772">
        <v>131.45253374475081</v>
      </c>
      <c r="AT14" s="772">
        <v>135.67771103525982</v>
      </c>
      <c r="AU14" s="772">
        <v>139.90288832576883</v>
      </c>
      <c r="AV14" s="772">
        <v>144.12806561627784</v>
      </c>
      <c r="AW14" s="772">
        <v>148.35324290678687</v>
      </c>
      <c r="AX14" s="772">
        <v>152.57842019729588</v>
      </c>
      <c r="AY14" s="773">
        <v>156.80359748780489</v>
      </c>
    </row>
    <row r="15" spans="1:51">
      <c r="A15" s="1728"/>
      <c r="B15" s="671">
        <v>1.2</v>
      </c>
      <c r="C15" s="955">
        <f>(AB15*KFC!$B$22+KFC!$C$22)*KFC!$C$5</f>
        <v>60.022465898780503</v>
      </c>
      <c r="D15" s="955">
        <f>(AC15*KFC!$B$22+KFC!$C$22)*KFC!$C$5</f>
        <v>64.304432831548269</v>
      </c>
      <c r="E15" s="955">
        <f>(AD15*KFC!$B$22+KFC!$C$22)*KFC!$C$5</f>
        <v>68.586399764316027</v>
      </c>
      <c r="F15" s="955">
        <f>(AE15*KFC!$B$22+KFC!$C$22)*KFC!$C$5</f>
        <v>72.868366697083786</v>
      </c>
      <c r="G15" s="955">
        <f>(AF15*KFC!$B$22+KFC!$C$22)*KFC!$C$5</f>
        <v>77.150333629851545</v>
      </c>
      <c r="H15" s="955">
        <f>(AG15*KFC!$B$22+KFC!$C$22)*KFC!$C$5</f>
        <v>81.432300562619304</v>
      </c>
      <c r="I15" s="955">
        <f>(AH15*KFC!$B$22+KFC!$C$22)*KFC!$C$5</f>
        <v>85.714267495387062</v>
      </c>
      <c r="J15" s="955">
        <f>(AI15*KFC!$B$22+KFC!$C$22)*KFC!$C$5</f>
        <v>89.996234428154821</v>
      </c>
      <c r="K15" s="955">
        <f>(AJ15*KFC!$B$22+KFC!$C$22)*KFC!$C$5</f>
        <v>94.27820136092258</v>
      </c>
      <c r="L15" s="955">
        <f>(AK15*KFC!$B$22+KFC!$C$22)*KFC!$C$5</f>
        <v>98.560168293690339</v>
      </c>
      <c r="M15" s="955">
        <f>(AL15*KFC!$B$22+KFC!$C$22)*KFC!$C$5</f>
        <v>102.8421352264581</v>
      </c>
      <c r="N15" s="955">
        <f>(AM15*KFC!$B$22+KFC!$C$22)*KFC!$C$5</f>
        <v>107.12410215922586</v>
      </c>
      <c r="O15" s="955">
        <f>(AN15*KFC!$B$22+KFC!$C$22)*KFC!$C$5</f>
        <v>111.40606909199361</v>
      </c>
      <c r="P15" s="955">
        <f>(AO15*KFC!$B$22+KFC!$C$22)*KFC!$C$5</f>
        <v>115.68803602476137</v>
      </c>
      <c r="Q15" s="955">
        <f>(AP15*KFC!$B$22+KFC!$C$22)*KFC!$C$5</f>
        <v>119.97000295752913</v>
      </c>
      <c r="R15" s="955">
        <f>(AQ15*KFC!$B$22+KFC!$C$22)*KFC!$C$5</f>
        <v>124.25196989029689</v>
      </c>
      <c r="S15" s="955">
        <f>(AR15*KFC!$B$22+KFC!$C$22)*KFC!$C$5</f>
        <v>128.53393682306466</v>
      </c>
      <c r="T15" s="955">
        <f>(AS15*KFC!$B$22+KFC!$C$22)*KFC!$C$5</f>
        <v>132.81590375583241</v>
      </c>
      <c r="U15" s="955">
        <f>(AT15*KFC!$B$22+KFC!$C$22)*KFC!$C$5</f>
        <v>137.09787068860018</v>
      </c>
      <c r="V15" s="955">
        <f>(AU15*KFC!$B$22+KFC!$C$22)*KFC!$C$5</f>
        <v>141.37983762136793</v>
      </c>
      <c r="W15" s="955">
        <f>(AV15*KFC!$B$22+KFC!$C$22)*KFC!$C$5</f>
        <v>145.6618045541357</v>
      </c>
      <c r="X15" s="955">
        <f>(AW15*KFC!$B$22+KFC!$C$22)*KFC!$C$5</f>
        <v>149.94377148690344</v>
      </c>
      <c r="Y15" s="955">
        <f>(AX15*KFC!$B$22+KFC!$C$22)*KFC!$C$5</f>
        <v>154.22573841967122</v>
      </c>
      <c r="Z15" s="955">
        <f>(AY15*KFC!$B$22+KFC!$C$22)*KFC!$C$5</f>
        <v>158.50770535243905</v>
      </c>
      <c r="AB15" s="771">
        <v>60.022465898780503</v>
      </c>
      <c r="AC15" s="772">
        <v>64.304432831548269</v>
      </c>
      <c r="AD15" s="772">
        <v>68.586399764316027</v>
      </c>
      <c r="AE15" s="772">
        <v>72.868366697083786</v>
      </c>
      <c r="AF15" s="772">
        <v>77.150333629851545</v>
      </c>
      <c r="AG15" s="772">
        <v>81.432300562619304</v>
      </c>
      <c r="AH15" s="772">
        <v>85.714267495387062</v>
      </c>
      <c r="AI15" s="772">
        <v>89.996234428154821</v>
      </c>
      <c r="AJ15" s="772">
        <v>94.27820136092258</v>
      </c>
      <c r="AK15" s="772">
        <v>98.560168293690339</v>
      </c>
      <c r="AL15" s="772">
        <v>102.8421352264581</v>
      </c>
      <c r="AM15" s="772">
        <v>107.12410215922586</v>
      </c>
      <c r="AN15" s="772">
        <v>111.40606909199361</v>
      </c>
      <c r="AO15" s="772">
        <v>115.68803602476137</v>
      </c>
      <c r="AP15" s="772">
        <v>119.97000295752913</v>
      </c>
      <c r="AQ15" s="772">
        <v>124.25196989029689</v>
      </c>
      <c r="AR15" s="772">
        <v>128.53393682306466</v>
      </c>
      <c r="AS15" s="772">
        <v>132.81590375583241</v>
      </c>
      <c r="AT15" s="772">
        <v>137.09787068860018</v>
      </c>
      <c r="AU15" s="772">
        <v>141.37983762136793</v>
      </c>
      <c r="AV15" s="772">
        <v>145.6618045541357</v>
      </c>
      <c r="AW15" s="772">
        <v>149.94377148690344</v>
      </c>
      <c r="AX15" s="772">
        <v>154.22573841967122</v>
      </c>
      <c r="AY15" s="773">
        <v>158.50770535243905</v>
      </c>
    </row>
    <row r="16" spans="1:51">
      <c r="A16" s="1728"/>
      <c r="B16" s="671">
        <v>1.3</v>
      </c>
      <c r="C16" s="955">
        <f>(AB16*KFC!$B$22+KFC!$C$22)*KFC!$C$5</f>
        <v>60.420411991463432</v>
      </c>
      <c r="D16" s="955">
        <f>(AC16*KFC!$B$22+KFC!$C$22)*KFC!$C$5</f>
        <v>64.759168566489947</v>
      </c>
      <c r="E16" s="955">
        <f>(AD16*KFC!$B$22+KFC!$C$22)*KFC!$C$5</f>
        <v>69.097925141516455</v>
      </c>
      <c r="F16" s="955">
        <f>(AE16*KFC!$B$22+KFC!$C$22)*KFC!$C$5</f>
        <v>73.436681716542978</v>
      </c>
      <c r="G16" s="955">
        <f>(AF16*KFC!$B$22+KFC!$C$22)*KFC!$C$5</f>
        <v>77.775438291569486</v>
      </c>
      <c r="H16" s="955">
        <f>(AG16*KFC!$B$22+KFC!$C$22)*KFC!$C$5</f>
        <v>82.114194866595994</v>
      </c>
      <c r="I16" s="955">
        <f>(AH16*KFC!$B$22+KFC!$C$22)*KFC!$C$5</f>
        <v>86.452951441622517</v>
      </c>
      <c r="J16" s="955">
        <f>(AI16*KFC!$B$22+KFC!$C$22)*KFC!$C$5</f>
        <v>90.791708016649011</v>
      </c>
      <c r="K16" s="955">
        <f>(AJ16*KFC!$B$22+KFC!$C$22)*KFC!$C$5</f>
        <v>95.130464591675519</v>
      </c>
      <c r="L16" s="955">
        <f>(AK16*KFC!$B$22+KFC!$C$22)*KFC!$C$5</f>
        <v>99.469221166702027</v>
      </c>
      <c r="M16" s="955">
        <f>(AL16*KFC!$B$22+KFC!$C$22)*KFC!$C$5</f>
        <v>103.80797774172852</v>
      </c>
      <c r="N16" s="955">
        <f>(AM16*KFC!$B$22+KFC!$C$22)*KFC!$C$5</f>
        <v>108.14673431675503</v>
      </c>
      <c r="O16" s="955">
        <f>(AN16*KFC!$B$22+KFC!$C$22)*KFC!$C$5</f>
        <v>112.48549089178154</v>
      </c>
      <c r="P16" s="955">
        <f>(AO16*KFC!$B$22+KFC!$C$22)*KFC!$C$5</f>
        <v>116.82424746680803</v>
      </c>
      <c r="Q16" s="955">
        <f>(AP16*KFC!$B$22+KFC!$C$22)*KFC!$C$5</f>
        <v>121.16300404183454</v>
      </c>
      <c r="R16" s="955">
        <f>(AQ16*KFC!$B$22+KFC!$C$22)*KFC!$C$5</f>
        <v>125.50176061686105</v>
      </c>
      <c r="S16" s="955">
        <f>(AR16*KFC!$B$22+KFC!$C$22)*KFC!$C$5</f>
        <v>129.84051719188756</v>
      </c>
      <c r="T16" s="955">
        <f>(AS16*KFC!$B$22+KFC!$C$22)*KFC!$C$5</f>
        <v>134.17927376691406</v>
      </c>
      <c r="U16" s="955">
        <f>(AT16*KFC!$B$22+KFC!$C$22)*KFC!$C$5</f>
        <v>138.51803034194054</v>
      </c>
      <c r="V16" s="955">
        <f>(AU16*KFC!$B$22+KFC!$C$22)*KFC!$C$5</f>
        <v>142.85678691696705</v>
      </c>
      <c r="W16" s="955">
        <f>(AV16*KFC!$B$22+KFC!$C$22)*KFC!$C$5</f>
        <v>147.19554349199356</v>
      </c>
      <c r="X16" s="955">
        <f>(AW16*KFC!$B$22+KFC!$C$22)*KFC!$C$5</f>
        <v>151.53430006702007</v>
      </c>
      <c r="Y16" s="955">
        <f>(AX16*KFC!$B$22+KFC!$C$22)*KFC!$C$5</f>
        <v>155.87305664204658</v>
      </c>
      <c r="Z16" s="955">
        <f>(AY16*KFC!$B$22+KFC!$C$22)*KFC!$C$5</f>
        <v>160.2118132170732</v>
      </c>
      <c r="AB16" s="771">
        <v>60.420411991463432</v>
      </c>
      <c r="AC16" s="772">
        <v>64.759168566489947</v>
      </c>
      <c r="AD16" s="772">
        <v>69.097925141516455</v>
      </c>
      <c r="AE16" s="772">
        <v>73.436681716542978</v>
      </c>
      <c r="AF16" s="772">
        <v>77.775438291569486</v>
      </c>
      <c r="AG16" s="772">
        <v>82.114194866595994</v>
      </c>
      <c r="AH16" s="772">
        <v>86.452951441622517</v>
      </c>
      <c r="AI16" s="772">
        <v>90.791708016649011</v>
      </c>
      <c r="AJ16" s="772">
        <v>95.130464591675519</v>
      </c>
      <c r="AK16" s="772">
        <v>99.469221166702027</v>
      </c>
      <c r="AL16" s="772">
        <v>103.80797774172852</v>
      </c>
      <c r="AM16" s="772">
        <v>108.14673431675503</v>
      </c>
      <c r="AN16" s="772">
        <v>112.48549089178154</v>
      </c>
      <c r="AO16" s="772">
        <v>116.82424746680803</v>
      </c>
      <c r="AP16" s="772">
        <v>121.16300404183454</v>
      </c>
      <c r="AQ16" s="772">
        <v>125.50176061686105</v>
      </c>
      <c r="AR16" s="772">
        <v>129.84051719188756</v>
      </c>
      <c r="AS16" s="772">
        <v>134.17927376691406</v>
      </c>
      <c r="AT16" s="772">
        <v>138.51803034194054</v>
      </c>
      <c r="AU16" s="772">
        <v>142.85678691696705</v>
      </c>
      <c r="AV16" s="772">
        <v>147.19554349199356</v>
      </c>
      <c r="AW16" s="772">
        <v>151.53430006702007</v>
      </c>
      <c r="AX16" s="772">
        <v>155.87305664204658</v>
      </c>
      <c r="AY16" s="773">
        <v>160.2118132170732</v>
      </c>
    </row>
    <row r="17" spans="1:51">
      <c r="A17" s="1728"/>
      <c r="B17" s="671">
        <v>1.4</v>
      </c>
      <c r="C17" s="955">
        <f>(AB17*KFC!$B$22+KFC!$C$22)*KFC!$C$5</f>
        <v>60.818358084146361</v>
      </c>
      <c r="D17" s="955">
        <f>(AC17*KFC!$B$22+KFC!$C$22)*KFC!$C$5</f>
        <v>65.213904301431626</v>
      </c>
      <c r="E17" s="955">
        <f>(AD17*KFC!$B$22+KFC!$C$22)*KFC!$C$5</f>
        <v>69.609450518716883</v>
      </c>
      <c r="F17" s="955">
        <f>(AE17*KFC!$B$22+KFC!$C$22)*KFC!$C$5</f>
        <v>74.004996736002141</v>
      </c>
      <c r="G17" s="955">
        <f>(AF17*KFC!$B$22+KFC!$C$22)*KFC!$C$5</f>
        <v>78.400542953287399</v>
      </c>
      <c r="H17" s="955">
        <f>(AG17*KFC!$B$22+KFC!$C$22)*KFC!$C$5</f>
        <v>82.796089170572657</v>
      </c>
      <c r="I17" s="955">
        <f>(AH17*KFC!$B$22+KFC!$C$22)*KFC!$C$5</f>
        <v>87.191635387857914</v>
      </c>
      <c r="J17" s="955">
        <f>(AI17*KFC!$B$22+KFC!$C$22)*KFC!$C$5</f>
        <v>91.587181605143186</v>
      </c>
      <c r="K17" s="955">
        <f>(AJ17*KFC!$B$22+KFC!$C$22)*KFC!$C$5</f>
        <v>95.982727822428458</v>
      </c>
      <c r="L17" s="955">
        <f>(AK17*KFC!$B$22+KFC!$C$22)*KFC!$C$5</f>
        <v>100.37827403971373</v>
      </c>
      <c r="M17" s="955">
        <f>(AL17*KFC!$B$22+KFC!$C$22)*KFC!$C$5</f>
        <v>104.77382025699899</v>
      </c>
      <c r="N17" s="955">
        <f>(AM17*KFC!$B$22+KFC!$C$22)*KFC!$C$5</f>
        <v>109.16936647428426</v>
      </c>
      <c r="O17" s="955">
        <f>(AN17*KFC!$B$22+KFC!$C$22)*KFC!$C$5</f>
        <v>113.56491269156953</v>
      </c>
      <c r="P17" s="955">
        <f>(AO17*KFC!$B$22+KFC!$C$22)*KFC!$C$5</f>
        <v>117.96045890885479</v>
      </c>
      <c r="Q17" s="955">
        <f>(AP17*KFC!$B$22+KFC!$C$22)*KFC!$C$5</f>
        <v>122.35600512614006</v>
      </c>
      <c r="R17" s="955">
        <f>(AQ17*KFC!$B$22+KFC!$C$22)*KFC!$C$5</f>
        <v>126.75155134342533</v>
      </c>
      <c r="S17" s="955">
        <f>(AR17*KFC!$B$22+KFC!$C$22)*KFC!$C$5</f>
        <v>131.14709756071059</v>
      </c>
      <c r="T17" s="955">
        <f>(AS17*KFC!$B$22+KFC!$C$22)*KFC!$C$5</f>
        <v>135.54264377799586</v>
      </c>
      <c r="U17" s="955">
        <f>(AT17*KFC!$B$22+KFC!$C$22)*KFC!$C$5</f>
        <v>139.93818999528114</v>
      </c>
      <c r="V17" s="955">
        <f>(AU17*KFC!$B$22+KFC!$C$22)*KFC!$C$5</f>
        <v>144.33373621256641</v>
      </c>
      <c r="W17" s="955">
        <f>(AV17*KFC!$B$22+KFC!$C$22)*KFC!$C$5</f>
        <v>148.72928242985168</v>
      </c>
      <c r="X17" s="955">
        <f>(AW17*KFC!$B$22+KFC!$C$22)*KFC!$C$5</f>
        <v>153.12482864713692</v>
      </c>
      <c r="Y17" s="955">
        <f>(AX17*KFC!$B$22+KFC!$C$22)*KFC!$C$5</f>
        <v>157.52037486442219</v>
      </c>
      <c r="Z17" s="955">
        <f>(AY17*KFC!$B$22+KFC!$C$22)*KFC!$C$5</f>
        <v>161.91592108170732</v>
      </c>
      <c r="AB17" s="771">
        <v>60.818358084146361</v>
      </c>
      <c r="AC17" s="772">
        <v>65.213904301431626</v>
      </c>
      <c r="AD17" s="772">
        <v>69.609450518716883</v>
      </c>
      <c r="AE17" s="772">
        <v>74.004996736002141</v>
      </c>
      <c r="AF17" s="772">
        <v>78.400542953287399</v>
      </c>
      <c r="AG17" s="772">
        <v>82.796089170572657</v>
      </c>
      <c r="AH17" s="772">
        <v>87.191635387857914</v>
      </c>
      <c r="AI17" s="772">
        <v>91.587181605143186</v>
      </c>
      <c r="AJ17" s="772">
        <v>95.982727822428458</v>
      </c>
      <c r="AK17" s="772">
        <v>100.37827403971373</v>
      </c>
      <c r="AL17" s="772">
        <v>104.77382025699899</v>
      </c>
      <c r="AM17" s="772">
        <v>109.16936647428426</v>
      </c>
      <c r="AN17" s="772">
        <v>113.56491269156953</v>
      </c>
      <c r="AO17" s="772">
        <v>117.96045890885479</v>
      </c>
      <c r="AP17" s="772">
        <v>122.35600512614006</v>
      </c>
      <c r="AQ17" s="772">
        <v>126.75155134342533</v>
      </c>
      <c r="AR17" s="772">
        <v>131.14709756071059</v>
      </c>
      <c r="AS17" s="772">
        <v>135.54264377799586</v>
      </c>
      <c r="AT17" s="772">
        <v>139.93818999528114</v>
      </c>
      <c r="AU17" s="772">
        <v>144.33373621256641</v>
      </c>
      <c r="AV17" s="772">
        <v>148.72928242985168</v>
      </c>
      <c r="AW17" s="772">
        <v>153.12482864713692</v>
      </c>
      <c r="AX17" s="772">
        <v>157.52037486442219</v>
      </c>
      <c r="AY17" s="773">
        <v>161.91592108170732</v>
      </c>
    </row>
    <row r="18" spans="1:51">
      <c r="A18" s="1728"/>
      <c r="B18" s="671">
        <v>1.5</v>
      </c>
      <c r="C18" s="955">
        <f>(AB18*KFC!$B$22+KFC!$C$22)*KFC!$C$5</f>
        <v>61.21630417682929</v>
      </c>
      <c r="D18" s="955">
        <f>(AC18*KFC!$B$22+KFC!$C$22)*KFC!$C$5</f>
        <v>65.668640036373304</v>
      </c>
      <c r="E18" s="955">
        <f>(AD18*KFC!$B$22+KFC!$C$22)*KFC!$C$5</f>
        <v>70.120975895917312</v>
      </c>
      <c r="F18" s="955">
        <f>(AE18*KFC!$B$22+KFC!$C$22)*KFC!$C$5</f>
        <v>74.573311755461333</v>
      </c>
      <c r="G18" s="955">
        <f>(AF18*KFC!$B$22+KFC!$C$22)*KFC!$C$5</f>
        <v>79.02564761500534</v>
      </c>
      <c r="H18" s="955">
        <f>(AG18*KFC!$B$22+KFC!$C$22)*KFC!$C$5</f>
        <v>83.477983474549362</v>
      </c>
      <c r="I18" s="955">
        <f>(AH18*KFC!$B$22+KFC!$C$22)*KFC!$C$5</f>
        <v>87.930319334093369</v>
      </c>
      <c r="J18" s="955">
        <f>(AI18*KFC!$B$22+KFC!$C$22)*KFC!$C$5</f>
        <v>92.382655193637376</v>
      </c>
      <c r="K18" s="955">
        <f>(AJ18*KFC!$B$22+KFC!$C$22)*KFC!$C$5</f>
        <v>96.834991053181398</v>
      </c>
      <c r="L18" s="955">
        <f>(AK18*KFC!$B$22+KFC!$C$22)*KFC!$C$5</f>
        <v>101.2873269127254</v>
      </c>
      <c r="M18" s="955">
        <f>(AL18*KFC!$B$22+KFC!$C$22)*KFC!$C$5</f>
        <v>105.73966277226941</v>
      </c>
      <c r="N18" s="955">
        <f>(AM18*KFC!$B$22+KFC!$C$22)*KFC!$C$5</f>
        <v>110.19199863181343</v>
      </c>
      <c r="O18" s="955">
        <f>(AN18*KFC!$B$22+KFC!$C$22)*KFC!$C$5</f>
        <v>114.64433449135744</v>
      </c>
      <c r="P18" s="955">
        <f>(AO18*KFC!$B$22+KFC!$C$22)*KFC!$C$5</f>
        <v>119.09667035090145</v>
      </c>
      <c r="Q18" s="955">
        <f>(AP18*KFC!$B$22+KFC!$C$22)*KFC!$C$5</f>
        <v>123.54900621044547</v>
      </c>
      <c r="R18" s="955">
        <f>(AQ18*KFC!$B$22+KFC!$C$22)*KFC!$C$5</f>
        <v>128.00134206998948</v>
      </c>
      <c r="S18" s="955">
        <f>(AR18*KFC!$B$22+KFC!$C$22)*KFC!$C$5</f>
        <v>132.45367792953348</v>
      </c>
      <c r="T18" s="955">
        <f>(AS18*KFC!$B$22+KFC!$C$22)*KFC!$C$5</f>
        <v>136.90601378907749</v>
      </c>
      <c r="U18" s="955">
        <f>(AT18*KFC!$B$22+KFC!$C$22)*KFC!$C$5</f>
        <v>141.35834964862153</v>
      </c>
      <c r="V18" s="955">
        <f>(AU18*KFC!$B$22+KFC!$C$22)*KFC!$C$5</f>
        <v>145.81068550816553</v>
      </c>
      <c r="W18" s="955">
        <f>(AV18*KFC!$B$22+KFC!$C$22)*KFC!$C$5</f>
        <v>150.26302136770954</v>
      </c>
      <c r="X18" s="955">
        <f>(AW18*KFC!$B$22+KFC!$C$22)*KFC!$C$5</f>
        <v>154.71535722725355</v>
      </c>
      <c r="Y18" s="955">
        <f>(AX18*KFC!$B$22+KFC!$C$22)*KFC!$C$5</f>
        <v>159.16769308679756</v>
      </c>
      <c r="Z18" s="955">
        <f>(AY18*KFC!$B$22+KFC!$C$22)*KFC!$C$5</f>
        <v>163.62002894634148</v>
      </c>
      <c r="AB18" s="771">
        <v>61.21630417682929</v>
      </c>
      <c r="AC18" s="772">
        <v>65.668640036373304</v>
      </c>
      <c r="AD18" s="772">
        <v>70.120975895917312</v>
      </c>
      <c r="AE18" s="772">
        <v>74.573311755461333</v>
      </c>
      <c r="AF18" s="772">
        <v>79.02564761500534</v>
      </c>
      <c r="AG18" s="772">
        <v>83.477983474549362</v>
      </c>
      <c r="AH18" s="772">
        <v>87.930319334093369</v>
      </c>
      <c r="AI18" s="772">
        <v>92.382655193637376</v>
      </c>
      <c r="AJ18" s="772">
        <v>96.834991053181398</v>
      </c>
      <c r="AK18" s="772">
        <v>101.2873269127254</v>
      </c>
      <c r="AL18" s="772">
        <v>105.73966277226941</v>
      </c>
      <c r="AM18" s="772">
        <v>110.19199863181343</v>
      </c>
      <c r="AN18" s="772">
        <v>114.64433449135744</v>
      </c>
      <c r="AO18" s="772">
        <v>119.09667035090145</v>
      </c>
      <c r="AP18" s="772">
        <v>123.54900621044547</v>
      </c>
      <c r="AQ18" s="772">
        <v>128.00134206998948</v>
      </c>
      <c r="AR18" s="772">
        <v>132.45367792953348</v>
      </c>
      <c r="AS18" s="772">
        <v>136.90601378907749</v>
      </c>
      <c r="AT18" s="772">
        <v>141.35834964862153</v>
      </c>
      <c r="AU18" s="772">
        <v>145.81068550816553</v>
      </c>
      <c r="AV18" s="772">
        <v>150.26302136770954</v>
      </c>
      <c r="AW18" s="772">
        <v>154.71535722725355</v>
      </c>
      <c r="AX18" s="772">
        <v>159.16769308679756</v>
      </c>
      <c r="AY18" s="773">
        <v>163.62002894634148</v>
      </c>
    </row>
    <row r="19" spans="1:51">
      <c r="A19" s="1728"/>
      <c r="B19" s="671">
        <v>1.6</v>
      </c>
      <c r="C19" s="955">
        <f>(AB19*KFC!$B$22+KFC!$C$22)*KFC!$C$5</f>
        <v>61.614250269512219</v>
      </c>
      <c r="D19" s="955">
        <f>(AC19*KFC!$B$22+KFC!$C$22)*KFC!$C$5</f>
        <v>66.123375771314983</v>
      </c>
      <c r="E19" s="955">
        <f>(AD19*KFC!$B$22+KFC!$C$22)*KFC!$C$5</f>
        <v>70.63250127311774</v>
      </c>
      <c r="F19" s="955">
        <f>(AE19*KFC!$B$22+KFC!$C$22)*KFC!$C$5</f>
        <v>75.141626774920496</v>
      </c>
      <c r="G19" s="955">
        <f>(AF19*KFC!$B$22+KFC!$C$22)*KFC!$C$5</f>
        <v>79.650752276723253</v>
      </c>
      <c r="H19" s="955">
        <f>(AG19*KFC!$B$22+KFC!$C$22)*KFC!$C$5</f>
        <v>84.15987777852601</v>
      </c>
      <c r="I19" s="955">
        <f>(AH19*KFC!$B$22+KFC!$C$22)*KFC!$C$5</f>
        <v>88.669003280328752</v>
      </c>
      <c r="J19" s="955">
        <f>(AI19*KFC!$B$22+KFC!$C$22)*KFC!$C$5</f>
        <v>93.178128782131509</v>
      </c>
      <c r="K19" s="955">
        <f>(AJ19*KFC!$B$22+KFC!$C$22)*KFC!$C$5</f>
        <v>97.687254283934266</v>
      </c>
      <c r="L19" s="955">
        <f>(AK19*KFC!$B$22+KFC!$C$22)*KFC!$C$5</f>
        <v>102.19637978573704</v>
      </c>
      <c r="M19" s="955">
        <f>(AL19*KFC!$B$22+KFC!$C$22)*KFC!$C$5</f>
        <v>106.70550528753979</v>
      </c>
      <c r="N19" s="955">
        <f>(AM19*KFC!$B$22+KFC!$C$22)*KFC!$C$5</f>
        <v>111.21463078934255</v>
      </c>
      <c r="O19" s="955">
        <f>(AN19*KFC!$B$22+KFC!$C$22)*KFC!$C$5</f>
        <v>115.72375629114531</v>
      </c>
      <c r="P19" s="955">
        <f>(AO19*KFC!$B$22+KFC!$C$22)*KFC!$C$5</f>
        <v>120.23288179294806</v>
      </c>
      <c r="Q19" s="955">
        <f>(AP19*KFC!$B$22+KFC!$C$22)*KFC!$C$5</f>
        <v>124.74200729475082</v>
      </c>
      <c r="R19" s="955">
        <f>(AQ19*KFC!$B$22+KFC!$C$22)*KFC!$C$5</f>
        <v>129.25113279655358</v>
      </c>
      <c r="S19" s="955">
        <f>(AR19*KFC!$B$22+KFC!$C$22)*KFC!$C$5</f>
        <v>133.76025829835632</v>
      </c>
      <c r="T19" s="955">
        <f>(AS19*KFC!$B$22+KFC!$C$22)*KFC!$C$5</f>
        <v>138.26938380015909</v>
      </c>
      <c r="U19" s="955">
        <f>(AT19*KFC!$B$22+KFC!$C$22)*KFC!$C$5</f>
        <v>142.77850930196183</v>
      </c>
      <c r="V19" s="955">
        <f>(AU19*KFC!$B$22+KFC!$C$22)*KFC!$C$5</f>
        <v>147.2876348037646</v>
      </c>
      <c r="W19" s="955">
        <f>(AV19*KFC!$B$22+KFC!$C$22)*KFC!$C$5</f>
        <v>151.79676030556737</v>
      </c>
      <c r="X19" s="955">
        <f>(AW19*KFC!$B$22+KFC!$C$22)*KFC!$C$5</f>
        <v>156.30588580737012</v>
      </c>
      <c r="Y19" s="955">
        <f>(AX19*KFC!$B$22+KFC!$C$22)*KFC!$C$5</f>
        <v>160.81501130917289</v>
      </c>
      <c r="Z19" s="955">
        <f>(AY19*KFC!$B$22+KFC!$C$22)*KFC!$C$5</f>
        <v>165.32413681097563</v>
      </c>
      <c r="AB19" s="771">
        <v>61.614250269512219</v>
      </c>
      <c r="AC19" s="772">
        <v>66.123375771314983</v>
      </c>
      <c r="AD19" s="772">
        <v>70.63250127311774</v>
      </c>
      <c r="AE19" s="772">
        <v>75.141626774920496</v>
      </c>
      <c r="AF19" s="772">
        <v>79.650752276723253</v>
      </c>
      <c r="AG19" s="772">
        <v>84.15987777852601</v>
      </c>
      <c r="AH19" s="772">
        <v>88.669003280328752</v>
      </c>
      <c r="AI19" s="772">
        <v>93.178128782131509</v>
      </c>
      <c r="AJ19" s="772">
        <v>97.687254283934266</v>
      </c>
      <c r="AK19" s="772">
        <v>102.19637978573704</v>
      </c>
      <c r="AL19" s="772">
        <v>106.70550528753979</v>
      </c>
      <c r="AM19" s="772">
        <v>111.21463078934255</v>
      </c>
      <c r="AN19" s="772">
        <v>115.72375629114531</v>
      </c>
      <c r="AO19" s="772">
        <v>120.23288179294806</v>
      </c>
      <c r="AP19" s="772">
        <v>124.74200729475082</v>
      </c>
      <c r="AQ19" s="772">
        <v>129.25113279655358</v>
      </c>
      <c r="AR19" s="772">
        <v>133.76025829835632</v>
      </c>
      <c r="AS19" s="772">
        <v>138.26938380015909</v>
      </c>
      <c r="AT19" s="772">
        <v>142.77850930196183</v>
      </c>
      <c r="AU19" s="772">
        <v>147.2876348037646</v>
      </c>
      <c r="AV19" s="772">
        <v>151.79676030556737</v>
      </c>
      <c r="AW19" s="772">
        <v>156.30588580737012</v>
      </c>
      <c r="AX19" s="772">
        <v>160.81501130917289</v>
      </c>
      <c r="AY19" s="773">
        <v>165.32413681097563</v>
      </c>
    </row>
    <row r="20" spans="1:51">
      <c r="A20" s="1728"/>
      <c r="B20" s="671">
        <v>1.7</v>
      </c>
      <c r="C20" s="955">
        <f>(AB20*KFC!$B$22+KFC!$C$22)*KFC!$C$5</f>
        <v>62.012196362195155</v>
      </c>
      <c r="D20" s="955">
        <f>(AC20*KFC!$B$22+KFC!$C$22)*KFC!$C$5</f>
        <v>66.578111506256647</v>
      </c>
      <c r="E20" s="955">
        <f>(AD20*KFC!$B$22+KFC!$C$22)*KFC!$C$5</f>
        <v>71.144026650318153</v>
      </c>
      <c r="F20" s="955">
        <f>(AE20*KFC!$B$22+KFC!$C$22)*KFC!$C$5</f>
        <v>75.70994179437966</v>
      </c>
      <c r="G20" s="955">
        <f>(AF20*KFC!$B$22+KFC!$C$22)*KFC!$C$5</f>
        <v>80.275856938441166</v>
      </c>
      <c r="H20" s="955">
        <f>(AG20*KFC!$B$22+KFC!$C$22)*KFC!$C$5</f>
        <v>84.841772082502658</v>
      </c>
      <c r="I20" s="955">
        <f>(AH20*KFC!$B$22+KFC!$C$22)*KFC!$C$5</f>
        <v>89.407687226564164</v>
      </c>
      <c r="J20" s="955">
        <f>(AI20*KFC!$B$22+KFC!$C$22)*KFC!$C$5</f>
        <v>93.97360237062567</v>
      </c>
      <c r="K20" s="955">
        <f>(AJ20*KFC!$B$22+KFC!$C$22)*KFC!$C$5</f>
        <v>98.539517514687176</v>
      </c>
      <c r="L20" s="955">
        <f>(AK20*KFC!$B$22+KFC!$C$22)*KFC!$C$5</f>
        <v>103.10543265874867</v>
      </c>
      <c r="M20" s="955">
        <f>(AL20*KFC!$B$22+KFC!$C$22)*KFC!$C$5</f>
        <v>107.67134780281017</v>
      </c>
      <c r="N20" s="955">
        <f>(AM20*KFC!$B$22+KFC!$C$22)*KFC!$C$5</f>
        <v>112.23726294687168</v>
      </c>
      <c r="O20" s="955">
        <f>(AN20*KFC!$B$22+KFC!$C$22)*KFC!$C$5</f>
        <v>116.80317809093319</v>
      </c>
      <c r="P20" s="955">
        <f>(AO20*KFC!$B$22+KFC!$C$22)*KFC!$C$5</f>
        <v>121.36909323499468</v>
      </c>
      <c r="Q20" s="955">
        <f>(AP20*KFC!$B$22+KFC!$C$22)*KFC!$C$5</f>
        <v>125.93500837905619</v>
      </c>
      <c r="R20" s="955">
        <f>(AQ20*KFC!$B$22+KFC!$C$22)*KFC!$C$5</f>
        <v>130.50092352311768</v>
      </c>
      <c r="S20" s="955">
        <f>(AR20*KFC!$B$22+KFC!$C$22)*KFC!$C$5</f>
        <v>135.06683866717918</v>
      </c>
      <c r="T20" s="955">
        <f>(AS20*KFC!$B$22+KFC!$C$22)*KFC!$C$5</f>
        <v>139.63275381124069</v>
      </c>
      <c r="U20" s="955">
        <f>(AT20*KFC!$B$22+KFC!$C$22)*KFC!$C$5</f>
        <v>144.1986689553022</v>
      </c>
      <c r="V20" s="955">
        <f>(AU20*KFC!$B$22+KFC!$C$22)*KFC!$C$5</f>
        <v>148.7645840993637</v>
      </c>
      <c r="W20" s="955">
        <f>(AV20*KFC!$B$22+KFC!$C$22)*KFC!$C$5</f>
        <v>153.33049924342521</v>
      </c>
      <c r="X20" s="955">
        <f>(AW20*KFC!$B$22+KFC!$C$22)*KFC!$C$5</f>
        <v>157.89641438748671</v>
      </c>
      <c r="Y20" s="955">
        <f>(AX20*KFC!$B$22+KFC!$C$22)*KFC!$C$5</f>
        <v>162.46232953154819</v>
      </c>
      <c r="Z20" s="955">
        <f>(AY20*KFC!$B$22+KFC!$C$22)*KFC!$C$5</f>
        <v>167.02824467560978</v>
      </c>
      <c r="AB20" s="771">
        <v>62.012196362195155</v>
      </c>
      <c r="AC20" s="772">
        <v>66.578111506256647</v>
      </c>
      <c r="AD20" s="772">
        <v>71.144026650318153</v>
      </c>
      <c r="AE20" s="772">
        <v>75.70994179437966</v>
      </c>
      <c r="AF20" s="772">
        <v>80.275856938441166</v>
      </c>
      <c r="AG20" s="772">
        <v>84.841772082502658</v>
      </c>
      <c r="AH20" s="772">
        <v>89.407687226564164</v>
      </c>
      <c r="AI20" s="772">
        <v>93.97360237062567</v>
      </c>
      <c r="AJ20" s="772">
        <v>98.539517514687176</v>
      </c>
      <c r="AK20" s="772">
        <v>103.10543265874867</v>
      </c>
      <c r="AL20" s="772">
        <v>107.67134780281017</v>
      </c>
      <c r="AM20" s="772">
        <v>112.23726294687168</v>
      </c>
      <c r="AN20" s="772">
        <v>116.80317809093319</v>
      </c>
      <c r="AO20" s="772">
        <v>121.36909323499468</v>
      </c>
      <c r="AP20" s="772">
        <v>125.93500837905619</v>
      </c>
      <c r="AQ20" s="772">
        <v>130.50092352311768</v>
      </c>
      <c r="AR20" s="772">
        <v>135.06683866717918</v>
      </c>
      <c r="AS20" s="772">
        <v>139.63275381124069</v>
      </c>
      <c r="AT20" s="772">
        <v>144.1986689553022</v>
      </c>
      <c r="AU20" s="772">
        <v>148.7645840993637</v>
      </c>
      <c r="AV20" s="772">
        <v>153.33049924342521</v>
      </c>
      <c r="AW20" s="772">
        <v>157.89641438748671</v>
      </c>
      <c r="AX20" s="772">
        <v>162.46232953154819</v>
      </c>
      <c r="AY20" s="773">
        <v>167.02824467560978</v>
      </c>
    </row>
    <row r="21" spans="1:51">
      <c r="A21" s="1728"/>
      <c r="B21" s="671">
        <v>1.8</v>
      </c>
      <c r="C21" s="955">
        <f>(AB21*KFC!$B$22+KFC!$C$22)*KFC!$C$5</f>
        <v>62.410142454878084</v>
      </c>
      <c r="D21" s="955">
        <f>(AC21*KFC!$B$22+KFC!$C$22)*KFC!$C$5</f>
        <v>67.03284724119834</v>
      </c>
      <c r="E21" s="955">
        <f>(AD21*KFC!$B$22+KFC!$C$22)*KFC!$C$5</f>
        <v>71.655552027518596</v>
      </c>
      <c r="F21" s="955">
        <f>(AE21*KFC!$B$22+KFC!$C$22)*KFC!$C$5</f>
        <v>76.278256813838851</v>
      </c>
      <c r="G21" s="955">
        <f>(AF21*KFC!$B$22+KFC!$C$22)*KFC!$C$5</f>
        <v>80.900961600159107</v>
      </c>
      <c r="H21" s="955">
        <f>(AG21*KFC!$B$22+KFC!$C$22)*KFC!$C$5</f>
        <v>85.523666386479363</v>
      </c>
      <c r="I21" s="955">
        <f>(AH21*KFC!$B$22+KFC!$C$22)*KFC!$C$5</f>
        <v>90.146371172799618</v>
      </c>
      <c r="J21" s="955">
        <f>(AI21*KFC!$B$22+KFC!$C$22)*KFC!$C$5</f>
        <v>94.76907595911986</v>
      </c>
      <c r="K21" s="955">
        <f>(AJ21*KFC!$B$22+KFC!$C$22)*KFC!$C$5</f>
        <v>99.391780745440101</v>
      </c>
      <c r="L21" s="955">
        <f>(AK21*KFC!$B$22+KFC!$C$22)*KFC!$C$5</f>
        <v>104.01448553176036</v>
      </c>
      <c r="M21" s="955">
        <f>(AL21*KFC!$B$22+KFC!$C$22)*KFC!$C$5</f>
        <v>108.6371903180806</v>
      </c>
      <c r="N21" s="955">
        <f>(AM21*KFC!$B$22+KFC!$C$22)*KFC!$C$5</f>
        <v>113.25989510440085</v>
      </c>
      <c r="O21" s="955">
        <f>(AN21*KFC!$B$22+KFC!$C$22)*KFC!$C$5</f>
        <v>117.8825998907211</v>
      </c>
      <c r="P21" s="955">
        <f>(AO21*KFC!$B$22+KFC!$C$22)*KFC!$C$5</f>
        <v>122.50530467704134</v>
      </c>
      <c r="Q21" s="955">
        <f>(AP21*KFC!$B$22+KFC!$C$22)*KFC!$C$5</f>
        <v>127.12800946336159</v>
      </c>
      <c r="R21" s="955">
        <f>(AQ21*KFC!$B$22+KFC!$C$22)*KFC!$C$5</f>
        <v>131.75071424968183</v>
      </c>
      <c r="S21" s="955">
        <f>(AR21*KFC!$B$22+KFC!$C$22)*KFC!$C$5</f>
        <v>136.37341903600208</v>
      </c>
      <c r="T21" s="955">
        <f>(AS21*KFC!$B$22+KFC!$C$22)*KFC!$C$5</f>
        <v>140.99612382232235</v>
      </c>
      <c r="U21" s="955">
        <f>(AT21*KFC!$B$22+KFC!$C$22)*KFC!$C$5</f>
        <v>145.61882860864259</v>
      </c>
      <c r="V21" s="955">
        <f>(AU21*KFC!$B$22+KFC!$C$22)*KFC!$C$5</f>
        <v>150.24153339496283</v>
      </c>
      <c r="W21" s="955">
        <f>(AV21*KFC!$B$22+KFC!$C$22)*KFC!$C$5</f>
        <v>154.86423818128307</v>
      </c>
      <c r="X21" s="955">
        <f>(AW21*KFC!$B$22+KFC!$C$22)*KFC!$C$5</f>
        <v>159.48694296760331</v>
      </c>
      <c r="Y21" s="955">
        <f>(AX21*KFC!$B$22+KFC!$C$22)*KFC!$C$5</f>
        <v>164.10964775392358</v>
      </c>
      <c r="Z21" s="955">
        <f>(AY21*KFC!$B$22+KFC!$C$22)*KFC!$C$5</f>
        <v>168.73235254024391</v>
      </c>
      <c r="AB21" s="771">
        <v>62.410142454878084</v>
      </c>
      <c r="AC21" s="772">
        <v>67.03284724119834</v>
      </c>
      <c r="AD21" s="772">
        <v>71.655552027518596</v>
      </c>
      <c r="AE21" s="772">
        <v>76.278256813838851</v>
      </c>
      <c r="AF21" s="772">
        <v>80.900961600159107</v>
      </c>
      <c r="AG21" s="772">
        <v>85.523666386479363</v>
      </c>
      <c r="AH21" s="772">
        <v>90.146371172799618</v>
      </c>
      <c r="AI21" s="772">
        <v>94.76907595911986</v>
      </c>
      <c r="AJ21" s="772">
        <v>99.391780745440101</v>
      </c>
      <c r="AK21" s="772">
        <v>104.01448553176036</v>
      </c>
      <c r="AL21" s="772">
        <v>108.6371903180806</v>
      </c>
      <c r="AM21" s="772">
        <v>113.25989510440085</v>
      </c>
      <c r="AN21" s="772">
        <v>117.8825998907211</v>
      </c>
      <c r="AO21" s="772">
        <v>122.50530467704134</v>
      </c>
      <c r="AP21" s="772">
        <v>127.12800946336159</v>
      </c>
      <c r="AQ21" s="772">
        <v>131.75071424968183</v>
      </c>
      <c r="AR21" s="772">
        <v>136.37341903600208</v>
      </c>
      <c r="AS21" s="772">
        <v>140.99612382232235</v>
      </c>
      <c r="AT21" s="772">
        <v>145.61882860864259</v>
      </c>
      <c r="AU21" s="772">
        <v>150.24153339496283</v>
      </c>
      <c r="AV21" s="772">
        <v>154.86423818128307</v>
      </c>
      <c r="AW21" s="772">
        <v>159.48694296760331</v>
      </c>
      <c r="AX21" s="772">
        <v>164.10964775392358</v>
      </c>
      <c r="AY21" s="773">
        <v>168.73235254024391</v>
      </c>
    </row>
    <row r="22" spans="1:51">
      <c r="A22" s="1728"/>
      <c r="B22" s="671">
        <v>1.9</v>
      </c>
      <c r="C22" s="955">
        <f>(AB22*KFC!$B$22+KFC!$C$22)*KFC!$C$5</f>
        <v>62.808088547561013</v>
      </c>
      <c r="D22" s="955">
        <f>(AC22*KFC!$B$22+KFC!$C$22)*KFC!$C$5</f>
        <v>67.487582976140018</v>
      </c>
      <c r="E22" s="955">
        <f>(AD22*KFC!$B$22+KFC!$C$22)*KFC!$C$5</f>
        <v>72.167077404719009</v>
      </c>
      <c r="F22" s="955">
        <f>(AE22*KFC!$B$22+KFC!$C$22)*KFC!$C$5</f>
        <v>76.846571833298015</v>
      </c>
      <c r="G22" s="955">
        <f>(AF22*KFC!$B$22+KFC!$C$22)*KFC!$C$5</f>
        <v>81.52606626187702</v>
      </c>
      <c r="H22" s="955">
        <f>(AG22*KFC!$B$22+KFC!$C$22)*KFC!$C$5</f>
        <v>86.205560690456011</v>
      </c>
      <c r="I22" s="955">
        <f>(AH22*KFC!$B$22+KFC!$C$22)*KFC!$C$5</f>
        <v>90.885055119035002</v>
      </c>
      <c r="J22" s="955">
        <f>(AI22*KFC!$B$22+KFC!$C$22)*KFC!$C$5</f>
        <v>95.564549547613993</v>
      </c>
      <c r="K22" s="955">
        <f>(AJ22*KFC!$B$22+KFC!$C$22)*KFC!$C$5</f>
        <v>100.24404397619298</v>
      </c>
      <c r="L22" s="955">
        <f>(AK22*KFC!$B$22+KFC!$C$22)*KFC!$C$5</f>
        <v>104.92353840477197</v>
      </c>
      <c r="M22" s="955">
        <f>(AL22*KFC!$B$22+KFC!$C$22)*KFC!$C$5</f>
        <v>109.60303283335097</v>
      </c>
      <c r="N22" s="955">
        <f>(AM22*KFC!$B$22+KFC!$C$22)*KFC!$C$5</f>
        <v>114.28252726192997</v>
      </c>
      <c r="O22" s="955">
        <f>(AN22*KFC!$B$22+KFC!$C$22)*KFC!$C$5</f>
        <v>118.96202169050896</v>
      </c>
      <c r="P22" s="955">
        <f>(AO22*KFC!$B$22+KFC!$C$22)*KFC!$C$5</f>
        <v>123.64151611908795</v>
      </c>
      <c r="Q22" s="955">
        <f>(AP22*KFC!$B$22+KFC!$C$22)*KFC!$C$5</f>
        <v>128.32101054766693</v>
      </c>
      <c r="R22" s="955">
        <f>(AQ22*KFC!$B$22+KFC!$C$22)*KFC!$C$5</f>
        <v>133.00050497624594</v>
      </c>
      <c r="S22" s="955">
        <f>(AR22*KFC!$B$22+KFC!$C$22)*KFC!$C$5</f>
        <v>137.67999940482494</v>
      </c>
      <c r="T22" s="955">
        <f>(AS22*KFC!$B$22+KFC!$C$22)*KFC!$C$5</f>
        <v>142.35949383340392</v>
      </c>
      <c r="U22" s="955">
        <f>(AT22*KFC!$B$22+KFC!$C$22)*KFC!$C$5</f>
        <v>147.03898826198292</v>
      </c>
      <c r="V22" s="955">
        <f>(AU22*KFC!$B$22+KFC!$C$22)*KFC!$C$5</f>
        <v>151.7184826905619</v>
      </c>
      <c r="W22" s="955">
        <f>(AV22*KFC!$B$22+KFC!$C$22)*KFC!$C$5</f>
        <v>156.3979771191409</v>
      </c>
      <c r="X22" s="955">
        <f>(AW22*KFC!$B$22+KFC!$C$22)*KFC!$C$5</f>
        <v>161.07747154771988</v>
      </c>
      <c r="Y22" s="955">
        <f>(AX22*KFC!$B$22+KFC!$C$22)*KFC!$C$5</f>
        <v>165.75696597629889</v>
      </c>
      <c r="Z22" s="955">
        <f>(AY22*KFC!$B$22+KFC!$C$22)*KFC!$C$5</f>
        <v>170.43646040487803</v>
      </c>
      <c r="AB22" s="771">
        <v>62.808088547561013</v>
      </c>
      <c r="AC22" s="772">
        <v>67.487582976140018</v>
      </c>
      <c r="AD22" s="772">
        <v>72.167077404719009</v>
      </c>
      <c r="AE22" s="772">
        <v>76.846571833298015</v>
      </c>
      <c r="AF22" s="772">
        <v>81.52606626187702</v>
      </c>
      <c r="AG22" s="772">
        <v>86.205560690456011</v>
      </c>
      <c r="AH22" s="772">
        <v>90.885055119035002</v>
      </c>
      <c r="AI22" s="772">
        <v>95.564549547613993</v>
      </c>
      <c r="AJ22" s="772">
        <v>100.24404397619298</v>
      </c>
      <c r="AK22" s="772">
        <v>104.92353840477197</v>
      </c>
      <c r="AL22" s="772">
        <v>109.60303283335097</v>
      </c>
      <c r="AM22" s="772">
        <v>114.28252726192997</v>
      </c>
      <c r="AN22" s="772">
        <v>118.96202169050896</v>
      </c>
      <c r="AO22" s="772">
        <v>123.64151611908795</v>
      </c>
      <c r="AP22" s="772">
        <v>128.32101054766693</v>
      </c>
      <c r="AQ22" s="772">
        <v>133.00050497624594</v>
      </c>
      <c r="AR22" s="772">
        <v>137.67999940482494</v>
      </c>
      <c r="AS22" s="772">
        <v>142.35949383340392</v>
      </c>
      <c r="AT22" s="772">
        <v>147.03898826198292</v>
      </c>
      <c r="AU22" s="772">
        <v>151.7184826905619</v>
      </c>
      <c r="AV22" s="772">
        <v>156.3979771191409</v>
      </c>
      <c r="AW22" s="772">
        <v>161.07747154771988</v>
      </c>
      <c r="AX22" s="772">
        <v>165.75696597629889</v>
      </c>
      <c r="AY22" s="773">
        <v>170.43646040487803</v>
      </c>
    </row>
    <row r="23" spans="1:51">
      <c r="A23" s="1728"/>
      <c r="B23" s="671">
        <v>2</v>
      </c>
      <c r="C23" s="955">
        <f>(AB23*KFC!$B$22+KFC!$C$22)*KFC!$C$5</f>
        <v>63.206034640243942</v>
      </c>
      <c r="D23" s="955">
        <f>(AC23*KFC!$B$22+KFC!$C$22)*KFC!$C$5</f>
        <v>67.942318711081683</v>
      </c>
      <c r="E23" s="955">
        <f>(AD23*KFC!$B$22+KFC!$C$22)*KFC!$C$5</f>
        <v>72.678602781919437</v>
      </c>
      <c r="F23" s="955">
        <f>(AE23*KFC!$B$22+KFC!$C$22)*KFC!$C$5</f>
        <v>77.414886852757178</v>
      </c>
      <c r="G23" s="955">
        <f>(AF23*KFC!$B$22+KFC!$C$22)*KFC!$C$5</f>
        <v>82.151170923594933</v>
      </c>
      <c r="H23" s="955">
        <f>(AG23*KFC!$B$22+KFC!$C$22)*KFC!$C$5</f>
        <v>86.887454994432673</v>
      </c>
      <c r="I23" s="955">
        <f>(AH23*KFC!$B$22+KFC!$C$22)*KFC!$C$5</f>
        <v>91.623739065270428</v>
      </c>
      <c r="J23" s="955">
        <f>(AI23*KFC!$B$22+KFC!$C$22)*KFC!$C$5</f>
        <v>96.360023136108182</v>
      </c>
      <c r="K23" s="955">
        <f>(AJ23*KFC!$B$22+KFC!$C$22)*KFC!$C$5</f>
        <v>101.09630720694594</v>
      </c>
      <c r="L23" s="955">
        <f>(AK23*KFC!$B$22+KFC!$C$22)*KFC!$C$5</f>
        <v>105.83259127778369</v>
      </c>
      <c r="M23" s="955">
        <f>(AL23*KFC!$B$22+KFC!$C$22)*KFC!$C$5</f>
        <v>110.56887534862146</v>
      </c>
      <c r="N23" s="955">
        <f>(AM23*KFC!$B$22+KFC!$C$22)*KFC!$C$5</f>
        <v>115.30515941945922</v>
      </c>
      <c r="O23" s="955">
        <f>(AN23*KFC!$B$22+KFC!$C$22)*KFC!$C$5</f>
        <v>120.04144349029697</v>
      </c>
      <c r="P23" s="955">
        <f>(AO23*KFC!$B$22+KFC!$C$22)*KFC!$C$5</f>
        <v>124.77772756113472</v>
      </c>
      <c r="Q23" s="955">
        <f>(AP23*KFC!$B$22+KFC!$C$22)*KFC!$C$5</f>
        <v>129.51401163197247</v>
      </c>
      <c r="R23" s="955">
        <f>(AQ23*KFC!$B$22+KFC!$C$22)*KFC!$C$5</f>
        <v>134.25029570281023</v>
      </c>
      <c r="S23" s="955">
        <f>(AR23*KFC!$B$22+KFC!$C$22)*KFC!$C$5</f>
        <v>138.986579773648</v>
      </c>
      <c r="T23" s="955">
        <f>(AS23*KFC!$B$22+KFC!$C$22)*KFC!$C$5</f>
        <v>143.72286384448574</v>
      </c>
      <c r="U23" s="955">
        <f>(AT23*KFC!$B$22+KFC!$C$22)*KFC!$C$5</f>
        <v>148.45914791532351</v>
      </c>
      <c r="V23" s="955">
        <f>(AU23*KFC!$B$22+KFC!$C$22)*KFC!$C$5</f>
        <v>153.19543198616125</v>
      </c>
      <c r="W23" s="955">
        <f>(AV23*KFC!$B$22+KFC!$C$22)*KFC!$C$5</f>
        <v>157.93171605699902</v>
      </c>
      <c r="X23" s="955">
        <f>(AW23*KFC!$B$22+KFC!$C$22)*KFC!$C$5</f>
        <v>162.66800012783676</v>
      </c>
      <c r="Y23" s="955">
        <f>(AX23*KFC!$B$22+KFC!$C$22)*KFC!$C$5</f>
        <v>167.40428419867453</v>
      </c>
      <c r="Z23" s="955">
        <f>(AY23*KFC!$B$22+KFC!$C$22)*KFC!$C$5</f>
        <v>172.14056826951216</v>
      </c>
      <c r="AB23" s="771">
        <v>63.206034640243942</v>
      </c>
      <c r="AC23" s="772">
        <v>67.942318711081683</v>
      </c>
      <c r="AD23" s="772">
        <v>72.678602781919437</v>
      </c>
      <c r="AE23" s="772">
        <v>77.414886852757178</v>
      </c>
      <c r="AF23" s="772">
        <v>82.151170923594933</v>
      </c>
      <c r="AG23" s="772">
        <v>86.887454994432673</v>
      </c>
      <c r="AH23" s="772">
        <v>91.623739065270428</v>
      </c>
      <c r="AI23" s="772">
        <v>96.360023136108182</v>
      </c>
      <c r="AJ23" s="772">
        <v>101.09630720694594</v>
      </c>
      <c r="AK23" s="772">
        <v>105.83259127778369</v>
      </c>
      <c r="AL23" s="772">
        <v>110.56887534862146</v>
      </c>
      <c r="AM23" s="772">
        <v>115.30515941945922</v>
      </c>
      <c r="AN23" s="772">
        <v>120.04144349029697</v>
      </c>
      <c r="AO23" s="772">
        <v>124.77772756113472</v>
      </c>
      <c r="AP23" s="772">
        <v>129.51401163197247</v>
      </c>
      <c r="AQ23" s="772">
        <v>134.25029570281023</v>
      </c>
      <c r="AR23" s="772">
        <v>138.986579773648</v>
      </c>
      <c r="AS23" s="772">
        <v>143.72286384448574</v>
      </c>
      <c r="AT23" s="772">
        <v>148.45914791532351</v>
      </c>
      <c r="AU23" s="772">
        <v>153.19543198616125</v>
      </c>
      <c r="AV23" s="772">
        <v>157.93171605699902</v>
      </c>
      <c r="AW23" s="772">
        <v>162.66800012783676</v>
      </c>
      <c r="AX23" s="772">
        <v>167.40428419867453</v>
      </c>
      <c r="AY23" s="773">
        <v>172.14056826951216</v>
      </c>
    </row>
    <row r="24" spans="1:51">
      <c r="A24" s="1728"/>
      <c r="B24" s="671">
        <v>2.1</v>
      </c>
      <c r="C24" s="955">
        <f>(AB24*KFC!$B$22+KFC!$C$22)*KFC!$C$5</f>
        <v>63.603980732926871</v>
      </c>
      <c r="D24" s="955">
        <f>(AC24*KFC!$B$22+KFC!$C$22)*KFC!$C$5</f>
        <v>68.397054446023375</v>
      </c>
      <c r="E24" s="955">
        <f>(AD24*KFC!$B$22+KFC!$C$22)*KFC!$C$5</f>
        <v>73.190128159119865</v>
      </c>
      <c r="F24" s="955">
        <f>(AE24*KFC!$B$22+KFC!$C$22)*KFC!$C$5</f>
        <v>77.98320187221637</v>
      </c>
      <c r="G24" s="955">
        <f>(AF24*KFC!$B$22+KFC!$C$22)*KFC!$C$5</f>
        <v>82.776275585312874</v>
      </c>
      <c r="H24" s="955">
        <f>(AG24*KFC!$B$22+KFC!$C$22)*KFC!$C$5</f>
        <v>87.569349298409378</v>
      </c>
      <c r="I24" s="955">
        <f>(AH24*KFC!$B$22+KFC!$C$22)*KFC!$C$5</f>
        <v>92.362423011505882</v>
      </c>
      <c r="J24" s="955">
        <f>(AI24*KFC!$B$22+KFC!$C$22)*KFC!$C$5</f>
        <v>97.155496724602372</v>
      </c>
      <c r="K24" s="955">
        <f>(AJ24*KFC!$B$22+KFC!$C$22)*KFC!$C$5</f>
        <v>101.94857043769888</v>
      </c>
      <c r="L24" s="955">
        <f>(AK24*KFC!$B$22+KFC!$C$22)*KFC!$C$5</f>
        <v>106.74164415079538</v>
      </c>
      <c r="M24" s="955">
        <f>(AL24*KFC!$B$22+KFC!$C$22)*KFC!$C$5</f>
        <v>111.53471786389188</v>
      </c>
      <c r="N24" s="955">
        <f>(AM24*KFC!$B$22+KFC!$C$22)*KFC!$C$5</f>
        <v>116.32779157698837</v>
      </c>
      <c r="O24" s="955">
        <f>(AN24*KFC!$B$22+KFC!$C$22)*KFC!$C$5</f>
        <v>121.12086529008488</v>
      </c>
      <c r="P24" s="955">
        <f>(AO24*KFC!$B$22+KFC!$C$22)*KFC!$C$5</f>
        <v>125.91393900318138</v>
      </c>
      <c r="Q24" s="955">
        <f>(AP24*KFC!$B$22+KFC!$C$22)*KFC!$C$5</f>
        <v>130.70701271627789</v>
      </c>
      <c r="R24" s="955">
        <f>(AQ24*KFC!$B$22+KFC!$C$22)*KFC!$C$5</f>
        <v>135.50008642937439</v>
      </c>
      <c r="S24" s="955">
        <f>(AR24*KFC!$B$22+KFC!$C$22)*KFC!$C$5</f>
        <v>140.2931601424709</v>
      </c>
      <c r="T24" s="955">
        <f>(AS24*KFC!$B$22+KFC!$C$22)*KFC!$C$5</f>
        <v>145.0862338555674</v>
      </c>
      <c r="U24" s="955">
        <f>(AT24*KFC!$B$22+KFC!$C$22)*KFC!$C$5</f>
        <v>149.87930756866388</v>
      </c>
      <c r="V24" s="955">
        <f>(AU24*KFC!$B$22+KFC!$C$22)*KFC!$C$5</f>
        <v>154.67238128176038</v>
      </c>
      <c r="W24" s="955">
        <f>(AV24*KFC!$B$22+KFC!$C$22)*KFC!$C$5</f>
        <v>159.46545499485688</v>
      </c>
      <c r="X24" s="955">
        <f>(AW24*KFC!$B$22+KFC!$C$22)*KFC!$C$5</f>
        <v>164.25852870795339</v>
      </c>
      <c r="Y24" s="955">
        <f>(AX24*KFC!$B$22+KFC!$C$22)*KFC!$C$5</f>
        <v>169.05160242104989</v>
      </c>
      <c r="Z24" s="955">
        <f>(AY24*KFC!$B$22+KFC!$C$22)*KFC!$C$5</f>
        <v>173.84467613414631</v>
      </c>
      <c r="AB24" s="771">
        <v>63.603980732926871</v>
      </c>
      <c r="AC24" s="772">
        <v>68.397054446023375</v>
      </c>
      <c r="AD24" s="772">
        <v>73.190128159119865</v>
      </c>
      <c r="AE24" s="772">
        <v>77.98320187221637</v>
      </c>
      <c r="AF24" s="772">
        <v>82.776275585312874</v>
      </c>
      <c r="AG24" s="772">
        <v>87.569349298409378</v>
      </c>
      <c r="AH24" s="772">
        <v>92.362423011505882</v>
      </c>
      <c r="AI24" s="772">
        <v>97.155496724602372</v>
      </c>
      <c r="AJ24" s="772">
        <v>101.94857043769888</v>
      </c>
      <c r="AK24" s="772">
        <v>106.74164415079538</v>
      </c>
      <c r="AL24" s="772">
        <v>111.53471786389188</v>
      </c>
      <c r="AM24" s="772">
        <v>116.32779157698837</v>
      </c>
      <c r="AN24" s="772">
        <v>121.12086529008488</v>
      </c>
      <c r="AO24" s="772">
        <v>125.91393900318138</v>
      </c>
      <c r="AP24" s="772">
        <v>130.70701271627789</v>
      </c>
      <c r="AQ24" s="772">
        <v>135.50008642937439</v>
      </c>
      <c r="AR24" s="772">
        <v>140.2931601424709</v>
      </c>
      <c r="AS24" s="772">
        <v>145.0862338555674</v>
      </c>
      <c r="AT24" s="772">
        <v>149.87930756866388</v>
      </c>
      <c r="AU24" s="772">
        <v>154.67238128176038</v>
      </c>
      <c r="AV24" s="772">
        <v>159.46545499485688</v>
      </c>
      <c r="AW24" s="772">
        <v>164.25852870795339</v>
      </c>
      <c r="AX24" s="772">
        <v>169.05160242104989</v>
      </c>
      <c r="AY24" s="773">
        <v>173.84467613414631</v>
      </c>
    </row>
    <row r="25" spans="1:51">
      <c r="A25" s="1728"/>
      <c r="B25" s="671">
        <v>2.2000000000000002</v>
      </c>
      <c r="C25" s="955">
        <f>(AB25*KFC!$B$22+KFC!$C$22)*KFC!$C$5</f>
        <v>64.0019268256098</v>
      </c>
      <c r="D25" s="955">
        <f>(AC25*KFC!$B$22+KFC!$C$22)*KFC!$C$5</f>
        <v>68.85179018096504</v>
      </c>
      <c r="E25" s="955">
        <f>(AD25*KFC!$B$22+KFC!$C$22)*KFC!$C$5</f>
        <v>73.701653536320293</v>
      </c>
      <c r="F25" s="955">
        <f>(AE25*KFC!$B$22+KFC!$C$22)*KFC!$C$5</f>
        <v>78.551516891675533</v>
      </c>
      <c r="G25" s="955">
        <f>(AF25*KFC!$B$22+KFC!$C$22)*KFC!$C$5</f>
        <v>83.401380247030787</v>
      </c>
      <c r="H25" s="955">
        <f>(AG25*KFC!$B$22+KFC!$C$22)*KFC!$C$5</f>
        <v>88.251243602386026</v>
      </c>
      <c r="I25" s="955">
        <f>(AH25*KFC!$B$22+KFC!$C$22)*KFC!$C$5</f>
        <v>93.101106957741266</v>
      </c>
      <c r="J25" s="955">
        <f>(AI25*KFC!$B$22+KFC!$C$22)*KFC!$C$5</f>
        <v>97.950970313096505</v>
      </c>
      <c r="K25" s="955">
        <f>(AJ25*KFC!$B$22+KFC!$C$22)*KFC!$C$5</f>
        <v>102.80083366845176</v>
      </c>
      <c r="L25" s="955">
        <f>(AK25*KFC!$B$22+KFC!$C$22)*KFC!$C$5</f>
        <v>107.650697023807</v>
      </c>
      <c r="M25" s="955">
        <f>(AL25*KFC!$B$22+KFC!$C$22)*KFC!$C$5</f>
        <v>112.50056037916225</v>
      </c>
      <c r="N25" s="955">
        <f>(AM25*KFC!$B$22+KFC!$C$22)*KFC!$C$5</f>
        <v>117.35042373451749</v>
      </c>
      <c r="O25" s="955">
        <f>(AN25*KFC!$B$22+KFC!$C$22)*KFC!$C$5</f>
        <v>122.20028708987275</v>
      </c>
      <c r="P25" s="955">
        <f>(AO25*KFC!$B$22+KFC!$C$22)*KFC!$C$5</f>
        <v>127.05015044522798</v>
      </c>
      <c r="Q25" s="955">
        <f>(AP25*KFC!$B$22+KFC!$C$22)*KFC!$C$5</f>
        <v>131.90001380058322</v>
      </c>
      <c r="R25" s="955">
        <f>(AQ25*KFC!$B$22+KFC!$C$22)*KFC!$C$5</f>
        <v>136.74987715593849</v>
      </c>
      <c r="S25" s="955">
        <f>(AR25*KFC!$B$22+KFC!$C$22)*KFC!$C$5</f>
        <v>141.59974051129373</v>
      </c>
      <c r="T25" s="955">
        <f>(AS25*KFC!$B$22+KFC!$C$22)*KFC!$C$5</f>
        <v>146.44960386664897</v>
      </c>
      <c r="U25" s="955">
        <f>(AT25*KFC!$B$22+KFC!$C$22)*KFC!$C$5</f>
        <v>151.29946722200421</v>
      </c>
      <c r="V25" s="955">
        <f>(AU25*KFC!$B$22+KFC!$C$22)*KFC!$C$5</f>
        <v>156.14933057735948</v>
      </c>
      <c r="W25" s="955">
        <f>(AV25*KFC!$B$22+KFC!$C$22)*KFC!$C$5</f>
        <v>160.99919393271472</v>
      </c>
      <c r="X25" s="955">
        <f>(AW25*KFC!$B$22+KFC!$C$22)*KFC!$C$5</f>
        <v>165.84905728806996</v>
      </c>
      <c r="Y25" s="955">
        <f>(AX25*KFC!$B$22+KFC!$C$22)*KFC!$C$5</f>
        <v>170.6989206434252</v>
      </c>
      <c r="Z25" s="955">
        <f>(AY25*KFC!$B$22+KFC!$C$22)*KFC!$C$5</f>
        <v>175.54878399878044</v>
      </c>
      <c r="AB25" s="771">
        <v>64.0019268256098</v>
      </c>
      <c r="AC25" s="772">
        <v>68.85179018096504</v>
      </c>
      <c r="AD25" s="772">
        <v>73.701653536320293</v>
      </c>
      <c r="AE25" s="772">
        <v>78.551516891675533</v>
      </c>
      <c r="AF25" s="772">
        <v>83.401380247030787</v>
      </c>
      <c r="AG25" s="772">
        <v>88.251243602386026</v>
      </c>
      <c r="AH25" s="772">
        <v>93.101106957741266</v>
      </c>
      <c r="AI25" s="772">
        <v>97.950970313096505</v>
      </c>
      <c r="AJ25" s="772">
        <v>102.80083366845176</v>
      </c>
      <c r="AK25" s="772">
        <v>107.650697023807</v>
      </c>
      <c r="AL25" s="772">
        <v>112.50056037916225</v>
      </c>
      <c r="AM25" s="772">
        <v>117.35042373451749</v>
      </c>
      <c r="AN25" s="772">
        <v>122.20028708987275</v>
      </c>
      <c r="AO25" s="772">
        <v>127.05015044522798</v>
      </c>
      <c r="AP25" s="772">
        <v>131.90001380058322</v>
      </c>
      <c r="AQ25" s="772">
        <v>136.74987715593849</v>
      </c>
      <c r="AR25" s="772">
        <v>141.59974051129373</v>
      </c>
      <c r="AS25" s="772">
        <v>146.44960386664897</v>
      </c>
      <c r="AT25" s="772">
        <v>151.29946722200421</v>
      </c>
      <c r="AU25" s="772">
        <v>156.14933057735948</v>
      </c>
      <c r="AV25" s="772">
        <v>160.99919393271472</v>
      </c>
      <c r="AW25" s="772">
        <v>165.84905728806996</v>
      </c>
      <c r="AX25" s="772">
        <v>170.6989206434252</v>
      </c>
      <c r="AY25" s="773">
        <v>175.54878399878044</v>
      </c>
    </row>
    <row r="26" spans="1:51">
      <c r="A26" s="1728"/>
      <c r="B26" s="671">
        <v>2.2999999999999998</v>
      </c>
      <c r="C26" s="955">
        <f>(AB26*KFC!$B$22+KFC!$C$22)*KFC!$C$5</f>
        <v>64.399872918292729</v>
      </c>
      <c r="D26" s="955">
        <f>(AC26*KFC!$B$22+KFC!$C$22)*KFC!$C$5</f>
        <v>69.306525915906718</v>
      </c>
      <c r="E26" s="955">
        <f>(AD26*KFC!$B$22+KFC!$C$22)*KFC!$C$5</f>
        <v>74.213178913520707</v>
      </c>
      <c r="F26" s="955">
        <f>(AE26*KFC!$B$22+KFC!$C$22)*KFC!$C$5</f>
        <v>79.119831911134696</v>
      </c>
      <c r="G26" s="955">
        <f>(AF26*KFC!$B$22+KFC!$C$22)*KFC!$C$5</f>
        <v>84.026484908748699</v>
      </c>
      <c r="H26" s="955">
        <f>(AG26*KFC!$B$22+KFC!$C$22)*KFC!$C$5</f>
        <v>88.933137906362688</v>
      </c>
      <c r="I26" s="955">
        <f>(AH26*KFC!$B$22+KFC!$C$22)*KFC!$C$5</f>
        <v>93.839790903976677</v>
      </c>
      <c r="J26" s="955">
        <f>(AI26*KFC!$B$22+KFC!$C$22)*KFC!$C$5</f>
        <v>98.746443901590666</v>
      </c>
      <c r="K26" s="955">
        <f>(AJ26*KFC!$B$22+KFC!$C$22)*KFC!$C$5</f>
        <v>103.65309689920466</v>
      </c>
      <c r="L26" s="955">
        <f>(AK26*KFC!$B$22+KFC!$C$22)*KFC!$C$5</f>
        <v>108.55974989681864</v>
      </c>
      <c r="M26" s="955">
        <f>(AL26*KFC!$B$22+KFC!$C$22)*KFC!$C$5</f>
        <v>113.46640289443263</v>
      </c>
      <c r="N26" s="955">
        <f>(AM26*KFC!$B$22+KFC!$C$22)*KFC!$C$5</f>
        <v>118.37305589204664</v>
      </c>
      <c r="O26" s="955">
        <f>(AN26*KFC!$B$22+KFC!$C$22)*KFC!$C$5</f>
        <v>123.27970888966063</v>
      </c>
      <c r="P26" s="955">
        <f>(AO26*KFC!$B$22+KFC!$C$22)*KFC!$C$5</f>
        <v>128.18636188727461</v>
      </c>
      <c r="Q26" s="955">
        <f>(AP26*KFC!$B$22+KFC!$C$22)*KFC!$C$5</f>
        <v>133.09301488488859</v>
      </c>
      <c r="R26" s="955">
        <f>(AQ26*KFC!$B$22+KFC!$C$22)*KFC!$C$5</f>
        <v>137.99966788250259</v>
      </c>
      <c r="S26" s="955">
        <f>(AR26*KFC!$B$22+KFC!$C$22)*KFC!$C$5</f>
        <v>142.9063208801166</v>
      </c>
      <c r="T26" s="955">
        <f>(AS26*KFC!$B$22+KFC!$C$22)*KFC!$C$5</f>
        <v>147.81297387773057</v>
      </c>
      <c r="U26" s="955">
        <f>(AT26*KFC!$B$22+KFC!$C$22)*KFC!$C$5</f>
        <v>152.71962687534457</v>
      </c>
      <c r="V26" s="955">
        <f>(AU26*KFC!$B$22+KFC!$C$22)*KFC!$C$5</f>
        <v>157.62627987295855</v>
      </c>
      <c r="W26" s="955">
        <f>(AV26*KFC!$B$22+KFC!$C$22)*KFC!$C$5</f>
        <v>162.53293287057255</v>
      </c>
      <c r="X26" s="955">
        <f>(AW26*KFC!$B$22+KFC!$C$22)*KFC!$C$5</f>
        <v>167.43958586818653</v>
      </c>
      <c r="Y26" s="955">
        <f>(AX26*KFC!$B$22+KFC!$C$22)*KFC!$C$5</f>
        <v>172.34623886580056</v>
      </c>
      <c r="Z26" s="955">
        <f>(AY26*KFC!$B$22+KFC!$C$22)*KFC!$C$5</f>
        <v>177.25289186341456</v>
      </c>
      <c r="AB26" s="771">
        <v>64.399872918292729</v>
      </c>
      <c r="AC26" s="772">
        <v>69.306525915906718</v>
      </c>
      <c r="AD26" s="772">
        <v>74.213178913520707</v>
      </c>
      <c r="AE26" s="772">
        <v>79.119831911134696</v>
      </c>
      <c r="AF26" s="772">
        <v>84.026484908748699</v>
      </c>
      <c r="AG26" s="772">
        <v>88.933137906362688</v>
      </c>
      <c r="AH26" s="772">
        <v>93.839790903976677</v>
      </c>
      <c r="AI26" s="772">
        <v>98.746443901590666</v>
      </c>
      <c r="AJ26" s="772">
        <v>103.65309689920466</v>
      </c>
      <c r="AK26" s="772">
        <v>108.55974989681864</v>
      </c>
      <c r="AL26" s="772">
        <v>113.46640289443263</v>
      </c>
      <c r="AM26" s="772">
        <v>118.37305589204664</v>
      </c>
      <c r="AN26" s="772">
        <v>123.27970888966063</v>
      </c>
      <c r="AO26" s="772">
        <v>128.18636188727461</v>
      </c>
      <c r="AP26" s="772">
        <v>133.09301488488859</v>
      </c>
      <c r="AQ26" s="772">
        <v>137.99966788250259</v>
      </c>
      <c r="AR26" s="772">
        <v>142.9063208801166</v>
      </c>
      <c r="AS26" s="772">
        <v>147.81297387773057</v>
      </c>
      <c r="AT26" s="772">
        <v>152.71962687534457</v>
      </c>
      <c r="AU26" s="772">
        <v>157.62627987295855</v>
      </c>
      <c r="AV26" s="772">
        <v>162.53293287057255</v>
      </c>
      <c r="AW26" s="772">
        <v>167.43958586818653</v>
      </c>
      <c r="AX26" s="772">
        <v>172.34623886580056</v>
      </c>
      <c r="AY26" s="773">
        <v>177.25289186341456</v>
      </c>
    </row>
    <row r="27" spans="1:51">
      <c r="A27" s="1728"/>
      <c r="B27" s="671">
        <v>2.4</v>
      </c>
      <c r="C27" s="955">
        <f>(AB27*KFC!$B$22+KFC!$C$22)*KFC!$C$5</f>
        <v>64.797819010975658</v>
      </c>
      <c r="D27" s="955">
        <f>(AC27*KFC!$B$22+KFC!$C$22)*KFC!$C$5</f>
        <v>69.761261650848397</v>
      </c>
      <c r="E27" s="955">
        <f>(AD27*KFC!$B$22+KFC!$C$22)*KFC!$C$5</f>
        <v>74.724704290721135</v>
      </c>
      <c r="F27" s="955">
        <f>(AE27*KFC!$B$22+KFC!$C$22)*KFC!$C$5</f>
        <v>79.688146930593874</v>
      </c>
      <c r="G27" s="955">
        <f>(AF27*KFC!$B$22+KFC!$C$22)*KFC!$C$5</f>
        <v>84.651589570466612</v>
      </c>
      <c r="H27" s="955">
        <f>(AG27*KFC!$B$22+KFC!$C$22)*KFC!$C$5</f>
        <v>89.615032210339351</v>
      </c>
      <c r="I27" s="955">
        <f>(AH27*KFC!$B$22+KFC!$C$22)*KFC!$C$5</f>
        <v>94.578474850212089</v>
      </c>
      <c r="J27" s="955">
        <f>(AI27*KFC!$B$22+KFC!$C$22)*KFC!$C$5</f>
        <v>99.541917490084813</v>
      </c>
      <c r="K27" s="955">
        <f>(AJ27*KFC!$B$22+KFC!$C$22)*KFC!$C$5</f>
        <v>104.50536012995755</v>
      </c>
      <c r="L27" s="955">
        <f>(AK27*KFC!$B$22+KFC!$C$22)*KFC!$C$5</f>
        <v>109.46880276983029</v>
      </c>
      <c r="M27" s="955">
        <f>(AL27*KFC!$B$22+KFC!$C$22)*KFC!$C$5</f>
        <v>114.43224540970303</v>
      </c>
      <c r="N27" s="955">
        <f>(AM27*KFC!$B$22+KFC!$C$22)*KFC!$C$5</f>
        <v>119.39568804957577</v>
      </c>
      <c r="O27" s="955">
        <f>(AN27*KFC!$B$22+KFC!$C$22)*KFC!$C$5</f>
        <v>124.35913068944851</v>
      </c>
      <c r="P27" s="955">
        <f>(AO27*KFC!$B$22+KFC!$C$22)*KFC!$C$5</f>
        <v>129.32257332932124</v>
      </c>
      <c r="Q27" s="955">
        <f>(AP27*KFC!$B$22+KFC!$C$22)*KFC!$C$5</f>
        <v>134.28601596919398</v>
      </c>
      <c r="R27" s="955">
        <f>(AQ27*KFC!$B$22+KFC!$C$22)*KFC!$C$5</f>
        <v>139.24945860906672</v>
      </c>
      <c r="S27" s="955">
        <f>(AR27*KFC!$B$22+KFC!$C$22)*KFC!$C$5</f>
        <v>144.21290124893943</v>
      </c>
      <c r="T27" s="955">
        <f>(AS27*KFC!$B$22+KFC!$C$22)*KFC!$C$5</f>
        <v>149.17634388881217</v>
      </c>
      <c r="U27" s="955">
        <f>(AT27*KFC!$B$22+KFC!$C$22)*KFC!$C$5</f>
        <v>154.13978652868491</v>
      </c>
      <c r="V27" s="955">
        <f>(AU27*KFC!$B$22+KFC!$C$22)*KFC!$C$5</f>
        <v>159.10322916855765</v>
      </c>
      <c r="W27" s="955">
        <f>(AV27*KFC!$B$22+KFC!$C$22)*KFC!$C$5</f>
        <v>164.06667180843039</v>
      </c>
      <c r="X27" s="955">
        <f>(AW27*KFC!$B$22+KFC!$C$22)*KFC!$C$5</f>
        <v>169.03011444830315</v>
      </c>
      <c r="Y27" s="955">
        <f>(AX27*KFC!$B$22+KFC!$C$22)*KFC!$C$5</f>
        <v>173.99355708817589</v>
      </c>
      <c r="Z27" s="955">
        <f>(AY27*KFC!$B$22+KFC!$C$22)*KFC!$C$5</f>
        <v>178.95699972804869</v>
      </c>
      <c r="AB27" s="771">
        <v>64.797819010975658</v>
      </c>
      <c r="AC27" s="772">
        <v>69.761261650848397</v>
      </c>
      <c r="AD27" s="772">
        <v>74.724704290721135</v>
      </c>
      <c r="AE27" s="772">
        <v>79.688146930593874</v>
      </c>
      <c r="AF27" s="772">
        <v>84.651589570466612</v>
      </c>
      <c r="AG27" s="772">
        <v>89.615032210339351</v>
      </c>
      <c r="AH27" s="772">
        <v>94.578474850212089</v>
      </c>
      <c r="AI27" s="772">
        <v>99.541917490084813</v>
      </c>
      <c r="AJ27" s="772">
        <v>104.50536012995755</v>
      </c>
      <c r="AK27" s="772">
        <v>109.46880276983029</v>
      </c>
      <c r="AL27" s="772">
        <v>114.43224540970303</v>
      </c>
      <c r="AM27" s="772">
        <v>119.39568804957577</v>
      </c>
      <c r="AN27" s="772">
        <v>124.35913068944851</v>
      </c>
      <c r="AO27" s="772">
        <v>129.32257332932124</v>
      </c>
      <c r="AP27" s="772">
        <v>134.28601596919398</v>
      </c>
      <c r="AQ27" s="772">
        <v>139.24945860906672</v>
      </c>
      <c r="AR27" s="772">
        <v>144.21290124893943</v>
      </c>
      <c r="AS27" s="772">
        <v>149.17634388881217</v>
      </c>
      <c r="AT27" s="772">
        <v>154.13978652868491</v>
      </c>
      <c r="AU27" s="772">
        <v>159.10322916855765</v>
      </c>
      <c r="AV27" s="772">
        <v>164.06667180843039</v>
      </c>
      <c r="AW27" s="772">
        <v>169.03011444830315</v>
      </c>
      <c r="AX27" s="772">
        <v>173.99355708817589</v>
      </c>
      <c r="AY27" s="773">
        <v>178.95699972804869</v>
      </c>
    </row>
    <row r="28" spans="1:51">
      <c r="A28" s="1728"/>
      <c r="B28" s="671">
        <v>2.5</v>
      </c>
      <c r="C28" s="955">
        <f>(AB28*KFC!$B$22+KFC!$C$22)*KFC!$C$5</f>
        <v>65.195765103658587</v>
      </c>
      <c r="D28" s="955">
        <f>(AC28*KFC!$B$22+KFC!$C$22)*KFC!$C$5</f>
        <v>70.215997385790075</v>
      </c>
      <c r="E28" s="955">
        <f>(AD28*KFC!$B$22+KFC!$C$22)*KFC!$C$5</f>
        <v>75.236229667921563</v>
      </c>
      <c r="F28" s="955">
        <f>(AE28*KFC!$B$22+KFC!$C$22)*KFC!$C$5</f>
        <v>80.256461950053065</v>
      </c>
      <c r="G28" s="955">
        <f>(AF28*KFC!$B$22+KFC!$C$22)*KFC!$C$5</f>
        <v>85.276694232184553</v>
      </c>
      <c r="H28" s="955">
        <f>(AG28*KFC!$B$22+KFC!$C$22)*KFC!$C$5</f>
        <v>90.296926514316027</v>
      </c>
      <c r="I28" s="955">
        <f>(AH28*KFC!$B$22+KFC!$C$22)*KFC!$C$5</f>
        <v>95.317158796447515</v>
      </c>
      <c r="J28" s="955">
        <f>(AI28*KFC!$B$22+KFC!$C$22)*KFC!$C$5</f>
        <v>100.33739107857899</v>
      </c>
      <c r="K28" s="955">
        <f>(AJ28*KFC!$B$22+KFC!$C$22)*KFC!$C$5</f>
        <v>105.35762336071048</v>
      </c>
      <c r="L28" s="955">
        <f>(AK28*KFC!$B$22+KFC!$C$22)*KFC!$C$5</f>
        <v>110.37785564284195</v>
      </c>
      <c r="M28" s="955">
        <f>(AL28*KFC!$B$22+KFC!$C$22)*KFC!$C$5</f>
        <v>115.39808792497344</v>
      </c>
      <c r="N28" s="955">
        <f>(AM28*KFC!$B$22+KFC!$C$22)*KFC!$C$5</f>
        <v>120.41832020710491</v>
      </c>
      <c r="O28" s="955">
        <f>(AN28*KFC!$B$22+KFC!$C$22)*KFC!$C$5</f>
        <v>125.4385524892364</v>
      </c>
      <c r="P28" s="955">
        <f>(AO28*KFC!$B$22+KFC!$C$22)*KFC!$C$5</f>
        <v>130.45878477136787</v>
      </c>
      <c r="Q28" s="955">
        <f>(AP28*KFC!$B$22+KFC!$C$22)*KFC!$C$5</f>
        <v>135.47901705349935</v>
      </c>
      <c r="R28" s="955">
        <f>(AQ28*KFC!$B$22+KFC!$C$22)*KFC!$C$5</f>
        <v>140.49924933563085</v>
      </c>
      <c r="S28" s="955">
        <f>(AR28*KFC!$B$22+KFC!$C$22)*KFC!$C$5</f>
        <v>145.51948161776232</v>
      </c>
      <c r="T28" s="955">
        <f>(AS28*KFC!$B$22+KFC!$C$22)*KFC!$C$5</f>
        <v>150.5397138998938</v>
      </c>
      <c r="U28" s="955">
        <f>(AT28*KFC!$B$22+KFC!$C$22)*KFC!$C$5</f>
        <v>155.55994618202527</v>
      </c>
      <c r="V28" s="955">
        <f>(AU28*KFC!$B$22+KFC!$C$22)*KFC!$C$5</f>
        <v>160.58017846415677</v>
      </c>
      <c r="W28" s="955">
        <f>(AV28*KFC!$B$22+KFC!$C$22)*KFC!$C$5</f>
        <v>165.60041074628825</v>
      </c>
      <c r="X28" s="955">
        <f>(AW28*KFC!$B$22+KFC!$C$22)*KFC!$C$5</f>
        <v>170.62064302841975</v>
      </c>
      <c r="Y28" s="955">
        <f>(AX28*KFC!$B$22+KFC!$C$22)*KFC!$C$5</f>
        <v>175.64087531055125</v>
      </c>
      <c r="Z28" s="955">
        <f>(AY28*KFC!$B$22+KFC!$C$22)*KFC!$C$5</f>
        <v>180.66110759268281</v>
      </c>
      <c r="AB28" s="771">
        <v>65.195765103658587</v>
      </c>
      <c r="AC28" s="772">
        <v>70.215997385790075</v>
      </c>
      <c r="AD28" s="772">
        <v>75.236229667921563</v>
      </c>
      <c r="AE28" s="772">
        <v>80.256461950053065</v>
      </c>
      <c r="AF28" s="772">
        <v>85.276694232184553</v>
      </c>
      <c r="AG28" s="772">
        <v>90.296926514316027</v>
      </c>
      <c r="AH28" s="772">
        <v>95.317158796447515</v>
      </c>
      <c r="AI28" s="772">
        <v>100.33739107857899</v>
      </c>
      <c r="AJ28" s="772">
        <v>105.35762336071048</v>
      </c>
      <c r="AK28" s="772">
        <v>110.37785564284195</v>
      </c>
      <c r="AL28" s="772">
        <v>115.39808792497344</v>
      </c>
      <c r="AM28" s="772">
        <v>120.41832020710491</v>
      </c>
      <c r="AN28" s="772">
        <v>125.4385524892364</v>
      </c>
      <c r="AO28" s="772">
        <v>130.45878477136787</v>
      </c>
      <c r="AP28" s="772">
        <v>135.47901705349935</v>
      </c>
      <c r="AQ28" s="772">
        <v>140.49924933563085</v>
      </c>
      <c r="AR28" s="772">
        <v>145.51948161776232</v>
      </c>
      <c r="AS28" s="772">
        <v>150.5397138998938</v>
      </c>
      <c r="AT28" s="772">
        <v>155.55994618202527</v>
      </c>
      <c r="AU28" s="772">
        <v>160.58017846415677</v>
      </c>
      <c r="AV28" s="772">
        <v>165.60041074628825</v>
      </c>
      <c r="AW28" s="772">
        <v>170.62064302841975</v>
      </c>
      <c r="AX28" s="772">
        <v>175.64087531055125</v>
      </c>
      <c r="AY28" s="773">
        <v>180.66110759268281</v>
      </c>
    </row>
    <row r="29" spans="1:51">
      <c r="A29" s="1728"/>
      <c r="B29" s="671">
        <v>2.6</v>
      </c>
      <c r="C29" s="955">
        <f>(AB29*KFC!$B$22+KFC!$C$22)*KFC!$C$5</f>
        <v>65.593711196341516</v>
      </c>
      <c r="D29" s="955">
        <f>(AC29*KFC!$B$22+KFC!$C$22)*KFC!$C$5</f>
        <v>70.670733120731754</v>
      </c>
      <c r="E29" s="955">
        <f>(AD29*KFC!$B$22+KFC!$C$22)*KFC!$C$5</f>
        <v>75.747755045121991</v>
      </c>
      <c r="F29" s="955">
        <f>(AE29*KFC!$B$22+KFC!$C$22)*KFC!$C$5</f>
        <v>80.824776969512229</v>
      </c>
      <c r="G29" s="955">
        <f>(AF29*KFC!$B$22+KFC!$C$22)*KFC!$C$5</f>
        <v>85.901798893902466</v>
      </c>
      <c r="H29" s="955">
        <f>(AG29*KFC!$B$22+KFC!$C$22)*KFC!$C$5</f>
        <v>90.978820818292718</v>
      </c>
      <c r="I29" s="955">
        <f>(AH29*KFC!$B$22+KFC!$C$22)*KFC!$C$5</f>
        <v>96.055842742682955</v>
      </c>
      <c r="J29" s="955">
        <f>(AI29*KFC!$B$22+KFC!$C$22)*KFC!$C$5</f>
        <v>101.13286466707321</v>
      </c>
      <c r="K29" s="955">
        <f>(AJ29*KFC!$B$22+KFC!$C$22)*KFC!$C$5</f>
        <v>106.20988659146344</v>
      </c>
      <c r="L29" s="955">
        <f>(AK29*KFC!$B$22+KFC!$C$22)*KFC!$C$5</f>
        <v>111.2869085158537</v>
      </c>
      <c r="M29" s="955">
        <f>(AL29*KFC!$B$22+KFC!$C$22)*KFC!$C$5</f>
        <v>116.36393044024393</v>
      </c>
      <c r="N29" s="955">
        <f>(AM29*KFC!$B$22+KFC!$C$22)*KFC!$C$5</f>
        <v>121.44095236463419</v>
      </c>
      <c r="O29" s="955">
        <f>(AN29*KFC!$B$22+KFC!$C$22)*KFC!$C$5</f>
        <v>126.51797428902442</v>
      </c>
      <c r="P29" s="955">
        <f>(AO29*KFC!$B$22+KFC!$C$22)*KFC!$C$5</f>
        <v>131.59499621341467</v>
      </c>
      <c r="Q29" s="955">
        <f>(AP29*KFC!$B$22+KFC!$C$22)*KFC!$C$5</f>
        <v>136.67201813780491</v>
      </c>
      <c r="R29" s="955">
        <f>(AQ29*KFC!$B$22+KFC!$C$22)*KFC!$C$5</f>
        <v>141.74904006219515</v>
      </c>
      <c r="S29" s="955">
        <f>(AR29*KFC!$B$22+KFC!$C$22)*KFC!$C$5</f>
        <v>146.82606198658542</v>
      </c>
      <c r="T29" s="955">
        <f>(AS29*KFC!$B$22+KFC!$C$22)*KFC!$C$5</f>
        <v>151.90308391097565</v>
      </c>
      <c r="U29" s="955">
        <f>(AT29*KFC!$B$22+KFC!$C$22)*KFC!$C$5</f>
        <v>156.98010583536589</v>
      </c>
      <c r="V29" s="955">
        <f>(AU29*KFC!$B$22+KFC!$C$22)*KFC!$C$5</f>
        <v>162.05712775975613</v>
      </c>
      <c r="W29" s="955">
        <f>(AV29*KFC!$B$22+KFC!$C$22)*KFC!$C$5</f>
        <v>167.13414968414639</v>
      </c>
      <c r="X29" s="955">
        <f>(AW29*KFC!$B$22+KFC!$C$22)*KFC!$C$5</f>
        <v>172.2111716085366</v>
      </c>
      <c r="Y29" s="955">
        <f>(AX29*KFC!$B$22+KFC!$C$22)*KFC!$C$5</f>
        <v>177.28819353292684</v>
      </c>
      <c r="Z29" s="955">
        <f>(AY29*KFC!$B$22+KFC!$C$22)*KFC!$C$5</f>
        <v>182.36521545731694</v>
      </c>
      <c r="AB29" s="771">
        <v>65.593711196341516</v>
      </c>
      <c r="AC29" s="772">
        <v>70.670733120731754</v>
      </c>
      <c r="AD29" s="772">
        <v>75.747755045121991</v>
      </c>
      <c r="AE29" s="772">
        <v>80.824776969512229</v>
      </c>
      <c r="AF29" s="772">
        <v>85.901798893902466</v>
      </c>
      <c r="AG29" s="772">
        <v>90.978820818292718</v>
      </c>
      <c r="AH29" s="772">
        <v>96.055842742682955</v>
      </c>
      <c r="AI29" s="772">
        <v>101.13286466707321</v>
      </c>
      <c r="AJ29" s="772">
        <v>106.20988659146344</v>
      </c>
      <c r="AK29" s="772">
        <v>111.2869085158537</v>
      </c>
      <c r="AL29" s="772">
        <v>116.36393044024393</v>
      </c>
      <c r="AM29" s="772">
        <v>121.44095236463419</v>
      </c>
      <c r="AN29" s="772">
        <v>126.51797428902442</v>
      </c>
      <c r="AO29" s="772">
        <v>131.59499621341467</v>
      </c>
      <c r="AP29" s="772">
        <v>136.67201813780491</v>
      </c>
      <c r="AQ29" s="772">
        <v>141.74904006219515</v>
      </c>
      <c r="AR29" s="772">
        <v>146.82606198658542</v>
      </c>
      <c r="AS29" s="772">
        <v>151.90308391097565</v>
      </c>
      <c r="AT29" s="772">
        <v>156.98010583536589</v>
      </c>
      <c r="AU29" s="772">
        <v>162.05712775975613</v>
      </c>
      <c r="AV29" s="772">
        <v>167.13414968414639</v>
      </c>
      <c r="AW29" s="772">
        <v>172.2111716085366</v>
      </c>
      <c r="AX29" s="772">
        <v>177.28819353292684</v>
      </c>
      <c r="AY29" s="773">
        <v>182.36521545731694</v>
      </c>
    </row>
    <row r="30" spans="1:51">
      <c r="A30" s="1728"/>
      <c r="B30" s="671">
        <v>2.7</v>
      </c>
      <c r="C30" s="955">
        <f>(AB30*KFC!$B$22+KFC!$C$22)*KFC!$C$5</f>
        <v>65.991657289024445</v>
      </c>
      <c r="D30" s="955">
        <f>(AC30*KFC!$B$22+KFC!$C$22)*KFC!$C$5</f>
        <v>71.125468855673432</v>
      </c>
      <c r="E30" s="955">
        <f>(AD30*KFC!$B$22+KFC!$C$22)*KFC!$C$5</f>
        <v>76.259280422322405</v>
      </c>
      <c r="F30" s="955">
        <f>(AE30*KFC!$B$22+KFC!$C$22)*KFC!$C$5</f>
        <v>81.393091988971392</v>
      </c>
      <c r="G30" s="955">
        <f>(AF30*KFC!$B$22+KFC!$C$22)*KFC!$C$5</f>
        <v>86.526903555620365</v>
      </c>
      <c r="H30" s="955">
        <f>(AG30*KFC!$B$22+KFC!$C$22)*KFC!$C$5</f>
        <v>91.660715122269352</v>
      </c>
      <c r="I30" s="955">
        <f>(AH30*KFC!$B$22+KFC!$C$22)*KFC!$C$5</f>
        <v>96.794526688918353</v>
      </c>
      <c r="J30" s="955">
        <f>(AI30*KFC!$B$22+KFC!$C$22)*KFC!$C$5</f>
        <v>101.92833825556734</v>
      </c>
      <c r="K30" s="955">
        <f>(AJ30*KFC!$B$22+KFC!$C$22)*KFC!$C$5</f>
        <v>107.06214982221633</v>
      </c>
      <c r="L30" s="955">
        <f>(AK30*KFC!$B$22+KFC!$C$22)*KFC!$C$5</f>
        <v>112.19596138886531</v>
      </c>
      <c r="M30" s="955">
        <f>(AL30*KFC!$B$22+KFC!$C$22)*KFC!$C$5</f>
        <v>117.3297729555143</v>
      </c>
      <c r="N30" s="955">
        <f>(AM30*KFC!$B$22+KFC!$C$22)*KFC!$C$5</f>
        <v>122.4635845221633</v>
      </c>
      <c r="O30" s="955">
        <f>(AN30*KFC!$B$22+KFC!$C$22)*KFC!$C$5</f>
        <v>127.59739608881229</v>
      </c>
      <c r="P30" s="955">
        <f>(AO30*KFC!$B$22+KFC!$C$22)*KFC!$C$5</f>
        <v>132.73120765546128</v>
      </c>
      <c r="Q30" s="955">
        <f>(AP30*KFC!$B$22+KFC!$C$22)*KFC!$C$5</f>
        <v>137.86501922211028</v>
      </c>
      <c r="R30" s="955">
        <f>(AQ30*KFC!$B$22+KFC!$C$22)*KFC!$C$5</f>
        <v>142.99883078875925</v>
      </c>
      <c r="S30" s="955">
        <f>(AR30*KFC!$B$22+KFC!$C$22)*KFC!$C$5</f>
        <v>148.13264235540825</v>
      </c>
      <c r="T30" s="955">
        <f>(AS30*KFC!$B$22+KFC!$C$22)*KFC!$C$5</f>
        <v>153.26645392205722</v>
      </c>
      <c r="U30" s="955">
        <f>(AT30*KFC!$B$22+KFC!$C$22)*KFC!$C$5</f>
        <v>158.40026548870622</v>
      </c>
      <c r="V30" s="955">
        <f>(AU30*KFC!$B$22+KFC!$C$22)*KFC!$C$5</f>
        <v>163.53407705535523</v>
      </c>
      <c r="W30" s="955">
        <f>(AV30*KFC!$B$22+KFC!$C$22)*KFC!$C$5</f>
        <v>168.66788862200417</v>
      </c>
      <c r="X30" s="955">
        <f>(AW30*KFC!$B$22+KFC!$C$22)*KFC!$C$5</f>
        <v>173.80170018865317</v>
      </c>
      <c r="Y30" s="955">
        <f>(AX30*KFC!$B$22+KFC!$C$22)*KFC!$C$5</f>
        <v>178.93551175530217</v>
      </c>
      <c r="Z30" s="955">
        <f>(AY30*KFC!$B$22+KFC!$C$22)*KFC!$C$5</f>
        <v>184.06932332195109</v>
      </c>
      <c r="AB30" s="771">
        <v>65.991657289024445</v>
      </c>
      <c r="AC30" s="772">
        <v>71.125468855673432</v>
      </c>
      <c r="AD30" s="772">
        <v>76.259280422322405</v>
      </c>
      <c r="AE30" s="772">
        <v>81.393091988971392</v>
      </c>
      <c r="AF30" s="772">
        <v>86.526903555620365</v>
      </c>
      <c r="AG30" s="772">
        <v>91.660715122269352</v>
      </c>
      <c r="AH30" s="772">
        <v>96.794526688918353</v>
      </c>
      <c r="AI30" s="772">
        <v>101.92833825556734</v>
      </c>
      <c r="AJ30" s="772">
        <v>107.06214982221633</v>
      </c>
      <c r="AK30" s="772">
        <v>112.19596138886531</v>
      </c>
      <c r="AL30" s="772">
        <v>117.3297729555143</v>
      </c>
      <c r="AM30" s="772">
        <v>122.4635845221633</v>
      </c>
      <c r="AN30" s="772">
        <v>127.59739608881229</v>
      </c>
      <c r="AO30" s="772">
        <v>132.73120765546128</v>
      </c>
      <c r="AP30" s="772">
        <v>137.86501922211028</v>
      </c>
      <c r="AQ30" s="772">
        <v>142.99883078875925</v>
      </c>
      <c r="AR30" s="772">
        <v>148.13264235540825</v>
      </c>
      <c r="AS30" s="772">
        <v>153.26645392205722</v>
      </c>
      <c r="AT30" s="772">
        <v>158.40026548870622</v>
      </c>
      <c r="AU30" s="772">
        <v>163.53407705535523</v>
      </c>
      <c r="AV30" s="772">
        <v>168.66788862200417</v>
      </c>
      <c r="AW30" s="772">
        <v>173.80170018865317</v>
      </c>
      <c r="AX30" s="772">
        <v>178.93551175530217</v>
      </c>
      <c r="AY30" s="773">
        <v>184.06932332195109</v>
      </c>
    </row>
    <row r="31" spans="1:51">
      <c r="A31" s="1728"/>
      <c r="B31" s="671">
        <v>2.8</v>
      </c>
      <c r="C31" s="955">
        <f>(AB31*KFC!$B$22+KFC!$C$22)*KFC!$C$5</f>
        <v>66.389603381707374</v>
      </c>
      <c r="D31" s="955">
        <f>(AC31*KFC!$B$22+KFC!$C$22)*KFC!$C$5</f>
        <v>71.580204590615111</v>
      </c>
      <c r="E31" s="955">
        <f>(AD31*KFC!$B$22+KFC!$C$22)*KFC!$C$5</f>
        <v>76.770805799522847</v>
      </c>
      <c r="F31" s="955">
        <f>(AE31*KFC!$B$22+KFC!$C$22)*KFC!$C$5</f>
        <v>81.961407008430584</v>
      </c>
      <c r="G31" s="955">
        <f>(AF31*KFC!$B$22+KFC!$C$22)*KFC!$C$5</f>
        <v>87.152008217338306</v>
      </c>
      <c r="H31" s="955">
        <f>(AG31*KFC!$B$22+KFC!$C$22)*KFC!$C$5</f>
        <v>92.342609426246042</v>
      </c>
      <c r="I31" s="955">
        <f>(AH31*KFC!$B$22+KFC!$C$22)*KFC!$C$5</f>
        <v>97.533210635153779</v>
      </c>
      <c r="J31" s="955">
        <f>(AI31*KFC!$B$22+KFC!$C$22)*KFC!$C$5</f>
        <v>102.72381184406152</v>
      </c>
      <c r="K31" s="955">
        <f>(AJ31*KFC!$B$22+KFC!$C$22)*KFC!$C$5</f>
        <v>107.91441305296924</v>
      </c>
      <c r="L31" s="955">
        <f>(AK31*KFC!$B$22+KFC!$C$22)*KFC!$C$5</f>
        <v>113.10501426187697</v>
      </c>
      <c r="M31" s="955">
        <f>(AL31*KFC!$B$22+KFC!$C$22)*KFC!$C$5</f>
        <v>118.29561547078471</v>
      </c>
      <c r="N31" s="955">
        <f>(AM31*KFC!$B$22+KFC!$C$22)*KFC!$C$5</f>
        <v>123.48621667969245</v>
      </c>
      <c r="O31" s="955">
        <f>(AN31*KFC!$B$22+KFC!$C$22)*KFC!$C$5</f>
        <v>128.67681788860017</v>
      </c>
      <c r="P31" s="955">
        <f>(AO31*KFC!$B$22+KFC!$C$22)*KFC!$C$5</f>
        <v>133.86741909750791</v>
      </c>
      <c r="Q31" s="955">
        <f>(AP31*KFC!$B$22+KFC!$C$22)*KFC!$C$5</f>
        <v>139.05802030641564</v>
      </c>
      <c r="R31" s="955">
        <f>(AQ31*KFC!$B$22+KFC!$C$22)*KFC!$C$5</f>
        <v>144.24862151532338</v>
      </c>
      <c r="S31" s="955">
        <f>(AR31*KFC!$B$22+KFC!$C$22)*KFC!$C$5</f>
        <v>149.43922272423112</v>
      </c>
      <c r="T31" s="955">
        <f>(AS31*KFC!$B$22+KFC!$C$22)*KFC!$C$5</f>
        <v>154.62982393313885</v>
      </c>
      <c r="U31" s="955">
        <f>(AT31*KFC!$B$22+KFC!$C$22)*KFC!$C$5</f>
        <v>159.82042514204659</v>
      </c>
      <c r="V31" s="955">
        <f>(AU31*KFC!$B$22+KFC!$C$22)*KFC!$C$5</f>
        <v>165.01102635095432</v>
      </c>
      <c r="W31" s="955">
        <f>(AV31*KFC!$B$22+KFC!$C$22)*KFC!$C$5</f>
        <v>170.20162755986206</v>
      </c>
      <c r="X31" s="955">
        <f>(AW31*KFC!$B$22+KFC!$C$22)*KFC!$C$5</f>
        <v>175.39222876876977</v>
      </c>
      <c r="Y31" s="955">
        <f>(AX31*KFC!$B$22+KFC!$C$22)*KFC!$C$5</f>
        <v>180.58282997767751</v>
      </c>
      <c r="Z31" s="955">
        <f>(AY31*KFC!$B$22+KFC!$C$22)*KFC!$C$5</f>
        <v>185.77343118658521</v>
      </c>
      <c r="AB31" s="771">
        <v>66.389603381707374</v>
      </c>
      <c r="AC31" s="772">
        <v>71.580204590615111</v>
      </c>
      <c r="AD31" s="772">
        <v>76.770805799522847</v>
      </c>
      <c r="AE31" s="772">
        <v>81.961407008430584</v>
      </c>
      <c r="AF31" s="772">
        <v>87.152008217338306</v>
      </c>
      <c r="AG31" s="772">
        <v>92.342609426246042</v>
      </c>
      <c r="AH31" s="772">
        <v>97.533210635153779</v>
      </c>
      <c r="AI31" s="772">
        <v>102.72381184406152</v>
      </c>
      <c r="AJ31" s="772">
        <v>107.91441305296924</v>
      </c>
      <c r="AK31" s="772">
        <v>113.10501426187697</v>
      </c>
      <c r="AL31" s="772">
        <v>118.29561547078471</v>
      </c>
      <c r="AM31" s="772">
        <v>123.48621667969245</v>
      </c>
      <c r="AN31" s="772">
        <v>128.67681788860017</v>
      </c>
      <c r="AO31" s="772">
        <v>133.86741909750791</v>
      </c>
      <c r="AP31" s="772">
        <v>139.05802030641564</v>
      </c>
      <c r="AQ31" s="772">
        <v>144.24862151532338</v>
      </c>
      <c r="AR31" s="772">
        <v>149.43922272423112</v>
      </c>
      <c r="AS31" s="772">
        <v>154.62982393313885</v>
      </c>
      <c r="AT31" s="772">
        <v>159.82042514204659</v>
      </c>
      <c r="AU31" s="772">
        <v>165.01102635095432</v>
      </c>
      <c r="AV31" s="772">
        <v>170.20162755986206</v>
      </c>
      <c r="AW31" s="772">
        <v>175.39222876876977</v>
      </c>
      <c r="AX31" s="772">
        <v>180.58282997767751</v>
      </c>
      <c r="AY31" s="773">
        <v>185.77343118658521</v>
      </c>
    </row>
    <row r="32" spans="1:51">
      <c r="A32" s="1728"/>
      <c r="B32" s="671">
        <v>2.9</v>
      </c>
      <c r="C32" s="955">
        <f>(AB32*KFC!$B$22+KFC!$C$22)*KFC!$C$5</f>
        <v>66.787549474390303</v>
      </c>
      <c r="D32" s="955">
        <f>(AC32*KFC!$B$22+KFC!$C$22)*KFC!$C$5</f>
        <v>72.034940325556789</v>
      </c>
      <c r="E32" s="955">
        <f>(AD32*KFC!$B$22+KFC!$C$22)*KFC!$C$5</f>
        <v>77.282331176723261</v>
      </c>
      <c r="F32" s="955">
        <f>(AE32*KFC!$B$22+KFC!$C$22)*KFC!$C$5</f>
        <v>82.529722027889747</v>
      </c>
      <c r="G32" s="955">
        <f>(AF32*KFC!$B$22+KFC!$C$22)*KFC!$C$5</f>
        <v>87.777112879056219</v>
      </c>
      <c r="H32" s="955">
        <f>(AG32*KFC!$B$22+KFC!$C$22)*KFC!$C$5</f>
        <v>93.024503730222705</v>
      </c>
      <c r="I32" s="955">
        <f>(AH32*KFC!$B$22+KFC!$C$22)*KFC!$C$5</f>
        <v>98.271894581389191</v>
      </c>
      <c r="J32" s="955">
        <f>(AI32*KFC!$B$22+KFC!$C$22)*KFC!$C$5</f>
        <v>103.51928543255566</v>
      </c>
      <c r="K32" s="955">
        <f>(AJ32*KFC!$B$22+KFC!$C$22)*KFC!$C$5</f>
        <v>108.76667628372215</v>
      </c>
      <c r="L32" s="955">
        <f>(AK32*KFC!$B$22+KFC!$C$22)*KFC!$C$5</f>
        <v>114.01406713488862</v>
      </c>
      <c r="M32" s="955">
        <f>(AL32*KFC!$B$22+KFC!$C$22)*KFC!$C$5</f>
        <v>119.26145798605511</v>
      </c>
      <c r="N32" s="955">
        <f>(AM32*KFC!$B$22+KFC!$C$22)*KFC!$C$5</f>
        <v>124.50884883722158</v>
      </c>
      <c r="O32" s="955">
        <f>(AN32*KFC!$B$22+KFC!$C$22)*KFC!$C$5</f>
        <v>129.75623968838806</v>
      </c>
      <c r="P32" s="955">
        <f>(AO32*KFC!$B$22+KFC!$C$22)*KFC!$C$5</f>
        <v>135.00363053955454</v>
      </c>
      <c r="Q32" s="955">
        <f>(AP32*KFC!$B$22+KFC!$C$22)*KFC!$C$5</f>
        <v>140.25102139072101</v>
      </c>
      <c r="R32" s="955">
        <f>(AQ32*KFC!$B$22+KFC!$C$22)*KFC!$C$5</f>
        <v>145.49841224188751</v>
      </c>
      <c r="S32" s="955">
        <f>(AR32*KFC!$B$22+KFC!$C$22)*KFC!$C$5</f>
        <v>150.74580309305398</v>
      </c>
      <c r="T32" s="955">
        <f>(AS32*KFC!$B$22+KFC!$C$22)*KFC!$C$5</f>
        <v>155.99319394422045</v>
      </c>
      <c r="U32" s="955">
        <f>(AT32*KFC!$B$22+KFC!$C$22)*KFC!$C$5</f>
        <v>161.24058479538695</v>
      </c>
      <c r="V32" s="955">
        <f>(AU32*KFC!$B$22+KFC!$C$22)*KFC!$C$5</f>
        <v>166.48797564655342</v>
      </c>
      <c r="W32" s="955">
        <f>(AV32*KFC!$B$22+KFC!$C$22)*KFC!$C$5</f>
        <v>171.73536649771989</v>
      </c>
      <c r="X32" s="955">
        <f>(AW32*KFC!$B$22+KFC!$C$22)*KFC!$C$5</f>
        <v>176.98275734888637</v>
      </c>
      <c r="Y32" s="955">
        <f>(AX32*KFC!$B$22+KFC!$C$22)*KFC!$C$5</f>
        <v>182.23014820005287</v>
      </c>
      <c r="Z32" s="955">
        <f>(AY32*KFC!$B$22+KFC!$C$22)*KFC!$C$5</f>
        <v>187.47753905121934</v>
      </c>
      <c r="AB32" s="771">
        <v>66.787549474390303</v>
      </c>
      <c r="AC32" s="772">
        <v>72.034940325556789</v>
      </c>
      <c r="AD32" s="772">
        <v>77.282331176723261</v>
      </c>
      <c r="AE32" s="772">
        <v>82.529722027889747</v>
      </c>
      <c r="AF32" s="772">
        <v>87.777112879056219</v>
      </c>
      <c r="AG32" s="772">
        <v>93.024503730222705</v>
      </c>
      <c r="AH32" s="772">
        <v>98.271894581389191</v>
      </c>
      <c r="AI32" s="772">
        <v>103.51928543255566</v>
      </c>
      <c r="AJ32" s="772">
        <v>108.76667628372215</v>
      </c>
      <c r="AK32" s="772">
        <v>114.01406713488862</v>
      </c>
      <c r="AL32" s="772">
        <v>119.26145798605511</v>
      </c>
      <c r="AM32" s="772">
        <v>124.50884883722158</v>
      </c>
      <c r="AN32" s="772">
        <v>129.75623968838806</v>
      </c>
      <c r="AO32" s="772">
        <v>135.00363053955454</v>
      </c>
      <c r="AP32" s="772">
        <v>140.25102139072101</v>
      </c>
      <c r="AQ32" s="772">
        <v>145.49841224188751</v>
      </c>
      <c r="AR32" s="772">
        <v>150.74580309305398</v>
      </c>
      <c r="AS32" s="772">
        <v>155.99319394422045</v>
      </c>
      <c r="AT32" s="772">
        <v>161.24058479538695</v>
      </c>
      <c r="AU32" s="772">
        <v>166.48797564655342</v>
      </c>
      <c r="AV32" s="772">
        <v>171.73536649771989</v>
      </c>
      <c r="AW32" s="772">
        <v>176.98275734888637</v>
      </c>
      <c r="AX32" s="772">
        <v>182.23014820005287</v>
      </c>
      <c r="AY32" s="773">
        <v>187.47753905121934</v>
      </c>
    </row>
    <row r="33" spans="1:51">
      <c r="A33" s="1728"/>
      <c r="B33" s="671">
        <v>3</v>
      </c>
      <c r="C33" s="955">
        <f>(AB33*KFC!$B$22+KFC!$C$22)*KFC!$C$5</f>
        <v>67.185495567073232</v>
      </c>
      <c r="D33" s="955">
        <f>(AC33*KFC!$B$22+KFC!$C$22)*KFC!$C$5</f>
        <v>72.489676060498454</v>
      </c>
      <c r="E33" s="955">
        <f>(AD33*KFC!$B$22+KFC!$C$22)*KFC!$C$5</f>
        <v>77.793856553923689</v>
      </c>
      <c r="F33" s="955">
        <f>(AE33*KFC!$B$22+KFC!$C$22)*KFC!$C$5</f>
        <v>83.09803704734891</v>
      </c>
      <c r="G33" s="955">
        <f>(AF33*KFC!$B$22+KFC!$C$22)*KFC!$C$5</f>
        <v>88.402217540774146</v>
      </c>
      <c r="H33" s="955">
        <f>(AG33*KFC!$B$22+KFC!$C$22)*KFC!$C$5</f>
        <v>93.706398034199367</v>
      </c>
      <c r="I33" s="955">
        <f>(AH33*KFC!$B$22+KFC!$C$22)*KFC!$C$5</f>
        <v>99.010578527624588</v>
      </c>
      <c r="J33" s="955">
        <f>(AI33*KFC!$B$22+KFC!$C$22)*KFC!$C$5</f>
        <v>104.31475902104982</v>
      </c>
      <c r="K33" s="955">
        <f>(AJ33*KFC!$B$22+KFC!$C$22)*KFC!$C$5</f>
        <v>109.61893951447504</v>
      </c>
      <c r="L33" s="955">
        <f>(AK33*KFC!$B$22+KFC!$C$22)*KFC!$C$5</f>
        <v>114.92312000790027</v>
      </c>
      <c r="M33" s="955">
        <f>(AL33*KFC!$B$22+KFC!$C$22)*KFC!$C$5</f>
        <v>120.22730050132549</v>
      </c>
      <c r="N33" s="955">
        <f>(AM33*KFC!$B$22+KFC!$C$22)*KFC!$C$5</f>
        <v>125.53148099475071</v>
      </c>
      <c r="O33" s="955">
        <f>(AN33*KFC!$B$22+KFC!$C$22)*KFC!$C$5</f>
        <v>130.83566148817593</v>
      </c>
      <c r="P33" s="955">
        <f>(AO33*KFC!$B$22+KFC!$C$22)*KFC!$C$5</f>
        <v>136.13984198160117</v>
      </c>
      <c r="Q33" s="955">
        <f>(AP33*KFC!$B$22+KFC!$C$22)*KFC!$C$5</f>
        <v>141.4440224750264</v>
      </c>
      <c r="R33" s="955">
        <f>(AQ33*KFC!$B$22+KFC!$C$22)*KFC!$C$5</f>
        <v>146.74820296845161</v>
      </c>
      <c r="S33" s="955">
        <f>(AR33*KFC!$B$22+KFC!$C$22)*KFC!$C$5</f>
        <v>152.05238346187684</v>
      </c>
      <c r="T33" s="955">
        <f>(AS33*KFC!$B$22+KFC!$C$22)*KFC!$C$5</f>
        <v>157.35656395530205</v>
      </c>
      <c r="U33" s="955">
        <f>(AT33*KFC!$B$22+KFC!$C$22)*KFC!$C$5</f>
        <v>162.66074444872729</v>
      </c>
      <c r="V33" s="955">
        <f>(AU33*KFC!$B$22+KFC!$C$22)*KFC!$C$5</f>
        <v>167.96492494215252</v>
      </c>
      <c r="W33" s="955">
        <f>(AV33*KFC!$B$22+KFC!$C$22)*KFC!$C$5</f>
        <v>173.26910543557773</v>
      </c>
      <c r="X33" s="955">
        <f>(AW33*KFC!$B$22+KFC!$C$22)*KFC!$C$5</f>
        <v>178.57328592900299</v>
      </c>
      <c r="Y33" s="955">
        <f>(AX33*KFC!$B$22+KFC!$C$22)*KFC!$C$5</f>
        <v>183.87746642242823</v>
      </c>
      <c r="Z33" s="955">
        <f>(AY33*KFC!$B$22+KFC!$C$22)*KFC!$C$5</f>
        <v>189.18164691585346</v>
      </c>
      <c r="AB33" s="771">
        <v>67.185495567073232</v>
      </c>
      <c r="AC33" s="772">
        <v>72.489676060498454</v>
      </c>
      <c r="AD33" s="772">
        <v>77.793856553923689</v>
      </c>
      <c r="AE33" s="772">
        <v>83.09803704734891</v>
      </c>
      <c r="AF33" s="772">
        <v>88.402217540774146</v>
      </c>
      <c r="AG33" s="772">
        <v>93.706398034199367</v>
      </c>
      <c r="AH33" s="772">
        <v>99.010578527624588</v>
      </c>
      <c r="AI33" s="772">
        <v>104.31475902104982</v>
      </c>
      <c r="AJ33" s="772">
        <v>109.61893951447504</v>
      </c>
      <c r="AK33" s="772">
        <v>114.92312000790027</v>
      </c>
      <c r="AL33" s="772">
        <v>120.22730050132549</v>
      </c>
      <c r="AM33" s="772">
        <v>125.53148099475071</v>
      </c>
      <c r="AN33" s="772">
        <v>130.83566148817593</v>
      </c>
      <c r="AO33" s="772">
        <v>136.13984198160117</v>
      </c>
      <c r="AP33" s="772">
        <v>141.4440224750264</v>
      </c>
      <c r="AQ33" s="772">
        <v>146.74820296845161</v>
      </c>
      <c r="AR33" s="772">
        <v>152.05238346187684</v>
      </c>
      <c r="AS33" s="772">
        <v>157.35656395530205</v>
      </c>
      <c r="AT33" s="772">
        <v>162.66074444872729</v>
      </c>
      <c r="AU33" s="772">
        <v>167.96492494215252</v>
      </c>
      <c r="AV33" s="772">
        <v>173.26910543557773</v>
      </c>
      <c r="AW33" s="772">
        <v>178.57328592900299</v>
      </c>
      <c r="AX33" s="772">
        <v>183.87746642242823</v>
      </c>
      <c r="AY33" s="773">
        <v>189.18164691585346</v>
      </c>
    </row>
    <row r="34" spans="1:51">
      <c r="A34" s="1728"/>
      <c r="B34" s="671">
        <v>3.1</v>
      </c>
      <c r="C34" s="955">
        <f>(AB34*KFC!$B$22+KFC!$C$22)*KFC!$C$5</f>
        <v>67.583441659756161</v>
      </c>
      <c r="D34" s="955">
        <f>(AC34*KFC!$B$22+KFC!$C$22)*KFC!$C$5</f>
        <v>72.944411795440146</v>
      </c>
      <c r="E34" s="955">
        <f>(AD34*KFC!$B$22+KFC!$C$22)*KFC!$C$5</f>
        <v>78.305381931124117</v>
      </c>
      <c r="F34" s="955">
        <f>(AE34*KFC!$B$22+KFC!$C$22)*KFC!$C$5</f>
        <v>83.666352066808102</v>
      </c>
      <c r="G34" s="955">
        <f>(AF34*KFC!$B$22+KFC!$C$22)*KFC!$C$5</f>
        <v>89.027322202492087</v>
      </c>
      <c r="H34" s="955">
        <f>(AG34*KFC!$B$22+KFC!$C$22)*KFC!$C$5</f>
        <v>94.388292338176043</v>
      </c>
      <c r="I34" s="955">
        <f>(AH34*KFC!$B$22+KFC!$C$22)*KFC!$C$5</f>
        <v>99.749262473860014</v>
      </c>
      <c r="J34" s="955">
        <f>(AI34*KFC!$B$22+KFC!$C$22)*KFC!$C$5</f>
        <v>105.11023260954398</v>
      </c>
      <c r="K34" s="955">
        <f>(AJ34*KFC!$B$22+KFC!$C$22)*KFC!$C$5</f>
        <v>110.47120274522796</v>
      </c>
      <c r="L34" s="955">
        <f>(AK34*KFC!$B$22+KFC!$C$22)*KFC!$C$5</f>
        <v>115.83217288091193</v>
      </c>
      <c r="M34" s="955">
        <f>(AL34*KFC!$B$22+KFC!$C$22)*KFC!$C$5</f>
        <v>121.1931430165959</v>
      </c>
      <c r="N34" s="955">
        <f>(AM34*KFC!$B$22+KFC!$C$22)*KFC!$C$5</f>
        <v>126.55411315227987</v>
      </c>
      <c r="O34" s="955">
        <f>(AN34*KFC!$B$22+KFC!$C$22)*KFC!$C$5</f>
        <v>131.91508328796382</v>
      </c>
      <c r="P34" s="955">
        <f>(AO34*KFC!$B$22+KFC!$C$22)*KFC!$C$5</f>
        <v>137.2760534236478</v>
      </c>
      <c r="Q34" s="955">
        <f>(AP34*KFC!$B$22+KFC!$C$22)*KFC!$C$5</f>
        <v>142.63702355933177</v>
      </c>
      <c r="R34" s="955">
        <f>(AQ34*KFC!$B$22+KFC!$C$22)*KFC!$C$5</f>
        <v>147.99799369501574</v>
      </c>
      <c r="S34" s="955">
        <f>(AR34*KFC!$B$22+KFC!$C$22)*KFC!$C$5</f>
        <v>153.35896383069971</v>
      </c>
      <c r="T34" s="955">
        <f>(AS34*KFC!$B$22+KFC!$C$22)*KFC!$C$5</f>
        <v>158.71993396638368</v>
      </c>
      <c r="U34" s="955">
        <f>(AT34*KFC!$B$22+KFC!$C$22)*KFC!$C$5</f>
        <v>164.08090410206765</v>
      </c>
      <c r="V34" s="955">
        <f>(AU34*KFC!$B$22+KFC!$C$22)*KFC!$C$5</f>
        <v>169.44187423775165</v>
      </c>
      <c r="W34" s="955">
        <f>(AV34*KFC!$B$22+KFC!$C$22)*KFC!$C$5</f>
        <v>174.80284437343562</v>
      </c>
      <c r="X34" s="955">
        <f>(AW34*KFC!$B$22+KFC!$C$22)*KFC!$C$5</f>
        <v>180.16381450911959</v>
      </c>
      <c r="Y34" s="955">
        <f>(AX34*KFC!$B$22+KFC!$C$22)*KFC!$C$5</f>
        <v>185.52478464480356</v>
      </c>
      <c r="Z34" s="955">
        <f>(AY34*KFC!$B$22+KFC!$C$22)*KFC!$C$5</f>
        <v>190.88575478048759</v>
      </c>
      <c r="AB34" s="771">
        <v>67.583441659756161</v>
      </c>
      <c r="AC34" s="772">
        <v>72.944411795440146</v>
      </c>
      <c r="AD34" s="772">
        <v>78.305381931124117</v>
      </c>
      <c r="AE34" s="772">
        <v>83.666352066808102</v>
      </c>
      <c r="AF34" s="772">
        <v>89.027322202492087</v>
      </c>
      <c r="AG34" s="772">
        <v>94.388292338176043</v>
      </c>
      <c r="AH34" s="772">
        <v>99.749262473860014</v>
      </c>
      <c r="AI34" s="772">
        <v>105.11023260954398</v>
      </c>
      <c r="AJ34" s="772">
        <v>110.47120274522796</v>
      </c>
      <c r="AK34" s="772">
        <v>115.83217288091193</v>
      </c>
      <c r="AL34" s="772">
        <v>121.1931430165959</v>
      </c>
      <c r="AM34" s="772">
        <v>126.55411315227987</v>
      </c>
      <c r="AN34" s="772">
        <v>131.91508328796382</v>
      </c>
      <c r="AO34" s="772">
        <v>137.2760534236478</v>
      </c>
      <c r="AP34" s="772">
        <v>142.63702355933177</v>
      </c>
      <c r="AQ34" s="772">
        <v>147.99799369501574</v>
      </c>
      <c r="AR34" s="772">
        <v>153.35896383069971</v>
      </c>
      <c r="AS34" s="772">
        <v>158.71993396638368</v>
      </c>
      <c r="AT34" s="772">
        <v>164.08090410206765</v>
      </c>
      <c r="AU34" s="772">
        <v>169.44187423775165</v>
      </c>
      <c r="AV34" s="772">
        <v>174.80284437343562</v>
      </c>
      <c r="AW34" s="772">
        <v>180.16381450911959</v>
      </c>
      <c r="AX34" s="772">
        <v>185.52478464480356</v>
      </c>
      <c r="AY34" s="773">
        <v>190.88575478048759</v>
      </c>
    </row>
    <row r="35" spans="1:51">
      <c r="A35" s="1728"/>
      <c r="B35" s="671">
        <v>3.2</v>
      </c>
      <c r="C35" s="955">
        <f>(AB35*KFC!$B$22+KFC!$C$22)*KFC!$C$5</f>
        <v>67.98138775243909</v>
      </c>
      <c r="D35" s="955">
        <f>(AC35*KFC!$B$22+KFC!$C$22)*KFC!$C$5</f>
        <v>73.399147530381825</v>
      </c>
      <c r="E35" s="955">
        <f>(AD35*KFC!$B$22+KFC!$C$22)*KFC!$C$5</f>
        <v>78.816907308324545</v>
      </c>
      <c r="F35" s="955">
        <f>(AE35*KFC!$B$22+KFC!$C$22)*KFC!$C$5</f>
        <v>84.234667086267265</v>
      </c>
      <c r="G35" s="955">
        <f>(AF35*KFC!$B$22+KFC!$C$22)*KFC!$C$5</f>
        <v>89.652426864209986</v>
      </c>
      <c r="H35" s="955">
        <f>(AG35*KFC!$B$22+KFC!$C$22)*KFC!$C$5</f>
        <v>95.07018664215272</v>
      </c>
      <c r="I35" s="955">
        <f>(AH35*KFC!$B$22+KFC!$C$22)*KFC!$C$5</f>
        <v>100.48794642009545</v>
      </c>
      <c r="J35" s="955">
        <f>(AI35*KFC!$B$22+KFC!$C$22)*KFC!$C$5</f>
        <v>105.90570619803817</v>
      </c>
      <c r="K35" s="955">
        <f>(AJ35*KFC!$B$22+KFC!$C$22)*KFC!$C$5</f>
        <v>111.32346597598091</v>
      </c>
      <c r="L35" s="955">
        <f>(AK35*KFC!$B$22+KFC!$C$22)*KFC!$C$5</f>
        <v>116.74122575392364</v>
      </c>
      <c r="M35" s="955">
        <f>(AL35*KFC!$B$22+KFC!$C$22)*KFC!$C$5</f>
        <v>122.15898553186638</v>
      </c>
      <c r="N35" s="955">
        <f>(AM35*KFC!$B$22+KFC!$C$22)*KFC!$C$5</f>
        <v>127.57674530980911</v>
      </c>
      <c r="O35" s="955">
        <f>(AN35*KFC!$B$22+KFC!$C$22)*KFC!$C$5</f>
        <v>132.99450508775186</v>
      </c>
      <c r="P35" s="955">
        <f>(AO35*KFC!$B$22+KFC!$C$22)*KFC!$C$5</f>
        <v>138.41226486569457</v>
      </c>
      <c r="Q35" s="955">
        <f>(AP35*KFC!$B$22+KFC!$C$22)*KFC!$C$5</f>
        <v>143.8300246436373</v>
      </c>
      <c r="R35" s="955">
        <f>(AQ35*KFC!$B$22+KFC!$C$22)*KFC!$C$5</f>
        <v>149.24778442158004</v>
      </c>
      <c r="S35" s="955">
        <f>(AR35*KFC!$B$22+KFC!$C$22)*KFC!$C$5</f>
        <v>154.66554419952277</v>
      </c>
      <c r="T35" s="955">
        <f>(AS35*KFC!$B$22+KFC!$C$22)*KFC!$C$5</f>
        <v>160.0833039774655</v>
      </c>
      <c r="U35" s="955">
        <f>(AT35*KFC!$B$22+KFC!$C$22)*KFC!$C$5</f>
        <v>165.50106375540824</v>
      </c>
      <c r="V35" s="955">
        <f>(AU35*KFC!$B$22+KFC!$C$22)*KFC!$C$5</f>
        <v>170.91882353335097</v>
      </c>
      <c r="W35" s="955">
        <f>(AV35*KFC!$B$22+KFC!$C$22)*KFC!$C$5</f>
        <v>176.33658331129371</v>
      </c>
      <c r="X35" s="955">
        <f>(AW35*KFC!$B$22+KFC!$C$22)*KFC!$C$5</f>
        <v>181.75434308923644</v>
      </c>
      <c r="Y35" s="955">
        <f>(AX35*KFC!$B$22+KFC!$C$22)*KFC!$C$5</f>
        <v>187.17210286717918</v>
      </c>
      <c r="Z35" s="955">
        <f>(AY35*KFC!$B$22+KFC!$C$22)*KFC!$C$5</f>
        <v>192.58986264512174</v>
      </c>
      <c r="AB35" s="771">
        <v>67.98138775243909</v>
      </c>
      <c r="AC35" s="772">
        <v>73.399147530381825</v>
      </c>
      <c r="AD35" s="772">
        <v>78.816907308324545</v>
      </c>
      <c r="AE35" s="772">
        <v>84.234667086267265</v>
      </c>
      <c r="AF35" s="772">
        <v>89.652426864209986</v>
      </c>
      <c r="AG35" s="772">
        <v>95.07018664215272</v>
      </c>
      <c r="AH35" s="772">
        <v>100.48794642009545</v>
      </c>
      <c r="AI35" s="772">
        <v>105.90570619803817</v>
      </c>
      <c r="AJ35" s="772">
        <v>111.32346597598091</v>
      </c>
      <c r="AK35" s="772">
        <v>116.74122575392364</v>
      </c>
      <c r="AL35" s="772">
        <v>122.15898553186638</v>
      </c>
      <c r="AM35" s="772">
        <v>127.57674530980911</v>
      </c>
      <c r="AN35" s="772">
        <v>132.99450508775186</v>
      </c>
      <c r="AO35" s="772">
        <v>138.41226486569457</v>
      </c>
      <c r="AP35" s="772">
        <v>143.8300246436373</v>
      </c>
      <c r="AQ35" s="772">
        <v>149.24778442158004</v>
      </c>
      <c r="AR35" s="772">
        <v>154.66554419952277</v>
      </c>
      <c r="AS35" s="772">
        <v>160.0833039774655</v>
      </c>
      <c r="AT35" s="772">
        <v>165.50106375540824</v>
      </c>
      <c r="AU35" s="772">
        <v>170.91882353335097</v>
      </c>
      <c r="AV35" s="772">
        <v>176.33658331129371</v>
      </c>
      <c r="AW35" s="772">
        <v>181.75434308923644</v>
      </c>
      <c r="AX35" s="772">
        <v>187.17210286717918</v>
      </c>
      <c r="AY35" s="773">
        <v>192.58986264512174</v>
      </c>
    </row>
    <row r="36" spans="1:51">
      <c r="A36" s="1728"/>
      <c r="B36" s="671">
        <v>3.3</v>
      </c>
      <c r="C36" s="955">
        <f>(AB36*KFC!$B$22+KFC!$C$22)*KFC!$C$5</f>
        <v>68.379333845122019</v>
      </c>
      <c r="D36" s="955">
        <f>(AC36*KFC!$B$22+KFC!$C$22)*KFC!$C$5</f>
        <v>73.853883265323489</v>
      </c>
      <c r="E36" s="955">
        <f>(AD36*KFC!$B$22+KFC!$C$22)*KFC!$C$5</f>
        <v>79.328432685524959</v>
      </c>
      <c r="F36" s="955">
        <f>(AE36*KFC!$B$22+KFC!$C$22)*KFC!$C$5</f>
        <v>84.802982105726443</v>
      </c>
      <c r="G36" s="955">
        <f>(AF36*KFC!$B$22+KFC!$C$22)*KFC!$C$5</f>
        <v>90.277531525927913</v>
      </c>
      <c r="H36" s="955">
        <f>(AG36*KFC!$B$22+KFC!$C$22)*KFC!$C$5</f>
        <v>95.752080946129396</v>
      </c>
      <c r="I36" s="955">
        <f>(AH36*KFC!$B$22+KFC!$C$22)*KFC!$C$5</f>
        <v>101.22663036633088</v>
      </c>
      <c r="J36" s="955">
        <f>(AI36*KFC!$B$22+KFC!$C$22)*KFC!$C$5</f>
        <v>106.70117978653235</v>
      </c>
      <c r="K36" s="955">
        <f>(AJ36*KFC!$B$22+KFC!$C$22)*KFC!$C$5</f>
        <v>112.17572920673383</v>
      </c>
      <c r="L36" s="955">
        <f>(AK36*KFC!$B$22+KFC!$C$22)*KFC!$C$5</f>
        <v>117.6502786269353</v>
      </c>
      <c r="M36" s="955">
        <f>(AL36*KFC!$B$22+KFC!$C$22)*KFC!$C$5</f>
        <v>123.12482804713679</v>
      </c>
      <c r="N36" s="955">
        <f>(AM36*KFC!$B$22+KFC!$C$22)*KFC!$C$5</f>
        <v>128.59937746733826</v>
      </c>
      <c r="O36" s="955">
        <f>(AN36*KFC!$B$22+KFC!$C$22)*KFC!$C$5</f>
        <v>134.07392688753976</v>
      </c>
      <c r="P36" s="955">
        <f>(AO36*KFC!$B$22+KFC!$C$22)*KFC!$C$5</f>
        <v>139.54847630774123</v>
      </c>
      <c r="Q36" s="955">
        <f>(AP36*KFC!$B$22+KFC!$C$22)*KFC!$C$5</f>
        <v>145.0230257279427</v>
      </c>
      <c r="R36" s="955">
        <f>(AQ36*KFC!$B$22+KFC!$C$22)*KFC!$C$5</f>
        <v>150.49757514814419</v>
      </c>
      <c r="S36" s="955">
        <f>(AR36*KFC!$B$22+KFC!$C$22)*KFC!$C$5</f>
        <v>155.97212456834566</v>
      </c>
      <c r="T36" s="955">
        <f>(AS36*KFC!$B$22+KFC!$C$22)*KFC!$C$5</f>
        <v>161.44667398854713</v>
      </c>
      <c r="U36" s="955">
        <f>(AT36*KFC!$B$22+KFC!$C$22)*KFC!$C$5</f>
        <v>166.9212234087486</v>
      </c>
      <c r="V36" s="955">
        <f>(AU36*KFC!$B$22+KFC!$C$22)*KFC!$C$5</f>
        <v>172.3957728289501</v>
      </c>
      <c r="W36" s="955">
        <f>(AV36*KFC!$B$22+KFC!$C$22)*KFC!$C$5</f>
        <v>177.87032224915154</v>
      </c>
      <c r="X36" s="955">
        <f>(AW36*KFC!$B$22+KFC!$C$22)*KFC!$C$5</f>
        <v>183.34487166935301</v>
      </c>
      <c r="Y36" s="955">
        <f>(AX36*KFC!$B$22+KFC!$C$22)*KFC!$C$5</f>
        <v>188.81942108955448</v>
      </c>
      <c r="Z36" s="955">
        <f>(AY36*KFC!$B$22+KFC!$C$22)*KFC!$C$5</f>
        <v>194.29397050975587</v>
      </c>
      <c r="AB36" s="771">
        <v>68.379333845122019</v>
      </c>
      <c r="AC36" s="772">
        <v>73.853883265323489</v>
      </c>
      <c r="AD36" s="772">
        <v>79.328432685524959</v>
      </c>
      <c r="AE36" s="772">
        <v>84.802982105726443</v>
      </c>
      <c r="AF36" s="772">
        <v>90.277531525927913</v>
      </c>
      <c r="AG36" s="772">
        <v>95.752080946129396</v>
      </c>
      <c r="AH36" s="772">
        <v>101.22663036633088</v>
      </c>
      <c r="AI36" s="772">
        <v>106.70117978653235</v>
      </c>
      <c r="AJ36" s="772">
        <v>112.17572920673383</v>
      </c>
      <c r="AK36" s="772">
        <v>117.6502786269353</v>
      </c>
      <c r="AL36" s="772">
        <v>123.12482804713679</v>
      </c>
      <c r="AM36" s="772">
        <v>128.59937746733826</v>
      </c>
      <c r="AN36" s="772">
        <v>134.07392688753976</v>
      </c>
      <c r="AO36" s="772">
        <v>139.54847630774123</v>
      </c>
      <c r="AP36" s="772">
        <v>145.0230257279427</v>
      </c>
      <c r="AQ36" s="772">
        <v>150.49757514814419</v>
      </c>
      <c r="AR36" s="772">
        <v>155.97212456834566</v>
      </c>
      <c r="AS36" s="772">
        <v>161.44667398854713</v>
      </c>
      <c r="AT36" s="772">
        <v>166.9212234087486</v>
      </c>
      <c r="AU36" s="772">
        <v>172.3957728289501</v>
      </c>
      <c r="AV36" s="772">
        <v>177.87032224915154</v>
      </c>
      <c r="AW36" s="772">
        <v>183.34487166935301</v>
      </c>
      <c r="AX36" s="772">
        <v>188.81942108955448</v>
      </c>
      <c r="AY36" s="773">
        <v>194.29397050975587</v>
      </c>
    </row>
    <row r="37" spans="1:51">
      <c r="A37" s="1728"/>
      <c r="B37" s="671">
        <v>3.4</v>
      </c>
      <c r="C37" s="955">
        <f>(AB37*KFC!$B$22+KFC!$C$22)*KFC!$C$5</f>
        <v>68.777279937804948</v>
      </c>
      <c r="D37" s="955">
        <f>(AC37*KFC!$B$22+KFC!$C$22)*KFC!$C$5</f>
        <v>74.308619000265168</v>
      </c>
      <c r="E37" s="955">
        <f>(AD37*KFC!$B$22+KFC!$C$22)*KFC!$C$5</f>
        <v>79.839958062725387</v>
      </c>
      <c r="F37" s="955">
        <f>(AE37*KFC!$B$22+KFC!$C$22)*KFC!$C$5</f>
        <v>85.37129712518562</v>
      </c>
      <c r="G37" s="955">
        <f>(AF37*KFC!$B$22+KFC!$C$22)*KFC!$C$5</f>
        <v>90.90263618764584</v>
      </c>
      <c r="H37" s="955">
        <f>(AG37*KFC!$B$22+KFC!$C$22)*KFC!$C$5</f>
        <v>96.433975250106059</v>
      </c>
      <c r="I37" s="955">
        <f>(AH37*KFC!$B$22+KFC!$C$22)*KFC!$C$5</f>
        <v>101.96531431256628</v>
      </c>
      <c r="J37" s="955">
        <f>(AI37*KFC!$B$22+KFC!$C$22)*KFC!$C$5</f>
        <v>107.49665337502651</v>
      </c>
      <c r="K37" s="955">
        <f>(AJ37*KFC!$B$22+KFC!$C$22)*KFC!$C$5</f>
        <v>113.02799243748673</v>
      </c>
      <c r="L37" s="955">
        <f>(AK37*KFC!$B$22+KFC!$C$22)*KFC!$C$5</f>
        <v>118.55933149994695</v>
      </c>
      <c r="M37" s="955">
        <f>(AL37*KFC!$B$22+KFC!$C$22)*KFC!$C$5</f>
        <v>124.09067056240718</v>
      </c>
      <c r="N37" s="955">
        <f>(AM37*KFC!$B$22+KFC!$C$22)*KFC!$C$5</f>
        <v>129.62200962486739</v>
      </c>
      <c r="O37" s="955">
        <f>(AN37*KFC!$B$22+KFC!$C$22)*KFC!$C$5</f>
        <v>135.15334868732762</v>
      </c>
      <c r="P37" s="955">
        <f>(AO37*KFC!$B$22+KFC!$C$22)*KFC!$C$5</f>
        <v>140.68468774978786</v>
      </c>
      <c r="Q37" s="955">
        <f>(AP37*KFC!$B$22+KFC!$C$22)*KFC!$C$5</f>
        <v>146.21602681224806</v>
      </c>
      <c r="R37" s="955">
        <f>(AQ37*KFC!$B$22+KFC!$C$22)*KFC!$C$5</f>
        <v>151.74736587470829</v>
      </c>
      <c r="S37" s="955">
        <f>(AR37*KFC!$B$22+KFC!$C$22)*KFC!$C$5</f>
        <v>157.27870493716853</v>
      </c>
      <c r="T37" s="955">
        <f>(AS37*KFC!$B$22+KFC!$C$22)*KFC!$C$5</f>
        <v>162.81004399962873</v>
      </c>
      <c r="U37" s="955">
        <f>(AT37*KFC!$B$22+KFC!$C$22)*KFC!$C$5</f>
        <v>168.34138306208897</v>
      </c>
      <c r="V37" s="955">
        <f>(AU37*KFC!$B$22+KFC!$C$22)*KFC!$C$5</f>
        <v>173.87272212454917</v>
      </c>
      <c r="W37" s="955">
        <f>(AV37*KFC!$B$22+KFC!$C$22)*KFC!$C$5</f>
        <v>179.4040611870094</v>
      </c>
      <c r="X37" s="955">
        <f>(AW37*KFC!$B$22+KFC!$C$22)*KFC!$C$5</f>
        <v>184.93540024946961</v>
      </c>
      <c r="Y37" s="955">
        <f>(AX37*KFC!$B$22+KFC!$C$22)*KFC!$C$5</f>
        <v>190.46673931192984</v>
      </c>
      <c r="Z37" s="955">
        <f>(AY37*KFC!$B$22+KFC!$C$22)*KFC!$C$5</f>
        <v>195.99807837438999</v>
      </c>
      <c r="AB37" s="771">
        <v>68.777279937804948</v>
      </c>
      <c r="AC37" s="772">
        <v>74.308619000265168</v>
      </c>
      <c r="AD37" s="772">
        <v>79.839958062725387</v>
      </c>
      <c r="AE37" s="772">
        <v>85.37129712518562</v>
      </c>
      <c r="AF37" s="772">
        <v>90.90263618764584</v>
      </c>
      <c r="AG37" s="772">
        <v>96.433975250106059</v>
      </c>
      <c r="AH37" s="772">
        <v>101.96531431256628</v>
      </c>
      <c r="AI37" s="772">
        <v>107.49665337502651</v>
      </c>
      <c r="AJ37" s="772">
        <v>113.02799243748673</v>
      </c>
      <c r="AK37" s="772">
        <v>118.55933149994695</v>
      </c>
      <c r="AL37" s="772">
        <v>124.09067056240718</v>
      </c>
      <c r="AM37" s="772">
        <v>129.62200962486739</v>
      </c>
      <c r="AN37" s="772">
        <v>135.15334868732762</v>
      </c>
      <c r="AO37" s="772">
        <v>140.68468774978786</v>
      </c>
      <c r="AP37" s="772">
        <v>146.21602681224806</v>
      </c>
      <c r="AQ37" s="772">
        <v>151.74736587470829</v>
      </c>
      <c r="AR37" s="772">
        <v>157.27870493716853</v>
      </c>
      <c r="AS37" s="772">
        <v>162.81004399962873</v>
      </c>
      <c r="AT37" s="772">
        <v>168.34138306208897</v>
      </c>
      <c r="AU37" s="772">
        <v>173.87272212454917</v>
      </c>
      <c r="AV37" s="772">
        <v>179.4040611870094</v>
      </c>
      <c r="AW37" s="772">
        <v>184.93540024946961</v>
      </c>
      <c r="AX37" s="772">
        <v>190.46673931192984</v>
      </c>
      <c r="AY37" s="773">
        <v>195.99807837438999</v>
      </c>
    </row>
    <row r="38" spans="1:51">
      <c r="A38" s="1728"/>
      <c r="B38" s="671">
        <v>3.5</v>
      </c>
      <c r="C38" s="955">
        <f>(AB38*KFC!$B$22+KFC!$C$22)*KFC!$C$5</f>
        <v>69.175226030487877</v>
      </c>
      <c r="D38" s="955">
        <f>(AC38*KFC!$B$22+KFC!$C$22)*KFC!$C$5</f>
        <v>74.763354735206846</v>
      </c>
      <c r="E38" s="955">
        <f>(AD38*KFC!$B$22+KFC!$C$22)*KFC!$C$5</f>
        <v>80.351483439925815</v>
      </c>
      <c r="F38" s="955">
        <f>(AE38*KFC!$B$22+KFC!$C$22)*KFC!$C$5</f>
        <v>85.939612144644784</v>
      </c>
      <c r="G38" s="955">
        <f>(AF38*KFC!$B$22+KFC!$C$22)*KFC!$C$5</f>
        <v>91.527740849363752</v>
      </c>
      <c r="H38" s="955">
        <f>(AG38*KFC!$B$22+KFC!$C$22)*KFC!$C$5</f>
        <v>97.115869554082721</v>
      </c>
      <c r="I38" s="955">
        <f>(AH38*KFC!$B$22+KFC!$C$22)*KFC!$C$5</f>
        <v>102.70399825880169</v>
      </c>
      <c r="J38" s="955">
        <f>(AI38*KFC!$B$22+KFC!$C$22)*KFC!$C$5</f>
        <v>108.29212696352066</v>
      </c>
      <c r="K38" s="955">
        <f>(AJ38*KFC!$B$22+KFC!$C$22)*KFC!$C$5</f>
        <v>113.88025566823963</v>
      </c>
      <c r="L38" s="955">
        <f>(AK38*KFC!$B$22+KFC!$C$22)*KFC!$C$5</f>
        <v>119.4683843729586</v>
      </c>
      <c r="M38" s="955">
        <f>(AL38*KFC!$B$22+KFC!$C$22)*KFC!$C$5</f>
        <v>125.05651307767756</v>
      </c>
      <c r="N38" s="955">
        <f>(AM38*KFC!$B$22+KFC!$C$22)*KFC!$C$5</f>
        <v>130.64464178239655</v>
      </c>
      <c r="O38" s="955">
        <f>(AN38*KFC!$B$22+KFC!$C$22)*KFC!$C$5</f>
        <v>136.23277048711552</v>
      </c>
      <c r="P38" s="955">
        <f>(AO38*KFC!$B$22+KFC!$C$22)*KFC!$C$5</f>
        <v>141.82089919183446</v>
      </c>
      <c r="Q38" s="955">
        <f>(AP38*KFC!$B$22+KFC!$C$22)*KFC!$C$5</f>
        <v>147.40902789655343</v>
      </c>
      <c r="R38" s="955">
        <f>(AQ38*KFC!$B$22+KFC!$C$22)*KFC!$C$5</f>
        <v>152.99715660127239</v>
      </c>
      <c r="S38" s="955">
        <f>(AR38*KFC!$B$22+KFC!$C$22)*KFC!$C$5</f>
        <v>158.58528530599136</v>
      </c>
      <c r="T38" s="955">
        <f>(AS38*KFC!$B$22+KFC!$C$22)*KFC!$C$5</f>
        <v>164.17341401071033</v>
      </c>
      <c r="U38" s="955">
        <f>(AT38*KFC!$B$22+KFC!$C$22)*KFC!$C$5</f>
        <v>169.7615427154293</v>
      </c>
      <c r="V38" s="955">
        <f>(AU38*KFC!$B$22+KFC!$C$22)*KFC!$C$5</f>
        <v>175.34967142014824</v>
      </c>
      <c r="W38" s="955">
        <f>(AV38*KFC!$B$22+KFC!$C$22)*KFC!$C$5</f>
        <v>180.93780012486718</v>
      </c>
      <c r="X38" s="955">
        <f>(AW38*KFC!$B$22+KFC!$C$22)*KFC!$C$5</f>
        <v>186.52592882958615</v>
      </c>
      <c r="Y38" s="955">
        <f>(AX38*KFC!$B$22+KFC!$C$22)*KFC!$C$5</f>
        <v>192.11405753430509</v>
      </c>
      <c r="Z38" s="955">
        <f>(AY38*KFC!$B$22+KFC!$C$22)*KFC!$C$5</f>
        <v>197.70218623902412</v>
      </c>
      <c r="AB38" s="771">
        <v>69.175226030487877</v>
      </c>
      <c r="AC38" s="772">
        <v>74.763354735206846</v>
      </c>
      <c r="AD38" s="772">
        <v>80.351483439925815</v>
      </c>
      <c r="AE38" s="772">
        <v>85.939612144644784</v>
      </c>
      <c r="AF38" s="772">
        <v>91.527740849363752</v>
      </c>
      <c r="AG38" s="772">
        <v>97.115869554082721</v>
      </c>
      <c r="AH38" s="772">
        <v>102.70399825880169</v>
      </c>
      <c r="AI38" s="772">
        <v>108.29212696352066</v>
      </c>
      <c r="AJ38" s="772">
        <v>113.88025566823963</v>
      </c>
      <c r="AK38" s="772">
        <v>119.4683843729586</v>
      </c>
      <c r="AL38" s="772">
        <v>125.05651307767756</v>
      </c>
      <c r="AM38" s="772">
        <v>130.64464178239655</v>
      </c>
      <c r="AN38" s="772">
        <v>136.23277048711552</v>
      </c>
      <c r="AO38" s="772">
        <v>141.82089919183446</v>
      </c>
      <c r="AP38" s="772">
        <v>147.40902789655343</v>
      </c>
      <c r="AQ38" s="772">
        <v>152.99715660127239</v>
      </c>
      <c r="AR38" s="772">
        <v>158.58528530599136</v>
      </c>
      <c r="AS38" s="772">
        <v>164.17341401071033</v>
      </c>
      <c r="AT38" s="772">
        <v>169.7615427154293</v>
      </c>
      <c r="AU38" s="772">
        <v>175.34967142014824</v>
      </c>
      <c r="AV38" s="772">
        <v>180.93780012486718</v>
      </c>
      <c r="AW38" s="772">
        <v>186.52592882958615</v>
      </c>
      <c r="AX38" s="772">
        <v>192.11405753430509</v>
      </c>
      <c r="AY38" s="773">
        <v>197.70218623902412</v>
      </c>
    </row>
    <row r="39" spans="1:51">
      <c r="A39" s="1728"/>
      <c r="B39" s="671">
        <v>3.6</v>
      </c>
      <c r="C39" s="955">
        <f>(AB39*KFC!$B$22+KFC!$C$22)*KFC!$C$5</f>
        <v>69.573172123170806</v>
      </c>
      <c r="D39" s="955">
        <f>(AC39*KFC!$B$22+KFC!$C$22)*KFC!$C$5</f>
        <v>75.218090470148525</v>
      </c>
      <c r="E39" s="955">
        <f>(AD39*KFC!$B$22+KFC!$C$22)*KFC!$C$5</f>
        <v>80.863008817126243</v>
      </c>
      <c r="F39" s="955">
        <f>(AE39*KFC!$B$22+KFC!$C$22)*KFC!$C$5</f>
        <v>86.507927164103961</v>
      </c>
      <c r="G39" s="955">
        <f>(AF39*KFC!$B$22+KFC!$C$22)*KFC!$C$5</f>
        <v>92.152845511081679</v>
      </c>
      <c r="H39" s="955">
        <f>(AG39*KFC!$B$22+KFC!$C$22)*KFC!$C$5</f>
        <v>97.797763858059383</v>
      </c>
      <c r="I39" s="955">
        <f>(AH39*KFC!$B$22+KFC!$C$22)*KFC!$C$5</f>
        <v>103.4426822050371</v>
      </c>
      <c r="J39" s="955">
        <f>(AI39*KFC!$B$22+KFC!$C$22)*KFC!$C$5</f>
        <v>109.08760055201482</v>
      </c>
      <c r="K39" s="955">
        <f>(AJ39*KFC!$B$22+KFC!$C$22)*KFC!$C$5</f>
        <v>114.73251889899252</v>
      </c>
      <c r="L39" s="955">
        <f>(AK39*KFC!$B$22+KFC!$C$22)*KFC!$C$5</f>
        <v>120.37743724597024</v>
      </c>
      <c r="M39" s="955">
        <f>(AL39*KFC!$B$22+KFC!$C$22)*KFC!$C$5</f>
        <v>126.02235559294796</v>
      </c>
      <c r="N39" s="955">
        <f>(AM39*KFC!$B$22+KFC!$C$22)*KFC!$C$5</f>
        <v>131.66727393992568</v>
      </c>
      <c r="O39" s="955">
        <f>(AN39*KFC!$B$22+KFC!$C$22)*KFC!$C$5</f>
        <v>137.31219228690338</v>
      </c>
      <c r="P39" s="955">
        <f>(AO39*KFC!$B$22+KFC!$C$22)*KFC!$C$5</f>
        <v>142.95711063388109</v>
      </c>
      <c r="Q39" s="955">
        <f>(AP39*KFC!$B$22+KFC!$C$22)*KFC!$C$5</f>
        <v>148.60202898085882</v>
      </c>
      <c r="R39" s="955">
        <f>(AQ39*KFC!$B$22+KFC!$C$22)*KFC!$C$5</f>
        <v>154.24694732783652</v>
      </c>
      <c r="S39" s="955">
        <f>(AR39*KFC!$B$22+KFC!$C$22)*KFC!$C$5</f>
        <v>159.89186567481423</v>
      </c>
      <c r="T39" s="955">
        <f>(AS39*KFC!$B$22+KFC!$C$22)*KFC!$C$5</f>
        <v>165.53678402179196</v>
      </c>
      <c r="U39" s="955">
        <f>(AT39*KFC!$B$22+KFC!$C$22)*KFC!$C$5</f>
        <v>171.18170236876969</v>
      </c>
      <c r="V39" s="955">
        <f>(AU39*KFC!$B$22+KFC!$C$22)*KFC!$C$5</f>
        <v>176.8266207157474</v>
      </c>
      <c r="W39" s="955">
        <f>(AV39*KFC!$B$22+KFC!$C$22)*KFC!$C$5</f>
        <v>182.4715390627251</v>
      </c>
      <c r="X39" s="955">
        <f>(AW39*KFC!$B$22+KFC!$C$22)*KFC!$C$5</f>
        <v>188.11645740970283</v>
      </c>
      <c r="Y39" s="955">
        <f>(AX39*KFC!$B$22+KFC!$C$22)*KFC!$C$5</f>
        <v>193.76137575668054</v>
      </c>
      <c r="Z39" s="955">
        <f>(AY39*KFC!$B$22+KFC!$C$22)*KFC!$C$5</f>
        <v>199.40629410365824</v>
      </c>
      <c r="AB39" s="771">
        <v>69.573172123170806</v>
      </c>
      <c r="AC39" s="772">
        <v>75.218090470148525</v>
      </c>
      <c r="AD39" s="772">
        <v>80.863008817126243</v>
      </c>
      <c r="AE39" s="772">
        <v>86.507927164103961</v>
      </c>
      <c r="AF39" s="772">
        <v>92.152845511081679</v>
      </c>
      <c r="AG39" s="772">
        <v>97.797763858059383</v>
      </c>
      <c r="AH39" s="772">
        <v>103.4426822050371</v>
      </c>
      <c r="AI39" s="772">
        <v>109.08760055201482</v>
      </c>
      <c r="AJ39" s="772">
        <v>114.73251889899252</v>
      </c>
      <c r="AK39" s="772">
        <v>120.37743724597024</v>
      </c>
      <c r="AL39" s="772">
        <v>126.02235559294796</v>
      </c>
      <c r="AM39" s="772">
        <v>131.66727393992568</v>
      </c>
      <c r="AN39" s="772">
        <v>137.31219228690338</v>
      </c>
      <c r="AO39" s="772">
        <v>142.95711063388109</v>
      </c>
      <c r="AP39" s="772">
        <v>148.60202898085882</v>
      </c>
      <c r="AQ39" s="772">
        <v>154.24694732783652</v>
      </c>
      <c r="AR39" s="772">
        <v>159.89186567481423</v>
      </c>
      <c r="AS39" s="772">
        <v>165.53678402179196</v>
      </c>
      <c r="AT39" s="772">
        <v>171.18170236876969</v>
      </c>
      <c r="AU39" s="772">
        <v>176.8266207157474</v>
      </c>
      <c r="AV39" s="772">
        <v>182.4715390627251</v>
      </c>
      <c r="AW39" s="772">
        <v>188.11645740970283</v>
      </c>
      <c r="AX39" s="772">
        <v>193.76137575668054</v>
      </c>
      <c r="AY39" s="773">
        <v>199.40629410365824</v>
      </c>
    </row>
    <row r="40" spans="1:51">
      <c r="A40" s="1728"/>
      <c r="B40" s="671">
        <v>3.7</v>
      </c>
      <c r="C40" s="955">
        <f>(AB40*KFC!$B$22+KFC!$C$22)*KFC!$C$5</f>
        <v>69.971118215853735</v>
      </c>
      <c r="D40" s="955">
        <f>(AC40*KFC!$B$22+KFC!$C$22)*KFC!$C$5</f>
        <v>75.672826205090203</v>
      </c>
      <c r="E40" s="955">
        <f>(AD40*KFC!$B$22+KFC!$C$22)*KFC!$C$5</f>
        <v>81.374534194326657</v>
      </c>
      <c r="F40" s="955">
        <f>(AE40*KFC!$B$22+KFC!$C$22)*KFC!$C$5</f>
        <v>87.07624218356311</v>
      </c>
      <c r="G40" s="955">
        <f>(AF40*KFC!$B$22+KFC!$C$22)*KFC!$C$5</f>
        <v>92.777950172799578</v>
      </c>
      <c r="H40" s="955">
        <f>(AG40*KFC!$B$22+KFC!$C$22)*KFC!$C$5</f>
        <v>98.479658162036031</v>
      </c>
      <c r="I40" s="955">
        <f>(AH40*KFC!$B$22+KFC!$C$22)*KFC!$C$5</f>
        <v>104.18136615127248</v>
      </c>
      <c r="J40" s="955">
        <f>(AI40*KFC!$B$22+KFC!$C$22)*KFC!$C$5</f>
        <v>109.88307414050895</v>
      </c>
      <c r="K40" s="955">
        <f>(AJ40*KFC!$B$22+KFC!$C$22)*KFC!$C$5</f>
        <v>115.58478212974541</v>
      </c>
      <c r="L40" s="955">
        <f>(AK40*KFC!$B$22+KFC!$C$22)*KFC!$C$5</f>
        <v>121.28649011898186</v>
      </c>
      <c r="M40" s="955">
        <f>(AL40*KFC!$B$22+KFC!$C$22)*KFC!$C$5</f>
        <v>126.98819810821833</v>
      </c>
      <c r="N40" s="955">
        <f>(AM40*KFC!$B$22+KFC!$C$22)*KFC!$C$5</f>
        <v>132.68990609745478</v>
      </c>
      <c r="O40" s="955">
        <f>(AN40*KFC!$B$22+KFC!$C$22)*KFC!$C$5</f>
        <v>138.39161408669125</v>
      </c>
      <c r="P40" s="955">
        <f>(AO40*KFC!$B$22+KFC!$C$22)*KFC!$C$5</f>
        <v>144.09332207592769</v>
      </c>
      <c r="Q40" s="955">
        <f>(AP40*KFC!$B$22+KFC!$C$22)*KFC!$C$5</f>
        <v>149.79503006516416</v>
      </c>
      <c r="R40" s="955">
        <f>(AQ40*KFC!$B$22+KFC!$C$22)*KFC!$C$5</f>
        <v>155.49673805440062</v>
      </c>
      <c r="S40" s="955">
        <f>(AR40*KFC!$B$22+KFC!$C$22)*KFC!$C$5</f>
        <v>161.19844604363706</v>
      </c>
      <c r="T40" s="955">
        <f>(AS40*KFC!$B$22+KFC!$C$22)*KFC!$C$5</f>
        <v>166.90015403287353</v>
      </c>
      <c r="U40" s="955">
        <f>(AT40*KFC!$B$22+KFC!$C$22)*KFC!$C$5</f>
        <v>172.60186202211</v>
      </c>
      <c r="V40" s="955">
        <f>(AU40*KFC!$B$22+KFC!$C$22)*KFC!$C$5</f>
        <v>178.30357001134647</v>
      </c>
      <c r="W40" s="955">
        <f>(AV40*KFC!$B$22+KFC!$C$22)*KFC!$C$5</f>
        <v>184.00527800058293</v>
      </c>
      <c r="X40" s="955">
        <f>(AW40*KFC!$B$22+KFC!$C$22)*KFC!$C$5</f>
        <v>189.70698598981943</v>
      </c>
      <c r="Y40" s="955">
        <f>(AX40*KFC!$B$22+KFC!$C$22)*KFC!$C$5</f>
        <v>195.4086939790559</v>
      </c>
      <c r="Z40" s="955">
        <f>(AY40*KFC!$B$22+KFC!$C$22)*KFC!$C$5</f>
        <v>201.11040196829236</v>
      </c>
      <c r="AB40" s="771">
        <v>69.971118215853735</v>
      </c>
      <c r="AC40" s="772">
        <v>75.672826205090203</v>
      </c>
      <c r="AD40" s="772">
        <v>81.374534194326657</v>
      </c>
      <c r="AE40" s="772">
        <v>87.07624218356311</v>
      </c>
      <c r="AF40" s="772">
        <v>92.777950172799578</v>
      </c>
      <c r="AG40" s="772">
        <v>98.479658162036031</v>
      </c>
      <c r="AH40" s="772">
        <v>104.18136615127248</v>
      </c>
      <c r="AI40" s="772">
        <v>109.88307414050895</v>
      </c>
      <c r="AJ40" s="772">
        <v>115.58478212974541</v>
      </c>
      <c r="AK40" s="772">
        <v>121.28649011898186</v>
      </c>
      <c r="AL40" s="772">
        <v>126.98819810821833</v>
      </c>
      <c r="AM40" s="772">
        <v>132.68990609745478</v>
      </c>
      <c r="AN40" s="772">
        <v>138.39161408669125</v>
      </c>
      <c r="AO40" s="772">
        <v>144.09332207592769</v>
      </c>
      <c r="AP40" s="772">
        <v>149.79503006516416</v>
      </c>
      <c r="AQ40" s="772">
        <v>155.49673805440062</v>
      </c>
      <c r="AR40" s="772">
        <v>161.19844604363706</v>
      </c>
      <c r="AS40" s="772">
        <v>166.90015403287353</v>
      </c>
      <c r="AT40" s="772">
        <v>172.60186202211</v>
      </c>
      <c r="AU40" s="772">
        <v>178.30357001134647</v>
      </c>
      <c r="AV40" s="772">
        <v>184.00527800058293</v>
      </c>
      <c r="AW40" s="772">
        <v>189.70698598981943</v>
      </c>
      <c r="AX40" s="772">
        <v>195.4086939790559</v>
      </c>
      <c r="AY40" s="773">
        <v>201.11040196829236</v>
      </c>
    </row>
    <row r="41" spans="1:51">
      <c r="A41" s="1728"/>
      <c r="B41" s="671">
        <v>3.8</v>
      </c>
      <c r="C41" s="955">
        <f>(AB41*KFC!$B$22+KFC!$C$22)*KFC!$C$5</f>
        <v>70.369064308536664</v>
      </c>
      <c r="D41" s="955">
        <f>(AC41*KFC!$B$22+KFC!$C$22)*KFC!$C$5</f>
        <v>76.127561940031882</v>
      </c>
      <c r="E41" s="955">
        <f>(AD41*KFC!$B$22+KFC!$C$22)*KFC!$C$5</f>
        <v>81.886059571527099</v>
      </c>
      <c r="F41" s="955">
        <f>(AE41*KFC!$B$22+KFC!$C$22)*KFC!$C$5</f>
        <v>87.644557203022316</v>
      </c>
      <c r="G41" s="955">
        <f>(AF41*KFC!$B$22+KFC!$C$22)*KFC!$C$5</f>
        <v>93.403054834517519</v>
      </c>
      <c r="H41" s="955">
        <f>(AG41*KFC!$B$22+KFC!$C$22)*KFC!$C$5</f>
        <v>99.161552466012722</v>
      </c>
      <c r="I41" s="955">
        <f>(AH41*KFC!$B$22+KFC!$C$22)*KFC!$C$5</f>
        <v>104.92005009750793</v>
      </c>
      <c r="J41" s="955">
        <f>(AI41*KFC!$B$22+KFC!$C$22)*KFC!$C$5</f>
        <v>110.67854772900313</v>
      </c>
      <c r="K41" s="955">
        <f>(AJ41*KFC!$B$22+KFC!$C$22)*KFC!$C$5</f>
        <v>116.43704536049833</v>
      </c>
      <c r="L41" s="955">
        <f>(AK41*KFC!$B$22+KFC!$C$22)*KFC!$C$5</f>
        <v>122.19554299199353</v>
      </c>
      <c r="M41" s="955">
        <f>(AL41*KFC!$B$22+KFC!$C$22)*KFC!$C$5</f>
        <v>127.95404062348874</v>
      </c>
      <c r="N41" s="955">
        <f>(AM41*KFC!$B$22+KFC!$C$22)*KFC!$C$5</f>
        <v>133.71253825498394</v>
      </c>
      <c r="O41" s="955">
        <f>(AN41*KFC!$B$22+KFC!$C$22)*KFC!$C$5</f>
        <v>139.47103588647914</v>
      </c>
      <c r="P41" s="955">
        <f>(AO41*KFC!$B$22+KFC!$C$22)*KFC!$C$5</f>
        <v>145.22953351797435</v>
      </c>
      <c r="Q41" s="955">
        <f>(AP41*KFC!$B$22+KFC!$C$22)*KFC!$C$5</f>
        <v>150.98803114946955</v>
      </c>
      <c r="R41" s="955">
        <f>(AQ41*KFC!$B$22+KFC!$C$22)*KFC!$C$5</f>
        <v>156.74652878096475</v>
      </c>
      <c r="S41" s="955">
        <f>(AR41*KFC!$B$22+KFC!$C$22)*KFC!$C$5</f>
        <v>162.50502641245996</v>
      </c>
      <c r="T41" s="955">
        <f>(AS41*KFC!$B$22+KFC!$C$22)*KFC!$C$5</f>
        <v>168.26352404395516</v>
      </c>
      <c r="U41" s="955">
        <f>(AT41*KFC!$B$22+KFC!$C$22)*KFC!$C$5</f>
        <v>174.02202167545039</v>
      </c>
      <c r="V41" s="955">
        <f>(AU41*KFC!$B$22+KFC!$C$22)*KFC!$C$5</f>
        <v>179.78051930694559</v>
      </c>
      <c r="W41" s="955">
        <f>(AV41*KFC!$B$22+KFC!$C$22)*KFC!$C$5</f>
        <v>185.5390169384408</v>
      </c>
      <c r="X41" s="955">
        <f>(AW41*KFC!$B$22+KFC!$C$22)*KFC!$C$5</f>
        <v>191.297514569936</v>
      </c>
      <c r="Y41" s="955">
        <f>(AX41*KFC!$B$22+KFC!$C$22)*KFC!$C$5</f>
        <v>197.0560122014312</v>
      </c>
      <c r="Z41" s="955">
        <f>(AY41*KFC!$B$22+KFC!$C$22)*KFC!$C$5</f>
        <v>202.81450983292652</v>
      </c>
      <c r="AB41" s="771">
        <v>70.369064308536664</v>
      </c>
      <c r="AC41" s="772">
        <v>76.127561940031882</v>
      </c>
      <c r="AD41" s="772">
        <v>81.886059571527099</v>
      </c>
      <c r="AE41" s="772">
        <v>87.644557203022316</v>
      </c>
      <c r="AF41" s="772">
        <v>93.403054834517519</v>
      </c>
      <c r="AG41" s="772">
        <v>99.161552466012722</v>
      </c>
      <c r="AH41" s="772">
        <v>104.92005009750793</v>
      </c>
      <c r="AI41" s="772">
        <v>110.67854772900313</v>
      </c>
      <c r="AJ41" s="772">
        <v>116.43704536049833</v>
      </c>
      <c r="AK41" s="772">
        <v>122.19554299199353</v>
      </c>
      <c r="AL41" s="772">
        <v>127.95404062348874</v>
      </c>
      <c r="AM41" s="772">
        <v>133.71253825498394</v>
      </c>
      <c r="AN41" s="772">
        <v>139.47103588647914</v>
      </c>
      <c r="AO41" s="772">
        <v>145.22953351797435</v>
      </c>
      <c r="AP41" s="772">
        <v>150.98803114946955</v>
      </c>
      <c r="AQ41" s="772">
        <v>156.74652878096475</v>
      </c>
      <c r="AR41" s="772">
        <v>162.50502641245996</v>
      </c>
      <c r="AS41" s="772">
        <v>168.26352404395516</v>
      </c>
      <c r="AT41" s="772">
        <v>174.02202167545039</v>
      </c>
      <c r="AU41" s="772">
        <v>179.78051930694559</v>
      </c>
      <c r="AV41" s="772">
        <v>185.5390169384408</v>
      </c>
      <c r="AW41" s="772">
        <v>191.297514569936</v>
      </c>
      <c r="AX41" s="772">
        <v>197.0560122014312</v>
      </c>
      <c r="AY41" s="773">
        <v>202.81450983292652</v>
      </c>
    </row>
    <row r="42" spans="1:51">
      <c r="A42" s="1728"/>
      <c r="B42" s="671">
        <v>3.9</v>
      </c>
      <c r="C42" s="955">
        <f>(AB42*KFC!$B$22+KFC!$C$22)*KFC!$C$5</f>
        <v>70.767010401219608</v>
      </c>
      <c r="D42" s="955">
        <f>(AC42*KFC!$B$22+KFC!$C$22)*KFC!$C$5</f>
        <v>76.58229767497356</v>
      </c>
      <c r="E42" s="955">
        <f>(AD42*KFC!$B$22+KFC!$C$22)*KFC!$C$5</f>
        <v>82.397584948727513</v>
      </c>
      <c r="F42" s="955">
        <f>(AE42*KFC!$B$22+KFC!$C$22)*KFC!$C$5</f>
        <v>88.212872222481479</v>
      </c>
      <c r="G42" s="955">
        <f>(AF42*KFC!$B$22+KFC!$C$22)*KFC!$C$5</f>
        <v>94.028159496235446</v>
      </c>
      <c r="H42" s="955">
        <f>(AG42*KFC!$B$22+KFC!$C$22)*KFC!$C$5</f>
        <v>99.843446769989413</v>
      </c>
      <c r="I42" s="955">
        <f>(AH42*KFC!$B$22+KFC!$C$22)*KFC!$C$5</f>
        <v>105.65873404374338</v>
      </c>
      <c r="J42" s="955">
        <f>(AI42*KFC!$B$22+KFC!$C$22)*KFC!$C$5</f>
        <v>111.47402131749735</v>
      </c>
      <c r="K42" s="955">
        <f>(AJ42*KFC!$B$22+KFC!$C$22)*KFC!$C$5</f>
        <v>117.28930859125131</v>
      </c>
      <c r="L42" s="955">
        <f>(AK42*KFC!$B$22+KFC!$C$22)*KFC!$C$5</f>
        <v>123.10459586500528</v>
      </c>
      <c r="M42" s="955">
        <f>(AL42*KFC!$B$22+KFC!$C$22)*KFC!$C$5</f>
        <v>128.91988313875925</v>
      </c>
      <c r="N42" s="955">
        <f>(AM42*KFC!$B$22+KFC!$C$22)*KFC!$C$5</f>
        <v>134.73517041251321</v>
      </c>
      <c r="O42" s="955">
        <f>(AN42*KFC!$B$22+KFC!$C$22)*KFC!$C$5</f>
        <v>140.55045768626718</v>
      </c>
      <c r="P42" s="955">
        <f>(AO42*KFC!$B$22+KFC!$C$22)*KFC!$C$5</f>
        <v>146.36574496002115</v>
      </c>
      <c r="Q42" s="955">
        <f>(AP42*KFC!$B$22+KFC!$C$22)*KFC!$C$5</f>
        <v>152.18103223377511</v>
      </c>
      <c r="R42" s="955">
        <f>(AQ42*KFC!$B$22+KFC!$C$22)*KFC!$C$5</f>
        <v>157.99631950752908</v>
      </c>
      <c r="S42" s="955">
        <f>(AR42*KFC!$B$22+KFC!$C$22)*KFC!$C$5</f>
        <v>163.81160678128305</v>
      </c>
      <c r="T42" s="955">
        <f>(AS42*KFC!$B$22+KFC!$C$22)*KFC!$C$5</f>
        <v>169.62689405503701</v>
      </c>
      <c r="U42" s="955">
        <f>(AT42*KFC!$B$22+KFC!$C$22)*KFC!$C$5</f>
        <v>175.44218132879098</v>
      </c>
      <c r="V42" s="955">
        <f>(AU42*KFC!$B$22+KFC!$C$22)*KFC!$C$5</f>
        <v>181.25746860254495</v>
      </c>
      <c r="W42" s="955">
        <f>(AV42*KFC!$B$22+KFC!$C$22)*KFC!$C$5</f>
        <v>187.07275587629891</v>
      </c>
      <c r="X42" s="955">
        <f>(AW42*KFC!$B$22+KFC!$C$22)*KFC!$C$5</f>
        <v>192.88804315005288</v>
      </c>
      <c r="Y42" s="955">
        <f>(AX42*KFC!$B$22+KFC!$C$22)*KFC!$C$5</f>
        <v>198.70333042380685</v>
      </c>
      <c r="Z42" s="955">
        <f>(AY42*KFC!$B$22+KFC!$C$22)*KFC!$C$5</f>
        <v>204.51861769756064</v>
      </c>
      <c r="AB42" s="771">
        <v>70.767010401219608</v>
      </c>
      <c r="AC42" s="772">
        <v>76.58229767497356</v>
      </c>
      <c r="AD42" s="772">
        <v>82.397584948727513</v>
      </c>
      <c r="AE42" s="772">
        <v>88.212872222481479</v>
      </c>
      <c r="AF42" s="772">
        <v>94.028159496235446</v>
      </c>
      <c r="AG42" s="772">
        <v>99.843446769989413</v>
      </c>
      <c r="AH42" s="772">
        <v>105.65873404374338</v>
      </c>
      <c r="AI42" s="772">
        <v>111.47402131749735</v>
      </c>
      <c r="AJ42" s="772">
        <v>117.28930859125131</v>
      </c>
      <c r="AK42" s="772">
        <v>123.10459586500528</v>
      </c>
      <c r="AL42" s="772">
        <v>128.91988313875925</v>
      </c>
      <c r="AM42" s="772">
        <v>134.73517041251321</v>
      </c>
      <c r="AN42" s="772">
        <v>140.55045768626718</v>
      </c>
      <c r="AO42" s="772">
        <v>146.36574496002115</v>
      </c>
      <c r="AP42" s="772">
        <v>152.18103223377511</v>
      </c>
      <c r="AQ42" s="772">
        <v>157.99631950752908</v>
      </c>
      <c r="AR42" s="772">
        <v>163.81160678128305</v>
      </c>
      <c r="AS42" s="772">
        <v>169.62689405503701</v>
      </c>
      <c r="AT42" s="772">
        <v>175.44218132879098</v>
      </c>
      <c r="AU42" s="772">
        <v>181.25746860254495</v>
      </c>
      <c r="AV42" s="772">
        <v>187.07275587629891</v>
      </c>
      <c r="AW42" s="772">
        <v>192.88804315005288</v>
      </c>
      <c r="AX42" s="772">
        <v>198.70333042380685</v>
      </c>
      <c r="AY42" s="773">
        <v>204.51861769756064</v>
      </c>
    </row>
    <row r="43" spans="1:51">
      <c r="A43" s="1728"/>
      <c r="B43" s="671">
        <v>4</v>
      </c>
      <c r="C43" s="955">
        <f>(AB43*KFC!$B$22+KFC!$C$22)*KFC!$C$5</f>
        <v>71.164956493902537</v>
      </c>
      <c r="D43" s="955">
        <f>(AC43*KFC!$B$22+KFC!$C$22)*KFC!$C$5</f>
        <v>77.037033409915239</v>
      </c>
      <c r="E43" s="955">
        <f>(AD43*KFC!$B$22+KFC!$C$22)*KFC!$C$5</f>
        <v>82.909110325927941</v>
      </c>
      <c r="F43" s="955">
        <f>(AE43*KFC!$B$22+KFC!$C$22)*KFC!$C$5</f>
        <v>88.781187241940643</v>
      </c>
      <c r="G43" s="955">
        <f>(AF43*KFC!$B$22+KFC!$C$22)*KFC!$C$5</f>
        <v>94.653264157953345</v>
      </c>
      <c r="H43" s="955">
        <f>(AG43*KFC!$B$22+KFC!$C$22)*KFC!$C$5</f>
        <v>100.52534107396606</v>
      </c>
      <c r="I43" s="955">
        <f>(AH43*KFC!$B$22+KFC!$C$22)*KFC!$C$5</f>
        <v>106.39741798997878</v>
      </c>
      <c r="J43" s="955">
        <f>(AI43*KFC!$B$22+KFC!$C$22)*KFC!$C$5</f>
        <v>112.26949490599148</v>
      </c>
      <c r="K43" s="955">
        <f>(AJ43*KFC!$B$22+KFC!$C$22)*KFC!$C$5</f>
        <v>118.1415718220042</v>
      </c>
      <c r="L43" s="955">
        <f>(AK43*KFC!$B$22+KFC!$C$22)*KFC!$C$5</f>
        <v>124.01364873801691</v>
      </c>
      <c r="M43" s="955">
        <f>(AL43*KFC!$B$22+KFC!$C$22)*KFC!$C$5</f>
        <v>129.88572565402961</v>
      </c>
      <c r="N43" s="955">
        <f>(AM43*KFC!$B$22+KFC!$C$22)*KFC!$C$5</f>
        <v>135.75780257004234</v>
      </c>
      <c r="O43" s="955">
        <f>(AN43*KFC!$B$22+KFC!$C$22)*KFC!$C$5</f>
        <v>141.62987948605505</v>
      </c>
      <c r="P43" s="955">
        <f>(AO43*KFC!$B$22+KFC!$C$22)*KFC!$C$5</f>
        <v>147.50195640206775</v>
      </c>
      <c r="Q43" s="955">
        <f>(AP43*KFC!$B$22+KFC!$C$22)*KFC!$C$5</f>
        <v>153.37403331808048</v>
      </c>
      <c r="R43" s="955">
        <f>(AQ43*KFC!$B$22+KFC!$C$22)*KFC!$C$5</f>
        <v>159.24611023409318</v>
      </c>
      <c r="S43" s="955">
        <f>(AR43*KFC!$B$22+KFC!$C$22)*KFC!$C$5</f>
        <v>165.11818715010588</v>
      </c>
      <c r="T43" s="955">
        <f>(AS43*KFC!$B$22+KFC!$C$22)*KFC!$C$5</f>
        <v>170.99026406611861</v>
      </c>
      <c r="U43" s="955">
        <f>(AT43*KFC!$B$22+KFC!$C$22)*KFC!$C$5</f>
        <v>176.86234098213129</v>
      </c>
      <c r="V43" s="955">
        <f>(AU43*KFC!$B$22+KFC!$C$22)*KFC!$C$5</f>
        <v>182.73441789814399</v>
      </c>
      <c r="W43" s="955">
        <f>(AV43*KFC!$B$22+KFC!$C$22)*KFC!$C$5</f>
        <v>188.60649481415669</v>
      </c>
      <c r="X43" s="955">
        <f>(AW43*KFC!$B$22+KFC!$C$22)*KFC!$C$5</f>
        <v>194.47857173016936</v>
      </c>
      <c r="Y43" s="955">
        <f>(AX43*KFC!$B$22+KFC!$C$22)*KFC!$C$5</f>
        <v>200.35064864618207</v>
      </c>
      <c r="Z43" s="955">
        <f>(AY43*KFC!$B$22+KFC!$C$22)*KFC!$C$5</f>
        <v>206.22272556219477</v>
      </c>
      <c r="AB43" s="771">
        <v>71.164956493902537</v>
      </c>
      <c r="AC43" s="772">
        <v>77.037033409915239</v>
      </c>
      <c r="AD43" s="772">
        <v>82.909110325927941</v>
      </c>
      <c r="AE43" s="772">
        <v>88.781187241940643</v>
      </c>
      <c r="AF43" s="772">
        <v>94.653264157953345</v>
      </c>
      <c r="AG43" s="772">
        <v>100.52534107396606</v>
      </c>
      <c r="AH43" s="772">
        <v>106.39741798997878</v>
      </c>
      <c r="AI43" s="772">
        <v>112.26949490599148</v>
      </c>
      <c r="AJ43" s="772">
        <v>118.1415718220042</v>
      </c>
      <c r="AK43" s="772">
        <v>124.01364873801691</v>
      </c>
      <c r="AL43" s="772">
        <v>129.88572565402961</v>
      </c>
      <c r="AM43" s="772">
        <v>135.75780257004234</v>
      </c>
      <c r="AN43" s="772">
        <v>141.62987948605505</v>
      </c>
      <c r="AO43" s="772">
        <v>147.50195640206775</v>
      </c>
      <c r="AP43" s="772">
        <v>153.37403331808048</v>
      </c>
      <c r="AQ43" s="772">
        <v>159.24611023409318</v>
      </c>
      <c r="AR43" s="772">
        <v>165.11818715010588</v>
      </c>
      <c r="AS43" s="772">
        <v>170.99026406611861</v>
      </c>
      <c r="AT43" s="772">
        <v>176.86234098213129</v>
      </c>
      <c r="AU43" s="772">
        <v>182.73441789814399</v>
      </c>
      <c r="AV43" s="772">
        <v>188.60649481415669</v>
      </c>
      <c r="AW43" s="772">
        <v>194.47857173016936</v>
      </c>
      <c r="AX43" s="772">
        <v>200.35064864618207</v>
      </c>
      <c r="AY43" s="773">
        <v>206.22272556219477</v>
      </c>
    </row>
    <row r="44" spans="1:51">
      <c r="A44" s="1728"/>
      <c r="B44" s="671">
        <v>4.0999999999999996</v>
      </c>
      <c r="C44" s="955">
        <f>(AB44*KFC!$B$22+KFC!$C$22)*KFC!$C$5</f>
        <v>71.562902586585466</v>
      </c>
      <c r="D44" s="955">
        <f>(AC44*KFC!$B$22+KFC!$C$22)*KFC!$C$5</f>
        <v>77.491769144856917</v>
      </c>
      <c r="E44" s="955">
        <f>(AD44*KFC!$B$22+KFC!$C$22)*KFC!$C$5</f>
        <v>83.420635703128369</v>
      </c>
      <c r="F44" s="955">
        <f>(AE44*KFC!$B$22+KFC!$C$22)*KFC!$C$5</f>
        <v>89.349502261399834</v>
      </c>
      <c r="G44" s="955">
        <f>(AF44*KFC!$B$22+KFC!$C$22)*KFC!$C$5</f>
        <v>95.278368819671286</v>
      </c>
      <c r="H44" s="955">
        <f>(AG44*KFC!$B$22+KFC!$C$22)*KFC!$C$5</f>
        <v>101.20723537794274</v>
      </c>
      <c r="I44" s="955">
        <f>(AH44*KFC!$B$22+KFC!$C$22)*KFC!$C$5</f>
        <v>107.1361019362142</v>
      </c>
      <c r="J44" s="955">
        <f>(AI44*KFC!$B$22+KFC!$C$22)*KFC!$C$5</f>
        <v>113.06496849448565</v>
      </c>
      <c r="K44" s="955">
        <f>(AJ44*KFC!$B$22+KFC!$C$22)*KFC!$C$5</f>
        <v>118.99383505275712</v>
      </c>
      <c r="L44" s="955">
        <f>(AK44*KFC!$B$22+KFC!$C$22)*KFC!$C$5</f>
        <v>124.92270161102857</v>
      </c>
      <c r="M44" s="955">
        <f>(AL44*KFC!$B$22+KFC!$C$22)*KFC!$C$5</f>
        <v>130.85156816930004</v>
      </c>
      <c r="N44" s="955">
        <f>(AM44*KFC!$B$22+KFC!$C$22)*KFC!$C$5</f>
        <v>136.78043472757147</v>
      </c>
      <c r="O44" s="955">
        <f>(AN44*KFC!$B$22+KFC!$C$22)*KFC!$C$5</f>
        <v>142.70930128584294</v>
      </c>
      <c r="P44" s="955">
        <f>(AO44*KFC!$B$22+KFC!$C$22)*KFC!$C$5</f>
        <v>148.63816784411441</v>
      </c>
      <c r="Q44" s="955">
        <f>(AP44*KFC!$B$22+KFC!$C$22)*KFC!$C$5</f>
        <v>154.56703440238584</v>
      </c>
      <c r="R44" s="955">
        <f>(AQ44*KFC!$B$22+KFC!$C$22)*KFC!$C$5</f>
        <v>160.49590096065731</v>
      </c>
      <c r="S44" s="955">
        <f>(AR44*KFC!$B$22+KFC!$C$22)*KFC!$C$5</f>
        <v>166.42476751892877</v>
      </c>
      <c r="T44" s="955">
        <f>(AS44*KFC!$B$22+KFC!$C$22)*KFC!$C$5</f>
        <v>172.35363407720024</v>
      </c>
      <c r="U44" s="955">
        <f>(AT44*KFC!$B$22+KFC!$C$22)*KFC!$C$5</f>
        <v>178.28250063547168</v>
      </c>
      <c r="V44" s="955">
        <f>(AU44*KFC!$B$22+KFC!$C$22)*KFC!$C$5</f>
        <v>184.21136719374314</v>
      </c>
      <c r="W44" s="955">
        <f>(AV44*KFC!$B$22+KFC!$C$22)*KFC!$C$5</f>
        <v>190.14023375201461</v>
      </c>
      <c r="X44" s="955">
        <f>(AW44*KFC!$B$22+KFC!$C$22)*KFC!$C$5</f>
        <v>196.06910031028605</v>
      </c>
      <c r="Y44" s="955">
        <f>(AX44*KFC!$B$22+KFC!$C$22)*KFC!$C$5</f>
        <v>201.99796686855751</v>
      </c>
      <c r="Z44" s="955">
        <f>(AY44*KFC!$B$22+KFC!$C$22)*KFC!$C$5</f>
        <v>207.92683342682889</v>
      </c>
      <c r="AB44" s="771">
        <v>71.562902586585466</v>
      </c>
      <c r="AC44" s="772">
        <v>77.491769144856917</v>
      </c>
      <c r="AD44" s="772">
        <v>83.420635703128369</v>
      </c>
      <c r="AE44" s="772">
        <v>89.349502261399834</v>
      </c>
      <c r="AF44" s="772">
        <v>95.278368819671286</v>
      </c>
      <c r="AG44" s="772">
        <v>101.20723537794274</v>
      </c>
      <c r="AH44" s="772">
        <v>107.1361019362142</v>
      </c>
      <c r="AI44" s="772">
        <v>113.06496849448565</v>
      </c>
      <c r="AJ44" s="772">
        <v>118.99383505275712</v>
      </c>
      <c r="AK44" s="772">
        <v>124.92270161102857</v>
      </c>
      <c r="AL44" s="772">
        <v>130.85156816930004</v>
      </c>
      <c r="AM44" s="772">
        <v>136.78043472757147</v>
      </c>
      <c r="AN44" s="772">
        <v>142.70930128584294</v>
      </c>
      <c r="AO44" s="772">
        <v>148.63816784411441</v>
      </c>
      <c r="AP44" s="772">
        <v>154.56703440238584</v>
      </c>
      <c r="AQ44" s="772">
        <v>160.49590096065731</v>
      </c>
      <c r="AR44" s="772">
        <v>166.42476751892877</v>
      </c>
      <c r="AS44" s="772">
        <v>172.35363407720024</v>
      </c>
      <c r="AT44" s="772">
        <v>178.28250063547168</v>
      </c>
      <c r="AU44" s="772">
        <v>184.21136719374314</v>
      </c>
      <c r="AV44" s="772">
        <v>190.14023375201461</v>
      </c>
      <c r="AW44" s="772">
        <v>196.06910031028605</v>
      </c>
      <c r="AX44" s="772">
        <v>201.99796686855751</v>
      </c>
      <c r="AY44" s="773">
        <v>207.92683342682889</v>
      </c>
    </row>
    <row r="45" spans="1:51">
      <c r="A45" s="1728"/>
      <c r="B45" s="671">
        <v>4.2</v>
      </c>
      <c r="C45" s="955">
        <f>(AB45*KFC!$B$22+KFC!$C$22)*KFC!$C$5</f>
        <v>71.960848679268395</v>
      </c>
      <c r="D45" s="955">
        <f>(AC45*KFC!$B$22+KFC!$C$22)*KFC!$C$5</f>
        <v>77.946504879798596</v>
      </c>
      <c r="E45" s="955">
        <f>(AD45*KFC!$B$22+KFC!$C$22)*KFC!$C$5</f>
        <v>83.932161080328797</v>
      </c>
      <c r="F45" s="955">
        <f>(AE45*KFC!$B$22+KFC!$C$22)*KFC!$C$5</f>
        <v>89.917817280858984</v>
      </c>
      <c r="G45" s="955">
        <f>(AF45*KFC!$B$22+KFC!$C$22)*KFC!$C$5</f>
        <v>95.903473481389184</v>
      </c>
      <c r="H45" s="955">
        <f>(AG45*KFC!$B$22+KFC!$C$22)*KFC!$C$5</f>
        <v>101.88912968191939</v>
      </c>
      <c r="I45" s="955">
        <f>(AH45*KFC!$B$22+KFC!$C$22)*KFC!$C$5</f>
        <v>107.87478588244959</v>
      </c>
      <c r="J45" s="955">
        <f>(AI45*KFC!$B$22+KFC!$C$22)*KFC!$C$5</f>
        <v>113.86044208297979</v>
      </c>
      <c r="K45" s="955">
        <f>(AJ45*KFC!$B$22+KFC!$C$22)*KFC!$C$5</f>
        <v>119.84609828350999</v>
      </c>
      <c r="L45" s="955">
        <f>(AK45*KFC!$B$22+KFC!$C$22)*KFC!$C$5</f>
        <v>125.8317544840402</v>
      </c>
      <c r="M45" s="955">
        <f>(AL45*KFC!$B$22+KFC!$C$22)*KFC!$C$5</f>
        <v>131.8174106845704</v>
      </c>
      <c r="N45" s="955">
        <f>(AM45*KFC!$B$22+KFC!$C$22)*KFC!$C$5</f>
        <v>137.80306688510061</v>
      </c>
      <c r="O45" s="955">
        <f>(AN45*KFC!$B$22+KFC!$C$22)*KFC!$C$5</f>
        <v>143.78872308563081</v>
      </c>
      <c r="P45" s="955">
        <f>(AO45*KFC!$B$22+KFC!$C$22)*KFC!$C$5</f>
        <v>149.77437928616101</v>
      </c>
      <c r="Q45" s="955">
        <f>(AP45*KFC!$B$22+KFC!$C$22)*KFC!$C$5</f>
        <v>155.76003548669121</v>
      </c>
      <c r="R45" s="955">
        <f>(AQ45*KFC!$B$22+KFC!$C$22)*KFC!$C$5</f>
        <v>161.74569168722141</v>
      </c>
      <c r="S45" s="955">
        <f>(AR45*KFC!$B$22+KFC!$C$22)*KFC!$C$5</f>
        <v>167.73134788775161</v>
      </c>
      <c r="T45" s="955">
        <f>(AS45*KFC!$B$22+KFC!$C$22)*KFC!$C$5</f>
        <v>173.71700408828181</v>
      </c>
      <c r="U45" s="955">
        <f>(AT45*KFC!$B$22+KFC!$C$22)*KFC!$C$5</f>
        <v>179.70266028881198</v>
      </c>
      <c r="V45" s="955">
        <f>(AU45*KFC!$B$22+KFC!$C$22)*KFC!$C$5</f>
        <v>185.68831648934218</v>
      </c>
      <c r="W45" s="955">
        <f>(AV45*KFC!$B$22+KFC!$C$22)*KFC!$C$5</f>
        <v>191.67397268987236</v>
      </c>
      <c r="X45" s="955">
        <f>(AW45*KFC!$B$22+KFC!$C$22)*KFC!$C$5</f>
        <v>197.65962889040256</v>
      </c>
      <c r="Y45" s="955">
        <f>(AX45*KFC!$B$22+KFC!$C$22)*KFC!$C$5</f>
        <v>203.64528509093273</v>
      </c>
      <c r="Z45" s="955">
        <f>(AY45*KFC!$B$22+KFC!$C$22)*KFC!$C$5</f>
        <v>209.63094129146302</v>
      </c>
      <c r="AB45" s="771">
        <v>71.960848679268395</v>
      </c>
      <c r="AC45" s="772">
        <v>77.946504879798596</v>
      </c>
      <c r="AD45" s="772">
        <v>83.932161080328797</v>
      </c>
      <c r="AE45" s="772">
        <v>89.917817280858984</v>
      </c>
      <c r="AF45" s="772">
        <v>95.903473481389184</v>
      </c>
      <c r="AG45" s="772">
        <v>101.88912968191939</v>
      </c>
      <c r="AH45" s="772">
        <v>107.87478588244959</v>
      </c>
      <c r="AI45" s="772">
        <v>113.86044208297979</v>
      </c>
      <c r="AJ45" s="772">
        <v>119.84609828350999</v>
      </c>
      <c r="AK45" s="772">
        <v>125.8317544840402</v>
      </c>
      <c r="AL45" s="772">
        <v>131.8174106845704</v>
      </c>
      <c r="AM45" s="772">
        <v>137.80306688510061</v>
      </c>
      <c r="AN45" s="772">
        <v>143.78872308563081</v>
      </c>
      <c r="AO45" s="772">
        <v>149.77437928616101</v>
      </c>
      <c r="AP45" s="772">
        <v>155.76003548669121</v>
      </c>
      <c r="AQ45" s="772">
        <v>161.74569168722141</v>
      </c>
      <c r="AR45" s="772">
        <v>167.73134788775161</v>
      </c>
      <c r="AS45" s="772">
        <v>173.71700408828181</v>
      </c>
      <c r="AT45" s="772">
        <v>179.70266028881198</v>
      </c>
      <c r="AU45" s="772">
        <v>185.68831648934218</v>
      </c>
      <c r="AV45" s="772">
        <v>191.67397268987236</v>
      </c>
      <c r="AW45" s="772">
        <v>197.65962889040256</v>
      </c>
      <c r="AX45" s="772">
        <v>203.64528509093273</v>
      </c>
      <c r="AY45" s="773">
        <v>209.63094129146302</v>
      </c>
    </row>
    <row r="46" spans="1:51" ht="13.5" customHeight="1">
      <c r="A46" s="1728"/>
      <c r="B46" s="671">
        <v>4.3</v>
      </c>
      <c r="C46" s="955">
        <f>(AB46*KFC!$B$22+KFC!$C$22)*KFC!$C$5</f>
        <v>72.358794771951324</v>
      </c>
      <c r="D46" s="955">
        <f>(AC46*KFC!$B$22+KFC!$C$22)*KFC!$C$5</f>
        <v>78.40124061474026</v>
      </c>
      <c r="E46" s="955">
        <f>(AD46*KFC!$B$22+KFC!$C$22)*KFC!$C$5</f>
        <v>84.443686457529211</v>
      </c>
      <c r="F46" s="955">
        <f>(AE46*KFC!$B$22+KFC!$C$22)*KFC!$C$5</f>
        <v>90.486132300318161</v>
      </c>
      <c r="G46" s="955">
        <f>(AF46*KFC!$B$22+KFC!$C$22)*KFC!$C$5</f>
        <v>96.528578143107111</v>
      </c>
      <c r="H46" s="955">
        <f>(AG46*KFC!$B$22+KFC!$C$22)*KFC!$C$5</f>
        <v>102.57102398589605</v>
      </c>
      <c r="I46" s="955">
        <f>(AH46*KFC!$B$22+KFC!$C$22)*KFC!$C$5</f>
        <v>108.613469828685</v>
      </c>
      <c r="J46" s="955">
        <f>(AI46*KFC!$B$22+KFC!$C$22)*KFC!$C$5</f>
        <v>114.65591567147395</v>
      </c>
      <c r="K46" s="955">
        <f>(AJ46*KFC!$B$22+KFC!$C$22)*KFC!$C$5</f>
        <v>120.6983615142629</v>
      </c>
      <c r="L46" s="955">
        <f>(AK46*KFC!$B$22+KFC!$C$22)*KFC!$C$5</f>
        <v>126.74080735705184</v>
      </c>
      <c r="M46" s="955">
        <f>(AL46*KFC!$B$22+KFC!$C$22)*KFC!$C$5</f>
        <v>132.7832531998408</v>
      </c>
      <c r="N46" s="955">
        <f>(AM46*KFC!$B$22+KFC!$C$22)*KFC!$C$5</f>
        <v>138.82569904262974</v>
      </c>
      <c r="O46" s="955">
        <f>(AN46*KFC!$B$22+KFC!$C$22)*KFC!$C$5</f>
        <v>144.86814488541867</v>
      </c>
      <c r="P46" s="955">
        <f>(AO46*KFC!$B$22+KFC!$C$22)*KFC!$C$5</f>
        <v>150.91059072820764</v>
      </c>
      <c r="Q46" s="955">
        <f>(AP46*KFC!$B$22+KFC!$C$22)*KFC!$C$5</f>
        <v>156.95303657099657</v>
      </c>
      <c r="R46" s="955">
        <f>(AQ46*KFC!$B$22+KFC!$C$22)*KFC!$C$5</f>
        <v>162.99548241378551</v>
      </c>
      <c r="S46" s="955">
        <f>(AR46*KFC!$B$22+KFC!$C$22)*KFC!$C$5</f>
        <v>169.03792825657447</v>
      </c>
      <c r="T46" s="955">
        <f>(AS46*KFC!$B$22+KFC!$C$22)*KFC!$C$5</f>
        <v>175.08037409936344</v>
      </c>
      <c r="U46" s="955">
        <f>(AT46*KFC!$B$22+KFC!$C$22)*KFC!$C$5</f>
        <v>181.12281994215238</v>
      </c>
      <c r="V46" s="955">
        <f>(AU46*KFC!$B$22+KFC!$C$22)*KFC!$C$5</f>
        <v>187.16526578494134</v>
      </c>
      <c r="W46" s="955">
        <f>(AV46*KFC!$B$22+KFC!$C$22)*KFC!$C$5</f>
        <v>193.20771162773028</v>
      </c>
      <c r="X46" s="955">
        <f>(AW46*KFC!$B$22+KFC!$C$22)*KFC!$C$5</f>
        <v>199.25015747051921</v>
      </c>
      <c r="Y46" s="955">
        <f>(AX46*KFC!$B$22+KFC!$C$22)*KFC!$C$5</f>
        <v>205.29260331330818</v>
      </c>
      <c r="Z46" s="955">
        <f>(AY46*KFC!$B$22+KFC!$C$22)*KFC!$C$5</f>
        <v>211.33504915609714</v>
      </c>
      <c r="AB46" s="771">
        <v>72.358794771951324</v>
      </c>
      <c r="AC46" s="772">
        <v>78.40124061474026</v>
      </c>
      <c r="AD46" s="772">
        <v>84.443686457529211</v>
      </c>
      <c r="AE46" s="772">
        <v>90.486132300318161</v>
      </c>
      <c r="AF46" s="772">
        <v>96.528578143107111</v>
      </c>
      <c r="AG46" s="772">
        <v>102.57102398589605</v>
      </c>
      <c r="AH46" s="772">
        <v>108.613469828685</v>
      </c>
      <c r="AI46" s="772">
        <v>114.65591567147395</v>
      </c>
      <c r="AJ46" s="772">
        <v>120.6983615142629</v>
      </c>
      <c r="AK46" s="772">
        <v>126.74080735705184</v>
      </c>
      <c r="AL46" s="772">
        <v>132.7832531998408</v>
      </c>
      <c r="AM46" s="772">
        <v>138.82569904262974</v>
      </c>
      <c r="AN46" s="772">
        <v>144.86814488541867</v>
      </c>
      <c r="AO46" s="772">
        <v>150.91059072820764</v>
      </c>
      <c r="AP46" s="772">
        <v>156.95303657099657</v>
      </c>
      <c r="AQ46" s="772">
        <v>162.99548241378551</v>
      </c>
      <c r="AR46" s="772">
        <v>169.03792825657447</v>
      </c>
      <c r="AS46" s="772">
        <v>175.08037409936344</v>
      </c>
      <c r="AT46" s="772">
        <v>181.12281994215238</v>
      </c>
      <c r="AU46" s="772">
        <v>187.16526578494134</v>
      </c>
      <c r="AV46" s="772">
        <v>193.20771162773028</v>
      </c>
      <c r="AW46" s="772">
        <v>199.25015747051921</v>
      </c>
      <c r="AX46" s="772">
        <v>205.29260331330818</v>
      </c>
      <c r="AY46" s="773">
        <v>211.33504915609714</v>
      </c>
    </row>
    <row r="47" spans="1:51">
      <c r="A47" s="1728"/>
      <c r="B47" s="671">
        <v>4.4000000000000004</v>
      </c>
      <c r="C47" s="955">
        <f>(AB47*KFC!$B$22+KFC!$C$22)*KFC!$C$5</f>
        <v>72.756740864634253</v>
      </c>
      <c r="D47" s="955">
        <f>(AC47*KFC!$B$22+KFC!$C$22)*KFC!$C$5</f>
        <v>78.855976349681953</v>
      </c>
      <c r="E47" s="955">
        <f>(AD47*KFC!$B$22+KFC!$C$22)*KFC!$C$5</f>
        <v>84.955211834729639</v>
      </c>
      <c r="F47" s="955">
        <f>(AE47*KFC!$B$22+KFC!$C$22)*KFC!$C$5</f>
        <v>91.054447319777339</v>
      </c>
      <c r="G47" s="955">
        <f>(AF47*KFC!$B$22+KFC!$C$22)*KFC!$C$5</f>
        <v>97.153682804825024</v>
      </c>
      <c r="H47" s="955">
        <f>(AG47*KFC!$B$22+KFC!$C$22)*KFC!$C$5</f>
        <v>103.25291828987271</v>
      </c>
      <c r="I47" s="955">
        <f>(AH47*KFC!$B$22+KFC!$C$22)*KFC!$C$5</f>
        <v>109.35215377492041</v>
      </c>
      <c r="J47" s="955">
        <f>(AI47*KFC!$B$22+KFC!$C$22)*KFC!$C$5</f>
        <v>115.4513892599681</v>
      </c>
      <c r="K47" s="955">
        <f>(AJ47*KFC!$B$22+KFC!$C$22)*KFC!$C$5</f>
        <v>121.5506247450158</v>
      </c>
      <c r="L47" s="955">
        <f>(AK47*KFC!$B$22+KFC!$C$22)*KFC!$C$5</f>
        <v>127.64986023006348</v>
      </c>
      <c r="M47" s="955">
        <f>(AL47*KFC!$B$22+KFC!$C$22)*KFC!$C$5</f>
        <v>133.74909571511117</v>
      </c>
      <c r="N47" s="955">
        <f>(AM47*KFC!$B$22+KFC!$C$22)*KFC!$C$5</f>
        <v>139.84833120015887</v>
      </c>
      <c r="O47" s="955">
        <f>(AN47*KFC!$B$22+KFC!$C$22)*KFC!$C$5</f>
        <v>145.94756668520657</v>
      </c>
      <c r="P47" s="955">
        <f>(AO47*KFC!$B$22+KFC!$C$22)*KFC!$C$5</f>
        <v>152.04680217025424</v>
      </c>
      <c r="Q47" s="955">
        <f>(AP47*KFC!$B$22+KFC!$C$22)*KFC!$C$5</f>
        <v>158.14603765530194</v>
      </c>
      <c r="R47" s="955">
        <f>(AQ47*KFC!$B$22+KFC!$C$22)*KFC!$C$5</f>
        <v>164.24527314034964</v>
      </c>
      <c r="S47" s="955">
        <f>(AR47*KFC!$B$22+KFC!$C$22)*KFC!$C$5</f>
        <v>170.34450862539734</v>
      </c>
      <c r="T47" s="955">
        <f>(AS47*KFC!$B$22+KFC!$C$22)*KFC!$C$5</f>
        <v>176.44374411044507</v>
      </c>
      <c r="U47" s="955">
        <f>(AT47*KFC!$B$22+KFC!$C$22)*KFC!$C$5</f>
        <v>182.54297959549277</v>
      </c>
      <c r="V47" s="955">
        <f>(AU47*KFC!$B$22+KFC!$C$22)*KFC!$C$5</f>
        <v>188.64221508054047</v>
      </c>
      <c r="W47" s="955">
        <f>(AV47*KFC!$B$22+KFC!$C$22)*KFC!$C$5</f>
        <v>194.7414505655882</v>
      </c>
      <c r="X47" s="955">
        <f>(AW47*KFC!$B$22+KFC!$C$22)*KFC!$C$5</f>
        <v>200.8406860506359</v>
      </c>
      <c r="Y47" s="955">
        <f>(AX47*KFC!$B$22+KFC!$C$22)*KFC!$C$5</f>
        <v>206.93992153568362</v>
      </c>
      <c r="Z47" s="955">
        <f>(AY47*KFC!$B$22+KFC!$C$22)*KFC!$C$5</f>
        <v>213.0391570207313</v>
      </c>
      <c r="AB47" s="771">
        <v>72.756740864634253</v>
      </c>
      <c r="AC47" s="772">
        <v>78.855976349681953</v>
      </c>
      <c r="AD47" s="772">
        <v>84.955211834729639</v>
      </c>
      <c r="AE47" s="772">
        <v>91.054447319777339</v>
      </c>
      <c r="AF47" s="772">
        <v>97.153682804825024</v>
      </c>
      <c r="AG47" s="772">
        <v>103.25291828987271</v>
      </c>
      <c r="AH47" s="772">
        <v>109.35215377492041</v>
      </c>
      <c r="AI47" s="772">
        <v>115.4513892599681</v>
      </c>
      <c r="AJ47" s="772">
        <v>121.5506247450158</v>
      </c>
      <c r="AK47" s="772">
        <v>127.64986023006348</v>
      </c>
      <c r="AL47" s="772">
        <v>133.74909571511117</v>
      </c>
      <c r="AM47" s="772">
        <v>139.84833120015887</v>
      </c>
      <c r="AN47" s="772">
        <v>145.94756668520657</v>
      </c>
      <c r="AO47" s="772">
        <v>152.04680217025424</v>
      </c>
      <c r="AP47" s="772">
        <v>158.14603765530194</v>
      </c>
      <c r="AQ47" s="772">
        <v>164.24527314034964</v>
      </c>
      <c r="AR47" s="772">
        <v>170.34450862539734</v>
      </c>
      <c r="AS47" s="772">
        <v>176.44374411044507</v>
      </c>
      <c r="AT47" s="772">
        <v>182.54297959549277</v>
      </c>
      <c r="AU47" s="772">
        <v>188.64221508054047</v>
      </c>
      <c r="AV47" s="772">
        <v>194.7414505655882</v>
      </c>
      <c r="AW47" s="772">
        <v>200.8406860506359</v>
      </c>
      <c r="AX47" s="772">
        <v>206.93992153568362</v>
      </c>
      <c r="AY47" s="773">
        <v>213.0391570207313</v>
      </c>
    </row>
    <row r="48" spans="1:51" ht="12.75" customHeight="1">
      <c r="A48" s="1728"/>
      <c r="B48" s="671">
        <v>4.5</v>
      </c>
      <c r="C48" s="955">
        <f>(AB48*KFC!$B$22+KFC!$C$22)*KFC!$C$5</f>
        <v>73.154686957317182</v>
      </c>
      <c r="D48" s="955">
        <f>(AC48*KFC!$B$22+KFC!$C$22)*KFC!$C$5</f>
        <v>79.310712084623617</v>
      </c>
      <c r="E48" s="955">
        <f>(AD48*KFC!$B$22+KFC!$C$22)*KFC!$C$5</f>
        <v>85.466737211930067</v>
      </c>
      <c r="F48" s="955">
        <f>(AE48*KFC!$B$22+KFC!$C$22)*KFC!$C$5</f>
        <v>91.622762339236502</v>
      </c>
      <c r="G48" s="955">
        <f>(AF48*KFC!$B$22+KFC!$C$22)*KFC!$C$5</f>
        <v>97.778787466542937</v>
      </c>
      <c r="H48" s="955">
        <f>(AG48*KFC!$B$22+KFC!$C$22)*KFC!$C$5</f>
        <v>103.93481259384939</v>
      </c>
      <c r="I48" s="955">
        <f>(AH48*KFC!$B$22+KFC!$C$22)*KFC!$C$5</f>
        <v>110.09083772115582</v>
      </c>
      <c r="J48" s="955">
        <f>(AI48*KFC!$B$22+KFC!$C$22)*KFC!$C$5</f>
        <v>116.24686284846226</v>
      </c>
      <c r="K48" s="955">
        <f>(AJ48*KFC!$B$22+KFC!$C$22)*KFC!$C$5</f>
        <v>122.40288797576869</v>
      </c>
      <c r="L48" s="955">
        <f>(AK48*KFC!$B$22+KFC!$C$22)*KFC!$C$5</f>
        <v>128.55891310307513</v>
      </c>
      <c r="M48" s="955">
        <f>(AL48*KFC!$B$22+KFC!$C$22)*KFC!$C$5</f>
        <v>134.71493823038156</v>
      </c>
      <c r="N48" s="955">
        <f>(AM48*KFC!$B$22+KFC!$C$22)*KFC!$C$5</f>
        <v>140.870963357688</v>
      </c>
      <c r="O48" s="955">
        <f>(AN48*KFC!$B$22+KFC!$C$22)*KFC!$C$5</f>
        <v>147.02698848499443</v>
      </c>
      <c r="P48" s="955">
        <f>(AO48*KFC!$B$22+KFC!$C$22)*KFC!$C$5</f>
        <v>153.18301361230087</v>
      </c>
      <c r="Q48" s="955">
        <f>(AP48*KFC!$B$22+KFC!$C$22)*KFC!$C$5</f>
        <v>159.3390387396073</v>
      </c>
      <c r="R48" s="955">
        <f>(AQ48*KFC!$B$22+KFC!$C$22)*KFC!$C$5</f>
        <v>165.49506386691374</v>
      </c>
      <c r="S48" s="955">
        <f>(AR48*KFC!$B$22+KFC!$C$22)*KFC!$C$5</f>
        <v>171.6510889942202</v>
      </c>
      <c r="T48" s="955">
        <f>(AS48*KFC!$B$22+KFC!$C$22)*KFC!$C$5</f>
        <v>177.80711412152664</v>
      </c>
      <c r="U48" s="955">
        <f>(AT48*KFC!$B$22+KFC!$C$22)*KFC!$C$5</f>
        <v>183.96313924883307</v>
      </c>
      <c r="V48" s="955">
        <f>(AU48*KFC!$B$22+KFC!$C$22)*KFC!$C$5</f>
        <v>190.11916437613951</v>
      </c>
      <c r="W48" s="955">
        <f>(AV48*KFC!$B$22+KFC!$C$22)*KFC!$C$5</f>
        <v>196.27518950344594</v>
      </c>
      <c r="X48" s="955">
        <f>(AW48*KFC!$B$22+KFC!$C$22)*KFC!$C$5</f>
        <v>202.43121463075238</v>
      </c>
      <c r="Y48" s="955">
        <f>(AX48*KFC!$B$22+KFC!$C$22)*KFC!$C$5</f>
        <v>208.58723975805881</v>
      </c>
      <c r="Z48" s="955">
        <f>(AY48*KFC!$B$22+KFC!$C$22)*KFC!$C$5</f>
        <v>214.74326488536542</v>
      </c>
      <c r="AB48" s="771">
        <v>73.154686957317182</v>
      </c>
      <c r="AC48" s="772">
        <v>79.310712084623617</v>
      </c>
      <c r="AD48" s="772">
        <v>85.466737211930067</v>
      </c>
      <c r="AE48" s="772">
        <v>91.622762339236502</v>
      </c>
      <c r="AF48" s="772">
        <v>97.778787466542937</v>
      </c>
      <c r="AG48" s="772">
        <v>103.93481259384939</v>
      </c>
      <c r="AH48" s="772">
        <v>110.09083772115582</v>
      </c>
      <c r="AI48" s="772">
        <v>116.24686284846226</v>
      </c>
      <c r="AJ48" s="772">
        <v>122.40288797576869</v>
      </c>
      <c r="AK48" s="772">
        <v>128.55891310307513</v>
      </c>
      <c r="AL48" s="772">
        <v>134.71493823038156</v>
      </c>
      <c r="AM48" s="772">
        <v>140.870963357688</v>
      </c>
      <c r="AN48" s="772">
        <v>147.02698848499443</v>
      </c>
      <c r="AO48" s="772">
        <v>153.18301361230087</v>
      </c>
      <c r="AP48" s="772">
        <v>159.3390387396073</v>
      </c>
      <c r="AQ48" s="772">
        <v>165.49506386691374</v>
      </c>
      <c r="AR48" s="772">
        <v>171.6510889942202</v>
      </c>
      <c r="AS48" s="772">
        <v>177.80711412152664</v>
      </c>
      <c r="AT48" s="772">
        <v>183.96313924883307</v>
      </c>
      <c r="AU48" s="772">
        <v>190.11916437613951</v>
      </c>
      <c r="AV48" s="772">
        <v>196.27518950344594</v>
      </c>
      <c r="AW48" s="772">
        <v>202.43121463075238</v>
      </c>
      <c r="AX48" s="772">
        <v>208.58723975805881</v>
      </c>
      <c r="AY48" s="773">
        <v>214.74326488536542</v>
      </c>
    </row>
    <row r="49" spans="1:51" ht="13.8" thickBot="1">
      <c r="A49" s="1728"/>
      <c r="B49" s="671">
        <v>4.5999999999999996</v>
      </c>
      <c r="C49" s="955">
        <f>(AB49*KFC!$B$22+KFC!$C$22)*KFC!$C$5</f>
        <v>73.552633049999997</v>
      </c>
      <c r="D49" s="955">
        <f>(AC49*KFC!$B$22+KFC!$C$22)*KFC!$C$5</f>
        <v>79.76544781956521</v>
      </c>
      <c r="E49" s="955">
        <f>(AD49*KFC!$B$22+KFC!$C$22)*KFC!$C$5</f>
        <v>85.978262589130424</v>
      </c>
      <c r="F49" s="955">
        <f>(AE49*KFC!$B$22+KFC!$C$22)*KFC!$C$5</f>
        <v>92.191077358695637</v>
      </c>
      <c r="G49" s="955">
        <f>(AF49*KFC!$B$22+KFC!$C$22)*KFC!$C$5</f>
        <v>98.403892128260864</v>
      </c>
      <c r="H49" s="955">
        <f>(AG49*KFC!$B$22+KFC!$C$22)*KFC!$C$5</f>
        <v>104.61670689782608</v>
      </c>
      <c r="I49" s="955">
        <f>(AH49*KFC!$B$22+KFC!$C$22)*KFC!$C$5</f>
        <v>110.8295216673913</v>
      </c>
      <c r="J49" s="955">
        <f>(AI49*KFC!$B$22+KFC!$C$22)*KFC!$C$5</f>
        <v>117.04233643695652</v>
      </c>
      <c r="K49" s="955">
        <f>(AJ49*KFC!$B$22+KFC!$C$22)*KFC!$C$5</f>
        <v>123.25515120652175</v>
      </c>
      <c r="L49" s="955">
        <f>(AK49*KFC!$B$22+KFC!$C$22)*KFC!$C$5</f>
        <v>129.46796597608696</v>
      </c>
      <c r="M49" s="955">
        <f>(AL49*KFC!$B$22+KFC!$C$22)*KFC!$C$5</f>
        <v>135.68078074565219</v>
      </c>
      <c r="N49" s="955">
        <f>(AM49*KFC!$B$22+KFC!$C$22)*KFC!$C$5</f>
        <v>141.89359551521738</v>
      </c>
      <c r="O49" s="955">
        <f>(AN49*KFC!$B$22+KFC!$C$22)*KFC!$C$5</f>
        <v>148.10641028478261</v>
      </c>
      <c r="P49" s="955">
        <f>(AO49*KFC!$B$22+KFC!$C$22)*KFC!$C$5</f>
        <v>154.31922505434784</v>
      </c>
      <c r="Q49" s="955">
        <f>(AP49*KFC!$B$22+KFC!$C$22)*KFC!$C$5</f>
        <v>160.53203982391307</v>
      </c>
      <c r="R49" s="955">
        <f>(AQ49*KFC!$B$22+KFC!$C$22)*KFC!$C$5</f>
        <v>166.74485459347827</v>
      </c>
      <c r="S49" s="955">
        <f>(AR49*KFC!$B$22+KFC!$C$22)*KFC!$C$5</f>
        <v>172.95766936304346</v>
      </c>
      <c r="T49" s="955">
        <f>(AS49*KFC!$B$22+KFC!$C$22)*KFC!$C$5</f>
        <v>179.17048413260866</v>
      </c>
      <c r="U49" s="955">
        <f>(AT49*KFC!$B$22+KFC!$C$22)*KFC!$C$5</f>
        <v>185.38329890217386</v>
      </c>
      <c r="V49" s="955">
        <f>(AU49*KFC!$B$22+KFC!$C$22)*KFC!$C$5</f>
        <v>191.59611367173909</v>
      </c>
      <c r="W49" s="955">
        <f>(AV49*KFC!$B$22+KFC!$C$22)*KFC!$C$5</f>
        <v>197.80892844130429</v>
      </c>
      <c r="X49" s="955">
        <f>(AW49*KFC!$B$22+KFC!$C$22)*KFC!$C$5</f>
        <v>204.02174321086949</v>
      </c>
      <c r="Y49" s="955">
        <f>(AX49*KFC!$B$22+KFC!$C$22)*KFC!$C$5</f>
        <v>210.23455798043469</v>
      </c>
      <c r="Z49" s="955">
        <f>(AY49*KFC!$B$22+KFC!$C$22)*KFC!$C$5</f>
        <v>216.44737275</v>
      </c>
      <c r="AB49" s="774">
        <v>73.552633049999997</v>
      </c>
      <c r="AC49" s="775">
        <v>79.76544781956521</v>
      </c>
      <c r="AD49" s="775">
        <v>85.978262589130424</v>
      </c>
      <c r="AE49" s="775">
        <v>92.191077358695637</v>
      </c>
      <c r="AF49" s="775">
        <v>98.403892128260864</v>
      </c>
      <c r="AG49" s="775">
        <v>104.61670689782608</v>
      </c>
      <c r="AH49" s="775">
        <v>110.8295216673913</v>
      </c>
      <c r="AI49" s="775">
        <v>117.04233643695652</v>
      </c>
      <c r="AJ49" s="775">
        <v>123.25515120652175</v>
      </c>
      <c r="AK49" s="775">
        <v>129.46796597608696</v>
      </c>
      <c r="AL49" s="775">
        <v>135.68078074565219</v>
      </c>
      <c r="AM49" s="775">
        <v>141.89359551521738</v>
      </c>
      <c r="AN49" s="775">
        <v>148.10641028478261</v>
      </c>
      <c r="AO49" s="775">
        <v>154.31922505434784</v>
      </c>
      <c r="AP49" s="775">
        <v>160.53203982391307</v>
      </c>
      <c r="AQ49" s="775">
        <v>166.74485459347827</v>
      </c>
      <c r="AR49" s="775">
        <v>172.95766936304346</v>
      </c>
      <c r="AS49" s="775">
        <v>179.17048413260866</v>
      </c>
      <c r="AT49" s="775">
        <v>185.38329890217386</v>
      </c>
      <c r="AU49" s="775">
        <v>191.59611367173909</v>
      </c>
      <c r="AV49" s="775">
        <v>197.80892844130429</v>
      </c>
      <c r="AW49" s="775">
        <v>204.02174321086949</v>
      </c>
      <c r="AX49" s="775">
        <v>210.23455798043469</v>
      </c>
      <c r="AY49" s="776">
        <v>216.44737275</v>
      </c>
    </row>
    <row r="51" spans="1:51">
      <c r="A51" s="1747" t="s">
        <v>314</v>
      </c>
      <c r="B51" s="1747"/>
      <c r="C51" s="1734" t="s">
        <v>207</v>
      </c>
      <c r="D51" s="1734"/>
      <c r="E51" s="1734"/>
      <c r="F51" s="1734"/>
      <c r="G51" s="1734"/>
      <c r="H51" s="1734"/>
      <c r="I51" s="1734"/>
      <c r="J51" s="1734"/>
      <c r="K51" s="1734"/>
      <c r="L51" s="1734"/>
      <c r="M51" s="1734"/>
      <c r="N51" s="1734"/>
      <c r="O51" s="1734"/>
      <c r="P51" s="1734"/>
      <c r="Q51" s="1734"/>
      <c r="R51" s="1734"/>
      <c r="S51" s="1734"/>
      <c r="T51" s="1734"/>
      <c r="U51" s="1734"/>
      <c r="V51" s="1734"/>
      <c r="W51" s="1734"/>
      <c r="X51" s="1734"/>
      <c r="Y51" s="1734"/>
      <c r="Z51" s="1734"/>
    </row>
    <row r="52" spans="1:51" ht="13.8" thickBot="1">
      <c r="A52" s="1747"/>
      <c r="B52" s="1747"/>
      <c r="C52" s="671">
        <v>0.7</v>
      </c>
      <c r="D52" s="671">
        <v>0.8</v>
      </c>
      <c r="E52" s="671">
        <v>0.9</v>
      </c>
      <c r="F52" s="671">
        <v>1</v>
      </c>
      <c r="G52" s="671">
        <v>1.1000000000000001</v>
      </c>
      <c r="H52" s="671">
        <v>1.2</v>
      </c>
      <c r="I52" s="671">
        <v>1.3</v>
      </c>
      <c r="J52" s="671">
        <v>1.4</v>
      </c>
      <c r="K52" s="671">
        <v>1.5</v>
      </c>
      <c r="L52" s="671">
        <v>1.6</v>
      </c>
      <c r="M52" s="671">
        <v>1.7</v>
      </c>
      <c r="N52" s="671">
        <v>1.8</v>
      </c>
      <c r="O52" s="671">
        <v>1.9</v>
      </c>
      <c r="P52" s="671">
        <v>2</v>
      </c>
      <c r="Q52" s="671">
        <v>2.1</v>
      </c>
      <c r="R52" s="671">
        <v>2.2000000000000002</v>
      </c>
      <c r="S52" s="671">
        <v>2.2999999999999998</v>
      </c>
      <c r="T52" s="671">
        <v>2.4</v>
      </c>
      <c r="U52" s="671">
        <v>2.5</v>
      </c>
      <c r="V52" s="671">
        <v>2.6</v>
      </c>
      <c r="W52" s="671">
        <v>2.7</v>
      </c>
      <c r="X52" s="671">
        <v>2.8</v>
      </c>
      <c r="Y52" s="671">
        <v>2.9</v>
      </c>
      <c r="Z52" s="671">
        <v>3</v>
      </c>
    </row>
    <row r="53" spans="1:51" ht="12.75" customHeight="1">
      <c r="A53" s="1277" t="s">
        <v>3</v>
      </c>
      <c r="B53" s="681">
        <v>0.5</v>
      </c>
      <c r="C53" s="690">
        <f>(AB53*KFC!$B$22+KFC!$C$22)*KFC!$C$5</f>
        <v>57.763159049999999</v>
      </c>
      <c r="D53" s="690">
        <f>(AC53*KFC!$B$22+KFC!$C$22)*KFC!$C$5</f>
        <v>61.733410845652166</v>
      </c>
      <c r="E53" s="690">
        <f>(AD53*KFC!$B$22+KFC!$C$22)*KFC!$C$5</f>
        <v>65.703662641304334</v>
      </c>
      <c r="F53" s="690">
        <f>(AE53*KFC!$B$22+KFC!$C$22)*KFC!$C$5</f>
        <v>69.673914436956508</v>
      </c>
      <c r="G53" s="690">
        <f>(AF53*KFC!$B$22+KFC!$C$22)*KFC!$C$5</f>
        <v>73.644166232608683</v>
      </c>
      <c r="H53" s="690">
        <f>(AG53*KFC!$B$22+KFC!$C$22)*KFC!$C$5</f>
        <v>77.614418028260857</v>
      </c>
      <c r="I53" s="690">
        <f>(AH53*KFC!$B$22+KFC!$C$22)*KFC!$C$5</f>
        <v>81.584669823913032</v>
      </c>
      <c r="J53" s="690">
        <f>(AI53*KFC!$B$22+KFC!$C$22)*KFC!$C$5</f>
        <v>85.554921619565206</v>
      </c>
      <c r="K53" s="690">
        <f>(AJ53*KFC!$B$22+KFC!$C$22)*KFC!$C$5</f>
        <v>89.525173415217381</v>
      </c>
      <c r="L53" s="690">
        <f>(AK53*KFC!$B$22+KFC!$C$22)*KFC!$C$5</f>
        <v>93.495425210869556</v>
      </c>
      <c r="M53" s="690">
        <f>(AL53*KFC!$B$22+KFC!$C$22)*KFC!$C$5</f>
        <v>97.46567700652173</v>
      </c>
      <c r="N53" s="690">
        <f>(AM53*KFC!$B$22+KFC!$C$22)*KFC!$C$5</f>
        <v>101.4359288021739</v>
      </c>
      <c r="O53" s="690">
        <f>(AN53*KFC!$B$22+KFC!$C$22)*KFC!$C$5</f>
        <v>105.40618059782608</v>
      </c>
      <c r="P53" s="690">
        <f>(AO53*KFC!$B$22+KFC!$C$22)*KFC!$C$5</f>
        <v>109.37643239347825</v>
      </c>
      <c r="Q53" s="690">
        <f>(AP53*KFC!$B$22+KFC!$C$22)*KFC!$C$5</f>
        <v>113.34668418913041</v>
      </c>
      <c r="R53" s="690">
        <f>(AQ53*KFC!$B$22+KFC!$C$22)*KFC!$C$5</f>
        <v>117.31693598478259</v>
      </c>
      <c r="S53" s="690">
        <f>(AR53*KFC!$B$22+KFC!$C$22)*KFC!$C$5</f>
        <v>121.28718778043476</v>
      </c>
      <c r="T53" s="690">
        <f>(AS53*KFC!$B$22+KFC!$C$22)*KFC!$C$5</f>
        <v>125.25743957608694</v>
      </c>
      <c r="U53" s="690">
        <f>(AT53*KFC!$B$22+KFC!$C$22)*KFC!$C$5</f>
        <v>129.2276913717391</v>
      </c>
      <c r="V53" s="690">
        <f>(AU53*KFC!$B$22+KFC!$C$22)*KFC!$C$5</f>
        <v>133.19794316739129</v>
      </c>
      <c r="W53" s="690">
        <f>(AV53*KFC!$B$22+KFC!$C$22)*KFC!$C$5</f>
        <v>137.16819496304345</v>
      </c>
      <c r="X53" s="690">
        <f>(AW53*KFC!$B$22+KFC!$C$22)*KFC!$C$5</f>
        <v>141.13844675869564</v>
      </c>
      <c r="Y53" s="690">
        <f>(AX53*KFC!$B$22+KFC!$C$22)*KFC!$C$5</f>
        <v>145.1086985543478</v>
      </c>
      <c r="Z53" s="690">
        <f>(AY53*KFC!$B$22+KFC!$C$22)*KFC!$C$5</f>
        <v>149.07895034999999</v>
      </c>
      <c r="AB53" s="768">
        <v>57.763159049999999</v>
      </c>
      <c r="AC53" s="769">
        <v>61.733410845652166</v>
      </c>
      <c r="AD53" s="769">
        <v>65.703662641304334</v>
      </c>
      <c r="AE53" s="769">
        <v>69.673914436956508</v>
      </c>
      <c r="AF53" s="769">
        <v>73.644166232608683</v>
      </c>
      <c r="AG53" s="769">
        <v>77.614418028260857</v>
      </c>
      <c r="AH53" s="769">
        <v>81.584669823913032</v>
      </c>
      <c r="AI53" s="769">
        <v>85.554921619565206</v>
      </c>
      <c r="AJ53" s="769">
        <v>89.525173415217381</v>
      </c>
      <c r="AK53" s="769">
        <v>93.495425210869556</v>
      </c>
      <c r="AL53" s="769">
        <v>97.46567700652173</v>
      </c>
      <c r="AM53" s="769">
        <v>101.4359288021739</v>
      </c>
      <c r="AN53" s="769">
        <v>105.40618059782608</v>
      </c>
      <c r="AO53" s="769">
        <v>109.37643239347825</v>
      </c>
      <c r="AP53" s="769">
        <v>113.34668418913041</v>
      </c>
      <c r="AQ53" s="769">
        <v>117.31693598478259</v>
      </c>
      <c r="AR53" s="769">
        <v>121.28718778043476</v>
      </c>
      <c r="AS53" s="769">
        <v>125.25743957608694</v>
      </c>
      <c r="AT53" s="769">
        <v>129.2276913717391</v>
      </c>
      <c r="AU53" s="769">
        <v>133.19794316739129</v>
      </c>
      <c r="AV53" s="769">
        <v>137.16819496304345</v>
      </c>
      <c r="AW53" s="769">
        <v>141.13844675869564</v>
      </c>
      <c r="AX53" s="769">
        <v>145.1086985543478</v>
      </c>
      <c r="AY53" s="770">
        <v>149.07895034999999</v>
      </c>
    </row>
    <row r="54" spans="1:51">
      <c r="A54" s="1277"/>
      <c r="B54" s="681">
        <v>0.6</v>
      </c>
      <c r="C54" s="690">
        <f>(AB54*KFC!$B$22+KFC!$C$22)*KFC!$C$5</f>
        <v>58.276637879268286</v>
      </c>
      <c r="D54" s="690">
        <f>(AC54*KFC!$B$22+KFC!$C$22)*KFC!$C$5</f>
        <v>62.320283659756093</v>
      </c>
      <c r="E54" s="690">
        <f>(AD54*KFC!$B$22+KFC!$C$22)*KFC!$C$5</f>
        <v>66.363929440243894</v>
      </c>
      <c r="F54" s="690">
        <f>(AE54*KFC!$B$22+KFC!$C$22)*KFC!$C$5</f>
        <v>70.407575220731687</v>
      </c>
      <c r="G54" s="690">
        <f>(AF54*KFC!$B$22+KFC!$C$22)*KFC!$C$5</f>
        <v>74.451221001219494</v>
      </c>
      <c r="H54" s="690">
        <f>(AG54*KFC!$B$22+KFC!$C$22)*KFC!$C$5</f>
        <v>78.494866781707302</v>
      </c>
      <c r="I54" s="690">
        <f>(AH54*KFC!$B$22+KFC!$C$22)*KFC!$C$5</f>
        <v>82.538512562195095</v>
      </c>
      <c r="J54" s="690">
        <f>(AI54*KFC!$B$22+KFC!$C$22)*KFC!$C$5</f>
        <v>86.582158342682902</v>
      </c>
      <c r="K54" s="690">
        <f>(AJ54*KFC!$B$22+KFC!$C$22)*KFC!$C$5</f>
        <v>90.62580412317071</v>
      </c>
      <c r="L54" s="690">
        <f>(AK54*KFC!$B$22+KFC!$C$22)*KFC!$C$5</f>
        <v>94.669449903658517</v>
      </c>
      <c r="M54" s="690">
        <f>(AL54*KFC!$B$22+KFC!$C$22)*KFC!$C$5</f>
        <v>98.713095684146325</v>
      </c>
      <c r="N54" s="690">
        <f>(AM54*KFC!$B$22+KFC!$C$22)*KFC!$C$5</f>
        <v>102.75674146463415</v>
      </c>
      <c r="O54" s="690">
        <f>(AN54*KFC!$B$22+KFC!$C$22)*KFC!$C$5</f>
        <v>106.80038724512195</v>
      </c>
      <c r="P54" s="690">
        <f>(AO54*KFC!$B$22+KFC!$C$22)*KFC!$C$5</f>
        <v>110.84403302560976</v>
      </c>
      <c r="Q54" s="690">
        <f>(AP54*KFC!$B$22+KFC!$C$22)*KFC!$C$5</f>
        <v>114.88767880609757</v>
      </c>
      <c r="R54" s="690">
        <f>(AQ54*KFC!$B$22+KFC!$C$22)*KFC!$C$5</f>
        <v>118.93132458658539</v>
      </c>
      <c r="S54" s="690">
        <f>(AR54*KFC!$B$22+KFC!$C$22)*KFC!$C$5</f>
        <v>122.9749703670732</v>
      </c>
      <c r="T54" s="690">
        <f>(AS54*KFC!$B$22+KFC!$C$22)*KFC!$C$5</f>
        <v>127.018616147561</v>
      </c>
      <c r="U54" s="690">
        <f>(AT54*KFC!$B$22+KFC!$C$22)*KFC!$C$5</f>
        <v>131.06226192804883</v>
      </c>
      <c r="V54" s="690">
        <f>(AU54*KFC!$B$22+KFC!$C$22)*KFC!$C$5</f>
        <v>135.10590770853662</v>
      </c>
      <c r="W54" s="690">
        <f>(AV54*KFC!$B$22+KFC!$C$22)*KFC!$C$5</f>
        <v>139.14955348902444</v>
      </c>
      <c r="X54" s="690">
        <f>(AW54*KFC!$B$22+KFC!$C$22)*KFC!$C$5</f>
        <v>143.19319926951223</v>
      </c>
      <c r="Y54" s="690">
        <f>(AX54*KFC!$B$22+KFC!$C$22)*KFC!$C$5</f>
        <v>147.23684505000006</v>
      </c>
      <c r="Z54" s="690">
        <f>(AY54*KFC!$B$22+KFC!$C$22)*KFC!$C$5</f>
        <v>151.28049083048779</v>
      </c>
      <c r="AB54" s="771">
        <v>58.276637879268286</v>
      </c>
      <c r="AC54" s="772">
        <v>62.320283659756093</v>
      </c>
      <c r="AD54" s="772">
        <v>66.363929440243894</v>
      </c>
      <c r="AE54" s="772">
        <v>70.407575220731687</v>
      </c>
      <c r="AF54" s="772">
        <v>74.451221001219494</v>
      </c>
      <c r="AG54" s="772">
        <v>78.494866781707302</v>
      </c>
      <c r="AH54" s="772">
        <v>82.538512562195095</v>
      </c>
      <c r="AI54" s="772">
        <v>86.582158342682902</v>
      </c>
      <c r="AJ54" s="772">
        <v>90.62580412317071</v>
      </c>
      <c r="AK54" s="772">
        <v>94.669449903658517</v>
      </c>
      <c r="AL54" s="772">
        <v>98.713095684146325</v>
      </c>
      <c r="AM54" s="772">
        <v>102.75674146463415</v>
      </c>
      <c r="AN54" s="772">
        <v>106.80038724512195</v>
      </c>
      <c r="AO54" s="772">
        <v>110.84403302560976</v>
      </c>
      <c r="AP54" s="772">
        <v>114.88767880609757</v>
      </c>
      <c r="AQ54" s="772">
        <v>118.93132458658539</v>
      </c>
      <c r="AR54" s="772">
        <v>122.9749703670732</v>
      </c>
      <c r="AS54" s="772">
        <v>127.018616147561</v>
      </c>
      <c r="AT54" s="772">
        <v>131.06226192804883</v>
      </c>
      <c r="AU54" s="772">
        <v>135.10590770853662</v>
      </c>
      <c r="AV54" s="772">
        <v>139.14955348902444</v>
      </c>
      <c r="AW54" s="772">
        <v>143.19319926951223</v>
      </c>
      <c r="AX54" s="772">
        <v>147.23684505000006</v>
      </c>
      <c r="AY54" s="773">
        <v>151.28049083048779</v>
      </c>
    </row>
    <row r="55" spans="1:51">
      <c r="A55" s="1277"/>
      <c r="B55" s="681">
        <v>0.7</v>
      </c>
      <c r="C55" s="690">
        <f>(AB55*KFC!$B$22+KFC!$C$22)*KFC!$C$5</f>
        <v>58.79011670853658</v>
      </c>
      <c r="D55" s="690">
        <f>(AC55*KFC!$B$22+KFC!$C$22)*KFC!$C$5</f>
        <v>62.90715647386002</v>
      </c>
      <c r="E55" s="690">
        <f>(AD55*KFC!$B$22+KFC!$C$22)*KFC!$C$5</f>
        <v>67.024196239183468</v>
      </c>
      <c r="F55" s="690">
        <f>(AE55*KFC!$B$22+KFC!$C$22)*KFC!$C$5</f>
        <v>71.141236004506894</v>
      </c>
      <c r="G55" s="690">
        <f>(AF55*KFC!$B$22+KFC!$C$22)*KFC!$C$5</f>
        <v>75.258275769830334</v>
      </c>
      <c r="H55" s="690">
        <f>(AG55*KFC!$B$22+KFC!$C$22)*KFC!$C$5</f>
        <v>79.375315535153774</v>
      </c>
      <c r="I55" s="690">
        <f>(AH55*KFC!$B$22+KFC!$C$22)*KFC!$C$5</f>
        <v>83.492355300477215</v>
      </c>
      <c r="J55" s="690">
        <f>(AI55*KFC!$B$22+KFC!$C$22)*KFC!$C$5</f>
        <v>87.609395065800655</v>
      </c>
      <c r="K55" s="690">
        <f>(AJ55*KFC!$B$22+KFC!$C$22)*KFC!$C$5</f>
        <v>91.726434831124095</v>
      </c>
      <c r="L55" s="690">
        <f>(AK55*KFC!$B$22+KFC!$C$22)*KFC!$C$5</f>
        <v>95.843474596447521</v>
      </c>
      <c r="M55" s="690">
        <f>(AL55*KFC!$B$22+KFC!$C$22)*KFC!$C$5</f>
        <v>99.960514361770947</v>
      </c>
      <c r="N55" s="690">
        <f>(AM55*KFC!$B$22+KFC!$C$22)*KFC!$C$5</f>
        <v>104.07755412709437</v>
      </c>
      <c r="O55" s="690">
        <f>(AN55*KFC!$B$22+KFC!$C$22)*KFC!$C$5</f>
        <v>108.19459389241781</v>
      </c>
      <c r="P55" s="690">
        <f>(AO55*KFC!$B$22+KFC!$C$22)*KFC!$C$5</f>
        <v>112.31163365774124</v>
      </c>
      <c r="Q55" s="690">
        <f>(AP55*KFC!$B$22+KFC!$C$22)*KFC!$C$5</f>
        <v>116.42867342306467</v>
      </c>
      <c r="R55" s="690">
        <f>(AQ55*KFC!$B$22+KFC!$C$22)*KFC!$C$5</f>
        <v>120.54571318838811</v>
      </c>
      <c r="S55" s="690">
        <f>(AR55*KFC!$B$22+KFC!$C$22)*KFC!$C$5</f>
        <v>124.66275295371153</v>
      </c>
      <c r="T55" s="690">
        <f>(AS55*KFC!$B$22+KFC!$C$22)*KFC!$C$5</f>
        <v>128.77979271903496</v>
      </c>
      <c r="U55" s="690">
        <f>(AT55*KFC!$B$22+KFC!$C$22)*KFC!$C$5</f>
        <v>132.89683248435838</v>
      </c>
      <c r="V55" s="690">
        <f>(AU55*KFC!$B$22+KFC!$C$22)*KFC!$C$5</f>
        <v>137.01387224968181</v>
      </c>
      <c r="W55" s="690">
        <f>(AV55*KFC!$B$22+KFC!$C$22)*KFC!$C$5</f>
        <v>141.13091201500524</v>
      </c>
      <c r="X55" s="690">
        <f>(AW55*KFC!$B$22+KFC!$C$22)*KFC!$C$5</f>
        <v>145.24795178032869</v>
      </c>
      <c r="Y55" s="690">
        <f>(AX55*KFC!$B$22+KFC!$C$22)*KFC!$C$5</f>
        <v>149.36499154565212</v>
      </c>
      <c r="Z55" s="690">
        <f>(AY55*KFC!$B$22+KFC!$C$22)*KFC!$C$5</f>
        <v>153.4820313109756</v>
      </c>
      <c r="AB55" s="771">
        <v>58.79011670853658</v>
      </c>
      <c r="AC55" s="772">
        <v>62.90715647386002</v>
      </c>
      <c r="AD55" s="772">
        <v>67.024196239183468</v>
      </c>
      <c r="AE55" s="772">
        <v>71.141236004506894</v>
      </c>
      <c r="AF55" s="772">
        <v>75.258275769830334</v>
      </c>
      <c r="AG55" s="772">
        <v>79.375315535153774</v>
      </c>
      <c r="AH55" s="772">
        <v>83.492355300477215</v>
      </c>
      <c r="AI55" s="772">
        <v>87.609395065800655</v>
      </c>
      <c r="AJ55" s="772">
        <v>91.726434831124095</v>
      </c>
      <c r="AK55" s="772">
        <v>95.843474596447521</v>
      </c>
      <c r="AL55" s="772">
        <v>99.960514361770947</v>
      </c>
      <c r="AM55" s="772">
        <v>104.07755412709437</v>
      </c>
      <c r="AN55" s="772">
        <v>108.19459389241781</v>
      </c>
      <c r="AO55" s="772">
        <v>112.31163365774124</v>
      </c>
      <c r="AP55" s="772">
        <v>116.42867342306467</v>
      </c>
      <c r="AQ55" s="772">
        <v>120.54571318838811</v>
      </c>
      <c r="AR55" s="772">
        <v>124.66275295371153</v>
      </c>
      <c r="AS55" s="772">
        <v>128.77979271903496</v>
      </c>
      <c r="AT55" s="772">
        <v>132.89683248435838</v>
      </c>
      <c r="AU55" s="772">
        <v>137.01387224968181</v>
      </c>
      <c r="AV55" s="772">
        <v>141.13091201500524</v>
      </c>
      <c r="AW55" s="772">
        <v>145.24795178032869</v>
      </c>
      <c r="AX55" s="772">
        <v>149.36499154565212</v>
      </c>
      <c r="AY55" s="773">
        <v>153.4820313109756</v>
      </c>
    </row>
    <row r="56" spans="1:51">
      <c r="A56" s="1277"/>
      <c r="B56" s="681">
        <v>0.8</v>
      </c>
      <c r="C56" s="690">
        <f>(AB56*KFC!$B$22+KFC!$C$22)*KFC!$C$5</f>
        <v>59.303595537804874</v>
      </c>
      <c r="D56" s="690">
        <f>(AC56*KFC!$B$22+KFC!$C$22)*KFC!$C$5</f>
        <v>63.49402928796394</v>
      </c>
      <c r="E56" s="690">
        <f>(AD56*KFC!$B$22+KFC!$C$22)*KFC!$C$5</f>
        <v>67.684463038123013</v>
      </c>
      <c r="F56" s="690">
        <f>(AE56*KFC!$B$22+KFC!$C$22)*KFC!$C$5</f>
        <v>71.874896788282086</v>
      </c>
      <c r="G56" s="690">
        <f>(AF56*KFC!$B$22+KFC!$C$22)*KFC!$C$5</f>
        <v>76.065330538441145</v>
      </c>
      <c r="H56" s="690">
        <f>(AG56*KFC!$B$22+KFC!$C$22)*KFC!$C$5</f>
        <v>80.255764288600218</v>
      </c>
      <c r="I56" s="690">
        <f>(AH56*KFC!$B$22+KFC!$C$22)*KFC!$C$5</f>
        <v>84.446198038759277</v>
      </c>
      <c r="J56" s="690">
        <f>(AI56*KFC!$B$22+KFC!$C$22)*KFC!$C$5</f>
        <v>88.636631788918351</v>
      </c>
      <c r="K56" s="690">
        <f>(AJ56*KFC!$B$22+KFC!$C$22)*KFC!$C$5</f>
        <v>92.82706553907741</v>
      </c>
      <c r="L56" s="690">
        <f>(AK56*KFC!$B$22+KFC!$C$22)*KFC!$C$5</f>
        <v>97.017499289236483</v>
      </c>
      <c r="M56" s="690">
        <f>(AL56*KFC!$B$22+KFC!$C$22)*KFC!$C$5</f>
        <v>101.20793303939556</v>
      </c>
      <c r="N56" s="690">
        <f>(AM56*KFC!$B$22+KFC!$C$22)*KFC!$C$5</f>
        <v>105.39836678955461</v>
      </c>
      <c r="O56" s="690">
        <f>(AN56*KFC!$B$22+KFC!$C$22)*KFC!$C$5</f>
        <v>109.58880053971369</v>
      </c>
      <c r="P56" s="690">
        <f>(AO56*KFC!$B$22+KFC!$C$22)*KFC!$C$5</f>
        <v>113.77923428987275</v>
      </c>
      <c r="Q56" s="690">
        <f>(AP56*KFC!$B$22+KFC!$C$22)*KFC!$C$5</f>
        <v>117.96966804003182</v>
      </c>
      <c r="R56" s="690">
        <f>(AQ56*KFC!$B$22+KFC!$C$22)*KFC!$C$5</f>
        <v>122.16010179019089</v>
      </c>
      <c r="S56" s="690">
        <f>(AR56*KFC!$B$22+KFC!$C$22)*KFC!$C$5</f>
        <v>126.35053554034995</v>
      </c>
      <c r="T56" s="690">
        <f>(AS56*KFC!$B$22+KFC!$C$22)*KFC!$C$5</f>
        <v>130.54096929050903</v>
      </c>
      <c r="U56" s="690">
        <f>(AT56*KFC!$B$22+KFC!$C$22)*KFC!$C$5</f>
        <v>134.73140304066808</v>
      </c>
      <c r="V56" s="690">
        <f>(AU56*KFC!$B$22+KFC!$C$22)*KFC!$C$5</f>
        <v>138.92183679082717</v>
      </c>
      <c r="W56" s="690">
        <f>(AV56*KFC!$B$22+KFC!$C$22)*KFC!$C$5</f>
        <v>143.11227054098623</v>
      </c>
      <c r="X56" s="690">
        <f>(AW56*KFC!$B$22+KFC!$C$22)*KFC!$C$5</f>
        <v>147.30270429114529</v>
      </c>
      <c r="Y56" s="690">
        <f>(AX56*KFC!$B$22+KFC!$C$22)*KFC!$C$5</f>
        <v>151.49313804130438</v>
      </c>
      <c r="Z56" s="690">
        <f>(AY56*KFC!$B$22+KFC!$C$22)*KFC!$C$5</f>
        <v>155.68357179146341</v>
      </c>
      <c r="AB56" s="771">
        <v>59.303595537804874</v>
      </c>
      <c r="AC56" s="772">
        <v>63.49402928796394</v>
      </c>
      <c r="AD56" s="772">
        <v>67.684463038123013</v>
      </c>
      <c r="AE56" s="772">
        <v>71.874896788282086</v>
      </c>
      <c r="AF56" s="772">
        <v>76.065330538441145</v>
      </c>
      <c r="AG56" s="772">
        <v>80.255764288600218</v>
      </c>
      <c r="AH56" s="772">
        <v>84.446198038759277</v>
      </c>
      <c r="AI56" s="772">
        <v>88.636631788918351</v>
      </c>
      <c r="AJ56" s="772">
        <v>92.82706553907741</v>
      </c>
      <c r="AK56" s="772">
        <v>97.017499289236483</v>
      </c>
      <c r="AL56" s="772">
        <v>101.20793303939556</v>
      </c>
      <c r="AM56" s="772">
        <v>105.39836678955461</v>
      </c>
      <c r="AN56" s="772">
        <v>109.58880053971369</v>
      </c>
      <c r="AO56" s="772">
        <v>113.77923428987275</v>
      </c>
      <c r="AP56" s="772">
        <v>117.96966804003182</v>
      </c>
      <c r="AQ56" s="772">
        <v>122.16010179019089</v>
      </c>
      <c r="AR56" s="772">
        <v>126.35053554034995</v>
      </c>
      <c r="AS56" s="772">
        <v>130.54096929050903</v>
      </c>
      <c r="AT56" s="772">
        <v>134.73140304066808</v>
      </c>
      <c r="AU56" s="772">
        <v>138.92183679082717</v>
      </c>
      <c r="AV56" s="772">
        <v>143.11227054098623</v>
      </c>
      <c r="AW56" s="772">
        <v>147.30270429114529</v>
      </c>
      <c r="AX56" s="772">
        <v>151.49313804130438</v>
      </c>
      <c r="AY56" s="773">
        <v>155.68357179146341</v>
      </c>
    </row>
    <row r="57" spans="1:51">
      <c r="A57" s="1277"/>
      <c r="B57" s="681">
        <v>0.9</v>
      </c>
      <c r="C57" s="690">
        <f>(AB57*KFC!$B$22+KFC!$C$22)*KFC!$C$5</f>
        <v>59.817074367073168</v>
      </c>
      <c r="D57" s="690">
        <f>(AC57*KFC!$B$22+KFC!$C$22)*KFC!$C$5</f>
        <v>64.080902102067867</v>
      </c>
      <c r="E57" s="690">
        <f>(AD57*KFC!$B$22+KFC!$C$22)*KFC!$C$5</f>
        <v>68.344729837062559</v>
      </c>
      <c r="F57" s="690">
        <f>(AE57*KFC!$B$22+KFC!$C$22)*KFC!$C$5</f>
        <v>72.608557572057265</v>
      </c>
      <c r="G57" s="690">
        <f>(AF57*KFC!$B$22+KFC!$C$22)*KFC!$C$5</f>
        <v>76.872385307051957</v>
      </c>
      <c r="H57" s="690">
        <f>(AG57*KFC!$B$22+KFC!$C$22)*KFC!$C$5</f>
        <v>81.136213042046649</v>
      </c>
      <c r="I57" s="690">
        <f>(AH57*KFC!$B$22+KFC!$C$22)*KFC!$C$5</f>
        <v>85.400040777041355</v>
      </c>
      <c r="J57" s="690">
        <f>(AI57*KFC!$B$22+KFC!$C$22)*KFC!$C$5</f>
        <v>89.663868512036061</v>
      </c>
      <c r="K57" s="690">
        <f>(AJ57*KFC!$B$22+KFC!$C$22)*KFC!$C$5</f>
        <v>93.927696247030767</v>
      </c>
      <c r="L57" s="690">
        <f>(AK57*KFC!$B$22+KFC!$C$22)*KFC!$C$5</f>
        <v>98.191523982025487</v>
      </c>
      <c r="M57" s="690">
        <f>(AL57*KFC!$B$22+KFC!$C$22)*KFC!$C$5</f>
        <v>102.45535171702019</v>
      </c>
      <c r="N57" s="690">
        <f>(AM57*KFC!$B$22+KFC!$C$22)*KFC!$C$5</f>
        <v>106.7191794520149</v>
      </c>
      <c r="O57" s="690">
        <f>(AN57*KFC!$B$22+KFC!$C$22)*KFC!$C$5</f>
        <v>110.9830071870096</v>
      </c>
      <c r="P57" s="690">
        <f>(AO57*KFC!$B$22+KFC!$C$22)*KFC!$C$5</f>
        <v>115.24683492200431</v>
      </c>
      <c r="Q57" s="690">
        <f>(AP57*KFC!$B$22+KFC!$C$22)*KFC!$C$5</f>
        <v>119.51066265699902</v>
      </c>
      <c r="R57" s="690">
        <f>(AQ57*KFC!$B$22+KFC!$C$22)*KFC!$C$5</f>
        <v>123.77449039199372</v>
      </c>
      <c r="S57" s="690">
        <f>(AR57*KFC!$B$22+KFC!$C$22)*KFC!$C$5</f>
        <v>128.03831812698843</v>
      </c>
      <c r="T57" s="690">
        <f>(AS57*KFC!$B$22+KFC!$C$22)*KFC!$C$5</f>
        <v>132.30214586198312</v>
      </c>
      <c r="U57" s="690">
        <f>(AT57*KFC!$B$22+KFC!$C$22)*KFC!$C$5</f>
        <v>136.56597359697784</v>
      </c>
      <c r="V57" s="690">
        <f>(AU57*KFC!$B$22+KFC!$C$22)*KFC!$C$5</f>
        <v>140.82980133197253</v>
      </c>
      <c r="W57" s="690">
        <f>(AV57*KFC!$B$22+KFC!$C$22)*KFC!$C$5</f>
        <v>145.09362906696725</v>
      </c>
      <c r="X57" s="690">
        <f>(AW57*KFC!$B$22+KFC!$C$22)*KFC!$C$5</f>
        <v>149.35745680196194</v>
      </c>
      <c r="Y57" s="690">
        <f>(AX57*KFC!$B$22+KFC!$C$22)*KFC!$C$5</f>
        <v>153.62128453695667</v>
      </c>
      <c r="Z57" s="690">
        <f>(AY57*KFC!$B$22+KFC!$C$22)*KFC!$C$5</f>
        <v>157.88511227195121</v>
      </c>
      <c r="AB57" s="771">
        <v>59.817074367073168</v>
      </c>
      <c r="AC57" s="772">
        <v>64.080902102067867</v>
      </c>
      <c r="AD57" s="772">
        <v>68.344729837062559</v>
      </c>
      <c r="AE57" s="772">
        <v>72.608557572057265</v>
      </c>
      <c r="AF57" s="772">
        <v>76.872385307051957</v>
      </c>
      <c r="AG57" s="772">
        <v>81.136213042046649</v>
      </c>
      <c r="AH57" s="772">
        <v>85.400040777041355</v>
      </c>
      <c r="AI57" s="772">
        <v>89.663868512036061</v>
      </c>
      <c r="AJ57" s="772">
        <v>93.927696247030767</v>
      </c>
      <c r="AK57" s="772">
        <v>98.191523982025487</v>
      </c>
      <c r="AL57" s="772">
        <v>102.45535171702019</v>
      </c>
      <c r="AM57" s="772">
        <v>106.7191794520149</v>
      </c>
      <c r="AN57" s="772">
        <v>110.9830071870096</v>
      </c>
      <c r="AO57" s="772">
        <v>115.24683492200431</v>
      </c>
      <c r="AP57" s="772">
        <v>119.51066265699902</v>
      </c>
      <c r="AQ57" s="772">
        <v>123.77449039199372</v>
      </c>
      <c r="AR57" s="772">
        <v>128.03831812698843</v>
      </c>
      <c r="AS57" s="772">
        <v>132.30214586198312</v>
      </c>
      <c r="AT57" s="772">
        <v>136.56597359697784</v>
      </c>
      <c r="AU57" s="772">
        <v>140.82980133197253</v>
      </c>
      <c r="AV57" s="772">
        <v>145.09362906696725</v>
      </c>
      <c r="AW57" s="772">
        <v>149.35745680196194</v>
      </c>
      <c r="AX57" s="772">
        <v>153.62128453695667</v>
      </c>
      <c r="AY57" s="773">
        <v>157.88511227195121</v>
      </c>
    </row>
    <row r="58" spans="1:51">
      <c r="A58" s="1277"/>
      <c r="B58" s="681">
        <v>1</v>
      </c>
      <c r="C58" s="690">
        <f>(AB58*KFC!$B$22+KFC!$C$22)*KFC!$C$5</f>
        <v>60.330553196341462</v>
      </c>
      <c r="D58" s="690">
        <f>(AC58*KFC!$B$22+KFC!$C$22)*KFC!$C$5</f>
        <v>64.667774916171794</v>
      </c>
      <c r="E58" s="690">
        <f>(AD58*KFC!$B$22+KFC!$C$22)*KFC!$C$5</f>
        <v>69.004996636002119</v>
      </c>
      <c r="F58" s="690">
        <f>(AE58*KFC!$B$22+KFC!$C$22)*KFC!$C$5</f>
        <v>73.342218355832443</v>
      </c>
      <c r="G58" s="690">
        <f>(AF58*KFC!$B$22+KFC!$C$22)*KFC!$C$5</f>
        <v>77.679440075662768</v>
      </c>
      <c r="H58" s="690">
        <f>(AG58*KFC!$B$22+KFC!$C$22)*KFC!$C$5</f>
        <v>82.016661795493093</v>
      </c>
      <c r="I58" s="690">
        <f>(AH58*KFC!$B$22+KFC!$C$22)*KFC!$C$5</f>
        <v>86.353883515323432</v>
      </c>
      <c r="J58" s="690">
        <f>(AI58*KFC!$B$22+KFC!$C$22)*KFC!$C$5</f>
        <v>90.691105235153756</v>
      </c>
      <c r="K58" s="690">
        <f>(AJ58*KFC!$B$22+KFC!$C$22)*KFC!$C$5</f>
        <v>95.028326954984081</v>
      </c>
      <c r="L58" s="690">
        <f>(AK58*KFC!$B$22+KFC!$C$22)*KFC!$C$5</f>
        <v>99.365548674814406</v>
      </c>
      <c r="M58" s="690">
        <f>(AL58*KFC!$B$22+KFC!$C$22)*KFC!$C$5</f>
        <v>103.70277039464473</v>
      </c>
      <c r="N58" s="690">
        <f>(AM58*KFC!$B$22+KFC!$C$22)*KFC!$C$5</f>
        <v>108.03999211447506</v>
      </c>
      <c r="O58" s="690">
        <f>(AN58*KFC!$B$22+KFC!$C$22)*KFC!$C$5</f>
        <v>112.37721383430538</v>
      </c>
      <c r="P58" s="690">
        <f>(AO58*KFC!$B$22+KFC!$C$22)*KFC!$C$5</f>
        <v>116.7144355541357</v>
      </c>
      <c r="Q58" s="690">
        <f>(AP58*KFC!$B$22+KFC!$C$22)*KFC!$C$5</f>
        <v>121.05165727396603</v>
      </c>
      <c r="R58" s="690">
        <f>(AQ58*KFC!$B$22+KFC!$C$22)*KFC!$C$5</f>
        <v>125.38887899379635</v>
      </c>
      <c r="S58" s="690">
        <f>(AR58*KFC!$B$22+KFC!$C$22)*KFC!$C$5</f>
        <v>129.72610071362669</v>
      </c>
      <c r="T58" s="690">
        <f>(AS58*KFC!$B$22+KFC!$C$22)*KFC!$C$5</f>
        <v>134.06332243345702</v>
      </c>
      <c r="U58" s="690">
        <f>(AT58*KFC!$B$22+KFC!$C$22)*KFC!$C$5</f>
        <v>138.40054415328734</v>
      </c>
      <c r="V58" s="690">
        <f>(AU58*KFC!$B$22+KFC!$C$22)*KFC!$C$5</f>
        <v>142.73776587311767</v>
      </c>
      <c r="W58" s="690">
        <f>(AV58*KFC!$B$22+KFC!$C$22)*KFC!$C$5</f>
        <v>147.07498759294799</v>
      </c>
      <c r="X58" s="690">
        <f>(AW58*KFC!$B$22+KFC!$C$22)*KFC!$C$5</f>
        <v>151.41220931277832</v>
      </c>
      <c r="Y58" s="690">
        <f>(AX58*KFC!$B$22+KFC!$C$22)*KFC!$C$5</f>
        <v>155.74943103260864</v>
      </c>
      <c r="Z58" s="690">
        <f>(AY58*KFC!$B$22+KFC!$C$22)*KFC!$C$5</f>
        <v>160.08665275243899</v>
      </c>
      <c r="AB58" s="771">
        <v>60.330553196341462</v>
      </c>
      <c r="AC58" s="772">
        <v>64.667774916171794</v>
      </c>
      <c r="AD58" s="772">
        <v>69.004996636002119</v>
      </c>
      <c r="AE58" s="772">
        <v>73.342218355832443</v>
      </c>
      <c r="AF58" s="772">
        <v>77.679440075662768</v>
      </c>
      <c r="AG58" s="772">
        <v>82.016661795493093</v>
      </c>
      <c r="AH58" s="772">
        <v>86.353883515323432</v>
      </c>
      <c r="AI58" s="772">
        <v>90.691105235153756</v>
      </c>
      <c r="AJ58" s="772">
        <v>95.028326954984081</v>
      </c>
      <c r="AK58" s="772">
        <v>99.365548674814406</v>
      </c>
      <c r="AL58" s="772">
        <v>103.70277039464473</v>
      </c>
      <c r="AM58" s="772">
        <v>108.03999211447506</v>
      </c>
      <c r="AN58" s="772">
        <v>112.37721383430538</v>
      </c>
      <c r="AO58" s="772">
        <v>116.7144355541357</v>
      </c>
      <c r="AP58" s="772">
        <v>121.05165727396603</v>
      </c>
      <c r="AQ58" s="772">
        <v>125.38887899379635</v>
      </c>
      <c r="AR58" s="772">
        <v>129.72610071362669</v>
      </c>
      <c r="AS58" s="772">
        <v>134.06332243345702</v>
      </c>
      <c r="AT58" s="772">
        <v>138.40054415328734</v>
      </c>
      <c r="AU58" s="772">
        <v>142.73776587311767</v>
      </c>
      <c r="AV58" s="772">
        <v>147.07498759294799</v>
      </c>
      <c r="AW58" s="772">
        <v>151.41220931277832</v>
      </c>
      <c r="AX58" s="772">
        <v>155.74943103260864</v>
      </c>
      <c r="AY58" s="773">
        <v>160.08665275243899</v>
      </c>
    </row>
    <row r="59" spans="1:51">
      <c r="A59" s="1277"/>
      <c r="B59" s="681">
        <v>1.1000000000000001</v>
      </c>
      <c r="C59" s="690">
        <f>(AB59*KFC!$B$22+KFC!$C$22)*KFC!$C$5</f>
        <v>60.844032025609756</v>
      </c>
      <c r="D59" s="690">
        <f>(AC59*KFC!$B$22+KFC!$C$22)*KFC!$C$5</f>
        <v>65.254647730275707</v>
      </c>
      <c r="E59" s="690">
        <f>(AD59*KFC!$B$22+KFC!$C$22)*KFC!$C$5</f>
        <v>69.665263434941679</v>
      </c>
      <c r="F59" s="690">
        <f>(AE59*KFC!$B$22+KFC!$C$22)*KFC!$C$5</f>
        <v>74.075879139607636</v>
      </c>
      <c r="G59" s="690">
        <f>(AF59*KFC!$B$22+KFC!$C$22)*KFC!$C$5</f>
        <v>78.486494844273608</v>
      </c>
      <c r="H59" s="690">
        <f>(AG59*KFC!$B$22+KFC!$C$22)*KFC!$C$5</f>
        <v>82.897110548939565</v>
      </c>
      <c r="I59" s="690">
        <f>(AH59*KFC!$B$22+KFC!$C$22)*KFC!$C$5</f>
        <v>87.307726253605537</v>
      </c>
      <c r="J59" s="690">
        <f>(AI59*KFC!$B$22+KFC!$C$22)*KFC!$C$5</f>
        <v>91.718341958271495</v>
      </c>
      <c r="K59" s="690">
        <f>(AJ59*KFC!$B$22+KFC!$C$22)*KFC!$C$5</f>
        <v>96.128957662937452</v>
      </c>
      <c r="L59" s="690">
        <f>(AK59*KFC!$B$22+KFC!$C$22)*KFC!$C$5</f>
        <v>100.53957336760342</v>
      </c>
      <c r="M59" s="690">
        <f>(AL59*KFC!$B$22+KFC!$C$22)*KFC!$C$5</f>
        <v>104.95018907226938</v>
      </c>
      <c r="N59" s="690">
        <f>(AM59*KFC!$B$22+KFC!$C$22)*KFC!$C$5</f>
        <v>109.36080477693535</v>
      </c>
      <c r="O59" s="690">
        <f>(AN59*KFC!$B$22+KFC!$C$22)*KFC!$C$5</f>
        <v>113.77142048160131</v>
      </c>
      <c r="P59" s="690">
        <f>(AO59*KFC!$B$22+KFC!$C$22)*KFC!$C$5</f>
        <v>118.18203618626728</v>
      </c>
      <c r="Q59" s="690">
        <f>(AP59*KFC!$B$22+KFC!$C$22)*KFC!$C$5</f>
        <v>122.59265189093324</v>
      </c>
      <c r="R59" s="690">
        <f>(AQ59*KFC!$B$22+KFC!$C$22)*KFC!$C$5</f>
        <v>127.00326759559921</v>
      </c>
      <c r="S59" s="690">
        <f>(AR59*KFC!$B$22+KFC!$C$22)*KFC!$C$5</f>
        <v>131.41388330026518</v>
      </c>
      <c r="T59" s="690">
        <f>(AS59*KFC!$B$22+KFC!$C$22)*KFC!$C$5</f>
        <v>135.82449900493114</v>
      </c>
      <c r="U59" s="690">
        <f>(AT59*KFC!$B$22+KFC!$C$22)*KFC!$C$5</f>
        <v>140.2351147095971</v>
      </c>
      <c r="V59" s="690">
        <f>(AU59*KFC!$B$22+KFC!$C$22)*KFC!$C$5</f>
        <v>144.64573041426306</v>
      </c>
      <c r="W59" s="690">
        <f>(AV59*KFC!$B$22+KFC!$C$22)*KFC!$C$5</f>
        <v>149.05634611892904</v>
      </c>
      <c r="X59" s="690">
        <f>(AW59*KFC!$B$22+KFC!$C$22)*KFC!$C$5</f>
        <v>153.466961823595</v>
      </c>
      <c r="Y59" s="690">
        <f>(AX59*KFC!$B$22+KFC!$C$22)*KFC!$C$5</f>
        <v>157.87757752826096</v>
      </c>
      <c r="Z59" s="690">
        <f>(AY59*KFC!$B$22+KFC!$C$22)*KFC!$C$5</f>
        <v>162.2881932329268</v>
      </c>
      <c r="AB59" s="771">
        <v>60.844032025609756</v>
      </c>
      <c r="AC59" s="772">
        <v>65.254647730275707</v>
      </c>
      <c r="AD59" s="772">
        <v>69.665263434941679</v>
      </c>
      <c r="AE59" s="772">
        <v>74.075879139607636</v>
      </c>
      <c r="AF59" s="772">
        <v>78.486494844273608</v>
      </c>
      <c r="AG59" s="772">
        <v>82.897110548939565</v>
      </c>
      <c r="AH59" s="772">
        <v>87.307726253605537</v>
      </c>
      <c r="AI59" s="772">
        <v>91.718341958271495</v>
      </c>
      <c r="AJ59" s="772">
        <v>96.128957662937452</v>
      </c>
      <c r="AK59" s="772">
        <v>100.53957336760342</v>
      </c>
      <c r="AL59" s="772">
        <v>104.95018907226938</v>
      </c>
      <c r="AM59" s="772">
        <v>109.36080477693535</v>
      </c>
      <c r="AN59" s="772">
        <v>113.77142048160131</v>
      </c>
      <c r="AO59" s="772">
        <v>118.18203618626728</v>
      </c>
      <c r="AP59" s="772">
        <v>122.59265189093324</v>
      </c>
      <c r="AQ59" s="772">
        <v>127.00326759559921</v>
      </c>
      <c r="AR59" s="772">
        <v>131.41388330026518</v>
      </c>
      <c r="AS59" s="772">
        <v>135.82449900493114</v>
      </c>
      <c r="AT59" s="772">
        <v>140.2351147095971</v>
      </c>
      <c r="AU59" s="772">
        <v>144.64573041426306</v>
      </c>
      <c r="AV59" s="772">
        <v>149.05634611892904</v>
      </c>
      <c r="AW59" s="772">
        <v>153.466961823595</v>
      </c>
      <c r="AX59" s="772">
        <v>157.87757752826096</v>
      </c>
      <c r="AY59" s="773">
        <v>162.2881932329268</v>
      </c>
    </row>
    <row r="60" spans="1:51">
      <c r="A60" s="1277"/>
      <c r="B60" s="681">
        <v>1.2</v>
      </c>
      <c r="C60" s="690">
        <f>(AB60*KFC!$B$22+KFC!$C$22)*KFC!$C$5</f>
        <v>61.357510854878051</v>
      </c>
      <c r="D60" s="690">
        <f>(AC60*KFC!$B$22+KFC!$C$22)*KFC!$C$5</f>
        <v>65.841520544379634</v>
      </c>
      <c r="E60" s="690">
        <f>(AD60*KFC!$B$22+KFC!$C$22)*KFC!$C$5</f>
        <v>70.325530233881238</v>
      </c>
      <c r="F60" s="690">
        <f>(AE60*KFC!$B$22+KFC!$C$22)*KFC!$C$5</f>
        <v>74.809539923382829</v>
      </c>
      <c r="G60" s="690">
        <f>(AF60*KFC!$B$22+KFC!$C$22)*KFC!$C$5</f>
        <v>79.293549612884419</v>
      </c>
      <c r="H60" s="690">
        <f>(AG60*KFC!$B$22+KFC!$C$22)*KFC!$C$5</f>
        <v>83.77755930238601</v>
      </c>
      <c r="I60" s="690">
        <f>(AH60*KFC!$B$22+KFC!$C$22)*KFC!$C$5</f>
        <v>88.2615689918876</v>
      </c>
      <c r="J60" s="690">
        <f>(AI60*KFC!$B$22+KFC!$C$22)*KFC!$C$5</f>
        <v>92.745578681389176</v>
      </c>
      <c r="K60" s="690">
        <f>(AJ60*KFC!$B$22+KFC!$C$22)*KFC!$C$5</f>
        <v>97.229588370890767</v>
      </c>
      <c r="L60" s="690">
        <f>(AK60*KFC!$B$22+KFC!$C$22)*KFC!$C$5</f>
        <v>101.71359806039234</v>
      </c>
      <c r="M60" s="690">
        <f>(AL60*KFC!$B$22+KFC!$C$22)*KFC!$C$5</f>
        <v>106.19760774989393</v>
      </c>
      <c r="N60" s="690">
        <f>(AM60*KFC!$B$22+KFC!$C$22)*KFC!$C$5</f>
        <v>110.68161743939551</v>
      </c>
      <c r="O60" s="690">
        <f>(AN60*KFC!$B$22+KFC!$C$22)*KFC!$C$5</f>
        <v>115.1656271288971</v>
      </c>
      <c r="P60" s="690">
        <f>(AO60*KFC!$B$22+KFC!$C$22)*KFC!$C$5</f>
        <v>119.64963681839868</v>
      </c>
      <c r="Q60" s="690">
        <f>(AP60*KFC!$B$22+KFC!$C$22)*KFC!$C$5</f>
        <v>124.13364650790027</v>
      </c>
      <c r="R60" s="690">
        <f>(AQ60*KFC!$B$22+KFC!$C$22)*KFC!$C$5</f>
        <v>128.61765619740186</v>
      </c>
      <c r="S60" s="690">
        <f>(AR60*KFC!$B$22+KFC!$C$22)*KFC!$C$5</f>
        <v>133.10166588690345</v>
      </c>
      <c r="T60" s="690">
        <f>(AS60*KFC!$B$22+KFC!$C$22)*KFC!$C$5</f>
        <v>137.58567557640501</v>
      </c>
      <c r="U60" s="690">
        <f>(AT60*KFC!$B$22+KFC!$C$22)*KFC!$C$5</f>
        <v>142.0696852659066</v>
      </c>
      <c r="V60" s="690">
        <f>(AU60*KFC!$B$22+KFC!$C$22)*KFC!$C$5</f>
        <v>146.55369495540819</v>
      </c>
      <c r="W60" s="690">
        <f>(AV60*KFC!$B$22+KFC!$C$22)*KFC!$C$5</f>
        <v>151.03770464490978</v>
      </c>
      <c r="X60" s="690">
        <f>(AW60*KFC!$B$22+KFC!$C$22)*KFC!$C$5</f>
        <v>155.52171433441134</v>
      </c>
      <c r="Y60" s="690">
        <f>(AX60*KFC!$B$22+KFC!$C$22)*KFC!$C$5</f>
        <v>160.00572402391293</v>
      </c>
      <c r="Z60" s="690">
        <f>(AY60*KFC!$B$22+KFC!$C$22)*KFC!$C$5</f>
        <v>164.48973371341461</v>
      </c>
      <c r="AB60" s="771">
        <v>61.357510854878051</v>
      </c>
      <c r="AC60" s="772">
        <v>65.841520544379634</v>
      </c>
      <c r="AD60" s="772">
        <v>70.325530233881238</v>
      </c>
      <c r="AE60" s="772">
        <v>74.809539923382829</v>
      </c>
      <c r="AF60" s="772">
        <v>79.293549612884419</v>
      </c>
      <c r="AG60" s="772">
        <v>83.77755930238601</v>
      </c>
      <c r="AH60" s="772">
        <v>88.2615689918876</v>
      </c>
      <c r="AI60" s="772">
        <v>92.745578681389176</v>
      </c>
      <c r="AJ60" s="772">
        <v>97.229588370890767</v>
      </c>
      <c r="AK60" s="772">
        <v>101.71359806039234</v>
      </c>
      <c r="AL60" s="772">
        <v>106.19760774989393</v>
      </c>
      <c r="AM60" s="772">
        <v>110.68161743939551</v>
      </c>
      <c r="AN60" s="772">
        <v>115.1656271288971</v>
      </c>
      <c r="AO60" s="772">
        <v>119.64963681839868</v>
      </c>
      <c r="AP60" s="772">
        <v>124.13364650790027</v>
      </c>
      <c r="AQ60" s="772">
        <v>128.61765619740186</v>
      </c>
      <c r="AR60" s="772">
        <v>133.10166588690345</v>
      </c>
      <c r="AS60" s="772">
        <v>137.58567557640501</v>
      </c>
      <c r="AT60" s="772">
        <v>142.0696852659066</v>
      </c>
      <c r="AU60" s="772">
        <v>146.55369495540819</v>
      </c>
      <c r="AV60" s="772">
        <v>151.03770464490978</v>
      </c>
      <c r="AW60" s="772">
        <v>155.52171433441134</v>
      </c>
      <c r="AX60" s="772">
        <v>160.00572402391293</v>
      </c>
      <c r="AY60" s="773">
        <v>164.48973371341461</v>
      </c>
    </row>
    <row r="61" spans="1:51">
      <c r="A61" s="1277"/>
      <c r="B61" s="681">
        <v>1.3</v>
      </c>
      <c r="C61" s="690">
        <f>(AB61*KFC!$B$22+KFC!$C$22)*KFC!$C$5</f>
        <v>61.870989684146338</v>
      </c>
      <c r="D61" s="690">
        <f>(AC61*KFC!$B$22+KFC!$C$22)*KFC!$C$5</f>
        <v>66.428393358483561</v>
      </c>
      <c r="E61" s="690">
        <f>(AD61*KFC!$B$22+KFC!$C$22)*KFC!$C$5</f>
        <v>70.985797032820784</v>
      </c>
      <c r="F61" s="690">
        <f>(AE61*KFC!$B$22+KFC!$C$22)*KFC!$C$5</f>
        <v>75.543200707158007</v>
      </c>
      <c r="G61" s="690">
        <f>(AF61*KFC!$B$22+KFC!$C$22)*KFC!$C$5</f>
        <v>80.100604381495231</v>
      </c>
      <c r="H61" s="690">
        <f>(AG61*KFC!$B$22+KFC!$C$22)*KFC!$C$5</f>
        <v>84.65800805583244</v>
      </c>
      <c r="I61" s="690">
        <f>(AH61*KFC!$B$22+KFC!$C$22)*KFC!$C$5</f>
        <v>89.215411730169663</v>
      </c>
      <c r="J61" s="690">
        <f>(AI61*KFC!$B$22+KFC!$C$22)*KFC!$C$5</f>
        <v>93.772815404506886</v>
      </c>
      <c r="K61" s="690">
        <f>(AJ61*KFC!$B$22+KFC!$C$22)*KFC!$C$5</f>
        <v>98.33021907884411</v>
      </c>
      <c r="L61" s="690">
        <f>(AK61*KFC!$B$22+KFC!$C$22)*KFC!$C$5</f>
        <v>102.88762275318133</v>
      </c>
      <c r="M61" s="690">
        <f>(AL61*KFC!$B$22+KFC!$C$22)*KFC!$C$5</f>
        <v>107.44502642751856</v>
      </c>
      <c r="N61" s="690">
        <f>(AM61*KFC!$B$22+KFC!$C$22)*KFC!$C$5</f>
        <v>112.00243010185577</v>
      </c>
      <c r="O61" s="690">
        <f>(AN61*KFC!$B$22+KFC!$C$22)*KFC!$C$5</f>
        <v>116.55983377619299</v>
      </c>
      <c r="P61" s="690">
        <f>(AO61*KFC!$B$22+KFC!$C$22)*KFC!$C$5</f>
        <v>121.11723745053021</v>
      </c>
      <c r="Q61" s="690">
        <f>(AP61*KFC!$B$22+KFC!$C$22)*KFC!$C$5</f>
        <v>125.67464112486743</v>
      </c>
      <c r="R61" s="690">
        <f>(AQ61*KFC!$B$22+KFC!$C$22)*KFC!$C$5</f>
        <v>130.23204479920466</v>
      </c>
      <c r="S61" s="690">
        <f>(AR61*KFC!$B$22+KFC!$C$22)*KFC!$C$5</f>
        <v>134.78944847354188</v>
      </c>
      <c r="T61" s="690">
        <f>(AS61*KFC!$B$22+KFC!$C$22)*KFC!$C$5</f>
        <v>139.3468521478791</v>
      </c>
      <c r="U61" s="690">
        <f>(AT61*KFC!$B$22+KFC!$C$22)*KFC!$C$5</f>
        <v>143.90425582221633</v>
      </c>
      <c r="V61" s="690">
        <f>(AU61*KFC!$B$22+KFC!$C$22)*KFC!$C$5</f>
        <v>148.46165949655355</v>
      </c>
      <c r="W61" s="690">
        <f>(AV61*KFC!$B$22+KFC!$C$22)*KFC!$C$5</f>
        <v>153.01906317089077</v>
      </c>
      <c r="X61" s="690">
        <f>(AW61*KFC!$B$22+KFC!$C$22)*KFC!$C$5</f>
        <v>157.576466845228</v>
      </c>
      <c r="Y61" s="690">
        <f>(AX61*KFC!$B$22+KFC!$C$22)*KFC!$C$5</f>
        <v>162.13387051956522</v>
      </c>
      <c r="Z61" s="690">
        <f>(AY61*KFC!$B$22+KFC!$C$22)*KFC!$C$5</f>
        <v>166.69127419390242</v>
      </c>
      <c r="AB61" s="771">
        <v>61.870989684146338</v>
      </c>
      <c r="AC61" s="772">
        <v>66.428393358483561</v>
      </c>
      <c r="AD61" s="772">
        <v>70.985797032820784</v>
      </c>
      <c r="AE61" s="772">
        <v>75.543200707158007</v>
      </c>
      <c r="AF61" s="772">
        <v>80.100604381495231</v>
      </c>
      <c r="AG61" s="772">
        <v>84.65800805583244</v>
      </c>
      <c r="AH61" s="772">
        <v>89.215411730169663</v>
      </c>
      <c r="AI61" s="772">
        <v>93.772815404506886</v>
      </c>
      <c r="AJ61" s="772">
        <v>98.33021907884411</v>
      </c>
      <c r="AK61" s="772">
        <v>102.88762275318133</v>
      </c>
      <c r="AL61" s="772">
        <v>107.44502642751856</v>
      </c>
      <c r="AM61" s="772">
        <v>112.00243010185577</v>
      </c>
      <c r="AN61" s="772">
        <v>116.55983377619299</v>
      </c>
      <c r="AO61" s="772">
        <v>121.11723745053021</v>
      </c>
      <c r="AP61" s="772">
        <v>125.67464112486743</v>
      </c>
      <c r="AQ61" s="772">
        <v>130.23204479920466</v>
      </c>
      <c r="AR61" s="772">
        <v>134.78944847354188</v>
      </c>
      <c r="AS61" s="772">
        <v>139.3468521478791</v>
      </c>
      <c r="AT61" s="772">
        <v>143.90425582221633</v>
      </c>
      <c r="AU61" s="772">
        <v>148.46165949655355</v>
      </c>
      <c r="AV61" s="772">
        <v>153.01906317089077</v>
      </c>
      <c r="AW61" s="772">
        <v>157.576466845228</v>
      </c>
      <c r="AX61" s="772">
        <v>162.13387051956522</v>
      </c>
      <c r="AY61" s="773">
        <v>166.69127419390242</v>
      </c>
    </row>
    <row r="62" spans="1:51">
      <c r="A62" s="1277"/>
      <c r="B62" s="681">
        <v>1.4</v>
      </c>
      <c r="C62" s="690">
        <f>(AB62*KFC!$B$22+KFC!$C$22)*KFC!$C$5</f>
        <v>62.384468513414632</v>
      </c>
      <c r="D62" s="690">
        <f>(AC62*KFC!$B$22+KFC!$C$22)*KFC!$C$5</f>
        <v>67.015266172587488</v>
      </c>
      <c r="E62" s="690">
        <f>(AD62*KFC!$B$22+KFC!$C$22)*KFC!$C$5</f>
        <v>71.64606383176033</v>
      </c>
      <c r="F62" s="690">
        <f>(AE62*KFC!$B$22+KFC!$C$22)*KFC!$C$5</f>
        <v>76.276861490933186</v>
      </c>
      <c r="G62" s="690">
        <f>(AF62*KFC!$B$22+KFC!$C$22)*KFC!$C$5</f>
        <v>80.907659150106042</v>
      </c>
      <c r="H62" s="690">
        <f>(AG62*KFC!$B$22+KFC!$C$22)*KFC!$C$5</f>
        <v>85.538456809278884</v>
      </c>
      <c r="I62" s="690">
        <f>(AH62*KFC!$B$22+KFC!$C$22)*KFC!$C$5</f>
        <v>90.169254468451754</v>
      </c>
      <c r="J62" s="690">
        <f>(AI62*KFC!$B$22+KFC!$C$22)*KFC!$C$5</f>
        <v>94.80005212762461</v>
      </c>
      <c r="K62" s="690">
        <f>(AJ62*KFC!$B$22+KFC!$C$22)*KFC!$C$5</f>
        <v>99.430849786797467</v>
      </c>
      <c r="L62" s="690">
        <f>(AK62*KFC!$B$22+KFC!$C$22)*KFC!$C$5</f>
        <v>104.06164744597032</v>
      </c>
      <c r="M62" s="690">
        <f>(AL62*KFC!$B$22+KFC!$C$22)*KFC!$C$5</f>
        <v>108.69244510514319</v>
      </c>
      <c r="N62" s="690">
        <f>(AM62*KFC!$B$22+KFC!$C$22)*KFC!$C$5</f>
        <v>113.32324276431605</v>
      </c>
      <c r="O62" s="690">
        <f>(AN62*KFC!$B$22+KFC!$C$22)*KFC!$C$5</f>
        <v>117.95404042348891</v>
      </c>
      <c r="P62" s="690">
        <f>(AO62*KFC!$B$22+KFC!$C$22)*KFC!$C$5</f>
        <v>122.58483808266176</v>
      </c>
      <c r="Q62" s="690">
        <f>(AP62*KFC!$B$22+KFC!$C$22)*KFC!$C$5</f>
        <v>127.21563574183463</v>
      </c>
      <c r="R62" s="690">
        <f>(AQ62*KFC!$B$22+KFC!$C$22)*KFC!$C$5</f>
        <v>131.84643340100749</v>
      </c>
      <c r="S62" s="690">
        <f>(AR62*KFC!$B$22+KFC!$C$22)*KFC!$C$5</f>
        <v>136.47723106018034</v>
      </c>
      <c r="T62" s="690">
        <f>(AS62*KFC!$B$22+KFC!$C$22)*KFC!$C$5</f>
        <v>141.1080287193532</v>
      </c>
      <c r="U62" s="690">
        <f>(AT62*KFC!$B$22+KFC!$C$22)*KFC!$C$5</f>
        <v>145.73882637852606</v>
      </c>
      <c r="V62" s="690">
        <f>(AU62*KFC!$B$22+KFC!$C$22)*KFC!$C$5</f>
        <v>150.36962403769894</v>
      </c>
      <c r="W62" s="690">
        <f>(AV62*KFC!$B$22+KFC!$C$22)*KFC!$C$5</f>
        <v>155.0004216968718</v>
      </c>
      <c r="X62" s="690">
        <f>(AW62*KFC!$B$22+KFC!$C$22)*KFC!$C$5</f>
        <v>159.63121935604465</v>
      </c>
      <c r="Y62" s="690">
        <f>(AX62*KFC!$B$22+KFC!$C$22)*KFC!$C$5</f>
        <v>164.26201701521751</v>
      </c>
      <c r="Z62" s="690">
        <f>(AY62*KFC!$B$22+KFC!$C$22)*KFC!$C$5</f>
        <v>168.89281467439022</v>
      </c>
      <c r="AB62" s="771">
        <v>62.384468513414632</v>
      </c>
      <c r="AC62" s="772">
        <v>67.015266172587488</v>
      </c>
      <c r="AD62" s="772">
        <v>71.64606383176033</v>
      </c>
      <c r="AE62" s="772">
        <v>76.276861490933186</v>
      </c>
      <c r="AF62" s="772">
        <v>80.907659150106042</v>
      </c>
      <c r="AG62" s="772">
        <v>85.538456809278884</v>
      </c>
      <c r="AH62" s="772">
        <v>90.169254468451754</v>
      </c>
      <c r="AI62" s="772">
        <v>94.80005212762461</v>
      </c>
      <c r="AJ62" s="772">
        <v>99.430849786797467</v>
      </c>
      <c r="AK62" s="772">
        <v>104.06164744597032</v>
      </c>
      <c r="AL62" s="772">
        <v>108.69244510514319</v>
      </c>
      <c r="AM62" s="772">
        <v>113.32324276431605</v>
      </c>
      <c r="AN62" s="772">
        <v>117.95404042348891</v>
      </c>
      <c r="AO62" s="772">
        <v>122.58483808266176</v>
      </c>
      <c r="AP62" s="772">
        <v>127.21563574183463</v>
      </c>
      <c r="AQ62" s="772">
        <v>131.84643340100749</v>
      </c>
      <c r="AR62" s="772">
        <v>136.47723106018034</v>
      </c>
      <c r="AS62" s="772">
        <v>141.1080287193532</v>
      </c>
      <c r="AT62" s="772">
        <v>145.73882637852606</v>
      </c>
      <c r="AU62" s="772">
        <v>150.36962403769894</v>
      </c>
      <c r="AV62" s="772">
        <v>155.0004216968718</v>
      </c>
      <c r="AW62" s="772">
        <v>159.63121935604465</v>
      </c>
      <c r="AX62" s="772">
        <v>164.26201701521751</v>
      </c>
      <c r="AY62" s="773">
        <v>168.89281467439022</v>
      </c>
    </row>
    <row r="63" spans="1:51">
      <c r="A63" s="1277"/>
      <c r="B63" s="681">
        <v>1.5</v>
      </c>
      <c r="C63" s="690">
        <f>(AB63*KFC!$B$22+KFC!$C$22)*KFC!$C$5</f>
        <v>62.897947342682926</v>
      </c>
      <c r="D63" s="690">
        <f>(AC63*KFC!$B$22+KFC!$C$22)*KFC!$C$5</f>
        <v>67.602138986691401</v>
      </c>
      <c r="E63" s="690">
        <f>(AD63*KFC!$B$22+KFC!$C$22)*KFC!$C$5</f>
        <v>72.30633063069989</v>
      </c>
      <c r="F63" s="690">
        <f>(AE63*KFC!$B$22+KFC!$C$22)*KFC!$C$5</f>
        <v>77.010522274708364</v>
      </c>
      <c r="G63" s="690">
        <f>(AF63*KFC!$B$22+KFC!$C$22)*KFC!$C$5</f>
        <v>81.714713918716839</v>
      </c>
      <c r="H63" s="690">
        <f>(AG63*KFC!$B$22+KFC!$C$22)*KFC!$C$5</f>
        <v>86.418905562725328</v>
      </c>
      <c r="I63" s="690">
        <f>(AH63*KFC!$B$22+KFC!$C$22)*KFC!$C$5</f>
        <v>91.123097206733817</v>
      </c>
      <c r="J63" s="690">
        <f>(AI63*KFC!$B$22+KFC!$C$22)*KFC!$C$5</f>
        <v>95.827288850742292</v>
      </c>
      <c r="K63" s="690">
        <f>(AJ63*KFC!$B$22+KFC!$C$22)*KFC!$C$5</f>
        <v>100.53148049475077</v>
      </c>
      <c r="L63" s="690">
        <f>(AK63*KFC!$B$22+KFC!$C$22)*KFC!$C$5</f>
        <v>105.23567213875926</v>
      </c>
      <c r="M63" s="690">
        <f>(AL63*KFC!$B$22+KFC!$C$22)*KFC!$C$5</f>
        <v>109.93986378276773</v>
      </c>
      <c r="N63" s="690">
        <f>(AM63*KFC!$B$22+KFC!$C$22)*KFC!$C$5</f>
        <v>114.64405542677621</v>
      </c>
      <c r="O63" s="690">
        <f>(AN63*KFC!$B$22+KFC!$C$22)*KFC!$C$5</f>
        <v>119.34824707078469</v>
      </c>
      <c r="P63" s="690">
        <f>(AO63*KFC!$B$22+KFC!$C$22)*KFC!$C$5</f>
        <v>124.05243871479317</v>
      </c>
      <c r="Q63" s="690">
        <f>(AP63*KFC!$B$22+KFC!$C$22)*KFC!$C$5</f>
        <v>128.75663035880166</v>
      </c>
      <c r="R63" s="690">
        <f>(AQ63*KFC!$B$22+KFC!$C$22)*KFC!$C$5</f>
        <v>133.46082200281012</v>
      </c>
      <c r="S63" s="690">
        <f>(AR63*KFC!$B$22+KFC!$C$22)*KFC!$C$5</f>
        <v>138.16501364681861</v>
      </c>
      <c r="T63" s="690">
        <f>(AS63*KFC!$B$22+KFC!$C$22)*KFC!$C$5</f>
        <v>142.8692052908271</v>
      </c>
      <c r="U63" s="690">
        <f>(AT63*KFC!$B$22+KFC!$C$22)*KFC!$C$5</f>
        <v>147.57339693483556</v>
      </c>
      <c r="V63" s="690">
        <f>(AU63*KFC!$B$22+KFC!$C$22)*KFC!$C$5</f>
        <v>152.27758857884405</v>
      </c>
      <c r="W63" s="690">
        <f>(AV63*KFC!$B$22+KFC!$C$22)*KFC!$C$5</f>
        <v>156.98178022285254</v>
      </c>
      <c r="X63" s="690">
        <f>(AW63*KFC!$B$22+KFC!$C$22)*KFC!$C$5</f>
        <v>161.685971866861</v>
      </c>
      <c r="Y63" s="690">
        <f>(AX63*KFC!$B$22+KFC!$C$22)*KFC!$C$5</f>
        <v>166.39016351086948</v>
      </c>
      <c r="Z63" s="690">
        <f>(AY63*KFC!$B$22+KFC!$C$22)*KFC!$C$5</f>
        <v>171.09435515487803</v>
      </c>
      <c r="AB63" s="771">
        <v>62.897947342682926</v>
      </c>
      <c r="AC63" s="772">
        <v>67.602138986691401</v>
      </c>
      <c r="AD63" s="772">
        <v>72.30633063069989</v>
      </c>
      <c r="AE63" s="772">
        <v>77.010522274708364</v>
      </c>
      <c r="AF63" s="772">
        <v>81.714713918716839</v>
      </c>
      <c r="AG63" s="772">
        <v>86.418905562725328</v>
      </c>
      <c r="AH63" s="772">
        <v>91.123097206733817</v>
      </c>
      <c r="AI63" s="772">
        <v>95.827288850742292</v>
      </c>
      <c r="AJ63" s="772">
        <v>100.53148049475077</v>
      </c>
      <c r="AK63" s="772">
        <v>105.23567213875926</v>
      </c>
      <c r="AL63" s="772">
        <v>109.93986378276773</v>
      </c>
      <c r="AM63" s="772">
        <v>114.64405542677621</v>
      </c>
      <c r="AN63" s="772">
        <v>119.34824707078469</v>
      </c>
      <c r="AO63" s="772">
        <v>124.05243871479317</v>
      </c>
      <c r="AP63" s="772">
        <v>128.75663035880166</v>
      </c>
      <c r="AQ63" s="772">
        <v>133.46082200281012</v>
      </c>
      <c r="AR63" s="772">
        <v>138.16501364681861</v>
      </c>
      <c r="AS63" s="772">
        <v>142.8692052908271</v>
      </c>
      <c r="AT63" s="772">
        <v>147.57339693483556</v>
      </c>
      <c r="AU63" s="772">
        <v>152.27758857884405</v>
      </c>
      <c r="AV63" s="772">
        <v>156.98178022285254</v>
      </c>
      <c r="AW63" s="772">
        <v>161.685971866861</v>
      </c>
      <c r="AX63" s="772">
        <v>166.39016351086948</v>
      </c>
      <c r="AY63" s="773">
        <v>171.09435515487803</v>
      </c>
    </row>
    <row r="64" spans="1:51">
      <c r="A64" s="1277"/>
      <c r="B64" s="681">
        <v>1.6</v>
      </c>
      <c r="C64" s="690">
        <f>(AB64*KFC!$B$22+KFC!$C$22)*KFC!$C$5</f>
        <v>63.41142617195122</v>
      </c>
      <c r="D64" s="690">
        <f>(AC64*KFC!$B$22+KFC!$C$22)*KFC!$C$5</f>
        <v>68.189011800795342</v>
      </c>
      <c r="E64" s="690">
        <f>(AD64*KFC!$B$22+KFC!$C$22)*KFC!$C$5</f>
        <v>72.96659742963945</v>
      </c>
      <c r="F64" s="690">
        <f>(AE64*KFC!$B$22+KFC!$C$22)*KFC!$C$5</f>
        <v>77.744183058483571</v>
      </c>
      <c r="G64" s="690">
        <f>(AF64*KFC!$B$22+KFC!$C$22)*KFC!$C$5</f>
        <v>82.521768687327693</v>
      </c>
      <c r="H64" s="690">
        <f>(AG64*KFC!$B$22+KFC!$C$22)*KFC!$C$5</f>
        <v>87.299354316171801</v>
      </c>
      <c r="I64" s="690">
        <f>(AH64*KFC!$B$22+KFC!$C$22)*KFC!$C$5</f>
        <v>92.076939945015923</v>
      </c>
      <c r="J64" s="690">
        <f>(AI64*KFC!$B$22+KFC!$C$22)*KFC!$C$5</f>
        <v>96.85452557386003</v>
      </c>
      <c r="K64" s="690">
        <f>(AJ64*KFC!$B$22+KFC!$C$22)*KFC!$C$5</f>
        <v>101.63211120270415</v>
      </c>
      <c r="L64" s="690">
        <f>(AK64*KFC!$B$22+KFC!$C$22)*KFC!$C$5</f>
        <v>106.40969683154827</v>
      </c>
      <c r="M64" s="690">
        <f>(AL64*KFC!$B$22+KFC!$C$22)*KFC!$C$5</f>
        <v>111.18728246039238</v>
      </c>
      <c r="N64" s="690">
        <f>(AM64*KFC!$B$22+KFC!$C$22)*KFC!$C$5</f>
        <v>115.9648680892365</v>
      </c>
      <c r="O64" s="690">
        <f>(AN64*KFC!$B$22+KFC!$C$22)*KFC!$C$5</f>
        <v>120.74245371808063</v>
      </c>
      <c r="P64" s="690">
        <f>(AO64*KFC!$B$22+KFC!$C$22)*KFC!$C$5</f>
        <v>125.52003934692475</v>
      </c>
      <c r="Q64" s="690">
        <f>(AP64*KFC!$B$22+KFC!$C$22)*KFC!$C$5</f>
        <v>130.29762497576885</v>
      </c>
      <c r="R64" s="690">
        <f>(AQ64*KFC!$B$22+KFC!$C$22)*KFC!$C$5</f>
        <v>135.07521060461298</v>
      </c>
      <c r="S64" s="690">
        <f>(AR64*KFC!$B$22+KFC!$C$22)*KFC!$C$5</f>
        <v>139.8527962334571</v>
      </c>
      <c r="T64" s="690">
        <f>(AS64*KFC!$B$22+KFC!$C$22)*KFC!$C$5</f>
        <v>144.63038186230122</v>
      </c>
      <c r="U64" s="690">
        <f>(AT64*KFC!$B$22+KFC!$C$22)*KFC!$C$5</f>
        <v>149.40796749114534</v>
      </c>
      <c r="V64" s="690">
        <f>(AU64*KFC!$B$22+KFC!$C$22)*KFC!$C$5</f>
        <v>154.18555311998944</v>
      </c>
      <c r="W64" s="690">
        <f>(AV64*KFC!$B$22+KFC!$C$22)*KFC!$C$5</f>
        <v>158.96313874883356</v>
      </c>
      <c r="X64" s="690">
        <f>(AW64*KFC!$B$22+KFC!$C$22)*KFC!$C$5</f>
        <v>163.74072437767768</v>
      </c>
      <c r="Y64" s="690">
        <f>(AX64*KFC!$B$22+KFC!$C$22)*KFC!$C$5</f>
        <v>168.5183100065218</v>
      </c>
      <c r="Z64" s="690">
        <f>(AY64*KFC!$B$22+KFC!$C$22)*KFC!$C$5</f>
        <v>173.29589563536587</v>
      </c>
      <c r="AB64" s="771">
        <v>63.41142617195122</v>
      </c>
      <c r="AC64" s="772">
        <v>68.189011800795342</v>
      </c>
      <c r="AD64" s="772">
        <v>72.96659742963945</v>
      </c>
      <c r="AE64" s="772">
        <v>77.744183058483571</v>
      </c>
      <c r="AF64" s="772">
        <v>82.521768687327693</v>
      </c>
      <c r="AG64" s="772">
        <v>87.299354316171801</v>
      </c>
      <c r="AH64" s="772">
        <v>92.076939945015923</v>
      </c>
      <c r="AI64" s="772">
        <v>96.85452557386003</v>
      </c>
      <c r="AJ64" s="772">
        <v>101.63211120270415</v>
      </c>
      <c r="AK64" s="772">
        <v>106.40969683154827</v>
      </c>
      <c r="AL64" s="772">
        <v>111.18728246039238</v>
      </c>
      <c r="AM64" s="772">
        <v>115.9648680892365</v>
      </c>
      <c r="AN64" s="772">
        <v>120.74245371808063</v>
      </c>
      <c r="AO64" s="772">
        <v>125.52003934692475</v>
      </c>
      <c r="AP64" s="772">
        <v>130.29762497576885</v>
      </c>
      <c r="AQ64" s="772">
        <v>135.07521060461298</v>
      </c>
      <c r="AR64" s="772">
        <v>139.8527962334571</v>
      </c>
      <c r="AS64" s="772">
        <v>144.63038186230122</v>
      </c>
      <c r="AT64" s="772">
        <v>149.40796749114534</v>
      </c>
      <c r="AU64" s="772">
        <v>154.18555311998944</v>
      </c>
      <c r="AV64" s="772">
        <v>158.96313874883356</v>
      </c>
      <c r="AW64" s="772">
        <v>163.74072437767768</v>
      </c>
      <c r="AX64" s="772">
        <v>168.5183100065218</v>
      </c>
      <c r="AY64" s="773">
        <v>173.29589563536587</v>
      </c>
    </row>
    <row r="65" spans="1:51">
      <c r="A65" s="1277"/>
      <c r="B65" s="681">
        <v>1.7</v>
      </c>
      <c r="C65" s="690">
        <f>(AB65*KFC!$B$22+KFC!$C$22)*KFC!$C$5</f>
        <v>63.924905001219514</v>
      </c>
      <c r="D65" s="690">
        <f>(AC65*KFC!$B$22+KFC!$C$22)*KFC!$C$5</f>
        <v>68.775884614899255</v>
      </c>
      <c r="E65" s="690">
        <f>(AD65*KFC!$B$22+KFC!$C$22)*KFC!$C$5</f>
        <v>73.626864228579009</v>
      </c>
      <c r="F65" s="690">
        <f>(AE65*KFC!$B$22+KFC!$C$22)*KFC!$C$5</f>
        <v>78.47784384225875</v>
      </c>
      <c r="G65" s="690">
        <f>(AF65*KFC!$B$22+KFC!$C$22)*KFC!$C$5</f>
        <v>83.328823455938505</v>
      </c>
      <c r="H65" s="690">
        <f>(AG65*KFC!$B$22+KFC!$C$22)*KFC!$C$5</f>
        <v>88.179803069618245</v>
      </c>
      <c r="I65" s="690">
        <f>(AH65*KFC!$B$22+KFC!$C$22)*KFC!$C$5</f>
        <v>93.030782683297986</v>
      </c>
      <c r="J65" s="690">
        <f>(AI65*KFC!$B$22+KFC!$C$22)*KFC!$C$5</f>
        <v>97.881762296977726</v>
      </c>
      <c r="K65" s="690">
        <f>(AJ65*KFC!$B$22+KFC!$C$22)*KFC!$C$5</f>
        <v>102.73274191065745</v>
      </c>
      <c r="L65" s="690">
        <f>(AK65*KFC!$B$22+KFC!$C$22)*KFC!$C$5</f>
        <v>107.58372152433719</v>
      </c>
      <c r="M65" s="690">
        <f>(AL65*KFC!$B$22+KFC!$C$22)*KFC!$C$5</f>
        <v>112.43470113801693</v>
      </c>
      <c r="N65" s="690">
        <f>(AM65*KFC!$B$22+KFC!$C$22)*KFC!$C$5</f>
        <v>117.28568075169667</v>
      </c>
      <c r="O65" s="690">
        <f>(AN65*KFC!$B$22+KFC!$C$22)*KFC!$C$5</f>
        <v>122.1366603653764</v>
      </c>
      <c r="P65" s="690">
        <f>(AO65*KFC!$B$22+KFC!$C$22)*KFC!$C$5</f>
        <v>126.98763997905614</v>
      </c>
      <c r="Q65" s="690">
        <f>(AP65*KFC!$B$22+KFC!$C$22)*KFC!$C$5</f>
        <v>131.83861959273588</v>
      </c>
      <c r="R65" s="690">
        <f>(AQ65*KFC!$B$22+KFC!$C$22)*KFC!$C$5</f>
        <v>136.68959920641561</v>
      </c>
      <c r="S65" s="690">
        <f>(AR65*KFC!$B$22+KFC!$C$22)*KFC!$C$5</f>
        <v>141.54057882009536</v>
      </c>
      <c r="T65" s="690">
        <f>(AS65*KFC!$B$22+KFC!$C$22)*KFC!$C$5</f>
        <v>146.39155843377509</v>
      </c>
      <c r="U65" s="690">
        <f>(AT65*KFC!$B$22+KFC!$C$22)*KFC!$C$5</f>
        <v>151.24253804745484</v>
      </c>
      <c r="V65" s="690">
        <f>(AU65*KFC!$B$22+KFC!$C$22)*KFC!$C$5</f>
        <v>156.09351766113457</v>
      </c>
      <c r="W65" s="690">
        <f>(AV65*KFC!$B$22+KFC!$C$22)*KFC!$C$5</f>
        <v>160.9444972748143</v>
      </c>
      <c r="X65" s="690">
        <f>(AW65*KFC!$B$22+KFC!$C$22)*KFC!$C$5</f>
        <v>165.79547688849405</v>
      </c>
      <c r="Y65" s="690">
        <f>(AX65*KFC!$B$22+KFC!$C$22)*KFC!$C$5</f>
        <v>170.64645650217378</v>
      </c>
      <c r="Z65" s="690">
        <f>(AY65*KFC!$B$22+KFC!$C$22)*KFC!$C$5</f>
        <v>175.49743611585367</v>
      </c>
      <c r="AB65" s="771">
        <v>63.924905001219514</v>
      </c>
      <c r="AC65" s="772">
        <v>68.775884614899255</v>
      </c>
      <c r="AD65" s="772">
        <v>73.626864228579009</v>
      </c>
      <c r="AE65" s="772">
        <v>78.47784384225875</v>
      </c>
      <c r="AF65" s="772">
        <v>83.328823455938505</v>
      </c>
      <c r="AG65" s="772">
        <v>88.179803069618245</v>
      </c>
      <c r="AH65" s="772">
        <v>93.030782683297986</v>
      </c>
      <c r="AI65" s="772">
        <v>97.881762296977726</v>
      </c>
      <c r="AJ65" s="772">
        <v>102.73274191065745</v>
      </c>
      <c r="AK65" s="772">
        <v>107.58372152433719</v>
      </c>
      <c r="AL65" s="772">
        <v>112.43470113801693</v>
      </c>
      <c r="AM65" s="772">
        <v>117.28568075169667</v>
      </c>
      <c r="AN65" s="772">
        <v>122.1366603653764</v>
      </c>
      <c r="AO65" s="772">
        <v>126.98763997905614</v>
      </c>
      <c r="AP65" s="772">
        <v>131.83861959273588</v>
      </c>
      <c r="AQ65" s="772">
        <v>136.68959920641561</v>
      </c>
      <c r="AR65" s="772">
        <v>141.54057882009536</v>
      </c>
      <c r="AS65" s="772">
        <v>146.39155843377509</v>
      </c>
      <c r="AT65" s="772">
        <v>151.24253804745484</v>
      </c>
      <c r="AU65" s="772">
        <v>156.09351766113457</v>
      </c>
      <c r="AV65" s="772">
        <v>160.9444972748143</v>
      </c>
      <c r="AW65" s="772">
        <v>165.79547688849405</v>
      </c>
      <c r="AX65" s="772">
        <v>170.64645650217378</v>
      </c>
      <c r="AY65" s="773">
        <v>175.49743611585367</v>
      </c>
    </row>
    <row r="66" spans="1:51">
      <c r="A66" s="1277"/>
      <c r="B66" s="681">
        <v>1.8</v>
      </c>
      <c r="C66" s="690">
        <f>(AB66*KFC!$B$22+KFC!$C$22)*KFC!$C$5</f>
        <v>64.438383830487808</v>
      </c>
      <c r="D66" s="690">
        <f>(AC66*KFC!$B$22+KFC!$C$22)*KFC!$C$5</f>
        <v>69.362757429003182</v>
      </c>
      <c r="E66" s="690">
        <f>(AD66*KFC!$B$22+KFC!$C$22)*KFC!$C$5</f>
        <v>74.287131027518555</v>
      </c>
      <c r="F66" s="690">
        <f>(AE66*KFC!$B$22+KFC!$C$22)*KFC!$C$5</f>
        <v>79.211504626033928</v>
      </c>
      <c r="G66" s="690">
        <f>(AF66*KFC!$B$22+KFC!$C$22)*KFC!$C$5</f>
        <v>84.135878224549302</v>
      </c>
      <c r="H66" s="690">
        <f>(AG66*KFC!$B$22+KFC!$C$22)*KFC!$C$5</f>
        <v>89.060251823064689</v>
      </c>
      <c r="I66" s="690">
        <f>(AH66*KFC!$B$22+KFC!$C$22)*KFC!$C$5</f>
        <v>93.984625421580063</v>
      </c>
      <c r="J66" s="690">
        <f>(AI66*KFC!$B$22+KFC!$C$22)*KFC!$C$5</f>
        <v>98.90899902009545</v>
      </c>
      <c r="K66" s="690">
        <f>(AJ66*KFC!$B$22+KFC!$C$22)*KFC!$C$5</f>
        <v>103.83337261861082</v>
      </c>
      <c r="L66" s="690">
        <f>(AK66*KFC!$B$22+KFC!$C$22)*KFC!$C$5</f>
        <v>108.7577462171262</v>
      </c>
      <c r="M66" s="690">
        <f>(AL66*KFC!$B$22+KFC!$C$22)*KFC!$C$5</f>
        <v>113.68211981564157</v>
      </c>
      <c r="N66" s="690">
        <f>(AM66*KFC!$B$22+KFC!$C$22)*KFC!$C$5</f>
        <v>118.60649341415694</v>
      </c>
      <c r="O66" s="690">
        <f>(AN66*KFC!$B$22+KFC!$C$22)*KFC!$C$5</f>
        <v>123.53086701267232</v>
      </c>
      <c r="P66" s="690">
        <f>(AO66*KFC!$B$22+KFC!$C$22)*KFC!$C$5</f>
        <v>128.45524061118769</v>
      </c>
      <c r="Q66" s="690">
        <f>(AP66*KFC!$B$22+KFC!$C$22)*KFC!$C$5</f>
        <v>133.37961420970308</v>
      </c>
      <c r="R66" s="690">
        <f>(AQ66*KFC!$B$22+KFC!$C$22)*KFC!$C$5</f>
        <v>138.30398780821844</v>
      </c>
      <c r="S66" s="690">
        <f>(AR66*KFC!$B$22+KFC!$C$22)*KFC!$C$5</f>
        <v>143.22836140673382</v>
      </c>
      <c r="T66" s="690">
        <f>(AS66*KFC!$B$22+KFC!$C$22)*KFC!$C$5</f>
        <v>148.15273500524918</v>
      </c>
      <c r="U66" s="690">
        <f>(AT66*KFC!$B$22+KFC!$C$22)*KFC!$C$5</f>
        <v>153.07710860376457</v>
      </c>
      <c r="V66" s="690">
        <f>(AU66*KFC!$B$22+KFC!$C$22)*KFC!$C$5</f>
        <v>158.00148220227996</v>
      </c>
      <c r="W66" s="690">
        <f>(AV66*KFC!$B$22+KFC!$C$22)*KFC!$C$5</f>
        <v>162.92585580079532</v>
      </c>
      <c r="X66" s="690">
        <f>(AW66*KFC!$B$22+KFC!$C$22)*KFC!$C$5</f>
        <v>167.85022939931071</v>
      </c>
      <c r="Y66" s="690">
        <f>(AX66*KFC!$B$22+KFC!$C$22)*KFC!$C$5</f>
        <v>172.77460299782609</v>
      </c>
      <c r="Z66" s="690">
        <f>(AY66*KFC!$B$22+KFC!$C$22)*KFC!$C$5</f>
        <v>177.69897659634151</v>
      </c>
      <c r="AB66" s="771">
        <v>64.438383830487808</v>
      </c>
      <c r="AC66" s="772">
        <v>69.362757429003182</v>
      </c>
      <c r="AD66" s="772">
        <v>74.287131027518555</v>
      </c>
      <c r="AE66" s="772">
        <v>79.211504626033928</v>
      </c>
      <c r="AF66" s="772">
        <v>84.135878224549302</v>
      </c>
      <c r="AG66" s="772">
        <v>89.060251823064689</v>
      </c>
      <c r="AH66" s="772">
        <v>93.984625421580063</v>
      </c>
      <c r="AI66" s="772">
        <v>98.90899902009545</v>
      </c>
      <c r="AJ66" s="772">
        <v>103.83337261861082</v>
      </c>
      <c r="AK66" s="772">
        <v>108.7577462171262</v>
      </c>
      <c r="AL66" s="772">
        <v>113.68211981564157</v>
      </c>
      <c r="AM66" s="772">
        <v>118.60649341415694</v>
      </c>
      <c r="AN66" s="772">
        <v>123.53086701267232</v>
      </c>
      <c r="AO66" s="772">
        <v>128.45524061118769</v>
      </c>
      <c r="AP66" s="772">
        <v>133.37961420970308</v>
      </c>
      <c r="AQ66" s="772">
        <v>138.30398780821844</v>
      </c>
      <c r="AR66" s="772">
        <v>143.22836140673382</v>
      </c>
      <c r="AS66" s="772">
        <v>148.15273500524918</v>
      </c>
      <c r="AT66" s="772">
        <v>153.07710860376457</v>
      </c>
      <c r="AU66" s="772">
        <v>158.00148220227996</v>
      </c>
      <c r="AV66" s="772">
        <v>162.92585580079532</v>
      </c>
      <c r="AW66" s="772">
        <v>167.85022939931071</v>
      </c>
      <c r="AX66" s="772">
        <v>172.77460299782609</v>
      </c>
      <c r="AY66" s="773">
        <v>177.69897659634151</v>
      </c>
    </row>
    <row r="67" spans="1:51">
      <c r="A67" s="1277"/>
      <c r="B67" s="681">
        <v>1.9</v>
      </c>
      <c r="C67" s="690">
        <f>(AB67*KFC!$B$22+KFC!$C$22)*KFC!$C$5</f>
        <v>64.951862659756102</v>
      </c>
      <c r="D67" s="690">
        <f>(AC67*KFC!$B$22+KFC!$C$22)*KFC!$C$5</f>
        <v>69.949630243107109</v>
      </c>
      <c r="E67" s="690">
        <f>(AD67*KFC!$B$22+KFC!$C$22)*KFC!$C$5</f>
        <v>74.947397826458129</v>
      </c>
      <c r="F67" s="690">
        <f>(AE67*KFC!$B$22+KFC!$C$22)*KFC!$C$5</f>
        <v>79.945165409809135</v>
      </c>
      <c r="G67" s="690">
        <f>(AF67*KFC!$B$22+KFC!$C$22)*KFC!$C$5</f>
        <v>84.942932993160142</v>
      </c>
      <c r="H67" s="690">
        <f>(AG67*KFC!$B$22+KFC!$C$22)*KFC!$C$5</f>
        <v>89.940700576511162</v>
      </c>
      <c r="I67" s="690">
        <f>(AH67*KFC!$B$22+KFC!$C$22)*KFC!$C$5</f>
        <v>94.938468159862168</v>
      </c>
      <c r="J67" s="690">
        <f>(AI67*KFC!$B$22+KFC!$C$22)*KFC!$C$5</f>
        <v>99.936235743213189</v>
      </c>
      <c r="K67" s="690">
        <f>(AJ67*KFC!$B$22+KFC!$C$22)*KFC!$C$5</f>
        <v>104.93400332656419</v>
      </c>
      <c r="L67" s="690">
        <f>(AK67*KFC!$B$22+KFC!$C$22)*KFC!$C$5</f>
        <v>109.93177090991522</v>
      </c>
      <c r="M67" s="690">
        <f>(AL67*KFC!$B$22+KFC!$C$22)*KFC!$C$5</f>
        <v>114.92953849326622</v>
      </c>
      <c r="N67" s="690">
        <f>(AM67*KFC!$B$22+KFC!$C$22)*KFC!$C$5</f>
        <v>119.92730607661724</v>
      </c>
      <c r="O67" s="690">
        <f>(AN67*KFC!$B$22+KFC!$C$22)*KFC!$C$5</f>
        <v>124.92507365996825</v>
      </c>
      <c r="P67" s="690">
        <f>(AO67*KFC!$B$22+KFC!$C$22)*KFC!$C$5</f>
        <v>129.92284124331925</v>
      </c>
      <c r="Q67" s="690">
        <f>(AP67*KFC!$B$22+KFC!$C$22)*KFC!$C$5</f>
        <v>134.92060882667027</v>
      </c>
      <c r="R67" s="690">
        <f>(AQ67*KFC!$B$22+KFC!$C$22)*KFC!$C$5</f>
        <v>139.9183764100213</v>
      </c>
      <c r="S67" s="690">
        <f>(AR67*KFC!$B$22+KFC!$C$22)*KFC!$C$5</f>
        <v>144.91614399337232</v>
      </c>
      <c r="T67" s="690">
        <f>(AS67*KFC!$B$22+KFC!$C$22)*KFC!$C$5</f>
        <v>149.91391157672331</v>
      </c>
      <c r="U67" s="690">
        <f>(AT67*KFC!$B$22+KFC!$C$22)*KFC!$C$5</f>
        <v>154.91167916007433</v>
      </c>
      <c r="V67" s="690">
        <f>(AU67*KFC!$B$22+KFC!$C$22)*KFC!$C$5</f>
        <v>159.90944674342535</v>
      </c>
      <c r="W67" s="690">
        <f>(AV67*KFC!$B$22+KFC!$C$22)*KFC!$C$5</f>
        <v>164.90721432677637</v>
      </c>
      <c r="X67" s="690">
        <f>(AW67*KFC!$B$22+KFC!$C$22)*KFC!$C$5</f>
        <v>169.90498191012739</v>
      </c>
      <c r="Y67" s="690">
        <f>(AX67*KFC!$B$22+KFC!$C$22)*KFC!$C$5</f>
        <v>174.90274949347838</v>
      </c>
      <c r="Z67" s="690">
        <f>(AY67*KFC!$B$22+KFC!$C$22)*KFC!$C$5</f>
        <v>179.90051707682932</v>
      </c>
      <c r="AB67" s="771">
        <v>64.951862659756102</v>
      </c>
      <c r="AC67" s="772">
        <v>69.949630243107109</v>
      </c>
      <c r="AD67" s="772">
        <v>74.947397826458129</v>
      </c>
      <c r="AE67" s="772">
        <v>79.945165409809135</v>
      </c>
      <c r="AF67" s="772">
        <v>84.942932993160142</v>
      </c>
      <c r="AG67" s="772">
        <v>89.940700576511162</v>
      </c>
      <c r="AH67" s="772">
        <v>94.938468159862168</v>
      </c>
      <c r="AI67" s="772">
        <v>99.936235743213189</v>
      </c>
      <c r="AJ67" s="772">
        <v>104.93400332656419</v>
      </c>
      <c r="AK67" s="772">
        <v>109.93177090991522</v>
      </c>
      <c r="AL67" s="772">
        <v>114.92953849326622</v>
      </c>
      <c r="AM67" s="772">
        <v>119.92730607661724</v>
      </c>
      <c r="AN67" s="772">
        <v>124.92507365996825</v>
      </c>
      <c r="AO67" s="772">
        <v>129.92284124331925</v>
      </c>
      <c r="AP67" s="772">
        <v>134.92060882667027</v>
      </c>
      <c r="AQ67" s="772">
        <v>139.9183764100213</v>
      </c>
      <c r="AR67" s="772">
        <v>144.91614399337232</v>
      </c>
      <c r="AS67" s="772">
        <v>149.91391157672331</v>
      </c>
      <c r="AT67" s="772">
        <v>154.91167916007433</v>
      </c>
      <c r="AU67" s="772">
        <v>159.90944674342535</v>
      </c>
      <c r="AV67" s="772">
        <v>164.90721432677637</v>
      </c>
      <c r="AW67" s="772">
        <v>169.90498191012739</v>
      </c>
      <c r="AX67" s="772">
        <v>174.90274949347838</v>
      </c>
      <c r="AY67" s="773">
        <v>179.90051707682932</v>
      </c>
    </row>
    <row r="68" spans="1:51">
      <c r="A68" s="1277"/>
      <c r="B68" s="681">
        <v>2</v>
      </c>
      <c r="C68" s="690">
        <f>(AB68*KFC!$B$22+KFC!$C$22)*KFC!$C$5</f>
        <v>65.465341489024397</v>
      </c>
      <c r="D68" s="690">
        <f>(AC68*KFC!$B$22+KFC!$C$22)*KFC!$C$5</f>
        <v>70.536503057211036</v>
      </c>
      <c r="E68" s="690">
        <f>(AD68*KFC!$B$22+KFC!$C$22)*KFC!$C$5</f>
        <v>75.607664625397675</v>
      </c>
      <c r="F68" s="690">
        <f>(AE68*KFC!$B$22+KFC!$C$22)*KFC!$C$5</f>
        <v>80.678826193584314</v>
      </c>
      <c r="G68" s="690">
        <f>(AF68*KFC!$B$22+KFC!$C$22)*KFC!$C$5</f>
        <v>85.749987761770953</v>
      </c>
      <c r="H68" s="690">
        <f>(AG68*KFC!$B$22+KFC!$C$22)*KFC!$C$5</f>
        <v>90.821149329957592</v>
      </c>
      <c r="I68" s="690">
        <f>(AH68*KFC!$B$22+KFC!$C$22)*KFC!$C$5</f>
        <v>95.892310898144217</v>
      </c>
      <c r="J68" s="690">
        <f>(AI68*KFC!$B$22+KFC!$C$22)*KFC!$C$5</f>
        <v>100.96347246633086</v>
      </c>
      <c r="K68" s="690">
        <f>(AJ68*KFC!$B$22+KFC!$C$22)*KFC!$C$5</f>
        <v>106.03463403451748</v>
      </c>
      <c r="L68" s="690">
        <f>(AK68*KFC!$B$22+KFC!$C$22)*KFC!$C$5</f>
        <v>111.10579560270412</v>
      </c>
      <c r="M68" s="690">
        <f>(AL68*KFC!$B$22+KFC!$C$22)*KFC!$C$5</f>
        <v>116.17695717089074</v>
      </c>
      <c r="N68" s="690">
        <f>(AM68*KFC!$B$22+KFC!$C$22)*KFC!$C$5</f>
        <v>121.24811873907738</v>
      </c>
      <c r="O68" s="690">
        <f>(AN68*KFC!$B$22+KFC!$C$22)*KFC!$C$5</f>
        <v>126.31928030726402</v>
      </c>
      <c r="P68" s="690">
        <f>(AO68*KFC!$B$22+KFC!$C$22)*KFC!$C$5</f>
        <v>131.39044187545065</v>
      </c>
      <c r="Q68" s="690">
        <f>(AP68*KFC!$B$22+KFC!$C$22)*KFC!$C$5</f>
        <v>136.46160344363727</v>
      </c>
      <c r="R68" s="690">
        <f>(AQ68*KFC!$B$22+KFC!$C$22)*KFC!$C$5</f>
        <v>141.53276501182393</v>
      </c>
      <c r="S68" s="690">
        <f>(AR68*KFC!$B$22+KFC!$C$22)*KFC!$C$5</f>
        <v>146.60392658001055</v>
      </c>
      <c r="T68" s="690">
        <f>(AS68*KFC!$B$22+KFC!$C$22)*KFC!$C$5</f>
        <v>151.67508814819718</v>
      </c>
      <c r="U68" s="690">
        <f>(AT68*KFC!$B$22+KFC!$C$22)*KFC!$C$5</f>
        <v>156.74624971638383</v>
      </c>
      <c r="V68" s="690">
        <f>(AU68*KFC!$B$22+KFC!$C$22)*KFC!$C$5</f>
        <v>161.81741128457045</v>
      </c>
      <c r="W68" s="690">
        <f>(AV68*KFC!$B$22+KFC!$C$22)*KFC!$C$5</f>
        <v>166.88857285275708</v>
      </c>
      <c r="X68" s="690">
        <f>(AW68*KFC!$B$22+KFC!$C$22)*KFC!$C$5</f>
        <v>171.95973442094373</v>
      </c>
      <c r="Y68" s="690">
        <f>(AX68*KFC!$B$22+KFC!$C$22)*KFC!$C$5</f>
        <v>177.03089598913039</v>
      </c>
      <c r="Z68" s="690">
        <f>(AY68*KFC!$B$22+KFC!$C$22)*KFC!$C$5</f>
        <v>182.10205755731715</v>
      </c>
      <c r="AB68" s="771">
        <v>65.465341489024397</v>
      </c>
      <c r="AC68" s="772">
        <v>70.536503057211036</v>
      </c>
      <c r="AD68" s="772">
        <v>75.607664625397675</v>
      </c>
      <c r="AE68" s="772">
        <v>80.678826193584314</v>
      </c>
      <c r="AF68" s="772">
        <v>85.749987761770953</v>
      </c>
      <c r="AG68" s="772">
        <v>90.821149329957592</v>
      </c>
      <c r="AH68" s="772">
        <v>95.892310898144217</v>
      </c>
      <c r="AI68" s="772">
        <v>100.96347246633086</v>
      </c>
      <c r="AJ68" s="772">
        <v>106.03463403451748</v>
      </c>
      <c r="AK68" s="772">
        <v>111.10579560270412</v>
      </c>
      <c r="AL68" s="772">
        <v>116.17695717089074</v>
      </c>
      <c r="AM68" s="772">
        <v>121.24811873907738</v>
      </c>
      <c r="AN68" s="772">
        <v>126.31928030726402</v>
      </c>
      <c r="AO68" s="772">
        <v>131.39044187545065</v>
      </c>
      <c r="AP68" s="772">
        <v>136.46160344363727</v>
      </c>
      <c r="AQ68" s="772">
        <v>141.53276501182393</v>
      </c>
      <c r="AR68" s="772">
        <v>146.60392658001055</v>
      </c>
      <c r="AS68" s="772">
        <v>151.67508814819718</v>
      </c>
      <c r="AT68" s="772">
        <v>156.74624971638383</v>
      </c>
      <c r="AU68" s="772">
        <v>161.81741128457045</v>
      </c>
      <c r="AV68" s="772">
        <v>166.88857285275708</v>
      </c>
      <c r="AW68" s="772">
        <v>171.95973442094373</v>
      </c>
      <c r="AX68" s="772">
        <v>177.03089598913039</v>
      </c>
      <c r="AY68" s="773">
        <v>182.10205755731715</v>
      </c>
    </row>
    <row r="69" spans="1:51">
      <c r="A69" s="1277"/>
      <c r="B69" s="681">
        <v>2.1</v>
      </c>
      <c r="C69" s="690">
        <f>(AB69*KFC!$B$22+KFC!$C$22)*KFC!$C$5</f>
        <v>65.978820318292691</v>
      </c>
      <c r="D69" s="690">
        <f>(AC69*KFC!$B$22+KFC!$C$22)*KFC!$C$5</f>
        <v>71.123375871314963</v>
      </c>
      <c r="E69" s="690">
        <f>(AD69*KFC!$B$22+KFC!$C$22)*KFC!$C$5</f>
        <v>76.267931424337235</v>
      </c>
      <c r="F69" s="690">
        <f>(AE69*KFC!$B$22+KFC!$C$22)*KFC!$C$5</f>
        <v>81.412486977359507</v>
      </c>
      <c r="G69" s="690">
        <f>(AF69*KFC!$B$22+KFC!$C$22)*KFC!$C$5</f>
        <v>86.557042530381779</v>
      </c>
      <c r="H69" s="690">
        <f>(AG69*KFC!$B$22+KFC!$C$22)*KFC!$C$5</f>
        <v>91.70159808340405</v>
      </c>
      <c r="I69" s="690">
        <f>(AH69*KFC!$B$22+KFC!$C$22)*KFC!$C$5</f>
        <v>96.846153636426322</v>
      </c>
      <c r="J69" s="690">
        <f>(AI69*KFC!$B$22+KFC!$C$22)*KFC!$C$5</f>
        <v>101.99070918944859</v>
      </c>
      <c r="K69" s="690">
        <f>(AJ69*KFC!$B$22+KFC!$C$22)*KFC!$C$5</f>
        <v>107.13526474247087</v>
      </c>
      <c r="L69" s="690">
        <f>(AK69*KFC!$B$22+KFC!$C$22)*KFC!$C$5</f>
        <v>112.27982029549314</v>
      </c>
      <c r="M69" s="690">
        <f>(AL69*KFC!$B$22+KFC!$C$22)*KFC!$C$5</f>
        <v>117.42437584851541</v>
      </c>
      <c r="N69" s="690">
        <f>(AM69*KFC!$B$22+KFC!$C$22)*KFC!$C$5</f>
        <v>122.56893140153768</v>
      </c>
      <c r="O69" s="690">
        <f>(AN69*KFC!$B$22+KFC!$C$22)*KFC!$C$5</f>
        <v>127.71348695455995</v>
      </c>
      <c r="P69" s="690">
        <f>(AO69*KFC!$B$22+KFC!$C$22)*KFC!$C$5</f>
        <v>132.85804250758221</v>
      </c>
      <c r="Q69" s="690">
        <f>(AP69*KFC!$B$22+KFC!$C$22)*KFC!$C$5</f>
        <v>138.0025980606045</v>
      </c>
      <c r="R69" s="690">
        <f>(AQ69*KFC!$B$22+KFC!$C$22)*KFC!$C$5</f>
        <v>143.14715361362676</v>
      </c>
      <c r="S69" s="690">
        <f>(AR69*KFC!$B$22+KFC!$C$22)*KFC!$C$5</f>
        <v>148.29170916664904</v>
      </c>
      <c r="T69" s="690">
        <f>(AS69*KFC!$B$22+KFC!$C$22)*KFC!$C$5</f>
        <v>153.4362647196713</v>
      </c>
      <c r="U69" s="690">
        <f>(AT69*KFC!$B$22+KFC!$C$22)*KFC!$C$5</f>
        <v>158.58082027269359</v>
      </c>
      <c r="V69" s="690">
        <f>(AU69*KFC!$B$22+KFC!$C$22)*KFC!$C$5</f>
        <v>163.72537582571584</v>
      </c>
      <c r="W69" s="690">
        <f>(AV69*KFC!$B$22+KFC!$C$22)*KFC!$C$5</f>
        <v>168.86993137873813</v>
      </c>
      <c r="X69" s="690">
        <f>(AW69*KFC!$B$22+KFC!$C$22)*KFC!$C$5</f>
        <v>174.01448693176039</v>
      </c>
      <c r="Y69" s="690">
        <f>(AX69*KFC!$B$22+KFC!$C$22)*KFC!$C$5</f>
        <v>179.15904248478267</v>
      </c>
      <c r="Z69" s="690">
        <f>(AY69*KFC!$B$22+KFC!$C$22)*KFC!$C$5</f>
        <v>184.30359803780496</v>
      </c>
      <c r="AB69" s="771">
        <v>65.978820318292691</v>
      </c>
      <c r="AC69" s="772">
        <v>71.123375871314963</v>
      </c>
      <c r="AD69" s="772">
        <v>76.267931424337235</v>
      </c>
      <c r="AE69" s="772">
        <v>81.412486977359507</v>
      </c>
      <c r="AF69" s="772">
        <v>86.557042530381779</v>
      </c>
      <c r="AG69" s="772">
        <v>91.70159808340405</v>
      </c>
      <c r="AH69" s="772">
        <v>96.846153636426322</v>
      </c>
      <c r="AI69" s="772">
        <v>101.99070918944859</v>
      </c>
      <c r="AJ69" s="772">
        <v>107.13526474247087</v>
      </c>
      <c r="AK69" s="772">
        <v>112.27982029549314</v>
      </c>
      <c r="AL69" s="772">
        <v>117.42437584851541</v>
      </c>
      <c r="AM69" s="772">
        <v>122.56893140153768</v>
      </c>
      <c r="AN69" s="772">
        <v>127.71348695455995</v>
      </c>
      <c r="AO69" s="772">
        <v>132.85804250758221</v>
      </c>
      <c r="AP69" s="772">
        <v>138.0025980606045</v>
      </c>
      <c r="AQ69" s="772">
        <v>143.14715361362676</v>
      </c>
      <c r="AR69" s="772">
        <v>148.29170916664904</v>
      </c>
      <c r="AS69" s="772">
        <v>153.4362647196713</v>
      </c>
      <c r="AT69" s="772">
        <v>158.58082027269359</v>
      </c>
      <c r="AU69" s="772">
        <v>163.72537582571584</v>
      </c>
      <c r="AV69" s="772">
        <v>168.86993137873813</v>
      </c>
      <c r="AW69" s="772">
        <v>174.01448693176039</v>
      </c>
      <c r="AX69" s="772">
        <v>179.15904248478267</v>
      </c>
      <c r="AY69" s="773">
        <v>184.30359803780496</v>
      </c>
    </row>
    <row r="70" spans="1:51">
      <c r="A70" s="1277"/>
      <c r="B70" s="681">
        <v>2.2000000000000002</v>
      </c>
      <c r="C70" s="690">
        <f>(AB70*KFC!$B$22+KFC!$C$22)*KFC!$C$5</f>
        <v>66.492299147560985</v>
      </c>
      <c r="D70" s="690">
        <f>(AC70*KFC!$B$22+KFC!$C$22)*KFC!$C$5</f>
        <v>71.71024868541889</v>
      </c>
      <c r="E70" s="690">
        <f>(AD70*KFC!$B$22+KFC!$C$22)*KFC!$C$5</f>
        <v>76.928198223276794</v>
      </c>
      <c r="F70" s="690">
        <f>(AE70*KFC!$B$22+KFC!$C$22)*KFC!$C$5</f>
        <v>82.146147761134714</v>
      </c>
      <c r="G70" s="690">
        <f>(AF70*KFC!$B$22+KFC!$C$22)*KFC!$C$5</f>
        <v>87.364097298992604</v>
      </c>
      <c r="H70" s="690">
        <f>(AG70*KFC!$B$22+KFC!$C$22)*KFC!$C$5</f>
        <v>92.582046836850523</v>
      </c>
      <c r="I70" s="690">
        <f>(AH70*KFC!$B$22+KFC!$C$22)*KFC!$C$5</f>
        <v>97.799996374708428</v>
      </c>
      <c r="J70" s="690">
        <f>(AI70*KFC!$B$22+KFC!$C$22)*KFC!$C$5</f>
        <v>103.01794591256633</v>
      </c>
      <c r="K70" s="690">
        <f>(AJ70*KFC!$B$22+KFC!$C$22)*KFC!$C$5</f>
        <v>108.23589545042425</v>
      </c>
      <c r="L70" s="690">
        <f>(AK70*KFC!$B$22+KFC!$C$22)*KFC!$C$5</f>
        <v>113.45384498828216</v>
      </c>
      <c r="M70" s="690">
        <f>(AL70*KFC!$B$22+KFC!$C$22)*KFC!$C$5</f>
        <v>118.67179452614006</v>
      </c>
      <c r="N70" s="690">
        <f>(AM70*KFC!$B$22+KFC!$C$22)*KFC!$C$5</f>
        <v>123.88974406399798</v>
      </c>
      <c r="O70" s="690">
        <f>(AN70*KFC!$B$22+KFC!$C$22)*KFC!$C$5</f>
        <v>129.10769360185589</v>
      </c>
      <c r="P70" s="690">
        <f>(AO70*KFC!$B$22+KFC!$C$22)*KFC!$C$5</f>
        <v>134.3256431397138</v>
      </c>
      <c r="Q70" s="690">
        <f>(AP70*KFC!$B$22+KFC!$C$22)*KFC!$C$5</f>
        <v>139.5435926775717</v>
      </c>
      <c r="R70" s="690">
        <f>(AQ70*KFC!$B$22+KFC!$C$22)*KFC!$C$5</f>
        <v>144.76154221542961</v>
      </c>
      <c r="S70" s="690">
        <f>(AR70*KFC!$B$22+KFC!$C$22)*KFC!$C$5</f>
        <v>149.97949175328753</v>
      </c>
      <c r="T70" s="690">
        <f>(AS70*KFC!$B$22+KFC!$C$22)*KFC!$C$5</f>
        <v>155.19744129114542</v>
      </c>
      <c r="U70" s="690">
        <f>(AT70*KFC!$B$22+KFC!$C$22)*KFC!$C$5</f>
        <v>160.41539082900334</v>
      </c>
      <c r="V70" s="690">
        <f>(AU70*KFC!$B$22+KFC!$C$22)*KFC!$C$5</f>
        <v>165.63334036686126</v>
      </c>
      <c r="W70" s="690">
        <f>(AV70*KFC!$B$22+KFC!$C$22)*KFC!$C$5</f>
        <v>170.85128990471915</v>
      </c>
      <c r="X70" s="690">
        <f>(AW70*KFC!$B$22+KFC!$C$22)*KFC!$C$5</f>
        <v>176.06923944257704</v>
      </c>
      <c r="Y70" s="690">
        <f>(AX70*KFC!$B$22+KFC!$C$22)*KFC!$C$5</f>
        <v>181.28718898043493</v>
      </c>
      <c r="Z70" s="690">
        <f>(AY70*KFC!$B$22+KFC!$C$22)*KFC!$C$5</f>
        <v>186.5051385182928</v>
      </c>
      <c r="AB70" s="771">
        <v>66.492299147560985</v>
      </c>
      <c r="AC70" s="772">
        <v>71.71024868541889</v>
      </c>
      <c r="AD70" s="772">
        <v>76.928198223276794</v>
      </c>
      <c r="AE70" s="772">
        <v>82.146147761134714</v>
      </c>
      <c r="AF70" s="772">
        <v>87.364097298992604</v>
      </c>
      <c r="AG70" s="772">
        <v>92.582046836850523</v>
      </c>
      <c r="AH70" s="772">
        <v>97.799996374708428</v>
      </c>
      <c r="AI70" s="772">
        <v>103.01794591256633</v>
      </c>
      <c r="AJ70" s="772">
        <v>108.23589545042425</v>
      </c>
      <c r="AK70" s="772">
        <v>113.45384498828216</v>
      </c>
      <c r="AL70" s="772">
        <v>118.67179452614006</v>
      </c>
      <c r="AM70" s="772">
        <v>123.88974406399798</v>
      </c>
      <c r="AN70" s="772">
        <v>129.10769360185589</v>
      </c>
      <c r="AO70" s="772">
        <v>134.3256431397138</v>
      </c>
      <c r="AP70" s="772">
        <v>139.5435926775717</v>
      </c>
      <c r="AQ70" s="772">
        <v>144.76154221542961</v>
      </c>
      <c r="AR70" s="772">
        <v>149.97949175328753</v>
      </c>
      <c r="AS70" s="772">
        <v>155.19744129114542</v>
      </c>
      <c r="AT70" s="772">
        <v>160.41539082900334</v>
      </c>
      <c r="AU70" s="772">
        <v>165.63334036686126</v>
      </c>
      <c r="AV70" s="772">
        <v>170.85128990471915</v>
      </c>
      <c r="AW70" s="772">
        <v>176.06923944257704</v>
      </c>
      <c r="AX70" s="772">
        <v>181.28718898043493</v>
      </c>
      <c r="AY70" s="773">
        <v>186.5051385182928</v>
      </c>
    </row>
    <row r="71" spans="1:51">
      <c r="A71" s="1277"/>
      <c r="B71" s="681">
        <v>2.2999999999999998</v>
      </c>
      <c r="C71" s="690">
        <f>(AB71*KFC!$B$22+KFC!$C$22)*KFC!$C$5</f>
        <v>67.005777976829279</v>
      </c>
      <c r="D71" s="690">
        <f>(AC71*KFC!$B$22+KFC!$C$22)*KFC!$C$5</f>
        <v>72.297121499522817</v>
      </c>
      <c r="E71" s="690">
        <f>(AD71*KFC!$B$22+KFC!$C$22)*KFC!$C$5</f>
        <v>77.588465022216354</v>
      </c>
      <c r="F71" s="690">
        <f>(AE71*KFC!$B$22+KFC!$C$22)*KFC!$C$5</f>
        <v>82.879808544909892</v>
      </c>
      <c r="G71" s="690">
        <f>(AF71*KFC!$B$22+KFC!$C$22)*KFC!$C$5</f>
        <v>88.171152067603416</v>
      </c>
      <c r="H71" s="690">
        <f>(AG71*KFC!$B$22+KFC!$C$22)*KFC!$C$5</f>
        <v>93.462495590296939</v>
      </c>
      <c r="I71" s="690">
        <f>(AH71*KFC!$B$22+KFC!$C$22)*KFC!$C$5</f>
        <v>98.753839112990477</v>
      </c>
      <c r="J71" s="690">
        <f>(AI71*KFC!$B$22+KFC!$C$22)*KFC!$C$5</f>
        <v>104.045182635684</v>
      </c>
      <c r="K71" s="690">
        <f>(AJ71*KFC!$B$22+KFC!$C$22)*KFC!$C$5</f>
        <v>109.33652615837754</v>
      </c>
      <c r="L71" s="690">
        <f>(AK71*KFC!$B$22+KFC!$C$22)*KFC!$C$5</f>
        <v>114.62786968107106</v>
      </c>
      <c r="M71" s="690">
        <f>(AL71*KFC!$B$22+KFC!$C$22)*KFC!$C$5</f>
        <v>119.91921320376458</v>
      </c>
      <c r="N71" s="690">
        <f>(AM71*KFC!$B$22+KFC!$C$22)*KFC!$C$5</f>
        <v>125.21055672645812</v>
      </c>
      <c r="O71" s="690">
        <f>(AN71*KFC!$B$22+KFC!$C$22)*KFC!$C$5</f>
        <v>130.50190024915165</v>
      </c>
      <c r="P71" s="690">
        <f>(AO71*KFC!$B$22+KFC!$C$22)*KFC!$C$5</f>
        <v>135.79324377184517</v>
      </c>
      <c r="Q71" s="690">
        <f>(AP71*KFC!$B$22+KFC!$C$22)*KFC!$C$5</f>
        <v>141.08458729453869</v>
      </c>
      <c r="R71" s="690">
        <f>(AQ71*KFC!$B$22+KFC!$C$22)*KFC!$C$5</f>
        <v>146.37593081723224</v>
      </c>
      <c r="S71" s="690">
        <f>(AR71*KFC!$B$22+KFC!$C$22)*KFC!$C$5</f>
        <v>151.66727433992577</v>
      </c>
      <c r="T71" s="690">
        <f>(AS71*KFC!$B$22+KFC!$C$22)*KFC!$C$5</f>
        <v>156.95861786261929</v>
      </c>
      <c r="U71" s="690">
        <f>(AT71*KFC!$B$22+KFC!$C$22)*KFC!$C$5</f>
        <v>162.24996138531282</v>
      </c>
      <c r="V71" s="690">
        <f>(AU71*KFC!$B$22+KFC!$C$22)*KFC!$C$5</f>
        <v>167.54130490800634</v>
      </c>
      <c r="W71" s="690">
        <f>(AV71*KFC!$B$22+KFC!$C$22)*KFC!$C$5</f>
        <v>172.83264843069989</v>
      </c>
      <c r="X71" s="690">
        <f>(AW71*KFC!$B$22+KFC!$C$22)*KFC!$C$5</f>
        <v>178.12399195339344</v>
      </c>
      <c r="Y71" s="690">
        <f>(AX71*KFC!$B$22+KFC!$C$22)*KFC!$C$5</f>
        <v>183.41533547608699</v>
      </c>
      <c r="Z71" s="690">
        <f>(AY71*KFC!$B$22+KFC!$C$22)*KFC!$C$5</f>
        <v>188.7066789987806</v>
      </c>
      <c r="AB71" s="771">
        <v>67.005777976829279</v>
      </c>
      <c r="AC71" s="772">
        <v>72.297121499522817</v>
      </c>
      <c r="AD71" s="772">
        <v>77.588465022216354</v>
      </c>
      <c r="AE71" s="772">
        <v>82.879808544909892</v>
      </c>
      <c r="AF71" s="772">
        <v>88.171152067603416</v>
      </c>
      <c r="AG71" s="772">
        <v>93.462495590296939</v>
      </c>
      <c r="AH71" s="772">
        <v>98.753839112990477</v>
      </c>
      <c r="AI71" s="772">
        <v>104.045182635684</v>
      </c>
      <c r="AJ71" s="772">
        <v>109.33652615837754</v>
      </c>
      <c r="AK71" s="772">
        <v>114.62786968107106</v>
      </c>
      <c r="AL71" s="772">
        <v>119.91921320376458</v>
      </c>
      <c r="AM71" s="772">
        <v>125.21055672645812</v>
      </c>
      <c r="AN71" s="772">
        <v>130.50190024915165</v>
      </c>
      <c r="AO71" s="772">
        <v>135.79324377184517</v>
      </c>
      <c r="AP71" s="772">
        <v>141.08458729453869</v>
      </c>
      <c r="AQ71" s="772">
        <v>146.37593081723224</v>
      </c>
      <c r="AR71" s="772">
        <v>151.66727433992577</v>
      </c>
      <c r="AS71" s="772">
        <v>156.95861786261929</v>
      </c>
      <c r="AT71" s="772">
        <v>162.24996138531282</v>
      </c>
      <c r="AU71" s="772">
        <v>167.54130490800634</v>
      </c>
      <c r="AV71" s="772">
        <v>172.83264843069989</v>
      </c>
      <c r="AW71" s="772">
        <v>178.12399195339344</v>
      </c>
      <c r="AX71" s="772">
        <v>183.41533547608699</v>
      </c>
      <c r="AY71" s="773">
        <v>188.7066789987806</v>
      </c>
    </row>
    <row r="72" spans="1:51">
      <c r="A72" s="1277"/>
      <c r="B72" s="681">
        <v>2.4</v>
      </c>
      <c r="C72" s="690">
        <f>(AB72*KFC!$B$22+KFC!$C$22)*KFC!$C$5</f>
        <v>67.519256806097559</v>
      </c>
      <c r="D72" s="690">
        <f>(AC72*KFC!$B$22+KFC!$C$22)*KFC!$C$5</f>
        <v>72.883994313626729</v>
      </c>
      <c r="E72" s="690">
        <f>(AD72*KFC!$B$22+KFC!$C$22)*KFC!$C$5</f>
        <v>78.2487318211559</v>
      </c>
      <c r="F72" s="690">
        <f>(AE72*KFC!$B$22+KFC!$C$22)*KFC!$C$5</f>
        <v>83.613469328685071</v>
      </c>
      <c r="G72" s="690">
        <f>(AF72*KFC!$B$22+KFC!$C$22)*KFC!$C$5</f>
        <v>88.978206836214241</v>
      </c>
      <c r="H72" s="690">
        <f>(AG72*KFC!$B$22+KFC!$C$22)*KFC!$C$5</f>
        <v>94.342944343743412</v>
      </c>
      <c r="I72" s="690">
        <f>(AH72*KFC!$B$22+KFC!$C$22)*KFC!$C$5</f>
        <v>99.707681851272582</v>
      </c>
      <c r="J72" s="690">
        <f>(AI72*KFC!$B$22+KFC!$C$22)*KFC!$C$5</f>
        <v>105.07241935880174</v>
      </c>
      <c r="K72" s="690">
        <f>(AJ72*KFC!$B$22+KFC!$C$22)*KFC!$C$5</f>
        <v>110.43715686633091</v>
      </c>
      <c r="L72" s="690">
        <f>(AK72*KFC!$B$22+KFC!$C$22)*KFC!$C$5</f>
        <v>115.80189437386008</v>
      </c>
      <c r="M72" s="690">
        <f>(AL72*KFC!$B$22+KFC!$C$22)*KFC!$C$5</f>
        <v>121.16663188138925</v>
      </c>
      <c r="N72" s="690">
        <f>(AM72*KFC!$B$22+KFC!$C$22)*KFC!$C$5</f>
        <v>126.53136938891841</v>
      </c>
      <c r="O72" s="690">
        <f>(AN72*KFC!$B$22+KFC!$C$22)*KFC!$C$5</f>
        <v>131.89610689644758</v>
      </c>
      <c r="P72" s="690">
        <f>(AO72*KFC!$B$22+KFC!$C$22)*KFC!$C$5</f>
        <v>137.26084440397676</v>
      </c>
      <c r="Q72" s="690">
        <f>(AP72*KFC!$B$22+KFC!$C$22)*KFC!$C$5</f>
        <v>142.62558191150592</v>
      </c>
      <c r="R72" s="690">
        <f>(AQ72*KFC!$B$22+KFC!$C$22)*KFC!$C$5</f>
        <v>147.99031941903507</v>
      </c>
      <c r="S72" s="690">
        <f>(AR72*KFC!$B$22+KFC!$C$22)*KFC!$C$5</f>
        <v>153.35505692656426</v>
      </c>
      <c r="T72" s="690">
        <f>(AS72*KFC!$B$22+KFC!$C$22)*KFC!$C$5</f>
        <v>158.71979443409342</v>
      </c>
      <c r="U72" s="690">
        <f>(AT72*KFC!$B$22+KFC!$C$22)*KFC!$C$5</f>
        <v>164.08453194162257</v>
      </c>
      <c r="V72" s="690">
        <f>(AU72*KFC!$B$22+KFC!$C$22)*KFC!$C$5</f>
        <v>169.44926944915176</v>
      </c>
      <c r="W72" s="690">
        <f>(AV72*KFC!$B$22+KFC!$C$22)*KFC!$C$5</f>
        <v>174.81400695668094</v>
      </c>
      <c r="X72" s="690">
        <f>(AW72*KFC!$B$22+KFC!$C$22)*KFC!$C$5</f>
        <v>180.1787444642101</v>
      </c>
      <c r="Y72" s="690">
        <f>(AX72*KFC!$B$22+KFC!$C$22)*KFC!$C$5</f>
        <v>185.54348197173928</v>
      </c>
      <c r="Z72" s="690">
        <f>(AY72*KFC!$B$22+KFC!$C$22)*KFC!$C$5</f>
        <v>190.90821947926844</v>
      </c>
      <c r="AB72" s="771">
        <v>67.519256806097559</v>
      </c>
      <c r="AC72" s="772">
        <v>72.883994313626729</v>
      </c>
      <c r="AD72" s="772">
        <v>78.2487318211559</v>
      </c>
      <c r="AE72" s="772">
        <v>83.613469328685071</v>
      </c>
      <c r="AF72" s="772">
        <v>88.978206836214241</v>
      </c>
      <c r="AG72" s="772">
        <v>94.342944343743412</v>
      </c>
      <c r="AH72" s="772">
        <v>99.707681851272582</v>
      </c>
      <c r="AI72" s="772">
        <v>105.07241935880174</v>
      </c>
      <c r="AJ72" s="772">
        <v>110.43715686633091</v>
      </c>
      <c r="AK72" s="772">
        <v>115.80189437386008</v>
      </c>
      <c r="AL72" s="772">
        <v>121.16663188138925</v>
      </c>
      <c r="AM72" s="772">
        <v>126.53136938891841</v>
      </c>
      <c r="AN72" s="772">
        <v>131.89610689644758</v>
      </c>
      <c r="AO72" s="772">
        <v>137.26084440397676</v>
      </c>
      <c r="AP72" s="772">
        <v>142.62558191150592</v>
      </c>
      <c r="AQ72" s="772">
        <v>147.99031941903507</v>
      </c>
      <c r="AR72" s="772">
        <v>153.35505692656426</v>
      </c>
      <c r="AS72" s="772">
        <v>158.71979443409342</v>
      </c>
      <c r="AT72" s="772">
        <v>164.08453194162257</v>
      </c>
      <c r="AU72" s="772">
        <v>169.44926944915176</v>
      </c>
      <c r="AV72" s="772">
        <v>174.81400695668094</v>
      </c>
      <c r="AW72" s="772">
        <v>180.1787444642101</v>
      </c>
      <c r="AX72" s="772">
        <v>185.54348197173928</v>
      </c>
      <c r="AY72" s="773">
        <v>190.90821947926844</v>
      </c>
    </row>
    <row r="73" spans="1:51">
      <c r="A73" s="1277"/>
      <c r="B73" s="681">
        <v>2.5</v>
      </c>
      <c r="C73" s="690">
        <f>(AB73*KFC!$B$22+KFC!$C$22)*KFC!$C$5</f>
        <v>68.032735635365853</v>
      </c>
      <c r="D73" s="690">
        <f>(AC73*KFC!$B$22+KFC!$C$22)*KFC!$C$5</f>
        <v>73.470867127730656</v>
      </c>
      <c r="E73" s="690">
        <f>(AD73*KFC!$B$22+KFC!$C$22)*KFC!$C$5</f>
        <v>78.908998620095446</v>
      </c>
      <c r="F73" s="690">
        <f>(AE73*KFC!$B$22+KFC!$C$22)*KFC!$C$5</f>
        <v>84.347130112460249</v>
      </c>
      <c r="G73" s="690">
        <f>(AF73*KFC!$B$22+KFC!$C$22)*KFC!$C$5</f>
        <v>89.785261604825052</v>
      </c>
      <c r="H73" s="690">
        <f>(AG73*KFC!$B$22+KFC!$C$22)*KFC!$C$5</f>
        <v>95.223393097189856</v>
      </c>
      <c r="I73" s="690">
        <f>(AH73*KFC!$B$22+KFC!$C$22)*KFC!$C$5</f>
        <v>100.66152458955466</v>
      </c>
      <c r="J73" s="690">
        <f>(AI73*KFC!$B$22+KFC!$C$22)*KFC!$C$5</f>
        <v>106.09965608191946</v>
      </c>
      <c r="K73" s="690">
        <f>(AJ73*KFC!$B$22+KFC!$C$22)*KFC!$C$5</f>
        <v>111.53778757428427</v>
      </c>
      <c r="L73" s="690">
        <f>(AK73*KFC!$B$22+KFC!$C$22)*KFC!$C$5</f>
        <v>116.97591906664908</v>
      </c>
      <c r="M73" s="690">
        <f>(AL73*KFC!$B$22+KFC!$C$22)*KFC!$C$5</f>
        <v>122.41405055901389</v>
      </c>
      <c r="N73" s="690">
        <f>(AM73*KFC!$B$22+KFC!$C$22)*KFC!$C$5</f>
        <v>127.85218205137869</v>
      </c>
      <c r="O73" s="690">
        <f>(AN73*KFC!$B$22+KFC!$C$22)*KFC!$C$5</f>
        <v>133.29031354374351</v>
      </c>
      <c r="P73" s="690">
        <f>(AO73*KFC!$B$22+KFC!$C$22)*KFC!$C$5</f>
        <v>138.7284450361083</v>
      </c>
      <c r="Q73" s="690">
        <f>(AP73*KFC!$B$22+KFC!$C$22)*KFC!$C$5</f>
        <v>144.16657652847312</v>
      </c>
      <c r="R73" s="690">
        <f>(AQ73*KFC!$B$22+KFC!$C$22)*KFC!$C$5</f>
        <v>149.6047080208379</v>
      </c>
      <c r="S73" s="690">
        <f>(AR73*KFC!$B$22+KFC!$C$22)*KFC!$C$5</f>
        <v>155.04283951320272</v>
      </c>
      <c r="T73" s="690">
        <f>(AS73*KFC!$B$22+KFC!$C$22)*KFC!$C$5</f>
        <v>160.48097100556751</v>
      </c>
      <c r="U73" s="690">
        <f>(AT73*KFC!$B$22+KFC!$C$22)*KFC!$C$5</f>
        <v>165.91910249793233</v>
      </c>
      <c r="V73" s="690">
        <f>(AU73*KFC!$B$22+KFC!$C$22)*KFC!$C$5</f>
        <v>171.35723399029712</v>
      </c>
      <c r="W73" s="690">
        <f>(AV73*KFC!$B$22+KFC!$C$22)*KFC!$C$5</f>
        <v>176.79536548266191</v>
      </c>
      <c r="X73" s="690">
        <f>(AW73*KFC!$B$22+KFC!$C$22)*KFC!$C$5</f>
        <v>182.2334969750267</v>
      </c>
      <c r="Y73" s="690">
        <f>(AX73*KFC!$B$22+KFC!$C$22)*KFC!$C$5</f>
        <v>187.67162846739149</v>
      </c>
      <c r="Z73" s="690">
        <f>(AY73*KFC!$B$22+KFC!$C$22)*KFC!$C$5</f>
        <v>193.10975995975625</v>
      </c>
      <c r="AB73" s="771">
        <v>68.032735635365853</v>
      </c>
      <c r="AC73" s="772">
        <v>73.470867127730656</v>
      </c>
      <c r="AD73" s="772">
        <v>78.908998620095446</v>
      </c>
      <c r="AE73" s="772">
        <v>84.347130112460249</v>
      </c>
      <c r="AF73" s="772">
        <v>89.785261604825052</v>
      </c>
      <c r="AG73" s="772">
        <v>95.223393097189856</v>
      </c>
      <c r="AH73" s="772">
        <v>100.66152458955466</v>
      </c>
      <c r="AI73" s="772">
        <v>106.09965608191946</v>
      </c>
      <c r="AJ73" s="772">
        <v>111.53778757428427</v>
      </c>
      <c r="AK73" s="772">
        <v>116.97591906664908</v>
      </c>
      <c r="AL73" s="772">
        <v>122.41405055901389</v>
      </c>
      <c r="AM73" s="772">
        <v>127.85218205137869</v>
      </c>
      <c r="AN73" s="772">
        <v>133.29031354374351</v>
      </c>
      <c r="AO73" s="772">
        <v>138.7284450361083</v>
      </c>
      <c r="AP73" s="772">
        <v>144.16657652847312</v>
      </c>
      <c r="AQ73" s="772">
        <v>149.6047080208379</v>
      </c>
      <c r="AR73" s="772">
        <v>155.04283951320272</v>
      </c>
      <c r="AS73" s="772">
        <v>160.48097100556751</v>
      </c>
      <c r="AT73" s="772">
        <v>165.91910249793233</v>
      </c>
      <c r="AU73" s="772">
        <v>171.35723399029712</v>
      </c>
      <c r="AV73" s="772">
        <v>176.79536548266191</v>
      </c>
      <c r="AW73" s="772">
        <v>182.2334969750267</v>
      </c>
      <c r="AX73" s="772">
        <v>187.67162846739149</v>
      </c>
      <c r="AY73" s="773">
        <v>193.10975995975625</v>
      </c>
    </row>
    <row r="74" spans="1:51">
      <c r="A74" s="1277"/>
      <c r="B74" s="681">
        <v>2.6</v>
      </c>
      <c r="C74" s="690">
        <f>(AB74*KFC!$B$22+KFC!$C$22)*KFC!$C$5</f>
        <v>68.546214464634147</v>
      </c>
      <c r="D74" s="690">
        <f>(AC74*KFC!$B$22+KFC!$C$22)*KFC!$C$5</f>
        <v>74.057739941834583</v>
      </c>
      <c r="E74" s="690">
        <f>(AD74*KFC!$B$22+KFC!$C$22)*KFC!$C$5</f>
        <v>79.56926541903502</v>
      </c>
      <c r="F74" s="690">
        <f>(AE74*KFC!$B$22+KFC!$C$22)*KFC!$C$5</f>
        <v>85.080790896235456</v>
      </c>
      <c r="G74" s="690">
        <f>(AF74*KFC!$B$22+KFC!$C$22)*KFC!$C$5</f>
        <v>90.592316373435878</v>
      </c>
      <c r="H74" s="690">
        <f>(AG74*KFC!$B$22+KFC!$C$22)*KFC!$C$5</f>
        <v>96.1038418506363</v>
      </c>
      <c r="I74" s="690">
        <f>(AH74*KFC!$B$22+KFC!$C$22)*KFC!$C$5</f>
        <v>101.61536732783672</v>
      </c>
      <c r="J74" s="690">
        <f>(AI74*KFC!$B$22+KFC!$C$22)*KFC!$C$5</f>
        <v>107.12689280503716</v>
      </c>
      <c r="K74" s="690">
        <f>(AJ74*KFC!$B$22+KFC!$C$22)*KFC!$C$5</f>
        <v>112.63841828223758</v>
      </c>
      <c r="L74" s="690">
        <f>(AK74*KFC!$B$22+KFC!$C$22)*KFC!$C$5</f>
        <v>118.149943759438</v>
      </c>
      <c r="M74" s="690">
        <f>(AL74*KFC!$B$22+KFC!$C$22)*KFC!$C$5</f>
        <v>123.66146923663842</v>
      </c>
      <c r="N74" s="690">
        <f>(AM74*KFC!$B$22+KFC!$C$22)*KFC!$C$5</f>
        <v>129.17299471383885</v>
      </c>
      <c r="O74" s="690">
        <f>(AN74*KFC!$B$22+KFC!$C$22)*KFC!$C$5</f>
        <v>134.68452019103927</v>
      </c>
      <c r="P74" s="690">
        <f>(AO74*KFC!$B$22+KFC!$C$22)*KFC!$C$5</f>
        <v>140.19604566823969</v>
      </c>
      <c r="Q74" s="690">
        <f>(AP74*KFC!$B$22+KFC!$C$22)*KFC!$C$5</f>
        <v>145.70757114544014</v>
      </c>
      <c r="R74" s="690">
        <f>(AQ74*KFC!$B$22+KFC!$C$22)*KFC!$C$5</f>
        <v>151.21909662264056</v>
      </c>
      <c r="S74" s="690">
        <f>(AR74*KFC!$B$22+KFC!$C$22)*KFC!$C$5</f>
        <v>156.73062209984099</v>
      </c>
      <c r="T74" s="690">
        <f>(AS74*KFC!$B$22+KFC!$C$22)*KFC!$C$5</f>
        <v>162.24214757704141</v>
      </c>
      <c r="U74" s="690">
        <f>(AT74*KFC!$B$22+KFC!$C$22)*KFC!$C$5</f>
        <v>167.75367305424183</v>
      </c>
      <c r="V74" s="690">
        <f>(AU74*KFC!$B$22+KFC!$C$22)*KFC!$C$5</f>
        <v>173.26519853144228</v>
      </c>
      <c r="W74" s="690">
        <f>(AV74*KFC!$B$22+KFC!$C$22)*KFC!$C$5</f>
        <v>178.7767240086427</v>
      </c>
      <c r="X74" s="690">
        <f>(AW74*KFC!$B$22+KFC!$C$22)*KFC!$C$5</f>
        <v>184.28824948584315</v>
      </c>
      <c r="Y74" s="690">
        <f>(AX74*KFC!$B$22+KFC!$C$22)*KFC!$C$5</f>
        <v>189.7997749630436</v>
      </c>
      <c r="Z74" s="690">
        <f>(AY74*KFC!$B$22+KFC!$C$22)*KFC!$C$5</f>
        <v>195.31130044024408</v>
      </c>
      <c r="AB74" s="771">
        <v>68.546214464634147</v>
      </c>
      <c r="AC74" s="772">
        <v>74.057739941834583</v>
      </c>
      <c r="AD74" s="772">
        <v>79.56926541903502</v>
      </c>
      <c r="AE74" s="772">
        <v>85.080790896235456</v>
      </c>
      <c r="AF74" s="772">
        <v>90.592316373435878</v>
      </c>
      <c r="AG74" s="772">
        <v>96.1038418506363</v>
      </c>
      <c r="AH74" s="772">
        <v>101.61536732783672</v>
      </c>
      <c r="AI74" s="772">
        <v>107.12689280503716</v>
      </c>
      <c r="AJ74" s="772">
        <v>112.63841828223758</v>
      </c>
      <c r="AK74" s="772">
        <v>118.149943759438</v>
      </c>
      <c r="AL74" s="772">
        <v>123.66146923663842</v>
      </c>
      <c r="AM74" s="772">
        <v>129.17299471383885</v>
      </c>
      <c r="AN74" s="772">
        <v>134.68452019103927</v>
      </c>
      <c r="AO74" s="772">
        <v>140.19604566823969</v>
      </c>
      <c r="AP74" s="772">
        <v>145.70757114544014</v>
      </c>
      <c r="AQ74" s="772">
        <v>151.21909662264056</v>
      </c>
      <c r="AR74" s="772">
        <v>156.73062209984099</v>
      </c>
      <c r="AS74" s="772">
        <v>162.24214757704141</v>
      </c>
      <c r="AT74" s="772">
        <v>167.75367305424183</v>
      </c>
      <c r="AU74" s="772">
        <v>173.26519853144228</v>
      </c>
      <c r="AV74" s="772">
        <v>178.7767240086427</v>
      </c>
      <c r="AW74" s="772">
        <v>184.28824948584315</v>
      </c>
      <c r="AX74" s="772">
        <v>189.7997749630436</v>
      </c>
      <c r="AY74" s="773">
        <v>195.31130044024408</v>
      </c>
    </row>
    <row r="75" spans="1:51">
      <c r="A75" s="1277"/>
      <c r="B75" s="681">
        <v>2.7</v>
      </c>
      <c r="C75" s="690">
        <f>(AB75*KFC!$B$22+KFC!$C$22)*KFC!$C$5</f>
        <v>69.059693293902441</v>
      </c>
      <c r="D75" s="690">
        <f>(AC75*KFC!$B$22+KFC!$C$22)*KFC!$C$5</f>
        <v>74.64461275593851</v>
      </c>
      <c r="E75" s="690">
        <f>(AD75*KFC!$B$22+KFC!$C$22)*KFC!$C$5</f>
        <v>80.229532217974565</v>
      </c>
      <c r="F75" s="690">
        <f>(AE75*KFC!$B$22+KFC!$C$22)*KFC!$C$5</f>
        <v>85.814451680010649</v>
      </c>
      <c r="G75" s="690">
        <f>(AF75*KFC!$B$22+KFC!$C$22)*KFC!$C$5</f>
        <v>91.399371142046704</v>
      </c>
      <c r="H75" s="690">
        <f>(AG75*KFC!$B$22+KFC!$C$22)*KFC!$C$5</f>
        <v>96.984290604082773</v>
      </c>
      <c r="I75" s="690">
        <f>(AH75*KFC!$B$22+KFC!$C$22)*KFC!$C$5</f>
        <v>102.56921006611883</v>
      </c>
      <c r="J75" s="690">
        <f>(AI75*KFC!$B$22+KFC!$C$22)*KFC!$C$5</f>
        <v>108.1541295281549</v>
      </c>
      <c r="K75" s="690">
        <f>(AJ75*KFC!$B$22+KFC!$C$22)*KFC!$C$5</f>
        <v>113.73904899019095</v>
      </c>
      <c r="L75" s="690">
        <f>(AK75*KFC!$B$22+KFC!$C$22)*KFC!$C$5</f>
        <v>119.32396845222702</v>
      </c>
      <c r="M75" s="690">
        <f>(AL75*KFC!$B$22+KFC!$C$22)*KFC!$C$5</f>
        <v>124.90888791426309</v>
      </c>
      <c r="N75" s="690">
        <f>(AM75*KFC!$B$22+KFC!$C$22)*KFC!$C$5</f>
        <v>130.49380737629915</v>
      </c>
      <c r="O75" s="690">
        <f>(AN75*KFC!$B$22+KFC!$C$22)*KFC!$C$5</f>
        <v>136.0787268383352</v>
      </c>
      <c r="P75" s="690">
        <f>(AO75*KFC!$B$22+KFC!$C$22)*KFC!$C$5</f>
        <v>141.66364630037128</v>
      </c>
      <c r="Q75" s="690">
        <f>(AP75*KFC!$B$22+KFC!$C$22)*KFC!$C$5</f>
        <v>147.24856576240734</v>
      </c>
      <c r="R75" s="690">
        <f>(AQ75*KFC!$B$22+KFC!$C$22)*KFC!$C$5</f>
        <v>152.83348522444339</v>
      </c>
      <c r="S75" s="690">
        <f>(AR75*KFC!$B$22+KFC!$C$22)*KFC!$C$5</f>
        <v>158.41840468647948</v>
      </c>
      <c r="T75" s="690">
        <f>(AS75*KFC!$B$22+KFC!$C$22)*KFC!$C$5</f>
        <v>164.00332414851553</v>
      </c>
      <c r="U75" s="690">
        <f>(AT75*KFC!$B$22+KFC!$C$22)*KFC!$C$5</f>
        <v>169.58824361055159</v>
      </c>
      <c r="V75" s="690">
        <f>(AU75*KFC!$B$22+KFC!$C$22)*KFC!$C$5</f>
        <v>175.17316307258764</v>
      </c>
      <c r="W75" s="690">
        <f>(AV75*KFC!$B$22+KFC!$C$22)*KFC!$C$5</f>
        <v>180.75808253462372</v>
      </c>
      <c r="X75" s="690">
        <f>(AW75*KFC!$B$22+KFC!$C$22)*KFC!$C$5</f>
        <v>186.34300199665978</v>
      </c>
      <c r="Y75" s="690">
        <f>(AX75*KFC!$B$22+KFC!$C$22)*KFC!$C$5</f>
        <v>191.92792145869583</v>
      </c>
      <c r="Z75" s="690">
        <f>(AY75*KFC!$B$22+KFC!$C$22)*KFC!$C$5</f>
        <v>197.51284092073192</v>
      </c>
      <c r="AB75" s="771">
        <v>69.059693293902441</v>
      </c>
      <c r="AC75" s="772">
        <v>74.64461275593851</v>
      </c>
      <c r="AD75" s="772">
        <v>80.229532217974565</v>
      </c>
      <c r="AE75" s="772">
        <v>85.814451680010649</v>
      </c>
      <c r="AF75" s="772">
        <v>91.399371142046704</v>
      </c>
      <c r="AG75" s="772">
        <v>96.984290604082773</v>
      </c>
      <c r="AH75" s="772">
        <v>102.56921006611883</v>
      </c>
      <c r="AI75" s="772">
        <v>108.1541295281549</v>
      </c>
      <c r="AJ75" s="772">
        <v>113.73904899019095</v>
      </c>
      <c r="AK75" s="772">
        <v>119.32396845222702</v>
      </c>
      <c r="AL75" s="772">
        <v>124.90888791426309</v>
      </c>
      <c r="AM75" s="772">
        <v>130.49380737629915</v>
      </c>
      <c r="AN75" s="772">
        <v>136.0787268383352</v>
      </c>
      <c r="AO75" s="772">
        <v>141.66364630037128</v>
      </c>
      <c r="AP75" s="772">
        <v>147.24856576240734</v>
      </c>
      <c r="AQ75" s="772">
        <v>152.83348522444339</v>
      </c>
      <c r="AR75" s="772">
        <v>158.41840468647948</v>
      </c>
      <c r="AS75" s="772">
        <v>164.00332414851553</v>
      </c>
      <c r="AT75" s="772">
        <v>169.58824361055159</v>
      </c>
      <c r="AU75" s="772">
        <v>175.17316307258764</v>
      </c>
      <c r="AV75" s="772">
        <v>180.75808253462372</v>
      </c>
      <c r="AW75" s="772">
        <v>186.34300199665978</v>
      </c>
      <c r="AX75" s="772">
        <v>191.92792145869583</v>
      </c>
      <c r="AY75" s="773">
        <v>197.51284092073192</v>
      </c>
    </row>
    <row r="76" spans="1:51">
      <c r="A76" s="1277"/>
      <c r="B76" s="681">
        <v>2.8</v>
      </c>
      <c r="C76" s="690">
        <f>(AB76*KFC!$B$22+KFC!$C$22)*KFC!$C$5</f>
        <v>69.573172123170735</v>
      </c>
      <c r="D76" s="690">
        <f>(AC76*KFC!$B$22+KFC!$C$22)*KFC!$C$5</f>
        <v>75.231485570042423</v>
      </c>
      <c r="E76" s="690">
        <f>(AD76*KFC!$B$22+KFC!$C$22)*KFC!$C$5</f>
        <v>80.889799016914125</v>
      </c>
      <c r="F76" s="690">
        <f>(AE76*KFC!$B$22+KFC!$C$22)*KFC!$C$5</f>
        <v>86.548112463785813</v>
      </c>
      <c r="G76" s="690">
        <f>(AF76*KFC!$B$22+KFC!$C$22)*KFC!$C$5</f>
        <v>92.206425910657515</v>
      </c>
      <c r="H76" s="690">
        <f>(AG76*KFC!$B$22+KFC!$C$22)*KFC!$C$5</f>
        <v>97.864739357529217</v>
      </c>
      <c r="I76" s="690">
        <f>(AH76*KFC!$B$22+KFC!$C$22)*KFC!$C$5</f>
        <v>103.52305280440092</v>
      </c>
      <c r="J76" s="690">
        <f>(AI76*KFC!$B$22+KFC!$C$22)*KFC!$C$5</f>
        <v>109.18136625127262</v>
      </c>
      <c r="K76" s="690">
        <f>(AJ76*KFC!$B$22+KFC!$C$22)*KFC!$C$5</f>
        <v>114.83967969814432</v>
      </c>
      <c r="L76" s="690">
        <f>(AK76*KFC!$B$22+KFC!$C$22)*KFC!$C$5</f>
        <v>120.49799314501603</v>
      </c>
      <c r="M76" s="690">
        <f>(AL76*KFC!$B$22+KFC!$C$22)*KFC!$C$5</f>
        <v>126.15630659188773</v>
      </c>
      <c r="N76" s="690">
        <f>(AM76*KFC!$B$22+KFC!$C$22)*KFC!$C$5</f>
        <v>131.81462003875941</v>
      </c>
      <c r="O76" s="690">
        <f>(AN76*KFC!$B$22+KFC!$C$22)*KFC!$C$5</f>
        <v>137.47293348563113</v>
      </c>
      <c r="P76" s="690">
        <f>(AO76*KFC!$B$22+KFC!$C$22)*KFC!$C$5</f>
        <v>143.13124693250282</v>
      </c>
      <c r="Q76" s="690">
        <f>(AP76*KFC!$B$22+KFC!$C$22)*KFC!$C$5</f>
        <v>148.78956037937454</v>
      </c>
      <c r="R76" s="690">
        <f>(AQ76*KFC!$B$22+KFC!$C$22)*KFC!$C$5</f>
        <v>154.44787382624622</v>
      </c>
      <c r="S76" s="690">
        <f>(AR76*KFC!$B$22+KFC!$C$22)*KFC!$C$5</f>
        <v>160.10618727311794</v>
      </c>
      <c r="T76" s="690">
        <f>(AS76*KFC!$B$22+KFC!$C$22)*KFC!$C$5</f>
        <v>165.76450071998963</v>
      </c>
      <c r="U76" s="690">
        <f>(AT76*KFC!$B$22+KFC!$C$22)*KFC!$C$5</f>
        <v>171.42281416686131</v>
      </c>
      <c r="V76" s="690">
        <f>(AU76*KFC!$B$22+KFC!$C$22)*KFC!$C$5</f>
        <v>177.081127613733</v>
      </c>
      <c r="W76" s="690">
        <f>(AV76*KFC!$B$22+KFC!$C$22)*KFC!$C$5</f>
        <v>182.73944106060469</v>
      </c>
      <c r="X76" s="690">
        <f>(AW76*KFC!$B$22+KFC!$C$22)*KFC!$C$5</f>
        <v>188.39775450747635</v>
      </c>
      <c r="Y76" s="690">
        <f>(AX76*KFC!$B$22+KFC!$C$22)*KFC!$C$5</f>
        <v>194.05606795434804</v>
      </c>
      <c r="Z76" s="690">
        <f>(AY76*KFC!$B$22+KFC!$C$22)*KFC!$C$5</f>
        <v>199.71438140121973</v>
      </c>
      <c r="AB76" s="771">
        <v>69.573172123170735</v>
      </c>
      <c r="AC76" s="772">
        <v>75.231485570042423</v>
      </c>
      <c r="AD76" s="772">
        <v>80.889799016914125</v>
      </c>
      <c r="AE76" s="772">
        <v>86.548112463785813</v>
      </c>
      <c r="AF76" s="772">
        <v>92.206425910657515</v>
      </c>
      <c r="AG76" s="772">
        <v>97.864739357529217</v>
      </c>
      <c r="AH76" s="772">
        <v>103.52305280440092</v>
      </c>
      <c r="AI76" s="772">
        <v>109.18136625127262</v>
      </c>
      <c r="AJ76" s="772">
        <v>114.83967969814432</v>
      </c>
      <c r="AK76" s="772">
        <v>120.49799314501603</v>
      </c>
      <c r="AL76" s="772">
        <v>126.15630659188773</v>
      </c>
      <c r="AM76" s="772">
        <v>131.81462003875941</v>
      </c>
      <c r="AN76" s="772">
        <v>137.47293348563113</v>
      </c>
      <c r="AO76" s="772">
        <v>143.13124693250282</v>
      </c>
      <c r="AP76" s="772">
        <v>148.78956037937454</v>
      </c>
      <c r="AQ76" s="772">
        <v>154.44787382624622</v>
      </c>
      <c r="AR76" s="772">
        <v>160.10618727311794</v>
      </c>
      <c r="AS76" s="772">
        <v>165.76450071998963</v>
      </c>
      <c r="AT76" s="772">
        <v>171.42281416686131</v>
      </c>
      <c r="AU76" s="772">
        <v>177.081127613733</v>
      </c>
      <c r="AV76" s="772">
        <v>182.73944106060469</v>
      </c>
      <c r="AW76" s="772">
        <v>188.39775450747635</v>
      </c>
      <c r="AX76" s="772">
        <v>194.05606795434804</v>
      </c>
      <c r="AY76" s="773">
        <v>199.71438140121973</v>
      </c>
    </row>
    <row r="77" spans="1:51">
      <c r="A77" s="1277"/>
      <c r="B77" s="681">
        <v>2.9</v>
      </c>
      <c r="C77" s="690">
        <f>(AB77*KFC!$B$22+KFC!$C$22)*KFC!$C$5</f>
        <v>70.08665095243903</v>
      </c>
      <c r="D77" s="690">
        <f>(AC77*KFC!$B$22+KFC!$C$22)*KFC!$C$5</f>
        <v>75.818358384146364</v>
      </c>
      <c r="E77" s="690">
        <f>(AD77*KFC!$B$22+KFC!$C$22)*KFC!$C$5</f>
        <v>81.550065815853685</v>
      </c>
      <c r="F77" s="690">
        <f>(AE77*KFC!$B$22+KFC!$C$22)*KFC!$C$5</f>
        <v>87.28177324756102</v>
      </c>
      <c r="G77" s="690">
        <f>(AF77*KFC!$B$22+KFC!$C$22)*KFC!$C$5</f>
        <v>93.013480679268341</v>
      </c>
      <c r="H77" s="690">
        <f>(AG77*KFC!$B$22+KFC!$C$22)*KFC!$C$5</f>
        <v>98.745188110975661</v>
      </c>
      <c r="I77" s="690">
        <f>(AH77*KFC!$B$22+KFC!$C$22)*KFC!$C$5</f>
        <v>104.47689554268298</v>
      </c>
      <c r="J77" s="690">
        <f>(AI77*KFC!$B$22+KFC!$C$22)*KFC!$C$5</f>
        <v>110.2086029743903</v>
      </c>
      <c r="K77" s="690">
        <f>(AJ77*KFC!$B$22+KFC!$C$22)*KFC!$C$5</f>
        <v>115.94031040609762</v>
      </c>
      <c r="L77" s="690">
        <f>(AK77*KFC!$B$22+KFC!$C$22)*KFC!$C$5</f>
        <v>121.67201783780494</v>
      </c>
      <c r="M77" s="690">
        <f>(AL77*KFC!$B$22+KFC!$C$22)*KFC!$C$5</f>
        <v>127.40372526951226</v>
      </c>
      <c r="N77" s="690">
        <f>(AM77*KFC!$B$22+KFC!$C$22)*KFC!$C$5</f>
        <v>133.1354327012196</v>
      </c>
      <c r="O77" s="690">
        <f>(AN77*KFC!$B$22+KFC!$C$22)*KFC!$C$5</f>
        <v>138.86714013292692</v>
      </c>
      <c r="P77" s="690">
        <f>(AO77*KFC!$B$22+KFC!$C$22)*KFC!$C$5</f>
        <v>144.59884756463424</v>
      </c>
      <c r="Q77" s="690">
        <f>(AP77*KFC!$B$22+KFC!$C$22)*KFC!$C$5</f>
        <v>150.33055499634156</v>
      </c>
      <c r="R77" s="690">
        <f>(AQ77*KFC!$B$22+KFC!$C$22)*KFC!$C$5</f>
        <v>156.06226242804888</v>
      </c>
      <c r="S77" s="690">
        <f>(AR77*KFC!$B$22+KFC!$C$22)*KFC!$C$5</f>
        <v>161.7939698597562</v>
      </c>
      <c r="T77" s="690">
        <f>(AS77*KFC!$B$22+KFC!$C$22)*KFC!$C$5</f>
        <v>167.52567729146352</v>
      </c>
      <c r="U77" s="690">
        <f>(AT77*KFC!$B$22+KFC!$C$22)*KFC!$C$5</f>
        <v>173.25738472317084</v>
      </c>
      <c r="V77" s="690">
        <f>(AU77*KFC!$B$22+KFC!$C$22)*KFC!$C$5</f>
        <v>178.98909215487819</v>
      </c>
      <c r="W77" s="690">
        <f>(AV77*KFC!$B$22+KFC!$C$22)*KFC!$C$5</f>
        <v>184.72079958658554</v>
      </c>
      <c r="X77" s="690">
        <f>(AW77*KFC!$B$22+KFC!$C$22)*KFC!$C$5</f>
        <v>190.45250701829286</v>
      </c>
      <c r="Y77" s="690">
        <f>(AX77*KFC!$B$22+KFC!$C$22)*KFC!$C$5</f>
        <v>196.18421445000021</v>
      </c>
      <c r="Z77" s="690">
        <f>(AY77*KFC!$B$22+KFC!$C$22)*KFC!$C$5</f>
        <v>201.91592188170756</v>
      </c>
      <c r="AB77" s="771">
        <v>70.08665095243903</v>
      </c>
      <c r="AC77" s="772">
        <v>75.818358384146364</v>
      </c>
      <c r="AD77" s="772">
        <v>81.550065815853685</v>
      </c>
      <c r="AE77" s="772">
        <v>87.28177324756102</v>
      </c>
      <c r="AF77" s="772">
        <v>93.013480679268341</v>
      </c>
      <c r="AG77" s="772">
        <v>98.745188110975661</v>
      </c>
      <c r="AH77" s="772">
        <v>104.47689554268298</v>
      </c>
      <c r="AI77" s="772">
        <v>110.2086029743903</v>
      </c>
      <c r="AJ77" s="772">
        <v>115.94031040609762</v>
      </c>
      <c r="AK77" s="772">
        <v>121.67201783780494</v>
      </c>
      <c r="AL77" s="772">
        <v>127.40372526951226</v>
      </c>
      <c r="AM77" s="772">
        <v>133.1354327012196</v>
      </c>
      <c r="AN77" s="772">
        <v>138.86714013292692</v>
      </c>
      <c r="AO77" s="772">
        <v>144.59884756463424</v>
      </c>
      <c r="AP77" s="772">
        <v>150.33055499634156</v>
      </c>
      <c r="AQ77" s="772">
        <v>156.06226242804888</v>
      </c>
      <c r="AR77" s="772">
        <v>161.7939698597562</v>
      </c>
      <c r="AS77" s="772">
        <v>167.52567729146352</v>
      </c>
      <c r="AT77" s="772">
        <v>173.25738472317084</v>
      </c>
      <c r="AU77" s="772">
        <v>178.98909215487819</v>
      </c>
      <c r="AV77" s="772">
        <v>184.72079958658554</v>
      </c>
      <c r="AW77" s="772">
        <v>190.45250701829286</v>
      </c>
      <c r="AX77" s="772">
        <v>196.18421445000021</v>
      </c>
      <c r="AY77" s="773">
        <v>201.91592188170756</v>
      </c>
    </row>
    <row r="78" spans="1:51">
      <c r="A78" s="1277"/>
      <c r="B78" s="681">
        <v>3</v>
      </c>
      <c r="C78" s="690">
        <f>(AB78*KFC!$B$22+KFC!$C$22)*KFC!$C$5</f>
        <v>70.600129781707324</v>
      </c>
      <c r="D78" s="690">
        <f>(AC78*KFC!$B$22+KFC!$C$22)*KFC!$C$5</f>
        <v>76.405231198250277</v>
      </c>
      <c r="E78" s="690">
        <f>(AD78*KFC!$B$22+KFC!$C$22)*KFC!$C$5</f>
        <v>82.210332614793245</v>
      </c>
      <c r="F78" s="690">
        <f>(AE78*KFC!$B$22+KFC!$C$22)*KFC!$C$5</f>
        <v>88.015434031336184</v>
      </c>
      <c r="G78" s="690">
        <f>(AF78*KFC!$B$22+KFC!$C$22)*KFC!$C$5</f>
        <v>93.820535447879152</v>
      </c>
      <c r="H78" s="690">
        <f>(AG78*KFC!$B$22+KFC!$C$22)*KFC!$C$5</f>
        <v>99.625636864422106</v>
      </c>
      <c r="I78" s="690">
        <f>(AH78*KFC!$B$22+KFC!$C$22)*KFC!$C$5</f>
        <v>105.43073828096507</v>
      </c>
      <c r="J78" s="690">
        <f>(AI78*KFC!$B$22+KFC!$C$22)*KFC!$C$5</f>
        <v>111.23583969750803</v>
      </c>
      <c r="K78" s="690">
        <f>(AJ78*KFC!$B$22+KFC!$C$22)*KFC!$C$5</f>
        <v>117.04094111405098</v>
      </c>
      <c r="L78" s="690">
        <f>(AK78*KFC!$B$22+KFC!$C$22)*KFC!$C$5</f>
        <v>122.84604253059395</v>
      </c>
      <c r="M78" s="690">
        <f>(AL78*KFC!$B$22+KFC!$C$22)*KFC!$C$5</f>
        <v>128.65114394713692</v>
      </c>
      <c r="N78" s="690">
        <f>(AM78*KFC!$B$22+KFC!$C$22)*KFC!$C$5</f>
        <v>134.45624536367987</v>
      </c>
      <c r="O78" s="690">
        <f>(AN78*KFC!$B$22+KFC!$C$22)*KFC!$C$5</f>
        <v>140.26134678022282</v>
      </c>
      <c r="P78" s="690">
        <f>(AO78*KFC!$B$22+KFC!$C$22)*KFC!$C$5</f>
        <v>146.06644819676578</v>
      </c>
      <c r="Q78" s="690">
        <f>(AP78*KFC!$B$22+KFC!$C$22)*KFC!$C$5</f>
        <v>151.87154961330873</v>
      </c>
      <c r="R78" s="690">
        <f>(AQ78*KFC!$B$22+KFC!$C$22)*KFC!$C$5</f>
        <v>157.67665102985171</v>
      </c>
      <c r="S78" s="690">
        <f>(AR78*KFC!$B$22+KFC!$C$22)*KFC!$C$5</f>
        <v>163.48175244639467</v>
      </c>
      <c r="T78" s="690">
        <f>(AS78*KFC!$B$22+KFC!$C$22)*KFC!$C$5</f>
        <v>169.28685386293762</v>
      </c>
      <c r="U78" s="690">
        <f>(AT78*KFC!$B$22+KFC!$C$22)*KFC!$C$5</f>
        <v>175.09195527948057</v>
      </c>
      <c r="V78" s="690">
        <f>(AU78*KFC!$B$22+KFC!$C$22)*KFC!$C$5</f>
        <v>180.89705669602353</v>
      </c>
      <c r="W78" s="690">
        <f>(AV78*KFC!$B$22+KFC!$C$22)*KFC!$C$5</f>
        <v>186.70215811256648</v>
      </c>
      <c r="X78" s="690">
        <f>(AW78*KFC!$B$22+KFC!$C$22)*KFC!$C$5</f>
        <v>192.50725952910946</v>
      </c>
      <c r="Y78" s="690">
        <f>(AX78*KFC!$B$22+KFC!$C$22)*KFC!$C$5</f>
        <v>198.31236094565242</v>
      </c>
      <c r="Z78" s="690">
        <f>(AY78*KFC!$B$22+KFC!$C$22)*KFC!$C$5</f>
        <v>204.11746236219537</v>
      </c>
      <c r="AB78" s="771">
        <v>70.600129781707324</v>
      </c>
      <c r="AC78" s="772">
        <v>76.405231198250277</v>
      </c>
      <c r="AD78" s="772">
        <v>82.210332614793245</v>
      </c>
      <c r="AE78" s="772">
        <v>88.015434031336184</v>
      </c>
      <c r="AF78" s="772">
        <v>93.820535447879152</v>
      </c>
      <c r="AG78" s="772">
        <v>99.625636864422106</v>
      </c>
      <c r="AH78" s="772">
        <v>105.43073828096507</v>
      </c>
      <c r="AI78" s="772">
        <v>111.23583969750803</v>
      </c>
      <c r="AJ78" s="772">
        <v>117.04094111405098</v>
      </c>
      <c r="AK78" s="772">
        <v>122.84604253059395</v>
      </c>
      <c r="AL78" s="772">
        <v>128.65114394713692</v>
      </c>
      <c r="AM78" s="772">
        <v>134.45624536367987</v>
      </c>
      <c r="AN78" s="772">
        <v>140.26134678022282</v>
      </c>
      <c r="AO78" s="772">
        <v>146.06644819676578</v>
      </c>
      <c r="AP78" s="772">
        <v>151.87154961330873</v>
      </c>
      <c r="AQ78" s="772">
        <v>157.67665102985171</v>
      </c>
      <c r="AR78" s="772">
        <v>163.48175244639467</v>
      </c>
      <c r="AS78" s="772">
        <v>169.28685386293762</v>
      </c>
      <c r="AT78" s="772">
        <v>175.09195527948057</v>
      </c>
      <c r="AU78" s="772">
        <v>180.89705669602353</v>
      </c>
      <c r="AV78" s="772">
        <v>186.70215811256648</v>
      </c>
      <c r="AW78" s="772">
        <v>192.50725952910946</v>
      </c>
      <c r="AX78" s="772">
        <v>198.31236094565242</v>
      </c>
      <c r="AY78" s="773">
        <v>204.11746236219537</v>
      </c>
    </row>
    <row r="79" spans="1:51">
      <c r="A79" s="1277"/>
      <c r="B79" s="681">
        <v>3.1</v>
      </c>
      <c r="C79" s="690">
        <f>(AB79*KFC!$B$22+KFC!$C$22)*KFC!$C$5</f>
        <v>71.113608610975618</v>
      </c>
      <c r="D79" s="690">
        <f>(AC79*KFC!$B$22+KFC!$C$22)*KFC!$C$5</f>
        <v>76.992104012354204</v>
      </c>
      <c r="E79" s="690">
        <f>(AD79*KFC!$B$22+KFC!$C$22)*KFC!$C$5</f>
        <v>82.870599413732791</v>
      </c>
      <c r="F79" s="690">
        <f>(AE79*KFC!$B$22+KFC!$C$22)*KFC!$C$5</f>
        <v>88.749094815111377</v>
      </c>
      <c r="G79" s="690">
        <f>(AF79*KFC!$B$22+KFC!$C$22)*KFC!$C$5</f>
        <v>94.627590216489978</v>
      </c>
      <c r="H79" s="690">
        <f>(AG79*KFC!$B$22+KFC!$C$22)*KFC!$C$5</f>
        <v>100.50608561786858</v>
      </c>
      <c r="I79" s="690">
        <f>(AH79*KFC!$B$22+KFC!$C$22)*KFC!$C$5</f>
        <v>106.38458101924716</v>
      </c>
      <c r="J79" s="690">
        <f>(AI79*KFC!$B$22+KFC!$C$22)*KFC!$C$5</f>
        <v>112.26307642062577</v>
      </c>
      <c r="K79" s="690">
        <f>(AJ79*KFC!$B$22+KFC!$C$22)*KFC!$C$5</f>
        <v>118.14157182200437</v>
      </c>
      <c r="L79" s="690">
        <f>(AK79*KFC!$B$22+KFC!$C$22)*KFC!$C$5</f>
        <v>124.02006722338297</v>
      </c>
      <c r="M79" s="690">
        <f>(AL79*KFC!$B$22+KFC!$C$22)*KFC!$C$5</f>
        <v>129.89856262476155</v>
      </c>
      <c r="N79" s="690">
        <f>(AM79*KFC!$B$22+KFC!$C$22)*KFC!$C$5</f>
        <v>135.77705802614017</v>
      </c>
      <c r="O79" s="690">
        <f>(AN79*KFC!$B$22+KFC!$C$22)*KFC!$C$5</f>
        <v>141.65555342751875</v>
      </c>
      <c r="P79" s="690">
        <f>(AO79*KFC!$B$22+KFC!$C$22)*KFC!$C$5</f>
        <v>147.53404882889734</v>
      </c>
      <c r="Q79" s="690">
        <f>(AP79*KFC!$B$22+KFC!$C$22)*KFC!$C$5</f>
        <v>153.41254423027596</v>
      </c>
      <c r="R79" s="690">
        <f>(AQ79*KFC!$B$22+KFC!$C$22)*KFC!$C$5</f>
        <v>159.29103963165454</v>
      </c>
      <c r="S79" s="690">
        <f>(AR79*KFC!$B$22+KFC!$C$22)*KFC!$C$5</f>
        <v>165.16953503303316</v>
      </c>
      <c r="T79" s="690">
        <f>(AS79*KFC!$B$22+KFC!$C$22)*KFC!$C$5</f>
        <v>171.04803043441171</v>
      </c>
      <c r="U79" s="690">
        <f>(AT79*KFC!$B$22+KFC!$C$22)*KFC!$C$5</f>
        <v>176.9265258357903</v>
      </c>
      <c r="V79" s="690">
        <f>(AU79*KFC!$B$22+KFC!$C$22)*KFC!$C$5</f>
        <v>182.80502123716889</v>
      </c>
      <c r="W79" s="690">
        <f>(AV79*KFC!$B$22+KFC!$C$22)*KFC!$C$5</f>
        <v>188.68351663854745</v>
      </c>
      <c r="X79" s="690">
        <f>(AW79*KFC!$B$22+KFC!$C$22)*KFC!$C$5</f>
        <v>194.56201203992603</v>
      </c>
      <c r="Y79" s="690">
        <f>(AX79*KFC!$B$22+KFC!$C$22)*KFC!$C$5</f>
        <v>200.44050744130462</v>
      </c>
      <c r="Z79" s="690">
        <f>(AY79*KFC!$B$22+KFC!$C$22)*KFC!$C$5</f>
        <v>206.3190028426832</v>
      </c>
      <c r="AB79" s="771">
        <v>71.113608610975618</v>
      </c>
      <c r="AC79" s="772">
        <v>76.992104012354204</v>
      </c>
      <c r="AD79" s="772">
        <v>82.870599413732791</v>
      </c>
      <c r="AE79" s="772">
        <v>88.749094815111377</v>
      </c>
      <c r="AF79" s="772">
        <v>94.627590216489978</v>
      </c>
      <c r="AG79" s="772">
        <v>100.50608561786858</v>
      </c>
      <c r="AH79" s="772">
        <v>106.38458101924716</v>
      </c>
      <c r="AI79" s="772">
        <v>112.26307642062577</v>
      </c>
      <c r="AJ79" s="772">
        <v>118.14157182200437</v>
      </c>
      <c r="AK79" s="772">
        <v>124.02006722338297</v>
      </c>
      <c r="AL79" s="772">
        <v>129.89856262476155</v>
      </c>
      <c r="AM79" s="772">
        <v>135.77705802614017</v>
      </c>
      <c r="AN79" s="772">
        <v>141.65555342751875</v>
      </c>
      <c r="AO79" s="772">
        <v>147.53404882889734</v>
      </c>
      <c r="AP79" s="772">
        <v>153.41254423027596</v>
      </c>
      <c r="AQ79" s="772">
        <v>159.29103963165454</v>
      </c>
      <c r="AR79" s="772">
        <v>165.16953503303316</v>
      </c>
      <c r="AS79" s="772">
        <v>171.04803043441171</v>
      </c>
      <c r="AT79" s="772">
        <v>176.9265258357903</v>
      </c>
      <c r="AU79" s="772">
        <v>182.80502123716889</v>
      </c>
      <c r="AV79" s="772">
        <v>188.68351663854745</v>
      </c>
      <c r="AW79" s="772">
        <v>194.56201203992603</v>
      </c>
      <c r="AX79" s="772">
        <v>200.44050744130462</v>
      </c>
      <c r="AY79" s="773">
        <v>206.3190028426832</v>
      </c>
    </row>
    <row r="80" spans="1:51">
      <c r="A80" s="1277"/>
      <c r="B80" s="681">
        <v>3.2</v>
      </c>
      <c r="C80" s="690">
        <f>(AB80*KFC!$B$22+KFC!$C$22)*KFC!$C$5</f>
        <v>71.627087440243912</v>
      </c>
      <c r="D80" s="690">
        <f>(AC80*KFC!$B$22+KFC!$C$22)*KFC!$C$5</f>
        <v>77.578976826458131</v>
      </c>
      <c r="E80" s="690">
        <f>(AD80*KFC!$B$22+KFC!$C$22)*KFC!$C$5</f>
        <v>83.530866212672365</v>
      </c>
      <c r="F80" s="690">
        <f>(AE80*KFC!$B$22+KFC!$C$22)*KFC!$C$5</f>
        <v>89.482755598886584</v>
      </c>
      <c r="G80" s="690">
        <f>(AF80*KFC!$B$22+KFC!$C$22)*KFC!$C$5</f>
        <v>95.434644985100803</v>
      </c>
      <c r="H80" s="690">
        <f>(AG80*KFC!$B$22+KFC!$C$22)*KFC!$C$5</f>
        <v>101.38653437131502</v>
      </c>
      <c r="I80" s="690">
        <f>(AH80*KFC!$B$22+KFC!$C$22)*KFC!$C$5</f>
        <v>107.33842375752924</v>
      </c>
      <c r="J80" s="690">
        <f>(AI80*KFC!$B$22+KFC!$C$22)*KFC!$C$5</f>
        <v>113.29031314374346</v>
      </c>
      <c r="K80" s="690">
        <f>(AJ80*KFC!$B$22+KFC!$C$22)*KFC!$C$5</f>
        <v>119.24220252995767</v>
      </c>
      <c r="L80" s="690">
        <f>(AK80*KFC!$B$22+KFC!$C$22)*KFC!$C$5</f>
        <v>125.19409191617189</v>
      </c>
      <c r="M80" s="690">
        <f>(AL80*KFC!$B$22+KFC!$C$22)*KFC!$C$5</f>
        <v>131.1459813023861</v>
      </c>
      <c r="N80" s="690">
        <f>(AM80*KFC!$B$22+KFC!$C$22)*KFC!$C$5</f>
        <v>137.09787068860032</v>
      </c>
      <c r="O80" s="690">
        <f>(AN80*KFC!$B$22+KFC!$C$22)*KFC!$C$5</f>
        <v>143.04976007481454</v>
      </c>
      <c r="P80" s="690">
        <f>(AO80*KFC!$B$22+KFC!$C$22)*KFC!$C$5</f>
        <v>149.00164946102876</v>
      </c>
      <c r="Q80" s="690">
        <f>(AP80*KFC!$B$22+KFC!$C$22)*KFC!$C$5</f>
        <v>154.95353884724298</v>
      </c>
      <c r="R80" s="690">
        <f>(AQ80*KFC!$B$22+KFC!$C$22)*KFC!$C$5</f>
        <v>160.9054282334572</v>
      </c>
      <c r="S80" s="690">
        <f>(AR80*KFC!$B$22+KFC!$C$22)*KFC!$C$5</f>
        <v>166.85731761967139</v>
      </c>
      <c r="T80" s="690">
        <f>(AS80*KFC!$B$22+KFC!$C$22)*KFC!$C$5</f>
        <v>172.80920700588564</v>
      </c>
      <c r="U80" s="690">
        <f>(AT80*KFC!$B$22+KFC!$C$22)*KFC!$C$5</f>
        <v>178.76109639209989</v>
      </c>
      <c r="V80" s="690">
        <f>(AU80*KFC!$B$22+KFC!$C$22)*KFC!$C$5</f>
        <v>184.71298577831411</v>
      </c>
      <c r="W80" s="690">
        <f>(AV80*KFC!$B$22+KFC!$C$22)*KFC!$C$5</f>
        <v>190.66487516452835</v>
      </c>
      <c r="X80" s="690">
        <f>(AW80*KFC!$B$22+KFC!$C$22)*KFC!$C$5</f>
        <v>196.61676455074257</v>
      </c>
      <c r="Y80" s="690">
        <f>(AX80*KFC!$B$22+KFC!$C$22)*KFC!$C$5</f>
        <v>202.56865393695682</v>
      </c>
      <c r="Z80" s="690">
        <f>(AY80*KFC!$B$22+KFC!$C$22)*KFC!$C$5</f>
        <v>208.52054332317101</v>
      </c>
      <c r="AB80" s="771">
        <v>71.627087440243912</v>
      </c>
      <c r="AC80" s="772">
        <v>77.578976826458131</v>
      </c>
      <c r="AD80" s="772">
        <v>83.530866212672365</v>
      </c>
      <c r="AE80" s="772">
        <v>89.482755598886584</v>
      </c>
      <c r="AF80" s="772">
        <v>95.434644985100803</v>
      </c>
      <c r="AG80" s="772">
        <v>101.38653437131502</v>
      </c>
      <c r="AH80" s="772">
        <v>107.33842375752924</v>
      </c>
      <c r="AI80" s="772">
        <v>113.29031314374346</v>
      </c>
      <c r="AJ80" s="772">
        <v>119.24220252995767</v>
      </c>
      <c r="AK80" s="772">
        <v>125.19409191617189</v>
      </c>
      <c r="AL80" s="772">
        <v>131.1459813023861</v>
      </c>
      <c r="AM80" s="772">
        <v>137.09787068860032</v>
      </c>
      <c r="AN80" s="772">
        <v>143.04976007481454</v>
      </c>
      <c r="AO80" s="772">
        <v>149.00164946102876</v>
      </c>
      <c r="AP80" s="772">
        <v>154.95353884724298</v>
      </c>
      <c r="AQ80" s="772">
        <v>160.9054282334572</v>
      </c>
      <c r="AR80" s="772">
        <v>166.85731761967139</v>
      </c>
      <c r="AS80" s="772">
        <v>172.80920700588564</v>
      </c>
      <c r="AT80" s="772">
        <v>178.76109639209989</v>
      </c>
      <c r="AU80" s="772">
        <v>184.71298577831411</v>
      </c>
      <c r="AV80" s="772">
        <v>190.66487516452835</v>
      </c>
      <c r="AW80" s="772">
        <v>196.61676455074257</v>
      </c>
      <c r="AX80" s="772">
        <v>202.56865393695682</v>
      </c>
      <c r="AY80" s="773">
        <v>208.52054332317101</v>
      </c>
    </row>
    <row r="81" spans="1:51">
      <c r="A81" s="1277"/>
      <c r="B81" s="681">
        <v>3.3</v>
      </c>
      <c r="C81" s="690">
        <f>(AB81*KFC!$B$22+KFC!$C$22)*KFC!$C$5</f>
        <v>72.140566269512206</v>
      </c>
      <c r="D81" s="690">
        <f>(AC81*KFC!$B$22+KFC!$C$22)*KFC!$C$5</f>
        <v>78.165849640562058</v>
      </c>
      <c r="E81" s="690">
        <f>(AD81*KFC!$B$22+KFC!$C$22)*KFC!$C$5</f>
        <v>84.19113301161191</v>
      </c>
      <c r="F81" s="690">
        <f>(AE81*KFC!$B$22+KFC!$C$22)*KFC!$C$5</f>
        <v>90.216416382661762</v>
      </c>
      <c r="G81" s="690">
        <f>(AF81*KFC!$B$22+KFC!$C$22)*KFC!$C$5</f>
        <v>96.241699753711615</v>
      </c>
      <c r="H81" s="690">
        <f>(AG81*KFC!$B$22+KFC!$C$22)*KFC!$C$5</f>
        <v>102.26698312476147</v>
      </c>
      <c r="I81" s="690">
        <f>(AH81*KFC!$B$22+KFC!$C$22)*KFC!$C$5</f>
        <v>108.29226649581132</v>
      </c>
      <c r="J81" s="690">
        <f>(AI81*KFC!$B$22+KFC!$C$22)*KFC!$C$5</f>
        <v>114.31754986686117</v>
      </c>
      <c r="K81" s="690">
        <f>(AJ81*KFC!$B$22+KFC!$C$22)*KFC!$C$5</f>
        <v>120.34283323791104</v>
      </c>
      <c r="L81" s="690">
        <f>(AK81*KFC!$B$22+KFC!$C$22)*KFC!$C$5</f>
        <v>126.36811660896089</v>
      </c>
      <c r="M81" s="690">
        <f>(AL81*KFC!$B$22+KFC!$C$22)*KFC!$C$5</f>
        <v>132.39339998001074</v>
      </c>
      <c r="N81" s="690">
        <f>(AM81*KFC!$B$22+KFC!$C$22)*KFC!$C$5</f>
        <v>138.41868335106059</v>
      </c>
      <c r="O81" s="690">
        <f>(AN81*KFC!$B$22+KFC!$C$22)*KFC!$C$5</f>
        <v>144.44396672211045</v>
      </c>
      <c r="P81" s="690">
        <f>(AO81*KFC!$B$22+KFC!$C$22)*KFC!$C$5</f>
        <v>150.4692500931603</v>
      </c>
      <c r="Q81" s="690">
        <f>(AP81*KFC!$B$22+KFC!$C$22)*KFC!$C$5</f>
        <v>156.49453346421015</v>
      </c>
      <c r="R81" s="690">
        <f>(AQ81*KFC!$B$22+KFC!$C$22)*KFC!$C$5</f>
        <v>162.51981683526</v>
      </c>
      <c r="S81" s="690">
        <f>(AR81*KFC!$B$22+KFC!$C$22)*KFC!$C$5</f>
        <v>168.54510020630985</v>
      </c>
      <c r="T81" s="690">
        <f>(AS81*KFC!$B$22+KFC!$C$22)*KFC!$C$5</f>
        <v>174.57038357735971</v>
      </c>
      <c r="U81" s="690">
        <f>(AT81*KFC!$B$22+KFC!$C$22)*KFC!$C$5</f>
        <v>180.59566694840956</v>
      </c>
      <c r="V81" s="690">
        <f>(AU81*KFC!$B$22+KFC!$C$22)*KFC!$C$5</f>
        <v>186.62095031945941</v>
      </c>
      <c r="W81" s="690">
        <f>(AV81*KFC!$B$22+KFC!$C$22)*KFC!$C$5</f>
        <v>192.64623369050926</v>
      </c>
      <c r="X81" s="690">
        <f>(AW81*KFC!$B$22+KFC!$C$22)*KFC!$C$5</f>
        <v>198.67151706155911</v>
      </c>
      <c r="Y81" s="690">
        <f>(AX81*KFC!$B$22+KFC!$C$22)*KFC!$C$5</f>
        <v>204.69680043260897</v>
      </c>
      <c r="Z81" s="690">
        <f>(AY81*KFC!$B$22+KFC!$C$22)*KFC!$C$5</f>
        <v>210.72208380365885</v>
      </c>
      <c r="AB81" s="771">
        <v>72.140566269512206</v>
      </c>
      <c r="AC81" s="772">
        <v>78.165849640562058</v>
      </c>
      <c r="AD81" s="772">
        <v>84.19113301161191</v>
      </c>
      <c r="AE81" s="772">
        <v>90.216416382661762</v>
      </c>
      <c r="AF81" s="772">
        <v>96.241699753711615</v>
      </c>
      <c r="AG81" s="772">
        <v>102.26698312476147</v>
      </c>
      <c r="AH81" s="772">
        <v>108.29226649581132</v>
      </c>
      <c r="AI81" s="772">
        <v>114.31754986686117</v>
      </c>
      <c r="AJ81" s="772">
        <v>120.34283323791104</v>
      </c>
      <c r="AK81" s="772">
        <v>126.36811660896089</v>
      </c>
      <c r="AL81" s="772">
        <v>132.39339998001074</v>
      </c>
      <c r="AM81" s="772">
        <v>138.41868335106059</v>
      </c>
      <c r="AN81" s="772">
        <v>144.44396672211045</v>
      </c>
      <c r="AO81" s="772">
        <v>150.4692500931603</v>
      </c>
      <c r="AP81" s="772">
        <v>156.49453346421015</v>
      </c>
      <c r="AQ81" s="772">
        <v>162.51981683526</v>
      </c>
      <c r="AR81" s="772">
        <v>168.54510020630985</v>
      </c>
      <c r="AS81" s="772">
        <v>174.57038357735971</v>
      </c>
      <c r="AT81" s="772">
        <v>180.59566694840956</v>
      </c>
      <c r="AU81" s="772">
        <v>186.62095031945941</v>
      </c>
      <c r="AV81" s="772">
        <v>192.64623369050926</v>
      </c>
      <c r="AW81" s="772">
        <v>198.67151706155911</v>
      </c>
      <c r="AX81" s="772">
        <v>204.69680043260897</v>
      </c>
      <c r="AY81" s="773">
        <v>210.72208380365885</v>
      </c>
    </row>
    <row r="82" spans="1:51">
      <c r="A82" s="1277"/>
      <c r="B82" s="681">
        <v>3.4</v>
      </c>
      <c r="C82" s="690">
        <f>(AB82*KFC!$B$22+KFC!$C$22)*KFC!$C$5</f>
        <v>72.6540450987805</v>
      </c>
      <c r="D82" s="690">
        <f>(AC82*KFC!$B$22+KFC!$C$22)*KFC!$C$5</f>
        <v>78.752722454665985</v>
      </c>
      <c r="E82" s="690">
        <f>(AD82*KFC!$B$22+KFC!$C$22)*KFC!$C$5</f>
        <v>84.85139981055147</v>
      </c>
      <c r="F82" s="690">
        <f>(AE82*KFC!$B$22+KFC!$C$22)*KFC!$C$5</f>
        <v>90.950077166436969</v>
      </c>
      <c r="G82" s="690">
        <f>(AF82*KFC!$B$22+KFC!$C$22)*KFC!$C$5</f>
        <v>97.048754522322454</v>
      </c>
      <c r="H82" s="690">
        <f>(AG82*KFC!$B$22+KFC!$C$22)*KFC!$C$5</f>
        <v>103.14743187820795</v>
      </c>
      <c r="I82" s="690">
        <f>(AH82*KFC!$B$22+KFC!$C$22)*KFC!$C$5</f>
        <v>109.24610923409344</v>
      </c>
      <c r="J82" s="690">
        <f>(AI82*KFC!$B$22+KFC!$C$22)*KFC!$C$5</f>
        <v>115.34478658997894</v>
      </c>
      <c r="K82" s="690">
        <f>(AJ82*KFC!$B$22+KFC!$C$22)*KFC!$C$5</f>
        <v>121.44346394586444</v>
      </c>
      <c r="L82" s="690">
        <f>(AK82*KFC!$B$22+KFC!$C$22)*KFC!$C$5</f>
        <v>127.54214130174992</v>
      </c>
      <c r="M82" s="690">
        <f>(AL82*KFC!$B$22+KFC!$C$22)*KFC!$C$5</f>
        <v>133.64081865763541</v>
      </c>
      <c r="N82" s="690">
        <f>(AM82*KFC!$B$22+KFC!$C$22)*KFC!$C$5</f>
        <v>139.73949601352092</v>
      </c>
      <c r="O82" s="690">
        <f>(AN82*KFC!$B$22+KFC!$C$22)*KFC!$C$5</f>
        <v>145.83817336940641</v>
      </c>
      <c r="P82" s="690">
        <f>(AO82*KFC!$B$22+KFC!$C$22)*KFC!$C$5</f>
        <v>151.93685072529189</v>
      </c>
      <c r="Q82" s="690">
        <f>(AP82*KFC!$B$22+KFC!$C$22)*KFC!$C$5</f>
        <v>158.03552808117738</v>
      </c>
      <c r="R82" s="690">
        <f>(AQ82*KFC!$B$22+KFC!$C$22)*KFC!$C$5</f>
        <v>164.13420543706289</v>
      </c>
      <c r="S82" s="690">
        <f>(AR82*KFC!$B$22+KFC!$C$22)*KFC!$C$5</f>
        <v>170.23288279294837</v>
      </c>
      <c r="T82" s="690">
        <f>(AS82*KFC!$B$22+KFC!$C$22)*KFC!$C$5</f>
        <v>176.33156014883386</v>
      </c>
      <c r="U82" s="690">
        <f>(AT82*KFC!$B$22+KFC!$C$22)*KFC!$C$5</f>
        <v>182.43023750471932</v>
      </c>
      <c r="V82" s="690">
        <f>(AU82*KFC!$B$22+KFC!$C$22)*KFC!$C$5</f>
        <v>188.5289148606048</v>
      </c>
      <c r="W82" s="690">
        <f>(AV82*KFC!$B$22+KFC!$C$22)*KFC!$C$5</f>
        <v>194.62759221649029</v>
      </c>
      <c r="X82" s="690">
        <f>(AW82*KFC!$B$22+KFC!$C$22)*KFC!$C$5</f>
        <v>200.72626957237574</v>
      </c>
      <c r="Y82" s="690">
        <f>(AX82*KFC!$B$22+KFC!$C$22)*KFC!$C$5</f>
        <v>206.82494692826123</v>
      </c>
      <c r="Z82" s="690">
        <f>(AY82*KFC!$B$22+KFC!$C$22)*KFC!$C$5</f>
        <v>212.92362428414665</v>
      </c>
      <c r="AB82" s="771">
        <v>72.6540450987805</v>
      </c>
      <c r="AC82" s="772">
        <v>78.752722454665985</v>
      </c>
      <c r="AD82" s="772">
        <v>84.85139981055147</v>
      </c>
      <c r="AE82" s="772">
        <v>90.950077166436969</v>
      </c>
      <c r="AF82" s="772">
        <v>97.048754522322454</v>
      </c>
      <c r="AG82" s="772">
        <v>103.14743187820795</v>
      </c>
      <c r="AH82" s="772">
        <v>109.24610923409344</v>
      </c>
      <c r="AI82" s="772">
        <v>115.34478658997894</v>
      </c>
      <c r="AJ82" s="772">
        <v>121.44346394586444</v>
      </c>
      <c r="AK82" s="772">
        <v>127.54214130174992</v>
      </c>
      <c r="AL82" s="772">
        <v>133.64081865763541</v>
      </c>
      <c r="AM82" s="772">
        <v>139.73949601352092</v>
      </c>
      <c r="AN82" s="772">
        <v>145.83817336940641</v>
      </c>
      <c r="AO82" s="772">
        <v>151.93685072529189</v>
      </c>
      <c r="AP82" s="772">
        <v>158.03552808117738</v>
      </c>
      <c r="AQ82" s="772">
        <v>164.13420543706289</v>
      </c>
      <c r="AR82" s="772">
        <v>170.23288279294837</v>
      </c>
      <c r="AS82" s="772">
        <v>176.33156014883386</v>
      </c>
      <c r="AT82" s="772">
        <v>182.43023750471932</v>
      </c>
      <c r="AU82" s="772">
        <v>188.5289148606048</v>
      </c>
      <c r="AV82" s="772">
        <v>194.62759221649029</v>
      </c>
      <c r="AW82" s="772">
        <v>200.72626957237574</v>
      </c>
      <c r="AX82" s="772">
        <v>206.82494692826123</v>
      </c>
      <c r="AY82" s="773">
        <v>212.92362428414665</v>
      </c>
    </row>
    <row r="83" spans="1:51">
      <c r="A83" s="1277"/>
      <c r="B83" s="681">
        <v>3.5</v>
      </c>
      <c r="C83" s="690">
        <f>(AB83*KFC!$B$22+KFC!$C$22)*KFC!$C$5</f>
        <v>73.167523928048794</v>
      </c>
      <c r="D83" s="690">
        <f>(AC83*KFC!$B$22+KFC!$C$22)*KFC!$C$5</f>
        <v>79.339595268769898</v>
      </c>
      <c r="E83" s="690">
        <f>(AD83*KFC!$B$22+KFC!$C$22)*KFC!$C$5</f>
        <v>85.51166660949103</v>
      </c>
      <c r="F83" s="690">
        <f>(AE83*KFC!$B$22+KFC!$C$22)*KFC!$C$5</f>
        <v>91.683737950212134</v>
      </c>
      <c r="G83" s="690">
        <f>(AF83*KFC!$B$22+KFC!$C$22)*KFC!$C$5</f>
        <v>97.855809290933252</v>
      </c>
      <c r="H83" s="690">
        <f>(AG83*KFC!$B$22+KFC!$C$22)*KFC!$C$5</f>
        <v>104.02788063165436</v>
      </c>
      <c r="I83" s="690">
        <f>(AH83*KFC!$B$22+KFC!$C$22)*KFC!$C$5</f>
        <v>110.19995197237547</v>
      </c>
      <c r="J83" s="690">
        <f>(AI83*KFC!$B$22+KFC!$C$22)*KFC!$C$5</f>
        <v>116.37202331309659</v>
      </c>
      <c r="K83" s="690">
        <f>(AJ83*KFC!$B$22+KFC!$C$22)*KFC!$C$5</f>
        <v>122.54409465381769</v>
      </c>
      <c r="L83" s="690">
        <f>(AK83*KFC!$B$22+KFC!$C$22)*KFC!$C$5</f>
        <v>128.71616599453881</v>
      </c>
      <c r="M83" s="690">
        <f>(AL83*KFC!$B$22+KFC!$C$22)*KFC!$C$5</f>
        <v>134.88823733525993</v>
      </c>
      <c r="N83" s="690">
        <f>(AM83*KFC!$B$22+KFC!$C$22)*KFC!$C$5</f>
        <v>141.06030867598105</v>
      </c>
      <c r="O83" s="690">
        <f>(AN83*KFC!$B$22+KFC!$C$22)*KFC!$C$5</f>
        <v>147.23238001670214</v>
      </c>
      <c r="P83" s="690">
        <f>(AO83*KFC!$B$22+KFC!$C$22)*KFC!$C$5</f>
        <v>153.40445135742326</v>
      </c>
      <c r="Q83" s="690">
        <f>(AP83*KFC!$B$22+KFC!$C$22)*KFC!$C$5</f>
        <v>159.57652269814437</v>
      </c>
      <c r="R83" s="690">
        <f>(AQ83*KFC!$B$22+KFC!$C$22)*KFC!$C$5</f>
        <v>165.74859403886549</v>
      </c>
      <c r="S83" s="690">
        <f>(AR83*KFC!$B$22+KFC!$C$22)*KFC!$C$5</f>
        <v>171.92066537958661</v>
      </c>
      <c r="T83" s="690">
        <f>(AS83*KFC!$B$22+KFC!$C$22)*KFC!$C$5</f>
        <v>178.09273672030773</v>
      </c>
      <c r="U83" s="690">
        <f>(AT83*KFC!$B$22+KFC!$C$22)*KFC!$C$5</f>
        <v>184.26480806102887</v>
      </c>
      <c r="V83" s="690">
        <f>(AU83*KFC!$B$22+KFC!$C$22)*KFC!$C$5</f>
        <v>190.43687940174999</v>
      </c>
      <c r="W83" s="690">
        <f>(AV83*KFC!$B$22+KFC!$C$22)*KFC!$C$5</f>
        <v>196.60895074247114</v>
      </c>
      <c r="X83" s="690">
        <f>(AW83*KFC!$B$22+KFC!$C$22)*KFC!$C$5</f>
        <v>202.78102208319225</v>
      </c>
      <c r="Y83" s="690">
        <f>(AX83*KFC!$B$22+KFC!$C$22)*KFC!$C$5</f>
        <v>208.95309342391337</v>
      </c>
      <c r="Z83" s="690">
        <f>(AY83*KFC!$B$22+KFC!$C$22)*KFC!$C$5</f>
        <v>215.12516476463449</v>
      </c>
      <c r="AB83" s="771">
        <v>73.167523928048794</v>
      </c>
      <c r="AC83" s="772">
        <v>79.339595268769898</v>
      </c>
      <c r="AD83" s="772">
        <v>85.51166660949103</v>
      </c>
      <c r="AE83" s="772">
        <v>91.683737950212134</v>
      </c>
      <c r="AF83" s="772">
        <v>97.855809290933252</v>
      </c>
      <c r="AG83" s="772">
        <v>104.02788063165436</v>
      </c>
      <c r="AH83" s="772">
        <v>110.19995197237547</v>
      </c>
      <c r="AI83" s="772">
        <v>116.37202331309659</v>
      </c>
      <c r="AJ83" s="772">
        <v>122.54409465381769</v>
      </c>
      <c r="AK83" s="772">
        <v>128.71616599453881</v>
      </c>
      <c r="AL83" s="772">
        <v>134.88823733525993</v>
      </c>
      <c r="AM83" s="772">
        <v>141.06030867598105</v>
      </c>
      <c r="AN83" s="772">
        <v>147.23238001670214</v>
      </c>
      <c r="AO83" s="772">
        <v>153.40445135742326</v>
      </c>
      <c r="AP83" s="772">
        <v>159.57652269814437</v>
      </c>
      <c r="AQ83" s="772">
        <v>165.74859403886549</v>
      </c>
      <c r="AR83" s="772">
        <v>171.92066537958661</v>
      </c>
      <c r="AS83" s="772">
        <v>178.09273672030773</v>
      </c>
      <c r="AT83" s="772">
        <v>184.26480806102887</v>
      </c>
      <c r="AU83" s="772">
        <v>190.43687940174999</v>
      </c>
      <c r="AV83" s="772">
        <v>196.60895074247114</v>
      </c>
      <c r="AW83" s="772">
        <v>202.78102208319225</v>
      </c>
      <c r="AX83" s="772">
        <v>208.95309342391337</v>
      </c>
      <c r="AY83" s="773">
        <v>215.12516476463449</v>
      </c>
    </row>
    <row r="84" spans="1:51">
      <c r="A84" s="1277"/>
      <c r="B84" s="681">
        <v>3.6</v>
      </c>
      <c r="C84" s="690">
        <f>(AB84*KFC!$B$22+KFC!$C$22)*KFC!$C$5</f>
        <v>73.681002757317088</v>
      </c>
      <c r="D84" s="690">
        <f>(AC84*KFC!$B$22+KFC!$C$22)*KFC!$C$5</f>
        <v>79.926468082873839</v>
      </c>
      <c r="E84" s="690">
        <f>(AD84*KFC!$B$22+KFC!$C$22)*KFC!$C$5</f>
        <v>86.171933408430576</v>
      </c>
      <c r="F84" s="690">
        <f>(AE84*KFC!$B$22+KFC!$C$22)*KFC!$C$5</f>
        <v>92.417398733987326</v>
      </c>
      <c r="G84" s="690">
        <f>(AF84*KFC!$B$22+KFC!$C$22)*KFC!$C$5</f>
        <v>98.662864059544077</v>
      </c>
      <c r="H84" s="690">
        <f>(AG84*KFC!$B$22+KFC!$C$22)*KFC!$C$5</f>
        <v>104.90832938510083</v>
      </c>
      <c r="I84" s="690">
        <f>(AH84*KFC!$B$22+KFC!$C$22)*KFC!$C$5</f>
        <v>111.15379471065758</v>
      </c>
      <c r="J84" s="690">
        <f>(AI84*KFC!$B$22+KFC!$C$22)*KFC!$C$5</f>
        <v>117.39926003621433</v>
      </c>
      <c r="K84" s="690">
        <f>(AJ84*KFC!$B$22+KFC!$C$22)*KFC!$C$5</f>
        <v>123.64472536177108</v>
      </c>
      <c r="L84" s="690">
        <f>(AK84*KFC!$B$22+KFC!$C$22)*KFC!$C$5</f>
        <v>129.89019068732782</v>
      </c>
      <c r="M84" s="690">
        <f>(AL84*KFC!$B$22+KFC!$C$22)*KFC!$C$5</f>
        <v>136.13565601288457</v>
      </c>
      <c r="N84" s="690">
        <f>(AM84*KFC!$B$22+KFC!$C$22)*KFC!$C$5</f>
        <v>142.38112133844132</v>
      </c>
      <c r="O84" s="690">
        <f>(AN84*KFC!$B$22+KFC!$C$22)*KFC!$C$5</f>
        <v>148.62658666399807</v>
      </c>
      <c r="P84" s="690">
        <f>(AO84*KFC!$B$22+KFC!$C$22)*KFC!$C$5</f>
        <v>154.87205198955482</v>
      </c>
      <c r="Q84" s="690">
        <f>(AP84*KFC!$B$22+KFC!$C$22)*KFC!$C$5</f>
        <v>161.11751731511157</v>
      </c>
      <c r="R84" s="690">
        <f>(AQ84*KFC!$B$22+KFC!$C$22)*KFC!$C$5</f>
        <v>167.36298264066832</v>
      </c>
      <c r="S84" s="690">
        <f>(AR84*KFC!$B$22+KFC!$C$22)*KFC!$C$5</f>
        <v>173.60844796622507</v>
      </c>
      <c r="T84" s="690">
        <f>(AS84*KFC!$B$22+KFC!$C$22)*KFC!$C$5</f>
        <v>179.85391329178182</v>
      </c>
      <c r="U84" s="690">
        <f>(AT84*KFC!$B$22+KFC!$C$22)*KFC!$C$5</f>
        <v>186.09937861733857</v>
      </c>
      <c r="V84" s="690">
        <f>(AU84*KFC!$B$22+KFC!$C$22)*KFC!$C$5</f>
        <v>192.34484394289532</v>
      </c>
      <c r="W84" s="690">
        <f>(AV84*KFC!$B$22+KFC!$C$22)*KFC!$C$5</f>
        <v>198.59030926845207</v>
      </c>
      <c r="X84" s="690">
        <f>(AW84*KFC!$B$22+KFC!$C$22)*KFC!$C$5</f>
        <v>204.83577459400883</v>
      </c>
      <c r="Y84" s="690">
        <f>(AX84*KFC!$B$22+KFC!$C$22)*KFC!$C$5</f>
        <v>211.08123991956558</v>
      </c>
      <c r="Z84" s="690">
        <f>(AY84*KFC!$B$22+KFC!$C$22)*KFC!$C$5</f>
        <v>217.3267052451223</v>
      </c>
      <c r="AB84" s="771">
        <v>73.681002757317088</v>
      </c>
      <c r="AC84" s="772">
        <v>79.926468082873839</v>
      </c>
      <c r="AD84" s="772">
        <v>86.171933408430576</v>
      </c>
      <c r="AE84" s="772">
        <v>92.417398733987326</v>
      </c>
      <c r="AF84" s="772">
        <v>98.662864059544077</v>
      </c>
      <c r="AG84" s="772">
        <v>104.90832938510083</v>
      </c>
      <c r="AH84" s="772">
        <v>111.15379471065758</v>
      </c>
      <c r="AI84" s="772">
        <v>117.39926003621433</v>
      </c>
      <c r="AJ84" s="772">
        <v>123.64472536177108</v>
      </c>
      <c r="AK84" s="772">
        <v>129.89019068732782</v>
      </c>
      <c r="AL84" s="772">
        <v>136.13565601288457</v>
      </c>
      <c r="AM84" s="772">
        <v>142.38112133844132</v>
      </c>
      <c r="AN84" s="772">
        <v>148.62658666399807</v>
      </c>
      <c r="AO84" s="772">
        <v>154.87205198955482</v>
      </c>
      <c r="AP84" s="772">
        <v>161.11751731511157</v>
      </c>
      <c r="AQ84" s="772">
        <v>167.36298264066832</v>
      </c>
      <c r="AR84" s="772">
        <v>173.60844796622507</v>
      </c>
      <c r="AS84" s="772">
        <v>179.85391329178182</v>
      </c>
      <c r="AT84" s="772">
        <v>186.09937861733857</v>
      </c>
      <c r="AU84" s="772">
        <v>192.34484394289532</v>
      </c>
      <c r="AV84" s="772">
        <v>198.59030926845207</v>
      </c>
      <c r="AW84" s="772">
        <v>204.83577459400883</v>
      </c>
      <c r="AX84" s="772">
        <v>211.08123991956558</v>
      </c>
      <c r="AY84" s="773">
        <v>217.3267052451223</v>
      </c>
    </row>
    <row r="85" spans="1:51">
      <c r="A85" s="1277"/>
      <c r="B85" s="681">
        <v>3.7</v>
      </c>
      <c r="C85" s="690">
        <f>(AB85*KFC!$B$22+KFC!$C$22)*KFC!$C$5</f>
        <v>74.194481586585368</v>
      </c>
      <c r="D85" s="690">
        <f>(AC85*KFC!$B$22+KFC!$C$22)*KFC!$C$5</f>
        <v>80.513340896977752</v>
      </c>
      <c r="E85" s="690">
        <f>(AD85*KFC!$B$22+KFC!$C$22)*KFC!$C$5</f>
        <v>86.832200207370121</v>
      </c>
      <c r="F85" s="690">
        <f>(AE85*KFC!$B$22+KFC!$C$22)*KFC!$C$5</f>
        <v>93.151059517762491</v>
      </c>
      <c r="G85" s="690">
        <f>(AF85*KFC!$B$22+KFC!$C$22)*KFC!$C$5</f>
        <v>99.46991882815486</v>
      </c>
      <c r="H85" s="690">
        <f>(AG85*KFC!$B$22+KFC!$C$22)*KFC!$C$5</f>
        <v>105.78877813854723</v>
      </c>
      <c r="I85" s="690">
        <f>(AH85*KFC!$B$22+KFC!$C$22)*KFC!$C$5</f>
        <v>112.10763744893961</v>
      </c>
      <c r="J85" s="690">
        <f>(AI85*KFC!$B$22+KFC!$C$22)*KFC!$C$5</f>
        <v>118.42649675933198</v>
      </c>
      <c r="K85" s="690">
        <f>(AJ85*KFC!$B$22+KFC!$C$22)*KFC!$C$5</f>
        <v>124.74535606972435</v>
      </c>
      <c r="L85" s="690">
        <f>(AK85*KFC!$B$22+KFC!$C$22)*KFC!$C$5</f>
        <v>131.06421538011671</v>
      </c>
      <c r="M85" s="690">
        <f>(AL85*KFC!$B$22+KFC!$C$22)*KFC!$C$5</f>
        <v>137.38307469050909</v>
      </c>
      <c r="N85" s="690">
        <f>(AM85*KFC!$B$22+KFC!$C$22)*KFC!$C$5</f>
        <v>143.70193400090145</v>
      </c>
      <c r="O85" s="690">
        <f>(AN85*KFC!$B$22+KFC!$C$22)*KFC!$C$5</f>
        <v>150.02079331129383</v>
      </c>
      <c r="P85" s="690">
        <f>(AO85*KFC!$B$22+KFC!$C$22)*KFC!$C$5</f>
        <v>156.33965262168618</v>
      </c>
      <c r="Q85" s="690">
        <f>(AP85*KFC!$B$22+KFC!$C$22)*KFC!$C$5</f>
        <v>162.65851193207857</v>
      </c>
      <c r="R85" s="690">
        <f>(AQ85*KFC!$B$22+KFC!$C$22)*KFC!$C$5</f>
        <v>168.97737124247095</v>
      </c>
      <c r="S85" s="690">
        <f>(AR85*KFC!$B$22+KFC!$C$22)*KFC!$C$5</f>
        <v>175.29623055286331</v>
      </c>
      <c r="T85" s="690">
        <f>(AS85*KFC!$B$22+KFC!$C$22)*KFC!$C$5</f>
        <v>181.61508986325569</v>
      </c>
      <c r="U85" s="690">
        <f>(AT85*KFC!$B$22+KFC!$C$22)*KFC!$C$5</f>
        <v>187.93394917364805</v>
      </c>
      <c r="V85" s="690">
        <f>(AU85*KFC!$B$22+KFC!$C$22)*KFC!$C$5</f>
        <v>194.25280848404043</v>
      </c>
      <c r="W85" s="690">
        <f>(AV85*KFC!$B$22+KFC!$C$22)*KFC!$C$5</f>
        <v>200.57166779443278</v>
      </c>
      <c r="X85" s="690">
        <f>(AW85*KFC!$B$22+KFC!$C$22)*KFC!$C$5</f>
        <v>206.89052710482517</v>
      </c>
      <c r="Y85" s="690">
        <f>(AX85*KFC!$B$22+KFC!$C$22)*KFC!$C$5</f>
        <v>213.20938641521752</v>
      </c>
      <c r="Z85" s="690">
        <f>(AY85*KFC!$B$22+KFC!$C$22)*KFC!$C$5</f>
        <v>219.52824572561013</v>
      </c>
      <c r="AB85" s="771">
        <v>74.194481586585368</v>
      </c>
      <c r="AC85" s="772">
        <v>80.513340896977752</v>
      </c>
      <c r="AD85" s="772">
        <v>86.832200207370121</v>
      </c>
      <c r="AE85" s="772">
        <v>93.151059517762491</v>
      </c>
      <c r="AF85" s="772">
        <v>99.46991882815486</v>
      </c>
      <c r="AG85" s="772">
        <v>105.78877813854723</v>
      </c>
      <c r="AH85" s="772">
        <v>112.10763744893961</v>
      </c>
      <c r="AI85" s="772">
        <v>118.42649675933198</v>
      </c>
      <c r="AJ85" s="772">
        <v>124.74535606972435</v>
      </c>
      <c r="AK85" s="772">
        <v>131.06421538011671</v>
      </c>
      <c r="AL85" s="772">
        <v>137.38307469050909</v>
      </c>
      <c r="AM85" s="772">
        <v>143.70193400090145</v>
      </c>
      <c r="AN85" s="772">
        <v>150.02079331129383</v>
      </c>
      <c r="AO85" s="772">
        <v>156.33965262168618</v>
      </c>
      <c r="AP85" s="772">
        <v>162.65851193207857</v>
      </c>
      <c r="AQ85" s="772">
        <v>168.97737124247095</v>
      </c>
      <c r="AR85" s="772">
        <v>175.29623055286331</v>
      </c>
      <c r="AS85" s="772">
        <v>181.61508986325569</v>
      </c>
      <c r="AT85" s="772">
        <v>187.93394917364805</v>
      </c>
      <c r="AU85" s="772">
        <v>194.25280848404043</v>
      </c>
      <c r="AV85" s="772">
        <v>200.57166779443278</v>
      </c>
      <c r="AW85" s="772">
        <v>206.89052710482517</v>
      </c>
      <c r="AX85" s="772">
        <v>213.20938641521752</v>
      </c>
      <c r="AY85" s="773">
        <v>219.52824572561013</v>
      </c>
    </row>
    <row r="86" spans="1:51" ht="13.5" customHeight="1">
      <c r="A86" s="1277"/>
      <c r="B86" s="681">
        <v>3.8</v>
      </c>
      <c r="C86" s="690">
        <f>(AB86*KFC!$B$22+KFC!$C$22)*KFC!$C$5</f>
        <v>74.707960415853663</v>
      </c>
      <c r="D86" s="690">
        <f>(AC86*KFC!$B$22+KFC!$C$22)*KFC!$C$5</f>
        <v>81.100213711081679</v>
      </c>
      <c r="E86" s="690">
        <f>(AD86*KFC!$B$22+KFC!$C$22)*KFC!$C$5</f>
        <v>87.492467006309695</v>
      </c>
      <c r="F86" s="690">
        <f>(AE86*KFC!$B$22+KFC!$C$22)*KFC!$C$5</f>
        <v>93.884720301537698</v>
      </c>
      <c r="G86" s="690">
        <f>(AF86*KFC!$B$22+KFC!$C$22)*KFC!$C$5</f>
        <v>100.27697359676571</v>
      </c>
      <c r="H86" s="690">
        <f>(AG86*KFC!$B$22+KFC!$C$22)*KFC!$C$5</f>
        <v>106.66922689199372</v>
      </c>
      <c r="I86" s="690">
        <f>(AH86*KFC!$B$22+KFC!$C$22)*KFC!$C$5</f>
        <v>113.06148018722173</v>
      </c>
      <c r="J86" s="690">
        <f>(AI86*KFC!$B$22+KFC!$C$22)*KFC!$C$5</f>
        <v>119.45373348244973</v>
      </c>
      <c r="K86" s="690">
        <f>(AJ86*KFC!$B$22+KFC!$C$22)*KFC!$C$5</f>
        <v>125.84598677767775</v>
      </c>
      <c r="L86" s="690">
        <f>(AK86*KFC!$B$22+KFC!$C$22)*KFC!$C$5</f>
        <v>132.23824007290574</v>
      </c>
      <c r="M86" s="690">
        <f>(AL86*KFC!$B$22+KFC!$C$22)*KFC!$C$5</f>
        <v>138.63049336813376</v>
      </c>
      <c r="N86" s="690">
        <f>(AM86*KFC!$B$22+KFC!$C$22)*KFC!$C$5</f>
        <v>145.02274666336177</v>
      </c>
      <c r="O86" s="690">
        <f>(AN86*KFC!$B$22+KFC!$C$22)*KFC!$C$5</f>
        <v>151.41499995858979</v>
      </c>
      <c r="P86" s="690">
        <f>(AO86*KFC!$B$22+KFC!$C$22)*KFC!$C$5</f>
        <v>157.80725325381778</v>
      </c>
      <c r="Q86" s="690">
        <f>(AP86*KFC!$B$22+KFC!$C$22)*KFC!$C$5</f>
        <v>164.19950654904579</v>
      </c>
      <c r="R86" s="690">
        <f>(AQ86*KFC!$B$22+KFC!$C$22)*KFC!$C$5</f>
        <v>170.59175984427381</v>
      </c>
      <c r="S86" s="690">
        <f>(AR86*KFC!$B$22+KFC!$C$22)*KFC!$C$5</f>
        <v>176.98401313950183</v>
      </c>
      <c r="T86" s="690">
        <f>(AS86*KFC!$B$22+KFC!$C$22)*KFC!$C$5</f>
        <v>183.37626643472987</v>
      </c>
      <c r="U86" s="690">
        <f>(AT86*KFC!$B$22+KFC!$C$22)*KFC!$C$5</f>
        <v>189.76851972995789</v>
      </c>
      <c r="V86" s="690">
        <f>(AU86*KFC!$B$22+KFC!$C$22)*KFC!$C$5</f>
        <v>196.1607730251859</v>
      </c>
      <c r="W86" s="690">
        <f>(AV86*KFC!$B$22+KFC!$C$22)*KFC!$C$5</f>
        <v>202.55302632041395</v>
      </c>
      <c r="X86" s="690">
        <f>(AW86*KFC!$B$22+KFC!$C$22)*KFC!$C$5</f>
        <v>208.94527961564197</v>
      </c>
      <c r="Y86" s="690">
        <f>(AX86*KFC!$B$22+KFC!$C$22)*KFC!$C$5</f>
        <v>215.33753291086998</v>
      </c>
      <c r="Z86" s="690">
        <f>(AY86*KFC!$B$22+KFC!$C$22)*KFC!$C$5</f>
        <v>221.72978620609794</v>
      </c>
      <c r="AB86" s="771">
        <v>74.707960415853663</v>
      </c>
      <c r="AC86" s="772">
        <v>81.100213711081679</v>
      </c>
      <c r="AD86" s="772">
        <v>87.492467006309695</v>
      </c>
      <c r="AE86" s="772">
        <v>93.884720301537698</v>
      </c>
      <c r="AF86" s="772">
        <v>100.27697359676571</v>
      </c>
      <c r="AG86" s="772">
        <v>106.66922689199372</v>
      </c>
      <c r="AH86" s="772">
        <v>113.06148018722173</v>
      </c>
      <c r="AI86" s="772">
        <v>119.45373348244973</v>
      </c>
      <c r="AJ86" s="772">
        <v>125.84598677767775</v>
      </c>
      <c r="AK86" s="772">
        <v>132.23824007290574</v>
      </c>
      <c r="AL86" s="772">
        <v>138.63049336813376</v>
      </c>
      <c r="AM86" s="772">
        <v>145.02274666336177</v>
      </c>
      <c r="AN86" s="772">
        <v>151.41499995858979</v>
      </c>
      <c r="AO86" s="772">
        <v>157.80725325381778</v>
      </c>
      <c r="AP86" s="772">
        <v>164.19950654904579</v>
      </c>
      <c r="AQ86" s="772">
        <v>170.59175984427381</v>
      </c>
      <c r="AR86" s="772">
        <v>176.98401313950183</v>
      </c>
      <c r="AS86" s="772">
        <v>183.37626643472987</v>
      </c>
      <c r="AT86" s="772">
        <v>189.76851972995789</v>
      </c>
      <c r="AU86" s="772">
        <v>196.1607730251859</v>
      </c>
      <c r="AV86" s="772">
        <v>202.55302632041395</v>
      </c>
      <c r="AW86" s="772">
        <v>208.94527961564197</v>
      </c>
      <c r="AX86" s="772">
        <v>215.33753291086998</v>
      </c>
      <c r="AY86" s="773">
        <v>221.72978620609794</v>
      </c>
    </row>
    <row r="87" spans="1:51">
      <c r="A87" s="1277"/>
      <c r="B87" s="681">
        <v>3.9</v>
      </c>
      <c r="C87" s="690">
        <f>(AB87*KFC!$B$22+KFC!$C$22)*KFC!$C$5</f>
        <v>75.221439245121957</v>
      </c>
      <c r="D87" s="690">
        <f>(AC87*KFC!$B$22+KFC!$C$22)*KFC!$C$5</f>
        <v>81.687086525185606</v>
      </c>
      <c r="E87" s="690">
        <f>(AD87*KFC!$B$22+KFC!$C$22)*KFC!$C$5</f>
        <v>88.152733805249241</v>
      </c>
      <c r="F87" s="690">
        <f>(AE87*KFC!$B$22+KFC!$C$22)*KFC!$C$5</f>
        <v>94.61838108531289</v>
      </c>
      <c r="G87" s="690">
        <f>(AF87*KFC!$B$22+KFC!$C$22)*KFC!$C$5</f>
        <v>101.08402836537654</v>
      </c>
      <c r="H87" s="690">
        <f>(AG87*KFC!$B$22+KFC!$C$22)*KFC!$C$5</f>
        <v>107.54967564544019</v>
      </c>
      <c r="I87" s="690">
        <f>(AH87*KFC!$B$22+KFC!$C$22)*KFC!$C$5</f>
        <v>114.01532292550384</v>
      </c>
      <c r="J87" s="690">
        <f>(AI87*KFC!$B$22+KFC!$C$22)*KFC!$C$5</f>
        <v>120.48097020556747</v>
      </c>
      <c r="K87" s="690">
        <f>(AJ87*KFC!$B$22+KFC!$C$22)*KFC!$C$5</f>
        <v>126.94661748563112</v>
      </c>
      <c r="L87" s="690">
        <f>(AK87*KFC!$B$22+KFC!$C$22)*KFC!$C$5</f>
        <v>133.41226476569477</v>
      </c>
      <c r="M87" s="690">
        <f>(AL87*KFC!$B$22+KFC!$C$22)*KFC!$C$5</f>
        <v>139.87791204575842</v>
      </c>
      <c r="N87" s="690">
        <f>(AM87*KFC!$B$22+KFC!$C$22)*KFC!$C$5</f>
        <v>146.34355932582207</v>
      </c>
      <c r="O87" s="690">
        <f>(AN87*KFC!$B$22+KFC!$C$22)*KFC!$C$5</f>
        <v>152.80920660588572</v>
      </c>
      <c r="P87" s="690">
        <f>(AO87*KFC!$B$22+KFC!$C$22)*KFC!$C$5</f>
        <v>159.27485388594937</v>
      </c>
      <c r="Q87" s="690">
        <f>(AP87*KFC!$B$22+KFC!$C$22)*KFC!$C$5</f>
        <v>165.74050116601302</v>
      </c>
      <c r="R87" s="690">
        <f>(AQ87*KFC!$B$22+KFC!$C$22)*KFC!$C$5</f>
        <v>172.20614844607664</v>
      </c>
      <c r="S87" s="690">
        <f>(AR87*KFC!$B$22+KFC!$C$22)*KFC!$C$5</f>
        <v>178.67179572614029</v>
      </c>
      <c r="T87" s="690">
        <f>(AS87*KFC!$B$22+KFC!$C$22)*KFC!$C$5</f>
        <v>185.13744300620394</v>
      </c>
      <c r="U87" s="690">
        <f>(AT87*KFC!$B$22+KFC!$C$22)*KFC!$C$5</f>
        <v>191.60309028626756</v>
      </c>
      <c r="V87" s="690">
        <f>(AU87*KFC!$B$22+KFC!$C$22)*KFC!$C$5</f>
        <v>198.06873756633121</v>
      </c>
      <c r="W87" s="690">
        <f>(AV87*KFC!$B$22+KFC!$C$22)*KFC!$C$5</f>
        <v>204.53438484639486</v>
      </c>
      <c r="X87" s="690">
        <f>(AW87*KFC!$B$22+KFC!$C$22)*KFC!$C$5</f>
        <v>211.00003212645851</v>
      </c>
      <c r="Y87" s="690">
        <f>(AX87*KFC!$B$22+KFC!$C$22)*KFC!$C$5</f>
        <v>217.46567940652216</v>
      </c>
      <c r="Z87" s="690">
        <f>(AY87*KFC!$B$22+KFC!$C$22)*KFC!$C$5</f>
        <v>223.93132668658578</v>
      </c>
      <c r="AB87" s="771">
        <v>75.221439245121957</v>
      </c>
      <c r="AC87" s="772">
        <v>81.687086525185606</v>
      </c>
      <c r="AD87" s="772">
        <v>88.152733805249241</v>
      </c>
      <c r="AE87" s="772">
        <v>94.61838108531289</v>
      </c>
      <c r="AF87" s="772">
        <v>101.08402836537654</v>
      </c>
      <c r="AG87" s="772">
        <v>107.54967564544019</v>
      </c>
      <c r="AH87" s="772">
        <v>114.01532292550384</v>
      </c>
      <c r="AI87" s="772">
        <v>120.48097020556747</v>
      </c>
      <c r="AJ87" s="772">
        <v>126.94661748563112</v>
      </c>
      <c r="AK87" s="772">
        <v>133.41226476569477</v>
      </c>
      <c r="AL87" s="772">
        <v>139.87791204575842</v>
      </c>
      <c r="AM87" s="772">
        <v>146.34355932582207</v>
      </c>
      <c r="AN87" s="772">
        <v>152.80920660588572</v>
      </c>
      <c r="AO87" s="772">
        <v>159.27485388594937</v>
      </c>
      <c r="AP87" s="772">
        <v>165.74050116601302</v>
      </c>
      <c r="AQ87" s="772">
        <v>172.20614844607664</v>
      </c>
      <c r="AR87" s="772">
        <v>178.67179572614029</v>
      </c>
      <c r="AS87" s="772">
        <v>185.13744300620394</v>
      </c>
      <c r="AT87" s="772">
        <v>191.60309028626756</v>
      </c>
      <c r="AU87" s="772">
        <v>198.06873756633121</v>
      </c>
      <c r="AV87" s="772">
        <v>204.53438484639486</v>
      </c>
      <c r="AW87" s="772">
        <v>211.00003212645851</v>
      </c>
      <c r="AX87" s="772">
        <v>217.46567940652216</v>
      </c>
      <c r="AY87" s="773">
        <v>223.93132668658578</v>
      </c>
    </row>
    <row r="88" spans="1:51" ht="12.75" customHeight="1">
      <c r="A88" s="1277"/>
      <c r="B88" s="681">
        <v>4</v>
      </c>
      <c r="C88" s="690">
        <f>(AB88*KFC!$B$22+KFC!$C$22)*KFC!$C$5</f>
        <v>75.734918074390251</v>
      </c>
      <c r="D88" s="690">
        <f>(AC88*KFC!$B$22+KFC!$C$22)*KFC!$C$5</f>
        <v>82.273959339289533</v>
      </c>
      <c r="E88" s="690">
        <f>(AD88*KFC!$B$22+KFC!$C$22)*KFC!$C$5</f>
        <v>88.813000604188815</v>
      </c>
      <c r="F88" s="690">
        <f>(AE88*KFC!$B$22+KFC!$C$22)*KFC!$C$5</f>
        <v>95.352041869088083</v>
      </c>
      <c r="G88" s="690">
        <f>(AF88*KFC!$B$22+KFC!$C$22)*KFC!$C$5</f>
        <v>101.89108313398735</v>
      </c>
      <c r="H88" s="690">
        <f>(AG88*KFC!$B$22+KFC!$C$22)*KFC!$C$5</f>
        <v>108.43012439888662</v>
      </c>
      <c r="I88" s="690">
        <f>(AH88*KFC!$B$22+KFC!$C$22)*KFC!$C$5</f>
        <v>114.96916566378587</v>
      </c>
      <c r="J88" s="690">
        <f>(AI88*KFC!$B$22+KFC!$C$22)*KFC!$C$5</f>
        <v>121.50820692868514</v>
      </c>
      <c r="K88" s="690">
        <f>(AJ88*KFC!$B$22+KFC!$C$22)*KFC!$C$5</f>
        <v>128.04724819358441</v>
      </c>
      <c r="L88" s="690">
        <f>(AK88*KFC!$B$22+KFC!$C$22)*KFC!$C$5</f>
        <v>134.58628945848369</v>
      </c>
      <c r="M88" s="690">
        <f>(AL88*KFC!$B$22+KFC!$C$22)*KFC!$C$5</f>
        <v>141.12533072338294</v>
      </c>
      <c r="N88" s="690">
        <f>(AM88*KFC!$B$22+KFC!$C$22)*KFC!$C$5</f>
        <v>147.6643719882822</v>
      </c>
      <c r="O88" s="690">
        <f>(AN88*KFC!$B$22+KFC!$C$22)*KFC!$C$5</f>
        <v>154.20341325318148</v>
      </c>
      <c r="P88" s="690">
        <f>(AO88*KFC!$B$22+KFC!$C$22)*KFC!$C$5</f>
        <v>160.74245451808073</v>
      </c>
      <c r="Q88" s="690">
        <f>(AP88*KFC!$B$22+KFC!$C$22)*KFC!$C$5</f>
        <v>167.28149578298002</v>
      </c>
      <c r="R88" s="690">
        <f>(AQ88*KFC!$B$22+KFC!$C$22)*KFC!$C$5</f>
        <v>173.82053704787927</v>
      </c>
      <c r="S88" s="690">
        <f>(AR88*KFC!$B$22+KFC!$C$22)*KFC!$C$5</f>
        <v>180.35957831277855</v>
      </c>
      <c r="T88" s="690">
        <f>(AS88*KFC!$B$22+KFC!$C$22)*KFC!$C$5</f>
        <v>186.89861957767781</v>
      </c>
      <c r="U88" s="690">
        <f>(AT88*KFC!$B$22+KFC!$C$22)*KFC!$C$5</f>
        <v>193.43766084257706</v>
      </c>
      <c r="V88" s="690">
        <f>(AU88*KFC!$B$22+KFC!$C$22)*KFC!$C$5</f>
        <v>199.97670210747634</v>
      </c>
      <c r="W88" s="690">
        <f>(AV88*KFC!$B$22+KFC!$C$22)*KFC!$C$5</f>
        <v>206.5157433723756</v>
      </c>
      <c r="X88" s="690">
        <f>(AW88*KFC!$B$22+KFC!$C$22)*KFC!$C$5</f>
        <v>213.05478463727488</v>
      </c>
      <c r="Y88" s="690">
        <f>(AX88*KFC!$B$22+KFC!$C$22)*KFC!$C$5</f>
        <v>219.59382590217413</v>
      </c>
      <c r="Z88" s="690">
        <f>(AY88*KFC!$B$22+KFC!$C$22)*KFC!$C$5</f>
        <v>226.13286716707358</v>
      </c>
      <c r="AB88" s="771">
        <v>75.734918074390251</v>
      </c>
      <c r="AC88" s="772">
        <v>82.273959339289533</v>
      </c>
      <c r="AD88" s="772">
        <v>88.813000604188815</v>
      </c>
      <c r="AE88" s="772">
        <v>95.352041869088083</v>
      </c>
      <c r="AF88" s="772">
        <v>101.89108313398735</v>
      </c>
      <c r="AG88" s="772">
        <v>108.43012439888662</v>
      </c>
      <c r="AH88" s="772">
        <v>114.96916566378587</v>
      </c>
      <c r="AI88" s="772">
        <v>121.50820692868514</v>
      </c>
      <c r="AJ88" s="772">
        <v>128.04724819358441</v>
      </c>
      <c r="AK88" s="772">
        <v>134.58628945848369</v>
      </c>
      <c r="AL88" s="772">
        <v>141.12533072338294</v>
      </c>
      <c r="AM88" s="772">
        <v>147.6643719882822</v>
      </c>
      <c r="AN88" s="772">
        <v>154.20341325318148</v>
      </c>
      <c r="AO88" s="772">
        <v>160.74245451808073</v>
      </c>
      <c r="AP88" s="772">
        <v>167.28149578298002</v>
      </c>
      <c r="AQ88" s="772">
        <v>173.82053704787927</v>
      </c>
      <c r="AR88" s="772">
        <v>180.35957831277855</v>
      </c>
      <c r="AS88" s="772">
        <v>186.89861957767781</v>
      </c>
      <c r="AT88" s="772">
        <v>193.43766084257706</v>
      </c>
      <c r="AU88" s="772">
        <v>199.97670210747634</v>
      </c>
      <c r="AV88" s="772">
        <v>206.5157433723756</v>
      </c>
      <c r="AW88" s="772">
        <v>213.05478463727488</v>
      </c>
      <c r="AX88" s="772">
        <v>219.59382590217413</v>
      </c>
      <c r="AY88" s="773">
        <v>226.13286716707358</v>
      </c>
    </row>
    <row r="89" spans="1:51">
      <c r="A89" s="1277"/>
      <c r="B89" s="681">
        <v>4.0999999999999996</v>
      </c>
      <c r="C89" s="690">
        <f>(AB89*KFC!$B$22+KFC!$C$22)*KFC!$C$5</f>
        <v>76.248396903658545</v>
      </c>
      <c r="D89" s="690">
        <f>(AC89*KFC!$B$22+KFC!$C$22)*KFC!$C$5</f>
        <v>82.860832153393446</v>
      </c>
      <c r="E89" s="690">
        <f>(AD89*KFC!$B$22+KFC!$C$22)*KFC!$C$5</f>
        <v>89.473267403128361</v>
      </c>
      <c r="F89" s="690">
        <f>(AE89*KFC!$B$22+KFC!$C$22)*KFC!$C$5</f>
        <v>96.085702652863276</v>
      </c>
      <c r="G89" s="690">
        <f>(AF89*KFC!$B$22+KFC!$C$22)*KFC!$C$5</f>
        <v>102.69813790259818</v>
      </c>
      <c r="H89" s="690">
        <f>(AG89*KFC!$B$22+KFC!$C$22)*KFC!$C$5</f>
        <v>109.31057315233308</v>
      </c>
      <c r="I89" s="690">
        <f>(AH89*KFC!$B$22+KFC!$C$22)*KFC!$C$5</f>
        <v>115.92300840206798</v>
      </c>
      <c r="J89" s="690">
        <f>(AI89*KFC!$B$22+KFC!$C$22)*KFC!$C$5</f>
        <v>122.53544365180289</v>
      </c>
      <c r="K89" s="690">
        <f>(AJ89*KFC!$B$22+KFC!$C$22)*KFC!$C$5</f>
        <v>129.14787890153778</v>
      </c>
      <c r="L89" s="690">
        <f>(AK89*KFC!$B$22+KFC!$C$22)*KFC!$C$5</f>
        <v>135.76031415127269</v>
      </c>
      <c r="M89" s="690">
        <f>(AL89*KFC!$B$22+KFC!$C$22)*KFC!$C$5</f>
        <v>142.37274940100761</v>
      </c>
      <c r="N89" s="690">
        <f>(AM89*KFC!$B$22+KFC!$C$22)*KFC!$C$5</f>
        <v>148.9851846507425</v>
      </c>
      <c r="O89" s="690">
        <f>(AN89*KFC!$B$22+KFC!$C$22)*KFC!$C$5</f>
        <v>155.59761990047741</v>
      </c>
      <c r="P89" s="690">
        <f>(AO89*KFC!$B$22+KFC!$C$22)*KFC!$C$5</f>
        <v>162.21005515021233</v>
      </c>
      <c r="Q89" s="690">
        <f>(AP89*KFC!$B$22+KFC!$C$22)*KFC!$C$5</f>
        <v>168.82249039994721</v>
      </c>
      <c r="R89" s="690">
        <f>(AQ89*KFC!$B$22+KFC!$C$22)*KFC!$C$5</f>
        <v>175.43492564968213</v>
      </c>
      <c r="S89" s="690">
        <f>(AR89*KFC!$B$22+KFC!$C$22)*KFC!$C$5</f>
        <v>182.04736089941707</v>
      </c>
      <c r="T89" s="690">
        <f>(AS89*KFC!$B$22+KFC!$C$22)*KFC!$C$5</f>
        <v>188.65979614915199</v>
      </c>
      <c r="U89" s="690">
        <f>(AT89*KFC!$B$22+KFC!$C$22)*KFC!$C$5</f>
        <v>195.2722313988869</v>
      </c>
      <c r="V89" s="690">
        <f>(AU89*KFC!$B$22+KFC!$C$22)*KFC!$C$5</f>
        <v>201.88466664862185</v>
      </c>
      <c r="W89" s="690">
        <f>(AV89*KFC!$B$22+KFC!$C$22)*KFC!$C$5</f>
        <v>208.49710189835676</v>
      </c>
      <c r="X89" s="690">
        <f>(AW89*KFC!$B$22+KFC!$C$22)*KFC!$C$5</f>
        <v>215.10953714809168</v>
      </c>
      <c r="Y89" s="690">
        <f>(AX89*KFC!$B$22+KFC!$C$22)*KFC!$C$5</f>
        <v>221.72197239782659</v>
      </c>
      <c r="Z89" s="690">
        <f>(AY89*KFC!$B$22+KFC!$C$22)*KFC!$C$5</f>
        <v>228.33440764756142</v>
      </c>
      <c r="AB89" s="771">
        <v>76.248396903658545</v>
      </c>
      <c r="AC89" s="772">
        <v>82.860832153393446</v>
      </c>
      <c r="AD89" s="772">
        <v>89.473267403128361</v>
      </c>
      <c r="AE89" s="772">
        <v>96.085702652863276</v>
      </c>
      <c r="AF89" s="772">
        <v>102.69813790259818</v>
      </c>
      <c r="AG89" s="772">
        <v>109.31057315233308</v>
      </c>
      <c r="AH89" s="772">
        <v>115.92300840206798</v>
      </c>
      <c r="AI89" s="772">
        <v>122.53544365180289</v>
      </c>
      <c r="AJ89" s="772">
        <v>129.14787890153778</v>
      </c>
      <c r="AK89" s="772">
        <v>135.76031415127269</v>
      </c>
      <c r="AL89" s="772">
        <v>142.37274940100761</v>
      </c>
      <c r="AM89" s="772">
        <v>148.9851846507425</v>
      </c>
      <c r="AN89" s="772">
        <v>155.59761990047741</v>
      </c>
      <c r="AO89" s="772">
        <v>162.21005515021233</v>
      </c>
      <c r="AP89" s="772">
        <v>168.82249039994721</v>
      </c>
      <c r="AQ89" s="772">
        <v>175.43492564968213</v>
      </c>
      <c r="AR89" s="772">
        <v>182.04736089941707</v>
      </c>
      <c r="AS89" s="772">
        <v>188.65979614915199</v>
      </c>
      <c r="AT89" s="772">
        <v>195.2722313988869</v>
      </c>
      <c r="AU89" s="772">
        <v>201.88466664862185</v>
      </c>
      <c r="AV89" s="772">
        <v>208.49710189835676</v>
      </c>
      <c r="AW89" s="772">
        <v>215.10953714809168</v>
      </c>
      <c r="AX89" s="772">
        <v>221.72197239782659</v>
      </c>
      <c r="AY89" s="773">
        <v>228.33440764756142</v>
      </c>
    </row>
    <row r="90" spans="1:51">
      <c r="A90" s="1277"/>
      <c r="B90" s="681">
        <v>4.2</v>
      </c>
      <c r="C90" s="690">
        <f>(AB90*KFC!$B$22+KFC!$C$22)*KFC!$C$5</f>
        <v>76.761875732926839</v>
      </c>
      <c r="D90" s="690">
        <f>(AC90*KFC!$B$22+KFC!$C$22)*KFC!$C$5</f>
        <v>83.447704967497387</v>
      </c>
      <c r="E90" s="690">
        <f>(AD90*KFC!$B$22+KFC!$C$22)*KFC!$C$5</f>
        <v>90.133534202067921</v>
      </c>
      <c r="F90" s="690">
        <f>(AE90*KFC!$B$22+KFC!$C$22)*KFC!$C$5</f>
        <v>96.819363436638454</v>
      </c>
      <c r="G90" s="690">
        <f>(AF90*KFC!$B$22+KFC!$C$22)*KFC!$C$5</f>
        <v>103.505192671209</v>
      </c>
      <c r="H90" s="690">
        <f>(AG90*KFC!$B$22+KFC!$C$22)*KFC!$C$5</f>
        <v>110.19102190577955</v>
      </c>
      <c r="I90" s="690">
        <f>(AH90*KFC!$B$22+KFC!$C$22)*KFC!$C$5</f>
        <v>116.87685114035008</v>
      </c>
      <c r="J90" s="690">
        <f>(AI90*KFC!$B$22+KFC!$C$22)*KFC!$C$5</f>
        <v>123.56268037492063</v>
      </c>
      <c r="K90" s="690">
        <f>(AJ90*KFC!$B$22+KFC!$C$22)*KFC!$C$5</f>
        <v>130.24850960949118</v>
      </c>
      <c r="L90" s="690">
        <f>(AK90*KFC!$B$22+KFC!$C$22)*KFC!$C$5</f>
        <v>136.93433884406173</v>
      </c>
      <c r="M90" s="690">
        <f>(AL90*KFC!$B$22+KFC!$C$22)*KFC!$C$5</f>
        <v>143.62016807863225</v>
      </c>
      <c r="N90" s="690">
        <f>(AM90*KFC!$B$22+KFC!$C$22)*KFC!$C$5</f>
        <v>150.30599731320279</v>
      </c>
      <c r="O90" s="690">
        <f>(AN90*KFC!$B$22+KFC!$C$22)*KFC!$C$5</f>
        <v>156.99182654777334</v>
      </c>
      <c r="P90" s="690">
        <f>(AO90*KFC!$B$22+KFC!$C$22)*KFC!$C$5</f>
        <v>163.67765578234389</v>
      </c>
      <c r="Q90" s="690">
        <f>(AP90*KFC!$B$22+KFC!$C$22)*KFC!$C$5</f>
        <v>170.36348501691444</v>
      </c>
      <c r="R90" s="690">
        <f>(AQ90*KFC!$B$22+KFC!$C$22)*KFC!$C$5</f>
        <v>177.04931425148496</v>
      </c>
      <c r="S90" s="690">
        <f>(AR90*KFC!$B$22+KFC!$C$22)*KFC!$C$5</f>
        <v>183.73514348605551</v>
      </c>
      <c r="T90" s="690">
        <f>(AS90*KFC!$B$22+KFC!$C$22)*KFC!$C$5</f>
        <v>190.42097272062605</v>
      </c>
      <c r="U90" s="690">
        <f>(AT90*KFC!$B$22+KFC!$C$22)*KFC!$C$5</f>
        <v>197.1068019551966</v>
      </c>
      <c r="V90" s="690">
        <f>(AU90*KFC!$B$22+KFC!$C$22)*KFC!$C$5</f>
        <v>203.79263118976715</v>
      </c>
      <c r="W90" s="690">
        <f>(AV90*KFC!$B$22+KFC!$C$22)*KFC!$C$5</f>
        <v>210.47846042433767</v>
      </c>
      <c r="X90" s="690">
        <f>(AW90*KFC!$B$22+KFC!$C$22)*KFC!$C$5</f>
        <v>217.16428965890822</v>
      </c>
      <c r="Y90" s="690">
        <f>(AX90*KFC!$B$22+KFC!$C$22)*KFC!$C$5</f>
        <v>223.85011889347876</v>
      </c>
      <c r="Z90" s="690">
        <f>(AY90*KFC!$B$22+KFC!$C$22)*KFC!$C$5</f>
        <v>230.53594812804923</v>
      </c>
      <c r="AB90" s="771">
        <v>76.761875732926839</v>
      </c>
      <c r="AC90" s="772">
        <v>83.447704967497387</v>
      </c>
      <c r="AD90" s="772">
        <v>90.133534202067921</v>
      </c>
      <c r="AE90" s="772">
        <v>96.819363436638454</v>
      </c>
      <c r="AF90" s="772">
        <v>103.505192671209</v>
      </c>
      <c r="AG90" s="772">
        <v>110.19102190577955</v>
      </c>
      <c r="AH90" s="772">
        <v>116.87685114035008</v>
      </c>
      <c r="AI90" s="772">
        <v>123.56268037492063</v>
      </c>
      <c r="AJ90" s="772">
        <v>130.24850960949118</v>
      </c>
      <c r="AK90" s="772">
        <v>136.93433884406173</v>
      </c>
      <c r="AL90" s="772">
        <v>143.62016807863225</v>
      </c>
      <c r="AM90" s="772">
        <v>150.30599731320279</v>
      </c>
      <c r="AN90" s="772">
        <v>156.99182654777334</v>
      </c>
      <c r="AO90" s="772">
        <v>163.67765578234389</v>
      </c>
      <c r="AP90" s="772">
        <v>170.36348501691444</v>
      </c>
      <c r="AQ90" s="772">
        <v>177.04931425148496</v>
      </c>
      <c r="AR90" s="772">
        <v>183.73514348605551</v>
      </c>
      <c r="AS90" s="772">
        <v>190.42097272062605</v>
      </c>
      <c r="AT90" s="772">
        <v>197.1068019551966</v>
      </c>
      <c r="AU90" s="772">
        <v>203.79263118976715</v>
      </c>
      <c r="AV90" s="772">
        <v>210.47846042433767</v>
      </c>
      <c r="AW90" s="772">
        <v>217.16428965890822</v>
      </c>
      <c r="AX90" s="772">
        <v>223.85011889347876</v>
      </c>
      <c r="AY90" s="773">
        <v>230.53594812804923</v>
      </c>
    </row>
    <row r="91" spans="1:51">
      <c r="A91" s="1277"/>
      <c r="B91" s="681">
        <v>4.3</v>
      </c>
      <c r="C91" s="690">
        <f>(AB91*KFC!$B$22+KFC!$C$22)*KFC!$C$5</f>
        <v>77.275354562195133</v>
      </c>
      <c r="D91" s="690">
        <f>(AC91*KFC!$B$22+KFC!$C$22)*KFC!$C$5</f>
        <v>84.0345777816013</v>
      </c>
      <c r="E91" s="690">
        <f>(AD91*KFC!$B$22+KFC!$C$22)*KFC!$C$5</f>
        <v>90.793801001007466</v>
      </c>
      <c r="F91" s="690">
        <f>(AE91*KFC!$B$22+KFC!$C$22)*KFC!$C$5</f>
        <v>97.553024220413633</v>
      </c>
      <c r="G91" s="690">
        <f>(AF91*KFC!$B$22+KFC!$C$22)*KFC!$C$5</f>
        <v>104.31224743981979</v>
      </c>
      <c r="H91" s="690">
        <f>(AG91*KFC!$B$22+KFC!$C$22)*KFC!$C$5</f>
        <v>111.07147065922595</v>
      </c>
      <c r="I91" s="690">
        <f>(AH91*KFC!$B$22+KFC!$C$22)*KFC!$C$5</f>
        <v>117.83069387863212</v>
      </c>
      <c r="J91" s="690">
        <f>(AI91*KFC!$B$22+KFC!$C$22)*KFC!$C$5</f>
        <v>124.58991709803827</v>
      </c>
      <c r="K91" s="690">
        <f>(AJ91*KFC!$B$22+KFC!$C$22)*KFC!$C$5</f>
        <v>131.34914031744444</v>
      </c>
      <c r="L91" s="690">
        <f>(AK91*KFC!$B$22+KFC!$C$22)*KFC!$C$5</f>
        <v>138.10836353685059</v>
      </c>
      <c r="M91" s="690">
        <f>(AL91*KFC!$B$22+KFC!$C$22)*KFC!$C$5</f>
        <v>144.86758675625677</v>
      </c>
      <c r="N91" s="690">
        <f>(AM91*KFC!$B$22+KFC!$C$22)*KFC!$C$5</f>
        <v>151.62680997566292</v>
      </c>
      <c r="O91" s="690">
        <f>(AN91*KFC!$B$22+KFC!$C$22)*KFC!$C$5</f>
        <v>158.38603319506907</v>
      </c>
      <c r="P91" s="690">
        <f>(AO91*KFC!$B$22+KFC!$C$22)*KFC!$C$5</f>
        <v>165.14525641447526</v>
      </c>
      <c r="Q91" s="690">
        <f>(AP91*KFC!$B$22+KFC!$C$22)*KFC!$C$5</f>
        <v>171.90447963388141</v>
      </c>
      <c r="R91" s="690">
        <f>(AQ91*KFC!$B$22+KFC!$C$22)*KFC!$C$5</f>
        <v>178.66370285328756</v>
      </c>
      <c r="S91" s="690">
        <f>(AR91*KFC!$B$22+KFC!$C$22)*KFC!$C$5</f>
        <v>185.42292607269374</v>
      </c>
      <c r="T91" s="690">
        <f>(AS91*KFC!$B$22+KFC!$C$22)*KFC!$C$5</f>
        <v>192.18214929209989</v>
      </c>
      <c r="U91" s="690">
        <f>(AT91*KFC!$B$22+KFC!$C$22)*KFC!$C$5</f>
        <v>198.94137251150605</v>
      </c>
      <c r="V91" s="690">
        <f>(AU91*KFC!$B$22+KFC!$C$22)*KFC!$C$5</f>
        <v>205.70059573091223</v>
      </c>
      <c r="W91" s="690">
        <f>(AV91*KFC!$B$22+KFC!$C$22)*KFC!$C$5</f>
        <v>212.45981895031838</v>
      </c>
      <c r="X91" s="690">
        <f>(AW91*KFC!$B$22+KFC!$C$22)*KFC!$C$5</f>
        <v>219.21904216972453</v>
      </c>
      <c r="Y91" s="690">
        <f>(AX91*KFC!$B$22+KFC!$C$22)*KFC!$C$5</f>
        <v>225.97826538913071</v>
      </c>
      <c r="Z91" s="690">
        <f>(AY91*KFC!$B$22+KFC!$C$22)*KFC!$C$5</f>
        <v>232.73748860853706</v>
      </c>
      <c r="AB91" s="771">
        <v>77.275354562195133</v>
      </c>
      <c r="AC91" s="772">
        <v>84.0345777816013</v>
      </c>
      <c r="AD91" s="772">
        <v>90.793801001007466</v>
      </c>
      <c r="AE91" s="772">
        <v>97.553024220413633</v>
      </c>
      <c r="AF91" s="772">
        <v>104.31224743981979</v>
      </c>
      <c r="AG91" s="772">
        <v>111.07147065922595</v>
      </c>
      <c r="AH91" s="772">
        <v>117.83069387863212</v>
      </c>
      <c r="AI91" s="772">
        <v>124.58991709803827</v>
      </c>
      <c r="AJ91" s="772">
        <v>131.34914031744444</v>
      </c>
      <c r="AK91" s="772">
        <v>138.10836353685059</v>
      </c>
      <c r="AL91" s="772">
        <v>144.86758675625677</v>
      </c>
      <c r="AM91" s="772">
        <v>151.62680997566292</v>
      </c>
      <c r="AN91" s="772">
        <v>158.38603319506907</v>
      </c>
      <c r="AO91" s="772">
        <v>165.14525641447526</v>
      </c>
      <c r="AP91" s="772">
        <v>171.90447963388141</v>
      </c>
      <c r="AQ91" s="772">
        <v>178.66370285328756</v>
      </c>
      <c r="AR91" s="772">
        <v>185.42292607269374</v>
      </c>
      <c r="AS91" s="772">
        <v>192.18214929209989</v>
      </c>
      <c r="AT91" s="772">
        <v>198.94137251150605</v>
      </c>
      <c r="AU91" s="772">
        <v>205.70059573091223</v>
      </c>
      <c r="AV91" s="772">
        <v>212.45981895031838</v>
      </c>
      <c r="AW91" s="772">
        <v>219.21904216972453</v>
      </c>
      <c r="AX91" s="772">
        <v>225.97826538913071</v>
      </c>
      <c r="AY91" s="773">
        <v>232.73748860853706</v>
      </c>
    </row>
    <row r="92" spans="1:51">
      <c r="A92" s="1277"/>
      <c r="B92" s="681">
        <v>4.4000000000000004</v>
      </c>
      <c r="C92" s="690">
        <f>(AB92*KFC!$B$22+KFC!$C$22)*KFC!$C$5</f>
        <v>77.788833391463427</v>
      </c>
      <c r="D92" s="690">
        <f>(AC92*KFC!$B$22+KFC!$C$22)*KFC!$C$5</f>
        <v>84.621450595705241</v>
      </c>
      <c r="E92" s="690">
        <f>(AD92*KFC!$B$22+KFC!$C$22)*KFC!$C$5</f>
        <v>91.45406779994704</v>
      </c>
      <c r="F92" s="690">
        <f>(AE92*KFC!$B$22+KFC!$C$22)*KFC!$C$5</f>
        <v>98.28668500418884</v>
      </c>
      <c r="G92" s="690">
        <f>(AF92*KFC!$B$22+KFC!$C$22)*KFC!$C$5</f>
        <v>105.11930220843064</v>
      </c>
      <c r="H92" s="690">
        <f>(AG92*KFC!$B$22+KFC!$C$22)*KFC!$C$5</f>
        <v>111.95191941267244</v>
      </c>
      <c r="I92" s="690">
        <f>(AH92*KFC!$B$22+KFC!$C$22)*KFC!$C$5</f>
        <v>118.78453661691424</v>
      </c>
      <c r="J92" s="690">
        <f>(AI92*KFC!$B$22+KFC!$C$22)*KFC!$C$5</f>
        <v>125.61715382115604</v>
      </c>
      <c r="K92" s="690">
        <f>(AJ92*KFC!$B$22+KFC!$C$22)*KFC!$C$5</f>
        <v>132.44977102539784</v>
      </c>
      <c r="L92" s="690">
        <f>(AK92*KFC!$B$22+KFC!$C$22)*KFC!$C$5</f>
        <v>139.28238822963965</v>
      </c>
      <c r="M92" s="690">
        <f>(AL92*KFC!$B$22+KFC!$C$22)*KFC!$C$5</f>
        <v>146.11500543388144</v>
      </c>
      <c r="N92" s="690">
        <f>(AM92*KFC!$B$22+KFC!$C$22)*KFC!$C$5</f>
        <v>152.94762263812325</v>
      </c>
      <c r="O92" s="690">
        <f>(AN92*KFC!$B$22+KFC!$C$22)*KFC!$C$5</f>
        <v>159.78023984236503</v>
      </c>
      <c r="P92" s="690">
        <f>(AO92*KFC!$B$22+KFC!$C$22)*KFC!$C$5</f>
        <v>166.61285704660685</v>
      </c>
      <c r="Q92" s="690">
        <f>(AP92*KFC!$B$22+KFC!$C$22)*KFC!$C$5</f>
        <v>173.44547425084866</v>
      </c>
      <c r="R92" s="690">
        <f>(AQ92*KFC!$B$22+KFC!$C$22)*KFC!$C$5</f>
        <v>180.27809145509048</v>
      </c>
      <c r="S92" s="690">
        <f>(AR92*KFC!$B$22+KFC!$C$22)*KFC!$C$5</f>
        <v>187.11070865933229</v>
      </c>
      <c r="T92" s="690">
        <f>(AS92*KFC!$B$22+KFC!$C$22)*KFC!$C$5</f>
        <v>193.9433258635741</v>
      </c>
      <c r="U92" s="690">
        <f>(AT92*KFC!$B$22+KFC!$C$22)*KFC!$C$5</f>
        <v>200.77594306781594</v>
      </c>
      <c r="V92" s="690">
        <f>(AU92*KFC!$B$22+KFC!$C$22)*KFC!$C$5</f>
        <v>207.60856027205776</v>
      </c>
      <c r="W92" s="690">
        <f>(AV92*KFC!$B$22+KFC!$C$22)*KFC!$C$5</f>
        <v>214.44117747629957</v>
      </c>
      <c r="X92" s="690">
        <f>(AW92*KFC!$B$22+KFC!$C$22)*KFC!$C$5</f>
        <v>221.27379468054139</v>
      </c>
      <c r="Y92" s="690">
        <f>(AX92*KFC!$B$22+KFC!$C$22)*KFC!$C$5</f>
        <v>228.1064118847832</v>
      </c>
      <c r="Z92" s="690">
        <f>(AY92*KFC!$B$22+KFC!$C$22)*KFC!$C$5</f>
        <v>234.93902908902487</v>
      </c>
      <c r="AB92" s="771">
        <v>77.788833391463427</v>
      </c>
      <c r="AC92" s="772">
        <v>84.621450595705241</v>
      </c>
      <c r="AD92" s="772">
        <v>91.45406779994704</v>
      </c>
      <c r="AE92" s="772">
        <v>98.28668500418884</v>
      </c>
      <c r="AF92" s="772">
        <v>105.11930220843064</v>
      </c>
      <c r="AG92" s="772">
        <v>111.95191941267244</v>
      </c>
      <c r="AH92" s="772">
        <v>118.78453661691424</v>
      </c>
      <c r="AI92" s="772">
        <v>125.61715382115604</v>
      </c>
      <c r="AJ92" s="772">
        <v>132.44977102539784</v>
      </c>
      <c r="AK92" s="772">
        <v>139.28238822963965</v>
      </c>
      <c r="AL92" s="772">
        <v>146.11500543388144</v>
      </c>
      <c r="AM92" s="772">
        <v>152.94762263812325</v>
      </c>
      <c r="AN92" s="772">
        <v>159.78023984236503</v>
      </c>
      <c r="AO92" s="772">
        <v>166.61285704660685</v>
      </c>
      <c r="AP92" s="772">
        <v>173.44547425084866</v>
      </c>
      <c r="AQ92" s="772">
        <v>180.27809145509048</v>
      </c>
      <c r="AR92" s="772">
        <v>187.11070865933229</v>
      </c>
      <c r="AS92" s="772">
        <v>193.9433258635741</v>
      </c>
      <c r="AT92" s="772">
        <v>200.77594306781594</v>
      </c>
      <c r="AU92" s="772">
        <v>207.60856027205776</v>
      </c>
      <c r="AV92" s="772">
        <v>214.44117747629957</v>
      </c>
      <c r="AW92" s="772">
        <v>221.27379468054139</v>
      </c>
      <c r="AX92" s="772">
        <v>228.1064118847832</v>
      </c>
      <c r="AY92" s="773">
        <v>234.93902908902487</v>
      </c>
    </row>
    <row r="93" spans="1:51">
      <c r="A93" s="1277"/>
      <c r="B93" s="681">
        <v>4.5</v>
      </c>
      <c r="C93" s="690">
        <f>(AB93*KFC!$B$22+KFC!$C$22)*KFC!$C$5</f>
        <v>78.302312220731721</v>
      </c>
      <c r="D93" s="690">
        <f>(AC93*KFC!$B$22+KFC!$C$22)*KFC!$C$5</f>
        <v>85.208323409809154</v>
      </c>
      <c r="E93" s="690">
        <f>(AD93*KFC!$B$22+KFC!$C$22)*KFC!$C$5</f>
        <v>92.114334598886586</v>
      </c>
      <c r="F93" s="690">
        <f>(AE93*KFC!$B$22+KFC!$C$22)*KFC!$C$5</f>
        <v>99.020345787964033</v>
      </c>
      <c r="G93" s="690">
        <f>(AF93*KFC!$B$22+KFC!$C$22)*KFC!$C$5</f>
        <v>105.92635697704146</v>
      </c>
      <c r="H93" s="690">
        <f>(AG93*KFC!$B$22+KFC!$C$22)*KFC!$C$5</f>
        <v>112.8323681661189</v>
      </c>
      <c r="I93" s="690">
        <f>(AH93*KFC!$B$22+KFC!$C$22)*KFC!$C$5</f>
        <v>119.73837935519634</v>
      </c>
      <c r="J93" s="690">
        <f>(AI93*KFC!$B$22+KFC!$C$22)*KFC!$C$5</f>
        <v>126.64439054427378</v>
      </c>
      <c r="K93" s="690">
        <f>(AJ93*KFC!$B$22+KFC!$C$22)*KFC!$C$5</f>
        <v>133.55040173335121</v>
      </c>
      <c r="L93" s="690">
        <f>(AK93*KFC!$B$22+KFC!$C$22)*KFC!$C$5</f>
        <v>140.45641292242865</v>
      </c>
      <c r="M93" s="690">
        <f>(AL93*KFC!$B$22+KFC!$C$22)*KFC!$C$5</f>
        <v>147.3624241115061</v>
      </c>
      <c r="N93" s="690">
        <f>(AM93*KFC!$B$22+KFC!$C$22)*KFC!$C$5</f>
        <v>154.26843530058352</v>
      </c>
      <c r="O93" s="690">
        <f>(AN93*KFC!$B$22+KFC!$C$22)*KFC!$C$5</f>
        <v>161.17444648966097</v>
      </c>
      <c r="P93" s="690">
        <f>(AO93*KFC!$B$22+KFC!$C$22)*KFC!$C$5</f>
        <v>168.08045767873841</v>
      </c>
      <c r="Q93" s="690">
        <f>(AP93*KFC!$B$22+KFC!$C$22)*KFC!$C$5</f>
        <v>174.98646886781583</v>
      </c>
      <c r="R93" s="690">
        <f>(AQ93*KFC!$B$22+KFC!$C$22)*KFC!$C$5</f>
        <v>181.89248005689328</v>
      </c>
      <c r="S93" s="690">
        <f>(AR93*KFC!$B$22+KFC!$C$22)*KFC!$C$5</f>
        <v>188.79849124597069</v>
      </c>
      <c r="T93" s="690">
        <f>(AS93*KFC!$B$22+KFC!$C$22)*KFC!$C$5</f>
        <v>195.70450243504814</v>
      </c>
      <c r="U93" s="690">
        <f>(AT93*KFC!$B$22+KFC!$C$22)*KFC!$C$5</f>
        <v>202.61051362412559</v>
      </c>
      <c r="V93" s="690">
        <f>(AU93*KFC!$B$22+KFC!$C$22)*KFC!$C$5</f>
        <v>209.51652481320303</v>
      </c>
      <c r="W93" s="690">
        <f>(AV93*KFC!$B$22+KFC!$C$22)*KFC!$C$5</f>
        <v>216.42253600228045</v>
      </c>
      <c r="X93" s="690">
        <f>(AW93*KFC!$B$22+KFC!$C$22)*KFC!$C$5</f>
        <v>223.3285471913579</v>
      </c>
      <c r="Y93" s="690">
        <f>(AX93*KFC!$B$22+KFC!$C$22)*KFC!$C$5</f>
        <v>230.23455838043535</v>
      </c>
      <c r="Z93" s="690">
        <f>(AY93*KFC!$B$22+KFC!$C$22)*KFC!$C$5</f>
        <v>237.14056956951271</v>
      </c>
      <c r="AB93" s="771">
        <v>78.302312220731721</v>
      </c>
      <c r="AC93" s="772">
        <v>85.208323409809154</v>
      </c>
      <c r="AD93" s="772">
        <v>92.114334598886586</v>
      </c>
      <c r="AE93" s="772">
        <v>99.020345787964033</v>
      </c>
      <c r="AF93" s="772">
        <v>105.92635697704146</v>
      </c>
      <c r="AG93" s="772">
        <v>112.8323681661189</v>
      </c>
      <c r="AH93" s="772">
        <v>119.73837935519634</v>
      </c>
      <c r="AI93" s="772">
        <v>126.64439054427378</v>
      </c>
      <c r="AJ93" s="772">
        <v>133.55040173335121</v>
      </c>
      <c r="AK93" s="772">
        <v>140.45641292242865</v>
      </c>
      <c r="AL93" s="772">
        <v>147.3624241115061</v>
      </c>
      <c r="AM93" s="772">
        <v>154.26843530058352</v>
      </c>
      <c r="AN93" s="772">
        <v>161.17444648966097</v>
      </c>
      <c r="AO93" s="772">
        <v>168.08045767873841</v>
      </c>
      <c r="AP93" s="772">
        <v>174.98646886781583</v>
      </c>
      <c r="AQ93" s="772">
        <v>181.89248005689328</v>
      </c>
      <c r="AR93" s="772">
        <v>188.79849124597069</v>
      </c>
      <c r="AS93" s="772">
        <v>195.70450243504814</v>
      </c>
      <c r="AT93" s="772">
        <v>202.61051362412559</v>
      </c>
      <c r="AU93" s="772">
        <v>209.51652481320303</v>
      </c>
      <c r="AV93" s="772">
        <v>216.42253600228045</v>
      </c>
      <c r="AW93" s="772">
        <v>223.3285471913579</v>
      </c>
      <c r="AX93" s="772">
        <v>230.23455838043535</v>
      </c>
      <c r="AY93" s="773">
        <v>237.14056956951271</v>
      </c>
    </row>
    <row r="94" spans="1:51" ht="13.8" thickBot="1">
      <c r="A94" s="1277"/>
      <c r="B94" s="681">
        <v>4.5999999999999996</v>
      </c>
      <c r="C94" s="690">
        <f>(AB94*KFC!$B$22+KFC!$C$22)*KFC!$C$5</f>
        <v>78.815791050000001</v>
      </c>
      <c r="D94" s="690">
        <f>(AC94*KFC!$B$22+KFC!$C$22)*KFC!$C$5</f>
        <v>85.795196223913038</v>
      </c>
      <c r="E94" s="690">
        <f>(AD94*KFC!$B$22+KFC!$C$22)*KFC!$C$5</f>
        <v>92.774601397826089</v>
      </c>
      <c r="F94" s="690">
        <f>(AE94*KFC!$B$22+KFC!$C$22)*KFC!$C$5</f>
        <v>99.754006571739126</v>
      </c>
      <c r="G94" s="690">
        <f>(AF94*KFC!$B$22+KFC!$C$22)*KFC!$C$5</f>
        <v>106.73341174565216</v>
      </c>
      <c r="H94" s="690">
        <f>(AG94*KFC!$B$22+KFC!$C$22)*KFC!$C$5</f>
        <v>113.7128169195652</v>
      </c>
      <c r="I94" s="690">
        <f>(AH94*KFC!$B$22+KFC!$C$22)*KFC!$C$5</f>
        <v>120.69222209347824</v>
      </c>
      <c r="J94" s="690">
        <f>(AI94*KFC!$B$22+KFC!$C$22)*KFC!$C$5</f>
        <v>127.67162726739127</v>
      </c>
      <c r="K94" s="690">
        <f>(AJ94*KFC!$B$22+KFC!$C$22)*KFC!$C$5</f>
        <v>134.65103244130432</v>
      </c>
      <c r="L94" s="690">
        <f>(AK94*KFC!$B$22+KFC!$C$22)*KFC!$C$5</f>
        <v>141.63043761521735</v>
      </c>
      <c r="M94" s="690">
        <f>(AL94*KFC!$B$22+KFC!$C$22)*KFC!$C$5</f>
        <v>148.6098427891304</v>
      </c>
      <c r="N94" s="690">
        <f>(AM94*KFC!$B$22+KFC!$C$22)*KFC!$C$5</f>
        <v>155.58924796304345</v>
      </c>
      <c r="O94" s="690">
        <f>(AN94*KFC!$B$22+KFC!$C$22)*KFC!$C$5</f>
        <v>162.56865313695647</v>
      </c>
      <c r="P94" s="690">
        <f>(AO94*KFC!$B$22+KFC!$C$22)*KFC!$C$5</f>
        <v>169.54805831086952</v>
      </c>
      <c r="Q94" s="690">
        <f>(AP94*KFC!$B$22+KFC!$C$22)*KFC!$C$5</f>
        <v>176.5274634847826</v>
      </c>
      <c r="R94" s="690">
        <f>(AQ94*KFC!$B$22+KFC!$C$22)*KFC!$C$5</f>
        <v>183.50686865869565</v>
      </c>
      <c r="S94" s="690">
        <f>(AR94*KFC!$B$22+KFC!$C$22)*KFC!$C$5</f>
        <v>190.4862738326087</v>
      </c>
      <c r="T94" s="690">
        <f>(AS94*KFC!$B$22+KFC!$C$22)*KFC!$C$5</f>
        <v>197.46567900652175</v>
      </c>
      <c r="U94" s="690">
        <f>(AT94*KFC!$B$22+KFC!$C$22)*KFC!$C$5</f>
        <v>204.44508418043483</v>
      </c>
      <c r="V94" s="690">
        <f>(AU94*KFC!$B$22+KFC!$C$22)*KFC!$C$5</f>
        <v>211.42448935434788</v>
      </c>
      <c r="W94" s="690">
        <f>(AV94*KFC!$B$22+KFC!$C$22)*KFC!$C$5</f>
        <v>218.40389452826093</v>
      </c>
      <c r="X94" s="690">
        <f>(AW94*KFC!$B$22+KFC!$C$22)*KFC!$C$5</f>
        <v>225.38329970217399</v>
      </c>
      <c r="Y94" s="690">
        <f>(AX94*KFC!$B$22+KFC!$C$22)*KFC!$C$5</f>
        <v>232.36270487608707</v>
      </c>
      <c r="Z94" s="690">
        <f>(AY94*KFC!$B$22+KFC!$C$22)*KFC!$C$5</f>
        <v>239.34211005</v>
      </c>
      <c r="AB94" s="774">
        <v>78.815791050000001</v>
      </c>
      <c r="AC94" s="775">
        <v>85.795196223913038</v>
      </c>
      <c r="AD94" s="775">
        <v>92.774601397826089</v>
      </c>
      <c r="AE94" s="775">
        <v>99.754006571739126</v>
      </c>
      <c r="AF94" s="775">
        <v>106.73341174565216</v>
      </c>
      <c r="AG94" s="775">
        <v>113.7128169195652</v>
      </c>
      <c r="AH94" s="775">
        <v>120.69222209347824</v>
      </c>
      <c r="AI94" s="775">
        <v>127.67162726739127</v>
      </c>
      <c r="AJ94" s="775">
        <v>134.65103244130432</v>
      </c>
      <c r="AK94" s="775">
        <v>141.63043761521735</v>
      </c>
      <c r="AL94" s="775">
        <v>148.6098427891304</v>
      </c>
      <c r="AM94" s="775">
        <v>155.58924796304345</v>
      </c>
      <c r="AN94" s="775">
        <v>162.56865313695647</v>
      </c>
      <c r="AO94" s="775">
        <v>169.54805831086952</v>
      </c>
      <c r="AP94" s="775">
        <v>176.5274634847826</v>
      </c>
      <c r="AQ94" s="775">
        <v>183.50686865869565</v>
      </c>
      <c r="AR94" s="775">
        <v>190.4862738326087</v>
      </c>
      <c r="AS94" s="775">
        <v>197.46567900652175</v>
      </c>
      <c r="AT94" s="775">
        <v>204.44508418043483</v>
      </c>
      <c r="AU94" s="775">
        <v>211.42448935434788</v>
      </c>
      <c r="AV94" s="775">
        <v>218.40389452826093</v>
      </c>
      <c r="AW94" s="775">
        <v>225.38329970217399</v>
      </c>
      <c r="AX94" s="775">
        <v>232.36270487608707</v>
      </c>
      <c r="AY94" s="776">
        <v>239.34211005</v>
      </c>
    </row>
    <row r="96" spans="1:51">
      <c r="A96" s="1749" t="s">
        <v>315</v>
      </c>
      <c r="B96" s="1749"/>
      <c r="C96" s="1732" t="s">
        <v>207</v>
      </c>
      <c r="D96" s="1732"/>
      <c r="E96" s="1732"/>
      <c r="F96" s="1732"/>
      <c r="G96" s="1732"/>
      <c r="H96" s="1732"/>
      <c r="I96" s="1732"/>
      <c r="J96" s="1732"/>
      <c r="K96" s="1732"/>
      <c r="L96" s="1732"/>
      <c r="M96" s="1732"/>
      <c r="N96" s="1732"/>
      <c r="O96" s="1732"/>
      <c r="P96" s="1732"/>
      <c r="Q96" s="1732"/>
      <c r="R96" s="1732"/>
      <c r="S96" s="1732"/>
      <c r="T96" s="1732"/>
      <c r="U96" s="1732"/>
      <c r="V96" s="1732"/>
      <c r="W96" s="1732"/>
      <c r="X96" s="1732"/>
      <c r="Y96" s="1732"/>
      <c r="Z96" s="1732"/>
    </row>
    <row r="97" spans="1:51" ht="13.8" thickBot="1">
      <c r="A97" s="1749"/>
      <c r="B97" s="1749"/>
      <c r="C97" s="681">
        <v>0.7</v>
      </c>
      <c r="D97" s="681">
        <v>0.8</v>
      </c>
      <c r="E97" s="681">
        <v>0.9</v>
      </c>
      <c r="F97" s="681">
        <v>1</v>
      </c>
      <c r="G97" s="681">
        <v>1.1000000000000001</v>
      </c>
      <c r="H97" s="681">
        <v>1.2</v>
      </c>
      <c r="I97" s="681">
        <v>1.3</v>
      </c>
      <c r="J97" s="681">
        <v>1.4</v>
      </c>
      <c r="K97" s="681">
        <v>1.5</v>
      </c>
      <c r="L97" s="681">
        <v>1.6</v>
      </c>
      <c r="M97" s="681">
        <v>1.7</v>
      </c>
      <c r="N97" s="681">
        <v>1.8</v>
      </c>
      <c r="O97" s="681">
        <v>1.9</v>
      </c>
      <c r="P97" s="681">
        <v>2</v>
      </c>
      <c r="Q97" s="681">
        <v>2.1</v>
      </c>
      <c r="R97" s="681">
        <v>2.2000000000000002</v>
      </c>
      <c r="S97" s="681">
        <v>2.2999999999999998</v>
      </c>
      <c r="T97" s="681">
        <v>2.4</v>
      </c>
      <c r="U97" s="681">
        <v>2.5</v>
      </c>
      <c r="V97" s="681">
        <v>2.6</v>
      </c>
      <c r="W97" s="681">
        <v>2.7</v>
      </c>
      <c r="X97" s="681">
        <v>2.8</v>
      </c>
      <c r="Y97" s="681">
        <v>2.9</v>
      </c>
      <c r="Z97" s="681">
        <v>3</v>
      </c>
    </row>
    <row r="98" spans="1:51" ht="12.75" customHeight="1">
      <c r="A98" s="1277" t="s">
        <v>3</v>
      </c>
      <c r="B98" s="681">
        <v>0.5</v>
      </c>
      <c r="C98" s="690">
        <f>(AB98*KFC!$B$22+KFC!$C$22)*KFC!$C$5</f>
        <v>60.657895949999997</v>
      </c>
      <c r="D98" s="690">
        <f>(AC98*KFC!$B$22+KFC!$C$22)*KFC!$C$5</f>
        <v>65.022884595652172</v>
      </c>
      <c r="E98" s="690">
        <f>(AD98*KFC!$B$22+KFC!$C$22)*KFC!$C$5</f>
        <v>69.387873241304362</v>
      </c>
      <c r="F98" s="690">
        <f>(AE98*KFC!$B$22+KFC!$C$22)*KFC!$C$5</f>
        <v>73.752861886956538</v>
      </c>
      <c r="G98" s="690">
        <f>(AF98*KFC!$B$22+KFC!$C$22)*KFC!$C$5</f>
        <v>78.117850532608713</v>
      </c>
      <c r="H98" s="690">
        <f>(AG98*KFC!$B$22+KFC!$C$22)*KFC!$C$5</f>
        <v>82.482839178260889</v>
      </c>
      <c r="I98" s="690">
        <f>(AH98*KFC!$B$22+KFC!$C$22)*KFC!$C$5</f>
        <v>86.847827823913065</v>
      </c>
      <c r="J98" s="690">
        <f>(AI98*KFC!$B$22+KFC!$C$22)*KFC!$C$5</f>
        <v>91.212816469565226</v>
      </c>
      <c r="K98" s="690">
        <f>(AJ98*KFC!$B$22+KFC!$C$22)*KFC!$C$5</f>
        <v>95.577805115217402</v>
      </c>
      <c r="L98" s="690">
        <f>(AK98*KFC!$B$22+KFC!$C$22)*KFC!$C$5</f>
        <v>99.942793760869563</v>
      </c>
      <c r="M98" s="690">
        <f>(AL98*KFC!$B$22+KFC!$C$22)*KFC!$C$5</f>
        <v>104.30778240652174</v>
      </c>
      <c r="N98" s="690">
        <f>(AM98*KFC!$B$22+KFC!$C$22)*KFC!$C$5</f>
        <v>108.6727710521739</v>
      </c>
      <c r="O98" s="690">
        <f>(AN98*KFC!$B$22+KFC!$C$22)*KFC!$C$5</f>
        <v>113.03775969782608</v>
      </c>
      <c r="P98" s="690">
        <f>(AO98*KFC!$B$22+KFC!$C$22)*KFC!$C$5</f>
        <v>117.40274834347824</v>
      </c>
      <c r="Q98" s="690">
        <f>(AP98*KFC!$B$22+KFC!$C$22)*KFC!$C$5</f>
        <v>121.76773698913041</v>
      </c>
      <c r="R98" s="690">
        <f>(AQ98*KFC!$B$22+KFC!$C$22)*KFC!$C$5</f>
        <v>126.13272563478257</v>
      </c>
      <c r="S98" s="690">
        <f>(AR98*KFC!$B$22+KFC!$C$22)*KFC!$C$5</f>
        <v>130.49771428043474</v>
      </c>
      <c r="T98" s="690">
        <f>(AS98*KFC!$B$22+KFC!$C$22)*KFC!$C$5</f>
        <v>134.86270292608691</v>
      </c>
      <c r="U98" s="690">
        <f>(AT98*KFC!$B$22+KFC!$C$22)*KFC!$C$5</f>
        <v>139.22769157173909</v>
      </c>
      <c r="V98" s="690">
        <f>(AU98*KFC!$B$22+KFC!$C$22)*KFC!$C$5</f>
        <v>143.59268021739126</v>
      </c>
      <c r="W98" s="690">
        <f>(AV98*KFC!$B$22+KFC!$C$22)*KFC!$C$5</f>
        <v>147.95766886304341</v>
      </c>
      <c r="X98" s="690">
        <f>(AW98*KFC!$B$22+KFC!$C$22)*KFC!$C$5</f>
        <v>152.32265750869558</v>
      </c>
      <c r="Y98" s="690">
        <f>(AX98*KFC!$B$22+KFC!$C$22)*KFC!$C$5</f>
        <v>156.68764615434776</v>
      </c>
      <c r="Z98" s="690">
        <f>(AY98*KFC!$B$22+KFC!$C$22)*KFC!$C$5</f>
        <v>161.05263479999999</v>
      </c>
      <c r="AB98" s="768">
        <v>60.657895949999997</v>
      </c>
      <c r="AC98" s="769">
        <v>65.022884595652172</v>
      </c>
      <c r="AD98" s="769">
        <v>69.387873241304362</v>
      </c>
      <c r="AE98" s="769">
        <v>73.752861886956538</v>
      </c>
      <c r="AF98" s="769">
        <v>78.117850532608713</v>
      </c>
      <c r="AG98" s="769">
        <v>82.482839178260889</v>
      </c>
      <c r="AH98" s="769">
        <v>86.847827823913065</v>
      </c>
      <c r="AI98" s="769">
        <v>91.212816469565226</v>
      </c>
      <c r="AJ98" s="769">
        <v>95.577805115217402</v>
      </c>
      <c r="AK98" s="769">
        <v>99.942793760869563</v>
      </c>
      <c r="AL98" s="769">
        <v>104.30778240652174</v>
      </c>
      <c r="AM98" s="769">
        <v>108.6727710521739</v>
      </c>
      <c r="AN98" s="769">
        <v>113.03775969782608</v>
      </c>
      <c r="AO98" s="769">
        <v>117.40274834347824</v>
      </c>
      <c r="AP98" s="769">
        <v>121.76773698913041</v>
      </c>
      <c r="AQ98" s="769">
        <v>126.13272563478257</v>
      </c>
      <c r="AR98" s="769">
        <v>130.49771428043474</v>
      </c>
      <c r="AS98" s="769">
        <v>134.86270292608691</v>
      </c>
      <c r="AT98" s="769">
        <v>139.22769157173909</v>
      </c>
      <c r="AU98" s="769">
        <v>143.59268021739126</v>
      </c>
      <c r="AV98" s="769">
        <v>147.95766886304341</v>
      </c>
      <c r="AW98" s="769">
        <v>152.32265750869558</v>
      </c>
      <c r="AX98" s="769">
        <v>156.68764615434776</v>
      </c>
      <c r="AY98" s="770">
        <v>161.05263479999999</v>
      </c>
    </row>
    <row r="99" spans="1:51">
      <c r="A99" s="1277"/>
      <c r="B99" s="681">
        <v>0.6</v>
      </c>
      <c r="C99" s="690">
        <f>(AB99*KFC!$B$22+KFC!$C$22)*KFC!$C$5</f>
        <v>61.732992248780491</v>
      </c>
      <c r="D99" s="690">
        <f>(AC99*KFC!$B$22+KFC!$C$22)*KFC!$C$5</f>
        <v>66.252024543213153</v>
      </c>
      <c r="E99" s="690">
        <f>(AD99*KFC!$B$22+KFC!$C$22)*KFC!$C$5</f>
        <v>70.77105683764583</v>
      </c>
      <c r="F99" s="690">
        <f>(AE99*KFC!$B$22+KFC!$C$22)*KFC!$C$5</f>
        <v>75.290089132078492</v>
      </c>
      <c r="G99" s="690">
        <f>(AF99*KFC!$B$22+KFC!$C$22)*KFC!$C$5</f>
        <v>79.809121426511155</v>
      </c>
      <c r="H99" s="690">
        <f>(AG99*KFC!$B$22+KFC!$C$22)*KFC!$C$5</f>
        <v>84.328153720943817</v>
      </c>
      <c r="I99" s="690">
        <f>(AH99*KFC!$B$22+KFC!$C$22)*KFC!$C$5</f>
        <v>88.847186015376494</v>
      </c>
      <c r="J99" s="690">
        <f>(AI99*KFC!$B$22+KFC!$C$22)*KFC!$C$5</f>
        <v>93.366218309809156</v>
      </c>
      <c r="K99" s="690">
        <f>(AJ99*KFC!$B$22+KFC!$C$22)*KFC!$C$5</f>
        <v>97.885250604241818</v>
      </c>
      <c r="L99" s="690">
        <f>(AK99*KFC!$B$22+KFC!$C$22)*KFC!$C$5</f>
        <v>102.40428289867448</v>
      </c>
      <c r="M99" s="690">
        <f>(AL99*KFC!$B$22+KFC!$C$22)*KFC!$C$5</f>
        <v>106.92331519310716</v>
      </c>
      <c r="N99" s="690">
        <f>(AM99*KFC!$B$22+KFC!$C$22)*KFC!$C$5</f>
        <v>111.44234748753982</v>
      </c>
      <c r="O99" s="690">
        <f>(AN99*KFC!$B$22+KFC!$C$22)*KFC!$C$5</f>
        <v>115.96137978197248</v>
      </c>
      <c r="P99" s="690">
        <f>(AO99*KFC!$B$22+KFC!$C$22)*KFC!$C$5</f>
        <v>120.48041207640514</v>
      </c>
      <c r="Q99" s="690">
        <f>(AP99*KFC!$B$22+KFC!$C$22)*KFC!$C$5</f>
        <v>124.99944437083782</v>
      </c>
      <c r="R99" s="690">
        <f>(AQ99*KFC!$B$22+KFC!$C$22)*KFC!$C$5</f>
        <v>129.51847666527047</v>
      </c>
      <c r="S99" s="690">
        <f>(AR99*KFC!$B$22+KFC!$C$22)*KFC!$C$5</f>
        <v>134.03750895970316</v>
      </c>
      <c r="T99" s="690">
        <f>(AS99*KFC!$B$22+KFC!$C$22)*KFC!$C$5</f>
        <v>138.55654125413582</v>
      </c>
      <c r="U99" s="690">
        <f>(AT99*KFC!$B$22+KFC!$C$22)*KFC!$C$5</f>
        <v>143.07557354856849</v>
      </c>
      <c r="V99" s="690">
        <f>(AU99*KFC!$B$22+KFC!$C$22)*KFC!$C$5</f>
        <v>147.59460584300115</v>
      </c>
      <c r="W99" s="690">
        <f>(AV99*KFC!$B$22+KFC!$C$22)*KFC!$C$5</f>
        <v>152.11363813743381</v>
      </c>
      <c r="X99" s="690">
        <f>(AW99*KFC!$B$22+KFC!$C$22)*KFC!$C$5</f>
        <v>156.63267043186647</v>
      </c>
      <c r="Y99" s="690">
        <f>(AX99*KFC!$B$22+KFC!$C$22)*KFC!$C$5</f>
        <v>161.15170272629913</v>
      </c>
      <c r="Z99" s="690">
        <f>(AY99*KFC!$B$22+KFC!$C$22)*KFC!$C$5</f>
        <v>165.67073502073171</v>
      </c>
      <c r="AB99" s="771">
        <v>61.732992248780491</v>
      </c>
      <c r="AC99" s="772">
        <v>66.252024543213153</v>
      </c>
      <c r="AD99" s="772">
        <v>70.77105683764583</v>
      </c>
      <c r="AE99" s="772">
        <v>75.290089132078492</v>
      </c>
      <c r="AF99" s="772">
        <v>79.809121426511155</v>
      </c>
      <c r="AG99" s="772">
        <v>84.328153720943817</v>
      </c>
      <c r="AH99" s="772">
        <v>88.847186015376494</v>
      </c>
      <c r="AI99" s="772">
        <v>93.366218309809156</v>
      </c>
      <c r="AJ99" s="772">
        <v>97.885250604241818</v>
      </c>
      <c r="AK99" s="772">
        <v>102.40428289867448</v>
      </c>
      <c r="AL99" s="772">
        <v>106.92331519310716</v>
      </c>
      <c r="AM99" s="772">
        <v>111.44234748753982</v>
      </c>
      <c r="AN99" s="772">
        <v>115.96137978197248</v>
      </c>
      <c r="AO99" s="772">
        <v>120.48041207640514</v>
      </c>
      <c r="AP99" s="772">
        <v>124.99944437083782</v>
      </c>
      <c r="AQ99" s="772">
        <v>129.51847666527047</v>
      </c>
      <c r="AR99" s="772">
        <v>134.03750895970316</v>
      </c>
      <c r="AS99" s="772">
        <v>138.55654125413582</v>
      </c>
      <c r="AT99" s="772">
        <v>143.07557354856849</v>
      </c>
      <c r="AU99" s="772">
        <v>147.59460584300115</v>
      </c>
      <c r="AV99" s="772">
        <v>152.11363813743381</v>
      </c>
      <c r="AW99" s="772">
        <v>156.63267043186647</v>
      </c>
      <c r="AX99" s="772">
        <v>161.15170272629913</v>
      </c>
      <c r="AY99" s="773">
        <v>165.67073502073171</v>
      </c>
    </row>
    <row r="100" spans="1:51">
      <c r="A100" s="1277"/>
      <c r="B100" s="681">
        <v>0.7</v>
      </c>
      <c r="C100" s="690">
        <f>(AB100*KFC!$B$22+KFC!$C$22)*KFC!$C$5</f>
        <v>62.808088547560985</v>
      </c>
      <c r="D100" s="690">
        <f>(AC100*KFC!$B$22+KFC!$C$22)*KFC!$C$5</f>
        <v>67.481164490774134</v>
      </c>
      <c r="E100" s="690">
        <f>(AD100*KFC!$B$22+KFC!$C$22)*KFC!$C$5</f>
        <v>72.154240433987283</v>
      </c>
      <c r="F100" s="690">
        <f>(AE100*KFC!$B$22+KFC!$C$22)*KFC!$C$5</f>
        <v>76.827316377200432</v>
      </c>
      <c r="G100" s="690">
        <f>(AF100*KFC!$B$22+KFC!$C$22)*KFC!$C$5</f>
        <v>81.500392320413567</v>
      </c>
      <c r="H100" s="690">
        <f>(AG100*KFC!$B$22+KFC!$C$22)*KFC!$C$5</f>
        <v>86.173468263626717</v>
      </c>
      <c r="I100" s="690">
        <f>(AH100*KFC!$B$22+KFC!$C$22)*KFC!$C$5</f>
        <v>90.846544206839866</v>
      </c>
      <c r="J100" s="690">
        <f>(AI100*KFC!$B$22+KFC!$C$22)*KFC!$C$5</f>
        <v>95.519620150053001</v>
      </c>
      <c r="K100" s="690">
        <f>(AJ100*KFC!$B$22+KFC!$C$22)*KFC!$C$5</f>
        <v>100.19269609326615</v>
      </c>
      <c r="L100" s="690">
        <f>(AK100*KFC!$B$22+KFC!$C$22)*KFC!$C$5</f>
        <v>104.8657720364793</v>
      </c>
      <c r="M100" s="690">
        <f>(AL100*KFC!$B$22+KFC!$C$22)*KFC!$C$5</f>
        <v>109.53884797969243</v>
      </c>
      <c r="N100" s="690">
        <f>(AM100*KFC!$B$22+KFC!$C$22)*KFC!$C$5</f>
        <v>114.21192392290558</v>
      </c>
      <c r="O100" s="690">
        <f>(AN100*KFC!$B$22+KFC!$C$22)*KFC!$C$5</f>
        <v>118.88499986611873</v>
      </c>
      <c r="P100" s="690">
        <f>(AO100*KFC!$B$22+KFC!$C$22)*KFC!$C$5</f>
        <v>123.55807580933187</v>
      </c>
      <c r="Q100" s="690">
        <f>(AP100*KFC!$B$22+KFC!$C$22)*KFC!$C$5</f>
        <v>128.231151752545</v>
      </c>
      <c r="R100" s="690">
        <f>(AQ100*KFC!$B$22+KFC!$C$22)*KFC!$C$5</f>
        <v>132.90422769575815</v>
      </c>
      <c r="S100" s="690">
        <f>(AR100*KFC!$B$22+KFC!$C$22)*KFC!$C$5</f>
        <v>137.5773036389713</v>
      </c>
      <c r="T100" s="690">
        <f>(AS100*KFC!$B$22+KFC!$C$22)*KFC!$C$5</f>
        <v>142.25037958218445</v>
      </c>
      <c r="U100" s="690">
        <f>(AT100*KFC!$B$22+KFC!$C$22)*KFC!$C$5</f>
        <v>146.9234555253976</v>
      </c>
      <c r="V100" s="690">
        <f>(AU100*KFC!$B$22+KFC!$C$22)*KFC!$C$5</f>
        <v>151.59653146861075</v>
      </c>
      <c r="W100" s="690">
        <f>(AV100*KFC!$B$22+KFC!$C$22)*KFC!$C$5</f>
        <v>156.26960741182387</v>
      </c>
      <c r="X100" s="690">
        <f>(AW100*KFC!$B$22+KFC!$C$22)*KFC!$C$5</f>
        <v>160.94268335503702</v>
      </c>
      <c r="Y100" s="690">
        <f>(AX100*KFC!$B$22+KFC!$C$22)*KFC!$C$5</f>
        <v>165.61575929825017</v>
      </c>
      <c r="Z100" s="690">
        <f>(AY100*KFC!$B$22+KFC!$C$22)*KFC!$C$5</f>
        <v>170.28883524146343</v>
      </c>
      <c r="AB100" s="771">
        <v>62.808088547560985</v>
      </c>
      <c r="AC100" s="772">
        <v>67.481164490774134</v>
      </c>
      <c r="AD100" s="772">
        <v>72.154240433987283</v>
      </c>
      <c r="AE100" s="772">
        <v>76.827316377200432</v>
      </c>
      <c r="AF100" s="772">
        <v>81.500392320413567</v>
      </c>
      <c r="AG100" s="772">
        <v>86.173468263626717</v>
      </c>
      <c r="AH100" s="772">
        <v>90.846544206839866</v>
      </c>
      <c r="AI100" s="772">
        <v>95.519620150053001</v>
      </c>
      <c r="AJ100" s="772">
        <v>100.19269609326615</v>
      </c>
      <c r="AK100" s="772">
        <v>104.8657720364793</v>
      </c>
      <c r="AL100" s="772">
        <v>109.53884797969243</v>
      </c>
      <c r="AM100" s="772">
        <v>114.21192392290558</v>
      </c>
      <c r="AN100" s="772">
        <v>118.88499986611873</v>
      </c>
      <c r="AO100" s="772">
        <v>123.55807580933187</v>
      </c>
      <c r="AP100" s="772">
        <v>128.231151752545</v>
      </c>
      <c r="AQ100" s="772">
        <v>132.90422769575815</v>
      </c>
      <c r="AR100" s="772">
        <v>137.5773036389713</v>
      </c>
      <c r="AS100" s="772">
        <v>142.25037958218445</v>
      </c>
      <c r="AT100" s="772">
        <v>146.9234555253976</v>
      </c>
      <c r="AU100" s="772">
        <v>151.59653146861075</v>
      </c>
      <c r="AV100" s="772">
        <v>156.26960741182387</v>
      </c>
      <c r="AW100" s="772">
        <v>160.94268335503702</v>
      </c>
      <c r="AX100" s="772">
        <v>165.61575929825017</v>
      </c>
      <c r="AY100" s="773">
        <v>170.28883524146343</v>
      </c>
    </row>
    <row r="101" spans="1:51">
      <c r="A101" s="1277"/>
      <c r="B101" s="681">
        <v>0.8</v>
      </c>
      <c r="C101" s="690">
        <f>(AB101*KFC!$B$22+KFC!$C$22)*KFC!$C$5</f>
        <v>63.883184846341472</v>
      </c>
      <c r="D101" s="690">
        <f>(AC101*KFC!$B$22+KFC!$C$22)*KFC!$C$5</f>
        <v>68.710304438335115</v>
      </c>
      <c r="E101" s="690">
        <f>(AD101*KFC!$B$22+KFC!$C$22)*KFC!$C$5</f>
        <v>73.537424030328765</v>
      </c>
      <c r="F101" s="690">
        <f>(AE101*KFC!$B$22+KFC!$C$22)*KFC!$C$5</f>
        <v>78.364543622322401</v>
      </c>
      <c r="G101" s="690">
        <f>(AF101*KFC!$B$22+KFC!$C$22)*KFC!$C$5</f>
        <v>83.191663214316037</v>
      </c>
      <c r="H101" s="690">
        <f>(AG101*KFC!$B$22+KFC!$C$22)*KFC!$C$5</f>
        <v>88.018782806309687</v>
      </c>
      <c r="I101" s="690">
        <f>(AH101*KFC!$B$22+KFC!$C$22)*KFC!$C$5</f>
        <v>92.845902398303323</v>
      </c>
      <c r="J101" s="690">
        <f>(AI101*KFC!$B$22+KFC!$C$22)*KFC!$C$5</f>
        <v>97.673021990296974</v>
      </c>
      <c r="K101" s="690">
        <f>(AJ101*KFC!$B$22+KFC!$C$22)*KFC!$C$5</f>
        <v>102.50014158229061</v>
      </c>
      <c r="L101" s="690">
        <f>(AK101*KFC!$B$22+KFC!$C$22)*KFC!$C$5</f>
        <v>107.32726117428425</v>
      </c>
      <c r="M101" s="690">
        <f>(AL101*KFC!$B$22+KFC!$C$22)*KFC!$C$5</f>
        <v>112.1543807662779</v>
      </c>
      <c r="N101" s="690">
        <f>(AM101*KFC!$B$22+KFC!$C$22)*KFC!$C$5</f>
        <v>116.98150035827153</v>
      </c>
      <c r="O101" s="690">
        <f>(AN101*KFC!$B$22+KFC!$C$22)*KFC!$C$5</f>
        <v>121.80861995026518</v>
      </c>
      <c r="P101" s="690">
        <f>(AO101*KFC!$B$22+KFC!$C$22)*KFC!$C$5</f>
        <v>126.63573954225882</v>
      </c>
      <c r="Q101" s="690">
        <f>(AP101*KFC!$B$22+KFC!$C$22)*KFC!$C$5</f>
        <v>131.46285913425245</v>
      </c>
      <c r="R101" s="690">
        <f>(AQ101*KFC!$B$22+KFC!$C$22)*KFC!$C$5</f>
        <v>136.28997872624609</v>
      </c>
      <c r="S101" s="690">
        <f>(AR101*KFC!$B$22+KFC!$C$22)*KFC!$C$5</f>
        <v>141.11709831823975</v>
      </c>
      <c r="T101" s="690">
        <f>(AS101*KFC!$B$22+KFC!$C$22)*KFC!$C$5</f>
        <v>145.94421791023339</v>
      </c>
      <c r="U101" s="690">
        <f>(AT101*KFC!$B$22+KFC!$C$22)*KFC!$C$5</f>
        <v>150.77133750222703</v>
      </c>
      <c r="V101" s="690">
        <f>(AU101*KFC!$B$22+KFC!$C$22)*KFC!$C$5</f>
        <v>155.59845709422066</v>
      </c>
      <c r="W101" s="690">
        <f>(AV101*KFC!$B$22+KFC!$C$22)*KFC!$C$5</f>
        <v>160.4255766862143</v>
      </c>
      <c r="X101" s="690">
        <f>(AW101*KFC!$B$22+KFC!$C$22)*KFC!$C$5</f>
        <v>165.25269627820796</v>
      </c>
      <c r="Y101" s="690">
        <f>(AX101*KFC!$B$22+KFC!$C$22)*KFC!$C$5</f>
        <v>170.0798158702016</v>
      </c>
      <c r="Z101" s="690">
        <f>(AY101*KFC!$B$22+KFC!$C$22)*KFC!$C$5</f>
        <v>174.90693546219512</v>
      </c>
      <c r="AB101" s="771">
        <v>63.883184846341472</v>
      </c>
      <c r="AC101" s="772">
        <v>68.710304438335115</v>
      </c>
      <c r="AD101" s="772">
        <v>73.537424030328765</v>
      </c>
      <c r="AE101" s="772">
        <v>78.364543622322401</v>
      </c>
      <c r="AF101" s="772">
        <v>83.191663214316037</v>
      </c>
      <c r="AG101" s="772">
        <v>88.018782806309687</v>
      </c>
      <c r="AH101" s="772">
        <v>92.845902398303323</v>
      </c>
      <c r="AI101" s="772">
        <v>97.673021990296974</v>
      </c>
      <c r="AJ101" s="772">
        <v>102.50014158229061</v>
      </c>
      <c r="AK101" s="772">
        <v>107.32726117428425</v>
      </c>
      <c r="AL101" s="772">
        <v>112.1543807662779</v>
      </c>
      <c r="AM101" s="772">
        <v>116.98150035827153</v>
      </c>
      <c r="AN101" s="772">
        <v>121.80861995026518</v>
      </c>
      <c r="AO101" s="772">
        <v>126.63573954225882</v>
      </c>
      <c r="AP101" s="772">
        <v>131.46285913425245</v>
      </c>
      <c r="AQ101" s="772">
        <v>136.28997872624609</v>
      </c>
      <c r="AR101" s="772">
        <v>141.11709831823975</v>
      </c>
      <c r="AS101" s="772">
        <v>145.94421791023339</v>
      </c>
      <c r="AT101" s="772">
        <v>150.77133750222703</v>
      </c>
      <c r="AU101" s="772">
        <v>155.59845709422066</v>
      </c>
      <c r="AV101" s="772">
        <v>160.4255766862143</v>
      </c>
      <c r="AW101" s="772">
        <v>165.25269627820796</v>
      </c>
      <c r="AX101" s="772">
        <v>170.0798158702016</v>
      </c>
      <c r="AY101" s="773">
        <v>174.90693546219512</v>
      </c>
    </row>
    <row r="102" spans="1:51">
      <c r="A102" s="1277"/>
      <c r="B102" s="681">
        <v>0.9</v>
      </c>
      <c r="C102" s="690">
        <f>(AB102*KFC!$B$22+KFC!$C$22)*KFC!$C$5</f>
        <v>64.958281145121973</v>
      </c>
      <c r="D102" s="690">
        <f>(AC102*KFC!$B$22+KFC!$C$22)*KFC!$C$5</f>
        <v>69.939444385896081</v>
      </c>
      <c r="E102" s="690">
        <f>(AD102*KFC!$B$22+KFC!$C$22)*KFC!$C$5</f>
        <v>74.920607626670204</v>
      </c>
      <c r="F102" s="690">
        <f>(AE102*KFC!$B$22+KFC!$C$22)*KFC!$C$5</f>
        <v>79.901770867444327</v>
      </c>
      <c r="G102" s="690">
        <f>(AF102*KFC!$B$22+KFC!$C$22)*KFC!$C$5</f>
        <v>84.88293410821845</v>
      </c>
      <c r="H102" s="690">
        <f>(AG102*KFC!$B$22+KFC!$C$22)*KFC!$C$5</f>
        <v>89.864097348992573</v>
      </c>
      <c r="I102" s="690">
        <f>(AH102*KFC!$B$22+KFC!$C$22)*KFC!$C$5</f>
        <v>94.845260589766696</v>
      </c>
      <c r="J102" s="690">
        <f>(AI102*KFC!$B$22+KFC!$C$22)*KFC!$C$5</f>
        <v>99.826423830540818</v>
      </c>
      <c r="K102" s="690">
        <f>(AJ102*KFC!$B$22+KFC!$C$22)*KFC!$C$5</f>
        <v>104.80758707131494</v>
      </c>
      <c r="L102" s="690">
        <f>(AK102*KFC!$B$22+KFC!$C$22)*KFC!$C$5</f>
        <v>109.78875031208906</v>
      </c>
      <c r="M102" s="690">
        <f>(AL102*KFC!$B$22+KFC!$C$22)*KFC!$C$5</f>
        <v>114.76991355286317</v>
      </c>
      <c r="N102" s="690">
        <f>(AM102*KFC!$B$22+KFC!$C$22)*KFC!$C$5</f>
        <v>119.7510767936373</v>
      </c>
      <c r="O102" s="690">
        <f>(AN102*KFC!$B$22+KFC!$C$22)*KFC!$C$5</f>
        <v>124.73224003441142</v>
      </c>
      <c r="P102" s="690">
        <f>(AO102*KFC!$B$22+KFC!$C$22)*KFC!$C$5</f>
        <v>129.71340327518553</v>
      </c>
      <c r="Q102" s="690">
        <f>(AP102*KFC!$B$22+KFC!$C$22)*KFC!$C$5</f>
        <v>134.69456651595965</v>
      </c>
      <c r="R102" s="690">
        <f>(AQ102*KFC!$B$22+KFC!$C$22)*KFC!$C$5</f>
        <v>139.67572975673377</v>
      </c>
      <c r="S102" s="690">
        <f>(AR102*KFC!$B$22+KFC!$C$22)*KFC!$C$5</f>
        <v>144.6568929975079</v>
      </c>
      <c r="T102" s="690">
        <f>(AS102*KFC!$B$22+KFC!$C$22)*KFC!$C$5</f>
        <v>149.63805623828202</v>
      </c>
      <c r="U102" s="690">
        <f>(AT102*KFC!$B$22+KFC!$C$22)*KFC!$C$5</f>
        <v>154.61921947905614</v>
      </c>
      <c r="V102" s="690">
        <f>(AU102*KFC!$B$22+KFC!$C$22)*KFC!$C$5</f>
        <v>159.60038271983026</v>
      </c>
      <c r="W102" s="690">
        <f>(AV102*KFC!$B$22+KFC!$C$22)*KFC!$C$5</f>
        <v>164.58154596060439</v>
      </c>
      <c r="X102" s="690">
        <f>(AW102*KFC!$B$22+KFC!$C$22)*KFC!$C$5</f>
        <v>169.56270920137851</v>
      </c>
      <c r="Y102" s="690">
        <f>(AX102*KFC!$B$22+KFC!$C$22)*KFC!$C$5</f>
        <v>174.54387244215263</v>
      </c>
      <c r="Z102" s="690">
        <f>(AY102*KFC!$B$22+KFC!$C$22)*KFC!$C$5</f>
        <v>179.52503568292681</v>
      </c>
      <c r="AB102" s="771">
        <v>64.958281145121973</v>
      </c>
      <c r="AC102" s="772">
        <v>69.939444385896081</v>
      </c>
      <c r="AD102" s="772">
        <v>74.920607626670204</v>
      </c>
      <c r="AE102" s="772">
        <v>79.901770867444327</v>
      </c>
      <c r="AF102" s="772">
        <v>84.88293410821845</v>
      </c>
      <c r="AG102" s="772">
        <v>89.864097348992573</v>
      </c>
      <c r="AH102" s="772">
        <v>94.845260589766696</v>
      </c>
      <c r="AI102" s="772">
        <v>99.826423830540818</v>
      </c>
      <c r="AJ102" s="772">
        <v>104.80758707131494</v>
      </c>
      <c r="AK102" s="772">
        <v>109.78875031208906</v>
      </c>
      <c r="AL102" s="772">
        <v>114.76991355286317</v>
      </c>
      <c r="AM102" s="772">
        <v>119.7510767936373</v>
      </c>
      <c r="AN102" s="772">
        <v>124.73224003441142</v>
      </c>
      <c r="AO102" s="772">
        <v>129.71340327518553</v>
      </c>
      <c r="AP102" s="772">
        <v>134.69456651595965</v>
      </c>
      <c r="AQ102" s="772">
        <v>139.67572975673377</v>
      </c>
      <c r="AR102" s="772">
        <v>144.6568929975079</v>
      </c>
      <c r="AS102" s="772">
        <v>149.63805623828202</v>
      </c>
      <c r="AT102" s="772">
        <v>154.61921947905614</v>
      </c>
      <c r="AU102" s="772">
        <v>159.60038271983026</v>
      </c>
      <c r="AV102" s="772">
        <v>164.58154596060439</v>
      </c>
      <c r="AW102" s="772">
        <v>169.56270920137851</v>
      </c>
      <c r="AX102" s="772">
        <v>174.54387244215263</v>
      </c>
      <c r="AY102" s="773">
        <v>179.52503568292681</v>
      </c>
    </row>
    <row r="103" spans="1:51">
      <c r="A103" s="1277"/>
      <c r="B103" s="681">
        <v>1</v>
      </c>
      <c r="C103" s="690">
        <f>(AB103*KFC!$B$22+KFC!$C$22)*KFC!$C$5</f>
        <v>66.033377443902452</v>
      </c>
      <c r="D103" s="690">
        <f>(AC103*KFC!$B$22+KFC!$C$22)*KFC!$C$5</f>
        <v>71.168584333457062</v>
      </c>
      <c r="E103" s="690">
        <f>(AD103*KFC!$B$22+KFC!$C$22)*KFC!$C$5</f>
        <v>76.303791223011672</v>
      </c>
      <c r="F103" s="690">
        <f>(AE103*KFC!$B$22+KFC!$C$22)*KFC!$C$5</f>
        <v>81.438998112566281</v>
      </c>
      <c r="G103" s="690">
        <f>(AF103*KFC!$B$22+KFC!$C$22)*KFC!$C$5</f>
        <v>86.574205002120891</v>
      </c>
      <c r="H103" s="690">
        <f>(AG103*KFC!$B$22+KFC!$C$22)*KFC!$C$5</f>
        <v>91.709411891675515</v>
      </c>
      <c r="I103" s="690">
        <f>(AH103*KFC!$B$22+KFC!$C$22)*KFC!$C$5</f>
        <v>96.844618781230125</v>
      </c>
      <c r="J103" s="690">
        <f>(AI103*KFC!$B$22+KFC!$C$22)*KFC!$C$5</f>
        <v>101.97982567078475</v>
      </c>
      <c r="K103" s="690">
        <f>(AJ103*KFC!$B$22+KFC!$C$22)*KFC!$C$5</f>
        <v>107.11503256033936</v>
      </c>
      <c r="L103" s="690">
        <f>(AK103*KFC!$B$22+KFC!$C$22)*KFC!$C$5</f>
        <v>112.25023944989398</v>
      </c>
      <c r="M103" s="690">
        <f>(AL103*KFC!$B$22+KFC!$C$22)*KFC!$C$5</f>
        <v>117.38544633944859</v>
      </c>
      <c r="N103" s="690">
        <f>(AM103*KFC!$B$22+KFC!$C$22)*KFC!$C$5</f>
        <v>122.52065322900322</v>
      </c>
      <c r="O103" s="690">
        <f>(AN103*KFC!$B$22+KFC!$C$22)*KFC!$C$5</f>
        <v>127.65586011855784</v>
      </c>
      <c r="P103" s="690">
        <f>(AO103*KFC!$B$22+KFC!$C$22)*KFC!$C$5</f>
        <v>132.79106700811246</v>
      </c>
      <c r="Q103" s="690">
        <f>(AP103*KFC!$B$22+KFC!$C$22)*KFC!$C$5</f>
        <v>137.92627389766707</v>
      </c>
      <c r="R103" s="690">
        <f>(AQ103*KFC!$B$22+KFC!$C$22)*KFC!$C$5</f>
        <v>143.06148078722168</v>
      </c>
      <c r="S103" s="690">
        <f>(AR103*KFC!$B$22+KFC!$C$22)*KFC!$C$5</f>
        <v>148.19668767677629</v>
      </c>
      <c r="T103" s="690">
        <f>(AS103*KFC!$B$22+KFC!$C$22)*KFC!$C$5</f>
        <v>153.33189456633093</v>
      </c>
      <c r="U103" s="690">
        <f>(AT103*KFC!$B$22+KFC!$C$22)*KFC!$C$5</f>
        <v>158.46710145588554</v>
      </c>
      <c r="V103" s="690">
        <f>(AU103*KFC!$B$22+KFC!$C$22)*KFC!$C$5</f>
        <v>163.60230834544015</v>
      </c>
      <c r="W103" s="690">
        <f>(AV103*KFC!$B$22+KFC!$C$22)*KFC!$C$5</f>
        <v>168.73751523499476</v>
      </c>
      <c r="X103" s="690">
        <f>(AW103*KFC!$B$22+KFC!$C$22)*KFC!$C$5</f>
        <v>173.87272212454934</v>
      </c>
      <c r="Y103" s="690">
        <f>(AX103*KFC!$B$22+KFC!$C$22)*KFC!$C$5</f>
        <v>179.00792901410395</v>
      </c>
      <c r="Z103" s="690">
        <f>(AY103*KFC!$B$22+KFC!$C$22)*KFC!$C$5</f>
        <v>184.1431359036585</v>
      </c>
      <c r="AB103" s="771">
        <v>66.033377443902452</v>
      </c>
      <c r="AC103" s="772">
        <v>71.168584333457062</v>
      </c>
      <c r="AD103" s="772">
        <v>76.303791223011672</v>
      </c>
      <c r="AE103" s="772">
        <v>81.438998112566281</v>
      </c>
      <c r="AF103" s="772">
        <v>86.574205002120891</v>
      </c>
      <c r="AG103" s="772">
        <v>91.709411891675515</v>
      </c>
      <c r="AH103" s="772">
        <v>96.844618781230125</v>
      </c>
      <c r="AI103" s="772">
        <v>101.97982567078475</v>
      </c>
      <c r="AJ103" s="772">
        <v>107.11503256033936</v>
      </c>
      <c r="AK103" s="772">
        <v>112.25023944989398</v>
      </c>
      <c r="AL103" s="772">
        <v>117.38544633944859</v>
      </c>
      <c r="AM103" s="772">
        <v>122.52065322900322</v>
      </c>
      <c r="AN103" s="772">
        <v>127.65586011855784</v>
      </c>
      <c r="AO103" s="772">
        <v>132.79106700811246</v>
      </c>
      <c r="AP103" s="772">
        <v>137.92627389766707</v>
      </c>
      <c r="AQ103" s="772">
        <v>143.06148078722168</v>
      </c>
      <c r="AR103" s="772">
        <v>148.19668767677629</v>
      </c>
      <c r="AS103" s="772">
        <v>153.33189456633093</v>
      </c>
      <c r="AT103" s="772">
        <v>158.46710145588554</v>
      </c>
      <c r="AU103" s="772">
        <v>163.60230834544015</v>
      </c>
      <c r="AV103" s="772">
        <v>168.73751523499476</v>
      </c>
      <c r="AW103" s="772">
        <v>173.87272212454934</v>
      </c>
      <c r="AX103" s="772">
        <v>179.00792901410395</v>
      </c>
      <c r="AY103" s="773">
        <v>184.1431359036585</v>
      </c>
    </row>
    <row r="104" spans="1:51">
      <c r="A104" s="1277"/>
      <c r="B104" s="681">
        <v>1.1000000000000001</v>
      </c>
      <c r="C104" s="690">
        <f>(AB104*KFC!$B$22+KFC!$C$22)*KFC!$C$5</f>
        <v>67.108473742682946</v>
      </c>
      <c r="D104" s="690">
        <f>(AC104*KFC!$B$22+KFC!$C$22)*KFC!$C$5</f>
        <v>72.397724281018043</v>
      </c>
      <c r="E104" s="690">
        <f>(AD104*KFC!$B$22+KFC!$C$22)*KFC!$C$5</f>
        <v>77.686974819353139</v>
      </c>
      <c r="F104" s="690">
        <f>(AE104*KFC!$B$22+KFC!$C$22)*KFC!$C$5</f>
        <v>82.976225357688236</v>
      </c>
      <c r="G104" s="690">
        <f>(AF104*KFC!$B$22+KFC!$C$22)*KFC!$C$5</f>
        <v>88.265475896023347</v>
      </c>
      <c r="H104" s="690">
        <f>(AG104*KFC!$B$22+KFC!$C$22)*KFC!$C$5</f>
        <v>93.554726434358443</v>
      </c>
      <c r="I104" s="690">
        <f>(AH104*KFC!$B$22+KFC!$C$22)*KFC!$C$5</f>
        <v>98.84397697269354</v>
      </c>
      <c r="J104" s="690">
        <f>(AI104*KFC!$B$22+KFC!$C$22)*KFC!$C$5</f>
        <v>104.13322751102864</v>
      </c>
      <c r="K104" s="690">
        <f>(AJ104*KFC!$B$22+KFC!$C$22)*KFC!$C$5</f>
        <v>109.42247804936373</v>
      </c>
      <c r="L104" s="690">
        <f>(AK104*KFC!$B$22+KFC!$C$22)*KFC!$C$5</f>
        <v>114.71172858769883</v>
      </c>
      <c r="M104" s="690">
        <f>(AL104*KFC!$B$22+KFC!$C$22)*KFC!$C$5</f>
        <v>120.00097912603393</v>
      </c>
      <c r="N104" s="690">
        <f>(AM104*KFC!$B$22+KFC!$C$22)*KFC!$C$5</f>
        <v>125.29022966436902</v>
      </c>
      <c r="O104" s="690">
        <f>(AN104*KFC!$B$22+KFC!$C$22)*KFC!$C$5</f>
        <v>130.5794802027041</v>
      </c>
      <c r="P104" s="690">
        <f>(AO104*KFC!$B$22+KFC!$C$22)*KFC!$C$5</f>
        <v>135.8687307410392</v>
      </c>
      <c r="Q104" s="690">
        <f>(AP104*KFC!$B$22+KFC!$C$22)*KFC!$C$5</f>
        <v>141.1579812793743</v>
      </c>
      <c r="R104" s="690">
        <f>(AQ104*KFC!$B$22+KFC!$C$22)*KFC!$C$5</f>
        <v>146.44723181770939</v>
      </c>
      <c r="S104" s="690">
        <f>(AR104*KFC!$B$22+KFC!$C$22)*KFC!$C$5</f>
        <v>151.73648235604449</v>
      </c>
      <c r="T104" s="690">
        <f>(AS104*KFC!$B$22+KFC!$C$22)*KFC!$C$5</f>
        <v>157.02573289437959</v>
      </c>
      <c r="U104" s="690">
        <f>(AT104*KFC!$B$22+KFC!$C$22)*KFC!$C$5</f>
        <v>162.31498343271468</v>
      </c>
      <c r="V104" s="690">
        <f>(AU104*KFC!$B$22+KFC!$C$22)*KFC!$C$5</f>
        <v>167.60423397104978</v>
      </c>
      <c r="W104" s="690">
        <f>(AV104*KFC!$B$22+KFC!$C$22)*KFC!$C$5</f>
        <v>172.89348450938488</v>
      </c>
      <c r="X104" s="690">
        <f>(AW104*KFC!$B$22+KFC!$C$22)*KFC!$C$5</f>
        <v>178.18273504771997</v>
      </c>
      <c r="Y104" s="690">
        <f>(AX104*KFC!$B$22+KFC!$C$22)*KFC!$C$5</f>
        <v>183.47198558605507</v>
      </c>
      <c r="Z104" s="690">
        <f>(AY104*KFC!$B$22+KFC!$C$22)*KFC!$C$5</f>
        <v>188.76123612439022</v>
      </c>
      <c r="AB104" s="771">
        <v>67.108473742682946</v>
      </c>
      <c r="AC104" s="772">
        <v>72.397724281018043</v>
      </c>
      <c r="AD104" s="772">
        <v>77.686974819353139</v>
      </c>
      <c r="AE104" s="772">
        <v>82.976225357688236</v>
      </c>
      <c r="AF104" s="772">
        <v>88.265475896023347</v>
      </c>
      <c r="AG104" s="772">
        <v>93.554726434358443</v>
      </c>
      <c r="AH104" s="772">
        <v>98.84397697269354</v>
      </c>
      <c r="AI104" s="772">
        <v>104.13322751102864</v>
      </c>
      <c r="AJ104" s="772">
        <v>109.42247804936373</v>
      </c>
      <c r="AK104" s="772">
        <v>114.71172858769883</v>
      </c>
      <c r="AL104" s="772">
        <v>120.00097912603393</v>
      </c>
      <c r="AM104" s="772">
        <v>125.29022966436902</v>
      </c>
      <c r="AN104" s="772">
        <v>130.5794802027041</v>
      </c>
      <c r="AO104" s="772">
        <v>135.8687307410392</v>
      </c>
      <c r="AP104" s="772">
        <v>141.1579812793743</v>
      </c>
      <c r="AQ104" s="772">
        <v>146.44723181770939</v>
      </c>
      <c r="AR104" s="772">
        <v>151.73648235604449</v>
      </c>
      <c r="AS104" s="772">
        <v>157.02573289437959</v>
      </c>
      <c r="AT104" s="772">
        <v>162.31498343271468</v>
      </c>
      <c r="AU104" s="772">
        <v>167.60423397104978</v>
      </c>
      <c r="AV104" s="772">
        <v>172.89348450938488</v>
      </c>
      <c r="AW104" s="772">
        <v>178.18273504771997</v>
      </c>
      <c r="AX104" s="772">
        <v>183.47198558605507</v>
      </c>
      <c r="AY104" s="773">
        <v>188.76123612439022</v>
      </c>
    </row>
    <row r="105" spans="1:51">
      <c r="A105" s="1277"/>
      <c r="B105" s="681">
        <v>1.2</v>
      </c>
      <c r="C105" s="690">
        <f>(AB105*KFC!$B$22+KFC!$C$22)*KFC!$C$5</f>
        <v>68.18357004146344</v>
      </c>
      <c r="D105" s="690">
        <f>(AC105*KFC!$B$22+KFC!$C$22)*KFC!$C$5</f>
        <v>73.626864228579024</v>
      </c>
      <c r="E105" s="690">
        <f>(AD105*KFC!$B$22+KFC!$C$22)*KFC!$C$5</f>
        <v>79.070158415694607</v>
      </c>
      <c r="F105" s="690">
        <f>(AE105*KFC!$B$22+KFC!$C$22)*KFC!$C$5</f>
        <v>84.513452602810204</v>
      </c>
      <c r="G105" s="690">
        <f>(AF105*KFC!$B$22+KFC!$C$22)*KFC!$C$5</f>
        <v>89.956746789925802</v>
      </c>
      <c r="H105" s="690">
        <f>(AG105*KFC!$B$22+KFC!$C$22)*KFC!$C$5</f>
        <v>95.400040977041385</v>
      </c>
      <c r="I105" s="690">
        <f>(AH105*KFC!$B$22+KFC!$C$22)*KFC!$C$5</f>
        <v>100.84333516415698</v>
      </c>
      <c r="J105" s="690">
        <f>(AI105*KFC!$B$22+KFC!$C$22)*KFC!$C$5</f>
        <v>106.28662935127258</v>
      </c>
      <c r="K105" s="690">
        <f>(AJ105*KFC!$B$22+KFC!$C$22)*KFC!$C$5</f>
        <v>111.72992353838816</v>
      </c>
      <c r="L105" s="690">
        <f>(AK105*KFC!$B$22+KFC!$C$22)*KFC!$C$5</f>
        <v>117.17321772550376</v>
      </c>
      <c r="M105" s="690">
        <f>(AL105*KFC!$B$22+KFC!$C$22)*KFC!$C$5</f>
        <v>122.61651191261936</v>
      </c>
      <c r="N105" s="690">
        <f>(AM105*KFC!$B$22+KFC!$C$22)*KFC!$C$5</f>
        <v>128.05980609973494</v>
      </c>
      <c r="O105" s="690">
        <f>(AN105*KFC!$B$22+KFC!$C$22)*KFC!$C$5</f>
        <v>133.50310028685055</v>
      </c>
      <c r="P105" s="690">
        <f>(AO105*KFC!$B$22+KFC!$C$22)*KFC!$C$5</f>
        <v>138.94639447396614</v>
      </c>
      <c r="Q105" s="690">
        <f>(AP105*KFC!$B$22+KFC!$C$22)*KFC!$C$5</f>
        <v>144.38968866108172</v>
      </c>
      <c r="R105" s="690">
        <f>(AQ105*KFC!$B$22+KFC!$C$22)*KFC!$C$5</f>
        <v>149.83298284819733</v>
      </c>
      <c r="S105" s="690">
        <f>(AR105*KFC!$B$22+KFC!$C$22)*KFC!$C$5</f>
        <v>155.27627703531292</v>
      </c>
      <c r="T105" s="690">
        <f>(AS105*KFC!$B$22+KFC!$C$22)*KFC!$C$5</f>
        <v>160.7195712224285</v>
      </c>
      <c r="U105" s="690">
        <f>(AT105*KFC!$B$22+KFC!$C$22)*KFC!$C$5</f>
        <v>166.16286540954411</v>
      </c>
      <c r="V105" s="690">
        <f>(AU105*KFC!$B$22+KFC!$C$22)*KFC!$C$5</f>
        <v>171.60615959665969</v>
      </c>
      <c r="W105" s="690">
        <f>(AV105*KFC!$B$22+KFC!$C$22)*KFC!$C$5</f>
        <v>177.04945378377528</v>
      </c>
      <c r="X105" s="690">
        <f>(AW105*KFC!$B$22+KFC!$C$22)*KFC!$C$5</f>
        <v>182.49274797089086</v>
      </c>
      <c r="Y105" s="690">
        <f>(AX105*KFC!$B$22+KFC!$C$22)*KFC!$C$5</f>
        <v>187.93604215800647</v>
      </c>
      <c r="Z105" s="690">
        <f>(AY105*KFC!$B$22+KFC!$C$22)*KFC!$C$5</f>
        <v>193.37933634512191</v>
      </c>
      <c r="AB105" s="771">
        <v>68.18357004146344</v>
      </c>
      <c r="AC105" s="772">
        <v>73.626864228579024</v>
      </c>
      <c r="AD105" s="772">
        <v>79.070158415694607</v>
      </c>
      <c r="AE105" s="772">
        <v>84.513452602810204</v>
      </c>
      <c r="AF105" s="772">
        <v>89.956746789925802</v>
      </c>
      <c r="AG105" s="772">
        <v>95.400040977041385</v>
      </c>
      <c r="AH105" s="772">
        <v>100.84333516415698</v>
      </c>
      <c r="AI105" s="772">
        <v>106.28662935127258</v>
      </c>
      <c r="AJ105" s="772">
        <v>111.72992353838816</v>
      </c>
      <c r="AK105" s="772">
        <v>117.17321772550376</v>
      </c>
      <c r="AL105" s="772">
        <v>122.61651191261936</v>
      </c>
      <c r="AM105" s="772">
        <v>128.05980609973494</v>
      </c>
      <c r="AN105" s="772">
        <v>133.50310028685055</v>
      </c>
      <c r="AO105" s="772">
        <v>138.94639447396614</v>
      </c>
      <c r="AP105" s="772">
        <v>144.38968866108172</v>
      </c>
      <c r="AQ105" s="772">
        <v>149.83298284819733</v>
      </c>
      <c r="AR105" s="772">
        <v>155.27627703531292</v>
      </c>
      <c r="AS105" s="772">
        <v>160.7195712224285</v>
      </c>
      <c r="AT105" s="772">
        <v>166.16286540954411</v>
      </c>
      <c r="AU105" s="772">
        <v>171.60615959665969</v>
      </c>
      <c r="AV105" s="772">
        <v>177.04945378377528</v>
      </c>
      <c r="AW105" s="772">
        <v>182.49274797089086</v>
      </c>
      <c r="AX105" s="772">
        <v>187.93604215800647</v>
      </c>
      <c r="AY105" s="773">
        <v>193.37933634512191</v>
      </c>
    </row>
    <row r="106" spans="1:51">
      <c r="A106" s="1277"/>
      <c r="B106" s="681">
        <v>1.3</v>
      </c>
      <c r="C106" s="690">
        <f>(AB106*KFC!$B$22+KFC!$C$22)*KFC!$C$5</f>
        <v>69.258666340243934</v>
      </c>
      <c r="D106" s="690">
        <f>(AC106*KFC!$B$22+KFC!$C$22)*KFC!$C$5</f>
        <v>74.856004176140004</v>
      </c>
      <c r="E106" s="690">
        <f>(AD106*KFC!$B$22+KFC!$C$22)*KFC!$C$5</f>
        <v>80.453342012036074</v>
      </c>
      <c r="F106" s="690">
        <f>(AE106*KFC!$B$22+KFC!$C$22)*KFC!$C$5</f>
        <v>86.050679847932159</v>
      </c>
      <c r="G106" s="690">
        <f>(AF106*KFC!$B$22+KFC!$C$22)*KFC!$C$5</f>
        <v>91.648017683828229</v>
      </c>
      <c r="H106" s="690">
        <f>(AG106*KFC!$B$22+KFC!$C$22)*KFC!$C$5</f>
        <v>97.245355519724299</v>
      </c>
      <c r="I106" s="690">
        <f>(AH106*KFC!$B$22+KFC!$C$22)*KFC!$C$5</f>
        <v>102.84269335562037</v>
      </c>
      <c r="J106" s="690">
        <f>(AI106*KFC!$B$22+KFC!$C$22)*KFC!$C$5</f>
        <v>108.44003119151645</v>
      </c>
      <c r="K106" s="690">
        <f>(AJ106*KFC!$B$22+KFC!$C$22)*KFC!$C$5</f>
        <v>114.03736902741252</v>
      </c>
      <c r="L106" s="690">
        <f>(AK106*KFC!$B$22+KFC!$C$22)*KFC!$C$5</f>
        <v>119.63470686330859</v>
      </c>
      <c r="M106" s="690">
        <f>(AL106*KFC!$B$22+KFC!$C$22)*KFC!$C$5</f>
        <v>125.23204469920466</v>
      </c>
      <c r="N106" s="690">
        <f>(AM106*KFC!$B$22+KFC!$C$22)*KFC!$C$5</f>
        <v>130.82938253510073</v>
      </c>
      <c r="O106" s="690">
        <f>(AN106*KFC!$B$22+KFC!$C$22)*KFC!$C$5</f>
        <v>136.4267203709968</v>
      </c>
      <c r="P106" s="690">
        <f>(AO106*KFC!$B$22+KFC!$C$22)*KFC!$C$5</f>
        <v>142.02405820689287</v>
      </c>
      <c r="Q106" s="690">
        <f>(AP106*KFC!$B$22+KFC!$C$22)*KFC!$C$5</f>
        <v>147.62139604278894</v>
      </c>
      <c r="R106" s="690">
        <f>(AQ106*KFC!$B$22+KFC!$C$22)*KFC!$C$5</f>
        <v>153.21873387868501</v>
      </c>
      <c r="S106" s="690">
        <f>(AR106*KFC!$B$22+KFC!$C$22)*KFC!$C$5</f>
        <v>158.81607171458108</v>
      </c>
      <c r="T106" s="690">
        <f>(AS106*KFC!$B$22+KFC!$C$22)*KFC!$C$5</f>
        <v>164.41340955047716</v>
      </c>
      <c r="U106" s="690">
        <f>(AT106*KFC!$B$22+KFC!$C$22)*KFC!$C$5</f>
        <v>170.01074738637325</v>
      </c>
      <c r="V106" s="690">
        <f>(AU106*KFC!$B$22+KFC!$C$22)*KFC!$C$5</f>
        <v>175.60808522226935</v>
      </c>
      <c r="W106" s="690">
        <f>(AV106*KFC!$B$22+KFC!$C$22)*KFC!$C$5</f>
        <v>181.20542305816545</v>
      </c>
      <c r="X106" s="690">
        <f>(AW106*KFC!$B$22+KFC!$C$22)*KFC!$C$5</f>
        <v>186.80276089406152</v>
      </c>
      <c r="Y106" s="690">
        <f>(AX106*KFC!$B$22+KFC!$C$22)*KFC!$C$5</f>
        <v>192.40009872995762</v>
      </c>
      <c r="Z106" s="690">
        <f>(AY106*KFC!$B$22+KFC!$C$22)*KFC!$C$5</f>
        <v>197.9974365658536</v>
      </c>
      <c r="AB106" s="771">
        <v>69.258666340243934</v>
      </c>
      <c r="AC106" s="772">
        <v>74.856004176140004</v>
      </c>
      <c r="AD106" s="772">
        <v>80.453342012036074</v>
      </c>
      <c r="AE106" s="772">
        <v>86.050679847932159</v>
      </c>
      <c r="AF106" s="772">
        <v>91.648017683828229</v>
      </c>
      <c r="AG106" s="772">
        <v>97.245355519724299</v>
      </c>
      <c r="AH106" s="772">
        <v>102.84269335562037</v>
      </c>
      <c r="AI106" s="772">
        <v>108.44003119151645</v>
      </c>
      <c r="AJ106" s="772">
        <v>114.03736902741252</v>
      </c>
      <c r="AK106" s="772">
        <v>119.63470686330859</v>
      </c>
      <c r="AL106" s="772">
        <v>125.23204469920466</v>
      </c>
      <c r="AM106" s="772">
        <v>130.82938253510073</v>
      </c>
      <c r="AN106" s="772">
        <v>136.4267203709968</v>
      </c>
      <c r="AO106" s="772">
        <v>142.02405820689287</v>
      </c>
      <c r="AP106" s="772">
        <v>147.62139604278894</v>
      </c>
      <c r="AQ106" s="772">
        <v>153.21873387868501</v>
      </c>
      <c r="AR106" s="772">
        <v>158.81607171458108</v>
      </c>
      <c r="AS106" s="772">
        <v>164.41340955047716</v>
      </c>
      <c r="AT106" s="772">
        <v>170.01074738637325</v>
      </c>
      <c r="AU106" s="772">
        <v>175.60808522226935</v>
      </c>
      <c r="AV106" s="772">
        <v>181.20542305816545</v>
      </c>
      <c r="AW106" s="772">
        <v>186.80276089406152</v>
      </c>
      <c r="AX106" s="772">
        <v>192.40009872995762</v>
      </c>
      <c r="AY106" s="773">
        <v>197.9974365658536</v>
      </c>
    </row>
    <row r="107" spans="1:51">
      <c r="A107" s="1277"/>
      <c r="B107" s="681">
        <v>1.4</v>
      </c>
      <c r="C107" s="690">
        <f>(AB107*KFC!$B$22+KFC!$C$22)*KFC!$C$5</f>
        <v>70.333762639024428</v>
      </c>
      <c r="D107" s="690">
        <f>(AC107*KFC!$B$22+KFC!$C$22)*KFC!$C$5</f>
        <v>76.085144123700985</v>
      </c>
      <c r="E107" s="690">
        <f>(AD107*KFC!$B$22+KFC!$C$22)*KFC!$C$5</f>
        <v>81.836525608377542</v>
      </c>
      <c r="F107" s="690">
        <f>(AE107*KFC!$B$22+KFC!$C$22)*KFC!$C$5</f>
        <v>87.587907093054099</v>
      </c>
      <c r="G107" s="690">
        <f>(AF107*KFC!$B$22+KFC!$C$22)*KFC!$C$5</f>
        <v>93.339288577730642</v>
      </c>
      <c r="H107" s="690">
        <f>(AG107*KFC!$B$22+KFC!$C$22)*KFC!$C$5</f>
        <v>99.090670062407199</v>
      </c>
      <c r="I107" s="690">
        <f>(AH107*KFC!$B$22+KFC!$C$22)*KFC!$C$5</f>
        <v>104.84205154708374</v>
      </c>
      <c r="J107" s="690">
        <f>(AI107*KFC!$B$22+KFC!$C$22)*KFC!$C$5</f>
        <v>110.5934330317603</v>
      </c>
      <c r="K107" s="690">
        <f>(AJ107*KFC!$B$22+KFC!$C$22)*KFC!$C$5</f>
        <v>116.34481451643686</v>
      </c>
      <c r="L107" s="690">
        <f>(AK107*KFC!$B$22+KFC!$C$22)*KFC!$C$5</f>
        <v>122.0961960011134</v>
      </c>
      <c r="M107" s="690">
        <f>(AL107*KFC!$B$22+KFC!$C$22)*KFC!$C$5</f>
        <v>127.84757748578996</v>
      </c>
      <c r="N107" s="690">
        <f>(AM107*KFC!$B$22+KFC!$C$22)*KFC!$C$5</f>
        <v>133.5989589704665</v>
      </c>
      <c r="O107" s="690">
        <f>(AN107*KFC!$B$22+KFC!$C$22)*KFC!$C$5</f>
        <v>139.35034045514305</v>
      </c>
      <c r="P107" s="690">
        <f>(AO107*KFC!$B$22+KFC!$C$22)*KFC!$C$5</f>
        <v>145.10172193981961</v>
      </c>
      <c r="Q107" s="690">
        <f>(AP107*KFC!$B$22+KFC!$C$22)*KFC!$C$5</f>
        <v>150.85310342449614</v>
      </c>
      <c r="R107" s="690">
        <f>(AQ107*KFC!$B$22+KFC!$C$22)*KFC!$C$5</f>
        <v>156.6044849091727</v>
      </c>
      <c r="S107" s="690">
        <f>(AR107*KFC!$B$22+KFC!$C$22)*KFC!$C$5</f>
        <v>162.35586639384925</v>
      </c>
      <c r="T107" s="690">
        <f>(AS107*KFC!$B$22+KFC!$C$22)*KFC!$C$5</f>
        <v>168.10724787852581</v>
      </c>
      <c r="U107" s="690">
        <f>(AT107*KFC!$B$22+KFC!$C$22)*KFC!$C$5</f>
        <v>173.85862936320237</v>
      </c>
      <c r="V107" s="690">
        <f>(AU107*KFC!$B$22+KFC!$C$22)*KFC!$C$5</f>
        <v>179.6100108478789</v>
      </c>
      <c r="W107" s="690">
        <f>(AV107*KFC!$B$22+KFC!$C$22)*KFC!$C$5</f>
        <v>185.36139233255545</v>
      </c>
      <c r="X107" s="690">
        <f>(AW107*KFC!$B$22+KFC!$C$22)*KFC!$C$5</f>
        <v>191.11277381723201</v>
      </c>
      <c r="Y107" s="690">
        <f>(AX107*KFC!$B$22+KFC!$C$22)*KFC!$C$5</f>
        <v>196.86415530190857</v>
      </c>
      <c r="Z107" s="690">
        <f>(AY107*KFC!$B$22+KFC!$C$22)*KFC!$C$5</f>
        <v>202.6155367865853</v>
      </c>
      <c r="AB107" s="771">
        <v>70.333762639024428</v>
      </c>
      <c r="AC107" s="772">
        <v>76.085144123700985</v>
      </c>
      <c r="AD107" s="772">
        <v>81.836525608377542</v>
      </c>
      <c r="AE107" s="772">
        <v>87.587907093054099</v>
      </c>
      <c r="AF107" s="772">
        <v>93.339288577730642</v>
      </c>
      <c r="AG107" s="772">
        <v>99.090670062407199</v>
      </c>
      <c r="AH107" s="772">
        <v>104.84205154708374</v>
      </c>
      <c r="AI107" s="772">
        <v>110.5934330317603</v>
      </c>
      <c r="AJ107" s="772">
        <v>116.34481451643686</v>
      </c>
      <c r="AK107" s="772">
        <v>122.0961960011134</v>
      </c>
      <c r="AL107" s="772">
        <v>127.84757748578996</v>
      </c>
      <c r="AM107" s="772">
        <v>133.5989589704665</v>
      </c>
      <c r="AN107" s="772">
        <v>139.35034045514305</v>
      </c>
      <c r="AO107" s="772">
        <v>145.10172193981961</v>
      </c>
      <c r="AP107" s="772">
        <v>150.85310342449614</v>
      </c>
      <c r="AQ107" s="772">
        <v>156.6044849091727</v>
      </c>
      <c r="AR107" s="772">
        <v>162.35586639384925</v>
      </c>
      <c r="AS107" s="772">
        <v>168.10724787852581</v>
      </c>
      <c r="AT107" s="772">
        <v>173.85862936320237</v>
      </c>
      <c r="AU107" s="772">
        <v>179.6100108478789</v>
      </c>
      <c r="AV107" s="772">
        <v>185.36139233255545</v>
      </c>
      <c r="AW107" s="772">
        <v>191.11277381723201</v>
      </c>
      <c r="AX107" s="772">
        <v>196.86415530190857</v>
      </c>
      <c r="AY107" s="773">
        <v>202.6155367865853</v>
      </c>
    </row>
    <row r="108" spans="1:51">
      <c r="A108" s="1277"/>
      <c r="B108" s="681">
        <v>1.5</v>
      </c>
      <c r="C108" s="690">
        <f>(AB108*KFC!$B$22+KFC!$C$22)*KFC!$C$5</f>
        <v>71.408858937804922</v>
      </c>
      <c r="D108" s="690">
        <f>(AC108*KFC!$B$22+KFC!$C$22)*KFC!$C$5</f>
        <v>77.314284071261966</v>
      </c>
      <c r="E108" s="690">
        <f>(AD108*KFC!$B$22+KFC!$C$22)*KFC!$C$5</f>
        <v>83.21970920471901</v>
      </c>
      <c r="F108" s="690">
        <f>(AE108*KFC!$B$22+KFC!$C$22)*KFC!$C$5</f>
        <v>89.125134338176053</v>
      </c>
      <c r="G108" s="690">
        <f>(AF108*KFC!$B$22+KFC!$C$22)*KFC!$C$5</f>
        <v>95.030559471633097</v>
      </c>
      <c r="H108" s="690">
        <f>(AG108*KFC!$B$22+KFC!$C$22)*KFC!$C$5</f>
        <v>100.93598460509014</v>
      </c>
      <c r="I108" s="690">
        <f>(AH108*KFC!$B$22+KFC!$C$22)*KFC!$C$5</f>
        <v>106.8414097385472</v>
      </c>
      <c r="J108" s="690">
        <f>(AI108*KFC!$B$22+KFC!$C$22)*KFC!$C$5</f>
        <v>112.74683487200424</v>
      </c>
      <c r="K108" s="690">
        <f>(AJ108*KFC!$B$22+KFC!$C$22)*KFC!$C$5</f>
        <v>118.65226000546129</v>
      </c>
      <c r="L108" s="690">
        <f>(AK108*KFC!$B$22+KFC!$C$22)*KFC!$C$5</f>
        <v>124.55768513891834</v>
      </c>
      <c r="M108" s="690">
        <f>(AL108*KFC!$B$22+KFC!$C$22)*KFC!$C$5</f>
        <v>130.46311027237539</v>
      </c>
      <c r="N108" s="690">
        <f>(AM108*KFC!$B$22+KFC!$C$22)*KFC!$C$5</f>
        <v>136.36853540583243</v>
      </c>
      <c r="O108" s="690">
        <f>(AN108*KFC!$B$22+KFC!$C$22)*KFC!$C$5</f>
        <v>142.27396053928948</v>
      </c>
      <c r="P108" s="690">
        <f>(AO108*KFC!$B$22+KFC!$C$22)*KFC!$C$5</f>
        <v>148.17938567274652</v>
      </c>
      <c r="Q108" s="690">
        <f>(AP108*KFC!$B$22+KFC!$C$22)*KFC!$C$5</f>
        <v>154.08481080620359</v>
      </c>
      <c r="R108" s="690">
        <f>(AQ108*KFC!$B$22+KFC!$C$22)*KFC!$C$5</f>
        <v>159.99023593966064</v>
      </c>
      <c r="S108" s="690">
        <f>(AR108*KFC!$B$22+KFC!$C$22)*KFC!$C$5</f>
        <v>165.89566107311768</v>
      </c>
      <c r="T108" s="690">
        <f>(AS108*KFC!$B$22+KFC!$C$22)*KFC!$C$5</f>
        <v>171.80108620657469</v>
      </c>
      <c r="U108" s="690">
        <f>(AT108*KFC!$B$22+KFC!$C$22)*KFC!$C$5</f>
        <v>177.70651134003174</v>
      </c>
      <c r="V108" s="690">
        <f>(AU108*KFC!$B$22+KFC!$C$22)*KFC!$C$5</f>
        <v>183.61193647348881</v>
      </c>
      <c r="W108" s="690">
        <f>(AV108*KFC!$B$22+KFC!$C$22)*KFC!$C$5</f>
        <v>189.51736160694585</v>
      </c>
      <c r="X108" s="690">
        <f>(AW108*KFC!$B$22+KFC!$C$22)*KFC!$C$5</f>
        <v>195.4227867404029</v>
      </c>
      <c r="Y108" s="690">
        <f>(AX108*KFC!$B$22+KFC!$C$22)*KFC!$C$5</f>
        <v>201.32821187385994</v>
      </c>
      <c r="Z108" s="690">
        <f>(AY108*KFC!$B$22+KFC!$C$22)*KFC!$C$5</f>
        <v>207.23363700731699</v>
      </c>
      <c r="AB108" s="771">
        <v>71.408858937804922</v>
      </c>
      <c r="AC108" s="772">
        <v>77.314284071261966</v>
      </c>
      <c r="AD108" s="772">
        <v>83.21970920471901</v>
      </c>
      <c r="AE108" s="772">
        <v>89.125134338176053</v>
      </c>
      <c r="AF108" s="772">
        <v>95.030559471633097</v>
      </c>
      <c r="AG108" s="772">
        <v>100.93598460509014</v>
      </c>
      <c r="AH108" s="772">
        <v>106.8414097385472</v>
      </c>
      <c r="AI108" s="772">
        <v>112.74683487200424</v>
      </c>
      <c r="AJ108" s="772">
        <v>118.65226000546129</v>
      </c>
      <c r="AK108" s="772">
        <v>124.55768513891834</v>
      </c>
      <c r="AL108" s="772">
        <v>130.46311027237539</v>
      </c>
      <c r="AM108" s="772">
        <v>136.36853540583243</v>
      </c>
      <c r="AN108" s="772">
        <v>142.27396053928948</v>
      </c>
      <c r="AO108" s="772">
        <v>148.17938567274652</v>
      </c>
      <c r="AP108" s="772">
        <v>154.08481080620359</v>
      </c>
      <c r="AQ108" s="772">
        <v>159.99023593966064</v>
      </c>
      <c r="AR108" s="772">
        <v>165.89566107311768</v>
      </c>
      <c r="AS108" s="772">
        <v>171.80108620657469</v>
      </c>
      <c r="AT108" s="772">
        <v>177.70651134003174</v>
      </c>
      <c r="AU108" s="772">
        <v>183.61193647348881</v>
      </c>
      <c r="AV108" s="772">
        <v>189.51736160694585</v>
      </c>
      <c r="AW108" s="772">
        <v>195.4227867404029</v>
      </c>
      <c r="AX108" s="772">
        <v>201.32821187385994</v>
      </c>
      <c r="AY108" s="773">
        <v>207.23363700731699</v>
      </c>
    </row>
    <row r="109" spans="1:51">
      <c r="A109" s="1277"/>
      <c r="B109" s="681">
        <v>1.6</v>
      </c>
      <c r="C109" s="690">
        <f>(AB109*KFC!$B$22+KFC!$C$22)*KFC!$C$5</f>
        <v>72.483955236585402</v>
      </c>
      <c r="D109" s="690">
        <f>(AC109*KFC!$B$22+KFC!$C$22)*KFC!$C$5</f>
        <v>78.543424018822947</v>
      </c>
      <c r="E109" s="690">
        <f>(AD109*KFC!$B$22+KFC!$C$22)*KFC!$C$5</f>
        <v>84.602892801060477</v>
      </c>
      <c r="F109" s="690">
        <f>(AE109*KFC!$B$22+KFC!$C$22)*KFC!$C$5</f>
        <v>90.662361583298008</v>
      </c>
      <c r="G109" s="690">
        <f>(AF109*KFC!$B$22+KFC!$C$22)*KFC!$C$5</f>
        <v>96.721830365535538</v>
      </c>
      <c r="H109" s="690">
        <f>(AG109*KFC!$B$22+KFC!$C$22)*KFC!$C$5</f>
        <v>102.78129914777305</v>
      </c>
      <c r="I109" s="690">
        <f>(AH109*KFC!$B$22+KFC!$C$22)*KFC!$C$5</f>
        <v>108.84076793001059</v>
      </c>
      <c r="J109" s="690">
        <f>(AI109*KFC!$B$22+KFC!$C$22)*KFC!$C$5</f>
        <v>114.90023671224812</v>
      </c>
      <c r="K109" s="690">
        <f>(AJ109*KFC!$B$22+KFC!$C$22)*KFC!$C$5</f>
        <v>120.95970549448563</v>
      </c>
      <c r="L109" s="690">
        <f>(AK109*KFC!$B$22+KFC!$C$22)*KFC!$C$5</f>
        <v>127.01917427672316</v>
      </c>
      <c r="M109" s="690">
        <f>(AL109*KFC!$B$22+KFC!$C$22)*KFC!$C$5</f>
        <v>133.07864305896069</v>
      </c>
      <c r="N109" s="690">
        <f>(AM109*KFC!$B$22+KFC!$C$22)*KFC!$C$5</f>
        <v>139.13811184119822</v>
      </c>
      <c r="O109" s="690">
        <f>(AN109*KFC!$B$22+KFC!$C$22)*KFC!$C$5</f>
        <v>145.19758062343575</v>
      </c>
      <c r="P109" s="690">
        <f>(AO109*KFC!$B$22+KFC!$C$22)*KFC!$C$5</f>
        <v>151.25704940567329</v>
      </c>
      <c r="Q109" s="690">
        <f>(AP109*KFC!$B$22+KFC!$C$22)*KFC!$C$5</f>
        <v>157.31651818791079</v>
      </c>
      <c r="R109" s="690">
        <f>(AQ109*KFC!$B$22+KFC!$C$22)*KFC!$C$5</f>
        <v>163.37598697014832</v>
      </c>
      <c r="S109" s="690">
        <f>(AR109*KFC!$B$22+KFC!$C$22)*KFC!$C$5</f>
        <v>169.43545575238588</v>
      </c>
      <c r="T109" s="690">
        <f>(AS109*KFC!$B$22+KFC!$C$22)*KFC!$C$5</f>
        <v>175.49492453462341</v>
      </c>
      <c r="U109" s="690">
        <f>(AT109*KFC!$B$22+KFC!$C$22)*KFC!$C$5</f>
        <v>181.55439331686097</v>
      </c>
      <c r="V109" s="690">
        <f>(AU109*KFC!$B$22+KFC!$C$22)*KFC!$C$5</f>
        <v>187.6138620990985</v>
      </c>
      <c r="W109" s="690">
        <f>(AV109*KFC!$B$22+KFC!$C$22)*KFC!$C$5</f>
        <v>193.67333088133606</v>
      </c>
      <c r="X109" s="690">
        <f>(AW109*KFC!$B$22+KFC!$C$22)*KFC!$C$5</f>
        <v>199.73279966357359</v>
      </c>
      <c r="Y109" s="690">
        <f>(AX109*KFC!$B$22+KFC!$C$22)*KFC!$C$5</f>
        <v>205.79226844581115</v>
      </c>
      <c r="Z109" s="690">
        <f>(AY109*KFC!$B$22+KFC!$C$22)*KFC!$C$5</f>
        <v>211.85173722804868</v>
      </c>
      <c r="AB109" s="771">
        <v>72.483955236585402</v>
      </c>
      <c r="AC109" s="772">
        <v>78.543424018822947</v>
      </c>
      <c r="AD109" s="772">
        <v>84.602892801060477</v>
      </c>
      <c r="AE109" s="772">
        <v>90.662361583298008</v>
      </c>
      <c r="AF109" s="772">
        <v>96.721830365535538</v>
      </c>
      <c r="AG109" s="772">
        <v>102.78129914777305</v>
      </c>
      <c r="AH109" s="772">
        <v>108.84076793001059</v>
      </c>
      <c r="AI109" s="772">
        <v>114.90023671224812</v>
      </c>
      <c r="AJ109" s="772">
        <v>120.95970549448563</v>
      </c>
      <c r="AK109" s="772">
        <v>127.01917427672316</v>
      </c>
      <c r="AL109" s="772">
        <v>133.07864305896069</v>
      </c>
      <c r="AM109" s="772">
        <v>139.13811184119822</v>
      </c>
      <c r="AN109" s="772">
        <v>145.19758062343575</v>
      </c>
      <c r="AO109" s="772">
        <v>151.25704940567329</v>
      </c>
      <c r="AP109" s="772">
        <v>157.31651818791079</v>
      </c>
      <c r="AQ109" s="772">
        <v>163.37598697014832</v>
      </c>
      <c r="AR109" s="772">
        <v>169.43545575238588</v>
      </c>
      <c r="AS109" s="772">
        <v>175.49492453462341</v>
      </c>
      <c r="AT109" s="772">
        <v>181.55439331686097</v>
      </c>
      <c r="AU109" s="772">
        <v>187.6138620990985</v>
      </c>
      <c r="AV109" s="772">
        <v>193.67333088133606</v>
      </c>
      <c r="AW109" s="772">
        <v>199.73279966357359</v>
      </c>
      <c r="AX109" s="772">
        <v>205.79226844581115</v>
      </c>
      <c r="AY109" s="773">
        <v>211.85173722804868</v>
      </c>
    </row>
    <row r="110" spans="1:51">
      <c r="A110" s="1277"/>
      <c r="B110" s="681">
        <v>1.7</v>
      </c>
      <c r="C110" s="690">
        <f>(AB110*KFC!$B$22+KFC!$C$22)*KFC!$C$5</f>
        <v>73.559051535365896</v>
      </c>
      <c r="D110" s="690">
        <f>(AC110*KFC!$B$22+KFC!$C$22)*KFC!$C$5</f>
        <v>79.772563966383927</v>
      </c>
      <c r="E110" s="690">
        <f>(AD110*KFC!$B$22+KFC!$C$22)*KFC!$C$5</f>
        <v>85.986076397401931</v>
      </c>
      <c r="F110" s="690">
        <f>(AE110*KFC!$B$22+KFC!$C$22)*KFC!$C$5</f>
        <v>92.199588828419962</v>
      </c>
      <c r="G110" s="690">
        <f>(AF110*KFC!$B$22+KFC!$C$22)*KFC!$C$5</f>
        <v>98.41310125943798</v>
      </c>
      <c r="H110" s="690">
        <f>(AG110*KFC!$B$22+KFC!$C$22)*KFC!$C$5</f>
        <v>104.62661369045601</v>
      </c>
      <c r="I110" s="690">
        <f>(AH110*KFC!$B$22+KFC!$C$22)*KFC!$C$5</f>
        <v>110.84012612147403</v>
      </c>
      <c r="J110" s="690">
        <f>(AI110*KFC!$B$22+KFC!$C$22)*KFC!$C$5</f>
        <v>117.05363855249206</v>
      </c>
      <c r="K110" s="690">
        <f>(AJ110*KFC!$B$22+KFC!$C$22)*KFC!$C$5</f>
        <v>123.26715098351008</v>
      </c>
      <c r="L110" s="690">
        <f>(AK110*KFC!$B$22+KFC!$C$22)*KFC!$C$5</f>
        <v>129.4806634145281</v>
      </c>
      <c r="M110" s="690">
        <f>(AL110*KFC!$B$22+KFC!$C$22)*KFC!$C$5</f>
        <v>135.69417584554614</v>
      </c>
      <c r="N110" s="690">
        <f>(AM110*KFC!$B$22+KFC!$C$22)*KFC!$C$5</f>
        <v>141.90768827656416</v>
      </c>
      <c r="O110" s="690">
        <f>(AN110*KFC!$B$22+KFC!$C$22)*KFC!$C$5</f>
        <v>148.12120070758218</v>
      </c>
      <c r="P110" s="690">
        <f>(AO110*KFC!$B$22+KFC!$C$22)*KFC!$C$5</f>
        <v>154.33471313860019</v>
      </c>
      <c r="Q110" s="690">
        <f>(AP110*KFC!$B$22+KFC!$C$22)*KFC!$C$5</f>
        <v>160.54822556961821</v>
      </c>
      <c r="R110" s="690">
        <f>(AQ110*KFC!$B$22+KFC!$C$22)*KFC!$C$5</f>
        <v>166.76173800063626</v>
      </c>
      <c r="S110" s="690">
        <f>(AR110*KFC!$B$22+KFC!$C$22)*KFC!$C$5</f>
        <v>172.97525043165427</v>
      </c>
      <c r="T110" s="690">
        <f>(AS110*KFC!$B$22+KFC!$C$22)*KFC!$C$5</f>
        <v>179.18876286267229</v>
      </c>
      <c r="U110" s="690">
        <f>(AT110*KFC!$B$22+KFC!$C$22)*KFC!$C$5</f>
        <v>185.40227529369028</v>
      </c>
      <c r="V110" s="690">
        <f>(AU110*KFC!$B$22+KFC!$C$22)*KFC!$C$5</f>
        <v>191.6157877247083</v>
      </c>
      <c r="W110" s="690">
        <f>(AV110*KFC!$B$22+KFC!$C$22)*KFC!$C$5</f>
        <v>197.82930015572629</v>
      </c>
      <c r="X110" s="690">
        <f>(AW110*KFC!$B$22+KFC!$C$22)*KFC!$C$5</f>
        <v>204.0428125867443</v>
      </c>
      <c r="Y110" s="690">
        <f>(AX110*KFC!$B$22+KFC!$C$22)*KFC!$C$5</f>
        <v>210.25632501776229</v>
      </c>
      <c r="Z110" s="690">
        <f>(AY110*KFC!$B$22+KFC!$C$22)*KFC!$C$5</f>
        <v>216.4698374487804</v>
      </c>
      <c r="AB110" s="771">
        <v>73.559051535365896</v>
      </c>
      <c r="AC110" s="772">
        <v>79.772563966383927</v>
      </c>
      <c r="AD110" s="772">
        <v>85.986076397401931</v>
      </c>
      <c r="AE110" s="772">
        <v>92.199588828419962</v>
      </c>
      <c r="AF110" s="772">
        <v>98.41310125943798</v>
      </c>
      <c r="AG110" s="772">
        <v>104.62661369045601</v>
      </c>
      <c r="AH110" s="772">
        <v>110.84012612147403</v>
      </c>
      <c r="AI110" s="772">
        <v>117.05363855249206</v>
      </c>
      <c r="AJ110" s="772">
        <v>123.26715098351008</v>
      </c>
      <c r="AK110" s="772">
        <v>129.4806634145281</v>
      </c>
      <c r="AL110" s="772">
        <v>135.69417584554614</v>
      </c>
      <c r="AM110" s="772">
        <v>141.90768827656416</v>
      </c>
      <c r="AN110" s="772">
        <v>148.12120070758218</v>
      </c>
      <c r="AO110" s="772">
        <v>154.33471313860019</v>
      </c>
      <c r="AP110" s="772">
        <v>160.54822556961821</v>
      </c>
      <c r="AQ110" s="772">
        <v>166.76173800063626</v>
      </c>
      <c r="AR110" s="772">
        <v>172.97525043165427</v>
      </c>
      <c r="AS110" s="772">
        <v>179.18876286267229</v>
      </c>
      <c r="AT110" s="772">
        <v>185.40227529369028</v>
      </c>
      <c r="AU110" s="772">
        <v>191.6157877247083</v>
      </c>
      <c r="AV110" s="772">
        <v>197.82930015572629</v>
      </c>
      <c r="AW110" s="772">
        <v>204.0428125867443</v>
      </c>
      <c r="AX110" s="772">
        <v>210.25632501776229</v>
      </c>
      <c r="AY110" s="773">
        <v>216.4698374487804</v>
      </c>
    </row>
    <row r="111" spans="1:51">
      <c r="A111" s="1277"/>
      <c r="B111" s="681">
        <v>1.8</v>
      </c>
      <c r="C111" s="690">
        <f>(AB111*KFC!$B$22+KFC!$C$22)*KFC!$C$5</f>
        <v>74.63414783414639</v>
      </c>
      <c r="D111" s="690">
        <f>(AC111*KFC!$B$22+KFC!$C$22)*KFC!$C$5</f>
        <v>81.001703913944908</v>
      </c>
      <c r="E111" s="690">
        <f>(AD111*KFC!$B$22+KFC!$C$22)*KFC!$C$5</f>
        <v>87.369259993743412</v>
      </c>
      <c r="F111" s="690">
        <f>(AE111*KFC!$B$22+KFC!$C$22)*KFC!$C$5</f>
        <v>93.736816073541917</v>
      </c>
      <c r="G111" s="690">
        <f>(AF111*KFC!$B$22+KFC!$C$22)*KFC!$C$5</f>
        <v>100.10437215334042</v>
      </c>
      <c r="H111" s="690">
        <f>(AG111*KFC!$B$22+KFC!$C$22)*KFC!$C$5</f>
        <v>106.47192823313893</v>
      </c>
      <c r="I111" s="690">
        <f>(AH111*KFC!$B$22+KFC!$C$22)*KFC!$C$5</f>
        <v>112.83948431293743</v>
      </c>
      <c r="J111" s="690">
        <f>(AI111*KFC!$B$22+KFC!$C$22)*KFC!$C$5</f>
        <v>119.20704039273593</v>
      </c>
      <c r="K111" s="690">
        <f>(AJ111*KFC!$B$22+KFC!$C$22)*KFC!$C$5</f>
        <v>125.57459647253442</v>
      </c>
      <c r="L111" s="690">
        <f>(AK111*KFC!$B$22+KFC!$C$22)*KFC!$C$5</f>
        <v>131.94215255233294</v>
      </c>
      <c r="M111" s="690">
        <f>(AL111*KFC!$B$22+KFC!$C$22)*KFC!$C$5</f>
        <v>138.30970863213145</v>
      </c>
      <c r="N111" s="690">
        <f>(AM111*KFC!$B$22+KFC!$C$22)*KFC!$C$5</f>
        <v>144.67726471192995</v>
      </c>
      <c r="O111" s="690">
        <f>(AN111*KFC!$B$22+KFC!$C$22)*KFC!$C$5</f>
        <v>151.04482079172843</v>
      </c>
      <c r="P111" s="690">
        <f>(AO111*KFC!$B$22+KFC!$C$22)*KFC!$C$5</f>
        <v>157.41237687152693</v>
      </c>
      <c r="Q111" s="690">
        <f>(AP111*KFC!$B$22+KFC!$C$22)*KFC!$C$5</f>
        <v>163.77993295132543</v>
      </c>
      <c r="R111" s="690">
        <f>(AQ111*KFC!$B$22+KFC!$C$22)*KFC!$C$5</f>
        <v>170.14748903112394</v>
      </c>
      <c r="S111" s="690">
        <f>(AR111*KFC!$B$22+KFC!$C$22)*KFC!$C$5</f>
        <v>176.51504511092244</v>
      </c>
      <c r="T111" s="690">
        <f>(AS111*KFC!$B$22+KFC!$C$22)*KFC!$C$5</f>
        <v>182.88260119072095</v>
      </c>
      <c r="U111" s="690">
        <f>(AT111*KFC!$B$22+KFC!$C$22)*KFC!$C$5</f>
        <v>189.25015727051945</v>
      </c>
      <c r="V111" s="690">
        <f>(AU111*KFC!$B$22+KFC!$C$22)*KFC!$C$5</f>
        <v>195.61771335031796</v>
      </c>
      <c r="W111" s="690">
        <f>(AV111*KFC!$B$22+KFC!$C$22)*KFC!$C$5</f>
        <v>201.98526943011646</v>
      </c>
      <c r="X111" s="690">
        <f>(AW111*KFC!$B$22+KFC!$C$22)*KFC!$C$5</f>
        <v>208.35282550991496</v>
      </c>
      <c r="Y111" s="690">
        <f>(AX111*KFC!$B$22+KFC!$C$22)*KFC!$C$5</f>
        <v>214.72038158971347</v>
      </c>
      <c r="Z111" s="690">
        <f>(AY111*KFC!$B$22+KFC!$C$22)*KFC!$C$5</f>
        <v>221.08793766951209</v>
      </c>
      <c r="AB111" s="771">
        <v>74.63414783414639</v>
      </c>
      <c r="AC111" s="772">
        <v>81.001703913944908</v>
      </c>
      <c r="AD111" s="772">
        <v>87.369259993743412</v>
      </c>
      <c r="AE111" s="772">
        <v>93.736816073541917</v>
      </c>
      <c r="AF111" s="772">
        <v>100.10437215334042</v>
      </c>
      <c r="AG111" s="772">
        <v>106.47192823313893</v>
      </c>
      <c r="AH111" s="772">
        <v>112.83948431293743</v>
      </c>
      <c r="AI111" s="772">
        <v>119.20704039273593</v>
      </c>
      <c r="AJ111" s="772">
        <v>125.57459647253442</v>
      </c>
      <c r="AK111" s="772">
        <v>131.94215255233294</v>
      </c>
      <c r="AL111" s="772">
        <v>138.30970863213145</v>
      </c>
      <c r="AM111" s="772">
        <v>144.67726471192995</v>
      </c>
      <c r="AN111" s="772">
        <v>151.04482079172843</v>
      </c>
      <c r="AO111" s="772">
        <v>157.41237687152693</v>
      </c>
      <c r="AP111" s="772">
        <v>163.77993295132543</v>
      </c>
      <c r="AQ111" s="772">
        <v>170.14748903112394</v>
      </c>
      <c r="AR111" s="772">
        <v>176.51504511092244</v>
      </c>
      <c r="AS111" s="772">
        <v>182.88260119072095</v>
      </c>
      <c r="AT111" s="772">
        <v>189.25015727051945</v>
      </c>
      <c r="AU111" s="772">
        <v>195.61771335031796</v>
      </c>
      <c r="AV111" s="772">
        <v>201.98526943011646</v>
      </c>
      <c r="AW111" s="772">
        <v>208.35282550991496</v>
      </c>
      <c r="AX111" s="772">
        <v>214.72038158971347</v>
      </c>
      <c r="AY111" s="773">
        <v>221.08793766951209</v>
      </c>
    </row>
    <row r="112" spans="1:51">
      <c r="A112" s="1277"/>
      <c r="B112" s="681">
        <v>1.9</v>
      </c>
      <c r="C112" s="690">
        <f>(AB112*KFC!$B$22+KFC!$C$22)*KFC!$C$5</f>
        <v>75.709244132926884</v>
      </c>
      <c r="D112" s="690">
        <f>(AC112*KFC!$B$22+KFC!$C$22)*KFC!$C$5</f>
        <v>82.230843861505875</v>
      </c>
      <c r="E112" s="690">
        <f>(AD112*KFC!$B$22+KFC!$C$22)*KFC!$C$5</f>
        <v>88.752443590084866</v>
      </c>
      <c r="F112" s="690">
        <f>(AE112*KFC!$B$22+KFC!$C$22)*KFC!$C$5</f>
        <v>95.274043318663871</v>
      </c>
      <c r="G112" s="690">
        <f>(AF112*KFC!$B$22+KFC!$C$22)*KFC!$C$5</f>
        <v>101.79564304724288</v>
      </c>
      <c r="H112" s="690">
        <f>(AG112*KFC!$B$22+KFC!$C$22)*KFC!$C$5</f>
        <v>108.31724277582187</v>
      </c>
      <c r="I112" s="690">
        <f>(AH112*KFC!$B$22+KFC!$C$22)*KFC!$C$5</f>
        <v>114.83884250440087</v>
      </c>
      <c r="J112" s="690">
        <f>(AI112*KFC!$B$22+KFC!$C$22)*KFC!$C$5</f>
        <v>121.36044223297988</v>
      </c>
      <c r="K112" s="690">
        <f>(AJ112*KFC!$B$22+KFC!$C$22)*KFC!$C$5</f>
        <v>127.88204196155887</v>
      </c>
      <c r="L112" s="690">
        <f>(AK112*KFC!$B$22+KFC!$C$22)*KFC!$C$5</f>
        <v>134.40364169013787</v>
      </c>
      <c r="M112" s="690">
        <f>(AL112*KFC!$B$22+KFC!$C$22)*KFC!$C$5</f>
        <v>140.92524141871687</v>
      </c>
      <c r="N112" s="690">
        <f>(AM112*KFC!$B$22+KFC!$C$22)*KFC!$C$5</f>
        <v>147.44684114729586</v>
      </c>
      <c r="O112" s="690">
        <f>(AN112*KFC!$B$22+KFC!$C$22)*KFC!$C$5</f>
        <v>153.96844087587488</v>
      </c>
      <c r="P112" s="690">
        <f>(AO112*KFC!$B$22+KFC!$C$22)*KFC!$C$5</f>
        <v>160.49004060445387</v>
      </c>
      <c r="Q112" s="690">
        <f>(AP112*KFC!$B$22+KFC!$C$22)*KFC!$C$5</f>
        <v>167.01164033303286</v>
      </c>
      <c r="R112" s="690">
        <f>(AQ112*KFC!$B$22+KFC!$C$22)*KFC!$C$5</f>
        <v>173.53324006161185</v>
      </c>
      <c r="S112" s="690">
        <f>(AR112*KFC!$B$22+KFC!$C$22)*KFC!$C$5</f>
        <v>180.05483979019084</v>
      </c>
      <c r="T112" s="690">
        <f>(AS112*KFC!$B$22+KFC!$C$22)*KFC!$C$5</f>
        <v>186.57643951876986</v>
      </c>
      <c r="U112" s="690">
        <f>(AT112*KFC!$B$22+KFC!$C$22)*KFC!$C$5</f>
        <v>193.09803924734885</v>
      </c>
      <c r="V112" s="690">
        <f>(AU112*KFC!$B$22+KFC!$C$22)*KFC!$C$5</f>
        <v>199.61963897592784</v>
      </c>
      <c r="W112" s="690">
        <f>(AV112*KFC!$B$22+KFC!$C$22)*KFC!$C$5</f>
        <v>206.14123870450686</v>
      </c>
      <c r="X112" s="690">
        <f>(AW112*KFC!$B$22+KFC!$C$22)*KFC!$C$5</f>
        <v>212.66283843308585</v>
      </c>
      <c r="Y112" s="690">
        <f>(AX112*KFC!$B$22+KFC!$C$22)*KFC!$C$5</f>
        <v>219.18443816166484</v>
      </c>
      <c r="Z112" s="690">
        <f>(AY112*KFC!$B$22+KFC!$C$22)*KFC!$C$5</f>
        <v>225.70603789024378</v>
      </c>
      <c r="AB112" s="771">
        <v>75.709244132926884</v>
      </c>
      <c r="AC112" s="772">
        <v>82.230843861505875</v>
      </c>
      <c r="AD112" s="772">
        <v>88.752443590084866</v>
      </c>
      <c r="AE112" s="772">
        <v>95.274043318663871</v>
      </c>
      <c r="AF112" s="772">
        <v>101.79564304724288</v>
      </c>
      <c r="AG112" s="772">
        <v>108.31724277582187</v>
      </c>
      <c r="AH112" s="772">
        <v>114.83884250440087</v>
      </c>
      <c r="AI112" s="772">
        <v>121.36044223297988</v>
      </c>
      <c r="AJ112" s="772">
        <v>127.88204196155887</v>
      </c>
      <c r="AK112" s="772">
        <v>134.40364169013787</v>
      </c>
      <c r="AL112" s="772">
        <v>140.92524141871687</v>
      </c>
      <c r="AM112" s="772">
        <v>147.44684114729586</v>
      </c>
      <c r="AN112" s="772">
        <v>153.96844087587488</v>
      </c>
      <c r="AO112" s="772">
        <v>160.49004060445387</v>
      </c>
      <c r="AP112" s="772">
        <v>167.01164033303286</v>
      </c>
      <c r="AQ112" s="772">
        <v>173.53324006161185</v>
      </c>
      <c r="AR112" s="772">
        <v>180.05483979019084</v>
      </c>
      <c r="AS112" s="772">
        <v>186.57643951876986</v>
      </c>
      <c r="AT112" s="772">
        <v>193.09803924734885</v>
      </c>
      <c r="AU112" s="772">
        <v>199.61963897592784</v>
      </c>
      <c r="AV112" s="772">
        <v>206.14123870450686</v>
      </c>
      <c r="AW112" s="772">
        <v>212.66283843308585</v>
      </c>
      <c r="AX112" s="772">
        <v>219.18443816166484</v>
      </c>
      <c r="AY112" s="773">
        <v>225.70603789024378</v>
      </c>
    </row>
    <row r="113" spans="1:51">
      <c r="A113" s="1277"/>
      <c r="B113" s="681">
        <v>2</v>
      </c>
      <c r="C113" s="690">
        <f>(AB113*KFC!$B$22+KFC!$C$22)*KFC!$C$5</f>
        <v>76.784340431707378</v>
      </c>
      <c r="D113" s="690">
        <f>(AC113*KFC!$B$22+KFC!$C$22)*KFC!$C$5</f>
        <v>83.459983809066856</v>
      </c>
      <c r="E113" s="690">
        <f>(AD113*KFC!$B$22+KFC!$C$22)*KFC!$C$5</f>
        <v>90.135627186426333</v>
      </c>
      <c r="F113" s="690">
        <f>(AE113*KFC!$B$22+KFC!$C$22)*KFC!$C$5</f>
        <v>96.811270563785811</v>
      </c>
      <c r="G113" s="690">
        <f>(AF113*KFC!$B$22+KFC!$C$22)*KFC!$C$5</f>
        <v>103.48691394114529</v>
      </c>
      <c r="H113" s="690">
        <f>(AG113*KFC!$B$22+KFC!$C$22)*KFC!$C$5</f>
        <v>110.16255731850477</v>
      </c>
      <c r="I113" s="690">
        <f>(AH113*KFC!$B$22+KFC!$C$22)*KFC!$C$5</f>
        <v>116.83820069586424</v>
      </c>
      <c r="J113" s="690">
        <f>(AI113*KFC!$B$22+KFC!$C$22)*KFC!$C$5</f>
        <v>123.51384407322372</v>
      </c>
      <c r="K113" s="690">
        <f>(AJ113*KFC!$B$22+KFC!$C$22)*KFC!$C$5</f>
        <v>130.18948745058321</v>
      </c>
      <c r="L113" s="690">
        <f>(AK113*KFC!$B$22+KFC!$C$22)*KFC!$C$5</f>
        <v>136.86513082794269</v>
      </c>
      <c r="M113" s="690">
        <f>(AL113*KFC!$B$22+KFC!$C$22)*KFC!$C$5</f>
        <v>143.54077420530217</v>
      </c>
      <c r="N113" s="690">
        <f>(AM113*KFC!$B$22+KFC!$C$22)*KFC!$C$5</f>
        <v>150.21641758266165</v>
      </c>
      <c r="O113" s="690">
        <f>(AN113*KFC!$B$22+KFC!$C$22)*KFC!$C$5</f>
        <v>156.89206096002113</v>
      </c>
      <c r="P113" s="690">
        <f>(AO113*KFC!$B$22+KFC!$C$22)*KFC!$C$5</f>
        <v>163.5677043373806</v>
      </c>
      <c r="Q113" s="690">
        <f>(AP113*KFC!$B$22+KFC!$C$22)*KFC!$C$5</f>
        <v>170.24334771474008</v>
      </c>
      <c r="R113" s="690">
        <f>(AQ113*KFC!$B$22+KFC!$C$22)*KFC!$C$5</f>
        <v>176.91899109209956</v>
      </c>
      <c r="S113" s="690">
        <f>(AR113*KFC!$B$22+KFC!$C$22)*KFC!$C$5</f>
        <v>183.59463446945907</v>
      </c>
      <c r="T113" s="690">
        <f>(AS113*KFC!$B$22+KFC!$C$22)*KFC!$C$5</f>
        <v>190.27027784681857</v>
      </c>
      <c r="U113" s="690">
        <f>(AT113*KFC!$B$22+KFC!$C$22)*KFC!$C$5</f>
        <v>196.94592122417805</v>
      </c>
      <c r="V113" s="690">
        <f>(AU113*KFC!$B$22+KFC!$C$22)*KFC!$C$5</f>
        <v>203.62156460153756</v>
      </c>
      <c r="W113" s="690">
        <f>(AV113*KFC!$B$22+KFC!$C$22)*KFC!$C$5</f>
        <v>210.29720797889706</v>
      </c>
      <c r="X113" s="690">
        <f>(AW113*KFC!$B$22+KFC!$C$22)*KFC!$C$5</f>
        <v>216.97285135625654</v>
      </c>
      <c r="Y113" s="690">
        <f>(AX113*KFC!$B$22+KFC!$C$22)*KFC!$C$5</f>
        <v>223.64849473361605</v>
      </c>
      <c r="Z113" s="690">
        <f>(AY113*KFC!$B$22+KFC!$C$22)*KFC!$C$5</f>
        <v>230.32413811097547</v>
      </c>
      <c r="AB113" s="771">
        <v>76.784340431707378</v>
      </c>
      <c r="AC113" s="772">
        <v>83.459983809066856</v>
      </c>
      <c r="AD113" s="772">
        <v>90.135627186426333</v>
      </c>
      <c r="AE113" s="772">
        <v>96.811270563785811</v>
      </c>
      <c r="AF113" s="772">
        <v>103.48691394114529</v>
      </c>
      <c r="AG113" s="772">
        <v>110.16255731850477</v>
      </c>
      <c r="AH113" s="772">
        <v>116.83820069586424</v>
      </c>
      <c r="AI113" s="772">
        <v>123.51384407322372</v>
      </c>
      <c r="AJ113" s="772">
        <v>130.18948745058321</v>
      </c>
      <c r="AK113" s="772">
        <v>136.86513082794269</v>
      </c>
      <c r="AL113" s="772">
        <v>143.54077420530217</v>
      </c>
      <c r="AM113" s="772">
        <v>150.21641758266165</v>
      </c>
      <c r="AN113" s="772">
        <v>156.89206096002113</v>
      </c>
      <c r="AO113" s="772">
        <v>163.5677043373806</v>
      </c>
      <c r="AP113" s="772">
        <v>170.24334771474008</v>
      </c>
      <c r="AQ113" s="772">
        <v>176.91899109209956</v>
      </c>
      <c r="AR113" s="772">
        <v>183.59463446945907</v>
      </c>
      <c r="AS113" s="772">
        <v>190.27027784681857</v>
      </c>
      <c r="AT113" s="772">
        <v>196.94592122417805</v>
      </c>
      <c r="AU113" s="772">
        <v>203.62156460153756</v>
      </c>
      <c r="AV113" s="772">
        <v>210.29720797889706</v>
      </c>
      <c r="AW113" s="772">
        <v>216.97285135625654</v>
      </c>
      <c r="AX113" s="772">
        <v>223.64849473361605</v>
      </c>
      <c r="AY113" s="773">
        <v>230.32413811097547</v>
      </c>
    </row>
    <row r="114" spans="1:51">
      <c r="A114" s="1277"/>
      <c r="B114" s="681">
        <v>2.1</v>
      </c>
      <c r="C114" s="690">
        <f>(AB114*KFC!$B$22+KFC!$C$22)*KFC!$C$5</f>
        <v>77.859436730487872</v>
      </c>
      <c r="D114" s="690">
        <f>(AC114*KFC!$B$22+KFC!$C$22)*KFC!$C$5</f>
        <v>84.689123756627836</v>
      </c>
      <c r="E114" s="690">
        <f>(AD114*KFC!$B$22+KFC!$C$22)*KFC!$C$5</f>
        <v>91.518810782767801</v>
      </c>
      <c r="F114" s="690">
        <f>(AE114*KFC!$B$22+KFC!$C$22)*KFC!$C$5</f>
        <v>98.34849780890778</v>
      </c>
      <c r="G114" s="690">
        <f>(AF114*KFC!$B$22+KFC!$C$22)*KFC!$C$5</f>
        <v>105.17818483504776</v>
      </c>
      <c r="H114" s="690">
        <f>(AG114*KFC!$B$22+KFC!$C$22)*KFC!$C$5</f>
        <v>112.00787186118774</v>
      </c>
      <c r="I114" s="690">
        <f>(AH114*KFC!$B$22+KFC!$C$22)*KFC!$C$5</f>
        <v>118.83755888732772</v>
      </c>
      <c r="J114" s="690">
        <f>(AI114*KFC!$B$22+KFC!$C$22)*KFC!$C$5</f>
        <v>125.66724591346768</v>
      </c>
      <c r="K114" s="690">
        <f>(AJ114*KFC!$B$22+KFC!$C$22)*KFC!$C$5</f>
        <v>132.49693293960766</v>
      </c>
      <c r="L114" s="690">
        <f>(AK114*KFC!$B$22+KFC!$C$22)*KFC!$C$5</f>
        <v>139.32661996574762</v>
      </c>
      <c r="M114" s="690">
        <f>(AL114*KFC!$B$22+KFC!$C$22)*KFC!$C$5</f>
        <v>146.15630699188762</v>
      </c>
      <c r="N114" s="690">
        <f>(AM114*KFC!$B$22+KFC!$C$22)*KFC!$C$5</f>
        <v>152.98599401802758</v>
      </c>
      <c r="O114" s="690">
        <f>(AN114*KFC!$B$22+KFC!$C$22)*KFC!$C$5</f>
        <v>159.81568104416758</v>
      </c>
      <c r="P114" s="690">
        <f>(AO114*KFC!$B$22+KFC!$C$22)*KFC!$C$5</f>
        <v>166.64536807030754</v>
      </c>
      <c r="Q114" s="690">
        <f>(AP114*KFC!$B$22+KFC!$C$22)*KFC!$C$5</f>
        <v>173.47505509644751</v>
      </c>
      <c r="R114" s="690">
        <f>(AQ114*KFC!$B$22+KFC!$C$22)*KFC!$C$5</f>
        <v>180.30474212258747</v>
      </c>
      <c r="S114" s="690">
        <f>(AR114*KFC!$B$22+KFC!$C$22)*KFC!$C$5</f>
        <v>187.13442914872743</v>
      </c>
      <c r="T114" s="690">
        <f>(AS114*KFC!$B$22+KFC!$C$22)*KFC!$C$5</f>
        <v>193.9641161748674</v>
      </c>
      <c r="U114" s="690">
        <f>(AT114*KFC!$B$22+KFC!$C$22)*KFC!$C$5</f>
        <v>200.79380320100734</v>
      </c>
      <c r="V114" s="690">
        <f>(AU114*KFC!$B$22+KFC!$C$22)*KFC!$C$5</f>
        <v>207.6234902271473</v>
      </c>
      <c r="W114" s="690">
        <f>(AV114*KFC!$B$22+KFC!$C$22)*KFC!$C$5</f>
        <v>214.45317725328727</v>
      </c>
      <c r="X114" s="690">
        <f>(AW114*KFC!$B$22+KFC!$C$22)*KFC!$C$5</f>
        <v>221.2828642794272</v>
      </c>
      <c r="Y114" s="690">
        <f>(AX114*KFC!$B$22+KFC!$C$22)*KFC!$C$5</f>
        <v>228.11255130556717</v>
      </c>
      <c r="Z114" s="690">
        <f>(AY114*KFC!$B$22+KFC!$C$22)*KFC!$C$5</f>
        <v>234.94223833170716</v>
      </c>
      <c r="AB114" s="771">
        <v>77.859436730487872</v>
      </c>
      <c r="AC114" s="772">
        <v>84.689123756627836</v>
      </c>
      <c r="AD114" s="772">
        <v>91.518810782767801</v>
      </c>
      <c r="AE114" s="772">
        <v>98.34849780890778</v>
      </c>
      <c r="AF114" s="772">
        <v>105.17818483504776</v>
      </c>
      <c r="AG114" s="772">
        <v>112.00787186118774</v>
      </c>
      <c r="AH114" s="772">
        <v>118.83755888732772</v>
      </c>
      <c r="AI114" s="772">
        <v>125.66724591346768</v>
      </c>
      <c r="AJ114" s="772">
        <v>132.49693293960766</v>
      </c>
      <c r="AK114" s="772">
        <v>139.32661996574762</v>
      </c>
      <c r="AL114" s="772">
        <v>146.15630699188762</v>
      </c>
      <c r="AM114" s="772">
        <v>152.98599401802758</v>
      </c>
      <c r="AN114" s="772">
        <v>159.81568104416758</v>
      </c>
      <c r="AO114" s="772">
        <v>166.64536807030754</v>
      </c>
      <c r="AP114" s="772">
        <v>173.47505509644751</v>
      </c>
      <c r="AQ114" s="772">
        <v>180.30474212258747</v>
      </c>
      <c r="AR114" s="772">
        <v>187.13442914872743</v>
      </c>
      <c r="AS114" s="772">
        <v>193.9641161748674</v>
      </c>
      <c r="AT114" s="772">
        <v>200.79380320100734</v>
      </c>
      <c r="AU114" s="772">
        <v>207.6234902271473</v>
      </c>
      <c r="AV114" s="772">
        <v>214.45317725328727</v>
      </c>
      <c r="AW114" s="772">
        <v>221.2828642794272</v>
      </c>
      <c r="AX114" s="772">
        <v>228.11255130556717</v>
      </c>
      <c r="AY114" s="773">
        <v>234.94223833170716</v>
      </c>
    </row>
    <row r="115" spans="1:51">
      <c r="A115" s="1277"/>
      <c r="B115" s="681">
        <v>2.2000000000000002</v>
      </c>
      <c r="C115" s="690">
        <f>(AB115*KFC!$B$22+KFC!$C$22)*KFC!$C$5</f>
        <v>78.934533029268351</v>
      </c>
      <c r="D115" s="690">
        <f>(AC115*KFC!$B$22+KFC!$C$22)*KFC!$C$5</f>
        <v>85.918263704188817</v>
      </c>
      <c r="E115" s="690">
        <f>(AD115*KFC!$B$22+KFC!$C$22)*KFC!$C$5</f>
        <v>92.901994379109269</v>
      </c>
      <c r="F115" s="690">
        <f>(AE115*KFC!$B$22+KFC!$C$22)*KFC!$C$5</f>
        <v>99.88572505402972</v>
      </c>
      <c r="G115" s="690">
        <f>(AF115*KFC!$B$22+KFC!$C$22)*KFC!$C$5</f>
        <v>106.86945572895017</v>
      </c>
      <c r="H115" s="690">
        <f>(AG115*KFC!$B$22+KFC!$C$22)*KFC!$C$5</f>
        <v>113.85318640387062</v>
      </c>
      <c r="I115" s="690">
        <f>(AH115*KFC!$B$22+KFC!$C$22)*KFC!$C$5</f>
        <v>120.83691707879109</v>
      </c>
      <c r="J115" s="690">
        <f>(AI115*KFC!$B$22+KFC!$C$22)*KFC!$C$5</f>
        <v>127.82064775371154</v>
      </c>
      <c r="K115" s="690">
        <f>(AJ115*KFC!$B$22+KFC!$C$22)*KFC!$C$5</f>
        <v>134.80437842863199</v>
      </c>
      <c r="L115" s="690">
        <f>(AK115*KFC!$B$22+KFC!$C$22)*KFC!$C$5</f>
        <v>141.78810910355244</v>
      </c>
      <c r="M115" s="690">
        <f>(AL115*KFC!$B$22+KFC!$C$22)*KFC!$C$5</f>
        <v>148.77183977847289</v>
      </c>
      <c r="N115" s="690">
        <f>(AM115*KFC!$B$22+KFC!$C$22)*KFC!$C$5</f>
        <v>155.75557045339335</v>
      </c>
      <c r="O115" s="690">
        <f>(AN115*KFC!$B$22+KFC!$C$22)*KFC!$C$5</f>
        <v>162.7393011283138</v>
      </c>
      <c r="P115" s="690">
        <f>(AO115*KFC!$B$22+KFC!$C$22)*KFC!$C$5</f>
        <v>169.72303180323428</v>
      </c>
      <c r="Q115" s="690">
        <f>(AP115*KFC!$B$22+KFC!$C$22)*KFC!$C$5</f>
        <v>176.70676247815473</v>
      </c>
      <c r="R115" s="690">
        <f>(AQ115*KFC!$B$22+KFC!$C$22)*KFC!$C$5</f>
        <v>183.69049315307518</v>
      </c>
      <c r="S115" s="690">
        <f>(AR115*KFC!$B$22+KFC!$C$22)*KFC!$C$5</f>
        <v>190.67422382799563</v>
      </c>
      <c r="T115" s="690">
        <f>(AS115*KFC!$B$22+KFC!$C$22)*KFC!$C$5</f>
        <v>197.65795450291608</v>
      </c>
      <c r="U115" s="690">
        <f>(AT115*KFC!$B$22+KFC!$C$22)*KFC!$C$5</f>
        <v>204.64168517783656</v>
      </c>
      <c r="V115" s="690">
        <f>(AU115*KFC!$B$22+KFC!$C$22)*KFC!$C$5</f>
        <v>211.62541585275702</v>
      </c>
      <c r="W115" s="690">
        <f>(AV115*KFC!$B$22+KFC!$C$22)*KFC!$C$5</f>
        <v>218.60914652767747</v>
      </c>
      <c r="X115" s="690">
        <f>(AW115*KFC!$B$22+KFC!$C$22)*KFC!$C$5</f>
        <v>225.59287720259792</v>
      </c>
      <c r="Y115" s="690">
        <f>(AX115*KFC!$B$22+KFC!$C$22)*KFC!$C$5</f>
        <v>232.57660787751837</v>
      </c>
      <c r="Z115" s="690">
        <f>(AY115*KFC!$B$22+KFC!$C$22)*KFC!$C$5</f>
        <v>239.56033855243885</v>
      </c>
      <c r="AB115" s="771">
        <v>78.934533029268351</v>
      </c>
      <c r="AC115" s="772">
        <v>85.918263704188817</v>
      </c>
      <c r="AD115" s="772">
        <v>92.901994379109269</v>
      </c>
      <c r="AE115" s="772">
        <v>99.88572505402972</v>
      </c>
      <c r="AF115" s="772">
        <v>106.86945572895017</v>
      </c>
      <c r="AG115" s="772">
        <v>113.85318640387062</v>
      </c>
      <c r="AH115" s="772">
        <v>120.83691707879109</v>
      </c>
      <c r="AI115" s="772">
        <v>127.82064775371154</v>
      </c>
      <c r="AJ115" s="772">
        <v>134.80437842863199</v>
      </c>
      <c r="AK115" s="772">
        <v>141.78810910355244</v>
      </c>
      <c r="AL115" s="772">
        <v>148.77183977847289</v>
      </c>
      <c r="AM115" s="772">
        <v>155.75557045339335</v>
      </c>
      <c r="AN115" s="772">
        <v>162.7393011283138</v>
      </c>
      <c r="AO115" s="772">
        <v>169.72303180323428</v>
      </c>
      <c r="AP115" s="772">
        <v>176.70676247815473</v>
      </c>
      <c r="AQ115" s="772">
        <v>183.69049315307518</v>
      </c>
      <c r="AR115" s="772">
        <v>190.67422382799563</v>
      </c>
      <c r="AS115" s="772">
        <v>197.65795450291608</v>
      </c>
      <c r="AT115" s="772">
        <v>204.64168517783656</v>
      </c>
      <c r="AU115" s="772">
        <v>211.62541585275702</v>
      </c>
      <c r="AV115" s="772">
        <v>218.60914652767747</v>
      </c>
      <c r="AW115" s="772">
        <v>225.59287720259792</v>
      </c>
      <c r="AX115" s="772">
        <v>232.57660787751837</v>
      </c>
      <c r="AY115" s="773">
        <v>239.56033855243885</v>
      </c>
    </row>
    <row r="116" spans="1:51">
      <c r="A116" s="1277"/>
      <c r="B116" s="681">
        <v>2.2999999999999998</v>
      </c>
      <c r="C116" s="690">
        <f>(AB116*KFC!$B$22+KFC!$C$22)*KFC!$C$5</f>
        <v>80.009629328048845</v>
      </c>
      <c r="D116" s="690">
        <f>(AC116*KFC!$B$22+KFC!$C$22)*KFC!$C$5</f>
        <v>87.147403651749798</v>
      </c>
      <c r="E116" s="690">
        <f>(AD116*KFC!$B$22+KFC!$C$22)*KFC!$C$5</f>
        <v>94.285177975450736</v>
      </c>
      <c r="F116" s="690">
        <f>(AE116*KFC!$B$22+KFC!$C$22)*KFC!$C$5</f>
        <v>101.42295229915169</v>
      </c>
      <c r="G116" s="690">
        <f>(AF116*KFC!$B$22+KFC!$C$22)*KFC!$C$5</f>
        <v>108.56072662285264</v>
      </c>
      <c r="H116" s="690">
        <f>(AG116*KFC!$B$22+KFC!$C$22)*KFC!$C$5</f>
        <v>115.69850094655359</v>
      </c>
      <c r="I116" s="690">
        <f>(AH116*KFC!$B$22+KFC!$C$22)*KFC!$C$5</f>
        <v>122.83627527025455</v>
      </c>
      <c r="J116" s="690">
        <f>(AI116*KFC!$B$22+KFC!$C$22)*KFC!$C$5</f>
        <v>129.9740495939555</v>
      </c>
      <c r="K116" s="690">
        <f>(AJ116*KFC!$B$22+KFC!$C$22)*KFC!$C$5</f>
        <v>137.11182391765647</v>
      </c>
      <c r="L116" s="690">
        <f>(AK116*KFC!$B$22+KFC!$C$22)*KFC!$C$5</f>
        <v>144.2495982413574</v>
      </c>
      <c r="M116" s="690">
        <f>(AL116*KFC!$B$22+KFC!$C$22)*KFC!$C$5</f>
        <v>151.38737256505834</v>
      </c>
      <c r="N116" s="690">
        <f>(AM116*KFC!$B$22+KFC!$C$22)*KFC!$C$5</f>
        <v>158.52514688875931</v>
      </c>
      <c r="O116" s="690">
        <f>(AN116*KFC!$B$22+KFC!$C$22)*KFC!$C$5</f>
        <v>165.66292121246025</v>
      </c>
      <c r="P116" s="690">
        <f>(AO116*KFC!$B$22+KFC!$C$22)*KFC!$C$5</f>
        <v>172.80069553616119</v>
      </c>
      <c r="Q116" s="690">
        <f>(AP116*KFC!$B$22+KFC!$C$22)*KFC!$C$5</f>
        <v>179.93846985986215</v>
      </c>
      <c r="R116" s="690">
        <f>(AQ116*KFC!$B$22+KFC!$C$22)*KFC!$C$5</f>
        <v>187.07624418356309</v>
      </c>
      <c r="S116" s="690">
        <f>(AR116*KFC!$B$22+KFC!$C$22)*KFC!$C$5</f>
        <v>194.21401850726406</v>
      </c>
      <c r="T116" s="690">
        <f>(AS116*KFC!$B$22+KFC!$C$22)*KFC!$C$5</f>
        <v>201.351792830965</v>
      </c>
      <c r="U116" s="690">
        <f>(AT116*KFC!$B$22+KFC!$C$22)*KFC!$C$5</f>
        <v>208.48956715466593</v>
      </c>
      <c r="V116" s="690">
        <f>(AU116*KFC!$B$22+KFC!$C$22)*KFC!$C$5</f>
        <v>215.6273414783669</v>
      </c>
      <c r="W116" s="690">
        <f>(AV116*KFC!$B$22+KFC!$C$22)*KFC!$C$5</f>
        <v>222.76511580206784</v>
      </c>
      <c r="X116" s="690">
        <f>(AW116*KFC!$B$22+KFC!$C$22)*KFC!$C$5</f>
        <v>229.90289012576881</v>
      </c>
      <c r="Y116" s="690">
        <f>(AX116*KFC!$B$22+KFC!$C$22)*KFC!$C$5</f>
        <v>237.04066444946974</v>
      </c>
      <c r="Z116" s="690">
        <f>(AY116*KFC!$B$22+KFC!$C$22)*KFC!$C$5</f>
        <v>244.17843877317057</v>
      </c>
      <c r="AB116" s="771">
        <v>80.009629328048845</v>
      </c>
      <c r="AC116" s="772">
        <v>87.147403651749798</v>
      </c>
      <c r="AD116" s="772">
        <v>94.285177975450736</v>
      </c>
      <c r="AE116" s="772">
        <v>101.42295229915169</v>
      </c>
      <c r="AF116" s="772">
        <v>108.56072662285264</v>
      </c>
      <c r="AG116" s="772">
        <v>115.69850094655359</v>
      </c>
      <c r="AH116" s="772">
        <v>122.83627527025455</v>
      </c>
      <c r="AI116" s="772">
        <v>129.9740495939555</v>
      </c>
      <c r="AJ116" s="772">
        <v>137.11182391765647</v>
      </c>
      <c r="AK116" s="772">
        <v>144.2495982413574</v>
      </c>
      <c r="AL116" s="772">
        <v>151.38737256505834</v>
      </c>
      <c r="AM116" s="772">
        <v>158.52514688875931</v>
      </c>
      <c r="AN116" s="772">
        <v>165.66292121246025</v>
      </c>
      <c r="AO116" s="772">
        <v>172.80069553616119</v>
      </c>
      <c r="AP116" s="772">
        <v>179.93846985986215</v>
      </c>
      <c r="AQ116" s="772">
        <v>187.07624418356309</v>
      </c>
      <c r="AR116" s="772">
        <v>194.21401850726406</v>
      </c>
      <c r="AS116" s="772">
        <v>201.351792830965</v>
      </c>
      <c r="AT116" s="772">
        <v>208.48956715466593</v>
      </c>
      <c r="AU116" s="772">
        <v>215.6273414783669</v>
      </c>
      <c r="AV116" s="772">
        <v>222.76511580206784</v>
      </c>
      <c r="AW116" s="772">
        <v>229.90289012576881</v>
      </c>
      <c r="AX116" s="772">
        <v>237.04066444946974</v>
      </c>
      <c r="AY116" s="773">
        <v>244.17843877317057</v>
      </c>
    </row>
    <row r="117" spans="1:51">
      <c r="A117" s="1277"/>
      <c r="B117" s="681">
        <v>2.4</v>
      </c>
      <c r="C117" s="690">
        <f>(AB117*KFC!$B$22+KFC!$C$22)*KFC!$C$5</f>
        <v>81.084725626829339</v>
      </c>
      <c r="D117" s="690">
        <f>(AC117*KFC!$B$22+KFC!$C$22)*KFC!$C$5</f>
        <v>88.376543599310764</v>
      </c>
      <c r="E117" s="690">
        <f>(AD117*KFC!$B$22+KFC!$C$22)*KFC!$C$5</f>
        <v>95.668361571792204</v>
      </c>
      <c r="F117" s="690">
        <f>(AE117*KFC!$B$22+KFC!$C$22)*KFC!$C$5</f>
        <v>102.96017954427363</v>
      </c>
      <c r="G117" s="690">
        <f>(AF117*KFC!$B$22+KFC!$C$22)*KFC!$C$5</f>
        <v>110.25199751675505</v>
      </c>
      <c r="H117" s="690">
        <f>(AG117*KFC!$B$22+KFC!$C$22)*KFC!$C$5</f>
        <v>117.54381548923649</v>
      </c>
      <c r="I117" s="690">
        <f>(AH117*KFC!$B$22+KFC!$C$22)*KFC!$C$5</f>
        <v>124.83563346171792</v>
      </c>
      <c r="J117" s="690">
        <f>(AI117*KFC!$B$22+KFC!$C$22)*KFC!$C$5</f>
        <v>132.12745143419934</v>
      </c>
      <c r="K117" s="690">
        <f>(AJ117*KFC!$B$22+KFC!$C$22)*KFC!$C$5</f>
        <v>139.41926940668077</v>
      </c>
      <c r="L117" s="690">
        <f>(AK117*KFC!$B$22+KFC!$C$22)*KFC!$C$5</f>
        <v>146.71108737916222</v>
      </c>
      <c r="M117" s="690">
        <f>(AL117*KFC!$B$22+KFC!$C$22)*KFC!$C$5</f>
        <v>154.00290535164365</v>
      </c>
      <c r="N117" s="690">
        <f>(AM117*KFC!$B$22+KFC!$C$22)*KFC!$C$5</f>
        <v>161.29472332412507</v>
      </c>
      <c r="O117" s="690">
        <f>(AN117*KFC!$B$22+KFC!$C$22)*KFC!$C$5</f>
        <v>168.5865412966065</v>
      </c>
      <c r="P117" s="690">
        <f>(AO117*KFC!$B$22+KFC!$C$22)*KFC!$C$5</f>
        <v>175.87835926908795</v>
      </c>
      <c r="Q117" s="690">
        <f>(AP117*KFC!$B$22+KFC!$C$22)*KFC!$C$5</f>
        <v>183.17017724156941</v>
      </c>
      <c r="R117" s="690">
        <f>(AQ117*KFC!$B$22+KFC!$C$22)*KFC!$C$5</f>
        <v>190.46199521405086</v>
      </c>
      <c r="S117" s="690">
        <f>(AR117*KFC!$B$22+KFC!$C$22)*KFC!$C$5</f>
        <v>197.75381318653228</v>
      </c>
      <c r="T117" s="690">
        <f>(AS117*KFC!$B$22+KFC!$C$22)*KFC!$C$5</f>
        <v>205.04563115901374</v>
      </c>
      <c r="U117" s="690">
        <f>(AT117*KFC!$B$22+KFC!$C$22)*KFC!$C$5</f>
        <v>212.33744913149519</v>
      </c>
      <c r="V117" s="690">
        <f>(AU117*KFC!$B$22+KFC!$C$22)*KFC!$C$5</f>
        <v>219.62926710397664</v>
      </c>
      <c r="W117" s="690">
        <f>(AV117*KFC!$B$22+KFC!$C$22)*KFC!$C$5</f>
        <v>226.9210850764581</v>
      </c>
      <c r="X117" s="690">
        <f>(AW117*KFC!$B$22+KFC!$C$22)*KFC!$C$5</f>
        <v>234.21290304893955</v>
      </c>
      <c r="Y117" s="690">
        <f>(AX117*KFC!$B$22+KFC!$C$22)*KFC!$C$5</f>
        <v>241.50472102142098</v>
      </c>
      <c r="Z117" s="690">
        <f>(AY117*KFC!$B$22+KFC!$C$22)*KFC!$C$5</f>
        <v>248.79653899390226</v>
      </c>
      <c r="AB117" s="771">
        <v>81.084725626829339</v>
      </c>
      <c r="AC117" s="772">
        <v>88.376543599310764</v>
      </c>
      <c r="AD117" s="772">
        <v>95.668361571792204</v>
      </c>
      <c r="AE117" s="772">
        <v>102.96017954427363</v>
      </c>
      <c r="AF117" s="772">
        <v>110.25199751675505</v>
      </c>
      <c r="AG117" s="772">
        <v>117.54381548923649</v>
      </c>
      <c r="AH117" s="772">
        <v>124.83563346171792</v>
      </c>
      <c r="AI117" s="772">
        <v>132.12745143419934</v>
      </c>
      <c r="AJ117" s="772">
        <v>139.41926940668077</v>
      </c>
      <c r="AK117" s="772">
        <v>146.71108737916222</v>
      </c>
      <c r="AL117" s="772">
        <v>154.00290535164365</v>
      </c>
      <c r="AM117" s="772">
        <v>161.29472332412507</v>
      </c>
      <c r="AN117" s="772">
        <v>168.5865412966065</v>
      </c>
      <c r="AO117" s="772">
        <v>175.87835926908795</v>
      </c>
      <c r="AP117" s="772">
        <v>183.17017724156941</v>
      </c>
      <c r="AQ117" s="772">
        <v>190.46199521405086</v>
      </c>
      <c r="AR117" s="772">
        <v>197.75381318653228</v>
      </c>
      <c r="AS117" s="772">
        <v>205.04563115901374</v>
      </c>
      <c r="AT117" s="772">
        <v>212.33744913149519</v>
      </c>
      <c r="AU117" s="772">
        <v>219.62926710397664</v>
      </c>
      <c r="AV117" s="772">
        <v>226.9210850764581</v>
      </c>
      <c r="AW117" s="772">
        <v>234.21290304893955</v>
      </c>
      <c r="AX117" s="772">
        <v>241.50472102142098</v>
      </c>
      <c r="AY117" s="773">
        <v>248.79653899390226</v>
      </c>
    </row>
    <row r="118" spans="1:51">
      <c r="A118" s="1277"/>
      <c r="B118" s="681">
        <v>2.5</v>
      </c>
      <c r="C118" s="690">
        <f>(AB118*KFC!$B$22+KFC!$C$22)*KFC!$C$5</f>
        <v>82.159821925609833</v>
      </c>
      <c r="D118" s="690">
        <f>(AC118*KFC!$B$22+KFC!$C$22)*KFC!$C$5</f>
        <v>89.605683546871745</v>
      </c>
      <c r="E118" s="690">
        <f>(AD118*KFC!$B$22+KFC!$C$22)*KFC!$C$5</f>
        <v>97.051545168133671</v>
      </c>
      <c r="F118" s="690">
        <f>(AE118*KFC!$B$22+KFC!$C$22)*KFC!$C$5</f>
        <v>104.49740678939558</v>
      </c>
      <c r="G118" s="690">
        <f>(AF118*KFC!$B$22+KFC!$C$22)*KFC!$C$5</f>
        <v>111.9432684106575</v>
      </c>
      <c r="H118" s="690">
        <f>(AG118*KFC!$B$22+KFC!$C$22)*KFC!$C$5</f>
        <v>119.38913003191941</v>
      </c>
      <c r="I118" s="690">
        <f>(AH118*KFC!$B$22+KFC!$C$22)*KFC!$C$5</f>
        <v>126.83499165318132</v>
      </c>
      <c r="J118" s="690">
        <f>(AI118*KFC!$B$22+KFC!$C$22)*KFC!$C$5</f>
        <v>134.28085327444322</v>
      </c>
      <c r="K118" s="690">
        <f>(AJ118*KFC!$B$22+KFC!$C$22)*KFC!$C$5</f>
        <v>141.72671489570513</v>
      </c>
      <c r="L118" s="690">
        <f>(AK118*KFC!$B$22+KFC!$C$22)*KFC!$C$5</f>
        <v>149.17257651696704</v>
      </c>
      <c r="M118" s="690">
        <f>(AL118*KFC!$B$22+KFC!$C$22)*KFC!$C$5</f>
        <v>156.61843813822895</v>
      </c>
      <c r="N118" s="690">
        <f>(AM118*KFC!$B$22+KFC!$C$22)*KFC!$C$5</f>
        <v>164.06429975949086</v>
      </c>
      <c r="O118" s="690">
        <f>(AN118*KFC!$B$22+KFC!$C$22)*KFC!$C$5</f>
        <v>171.51016138075278</v>
      </c>
      <c r="P118" s="690">
        <f>(AO118*KFC!$B$22+KFC!$C$22)*KFC!$C$5</f>
        <v>178.95602300201466</v>
      </c>
      <c r="Q118" s="690">
        <f>(AP118*KFC!$B$22+KFC!$C$22)*KFC!$C$5</f>
        <v>186.40188462327657</v>
      </c>
      <c r="R118" s="690">
        <f>(AQ118*KFC!$B$22+KFC!$C$22)*KFC!$C$5</f>
        <v>193.84774624453848</v>
      </c>
      <c r="S118" s="690">
        <f>(AR118*KFC!$B$22+KFC!$C$22)*KFC!$C$5</f>
        <v>201.2936078658004</v>
      </c>
      <c r="T118" s="690">
        <f>(AS118*KFC!$B$22+KFC!$C$22)*KFC!$C$5</f>
        <v>208.73946948706231</v>
      </c>
      <c r="U118" s="690">
        <f>(AT118*KFC!$B$22+KFC!$C$22)*KFC!$C$5</f>
        <v>216.18533110832422</v>
      </c>
      <c r="V118" s="690">
        <f>(AU118*KFC!$B$22+KFC!$C$22)*KFC!$C$5</f>
        <v>223.63119272958613</v>
      </c>
      <c r="W118" s="690">
        <f>(AV118*KFC!$B$22+KFC!$C$22)*KFC!$C$5</f>
        <v>231.07705435084804</v>
      </c>
      <c r="X118" s="690">
        <f>(AW118*KFC!$B$22+KFC!$C$22)*KFC!$C$5</f>
        <v>238.52291597210996</v>
      </c>
      <c r="Y118" s="690">
        <f>(AX118*KFC!$B$22+KFC!$C$22)*KFC!$C$5</f>
        <v>245.96877759337184</v>
      </c>
      <c r="Z118" s="690">
        <f>(AY118*KFC!$B$22+KFC!$C$22)*KFC!$C$5</f>
        <v>253.41463921463395</v>
      </c>
      <c r="AB118" s="771">
        <v>82.159821925609833</v>
      </c>
      <c r="AC118" s="772">
        <v>89.605683546871745</v>
      </c>
      <c r="AD118" s="772">
        <v>97.051545168133671</v>
      </c>
      <c r="AE118" s="772">
        <v>104.49740678939558</v>
      </c>
      <c r="AF118" s="772">
        <v>111.9432684106575</v>
      </c>
      <c r="AG118" s="772">
        <v>119.38913003191941</v>
      </c>
      <c r="AH118" s="772">
        <v>126.83499165318132</v>
      </c>
      <c r="AI118" s="772">
        <v>134.28085327444322</v>
      </c>
      <c r="AJ118" s="772">
        <v>141.72671489570513</v>
      </c>
      <c r="AK118" s="772">
        <v>149.17257651696704</v>
      </c>
      <c r="AL118" s="772">
        <v>156.61843813822895</v>
      </c>
      <c r="AM118" s="772">
        <v>164.06429975949086</v>
      </c>
      <c r="AN118" s="772">
        <v>171.51016138075278</v>
      </c>
      <c r="AO118" s="772">
        <v>178.95602300201466</v>
      </c>
      <c r="AP118" s="772">
        <v>186.40188462327657</v>
      </c>
      <c r="AQ118" s="772">
        <v>193.84774624453848</v>
      </c>
      <c r="AR118" s="772">
        <v>201.2936078658004</v>
      </c>
      <c r="AS118" s="772">
        <v>208.73946948706231</v>
      </c>
      <c r="AT118" s="772">
        <v>216.18533110832422</v>
      </c>
      <c r="AU118" s="772">
        <v>223.63119272958613</v>
      </c>
      <c r="AV118" s="772">
        <v>231.07705435084804</v>
      </c>
      <c r="AW118" s="772">
        <v>238.52291597210996</v>
      </c>
      <c r="AX118" s="772">
        <v>245.96877759337184</v>
      </c>
      <c r="AY118" s="773">
        <v>253.41463921463395</v>
      </c>
    </row>
    <row r="119" spans="1:51">
      <c r="A119" s="1277"/>
      <c r="B119" s="681">
        <v>2.6</v>
      </c>
      <c r="C119" s="690">
        <f>(AB119*KFC!$B$22+KFC!$C$22)*KFC!$C$5</f>
        <v>83.234918224390327</v>
      </c>
      <c r="D119" s="690">
        <f>(AC119*KFC!$B$22+KFC!$C$22)*KFC!$C$5</f>
        <v>90.834823494432726</v>
      </c>
      <c r="E119" s="690">
        <f>(AD119*KFC!$B$22+KFC!$C$22)*KFC!$C$5</f>
        <v>98.434728764475139</v>
      </c>
      <c r="F119" s="690">
        <f>(AE119*KFC!$B$22+KFC!$C$22)*KFC!$C$5</f>
        <v>106.03463403451754</v>
      </c>
      <c r="G119" s="690">
        <f>(AF119*KFC!$B$22+KFC!$C$22)*KFC!$C$5</f>
        <v>113.63453930455995</v>
      </c>
      <c r="H119" s="690">
        <f>(AG119*KFC!$B$22+KFC!$C$22)*KFC!$C$5</f>
        <v>121.23444457460235</v>
      </c>
      <c r="I119" s="690">
        <f>(AH119*KFC!$B$22+KFC!$C$22)*KFC!$C$5</f>
        <v>128.83434984464475</v>
      </c>
      <c r="J119" s="690">
        <f>(AI119*KFC!$B$22+KFC!$C$22)*KFC!$C$5</f>
        <v>136.43425511468718</v>
      </c>
      <c r="K119" s="690">
        <f>(AJ119*KFC!$B$22+KFC!$C$22)*KFC!$C$5</f>
        <v>144.03416038472957</v>
      </c>
      <c r="L119" s="690">
        <f>(AK119*KFC!$B$22+KFC!$C$22)*KFC!$C$5</f>
        <v>151.63406565477197</v>
      </c>
      <c r="M119" s="690">
        <f>(AL119*KFC!$B$22+KFC!$C$22)*KFC!$C$5</f>
        <v>159.23397092481437</v>
      </c>
      <c r="N119" s="690">
        <f>(AM119*KFC!$B$22+KFC!$C$22)*KFC!$C$5</f>
        <v>166.8338761948568</v>
      </c>
      <c r="O119" s="690">
        <f>(AN119*KFC!$B$22+KFC!$C$22)*KFC!$C$5</f>
        <v>174.43378146489917</v>
      </c>
      <c r="P119" s="690">
        <f>(AO119*KFC!$B$22+KFC!$C$22)*KFC!$C$5</f>
        <v>182.0336867349416</v>
      </c>
      <c r="Q119" s="690">
        <f>(AP119*KFC!$B$22+KFC!$C$22)*KFC!$C$5</f>
        <v>189.633592004984</v>
      </c>
      <c r="R119" s="690">
        <f>(AQ119*KFC!$B$22+KFC!$C$22)*KFC!$C$5</f>
        <v>197.23349727502639</v>
      </c>
      <c r="S119" s="690">
        <f>(AR119*KFC!$B$22+KFC!$C$22)*KFC!$C$5</f>
        <v>204.83340254506879</v>
      </c>
      <c r="T119" s="690">
        <f>(AS119*KFC!$B$22+KFC!$C$22)*KFC!$C$5</f>
        <v>212.43330781511122</v>
      </c>
      <c r="U119" s="690">
        <f>(AT119*KFC!$B$22+KFC!$C$22)*KFC!$C$5</f>
        <v>220.03321308515362</v>
      </c>
      <c r="V119" s="690">
        <f>(AU119*KFC!$B$22+KFC!$C$22)*KFC!$C$5</f>
        <v>227.63311835519602</v>
      </c>
      <c r="W119" s="690">
        <f>(AV119*KFC!$B$22+KFC!$C$22)*KFC!$C$5</f>
        <v>235.23302362523842</v>
      </c>
      <c r="X119" s="690">
        <f>(AW119*KFC!$B$22+KFC!$C$22)*KFC!$C$5</f>
        <v>242.83292889528084</v>
      </c>
      <c r="Y119" s="690">
        <f>(AX119*KFC!$B$22+KFC!$C$22)*KFC!$C$5</f>
        <v>250.43283416532324</v>
      </c>
      <c r="Z119" s="690">
        <f>(AY119*KFC!$B$22+KFC!$C$22)*KFC!$C$5</f>
        <v>258.03273943536567</v>
      </c>
      <c r="AB119" s="771">
        <v>83.234918224390327</v>
      </c>
      <c r="AC119" s="772">
        <v>90.834823494432726</v>
      </c>
      <c r="AD119" s="772">
        <v>98.434728764475139</v>
      </c>
      <c r="AE119" s="772">
        <v>106.03463403451754</v>
      </c>
      <c r="AF119" s="772">
        <v>113.63453930455995</v>
      </c>
      <c r="AG119" s="772">
        <v>121.23444457460235</v>
      </c>
      <c r="AH119" s="772">
        <v>128.83434984464475</v>
      </c>
      <c r="AI119" s="772">
        <v>136.43425511468718</v>
      </c>
      <c r="AJ119" s="772">
        <v>144.03416038472957</v>
      </c>
      <c r="AK119" s="772">
        <v>151.63406565477197</v>
      </c>
      <c r="AL119" s="772">
        <v>159.23397092481437</v>
      </c>
      <c r="AM119" s="772">
        <v>166.8338761948568</v>
      </c>
      <c r="AN119" s="772">
        <v>174.43378146489917</v>
      </c>
      <c r="AO119" s="772">
        <v>182.0336867349416</v>
      </c>
      <c r="AP119" s="772">
        <v>189.633592004984</v>
      </c>
      <c r="AQ119" s="772">
        <v>197.23349727502639</v>
      </c>
      <c r="AR119" s="772">
        <v>204.83340254506879</v>
      </c>
      <c r="AS119" s="772">
        <v>212.43330781511122</v>
      </c>
      <c r="AT119" s="772">
        <v>220.03321308515362</v>
      </c>
      <c r="AU119" s="772">
        <v>227.63311835519602</v>
      </c>
      <c r="AV119" s="772">
        <v>235.23302362523842</v>
      </c>
      <c r="AW119" s="772">
        <v>242.83292889528084</v>
      </c>
      <c r="AX119" s="772">
        <v>250.43283416532324</v>
      </c>
      <c r="AY119" s="773">
        <v>258.03273943536567</v>
      </c>
    </row>
    <row r="120" spans="1:51">
      <c r="A120" s="1277"/>
      <c r="B120" s="681">
        <v>2.7</v>
      </c>
      <c r="C120" s="690">
        <f>(AB120*KFC!$B$22+KFC!$C$22)*KFC!$C$5</f>
        <v>84.310014523170807</v>
      </c>
      <c r="D120" s="690">
        <f>(AC120*KFC!$B$22+KFC!$C$22)*KFC!$C$5</f>
        <v>92.063963441993693</v>
      </c>
      <c r="E120" s="690">
        <f>(AD120*KFC!$B$22+KFC!$C$22)*KFC!$C$5</f>
        <v>99.817912360816592</v>
      </c>
      <c r="F120" s="690">
        <f>(AE120*KFC!$B$22+KFC!$C$22)*KFC!$C$5</f>
        <v>107.57186127963949</v>
      </c>
      <c r="G120" s="690">
        <f>(AF120*KFC!$B$22+KFC!$C$22)*KFC!$C$5</f>
        <v>115.32581019846241</v>
      </c>
      <c r="H120" s="690">
        <f>(AG120*KFC!$B$22+KFC!$C$22)*KFC!$C$5</f>
        <v>123.07975911728531</v>
      </c>
      <c r="I120" s="690">
        <f>(AH120*KFC!$B$22+KFC!$C$22)*KFC!$C$5</f>
        <v>130.83370803610822</v>
      </c>
      <c r="J120" s="690">
        <f>(AI120*KFC!$B$22+KFC!$C$22)*KFC!$C$5</f>
        <v>138.58765695493111</v>
      </c>
      <c r="K120" s="690">
        <f>(AJ120*KFC!$B$22+KFC!$C$22)*KFC!$C$5</f>
        <v>146.34160587375402</v>
      </c>
      <c r="L120" s="690">
        <f>(AK120*KFC!$B$22+KFC!$C$22)*KFC!$C$5</f>
        <v>154.09555479257691</v>
      </c>
      <c r="M120" s="690">
        <f>(AL120*KFC!$B$22+KFC!$C$22)*KFC!$C$5</f>
        <v>161.84950371139982</v>
      </c>
      <c r="N120" s="690">
        <f>(AM120*KFC!$B$22+KFC!$C$22)*KFC!$C$5</f>
        <v>169.60345263022273</v>
      </c>
      <c r="O120" s="690">
        <f>(AN120*KFC!$B$22+KFC!$C$22)*KFC!$C$5</f>
        <v>177.35740154904562</v>
      </c>
      <c r="P120" s="690">
        <f>(AO120*KFC!$B$22+KFC!$C$22)*KFC!$C$5</f>
        <v>185.11135046786853</v>
      </c>
      <c r="Q120" s="690">
        <f>(AP120*KFC!$B$22+KFC!$C$22)*KFC!$C$5</f>
        <v>192.86529938669145</v>
      </c>
      <c r="R120" s="690">
        <f>(AQ120*KFC!$B$22+KFC!$C$22)*KFC!$C$5</f>
        <v>200.61924830551433</v>
      </c>
      <c r="S120" s="690">
        <f>(AR120*KFC!$B$22+KFC!$C$22)*KFC!$C$5</f>
        <v>208.37319722433725</v>
      </c>
      <c r="T120" s="690">
        <f>(AS120*KFC!$B$22+KFC!$C$22)*KFC!$C$5</f>
        <v>216.12714614316013</v>
      </c>
      <c r="U120" s="690">
        <f>(AT120*KFC!$B$22+KFC!$C$22)*KFC!$C$5</f>
        <v>223.88109506198305</v>
      </c>
      <c r="V120" s="690">
        <f>(AU120*KFC!$B$22+KFC!$C$22)*KFC!$C$5</f>
        <v>231.63504398080596</v>
      </c>
      <c r="W120" s="690">
        <f>(AV120*KFC!$B$22+KFC!$C$22)*KFC!$C$5</f>
        <v>239.38899289962885</v>
      </c>
      <c r="X120" s="690">
        <f>(AW120*KFC!$B$22+KFC!$C$22)*KFC!$C$5</f>
        <v>247.14294181845176</v>
      </c>
      <c r="Y120" s="690">
        <f>(AX120*KFC!$B$22+KFC!$C$22)*KFC!$C$5</f>
        <v>254.89689073727465</v>
      </c>
      <c r="Z120" s="690">
        <f>(AY120*KFC!$B$22+KFC!$C$22)*KFC!$C$5</f>
        <v>262.65083965609733</v>
      </c>
      <c r="AB120" s="771">
        <v>84.310014523170807</v>
      </c>
      <c r="AC120" s="772">
        <v>92.063963441993693</v>
      </c>
      <c r="AD120" s="772">
        <v>99.817912360816592</v>
      </c>
      <c r="AE120" s="772">
        <v>107.57186127963949</v>
      </c>
      <c r="AF120" s="772">
        <v>115.32581019846241</v>
      </c>
      <c r="AG120" s="772">
        <v>123.07975911728531</v>
      </c>
      <c r="AH120" s="772">
        <v>130.83370803610822</v>
      </c>
      <c r="AI120" s="772">
        <v>138.58765695493111</v>
      </c>
      <c r="AJ120" s="772">
        <v>146.34160587375402</v>
      </c>
      <c r="AK120" s="772">
        <v>154.09555479257691</v>
      </c>
      <c r="AL120" s="772">
        <v>161.84950371139982</v>
      </c>
      <c r="AM120" s="772">
        <v>169.60345263022273</v>
      </c>
      <c r="AN120" s="772">
        <v>177.35740154904562</v>
      </c>
      <c r="AO120" s="772">
        <v>185.11135046786853</v>
      </c>
      <c r="AP120" s="772">
        <v>192.86529938669145</v>
      </c>
      <c r="AQ120" s="772">
        <v>200.61924830551433</v>
      </c>
      <c r="AR120" s="772">
        <v>208.37319722433725</v>
      </c>
      <c r="AS120" s="772">
        <v>216.12714614316013</v>
      </c>
      <c r="AT120" s="772">
        <v>223.88109506198305</v>
      </c>
      <c r="AU120" s="772">
        <v>231.63504398080596</v>
      </c>
      <c r="AV120" s="772">
        <v>239.38899289962885</v>
      </c>
      <c r="AW120" s="772">
        <v>247.14294181845176</v>
      </c>
      <c r="AX120" s="772">
        <v>254.89689073727465</v>
      </c>
      <c r="AY120" s="773">
        <v>262.65083965609733</v>
      </c>
    </row>
    <row r="121" spans="1:51">
      <c r="A121" s="1277"/>
      <c r="B121" s="681">
        <v>2.8</v>
      </c>
      <c r="C121" s="690">
        <f>(AB121*KFC!$B$22+KFC!$C$22)*KFC!$C$5</f>
        <v>85.385110821951287</v>
      </c>
      <c r="D121" s="690">
        <f>(AC121*KFC!$B$22+KFC!$C$22)*KFC!$C$5</f>
        <v>93.293103389554673</v>
      </c>
      <c r="E121" s="690">
        <f>(AD121*KFC!$B$22+KFC!$C$22)*KFC!$C$5</f>
        <v>101.20109595715805</v>
      </c>
      <c r="F121" s="690">
        <f>(AE121*KFC!$B$22+KFC!$C$22)*KFC!$C$5</f>
        <v>109.10908852476143</v>
      </c>
      <c r="G121" s="690">
        <f>(AF121*KFC!$B$22+KFC!$C$22)*KFC!$C$5</f>
        <v>117.01708109236482</v>
      </c>
      <c r="H121" s="690">
        <f>(AG121*KFC!$B$22+KFC!$C$22)*KFC!$C$5</f>
        <v>124.92507365996819</v>
      </c>
      <c r="I121" s="690">
        <f>(AH121*KFC!$B$22+KFC!$C$22)*KFC!$C$5</f>
        <v>132.83306622757158</v>
      </c>
      <c r="J121" s="690">
        <f>(AI121*KFC!$B$22+KFC!$C$22)*KFC!$C$5</f>
        <v>140.74105879517495</v>
      </c>
      <c r="K121" s="690">
        <f>(AJ121*KFC!$B$22+KFC!$C$22)*KFC!$C$5</f>
        <v>148.64905136277835</v>
      </c>
      <c r="L121" s="690">
        <f>(AK121*KFC!$B$22+KFC!$C$22)*KFC!$C$5</f>
        <v>156.55704393038172</v>
      </c>
      <c r="M121" s="690">
        <f>(AL121*KFC!$B$22+KFC!$C$22)*KFC!$C$5</f>
        <v>164.4650364979851</v>
      </c>
      <c r="N121" s="690">
        <f>(AM121*KFC!$B$22+KFC!$C$22)*KFC!$C$5</f>
        <v>172.3730290655885</v>
      </c>
      <c r="O121" s="690">
        <f>(AN121*KFC!$B$22+KFC!$C$22)*KFC!$C$5</f>
        <v>180.28102163319184</v>
      </c>
      <c r="P121" s="690">
        <f>(AO121*KFC!$B$22+KFC!$C$22)*KFC!$C$5</f>
        <v>188.18901420079521</v>
      </c>
      <c r="Q121" s="690">
        <f>(AP121*KFC!$B$22+KFC!$C$22)*KFC!$C$5</f>
        <v>196.09700676839859</v>
      </c>
      <c r="R121" s="690">
        <f>(AQ121*KFC!$B$22+KFC!$C$22)*KFC!$C$5</f>
        <v>204.00499933600193</v>
      </c>
      <c r="S121" s="690">
        <f>(AR121*KFC!$B$22+KFC!$C$22)*KFC!$C$5</f>
        <v>211.9129919036053</v>
      </c>
      <c r="T121" s="690">
        <f>(AS121*KFC!$B$22+KFC!$C$22)*KFC!$C$5</f>
        <v>219.82098447120867</v>
      </c>
      <c r="U121" s="690">
        <f>(AT121*KFC!$B$22+KFC!$C$22)*KFC!$C$5</f>
        <v>227.72897703881202</v>
      </c>
      <c r="V121" s="690">
        <f>(AU121*KFC!$B$22+KFC!$C$22)*KFC!$C$5</f>
        <v>235.63696960641539</v>
      </c>
      <c r="W121" s="690">
        <f>(AV121*KFC!$B$22+KFC!$C$22)*KFC!$C$5</f>
        <v>243.54496217401876</v>
      </c>
      <c r="X121" s="690">
        <f>(AW121*KFC!$B$22+KFC!$C$22)*KFC!$C$5</f>
        <v>251.45295474162211</v>
      </c>
      <c r="Y121" s="690">
        <f>(AX121*KFC!$B$22+KFC!$C$22)*KFC!$C$5</f>
        <v>259.36094730922548</v>
      </c>
      <c r="Z121" s="690">
        <f>(AY121*KFC!$B$22+KFC!$C$22)*KFC!$C$5</f>
        <v>267.26893987682905</v>
      </c>
      <c r="AB121" s="771">
        <v>85.385110821951287</v>
      </c>
      <c r="AC121" s="772">
        <v>93.293103389554673</v>
      </c>
      <c r="AD121" s="772">
        <v>101.20109595715805</v>
      </c>
      <c r="AE121" s="772">
        <v>109.10908852476143</v>
      </c>
      <c r="AF121" s="772">
        <v>117.01708109236482</v>
      </c>
      <c r="AG121" s="772">
        <v>124.92507365996819</v>
      </c>
      <c r="AH121" s="772">
        <v>132.83306622757158</v>
      </c>
      <c r="AI121" s="772">
        <v>140.74105879517495</v>
      </c>
      <c r="AJ121" s="772">
        <v>148.64905136277835</v>
      </c>
      <c r="AK121" s="772">
        <v>156.55704393038172</v>
      </c>
      <c r="AL121" s="772">
        <v>164.4650364979851</v>
      </c>
      <c r="AM121" s="772">
        <v>172.3730290655885</v>
      </c>
      <c r="AN121" s="772">
        <v>180.28102163319184</v>
      </c>
      <c r="AO121" s="772">
        <v>188.18901420079521</v>
      </c>
      <c r="AP121" s="772">
        <v>196.09700676839859</v>
      </c>
      <c r="AQ121" s="772">
        <v>204.00499933600193</v>
      </c>
      <c r="AR121" s="772">
        <v>211.9129919036053</v>
      </c>
      <c r="AS121" s="772">
        <v>219.82098447120867</v>
      </c>
      <c r="AT121" s="772">
        <v>227.72897703881202</v>
      </c>
      <c r="AU121" s="772">
        <v>235.63696960641539</v>
      </c>
      <c r="AV121" s="772">
        <v>243.54496217401876</v>
      </c>
      <c r="AW121" s="772">
        <v>251.45295474162211</v>
      </c>
      <c r="AX121" s="772">
        <v>259.36094730922548</v>
      </c>
      <c r="AY121" s="773">
        <v>267.26893987682905</v>
      </c>
    </row>
    <row r="122" spans="1:51">
      <c r="A122" s="1277"/>
      <c r="B122" s="681">
        <v>2.9</v>
      </c>
      <c r="C122" s="690">
        <f>(AB122*KFC!$B$22+KFC!$C$22)*KFC!$C$5</f>
        <v>86.460207120731766</v>
      </c>
      <c r="D122" s="690">
        <f>(AC122*KFC!$B$22+KFC!$C$22)*KFC!$C$5</f>
        <v>94.522243337115626</v>
      </c>
      <c r="E122" s="690">
        <f>(AD122*KFC!$B$22+KFC!$C$22)*KFC!$C$5</f>
        <v>102.58427955349948</v>
      </c>
      <c r="F122" s="690">
        <f>(AE122*KFC!$B$22+KFC!$C$22)*KFC!$C$5</f>
        <v>110.64631576988336</v>
      </c>
      <c r="G122" s="690">
        <f>(AF122*KFC!$B$22+KFC!$C$22)*KFC!$C$5</f>
        <v>118.70835198626722</v>
      </c>
      <c r="H122" s="690">
        <f>(AG122*KFC!$B$22+KFC!$C$22)*KFC!$C$5</f>
        <v>126.77038820265108</v>
      </c>
      <c r="I122" s="690">
        <f>(AH122*KFC!$B$22+KFC!$C$22)*KFC!$C$5</f>
        <v>134.83242441903494</v>
      </c>
      <c r="J122" s="690">
        <f>(AI122*KFC!$B$22+KFC!$C$22)*KFC!$C$5</f>
        <v>142.8944606354188</v>
      </c>
      <c r="K122" s="690">
        <f>(AJ122*KFC!$B$22+KFC!$C$22)*KFC!$C$5</f>
        <v>150.95649685180265</v>
      </c>
      <c r="L122" s="690">
        <f>(AK122*KFC!$B$22+KFC!$C$22)*KFC!$C$5</f>
        <v>159.01853306818651</v>
      </c>
      <c r="M122" s="690">
        <f>(AL122*KFC!$B$22+KFC!$C$22)*KFC!$C$5</f>
        <v>167.08056928457037</v>
      </c>
      <c r="N122" s="690">
        <f>(AM122*KFC!$B$22+KFC!$C$22)*KFC!$C$5</f>
        <v>175.14260550095426</v>
      </c>
      <c r="O122" s="690">
        <f>(AN122*KFC!$B$22+KFC!$C$22)*KFC!$C$5</f>
        <v>183.20464171733812</v>
      </c>
      <c r="P122" s="690">
        <f>(AO122*KFC!$B$22+KFC!$C$22)*KFC!$C$5</f>
        <v>191.26667793372198</v>
      </c>
      <c r="Q122" s="690">
        <f>(AP122*KFC!$B$22+KFC!$C$22)*KFC!$C$5</f>
        <v>199.32871415010584</v>
      </c>
      <c r="R122" s="690">
        <f>(AQ122*KFC!$B$22+KFC!$C$22)*KFC!$C$5</f>
        <v>207.3907503664897</v>
      </c>
      <c r="S122" s="690">
        <f>(AR122*KFC!$B$22+KFC!$C$22)*KFC!$C$5</f>
        <v>215.45278658287356</v>
      </c>
      <c r="T122" s="690">
        <f>(AS122*KFC!$B$22+KFC!$C$22)*KFC!$C$5</f>
        <v>223.51482279925742</v>
      </c>
      <c r="U122" s="690">
        <f>(AT122*KFC!$B$22+KFC!$C$22)*KFC!$C$5</f>
        <v>231.57685901564128</v>
      </c>
      <c r="V122" s="690">
        <f>(AU122*KFC!$B$22+KFC!$C$22)*KFC!$C$5</f>
        <v>239.63889523202513</v>
      </c>
      <c r="W122" s="690">
        <f>(AV122*KFC!$B$22+KFC!$C$22)*KFC!$C$5</f>
        <v>247.70093144840899</v>
      </c>
      <c r="X122" s="690">
        <f>(AW122*KFC!$B$22+KFC!$C$22)*KFC!$C$5</f>
        <v>255.76296766479285</v>
      </c>
      <c r="Y122" s="690">
        <f>(AX122*KFC!$B$22+KFC!$C$22)*KFC!$C$5</f>
        <v>263.82500388117671</v>
      </c>
      <c r="Z122" s="690">
        <f>(AY122*KFC!$B$22+KFC!$C$22)*KFC!$C$5</f>
        <v>271.88704009756071</v>
      </c>
      <c r="AB122" s="771">
        <v>86.460207120731766</v>
      </c>
      <c r="AC122" s="772">
        <v>94.522243337115626</v>
      </c>
      <c r="AD122" s="772">
        <v>102.58427955349948</v>
      </c>
      <c r="AE122" s="772">
        <v>110.64631576988336</v>
      </c>
      <c r="AF122" s="772">
        <v>118.70835198626722</v>
      </c>
      <c r="AG122" s="772">
        <v>126.77038820265108</v>
      </c>
      <c r="AH122" s="772">
        <v>134.83242441903494</v>
      </c>
      <c r="AI122" s="772">
        <v>142.8944606354188</v>
      </c>
      <c r="AJ122" s="772">
        <v>150.95649685180265</v>
      </c>
      <c r="AK122" s="772">
        <v>159.01853306818651</v>
      </c>
      <c r="AL122" s="772">
        <v>167.08056928457037</v>
      </c>
      <c r="AM122" s="772">
        <v>175.14260550095426</v>
      </c>
      <c r="AN122" s="772">
        <v>183.20464171733812</v>
      </c>
      <c r="AO122" s="772">
        <v>191.26667793372198</v>
      </c>
      <c r="AP122" s="772">
        <v>199.32871415010584</v>
      </c>
      <c r="AQ122" s="772">
        <v>207.3907503664897</v>
      </c>
      <c r="AR122" s="772">
        <v>215.45278658287356</v>
      </c>
      <c r="AS122" s="772">
        <v>223.51482279925742</v>
      </c>
      <c r="AT122" s="772">
        <v>231.57685901564128</v>
      </c>
      <c r="AU122" s="772">
        <v>239.63889523202513</v>
      </c>
      <c r="AV122" s="772">
        <v>247.70093144840899</v>
      </c>
      <c r="AW122" s="772">
        <v>255.76296766479285</v>
      </c>
      <c r="AX122" s="772">
        <v>263.82500388117671</v>
      </c>
      <c r="AY122" s="773">
        <v>271.88704009756071</v>
      </c>
    </row>
    <row r="123" spans="1:51">
      <c r="A123" s="1277"/>
      <c r="B123" s="681">
        <v>3</v>
      </c>
      <c r="C123" s="690">
        <f>(AB123*KFC!$B$22+KFC!$C$22)*KFC!$C$5</f>
        <v>87.535303419512246</v>
      </c>
      <c r="D123" s="690">
        <f>(AC123*KFC!$B$22+KFC!$C$22)*KFC!$C$5</f>
        <v>95.751383284676606</v>
      </c>
      <c r="E123" s="690">
        <f>(AD123*KFC!$B$22+KFC!$C$22)*KFC!$C$5</f>
        <v>103.96746314984097</v>
      </c>
      <c r="F123" s="690">
        <f>(AE123*KFC!$B$22+KFC!$C$22)*KFC!$C$5</f>
        <v>112.18354301500533</v>
      </c>
      <c r="G123" s="690">
        <f>(AF123*KFC!$B$22+KFC!$C$22)*KFC!$C$5</f>
        <v>120.39962288016969</v>
      </c>
      <c r="H123" s="690">
        <f>(AG123*KFC!$B$22+KFC!$C$22)*KFC!$C$5</f>
        <v>128.61570274533403</v>
      </c>
      <c r="I123" s="690">
        <f>(AH123*KFC!$B$22+KFC!$C$22)*KFC!$C$5</f>
        <v>136.83178261049841</v>
      </c>
      <c r="J123" s="690">
        <f>(AI123*KFC!$B$22+KFC!$C$22)*KFC!$C$5</f>
        <v>145.04786247566275</v>
      </c>
      <c r="K123" s="690">
        <f>(AJ123*KFC!$B$22+KFC!$C$22)*KFC!$C$5</f>
        <v>153.26394234082713</v>
      </c>
      <c r="L123" s="690">
        <f>(AK123*KFC!$B$22+KFC!$C$22)*KFC!$C$5</f>
        <v>161.48002220599147</v>
      </c>
      <c r="M123" s="690">
        <f>(AL123*KFC!$B$22+KFC!$C$22)*KFC!$C$5</f>
        <v>169.69610207115582</v>
      </c>
      <c r="N123" s="690">
        <f>(AM123*KFC!$B$22+KFC!$C$22)*KFC!$C$5</f>
        <v>177.91218193632017</v>
      </c>
      <c r="O123" s="690">
        <f>(AN123*KFC!$B$22+KFC!$C$22)*KFC!$C$5</f>
        <v>186.12826180148451</v>
      </c>
      <c r="P123" s="690">
        <f>(AO123*KFC!$B$22+KFC!$C$22)*KFC!$C$5</f>
        <v>194.34434166664889</v>
      </c>
      <c r="Q123" s="690">
        <f>(AP123*KFC!$B$22+KFC!$C$22)*KFC!$C$5</f>
        <v>202.56042153181323</v>
      </c>
      <c r="R123" s="690">
        <f>(AQ123*KFC!$B$22+KFC!$C$22)*KFC!$C$5</f>
        <v>210.77650139697761</v>
      </c>
      <c r="S123" s="690">
        <f>(AR123*KFC!$B$22+KFC!$C$22)*KFC!$C$5</f>
        <v>218.99258126214195</v>
      </c>
      <c r="T123" s="690">
        <f>(AS123*KFC!$B$22+KFC!$C$22)*KFC!$C$5</f>
        <v>227.20866112730633</v>
      </c>
      <c r="U123" s="690">
        <f>(AT123*KFC!$B$22+KFC!$C$22)*KFC!$C$5</f>
        <v>235.42474099247067</v>
      </c>
      <c r="V123" s="690">
        <f>(AU123*KFC!$B$22+KFC!$C$22)*KFC!$C$5</f>
        <v>243.64082085763502</v>
      </c>
      <c r="W123" s="690">
        <f>(AV123*KFC!$B$22+KFC!$C$22)*KFC!$C$5</f>
        <v>251.85690072279939</v>
      </c>
      <c r="X123" s="690">
        <f>(AW123*KFC!$B$22+KFC!$C$22)*KFC!$C$5</f>
        <v>260.07298058796374</v>
      </c>
      <c r="Y123" s="690">
        <f>(AX123*KFC!$B$22+KFC!$C$22)*KFC!$C$5</f>
        <v>268.28906045312812</v>
      </c>
      <c r="Z123" s="690">
        <f>(AY123*KFC!$B$22+KFC!$C$22)*KFC!$C$5</f>
        <v>276.50514031829243</v>
      </c>
      <c r="AB123" s="771">
        <v>87.535303419512246</v>
      </c>
      <c r="AC123" s="772">
        <v>95.751383284676606</v>
      </c>
      <c r="AD123" s="772">
        <v>103.96746314984097</v>
      </c>
      <c r="AE123" s="772">
        <v>112.18354301500533</v>
      </c>
      <c r="AF123" s="772">
        <v>120.39962288016969</v>
      </c>
      <c r="AG123" s="772">
        <v>128.61570274533403</v>
      </c>
      <c r="AH123" s="772">
        <v>136.83178261049841</v>
      </c>
      <c r="AI123" s="772">
        <v>145.04786247566275</v>
      </c>
      <c r="AJ123" s="772">
        <v>153.26394234082713</v>
      </c>
      <c r="AK123" s="772">
        <v>161.48002220599147</v>
      </c>
      <c r="AL123" s="772">
        <v>169.69610207115582</v>
      </c>
      <c r="AM123" s="772">
        <v>177.91218193632017</v>
      </c>
      <c r="AN123" s="772">
        <v>186.12826180148451</v>
      </c>
      <c r="AO123" s="772">
        <v>194.34434166664889</v>
      </c>
      <c r="AP123" s="772">
        <v>202.56042153181323</v>
      </c>
      <c r="AQ123" s="772">
        <v>210.77650139697761</v>
      </c>
      <c r="AR123" s="772">
        <v>218.99258126214195</v>
      </c>
      <c r="AS123" s="772">
        <v>227.20866112730633</v>
      </c>
      <c r="AT123" s="772">
        <v>235.42474099247067</v>
      </c>
      <c r="AU123" s="772">
        <v>243.64082085763502</v>
      </c>
      <c r="AV123" s="772">
        <v>251.85690072279939</v>
      </c>
      <c r="AW123" s="772">
        <v>260.07298058796374</v>
      </c>
      <c r="AX123" s="772">
        <v>268.28906045312812</v>
      </c>
      <c r="AY123" s="773">
        <v>276.50514031829243</v>
      </c>
    </row>
    <row r="124" spans="1:51">
      <c r="A124" s="1277"/>
      <c r="B124" s="681">
        <v>3.1</v>
      </c>
      <c r="C124" s="690">
        <f>(AB124*KFC!$B$22+KFC!$C$22)*KFC!$C$5</f>
        <v>88.61039971829274</v>
      </c>
      <c r="D124" s="690">
        <f>(AC124*KFC!$B$22+KFC!$C$22)*KFC!$C$5</f>
        <v>96.980523232237573</v>
      </c>
      <c r="E124" s="690">
        <f>(AD124*KFC!$B$22+KFC!$C$22)*KFC!$C$5</f>
        <v>105.35064674618241</v>
      </c>
      <c r="F124" s="690">
        <f>(AE124*KFC!$B$22+KFC!$C$22)*KFC!$C$5</f>
        <v>113.72077026012724</v>
      </c>
      <c r="G124" s="690">
        <f>(AF124*KFC!$B$22+KFC!$C$22)*KFC!$C$5</f>
        <v>122.09089377407209</v>
      </c>
      <c r="H124" s="690">
        <f>(AG124*KFC!$B$22+KFC!$C$22)*KFC!$C$5</f>
        <v>130.4610172880169</v>
      </c>
      <c r="I124" s="690">
        <f>(AH124*KFC!$B$22+KFC!$C$22)*KFC!$C$5</f>
        <v>138.83114080196177</v>
      </c>
      <c r="J124" s="690">
        <f>(AI124*KFC!$B$22+KFC!$C$22)*KFC!$C$5</f>
        <v>147.2012643159066</v>
      </c>
      <c r="K124" s="690">
        <f>(AJ124*KFC!$B$22+KFC!$C$22)*KFC!$C$5</f>
        <v>155.57138782985143</v>
      </c>
      <c r="L124" s="690">
        <f>(AK124*KFC!$B$22+KFC!$C$22)*KFC!$C$5</f>
        <v>163.94151134379626</v>
      </c>
      <c r="M124" s="690">
        <f>(AL124*KFC!$B$22+KFC!$C$22)*KFC!$C$5</f>
        <v>172.31163485774113</v>
      </c>
      <c r="N124" s="690">
        <f>(AM124*KFC!$B$22+KFC!$C$22)*KFC!$C$5</f>
        <v>180.68175837168596</v>
      </c>
      <c r="O124" s="690">
        <f>(AN124*KFC!$B$22+KFC!$C$22)*KFC!$C$5</f>
        <v>189.05188188563082</v>
      </c>
      <c r="P124" s="690">
        <f>(AO124*KFC!$B$22+KFC!$C$22)*KFC!$C$5</f>
        <v>197.42200539957568</v>
      </c>
      <c r="Q124" s="690">
        <f>(AP124*KFC!$B$22+KFC!$C$22)*KFC!$C$5</f>
        <v>205.79212891352054</v>
      </c>
      <c r="R124" s="690">
        <f>(AQ124*KFC!$B$22+KFC!$C$22)*KFC!$C$5</f>
        <v>214.1622524274654</v>
      </c>
      <c r="S124" s="690">
        <f>(AR124*KFC!$B$22+KFC!$C$22)*KFC!$C$5</f>
        <v>222.53237594141024</v>
      </c>
      <c r="T124" s="690">
        <f>(AS124*KFC!$B$22+KFC!$C$22)*KFC!$C$5</f>
        <v>230.9024994553551</v>
      </c>
      <c r="U124" s="690">
        <f>(AT124*KFC!$B$22+KFC!$C$22)*KFC!$C$5</f>
        <v>239.27262296929996</v>
      </c>
      <c r="V124" s="690">
        <f>(AU124*KFC!$B$22+KFC!$C$22)*KFC!$C$5</f>
        <v>247.64274648324482</v>
      </c>
      <c r="W124" s="690">
        <f>(AV124*KFC!$B$22+KFC!$C$22)*KFC!$C$5</f>
        <v>256.01286999718968</v>
      </c>
      <c r="X124" s="690">
        <f>(AW124*KFC!$B$22+KFC!$C$22)*KFC!$C$5</f>
        <v>264.38299351113454</v>
      </c>
      <c r="Y124" s="690">
        <f>(AX124*KFC!$B$22+KFC!$C$22)*KFC!$C$5</f>
        <v>272.7531170250794</v>
      </c>
      <c r="Z124" s="690">
        <f>(AY124*KFC!$B$22+KFC!$C$22)*KFC!$C$5</f>
        <v>281.1232405390241</v>
      </c>
      <c r="AB124" s="771">
        <v>88.61039971829274</v>
      </c>
      <c r="AC124" s="772">
        <v>96.980523232237573</v>
      </c>
      <c r="AD124" s="772">
        <v>105.35064674618241</v>
      </c>
      <c r="AE124" s="772">
        <v>113.72077026012724</v>
      </c>
      <c r="AF124" s="772">
        <v>122.09089377407209</v>
      </c>
      <c r="AG124" s="772">
        <v>130.4610172880169</v>
      </c>
      <c r="AH124" s="772">
        <v>138.83114080196177</v>
      </c>
      <c r="AI124" s="772">
        <v>147.2012643159066</v>
      </c>
      <c r="AJ124" s="772">
        <v>155.57138782985143</v>
      </c>
      <c r="AK124" s="772">
        <v>163.94151134379626</v>
      </c>
      <c r="AL124" s="772">
        <v>172.31163485774113</v>
      </c>
      <c r="AM124" s="772">
        <v>180.68175837168596</v>
      </c>
      <c r="AN124" s="772">
        <v>189.05188188563082</v>
      </c>
      <c r="AO124" s="772">
        <v>197.42200539957568</v>
      </c>
      <c r="AP124" s="772">
        <v>205.79212891352054</v>
      </c>
      <c r="AQ124" s="772">
        <v>214.1622524274654</v>
      </c>
      <c r="AR124" s="772">
        <v>222.53237594141024</v>
      </c>
      <c r="AS124" s="772">
        <v>230.9024994553551</v>
      </c>
      <c r="AT124" s="772">
        <v>239.27262296929996</v>
      </c>
      <c r="AU124" s="772">
        <v>247.64274648324482</v>
      </c>
      <c r="AV124" s="772">
        <v>256.01286999718968</v>
      </c>
      <c r="AW124" s="772">
        <v>264.38299351113454</v>
      </c>
      <c r="AX124" s="772">
        <v>272.7531170250794</v>
      </c>
      <c r="AY124" s="773">
        <v>281.1232405390241</v>
      </c>
    </row>
    <row r="125" spans="1:51">
      <c r="A125" s="1277"/>
      <c r="B125" s="681">
        <v>3.2</v>
      </c>
      <c r="C125" s="690">
        <f>(AB125*KFC!$B$22+KFC!$C$22)*KFC!$C$5</f>
        <v>89.68549601707322</v>
      </c>
      <c r="D125" s="690">
        <f>(AC125*KFC!$B$22+KFC!$C$22)*KFC!$C$5</f>
        <v>98.209663179798554</v>
      </c>
      <c r="E125" s="690">
        <f>(AD125*KFC!$B$22+KFC!$C$22)*KFC!$C$5</f>
        <v>106.73383034252389</v>
      </c>
      <c r="F125" s="690">
        <f>(AE125*KFC!$B$22+KFC!$C$22)*KFC!$C$5</f>
        <v>115.25799750524922</v>
      </c>
      <c r="G125" s="690">
        <f>(AF125*KFC!$B$22+KFC!$C$22)*KFC!$C$5</f>
        <v>123.78216466797456</v>
      </c>
      <c r="H125" s="690">
        <f>(AG125*KFC!$B$22+KFC!$C$22)*KFC!$C$5</f>
        <v>132.30633183069989</v>
      </c>
      <c r="I125" s="690">
        <f>(AH125*KFC!$B$22+KFC!$C$22)*KFC!$C$5</f>
        <v>140.83049899342521</v>
      </c>
      <c r="J125" s="690">
        <f>(AI125*KFC!$B$22+KFC!$C$22)*KFC!$C$5</f>
        <v>149.35466615615056</v>
      </c>
      <c r="K125" s="690">
        <f>(AJ125*KFC!$B$22+KFC!$C$22)*KFC!$C$5</f>
        <v>157.87883331887588</v>
      </c>
      <c r="L125" s="690">
        <f>(AK125*KFC!$B$22+KFC!$C$22)*KFC!$C$5</f>
        <v>166.40300048160123</v>
      </c>
      <c r="M125" s="690">
        <f>(AL125*KFC!$B$22+KFC!$C$22)*KFC!$C$5</f>
        <v>174.92716764432654</v>
      </c>
      <c r="N125" s="690">
        <f>(AM125*KFC!$B$22+KFC!$C$22)*KFC!$C$5</f>
        <v>183.45133480705184</v>
      </c>
      <c r="O125" s="690">
        <f>(AN125*KFC!$B$22+KFC!$C$22)*KFC!$C$5</f>
        <v>191.97550196977716</v>
      </c>
      <c r="P125" s="690">
        <f>(AO125*KFC!$B$22+KFC!$C$22)*KFC!$C$5</f>
        <v>200.49966913250248</v>
      </c>
      <c r="Q125" s="690">
        <f>(AP125*KFC!$B$22+KFC!$C$22)*KFC!$C$5</f>
        <v>209.0238362952278</v>
      </c>
      <c r="R125" s="690">
        <f>(AQ125*KFC!$B$22+KFC!$C$22)*KFC!$C$5</f>
        <v>217.54800345795312</v>
      </c>
      <c r="S125" s="690">
        <f>(AR125*KFC!$B$22+KFC!$C$22)*KFC!$C$5</f>
        <v>226.07217062067843</v>
      </c>
      <c r="T125" s="690">
        <f>(AS125*KFC!$B$22+KFC!$C$22)*KFC!$C$5</f>
        <v>234.59633778340373</v>
      </c>
      <c r="U125" s="690">
        <f>(AT125*KFC!$B$22+KFC!$C$22)*KFC!$C$5</f>
        <v>243.12050494612905</v>
      </c>
      <c r="V125" s="690">
        <f>(AU125*KFC!$B$22+KFC!$C$22)*KFC!$C$5</f>
        <v>251.64467210885437</v>
      </c>
      <c r="W125" s="690">
        <f>(AV125*KFC!$B$22+KFC!$C$22)*KFC!$C$5</f>
        <v>260.16883927157966</v>
      </c>
      <c r="X125" s="690">
        <f>(AW125*KFC!$B$22+KFC!$C$22)*KFC!$C$5</f>
        <v>268.693006434305</v>
      </c>
      <c r="Y125" s="690">
        <f>(AX125*KFC!$B$22+KFC!$C$22)*KFC!$C$5</f>
        <v>277.2171735970303</v>
      </c>
      <c r="Z125" s="690">
        <f>(AY125*KFC!$B$22+KFC!$C$22)*KFC!$C$5</f>
        <v>285.74134075975581</v>
      </c>
      <c r="AB125" s="771">
        <v>89.68549601707322</v>
      </c>
      <c r="AC125" s="772">
        <v>98.209663179798554</v>
      </c>
      <c r="AD125" s="772">
        <v>106.73383034252389</v>
      </c>
      <c r="AE125" s="772">
        <v>115.25799750524922</v>
      </c>
      <c r="AF125" s="772">
        <v>123.78216466797456</v>
      </c>
      <c r="AG125" s="772">
        <v>132.30633183069989</v>
      </c>
      <c r="AH125" s="772">
        <v>140.83049899342521</v>
      </c>
      <c r="AI125" s="772">
        <v>149.35466615615056</v>
      </c>
      <c r="AJ125" s="772">
        <v>157.87883331887588</v>
      </c>
      <c r="AK125" s="772">
        <v>166.40300048160123</v>
      </c>
      <c r="AL125" s="772">
        <v>174.92716764432654</v>
      </c>
      <c r="AM125" s="772">
        <v>183.45133480705184</v>
      </c>
      <c r="AN125" s="772">
        <v>191.97550196977716</v>
      </c>
      <c r="AO125" s="772">
        <v>200.49966913250248</v>
      </c>
      <c r="AP125" s="772">
        <v>209.0238362952278</v>
      </c>
      <c r="AQ125" s="772">
        <v>217.54800345795312</v>
      </c>
      <c r="AR125" s="772">
        <v>226.07217062067843</v>
      </c>
      <c r="AS125" s="772">
        <v>234.59633778340373</v>
      </c>
      <c r="AT125" s="772">
        <v>243.12050494612905</v>
      </c>
      <c r="AU125" s="772">
        <v>251.64467210885437</v>
      </c>
      <c r="AV125" s="772">
        <v>260.16883927157966</v>
      </c>
      <c r="AW125" s="772">
        <v>268.693006434305</v>
      </c>
      <c r="AX125" s="772">
        <v>277.2171735970303</v>
      </c>
      <c r="AY125" s="773">
        <v>285.74134075975581</v>
      </c>
    </row>
    <row r="126" spans="1:51" ht="13.5" customHeight="1">
      <c r="A126" s="1277"/>
      <c r="B126" s="681">
        <v>3.3</v>
      </c>
      <c r="C126" s="690">
        <f>(AB126*KFC!$B$22+KFC!$C$22)*KFC!$C$5</f>
        <v>90.7605923158537</v>
      </c>
      <c r="D126" s="690">
        <f>(AC126*KFC!$B$22+KFC!$C$22)*KFC!$C$5</f>
        <v>99.438803127359506</v>
      </c>
      <c r="E126" s="690">
        <f>(AD126*KFC!$B$22+KFC!$C$22)*KFC!$C$5</f>
        <v>108.11701393886533</v>
      </c>
      <c r="F126" s="690">
        <f>(AE126*KFC!$B$22+KFC!$C$22)*KFC!$C$5</f>
        <v>116.79522475037113</v>
      </c>
      <c r="G126" s="690">
        <f>(AF126*KFC!$B$22+KFC!$C$22)*KFC!$C$5</f>
        <v>125.47343556187695</v>
      </c>
      <c r="H126" s="690">
        <f>(AG126*KFC!$B$22+KFC!$C$22)*KFC!$C$5</f>
        <v>134.15164637338276</v>
      </c>
      <c r="I126" s="690">
        <f>(AH126*KFC!$B$22+KFC!$C$22)*KFC!$C$5</f>
        <v>142.82985718488857</v>
      </c>
      <c r="J126" s="690">
        <f>(AI126*KFC!$B$22+KFC!$C$22)*KFC!$C$5</f>
        <v>151.50806799639437</v>
      </c>
      <c r="K126" s="690">
        <f>(AJ126*KFC!$B$22+KFC!$C$22)*KFC!$C$5</f>
        <v>160.18627880790021</v>
      </c>
      <c r="L126" s="690">
        <f>(AK126*KFC!$B$22+KFC!$C$22)*KFC!$C$5</f>
        <v>168.86448961940602</v>
      </c>
      <c r="M126" s="690">
        <f>(AL126*KFC!$B$22+KFC!$C$22)*KFC!$C$5</f>
        <v>177.54270043091185</v>
      </c>
      <c r="N126" s="690">
        <f>(AM126*KFC!$B$22+KFC!$C$22)*KFC!$C$5</f>
        <v>186.22091124241766</v>
      </c>
      <c r="O126" s="690">
        <f>(AN126*KFC!$B$22+KFC!$C$22)*KFC!$C$5</f>
        <v>194.89912205392346</v>
      </c>
      <c r="P126" s="690">
        <f>(AO126*KFC!$B$22+KFC!$C$22)*KFC!$C$5</f>
        <v>203.57733286542927</v>
      </c>
      <c r="Q126" s="690">
        <f>(AP126*KFC!$B$22+KFC!$C$22)*KFC!$C$5</f>
        <v>212.25554367693508</v>
      </c>
      <c r="R126" s="690">
        <f>(AQ126*KFC!$B$22+KFC!$C$22)*KFC!$C$5</f>
        <v>220.93375448844091</v>
      </c>
      <c r="S126" s="690">
        <f>(AR126*KFC!$B$22+KFC!$C$22)*KFC!$C$5</f>
        <v>229.61196529994672</v>
      </c>
      <c r="T126" s="690">
        <f>(AS126*KFC!$B$22+KFC!$C$22)*KFC!$C$5</f>
        <v>238.29017611145252</v>
      </c>
      <c r="U126" s="690">
        <f>(AT126*KFC!$B$22+KFC!$C$22)*KFC!$C$5</f>
        <v>246.96838692295833</v>
      </c>
      <c r="V126" s="690">
        <f>(AU126*KFC!$B$22+KFC!$C$22)*KFC!$C$5</f>
        <v>255.64659773446414</v>
      </c>
      <c r="W126" s="690">
        <f>(AV126*KFC!$B$22+KFC!$C$22)*KFC!$C$5</f>
        <v>264.32480854596997</v>
      </c>
      <c r="X126" s="690">
        <f>(AW126*KFC!$B$22+KFC!$C$22)*KFC!$C$5</f>
        <v>273.00301935747575</v>
      </c>
      <c r="Y126" s="690">
        <f>(AX126*KFC!$B$22+KFC!$C$22)*KFC!$C$5</f>
        <v>281.68123016898159</v>
      </c>
      <c r="Z126" s="690">
        <f>(AY126*KFC!$B$22+KFC!$C$22)*KFC!$C$5</f>
        <v>290.35944098048753</v>
      </c>
      <c r="AB126" s="771">
        <v>90.7605923158537</v>
      </c>
      <c r="AC126" s="772">
        <v>99.438803127359506</v>
      </c>
      <c r="AD126" s="772">
        <v>108.11701393886533</v>
      </c>
      <c r="AE126" s="772">
        <v>116.79522475037113</v>
      </c>
      <c r="AF126" s="772">
        <v>125.47343556187695</v>
      </c>
      <c r="AG126" s="772">
        <v>134.15164637338276</v>
      </c>
      <c r="AH126" s="772">
        <v>142.82985718488857</v>
      </c>
      <c r="AI126" s="772">
        <v>151.50806799639437</v>
      </c>
      <c r="AJ126" s="772">
        <v>160.18627880790021</v>
      </c>
      <c r="AK126" s="772">
        <v>168.86448961940602</v>
      </c>
      <c r="AL126" s="772">
        <v>177.54270043091185</v>
      </c>
      <c r="AM126" s="772">
        <v>186.22091124241766</v>
      </c>
      <c r="AN126" s="772">
        <v>194.89912205392346</v>
      </c>
      <c r="AO126" s="772">
        <v>203.57733286542927</v>
      </c>
      <c r="AP126" s="772">
        <v>212.25554367693508</v>
      </c>
      <c r="AQ126" s="772">
        <v>220.93375448844091</v>
      </c>
      <c r="AR126" s="772">
        <v>229.61196529994672</v>
      </c>
      <c r="AS126" s="772">
        <v>238.29017611145252</v>
      </c>
      <c r="AT126" s="772">
        <v>246.96838692295833</v>
      </c>
      <c r="AU126" s="772">
        <v>255.64659773446414</v>
      </c>
      <c r="AV126" s="772">
        <v>264.32480854596997</v>
      </c>
      <c r="AW126" s="772">
        <v>273.00301935747575</v>
      </c>
      <c r="AX126" s="772">
        <v>281.68123016898159</v>
      </c>
      <c r="AY126" s="773">
        <v>290.35944098048753</v>
      </c>
    </row>
    <row r="127" spans="1:51">
      <c r="A127" s="1277"/>
      <c r="B127" s="681">
        <v>3.4</v>
      </c>
      <c r="C127" s="690">
        <f>(AB127*KFC!$B$22+KFC!$C$22)*KFC!$C$5</f>
        <v>91.835688614634179</v>
      </c>
      <c r="D127" s="690">
        <f>(AC127*KFC!$B$22+KFC!$C$22)*KFC!$C$5</f>
        <v>100.66794307492049</v>
      </c>
      <c r="E127" s="690">
        <f>(AD127*KFC!$B$22+KFC!$C$22)*KFC!$C$5</f>
        <v>109.50019753520679</v>
      </c>
      <c r="F127" s="690">
        <f>(AE127*KFC!$B$22+KFC!$C$22)*KFC!$C$5</f>
        <v>118.33245199549312</v>
      </c>
      <c r="G127" s="690">
        <f>(AF127*KFC!$B$22+KFC!$C$22)*KFC!$C$5</f>
        <v>127.16470645577942</v>
      </c>
      <c r="H127" s="690">
        <f>(AG127*KFC!$B$22+KFC!$C$22)*KFC!$C$5</f>
        <v>135.99696091606572</v>
      </c>
      <c r="I127" s="690">
        <f>(AH127*KFC!$B$22+KFC!$C$22)*KFC!$C$5</f>
        <v>144.82921537635204</v>
      </c>
      <c r="J127" s="690">
        <f>(AI127*KFC!$B$22+KFC!$C$22)*KFC!$C$5</f>
        <v>153.66146983663836</v>
      </c>
      <c r="K127" s="690">
        <f>(AJ127*KFC!$B$22+KFC!$C$22)*KFC!$C$5</f>
        <v>162.49372429692465</v>
      </c>
      <c r="L127" s="690">
        <f>(AK127*KFC!$B$22+KFC!$C$22)*KFC!$C$5</f>
        <v>171.32597875721095</v>
      </c>
      <c r="M127" s="690">
        <f>(AL127*KFC!$B$22+KFC!$C$22)*KFC!$C$5</f>
        <v>180.15823321749727</v>
      </c>
      <c r="N127" s="690">
        <f>(AM127*KFC!$B$22+KFC!$C$22)*KFC!$C$5</f>
        <v>188.99048767778356</v>
      </c>
      <c r="O127" s="690">
        <f>(AN127*KFC!$B$22+KFC!$C$22)*KFC!$C$5</f>
        <v>197.82274213806988</v>
      </c>
      <c r="P127" s="690">
        <f>(AO127*KFC!$B$22+KFC!$C$22)*KFC!$C$5</f>
        <v>206.65499659835618</v>
      </c>
      <c r="Q127" s="690">
        <f>(AP127*KFC!$B$22+KFC!$C$22)*KFC!$C$5</f>
        <v>215.4872510586425</v>
      </c>
      <c r="R127" s="690">
        <f>(AQ127*KFC!$B$22+KFC!$C$22)*KFC!$C$5</f>
        <v>224.31950551892879</v>
      </c>
      <c r="S127" s="690">
        <f>(AR127*KFC!$B$22+KFC!$C$22)*KFC!$C$5</f>
        <v>233.15175997921511</v>
      </c>
      <c r="T127" s="690">
        <f>(AS127*KFC!$B$22+KFC!$C$22)*KFC!$C$5</f>
        <v>241.98401443950144</v>
      </c>
      <c r="U127" s="690">
        <f>(AT127*KFC!$B$22+KFC!$C$22)*KFC!$C$5</f>
        <v>250.81626889978773</v>
      </c>
      <c r="V127" s="690">
        <f>(AU127*KFC!$B$22+KFC!$C$22)*KFC!$C$5</f>
        <v>259.64852336007402</v>
      </c>
      <c r="W127" s="690">
        <f>(AV127*KFC!$B$22+KFC!$C$22)*KFC!$C$5</f>
        <v>268.48077782036034</v>
      </c>
      <c r="X127" s="690">
        <f>(AW127*KFC!$B$22+KFC!$C$22)*KFC!$C$5</f>
        <v>277.31303228064667</v>
      </c>
      <c r="Y127" s="690">
        <f>(AX127*KFC!$B$22+KFC!$C$22)*KFC!$C$5</f>
        <v>286.14528674093299</v>
      </c>
      <c r="Z127" s="690">
        <f>(AY127*KFC!$B$22+KFC!$C$22)*KFC!$C$5</f>
        <v>294.9775412012192</v>
      </c>
      <c r="AB127" s="771">
        <v>91.835688614634179</v>
      </c>
      <c r="AC127" s="772">
        <v>100.66794307492049</v>
      </c>
      <c r="AD127" s="772">
        <v>109.50019753520679</v>
      </c>
      <c r="AE127" s="772">
        <v>118.33245199549312</v>
      </c>
      <c r="AF127" s="772">
        <v>127.16470645577942</v>
      </c>
      <c r="AG127" s="772">
        <v>135.99696091606572</v>
      </c>
      <c r="AH127" s="772">
        <v>144.82921537635204</v>
      </c>
      <c r="AI127" s="772">
        <v>153.66146983663836</v>
      </c>
      <c r="AJ127" s="772">
        <v>162.49372429692465</v>
      </c>
      <c r="AK127" s="772">
        <v>171.32597875721095</v>
      </c>
      <c r="AL127" s="772">
        <v>180.15823321749727</v>
      </c>
      <c r="AM127" s="772">
        <v>188.99048767778356</v>
      </c>
      <c r="AN127" s="772">
        <v>197.82274213806988</v>
      </c>
      <c r="AO127" s="772">
        <v>206.65499659835618</v>
      </c>
      <c r="AP127" s="772">
        <v>215.4872510586425</v>
      </c>
      <c r="AQ127" s="772">
        <v>224.31950551892879</v>
      </c>
      <c r="AR127" s="772">
        <v>233.15175997921511</v>
      </c>
      <c r="AS127" s="772">
        <v>241.98401443950144</v>
      </c>
      <c r="AT127" s="772">
        <v>250.81626889978773</v>
      </c>
      <c r="AU127" s="772">
        <v>259.64852336007402</v>
      </c>
      <c r="AV127" s="772">
        <v>268.48077782036034</v>
      </c>
      <c r="AW127" s="772">
        <v>277.31303228064667</v>
      </c>
      <c r="AX127" s="772">
        <v>286.14528674093299</v>
      </c>
      <c r="AY127" s="773">
        <v>294.9775412012192</v>
      </c>
    </row>
    <row r="128" spans="1:51" ht="12.75" customHeight="1">
      <c r="A128" s="1277"/>
      <c r="B128" s="681">
        <v>3.5</v>
      </c>
      <c r="C128" s="690">
        <f>(AB128*KFC!$B$22+KFC!$C$22)*KFC!$C$5</f>
        <v>92.910784913414659</v>
      </c>
      <c r="D128" s="690">
        <f>(AC128*KFC!$B$22+KFC!$C$22)*KFC!$C$5</f>
        <v>101.89708302248145</v>
      </c>
      <c r="E128" s="690">
        <f>(AD128*KFC!$B$22+KFC!$C$22)*KFC!$C$5</f>
        <v>110.88338113154823</v>
      </c>
      <c r="F128" s="690">
        <f>(AE128*KFC!$B$22+KFC!$C$22)*KFC!$C$5</f>
        <v>119.86967924061503</v>
      </c>
      <c r="G128" s="690">
        <f>(AF128*KFC!$B$22+KFC!$C$22)*KFC!$C$5</f>
        <v>128.85597734968181</v>
      </c>
      <c r="H128" s="690">
        <f>(AG128*KFC!$B$22+KFC!$C$22)*KFC!$C$5</f>
        <v>137.84227545874862</v>
      </c>
      <c r="I128" s="690">
        <f>(AH128*KFC!$B$22+KFC!$C$22)*KFC!$C$5</f>
        <v>146.8285735678154</v>
      </c>
      <c r="J128" s="690">
        <f>(AI128*KFC!$B$22+KFC!$C$22)*KFC!$C$5</f>
        <v>155.81487167688218</v>
      </c>
      <c r="K128" s="690">
        <f>(AJ128*KFC!$B$22+KFC!$C$22)*KFC!$C$5</f>
        <v>164.80116978594896</v>
      </c>
      <c r="L128" s="690">
        <f>(AK128*KFC!$B$22+KFC!$C$22)*KFC!$C$5</f>
        <v>173.78746789501577</v>
      </c>
      <c r="M128" s="690">
        <f>(AL128*KFC!$B$22+KFC!$C$22)*KFC!$C$5</f>
        <v>182.77376600408257</v>
      </c>
      <c r="N128" s="690">
        <f>(AM128*KFC!$B$22+KFC!$C$22)*KFC!$C$5</f>
        <v>191.76006411314938</v>
      </c>
      <c r="O128" s="690">
        <f>(AN128*KFC!$B$22+KFC!$C$22)*KFC!$C$5</f>
        <v>200.74636222221616</v>
      </c>
      <c r="P128" s="690">
        <f>(AO128*KFC!$B$22+KFC!$C$22)*KFC!$C$5</f>
        <v>209.73266033128297</v>
      </c>
      <c r="Q128" s="690">
        <f>(AP128*KFC!$B$22+KFC!$C$22)*KFC!$C$5</f>
        <v>218.71895844034978</v>
      </c>
      <c r="R128" s="690">
        <f>(AQ128*KFC!$B$22+KFC!$C$22)*KFC!$C$5</f>
        <v>227.70525654941659</v>
      </c>
      <c r="S128" s="690">
        <f>(AR128*KFC!$B$22+KFC!$C$22)*KFC!$C$5</f>
        <v>236.6915546584834</v>
      </c>
      <c r="T128" s="690">
        <f>(AS128*KFC!$B$22+KFC!$C$22)*KFC!$C$5</f>
        <v>245.67785276755021</v>
      </c>
      <c r="U128" s="690">
        <f>(AT128*KFC!$B$22+KFC!$C$22)*KFC!$C$5</f>
        <v>254.66415087661701</v>
      </c>
      <c r="V128" s="690">
        <f>(AU128*KFC!$B$22+KFC!$C$22)*KFC!$C$5</f>
        <v>263.65044898568385</v>
      </c>
      <c r="W128" s="690">
        <f>(AV128*KFC!$B$22+KFC!$C$22)*KFC!$C$5</f>
        <v>272.6367470947506</v>
      </c>
      <c r="X128" s="690">
        <f>(AW128*KFC!$B$22+KFC!$C$22)*KFC!$C$5</f>
        <v>281.62304520381741</v>
      </c>
      <c r="Y128" s="690">
        <f>(AX128*KFC!$B$22+KFC!$C$22)*KFC!$C$5</f>
        <v>290.60934331288422</v>
      </c>
      <c r="Z128" s="690">
        <f>(AY128*KFC!$B$22+KFC!$C$22)*KFC!$C$5</f>
        <v>299.59564142195092</v>
      </c>
      <c r="AB128" s="771">
        <v>92.910784913414659</v>
      </c>
      <c r="AC128" s="772">
        <v>101.89708302248145</v>
      </c>
      <c r="AD128" s="772">
        <v>110.88338113154823</v>
      </c>
      <c r="AE128" s="772">
        <v>119.86967924061503</v>
      </c>
      <c r="AF128" s="772">
        <v>128.85597734968181</v>
      </c>
      <c r="AG128" s="772">
        <v>137.84227545874862</v>
      </c>
      <c r="AH128" s="772">
        <v>146.8285735678154</v>
      </c>
      <c r="AI128" s="772">
        <v>155.81487167688218</v>
      </c>
      <c r="AJ128" s="772">
        <v>164.80116978594896</v>
      </c>
      <c r="AK128" s="772">
        <v>173.78746789501577</v>
      </c>
      <c r="AL128" s="772">
        <v>182.77376600408257</v>
      </c>
      <c r="AM128" s="772">
        <v>191.76006411314938</v>
      </c>
      <c r="AN128" s="772">
        <v>200.74636222221616</v>
      </c>
      <c r="AO128" s="772">
        <v>209.73266033128297</v>
      </c>
      <c r="AP128" s="772">
        <v>218.71895844034978</v>
      </c>
      <c r="AQ128" s="772">
        <v>227.70525654941659</v>
      </c>
      <c r="AR128" s="772">
        <v>236.6915546584834</v>
      </c>
      <c r="AS128" s="772">
        <v>245.67785276755021</v>
      </c>
      <c r="AT128" s="772">
        <v>254.66415087661701</v>
      </c>
      <c r="AU128" s="772">
        <v>263.65044898568385</v>
      </c>
      <c r="AV128" s="772">
        <v>272.6367470947506</v>
      </c>
      <c r="AW128" s="772">
        <v>281.62304520381741</v>
      </c>
      <c r="AX128" s="772">
        <v>290.60934331288422</v>
      </c>
      <c r="AY128" s="773">
        <v>299.59564142195092</v>
      </c>
    </row>
    <row r="129" spans="1:51">
      <c r="A129" s="1277"/>
      <c r="B129" s="681">
        <v>3.6</v>
      </c>
      <c r="C129" s="690">
        <f>(AB129*KFC!$B$22+KFC!$C$22)*KFC!$C$5</f>
        <v>93.985881212195153</v>
      </c>
      <c r="D129" s="690">
        <f>(AC129*KFC!$B$22+KFC!$C$22)*KFC!$C$5</f>
        <v>103.12622297004243</v>
      </c>
      <c r="E129" s="690">
        <f>(AD129*KFC!$B$22+KFC!$C$22)*KFC!$C$5</f>
        <v>112.26656472788972</v>
      </c>
      <c r="F129" s="690">
        <f>(AE129*KFC!$B$22+KFC!$C$22)*KFC!$C$5</f>
        <v>121.406906485737</v>
      </c>
      <c r="G129" s="690">
        <f>(AF129*KFC!$B$22+KFC!$C$22)*KFC!$C$5</f>
        <v>130.54724824358428</v>
      </c>
      <c r="H129" s="690">
        <f>(AG129*KFC!$B$22+KFC!$C$22)*KFC!$C$5</f>
        <v>139.68759000143157</v>
      </c>
      <c r="I129" s="690">
        <f>(AH129*KFC!$B$22+KFC!$C$22)*KFC!$C$5</f>
        <v>148.82793175927887</v>
      </c>
      <c r="J129" s="690">
        <f>(AI129*KFC!$B$22+KFC!$C$22)*KFC!$C$5</f>
        <v>157.96827351712614</v>
      </c>
      <c r="K129" s="690">
        <f>(AJ129*KFC!$B$22+KFC!$C$22)*KFC!$C$5</f>
        <v>167.10861527497343</v>
      </c>
      <c r="L129" s="690">
        <f>(AK129*KFC!$B$22+KFC!$C$22)*KFC!$C$5</f>
        <v>176.24895703282073</v>
      </c>
      <c r="M129" s="690">
        <f>(AL129*KFC!$B$22+KFC!$C$22)*KFC!$C$5</f>
        <v>185.38929879066799</v>
      </c>
      <c r="N129" s="690">
        <f>(AM129*KFC!$B$22+KFC!$C$22)*KFC!$C$5</f>
        <v>194.52964054851526</v>
      </c>
      <c r="O129" s="690">
        <f>(AN129*KFC!$B$22+KFC!$C$22)*KFC!$C$5</f>
        <v>203.66998230636253</v>
      </c>
      <c r="P129" s="690">
        <f>(AO129*KFC!$B$22+KFC!$C$22)*KFC!$C$5</f>
        <v>212.81032406420979</v>
      </c>
      <c r="Q129" s="690">
        <f>(AP129*KFC!$B$22+KFC!$C$22)*KFC!$C$5</f>
        <v>221.95066582205706</v>
      </c>
      <c r="R129" s="690">
        <f>(AQ129*KFC!$B$22+KFC!$C$22)*KFC!$C$5</f>
        <v>231.09100757990433</v>
      </c>
      <c r="S129" s="690">
        <f>(AR129*KFC!$B$22+KFC!$C$22)*KFC!$C$5</f>
        <v>240.23134933775157</v>
      </c>
      <c r="T129" s="690">
        <f>(AS129*KFC!$B$22+KFC!$C$22)*KFC!$C$5</f>
        <v>249.37169109559883</v>
      </c>
      <c r="U129" s="690">
        <f>(AT129*KFC!$B$22+KFC!$C$22)*KFC!$C$5</f>
        <v>258.5120328534461</v>
      </c>
      <c r="V129" s="690">
        <f>(AU129*KFC!$B$22+KFC!$C$22)*KFC!$C$5</f>
        <v>267.6523746112934</v>
      </c>
      <c r="W129" s="690">
        <f>(AV129*KFC!$B$22+KFC!$C$22)*KFC!$C$5</f>
        <v>276.79271636914063</v>
      </c>
      <c r="X129" s="690">
        <f>(AW129*KFC!$B$22+KFC!$C$22)*KFC!$C$5</f>
        <v>285.93305812698793</v>
      </c>
      <c r="Y129" s="690">
        <f>(AX129*KFC!$B$22+KFC!$C$22)*KFC!$C$5</f>
        <v>295.07339988483517</v>
      </c>
      <c r="Z129" s="690">
        <f>(AY129*KFC!$B$22+KFC!$C$22)*KFC!$C$5</f>
        <v>304.21374164268258</v>
      </c>
      <c r="AB129" s="771">
        <v>93.985881212195153</v>
      </c>
      <c r="AC129" s="772">
        <v>103.12622297004243</v>
      </c>
      <c r="AD129" s="772">
        <v>112.26656472788972</v>
      </c>
      <c r="AE129" s="772">
        <v>121.406906485737</v>
      </c>
      <c r="AF129" s="772">
        <v>130.54724824358428</v>
      </c>
      <c r="AG129" s="772">
        <v>139.68759000143157</v>
      </c>
      <c r="AH129" s="772">
        <v>148.82793175927887</v>
      </c>
      <c r="AI129" s="772">
        <v>157.96827351712614</v>
      </c>
      <c r="AJ129" s="772">
        <v>167.10861527497343</v>
      </c>
      <c r="AK129" s="772">
        <v>176.24895703282073</v>
      </c>
      <c r="AL129" s="772">
        <v>185.38929879066799</v>
      </c>
      <c r="AM129" s="772">
        <v>194.52964054851526</v>
      </c>
      <c r="AN129" s="772">
        <v>203.66998230636253</v>
      </c>
      <c r="AO129" s="772">
        <v>212.81032406420979</v>
      </c>
      <c r="AP129" s="772">
        <v>221.95066582205706</v>
      </c>
      <c r="AQ129" s="772">
        <v>231.09100757990433</v>
      </c>
      <c r="AR129" s="772">
        <v>240.23134933775157</v>
      </c>
      <c r="AS129" s="772">
        <v>249.37169109559883</v>
      </c>
      <c r="AT129" s="772">
        <v>258.5120328534461</v>
      </c>
      <c r="AU129" s="772">
        <v>267.6523746112934</v>
      </c>
      <c r="AV129" s="772">
        <v>276.79271636914063</v>
      </c>
      <c r="AW129" s="772">
        <v>285.93305812698793</v>
      </c>
      <c r="AX129" s="772">
        <v>295.07339988483517</v>
      </c>
      <c r="AY129" s="773">
        <v>304.21374164268258</v>
      </c>
    </row>
    <row r="130" spans="1:51">
      <c r="A130" s="1277"/>
      <c r="B130" s="681">
        <v>3.7</v>
      </c>
      <c r="C130" s="690">
        <f>(AB130*KFC!$B$22+KFC!$C$22)*KFC!$C$5</f>
        <v>95.060977510975633</v>
      </c>
      <c r="D130" s="690">
        <f>(AC130*KFC!$B$22+KFC!$C$22)*KFC!$C$5</f>
        <v>104.35536291760339</v>
      </c>
      <c r="E130" s="690">
        <f>(AD130*KFC!$B$22+KFC!$C$22)*KFC!$C$5</f>
        <v>113.64974832423115</v>
      </c>
      <c r="F130" s="690">
        <f>(AE130*KFC!$B$22+KFC!$C$22)*KFC!$C$5</f>
        <v>122.94413373085892</v>
      </c>
      <c r="G130" s="690">
        <f>(AF130*KFC!$B$22+KFC!$C$22)*KFC!$C$5</f>
        <v>132.23851913748669</v>
      </c>
      <c r="H130" s="690">
        <f>(AG130*KFC!$B$22+KFC!$C$22)*KFC!$C$5</f>
        <v>141.53290454411444</v>
      </c>
      <c r="I130" s="690">
        <f>(AH130*KFC!$B$22+KFC!$C$22)*KFC!$C$5</f>
        <v>150.8272899507422</v>
      </c>
      <c r="J130" s="690">
        <f>(AI130*KFC!$B$22+KFC!$C$22)*KFC!$C$5</f>
        <v>160.12167535736998</v>
      </c>
      <c r="K130" s="690">
        <f>(AJ130*KFC!$B$22+KFC!$C$22)*KFC!$C$5</f>
        <v>169.41606076399776</v>
      </c>
      <c r="L130" s="690">
        <f>(AK130*KFC!$B$22+KFC!$C$22)*KFC!$C$5</f>
        <v>178.71044617062552</v>
      </c>
      <c r="M130" s="690">
        <f>(AL130*KFC!$B$22+KFC!$C$22)*KFC!$C$5</f>
        <v>188.0048315772533</v>
      </c>
      <c r="N130" s="690">
        <f>(AM130*KFC!$B$22+KFC!$C$22)*KFC!$C$5</f>
        <v>197.29921698388105</v>
      </c>
      <c r="O130" s="690">
        <f>(AN130*KFC!$B$22+KFC!$C$22)*KFC!$C$5</f>
        <v>206.59360239050881</v>
      </c>
      <c r="P130" s="690">
        <f>(AO130*KFC!$B$22+KFC!$C$22)*KFC!$C$5</f>
        <v>215.88798779713659</v>
      </c>
      <c r="Q130" s="690">
        <f>(AP130*KFC!$B$22+KFC!$C$22)*KFC!$C$5</f>
        <v>225.18237320376434</v>
      </c>
      <c r="R130" s="690">
        <f>(AQ130*KFC!$B$22+KFC!$C$22)*KFC!$C$5</f>
        <v>234.4767586103921</v>
      </c>
      <c r="S130" s="690">
        <f>(AR130*KFC!$B$22+KFC!$C$22)*KFC!$C$5</f>
        <v>243.77114401701988</v>
      </c>
      <c r="T130" s="690">
        <f>(AS130*KFC!$B$22+KFC!$C$22)*KFC!$C$5</f>
        <v>253.06552942364763</v>
      </c>
      <c r="U130" s="690">
        <f>(AT130*KFC!$B$22+KFC!$C$22)*KFC!$C$5</f>
        <v>262.35991483027539</v>
      </c>
      <c r="V130" s="690">
        <f>(AU130*KFC!$B$22+KFC!$C$22)*KFC!$C$5</f>
        <v>271.65430023690317</v>
      </c>
      <c r="W130" s="690">
        <f>(AV130*KFC!$B$22+KFC!$C$22)*KFC!$C$5</f>
        <v>280.94868564353095</v>
      </c>
      <c r="X130" s="690">
        <f>(AW130*KFC!$B$22+KFC!$C$22)*KFC!$C$5</f>
        <v>290.24307105015868</v>
      </c>
      <c r="Y130" s="690">
        <f>(AX130*KFC!$B$22+KFC!$C$22)*KFC!$C$5</f>
        <v>299.53745645678646</v>
      </c>
      <c r="Z130" s="690">
        <f>(AY130*KFC!$B$22+KFC!$C$22)*KFC!$C$5</f>
        <v>308.8318418634143</v>
      </c>
      <c r="AB130" s="771">
        <v>95.060977510975633</v>
      </c>
      <c r="AC130" s="772">
        <v>104.35536291760339</v>
      </c>
      <c r="AD130" s="772">
        <v>113.64974832423115</v>
      </c>
      <c r="AE130" s="772">
        <v>122.94413373085892</v>
      </c>
      <c r="AF130" s="772">
        <v>132.23851913748669</v>
      </c>
      <c r="AG130" s="772">
        <v>141.53290454411444</v>
      </c>
      <c r="AH130" s="772">
        <v>150.8272899507422</v>
      </c>
      <c r="AI130" s="772">
        <v>160.12167535736998</v>
      </c>
      <c r="AJ130" s="772">
        <v>169.41606076399776</v>
      </c>
      <c r="AK130" s="772">
        <v>178.71044617062552</v>
      </c>
      <c r="AL130" s="772">
        <v>188.0048315772533</v>
      </c>
      <c r="AM130" s="772">
        <v>197.29921698388105</v>
      </c>
      <c r="AN130" s="772">
        <v>206.59360239050881</v>
      </c>
      <c r="AO130" s="772">
        <v>215.88798779713659</v>
      </c>
      <c r="AP130" s="772">
        <v>225.18237320376434</v>
      </c>
      <c r="AQ130" s="772">
        <v>234.4767586103921</v>
      </c>
      <c r="AR130" s="772">
        <v>243.77114401701988</v>
      </c>
      <c r="AS130" s="772">
        <v>253.06552942364763</v>
      </c>
      <c r="AT130" s="772">
        <v>262.35991483027539</v>
      </c>
      <c r="AU130" s="772">
        <v>271.65430023690317</v>
      </c>
      <c r="AV130" s="772">
        <v>280.94868564353095</v>
      </c>
      <c r="AW130" s="772">
        <v>290.24307105015868</v>
      </c>
      <c r="AX130" s="772">
        <v>299.53745645678646</v>
      </c>
      <c r="AY130" s="773">
        <v>308.8318418634143</v>
      </c>
    </row>
    <row r="131" spans="1:51">
      <c r="A131" s="1277"/>
      <c r="B131" s="681">
        <v>3.8</v>
      </c>
      <c r="C131" s="690">
        <f>(AB131*KFC!$B$22+KFC!$C$22)*KFC!$C$5</f>
        <v>96.136073809756112</v>
      </c>
      <c r="D131" s="690">
        <f>(AC131*KFC!$B$22+KFC!$C$22)*KFC!$C$5</f>
        <v>105.58450286516437</v>
      </c>
      <c r="E131" s="690">
        <f>(AD131*KFC!$B$22+KFC!$C$22)*KFC!$C$5</f>
        <v>115.03293192057264</v>
      </c>
      <c r="F131" s="690">
        <f>(AE131*KFC!$B$22+KFC!$C$22)*KFC!$C$5</f>
        <v>124.48136097598089</v>
      </c>
      <c r="G131" s="690">
        <f>(AF131*KFC!$B$22+KFC!$C$22)*KFC!$C$5</f>
        <v>133.92979003138916</v>
      </c>
      <c r="H131" s="690">
        <f>(AG131*KFC!$B$22+KFC!$C$22)*KFC!$C$5</f>
        <v>143.37821908679743</v>
      </c>
      <c r="I131" s="690">
        <f>(AH131*KFC!$B$22+KFC!$C$22)*KFC!$C$5</f>
        <v>152.82664814220567</v>
      </c>
      <c r="J131" s="690">
        <f>(AI131*KFC!$B$22+KFC!$C$22)*KFC!$C$5</f>
        <v>162.27507719761394</v>
      </c>
      <c r="K131" s="690">
        <f>(AJ131*KFC!$B$22+KFC!$C$22)*KFC!$C$5</f>
        <v>171.72350625302218</v>
      </c>
      <c r="L131" s="690">
        <f>(AK131*KFC!$B$22+KFC!$C$22)*KFC!$C$5</f>
        <v>181.17193530843045</v>
      </c>
      <c r="M131" s="690">
        <f>(AL131*KFC!$B$22+KFC!$C$22)*KFC!$C$5</f>
        <v>190.62036436383872</v>
      </c>
      <c r="N131" s="690">
        <f>(AM131*KFC!$B$22+KFC!$C$22)*KFC!$C$5</f>
        <v>200.06879341924696</v>
      </c>
      <c r="O131" s="690">
        <f>(AN131*KFC!$B$22+KFC!$C$22)*KFC!$C$5</f>
        <v>209.51722247465523</v>
      </c>
      <c r="P131" s="690">
        <f>(AO131*KFC!$B$22+KFC!$C$22)*KFC!$C$5</f>
        <v>218.9656515300635</v>
      </c>
      <c r="Q131" s="690">
        <f>(AP131*KFC!$B$22+KFC!$C$22)*KFC!$C$5</f>
        <v>228.41408058547174</v>
      </c>
      <c r="R131" s="690">
        <f>(AQ131*KFC!$B$22+KFC!$C$22)*KFC!$C$5</f>
        <v>237.86250964088001</v>
      </c>
      <c r="S131" s="690">
        <f>(AR131*KFC!$B$22+KFC!$C$22)*KFC!$C$5</f>
        <v>247.31093869628828</v>
      </c>
      <c r="T131" s="690">
        <f>(AS131*KFC!$B$22+KFC!$C$22)*KFC!$C$5</f>
        <v>256.75936775169652</v>
      </c>
      <c r="U131" s="690">
        <f>(AT131*KFC!$B$22+KFC!$C$22)*KFC!$C$5</f>
        <v>266.20779680710478</v>
      </c>
      <c r="V131" s="690">
        <f>(AU131*KFC!$B$22+KFC!$C$22)*KFC!$C$5</f>
        <v>275.65622586251305</v>
      </c>
      <c r="W131" s="690">
        <f>(AV131*KFC!$B$22+KFC!$C$22)*KFC!$C$5</f>
        <v>285.10465491792132</v>
      </c>
      <c r="X131" s="690">
        <f>(AW131*KFC!$B$22+KFC!$C$22)*KFC!$C$5</f>
        <v>294.55308397332959</v>
      </c>
      <c r="Y131" s="690">
        <f>(AX131*KFC!$B$22+KFC!$C$22)*KFC!$C$5</f>
        <v>304.00151302873786</v>
      </c>
      <c r="Z131" s="690">
        <f>(AY131*KFC!$B$22+KFC!$C$22)*KFC!$C$5</f>
        <v>313.44994208414596</v>
      </c>
      <c r="AB131" s="771">
        <v>96.136073809756112</v>
      </c>
      <c r="AC131" s="772">
        <v>105.58450286516437</v>
      </c>
      <c r="AD131" s="772">
        <v>115.03293192057264</v>
      </c>
      <c r="AE131" s="772">
        <v>124.48136097598089</v>
      </c>
      <c r="AF131" s="772">
        <v>133.92979003138916</v>
      </c>
      <c r="AG131" s="772">
        <v>143.37821908679743</v>
      </c>
      <c r="AH131" s="772">
        <v>152.82664814220567</v>
      </c>
      <c r="AI131" s="772">
        <v>162.27507719761394</v>
      </c>
      <c r="AJ131" s="772">
        <v>171.72350625302218</v>
      </c>
      <c r="AK131" s="772">
        <v>181.17193530843045</v>
      </c>
      <c r="AL131" s="772">
        <v>190.62036436383872</v>
      </c>
      <c r="AM131" s="772">
        <v>200.06879341924696</v>
      </c>
      <c r="AN131" s="772">
        <v>209.51722247465523</v>
      </c>
      <c r="AO131" s="772">
        <v>218.9656515300635</v>
      </c>
      <c r="AP131" s="772">
        <v>228.41408058547174</v>
      </c>
      <c r="AQ131" s="772">
        <v>237.86250964088001</v>
      </c>
      <c r="AR131" s="772">
        <v>247.31093869628828</v>
      </c>
      <c r="AS131" s="772">
        <v>256.75936775169652</v>
      </c>
      <c r="AT131" s="772">
        <v>266.20779680710478</v>
      </c>
      <c r="AU131" s="772">
        <v>275.65622586251305</v>
      </c>
      <c r="AV131" s="772">
        <v>285.10465491792132</v>
      </c>
      <c r="AW131" s="772">
        <v>294.55308397332959</v>
      </c>
      <c r="AX131" s="772">
        <v>304.00151302873786</v>
      </c>
      <c r="AY131" s="773">
        <v>313.44994208414596</v>
      </c>
    </row>
    <row r="132" spans="1:51">
      <c r="A132" s="1277"/>
      <c r="B132" s="681">
        <v>3.9</v>
      </c>
      <c r="C132" s="690">
        <f>(AB132*KFC!$B$22+KFC!$C$22)*KFC!$C$5</f>
        <v>97.211170108536592</v>
      </c>
      <c r="D132" s="690">
        <f>(AC132*KFC!$B$22+KFC!$C$22)*KFC!$C$5</f>
        <v>106.81364281272533</v>
      </c>
      <c r="E132" s="690">
        <f>(AD132*KFC!$B$22+KFC!$C$22)*KFC!$C$5</f>
        <v>116.41611551691408</v>
      </c>
      <c r="F132" s="690">
        <f>(AE132*KFC!$B$22+KFC!$C$22)*KFC!$C$5</f>
        <v>126.01858822110282</v>
      </c>
      <c r="G132" s="690">
        <f>(AF132*KFC!$B$22+KFC!$C$22)*KFC!$C$5</f>
        <v>135.62106092529154</v>
      </c>
      <c r="H132" s="690">
        <f>(AG132*KFC!$B$22+KFC!$C$22)*KFC!$C$5</f>
        <v>145.2235336294803</v>
      </c>
      <c r="I132" s="690">
        <f>(AH132*KFC!$B$22+KFC!$C$22)*KFC!$C$5</f>
        <v>154.82600633366903</v>
      </c>
      <c r="J132" s="690">
        <f>(AI132*KFC!$B$22+KFC!$C$22)*KFC!$C$5</f>
        <v>164.42847903785778</v>
      </c>
      <c r="K132" s="690">
        <f>(AJ132*KFC!$B$22+KFC!$C$22)*KFC!$C$5</f>
        <v>174.03095174204654</v>
      </c>
      <c r="L132" s="690">
        <f>(AK132*KFC!$B$22+KFC!$C$22)*KFC!$C$5</f>
        <v>183.6334244462353</v>
      </c>
      <c r="M132" s="690">
        <f>(AL132*KFC!$B$22+KFC!$C$22)*KFC!$C$5</f>
        <v>193.23589715042405</v>
      </c>
      <c r="N132" s="690">
        <f>(AM132*KFC!$B$22+KFC!$C$22)*KFC!$C$5</f>
        <v>202.83836985461281</v>
      </c>
      <c r="O132" s="690">
        <f>(AN132*KFC!$B$22+KFC!$C$22)*KFC!$C$5</f>
        <v>212.44084255880156</v>
      </c>
      <c r="P132" s="690">
        <f>(AO132*KFC!$B$22+KFC!$C$22)*KFC!$C$5</f>
        <v>222.04331526299032</v>
      </c>
      <c r="Q132" s="690">
        <f>(AP132*KFC!$B$22+KFC!$C$22)*KFC!$C$5</f>
        <v>231.64578796717907</v>
      </c>
      <c r="R132" s="690">
        <f>(AQ132*KFC!$B$22+KFC!$C$22)*KFC!$C$5</f>
        <v>241.24826067136783</v>
      </c>
      <c r="S132" s="690">
        <f>(AR132*KFC!$B$22+KFC!$C$22)*KFC!$C$5</f>
        <v>250.85073337555659</v>
      </c>
      <c r="T132" s="690">
        <f>(AS132*KFC!$B$22+KFC!$C$22)*KFC!$C$5</f>
        <v>260.45320607974537</v>
      </c>
      <c r="U132" s="690">
        <f>(AT132*KFC!$B$22+KFC!$C$22)*KFC!$C$5</f>
        <v>270.05567878393413</v>
      </c>
      <c r="V132" s="690">
        <f>(AU132*KFC!$B$22+KFC!$C$22)*KFC!$C$5</f>
        <v>279.65815148812288</v>
      </c>
      <c r="W132" s="690">
        <f>(AV132*KFC!$B$22+KFC!$C$22)*KFC!$C$5</f>
        <v>289.26062419231164</v>
      </c>
      <c r="X132" s="690">
        <f>(AW132*KFC!$B$22+KFC!$C$22)*KFC!$C$5</f>
        <v>298.86309689650039</v>
      </c>
      <c r="Y132" s="690">
        <f>(AX132*KFC!$B$22+KFC!$C$22)*KFC!$C$5</f>
        <v>308.46556960068915</v>
      </c>
      <c r="Z132" s="690">
        <f>(AY132*KFC!$B$22+KFC!$C$22)*KFC!$C$5</f>
        <v>318.06804230487768</v>
      </c>
      <c r="AB132" s="771">
        <v>97.211170108536592</v>
      </c>
      <c r="AC132" s="772">
        <v>106.81364281272533</v>
      </c>
      <c r="AD132" s="772">
        <v>116.41611551691408</v>
      </c>
      <c r="AE132" s="772">
        <v>126.01858822110282</v>
      </c>
      <c r="AF132" s="772">
        <v>135.62106092529154</v>
      </c>
      <c r="AG132" s="772">
        <v>145.2235336294803</v>
      </c>
      <c r="AH132" s="772">
        <v>154.82600633366903</v>
      </c>
      <c r="AI132" s="772">
        <v>164.42847903785778</v>
      </c>
      <c r="AJ132" s="772">
        <v>174.03095174204654</v>
      </c>
      <c r="AK132" s="772">
        <v>183.6334244462353</v>
      </c>
      <c r="AL132" s="772">
        <v>193.23589715042405</v>
      </c>
      <c r="AM132" s="772">
        <v>202.83836985461281</v>
      </c>
      <c r="AN132" s="772">
        <v>212.44084255880156</v>
      </c>
      <c r="AO132" s="772">
        <v>222.04331526299032</v>
      </c>
      <c r="AP132" s="772">
        <v>231.64578796717907</v>
      </c>
      <c r="AQ132" s="772">
        <v>241.24826067136783</v>
      </c>
      <c r="AR132" s="772">
        <v>250.85073337555659</v>
      </c>
      <c r="AS132" s="772">
        <v>260.45320607974537</v>
      </c>
      <c r="AT132" s="772">
        <v>270.05567878393413</v>
      </c>
      <c r="AU132" s="772">
        <v>279.65815148812288</v>
      </c>
      <c r="AV132" s="772">
        <v>289.26062419231164</v>
      </c>
      <c r="AW132" s="772">
        <v>298.86309689650039</v>
      </c>
      <c r="AX132" s="772">
        <v>308.46556960068915</v>
      </c>
      <c r="AY132" s="773">
        <v>318.06804230487768</v>
      </c>
    </row>
    <row r="133" spans="1:51">
      <c r="A133" s="1277"/>
      <c r="B133" s="681">
        <v>4</v>
      </c>
      <c r="C133" s="690">
        <f>(AB133*KFC!$B$22+KFC!$C$22)*KFC!$C$5</f>
        <v>98.286266407317072</v>
      </c>
      <c r="D133" s="690">
        <f>(AC133*KFC!$B$22+KFC!$C$22)*KFC!$C$5</f>
        <v>108.04278276028631</v>
      </c>
      <c r="E133" s="690">
        <f>(AD133*KFC!$B$22+KFC!$C$22)*KFC!$C$5</f>
        <v>117.79929911325554</v>
      </c>
      <c r="F133" s="690">
        <f>(AE133*KFC!$B$22+KFC!$C$22)*KFC!$C$5</f>
        <v>127.55581546622479</v>
      </c>
      <c r="G133" s="690">
        <f>(AF133*KFC!$B$22+KFC!$C$22)*KFC!$C$5</f>
        <v>137.31233181919401</v>
      </c>
      <c r="H133" s="690">
        <f>(AG133*KFC!$B$22+KFC!$C$22)*KFC!$C$5</f>
        <v>147.06884817216326</v>
      </c>
      <c r="I133" s="690">
        <f>(AH133*KFC!$B$22+KFC!$C$22)*KFC!$C$5</f>
        <v>156.8253645251325</v>
      </c>
      <c r="J133" s="690">
        <f>(AI133*KFC!$B$22+KFC!$C$22)*KFC!$C$5</f>
        <v>166.58188087810174</v>
      </c>
      <c r="K133" s="690">
        <f>(AJ133*KFC!$B$22+KFC!$C$22)*KFC!$C$5</f>
        <v>176.33839723107096</v>
      </c>
      <c r="L133" s="690">
        <f>(AK133*KFC!$B$22+KFC!$C$22)*KFC!$C$5</f>
        <v>186.09491358404017</v>
      </c>
      <c r="M133" s="690">
        <f>(AL133*KFC!$B$22+KFC!$C$22)*KFC!$C$5</f>
        <v>195.85142993700939</v>
      </c>
      <c r="N133" s="690">
        <f>(AM133*KFC!$B$22+KFC!$C$22)*KFC!$C$5</f>
        <v>205.6079462899786</v>
      </c>
      <c r="O133" s="690">
        <f>(AN133*KFC!$B$22+KFC!$C$22)*KFC!$C$5</f>
        <v>215.36446264294781</v>
      </c>
      <c r="P133" s="690">
        <f>(AO133*KFC!$B$22+KFC!$C$22)*KFC!$C$5</f>
        <v>225.12097899591706</v>
      </c>
      <c r="Q133" s="690">
        <f>(AP133*KFC!$B$22+KFC!$C$22)*KFC!$C$5</f>
        <v>234.87749534888627</v>
      </c>
      <c r="R133" s="690">
        <f>(AQ133*KFC!$B$22+KFC!$C$22)*KFC!$C$5</f>
        <v>244.63401170185548</v>
      </c>
      <c r="S133" s="690">
        <f>(AR133*KFC!$B$22+KFC!$C$22)*KFC!$C$5</f>
        <v>254.3905280548247</v>
      </c>
      <c r="T133" s="690">
        <f>(AS133*KFC!$B$22+KFC!$C$22)*KFC!$C$5</f>
        <v>264.14704440779394</v>
      </c>
      <c r="U133" s="690">
        <f>(AT133*KFC!$B$22+KFC!$C$22)*KFC!$C$5</f>
        <v>273.90356076076313</v>
      </c>
      <c r="V133" s="690">
        <f>(AU133*KFC!$B$22+KFC!$C$22)*KFC!$C$5</f>
        <v>283.66007711373237</v>
      </c>
      <c r="W133" s="690">
        <f>(AV133*KFC!$B$22+KFC!$C$22)*KFC!$C$5</f>
        <v>293.41659346670156</v>
      </c>
      <c r="X133" s="690">
        <f>(AW133*KFC!$B$22+KFC!$C$22)*KFC!$C$5</f>
        <v>303.1731098196708</v>
      </c>
      <c r="Y133" s="690">
        <f>(AX133*KFC!$B$22+KFC!$C$22)*KFC!$C$5</f>
        <v>312.92962617263998</v>
      </c>
      <c r="Z133" s="690">
        <f>(AY133*KFC!$B$22+KFC!$C$22)*KFC!$C$5</f>
        <v>322.6861425256094</v>
      </c>
      <c r="AB133" s="771">
        <v>98.286266407317072</v>
      </c>
      <c r="AC133" s="772">
        <v>108.04278276028631</v>
      </c>
      <c r="AD133" s="772">
        <v>117.79929911325554</v>
      </c>
      <c r="AE133" s="772">
        <v>127.55581546622479</v>
      </c>
      <c r="AF133" s="772">
        <v>137.31233181919401</v>
      </c>
      <c r="AG133" s="772">
        <v>147.06884817216326</v>
      </c>
      <c r="AH133" s="772">
        <v>156.8253645251325</v>
      </c>
      <c r="AI133" s="772">
        <v>166.58188087810174</v>
      </c>
      <c r="AJ133" s="772">
        <v>176.33839723107096</v>
      </c>
      <c r="AK133" s="772">
        <v>186.09491358404017</v>
      </c>
      <c r="AL133" s="772">
        <v>195.85142993700939</v>
      </c>
      <c r="AM133" s="772">
        <v>205.6079462899786</v>
      </c>
      <c r="AN133" s="772">
        <v>215.36446264294781</v>
      </c>
      <c r="AO133" s="772">
        <v>225.12097899591706</v>
      </c>
      <c r="AP133" s="772">
        <v>234.87749534888627</v>
      </c>
      <c r="AQ133" s="772">
        <v>244.63401170185548</v>
      </c>
      <c r="AR133" s="772">
        <v>254.3905280548247</v>
      </c>
      <c r="AS133" s="772">
        <v>264.14704440779394</v>
      </c>
      <c r="AT133" s="772">
        <v>273.90356076076313</v>
      </c>
      <c r="AU133" s="772">
        <v>283.66007711373237</v>
      </c>
      <c r="AV133" s="772">
        <v>293.41659346670156</v>
      </c>
      <c r="AW133" s="772">
        <v>303.1731098196708</v>
      </c>
      <c r="AX133" s="772">
        <v>312.92962617263998</v>
      </c>
      <c r="AY133" s="773">
        <v>322.6861425256094</v>
      </c>
    </row>
    <row r="134" spans="1:51">
      <c r="A134" s="1277"/>
      <c r="B134" s="681">
        <v>4.0999999999999996</v>
      </c>
      <c r="C134" s="690">
        <f>(AB134*KFC!$B$22+KFC!$C$22)*KFC!$C$5</f>
        <v>99.361362706097552</v>
      </c>
      <c r="D134" s="690">
        <f>(AC134*KFC!$B$22+KFC!$C$22)*KFC!$C$5</f>
        <v>109.27192270784727</v>
      </c>
      <c r="E134" s="690">
        <f>(AD134*KFC!$B$22+KFC!$C$22)*KFC!$C$5</f>
        <v>119.18248270959698</v>
      </c>
      <c r="F134" s="690">
        <f>(AE134*KFC!$B$22+KFC!$C$22)*KFC!$C$5</f>
        <v>129.0930427113467</v>
      </c>
      <c r="G134" s="690">
        <f>(AF134*KFC!$B$22+KFC!$C$22)*KFC!$C$5</f>
        <v>139.00360271309643</v>
      </c>
      <c r="H134" s="690">
        <f>(AG134*KFC!$B$22+KFC!$C$22)*KFC!$C$5</f>
        <v>148.91416271484613</v>
      </c>
      <c r="I134" s="690">
        <f>(AH134*KFC!$B$22+KFC!$C$22)*KFC!$C$5</f>
        <v>158.82472271659586</v>
      </c>
      <c r="J134" s="690">
        <f>(AI134*KFC!$B$22+KFC!$C$22)*KFC!$C$5</f>
        <v>168.73528271834559</v>
      </c>
      <c r="K134" s="690">
        <f>(AJ134*KFC!$B$22+KFC!$C$22)*KFC!$C$5</f>
        <v>178.64584272009529</v>
      </c>
      <c r="L134" s="690">
        <f>(AK134*KFC!$B$22+KFC!$C$22)*KFC!$C$5</f>
        <v>188.55640272184502</v>
      </c>
      <c r="M134" s="690">
        <f>(AL134*KFC!$B$22+KFC!$C$22)*KFC!$C$5</f>
        <v>198.46696272359475</v>
      </c>
      <c r="N134" s="690">
        <f>(AM134*KFC!$B$22+KFC!$C$22)*KFC!$C$5</f>
        <v>208.37752272534445</v>
      </c>
      <c r="O134" s="690">
        <f>(AN134*KFC!$B$22+KFC!$C$22)*KFC!$C$5</f>
        <v>218.28808272709418</v>
      </c>
      <c r="P134" s="690">
        <f>(AO134*KFC!$B$22+KFC!$C$22)*KFC!$C$5</f>
        <v>228.19864272884388</v>
      </c>
      <c r="Q134" s="690">
        <f>(AP134*KFC!$B$22+KFC!$C$22)*KFC!$C$5</f>
        <v>238.10920273059361</v>
      </c>
      <c r="R134" s="690">
        <f>(AQ134*KFC!$B$22+KFC!$C$22)*KFC!$C$5</f>
        <v>248.01976273234331</v>
      </c>
      <c r="S134" s="690">
        <f>(AR134*KFC!$B$22+KFC!$C$22)*KFC!$C$5</f>
        <v>257.93032273409301</v>
      </c>
      <c r="T134" s="690">
        <f>(AS134*KFC!$B$22+KFC!$C$22)*KFC!$C$5</f>
        <v>267.84088273584274</v>
      </c>
      <c r="U134" s="690">
        <f>(AT134*KFC!$B$22+KFC!$C$22)*KFC!$C$5</f>
        <v>277.75144273759247</v>
      </c>
      <c r="V134" s="690">
        <f>(AU134*KFC!$B$22+KFC!$C$22)*KFC!$C$5</f>
        <v>287.6620027393422</v>
      </c>
      <c r="W134" s="690">
        <f>(AV134*KFC!$B$22+KFC!$C$22)*KFC!$C$5</f>
        <v>297.57256274109187</v>
      </c>
      <c r="X134" s="690">
        <f>(AW134*KFC!$B$22+KFC!$C$22)*KFC!$C$5</f>
        <v>307.4831227428416</v>
      </c>
      <c r="Y134" s="690">
        <f>(AX134*KFC!$B$22+KFC!$C$22)*KFC!$C$5</f>
        <v>317.39368274459133</v>
      </c>
      <c r="Z134" s="690">
        <f>(AY134*KFC!$B$22+KFC!$C$22)*KFC!$C$5</f>
        <v>327.30424274634106</v>
      </c>
      <c r="AB134" s="771">
        <v>99.361362706097552</v>
      </c>
      <c r="AC134" s="772">
        <v>109.27192270784727</v>
      </c>
      <c r="AD134" s="772">
        <v>119.18248270959698</v>
      </c>
      <c r="AE134" s="772">
        <v>129.0930427113467</v>
      </c>
      <c r="AF134" s="772">
        <v>139.00360271309643</v>
      </c>
      <c r="AG134" s="772">
        <v>148.91416271484613</v>
      </c>
      <c r="AH134" s="772">
        <v>158.82472271659586</v>
      </c>
      <c r="AI134" s="772">
        <v>168.73528271834559</v>
      </c>
      <c r="AJ134" s="772">
        <v>178.64584272009529</v>
      </c>
      <c r="AK134" s="772">
        <v>188.55640272184502</v>
      </c>
      <c r="AL134" s="772">
        <v>198.46696272359475</v>
      </c>
      <c r="AM134" s="772">
        <v>208.37752272534445</v>
      </c>
      <c r="AN134" s="772">
        <v>218.28808272709418</v>
      </c>
      <c r="AO134" s="772">
        <v>228.19864272884388</v>
      </c>
      <c r="AP134" s="772">
        <v>238.10920273059361</v>
      </c>
      <c r="AQ134" s="772">
        <v>248.01976273234331</v>
      </c>
      <c r="AR134" s="772">
        <v>257.93032273409301</v>
      </c>
      <c r="AS134" s="772">
        <v>267.84088273584274</v>
      </c>
      <c r="AT134" s="772">
        <v>277.75144273759247</v>
      </c>
      <c r="AU134" s="772">
        <v>287.6620027393422</v>
      </c>
      <c r="AV134" s="772">
        <v>297.57256274109187</v>
      </c>
      <c r="AW134" s="772">
        <v>307.4831227428416</v>
      </c>
      <c r="AX134" s="772">
        <v>317.39368274459133</v>
      </c>
      <c r="AY134" s="773">
        <v>327.30424274634106</v>
      </c>
    </row>
    <row r="135" spans="1:51">
      <c r="A135" s="1277"/>
      <c r="B135" s="681">
        <v>4.2</v>
      </c>
      <c r="C135" s="690">
        <f>(AB135*KFC!$B$22+KFC!$C$22)*KFC!$C$5</f>
        <v>100.43645900487805</v>
      </c>
      <c r="D135" s="690">
        <f>(AC135*KFC!$B$22+KFC!$C$22)*KFC!$C$5</f>
        <v>110.50106265540825</v>
      </c>
      <c r="E135" s="690">
        <f>(AD135*KFC!$B$22+KFC!$C$22)*KFC!$C$5</f>
        <v>120.56566630593846</v>
      </c>
      <c r="F135" s="690">
        <f>(AE135*KFC!$B$22+KFC!$C$22)*KFC!$C$5</f>
        <v>130.63026995646868</v>
      </c>
      <c r="G135" s="690">
        <f>(AF135*KFC!$B$22+KFC!$C$22)*KFC!$C$5</f>
        <v>140.6948736069989</v>
      </c>
      <c r="H135" s="690">
        <f>(AG135*KFC!$B$22+KFC!$C$22)*KFC!$C$5</f>
        <v>150.75947725752911</v>
      </c>
      <c r="I135" s="690">
        <f>(AH135*KFC!$B$22+KFC!$C$22)*KFC!$C$5</f>
        <v>160.82408090805933</v>
      </c>
      <c r="J135" s="690">
        <f>(AI135*KFC!$B$22+KFC!$C$22)*KFC!$C$5</f>
        <v>170.88868455858952</v>
      </c>
      <c r="K135" s="690">
        <f>(AJ135*KFC!$B$22+KFC!$C$22)*KFC!$C$5</f>
        <v>180.95328820911973</v>
      </c>
      <c r="L135" s="690">
        <f>(AK135*KFC!$B$22+KFC!$C$22)*KFC!$C$5</f>
        <v>191.01789185964995</v>
      </c>
      <c r="M135" s="690">
        <f>(AL135*KFC!$B$22+KFC!$C$22)*KFC!$C$5</f>
        <v>201.08249551018014</v>
      </c>
      <c r="N135" s="690">
        <f>(AM135*KFC!$B$22+KFC!$C$22)*KFC!$C$5</f>
        <v>211.14709916071035</v>
      </c>
      <c r="O135" s="690">
        <f>(AN135*KFC!$B$22+KFC!$C$22)*KFC!$C$5</f>
        <v>221.21170281124057</v>
      </c>
      <c r="P135" s="690">
        <f>(AO135*KFC!$B$22+KFC!$C$22)*KFC!$C$5</f>
        <v>231.27630646177079</v>
      </c>
      <c r="Q135" s="690">
        <f>(AP135*KFC!$B$22+KFC!$C$22)*KFC!$C$5</f>
        <v>241.340910112301</v>
      </c>
      <c r="R135" s="690">
        <f>(AQ135*KFC!$B$22+KFC!$C$22)*KFC!$C$5</f>
        <v>251.40551376283122</v>
      </c>
      <c r="S135" s="690">
        <f>(AR135*KFC!$B$22+KFC!$C$22)*KFC!$C$5</f>
        <v>261.47011741336144</v>
      </c>
      <c r="T135" s="690">
        <f>(AS135*KFC!$B$22+KFC!$C$22)*KFC!$C$5</f>
        <v>271.53472106389165</v>
      </c>
      <c r="U135" s="690">
        <f>(AT135*KFC!$B$22+KFC!$C$22)*KFC!$C$5</f>
        <v>281.59932471442187</v>
      </c>
      <c r="V135" s="690">
        <f>(AU135*KFC!$B$22+KFC!$C$22)*KFC!$C$5</f>
        <v>291.66392836495208</v>
      </c>
      <c r="W135" s="690">
        <f>(AV135*KFC!$B$22+KFC!$C$22)*KFC!$C$5</f>
        <v>301.7285320154823</v>
      </c>
      <c r="X135" s="690">
        <f>(AW135*KFC!$B$22+KFC!$C$22)*KFC!$C$5</f>
        <v>311.79313566601252</v>
      </c>
      <c r="Y135" s="690">
        <f>(AX135*KFC!$B$22+KFC!$C$22)*KFC!$C$5</f>
        <v>321.85773931654273</v>
      </c>
      <c r="Z135" s="690">
        <f>(AY135*KFC!$B$22+KFC!$C$22)*KFC!$C$5</f>
        <v>331.92234296707278</v>
      </c>
      <c r="AB135" s="771">
        <v>100.43645900487805</v>
      </c>
      <c r="AC135" s="772">
        <v>110.50106265540825</v>
      </c>
      <c r="AD135" s="772">
        <v>120.56566630593846</v>
      </c>
      <c r="AE135" s="772">
        <v>130.63026995646868</v>
      </c>
      <c r="AF135" s="772">
        <v>140.6948736069989</v>
      </c>
      <c r="AG135" s="772">
        <v>150.75947725752911</v>
      </c>
      <c r="AH135" s="772">
        <v>160.82408090805933</v>
      </c>
      <c r="AI135" s="772">
        <v>170.88868455858952</v>
      </c>
      <c r="AJ135" s="772">
        <v>180.95328820911973</v>
      </c>
      <c r="AK135" s="772">
        <v>191.01789185964995</v>
      </c>
      <c r="AL135" s="772">
        <v>201.08249551018014</v>
      </c>
      <c r="AM135" s="772">
        <v>211.14709916071035</v>
      </c>
      <c r="AN135" s="772">
        <v>221.21170281124057</v>
      </c>
      <c r="AO135" s="772">
        <v>231.27630646177079</v>
      </c>
      <c r="AP135" s="772">
        <v>241.340910112301</v>
      </c>
      <c r="AQ135" s="772">
        <v>251.40551376283122</v>
      </c>
      <c r="AR135" s="772">
        <v>261.47011741336144</v>
      </c>
      <c r="AS135" s="772">
        <v>271.53472106389165</v>
      </c>
      <c r="AT135" s="772">
        <v>281.59932471442187</v>
      </c>
      <c r="AU135" s="772">
        <v>291.66392836495208</v>
      </c>
      <c r="AV135" s="772">
        <v>301.7285320154823</v>
      </c>
      <c r="AW135" s="772">
        <v>311.79313566601252</v>
      </c>
      <c r="AX135" s="772">
        <v>321.85773931654273</v>
      </c>
      <c r="AY135" s="773">
        <v>331.92234296707278</v>
      </c>
    </row>
    <row r="136" spans="1:51">
      <c r="A136" s="1277"/>
      <c r="B136" s="681">
        <v>4.3</v>
      </c>
      <c r="C136" s="690">
        <f>(AB136*KFC!$B$22+KFC!$C$22)*KFC!$C$5</f>
        <v>101.51155530365853</v>
      </c>
      <c r="D136" s="690">
        <f>(AC136*KFC!$B$22+KFC!$C$22)*KFC!$C$5</f>
        <v>111.73020260296921</v>
      </c>
      <c r="E136" s="690">
        <f>(AD136*KFC!$B$22+KFC!$C$22)*KFC!$C$5</f>
        <v>121.9488499022799</v>
      </c>
      <c r="F136" s="690">
        <f>(AE136*KFC!$B$22+KFC!$C$22)*KFC!$C$5</f>
        <v>132.16749720159061</v>
      </c>
      <c r="G136" s="690">
        <f>(AF136*KFC!$B$22+KFC!$C$22)*KFC!$C$5</f>
        <v>142.38614450090128</v>
      </c>
      <c r="H136" s="690">
        <f>(AG136*KFC!$B$22+KFC!$C$22)*KFC!$C$5</f>
        <v>152.60479180021198</v>
      </c>
      <c r="I136" s="690">
        <f>(AH136*KFC!$B$22+KFC!$C$22)*KFC!$C$5</f>
        <v>162.82343909952266</v>
      </c>
      <c r="J136" s="690">
        <f>(AI136*KFC!$B$22+KFC!$C$22)*KFC!$C$5</f>
        <v>173.04208639883336</v>
      </c>
      <c r="K136" s="690">
        <f>(AJ136*KFC!$B$22+KFC!$C$22)*KFC!$C$5</f>
        <v>183.26073369814407</v>
      </c>
      <c r="L136" s="690">
        <f>(AK136*KFC!$B$22+KFC!$C$22)*KFC!$C$5</f>
        <v>193.4793809974548</v>
      </c>
      <c r="M136" s="690">
        <f>(AL136*KFC!$B$22+KFC!$C$22)*KFC!$C$5</f>
        <v>203.6980282967655</v>
      </c>
      <c r="N136" s="690">
        <f>(AM136*KFC!$B$22+KFC!$C$22)*KFC!$C$5</f>
        <v>213.9166755960762</v>
      </c>
      <c r="O136" s="690">
        <f>(AN136*KFC!$B$22+KFC!$C$22)*KFC!$C$5</f>
        <v>224.13532289538691</v>
      </c>
      <c r="P136" s="690">
        <f>(AO136*KFC!$B$22+KFC!$C$22)*KFC!$C$5</f>
        <v>234.35397019469764</v>
      </c>
      <c r="Q136" s="690">
        <f>(AP136*KFC!$B$22+KFC!$C$22)*KFC!$C$5</f>
        <v>244.57261749400834</v>
      </c>
      <c r="R136" s="690">
        <f>(AQ136*KFC!$B$22+KFC!$C$22)*KFC!$C$5</f>
        <v>254.79126479331904</v>
      </c>
      <c r="S136" s="690">
        <f>(AR136*KFC!$B$22+KFC!$C$22)*KFC!$C$5</f>
        <v>265.00991209262975</v>
      </c>
      <c r="T136" s="690">
        <f>(AS136*KFC!$B$22+KFC!$C$22)*KFC!$C$5</f>
        <v>275.22855939194045</v>
      </c>
      <c r="U136" s="690">
        <f>(AT136*KFC!$B$22+KFC!$C$22)*KFC!$C$5</f>
        <v>285.44720669125115</v>
      </c>
      <c r="V136" s="690">
        <f>(AU136*KFC!$B$22+KFC!$C$22)*KFC!$C$5</f>
        <v>295.66585399056191</v>
      </c>
      <c r="W136" s="690">
        <f>(AV136*KFC!$B$22+KFC!$C$22)*KFC!$C$5</f>
        <v>305.88450128987262</v>
      </c>
      <c r="X136" s="690">
        <f>(AW136*KFC!$B$22+KFC!$C$22)*KFC!$C$5</f>
        <v>316.10314858918332</v>
      </c>
      <c r="Y136" s="690">
        <f>(AX136*KFC!$B$22+KFC!$C$22)*KFC!$C$5</f>
        <v>326.32179588849402</v>
      </c>
      <c r="Z136" s="690">
        <f>(AY136*KFC!$B$22+KFC!$C$22)*KFC!$C$5</f>
        <v>336.54044318780444</v>
      </c>
      <c r="AB136" s="771">
        <v>101.51155530365853</v>
      </c>
      <c r="AC136" s="772">
        <v>111.73020260296921</v>
      </c>
      <c r="AD136" s="772">
        <v>121.9488499022799</v>
      </c>
      <c r="AE136" s="772">
        <v>132.16749720159061</v>
      </c>
      <c r="AF136" s="772">
        <v>142.38614450090128</v>
      </c>
      <c r="AG136" s="772">
        <v>152.60479180021198</v>
      </c>
      <c r="AH136" s="772">
        <v>162.82343909952266</v>
      </c>
      <c r="AI136" s="772">
        <v>173.04208639883336</v>
      </c>
      <c r="AJ136" s="772">
        <v>183.26073369814407</v>
      </c>
      <c r="AK136" s="772">
        <v>193.4793809974548</v>
      </c>
      <c r="AL136" s="772">
        <v>203.6980282967655</v>
      </c>
      <c r="AM136" s="772">
        <v>213.9166755960762</v>
      </c>
      <c r="AN136" s="772">
        <v>224.13532289538691</v>
      </c>
      <c r="AO136" s="772">
        <v>234.35397019469764</v>
      </c>
      <c r="AP136" s="772">
        <v>244.57261749400834</v>
      </c>
      <c r="AQ136" s="772">
        <v>254.79126479331904</v>
      </c>
      <c r="AR136" s="772">
        <v>265.00991209262975</v>
      </c>
      <c r="AS136" s="772">
        <v>275.22855939194045</v>
      </c>
      <c r="AT136" s="772">
        <v>285.44720669125115</v>
      </c>
      <c r="AU136" s="772">
        <v>295.66585399056191</v>
      </c>
      <c r="AV136" s="772">
        <v>305.88450128987262</v>
      </c>
      <c r="AW136" s="772">
        <v>316.10314858918332</v>
      </c>
      <c r="AX136" s="772">
        <v>326.32179588849402</v>
      </c>
      <c r="AY136" s="773">
        <v>336.54044318780444</v>
      </c>
    </row>
    <row r="137" spans="1:51">
      <c r="A137" s="1277"/>
      <c r="B137" s="681">
        <v>4.4000000000000004</v>
      </c>
      <c r="C137" s="690">
        <f>(AB137*KFC!$B$22+KFC!$C$22)*KFC!$C$5</f>
        <v>102.58665160243901</v>
      </c>
      <c r="D137" s="690">
        <f>(AC137*KFC!$B$22+KFC!$C$22)*KFC!$C$5</f>
        <v>112.9593425505302</v>
      </c>
      <c r="E137" s="690">
        <f>(AD137*KFC!$B$22+KFC!$C$22)*KFC!$C$5</f>
        <v>123.33203349862139</v>
      </c>
      <c r="F137" s="690">
        <f>(AE137*KFC!$B$22+KFC!$C$22)*KFC!$C$5</f>
        <v>133.70472444671256</v>
      </c>
      <c r="G137" s="690">
        <f>(AF137*KFC!$B$22+KFC!$C$22)*KFC!$C$5</f>
        <v>144.07741539480375</v>
      </c>
      <c r="H137" s="690">
        <f>(AG137*KFC!$B$22+KFC!$C$22)*KFC!$C$5</f>
        <v>154.45010634289494</v>
      </c>
      <c r="I137" s="690">
        <f>(AH137*KFC!$B$22+KFC!$C$22)*KFC!$C$5</f>
        <v>164.82279729098613</v>
      </c>
      <c r="J137" s="690">
        <f>(AI137*KFC!$B$22+KFC!$C$22)*KFC!$C$5</f>
        <v>175.19548823907732</v>
      </c>
      <c r="K137" s="690">
        <f>(AJ137*KFC!$B$22+KFC!$C$22)*KFC!$C$5</f>
        <v>185.56817918716851</v>
      </c>
      <c r="L137" s="690">
        <f>(AK137*KFC!$B$22+KFC!$C$22)*KFC!$C$5</f>
        <v>195.94087013525967</v>
      </c>
      <c r="M137" s="690">
        <f>(AL137*KFC!$B$22+KFC!$C$22)*KFC!$C$5</f>
        <v>206.31356108335083</v>
      </c>
      <c r="N137" s="690">
        <f>(AM137*KFC!$B$22+KFC!$C$22)*KFC!$C$5</f>
        <v>216.686252031442</v>
      </c>
      <c r="O137" s="690">
        <f>(AN137*KFC!$B$22+KFC!$C$22)*KFC!$C$5</f>
        <v>227.05894297953319</v>
      </c>
      <c r="P137" s="690">
        <f>(AO137*KFC!$B$22+KFC!$C$22)*KFC!$C$5</f>
        <v>237.43163392762435</v>
      </c>
      <c r="Q137" s="690">
        <f>(AP137*KFC!$B$22+KFC!$C$22)*KFC!$C$5</f>
        <v>247.80432487571551</v>
      </c>
      <c r="R137" s="690">
        <f>(AQ137*KFC!$B$22+KFC!$C$22)*KFC!$C$5</f>
        <v>258.1770158238067</v>
      </c>
      <c r="S137" s="690">
        <f>(AR137*KFC!$B$22+KFC!$C$22)*KFC!$C$5</f>
        <v>268.54970677189783</v>
      </c>
      <c r="T137" s="690">
        <f>(AS137*KFC!$B$22+KFC!$C$22)*KFC!$C$5</f>
        <v>278.92239771998902</v>
      </c>
      <c r="U137" s="690">
        <f>(AT137*KFC!$B$22+KFC!$C$22)*KFC!$C$5</f>
        <v>289.29508866808021</v>
      </c>
      <c r="V137" s="690">
        <f>(AU137*KFC!$B$22+KFC!$C$22)*KFC!$C$5</f>
        <v>299.66777961617134</v>
      </c>
      <c r="W137" s="690">
        <f>(AV137*KFC!$B$22+KFC!$C$22)*KFC!$C$5</f>
        <v>310.04047056426253</v>
      </c>
      <c r="X137" s="690">
        <f>(AW137*KFC!$B$22+KFC!$C$22)*KFC!$C$5</f>
        <v>320.41316151235372</v>
      </c>
      <c r="Y137" s="690">
        <f>(AX137*KFC!$B$22+KFC!$C$22)*KFC!$C$5</f>
        <v>330.78585246044486</v>
      </c>
      <c r="Z137" s="690">
        <f>(AY137*KFC!$B$22+KFC!$C$22)*KFC!$C$5</f>
        <v>341.15854340853616</v>
      </c>
      <c r="AB137" s="771">
        <v>102.58665160243901</v>
      </c>
      <c r="AC137" s="772">
        <v>112.9593425505302</v>
      </c>
      <c r="AD137" s="772">
        <v>123.33203349862139</v>
      </c>
      <c r="AE137" s="772">
        <v>133.70472444671256</v>
      </c>
      <c r="AF137" s="772">
        <v>144.07741539480375</v>
      </c>
      <c r="AG137" s="772">
        <v>154.45010634289494</v>
      </c>
      <c r="AH137" s="772">
        <v>164.82279729098613</v>
      </c>
      <c r="AI137" s="772">
        <v>175.19548823907732</v>
      </c>
      <c r="AJ137" s="772">
        <v>185.56817918716851</v>
      </c>
      <c r="AK137" s="772">
        <v>195.94087013525967</v>
      </c>
      <c r="AL137" s="772">
        <v>206.31356108335083</v>
      </c>
      <c r="AM137" s="772">
        <v>216.686252031442</v>
      </c>
      <c r="AN137" s="772">
        <v>227.05894297953319</v>
      </c>
      <c r="AO137" s="772">
        <v>237.43163392762435</v>
      </c>
      <c r="AP137" s="772">
        <v>247.80432487571551</v>
      </c>
      <c r="AQ137" s="772">
        <v>258.1770158238067</v>
      </c>
      <c r="AR137" s="772">
        <v>268.54970677189783</v>
      </c>
      <c r="AS137" s="772">
        <v>278.92239771998902</v>
      </c>
      <c r="AT137" s="772">
        <v>289.29508866808021</v>
      </c>
      <c r="AU137" s="772">
        <v>299.66777961617134</v>
      </c>
      <c r="AV137" s="772">
        <v>310.04047056426253</v>
      </c>
      <c r="AW137" s="772">
        <v>320.41316151235372</v>
      </c>
      <c r="AX137" s="772">
        <v>330.78585246044486</v>
      </c>
      <c r="AY137" s="773">
        <v>341.15854340853616</v>
      </c>
    </row>
    <row r="138" spans="1:51">
      <c r="A138" s="1277"/>
      <c r="B138" s="681">
        <v>4.5</v>
      </c>
      <c r="C138" s="690">
        <f>(AB138*KFC!$B$22+KFC!$C$22)*KFC!$C$5</f>
        <v>103.66174790121948</v>
      </c>
      <c r="D138" s="690">
        <f>(AC138*KFC!$B$22+KFC!$C$22)*KFC!$C$5</f>
        <v>114.18848249809116</v>
      </c>
      <c r="E138" s="690">
        <f>(AD138*KFC!$B$22+KFC!$C$22)*KFC!$C$5</f>
        <v>124.71521709496282</v>
      </c>
      <c r="F138" s="690">
        <f>(AE138*KFC!$B$22+KFC!$C$22)*KFC!$C$5</f>
        <v>135.24195169183449</v>
      </c>
      <c r="G138" s="690">
        <f>(AF138*KFC!$B$22+KFC!$C$22)*KFC!$C$5</f>
        <v>145.76868628870616</v>
      </c>
      <c r="H138" s="690">
        <f>(AG138*KFC!$B$22+KFC!$C$22)*KFC!$C$5</f>
        <v>156.29542088557781</v>
      </c>
      <c r="I138" s="690">
        <f>(AH138*KFC!$B$22+KFC!$C$22)*KFC!$C$5</f>
        <v>166.82215548244949</v>
      </c>
      <c r="J138" s="690">
        <f>(AI138*KFC!$B$22+KFC!$C$22)*KFC!$C$5</f>
        <v>177.34889007932117</v>
      </c>
      <c r="K138" s="690">
        <f>(AJ138*KFC!$B$22+KFC!$C$22)*KFC!$C$5</f>
        <v>187.87562467619284</v>
      </c>
      <c r="L138" s="690">
        <f>(AK138*KFC!$B$22+KFC!$C$22)*KFC!$C$5</f>
        <v>198.40235927306452</v>
      </c>
      <c r="M138" s="690">
        <f>(AL138*KFC!$B$22+KFC!$C$22)*KFC!$C$5</f>
        <v>208.92909386993617</v>
      </c>
      <c r="N138" s="690">
        <f>(AM138*KFC!$B$22+KFC!$C$22)*KFC!$C$5</f>
        <v>219.45582846680784</v>
      </c>
      <c r="O138" s="690">
        <f>(AN138*KFC!$B$22+KFC!$C$22)*KFC!$C$5</f>
        <v>229.98256306367952</v>
      </c>
      <c r="P138" s="690">
        <f>(AO138*KFC!$B$22+KFC!$C$22)*KFC!$C$5</f>
        <v>240.50929766055117</v>
      </c>
      <c r="Q138" s="690">
        <f>(AP138*KFC!$B$22+KFC!$C$22)*KFC!$C$5</f>
        <v>251.03603225742285</v>
      </c>
      <c r="R138" s="690">
        <f>(AQ138*KFC!$B$22+KFC!$C$22)*KFC!$C$5</f>
        <v>261.56276685429452</v>
      </c>
      <c r="S138" s="690">
        <f>(AR138*KFC!$B$22+KFC!$C$22)*KFC!$C$5</f>
        <v>272.0895014511662</v>
      </c>
      <c r="T138" s="690">
        <f>(AS138*KFC!$B$22+KFC!$C$22)*KFC!$C$5</f>
        <v>282.61623604803788</v>
      </c>
      <c r="U138" s="690">
        <f>(AT138*KFC!$B$22+KFC!$C$22)*KFC!$C$5</f>
        <v>293.1429706449095</v>
      </c>
      <c r="V138" s="690">
        <f>(AU138*KFC!$B$22+KFC!$C$22)*KFC!$C$5</f>
        <v>303.66970524178117</v>
      </c>
      <c r="W138" s="690">
        <f>(AV138*KFC!$B$22+KFC!$C$22)*KFC!$C$5</f>
        <v>314.19643983865285</v>
      </c>
      <c r="X138" s="690">
        <f>(AW138*KFC!$B$22+KFC!$C$22)*KFC!$C$5</f>
        <v>324.72317443552453</v>
      </c>
      <c r="Y138" s="690">
        <f>(AX138*KFC!$B$22+KFC!$C$22)*KFC!$C$5</f>
        <v>335.2499090323962</v>
      </c>
      <c r="Z138" s="690">
        <f>(AY138*KFC!$B$22+KFC!$C$22)*KFC!$C$5</f>
        <v>345.77664362926788</v>
      </c>
      <c r="AB138" s="771">
        <v>103.66174790121948</v>
      </c>
      <c r="AC138" s="772">
        <v>114.18848249809116</v>
      </c>
      <c r="AD138" s="772">
        <v>124.71521709496282</v>
      </c>
      <c r="AE138" s="772">
        <v>135.24195169183449</v>
      </c>
      <c r="AF138" s="772">
        <v>145.76868628870616</v>
      </c>
      <c r="AG138" s="772">
        <v>156.29542088557781</v>
      </c>
      <c r="AH138" s="772">
        <v>166.82215548244949</v>
      </c>
      <c r="AI138" s="772">
        <v>177.34889007932117</v>
      </c>
      <c r="AJ138" s="772">
        <v>187.87562467619284</v>
      </c>
      <c r="AK138" s="772">
        <v>198.40235927306452</v>
      </c>
      <c r="AL138" s="772">
        <v>208.92909386993617</v>
      </c>
      <c r="AM138" s="772">
        <v>219.45582846680784</v>
      </c>
      <c r="AN138" s="772">
        <v>229.98256306367952</v>
      </c>
      <c r="AO138" s="772">
        <v>240.50929766055117</v>
      </c>
      <c r="AP138" s="772">
        <v>251.03603225742285</v>
      </c>
      <c r="AQ138" s="772">
        <v>261.56276685429452</v>
      </c>
      <c r="AR138" s="772">
        <v>272.0895014511662</v>
      </c>
      <c r="AS138" s="772">
        <v>282.61623604803788</v>
      </c>
      <c r="AT138" s="772">
        <v>293.1429706449095</v>
      </c>
      <c r="AU138" s="772">
        <v>303.66970524178117</v>
      </c>
      <c r="AV138" s="772">
        <v>314.19643983865285</v>
      </c>
      <c r="AW138" s="772">
        <v>324.72317443552453</v>
      </c>
      <c r="AX138" s="772">
        <v>335.2499090323962</v>
      </c>
      <c r="AY138" s="773">
        <v>345.77664362926788</v>
      </c>
    </row>
    <row r="139" spans="1:51" ht="13.8" thickBot="1">
      <c r="A139" s="1277"/>
      <c r="B139" s="681">
        <v>4.5999999999999996</v>
      </c>
      <c r="C139" s="690">
        <f>(AB139*KFC!$B$22+KFC!$C$22)*KFC!$C$5</f>
        <v>104.73684419999999</v>
      </c>
      <c r="D139" s="690">
        <f>(AC139*KFC!$B$22+KFC!$C$22)*KFC!$C$5</f>
        <v>115.41762244565216</v>
      </c>
      <c r="E139" s="690">
        <f>(AD139*KFC!$B$22+KFC!$C$22)*KFC!$C$5</f>
        <v>126.09840069130432</v>
      </c>
      <c r="F139" s="690">
        <f>(AE139*KFC!$B$22+KFC!$C$22)*KFC!$C$5</f>
        <v>136.77917893695647</v>
      </c>
      <c r="G139" s="690">
        <f>(AF139*KFC!$B$22+KFC!$C$22)*KFC!$C$5</f>
        <v>147.45995718260863</v>
      </c>
      <c r="H139" s="690">
        <f>(AG139*KFC!$B$22+KFC!$C$22)*KFC!$C$5</f>
        <v>158.14073542826083</v>
      </c>
      <c r="I139" s="690">
        <f>(AH139*KFC!$B$22+KFC!$C$22)*KFC!$C$5</f>
        <v>168.82151367391299</v>
      </c>
      <c r="J139" s="690">
        <f>(AI139*KFC!$B$22+KFC!$C$22)*KFC!$C$5</f>
        <v>179.50229191956515</v>
      </c>
      <c r="K139" s="690">
        <f>(AJ139*KFC!$B$22+KFC!$C$22)*KFC!$C$5</f>
        <v>190.18307016521732</v>
      </c>
      <c r="L139" s="690">
        <f>(AK139*KFC!$B$22+KFC!$C$22)*KFC!$C$5</f>
        <v>200.86384841086948</v>
      </c>
      <c r="M139" s="690">
        <f>(AL139*KFC!$B$22+KFC!$C$22)*KFC!$C$5</f>
        <v>211.54462665652164</v>
      </c>
      <c r="N139" s="690">
        <f>(AM139*KFC!$B$22+KFC!$C$22)*KFC!$C$5</f>
        <v>222.22540490217381</v>
      </c>
      <c r="O139" s="690">
        <f>(AN139*KFC!$B$22+KFC!$C$22)*KFC!$C$5</f>
        <v>232.90618314782597</v>
      </c>
      <c r="P139" s="690">
        <f>(AO139*KFC!$B$22+KFC!$C$22)*KFC!$C$5</f>
        <v>243.58696139347813</v>
      </c>
      <c r="Q139" s="690">
        <f>(AP139*KFC!$B$22+KFC!$C$22)*KFC!$C$5</f>
        <v>254.2677396391303</v>
      </c>
      <c r="R139" s="690">
        <f>(AQ139*KFC!$B$22+KFC!$C$22)*KFC!$C$5</f>
        <v>264.94851788478246</v>
      </c>
      <c r="S139" s="690">
        <f>(AR139*KFC!$B$22+KFC!$C$22)*KFC!$C$5</f>
        <v>275.62929613043462</v>
      </c>
      <c r="T139" s="690">
        <f>(AS139*KFC!$B$22+KFC!$C$22)*KFC!$C$5</f>
        <v>286.31007437608679</v>
      </c>
      <c r="U139" s="690">
        <f>(AT139*KFC!$B$22+KFC!$C$22)*KFC!$C$5</f>
        <v>296.99085262173895</v>
      </c>
      <c r="V139" s="690">
        <f>(AU139*KFC!$B$22+KFC!$C$22)*KFC!$C$5</f>
        <v>307.67163086739112</v>
      </c>
      <c r="W139" s="690">
        <f>(AV139*KFC!$B$22+KFC!$C$22)*KFC!$C$5</f>
        <v>318.35240911304328</v>
      </c>
      <c r="X139" s="690">
        <f>(AW139*KFC!$B$22+KFC!$C$22)*KFC!$C$5</f>
        <v>329.03318735869544</v>
      </c>
      <c r="Y139" s="690">
        <f>(AX139*KFC!$B$22+KFC!$C$22)*KFC!$C$5</f>
        <v>339.71396560434766</v>
      </c>
      <c r="Z139" s="690">
        <f>(AY139*KFC!$B$22+KFC!$C$22)*KFC!$C$5</f>
        <v>350.39474385</v>
      </c>
      <c r="AB139" s="774">
        <v>104.73684419999999</v>
      </c>
      <c r="AC139" s="775">
        <v>115.41762244565216</v>
      </c>
      <c r="AD139" s="775">
        <v>126.09840069130432</v>
      </c>
      <c r="AE139" s="775">
        <v>136.77917893695647</v>
      </c>
      <c r="AF139" s="775">
        <v>147.45995718260863</v>
      </c>
      <c r="AG139" s="775">
        <v>158.14073542826083</v>
      </c>
      <c r="AH139" s="775">
        <v>168.82151367391299</v>
      </c>
      <c r="AI139" s="775">
        <v>179.50229191956515</v>
      </c>
      <c r="AJ139" s="775">
        <v>190.18307016521732</v>
      </c>
      <c r="AK139" s="775">
        <v>200.86384841086948</v>
      </c>
      <c r="AL139" s="775">
        <v>211.54462665652164</v>
      </c>
      <c r="AM139" s="775">
        <v>222.22540490217381</v>
      </c>
      <c r="AN139" s="775">
        <v>232.90618314782597</v>
      </c>
      <c r="AO139" s="775">
        <v>243.58696139347813</v>
      </c>
      <c r="AP139" s="775">
        <v>254.2677396391303</v>
      </c>
      <c r="AQ139" s="775">
        <v>264.94851788478246</v>
      </c>
      <c r="AR139" s="775">
        <v>275.62929613043462</v>
      </c>
      <c r="AS139" s="775">
        <v>286.31007437608679</v>
      </c>
      <c r="AT139" s="775">
        <v>296.99085262173895</v>
      </c>
      <c r="AU139" s="775">
        <v>307.67163086739112</v>
      </c>
      <c r="AV139" s="775">
        <v>318.35240911304328</v>
      </c>
      <c r="AW139" s="775">
        <v>329.03318735869544</v>
      </c>
      <c r="AX139" s="775">
        <v>339.71396560434766</v>
      </c>
      <c r="AY139" s="776">
        <v>350.39474385</v>
      </c>
    </row>
    <row r="141" spans="1:51">
      <c r="A141" s="1749" t="s">
        <v>318</v>
      </c>
      <c r="B141" s="1749"/>
      <c r="C141" s="1732" t="s">
        <v>207</v>
      </c>
      <c r="D141" s="1732"/>
      <c r="E141" s="1732"/>
      <c r="F141" s="1732"/>
      <c r="G141" s="1732"/>
      <c r="H141" s="1732"/>
      <c r="I141" s="1732"/>
      <c r="J141" s="1732"/>
      <c r="K141" s="1732"/>
      <c r="L141" s="1732"/>
      <c r="M141" s="1732"/>
      <c r="N141" s="1732"/>
      <c r="O141" s="1732"/>
      <c r="P141" s="1732"/>
      <c r="Q141" s="1732"/>
      <c r="R141" s="1732"/>
      <c r="S141" s="1732"/>
      <c r="T141" s="1732"/>
      <c r="U141" s="1732"/>
      <c r="V141" s="1732"/>
      <c r="W141" s="1732"/>
      <c r="X141" s="1732"/>
      <c r="Y141" s="1732"/>
      <c r="Z141" s="1732"/>
    </row>
    <row r="142" spans="1:51" ht="13.8" thickBot="1">
      <c r="A142" s="1749"/>
      <c r="B142" s="1749"/>
      <c r="C142" s="681">
        <v>0.7</v>
      </c>
      <c r="D142" s="681">
        <v>0.8</v>
      </c>
      <c r="E142" s="681">
        <v>0.9</v>
      </c>
      <c r="F142" s="681">
        <v>1</v>
      </c>
      <c r="G142" s="681">
        <v>1.1000000000000001</v>
      </c>
      <c r="H142" s="681">
        <v>1.2</v>
      </c>
      <c r="I142" s="681">
        <v>1.3</v>
      </c>
      <c r="J142" s="681">
        <v>1.4</v>
      </c>
      <c r="K142" s="681">
        <v>1.5</v>
      </c>
      <c r="L142" s="681">
        <v>1.6</v>
      </c>
      <c r="M142" s="681">
        <v>1.7</v>
      </c>
      <c r="N142" s="681">
        <v>1.8</v>
      </c>
      <c r="O142" s="681">
        <v>1.9</v>
      </c>
      <c r="P142" s="681">
        <v>2</v>
      </c>
      <c r="Q142" s="681">
        <v>2.1</v>
      </c>
      <c r="R142" s="681">
        <v>2.2000000000000002</v>
      </c>
      <c r="S142" s="681">
        <v>2.2999999999999998</v>
      </c>
      <c r="T142" s="681">
        <v>2.4</v>
      </c>
      <c r="U142" s="681">
        <v>2.5</v>
      </c>
      <c r="V142" s="681">
        <v>2.6</v>
      </c>
      <c r="W142" s="681">
        <v>2.7</v>
      </c>
      <c r="X142" s="681">
        <v>2.8</v>
      </c>
      <c r="Y142" s="681">
        <v>2.9</v>
      </c>
      <c r="Z142" s="681">
        <v>3</v>
      </c>
    </row>
    <row r="143" spans="1:51" ht="12.75" customHeight="1">
      <c r="A143" s="1277" t="s">
        <v>3</v>
      </c>
      <c r="B143" s="681">
        <v>0.5</v>
      </c>
      <c r="C143" s="690">
        <f>(AB143*KFC!$B$22+KFC!$C$22)*KFC!$C$5</f>
        <v>64.078948650000001</v>
      </c>
      <c r="D143" s="690">
        <f>(AC143*KFC!$B$22+KFC!$C$22)*KFC!$C$5</f>
        <v>68.935928152173915</v>
      </c>
      <c r="E143" s="690">
        <f>(AD143*KFC!$B$22+KFC!$C$22)*KFC!$C$5</f>
        <v>73.792907654347829</v>
      </c>
      <c r="F143" s="690">
        <f>(AE143*KFC!$B$22+KFC!$C$22)*KFC!$C$5</f>
        <v>78.649887156521757</v>
      </c>
      <c r="G143" s="690">
        <f>(AF143*KFC!$B$22+KFC!$C$22)*KFC!$C$5</f>
        <v>83.506866658695671</v>
      </c>
      <c r="H143" s="690">
        <f>(AG143*KFC!$B$22+KFC!$C$22)*KFC!$C$5</f>
        <v>88.363846160869585</v>
      </c>
      <c r="I143" s="690">
        <f>(AH143*KFC!$B$22+KFC!$C$22)*KFC!$C$5</f>
        <v>93.220825663043499</v>
      </c>
      <c r="J143" s="690">
        <f>(AI143*KFC!$B$22+KFC!$C$22)*KFC!$C$5</f>
        <v>98.077805165217427</v>
      </c>
      <c r="K143" s="690">
        <f>(AJ143*KFC!$B$22+KFC!$C$22)*KFC!$C$5</f>
        <v>102.93478466739134</v>
      </c>
      <c r="L143" s="690">
        <f>(AK143*KFC!$B$22+KFC!$C$22)*KFC!$C$5</f>
        <v>107.79176416956525</v>
      </c>
      <c r="M143" s="690">
        <f>(AL143*KFC!$B$22+KFC!$C$22)*KFC!$C$5</f>
        <v>112.64874367173917</v>
      </c>
      <c r="N143" s="690">
        <f>(AM143*KFC!$B$22+KFC!$C$22)*KFC!$C$5</f>
        <v>117.5057231739131</v>
      </c>
      <c r="O143" s="690">
        <f>(AN143*KFC!$B$22+KFC!$C$22)*KFC!$C$5</f>
        <v>122.36270267608701</v>
      </c>
      <c r="P143" s="690">
        <f>(AO143*KFC!$B$22+KFC!$C$22)*KFC!$C$5</f>
        <v>127.21968217826092</v>
      </c>
      <c r="Q143" s="690">
        <f>(AP143*KFC!$B$22+KFC!$C$22)*KFC!$C$5</f>
        <v>132.07666168043485</v>
      </c>
      <c r="R143" s="690">
        <f>(AQ143*KFC!$B$22+KFC!$C$22)*KFC!$C$5</f>
        <v>136.93364118260877</v>
      </c>
      <c r="S143" s="690">
        <f>(AR143*KFC!$B$22+KFC!$C$22)*KFC!$C$5</f>
        <v>141.79062068478268</v>
      </c>
      <c r="T143" s="690">
        <f>(AS143*KFC!$B$22+KFC!$C$22)*KFC!$C$5</f>
        <v>146.64760018695659</v>
      </c>
      <c r="U143" s="690">
        <f>(AT143*KFC!$B$22+KFC!$C$22)*KFC!$C$5</f>
        <v>151.50457968913051</v>
      </c>
      <c r="V143" s="690">
        <f>(AU143*KFC!$B$22+KFC!$C$22)*KFC!$C$5</f>
        <v>156.36155919130442</v>
      </c>
      <c r="W143" s="690">
        <f>(AV143*KFC!$B$22+KFC!$C$22)*KFC!$C$5</f>
        <v>161.21853869347834</v>
      </c>
      <c r="X143" s="690">
        <f>(AW143*KFC!$B$22+KFC!$C$22)*KFC!$C$5</f>
        <v>166.07551819565225</v>
      </c>
      <c r="Y143" s="690">
        <f>(AX143*KFC!$B$22+KFC!$C$22)*KFC!$C$5</f>
        <v>170.93249769782616</v>
      </c>
      <c r="Z143" s="690">
        <f>(AY143*KFC!$B$22+KFC!$C$22)*KFC!$C$5</f>
        <v>175.78947719999999</v>
      </c>
      <c r="AB143" s="768">
        <v>64.078948650000001</v>
      </c>
      <c r="AC143" s="769">
        <v>68.935928152173915</v>
      </c>
      <c r="AD143" s="769">
        <v>73.792907654347829</v>
      </c>
      <c r="AE143" s="769">
        <v>78.649887156521757</v>
      </c>
      <c r="AF143" s="769">
        <v>83.506866658695671</v>
      </c>
      <c r="AG143" s="769">
        <v>88.363846160869585</v>
      </c>
      <c r="AH143" s="769">
        <v>93.220825663043499</v>
      </c>
      <c r="AI143" s="769">
        <v>98.077805165217427</v>
      </c>
      <c r="AJ143" s="769">
        <v>102.93478466739134</v>
      </c>
      <c r="AK143" s="769">
        <v>107.79176416956525</v>
      </c>
      <c r="AL143" s="769">
        <v>112.64874367173917</v>
      </c>
      <c r="AM143" s="769">
        <v>117.5057231739131</v>
      </c>
      <c r="AN143" s="769">
        <v>122.36270267608701</v>
      </c>
      <c r="AO143" s="769">
        <v>127.21968217826092</v>
      </c>
      <c r="AP143" s="769">
        <v>132.07666168043485</v>
      </c>
      <c r="AQ143" s="769">
        <v>136.93364118260877</v>
      </c>
      <c r="AR143" s="769">
        <v>141.79062068478268</v>
      </c>
      <c r="AS143" s="769">
        <v>146.64760018695659</v>
      </c>
      <c r="AT143" s="769">
        <v>151.50457968913051</v>
      </c>
      <c r="AU143" s="769">
        <v>156.36155919130442</v>
      </c>
      <c r="AV143" s="769">
        <v>161.21853869347834</v>
      </c>
      <c r="AW143" s="769">
        <v>166.07551819565225</v>
      </c>
      <c r="AX143" s="769">
        <v>170.93249769782616</v>
      </c>
      <c r="AY143" s="770">
        <v>175.78947719999999</v>
      </c>
    </row>
    <row r="144" spans="1:51">
      <c r="A144" s="1277"/>
      <c r="B144" s="681">
        <v>0.6</v>
      </c>
      <c r="C144" s="690">
        <f>(AB144*KFC!$B$22+KFC!$C$22)*KFC!$C$5</f>
        <v>65.84082288292683</v>
      </c>
      <c r="D144" s="690">
        <f>(AC144*KFC!$B$22+KFC!$C$22)*KFC!$C$5</f>
        <v>70.950076766436894</v>
      </c>
      <c r="E144" s="690">
        <f>(AD144*KFC!$B$22+KFC!$C$22)*KFC!$C$5</f>
        <v>76.059330649946972</v>
      </c>
      <c r="F144" s="690">
        <f>(AE144*KFC!$B$22+KFC!$C$22)*KFC!$C$5</f>
        <v>81.168584533457036</v>
      </c>
      <c r="G144" s="690">
        <f>(AF144*KFC!$B$22+KFC!$C$22)*KFC!$C$5</f>
        <v>86.277838416967114</v>
      </c>
      <c r="H144" s="690">
        <f>(AG144*KFC!$B$22+KFC!$C$22)*KFC!$C$5</f>
        <v>91.387092300477192</v>
      </c>
      <c r="I144" s="690">
        <f>(AH144*KFC!$B$22+KFC!$C$22)*KFC!$C$5</f>
        <v>96.496346183987256</v>
      </c>
      <c r="J144" s="690">
        <f>(AI144*KFC!$B$22+KFC!$C$22)*KFC!$C$5</f>
        <v>101.60560006749733</v>
      </c>
      <c r="K144" s="690">
        <f>(AJ144*KFC!$B$22+KFC!$C$22)*KFC!$C$5</f>
        <v>106.7148539510074</v>
      </c>
      <c r="L144" s="690">
        <f>(AK144*KFC!$B$22+KFC!$C$22)*KFC!$C$5</f>
        <v>111.82410783451748</v>
      </c>
      <c r="M144" s="690">
        <f>(AL144*KFC!$B$22+KFC!$C$22)*KFC!$C$5</f>
        <v>116.93336171802754</v>
      </c>
      <c r="N144" s="690">
        <f>(AM144*KFC!$B$22+KFC!$C$22)*KFC!$C$5</f>
        <v>122.04261560153762</v>
      </c>
      <c r="O144" s="690">
        <f>(AN144*KFC!$B$22+KFC!$C$22)*KFC!$C$5</f>
        <v>127.15186948504768</v>
      </c>
      <c r="P144" s="690">
        <f>(AO144*KFC!$B$22+KFC!$C$22)*KFC!$C$5</f>
        <v>132.26112336855775</v>
      </c>
      <c r="Q144" s="690">
        <f>(AP144*KFC!$B$22+KFC!$C$22)*KFC!$C$5</f>
        <v>137.37037725206784</v>
      </c>
      <c r="R144" s="690">
        <f>(AQ144*KFC!$B$22+KFC!$C$22)*KFC!$C$5</f>
        <v>142.4796311355779</v>
      </c>
      <c r="S144" s="690">
        <f>(AR144*KFC!$B$22+KFC!$C$22)*KFC!$C$5</f>
        <v>147.58888501908797</v>
      </c>
      <c r="T144" s="690">
        <f>(AS144*KFC!$B$22+KFC!$C$22)*KFC!$C$5</f>
        <v>152.69813890259803</v>
      </c>
      <c r="U144" s="690">
        <f>(AT144*KFC!$B$22+KFC!$C$22)*KFC!$C$5</f>
        <v>157.80739278610812</v>
      </c>
      <c r="V144" s="690">
        <f>(AU144*KFC!$B$22+KFC!$C$22)*KFC!$C$5</f>
        <v>162.91664666961819</v>
      </c>
      <c r="W144" s="690">
        <f>(AV144*KFC!$B$22+KFC!$C$22)*KFC!$C$5</f>
        <v>168.02590055312825</v>
      </c>
      <c r="X144" s="690">
        <f>(AW144*KFC!$B$22+KFC!$C$22)*KFC!$C$5</f>
        <v>173.13515443663835</v>
      </c>
      <c r="Y144" s="690">
        <f>(AX144*KFC!$B$22+KFC!$C$22)*KFC!$C$5</f>
        <v>178.24440832014841</v>
      </c>
      <c r="Z144" s="690">
        <f>(AY144*KFC!$B$22+KFC!$C$22)*KFC!$C$5</f>
        <v>183.35366220365853</v>
      </c>
      <c r="AB144" s="771">
        <v>65.84082288292683</v>
      </c>
      <c r="AC144" s="772">
        <v>70.950076766436894</v>
      </c>
      <c r="AD144" s="772">
        <v>76.059330649946972</v>
      </c>
      <c r="AE144" s="772">
        <v>81.168584533457036</v>
      </c>
      <c r="AF144" s="772">
        <v>86.277838416967114</v>
      </c>
      <c r="AG144" s="772">
        <v>91.387092300477192</v>
      </c>
      <c r="AH144" s="772">
        <v>96.496346183987256</v>
      </c>
      <c r="AI144" s="772">
        <v>101.60560006749733</v>
      </c>
      <c r="AJ144" s="772">
        <v>106.7148539510074</v>
      </c>
      <c r="AK144" s="772">
        <v>111.82410783451748</v>
      </c>
      <c r="AL144" s="772">
        <v>116.93336171802754</v>
      </c>
      <c r="AM144" s="772">
        <v>122.04261560153762</v>
      </c>
      <c r="AN144" s="772">
        <v>127.15186948504768</v>
      </c>
      <c r="AO144" s="772">
        <v>132.26112336855775</v>
      </c>
      <c r="AP144" s="772">
        <v>137.37037725206784</v>
      </c>
      <c r="AQ144" s="772">
        <v>142.4796311355779</v>
      </c>
      <c r="AR144" s="772">
        <v>147.58888501908797</v>
      </c>
      <c r="AS144" s="772">
        <v>152.69813890259803</v>
      </c>
      <c r="AT144" s="772">
        <v>157.80739278610812</v>
      </c>
      <c r="AU144" s="772">
        <v>162.91664666961819</v>
      </c>
      <c r="AV144" s="772">
        <v>168.02590055312825</v>
      </c>
      <c r="AW144" s="772">
        <v>173.13515443663835</v>
      </c>
      <c r="AX144" s="772">
        <v>178.24440832014841</v>
      </c>
      <c r="AY144" s="773">
        <v>183.35366220365853</v>
      </c>
    </row>
    <row r="145" spans="1:51">
      <c r="A145" s="1277"/>
      <c r="B145" s="681">
        <v>0.7</v>
      </c>
      <c r="C145" s="690">
        <f>(AB145*KFC!$B$22+KFC!$C$22)*KFC!$C$5</f>
        <v>67.602697115853658</v>
      </c>
      <c r="D145" s="690">
        <f>(AC145*KFC!$B$22+KFC!$C$22)*KFC!$C$5</f>
        <v>72.964225380699887</v>
      </c>
      <c r="E145" s="690">
        <f>(AD145*KFC!$B$22+KFC!$C$22)*KFC!$C$5</f>
        <v>78.325753645546115</v>
      </c>
      <c r="F145" s="690">
        <f>(AE145*KFC!$B$22+KFC!$C$22)*KFC!$C$5</f>
        <v>83.687281910392358</v>
      </c>
      <c r="G145" s="690">
        <f>(AF145*KFC!$B$22+KFC!$C$22)*KFC!$C$5</f>
        <v>89.048810175238586</v>
      </c>
      <c r="H145" s="690">
        <f>(AG145*KFC!$B$22+KFC!$C$22)*KFC!$C$5</f>
        <v>94.410338440084828</v>
      </c>
      <c r="I145" s="690">
        <f>(AH145*KFC!$B$22+KFC!$C$22)*KFC!$C$5</f>
        <v>99.771866704931071</v>
      </c>
      <c r="J145" s="690">
        <f>(AI145*KFC!$B$22+KFC!$C$22)*KFC!$C$5</f>
        <v>105.13339496977731</v>
      </c>
      <c r="K145" s="690">
        <f>(AJ145*KFC!$B$22+KFC!$C$22)*KFC!$C$5</f>
        <v>110.49492323462356</v>
      </c>
      <c r="L145" s="690">
        <f>(AK145*KFC!$B$22+KFC!$C$22)*KFC!$C$5</f>
        <v>115.8564514994698</v>
      </c>
      <c r="M145" s="690">
        <f>(AL145*KFC!$B$22+KFC!$C$22)*KFC!$C$5</f>
        <v>121.21797976431604</v>
      </c>
      <c r="N145" s="690">
        <f>(AM145*KFC!$B$22+KFC!$C$22)*KFC!$C$5</f>
        <v>126.57950802916228</v>
      </c>
      <c r="O145" s="690">
        <f>(AN145*KFC!$B$22+KFC!$C$22)*KFC!$C$5</f>
        <v>131.94103629400854</v>
      </c>
      <c r="P145" s="690">
        <f>(AO145*KFC!$B$22+KFC!$C$22)*KFC!$C$5</f>
        <v>137.30256455885478</v>
      </c>
      <c r="Q145" s="690">
        <f>(AP145*KFC!$B$22+KFC!$C$22)*KFC!$C$5</f>
        <v>142.66409282370103</v>
      </c>
      <c r="R145" s="690">
        <f>(AQ145*KFC!$B$22+KFC!$C$22)*KFC!$C$5</f>
        <v>148.02562108854727</v>
      </c>
      <c r="S145" s="690">
        <f>(AR145*KFC!$B$22+KFC!$C$22)*KFC!$C$5</f>
        <v>153.38714935339351</v>
      </c>
      <c r="T145" s="690">
        <f>(AS145*KFC!$B$22+KFC!$C$22)*KFC!$C$5</f>
        <v>158.74867761823975</v>
      </c>
      <c r="U145" s="690">
        <f>(AT145*KFC!$B$22+KFC!$C$22)*KFC!$C$5</f>
        <v>164.110205883086</v>
      </c>
      <c r="V145" s="690">
        <f>(AU145*KFC!$B$22+KFC!$C$22)*KFC!$C$5</f>
        <v>169.47173414793224</v>
      </c>
      <c r="W145" s="690">
        <f>(AV145*KFC!$B$22+KFC!$C$22)*KFC!$C$5</f>
        <v>174.83326241277848</v>
      </c>
      <c r="X145" s="690">
        <f>(AW145*KFC!$B$22+KFC!$C$22)*KFC!$C$5</f>
        <v>180.19479067762472</v>
      </c>
      <c r="Y145" s="690">
        <f>(AX145*KFC!$B$22+KFC!$C$22)*KFC!$C$5</f>
        <v>185.55631894247097</v>
      </c>
      <c r="Z145" s="690">
        <f>(AY145*KFC!$B$22+KFC!$C$22)*KFC!$C$5</f>
        <v>190.91784720731707</v>
      </c>
      <c r="AB145" s="771">
        <v>67.602697115853658</v>
      </c>
      <c r="AC145" s="772">
        <v>72.964225380699887</v>
      </c>
      <c r="AD145" s="772">
        <v>78.325753645546115</v>
      </c>
      <c r="AE145" s="772">
        <v>83.687281910392358</v>
      </c>
      <c r="AF145" s="772">
        <v>89.048810175238586</v>
      </c>
      <c r="AG145" s="772">
        <v>94.410338440084828</v>
      </c>
      <c r="AH145" s="772">
        <v>99.771866704931071</v>
      </c>
      <c r="AI145" s="772">
        <v>105.13339496977731</v>
      </c>
      <c r="AJ145" s="772">
        <v>110.49492323462356</v>
      </c>
      <c r="AK145" s="772">
        <v>115.8564514994698</v>
      </c>
      <c r="AL145" s="772">
        <v>121.21797976431604</v>
      </c>
      <c r="AM145" s="772">
        <v>126.57950802916228</v>
      </c>
      <c r="AN145" s="772">
        <v>131.94103629400854</v>
      </c>
      <c r="AO145" s="772">
        <v>137.30256455885478</v>
      </c>
      <c r="AP145" s="772">
        <v>142.66409282370103</v>
      </c>
      <c r="AQ145" s="772">
        <v>148.02562108854727</v>
      </c>
      <c r="AR145" s="772">
        <v>153.38714935339351</v>
      </c>
      <c r="AS145" s="772">
        <v>158.74867761823975</v>
      </c>
      <c r="AT145" s="772">
        <v>164.110205883086</v>
      </c>
      <c r="AU145" s="772">
        <v>169.47173414793224</v>
      </c>
      <c r="AV145" s="772">
        <v>174.83326241277848</v>
      </c>
      <c r="AW145" s="772">
        <v>180.19479067762472</v>
      </c>
      <c r="AX145" s="772">
        <v>185.55631894247097</v>
      </c>
      <c r="AY145" s="773">
        <v>190.91784720731707</v>
      </c>
    </row>
    <row r="146" spans="1:51">
      <c r="A146" s="1277"/>
      <c r="B146" s="681">
        <v>0.8</v>
      </c>
      <c r="C146" s="690">
        <f>(AB146*KFC!$B$22+KFC!$C$22)*KFC!$C$5</f>
        <v>69.364571348780473</v>
      </c>
      <c r="D146" s="690">
        <f>(AC146*KFC!$B$22+KFC!$C$22)*KFC!$C$5</f>
        <v>74.97837399496288</v>
      </c>
      <c r="E146" s="690">
        <f>(AD146*KFC!$B$22+KFC!$C$22)*KFC!$C$5</f>
        <v>80.592176641145272</v>
      </c>
      <c r="F146" s="690">
        <f>(AE146*KFC!$B$22+KFC!$C$22)*KFC!$C$5</f>
        <v>86.205979287327665</v>
      </c>
      <c r="G146" s="690">
        <f>(AF146*KFC!$B$22+KFC!$C$22)*KFC!$C$5</f>
        <v>91.819781933510058</v>
      </c>
      <c r="H146" s="690">
        <f>(AG146*KFC!$B$22+KFC!$C$22)*KFC!$C$5</f>
        <v>97.43358457969245</v>
      </c>
      <c r="I146" s="690">
        <f>(AH146*KFC!$B$22+KFC!$C$22)*KFC!$C$5</f>
        <v>103.04738722587486</v>
      </c>
      <c r="J146" s="690">
        <f>(AI146*KFC!$B$22+KFC!$C$22)*KFC!$C$5</f>
        <v>108.66118987205725</v>
      </c>
      <c r="K146" s="690">
        <f>(AJ146*KFC!$B$22+KFC!$C$22)*KFC!$C$5</f>
        <v>114.27499251823964</v>
      </c>
      <c r="L146" s="690">
        <f>(AK146*KFC!$B$22+KFC!$C$22)*KFC!$C$5</f>
        <v>119.88879516442204</v>
      </c>
      <c r="M146" s="690">
        <f>(AL146*KFC!$B$22+KFC!$C$22)*KFC!$C$5</f>
        <v>125.50259781060444</v>
      </c>
      <c r="N146" s="690">
        <f>(AM146*KFC!$B$22+KFC!$C$22)*KFC!$C$5</f>
        <v>131.11640045678683</v>
      </c>
      <c r="O146" s="690">
        <f>(AN146*KFC!$B$22+KFC!$C$22)*KFC!$C$5</f>
        <v>136.73020310296923</v>
      </c>
      <c r="P146" s="690">
        <f>(AO146*KFC!$B$22+KFC!$C$22)*KFC!$C$5</f>
        <v>142.34400574915162</v>
      </c>
      <c r="Q146" s="690">
        <f>(AP146*KFC!$B$22+KFC!$C$22)*KFC!$C$5</f>
        <v>147.95780839533401</v>
      </c>
      <c r="R146" s="690">
        <f>(AQ146*KFC!$B$22+KFC!$C$22)*KFC!$C$5</f>
        <v>153.57161104151643</v>
      </c>
      <c r="S146" s="690">
        <f>(AR146*KFC!$B$22+KFC!$C$22)*KFC!$C$5</f>
        <v>159.18541368769883</v>
      </c>
      <c r="T146" s="690">
        <f>(AS146*KFC!$B$22+KFC!$C$22)*KFC!$C$5</f>
        <v>164.79921633388122</v>
      </c>
      <c r="U146" s="690">
        <f>(AT146*KFC!$B$22+KFC!$C$22)*KFC!$C$5</f>
        <v>170.41301898006358</v>
      </c>
      <c r="V146" s="690">
        <f>(AU146*KFC!$B$22+KFC!$C$22)*KFC!$C$5</f>
        <v>176.02682162624598</v>
      </c>
      <c r="W146" s="690">
        <f>(AV146*KFC!$B$22+KFC!$C$22)*KFC!$C$5</f>
        <v>181.64062427242834</v>
      </c>
      <c r="X146" s="690">
        <f>(AW146*KFC!$B$22+KFC!$C$22)*KFC!$C$5</f>
        <v>187.25442691861073</v>
      </c>
      <c r="Y146" s="690">
        <f>(AX146*KFC!$B$22+KFC!$C$22)*KFC!$C$5</f>
        <v>192.8682295647931</v>
      </c>
      <c r="Z146" s="690">
        <f>(AY146*KFC!$B$22+KFC!$C$22)*KFC!$C$5</f>
        <v>198.4820322109756</v>
      </c>
      <c r="AB146" s="771">
        <v>69.364571348780473</v>
      </c>
      <c r="AC146" s="772">
        <v>74.97837399496288</v>
      </c>
      <c r="AD146" s="772">
        <v>80.592176641145272</v>
      </c>
      <c r="AE146" s="772">
        <v>86.205979287327665</v>
      </c>
      <c r="AF146" s="772">
        <v>91.819781933510058</v>
      </c>
      <c r="AG146" s="772">
        <v>97.43358457969245</v>
      </c>
      <c r="AH146" s="772">
        <v>103.04738722587486</v>
      </c>
      <c r="AI146" s="772">
        <v>108.66118987205725</v>
      </c>
      <c r="AJ146" s="772">
        <v>114.27499251823964</v>
      </c>
      <c r="AK146" s="772">
        <v>119.88879516442204</v>
      </c>
      <c r="AL146" s="772">
        <v>125.50259781060444</v>
      </c>
      <c r="AM146" s="772">
        <v>131.11640045678683</v>
      </c>
      <c r="AN146" s="772">
        <v>136.73020310296923</v>
      </c>
      <c r="AO146" s="772">
        <v>142.34400574915162</v>
      </c>
      <c r="AP146" s="772">
        <v>147.95780839533401</v>
      </c>
      <c r="AQ146" s="772">
        <v>153.57161104151643</v>
      </c>
      <c r="AR146" s="772">
        <v>159.18541368769883</v>
      </c>
      <c r="AS146" s="772">
        <v>164.79921633388122</v>
      </c>
      <c r="AT146" s="772">
        <v>170.41301898006358</v>
      </c>
      <c r="AU146" s="772">
        <v>176.02682162624598</v>
      </c>
      <c r="AV146" s="772">
        <v>181.64062427242834</v>
      </c>
      <c r="AW146" s="772">
        <v>187.25442691861073</v>
      </c>
      <c r="AX146" s="772">
        <v>192.8682295647931</v>
      </c>
      <c r="AY146" s="773">
        <v>198.4820322109756</v>
      </c>
    </row>
    <row r="147" spans="1:51">
      <c r="A147" s="1277"/>
      <c r="B147" s="681">
        <v>0.9</v>
      </c>
      <c r="C147" s="690">
        <f>(AB147*KFC!$B$22+KFC!$C$22)*KFC!$C$5</f>
        <v>71.126445581707301</v>
      </c>
      <c r="D147" s="690">
        <f>(AC147*KFC!$B$22+KFC!$C$22)*KFC!$C$5</f>
        <v>76.992522609225858</v>
      </c>
      <c r="E147" s="690">
        <f>(AD147*KFC!$B$22+KFC!$C$22)*KFC!$C$5</f>
        <v>82.85859963674443</v>
      </c>
      <c r="F147" s="690">
        <f>(AE147*KFC!$B$22+KFC!$C$22)*KFC!$C$5</f>
        <v>88.724676664262972</v>
      </c>
      <c r="G147" s="690">
        <f>(AF147*KFC!$B$22+KFC!$C$22)*KFC!$C$5</f>
        <v>94.590753691781529</v>
      </c>
      <c r="H147" s="690">
        <f>(AG147*KFC!$B$22+KFC!$C$22)*KFC!$C$5</f>
        <v>100.45683071930007</v>
      </c>
      <c r="I147" s="690">
        <f>(AH147*KFC!$B$22+KFC!$C$22)*KFC!$C$5</f>
        <v>106.32290774681863</v>
      </c>
      <c r="J147" s="690">
        <f>(AI147*KFC!$B$22+KFC!$C$22)*KFC!$C$5</f>
        <v>112.18898477433717</v>
      </c>
      <c r="K147" s="690">
        <f>(AJ147*KFC!$B$22+KFC!$C$22)*KFC!$C$5</f>
        <v>118.05506180185573</v>
      </c>
      <c r="L147" s="690">
        <f>(AK147*KFC!$B$22+KFC!$C$22)*KFC!$C$5</f>
        <v>123.92113882937427</v>
      </c>
      <c r="M147" s="690">
        <f>(AL147*KFC!$B$22+KFC!$C$22)*KFC!$C$5</f>
        <v>129.78721585689283</v>
      </c>
      <c r="N147" s="690">
        <f>(AM147*KFC!$B$22+KFC!$C$22)*KFC!$C$5</f>
        <v>135.65329288441137</v>
      </c>
      <c r="O147" s="690">
        <f>(AN147*KFC!$B$22+KFC!$C$22)*KFC!$C$5</f>
        <v>141.51936991192994</v>
      </c>
      <c r="P147" s="690">
        <f>(AO147*KFC!$B$22+KFC!$C$22)*KFC!$C$5</f>
        <v>147.38544693944849</v>
      </c>
      <c r="Q147" s="690">
        <f>(AP147*KFC!$B$22+KFC!$C$22)*KFC!$C$5</f>
        <v>153.25152396696703</v>
      </c>
      <c r="R147" s="690">
        <f>(AQ147*KFC!$B$22+KFC!$C$22)*KFC!$C$5</f>
        <v>159.11760099448557</v>
      </c>
      <c r="S147" s="690">
        <f>(AR147*KFC!$B$22+KFC!$C$22)*KFC!$C$5</f>
        <v>164.98367802200414</v>
      </c>
      <c r="T147" s="690">
        <f>(AS147*KFC!$B$22+KFC!$C$22)*KFC!$C$5</f>
        <v>170.84975504952268</v>
      </c>
      <c r="U147" s="690">
        <f>(AT147*KFC!$B$22+KFC!$C$22)*KFC!$C$5</f>
        <v>176.71583207704123</v>
      </c>
      <c r="V147" s="690">
        <f>(AU147*KFC!$B$22+KFC!$C$22)*KFC!$C$5</f>
        <v>182.58190910455977</v>
      </c>
      <c r="W147" s="690">
        <f>(AV147*KFC!$B$22+KFC!$C$22)*KFC!$C$5</f>
        <v>188.44798613207834</v>
      </c>
      <c r="X147" s="690">
        <f>(AW147*KFC!$B$22+KFC!$C$22)*KFC!$C$5</f>
        <v>194.31406315959688</v>
      </c>
      <c r="Y147" s="690">
        <f>(AX147*KFC!$B$22+KFC!$C$22)*KFC!$C$5</f>
        <v>200.18014018711543</v>
      </c>
      <c r="Z147" s="690">
        <f>(AY147*KFC!$B$22+KFC!$C$22)*KFC!$C$5</f>
        <v>206.04621721463414</v>
      </c>
      <c r="AB147" s="771">
        <v>71.126445581707301</v>
      </c>
      <c r="AC147" s="772">
        <v>76.992522609225858</v>
      </c>
      <c r="AD147" s="772">
        <v>82.85859963674443</v>
      </c>
      <c r="AE147" s="772">
        <v>88.724676664262972</v>
      </c>
      <c r="AF147" s="772">
        <v>94.590753691781529</v>
      </c>
      <c r="AG147" s="772">
        <v>100.45683071930007</v>
      </c>
      <c r="AH147" s="772">
        <v>106.32290774681863</v>
      </c>
      <c r="AI147" s="772">
        <v>112.18898477433717</v>
      </c>
      <c r="AJ147" s="772">
        <v>118.05506180185573</v>
      </c>
      <c r="AK147" s="772">
        <v>123.92113882937427</v>
      </c>
      <c r="AL147" s="772">
        <v>129.78721585689283</v>
      </c>
      <c r="AM147" s="772">
        <v>135.65329288441137</v>
      </c>
      <c r="AN147" s="772">
        <v>141.51936991192994</v>
      </c>
      <c r="AO147" s="772">
        <v>147.38544693944849</v>
      </c>
      <c r="AP147" s="772">
        <v>153.25152396696703</v>
      </c>
      <c r="AQ147" s="772">
        <v>159.11760099448557</v>
      </c>
      <c r="AR147" s="772">
        <v>164.98367802200414</v>
      </c>
      <c r="AS147" s="772">
        <v>170.84975504952268</v>
      </c>
      <c r="AT147" s="772">
        <v>176.71583207704123</v>
      </c>
      <c r="AU147" s="772">
        <v>182.58190910455977</v>
      </c>
      <c r="AV147" s="772">
        <v>188.44798613207834</v>
      </c>
      <c r="AW147" s="772">
        <v>194.31406315959688</v>
      </c>
      <c r="AX147" s="772">
        <v>200.18014018711543</v>
      </c>
      <c r="AY147" s="773">
        <v>206.04621721463414</v>
      </c>
    </row>
    <row r="148" spans="1:51">
      <c r="A148" s="1277"/>
      <c r="B148" s="681">
        <v>1</v>
      </c>
      <c r="C148" s="690">
        <f>(AB148*KFC!$B$22+KFC!$C$22)*KFC!$C$5</f>
        <v>72.88831981463413</v>
      </c>
      <c r="D148" s="690">
        <f>(AC148*KFC!$B$22+KFC!$C$22)*KFC!$C$5</f>
        <v>79.006671223488851</v>
      </c>
      <c r="E148" s="690">
        <f>(AD148*KFC!$B$22+KFC!$C$22)*KFC!$C$5</f>
        <v>85.125022632343558</v>
      </c>
      <c r="F148" s="690">
        <f>(AE148*KFC!$B$22+KFC!$C$22)*KFC!$C$5</f>
        <v>91.243374041198294</v>
      </c>
      <c r="G148" s="690">
        <f>(AF148*KFC!$B$22+KFC!$C$22)*KFC!$C$5</f>
        <v>97.361725450053015</v>
      </c>
      <c r="H148" s="690">
        <f>(AG148*KFC!$B$22+KFC!$C$22)*KFC!$C$5</f>
        <v>103.48007685890774</v>
      </c>
      <c r="I148" s="690">
        <f>(AH148*KFC!$B$22+KFC!$C$22)*KFC!$C$5</f>
        <v>109.59842826776246</v>
      </c>
      <c r="J148" s="690">
        <f>(AI148*KFC!$B$22+KFC!$C$22)*KFC!$C$5</f>
        <v>115.71677967661718</v>
      </c>
      <c r="K148" s="690">
        <f>(AJ148*KFC!$B$22+KFC!$C$22)*KFC!$C$5</f>
        <v>121.8351310854719</v>
      </c>
      <c r="L148" s="690">
        <f>(AK148*KFC!$B$22+KFC!$C$22)*KFC!$C$5</f>
        <v>127.95348249432662</v>
      </c>
      <c r="M148" s="690">
        <f>(AL148*KFC!$B$22+KFC!$C$22)*KFC!$C$5</f>
        <v>134.07183390318136</v>
      </c>
      <c r="N148" s="690">
        <f>(AM148*KFC!$B$22+KFC!$C$22)*KFC!$C$5</f>
        <v>140.19018531203608</v>
      </c>
      <c r="O148" s="690">
        <f>(AN148*KFC!$B$22+KFC!$C$22)*KFC!$C$5</f>
        <v>146.3085367208908</v>
      </c>
      <c r="P148" s="690">
        <f>(AO148*KFC!$B$22+KFC!$C$22)*KFC!$C$5</f>
        <v>152.42688812974552</v>
      </c>
      <c r="Q148" s="690">
        <f>(AP148*KFC!$B$22+KFC!$C$22)*KFC!$C$5</f>
        <v>158.54523953860024</v>
      </c>
      <c r="R148" s="690">
        <f>(AQ148*KFC!$B$22+KFC!$C$22)*KFC!$C$5</f>
        <v>164.66359094745496</v>
      </c>
      <c r="S148" s="690">
        <f>(AR148*KFC!$B$22+KFC!$C$22)*KFC!$C$5</f>
        <v>170.78194235630968</v>
      </c>
      <c r="T148" s="690">
        <f>(AS148*KFC!$B$22+KFC!$C$22)*KFC!$C$5</f>
        <v>176.90029376516441</v>
      </c>
      <c r="U148" s="690">
        <f>(AT148*KFC!$B$22+KFC!$C$22)*KFC!$C$5</f>
        <v>183.01864517401913</v>
      </c>
      <c r="V148" s="690">
        <f>(AU148*KFC!$B$22+KFC!$C$22)*KFC!$C$5</f>
        <v>189.13699658287385</v>
      </c>
      <c r="W148" s="690">
        <f>(AV148*KFC!$B$22+KFC!$C$22)*KFC!$C$5</f>
        <v>195.25534799172857</v>
      </c>
      <c r="X148" s="690">
        <f>(AW148*KFC!$B$22+KFC!$C$22)*KFC!$C$5</f>
        <v>201.37369940058329</v>
      </c>
      <c r="Y148" s="690">
        <f>(AX148*KFC!$B$22+KFC!$C$22)*KFC!$C$5</f>
        <v>207.49205080943801</v>
      </c>
      <c r="Z148" s="690">
        <f>(AY148*KFC!$B$22+KFC!$C$22)*KFC!$C$5</f>
        <v>213.61040221829268</v>
      </c>
      <c r="AB148" s="771">
        <v>72.88831981463413</v>
      </c>
      <c r="AC148" s="772">
        <v>79.006671223488851</v>
      </c>
      <c r="AD148" s="772">
        <v>85.125022632343558</v>
      </c>
      <c r="AE148" s="772">
        <v>91.243374041198294</v>
      </c>
      <c r="AF148" s="772">
        <v>97.361725450053015</v>
      </c>
      <c r="AG148" s="772">
        <v>103.48007685890774</v>
      </c>
      <c r="AH148" s="772">
        <v>109.59842826776246</v>
      </c>
      <c r="AI148" s="772">
        <v>115.71677967661718</v>
      </c>
      <c r="AJ148" s="772">
        <v>121.8351310854719</v>
      </c>
      <c r="AK148" s="772">
        <v>127.95348249432662</v>
      </c>
      <c r="AL148" s="772">
        <v>134.07183390318136</v>
      </c>
      <c r="AM148" s="772">
        <v>140.19018531203608</v>
      </c>
      <c r="AN148" s="772">
        <v>146.3085367208908</v>
      </c>
      <c r="AO148" s="772">
        <v>152.42688812974552</v>
      </c>
      <c r="AP148" s="772">
        <v>158.54523953860024</v>
      </c>
      <c r="AQ148" s="772">
        <v>164.66359094745496</v>
      </c>
      <c r="AR148" s="772">
        <v>170.78194235630968</v>
      </c>
      <c r="AS148" s="772">
        <v>176.90029376516441</v>
      </c>
      <c r="AT148" s="772">
        <v>183.01864517401913</v>
      </c>
      <c r="AU148" s="772">
        <v>189.13699658287385</v>
      </c>
      <c r="AV148" s="772">
        <v>195.25534799172857</v>
      </c>
      <c r="AW148" s="772">
        <v>201.37369940058329</v>
      </c>
      <c r="AX148" s="772">
        <v>207.49205080943801</v>
      </c>
      <c r="AY148" s="773">
        <v>213.61040221829268</v>
      </c>
    </row>
    <row r="149" spans="1:51">
      <c r="A149" s="1277"/>
      <c r="B149" s="681">
        <v>1.1000000000000001</v>
      </c>
      <c r="C149" s="690">
        <f>(AB149*KFC!$B$22+KFC!$C$22)*KFC!$C$5</f>
        <v>74.650194047560959</v>
      </c>
      <c r="D149" s="690">
        <f>(AC149*KFC!$B$22+KFC!$C$22)*KFC!$C$5</f>
        <v>81.02081983775183</v>
      </c>
      <c r="E149" s="690">
        <f>(AD149*KFC!$B$22+KFC!$C$22)*KFC!$C$5</f>
        <v>87.391445627942701</v>
      </c>
      <c r="F149" s="690">
        <f>(AE149*KFC!$B$22+KFC!$C$22)*KFC!$C$5</f>
        <v>93.762071418133587</v>
      </c>
      <c r="G149" s="690">
        <f>(AF149*KFC!$B$22+KFC!$C$22)*KFC!$C$5</f>
        <v>100.13269720832446</v>
      </c>
      <c r="H149" s="690">
        <f>(AG149*KFC!$B$22+KFC!$C$22)*KFC!$C$5</f>
        <v>106.50332299851534</v>
      </c>
      <c r="I149" s="690">
        <f>(AH149*KFC!$B$22+KFC!$C$22)*KFC!$C$5</f>
        <v>112.87394878870622</v>
      </c>
      <c r="J149" s="690">
        <f>(AI149*KFC!$B$22+KFC!$C$22)*KFC!$C$5</f>
        <v>119.24457457889709</v>
      </c>
      <c r="K149" s="690">
        <f>(AJ149*KFC!$B$22+KFC!$C$22)*KFC!$C$5</f>
        <v>125.61520036908797</v>
      </c>
      <c r="L149" s="690">
        <f>(AK149*KFC!$B$22+KFC!$C$22)*KFC!$C$5</f>
        <v>131.98582615927884</v>
      </c>
      <c r="M149" s="690">
        <f>(AL149*KFC!$B$22+KFC!$C$22)*KFC!$C$5</f>
        <v>138.35645194946972</v>
      </c>
      <c r="N149" s="690">
        <f>(AM149*KFC!$B$22+KFC!$C$22)*KFC!$C$5</f>
        <v>144.72707773966059</v>
      </c>
      <c r="O149" s="690">
        <f>(AN149*KFC!$B$22+KFC!$C$22)*KFC!$C$5</f>
        <v>151.09770352985149</v>
      </c>
      <c r="P149" s="690">
        <f>(AO149*KFC!$B$22+KFC!$C$22)*KFC!$C$5</f>
        <v>157.46832932004236</v>
      </c>
      <c r="Q149" s="690">
        <f>(AP149*KFC!$B$22+KFC!$C$22)*KFC!$C$5</f>
        <v>163.83895511023323</v>
      </c>
      <c r="R149" s="690">
        <f>(AQ149*KFC!$B$22+KFC!$C$22)*KFC!$C$5</f>
        <v>170.20958090042413</v>
      </c>
      <c r="S149" s="690">
        <f>(AR149*KFC!$B$22+KFC!$C$22)*KFC!$C$5</f>
        <v>176.58020669061503</v>
      </c>
      <c r="T149" s="690">
        <f>(AS149*KFC!$B$22+KFC!$C$22)*KFC!$C$5</f>
        <v>182.9508324808059</v>
      </c>
      <c r="U149" s="690">
        <f>(AT149*KFC!$B$22+KFC!$C$22)*KFC!$C$5</f>
        <v>189.3214582709968</v>
      </c>
      <c r="V149" s="690">
        <f>(AU149*KFC!$B$22+KFC!$C$22)*KFC!$C$5</f>
        <v>195.6920840611877</v>
      </c>
      <c r="W149" s="690">
        <f>(AV149*KFC!$B$22+KFC!$C$22)*KFC!$C$5</f>
        <v>202.0627098513786</v>
      </c>
      <c r="X149" s="690">
        <f>(AW149*KFC!$B$22+KFC!$C$22)*KFC!$C$5</f>
        <v>208.4333356415695</v>
      </c>
      <c r="Y149" s="690">
        <f>(AX149*KFC!$B$22+KFC!$C$22)*KFC!$C$5</f>
        <v>214.8039614317604</v>
      </c>
      <c r="Z149" s="690">
        <f>(AY149*KFC!$B$22+KFC!$C$22)*KFC!$C$5</f>
        <v>221.17458722195121</v>
      </c>
      <c r="AB149" s="771">
        <v>74.650194047560959</v>
      </c>
      <c r="AC149" s="772">
        <v>81.02081983775183</v>
      </c>
      <c r="AD149" s="772">
        <v>87.391445627942701</v>
      </c>
      <c r="AE149" s="772">
        <v>93.762071418133587</v>
      </c>
      <c r="AF149" s="772">
        <v>100.13269720832446</v>
      </c>
      <c r="AG149" s="772">
        <v>106.50332299851534</v>
      </c>
      <c r="AH149" s="772">
        <v>112.87394878870622</v>
      </c>
      <c r="AI149" s="772">
        <v>119.24457457889709</v>
      </c>
      <c r="AJ149" s="772">
        <v>125.61520036908797</v>
      </c>
      <c r="AK149" s="772">
        <v>131.98582615927884</v>
      </c>
      <c r="AL149" s="772">
        <v>138.35645194946972</v>
      </c>
      <c r="AM149" s="772">
        <v>144.72707773966059</v>
      </c>
      <c r="AN149" s="772">
        <v>151.09770352985149</v>
      </c>
      <c r="AO149" s="772">
        <v>157.46832932004236</v>
      </c>
      <c r="AP149" s="772">
        <v>163.83895511023323</v>
      </c>
      <c r="AQ149" s="772">
        <v>170.20958090042413</v>
      </c>
      <c r="AR149" s="772">
        <v>176.58020669061503</v>
      </c>
      <c r="AS149" s="772">
        <v>182.9508324808059</v>
      </c>
      <c r="AT149" s="772">
        <v>189.3214582709968</v>
      </c>
      <c r="AU149" s="772">
        <v>195.6920840611877</v>
      </c>
      <c r="AV149" s="772">
        <v>202.0627098513786</v>
      </c>
      <c r="AW149" s="772">
        <v>208.4333356415695</v>
      </c>
      <c r="AX149" s="772">
        <v>214.8039614317604</v>
      </c>
      <c r="AY149" s="773">
        <v>221.17458722195121</v>
      </c>
    </row>
    <row r="150" spans="1:51">
      <c r="A150" s="1277"/>
      <c r="B150" s="681">
        <v>1.2</v>
      </c>
      <c r="C150" s="690">
        <f>(AB150*KFC!$B$22+KFC!$C$22)*KFC!$C$5</f>
        <v>76.412068280487773</v>
      </c>
      <c r="D150" s="690">
        <f>(AC150*KFC!$B$22+KFC!$C$22)*KFC!$C$5</f>
        <v>83.034968452014823</v>
      </c>
      <c r="E150" s="690">
        <f>(AD150*KFC!$B$22+KFC!$C$22)*KFC!$C$5</f>
        <v>89.657868623541873</v>
      </c>
      <c r="F150" s="690">
        <f>(AE150*KFC!$B$22+KFC!$C$22)*KFC!$C$5</f>
        <v>96.280768795068923</v>
      </c>
      <c r="G150" s="690">
        <f>(AF150*KFC!$B$22+KFC!$C$22)*KFC!$C$5</f>
        <v>102.90366896659597</v>
      </c>
      <c r="H150" s="690">
        <f>(AG150*KFC!$B$22+KFC!$C$22)*KFC!$C$5</f>
        <v>109.52656913812302</v>
      </c>
      <c r="I150" s="690">
        <f>(AH150*KFC!$B$22+KFC!$C$22)*KFC!$C$5</f>
        <v>116.14946930965006</v>
      </c>
      <c r="J150" s="690">
        <f>(AI150*KFC!$B$22+KFC!$C$22)*KFC!$C$5</f>
        <v>122.77236948117711</v>
      </c>
      <c r="K150" s="690">
        <f>(AJ150*KFC!$B$22+KFC!$C$22)*KFC!$C$5</f>
        <v>129.39526965270417</v>
      </c>
      <c r="L150" s="690">
        <f>(AK150*KFC!$B$22+KFC!$C$22)*KFC!$C$5</f>
        <v>136.01816982423122</v>
      </c>
      <c r="M150" s="690">
        <f>(AL150*KFC!$B$22+KFC!$C$22)*KFC!$C$5</f>
        <v>142.64106999575827</v>
      </c>
      <c r="N150" s="690">
        <f>(AM150*KFC!$B$22+KFC!$C$22)*KFC!$C$5</f>
        <v>149.26397016728532</v>
      </c>
      <c r="O150" s="690">
        <f>(AN150*KFC!$B$22+KFC!$C$22)*KFC!$C$5</f>
        <v>155.88687033881237</v>
      </c>
      <c r="P150" s="690">
        <f>(AO150*KFC!$B$22+KFC!$C$22)*KFC!$C$5</f>
        <v>162.50977051033942</v>
      </c>
      <c r="Q150" s="690">
        <f>(AP150*KFC!$B$22+KFC!$C$22)*KFC!$C$5</f>
        <v>169.13267068186644</v>
      </c>
      <c r="R150" s="690">
        <f>(AQ150*KFC!$B$22+KFC!$C$22)*KFC!$C$5</f>
        <v>175.75557085339346</v>
      </c>
      <c r="S150" s="690">
        <f>(AR150*KFC!$B$22+KFC!$C$22)*KFC!$C$5</f>
        <v>182.37847102492049</v>
      </c>
      <c r="T150" s="690">
        <f>(AS150*KFC!$B$22+KFC!$C$22)*KFC!$C$5</f>
        <v>189.00137119644754</v>
      </c>
      <c r="U150" s="690">
        <f>(AT150*KFC!$B$22+KFC!$C$22)*KFC!$C$5</f>
        <v>195.62427136797456</v>
      </c>
      <c r="V150" s="690">
        <f>(AU150*KFC!$B$22+KFC!$C$22)*KFC!$C$5</f>
        <v>202.24717153950158</v>
      </c>
      <c r="W150" s="690">
        <f>(AV150*KFC!$B$22+KFC!$C$22)*KFC!$C$5</f>
        <v>208.87007171102863</v>
      </c>
      <c r="X150" s="690">
        <f>(AW150*KFC!$B$22+KFC!$C$22)*KFC!$C$5</f>
        <v>215.49297188255565</v>
      </c>
      <c r="Y150" s="690">
        <f>(AX150*KFC!$B$22+KFC!$C$22)*KFC!$C$5</f>
        <v>222.11587205408267</v>
      </c>
      <c r="Z150" s="690">
        <f>(AY150*KFC!$B$22+KFC!$C$22)*KFC!$C$5</f>
        <v>228.73877222560975</v>
      </c>
      <c r="AB150" s="771">
        <v>76.412068280487773</v>
      </c>
      <c r="AC150" s="772">
        <v>83.034968452014823</v>
      </c>
      <c r="AD150" s="772">
        <v>89.657868623541873</v>
      </c>
      <c r="AE150" s="772">
        <v>96.280768795068923</v>
      </c>
      <c r="AF150" s="772">
        <v>102.90366896659597</v>
      </c>
      <c r="AG150" s="772">
        <v>109.52656913812302</v>
      </c>
      <c r="AH150" s="772">
        <v>116.14946930965006</v>
      </c>
      <c r="AI150" s="772">
        <v>122.77236948117711</v>
      </c>
      <c r="AJ150" s="772">
        <v>129.39526965270417</v>
      </c>
      <c r="AK150" s="772">
        <v>136.01816982423122</v>
      </c>
      <c r="AL150" s="772">
        <v>142.64106999575827</v>
      </c>
      <c r="AM150" s="772">
        <v>149.26397016728532</v>
      </c>
      <c r="AN150" s="772">
        <v>155.88687033881237</v>
      </c>
      <c r="AO150" s="772">
        <v>162.50977051033942</v>
      </c>
      <c r="AP150" s="772">
        <v>169.13267068186644</v>
      </c>
      <c r="AQ150" s="772">
        <v>175.75557085339346</v>
      </c>
      <c r="AR150" s="772">
        <v>182.37847102492049</v>
      </c>
      <c r="AS150" s="772">
        <v>189.00137119644754</v>
      </c>
      <c r="AT150" s="772">
        <v>195.62427136797456</v>
      </c>
      <c r="AU150" s="772">
        <v>202.24717153950158</v>
      </c>
      <c r="AV150" s="772">
        <v>208.87007171102863</v>
      </c>
      <c r="AW150" s="772">
        <v>215.49297188255565</v>
      </c>
      <c r="AX150" s="772">
        <v>222.11587205408267</v>
      </c>
      <c r="AY150" s="773">
        <v>228.73877222560975</v>
      </c>
    </row>
    <row r="151" spans="1:51">
      <c r="A151" s="1277"/>
      <c r="B151" s="681">
        <v>1.3</v>
      </c>
      <c r="C151" s="690">
        <f>(AB151*KFC!$B$22+KFC!$C$22)*KFC!$C$5</f>
        <v>78.173942513414602</v>
      </c>
      <c r="D151" s="690">
        <f>(AC151*KFC!$B$22+KFC!$C$22)*KFC!$C$5</f>
        <v>85.049117066277802</v>
      </c>
      <c r="E151" s="690">
        <f>(AD151*KFC!$B$22+KFC!$C$22)*KFC!$C$5</f>
        <v>91.924291619141016</v>
      </c>
      <c r="F151" s="690">
        <f>(AE151*KFC!$B$22+KFC!$C$22)*KFC!$C$5</f>
        <v>98.799466172004216</v>
      </c>
      <c r="G151" s="690">
        <f>(AF151*KFC!$B$22+KFC!$C$22)*KFC!$C$5</f>
        <v>105.67464072486742</v>
      </c>
      <c r="H151" s="690">
        <f>(AG151*KFC!$B$22+KFC!$C$22)*KFC!$C$5</f>
        <v>112.54981527773062</v>
      </c>
      <c r="I151" s="690">
        <f>(AH151*KFC!$B$22+KFC!$C$22)*KFC!$C$5</f>
        <v>119.42498983059382</v>
      </c>
      <c r="J151" s="690">
        <f>(AI151*KFC!$B$22+KFC!$C$22)*KFC!$C$5</f>
        <v>126.30016438345703</v>
      </c>
      <c r="K151" s="690">
        <f>(AJ151*KFC!$B$22+KFC!$C$22)*KFC!$C$5</f>
        <v>133.17533893632023</v>
      </c>
      <c r="L151" s="690">
        <f>(AK151*KFC!$B$22+KFC!$C$22)*KFC!$C$5</f>
        <v>140.05051348918343</v>
      </c>
      <c r="M151" s="690">
        <f>(AL151*KFC!$B$22+KFC!$C$22)*KFC!$C$5</f>
        <v>146.92568804204663</v>
      </c>
      <c r="N151" s="690">
        <f>(AM151*KFC!$B$22+KFC!$C$22)*KFC!$C$5</f>
        <v>153.80086259490983</v>
      </c>
      <c r="O151" s="690">
        <f>(AN151*KFC!$B$22+KFC!$C$22)*KFC!$C$5</f>
        <v>160.67603714777303</v>
      </c>
      <c r="P151" s="690">
        <f>(AO151*KFC!$B$22+KFC!$C$22)*KFC!$C$5</f>
        <v>167.55121170063623</v>
      </c>
      <c r="Q151" s="690">
        <f>(AP151*KFC!$B$22+KFC!$C$22)*KFC!$C$5</f>
        <v>174.42638625349946</v>
      </c>
      <c r="R151" s="690">
        <f>(AQ151*KFC!$B$22+KFC!$C$22)*KFC!$C$5</f>
        <v>181.30156080636266</v>
      </c>
      <c r="S151" s="690">
        <f>(AR151*KFC!$B$22+KFC!$C$22)*KFC!$C$5</f>
        <v>188.17673535922586</v>
      </c>
      <c r="T151" s="690">
        <f>(AS151*KFC!$B$22+KFC!$C$22)*KFC!$C$5</f>
        <v>195.05190991208906</v>
      </c>
      <c r="U151" s="690">
        <f>(AT151*KFC!$B$22+KFC!$C$22)*KFC!$C$5</f>
        <v>201.92708446495229</v>
      </c>
      <c r="V151" s="690">
        <f>(AU151*KFC!$B$22+KFC!$C$22)*KFC!$C$5</f>
        <v>208.80225901781549</v>
      </c>
      <c r="W151" s="690">
        <f>(AV151*KFC!$B$22+KFC!$C$22)*KFC!$C$5</f>
        <v>215.67743357067869</v>
      </c>
      <c r="X151" s="690">
        <f>(AW151*KFC!$B$22+KFC!$C$22)*KFC!$C$5</f>
        <v>222.55260812354189</v>
      </c>
      <c r="Y151" s="690">
        <f>(AX151*KFC!$B$22+KFC!$C$22)*KFC!$C$5</f>
        <v>229.42778267640509</v>
      </c>
      <c r="Z151" s="690">
        <f>(AY151*KFC!$B$22+KFC!$C$22)*KFC!$C$5</f>
        <v>236.30295722926829</v>
      </c>
      <c r="AB151" s="771">
        <v>78.173942513414602</v>
      </c>
      <c r="AC151" s="772">
        <v>85.049117066277802</v>
      </c>
      <c r="AD151" s="772">
        <v>91.924291619141016</v>
      </c>
      <c r="AE151" s="772">
        <v>98.799466172004216</v>
      </c>
      <c r="AF151" s="772">
        <v>105.67464072486742</v>
      </c>
      <c r="AG151" s="772">
        <v>112.54981527773062</v>
      </c>
      <c r="AH151" s="772">
        <v>119.42498983059382</v>
      </c>
      <c r="AI151" s="772">
        <v>126.30016438345703</v>
      </c>
      <c r="AJ151" s="772">
        <v>133.17533893632023</v>
      </c>
      <c r="AK151" s="772">
        <v>140.05051348918343</v>
      </c>
      <c r="AL151" s="772">
        <v>146.92568804204663</v>
      </c>
      <c r="AM151" s="772">
        <v>153.80086259490983</v>
      </c>
      <c r="AN151" s="772">
        <v>160.67603714777303</v>
      </c>
      <c r="AO151" s="772">
        <v>167.55121170063623</v>
      </c>
      <c r="AP151" s="772">
        <v>174.42638625349946</v>
      </c>
      <c r="AQ151" s="772">
        <v>181.30156080636266</v>
      </c>
      <c r="AR151" s="772">
        <v>188.17673535922586</v>
      </c>
      <c r="AS151" s="772">
        <v>195.05190991208906</v>
      </c>
      <c r="AT151" s="772">
        <v>201.92708446495229</v>
      </c>
      <c r="AU151" s="772">
        <v>208.80225901781549</v>
      </c>
      <c r="AV151" s="772">
        <v>215.67743357067869</v>
      </c>
      <c r="AW151" s="772">
        <v>222.55260812354189</v>
      </c>
      <c r="AX151" s="772">
        <v>229.42778267640509</v>
      </c>
      <c r="AY151" s="773">
        <v>236.30295722926829</v>
      </c>
    </row>
    <row r="152" spans="1:51">
      <c r="A152" s="1277"/>
      <c r="B152" s="681">
        <v>1.4</v>
      </c>
      <c r="C152" s="690">
        <f>(AB152*KFC!$B$22+KFC!$C$22)*KFC!$C$5</f>
        <v>79.93581674634143</v>
      </c>
      <c r="D152" s="690">
        <f>(AC152*KFC!$B$22+KFC!$C$22)*KFC!$C$5</f>
        <v>87.063265680540795</v>
      </c>
      <c r="E152" s="690">
        <f>(AD152*KFC!$B$22+KFC!$C$22)*KFC!$C$5</f>
        <v>94.190714614740173</v>
      </c>
      <c r="F152" s="690">
        <f>(AE152*KFC!$B$22+KFC!$C$22)*KFC!$C$5</f>
        <v>101.31816354893955</v>
      </c>
      <c r="G152" s="690">
        <f>(AF152*KFC!$B$22+KFC!$C$22)*KFC!$C$5</f>
        <v>108.44561248313892</v>
      </c>
      <c r="H152" s="690">
        <f>(AG152*KFC!$B$22+KFC!$C$22)*KFC!$C$5</f>
        <v>115.57306141733829</v>
      </c>
      <c r="I152" s="690">
        <f>(AH152*KFC!$B$22+KFC!$C$22)*KFC!$C$5</f>
        <v>122.70051035153767</v>
      </c>
      <c r="J152" s="690">
        <f>(AI152*KFC!$B$22+KFC!$C$22)*KFC!$C$5</f>
        <v>129.82795928573705</v>
      </c>
      <c r="K152" s="690">
        <f>(AJ152*KFC!$B$22+KFC!$C$22)*KFC!$C$5</f>
        <v>136.95540821993643</v>
      </c>
      <c r="L152" s="690">
        <f>(AK152*KFC!$B$22+KFC!$C$22)*KFC!$C$5</f>
        <v>144.08285715413581</v>
      </c>
      <c r="M152" s="690">
        <f>(AL152*KFC!$B$22+KFC!$C$22)*KFC!$C$5</f>
        <v>151.21030608833516</v>
      </c>
      <c r="N152" s="690">
        <f>(AM152*KFC!$B$22+KFC!$C$22)*KFC!$C$5</f>
        <v>158.33775502253454</v>
      </c>
      <c r="O152" s="690">
        <f>(AN152*KFC!$B$22+KFC!$C$22)*KFC!$C$5</f>
        <v>165.46520395673392</v>
      </c>
      <c r="P152" s="690">
        <f>(AO152*KFC!$B$22+KFC!$C$22)*KFC!$C$5</f>
        <v>172.59265289093329</v>
      </c>
      <c r="Q152" s="690">
        <f>(AP152*KFC!$B$22+KFC!$C$22)*KFC!$C$5</f>
        <v>179.72010182513267</v>
      </c>
      <c r="R152" s="690">
        <f>(AQ152*KFC!$B$22+KFC!$C$22)*KFC!$C$5</f>
        <v>186.84755075933205</v>
      </c>
      <c r="S152" s="690">
        <f>(AR152*KFC!$B$22+KFC!$C$22)*KFC!$C$5</f>
        <v>193.97499969353143</v>
      </c>
      <c r="T152" s="690">
        <f>(AS152*KFC!$B$22+KFC!$C$22)*KFC!$C$5</f>
        <v>201.10244862773081</v>
      </c>
      <c r="U152" s="690">
        <f>(AT152*KFC!$B$22+KFC!$C$22)*KFC!$C$5</f>
        <v>208.22989756193019</v>
      </c>
      <c r="V152" s="690">
        <f>(AU152*KFC!$B$22+KFC!$C$22)*KFC!$C$5</f>
        <v>215.35734649612954</v>
      </c>
      <c r="W152" s="690">
        <f>(AV152*KFC!$B$22+KFC!$C$22)*KFC!$C$5</f>
        <v>222.48479543032892</v>
      </c>
      <c r="X152" s="690">
        <f>(AW152*KFC!$B$22+KFC!$C$22)*KFC!$C$5</f>
        <v>229.61224436452829</v>
      </c>
      <c r="Y152" s="690">
        <f>(AX152*KFC!$B$22+KFC!$C$22)*KFC!$C$5</f>
        <v>236.73969329872767</v>
      </c>
      <c r="Z152" s="690">
        <f>(AY152*KFC!$B$22+KFC!$C$22)*KFC!$C$5</f>
        <v>243.86714223292682</v>
      </c>
      <c r="AB152" s="771">
        <v>79.93581674634143</v>
      </c>
      <c r="AC152" s="772">
        <v>87.063265680540795</v>
      </c>
      <c r="AD152" s="772">
        <v>94.190714614740173</v>
      </c>
      <c r="AE152" s="772">
        <v>101.31816354893955</v>
      </c>
      <c r="AF152" s="772">
        <v>108.44561248313892</v>
      </c>
      <c r="AG152" s="772">
        <v>115.57306141733829</v>
      </c>
      <c r="AH152" s="772">
        <v>122.70051035153767</v>
      </c>
      <c r="AI152" s="772">
        <v>129.82795928573705</v>
      </c>
      <c r="AJ152" s="772">
        <v>136.95540821993643</v>
      </c>
      <c r="AK152" s="772">
        <v>144.08285715413581</v>
      </c>
      <c r="AL152" s="772">
        <v>151.21030608833516</v>
      </c>
      <c r="AM152" s="772">
        <v>158.33775502253454</v>
      </c>
      <c r="AN152" s="772">
        <v>165.46520395673392</v>
      </c>
      <c r="AO152" s="772">
        <v>172.59265289093329</v>
      </c>
      <c r="AP152" s="772">
        <v>179.72010182513267</v>
      </c>
      <c r="AQ152" s="772">
        <v>186.84755075933205</v>
      </c>
      <c r="AR152" s="772">
        <v>193.97499969353143</v>
      </c>
      <c r="AS152" s="772">
        <v>201.10244862773081</v>
      </c>
      <c r="AT152" s="772">
        <v>208.22989756193019</v>
      </c>
      <c r="AU152" s="772">
        <v>215.35734649612954</v>
      </c>
      <c r="AV152" s="772">
        <v>222.48479543032892</v>
      </c>
      <c r="AW152" s="772">
        <v>229.61224436452829</v>
      </c>
      <c r="AX152" s="772">
        <v>236.73969329872767</v>
      </c>
      <c r="AY152" s="773">
        <v>243.86714223292682</v>
      </c>
    </row>
    <row r="153" spans="1:51">
      <c r="A153" s="1277"/>
      <c r="B153" s="681">
        <v>1.5</v>
      </c>
      <c r="C153" s="690">
        <f>(AB153*KFC!$B$22+KFC!$C$22)*KFC!$C$5</f>
        <v>81.697690979268259</v>
      </c>
      <c r="D153" s="690">
        <f>(AC153*KFC!$B$22+KFC!$C$22)*KFC!$C$5</f>
        <v>89.077414294803788</v>
      </c>
      <c r="E153" s="690">
        <f>(AD153*KFC!$B$22+KFC!$C$22)*KFC!$C$5</f>
        <v>96.457137610339316</v>
      </c>
      <c r="F153" s="690">
        <f>(AE153*KFC!$B$22+KFC!$C$22)*KFC!$C$5</f>
        <v>103.83686092587484</v>
      </c>
      <c r="G153" s="690">
        <f>(AF153*KFC!$B$22+KFC!$C$22)*KFC!$C$5</f>
        <v>111.21658424141037</v>
      </c>
      <c r="H153" s="690">
        <f>(AG153*KFC!$B$22+KFC!$C$22)*KFC!$C$5</f>
        <v>118.5963075569459</v>
      </c>
      <c r="I153" s="690">
        <f>(AH153*KFC!$B$22+KFC!$C$22)*KFC!$C$5</f>
        <v>125.97603087248143</v>
      </c>
      <c r="J153" s="690">
        <f>(AI153*KFC!$B$22+KFC!$C$22)*KFC!$C$5</f>
        <v>133.35575418801696</v>
      </c>
      <c r="K153" s="690">
        <f>(AJ153*KFC!$B$22+KFC!$C$22)*KFC!$C$5</f>
        <v>140.73547750355249</v>
      </c>
      <c r="L153" s="690">
        <f>(AK153*KFC!$B$22+KFC!$C$22)*KFC!$C$5</f>
        <v>148.11520081908802</v>
      </c>
      <c r="M153" s="690">
        <f>(AL153*KFC!$B$22+KFC!$C$22)*KFC!$C$5</f>
        <v>155.49492413462355</v>
      </c>
      <c r="N153" s="690">
        <f>(AM153*KFC!$B$22+KFC!$C$22)*KFC!$C$5</f>
        <v>162.87464745015907</v>
      </c>
      <c r="O153" s="690">
        <f>(AN153*KFC!$B$22+KFC!$C$22)*KFC!$C$5</f>
        <v>170.2543707656946</v>
      </c>
      <c r="P153" s="690">
        <f>(AO153*KFC!$B$22+KFC!$C$22)*KFC!$C$5</f>
        <v>177.6340940812301</v>
      </c>
      <c r="Q153" s="690">
        <f>(AP153*KFC!$B$22+KFC!$C$22)*KFC!$C$5</f>
        <v>185.01381739676563</v>
      </c>
      <c r="R153" s="690">
        <f>(AQ153*KFC!$B$22+KFC!$C$22)*KFC!$C$5</f>
        <v>192.39354071230113</v>
      </c>
      <c r="S153" s="690">
        <f>(AR153*KFC!$B$22+KFC!$C$22)*KFC!$C$5</f>
        <v>199.77326402783663</v>
      </c>
      <c r="T153" s="690">
        <f>(AS153*KFC!$B$22+KFC!$C$22)*KFC!$C$5</f>
        <v>207.15298734337216</v>
      </c>
      <c r="U153" s="690">
        <f>(AT153*KFC!$B$22+KFC!$C$22)*KFC!$C$5</f>
        <v>214.53271065890766</v>
      </c>
      <c r="V153" s="690">
        <f>(AU153*KFC!$B$22+KFC!$C$22)*KFC!$C$5</f>
        <v>221.91243397444316</v>
      </c>
      <c r="W153" s="690">
        <f>(AV153*KFC!$B$22+KFC!$C$22)*KFC!$C$5</f>
        <v>229.29215728997869</v>
      </c>
      <c r="X153" s="690">
        <f>(AW153*KFC!$B$22+KFC!$C$22)*KFC!$C$5</f>
        <v>236.67188060551419</v>
      </c>
      <c r="Y153" s="690">
        <f>(AX153*KFC!$B$22+KFC!$C$22)*KFC!$C$5</f>
        <v>244.05160392104969</v>
      </c>
      <c r="Z153" s="690">
        <f>(AY153*KFC!$B$22+KFC!$C$22)*KFC!$C$5</f>
        <v>251.43132723658536</v>
      </c>
      <c r="AB153" s="771">
        <v>81.697690979268259</v>
      </c>
      <c r="AC153" s="772">
        <v>89.077414294803788</v>
      </c>
      <c r="AD153" s="772">
        <v>96.457137610339316</v>
      </c>
      <c r="AE153" s="772">
        <v>103.83686092587484</v>
      </c>
      <c r="AF153" s="772">
        <v>111.21658424141037</v>
      </c>
      <c r="AG153" s="772">
        <v>118.5963075569459</v>
      </c>
      <c r="AH153" s="772">
        <v>125.97603087248143</v>
      </c>
      <c r="AI153" s="772">
        <v>133.35575418801696</v>
      </c>
      <c r="AJ153" s="772">
        <v>140.73547750355249</v>
      </c>
      <c r="AK153" s="772">
        <v>148.11520081908802</v>
      </c>
      <c r="AL153" s="772">
        <v>155.49492413462355</v>
      </c>
      <c r="AM153" s="772">
        <v>162.87464745015907</v>
      </c>
      <c r="AN153" s="772">
        <v>170.2543707656946</v>
      </c>
      <c r="AO153" s="772">
        <v>177.6340940812301</v>
      </c>
      <c r="AP153" s="772">
        <v>185.01381739676563</v>
      </c>
      <c r="AQ153" s="772">
        <v>192.39354071230113</v>
      </c>
      <c r="AR153" s="772">
        <v>199.77326402783663</v>
      </c>
      <c r="AS153" s="772">
        <v>207.15298734337216</v>
      </c>
      <c r="AT153" s="772">
        <v>214.53271065890766</v>
      </c>
      <c r="AU153" s="772">
        <v>221.91243397444316</v>
      </c>
      <c r="AV153" s="772">
        <v>229.29215728997869</v>
      </c>
      <c r="AW153" s="772">
        <v>236.67188060551419</v>
      </c>
      <c r="AX153" s="772">
        <v>244.05160392104969</v>
      </c>
      <c r="AY153" s="773">
        <v>251.43132723658536</v>
      </c>
    </row>
    <row r="154" spans="1:51">
      <c r="A154" s="1277"/>
      <c r="B154" s="681">
        <v>1.6</v>
      </c>
      <c r="C154" s="690">
        <f>(AB154*KFC!$B$22+KFC!$C$22)*KFC!$C$5</f>
        <v>83.459565212195088</v>
      </c>
      <c r="D154" s="690">
        <f>(AC154*KFC!$B$22+KFC!$C$22)*KFC!$C$5</f>
        <v>91.091562909066766</v>
      </c>
      <c r="E154" s="690">
        <f>(AD154*KFC!$B$22+KFC!$C$22)*KFC!$C$5</f>
        <v>98.723560605938459</v>
      </c>
      <c r="F154" s="690">
        <f>(AE154*KFC!$B$22+KFC!$C$22)*KFC!$C$5</f>
        <v>106.35555830281014</v>
      </c>
      <c r="G154" s="690">
        <f>(AF154*KFC!$B$22+KFC!$C$22)*KFC!$C$5</f>
        <v>113.98755599968182</v>
      </c>
      <c r="H154" s="690">
        <f>(AG154*KFC!$B$22+KFC!$C$22)*KFC!$C$5</f>
        <v>121.61955369655351</v>
      </c>
      <c r="I154" s="690">
        <f>(AH154*KFC!$B$22+KFC!$C$22)*KFC!$C$5</f>
        <v>129.25155139342519</v>
      </c>
      <c r="J154" s="690">
        <f>(AI154*KFC!$B$22+KFC!$C$22)*KFC!$C$5</f>
        <v>136.88354909029687</v>
      </c>
      <c r="K154" s="690">
        <f>(AJ154*KFC!$B$22+KFC!$C$22)*KFC!$C$5</f>
        <v>144.51554678716855</v>
      </c>
      <c r="L154" s="690">
        <f>(AK154*KFC!$B$22+KFC!$C$22)*KFC!$C$5</f>
        <v>152.14754448404022</v>
      </c>
      <c r="M154" s="690">
        <f>(AL154*KFC!$B$22+KFC!$C$22)*KFC!$C$5</f>
        <v>159.7795421809119</v>
      </c>
      <c r="N154" s="690">
        <f>(AM154*KFC!$B$22+KFC!$C$22)*KFC!$C$5</f>
        <v>167.41153987778361</v>
      </c>
      <c r="O154" s="690">
        <f>(AN154*KFC!$B$22+KFC!$C$22)*KFC!$C$5</f>
        <v>175.04353757465529</v>
      </c>
      <c r="P154" s="690">
        <f>(AO154*KFC!$B$22+KFC!$C$22)*KFC!$C$5</f>
        <v>182.67553527152697</v>
      </c>
      <c r="Q154" s="690">
        <f>(AP154*KFC!$B$22+KFC!$C$22)*KFC!$C$5</f>
        <v>190.30753296839865</v>
      </c>
      <c r="R154" s="690">
        <f>(AQ154*KFC!$B$22+KFC!$C$22)*KFC!$C$5</f>
        <v>197.93953066527033</v>
      </c>
      <c r="S154" s="690">
        <f>(AR154*KFC!$B$22+KFC!$C$22)*KFC!$C$5</f>
        <v>205.571528362142</v>
      </c>
      <c r="T154" s="690">
        <f>(AS154*KFC!$B$22+KFC!$C$22)*KFC!$C$5</f>
        <v>213.20352605901368</v>
      </c>
      <c r="U154" s="690">
        <f>(AT154*KFC!$B$22+KFC!$C$22)*KFC!$C$5</f>
        <v>220.83552375588536</v>
      </c>
      <c r="V154" s="690">
        <f>(AU154*KFC!$B$22+KFC!$C$22)*KFC!$C$5</f>
        <v>228.46752145275707</v>
      </c>
      <c r="W154" s="690">
        <f>(AV154*KFC!$B$22+KFC!$C$22)*KFC!$C$5</f>
        <v>236.09951914962875</v>
      </c>
      <c r="X154" s="690">
        <f>(AW154*KFC!$B$22+KFC!$C$22)*KFC!$C$5</f>
        <v>243.73151684650043</v>
      </c>
      <c r="Y154" s="690">
        <f>(AX154*KFC!$B$22+KFC!$C$22)*KFC!$C$5</f>
        <v>251.3635145433721</v>
      </c>
      <c r="Z154" s="690">
        <f>(AY154*KFC!$B$22+KFC!$C$22)*KFC!$C$5</f>
        <v>258.9955122402439</v>
      </c>
      <c r="AB154" s="771">
        <v>83.459565212195088</v>
      </c>
      <c r="AC154" s="772">
        <v>91.091562909066766</v>
      </c>
      <c r="AD154" s="772">
        <v>98.723560605938459</v>
      </c>
      <c r="AE154" s="772">
        <v>106.35555830281014</v>
      </c>
      <c r="AF154" s="772">
        <v>113.98755599968182</v>
      </c>
      <c r="AG154" s="772">
        <v>121.61955369655351</v>
      </c>
      <c r="AH154" s="772">
        <v>129.25155139342519</v>
      </c>
      <c r="AI154" s="772">
        <v>136.88354909029687</v>
      </c>
      <c r="AJ154" s="772">
        <v>144.51554678716855</v>
      </c>
      <c r="AK154" s="772">
        <v>152.14754448404022</v>
      </c>
      <c r="AL154" s="772">
        <v>159.7795421809119</v>
      </c>
      <c r="AM154" s="772">
        <v>167.41153987778361</v>
      </c>
      <c r="AN154" s="772">
        <v>175.04353757465529</v>
      </c>
      <c r="AO154" s="772">
        <v>182.67553527152697</v>
      </c>
      <c r="AP154" s="772">
        <v>190.30753296839865</v>
      </c>
      <c r="AQ154" s="772">
        <v>197.93953066527033</v>
      </c>
      <c r="AR154" s="772">
        <v>205.571528362142</v>
      </c>
      <c r="AS154" s="772">
        <v>213.20352605901368</v>
      </c>
      <c r="AT154" s="772">
        <v>220.83552375588536</v>
      </c>
      <c r="AU154" s="772">
        <v>228.46752145275707</v>
      </c>
      <c r="AV154" s="772">
        <v>236.09951914962875</v>
      </c>
      <c r="AW154" s="772">
        <v>243.73151684650043</v>
      </c>
      <c r="AX154" s="772">
        <v>251.3635145433721</v>
      </c>
      <c r="AY154" s="773">
        <v>258.9955122402439</v>
      </c>
    </row>
    <row r="155" spans="1:51">
      <c r="A155" s="1277"/>
      <c r="B155" s="681">
        <v>1.7</v>
      </c>
      <c r="C155" s="690">
        <f>(AB155*KFC!$B$22+KFC!$C$22)*KFC!$C$5</f>
        <v>85.221439445121902</v>
      </c>
      <c r="D155" s="690">
        <f>(AC155*KFC!$B$22+KFC!$C$22)*KFC!$C$5</f>
        <v>93.105711523329759</v>
      </c>
      <c r="E155" s="690">
        <f>(AD155*KFC!$B$22+KFC!$C$22)*KFC!$C$5</f>
        <v>100.98998360153762</v>
      </c>
      <c r="F155" s="690">
        <f>(AE155*KFC!$B$22+KFC!$C$22)*KFC!$C$5</f>
        <v>108.87425567974547</v>
      </c>
      <c r="G155" s="690">
        <f>(AF155*KFC!$B$22+KFC!$C$22)*KFC!$C$5</f>
        <v>116.75852775795333</v>
      </c>
      <c r="H155" s="690">
        <f>(AG155*KFC!$B$22+KFC!$C$22)*KFC!$C$5</f>
        <v>124.64279983616119</v>
      </c>
      <c r="I155" s="690">
        <f>(AH155*KFC!$B$22+KFC!$C$22)*KFC!$C$5</f>
        <v>132.52707191436903</v>
      </c>
      <c r="J155" s="690">
        <f>(AI155*KFC!$B$22+KFC!$C$22)*KFC!$C$5</f>
        <v>140.41134399257689</v>
      </c>
      <c r="K155" s="690">
        <f>(AJ155*KFC!$B$22+KFC!$C$22)*KFC!$C$5</f>
        <v>148.29561607078475</v>
      </c>
      <c r="L155" s="690">
        <f>(AK155*KFC!$B$22+KFC!$C$22)*KFC!$C$5</f>
        <v>156.1798881489926</v>
      </c>
      <c r="M155" s="690">
        <f>(AL155*KFC!$B$22+KFC!$C$22)*KFC!$C$5</f>
        <v>164.06416022720046</v>
      </c>
      <c r="N155" s="690">
        <f>(AM155*KFC!$B$22+KFC!$C$22)*KFC!$C$5</f>
        <v>171.94843230540829</v>
      </c>
      <c r="O155" s="690">
        <f>(AN155*KFC!$B$22+KFC!$C$22)*KFC!$C$5</f>
        <v>179.83270438361615</v>
      </c>
      <c r="P155" s="690">
        <f>(AO155*KFC!$B$22+KFC!$C$22)*KFC!$C$5</f>
        <v>187.716976461824</v>
      </c>
      <c r="Q155" s="690">
        <f>(AP155*KFC!$B$22+KFC!$C$22)*KFC!$C$5</f>
        <v>195.60124854003186</v>
      </c>
      <c r="R155" s="690">
        <f>(AQ155*KFC!$B$22+KFC!$C$22)*KFC!$C$5</f>
        <v>203.48552061823972</v>
      </c>
      <c r="S155" s="690">
        <f>(AR155*KFC!$B$22+KFC!$C$22)*KFC!$C$5</f>
        <v>211.36979269644758</v>
      </c>
      <c r="T155" s="690">
        <f>(AS155*KFC!$B$22+KFC!$C$22)*KFC!$C$5</f>
        <v>219.25406477465543</v>
      </c>
      <c r="U155" s="690">
        <f>(AT155*KFC!$B$22+KFC!$C$22)*KFC!$C$5</f>
        <v>227.13833685286329</v>
      </c>
      <c r="V155" s="690">
        <f>(AU155*KFC!$B$22+KFC!$C$22)*KFC!$C$5</f>
        <v>235.02260893107112</v>
      </c>
      <c r="W155" s="690">
        <f>(AV155*KFC!$B$22+KFC!$C$22)*KFC!$C$5</f>
        <v>242.90688100927898</v>
      </c>
      <c r="X155" s="690">
        <f>(AW155*KFC!$B$22+KFC!$C$22)*KFC!$C$5</f>
        <v>250.79115308748683</v>
      </c>
      <c r="Y155" s="690">
        <f>(AX155*KFC!$B$22+KFC!$C$22)*KFC!$C$5</f>
        <v>258.67542516569472</v>
      </c>
      <c r="Z155" s="690">
        <f>(AY155*KFC!$B$22+KFC!$C$22)*KFC!$C$5</f>
        <v>266.55969724390246</v>
      </c>
      <c r="AB155" s="771">
        <v>85.221439445121902</v>
      </c>
      <c r="AC155" s="772">
        <v>93.105711523329759</v>
      </c>
      <c r="AD155" s="772">
        <v>100.98998360153762</v>
      </c>
      <c r="AE155" s="772">
        <v>108.87425567974547</v>
      </c>
      <c r="AF155" s="772">
        <v>116.75852775795333</v>
      </c>
      <c r="AG155" s="772">
        <v>124.64279983616119</v>
      </c>
      <c r="AH155" s="772">
        <v>132.52707191436903</v>
      </c>
      <c r="AI155" s="772">
        <v>140.41134399257689</v>
      </c>
      <c r="AJ155" s="772">
        <v>148.29561607078475</v>
      </c>
      <c r="AK155" s="772">
        <v>156.1798881489926</v>
      </c>
      <c r="AL155" s="772">
        <v>164.06416022720046</v>
      </c>
      <c r="AM155" s="772">
        <v>171.94843230540829</v>
      </c>
      <c r="AN155" s="772">
        <v>179.83270438361615</v>
      </c>
      <c r="AO155" s="772">
        <v>187.716976461824</v>
      </c>
      <c r="AP155" s="772">
        <v>195.60124854003186</v>
      </c>
      <c r="AQ155" s="772">
        <v>203.48552061823972</v>
      </c>
      <c r="AR155" s="772">
        <v>211.36979269644758</v>
      </c>
      <c r="AS155" s="772">
        <v>219.25406477465543</v>
      </c>
      <c r="AT155" s="772">
        <v>227.13833685286329</v>
      </c>
      <c r="AU155" s="772">
        <v>235.02260893107112</v>
      </c>
      <c r="AV155" s="772">
        <v>242.90688100927898</v>
      </c>
      <c r="AW155" s="772">
        <v>250.79115308748683</v>
      </c>
      <c r="AX155" s="772">
        <v>258.67542516569472</v>
      </c>
      <c r="AY155" s="773">
        <v>266.55969724390246</v>
      </c>
    </row>
    <row r="156" spans="1:51">
      <c r="A156" s="1277"/>
      <c r="B156" s="681">
        <v>1.8</v>
      </c>
      <c r="C156" s="690">
        <f>(AB156*KFC!$B$22+KFC!$C$22)*KFC!$C$5</f>
        <v>86.983313678048745</v>
      </c>
      <c r="D156" s="690">
        <f>(AC156*KFC!$B$22+KFC!$C$22)*KFC!$C$5</f>
        <v>95.119860137592752</v>
      </c>
      <c r="E156" s="690">
        <f>(AD156*KFC!$B$22+KFC!$C$22)*KFC!$C$5</f>
        <v>103.25640659713676</v>
      </c>
      <c r="F156" s="690">
        <f>(AE156*KFC!$B$22+KFC!$C$22)*KFC!$C$5</f>
        <v>111.39295305668077</v>
      </c>
      <c r="G156" s="690">
        <f>(AF156*KFC!$B$22+KFC!$C$22)*KFC!$C$5</f>
        <v>119.52949951622477</v>
      </c>
      <c r="H156" s="690">
        <f>(AG156*KFC!$B$22+KFC!$C$22)*KFC!$C$5</f>
        <v>127.66604597576878</v>
      </c>
      <c r="I156" s="690">
        <f>(AH156*KFC!$B$22+KFC!$C$22)*KFC!$C$5</f>
        <v>135.80259243531279</v>
      </c>
      <c r="J156" s="690">
        <f>(AI156*KFC!$B$22+KFC!$C$22)*KFC!$C$5</f>
        <v>143.9391388948568</v>
      </c>
      <c r="K156" s="690">
        <f>(AJ156*KFC!$B$22+KFC!$C$22)*KFC!$C$5</f>
        <v>152.0756853544008</v>
      </c>
      <c r="L156" s="690">
        <f>(AK156*KFC!$B$22+KFC!$C$22)*KFC!$C$5</f>
        <v>160.21223181394481</v>
      </c>
      <c r="M156" s="690">
        <f>(AL156*KFC!$B$22+KFC!$C$22)*KFC!$C$5</f>
        <v>168.34877827348882</v>
      </c>
      <c r="N156" s="690">
        <f>(AM156*KFC!$B$22+KFC!$C$22)*KFC!$C$5</f>
        <v>176.48532473303283</v>
      </c>
      <c r="O156" s="690">
        <f>(AN156*KFC!$B$22+KFC!$C$22)*KFC!$C$5</f>
        <v>184.62187119257686</v>
      </c>
      <c r="P156" s="690">
        <f>(AO156*KFC!$B$22+KFC!$C$22)*KFC!$C$5</f>
        <v>192.7584176521209</v>
      </c>
      <c r="Q156" s="690">
        <f>(AP156*KFC!$B$22+KFC!$C$22)*KFC!$C$5</f>
        <v>200.8949641116649</v>
      </c>
      <c r="R156" s="690">
        <f>(AQ156*KFC!$B$22+KFC!$C$22)*KFC!$C$5</f>
        <v>209.03151057120894</v>
      </c>
      <c r="S156" s="690">
        <f>(AR156*KFC!$B$22+KFC!$C$22)*KFC!$C$5</f>
        <v>217.16805703075298</v>
      </c>
      <c r="T156" s="690">
        <f>(AS156*KFC!$B$22+KFC!$C$22)*KFC!$C$5</f>
        <v>225.30460349029701</v>
      </c>
      <c r="U156" s="690">
        <f>(AT156*KFC!$B$22+KFC!$C$22)*KFC!$C$5</f>
        <v>233.44114994984102</v>
      </c>
      <c r="V156" s="690">
        <f>(AU156*KFC!$B$22+KFC!$C$22)*KFC!$C$5</f>
        <v>241.57769640938506</v>
      </c>
      <c r="W156" s="690">
        <f>(AV156*KFC!$B$22+KFC!$C$22)*KFC!$C$5</f>
        <v>249.71424286892909</v>
      </c>
      <c r="X156" s="690">
        <f>(AW156*KFC!$B$22+KFC!$C$22)*KFC!$C$5</f>
        <v>257.85078932847313</v>
      </c>
      <c r="Y156" s="690">
        <f>(AX156*KFC!$B$22+KFC!$C$22)*KFC!$C$5</f>
        <v>265.98733578801716</v>
      </c>
      <c r="Z156" s="690">
        <f>(AY156*KFC!$B$22+KFC!$C$22)*KFC!$C$5</f>
        <v>274.12388224756097</v>
      </c>
      <c r="AB156" s="771">
        <v>86.983313678048745</v>
      </c>
      <c r="AC156" s="772">
        <v>95.119860137592752</v>
      </c>
      <c r="AD156" s="772">
        <v>103.25640659713676</v>
      </c>
      <c r="AE156" s="772">
        <v>111.39295305668077</v>
      </c>
      <c r="AF156" s="772">
        <v>119.52949951622477</v>
      </c>
      <c r="AG156" s="772">
        <v>127.66604597576878</v>
      </c>
      <c r="AH156" s="772">
        <v>135.80259243531279</v>
      </c>
      <c r="AI156" s="772">
        <v>143.9391388948568</v>
      </c>
      <c r="AJ156" s="772">
        <v>152.0756853544008</v>
      </c>
      <c r="AK156" s="772">
        <v>160.21223181394481</v>
      </c>
      <c r="AL156" s="772">
        <v>168.34877827348882</v>
      </c>
      <c r="AM156" s="772">
        <v>176.48532473303283</v>
      </c>
      <c r="AN156" s="772">
        <v>184.62187119257686</v>
      </c>
      <c r="AO156" s="772">
        <v>192.7584176521209</v>
      </c>
      <c r="AP156" s="772">
        <v>200.8949641116649</v>
      </c>
      <c r="AQ156" s="772">
        <v>209.03151057120894</v>
      </c>
      <c r="AR156" s="772">
        <v>217.16805703075298</v>
      </c>
      <c r="AS156" s="772">
        <v>225.30460349029701</v>
      </c>
      <c r="AT156" s="772">
        <v>233.44114994984102</v>
      </c>
      <c r="AU156" s="772">
        <v>241.57769640938506</v>
      </c>
      <c r="AV156" s="772">
        <v>249.71424286892909</v>
      </c>
      <c r="AW156" s="772">
        <v>257.85078932847313</v>
      </c>
      <c r="AX156" s="772">
        <v>265.98733578801716</v>
      </c>
      <c r="AY156" s="773">
        <v>274.12388224756097</v>
      </c>
    </row>
    <row r="157" spans="1:51">
      <c r="A157" s="1277"/>
      <c r="B157" s="681">
        <v>1.9</v>
      </c>
      <c r="C157" s="690">
        <f>(AB157*KFC!$B$22+KFC!$C$22)*KFC!$C$5</f>
        <v>88.745187910975574</v>
      </c>
      <c r="D157" s="690">
        <f>(AC157*KFC!$B$22+KFC!$C$22)*KFC!$C$5</f>
        <v>97.13400875185576</v>
      </c>
      <c r="E157" s="690">
        <f>(AD157*KFC!$B$22+KFC!$C$22)*KFC!$C$5</f>
        <v>105.52282959273592</v>
      </c>
      <c r="F157" s="690">
        <f>(AE157*KFC!$B$22+KFC!$C$22)*KFC!$C$5</f>
        <v>113.91165043361609</v>
      </c>
      <c r="G157" s="690">
        <f>(AF157*KFC!$B$22+KFC!$C$22)*KFC!$C$5</f>
        <v>122.30047127449625</v>
      </c>
      <c r="H157" s="690">
        <f>(AG157*KFC!$B$22+KFC!$C$22)*KFC!$C$5</f>
        <v>130.68929211537642</v>
      </c>
      <c r="I157" s="690">
        <f>(AH157*KFC!$B$22+KFC!$C$22)*KFC!$C$5</f>
        <v>139.07811295625658</v>
      </c>
      <c r="J157" s="690">
        <f>(AI157*KFC!$B$22+KFC!$C$22)*KFC!$C$5</f>
        <v>147.46693379713673</v>
      </c>
      <c r="K157" s="690">
        <f>(AJ157*KFC!$B$22+KFC!$C$22)*KFC!$C$5</f>
        <v>155.85575463801689</v>
      </c>
      <c r="L157" s="690">
        <f>(AK157*KFC!$B$22+KFC!$C$22)*KFC!$C$5</f>
        <v>164.24457547889705</v>
      </c>
      <c r="M157" s="690">
        <f>(AL157*KFC!$B$22+KFC!$C$22)*KFC!$C$5</f>
        <v>172.63339631977721</v>
      </c>
      <c r="N157" s="690">
        <f>(AM157*KFC!$B$22+KFC!$C$22)*KFC!$C$5</f>
        <v>181.02221716065739</v>
      </c>
      <c r="O157" s="690">
        <f>(AN157*KFC!$B$22+KFC!$C$22)*KFC!$C$5</f>
        <v>189.41103800153755</v>
      </c>
      <c r="P157" s="690">
        <f>(AO157*KFC!$B$22+KFC!$C$22)*KFC!$C$5</f>
        <v>197.79985884241771</v>
      </c>
      <c r="Q157" s="690">
        <f>(AP157*KFC!$B$22+KFC!$C$22)*KFC!$C$5</f>
        <v>206.18867968329786</v>
      </c>
      <c r="R157" s="690">
        <f>(AQ157*KFC!$B$22+KFC!$C$22)*KFC!$C$5</f>
        <v>214.57750052417802</v>
      </c>
      <c r="S157" s="690">
        <f>(AR157*KFC!$B$22+KFC!$C$22)*KFC!$C$5</f>
        <v>222.96632136505818</v>
      </c>
      <c r="T157" s="690">
        <f>(AS157*KFC!$B$22+KFC!$C$22)*KFC!$C$5</f>
        <v>231.35514220593836</v>
      </c>
      <c r="U157" s="690">
        <f>(AT157*KFC!$B$22+KFC!$C$22)*KFC!$C$5</f>
        <v>239.74396304681852</v>
      </c>
      <c r="V157" s="690">
        <f>(AU157*KFC!$B$22+KFC!$C$22)*KFC!$C$5</f>
        <v>248.13278388769868</v>
      </c>
      <c r="W157" s="690">
        <f>(AV157*KFC!$B$22+KFC!$C$22)*KFC!$C$5</f>
        <v>256.52160472857884</v>
      </c>
      <c r="X157" s="690">
        <f>(AW157*KFC!$B$22+KFC!$C$22)*KFC!$C$5</f>
        <v>264.91042556945899</v>
      </c>
      <c r="Y157" s="690">
        <f>(AX157*KFC!$B$22+KFC!$C$22)*KFC!$C$5</f>
        <v>273.29924641033915</v>
      </c>
      <c r="Z157" s="690">
        <f>(AY157*KFC!$B$22+KFC!$C$22)*KFC!$C$5</f>
        <v>281.68806725121954</v>
      </c>
      <c r="AB157" s="771">
        <v>88.745187910975574</v>
      </c>
      <c r="AC157" s="772">
        <v>97.13400875185576</v>
      </c>
      <c r="AD157" s="772">
        <v>105.52282959273592</v>
      </c>
      <c r="AE157" s="772">
        <v>113.91165043361609</v>
      </c>
      <c r="AF157" s="772">
        <v>122.30047127449625</v>
      </c>
      <c r="AG157" s="772">
        <v>130.68929211537642</v>
      </c>
      <c r="AH157" s="772">
        <v>139.07811295625658</v>
      </c>
      <c r="AI157" s="772">
        <v>147.46693379713673</v>
      </c>
      <c r="AJ157" s="772">
        <v>155.85575463801689</v>
      </c>
      <c r="AK157" s="772">
        <v>164.24457547889705</v>
      </c>
      <c r="AL157" s="772">
        <v>172.63339631977721</v>
      </c>
      <c r="AM157" s="772">
        <v>181.02221716065739</v>
      </c>
      <c r="AN157" s="772">
        <v>189.41103800153755</v>
      </c>
      <c r="AO157" s="772">
        <v>197.79985884241771</v>
      </c>
      <c r="AP157" s="772">
        <v>206.18867968329786</v>
      </c>
      <c r="AQ157" s="772">
        <v>214.57750052417802</v>
      </c>
      <c r="AR157" s="772">
        <v>222.96632136505818</v>
      </c>
      <c r="AS157" s="772">
        <v>231.35514220593836</v>
      </c>
      <c r="AT157" s="772">
        <v>239.74396304681852</v>
      </c>
      <c r="AU157" s="772">
        <v>248.13278388769868</v>
      </c>
      <c r="AV157" s="772">
        <v>256.52160472857884</v>
      </c>
      <c r="AW157" s="772">
        <v>264.91042556945899</v>
      </c>
      <c r="AX157" s="772">
        <v>273.29924641033915</v>
      </c>
      <c r="AY157" s="773">
        <v>281.68806725121954</v>
      </c>
    </row>
    <row r="158" spans="1:51">
      <c r="A158" s="1277"/>
      <c r="B158" s="681">
        <v>2</v>
      </c>
      <c r="C158" s="690">
        <f>(AB158*KFC!$B$22+KFC!$C$22)*KFC!$C$5</f>
        <v>90.507062143902417</v>
      </c>
      <c r="D158" s="690">
        <f>(AC158*KFC!$B$22+KFC!$C$22)*KFC!$C$5</f>
        <v>99.148157366118753</v>
      </c>
      <c r="E158" s="690">
        <f>(AD158*KFC!$B$22+KFC!$C$22)*KFC!$C$5</f>
        <v>107.78925258833507</v>
      </c>
      <c r="F158" s="690">
        <f>(AE158*KFC!$B$22+KFC!$C$22)*KFC!$C$5</f>
        <v>116.43034781055141</v>
      </c>
      <c r="G158" s="690">
        <f>(AF158*KFC!$B$22+KFC!$C$22)*KFC!$C$5</f>
        <v>125.07144303276775</v>
      </c>
      <c r="H158" s="690">
        <f>(AG158*KFC!$B$22+KFC!$C$22)*KFC!$C$5</f>
        <v>133.71253825498408</v>
      </c>
      <c r="I158" s="690">
        <f>(AH158*KFC!$B$22+KFC!$C$22)*KFC!$C$5</f>
        <v>142.35363347720042</v>
      </c>
      <c r="J158" s="690">
        <f>(AI158*KFC!$B$22+KFC!$C$22)*KFC!$C$5</f>
        <v>150.99472869941675</v>
      </c>
      <c r="K158" s="690">
        <f>(AJ158*KFC!$B$22+KFC!$C$22)*KFC!$C$5</f>
        <v>159.63582392163309</v>
      </c>
      <c r="L158" s="690">
        <f>(AK158*KFC!$B$22+KFC!$C$22)*KFC!$C$5</f>
        <v>168.27691914384943</v>
      </c>
      <c r="M158" s="690">
        <f>(AL158*KFC!$B$22+KFC!$C$22)*KFC!$C$5</f>
        <v>176.91801436606573</v>
      </c>
      <c r="N158" s="690">
        <f>(AM158*KFC!$B$22+KFC!$C$22)*KFC!$C$5</f>
        <v>185.55910958828207</v>
      </c>
      <c r="O158" s="690">
        <f>(AN158*KFC!$B$22+KFC!$C$22)*KFC!$C$5</f>
        <v>194.20020481049841</v>
      </c>
      <c r="P158" s="690">
        <f>(AO158*KFC!$B$22+KFC!$C$22)*KFC!$C$5</f>
        <v>202.84130003271474</v>
      </c>
      <c r="Q158" s="690">
        <f>(AP158*KFC!$B$22+KFC!$C$22)*KFC!$C$5</f>
        <v>211.48239525493108</v>
      </c>
      <c r="R158" s="690">
        <f>(AQ158*KFC!$B$22+KFC!$C$22)*KFC!$C$5</f>
        <v>220.12349047714741</v>
      </c>
      <c r="S158" s="690">
        <f>(AR158*KFC!$B$22+KFC!$C$22)*KFC!$C$5</f>
        <v>228.76458569936375</v>
      </c>
      <c r="T158" s="690">
        <f>(AS158*KFC!$B$22+KFC!$C$22)*KFC!$C$5</f>
        <v>237.40568092158009</v>
      </c>
      <c r="U158" s="690">
        <f>(AT158*KFC!$B$22+KFC!$C$22)*KFC!$C$5</f>
        <v>246.04677614379642</v>
      </c>
      <c r="V158" s="690">
        <f>(AU158*KFC!$B$22+KFC!$C$22)*KFC!$C$5</f>
        <v>254.68787136601276</v>
      </c>
      <c r="W158" s="690">
        <f>(AV158*KFC!$B$22+KFC!$C$22)*KFC!$C$5</f>
        <v>263.32896658822909</v>
      </c>
      <c r="X158" s="690">
        <f>(AW158*KFC!$B$22+KFC!$C$22)*KFC!$C$5</f>
        <v>271.97006181044543</v>
      </c>
      <c r="Y158" s="690">
        <f>(AX158*KFC!$B$22+KFC!$C$22)*KFC!$C$5</f>
        <v>280.61115703266177</v>
      </c>
      <c r="Z158" s="690">
        <f>(AY158*KFC!$B$22+KFC!$C$22)*KFC!$C$5</f>
        <v>289.25225225487804</v>
      </c>
      <c r="AB158" s="771">
        <v>90.507062143902417</v>
      </c>
      <c r="AC158" s="772">
        <v>99.148157366118753</v>
      </c>
      <c r="AD158" s="772">
        <v>107.78925258833507</v>
      </c>
      <c r="AE158" s="772">
        <v>116.43034781055141</v>
      </c>
      <c r="AF158" s="772">
        <v>125.07144303276775</v>
      </c>
      <c r="AG158" s="772">
        <v>133.71253825498408</v>
      </c>
      <c r="AH158" s="772">
        <v>142.35363347720042</v>
      </c>
      <c r="AI158" s="772">
        <v>150.99472869941675</v>
      </c>
      <c r="AJ158" s="772">
        <v>159.63582392163309</v>
      </c>
      <c r="AK158" s="772">
        <v>168.27691914384943</v>
      </c>
      <c r="AL158" s="772">
        <v>176.91801436606573</v>
      </c>
      <c r="AM158" s="772">
        <v>185.55910958828207</v>
      </c>
      <c r="AN158" s="772">
        <v>194.20020481049841</v>
      </c>
      <c r="AO158" s="772">
        <v>202.84130003271474</v>
      </c>
      <c r="AP158" s="772">
        <v>211.48239525493108</v>
      </c>
      <c r="AQ158" s="772">
        <v>220.12349047714741</v>
      </c>
      <c r="AR158" s="772">
        <v>228.76458569936375</v>
      </c>
      <c r="AS158" s="772">
        <v>237.40568092158009</v>
      </c>
      <c r="AT158" s="772">
        <v>246.04677614379642</v>
      </c>
      <c r="AU158" s="772">
        <v>254.68787136601276</v>
      </c>
      <c r="AV158" s="772">
        <v>263.32896658822909</v>
      </c>
      <c r="AW158" s="772">
        <v>271.97006181044543</v>
      </c>
      <c r="AX158" s="772">
        <v>280.61115703266177</v>
      </c>
      <c r="AY158" s="773">
        <v>289.25225225487804</v>
      </c>
    </row>
    <row r="159" spans="1:51">
      <c r="A159" s="1277"/>
      <c r="B159" s="681">
        <v>2.1</v>
      </c>
      <c r="C159" s="690">
        <f>(AB159*KFC!$B$22+KFC!$C$22)*KFC!$C$5</f>
        <v>92.268936376829245</v>
      </c>
      <c r="D159" s="690">
        <f>(AC159*KFC!$B$22+KFC!$C$22)*KFC!$C$5</f>
        <v>101.16230598038173</v>
      </c>
      <c r="E159" s="690">
        <f>(AD159*KFC!$B$22+KFC!$C$22)*KFC!$C$5</f>
        <v>110.05567558393422</v>
      </c>
      <c r="F159" s="690">
        <f>(AE159*KFC!$B$22+KFC!$C$22)*KFC!$C$5</f>
        <v>118.94904518748672</v>
      </c>
      <c r="G159" s="690">
        <f>(AF159*KFC!$B$22+KFC!$C$22)*KFC!$C$5</f>
        <v>127.8424147910392</v>
      </c>
      <c r="H159" s="690">
        <f>(AG159*KFC!$B$22+KFC!$C$22)*KFC!$C$5</f>
        <v>136.73578439459169</v>
      </c>
      <c r="I159" s="690">
        <f>(AH159*KFC!$B$22+KFC!$C$22)*KFC!$C$5</f>
        <v>145.62915399814418</v>
      </c>
      <c r="J159" s="690">
        <f>(AI159*KFC!$B$22+KFC!$C$22)*KFC!$C$5</f>
        <v>154.52252360169666</v>
      </c>
      <c r="K159" s="690">
        <f>(AJ159*KFC!$B$22+KFC!$C$22)*KFC!$C$5</f>
        <v>163.41589320524915</v>
      </c>
      <c r="L159" s="690">
        <f>(AK159*KFC!$B$22+KFC!$C$22)*KFC!$C$5</f>
        <v>172.30926280880163</v>
      </c>
      <c r="M159" s="690">
        <f>(AL159*KFC!$B$22+KFC!$C$22)*KFC!$C$5</f>
        <v>181.20263241235415</v>
      </c>
      <c r="N159" s="690">
        <f>(AM159*KFC!$B$22+KFC!$C$22)*KFC!$C$5</f>
        <v>190.09600201590666</v>
      </c>
      <c r="O159" s="690">
        <f>(AN159*KFC!$B$22+KFC!$C$22)*KFC!$C$5</f>
        <v>198.98937161945915</v>
      </c>
      <c r="P159" s="690">
        <f>(AO159*KFC!$B$22+KFC!$C$22)*KFC!$C$5</f>
        <v>207.88274122301166</v>
      </c>
      <c r="Q159" s="690">
        <f>(AP159*KFC!$B$22+KFC!$C$22)*KFC!$C$5</f>
        <v>216.77611082656418</v>
      </c>
      <c r="R159" s="690">
        <f>(AQ159*KFC!$B$22+KFC!$C$22)*KFC!$C$5</f>
        <v>225.66948043011669</v>
      </c>
      <c r="S159" s="690">
        <f>(AR159*KFC!$B$22+KFC!$C$22)*KFC!$C$5</f>
        <v>234.56285003366918</v>
      </c>
      <c r="T159" s="690">
        <f>(AS159*KFC!$B$22+KFC!$C$22)*KFC!$C$5</f>
        <v>243.45621963722169</v>
      </c>
      <c r="U159" s="690">
        <f>(AT159*KFC!$B$22+KFC!$C$22)*KFC!$C$5</f>
        <v>252.34958924077421</v>
      </c>
      <c r="V159" s="690">
        <f>(AU159*KFC!$B$22+KFC!$C$22)*KFC!$C$5</f>
        <v>261.24295884432672</v>
      </c>
      <c r="W159" s="690">
        <f>(AV159*KFC!$B$22+KFC!$C$22)*KFC!$C$5</f>
        <v>270.13632844787924</v>
      </c>
      <c r="X159" s="690">
        <f>(AW159*KFC!$B$22+KFC!$C$22)*KFC!$C$5</f>
        <v>279.02969805143175</v>
      </c>
      <c r="Y159" s="690">
        <f>(AX159*KFC!$B$22+KFC!$C$22)*KFC!$C$5</f>
        <v>287.92306765498421</v>
      </c>
      <c r="Z159" s="690">
        <f>(AY159*KFC!$B$22+KFC!$C$22)*KFC!$C$5</f>
        <v>296.81643725853661</v>
      </c>
      <c r="AB159" s="771">
        <v>92.268936376829245</v>
      </c>
      <c r="AC159" s="772">
        <v>101.16230598038173</v>
      </c>
      <c r="AD159" s="772">
        <v>110.05567558393422</v>
      </c>
      <c r="AE159" s="772">
        <v>118.94904518748672</v>
      </c>
      <c r="AF159" s="772">
        <v>127.8424147910392</v>
      </c>
      <c r="AG159" s="772">
        <v>136.73578439459169</v>
      </c>
      <c r="AH159" s="772">
        <v>145.62915399814418</v>
      </c>
      <c r="AI159" s="772">
        <v>154.52252360169666</v>
      </c>
      <c r="AJ159" s="772">
        <v>163.41589320524915</v>
      </c>
      <c r="AK159" s="772">
        <v>172.30926280880163</v>
      </c>
      <c r="AL159" s="772">
        <v>181.20263241235415</v>
      </c>
      <c r="AM159" s="772">
        <v>190.09600201590666</v>
      </c>
      <c r="AN159" s="772">
        <v>198.98937161945915</v>
      </c>
      <c r="AO159" s="772">
        <v>207.88274122301166</v>
      </c>
      <c r="AP159" s="772">
        <v>216.77611082656418</v>
      </c>
      <c r="AQ159" s="772">
        <v>225.66948043011669</v>
      </c>
      <c r="AR159" s="772">
        <v>234.56285003366918</v>
      </c>
      <c r="AS159" s="772">
        <v>243.45621963722169</v>
      </c>
      <c r="AT159" s="772">
        <v>252.34958924077421</v>
      </c>
      <c r="AU159" s="772">
        <v>261.24295884432672</v>
      </c>
      <c r="AV159" s="772">
        <v>270.13632844787924</v>
      </c>
      <c r="AW159" s="772">
        <v>279.02969805143175</v>
      </c>
      <c r="AX159" s="772">
        <v>287.92306765498421</v>
      </c>
      <c r="AY159" s="773">
        <v>296.81643725853661</v>
      </c>
    </row>
    <row r="160" spans="1:51">
      <c r="A160" s="1277"/>
      <c r="B160" s="681">
        <v>2.2000000000000002</v>
      </c>
      <c r="C160" s="690">
        <f>(AB160*KFC!$B$22+KFC!$C$22)*KFC!$C$5</f>
        <v>94.030810609756088</v>
      </c>
      <c r="D160" s="690">
        <f>(AC160*KFC!$B$22+KFC!$C$22)*KFC!$C$5</f>
        <v>103.17645459464474</v>
      </c>
      <c r="E160" s="690">
        <f>(AD160*KFC!$B$22+KFC!$C$22)*KFC!$C$5</f>
        <v>112.3220985795334</v>
      </c>
      <c r="F160" s="690">
        <f>(AE160*KFC!$B$22+KFC!$C$22)*KFC!$C$5</f>
        <v>121.46774256442207</v>
      </c>
      <c r="G160" s="690">
        <f>(AF160*KFC!$B$22+KFC!$C$22)*KFC!$C$5</f>
        <v>130.61338654931072</v>
      </c>
      <c r="H160" s="690">
        <f>(AG160*KFC!$B$22+KFC!$C$22)*KFC!$C$5</f>
        <v>139.75903053419938</v>
      </c>
      <c r="I160" s="690">
        <f>(AH160*KFC!$B$22+KFC!$C$22)*KFC!$C$5</f>
        <v>148.90467451908805</v>
      </c>
      <c r="J160" s="690">
        <f>(AI160*KFC!$B$22+KFC!$C$22)*KFC!$C$5</f>
        <v>158.05031850397671</v>
      </c>
      <c r="K160" s="690">
        <f>(AJ160*KFC!$B$22+KFC!$C$22)*KFC!$C$5</f>
        <v>167.19596248886538</v>
      </c>
      <c r="L160" s="690">
        <f>(AK160*KFC!$B$22+KFC!$C$22)*KFC!$C$5</f>
        <v>176.34160647375404</v>
      </c>
      <c r="M160" s="690">
        <f>(AL160*KFC!$B$22+KFC!$C$22)*KFC!$C$5</f>
        <v>185.48725045864268</v>
      </c>
      <c r="N160" s="690">
        <f>(AM160*KFC!$B$22+KFC!$C$22)*KFC!$C$5</f>
        <v>194.63289444353131</v>
      </c>
      <c r="O160" s="690">
        <f>(AN160*KFC!$B$22+KFC!$C$22)*KFC!$C$5</f>
        <v>203.77853842841995</v>
      </c>
      <c r="P160" s="690">
        <f>(AO160*KFC!$B$22+KFC!$C$22)*KFC!$C$5</f>
        <v>212.92418241330859</v>
      </c>
      <c r="Q160" s="690">
        <f>(AP160*KFC!$B$22+KFC!$C$22)*KFC!$C$5</f>
        <v>222.06982639819725</v>
      </c>
      <c r="R160" s="690">
        <f>(AQ160*KFC!$B$22+KFC!$C$22)*KFC!$C$5</f>
        <v>231.21547038308589</v>
      </c>
      <c r="S160" s="690">
        <f>(AR160*KFC!$B$22+KFC!$C$22)*KFC!$C$5</f>
        <v>240.36111436797452</v>
      </c>
      <c r="T160" s="690">
        <f>(AS160*KFC!$B$22+KFC!$C$22)*KFC!$C$5</f>
        <v>249.50675835286316</v>
      </c>
      <c r="U160" s="690">
        <f>(AT160*KFC!$B$22+KFC!$C$22)*KFC!$C$5</f>
        <v>258.65240233775182</v>
      </c>
      <c r="V160" s="690">
        <f>(AU160*KFC!$B$22+KFC!$C$22)*KFC!$C$5</f>
        <v>267.79804632264046</v>
      </c>
      <c r="W160" s="690">
        <f>(AV160*KFC!$B$22+KFC!$C$22)*KFC!$C$5</f>
        <v>276.9436903075291</v>
      </c>
      <c r="X160" s="690">
        <f>(AW160*KFC!$B$22+KFC!$C$22)*KFC!$C$5</f>
        <v>286.08933429241773</v>
      </c>
      <c r="Y160" s="690">
        <f>(AX160*KFC!$B$22+KFC!$C$22)*KFC!$C$5</f>
        <v>295.23497827730637</v>
      </c>
      <c r="Z160" s="690">
        <f>(AY160*KFC!$B$22+KFC!$C$22)*KFC!$C$5</f>
        <v>304.38062226219512</v>
      </c>
      <c r="AB160" s="771">
        <v>94.030810609756088</v>
      </c>
      <c r="AC160" s="772">
        <v>103.17645459464474</v>
      </c>
      <c r="AD160" s="772">
        <v>112.3220985795334</v>
      </c>
      <c r="AE160" s="772">
        <v>121.46774256442207</v>
      </c>
      <c r="AF160" s="772">
        <v>130.61338654931072</v>
      </c>
      <c r="AG160" s="772">
        <v>139.75903053419938</v>
      </c>
      <c r="AH160" s="772">
        <v>148.90467451908805</v>
      </c>
      <c r="AI160" s="772">
        <v>158.05031850397671</v>
      </c>
      <c r="AJ160" s="772">
        <v>167.19596248886538</v>
      </c>
      <c r="AK160" s="772">
        <v>176.34160647375404</v>
      </c>
      <c r="AL160" s="772">
        <v>185.48725045864268</v>
      </c>
      <c r="AM160" s="772">
        <v>194.63289444353131</v>
      </c>
      <c r="AN160" s="772">
        <v>203.77853842841995</v>
      </c>
      <c r="AO160" s="772">
        <v>212.92418241330859</v>
      </c>
      <c r="AP160" s="772">
        <v>222.06982639819725</v>
      </c>
      <c r="AQ160" s="772">
        <v>231.21547038308589</v>
      </c>
      <c r="AR160" s="772">
        <v>240.36111436797452</v>
      </c>
      <c r="AS160" s="772">
        <v>249.50675835286316</v>
      </c>
      <c r="AT160" s="772">
        <v>258.65240233775182</v>
      </c>
      <c r="AU160" s="772">
        <v>267.79804632264046</v>
      </c>
      <c r="AV160" s="772">
        <v>276.9436903075291</v>
      </c>
      <c r="AW160" s="772">
        <v>286.08933429241773</v>
      </c>
      <c r="AX160" s="772">
        <v>295.23497827730637</v>
      </c>
      <c r="AY160" s="773">
        <v>304.38062226219512</v>
      </c>
    </row>
    <row r="161" spans="1:51">
      <c r="A161" s="1277"/>
      <c r="B161" s="681">
        <v>2.2999999999999998</v>
      </c>
      <c r="C161" s="690">
        <f>(AB161*KFC!$B$22+KFC!$C$22)*KFC!$C$5</f>
        <v>95.792684842682917</v>
      </c>
      <c r="D161" s="690">
        <f>(AC161*KFC!$B$22+KFC!$C$22)*KFC!$C$5</f>
        <v>105.19060320890773</v>
      </c>
      <c r="E161" s="690">
        <f>(AD161*KFC!$B$22+KFC!$C$22)*KFC!$C$5</f>
        <v>114.58852157513255</v>
      </c>
      <c r="F161" s="690">
        <f>(AE161*KFC!$B$22+KFC!$C$22)*KFC!$C$5</f>
        <v>123.98643994135736</v>
      </c>
      <c r="G161" s="690">
        <f>(AF161*KFC!$B$22+KFC!$C$22)*KFC!$C$5</f>
        <v>133.38435830758218</v>
      </c>
      <c r="H161" s="690">
        <f>(AG161*KFC!$B$22+KFC!$C$22)*KFC!$C$5</f>
        <v>142.78227667380699</v>
      </c>
      <c r="I161" s="690">
        <f>(AH161*KFC!$B$22+KFC!$C$22)*KFC!$C$5</f>
        <v>152.1801950400318</v>
      </c>
      <c r="J161" s="690">
        <f>(AI161*KFC!$B$22+KFC!$C$22)*KFC!$C$5</f>
        <v>161.57811340625662</v>
      </c>
      <c r="K161" s="690">
        <f>(AJ161*KFC!$B$22+KFC!$C$22)*KFC!$C$5</f>
        <v>170.97603177248146</v>
      </c>
      <c r="L161" s="690">
        <f>(AK161*KFC!$B$22+KFC!$C$22)*KFC!$C$5</f>
        <v>180.37395013870628</v>
      </c>
      <c r="M161" s="690">
        <f>(AL161*KFC!$B$22+KFC!$C$22)*KFC!$C$5</f>
        <v>189.77186850493109</v>
      </c>
      <c r="N161" s="690">
        <f>(AM161*KFC!$B$22+KFC!$C$22)*KFC!$C$5</f>
        <v>199.16978687115588</v>
      </c>
      <c r="O161" s="690">
        <f>(AN161*KFC!$B$22+KFC!$C$22)*KFC!$C$5</f>
        <v>208.56770523738069</v>
      </c>
      <c r="P161" s="690">
        <f>(AO161*KFC!$B$22+KFC!$C$22)*KFC!$C$5</f>
        <v>217.96562360360551</v>
      </c>
      <c r="Q161" s="690">
        <f>(AP161*KFC!$B$22+KFC!$C$22)*KFC!$C$5</f>
        <v>227.36354196983032</v>
      </c>
      <c r="R161" s="690">
        <f>(AQ161*KFC!$B$22+KFC!$C$22)*KFC!$C$5</f>
        <v>236.76146033605514</v>
      </c>
      <c r="S161" s="690">
        <f>(AR161*KFC!$B$22+KFC!$C$22)*KFC!$C$5</f>
        <v>246.15937870227995</v>
      </c>
      <c r="T161" s="690">
        <f>(AS161*KFC!$B$22+KFC!$C$22)*KFC!$C$5</f>
        <v>255.55729706850477</v>
      </c>
      <c r="U161" s="690">
        <f>(AT161*KFC!$B$22+KFC!$C$22)*KFC!$C$5</f>
        <v>264.95521543472961</v>
      </c>
      <c r="V161" s="690">
        <f>(AU161*KFC!$B$22+KFC!$C$22)*KFC!$C$5</f>
        <v>274.35313380095442</v>
      </c>
      <c r="W161" s="690">
        <f>(AV161*KFC!$B$22+KFC!$C$22)*KFC!$C$5</f>
        <v>283.75105216717924</v>
      </c>
      <c r="X161" s="690">
        <f>(AW161*KFC!$B$22+KFC!$C$22)*KFC!$C$5</f>
        <v>293.14897053340405</v>
      </c>
      <c r="Y161" s="690">
        <f>(AX161*KFC!$B$22+KFC!$C$22)*KFC!$C$5</f>
        <v>302.54688889962887</v>
      </c>
      <c r="Z161" s="690">
        <f>(AY161*KFC!$B$22+KFC!$C$22)*KFC!$C$5</f>
        <v>311.94480726585368</v>
      </c>
      <c r="AB161" s="771">
        <v>95.792684842682917</v>
      </c>
      <c r="AC161" s="772">
        <v>105.19060320890773</v>
      </c>
      <c r="AD161" s="772">
        <v>114.58852157513255</v>
      </c>
      <c r="AE161" s="772">
        <v>123.98643994135736</v>
      </c>
      <c r="AF161" s="772">
        <v>133.38435830758218</v>
      </c>
      <c r="AG161" s="772">
        <v>142.78227667380699</v>
      </c>
      <c r="AH161" s="772">
        <v>152.1801950400318</v>
      </c>
      <c r="AI161" s="772">
        <v>161.57811340625662</v>
      </c>
      <c r="AJ161" s="772">
        <v>170.97603177248146</v>
      </c>
      <c r="AK161" s="772">
        <v>180.37395013870628</v>
      </c>
      <c r="AL161" s="772">
        <v>189.77186850493109</v>
      </c>
      <c r="AM161" s="772">
        <v>199.16978687115588</v>
      </c>
      <c r="AN161" s="772">
        <v>208.56770523738069</v>
      </c>
      <c r="AO161" s="772">
        <v>217.96562360360551</v>
      </c>
      <c r="AP161" s="772">
        <v>227.36354196983032</v>
      </c>
      <c r="AQ161" s="772">
        <v>236.76146033605514</v>
      </c>
      <c r="AR161" s="772">
        <v>246.15937870227995</v>
      </c>
      <c r="AS161" s="772">
        <v>255.55729706850477</v>
      </c>
      <c r="AT161" s="772">
        <v>264.95521543472961</v>
      </c>
      <c r="AU161" s="772">
        <v>274.35313380095442</v>
      </c>
      <c r="AV161" s="772">
        <v>283.75105216717924</v>
      </c>
      <c r="AW161" s="772">
        <v>293.14897053340405</v>
      </c>
      <c r="AX161" s="772">
        <v>302.54688889962887</v>
      </c>
      <c r="AY161" s="773">
        <v>311.94480726585368</v>
      </c>
    </row>
    <row r="162" spans="1:51">
      <c r="A162" s="1277"/>
      <c r="B162" s="681">
        <v>2.4</v>
      </c>
      <c r="C162" s="690">
        <f>(AB162*KFC!$B$22+KFC!$C$22)*KFC!$C$5</f>
        <v>97.554559075609745</v>
      </c>
      <c r="D162" s="690">
        <f>(AC162*KFC!$B$22+KFC!$C$22)*KFC!$C$5</f>
        <v>107.20475182317072</v>
      </c>
      <c r="E162" s="690">
        <f>(AD162*KFC!$B$22+KFC!$C$22)*KFC!$C$5</f>
        <v>116.85494457073169</v>
      </c>
      <c r="F162" s="690">
        <f>(AE162*KFC!$B$22+KFC!$C$22)*KFC!$C$5</f>
        <v>126.50513731829265</v>
      </c>
      <c r="G162" s="690">
        <f>(AF162*KFC!$B$22+KFC!$C$22)*KFC!$C$5</f>
        <v>136.15533006585363</v>
      </c>
      <c r="H162" s="690">
        <f>(AG162*KFC!$B$22+KFC!$C$22)*KFC!$C$5</f>
        <v>145.8055228134146</v>
      </c>
      <c r="I162" s="690">
        <f>(AH162*KFC!$B$22+KFC!$C$22)*KFC!$C$5</f>
        <v>155.45571556097556</v>
      </c>
      <c r="J162" s="690">
        <f>(AI162*KFC!$B$22+KFC!$C$22)*KFC!$C$5</f>
        <v>165.10590830853653</v>
      </c>
      <c r="K162" s="690">
        <f>(AJ162*KFC!$B$22+KFC!$C$22)*KFC!$C$5</f>
        <v>174.75610105609752</v>
      </c>
      <c r="L162" s="690">
        <f>(AK162*KFC!$B$22+KFC!$C$22)*KFC!$C$5</f>
        <v>184.40629380365851</v>
      </c>
      <c r="M162" s="690">
        <f>(AL162*KFC!$B$22+KFC!$C$22)*KFC!$C$5</f>
        <v>194.05648655121948</v>
      </c>
      <c r="N162" s="690">
        <f>(AM162*KFC!$B$22+KFC!$C$22)*KFC!$C$5</f>
        <v>203.70667929878047</v>
      </c>
      <c r="O162" s="690">
        <f>(AN162*KFC!$B$22+KFC!$C$22)*KFC!$C$5</f>
        <v>213.35687204634146</v>
      </c>
      <c r="P162" s="690">
        <f>(AO162*KFC!$B$22+KFC!$C$22)*KFC!$C$5</f>
        <v>223.00706479390246</v>
      </c>
      <c r="Q162" s="690">
        <f>(AP162*KFC!$B$22+KFC!$C$22)*KFC!$C$5</f>
        <v>232.65725754146342</v>
      </c>
      <c r="R162" s="690">
        <f>(AQ162*KFC!$B$22+KFC!$C$22)*KFC!$C$5</f>
        <v>242.30745028902442</v>
      </c>
      <c r="S162" s="690">
        <f>(AR162*KFC!$B$22+KFC!$C$22)*KFC!$C$5</f>
        <v>251.95764303658541</v>
      </c>
      <c r="T162" s="690">
        <f>(AS162*KFC!$B$22+KFC!$C$22)*KFC!$C$5</f>
        <v>261.6078357841464</v>
      </c>
      <c r="U162" s="690">
        <f>(AT162*KFC!$B$22+KFC!$C$22)*KFC!$C$5</f>
        <v>271.2580285317074</v>
      </c>
      <c r="V162" s="690">
        <f>(AU162*KFC!$B$22+KFC!$C$22)*KFC!$C$5</f>
        <v>280.90822127926839</v>
      </c>
      <c r="W162" s="690">
        <f>(AV162*KFC!$B$22+KFC!$C$22)*KFC!$C$5</f>
        <v>290.55841402682938</v>
      </c>
      <c r="X162" s="690">
        <f>(AW162*KFC!$B$22+KFC!$C$22)*KFC!$C$5</f>
        <v>300.20860677439032</v>
      </c>
      <c r="Y162" s="690">
        <f>(AX162*KFC!$B$22+KFC!$C$22)*KFC!$C$5</f>
        <v>309.85879952195131</v>
      </c>
      <c r="Z162" s="690">
        <f>(AY162*KFC!$B$22+KFC!$C$22)*KFC!$C$5</f>
        <v>319.50899226951219</v>
      </c>
      <c r="AB162" s="771">
        <v>97.554559075609745</v>
      </c>
      <c r="AC162" s="772">
        <v>107.20475182317072</v>
      </c>
      <c r="AD162" s="772">
        <v>116.85494457073169</v>
      </c>
      <c r="AE162" s="772">
        <v>126.50513731829265</v>
      </c>
      <c r="AF162" s="772">
        <v>136.15533006585363</v>
      </c>
      <c r="AG162" s="772">
        <v>145.8055228134146</v>
      </c>
      <c r="AH162" s="772">
        <v>155.45571556097556</v>
      </c>
      <c r="AI162" s="772">
        <v>165.10590830853653</v>
      </c>
      <c r="AJ162" s="772">
        <v>174.75610105609752</v>
      </c>
      <c r="AK162" s="772">
        <v>184.40629380365851</v>
      </c>
      <c r="AL162" s="772">
        <v>194.05648655121948</v>
      </c>
      <c r="AM162" s="772">
        <v>203.70667929878047</v>
      </c>
      <c r="AN162" s="772">
        <v>213.35687204634146</v>
      </c>
      <c r="AO162" s="772">
        <v>223.00706479390246</v>
      </c>
      <c r="AP162" s="772">
        <v>232.65725754146342</v>
      </c>
      <c r="AQ162" s="772">
        <v>242.30745028902442</v>
      </c>
      <c r="AR162" s="772">
        <v>251.95764303658541</v>
      </c>
      <c r="AS162" s="772">
        <v>261.6078357841464</v>
      </c>
      <c r="AT162" s="772">
        <v>271.2580285317074</v>
      </c>
      <c r="AU162" s="772">
        <v>280.90822127926839</v>
      </c>
      <c r="AV162" s="772">
        <v>290.55841402682938</v>
      </c>
      <c r="AW162" s="772">
        <v>300.20860677439032</v>
      </c>
      <c r="AX162" s="772">
        <v>309.85879952195131</v>
      </c>
      <c r="AY162" s="773">
        <v>319.50899226951219</v>
      </c>
    </row>
    <row r="163" spans="1:51">
      <c r="A163" s="1277"/>
      <c r="B163" s="681">
        <v>2.5</v>
      </c>
      <c r="C163" s="690">
        <f>(AB163*KFC!$B$22+KFC!$C$22)*KFC!$C$5</f>
        <v>99.316433308536588</v>
      </c>
      <c r="D163" s="690">
        <f>(AC163*KFC!$B$22+KFC!$C$22)*KFC!$C$5</f>
        <v>109.21890043743373</v>
      </c>
      <c r="E163" s="690">
        <f>(AD163*KFC!$B$22+KFC!$C$22)*KFC!$C$5</f>
        <v>119.12136756633086</v>
      </c>
      <c r="F163" s="690">
        <f>(AE163*KFC!$B$22+KFC!$C$22)*KFC!$C$5</f>
        <v>129.023834695228</v>
      </c>
      <c r="G163" s="690">
        <f>(AF163*KFC!$B$22+KFC!$C$22)*KFC!$C$5</f>
        <v>138.92630182412515</v>
      </c>
      <c r="H163" s="690">
        <f>(AG163*KFC!$B$22+KFC!$C$22)*KFC!$C$5</f>
        <v>148.82876895302229</v>
      </c>
      <c r="I163" s="690">
        <f>(AH163*KFC!$B$22+KFC!$C$22)*KFC!$C$5</f>
        <v>158.73123608191943</v>
      </c>
      <c r="J163" s="690">
        <f>(AI163*KFC!$B$22+KFC!$C$22)*KFC!$C$5</f>
        <v>168.63370321081658</v>
      </c>
      <c r="K163" s="690">
        <f>(AJ163*KFC!$B$22+KFC!$C$22)*KFC!$C$5</f>
        <v>178.53617033971369</v>
      </c>
      <c r="L163" s="690">
        <f>(AK163*KFC!$B$22+KFC!$C$22)*KFC!$C$5</f>
        <v>188.43863746861081</v>
      </c>
      <c r="M163" s="690">
        <f>(AL163*KFC!$B$22+KFC!$C$22)*KFC!$C$5</f>
        <v>198.34110459750792</v>
      </c>
      <c r="N163" s="690">
        <f>(AM163*KFC!$B$22+KFC!$C$22)*KFC!$C$5</f>
        <v>208.24357172640507</v>
      </c>
      <c r="O163" s="690">
        <f>(AN163*KFC!$B$22+KFC!$C$22)*KFC!$C$5</f>
        <v>218.14603885530218</v>
      </c>
      <c r="P163" s="690">
        <f>(AO163*KFC!$B$22+KFC!$C$22)*KFC!$C$5</f>
        <v>228.04850598419929</v>
      </c>
      <c r="Q163" s="690">
        <f>(AP163*KFC!$B$22+KFC!$C$22)*KFC!$C$5</f>
        <v>237.95097311309641</v>
      </c>
      <c r="R163" s="690">
        <f>(AQ163*KFC!$B$22+KFC!$C$22)*KFC!$C$5</f>
        <v>247.85344024199355</v>
      </c>
      <c r="S163" s="690">
        <f>(AR163*KFC!$B$22+KFC!$C$22)*KFC!$C$5</f>
        <v>257.75590737089067</v>
      </c>
      <c r="T163" s="690">
        <f>(AS163*KFC!$B$22+KFC!$C$22)*KFC!$C$5</f>
        <v>267.65837449978778</v>
      </c>
      <c r="U163" s="690">
        <f>(AT163*KFC!$B$22+KFC!$C$22)*KFC!$C$5</f>
        <v>277.5608416286849</v>
      </c>
      <c r="V163" s="690">
        <f>(AU163*KFC!$B$22+KFC!$C$22)*KFC!$C$5</f>
        <v>287.46330875758201</v>
      </c>
      <c r="W163" s="690">
        <f>(AV163*KFC!$B$22+KFC!$C$22)*KFC!$C$5</f>
        <v>297.36577588647913</v>
      </c>
      <c r="X163" s="690">
        <f>(AW163*KFC!$B$22+KFC!$C$22)*KFC!$C$5</f>
        <v>307.2682430153763</v>
      </c>
      <c r="Y163" s="690">
        <f>(AX163*KFC!$B$22+KFC!$C$22)*KFC!$C$5</f>
        <v>317.17071014427341</v>
      </c>
      <c r="Z163" s="690">
        <f>(AY163*KFC!$B$22+KFC!$C$22)*KFC!$C$5</f>
        <v>327.07317727317076</v>
      </c>
      <c r="AB163" s="771">
        <v>99.316433308536588</v>
      </c>
      <c r="AC163" s="772">
        <v>109.21890043743373</v>
      </c>
      <c r="AD163" s="772">
        <v>119.12136756633086</v>
      </c>
      <c r="AE163" s="772">
        <v>129.023834695228</v>
      </c>
      <c r="AF163" s="772">
        <v>138.92630182412515</v>
      </c>
      <c r="AG163" s="772">
        <v>148.82876895302229</v>
      </c>
      <c r="AH163" s="772">
        <v>158.73123608191943</v>
      </c>
      <c r="AI163" s="772">
        <v>168.63370321081658</v>
      </c>
      <c r="AJ163" s="772">
        <v>178.53617033971369</v>
      </c>
      <c r="AK163" s="772">
        <v>188.43863746861081</v>
      </c>
      <c r="AL163" s="772">
        <v>198.34110459750792</v>
      </c>
      <c r="AM163" s="772">
        <v>208.24357172640507</v>
      </c>
      <c r="AN163" s="772">
        <v>218.14603885530218</v>
      </c>
      <c r="AO163" s="772">
        <v>228.04850598419929</v>
      </c>
      <c r="AP163" s="772">
        <v>237.95097311309641</v>
      </c>
      <c r="AQ163" s="772">
        <v>247.85344024199355</v>
      </c>
      <c r="AR163" s="772">
        <v>257.75590737089067</v>
      </c>
      <c r="AS163" s="772">
        <v>267.65837449978778</v>
      </c>
      <c r="AT163" s="772">
        <v>277.5608416286849</v>
      </c>
      <c r="AU163" s="772">
        <v>287.46330875758201</v>
      </c>
      <c r="AV163" s="772">
        <v>297.36577588647913</v>
      </c>
      <c r="AW163" s="772">
        <v>307.2682430153763</v>
      </c>
      <c r="AX163" s="772">
        <v>317.17071014427341</v>
      </c>
      <c r="AY163" s="773">
        <v>327.07317727317076</v>
      </c>
    </row>
    <row r="164" spans="1:51">
      <c r="A164" s="1277"/>
      <c r="B164" s="681">
        <v>2.6</v>
      </c>
      <c r="C164" s="690">
        <f>(AB164*KFC!$B$22+KFC!$C$22)*KFC!$C$5</f>
        <v>101.07830754146342</v>
      </c>
      <c r="D164" s="690">
        <f>(AC164*KFC!$B$22+KFC!$C$22)*KFC!$C$5</f>
        <v>111.23304905169671</v>
      </c>
      <c r="E164" s="690">
        <f>(AD164*KFC!$B$22+KFC!$C$22)*KFC!$C$5</f>
        <v>121.38779056193</v>
      </c>
      <c r="F164" s="690">
        <f>(AE164*KFC!$B$22+KFC!$C$22)*KFC!$C$5</f>
        <v>131.54253207216331</v>
      </c>
      <c r="G164" s="690">
        <f>(AF164*KFC!$B$22+KFC!$C$22)*KFC!$C$5</f>
        <v>141.6972735823966</v>
      </c>
      <c r="H164" s="690">
        <f>(AG164*KFC!$B$22+KFC!$C$22)*KFC!$C$5</f>
        <v>151.8520150926299</v>
      </c>
      <c r="I164" s="690">
        <f>(AH164*KFC!$B$22+KFC!$C$22)*KFC!$C$5</f>
        <v>162.00675660286319</v>
      </c>
      <c r="J164" s="690">
        <f>(AI164*KFC!$B$22+KFC!$C$22)*KFC!$C$5</f>
        <v>172.16149811309648</v>
      </c>
      <c r="K164" s="690">
        <f>(AJ164*KFC!$B$22+KFC!$C$22)*KFC!$C$5</f>
        <v>182.31623962332978</v>
      </c>
      <c r="L164" s="690">
        <f>(AK164*KFC!$B$22+KFC!$C$22)*KFC!$C$5</f>
        <v>192.47098113356307</v>
      </c>
      <c r="M164" s="690">
        <f>(AL164*KFC!$B$22+KFC!$C$22)*KFC!$C$5</f>
        <v>202.62572264379639</v>
      </c>
      <c r="N164" s="690">
        <f>(AM164*KFC!$B$22+KFC!$C$22)*KFC!$C$5</f>
        <v>212.78046415402969</v>
      </c>
      <c r="O164" s="690">
        <f>(AN164*KFC!$B$22+KFC!$C$22)*KFC!$C$5</f>
        <v>222.93520566426298</v>
      </c>
      <c r="P164" s="690">
        <f>(AO164*KFC!$B$22+KFC!$C$22)*KFC!$C$5</f>
        <v>233.08994717449627</v>
      </c>
      <c r="Q164" s="690">
        <f>(AP164*KFC!$B$22+KFC!$C$22)*KFC!$C$5</f>
        <v>243.24468868472957</v>
      </c>
      <c r="R164" s="690">
        <f>(AQ164*KFC!$B$22+KFC!$C$22)*KFC!$C$5</f>
        <v>253.39943019496286</v>
      </c>
      <c r="S164" s="690">
        <f>(AR164*KFC!$B$22+KFC!$C$22)*KFC!$C$5</f>
        <v>263.55417170519615</v>
      </c>
      <c r="T164" s="690">
        <f>(AS164*KFC!$B$22+KFC!$C$22)*KFC!$C$5</f>
        <v>273.70891321542945</v>
      </c>
      <c r="U164" s="690">
        <f>(AT164*KFC!$B$22+KFC!$C$22)*KFC!$C$5</f>
        <v>283.86365472566274</v>
      </c>
      <c r="V164" s="690">
        <f>(AU164*KFC!$B$22+KFC!$C$22)*KFC!$C$5</f>
        <v>294.01839623589603</v>
      </c>
      <c r="W164" s="690">
        <f>(AV164*KFC!$B$22+KFC!$C$22)*KFC!$C$5</f>
        <v>304.17313774612933</v>
      </c>
      <c r="X164" s="690">
        <f>(AW164*KFC!$B$22+KFC!$C$22)*KFC!$C$5</f>
        <v>314.32787925636262</v>
      </c>
      <c r="Y164" s="690">
        <f>(AX164*KFC!$B$22+KFC!$C$22)*KFC!$C$5</f>
        <v>324.48262076659591</v>
      </c>
      <c r="Z164" s="690">
        <f>(AY164*KFC!$B$22+KFC!$C$22)*KFC!$C$5</f>
        <v>334.63736227682926</v>
      </c>
      <c r="AB164" s="771">
        <v>101.07830754146342</v>
      </c>
      <c r="AC164" s="772">
        <v>111.23304905169671</v>
      </c>
      <c r="AD164" s="772">
        <v>121.38779056193</v>
      </c>
      <c r="AE164" s="772">
        <v>131.54253207216331</v>
      </c>
      <c r="AF164" s="772">
        <v>141.6972735823966</v>
      </c>
      <c r="AG164" s="772">
        <v>151.8520150926299</v>
      </c>
      <c r="AH164" s="772">
        <v>162.00675660286319</v>
      </c>
      <c r="AI164" s="772">
        <v>172.16149811309648</v>
      </c>
      <c r="AJ164" s="772">
        <v>182.31623962332978</v>
      </c>
      <c r="AK164" s="772">
        <v>192.47098113356307</v>
      </c>
      <c r="AL164" s="772">
        <v>202.62572264379639</v>
      </c>
      <c r="AM164" s="772">
        <v>212.78046415402969</v>
      </c>
      <c r="AN164" s="772">
        <v>222.93520566426298</v>
      </c>
      <c r="AO164" s="772">
        <v>233.08994717449627</v>
      </c>
      <c r="AP164" s="772">
        <v>243.24468868472957</v>
      </c>
      <c r="AQ164" s="772">
        <v>253.39943019496286</v>
      </c>
      <c r="AR164" s="772">
        <v>263.55417170519615</v>
      </c>
      <c r="AS164" s="772">
        <v>273.70891321542945</v>
      </c>
      <c r="AT164" s="772">
        <v>283.86365472566274</v>
      </c>
      <c r="AU164" s="772">
        <v>294.01839623589603</v>
      </c>
      <c r="AV164" s="772">
        <v>304.17313774612933</v>
      </c>
      <c r="AW164" s="772">
        <v>314.32787925636262</v>
      </c>
      <c r="AX164" s="772">
        <v>324.48262076659591</v>
      </c>
      <c r="AY164" s="773">
        <v>334.63736227682926</v>
      </c>
    </row>
    <row r="165" spans="1:51">
      <c r="A165" s="1277"/>
      <c r="B165" s="681">
        <v>2.7</v>
      </c>
      <c r="C165" s="690">
        <f>(AB165*KFC!$B$22+KFC!$C$22)*KFC!$C$5</f>
        <v>102.84018177439026</v>
      </c>
      <c r="D165" s="690">
        <f>(AC165*KFC!$B$22+KFC!$C$22)*KFC!$C$5</f>
        <v>113.2471976659597</v>
      </c>
      <c r="E165" s="690">
        <f>(AD165*KFC!$B$22+KFC!$C$22)*KFC!$C$5</f>
        <v>123.65421355752918</v>
      </c>
      <c r="F165" s="690">
        <f>(AE165*KFC!$B$22+KFC!$C$22)*KFC!$C$5</f>
        <v>134.06122944909865</v>
      </c>
      <c r="G165" s="690">
        <f>(AF165*KFC!$B$22+KFC!$C$22)*KFC!$C$5</f>
        <v>144.46824534066809</v>
      </c>
      <c r="H165" s="690">
        <f>(AG165*KFC!$B$22+KFC!$C$22)*KFC!$C$5</f>
        <v>154.87526123223756</v>
      </c>
      <c r="I165" s="690">
        <f>(AH165*KFC!$B$22+KFC!$C$22)*KFC!$C$5</f>
        <v>165.28227712380703</v>
      </c>
      <c r="J165" s="690">
        <f>(AI165*KFC!$B$22+KFC!$C$22)*KFC!$C$5</f>
        <v>175.68929301537651</v>
      </c>
      <c r="K165" s="690">
        <f>(AJ165*KFC!$B$22+KFC!$C$22)*KFC!$C$5</f>
        <v>186.09630890694598</v>
      </c>
      <c r="L165" s="690">
        <f>(AK165*KFC!$B$22+KFC!$C$22)*KFC!$C$5</f>
        <v>196.50332479851542</v>
      </c>
      <c r="M165" s="690">
        <f>(AL165*KFC!$B$22+KFC!$C$22)*KFC!$C$5</f>
        <v>206.91034069008489</v>
      </c>
      <c r="N165" s="690">
        <f>(AM165*KFC!$B$22+KFC!$C$22)*KFC!$C$5</f>
        <v>217.31735658165437</v>
      </c>
      <c r="O165" s="690">
        <f>(AN165*KFC!$B$22+KFC!$C$22)*KFC!$C$5</f>
        <v>227.72437247322384</v>
      </c>
      <c r="P165" s="690">
        <f>(AO165*KFC!$B$22+KFC!$C$22)*KFC!$C$5</f>
        <v>238.13138836479331</v>
      </c>
      <c r="Q165" s="690">
        <f>(AP165*KFC!$B$22+KFC!$C$22)*KFC!$C$5</f>
        <v>248.53840425636275</v>
      </c>
      <c r="R165" s="690">
        <f>(AQ165*KFC!$B$22+KFC!$C$22)*KFC!$C$5</f>
        <v>258.94542014793223</v>
      </c>
      <c r="S165" s="690">
        <f>(AR165*KFC!$B$22+KFC!$C$22)*KFC!$C$5</f>
        <v>269.3524360395017</v>
      </c>
      <c r="T165" s="690">
        <f>(AS165*KFC!$B$22+KFC!$C$22)*KFC!$C$5</f>
        <v>279.75945193107117</v>
      </c>
      <c r="U165" s="690">
        <f>(AT165*KFC!$B$22+KFC!$C$22)*KFC!$C$5</f>
        <v>290.16646782264064</v>
      </c>
      <c r="V165" s="690">
        <f>(AU165*KFC!$B$22+KFC!$C$22)*KFC!$C$5</f>
        <v>300.57348371421011</v>
      </c>
      <c r="W165" s="690">
        <f>(AV165*KFC!$B$22+KFC!$C$22)*KFC!$C$5</f>
        <v>310.98049960577958</v>
      </c>
      <c r="X165" s="690">
        <f>(AW165*KFC!$B$22+KFC!$C$22)*KFC!$C$5</f>
        <v>321.38751549734906</v>
      </c>
      <c r="Y165" s="690">
        <f>(AX165*KFC!$B$22+KFC!$C$22)*KFC!$C$5</f>
        <v>331.79453138891847</v>
      </c>
      <c r="Z165" s="690">
        <f>(AY165*KFC!$B$22+KFC!$C$22)*KFC!$C$5</f>
        <v>342.20154728048777</v>
      </c>
      <c r="AB165" s="771">
        <v>102.84018177439026</v>
      </c>
      <c r="AC165" s="772">
        <v>113.2471976659597</v>
      </c>
      <c r="AD165" s="772">
        <v>123.65421355752918</v>
      </c>
      <c r="AE165" s="772">
        <v>134.06122944909865</v>
      </c>
      <c r="AF165" s="772">
        <v>144.46824534066809</v>
      </c>
      <c r="AG165" s="772">
        <v>154.87526123223756</v>
      </c>
      <c r="AH165" s="772">
        <v>165.28227712380703</v>
      </c>
      <c r="AI165" s="772">
        <v>175.68929301537651</v>
      </c>
      <c r="AJ165" s="772">
        <v>186.09630890694598</v>
      </c>
      <c r="AK165" s="772">
        <v>196.50332479851542</v>
      </c>
      <c r="AL165" s="772">
        <v>206.91034069008489</v>
      </c>
      <c r="AM165" s="772">
        <v>217.31735658165437</v>
      </c>
      <c r="AN165" s="772">
        <v>227.72437247322384</v>
      </c>
      <c r="AO165" s="772">
        <v>238.13138836479331</v>
      </c>
      <c r="AP165" s="772">
        <v>248.53840425636275</v>
      </c>
      <c r="AQ165" s="772">
        <v>258.94542014793223</v>
      </c>
      <c r="AR165" s="772">
        <v>269.3524360395017</v>
      </c>
      <c r="AS165" s="772">
        <v>279.75945193107117</v>
      </c>
      <c r="AT165" s="772">
        <v>290.16646782264064</v>
      </c>
      <c r="AU165" s="772">
        <v>300.57348371421011</v>
      </c>
      <c r="AV165" s="772">
        <v>310.98049960577958</v>
      </c>
      <c r="AW165" s="772">
        <v>321.38751549734906</v>
      </c>
      <c r="AX165" s="772">
        <v>331.79453138891847</v>
      </c>
      <c r="AY165" s="773">
        <v>342.20154728048777</v>
      </c>
    </row>
    <row r="166" spans="1:51" ht="13.5" customHeight="1">
      <c r="A166" s="1277"/>
      <c r="B166" s="681">
        <v>2.8</v>
      </c>
      <c r="C166" s="690">
        <f>(AB166*KFC!$B$22+KFC!$C$22)*KFC!$C$5</f>
        <v>104.60205600731709</v>
      </c>
      <c r="D166" s="690">
        <f>(AC166*KFC!$B$22+KFC!$C$22)*KFC!$C$5</f>
        <v>115.26134628022271</v>
      </c>
      <c r="E166" s="690">
        <f>(AD166*KFC!$B$22+KFC!$C$22)*KFC!$C$5</f>
        <v>125.92063655312833</v>
      </c>
      <c r="F166" s="690">
        <f>(AE166*KFC!$B$22+KFC!$C$22)*KFC!$C$5</f>
        <v>136.57992682603395</v>
      </c>
      <c r="G166" s="690">
        <f>(AF166*KFC!$B$22+KFC!$C$22)*KFC!$C$5</f>
        <v>147.23921709893958</v>
      </c>
      <c r="H166" s="690">
        <f>(AG166*KFC!$B$22+KFC!$C$22)*KFC!$C$5</f>
        <v>157.8985073718452</v>
      </c>
      <c r="I166" s="690">
        <f>(AH166*KFC!$B$22+KFC!$C$22)*KFC!$C$5</f>
        <v>168.55779764475082</v>
      </c>
      <c r="J166" s="690">
        <f>(AI166*KFC!$B$22+KFC!$C$22)*KFC!$C$5</f>
        <v>179.21708791765647</v>
      </c>
      <c r="K166" s="690">
        <f>(AJ166*KFC!$B$22+KFC!$C$22)*KFC!$C$5</f>
        <v>189.87637819056212</v>
      </c>
      <c r="L166" s="690">
        <f>(AK166*KFC!$B$22+KFC!$C$22)*KFC!$C$5</f>
        <v>200.53566846346774</v>
      </c>
      <c r="M166" s="690">
        <f>(AL166*KFC!$B$22+KFC!$C$22)*KFC!$C$5</f>
        <v>211.19495873637339</v>
      </c>
      <c r="N166" s="690">
        <f>(AM166*KFC!$B$22+KFC!$C$22)*KFC!$C$5</f>
        <v>221.85424900927902</v>
      </c>
      <c r="O166" s="690">
        <f>(AN166*KFC!$B$22+KFC!$C$22)*KFC!$C$5</f>
        <v>232.51353928218467</v>
      </c>
      <c r="P166" s="690">
        <f>(AO166*KFC!$B$22+KFC!$C$22)*KFC!$C$5</f>
        <v>243.17282955509029</v>
      </c>
      <c r="Q166" s="690">
        <f>(AP166*KFC!$B$22+KFC!$C$22)*KFC!$C$5</f>
        <v>253.83211982799594</v>
      </c>
      <c r="R166" s="690">
        <f>(AQ166*KFC!$B$22+KFC!$C$22)*KFC!$C$5</f>
        <v>264.49141010090159</v>
      </c>
      <c r="S166" s="690">
        <f>(AR166*KFC!$B$22+KFC!$C$22)*KFC!$C$5</f>
        <v>275.15070037380724</v>
      </c>
      <c r="T166" s="690">
        <f>(AS166*KFC!$B$22+KFC!$C$22)*KFC!$C$5</f>
        <v>285.80999064671283</v>
      </c>
      <c r="U166" s="690">
        <f>(AT166*KFC!$B$22+KFC!$C$22)*KFC!$C$5</f>
        <v>296.46928091961848</v>
      </c>
      <c r="V166" s="690">
        <f>(AU166*KFC!$B$22+KFC!$C$22)*KFC!$C$5</f>
        <v>307.12857119252413</v>
      </c>
      <c r="W166" s="690">
        <f>(AV166*KFC!$B$22+KFC!$C$22)*KFC!$C$5</f>
        <v>317.78786146542978</v>
      </c>
      <c r="X166" s="690">
        <f>(AW166*KFC!$B$22+KFC!$C$22)*KFC!$C$5</f>
        <v>328.44715173833544</v>
      </c>
      <c r="Y166" s="690">
        <f>(AX166*KFC!$B$22+KFC!$C$22)*KFC!$C$5</f>
        <v>339.10644201124103</v>
      </c>
      <c r="Z166" s="690">
        <f>(AY166*KFC!$B$22+KFC!$C$22)*KFC!$C$5</f>
        <v>349.76573228414634</v>
      </c>
      <c r="AB166" s="771">
        <v>104.60205600731709</v>
      </c>
      <c r="AC166" s="772">
        <v>115.26134628022271</v>
      </c>
      <c r="AD166" s="772">
        <v>125.92063655312833</v>
      </c>
      <c r="AE166" s="772">
        <v>136.57992682603395</v>
      </c>
      <c r="AF166" s="772">
        <v>147.23921709893958</v>
      </c>
      <c r="AG166" s="772">
        <v>157.8985073718452</v>
      </c>
      <c r="AH166" s="772">
        <v>168.55779764475082</v>
      </c>
      <c r="AI166" s="772">
        <v>179.21708791765647</v>
      </c>
      <c r="AJ166" s="772">
        <v>189.87637819056212</v>
      </c>
      <c r="AK166" s="772">
        <v>200.53566846346774</v>
      </c>
      <c r="AL166" s="772">
        <v>211.19495873637339</v>
      </c>
      <c r="AM166" s="772">
        <v>221.85424900927902</v>
      </c>
      <c r="AN166" s="772">
        <v>232.51353928218467</v>
      </c>
      <c r="AO166" s="772">
        <v>243.17282955509029</v>
      </c>
      <c r="AP166" s="772">
        <v>253.83211982799594</v>
      </c>
      <c r="AQ166" s="772">
        <v>264.49141010090159</v>
      </c>
      <c r="AR166" s="772">
        <v>275.15070037380724</v>
      </c>
      <c r="AS166" s="772">
        <v>285.80999064671283</v>
      </c>
      <c r="AT166" s="772">
        <v>296.46928091961848</v>
      </c>
      <c r="AU166" s="772">
        <v>307.12857119252413</v>
      </c>
      <c r="AV166" s="772">
        <v>317.78786146542978</v>
      </c>
      <c r="AW166" s="772">
        <v>328.44715173833544</v>
      </c>
      <c r="AX166" s="772">
        <v>339.10644201124103</v>
      </c>
      <c r="AY166" s="773">
        <v>349.76573228414634</v>
      </c>
    </row>
    <row r="167" spans="1:51">
      <c r="A167" s="1277"/>
      <c r="B167" s="681">
        <v>2.9</v>
      </c>
      <c r="C167" s="690">
        <f>(AB167*KFC!$B$22+KFC!$C$22)*KFC!$C$5</f>
        <v>106.36393024024393</v>
      </c>
      <c r="D167" s="690">
        <f>(AC167*KFC!$B$22+KFC!$C$22)*KFC!$C$5</f>
        <v>117.2754948944857</v>
      </c>
      <c r="E167" s="690">
        <f>(AD167*KFC!$B$22+KFC!$C$22)*KFC!$C$5</f>
        <v>128.18705954872746</v>
      </c>
      <c r="F167" s="690">
        <f>(AE167*KFC!$B$22+KFC!$C$22)*KFC!$C$5</f>
        <v>139.09862420296923</v>
      </c>
      <c r="G167" s="690">
        <f>(AF167*KFC!$B$22+KFC!$C$22)*KFC!$C$5</f>
        <v>150.01018885721103</v>
      </c>
      <c r="H167" s="690">
        <f>(AG167*KFC!$B$22+KFC!$C$22)*KFC!$C$5</f>
        <v>160.92175351145281</v>
      </c>
      <c r="I167" s="690">
        <f>(AH167*KFC!$B$22+KFC!$C$22)*KFC!$C$5</f>
        <v>171.83331816569458</v>
      </c>
      <c r="J167" s="690">
        <f>(AI167*KFC!$B$22+KFC!$C$22)*KFC!$C$5</f>
        <v>182.74488281993635</v>
      </c>
      <c r="K167" s="690">
        <f>(AJ167*KFC!$B$22+KFC!$C$22)*KFC!$C$5</f>
        <v>193.65644747417812</v>
      </c>
      <c r="L167" s="690">
        <f>(AK167*KFC!$B$22+KFC!$C$22)*KFC!$C$5</f>
        <v>204.56801212841989</v>
      </c>
      <c r="M167" s="690">
        <f>(AL167*KFC!$B$22+KFC!$C$22)*KFC!$C$5</f>
        <v>215.4795767826617</v>
      </c>
      <c r="N167" s="690">
        <f>(AM167*KFC!$B$22+KFC!$C$22)*KFC!$C$5</f>
        <v>226.39114143690347</v>
      </c>
      <c r="O167" s="690">
        <f>(AN167*KFC!$B$22+KFC!$C$22)*KFC!$C$5</f>
        <v>237.30270609114524</v>
      </c>
      <c r="P167" s="690">
        <f>(AO167*KFC!$B$22+KFC!$C$22)*KFC!$C$5</f>
        <v>248.21427074538701</v>
      </c>
      <c r="Q167" s="690">
        <f>(AP167*KFC!$B$22+KFC!$C$22)*KFC!$C$5</f>
        <v>259.12583539962878</v>
      </c>
      <c r="R167" s="690">
        <f>(AQ167*KFC!$B$22+KFC!$C$22)*KFC!$C$5</f>
        <v>270.03740005387056</v>
      </c>
      <c r="S167" s="690">
        <f>(AR167*KFC!$B$22+KFC!$C$22)*KFC!$C$5</f>
        <v>280.94896470811233</v>
      </c>
      <c r="T167" s="690">
        <f>(AS167*KFC!$B$22+KFC!$C$22)*KFC!$C$5</f>
        <v>291.8605293623541</v>
      </c>
      <c r="U167" s="690">
        <f>(AT167*KFC!$B$22+KFC!$C$22)*KFC!$C$5</f>
        <v>302.77209401659587</v>
      </c>
      <c r="V167" s="690">
        <f>(AU167*KFC!$B$22+KFC!$C$22)*KFC!$C$5</f>
        <v>313.68365867083764</v>
      </c>
      <c r="W167" s="690">
        <f>(AV167*KFC!$B$22+KFC!$C$22)*KFC!$C$5</f>
        <v>324.59522332507942</v>
      </c>
      <c r="X167" s="690">
        <f>(AW167*KFC!$B$22+KFC!$C$22)*KFC!$C$5</f>
        <v>335.50678797932119</v>
      </c>
      <c r="Y167" s="690">
        <f>(AX167*KFC!$B$22+KFC!$C$22)*KFC!$C$5</f>
        <v>346.41835263356296</v>
      </c>
      <c r="Z167" s="690">
        <f>(AY167*KFC!$B$22+KFC!$C$22)*KFC!$C$5</f>
        <v>357.32991728780485</v>
      </c>
      <c r="AB167" s="771">
        <v>106.36393024024393</v>
      </c>
      <c r="AC167" s="772">
        <v>117.2754948944857</v>
      </c>
      <c r="AD167" s="772">
        <v>128.18705954872746</v>
      </c>
      <c r="AE167" s="772">
        <v>139.09862420296923</v>
      </c>
      <c r="AF167" s="772">
        <v>150.01018885721103</v>
      </c>
      <c r="AG167" s="772">
        <v>160.92175351145281</v>
      </c>
      <c r="AH167" s="772">
        <v>171.83331816569458</v>
      </c>
      <c r="AI167" s="772">
        <v>182.74488281993635</v>
      </c>
      <c r="AJ167" s="772">
        <v>193.65644747417812</v>
      </c>
      <c r="AK167" s="772">
        <v>204.56801212841989</v>
      </c>
      <c r="AL167" s="772">
        <v>215.4795767826617</v>
      </c>
      <c r="AM167" s="772">
        <v>226.39114143690347</v>
      </c>
      <c r="AN167" s="772">
        <v>237.30270609114524</v>
      </c>
      <c r="AO167" s="772">
        <v>248.21427074538701</v>
      </c>
      <c r="AP167" s="772">
        <v>259.12583539962878</v>
      </c>
      <c r="AQ167" s="772">
        <v>270.03740005387056</v>
      </c>
      <c r="AR167" s="772">
        <v>280.94896470811233</v>
      </c>
      <c r="AS167" s="772">
        <v>291.8605293623541</v>
      </c>
      <c r="AT167" s="772">
        <v>302.77209401659587</v>
      </c>
      <c r="AU167" s="772">
        <v>313.68365867083764</v>
      </c>
      <c r="AV167" s="772">
        <v>324.59522332507942</v>
      </c>
      <c r="AW167" s="772">
        <v>335.50678797932119</v>
      </c>
      <c r="AX167" s="772">
        <v>346.41835263356296</v>
      </c>
      <c r="AY167" s="773">
        <v>357.32991728780485</v>
      </c>
    </row>
    <row r="168" spans="1:51" ht="12.75" customHeight="1">
      <c r="A168" s="1277"/>
      <c r="B168" s="681">
        <v>3</v>
      </c>
      <c r="C168" s="690">
        <f>(AB168*KFC!$B$22+KFC!$C$22)*KFC!$C$5</f>
        <v>108.12580447317076</v>
      </c>
      <c r="D168" s="690">
        <f>(AC168*KFC!$B$22+KFC!$C$22)*KFC!$C$5</f>
        <v>119.28964350874871</v>
      </c>
      <c r="E168" s="690">
        <f>(AD168*KFC!$B$22+KFC!$C$22)*KFC!$C$5</f>
        <v>130.45348254432665</v>
      </c>
      <c r="F168" s="690">
        <f>(AE168*KFC!$B$22+KFC!$C$22)*KFC!$C$5</f>
        <v>141.6173215799046</v>
      </c>
      <c r="G168" s="690">
        <f>(AF168*KFC!$B$22+KFC!$C$22)*KFC!$C$5</f>
        <v>152.78116061548255</v>
      </c>
      <c r="H168" s="690">
        <f>(AG168*KFC!$B$22+KFC!$C$22)*KFC!$C$5</f>
        <v>163.9449996510605</v>
      </c>
      <c r="I168" s="690">
        <f>(AH168*KFC!$B$22+KFC!$C$22)*KFC!$C$5</f>
        <v>175.10883868663842</v>
      </c>
      <c r="J168" s="690">
        <f>(AI168*KFC!$B$22+KFC!$C$22)*KFC!$C$5</f>
        <v>186.27267772221637</v>
      </c>
      <c r="K168" s="690">
        <f>(AJ168*KFC!$B$22+KFC!$C$22)*KFC!$C$5</f>
        <v>197.43651675779432</v>
      </c>
      <c r="L168" s="690">
        <f>(AK168*KFC!$B$22+KFC!$C$22)*KFC!$C$5</f>
        <v>208.60035579337224</v>
      </c>
      <c r="M168" s="690">
        <f>(AL168*KFC!$B$22+KFC!$C$22)*KFC!$C$5</f>
        <v>219.7641948289502</v>
      </c>
      <c r="N168" s="690">
        <f>(AM168*KFC!$B$22+KFC!$C$22)*KFC!$C$5</f>
        <v>230.92803386452815</v>
      </c>
      <c r="O168" s="690">
        <f>(AN168*KFC!$B$22+KFC!$C$22)*KFC!$C$5</f>
        <v>242.0918729001061</v>
      </c>
      <c r="P168" s="690">
        <f>(AO168*KFC!$B$22+KFC!$C$22)*KFC!$C$5</f>
        <v>253.25571193568405</v>
      </c>
      <c r="Q168" s="690">
        <f>(AP168*KFC!$B$22+KFC!$C$22)*KFC!$C$5</f>
        <v>264.41955097126197</v>
      </c>
      <c r="R168" s="690">
        <f>(AQ168*KFC!$B$22+KFC!$C$22)*KFC!$C$5</f>
        <v>275.58339000683992</v>
      </c>
      <c r="S168" s="690">
        <f>(AR168*KFC!$B$22+KFC!$C$22)*KFC!$C$5</f>
        <v>286.74722904241787</v>
      </c>
      <c r="T168" s="690">
        <f>(AS168*KFC!$B$22+KFC!$C$22)*KFC!$C$5</f>
        <v>297.91106807799582</v>
      </c>
      <c r="U168" s="690">
        <f>(AT168*KFC!$B$22+KFC!$C$22)*KFC!$C$5</f>
        <v>309.07490711357377</v>
      </c>
      <c r="V168" s="690">
        <f>(AU168*KFC!$B$22+KFC!$C$22)*KFC!$C$5</f>
        <v>320.23874614915172</v>
      </c>
      <c r="W168" s="690">
        <f>(AV168*KFC!$B$22+KFC!$C$22)*KFC!$C$5</f>
        <v>331.40258518472967</v>
      </c>
      <c r="X168" s="690">
        <f>(AW168*KFC!$B$22+KFC!$C$22)*KFC!$C$5</f>
        <v>342.56642422030757</v>
      </c>
      <c r="Y168" s="690">
        <f>(AX168*KFC!$B$22+KFC!$C$22)*KFC!$C$5</f>
        <v>353.73026325588546</v>
      </c>
      <c r="Z168" s="690">
        <f>(AY168*KFC!$B$22+KFC!$C$22)*KFC!$C$5</f>
        <v>364.89410229146341</v>
      </c>
      <c r="AB168" s="771">
        <v>108.12580447317076</v>
      </c>
      <c r="AC168" s="772">
        <v>119.28964350874871</v>
      </c>
      <c r="AD168" s="772">
        <v>130.45348254432665</v>
      </c>
      <c r="AE168" s="772">
        <v>141.6173215799046</v>
      </c>
      <c r="AF168" s="772">
        <v>152.78116061548255</v>
      </c>
      <c r="AG168" s="772">
        <v>163.9449996510605</v>
      </c>
      <c r="AH168" s="772">
        <v>175.10883868663842</v>
      </c>
      <c r="AI168" s="772">
        <v>186.27267772221637</v>
      </c>
      <c r="AJ168" s="772">
        <v>197.43651675779432</v>
      </c>
      <c r="AK168" s="772">
        <v>208.60035579337224</v>
      </c>
      <c r="AL168" s="772">
        <v>219.7641948289502</v>
      </c>
      <c r="AM168" s="772">
        <v>230.92803386452815</v>
      </c>
      <c r="AN168" s="772">
        <v>242.0918729001061</v>
      </c>
      <c r="AO168" s="772">
        <v>253.25571193568405</v>
      </c>
      <c r="AP168" s="772">
        <v>264.41955097126197</v>
      </c>
      <c r="AQ168" s="772">
        <v>275.58339000683992</v>
      </c>
      <c r="AR168" s="772">
        <v>286.74722904241787</v>
      </c>
      <c r="AS168" s="772">
        <v>297.91106807799582</v>
      </c>
      <c r="AT168" s="772">
        <v>309.07490711357377</v>
      </c>
      <c r="AU168" s="772">
        <v>320.23874614915172</v>
      </c>
      <c r="AV168" s="772">
        <v>331.40258518472967</v>
      </c>
      <c r="AW168" s="772">
        <v>342.56642422030757</v>
      </c>
      <c r="AX168" s="772">
        <v>353.73026325588546</v>
      </c>
      <c r="AY168" s="773">
        <v>364.89410229146341</v>
      </c>
    </row>
    <row r="169" spans="1:51">
      <c r="A169" s="1277"/>
      <c r="B169" s="681">
        <v>3.1</v>
      </c>
      <c r="C169" s="690">
        <f>(AB169*KFC!$B$22+KFC!$C$22)*KFC!$C$5</f>
        <v>109.88767870609759</v>
      </c>
      <c r="D169" s="690">
        <f>(AC169*KFC!$B$22+KFC!$C$22)*KFC!$C$5</f>
        <v>121.30379212301169</v>
      </c>
      <c r="E169" s="690">
        <f>(AD169*KFC!$B$22+KFC!$C$22)*KFC!$C$5</f>
        <v>132.7199055399258</v>
      </c>
      <c r="F169" s="690">
        <f>(AE169*KFC!$B$22+KFC!$C$22)*KFC!$C$5</f>
        <v>144.13601895683991</v>
      </c>
      <c r="G169" s="690">
        <f>(AF169*KFC!$B$22+KFC!$C$22)*KFC!$C$5</f>
        <v>155.55213237375401</v>
      </c>
      <c r="H169" s="690">
        <f>(AG169*KFC!$B$22+KFC!$C$22)*KFC!$C$5</f>
        <v>166.96824579066811</v>
      </c>
      <c r="I169" s="690">
        <f>(AH169*KFC!$B$22+KFC!$C$22)*KFC!$C$5</f>
        <v>178.38435920758218</v>
      </c>
      <c r="J169" s="690">
        <f>(AI169*KFC!$B$22+KFC!$C$22)*KFC!$C$5</f>
        <v>189.80047262449625</v>
      </c>
      <c r="K169" s="690">
        <f>(AJ169*KFC!$B$22+KFC!$C$22)*KFC!$C$5</f>
        <v>201.21658604141032</v>
      </c>
      <c r="L169" s="690">
        <f>(AK169*KFC!$B$22+KFC!$C$22)*KFC!$C$5</f>
        <v>212.63269945832442</v>
      </c>
      <c r="M169" s="690">
        <f>(AL169*KFC!$B$22+KFC!$C$22)*KFC!$C$5</f>
        <v>224.0488128752385</v>
      </c>
      <c r="N169" s="690">
        <f>(AM169*KFC!$B$22+KFC!$C$22)*KFC!$C$5</f>
        <v>235.46492629215257</v>
      </c>
      <c r="O169" s="690">
        <f>(AN169*KFC!$B$22+KFC!$C$22)*KFC!$C$5</f>
        <v>246.88103970906667</v>
      </c>
      <c r="P169" s="690">
        <f>(AO169*KFC!$B$22+KFC!$C$22)*KFC!$C$5</f>
        <v>258.29715312598074</v>
      </c>
      <c r="Q169" s="690">
        <f>(AP169*KFC!$B$22+KFC!$C$22)*KFC!$C$5</f>
        <v>269.71326654289481</v>
      </c>
      <c r="R169" s="690">
        <f>(AQ169*KFC!$B$22+KFC!$C$22)*KFC!$C$5</f>
        <v>281.12937995980889</v>
      </c>
      <c r="S169" s="690">
        <f>(AR169*KFC!$B$22+KFC!$C$22)*KFC!$C$5</f>
        <v>292.54549337672296</v>
      </c>
      <c r="T169" s="690">
        <f>(AS169*KFC!$B$22+KFC!$C$22)*KFC!$C$5</f>
        <v>303.96160679363709</v>
      </c>
      <c r="U169" s="690">
        <f>(AT169*KFC!$B$22+KFC!$C$22)*KFC!$C$5</f>
        <v>315.37772021055116</v>
      </c>
      <c r="V169" s="690">
        <f>(AU169*KFC!$B$22+KFC!$C$22)*KFC!$C$5</f>
        <v>326.79383362746523</v>
      </c>
      <c r="W169" s="690">
        <f>(AV169*KFC!$B$22+KFC!$C$22)*KFC!$C$5</f>
        <v>338.20994704437931</v>
      </c>
      <c r="X169" s="690">
        <f>(AW169*KFC!$B$22+KFC!$C$22)*KFC!$C$5</f>
        <v>349.62606046129338</v>
      </c>
      <c r="Y169" s="690">
        <f>(AX169*KFC!$B$22+KFC!$C$22)*KFC!$C$5</f>
        <v>361.04217387820745</v>
      </c>
      <c r="Z169" s="690">
        <f>(AY169*KFC!$B$22+KFC!$C$22)*KFC!$C$5</f>
        <v>372.45828729512192</v>
      </c>
      <c r="AB169" s="771">
        <v>109.88767870609759</v>
      </c>
      <c r="AC169" s="772">
        <v>121.30379212301169</v>
      </c>
      <c r="AD169" s="772">
        <v>132.7199055399258</v>
      </c>
      <c r="AE169" s="772">
        <v>144.13601895683991</v>
      </c>
      <c r="AF169" s="772">
        <v>155.55213237375401</v>
      </c>
      <c r="AG169" s="772">
        <v>166.96824579066811</v>
      </c>
      <c r="AH169" s="772">
        <v>178.38435920758218</v>
      </c>
      <c r="AI169" s="772">
        <v>189.80047262449625</v>
      </c>
      <c r="AJ169" s="772">
        <v>201.21658604141032</v>
      </c>
      <c r="AK169" s="772">
        <v>212.63269945832442</v>
      </c>
      <c r="AL169" s="772">
        <v>224.0488128752385</v>
      </c>
      <c r="AM169" s="772">
        <v>235.46492629215257</v>
      </c>
      <c r="AN169" s="772">
        <v>246.88103970906667</v>
      </c>
      <c r="AO169" s="772">
        <v>258.29715312598074</v>
      </c>
      <c r="AP169" s="772">
        <v>269.71326654289481</v>
      </c>
      <c r="AQ169" s="772">
        <v>281.12937995980889</v>
      </c>
      <c r="AR169" s="772">
        <v>292.54549337672296</v>
      </c>
      <c r="AS169" s="772">
        <v>303.96160679363709</v>
      </c>
      <c r="AT169" s="772">
        <v>315.37772021055116</v>
      </c>
      <c r="AU169" s="772">
        <v>326.79383362746523</v>
      </c>
      <c r="AV169" s="772">
        <v>338.20994704437931</v>
      </c>
      <c r="AW169" s="772">
        <v>349.62606046129338</v>
      </c>
      <c r="AX169" s="772">
        <v>361.04217387820745</v>
      </c>
      <c r="AY169" s="773">
        <v>372.45828729512192</v>
      </c>
    </row>
    <row r="170" spans="1:51">
      <c r="A170" s="1277"/>
      <c r="B170" s="681">
        <v>3.2</v>
      </c>
      <c r="C170" s="690">
        <f>(AB170*KFC!$B$22+KFC!$C$22)*KFC!$C$5</f>
        <v>111.64955293902443</v>
      </c>
      <c r="D170" s="690">
        <f>(AC170*KFC!$B$22+KFC!$C$22)*KFC!$C$5</f>
        <v>123.3179407372747</v>
      </c>
      <c r="E170" s="690">
        <f>(AD170*KFC!$B$22+KFC!$C$22)*KFC!$C$5</f>
        <v>134.98632853552496</v>
      </c>
      <c r="F170" s="690">
        <f>(AE170*KFC!$B$22+KFC!$C$22)*KFC!$C$5</f>
        <v>146.65471633377521</v>
      </c>
      <c r="G170" s="690">
        <f>(AF170*KFC!$B$22+KFC!$C$22)*KFC!$C$5</f>
        <v>158.32310413202546</v>
      </c>
      <c r="H170" s="690">
        <f>(AG170*KFC!$B$22+KFC!$C$22)*KFC!$C$5</f>
        <v>169.99149193027571</v>
      </c>
      <c r="I170" s="690">
        <f>(AH170*KFC!$B$22+KFC!$C$22)*KFC!$C$5</f>
        <v>181.65987972852596</v>
      </c>
      <c r="J170" s="690">
        <f>(AI170*KFC!$B$22+KFC!$C$22)*KFC!$C$5</f>
        <v>193.32826752677622</v>
      </c>
      <c r="K170" s="690">
        <f>(AJ170*KFC!$B$22+KFC!$C$22)*KFC!$C$5</f>
        <v>204.99665532502647</v>
      </c>
      <c r="L170" s="690">
        <f>(AK170*KFC!$B$22+KFC!$C$22)*KFC!$C$5</f>
        <v>216.66504312327672</v>
      </c>
      <c r="M170" s="690">
        <f>(AL170*KFC!$B$22+KFC!$C$22)*KFC!$C$5</f>
        <v>228.333430921527</v>
      </c>
      <c r="N170" s="690">
        <f>(AM170*KFC!$B$22+KFC!$C$22)*KFC!$C$5</f>
        <v>240.00181871977725</v>
      </c>
      <c r="O170" s="690">
        <f>(AN170*KFC!$B$22+KFC!$C$22)*KFC!$C$5</f>
        <v>251.6702065180275</v>
      </c>
      <c r="P170" s="690">
        <f>(AO170*KFC!$B$22+KFC!$C$22)*KFC!$C$5</f>
        <v>263.33859431627775</v>
      </c>
      <c r="Q170" s="690">
        <f>(AP170*KFC!$B$22+KFC!$C$22)*KFC!$C$5</f>
        <v>275.006982114528</v>
      </c>
      <c r="R170" s="690">
        <f>(AQ170*KFC!$B$22+KFC!$C$22)*KFC!$C$5</f>
        <v>286.67536991277825</v>
      </c>
      <c r="S170" s="690">
        <f>(AR170*KFC!$B$22+KFC!$C$22)*KFC!$C$5</f>
        <v>298.3437577110285</v>
      </c>
      <c r="T170" s="690">
        <f>(AS170*KFC!$B$22+KFC!$C$22)*KFC!$C$5</f>
        <v>310.01214550927875</v>
      </c>
      <c r="U170" s="690">
        <f>(AT170*KFC!$B$22+KFC!$C$22)*KFC!$C$5</f>
        <v>321.680533307529</v>
      </c>
      <c r="V170" s="690">
        <f>(AU170*KFC!$B$22+KFC!$C$22)*KFC!$C$5</f>
        <v>333.34892110577925</v>
      </c>
      <c r="W170" s="690">
        <f>(AV170*KFC!$B$22+KFC!$C$22)*KFC!$C$5</f>
        <v>345.01730890402956</v>
      </c>
      <c r="X170" s="690">
        <f>(AW170*KFC!$B$22+KFC!$C$22)*KFC!$C$5</f>
        <v>356.68569670227981</v>
      </c>
      <c r="Y170" s="690">
        <f>(AX170*KFC!$B$22+KFC!$C$22)*KFC!$C$5</f>
        <v>368.35408450053006</v>
      </c>
      <c r="Z170" s="690">
        <f>(AY170*KFC!$B$22+KFC!$C$22)*KFC!$C$5</f>
        <v>380.02247229878049</v>
      </c>
      <c r="AB170" s="771">
        <v>111.64955293902443</v>
      </c>
      <c r="AC170" s="772">
        <v>123.3179407372747</v>
      </c>
      <c r="AD170" s="772">
        <v>134.98632853552496</v>
      </c>
      <c r="AE170" s="772">
        <v>146.65471633377521</v>
      </c>
      <c r="AF170" s="772">
        <v>158.32310413202546</v>
      </c>
      <c r="AG170" s="772">
        <v>169.99149193027571</v>
      </c>
      <c r="AH170" s="772">
        <v>181.65987972852596</v>
      </c>
      <c r="AI170" s="772">
        <v>193.32826752677622</v>
      </c>
      <c r="AJ170" s="772">
        <v>204.99665532502647</v>
      </c>
      <c r="AK170" s="772">
        <v>216.66504312327672</v>
      </c>
      <c r="AL170" s="772">
        <v>228.333430921527</v>
      </c>
      <c r="AM170" s="772">
        <v>240.00181871977725</v>
      </c>
      <c r="AN170" s="772">
        <v>251.6702065180275</v>
      </c>
      <c r="AO170" s="772">
        <v>263.33859431627775</v>
      </c>
      <c r="AP170" s="772">
        <v>275.006982114528</v>
      </c>
      <c r="AQ170" s="772">
        <v>286.67536991277825</v>
      </c>
      <c r="AR170" s="772">
        <v>298.3437577110285</v>
      </c>
      <c r="AS170" s="772">
        <v>310.01214550927875</v>
      </c>
      <c r="AT170" s="772">
        <v>321.680533307529</v>
      </c>
      <c r="AU170" s="772">
        <v>333.34892110577925</v>
      </c>
      <c r="AV170" s="772">
        <v>345.01730890402956</v>
      </c>
      <c r="AW170" s="772">
        <v>356.68569670227981</v>
      </c>
      <c r="AX170" s="772">
        <v>368.35408450053006</v>
      </c>
      <c r="AY170" s="773">
        <v>380.02247229878049</v>
      </c>
    </row>
    <row r="171" spans="1:51">
      <c r="A171" s="1277"/>
      <c r="B171" s="681">
        <v>3.3</v>
      </c>
      <c r="C171" s="690">
        <f>(AB171*KFC!$B$22+KFC!$C$22)*KFC!$C$5</f>
        <v>113.41142717195126</v>
      </c>
      <c r="D171" s="690">
        <f>(AC171*KFC!$B$22+KFC!$C$22)*KFC!$C$5</f>
        <v>125.33208935153769</v>
      </c>
      <c r="E171" s="690">
        <f>(AD171*KFC!$B$22+KFC!$C$22)*KFC!$C$5</f>
        <v>137.25275153112412</v>
      </c>
      <c r="F171" s="690">
        <f>(AE171*KFC!$B$22+KFC!$C$22)*KFC!$C$5</f>
        <v>149.17341371071055</v>
      </c>
      <c r="G171" s="690">
        <f>(AF171*KFC!$B$22+KFC!$C$22)*KFC!$C$5</f>
        <v>161.09407589029698</v>
      </c>
      <c r="H171" s="690">
        <f>(AG171*KFC!$B$22+KFC!$C$22)*KFC!$C$5</f>
        <v>173.01473806988338</v>
      </c>
      <c r="I171" s="690">
        <f>(AH171*KFC!$B$22+KFC!$C$22)*KFC!$C$5</f>
        <v>184.93540024946981</v>
      </c>
      <c r="J171" s="690">
        <f>(AI171*KFC!$B$22+KFC!$C$22)*KFC!$C$5</f>
        <v>196.85606242905624</v>
      </c>
      <c r="K171" s="690">
        <f>(AJ171*KFC!$B$22+KFC!$C$22)*KFC!$C$5</f>
        <v>208.77672460864267</v>
      </c>
      <c r="L171" s="690">
        <f>(AK171*KFC!$B$22+KFC!$C$22)*KFC!$C$5</f>
        <v>220.69738678822907</v>
      </c>
      <c r="M171" s="690">
        <f>(AL171*KFC!$B$22+KFC!$C$22)*KFC!$C$5</f>
        <v>232.6180489678155</v>
      </c>
      <c r="N171" s="690">
        <f>(AM171*KFC!$B$22+KFC!$C$22)*KFC!$C$5</f>
        <v>244.53871114740193</v>
      </c>
      <c r="O171" s="690">
        <f>(AN171*KFC!$B$22+KFC!$C$22)*KFC!$C$5</f>
        <v>256.45937332698838</v>
      </c>
      <c r="P171" s="690">
        <f>(AO171*KFC!$B$22+KFC!$C$22)*KFC!$C$5</f>
        <v>268.38003550657476</v>
      </c>
      <c r="Q171" s="690">
        <f>(AP171*KFC!$B$22+KFC!$C$22)*KFC!$C$5</f>
        <v>280.30069768616119</v>
      </c>
      <c r="R171" s="690">
        <f>(AQ171*KFC!$B$22+KFC!$C$22)*KFC!$C$5</f>
        <v>292.22135986574762</v>
      </c>
      <c r="S171" s="690">
        <f>(AR171*KFC!$B$22+KFC!$C$22)*KFC!$C$5</f>
        <v>304.14202204533404</v>
      </c>
      <c r="T171" s="690">
        <f>(AS171*KFC!$B$22+KFC!$C$22)*KFC!$C$5</f>
        <v>316.06268422492047</v>
      </c>
      <c r="U171" s="690">
        <f>(AT171*KFC!$B$22+KFC!$C$22)*KFC!$C$5</f>
        <v>327.9833464045069</v>
      </c>
      <c r="V171" s="690">
        <f>(AU171*KFC!$B$22+KFC!$C$22)*KFC!$C$5</f>
        <v>339.90400858409328</v>
      </c>
      <c r="W171" s="690">
        <f>(AV171*KFC!$B$22+KFC!$C$22)*KFC!$C$5</f>
        <v>351.82467076367971</v>
      </c>
      <c r="X171" s="690">
        <f>(AW171*KFC!$B$22+KFC!$C$22)*KFC!$C$5</f>
        <v>363.74533294326613</v>
      </c>
      <c r="Y171" s="690">
        <f>(AX171*KFC!$B$22+KFC!$C$22)*KFC!$C$5</f>
        <v>375.66599512285256</v>
      </c>
      <c r="Z171" s="690">
        <f>(AY171*KFC!$B$22+KFC!$C$22)*KFC!$C$5</f>
        <v>387.58665730243899</v>
      </c>
      <c r="AB171" s="771">
        <v>113.41142717195126</v>
      </c>
      <c r="AC171" s="772">
        <v>125.33208935153769</v>
      </c>
      <c r="AD171" s="772">
        <v>137.25275153112412</v>
      </c>
      <c r="AE171" s="772">
        <v>149.17341371071055</v>
      </c>
      <c r="AF171" s="772">
        <v>161.09407589029698</v>
      </c>
      <c r="AG171" s="772">
        <v>173.01473806988338</v>
      </c>
      <c r="AH171" s="772">
        <v>184.93540024946981</v>
      </c>
      <c r="AI171" s="772">
        <v>196.85606242905624</v>
      </c>
      <c r="AJ171" s="772">
        <v>208.77672460864267</v>
      </c>
      <c r="AK171" s="772">
        <v>220.69738678822907</v>
      </c>
      <c r="AL171" s="772">
        <v>232.6180489678155</v>
      </c>
      <c r="AM171" s="772">
        <v>244.53871114740193</v>
      </c>
      <c r="AN171" s="772">
        <v>256.45937332698838</v>
      </c>
      <c r="AO171" s="772">
        <v>268.38003550657476</v>
      </c>
      <c r="AP171" s="772">
        <v>280.30069768616119</v>
      </c>
      <c r="AQ171" s="772">
        <v>292.22135986574762</v>
      </c>
      <c r="AR171" s="772">
        <v>304.14202204533404</v>
      </c>
      <c r="AS171" s="772">
        <v>316.06268422492047</v>
      </c>
      <c r="AT171" s="772">
        <v>327.9833464045069</v>
      </c>
      <c r="AU171" s="772">
        <v>339.90400858409328</v>
      </c>
      <c r="AV171" s="772">
        <v>351.82467076367971</v>
      </c>
      <c r="AW171" s="772">
        <v>363.74533294326613</v>
      </c>
      <c r="AX171" s="772">
        <v>375.66599512285256</v>
      </c>
      <c r="AY171" s="773">
        <v>387.58665730243899</v>
      </c>
    </row>
    <row r="172" spans="1:51">
      <c r="A172" s="1277"/>
      <c r="B172" s="681">
        <v>3.4</v>
      </c>
      <c r="C172" s="690">
        <f>(AB172*KFC!$B$22+KFC!$C$22)*KFC!$C$5</f>
        <v>115.1733014048781</v>
      </c>
      <c r="D172" s="690">
        <f>(AC172*KFC!$B$22+KFC!$C$22)*KFC!$C$5</f>
        <v>127.34623796580068</v>
      </c>
      <c r="E172" s="690">
        <f>(AD172*KFC!$B$22+KFC!$C$22)*KFC!$C$5</f>
        <v>139.51917452672325</v>
      </c>
      <c r="F172" s="690">
        <f>(AE172*KFC!$B$22+KFC!$C$22)*KFC!$C$5</f>
        <v>151.69211108764583</v>
      </c>
      <c r="G172" s="690">
        <f>(AF172*KFC!$B$22+KFC!$C$22)*KFC!$C$5</f>
        <v>163.86504764856841</v>
      </c>
      <c r="H172" s="690">
        <f>(AG172*KFC!$B$22+KFC!$C$22)*KFC!$C$5</f>
        <v>176.03798420949099</v>
      </c>
      <c r="I172" s="690">
        <f>(AH172*KFC!$B$22+KFC!$C$22)*KFC!$C$5</f>
        <v>188.21092077041359</v>
      </c>
      <c r="J172" s="690">
        <f>(AI172*KFC!$B$22+KFC!$C$22)*KFC!$C$5</f>
        <v>200.3838573313362</v>
      </c>
      <c r="K172" s="690">
        <f>(AJ172*KFC!$B$22+KFC!$C$22)*KFC!$C$5</f>
        <v>212.55679389225878</v>
      </c>
      <c r="L172" s="690">
        <f>(AK172*KFC!$B$22+KFC!$C$22)*KFC!$C$5</f>
        <v>224.72973045318139</v>
      </c>
      <c r="M172" s="690">
        <f>(AL172*KFC!$B$22+KFC!$C$22)*KFC!$C$5</f>
        <v>236.902667014104</v>
      </c>
      <c r="N172" s="690">
        <f>(AM172*KFC!$B$22+KFC!$C$22)*KFC!$C$5</f>
        <v>249.07560357502658</v>
      </c>
      <c r="O172" s="690">
        <f>(AN172*KFC!$B$22+KFC!$C$22)*KFC!$C$5</f>
        <v>261.24854013594921</v>
      </c>
      <c r="P172" s="690">
        <f>(AO172*KFC!$B$22+KFC!$C$22)*KFC!$C$5</f>
        <v>273.42147669687176</v>
      </c>
      <c r="Q172" s="690">
        <f>(AP172*KFC!$B$22+KFC!$C$22)*KFC!$C$5</f>
        <v>285.59441325779437</v>
      </c>
      <c r="R172" s="690">
        <f>(AQ172*KFC!$B$22+KFC!$C$22)*KFC!$C$5</f>
        <v>297.76734981871698</v>
      </c>
      <c r="S172" s="690">
        <f>(AR172*KFC!$B$22+KFC!$C$22)*KFC!$C$5</f>
        <v>309.94028637963959</v>
      </c>
      <c r="T172" s="690">
        <f>(AS172*KFC!$B$22+KFC!$C$22)*KFC!$C$5</f>
        <v>322.1132229405622</v>
      </c>
      <c r="U172" s="690">
        <f>(AT172*KFC!$B$22+KFC!$C$22)*KFC!$C$5</f>
        <v>334.28615950148475</v>
      </c>
      <c r="V172" s="690">
        <f>(AU172*KFC!$B$22+KFC!$C$22)*KFC!$C$5</f>
        <v>346.45909606240735</v>
      </c>
      <c r="W172" s="690">
        <f>(AV172*KFC!$B$22+KFC!$C$22)*KFC!$C$5</f>
        <v>358.63203262332996</v>
      </c>
      <c r="X172" s="690">
        <f>(AW172*KFC!$B$22+KFC!$C$22)*KFC!$C$5</f>
        <v>370.80496918425257</v>
      </c>
      <c r="Y172" s="690">
        <f>(AX172*KFC!$B$22+KFC!$C$22)*KFC!$C$5</f>
        <v>382.97790574517518</v>
      </c>
      <c r="Z172" s="690">
        <f>(AY172*KFC!$B$22+KFC!$C$22)*KFC!$C$5</f>
        <v>395.15084230609756</v>
      </c>
      <c r="AB172" s="771">
        <v>115.1733014048781</v>
      </c>
      <c r="AC172" s="772">
        <v>127.34623796580068</v>
      </c>
      <c r="AD172" s="772">
        <v>139.51917452672325</v>
      </c>
      <c r="AE172" s="772">
        <v>151.69211108764583</v>
      </c>
      <c r="AF172" s="772">
        <v>163.86504764856841</v>
      </c>
      <c r="AG172" s="772">
        <v>176.03798420949099</v>
      </c>
      <c r="AH172" s="772">
        <v>188.21092077041359</v>
      </c>
      <c r="AI172" s="772">
        <v>200.3838573313362</v>
      </c>
      <c r="AJ172" s="772">
        <v>212.55679389225878</v>
      </c>
      <c r="AK172" s="772">
        <v>224.72973045318139</v>
      </c>
      <c r="AL172" s="772">
        <v>236.902667014104</v>
      </c>
      <c r="AM172" s="772">
        <v>249.07560357502658</v>
      </c>
      <c r="AN172" s="772">
        <v>261.24854013594921</v>
      </c>
      <c r="AO172" s="772">
        <v>273.42147669687176</v>
      </c>
      <c r="AP172" s="772">
        <v>285.59441325779437</v>
      </c>
      <c r="AQ172" s="772">
        <v>297.76734981871698</v>
      </c>
      <c r="AR172" s="772">
        <v>309.94028637963959</v>
      </c>
      <c r="AS172" s="772">
        <v>322.1132229405622</v>
      </c>
      <c r="AT172" s="772">
        <v>334.28615950148475</v>
      </c>
      <c r="AU172" s="772">
        <v>346.45909606240735</v>
      </c>
      <c r="AV172" s="772">
        <v>358.63203262332996</v>
      </c>
      <c r="AW172" s="772">
        <v>370.80496918425257</v>
      </c>
      <c r="AX172" s="772">
        <v>382.97790574517518</v>
      </c>
      <c r="AY172" s="773">
        <v>395.15084230609756</v>
      </c>
    </row>
    <row r="173" spans="1:51">
      <c r="A173" s="1277"/>
      <c r="B173" s="681">
        <v>3.5</v>
      </c>
      <c r="C173" s="690">
        <f>(AB173*KFC!$B$22+KFC!$C$22)*KFC!$C$5</f>
        <v>116.93517563780493</v>
      </c>
      <c r="D173" s="690">
        <f>(AC173*KFC!$B$22+KFC!$C$22)*KFC!$C$5</f>
        <v>129.36038658006368</v>
      </c>
      <c r="E173" s="690">
        <f>(AD173*KFC!$B$22+KFC!$C$22)*KFC!$C$5</f>
        <v>141.78559752232243</v>
      </c>
      <c r="F173" s="690">
        <f>(AE173*KFC!$B$22+KFC!$C$22)*KFC!$C$5</f>
        <v>154.21080846458119</v>
      </c>
      <c r="G173" s="690">
        <f>(AF173*KFC!$B$22+KFC!$C$22)*KFC!$C$5</f>
        <v>166.63601940683995</v>
      </c>
      <c r="H173" s="690">
        <f>(AG173*KFC!$B$22+KFC!$C$22)*KFC!$C$5</f>
        <v>179.06123034909871</v>
      </c>
      <c r="I173" s="690">
        <f>(AH173*KFC!$B$22+KFC!$C$22)*KFC!$C$5</f>
        <v>191.48644129135744</v>
      </c>
      <c r="J173" s="690">
        <f>(AI173*KFC!$B$22+KFC!$C$22)*KFC!$C$5</f>
        <v>203.91165223361617</v>
      </c>
      <c r="K173" s="690">
        <f>(AJ173*KFC!$B$22+KFC!$C$22)*KFC!$C$5</f>
        <v>216.3368631758749</v>
      </c>
      <c r="L173" s="690">
        <f>(AK173*KFC!$B$22+KFC!$C$22)*KFC!$C$5</f>
        <v>228.76207411813363</v>
      </c>
      <c r="M173" s="690">
        <f>(AL173*KFC!$B$22+KFC!$C$22)*KFC!$C$5</f>
        <v>241.18728506039236</v>
      </c>
      <c r="N173" s="690">
        <f>(AM173*KFC!$B$22+KFC!$C$22)*KFC!$C$5</f>
        <v>253.61249600265108</v>
      </c>
      <c r="O173" s="690">
        <f>(AN173*KFC!$B$22+KFC!$C$22)*KFC!$C$5</f>
        <v>266.03770694490981</v>
      </c>
      <c r="P173" s="690">
        <f>(AO173*KFC!$B$22+KFC!$C$22)*KFC!$C$5</f>
        <v>278.46291788716854</v>
      </c>
      <c r="Q173" s="690">
        <f>(AP173*KFC!$B$22+KFC!$C$22)*KFC!$C$5</f>
        <v>290.88812882942727</v>
      </c>
      <c r="R173" s="690">
        <f>(AQ173*KFC!$B$22+KFC!$C$22)*KFC!$C$5</f>
        <v>303.313339771686</v>
      </c>
      <c r="S173" s="690">
        <f>(AR173*KFC!$B$22+KFC!$C$22)*KFC!$C$5</f>
        <v>315.73855071394473</v>
      </c>
      <c r="T173" s="690">
        <f>(AS173*KFC!$B$22+KFC!$C$22)*KFC!$C$5</f>
        <v>328.16376165620352</v>
      </c>
      <c r="U173" s="690">
        <f>(AT173*KFC!$B$22+KFC!$C$22)*KFC!$C$5</f>
        <v>340.58897259846225</v>
      </c>
      <c r="V173" s="690">
        <f>(AU173*KFC!$B$22+KFC!$C$22)*KFC!$C$5</f>
        <v>353.01418354072098</v>
      </c>
      <c r="W173" s="690">
        <f>(AV173*KFC!$B$22+KFC!$C$22)*KFC!$C$5</f>
        <v>365.43939448297976</v>
      </c>
      <c r="X173" s="690">
        <f>(AW173*KFC!$B$22+KFC!$C$22)*KFC!$C$5</f>
        <v>377.86460542523855</v>
      </c>
      <c r="Y173" s="690">
        <f>(AX173*KFC!$B$22+KFC!$C$22)*KFC!$C$5</f>
        <v>390.28981636749728</v>
      </c>
      <c r="Z173" s="690">
        <f>(AY173*KFC!$B$22+KFC!$C$22)*KFC!$C$5</f>
        <v>402.71502730975607</v>
      </c>
      <c r="AB173" s="771">
        <v>116.93517563780493</v>
      </c>
      <c r="AC173" s="772">
        <v>129.36038658006368</v>
      </c>
      <c r="AD173" s="772">
        <v>141.78559752232243</v>
      </c>
      <c r="AE173" s="772">
        <v>154.21080846458119</v>
      </c>
      <c r="AF173" s="772">
        <v>166.63601940683995</v>
      </c>
      <c r="AG173" s="772">
        <v>179.06123034909871</v>
      </c>
      <c r="AH173" s="772">
        <v>191.48644129135744</v>
      </c>
      <c r="AI173" s="772">
        <v>203.91165223361617</v>
      </c>
      <c r="AJ173" s="772">
        <v>216.3368631758749</v>
      </c>
      <c r="AK173" s="772">
        <v>228.76207411813363</v>
      </c>
      <c r="AL173" s="772">
        <v>241.18728506039236</v>
      </c>
      <c r="AM173" s="772">
        <v>253.61249600265108</v>
      </c>
      <c r="AN173" s="772">
        <v>266.03770694490981</v>
      </c>
      <c r="AO173" s="772">
        <v>278.46291788716854</v>
      </c>
      <c r="AP173" s="772">
        <v>290.88812882942727</v>
      </c>
      <c r="AQ173" s="772">
        <v>303.313339771686</v>
      </c>
      <c r="AR173" s="772">
        <v>315.73855071394473</v>
      </c>
      <c r="AS173" s="772">
        <v>328.16376165620352</v>
      </c>
      <c r="AT173" s="772">
        <v>340.58897259846225</v>
      </c>
      <c r="AU173" s="772">
        <v>353.01418354072098</v>
      </c>
      <c r="AV173" s="772">
        <v>365.43939448297976</v>
      </c>
      <c r="AW173" s="772">
        <v>377.86460542523855</v>
      </c>
      <c r="AX173" s="772">
        <v>390.28981636749728</v>
      </c>
      <c r="AY173" s="773">
        <v>402.71502730975607</v>
      </c>
    </row>
    <row r="174" spans="1:51">
      <c r="A174" s="1277"/>
      <c r="B174" s="681">
        <v>3.6</v>
      </c>
      <c r="C174" s="690">
        <f>(AB174*KFC!$B$22+KFC!$C$22)*KFC!$C$5</f>
        <v>118.69704987073177</v>
      </c>
      <c r="D174" s="690">
        <f>(AC174*KFC!$B$22+KFC!$C$22)*KFC!$C$5</f>
        <v>131.37453519432668</v>
      </c>
      <c r="E174" s="690">
        <f>(AD174*KFC!$B$22+KFC!$C$22)*KFC!$C$5</f>
        <v>144.05202051792159</v>
      </c>
      <c r="F174" s="690">
        <f>(AE174*KFC!$B$22+KFC!$C$22)*KFC!$C$5</f>
        <v>156.7295058415165</v>
      </c>
      <c r="G174" s="690">
        <f>(AF174*KFC!$B$22+KFC!$C$22)*KFC!$C$5</f>
        <v>169.40699116511141</v>
      </c>
      <c r="H174" s="690">
        <f>(AG174*KFC!$B$22+KFC!$C$22)*KFC!$C$5</f>
        <v>182.08447648870631</v>
      </c>
      <c r="I174" s="690">
        <f>(AH174*KFC!$B$22+KFC!$C$22)*KFC!$C$5</f>
        <v>194.76196181230122</v>
      </c>
      <c r="J174" s="690">
        <f>(AI174*KFC!$B$22+KFC!$C$22)*KFC!$C$5</f>
        <v>207.43944713589613</v>
      </c>
      <c r="K174" s="690">
        <f>(AJ174*KFC!$B$22+KFC!$C$22)*KFC!$C$5</f>
        <v>220.11693245949104</v>
      </c>
      <c r="L174" s="690">
        <f>(AK174*KFC!$B$22+KFC!$C$22)*KFC!$C$5</f>
        <v>232.79441778308595</v>
      </c>
      <c r="M174" s="690">
        <f>(AL174*KFC!$B$22+KFC!$C$22)*KFC!$C$5</f>
        <v>245.47190310668086</v>
      </c>
      <c r="N174" s="690">
        <f>(AM174*KFC!$B$22+KFC!$C$22)*KFC!$C$5</f>
        <v>258.14938843027574</v>
      </c>
      <c r="O174" s="690">
        <f>(AN174*KFC!$B$22+KFC!$C$22)*KFC!$C$5</f>
        <v>270.82687375387064</v>
      </c>
      <c r="P174" s="690">
        <f>(AO174*KFC!$B$22+KFC!$C$22)*KFC!$C$5</f>
        <v>283.50435907746555</v>
      </c>
      <c r="Q174" s="690">
        <f>(AP174*KFC!$B$22+KFC!$C$22)*KFC!$C$5</f>
        <v>296.18184440106046</v>
      </c>
      <c r="R174" s="690">
        <f>(AQ174*KFC!$B$22+KFC!$C$22)*KFC!$C$5</f>
        <v>308.85932972465537</v>
      </c>
      <c r="S174" s="690">
        <f>(AR174*KFC!$B$22+KFC!$C$22)*KFC!$C$5</f>
        <v>321.53681504825028</v>
      </c>
      <c r="T174" s="690">
        <f>(AS174*KFC!$B$22+KFC!$C$22)*KFC!$C$5</f>
        <v>334.21430037184518</v>
      </c>
      <c r="U174" s="690">
        <f>(AT174*KFC!$B$22+KFC!$C$22)*KFC!$C$5</f>
        <v>346.89178569544015</v>
      </c>
      <c r="V174" s="690">
        <f>(AU174*KFC!$B$22+KFC!$C$22)*KFC!$C$5</f>
        <v>359.56927101903506</v>
      </c>
      <c r="W174" s="690">
        <f>(AV174*KFC!$B$22+KFC!$C$22)*KFC!$C$5</f>
        <v>372.24675634263002</v>
      </c>
      <c r="X174" s="690">
        <f>(AW174*KFC!$B$22+KFC!$C$22)*KFC!$C$5</f>
        <v>384.92424166622493</v>
      </c>
      <c r="Y174" s="690">
        <f>(AX174*KFC!$B$22+KFC!$C$22)*KFC!$C$5</f>
        <v>397.60172698981989</v>
      </c>
      <c r="Z174" s="690">
        <f>(AY174*KFC!$B$22+KFC!$C$22)*KFC!$C$5</f>
        <v>410.27921231341463</v>
      </c>
      <c r="AB174" s="771">
        <v>118.69704987073177</v>
      </c>
      <c r="AC174" s="772">
        <v>131.37453519432668</v>
      </c>
      <c r="AD174" s="772">
        <v>144.05202051792159</v>
      </c>
      <c r="AE174" s="772">
        <v>156.7295058415165</v>
      </c>
      <c r="AF174" s="772">
        <v>169.40699116511141</v>
      </c>
      <c r="AG174" s="772">
        <v>182.08447648870631</v>
      </c>
      <c r="AH174" s="772">
        <v>194.76196181230122</v>
      </c>
      <c r="AI174" s="772">
        <v>207.43944713589613</v>
      </c>
      <c r="AJ174" s="772">
        <v>220.11693245949104</v>
      </c>
      <c r="AK174" s="772">
        <v>232.79441778308595</v>
      </c>
      <c r="AL174" s="772">
        <v>245.47190310668086</v>
      </c>
      <c r="AM174" s="772">
        <v>258.14938843027574</v>
      </c>
      <c r="AN174" s="772">
        <v>270.82687375387064</v>
      </c>
      <c r="AO174" s="772">
        <v>283.50435907746555</v>
      </c>
      <c r="AP174" s="772">
        <v>296.18184440106046</v>
      </c>
      <c r="AQ174" s="772">
        <v>308.85932972465537</v>
      </c>
      <c r="AR174" s="772">
        <v>321.53681504825028</v>
      </c>
      <c r="AS174" s="772">
        <v>334.21430037184518</v>
      </c>
      <c r="AT174" s="772">
        <v>346.89178569544015</v>
      </c>
      <c r="AU174" s="772">
        <v>359.56927101903506</v>
      </c>
      <c r="AV174" s="772">
        <v>372.24675634263002</v>
      </c>
      <c r="AW174" s="772">
        <v>384.92424166622493</v>
      </c>
      <c r="AX174" s="772">
        <v>397.60172698981989</v>
      </c>
      <c r="AY174" s="773">
        <v>410.27921231341463</v>
      </c>
    </row>
    <row r="175" spans="1:51">
      <c r="A175" s="1277"/>
      <c r="B175" s="681">
        <v>3.7</v>
      </c>
      <c r="C175" s="690">
        <f>(AB175*KFC!$B$22+KFC!$C$22)*KFC!$C$5</f>
        <v>120.4589241036586</v>
      </c>
      <c r="D175" s="690">
        <f>(AC175*KFC!$B$22+KFC!$C$22)*KFC!$C$5</f>
        <v>133.38868380858966</v>
      </c>
      <c r="E175" s="690">
        <f>(AD175*KFC!$B$22+KFC!$C$22)*KFC!$C$5</f>
        <v>146.31844351352072</v>
      </c>
      <c r="F175" s="690">
        <f>(AE175*KFC!$B$22+KFC!$C$22)*KFC!$C$5</f>
        <v>159.24820321845178</v>
      </c>
      <c r="G175" s="690">
        <f>(AF175*KFC!$B$22+KFC!$C$22)*KFC!$C$5</f>
        <v>172.17796292338286</v>
      </c>
      <c r="H175" s="690">
        <f>(AG175*KFC!$B$22+KFC!$C$22)*KFC!$C$5</f>
        <v>185.10772262831395</v>
      </c>
      <c r="I175" s="690">
        <f>(AH175*KFC!$B$22+KFC!$C$22)*KFC!$C$5</f>
        <v>198.03748233324501</v>
      </c>
      <c r="J175" s="690">
        <f>(AI175*KFC!$B$22+KFC!$C$22)*KFC!$C$5</f>
        <v>210.9672420381761</v>
      </c>
      <c r="K175" s="690">
        <f>(AJ175*KFC!$B$22+KFC!$C$22)*KFC!$C$5</f>
        <v>223.89700174310718</v>
      </c>
      <c r="L175" s="690">
        <f>(AK175*KFC!$B$22+KFC!$C$22)*KFC!$C$5</f>
        <v>236.82676144803824</v>
      </c>
      <c r="M175" s="690">
        <f>(AL175*KFC!$B$22+KFC!$C$22)*KFC!$C$5</f>
        <v>249.75652115296933</v>
      </c>
      <c r="N175" s="690">
        <f>(AM175*KFC!$B$22+KFC!$C$22)*KFC!$C$5</f>
        <v>262.68628085790039</v>
      </c>
      <c r="O175" s="690">
        <f>(AN175*KFC!$B$22+KFC!$C$22)*KFC!$C$5</f>
        <v>275.61604056283147</v>
      </c>
      <c r="P175" s="690">
        <f>(AO175*KFC!$B$22+KFC!$C$22)*KFC!$C$5</f>
        <v>288.54580026776256</v>
      </c>
      <c r="Q175" s="690">
        <f>(AP175*KFC!$B$22+KFC!$C$22)*KFC!$C$5</f>
        <v>301.47555997269365</v>
      </c>
      <c r="R175" s="690">
        <f>(AQ175*KFC!$B$22+KFC!$C$22)*KFC!$C$5</f>
        <v>314.40531967762473</v>
      </c>
      <c r="S175" s="690">
        <f>(AR175*KFC!$B$22+KFC!$C$22)*KFC!$C$5</f>
        <v>327.33507938255582</v>
      </c>
      <c r="T175" s="690">
        <f>(AS175*KFC!$B$22+KFC!$C$22)*KFC!$C$5</f>
        <v>340.26483908748685</v>
      </c>
      <c r="U175" s="690">
        <f>(AT175*KFC!$B$22+KFC!$C$22)*KFC!$C$5</f>
        <v>353.19459879241788</v>
      </c>
      <c r="V175" s="690">
        <f>(AU175*KFC!$B$22+KFC!$C$22)*KFC!$C$5</f>
        <v>366.12435849734891</v>
      </c>
      <c r="W175" s="690">
        <f>(AV175*KFC!$B$22+KFC!$C$22)*KFC!$C$5</f>
        <v>379.05411820227994</v>
      </c>
      <c r="X175" s="690">
        <f>(AW175*KFC!$B$22+KFC!$C$22)*KFC!$C$5</f>
        <v>391.98387790721102</v>
      </c>
      <c r="Y175" s="690">
        <f>(AX175*KFC!$B$22+KFC!$C$22)*KFC!$C$5</f>
        <v>404.91363761214205</v>
      </c>
      <c r="Z175" s="690">
        <f>(AY175*KFC!$B$22+KFC!$C$22)*KFC!$C$5</f>
        <v>417.84339731707314</v>
      </c>
      <c r="AB175" s="771">
        <v>120.4589241036586</v>
      </c>
      <c r="AC175" s="772">
        <v>133.38868380858966</v>
      </c>
      <c r="AD175" s="772">
        <v>146.31844351352072</v>
      </c>
      <c r="AE175" s="772">
        <v>159.24820321845178</v>
      </c>
      <c r="AF175" s="772">
        <v>172.17796292338286</v>
      </c>
      <c r="AG175" s="772">
        <v>185.10772262831395</v>
      </c>
      <c r="AH175" s="772">
        <v>198.03748233324501</v>
      </c>
      <c r="AI175" s="772">
        <v>210.9672420381761</v>
      </c>
      <c r="AJ175" s="772">
        <v>223.89700174310718</v>
      </c>
      <c r="AK175" s="772">
        <v>236.82676144803824</v>
      </c>
      <c r="AL175" s="772">
        <v>249.75652115296933</v>
      </c>
      <c r="AM175" s="772">
        <v>262.68628085790039</v>
      </c>
      <c r="AN175" s="772">
        <v>275.61604056283147</v>
      </c>
      <c r="AO175" s="772">
        <v>288.54580026776256</v>
      </c>
      <c r="AP175" s="772">
        <v>301.47555997269365</v>
      </c>
      <c r="AQ175" s="772">
        <v>314.40531967762473</v>
      </c>
      <c r="AR175" s="772">
        <v>327.33507938255582</v>
      </c>
      <c r="AS175" s="772">
        <v>340.26483908748685</v>
      </c>
      <c r="AT175" s="772">
        <v>353.19459879241788</v>
      </c>
      <c r="AU175" s="772">
        <v>366.12435849734891</v>
      </c>
      <c r="AV175" s="772">
        <v>379.05411820227994</v>
      </c>
      <c r="AW175" s="772">
        <v>391.98387790721102</v>
      </c>
      <c r="AX175" s="772">
        <v>404.91363761214205</v>
      </c>
      <c r="AY175" s="773">
        <v>417.84339731707314</v>
      </c>
    </row>
    <row r="176" spans="1:51">
      <c r="A176" s="1277"/>
      <c r="B176" s="681">
        <v>3.8</v>
      </c>
      <c r="C176" s="690">
        <f>(AB176*KFC!$B$22+KFC!$C$22)*KFC!$C$5</f>
        <v>122.22079833658545</v>
      </c>
      <c r="D176" s="690">
        <f>(AC176*KFC!$B$22+KFC!$C$22)*KFC!$C$5</f>
        <v>135.40283242285267</v>
      </c>
      <c r="E176" s="690">
        <f>(AD176*KFC!$B$22+KFC!$C$22)*KFC!$C$5</f>
        <v>148.58486650911991</v>
      </c>
      <c r="F176" s="690">
        <f>(AE176*KFC!$B$22+KFC!$C$22)*KFC!$C$5</f>
        <v>161.76690059538714</v>
      </c>
      <c r="G176" s="690">
        <f>(AF176*KFC!$B$22+KFC!$C$22)*KFC!$C$5</f>
        <v>174.94893468165435</v>
      </c>
      <c r="H176" s="690">
        <f>(AG176*KFC!$B$22+KFC!$C$22)*KFC!$C$5</f>
        <v>188.13096876792156</v>
      </c>
      <c r="I176" s="690">
        <f>(AH176*KFC!$B$22+KFC!$C$22)*KFC!$C$5</f>
        <v>201.31300285418877</v>
      </c>
      <c r="J176" s="690">
        <f>(AI176*KFC!$B$22+KFC!$C$22)*KFC!$C$5</f>
        <v>214.49503694045598</v>
      </c>
      <c r="K176" s="690">
        <f>(AJ176*KFC!$B$22+KFC!$C$22)*KFC!$C$5</f>
        <v>227.67707102672321</v>
      </c>
      <c r="L176" s="690">
        <f>(AK176*KFC!$B$22+KFC!$C$22)*KFC!$C$5</f>
        <v>240.85910511299042</v>
      </c>
      <c r="M176" s="690">
        <f>(AL176*KFC!$B$22+KFC!$C$22)*KFC!$C$5</f>
        <v>254.04113919925763</v>
      </c>
      <c r="N176" s="690">
        <f>(AM176*KFC!$B$22+KFC!$C$22)*KFC!$C$5</f>
        <v>267.22317328552487</v>
      </c>
      <c r="O176" s="690">
        <f>(AN176*KFC!$B$22+KFC!$C$22)*KFC!$C$5</f>
        <v>280.40520737179207</v>
      </c>
      <c r="P176" s="690">
        <f>(AO176*KFC!$B$22+KFC!$C$22)*KFC!$C$5</f>
        <v>293.58724145805928</v>
      </c>
      <c r="Q176" s="690">
        <f>(AP176*KFC!$B$22+KFC!$C$22)*KFC!$C$5</f>
        <v>306.76927554432649</v>
      </c>
      <c r="R176" s="690">
        <f>(AQ176*KFC!$B$22+KFC!$C$22)*KFC!$C$5</f>
        <v>319.9513096305937</v>
      </c>
      <c r="S176" s="690">
        <f>(AR176*KFC!$B$22+KFC!$C$22)*KFC!$C$5</f>
        <v>333.13334371686091</v>
      </c>
      <c r="T176" s="690">
        <f>(AS176*KFC!$B$22+KFC!$C$22)*KFC!$C$5</f>
        <v>346.31537780312811</v>
      </c>
      <c r="U176" s="690">
        <f>(AT176*KFC!$B$22+KFC!$C$22)*KFC!$C$5</f>
        <v>359.49741188939532</v>
      </c>
      <c r="V176" s="690">
        <f>(AU176*KFC!$B$22+KFC!$C$22)*KFC!$C$5</f>
        <v>372.67944597566253</v>
      </c>
      <c r="W176" s="690">
        <f>(AV176*KFC!$B$22+KFC!$C$22)*KFC!$C$5</f>
        <v>385.86148006192974</v>
      </c>
      <c r="X176" s="690">
        <f>(AW176*KFC!$B$22+KFC!$C$22)*KFC!$C$5</f>
        <v>399.04351414819695</v>
      </c>
      <c r="Y176" s="690">
        <f>(AX176*KFC!$B$22+KFC!$C$22)*KFC!$C$5</f>
        <v>412.22554823446416</v>
      </c>
      <c r="Z176" s="690">
        <f>(AY176*KFC!$B$22+KFC!$C$22)*KFC!$C$5</f>
        <v>425.40758232073171</v>
      </c>
      <c r="AB176" s="771">
        <v>122.22079833658545</v>
      </c>
      <c r="AC176" s="772">
        <v>135.40283242285267</v>
      </c>
      <c r="AD176" s="772">
        <v>148.58486650911991</v>
      </c>
      <c r="AE176" s="772">
        <v>161.76690059538714</v>
      </c>
      <c r="AF176" s="772">
        <v>174.94893468165435</v>
      </c>
      <c r="AG176" s="772">
        <v>188.13096876792156</v>
      </c>
      <c r="AH176" s="772">
        <v>201.31300285418877</v>
      </c>
      <c r="AI176" s="772">
        <v>214.49503694045598</v>
      </c>
      <c r="AJ176" s="772">
        <v>227.67707102672321</v>
      </c>
      <c r="AK176" s="772">
        <v>240.85910511299042</v>
      </c>
      <c r="AL176" s="772">
        <v>254.04113919925763</v>
      </c>
      <c r="AM176" s="772">
        <v>267.22317328552487</v>
      </c>
      <c r="AN176" s="772">
        <v>280.40520737179207</v>
      </c>
      <c r="AO176" s="772">
        <v>293.58724145805928</v>
      </c>
      <c r="AP176" s="772">
        <v>306.76927554432649</v>
      </c>
      <c r="AQ176" s="772">
        <v>319.9513096305937</v>
      </c>
      <c r="AR176" s="772">
        <v>333.13334371686091</v>
      </c>
      <c r="AS176" s="772">
        <v>346.31537780312811</v>
      </c>
      <c r="AT176" s="772">
        <v>359.49741188939532</v>
      </c>
      <c r="AU176" s="772">
        <v>372.67944597566253</v>
      </c>
      <c r="AV176" s="772">
        <v>385.86148006192974</v>
      </c>
      <c r="AW176" s="772">
        <v>399.04351414819695</v>
      </c>
      <c r="AX176" s="772">
        <v>412.22554823446416</v>
      </c>
      <c r="AY176" s="773">
        <v>425.40758232073171</v>
      </c>
    </row>
    <row r="177" spans="1:51">
      <c r="A177" s="1277"/>
      <c r="B177" s="681">
        <v>3.9</v>
      </c>
      <c r="C177" s="690">
        <f>(AB177*KFC!$B$22+KFC!$C$22)*KFC!$C$5</f>
        <v>123.98267256951227</v>
      </c>
      <c r="D177" s="690">
        <f>(AC177*KFC!$B$22+KFC!$C$22)*KFC!$C$5</f>
        <v>137.41698103711565</v>
      </c>
      <c r="E177" s="690">
        <f>(AD177*KFC!$B$22+KFC!$C$22)*KFC!$C$5</f>
        <v>150.85128950471903</v>
      </c>
      <c r="F177" s="690">
        <f>(AE177*KFC!$B$22+KFC!$C$22)*KFC!$C$5</f>
        <v>164.28559797232242</v>
      </c>
      <c r="G177" s="690">
        <f>(AF177*KFC!$B$22+KFC!$C$22)*KFC!$C$5</f>
        <v>177.71990643992584</v>
      </c>
      <c r="H177" s="690">
        <f>(AG177*KFC!$B$22+KFC!$C$22)*KFC!$C$5</f>
        <v>191.15421490752922</v>
      </c>
      <c r="I177" s="690">
        <f>(AH177*KFC!$B$22+KFC!$C$22)*KFC!$C$5</f>
        <v>204.58852337513261</v>
      </c>
      <c r="J177" s="690">
        <f>(AI177*KFC!$B$22+KFC!$C$22)*KFC!$C$5</f>
        <v>218.022831842736</v>
      </c>
      <c r="K177" s="690">
        <f>(AJ177*KFC!$B$22+KFC!$C$22)*KFC!$C$5</f>
        <v>231.45714031033938</v>
      </c>
      <c r="L177" s="690">
        <f>(AK177*KFC!$B$22+KFC!$C$22)*KFC!$C$5</f>
        <v>244.89144877794277</v>
      </c>
      <c r="M177" s="690">
        <f>(AL177*KFC!$B$22+KFC!$C$22)*KFC!$C$5</f>
        <v>258.32575724554613</v>
      </c>
      <c r="N177" s="690">
        <f>(AM177*KFC!$B$22+KFC!$C$22)*KFC!$C$5</f>
        <v>271.76006571314952</v>
      </c>
      <c r="O177" s="690">
        <f>(AN177*KFC!$B$22+KFC!$C$22)*KFC!$C$5</f>
        <v>285.1943741807529</v>
      </c>
      <c r="P177" s="690">
        <f>(AO177*KFC!$B$22+KFC!$C$22)*KFC!$C$5</f>
        <v>298.62868264835629</v>
      </c>
      <c r="Q177" s="690">
        <f>(AP177*KFC!$B$22+KFC!$C$22)*KFC!$C$5</f>
        <v>312.06299111595968</v>
      </c>
      <c r="R177" s="690">
        <f>(AQ177*KFC!$B$22+KFC!$C$22)*KFC!$C$5</f>
        <v>325.49729958356306</v>
      </c>
      <c r="S177" s="690">
        <f>(AR177*KFC!$B$22+KFC!$C$22)*KFC!$C$5</f>
        <v>338.93160805116645</v>
      </c>
      <c r="T177" s="690">
        <f>(AS177*KFC!$B$22+KFC!$C$22)*KFC!$C$5</f>
        <v>352.36591651876984</v>
      </c>
      <c r="U177" s="690">
        <f>(AT177*KFC!$B$22+KFC!$C$22)*KFC!$C$5</f>
        <v>365.80022498637322</v>
      </c>
      <c r="V177" s="690">
        <f>(AU177*KFC!$B$22+KFC!$C$22)*KFC!$C$5</f>
        <v>379.23453345397661</v>
      </c>
      <c r="W177" s="690">
        <f>(AV177*KFC!$B$22+KFC!$C$22)*KFC!$C$5</f>
        <v>392.66884192158</v>
      </c>
      <c r="X177" s="690">
        <f>(AW177*KFC!$B$22+KFC!$C$22)*KFC!$C$5</f>
        <v>406.10315038918338</v>
      </c>
      <c r="Y177" s="690">
        <f>(AX177*KFC!$B$22+KFC!$C$22)*KFC!$C$5</f>
        <v>419.53745885678677</v>
      </c>
      <c r="Z177" s="690">
        <f>(AY177*KFC!$B$22+KFC!$C$22)*KFC!$C$5</f>
        <v>432.97176732439021</v>
      </c>
      <c r="AB177" s="771">
        <v>123.98267256951227</v>
      </c>
      <c r="AC177" s="772">
        <v>137.41698103711565</v>
      </c>
      <c r="AD177" s="772">
        <v>150.85128950471903</v>
      </c>
      <c r="AE177" s="772">
        <v>164.28559797232242</v>
      </c>
      <c r="AF177" s="772">
        <v>177.71990643992584</v>
      </c>
      <c r="AG177" s="772">
        <v>191.15421490752922</v>
      </c>
      <c r="AH177" s="772">
        <v>204.58852337513261</v>
      </c>
      <c r="AI177" s="772">
        <v>218.022831842736</v>
      </c>
      <c r="AJ177" s="772">
        <v>231.45714031033938</v>
      </c>
      <c r="AK177" s="772">
        <v>244.89144877794277</v>
      </c>
      <c r="AL177" s="772">
        <v>258.32575724554613</v>
      </c>
      <c r="AM177" s="772">
        <v>271.76006571314952</v>
      </c>
      <c r="AN177" s="772">
        <v>285.1943741807529</v>
      </c>
      <c r="AO177" s="772">
        <v>298.62868264835629</v>
      </c>
      <c r="AP177" s="772">
        <v>312.06299111595968</v>
      </c>
      <c r="AQ177" s="772">
        <v>325.49729958356306</v>
      </c>
      <c r="AR177" s="772">
        <v>338.93160805116645</v>
      </c>
      <c r="AS177" s="772">
        <v>352.36591651876984</v>
      </c>
      <c r="AT177" s="772">
        <v>365.80022498637322</v>
      </c>
      <c r="AU177" s="772">
        <v>379.23453345397661</v>
      </c>
      <c r="AV177" s="772">
        <v>392.66884192158</v>
      </c>
      <c r="AW177" s="772">
        <v>406.10315038918338</v>
      </c>
      <c r="AX177" s="772">
        <v>419.53745885678677</v>
      </c>
      <c r="AY177" s="773">
        <v>432.97176732439021</v>
      </c>
    </row>
    <row r="178" spans="1:51">
      <c r="A178" s="1277"/>
      <c r="B178" s="681">
        <v>4</v>
      </c>
      <c r="C178" s="690">
        <f>(AB178*KFC!$B$22+KFC!$C$22)*KFC!$C$5</f>
        <v>125.7445468024391</v>
      </c>
      <c r="D178" s="690">
        <f>(AC178*KFC!$B$22+KFC!$C$22)*KFC!$C$5</f>
        <v>139.43112965137865</v>
      </c>
      <c r="E178" s="690">
        <f>(AD178*KFC!$B$22+KFC!$C$22)*KFC!$C$5</f>
        <v>153.11771250031822</v>
      </c>
      <c r="F178" s="690">
        <f>(AE178*KFC!$B$22+KFC!$C$22)*KFC!$C$5</f>
        <v>166.80429534925779</v>
      </c>
      <c r="G178" s="690">
        <f>(AF178*KFC!$B$22+KFC!$C$22)*KFC!$C$5</f>
        <v>180.49087819819732</v>
      </c>
      <c r="H178" s="690">
        <f>(AG178*KFC!$B$22+KFC!$C$22)*KFC!$C$5</f>
        <v>194.17746104713689</v>
      </c>
      <c r="I178" s="690">
        <f>(AH178*KFC!$B$22+KFC!$C$22)*KFC!$C$5</f>
        <v>207.86404389607642</v>
      </c>
      <c r="J178" s="690">
        <f>(AI178*KFC!$B$22+KFC!$C$22)*KFC!$C$5</f>
        <v>221.55062674501599</v>
      </c>
      <c r="K178" s="690">
        <f>(AJ178*KFC!$B$22+KFC!$C$22)*KFC!$C$5</f>
        <v>235.23720959395555</v>
      </c>
      <c r="L178" s="690">
        <f>(AK178*KFC!$B$22+KFC!$C$22)*KFC!$C$5</f>
        <v>248.92379244289512</v>
      </c>
      <c r="M178" s="690">
        <f>(AL178*KFC!$B$22+KFC!$C$22)*KFC!$C$5</f>
        <v>262.61037529183466</v>
      </c>
      <c r="N178" s="690">
        <f>(AM178*KFC!$B$22+KFC!$C$22)*KFC!$C$5</f>
        <v>276.29695814077422</v>
      </c>
      <c r="O178" s="690">
        <f>(AN178*KFC!$B$22+KFC!$C$22)*KFC!$C$5</f>
        <v>289.98354098971379</v>
      </c>
      <c r="P178" s="690">
        <f>(AO178*KFC!$B$22+KFC!$C$22)*KFC!$C$5</f>
        <v>303.67012383865335</v>
      </c>
      <c r="Q178" s="690">
        <f>(AP178*KFC!$B$22+KFC!$C$22)*KFC!$C$5</f>
        <v>317.35670668759292</v>
      </c>
      <c r="R178" s="690">
        <f>(AQ178*KFC!$B$22+KFC!$C$22)*KFC!$C$5</f>
        <v>331.04328953653248</v>
      </c>
      <c r="S178" s="690">
        <f>(AR178*KFC!$B$22+KFC!$C$22)*KFC!$C$5</f>
        <v>344.72987238547199</v>
      </c>
      <c r="T178" s="690">
        <f>(AS178*KFC!$B$22+KFC!$C$22)*KFC!$C$5</f>
        <v>358.41645523441156</v>
      </c>
      <c r="U178" s="690">
        <f>(AT178*KFC!$B$22+KFC!$C$22)*KFC!$C$5</f>
        <v>372.10303808335112</v>
      </c>
      <c r="V178" s="690">
        <f>(AU178*KFC!$B$22+KFC!$C$22)*KFC!$C$5</f>
        <v>385.78962093229069</v>
      </c>
      <c r="W178" s="690">
        <f>(AV178*KFC!$B$22+KFC!$C$22)*KFC!$C$5</f>
        <v>399.47620378123025</v>
      </c>
      <c r="X178" s="690">
        <f>(AW178*KFC!$B$22+KFC!$C$22)*KFC!$C$5</f>
        <v>413.16278663016982</v>
      </c>
      <c r="Y178" s="690">
        <f>(AX178*KFC!$B$22+KFC!$C$22)*KFC!$C$5</f>
        <v>426.84936947910938</v>
      </c>
      <c r="Z178" s="690">
        <f>(AY178*KFC!$B$22+KFC!$C$22)*KFC!$C$5</f>
        <v>440.53595232804878</v>
      </c>
      <c r="AB178" s="771">
        <v>125.7445468024391</v>
      </c>
      <c r="AC178" s="772">
        <v>139.43112965137865</v>
      </c>
      <c r="AD178" s="772">
        <v>153.11771250031822</v>
      </c>
      <c r="AE178" s="772">
        <v>166.80429534925779</v>
      </c>
      <c r="AF178" s="772">
        <v>180.49087819819732</v>
      </c>
      <c r="AG178" s="772">
        <v>194.17746104713689</v>
      </c>
      <c r="AH178" s="772">
        <v>207.86404389607642</v>
      </c>
      <c r="AI178" s="772">
        <v>221.55062674501599</v>
      </c>
      <c r="AJ178" s="772">
        <v>235.23720959395555</v>
      </c>
      <c r="AK178" s="772">
        <v>248.92379244289512</v>
      </c>
      <c r="AL178" s="772">
        <v>262.61037529183466</v>
      </c>
      <c r="AM178" s="772">
        <v>276.29695814077422</v>
      </c>
      <c r="AN178" s="772">
        <v>289.98354098971379</v>
      </c>
      <c r="AO178" s="772">
        <v>303.67012383865335</v>
      </c>
      <c r="AP178" s="772">
        <v>317.35670668759292</v>
      </c>
      <c r="AQ178" s="772">
        <v>331.04328953653248</v>
      </c>
      <c r="AR178" s="772">
        <v>344.72987238547199</v>
      </c>
      <c r="AS178" s="772">
        <v>358.41645523441156</v>
      </c>
      <c r="AT178" s="772">
        <v>372.10303808335112</v>
      </c>
      <c r="AU178" s="772">
        <v>385.78962093229069</v>
      </c>
      <c r="AV178" s="772">
        <v>399.47620378123025</v>
      </c>
      <c r="AW178" s="772">
        <v>413.16278663016982</v>
      </c>
      <c r="AX178" s="772">
        <v>426.84936947910938</v>
      </c>
      <c r="AY178" s="773">
        <v>440.53595232804878</v>
      </c>
    </row>
    <row r="179" spans="1:51">
      <c r="A179" s="1277"/>
      <c r="B179" s="681">
        <v>4.0999999999999996</v>
      </c>
      <c r="C179" s="690">
        <f>(AB179*KFC!$B$22+KFC!$C$22)*KFC!$C$5</f>
        <v>127.50642103536595</v>
      </c>
      <c r="D179" s="690">
        <f>(AC179*KFC!$B$22+KFC!$C$22)*KFC!$C$5</f>
        <v>141.44527826564166</v>
      </c>
      <c r="E179" s="690">
        <f>(AD179*KFC!$B$22+KFC!$C$22)*KFC!$C$5</f>
        <v>155.38413549591738</v>
      </c>
      <c r="F179" s="690">
        <f>(AE179*KFC!$B$22+KFC!$C$22)*KFC!$C$5</f>
        <v>169.32299272619306</v>
      </c>
      <c r="G179" s="690">
        <f>(AF179*KFC!$B$22+KFC!$C$22)*KFC!$C$5</f>
        <v>183.26184995646881</v>
      </c>
      <c r="H179" s="690">
        <f>(AG179*KFC!$B$22+KFC!$C$22)*KFC!$C$5</f>
        <v>197.20070718674455</v>
      </c>
      <c r="I179" s="690">
        <f>(AH179*KFC!$B$22+KFC!$C$22)*KFC!$C$5</f>
        <v>211.13956441702027</v>
      </c>
      <c r="J179" s="690">
        <f>(AI179*KFC!$B$22+KFC!$C$22)*KFC!$C$5</f>
        <v>225.07842164729601</v>
      </c>
      <c r="K179" s="690">
        <f>(AJ179*KFC!$B$22+KFC!$C$22)*KFC!$C$5</f>
        <v>239.01727887757173</v>
      </c>
      <c r="L179" s="690">
        <f>(AK179*KFC!$B$22+KFC!$C$22)*KFC!$C$5</f>
        <v>252.95613610784747</v>
      </c>
      <c r="M179" s="690">
        <f>(AL179*KFC!$B$22+KFC!$C$22)*KFC!$C$5</f>
        <v>266.89499333812319</v>
      </c>
      <c r="N179" s="690">
        <f>(AM179*KFC!$B$22+KFC!$C$22)*KFC!$C$5</f>
        <v>280.83385056839893</v>
      </c>
      <c r="O179" s="690">
        <f>(AN179*KFC!$B$22+KFC!$C$22)*KFC!$C$5</f>
        <v>294.77270779867467</v>
      </c>
      <c r="P179" s="690">
        <f>(AO179*KFC!$B$22+KFC!$C$22)*KFC!$C$5</f>
        <v>308.71156502895036</v>
      </c>
      <c r="Q179" s="690">
        <f>(AP179*KFC!$B$22+KFC!$C$22)*KFC!$C$5</f>
        <v>322.6504222592261</v>
      </c>
      <c r="R179" s="690">
        <f>(AQ179*KFC!$B$22+KFC!$C$22)*KFC!$C$5</f>
        <v>336.58927948950185</v>
      </c>
      <c r="S179" s="690">
        <f>(AR179*KFC!$B$22+KFC!$C$22)*KFC!$C$5</f>
        <v>350.52813671977759</v>
      </c>
      <c r="T179" s="690">
        <f>(AS179*KFC!$B$22+KFC!$C$22)*KFC!$C$5</f>
        <v>364.46699395005328</v>
      </c>
      <c r="U179" s="690">
        <f>(AT179*KFC!$B$22+KFC!$C$22)*KFC!$C$5</f>
        <v>378.40585118032902</v>
      </c>
      <c r="V179" s="690">
        <f>(AU179*KFC!$B$22+KFC!$C$22)*KFC!$C$5</f>
        <v>392.34470841060477</v>
      </c>
      <c r="W179" s="690">
        <f>(AV179*KFC!$B$22+KFC!$C$22)*KFC!$C$5</f>
        <v>406.28356564088051</v>
      </c>
      <c r="X179" s="690">
        <f>(AW179*KFC!$B$22+KFC!$C$22)*KFC!$C$5</f>
        <v>420.2224228711562</v>
      </c>
      <c r="Y179" s="690">
        <f>(AX179*KFC!$B$22+KFC!$C$22)*KFC!$C$5</f>
        <v>434.16128010143194</v>
      </c>
      <c r="Z179" s="690">
        <f>(AY179*KFC!$B$22+KFC!$C$22)*KFC!$C$5</f>
        <v>448.10013733170729</v>
      </c>
      <c r="AB179" s="771">
        <v>127.50642103536595</v>
      </c>
      <c r="AC179" s="772">
        <v>141.44527826564166</v>
      </c>
      <c r="AD179" s="772">
        <v>155.38413549591738</v>
      </c>
      <c r="AE179" s="772">
        <v>169.32299272619306</v>
      </c>
      <c r="AF179" s="772">
        <v>183.26184995646881</v>
      </c>
      <c r="AG179" s="772">
        <v>197.20070718674455</v>
      </c>
      <c r="AH179" s="772">
        <v>211.13956441702027</v>
      </c>
      <c r="AI179" s="772">
        <v>225.07842164729601</v>
      </c>
      <c r="AJ179" s="772">
        <v>239.01727887757173</v>
      </c>
      <c r="AK179" s="772">
        <v>252.95613610784747</v>
      </c>
      <c r="AL179" s="772">
        <v>266.89499333812319</v>
      </c>
      <c r="AM179" s="772">
        <v>280.83385056839893</v>
      </c>
      <c r="AN179" s="772">
        <v>294.77270779867467</v>
      </c>
      <c r="AO179" s="772">
        <v>308.71156502895036</v>
      </c>
      <c r="AP179" s="772">
        <v>322.6504222592261</v>
      </c>
      <c r="AQ179" s="772">
        <v>336.58927948950185</v>
      </c>
      <c r="AR179" s="772">
        <v>350.52813671977759</v>
      </c>
      <c r="AS179" s="772">
        <v>364.46699395005328</v>
      </c>
      <c r="AT179" s="772">
        <v>378.40585118032902</v>
      </c>
      <c r="AU179" s="772">
        <v>392.34470841060477</v>
      </c>
      <c r="AV179" s="772">
        <v>406.28356564088051</v>
      </c>
      <c r="AW179" s="772">
        <v>420.2224228711562</v>
      </c>
      <c r="AX179" s="772">
        <v>434.16128010143194</v>
      </c>
      <c r="AY179" s="773">
        <v>448.10013733170729</v>
      </c>
    </row>
    <row r="180" spans="1:51">
      <c r="A180" s="1277"/>
      <c r="B180" s="681">
        <v>4.2</v>
      </c>
      <c r="C180" s="690">
        <f>(AB180*KFC!$B$22+KFC!$C$22)*KFC!$C$5</f>
        <v>129.26829526829277</v>
      </c>
      <c r="D180" s="690">
        <f>(AC180*KFC!$B$22+KFC!$C$22)*KFC!$C$5</f>
        <v>143.45942687990464</v>
      </c>
      <c r="E180" s="690">
        <f>(AD180*KFC!$B$22+KFC!$C$22)*KFC!$C$5</f>
        <v>157.65055849151651</v>
      </c>
      <c r="F180" s="690">
        <f>(AE180*KFC!$B$22+KFC!$C$22)*KFC!$C$5</f>
        <v>171.8416901031284</v>
      </c>
      <c r="G180" s="690">
        <f>(AF180*KFC!$B$22+KFC!$C$22)*KFC!$C$5</f>
        <v>186.03282171474027</v>
      </c>
      <c r="H180" s="690">
        <f>(AG180*KFC!$B$22+KFC!$C$22)*KFC!$C$5</f>
        <v>200.22395332635213</v>
      </c>
      <c r="I180" s="690">
        <f>(AH180*KFC!$B$22+KFC!$C$22)*KFC!$C$5</f>
        <v>214.415084937964</v>
      </c>
      <c r="J180" s="690">
        <f>(AI180*KFC!$B$22+KFC!$C$22)*KFC!$C$5</f>
        <v>228.60621654957586</v>
      </c>
      <c r="K180" s="690">
        <f>(AJ180*KFC!$B$22+KFC!$C$22)*KFC!$C$5</f>
        <v>242.79734816118773</v>
      </c>
      <c r="L180" s="690">
        <f>(AK180*KFC!$B$22+KFC!$C$22)*KFC!$C$5</f>
        <v>256.98847977279956</v>
      </c>
      <c r="M180" s="690">
        <f>(AL180*KFC!$B$22+KFC!$C$22)*KFC!$C$5</f>
        <v>271.17961138441143</v>
      </c>
      <c r="N180" s="690">
        <f>(AM180*KFC!$B$22+KFC!$C$22)*KFC!$C$5</f>
        <v>285.3707429960233</v>
      </c>
      <c r="O180" s="690">
        <f>(AN180*KFC!$B$22+KFC!$C$22)*KFC!$C$5</f>
        <v>299.56187460763516</v>
      </c>
      <c r="P180" s="690">
        <f>(AO180*KFC!$B$22+KFC!$C$22)*KFC!$C$5</f>
        <v>313.75300621924703</v>
      </c>
      <c r="Q180" s="690">
        <f>(AP180*KFC!$B$22+KFC!$C$22)*KFC!$C$5</f>
        <v>327.94413783085889</v>
      </c>
      <c r="R180" s="690">
        <f>(AQ180*KFC!$B$22+KFC!$C$22)*KFC!$C$5</f>
        <v>342.13526944247076</v>
      </c>
      <c r="S180" s="690">
        <f>(AR180*KFC!$B$22+KFC!$C$22)*KFC!$C$5</f>
        <v>356.32640105408268</v>
      </c>
      <c r="T180" s="690">
        <f>(AS180*KFC!$B$22+KFC!$C$22)*KFC!$C$5</f>
        <v>370.5175326656946</v>
      </c>
      <c r="U180" s="690">
        <f>(AT180*KFC!$B$22+KFC!$C$22)*KFC!$C$5</f>
        <v>384.70866427730647</v>
      </c>
      <c r="V180" s="690">
        <f>(AU180*KFC!$B$22+KFC!$C$22)*KFC!$C$5</f>
        <v>398.89979588891839</v>
      </c>
      <c r="W180" s="690">
        <f>(AV180*KFC!$B$22+KFC!$C$22)*KFC!$C$5</f>
        <v>413.09092750053031</v>
      </c>
      <c r="X180" s="690">
        <f>(AW180*KFC!$B$22+KFC!$C$22)*KFC!$C$5</f>
        <v>427.28205911214218</v>
      </c>
      <c r="Y180" s="690">
        <f>(AX180*KFC!$B$22+KFC!$C$22)*KFC!$C$5</f>
        <v>441.4731907237541</v>
      </c>
      <c r="Z180" s="690">
        <f>(AY180*KFC!$B$22+KFC!$C$22)*KFC!$C$5</f>
        <v>455.66432233536585</v>
      </c>
      <c r="AB180" s="771">
        <v>129.26829526829277</v>
      </c>
      <c r="AC180" s="772">
        <v>143.45942687990464</v>
      </c>
      <c r="AD180" s="772">
        <v>157.65055849151651</v>
      </c>
      <c r="AE180" s="772">
        <v>171.8416901031284</v>
      </c>
      <c r="AF180" s="772">
        <v>186.03282171474027</v>
      </c>
      <c r="AG180" s="772">
        <v>200.22395332635213</v>
      </c>
      <c r="AH180" s="772">
        <v>214.415084937964</v>
      </c>
      <c r="AI180" s="772">
        <v>228.60621654957586</v>
      </c>
      <c r="AJ180" s="772">
        <v>242.79734816118773</v>
      </c>
      <c r="AK180" s="772">
        <v>256.98847977279956</v>
      </c>
      <c r="AL180" s="772">
        <v>271.17961138441143</v>
      </c>
      <c r="AM180" s="772">
        <v>285.3707429960233</v>
      </c>
      <c r="AN180" s="772">
        <v>299.56187460763516</v>
      </c>
      <c r="AO180" s="772">
        <v>313.75300621924703</v>
      </c>
      <c r="AP180" s="772">
        <v>327.94413783085889</v>
      </c>
      <c r="AQ180" s="772">
        <v>342.13526944247076</v>
      </c>
      <c r="AR180" s="772">
        <v>356.32640105408268</v>
      </c>
      <c r="AS180" s="772">
        <v>370.5175326656946</v>
      </c>
      <c r="AT180" s="772">
        <v>384.70866427730647</v>
      </c>
      <c r="AU180" s="772">
        <v>398.89979588891839</v>
      </c>
      <c r="AV180" s="772">
        <v>413.09092750053031</v>
      </c>
      <c r="AW180" s="772">
        <v>427.28205911214218</v>
      </c>
      <c r="AX180" s="772">
        <v>441.4731907237541</v>
      </c>
      <c r="AY180" s="773">
        <v>455.66432233536585</v>
      </c>
    </row>
    <row r="181" spans="1:51">
      <c r="A181" s="1277"/>
      <c r="B181" s="681">
        <v>4.3</v>
      </c>
      <c r="C181" s="690">
        <f>(AB181*KFC!$B$22+KFC!$C$22)*KFC!$C$5</f>
        <v>131.0301695012196</v>
      </c>
      <c r="D181" s="690">
        <f>(AC181*KFC!$B$22+KFC!$C$22)*KFC!$C$5</f>
        <v>145.47357549416765</v>
      </c>
      <c r="E181" s="690">
        <f>(AD181*KFC!$B$22+KFC!$C$22)*KFC!$C$5</f>
        <v>159.91698148711569</v>
      </c>
      <c r="F181" s="690">
        <f>(AE181*KFC!$B$22+KFC!$C$22)*KFC!$C$5</f>
        <v>174.36038748006371</v>
      </c>
      <c r="G181" s="690">
        <f>(AF181*KFC!$B$22+KFC!$C$22)*KFC!$C$5</f>
        <v>188.80379347301175</v>
      </c>
      <c r="H181" s="690">
        <f>(AG181*KFC!$B$22+KFC!$C$22)*KFC!$C$5</f>
        <v>203.2471994659598</v>
      </c>
      <c r="I181" s="690">
        <f>(AH181*KFC!$B$22+KFC!$C$22)*KFC!$C$5</f>
        <v>217.69060545890781</v>
      </c>
      <c r="J181" s="690">
        <f>(AI181*KFC!$B$22+KFC!$C$22)*KFC!$C$5</f>
        <v>232.13401145185586</v>
      </c>
      <c r="K181" s="690">
        <f>(AJ181*KFC!$B$22+KFC!$C$22)*KFC!$C$5</f>
        <v>246.5774174448039</v>
      </c>
      <c r="L181" s="690">
        <f>(AK181*KFC!$B$22+KFC!$C$22)*KFC!$C$5</f>
        <v>261.02082343775191</v>
      </c>
      <c r="M181" s="690">
        <f>(AL181*KFC!$B$22+KFC!$C$22)*KFC!$C$5</f>
        <v>275.46422943069996</v>
      </c>
      <c r="N181" s="690">
        <f>(AM181*KFC!$B$22+KFC!$C$22)*KFC!$C$5</f>
        <v>289.907635423648</v>
      </c>
      <c r="O181" s="690">
        <f>(AN181*KFC!$B$22+KFC!$C$22)*KFC!$C$5</f>
        <v>304.35104141659605</v>
      </c>
      <c r="P181" s="690">
        <f>(AO181*KFC!$B$22+KFC!$C$22)*KFC!$C$5</f>
        <v>318.79444740954409</v>
      </c>
      <c r="Q181" s="690">
        <f>(AP181*KFC!$B$22+KFC!$C$22)*KFC!$C$5</f>
        <v>333.23785340249214</v>
      </c>
      <c r="R181" s="690">
        <f>(AQ181*KFC!$B$22+KFC!$C$22)*KFC!$C$5</f>
        <v>347.68125939544018</v>
      </c>
      <c r="S181" s="690">
        <f>(AR181*KFC!$B$22+KFC!$C$22)*KFC!$C$5</f>
        <v>362.12466538838817</v>
      </c>
      <c r="T181" s="690">
        <f>(AS181*KFC!$B$22+KFC!$C$22)*KFC!$C$5</f>
        <v>376.56807138133615</v>
      </c>
      <c r="U181" s="690">
        <f>(AT181*KFC!$B$22+KFC!$C$22)*KFC!$C$5</f>
        <v>391.01147737428414</v>
      </c>
      <c r="V181" s="690">
        <f>(AU181*KFC!$B$22+KFC!$C$22)*KFC!$C$5</f>
        <v>405.45488336723218</v>
      </c>
      <c r="W181" s="690">
        <f>(AV181*KFC!$B$22+KFC!$C$22)*KFC!$C$5</f>
        <v>419.89828936018017</v>
      </c>
      <c r="X181" s="690">
        <f>(AW181*KFC!$B$22+KFC!$C$22)*KFC!$C$5</f>
        <v>434.34169535312816</v>
      </c>
      <c r="Y181" s="690">
        <f>(AX181*KFC!$B$22+KFC!$C$22)*KFC!$C$5</f>
        <v>448.78510134607615</v>
      </c>
      <c r="Z181" s="690">
        <f>(AY181*KFC!$B$22+KFC!$C$22)*KFC!$C$5</f>
        <v>463.22850733902436</v>
      </c>
      <c r="AB181" s="771">
        <v>131.0301695012196</v>
      </c>
      <c r="AC181" s="772">
        <v>145.47357549416765</v>
      </c>
      <c r="AD181" s="772">
        <v>159.91698148711569</v>
      </c>
      <c r="AE181" s="772">
        <v>174.36038748006371</v>
      </c>
      <c r="AF181" s="772">
        <v>188.80379347301175</v>
      </c>
      <c r="AG181" s="772">
        <v>203.2471994659598</v>
      </c>
      <c r="AH181" s="772">
        <v>217.69060545890781</v>
      </c>
      <c r="AI181" s="772">
        <v>232.13401145185586</v>
      </c>
      <c r="AJ181" s="772">
        <v>246.5774174448039</v>
      </c>
      <c r="AK181" s="772">
        <v>261.02082343775191</v>
      </c>
      <c r="AL181" s="772">
        <v>275.46422943069996</v>
      </c>
      <c r="AM181" s="772">
        <v>289.907635423648</v>
      </c>
      <c r="AN181" s="772">
        <v>304.35104141659605</v>
      </c>
      <c r="AO181" s="772">
        <v>318.79444740954409</v>
      </c>
      <c r="AP181" s="772">
        <v>333.23785340249214</v>
      </c>
      <c r="AQ181" s="772">
        <v>347.68125939544018</v>
      </c>
      <c r="AR181" s="772">
        <v>362.12466538838817</v>
      </c>
      <c r="AS181" s="772">
        <v>376.56807138133615</v>
      </c>
      <c r="AT181" s="772">
        <v>391.01147737428414</v>
      </c>
      <c r="AU181" s="772">
        <v>405.45488336723218</v>
      </c>
      <c r="AV181" s="772">
        <v>419.89828936018017</v>
      </c>
      <c r="AW181" s="772">
        <v>434.34169535312816</v>
      </c>
      <c r="AX181" s="772">
        <v>448.78510134607615</v>
      </c>
      <c r="AY181" s="773">
        <v>463.22850733902436</v>
      </c>
    </row>
    <row r="182" spans="1:51">
      <c r="A182" s="1277"/>
      <c r="B182" s="681">
        <v>4.4000000000000004</v>
      </c>
      <c r="C182" s="690">
        <f>(AB182*KFC!$B$22+KFC!$C$22)*KFC!$C$5</f>
        <v>132.79204373414646</v>
      </c>
      <c r="D182" s="690">
        <f>(AC182*KFC!$B$22+KFC!$C$22)*KFC!$C$5</f>
        <v>147.48772410843063</v>
      </c>
      <c r="E182" s="690">
        <f>(AD182*KFC!$B$22+KFC!$C$22)*KFC!$C$5</f>
        <v>162.18340448271482</v>
      </c>
      <c r="F182" s="690">
        <f>(AE182*KFC!$B$22+KFC!$C$22)*KFC!$C$5</f>
        <v>176.87908485699901</v>
      </c>
      <c r="G182" s="690">
        <f>(AF182*KFC!$B$22+KFC!$C$22)*KFC!$C$5</f>
        <v>191.57476523128324</v>
      </c>
      <c r="H182" s="690">
        <f>(AG182*KFC!$B$22+KFC!$C$22)*KFC!$C$5</f>
        <v>206.27044560556743</v>
      </c>
      <c r="I182" s="690">
        <f>(AH182*KFC!$B$22+KFC!$C$22)*KFC!$C$5</f>
        <v>220.96612597985165</v>
      </c>
      <c r="J182" s="690">
        <f>(AI182*KFC!$B$22+KFC!$C$22)*KFC!$C$5</f>
        <v>235.66180635413585</v>
      </c>
      <c r="K182" s="690">
        <f>(AJ182*KFC!$B$22+KFC!$C$22)*KFC!$C$5</f>
        <v>250.35748672842007</v>
      </c>
      <c r="L182" s="690">
        <f>(AK182*KFC!$B$22+KFC!$C$22)*KFC!$C$5</f>
        <v>265.05316710270426</v>
      </c>
      <c r="M182" s="690">
        <f>(AL182*KFC!$B$22+KFC!$C$22)*KFC!$C$5</f>
        <v>279.74884747698849</v>
      </c>
      <c r="N182" s="690">
        <f>(AM182*KFC!$B$22+KFC!$C$22)*KFC!$C$5</f>
        <v>294.44452785127271</v>
      </c>
      <c r="O182" s="690">
        <f>(AN182*KFC!$B$22+KFC!$C$22)*KFC!$C$5</f>
        <v>309.14020822555693</v>
      </c>
      <c r="P182" s="690">
        <f>(AO182*KFC!$B$22+KFC!$C$22)*KFC!$C$5</f>
        <v>323.8358885998411</v>
      </c>
      <c r="Q182" s="690">
        <f>(AP182*KFC!$B$22+KFC!$C$22)*KFC!$C$5</f>
        <v>338.53156897412526</v>
      </c>
      <c r="R182" s="690">
        <f>(AQ182*KFC!$B$22+KFC!$C$22)*KFC!$C$5</f>
        <v>353.22724934840949</v>
      </c>
      <c r="S182" s="690">
        <f>(AR182*KFC!$B$22+KFC!$C$22)*KFC!$C$5</f>
        <v>367.92292972269365</v>
      </c>
      <c r="T182" s="690">
        <f>(AS182*KFC!$B$22+KFC!$C$22)*KFC!$C$5</f>
        <v>382.61861009697782</v>
      </c>
      <c r="U182" s="690">
        <f>(AT182*KFC!$B$22+KFC!$C$22)*KFC!$C$5</f>
        <v>397.31429047126198</v>
      </c>
      <c r="V182" s="690">
        <f>(AU182*KFC!$B$22+KFC!$C$22)*KFC!$C$5</f>
        <v>412.00997084554615</v>
      </c>
      <c r="W182" s="690">
        <f>(AV182*KFC!$B$22+KFC!$C$22)*KFC!$C$5</f>
        <v>426.70565121983032</v>
      </c>
      <c r="X182" s="690">
        <f>(AW182*KFC!$B$22+KFC!$C$22)*KFC!$C$5</f>
        <v>441.40133159411448</v>
      </c>
      <c r="Y182" s="690">
        <f>(AX182*KFC!$B$22+KFC!$C$22)*KFC!$C$5</f>
        <v>456.09701196839865</v>
      </c>
      <c r="Z182" s="690">
        <f>(AY182*KFC!$B$22+KFC!$C$22)*KFC!$C$5</f>
        <v>470.79269234268293</v>
      </c>
      <c r="AB182" s="771">
        <v>132.79204373414646</v>
      </c>
      <c r="AC182" s="772">
        <v>147.48772410843063</v>
      </c>
      <c r="AD182" s="772">
        <v>162.18340448271482</v>
      </c>
      <c r="AE182" s="772">
        <v>176.87908485699901</v>
      </c>
      <c r="AF182" s="772">
        <v>191.57476523128324</v>
      </c>
      <c r="AG182" s="772">
        <v>206.27044560556743</v>
      </c>
      <c r="AH182" s="772">
        <v>220.96612597985165</v>
      </c>
      <c r="AI182" s="772">
        <v>235.66180635413585</v>
      </c>
      <c r="AJ182" s="772">
        <v>250.35748672842007</v>
      </c>
      <c r="AK182" s="772">
        <v>265.05316710270426</v>
      </c>
      <c r="AL182" s="772">
        <v>279.74884747698849</v>
      </c>
      <c r="AM182" s="772">
        <v>294.44452785127271</v>
      </c>
      <c r="AN182" s="772">
        <v>309.14020822555693</v>
      </c>
      <c r="AO182" s="772">
        <v>323.8358885998411</v>
      </c>
      <c r="AP182" s="772">
        <v>338.53156897412526</v>
      </c>
      <c r="AQ182" s="772">
        <v>353.22724934840949</v>
      </c>
      <c r="AR182" s="772">
        <v>367.92292972269365</v>
      </c>
      <c r="AS182" s="772">
        <v>382.61861009697782</v>
      </c>
      <c r="AT182" s="772">
        <v>397.31429047126198</v>
      </c>
      <c r="AU182" s="772">
        <v>412.00997084554615</v>
      </c>
      <c r="AV182" s="772">
        <v>426.70565121983032</v>
      </c>
      <c r="AW182" s="772">
        <v>441.40133159411448</v>
      </c>
      <c r="AX182" s="772">
        <v>456.09701196839865</v>
      </c>
      <c r="AY182" s="773">
        <v>470.79269234268293</v>
      </c>
    </row>
    <row r="183" spans="1:51">
      <c r="A183" s="1277"/>
      <c r="B183" s="681">
        <v>4.5</v>
      </c>
      <c r="C183" s="690">
        <f>(AB183*KFC!$B$22+KFC!$C$22)*KFC!$C$5</f>
        <v>134.55391796707329</v>
      </c>
      <c r="D183" s="690">
        <f>(AC183*KFC!$B$22+KFC!$C$22)*KFC!$C$5</f>
        <v>149.50187272269363</v>
      </c>
      <c r="E183" s="690">
        <f>(AD183*KFC!$B$22+KFC!$C$22)*KFC!$C$5</f>
        <v>164.44982747831398</v>
      </c>
      <c r="F183" s="690">
        <f>(AE183*KFC!$B$22+KFC!$C$22)*KFC!$C$5</f>
        <v>179.39778223393432</v>
      </c>
      <c r="G183" s="690">
        <f>(AF183*KFC!$B$22+KFC!$C$22)*KFC!$C$5</f>
        <v>194.34573698955469</v>
      </c>
      <c r="H183" s="690">
        <f>(AG183*KFC!$B$22+KFC!$C$22)*KFC!$C$5</f>
        <v>209.29369174517504</v>
      </c>
      <c r="I183" s="690">
        <f>(AH183*KFC!$B$22+KFC!$C$22)*KFC!$C$5</f>
        <v>224.24164650079538</v>
      </c>
      <c r="J183" s="690">
        <f>(AI183*KFC!$B$22+KFC!$C$22)*KFC!$C$5</f>
        <v>239.18960125641573</v>
      </c>
      <c r="K183" s="690">
        <f>(AJ183*KFC!$B$22+KFC!$C$22)*KFC!$C$5</f>
        <v>254.13755601203607</v>
      </c>
      <c r="L183" s="690">
        <f>(AK183*KFC!$B$22+KFC!$C$22)*KFC!$C$5</f>
        <v>269.08551076765639</v>
      </c>
      <c r="M183" s="690">
        <f>(AL183*KFC!$B$22+KFC!$C$22)*KFC!$C$5</f>
        <v>284.03346552327673</v>
      </c>
      <c r="N183" s="690">
        <f>(AM183*KFC!$B$22+KFC!$C$22)*KFC!$C$5</f>
        <v>298.98142027889708</v>
      </c>
      <c r="O183" s="690">
        <f>(AN183*KFC!$B$22+KFC!$C$22)*KFC!$C$5</f>
        <v>313.92937503451742</v>
      </c>
      <c r="P183" s="690">
        <f>(AO183*KFC!$B$22+KFC!$C$22)*KFC!$C$5</f>
        <v>328.87732979013776</v>
      </c>
      <c r="Q183" s="690">
        <f>(AP183*KFC!$B$22+KFC!$C$22)*KFC!$C$5</f>
        <v>343.82528454575811</v>
      </c>
      <c r="R183" s="690">
        <f>(AQ183*KFC!$B$22+KFC!$C$22)*KFC!$C$5</f>
        <v>358.77323930137845</v>
      </c>
      <c r="S183" s="690">
        <f>(AR183*KFC!$B$22+KFC!$C$22)*KFC!$C$5</f>
        <v>373.7211940569988</v>
      </c>
      <c r="T183" s="690">
        <f>(AS183*KFC!$B$22+KFC!$C$22)*KFC!$C$5</f>
        <v>388.66914881261914</v>
      </c>
      <c r="U183" s="690">
        <f>(AT183*KFC!$B$22+KFC!$C$22)*KFC!$C$5</f>
        <v>403.61710356823949</v>
      </c>
      <c r="V183" s="690">
        <f>(AU183*KFC!$B$22+KFC!$C$22)*KFC!$C$5</f>
        <v>418.56505832385983</v>
      </c>
      <c r="W183" s="690">
        <f>(AV183*KFC!$B$22+KFC!$C$22)*KFC!$C$5</f>
        <v>433.51301307948017</v>
      </c>
      <c r="X183" s="690">
        <f>(AW183*KFC!$B$22+KFC!$C$22)*KFC!$C$5</f>
        <v>448.46096783510052</v>
      </c>
      <c r="Y183" s="690">
        <f>(AX183*KFC!$B$22+KFC!$C$22)*KFC!$C$5</f>
        <v>463.40892259072086</v>
      </c>
      <c r="Z183" s="690">
        <f>(AY183*KFC!$B$22+KFC!$C$22)*KFC!$C$5</f>
        <v>478.35687734634143</v>
      </c>
      <c r="AB183" s="771">
        <v>134.55391796707329</v>
      </c>
      <c r="AC183" s="772">
        <v>149.50187272269363</v>
      </c>
      <c r="AD183" s="772">
        <v>164.44982747831398</v>
      </c>
      <c r="AE183" s="772">
        <v>179.39778223393432</v>
      </c>
      <c r="AF183" s="772">
        <v>194.34573698955469</v>
      </c>
      <c r="AG183" s="772">
        <v>209.29369174517504</v>
      </c>
      <c r="AH183" s="772">
        <v>224.24164650079538</v>
      </c>
      <c r="AI183" s="772">
        <v>239.18960125641573</v>
      </c>
      <c r="AJ183" s="772">
        <v>254.13755601203607</v>
      </c>
      <c r="AK183" s="772">
        <v>269.08551076765639</v>
      </c>
      <c r="AL183" s="772">
        <v>284.03346552327673</v>
      </c>
      <c r="AM183" s="772">
        <v>298.98142027889708</v>
      </c>
      <c r="AN183" s="772">
        <v>313.92937503451742</v>
      </c>
      <c r="AO183" s="772">
        <v>328.87732979013776</v>
      </c>
      <c r="AP183" s="772">
        <v>343.82528454575811</v>
      </c>
      <c r="AQ183" s="772">
        <v>358.77323930137845</v>
      </c>
      <c r="AR183" s="772">
        <v>373.7211940569988</v>
      </c>
      <c r="AS183" s="772">
        <v>388.66914881261914</v>
      </c>
      <c r="AT183" s="772">
        <v>403.61710356823949</v>
      </c>
      <c r="AU183" s="772">
        <v>418.56505832385983</v>
      </c>
      <c r="AV183" s="772">
        <v>433.51301307948017</v>
      </c>
      <c r="AW183" s="772">
        <v>448.46096783510052</v>
      </c>
      <c r="AX183" s="772">
        <v>463.40892259072086</v>
      </c>
      <c r="AY183" s="773">
        <v>478.35687734634143</v>
      </c>
    </row>
    <row r="184" spans="1:51" ht="13.8" thickBot="1">
      <c r="A184" s="1277"/>
      <c r="B184" s="681">
        <v>4.5999999999999996</v>
      </c>
      <c r="C184" s="690">
        <f>(AB184*KFC!$B$22+KFC!$C$22)*KFC!$C$5</f>
        <v>136.31579219999998</v>
      </c>
      <c r="D184" s="690">
        <f>(AC184*KFC!$B$22+KFC!$C$22)*KFC!$C$5</f>
        <v>151.5160213369565</v>
      </c>
      <c r="E184" s="690">
        <f>(AD184*KFC!$B$22+KFC!$C$22)*KFC!$C$5</f>
        <v>166.71625047391302</v>
      </c>
      <c r="F184" s="690">
        <f>(AE184*KFC!$B$22+KFC!$C$22)*KFC!$C$5</f>
        <v>181.91647961086954</v>
      </c>
      <c r="G184" s="690">
        <f>(AF184*KFC!$B$22+KFC!$C$22)*KFC!$C$5</f>
        <v>197.11670874782607</v>
      </c>
      <c r="H184" s="690">
        <f>(AG184*KFC!$B$22+KFC!$C$22)*KFC!$C$5</f>
        <v>212.31693788478256</v>
      </c>
      <c r="I184" s="690">
        <f>(AH184*KFC!$B$22+KFC!$C$22)*KFC!$C$5</f>
        <v>227.51716702173908</v>
      </c>
      <c r="J184" s="690">
        <f>(AI184*KFC!$B$22+KFC!$C$22)*KFC!$C$5</f>
        <v>242.71739615869561</v>
      </c>
      <c r="K184" s="690">
        <f>(AJ184*KFC!$B$22+KFC!$C$22)*KFC!$C$5</f>
        <v>257.9176252956521</v>
      </c>
      <c r="L184" s="690">
        <f>(AK184*KFC!$B$22+KFC!$C$22)*KFC!$C$5</f>
        <v>273.11785443260862</v>
      </c>
      <c r="M184" s="690">
        <f>(AL184*KFC!$B$22+KFC!$C$22)*KFC!$C$5</f>
        <v>288.31808356956515</v>
      </c>
      <c r="N184" s="690">
        <f>(AM184*KFC!$B$22+KFC!$C$22)*KFC!$C$5</f>
        <v>303.51831270652167</v>
      </c>
      <c r="O184" s="690">
        <f>(AN184*KFC!$B$22+KFC!$C$22)*KFC!$C$5</f>
        <v>318.71854184347819</v>
      </c>
      <c r="P184" s="690">
        <f>(AO184*KFC!$B$22+KFC!$C$22)*KFC!$C$5</f>
        <v>333.91877098043472</v>
      </c>
      <c r="Q184" s="690">
        <f>(AP184*KFC!$B$22+KFC!$C$22)*KFC!$C$5</f>
        <v>349.11900011739124</v>
      </c>
      <c r="R184" s="690">
        <f>(AQ184*KFC!$B$22+KFC!$C$22)*KFC!$C$5</f>
        <v>364.31922925434776</v>
      </c>
      <c r="S184" s="690">
        <f>(AR184*KFC!$B$22+KFC!$C$22)*KFC!$C$5</f>
        <v>379.51945839130428</v>
      </c>
      <c r="T184" s="690">
        <f>(AS184*KFC!$B$22+KFC!$C$22)*KFC!$C$5</f>
        <v>394.71968752826081</v>
      </c>
      <c r="U184" s="690">
        <f>(AT184*KFC!$B$22+KFC!$C$22)*KFC!$C$5</f>
        <v>409.91991666521733</v>
      </c>
      <c r="V184" s="690">
        <f>(AU184*KFC!$B$22+KFC!$C$22)*KFC!$C$5</f>
        <v>425.12014580217385</v>
      </c>
      <c r="W184" s="690">
        <f>(AV184*KFC!$B$22+KFC!$C$22)*KFC!$C$5</f>
        <v>440.32037493913037</v>
      </c>
      <c r="X184" s="690">
        <f>(AW184*KFC!$B$22+KFC!$C$22)*KFC!$C$5</f>
        <v>455.5206040760869</v>
      </c>
      <c r="Y184" s="690">
        <f>(AX184*KFC!$B$22+KFC!$C$22)*KFC!$C$5</f>
        <v>470.72083321304342</v>
      </c>
      <c r="Z184" s="690">
        <f>(AY184*KFC!$B$22+KFC!$C$22)*KFC!$C$5</f>
        <v>485.92106235</v>
      </c>
      <c r="AB184" s="774">
        <v>136.31579219999998</v>
      </c>
      <c r="AC184" s="775">
        <v>151.5160213369565</v>
      </c>
      <c r="AD184" s="775">
        <v>166.71625047391302</v>
      </c>
      <c r="AE184" s="775">
        <v>181.91647961086954</v>
      </c>
      <c r="AF184" s="775">
        <v>197.11670874782607</v>
      </c>
      <c r="AG184" s="775">
        <v>212.31693788478256</v>
      </c>
      <c r="AH184" s="775">
        <v>227.51716702173908</v>
      </c>
      <c r="AI184" s="775">
        <v>242.71739615869561</v>
      </c>
      <c r="AJ184" s="775">
        <v>257.9176252956521</v>
      </c>
      <c r="AK184" s="775">
        <v>273.11785443260862</v>
      </c>
      <c r="AL184" s="775">
        <v>288.31808356956515</v>
      </c>
      <c r="AM184" s="775">
        <v>303.51831270652167</v>
      </c>
      <c r="AN184" s="775">
        <v>318.71854184347819</v>
      </c>
      <c r="AO184" s="775">
        <v>333.91877098043472</v>
      </c>
      <c r="AP184" s="775">
        <v>349.11900011739124</v>
      </c>
      <c r="AQ184" s="775">
        <v>364.31922925434776</v>
      </c>
      <c r="AR184" s="775">
        <v>379.51945839130428</v>
      </c>
      <c r="AS184" s="775">
        <v>394.71968752826081</v>
      </c>
      <c r="AT184" s="775">
        <v>409.91991666521733</v>
      </c>
      <c r="AU184" s="775">
        <v>425.12014580217385</v>
      </c>
      <c r="AV184" s="775">
        <v>440.32037493913037</v>
      </c>
      <c r="AW184" s="775">
        <v>455.5206040760869</v>
      </c>
      <c r="AX184" s="775">
        <v>470.72083321304342</v>
      </c>
      <c r="AY184" s="776">
        <v>485.92106235</v>
      </c>
    </row>
    <row r="186" spans="1:51">
      <c r="A186" s="1749" t="s">
        <v>319</v>
      </c>
      <c r="B186" s="1749"/>
      <c r="C186" s="1732" t="s">
        <v>207</v>
      </c>
      <c r="D186" s="1732"/>
      <c r="E186" s="1732"/>
      <c r="F186" s="1732"/>
      <c r="G186" s="1732"/>
      <c r="H186" s="1732"/>
      <c r="I186" s="1732"/>
      <c r="J186" s="1732"/>
      <c r="K186" s="1732"/>
      <c r="L186" s="1732"/>
      <c r="M186" s="1732"/>
      <c r="N186" s="1732"/>
      <c r="O186" s="1732"/>
      <c r="P186" s="1732"/>
      <c r="Q186" s="1732"/>
      <c r="R186" s="1732"/>
      <c r="S186" s="1732"/>
      <c r="T186" s="1732"/>
      <c r="U186" s="1732"/>
      <c r="V186" s="1732"/>
      <c r="W186" s="1732"/>
      <c r="X186" s="1732"/>
      <c r="Y186" s="1732"/>
      <c r="Z186" s="1732"/>
    </row>
    <row r="187" spans="1:51" ht="13.8" thickBot="1">
      <c r="A187" s="1749"/>
      <c r="B187" s="1749"/>
      <c r="C187" s="681">
        <v>0.7</v>
      </c>
      <c r="D187" s="681">
        <v>0.8</v>
      </c>
      <c r="E187" s="681">
        <v>0.9</v>
      </c>
      <c r="F187" s="681">
        <v>1</v>
      </c>
      <c r="G187" s="681">
        <v>1.1000000000000001</v>
      </c>
      <c r="H187" s="681">
        <v>1.2</v>
      </c>
      <c r="I187" s="681">
        <v>1.3</v>
      </c>
      <c r="J187" s="681">
        <v>1.4</v>
      </c>
      <c r="K187" s="681">
        <v>1.5</v>
      </c>
      <c r="L187" s="681">
        <v>1.6</v>
      </c>
      <c r="M187" s="681">
        <v>1.7</v>
      </c>
      <c r="N187" s="681">
        <v>1.8</v>
      </c>
      <c r="O187" s="681">
        <v>1.9</v>
      </c>
      <c r="P187" s="681">
        <v>2</v>
      </c>
      <c r="Q187" s="681">
        <v>2.1</v>
      </c>
      <c r="R187" s="681">
        <v>2.2000000000000002</v>
      </c>
      <c r="S187" s="681">
        <v>2.2999999999999998</v>
      </c>
      <c r="T187" s="681">
        <v>2.4</v>
      </c>
      <c r="U187" s="681">
        <v>2.5</v>
      </c>
      <c r="V187" s="681">
        <v>2.6</v>
      </c>
      <c r="W187" s="681">
        <v>2.7</v>
      </c>
      <c r="X187" s="681">
        <v>2.8</v>
      </c>
      <c r="Y187" s="681">
        <v>2.9</v>
      </c>
      <c r="Z187" s="681">
        <v>3</v>
      </c>
    </row>
    <row r="188" spans="1:51" ht="12.75" customHeight="1">
      <c r="A188" s="1277" t="s">
        <v>3</v>
      </c>
      <c r="B188" s="681">
        <v>0.5</v>
      </c>
      <c r="C188" s="690">
        <f>(AB188*KFC!$B$22+KFC!$C$22)*KFC!$C$5</f>
        <v>69.2105277</v>
      </c>
      <c r="D188" s="690">
        <f>(AC188*KFC!$B$22+KFC!$C$22)*KFC!$C$5</f>
        <v>74.799772663043484</v>
      </c>
      <c r="E188" s="690">
        <f>(AD188*KFC!$B$22+KFC!$C$22)*KFC!$C$5</f>
        <v>80.389017626086954</v>
      </c>
      <c r="F188" s="690">
        <f>(AE188*KFC!$B$22+KFC!$C$22)*KFC!$C$5</f>
        <v>85.978262589130438</v>
      </c>
      <c r="G188" s="690">
        <f>(AF188*KFC!$B$22+KFC!$C$22)*KFC!$C$5</f>
        <v>91.567507552173922</v>
      </c>
      <c r="H188" s="690">
        <f>(AG188*KFC!$B$22+KFC!$C$22)*KFC!$C$5</f>
        <v>97.156752515217406</v>
      </c>
      <c r="I188" s="690">
        <f>(AH188*KFC!$B$22+KFC!$C$22)*KFC!$C$5</f>
        <v>102.74599747826088</v>
      </c>
      <c r="J188" s="690">
        <f>(AI188*KFC!$B$22+KFC!$C$22)*KFC!$C$5</f>
        <v>108.33524244130436</v>
      </c>
      <c r="K188" s="690">
        <f>(AJ188*KFC!$B$22+KFC!$C$22)*KFC!$C$5</f>
        <v>113.92448740434783</v>
      </c>
      <c r="L188" s="690">
        <f>(AK188*KFC!$B$22+KFC!$C$22)*KFC!$C$5</f>
        <v>119.51373236739131</v>
      </c>
      <c r="M188" s="690">
        <f>(AL188*KFC!$B$22+KFC!$C$22)*KFC!$C$5</f>
        <v>125.1029773304348</v>
      </c>
      <c r="N188" s="690">
        <f>(AM188*KFC!$B$22+KFC!$C$22)*KFC!$C$5</f>
        <v>130.69222229347827</v>
      </c>
      <c r="O188" s="690">
        <f>(AN188*KFC!$B$22+KFC!$C$22)*KFC!$C$5</f>
        <v>136.28146725652175</v>
      </c>
      <c r="P188" s="690">
        <f>(AO188*KFC!$B$22+KFC!$C$22)*KFC!$C$5</f>
        <v>141.87071221956523</v>
      </c>
      <c r="Q188" s="690">
        <f>(AP188*KFC!$B$22+KFC!$C$22)*KFC!$C$5</f>
        <v>147.45995718260869</v>
      </c>
      <c r="R188" s="690">
        <f>(AQ188*KFC!$B$22+KFC!$C$22)*KFC!$C$5</f>
        <v>153.04920214565217</v>
      </c>
      <c r="S188" s="690">
        <f>(AR188*KFC!$B$22+KFC!$C$22)*KFC!$C$5</f>
        <v>158.63844710869566</v>
      </c>
      <c r="T188" s="690">
        <f>(AS188*KFC!$B$22+KFC!$C$22)*KFC!$C$5</f>
        <v>164.22769207173914</v>
      </c>
      <c r="U188" s="690">
        <f>(AT188*KFC!$B$22+KFC!$C$22)*KFC!$C$5</f>
        <v>169.81693703478263</v>
      </c>
      <c r="V188" s="690">
        <f>(AU188*KFC!$B$22+KFC!$C$22)*KFC!$C$5</f>
        <v>175.40618199782614</v>
      </c>
      <c r="W188" s="690">
        <f>(AV188*KFC!$B$22+KFC!$C$22)*KFC!$C$5</f>
        <v>180.99542696086962</v>
      </c>
      <c r="X188" s="690">
        <f>(AW188*KFC!$B$22+KFC!$C$22)*KFC!$C$5</f>
        <v>186.58467192391313</v>
      </c>
      <c r="Y188" s="690">
        <f>(AX188*KFC!$B$22+KFC!$C$22)*KFC!$C$5</f>
        <v>192.17391688695662</v>
      </c>
      <c r="Z188" s="690">
        <f>(AY188*KFC!$B$22+KFC!$C$22)*KFC!$C$5</f>
        <v>197.76316185000002</v>
      </c>
      <c r="AB188" s="768">
        <v>69.2105277</v>
      </c>
      <c r="AC188" s="769">
        <v>74.799772663043484</v>
      </c>
      <c r="AD188" s="769">
        <v>80.389017626086954</v>
      </c>
      <c r="AE188" s="769">
        <v>85.978262589130438</v>
      </c>
      <c r="AF188" s="769">
        <v>91.567507552173922</v>
      </c>
      <c r="AG188" s="769">
        <v>97.156752515217406</v>
      </c>
      <c r="AH188" s="769">
        <v>102.74599747826088</v>
      </c>
      <c r="AI188" s="769">
        <v>108.33524244130436</v>
      </c>
      <c r="AJ188" s="769">
        <v>113.92448740434783</v>
      </c>
      <c r="AK188" s="769">
        <v>119.51373236739131</v>
      </c>
      <c r="AL188" s="769">
        <v>125.1029773304348</v>
      </c>
      <c r="AM188" s="769">
        <v>130.69222229347827</v>
      </c>
      <c r="AN188" s="769">
        <v>136.28146725652175</v>
      </c>
      <c r="AO188" s="769">
        <v>141.87071221956523</v>
      </c>
      <c r="AP188" s="769">
        <v>147.45995718260869</v>
      </c>
      <c r="AQ188" s="769">
        <v>153.04920214565217</v>
      </c>
      <c r="AR188" s="769">
        <v>158.63844710869566</v>
      </c>
      <c r="AS188" s="769">
        <v>164.22769207173914</v>
      </c>
      <c r="AT188" s="769">
        <v>169.81693703478263</v>
      </c>
      <c r="AU188" s="769">
        <v>175.40618199782614</v>
      </c>
      <c r="AV188" s="769">
        <v>180.99542696086962</v>
      </c>
      <c r="AW188" s="769">
        <v>186.58467192391313</v>
      </c>
      <c r="AX188" s="769">
        <v>192.17391688695662</v>
      </c>
      <c r="AY188" s="770">
        <v>197.76316185000002</v>
      </c>
    </row>
    <row r="189" spans="1:51">
      <c r="A189" s="1277"/>
      <c r="B189" s="681">
        <v>0.6</v>
      </c>
      <c r="C189" s="690">
        <f>(AB189*KFC!$B$22+KFC!$C$22)*KFC!$C$5</f>
        <v>71.996150348780489</v>
      </c>
      <c r="D189" s="690">
        <f>(AC189*KFC!$B$22+KFC!$C$22)*KFC!$C$5</f>
        <v>77.983760001378585</v>
      </c>
      <c r="E189" s="690">
        <f>(AD189*KFC!$B$22+KFC!$C$22)*KFC!$C$5</f>
        <v>83.97136965397668</v>
      </c>
      <c r="F189" s="690">
        <f>(AE189*KFC!$B$22+KFC!$C$22)*KFC!$C$5</f>
        <v>89.958979306574761</v>
      </c>
      <c r="G189" s="690">
        <f>(AF189*KFC!$B$22+KFC!$C$22)*KFC!$C$5</f>
        <v>95.946588959172843</v>
      </c>
      <c r="H189" s="690">
        <f>(AG189*KFC!$B$22+KFC!$C$22)*KFC!$C$5</f>
        <v>101.93419861177092</v>
      </c>
      <c r="I189" s="690">
        <f>(AH189*KFC!$B$22+KFC!$C$22)*KFC!$C$5</f>
        <v>107.92180826436902</v>
      </c>
      <c r="J189" s="690">
        <f>(AI189*KFC!$B$22+KFC!$C$22)*KFC!$C$5</f>
        <v>113.9094179169671</v>
      </c>
      <c r="K189" s="690">
        <f>(AJ189*KFC!$B$22+KFC!$C$22)*KFC!$C$5</f>
        <v>119.89702756956518</v>
      </c>
      <c r="L189" s="690">
        <f>(AK189*KFC!$B$22+KFC!$C$22)*KFC!$C$5</f>
        <v>125.88463722216326</v>
      </c>
      <c r="M189" s="690">
        <f>(AL189*KFC!$B$22+KFC!$C$22)*KFC!$C$5</f>
        <v>131.87224687476134</v>
      </c>
      <c r="N189" s="690">
        <f>(AM189*KFC!$B$22+KFC!$C$22)*KFC!$C$5</f>
        <v>137.85985652735943</v>
      </c>
      <c r="O189" s="690">
        <f>(AN189*KFC!$B$22+KFC!$C$22)*KFC!$C$5</f>
        <v>143.84746617995754</v>
      </c>
      <c r="P189" s="690">
        <f>(AO189*KFC!$B$22+KFC!$C$22)*KFC!$C$5</f>
        <v>149.83507583255562</v>
      </c>
      <c r="Q189" s="690">
        <f>(AP189*KFC!$B$22+KFC!$C$22)*KFC!$C$5</f>
        <v>155.8226854851537</v>
      </c>
      <c r="R189" s="690">
        <f>(AQ189*KFC!$B$22+KFC!$C$22)*KFC!$C$5</f>
        <v>161.81029513775178</v>
      </c>
      <c r="S189" s="690">
        <f>(AR189*KFC!$B$22+KFC!$C$22)*KFC!$C$5</f>
        <v>167.79790479034986</v>
      </c>
      <c r="T189" s="690">
        <f>(AS189*KFC!$B$22+KFC!$C$22)*KFC!$C$5</f>
        <v>173.78551444294794</v>
      </c>
      <c r="U189" s="690">
        <f>(AT189*KFC!$B$22+KFC!$C$22)*KFC!$C$5</f>
        <v>179.77312409554605</v>
      </c>
      <c r="V189" s="690">
        <f>(AU189*KFC!$B$22+KFC!$C$22)*KFC!$C$5</f>
        <v>185.76073374814416</v>
      </c>
      <c r="W189" s="690">
        <f>(AV189*KFC!$B$22+KFC!$C$22)*KFC!$C$5</f>
        <v>191.74834340074227</v>
      </c>
      <c r="X189" s="690">
        <f>(AW189*KFC!$B$22+KFC!$C$22)*KFC!$C$5</f>
        <v>197.73595305334035</v>
      </c>
      <c r="Y189" s="690">
        <f>(AX189*KFC!$B$22+KFC!$C$22)*KFC!$C$5</f>
        <v>203.72356270593846</v>
      </c>
      <c r="Z189" s="690">
        <f>(AY189*KFC!$B$22+KFC!$C$22)*KFC!$C$5</f>
        <v>209.7111723585366</v>
      </c>
      <c r="AB189" s="771">
        <v>71.996150348780489</v>
      </c>
      <c r="AC189" s="772">
        <v>77.983760001378585</v>
      </c>
      <c r="AD189" s="772">
        <v>83.97136965397668</v>
      </c>
      <c r="AE189" s="772">
        <v>89.958979306574761</v>
      </c>
      <c r="AF189" s="772">
        <v>95.946588959172843</v>
      </c>
      <c r="AG189" s="772">
        <v>101.93419861177092</v>
      </c>
      <c r="AH189" s="772">
        <v>107.92180826436902</v>
      </c>
      <c r="AI189" s="772">
        <v>113.9094179169671</v>
      </c>
      <c r="AJ189" s="772">
        <v>119.89702756956518</v>
      </c>
      <c r="AK189" s="772">
        <v>125.88463722216326</v>
      </c>
      <c r="AL189" s="772">
        <v>131.87224687476134</v>
      </c>
      <c r="AM189" s="772">
        <v>137.85985652735943</v>
      </c>
      <c r="AN189" s="772">
        <v>143.84746617995754</v>
      </c>
      <c r="AO189" s="772">
        <v>149.83507583255562</v>
      </c>
      <c r="AP189" s="772">
        <v>155.8226854851537</v>
      </c>
      <c r="AQ189" s="772">
        <v>161.81029513775178</v>
      </c>
      <c r="AR189" s="772">
        <v>167.79790479034986</v>
      </c>
      <c r="AS189" s="772">
        <v>173.78551444294794</v>
      </c>
      <c r="AT189" s="772">
        <v>179.77312409554605</v>
      </c>
      <c r="AU189" s="772">
        <v>185.76073374814416</v>
      </c>
      <c r="AV189" s="772">
        <v>191.74834340074227</v>
      </c>
      <c r="AW189" s="772">
        <v>197.73595305334035</v>
      </c>
      <c r="AX189" s="772">
        <v>203.72356270593846</v>
      </c>
      <c r="AY189" s="773">
        <v>209.7111723585366</v>
      </c>
    </row>
    <row r="190" spans="1:51">
      <c r="A190" s="1277"/>
      <c r="B190" s="681">
        <v>0.7</v>
      </c>
      <c r="C190" s="690">
        <f>(AB190*KFC!$B$22+KFC!$C$22)*KFC!$C$5</f>
        <v>74.781772997560978</v>
      </c>
      <c r="D190" s="690">
        <f>(AC190*KFC!$B$22+KFC!$C$22)*KFC!$C$5</f>
        <v>81.167747339713671</v>
      </c>
      <c r="E190" s="690">
        <f>(AD190*KFC!$B$22+KFC!$C$22)*KFC!$C$5</f>
        <v>87.553721681866392</v>
      </c>
      <c r="F190" s="690">
        <f>(AE190*KFC!$B$22+KFC!$C$22)*KFC!$C$5</f>
        <v>93.939696024019099</v>
      </c>
      <c r="G190" s="690">
        <f>(AF190*KFC!$B$22+KFC!$C$22)*KFC!$C$5</f>
        <v>100.32567036617181</v>
      </c>
      <c r="H190" s="690">
        <f>(AG190*KFC!$B$22+KFC!$C$22)*KFC!$C$5</f>
        <v>106.71164470832451</v>
      </c>
      <c r="I190" s="690">
        <f>(AH190*KFC!$B$22+KFC!$C$22)*KFC!$C$5</f>
        <v>113.09761905047722</v>
      </c>
      <c r="J190" s="690">
        <f>(AI190*KFC!$B$22+KFC!$C$22)*KFC!$C$5</f>
        <v>119.48359339262994</v>
      </c>
      <c r="K190" s="690">
        <f>(AJ190*KFC!$B$22+KFC!$C$22)*KFC!$C$5</f>
        <v>125.86956773478265</v>
      </c>
      <c r="L190" s="690">
        <f>(AK190*KFC!$B$22+KFC!$C$22)*KFC!$C$5</f>
        <v>132.25554207693537</v>
      </c>
      <c r="M190" s="690">
        <f>(AL190*KFC!$B$22+KFC!$C$22)*KFC!$C$5</f>
        <v>138.64151641908808</v>
      </c>
      <c r="N190" s="690">
        <f>(AM190*KFC!$B$22+KFC!$C$22)*KFC!$C$5</f>
        <v>145.02749076124078</v>
      </c>
      <c r="O190" s="690">
        <f>(AN190*KFC!$B$22+KFC!$C$22)*KFC!$C$5</f>
        <v>151.41346510339349</v>
      </c>
      <c r="P190" s="690">
        <f>(AO190*KFC!$B$22+KFC!$C$22)*KFC!$C$5</f>
        <v>157.7994394455462</v>
      </c>
      <c r="Q190" s="690">
        <f>(AP190*KFC!$B$22+KFC!$C$22)*KFC!$C$5</f>
        <v>164.18541378769891</v>
      </c>
      <c r="R190" s="690">
        <f>(AQ190*KFC!$B$22+KFC!$C$22)*KFC!$C$5</f>
        <v>170.57138812985161</v>
      </c>
      <c r="S190" s="690">
        <f>(AR190*KFC!$B$22+KFC!$C$22)*KFC!$C$5</f>
        <v>176.95736247200432</v>
      </c>
      <c r="T190" s="690">
        <f>(AS190*KFC!$B$22+KFC!$C$22)*KFC!$C$5</f>
        <v>183.34333681415703</v>
      </c>
      <c r="U190" s="690">
        <f>(AT190*KFC!$B$22+KFC!$C$22)*KFC!$C$5</f>
        <v>189.72931115630973</v>
      </c>
      <c r="V190" s="690">
        <f>(AU190*KFC!$B$22+KFC!$C$22)*KFC!$C$5</f>
        <v>196.11528549846244</v>
      </c>
      <c r="W190" s="690">
        <f>(AV190*KFC!$B$22+KFC!$C$22)*KFC!$C$5</f>
        <v>202.50125984061515</v>
      </c>
      <c r="X190" s="690">
        <f>(AW190*KFC!$B$22+KFC!$C$22)*KFC!$C$5</f>
        <v>208.88723418276786</v>
      </c>
      <c r="Y190" s="690">
        <f>(AX190*KFC!$B$22+KFC!$C$22)*KFC!$C$5</f>
        <v>215.27320852492056</v>
      </c>
      <c r="Z190" s="690">
        <f>(AY190*KFC!$B$22+KFC!$C$22)*KFC!$C$5</f>
        <v>221.65918286707321</v>
      </c>
      <c r="AB190" s="771">
        <v>74.781772997560978</v>
      </c>
      <c r="AC190" s="772">
        <v>81.167747339713671</v>
      </c>
      <c r="AD190" s="772">
        <v>87.553721681866392</v>
      </c>
      <c r="AE190" s="772">
        <v>93.939696024019099</v>
      </c>
      <c r="AF190" s="772">
        <v>100.32567036617181</v>
      </c>
      <c r="AG190" s="772">
        <v>106.71164470832451</v>
      </c>
      <c r="AH190" s="772">
        <v>113.09761905047722</v>
      </c>
      <c r="AI190" s="772">
        <v>119.48359339262994</v>
      </c>
      <c r="AJ190" s="772">
        <v>125.86956773478265</v>
      </c>
      <c r="AK190" s="772">
        <v>132.25554207693537</v>
      </c>
      <c r="AL190" s="772">
        <v>138.64151641908808</v>
      </c>
      <c r="AM190" s="772">
        <v>145.02749076124078</v>
      </c>
      <c r="AN190" s="772">
        <v>151.41346510339349</v>
      </c>
      <c r="AO190" s="772">
        <v>157.7994394455462</v>
      </c>
      <c r="AP190" s="772">
        <v>164.18541378769891</v>
      </c>
      <c r="AQ190" s="772">
        <v>170.57138812985161</v>
      </c>
      <c r="AR190" s="772">
        <v>176.95736247200432</v>
      </c>
      <c r="AS190" s="772">
        <v>183.34333681415703</v>
      </c>
      <c r="AT190" s="772">
        <v>189.72931115630973</v>
      </c>
      <c r="AU190" s="772">
        <v>196.11528549846244</v>
      </c>
      <c r="AV190" s="772">
        <v>202.50125984061515</v>
      </c>
      <c r="AW190" s="772">
        <v>208.88723418276786</v>
      </c>
      <c r="AX190" s="772">
        <v>215.27320852492056</v>
      </c>
      <c r="AY190" s="773">
        <v>221.65918286707321</v>
      </c>
    </row>
    <row r="191" spans="1:51">
      <c r="A191" s="1277"/>
      <c r="B191" s="681">
        <v>0.8</v>
      </c>
      <c r="C191" s="690">
        <f>(AB191*KFC!$B$22+KFC!$C$22)*KFC!$C$5</f>
        <v>77.567395646341467</v>
      </c>
      <c r="D191" s="690">
        <f>(AC191*KFC!$B$22+KFC!$C$22)*KFC!$C$5</f>
        <v>84.351734678048786</v>
      </c>
      <c r="E191" s="690">
        <f>(AD191*KFC!$B$22+KFC!$C$22)*KFC!$C$5</f>
        <v>91.13607370975609</v>
      </c>
      <c r="F191" s="690">
        <f>(AE191*KFC!$B$22+KFC!$C$22)*KFC!$C$5</f>
        <v>97.920412741463409</v>
      </c>
      <c r="G191" s="690">
        <f>(AF191*KFC!$B$22+KFC!$C$22)*KFC!$C$5</f>
        <v>104.70475177317073</v>
      </c>
      <c r="H191" s="690">
        <f>(AG191*KFC!$B$22+KFC!$C$22)*KFC!$C$5</f>
        <v>111.48909080487805</v>
      </c>
      <c r="I191" s="690">
        <f>(AH191*KFC!$B$22+KFC!$C$22)*KFC!$C$5</f>
        <v>118.27342983658536</v>
      </c>
      <c r="J191" s="690">
        <f>(AI191*KFC!$B$22+KFC!$C$22)*KFC!$C$5</f>
        <v>125.05776886829268</v>
      </c>
      <c r="K191" s="690">
        <f>(AJ191*KFC!$B$22+KFC!$C$22)*KFC!$C$5</f>
        <v>131.8421079</v>
      </c>
      <c r="L191" s="690">
        <f>(AK191*KFC!$B$22+KFC!$C$22)*KFC!$C$5</f>
        <v>138.62644693170731</v>
      </c>
      <c r="M191" s="690">
        <f>(AL191*KFC!$B$22+KFC!$C$22)*KFC!$C$5</f>
        <v>145.41078596341464</v>
      </c>
      <c r="N191" s="690">
        <f>(AM191*KFC!$B$22+KFC!$C$22)*KFC!$C$5</f>
        <v>152.19512499512194</v>
      </c>
      <c r="O191" s="690">
        <f>(AN191*KFC!$B$22+KFC!$C$22)*KFC!$C$5</f>
        <v>158.97946402682928</v>
      </c>
      <c r="P191" s="690">
        <f>(AO191*KFC!$B$22+KFC!$C$22)*KFC!$C$5</f>
        <v>165.76380305853658</v>
      </c>
      <c r="Q191" s="690">
        <f>(AP191*KFC!$B$22+KFC!$C$22)*KFC!$C$5</f>
        <v>172.54814209024391</v>
      </c>
      <c r="R191" s="690">
        <f>(AQ191*KFC!$B$22+KFC!$C$22)*KFC!$C$5</f>
        <v>179.33248112195125</v>
      </c>
      <c r="S191" s="690">
        <f>(AR191*KFC!$B$22+KFC!$C$22)*KFC!$C$5</f>
        <v>186.11682015365855</v>
      </c>
      <c r="T191" s="690">
        <f>(AS191*KFC!$B$22+KFC!$C$22)*KFC!$C$5</f>
        <v>192.90115918536586</v>
      </c>
      <c r="U191" s="690">
        <f>(AT191*KFC!$B$22+KFC!$C$22)*KFC!$C$5</f>
        <v>199.68549821707319</v>
      </c>
      <c r="V191" s="690">
        <f>(AU191*KFC!$B$22+KFC!$C$22)*KFC!$C$5</f>
        <v>206.46983724878049</v>
      </c>
      <c r="W191" s="690">
        <f>(AV191*KFC!$B$22+KFC!$C$22)*KFC!$C$5</f>
        <v>213.25417628048783</v>
      </c>
      <c r="X191" s="690">
        <f>(AW191*KFC!$B$22+KFC!$C$22)*KFC!$C$5</f>
        <v>220.03851531219513</v>
      </c>
      <c r="Y191" s="690">
        <f>(AX191*KFC!$B$22+KFC!$C$22)*KFC!$C$5</f>
        <v>226.82285434390246</v>
      </c>
      <c r="Z191" s="690">
        <f>(AY191*KFC!$B$22+KFC!$C$22)*KFC!$C$5</f>
        <v>233.6071933756098</v>
      </c>
      <c r="AB191" s="771">
        <v>77.567395646341467</v>
      </c>
      <c r="AC191" s="772">
        <v>84.351734678048786</v>
      </c>
      <c r="AD191" s="772">
        <v>91.13607370975609</v>
      </c>
      <c r="AE191" s="772">
        <v>97.920412741463409</v>
      </c>
      <c r="AF191" s="772">
        <v>104.70475177317073</v>
      </c>
      <c r="AG191" s="772">
        <v>111.48909080487805</v>
      </c>
      <c r="AH191" s="772">
        <v>118.27342983658536</v>
      </c>
      <c r="AI191" s="772">
        <v>125.05776886829268</v>
      </c>
      <c r="AJ191" s="772">
        <v>131.8421079</v>
      </c>
      <c r="AK191" s="772">
        <v>138.62644693170731</v>
      </c>
      <c r="AL191" s="772">
        <v>145.41078596341464</v>
      </c>
      <c r="AM191" s="772">
        <v>152.19512499512194</v>
      </c>
      <c r="AN191" s="772">
        <v>158.97946402682928</v>
      </c>
      <c r="AO191" s="772">
        <v>165.76380305853658</v>
      </c>
      <c r="AP191" s="772">
        <v>172.54814209024391</v>
      </c>
      <c r="AQ191" s="772">
        <v>179.33248112195125</v>
      </c>
      <c r="AR191" s="772">
        <v>186.11682015365855</v>
      </c>
      <c r="AS191" s="772">
        <v>192.90115918536586</v>
      </c>
      <c r="AT191" s="772">
        <v>199.68549821707319</v>
      </c>
      <c r="AU191" s="772">
        <v>206.46983724878049</v>
      </c>
      <c r="AV191" s="772">
        <v>213.25417628048783</v>
      </c>
      <c r="AW191" s="772">
        <v>220.03851531219513</v>
      </c>
      <c r="AX191" s="772">
        <v>226.82285434390246</v>
      </c>
      <c r="AY191" s="773">
        <v>233.6071933756098</v>
      </c>
    </row>
    <row r="192" spans="1:51">
      <c r="A192" s="1277"/>
      <c r="B192" s="681">
        <v>0.9</v>
      </c>
      <c r="C192" s="690">
        <f>(AB192*KFC!$B$22+KFC!$C$22)*KFC!$C$5</f>
        <v>80.353018295121956</v>
      </c>
      <c r="D192" s="690">
        <f>(AC192*KFC!$B$22+KFC!$C$22)*KFC!$C$5</f>
        <v>87.535722016383886</v>
      </c>
      <c r="E192" s="690">
        <f>(AD192*KFC!$B$22+KFC!$C$22)*KFC!$C$5</f>
        <v>94.718425737645831</v>
      </c>
      <c r="F192" s="690">
        <f>(AE192*KFC!$B$22+KFC!$C$22)*KFC!$C$5</f>
        <v>101.90112945890775</v>
      </c>
      <c r="G192" s="690">
        <f>(AF192*KFC!$B$22+KFC!$C$22)*KFC!$C$5</f>
        <v>109.08383318016968</v>
      </c>
      <c r="H192" s="690">
        <f>(AG192*KFC!$B$22+KFC!$C$22)*KFC!$C$5</f>
        <v>116.26653690143159</v>
      </c>
      <c r="I192" s="690">
        <f>(AH192*KFC!$B$22+KFC!$C$22)*KFC!$C$5</f>
        <v>123.44924062269352</v>
      </c>
      <c r="J192" s="690">
        <f>(AI192*KFC!$B$22+KFC!$C$22)*KFC!$C$5</f>
        <v>130.63194434395544</v>
      </c>
      <c r="K192" s="690">
        <f>(AJ192*KFC!$B$22+KFC!$C$22)*KFC!$C$5</f>
        <v>137.81464806521737</v>
      </c>
      <c r="L192" s="690">
        <f>(AK192*KFC!$B$22+KFC!$C$22)*KFC!$C$5</f>
        <v>144.9973517864793</v>
      </c>
      <c r="M192" s="690">
        <f>(AL192*KFC!$B$22+KFC!$C$22)*KFC!$C$5</f>
        <v>152.1800555077412</v>
      </c>
      <c r="N192" s="690">
        <f>(AM192*KFC!$B$22+KFC!$C$22)*KFC!$C$5</f>
        <v>159.36275922900313</v>
      </c>
      <c r="O192" s="690">
        <f>(AN192*KFC!$B$22+KFC!$C$22)*KFC!$C$5</f>
        <v>166.54546295026506</v>
      </c>
      <c r="P192" s="690">
        <f>(AO192*KFC!$B$22+KFC!$C$22)*KFC!$C$5</f>
        <v>173.72816667152699</v>
      </c>
      <c r="Q192" s="690">
        <f>(AP192*KFC!$B$22+KFC!$C$22)*KFC!$C$5</f>
        <v>180.91087039278892</v>
      </c>
      <c r="R192" s="690">
        <f>(AQ192*KFC!$B$22+KFC!$C$22)*KFC!$C$5</f>
        <v>188.09357411405082</v>
      </c>
      <c r="S192" s="690">
        <f>(AR192*KFC!$B$22+KFC!$C$22)*KFC!$C$5</f>
        <v>195.27627783531275</v>
      </c>
      <c r="T192" s="690">
        <f>(AS192*KFC!$B$22+KFC!$C$22)*KFC!$C$5</f>
        <v>202.45898155657468</v>
      </c>
      <c r="U192" s="690">
        <f>(AT192*KFC!$B$22+KFC!$C$22)*KFC!$C$5</f>
        <v>209.64168527783661</v>
      </c>
      <c r="V192" s="690">
        <f>(AU192*KFC!$B$22+KFC!$C$22)*KFC!$C$5</f>
        <v>216.82438899909852</v>
      </c>
      <c r="W192" s="690">
        <f>(AV192*KFC!$B$22+KFC!$C$22)*KFC!$C$5</f>
        <v>224.00709272036045</v>
      </c>
      <c r="X192" s="690">
        <f>(AW192*KFC!$B$22+KFC!$C$22)*KFC!$C$5</f>
        <v>231.18979644162238</v>
      </c>
      <c r="Y192" s="690">
        <f>(AX192*KFC!$B$22+KFC!$C$22)*KFC!$C$5</f>
        <v>238.37250016288431</v>
      </c>
      <c r="Z192" s="690">
        <f>(AY192*KFC!$B$22+KFC!$C$22)*KFC!$C$5</f>
        <v>245.55520388414641</v>
      </c>
      <c r="AB192" s="771">
        <v>80.353018295121956</v>
      </c>
      <c r="AC192" s="772">
        <v>87.535722016383886</v>
      </c>
      <c r="AD192" s="772">
        <v>94.718425737645831</v>
      </c>
      <c r="AE192" s="772">
        <v>101.90112945890775</v>
      </c>
      <c r="AF192" s="772">
        <v>109.08383318016968</v>
      </c>
      <c r="AG192" s="772">
        <v>116.26653690143159</v>
      </c>
      <c r="AH192" s="772">
        <v>123.44924062269352</v>
      </c>
      <c r="AI192" s="772">
        <v>130.63194434395544</v>
      </c>
      <c r="AJ192" s="772">
        <v>137.81464806521737</v>
      </c>
      <c r="AK192" s="772">
        <v>144.9973517864793</v>
      </c>
      <c r="AL192" s="772">
        <v>152.1800555077412</v>
      </c>
      <c r="AM192" s="772">
        <v>159.36275922900313</v>
      </c>
      <c r="AN192" s="772">
        <v>166.54546295026506</v>
      </c>
      <c r="AO192" s="772">
        <v>173.72816667152699</v>
      </c>
      <c r="AP192" s="772">
        <v>180.91087039278892</v>
      </c>
      <c r="AQ192" s="772">
        <v>188.09357411405082</v>
      </c>
      <c r="AR192" s="772">
        <v>195.27627783531275</v>
      </c>
      <c r="AS192" s="772">
        <v>202.45898155657468</v>
      </c>
      <c r="AT192" s="772">
        <v>209.64168527783661</v>
      </c>
      <c r="AU192" s="772">
        <v>216.82438899909852</v>
      </c>
      <c r="AV192" s="772">
        <v>224.00709272036045</v>
      </c>
      <c r="AW192" s="772">
        <v>231.18979644162238</v>
      </c>
      <c r="AX192" s="772">
        <v>238.37250016288431</v>
      </c>
      <c r="AY192" s="773">
        <v>245.55520388414641</v>
      </c>
    </row>
    <row r="193" spans="1:51">
      <c r="A193" s="1277"/>
      <c r="B193" s="681">
        <v>1</v>
      </c>
      <c r="C193" s="690">
        <f>(AB193*KFC!$B$22+KFC!$C$22)*KFC!$C$5</f>
        <v>83.138640943902445</v>
      </c>
      <c r="D193" s="690">
        <f>(AC193*KFC!$B$22+KFC!$C$22)*KFC!$C$5</f>
        <v>90.719709354718987</v>
      </c>
      <c r="E193" s="690">
        <f>(AD193*KFC!$B$22+KFC!$C$22)*KFC!$C$5</f>
        <v>98.300777765535543</v>
      </c>
      <c r="F193" s="690">
        <f>(AE193*KFC!$B$22+KFC!$C$22)*KFC!$C$5</f>
        <v>105.88184617635208</v>
      </c>
      <c r="G193" s="690">
        <f>(AF193*KFC!$B$22+KFC!$C$22)*KFC!$C$5</f>
        <v>113.46291458716864</v>
      </c>
      <c r="H193" s="690">
        <f>(AG193*KFC!$B$22+KFC!$C$22)*KFC!$C$5</f>
        <v>121.04398299798518</v>
      </c>
      <c r="I193" s="690">
        <f>(AH193*KFC!$B$22+KFC!$C$22)*KFC!$C$5</f>
        <v>128.62505140880174</v>
      </c>
      <c r="J193" s="690">
        <f>(AI193*KFC!$B$22+KFC!$C$22)*KFC!$C$5</f>
        <v>136.20611981961829</v>
      </c>
      <c r="K193" s="690">
        <f>(AJ193*KFC!$B$22+KFC!$C$22)*KFC!$C$5</f>
        <v>143.78718823043482</v>
      </c>
      <c r="L193" s="690">
        <f>(AK193*KFC!$B$22+KFC!$C$22)*KFC!$C$5</f>
        <v>151.36825664125138</v>
      </c>
      <c r="M193" s="690">
        <f>(AL193*KFC!$B$22+KFC!$C$22)*KFC!$C$5</f>
        <v>158.94932505206793</v>
      </c>
      <c r="N193" s="690">
        <f>(AM193*KFC!$B$22+KFC!$C$22)*KFC!$C$5</f>
        <v>166.53039346288449</v>
      </c>
      <c r="O193" s="690">
        <f>(AN193*KFC!$B$22+KFC!$C$22)*KFC!$C$5</f>
        <v>174.11146187370102</v>
      </c>
      <c r="P193" s="690">
        <f>(AO193*KFC!$B$22+KFC!$C$22)*KFC!$C$5</f>
        <v>181.69253028451755</v>
      </c>
      <c r="Q193" s="690">
        <f>(AP193*KFC!$B$22+KFC!$C$22)*KFC!$C$5</f>
        <v>189.2735986953341</v>
      </c>
      <c r="R193" s="690">
        <f>(AQ193*KFC!$B$22+KFC!$C$22)*KFC!$C$5</f>
        <v>196.85466710615063</v>
      </c>
      <c r="S193" s="690">
        <f>(AR193*KFC!$B$22+KFC!$C$22)*KFC!$C$5</f>
        <v>204.43573551696716</v>
      </c>
      <c r="T193" s="690">
        <f>(AS193*KFC!$B$22+KFC!$C$22)*KFC!$C$5</f>
        <v>212.01680392778368</v>
      </c>
      <c r="U193" s="690">
        <f>(AT193*KFC!$B$22+KFC!$C$22)*KFC!$C$5</f>
        <v>219.59787233860021</v>
      </c>
      <c r="V193" s="690">
        <f>(AU193*KFC!$B$22+KFC!$C$22)*KFC!$C$5</f>
        <v>227.17894074941674</v>
      </c>
      <c r="W193" s="690">
        <f>(AV193*KFC!$B$22+KFC!$C$22)*KFC!$C$5</f>
        <v>234.76000916023327</v>
      </c>
      <c r="X193" s="690">
        <f>(AW193*KFC!$B$22+KFC!$C$22)*KFC!$C$5</f>
        <v>242.34107757104979</v>
      </c>
      <c r="Y193" s="690">
        <f>(AX193*KFC!$B$22+KFC!$C$22)*KFC!$C$5</f>
        <v>249.92214598186632</v>
      </c>
      <c r="Z193" s="690">
        <f>(AY193*KFC!$B$22+KFC!$C$22)*KFC!$C$5</f>
        <v>257.50321439268299</v>
      </c>
      <c r="AB193" s="771">
        <v>83.138640943902445</v>
      </c>
      <c r="AC193" s="772">
        <v>90.719709354718987</v>
      </c>
      <c r="AD193" s="772">
        <v>98.300777765535543</v>
      </c>
      <c r="AE193" s="772">
        <v>105.88184617635208</v>
      </c>
      <c r="AF193" s="772">
        <v>113.46291458716864</v>
      </c>
      <c r="AG193" s="772">
        <v>121.04398299798518</v>
      </c>
      <c r="AH193" s="772">
        <v>128.62505140880174</v>
      </c>
      <c r="AI193" s="772">
        <v>136.20611981961829</v>
      </c>
      <c r="AJ193" s="772">
        <v>143.78718823043482</v>
      </c>
      <c r="AK193" s="772">
        <v>151.36825664125138</v>
      </c>
      <c r="AL193" s="772">
        <v>158.94932505206793</v>
      </c>
      <c r="AM193" s="772">
        <v>166.53039346288449</v>
      </c>
      <c r="AN193" s="772">
        <v>174.11146187370102</v>
      </c>
      <c r="AO193" s="772">
        <v>181.69253028451755</v>
      </c>
      <c r="AP193" s="772">
        <v>189.2735986953341</v>
      </c>
      <c r="AQ193" s="772">
        <v>196.85466710615063</v>
      </c>
      <c r="AR193" s="772">
        <v>204.43573551696716</v>
      </c>
      <c r="AS193" s="772">
        <v>212.01680392778368</v>
      </c>
      <c r="AT193" s="772">
        <v>219.59787233860021</v>
      </c>
      <c r="AU193" s="772">
        <v>227.17894074941674</v>
      </c>
      <c r="AV193" s="772">
        <v>234.76000916023327</v>
      </c>
      <c r="AW193" s="772">
        <v>242.34107757104979</v>
      </c>
      <c r="AX193" s="772">
        <v>249.92214598186632</v>
      </c>
      <c r="AY193" s="773">
        <v>257.50321439268299</v>
      </c>
    </row>
    <row r="194" spans="1:51">
      <c r="A194" s="1277"/>
      <c r="B194" s="681">
        <v>1.1000000000000001</v>
      </c>
      <c r="C194" s="690">
        <f>(AB194*KFC!$B$22+KFC!$C$22)*KFC!$C$5</f>
        <v>85.924263592682934</v>
      </c>
      <c r="D194" s="690">
        <f>(AC194*KFC!$B$22+KFC!$C$22)*KFC!$C$5</f>
        <v>93.903696693054087</v>
      </c>
      <c r="E194" s="690">
        <f>(AD194*KFC!$B$22+KFC!$C$22)*KFC!$C$5</f>
        <v>101.88312979342524</v>
      </c>
      <c r="F194" s="690">
        <f>(AE194*KFC!$B$22+KFC!$C$22)*KFC!$C$5</f>
        <v>109.86256289379641</v>
      </c>
      <c r="G194" s="690">
        <f>(AF194*KFC!$B$22+KFC!$C$22)*KFC!$C$5</f>
        <v>117.84199599416756</v>
      </c>
      <c r="H194" s="690">
        <f>(AG194*KFC!$B$22+KFC!$C$22)*KFC!$C$5</f>
        <v>125.82142909453871</v>
      </c>
      <c r="I194" s="690">
        <f>(AH194*KFC!$B$22+KFC!$C$22)*KFC!$C$5</f>
        <v>133.80086219490988</v>
      </c>
      <c r="J194" s="690">
        <f>(AI194*KFC!$B$22+KFC!$C$22)*KFC!$C$5</f>
        <v>141.78029529528104</v>
      </c>
      <c r="K194" s="690">
        <f>(AJ194*KFC!$B$22+KFC!$C$22)*KFC!$C$5</f>
        <v>149.75972839565219</v>
      </c>
      <c r="L194" s="690">
        <f>(AK194*KFC!$B$22+KFC!$C$22)*KFC!$C$5</f>
        <v>157.73916149602334</v>
      </c>
      <c r="M194" s="690">
        <f>(AL194*KFC!$B$22+KFC!$C$22)*KFC!$C$5</f>
        <v>165.7185945963945</v>
      </c>
      <c r="N194" s="690">
        <f>(AM194*KFC!$B$22+KFC!$C$22)*KFC!$C$5</f>
        <v>173.69802769676568</v>
      </c>
      <c r="O194" s="690">
        <f>(AN194*KFC!$B$22+KFC!$C$22)*KFC!$C$5</f>
        <v>181.67746079713683</v>
      </c>
      <c r="P194" s="690">
        <f>(AO194*KFC!$B$22+KFC!$C$22)*KFC!$C$5</f>
        <v>189.65689389750801</v>
      </c>
      <c r="Q194" s="690">
        <f>(AP194*KFC!$B$22+KFC!$C$22)*KFC!$C$5</f>
        <v>197.63632699787919</v>
      </c>
      <c r="R194" s="690">
        <f>(AQ194*KFC!$B$22+KFC!$C$22)*KFC!$C$5</f>
        <v>205.61576009825038</v>
      </c>
      <c r="S194" s="690">
        <f>(AR194*KFC!$B$22+KFC!$C$22)*KFC!$C$5</f>
        <v>213.59519319862153</v>
      </c>
      <c r="T194" s="690">
        <f>(AS194*KFC!$B$22+KFC!$C$22)*KFC!$C$5</f>
        <v>221.57462629899271</v>
      </c>
      <c r="U194" s="690">
        <f>(AT194*KFC!$B$22+KFC!$C$22)*KFC!$C$5</f>
        <v>229.55405939936389</v>
      </c>
      <c r="V194" s="690">
        <f>(AU194*KFC!$B$22+KFC!$C$22)*KFC!$C$5</f>
        <v>237.53349249973508</v>
      </c>
      <c r="W194" s="690">
        <f>(AV194*KFC!$B$22+KFC!$C$22)*KFC!$C$5</f>
        <v>245.51292560010623</v>
      </c>
      <c r="X194" s="690">
        <f>(AW194*KFC!$B$22+KFC!$C$22)*KFC!$C$5</f>
        <v>253.49235870047741</v>
      </c>
      <c r="Y194" s="690">
        <f>(AX194*KFC!$B$22+KFC!$C$22)*KFC!$C$5</f>
        <v>261.47179180084856</v>
      </c>
      <c r="Z194" s="690">
        <f>(AY194*KFC!$B$22+KFC!$C$22)*KFC!$C$5</f>
        <v>269.45122490121963</v>
      </c>
      <c r="AB194" s="771">
        <v>85.924263592682934</v>
      </c>
      <c r="AC194" s="772">
        <v>93.903696693054087</v>
      </c>
      <c r="AD194" s="772">
        <v>101.88312979342524</v>
      </c>
      <c r="AE194" s="772">
        <v>109.86256289379641</v>
      </c>
      <c r="AF194" s="772">
        <v>117.84199599416756</v>
      </c>
      <c r="AG194" s="772">
        <v>125.82142909453871</v>
      </c>
      <c r="AH194" s="772">
        <v>133.80086219490988</v>
      </c>
      <c r="AI194" s="772">
        <v>141.78029529528104</v>
      </c>
      <c r="AJ194" s="772">
        <v>149.75972839565219</v>
      </c>
      <c r="AK194" s="772">
        <v>157.73916149602334</v>
      </c>
      <c r="AL194" s="772">
        <v>165.7185945963945</v>
      </c>
      <c r="AM194" s="772">
        <v>173.69802769676568</v>
      </c>
      <c r="AN194" s="772">
        <v>181.67746079713683</v>
      </c>
      <c r="AO194" s="772">
        <v>189.65689389750801</v>
      </c>
      <c r="AP194" s="772">
        <v>197.63632699787919</v>
      </c>
      <c r="AQ194" s="772">
        <v>205.61576009825038</v>
      </c>
      <c r="AR194" s="772">
        <v>213.59519319862153</v>
      </c>
      <c r="AS194" s="772">
        <v>221.57462629899271</v>
      </c>
      <c r="AT194" s="772">
        <v>229.55405939936389</v>
      </c>
      <c r="AU194" s="772">
        <v>237.53349249973508</v>
      </c>
      <c r="AV194" s="772">
        <v>245.51292560010623</v>
      </c>
      <c r="AW194" s="772">
        <v>253.49235870047741</v>
      </c>
      <c r="AX194" s="772">
        <v>261.47179180084856</v>
      </c>
      <c r="AY194" s="773">
        <v>269.45122490121963</v>
      </c>
    </row>
    <row r="195" spans="1:51">
      <c r="A195" s="1277"/>
      <c r="B195" s="681">
        <v>1.2</v>
      </c>
      <c r="C195" s="690">
        <f>(AB195*KFC!$B$22+KFC!$C$22)*KFC!$C$5</f>
        <v>88.709886241463437</v>
      </c>
      <c r="D195" s="690">
        <f>(AC195*KFC!$B$22+KFC!$C$22)*KFC!$C$5</f>
        <v>97.087684031389216</v>
      </c>
      <c r="E195" s="690">
        <f>(AD195*KFC!$B$22+KFC!$C$22)*KFC!$C$5</f>
        <v>105.465481821315</v>
      </c>
      <c r="F195" s="690">
        <f>(AE195*KFC!$B$22+KFC!$C$22)*KFC!$C$5</f>
        <v>113.84327961124077</v>
      </c>
      <c r="G195" s="690">
        <f>(AF195*KFC!$B$22+KFC!$C$22)*KFC!$C$5</f>
        <v>122.22107740116655</v>
      </c>
      <c r="H195" s="690">
        <f>(AG195*KFC!$B$22+KFC!$C$22)*KFC!$C$5</f>
        <v>130.59887519109233</v>
      </c>
      <c r="I195" s="690">
        <f>(AH195*KFC!$B$22+KFC!$C$22)*KFC!$C$5</f>
        <v>138.97667298101811</v>
      </c>
      <c r="J195" s="690">
        <f>(AI195*KFC!$B$22+KFC!$C$22)*KFC!$C$5</f>
        <v>147.35447077094389</v>
      </c>
      <c r="K195" s="690">
        <f>(AJ195*KFC!$B$22+KFC!$C$22)*KFC!$C$5</f>
        <v>155.73226856086967</v>
      </c>
      <c r="L195" s="690">
        <f>(AK195*KFC!$B$22+KFC!$C$22)*KFC!$C$5</f>
        <v>164.11006635079545</v>
      </c>
      <c r="M195" s="690">
        <f>(AL195*KFC!$B$22+KFC!$C$22)*KFC!$C$5</f>
        <v>172.48786414072126</v>
      </c>
      <c r="N195" s="690">
        <f>(AM195*KFC!$B$22+KFC!$C$22)*KFC!$C$5</f>
        <v>180.86566193064704</v>
      </c>
      <c r="O195" s="690">
        <f>(AN195*KFC!$B$22+KFC!$C$22)*KFC!$C$5</f>
        <v>189.24345972057282</v>
      </c>
      <c r="P195" s="690">
        <f>(AO195*KFC!$B$22+KFC!$C$22)*KFC!$C$5</f>
        <v>197.62125751049859</v>
      </c>
      <c r="Q195" s="690">
        <f>(AP195*KFC!$B$22+KFC!$C$22)*KFC!$C$5</f>
        <v>205.99905530042437</v>
      </c>
      <c r="R195" s="690">
        <f>(AQ195*KFC!$B$22+KFC!$C$22)*KFC!$C$5</f>
        <v>214.37685309035015</v>
      </c>
      <c r="S195" s="690">
        <f>(AR195*KFC!$B$22+KFC!$C$22)*KFC!$C$5</f>
        <v>222.75465088027593</v>
      </c>
      <c r="T195" s="690">
        <f>(AS195*KFC!$B$22+KFC!$C$22)*KFC!$C$5</f>
        <v>231.13244867020171</v>
      </c>
      <c r="U195" s="690">
        <f>(AT195*KFC!$B$22+KFC!$C$22)*KFC!$C$5</f>
        <v>239.51024646012749</v>
      </c>
      <c r="V195" s="690">
        <f>(AU195*KFC!$B$22+KFC!$C$22)*KFC!$C$5</f>
        <v>247.88804425005327</v>
      </c>
      <c r="W195" s="690">
        <f>(AV195*KFC!$B$22+KFC!$C$22)*KFC!$C$5</f>
        <v>256.26584203997908</v>
      </c>
      <c r="X195" s="690">
        <f>(AW195*KFC!$B$22+KFC!$C$22)*KFC!$C$5</f>
        <v>264.64363982990483</v>
      </c>
      <c r="Y195" s="690">
        <f>(AX195*KFC!$B$22+KFC!$C$22)*KFC!$C$5</f>
        <v>273.02143761983064</v>
      </c>
      <c r="Z195" s="690">
        <f>(AY195*KFC!$B$22+KFC!$C$22)*KFC!$C$5</f>
        <v>281.39923540975622</v>
      </c>
      <c r="AB195" s="771">
        <v>88.709886241463437</v>
      </c>
      <c r="AC195" s="772">
        <v>97.087684031389216</v>
      </c>
      <c r="AD195" s="772">
        <v>105.465481821315</v>
      </c>
      <c r="AE195" s="772">
        <v>113.84327961124077</v>
      </c>
      <c r="AF195" s="772">
        <v>122.22107740116655</v>
      </c>
      <c r="AG195" s="772">
        <v>130.59887519109233</v>
      </c>
      <c r="AH195" s="772">
        <v>138.97667298101811</v>
      </c>
      <c r="AI195" s="772">
        <v>147.35447077094389</v>
      </c>
      <c r="AJ195" s="772">
        <v>155.73226856086967</v>
      </c>
      <c r="AK195" s="772">
        <v>164.11006635079545</v>
      </c>
      <c r="AL195" s="772">
        <v>172.48786414072126</v>
      </c>
      <c r="AM195" s="772">
        <v>180.86566193064704</v>
      </c>
      <c r="AN195" s="772">
        <v>189.24345972057282</v>
      </c>
      <c r="AO195" s="772">
        <v>197.62125751049859</v>
      </c>
      <c r="AP195" s="772">
        <v>205.99905530042437</v>
      </c>
      <c r="AQ195" s="772">
        <v>214.37685309035015</v>
      </c>
      <c r="AR195" s="772">
        <v>222.75465088027593</v>
      </c>
      <c r="AS195" s="772">
        <v>231.13244867020171</v>
      </c>
      <c r="AT195" s="772">
        <v>239.51024646012749</v>
      </c>
      <c r="AU195" s="772">
        <v>247.88804425005327</v>
      </c>
      <c r="AV195" s="772">
        <v>256.26584203997908</v>
      </c>
      <c r="AW195" s="772">
        <v>264.64363982990483</v>
      </c>
      <c r="AX195" s="772">
        <v>273.02143761983064</v>
      </c>
      <c r="AY195" s="773">
        <v>281.39923540975622</v>
      </c>
    </row>
    <row r="196" spans="1:51">
      <c r="A196" s="1277"/>
      <c r="B196" s="681">
        <v>1.3</v>
      </c>
      <c r="C196" s="690">
        <f>(AB196*KFC!$B$22+KFC!$C$22)*KFC!$C$5</f>
        <v>91.495508890243926</v>
      </c>
      <c r="D196" s="690">
        <f>(AC196*KFC!$B$22+KFC!$C$22)*KFC!$C$5</f>
        <v>100.27167136972432</v>
      </c>
      <c r="E196" s="690">
        <f>(AD196*KFC!$B$22+KFC!$C$22)*KFC!$C$5</f>
        <v>109.04783384920471</v>
      </c>
      <c r="F196" s="690">
        <f>(AE196*KFC!$B$22+KFC!$C$22)*KFC!$C$5</f>
        <v>117.8239963286851</v>
      </c>
      <c r="G196" s="690">
        <f>(AF196*KFC!$B$22+KFC!$C$22)*KFC!$C$5</f>
        <v>126.60015880816547</v>
      </c>
      <c r="H196" s="690">
        <f>(AG196*KFC!$B$22+KFC!$C$22)*KFC!$C$5</f>
        <v>135.37632128764588</v>
      </c>
      <c r="I196" s="690">
        <f>(AH196*KFC!$B$22+KFC!$C$22)*KFC!$C$5</f>
        <v>144.15248376712626</v>
      </c>
      <c r="J196" s="690">
        <f>(AI196*KFC!$B$22+KFC!$C$22)*KFC!$C$5</f>
        <v>152.92864624660663</v>
      </c>
      <c r="K196" s="690">
        <f>(AJ196*KFC!$B$22+KFC!$C$22)*KFC!$C$5</f>
        <v>161.70480872608704</v>
      </c>
      <c r="L196" s="690">
        <f>(AK196*KFC!$B$22+KFC!$C$22)*KFC!$C$5</f>
        <v>170.48097120556741</v>
      </c>
      <c r="M196" s="690">
        <f>(AL196*KFC!$B$22+KFC!$C$22)*KFC!$C$5</f>
        <v>179.25713368504782</v>
      </c>
      <c r="N196" s="690">
        <f>(AM196*KFC!$B$22+KFC!$C$22)*KFC!$C$5</f>
        <v>188.0332961645282</v>
      </c>
      <c r="O196" s="690">
        <f>(AN196*KFC!$B$22+KFC!$C$22)*KFC!$C$5</f>
        <v>196.80945864400857</v>
      </c>
      <c r="P196" s="690">
        <f>(AO196*KFC!$B$22+KFC!$C$22)*KFC!$C$5</f>
        <v>205.58562112348898</v>
      </c>
      <c r="Q196" s="690">
        <f>(AP196*KFC!$B$22+KFC!$C$22)*KFC!$C$5</f>
        <v>214.36178360296935</v>
      </c>
      <c r="R196" s="690">
        <f>(AQ196*KFC!$B$22+KFC!$C$22)*KFC!$C$5</f>
        <v>223.13794608244976</v>
      </c>
      <c r="S196" s="690">
        <f>(AR196*KFC!$B$22+KFC!$C$22)*KFC!$C$5</f>
        <v>231.91410856193014</v>
      </c>
      <c r="T196" s="690">
        <f>(AS196*KFC!$B$22+KFC!$C$22)*KFC!$C$5</f>
        <v>240.69027104141051</v>
      </c>
      <c r="U196" s="690">
        <f>(AT196*KFC!$B$22+KFC!$C$22)*KFC!$C$5</f>
        <v>249.46643352089092</v>
      </c>
      <c r="V196" s="690">
        <f>(AU196*KFC!$B$22+KFC!$C$22)*KFC!$C$5</f>
        <v>258.24259600037129</v>
      </c>
      <c r="W196" s="690">
        <f>(AV196*KFC!$B$22+KFC!$C$22)*KFC!$C$5</f>
        <v>267.01875847985167</v>
      </c>
      <c r="X196" s="690">
        <f>(AW196*KFC!$B$22+KFC!$C$22)*KFC!$C$5</f>
        <v>275.79492095933205</v>
      </c>
      <c r="Y196" s="690">
        <f>(AX196*KFC!$B$22+KFC!$C$22)*KFC!$C$5</f>
        <v>284.57108343881248</v>
      </c>
      <c r="Z196" s="690">
        <f>(AY196*KFC!$B$22+KFC!$C$22)*KFC!$C$5</f>
        <v>293.3472459182928</v>
      </c>
      <c r="AB196" s="771">
        <v>91.495508890243926</v>
      </c>
      <c r="AC196" s="772">
        <v>100.27167136972432</v>
      </c>
      <c r="AD196" s="772">
        <v>109.04783384920471</v>
      </c>
      <c r="AE196" s="772">
        <v>117.8239963286851</v>
      </c>
      <c r="AF196" s="772">
        <v>126.60015880816547</v>
      </c>
      <c r="AG196" s="772">
        <v>135.37632128764588</v>
      </c>
      <c r="AH196" s="772">
        <v>144.15248376712626</v>
      </c>
      <c r="AI196" s="772">
        <v>152.92864624660663</v>
      </c>
      <c r="AJ196" s="772">
        <v>161.70480872608704</v>
      </c>
      <c r="AK196" s="772">
        <v>170.48097120556741</v>
      </c>
      <c r="AL196" s="772">
        <v>179.25713368504782</v>
      </c>
      <c r="AM196" s="772">
        <v>188.0332961645282</v>
      </c>
      <c r="AN196" s="772">
        <v>196.80945864400857</v>
      </c>
      <c r="AO196" s="772">
        <v>205.58562112348898</v>
      </c>
      <c r="AP196" s="772">
        <v>214.36178360296935</v>
      </c>
      <c r="AQ196" s="772">
        <v>223.13794608244976</v>
      </c>
      <c r="AR196" s="772">
        <v>231.91410856193014</v>
      </c>
      <c r="AS196" s="772">
        <v>240.69027104141051</v>
      </c>
      <c r="AT196" s="772">
        <v>249.46643352089092</v>
      </c>
      <c r="AU196" s="772">
        <v>258.24259600037129</v>
      </c>
      <c r="AV196" s="772">
        <v>267.01875847985167</v>
      </c>
      <c r="AW196" s="772">
        <v>275.79492095933205</v>
      </c>
      <c r="AX196" s="772">
        <v>284.57108343881248</v>
      </c>
      <c r="AY196" s="773">
        <v>293.3472459182928</v>
      </c>
    </row>
    <row r="197" spans="1:51">
      <c r="A197" s="1277"/>
      <c r="B197" s="681">
        <v>1.4</v>
      </c>
      <c r="C197" s="690">
        <f>(AB197*KFC!$B$22+KFC!$C$22)*KFC!$C$5</f>
        <v>94.281131539024429</v>
      </c>
      <c r="D197" s="690">
        <f>(AC197*KFC!$B$22+KFC!$C$22)*KFC!$C$5</f>
        <v>103.45565870805942</v>
      </c>
      <c r="E197" s="690">
        <f>(AD197*KFC!$B$22+KFC!$C$22)*KFC!$C$5</f>
        <v>112.63018587709442</v>
      </c>
      <c r="F197" s="690">
        <f>(AE197*KFC!$B$22+KFC!$C$22)*KFC!$C$5</f>
        <v>121.80471304612941</v>
      </c>
      <c r="G197" s="690">
        <f>(AF197*KFC!$B$22+KFC!$C$22)*KFC!$C$5</f>
        <v>130.9792402151644</v>
      </c>
      <c r="H197" s="690">
        <f>(AG197*KFC!$B$22+KFC!$C$22)*KFC!$C$5</f>
        <v>140.1537673841994</v>
      </c>
      <c r="I197" s="690">
        <f>(AH197*KFC!$B$22+KFC!$C$22)*KFC!$C$5</f>
        <v>149.3282945532344</v>
      </c>
      <c r="J197" s="690">
        <f>(AI197*KFC!$B$22+KFC!$C$22)*KFC!$C$5</f>
        <v>158.5028217222694</v>
      </c>
      <c r="K197" s="690">
        <f>(AJ197*KFC!$B$22+KFC!$C$22)*KFC!$C$5</f>
        <v>167.67734889130438</v>
      </c>
      <c r="L197" s="690">
        <f>(AK197*KFC!$B$22+KFC!$C$22)*KFC!$C$5</f>
        <v>176.85187606033938</v>
      </c>
      <c r="M197" s="690">
        <f>(AL197*KFC!$B$22+KFC!$C$22)*KFC!$C$5</f>
        <v>186.02640322937438</v>
      </c>
      <c r="N197" s="690">
        <f>(AM197*KFC!$B$22+KFC!$C$22)*KFC!$C$5</f>
        <v>195.20093039840935</v>
      </c>
      <c r="O197" s="690">
        <f>(AN197*KFC!$B$22+KFC!$C$22)*KFC!$C$5</f>
        <v>204.37545756744436</v>
      </c>
      <c r="P197" s="690">
        <f>(AO197*KFC!$B$22+KFC!$C$22)*KFC!$C$5</f>
        <v>213.54998473647936</v>
      </c>
      <c r="Q197" s="690">
        <f>(AP197*KFC!$B$22+KFC!$C$22)*KFC!$C$5</f>
        <v>222.72451190551436</v>
      </c>
      <c r="R197" s="690">
        <f>(AQ197*KFC!$B$22+KFC!$C$22)*KFC!$C$5</f>
        <v>231.89903907454934</v>
      </c>
      <c r="S197" s="690">
        <f>(AR197*KFC!$B$22+KFC!$C$22)*KFC!$C$5</f>
        <v>241.07356624358434</v>
      </c>
      <c r="T197" s="690">
        <f>(AS197*KFC!$B$22+KFC!$C$22)*KFC!$C$5</f>
        <v>250.24809341261934</v>
      </c>
      <c r="U197" s="690">
        <f>(AT197*KFC!$B$22+KFC!$C$22)*KFC!$C$5</f>
        <v>259.42262058165431</v>
      </c>
      <c r="V197" s="690">
        <f>(AU197*KFC!$B$22+KFC!$C$22)*KFC!$C$5</f>
        <v>268.59714775068932</v>
      </c>
      <c r="W197" s="690">
        <f>(AV197*KFC!$B$22+KFC!$C$22)*KFC!$C$5</f>
        <v>277.77167491972432</v>
      </c>
      <c r="X197" s="690">
        <f>(AW197*KFC!$B$22+KFC!$C$22)*KFC!$C$5</f>
        <v>286.94620208875932</v>
      </c>
      <c r="Y197" s="690">
        <f>(AX197*KFC!$B$22+KFC!$C$22)*KFC!$C$5</f>
        <v>296.12072925779432</v>
      </c>
      <c r="Z197" s="690">
        <f>(AY197*KFC!$B$22+KFC!$C$22)*KFC!$C$5</f>
        <v>305.29525642682944</v>
      </c>
      <c r="AB197" s="771">
        <v>94.281131539024429</v>
      </c>
      <c r="AC197" s="772">
        <v>103.45565870805942</v>
      </c>
      <c r="AD197" s="772">
        <v>112.63018587709442</v>
      </c>
      <c r="AE197" s="772">
        <v>121.80471304612941</v>
      </c>
      <c r="AF197" s="772">
        <v>130.9792402151644</v>
      </c>
      <c r="AG197" s="772">
        <v>140.1537673841994</v>
      </c>
      <c r="AH197" s="772">
        <v>149.3282945532344</v>
      </c>
      <c r="AI197" s="772">
        <v>158.5028217222694</v>
      </c>
      <c r="AJ197" s="772">
        <v>167.67734889130438</v>
      </c>
      <c r="AK197" s="772">
        <v>176.85187606033938</v>
      </c>
      <c r="AL197" s="772">
        <v>186.02640322937438</v>
      </c>
      <c r="AM197" s="772">
        <v>195.20093039840935</v>
      </c>
      <c r="AN197" s="772">
        <v>204.37545756744436</v>
      </c>
      <c r="AO197" s="772">
        <v>213.54998473647936</v>
      </c>
      <c r="AP197" s="772">
        <v>222.72451190551436</v>
      </c>
      <c r="AQ197" s="772">
        <v>231.89903907454934</v>
      </c>
      <c r="AR197" s="772">
        <v>241.07356624358434</v>
      </c>
      <c r="AS197" s="772">
        <v>250.24809341261934</v>
      </c>
      <c r="AT197" s="772">
        <v>259.42262058165431</v>
      </c>
      <c r="AU197" s="772">
        <v>268.59714775068932</v>
      </c>
      <c r="AV197" s="772">
        <v>277.77167491972432</v>
      </c>
      <c r="AW197" s="772">
        <v>286.94620208875932</v>
      </c>
      <c r="AX197" s="772">
        <v>296.12072925779432</v>
      </c>
      <c r="AY197" s="773">
        <v>305.29525642682944</v>
      </c>
    </row>
    <row r="198" spans="1:51">
      <c r="A198" s="1277"/>
      <c r="B198" s="681">
        <v>1.5</v>
      </c>
      <c r="C198" s="690">
        <f>(AB198*KFC!$B$22+KFC!$C$22)*KFC!$C$5</f>
        <v>97.066754187804918</v>
      </c>
      <c r="D198" s="690">
        <f>(AC198*KFC!$B$22+KFC!$C$22)*KFC!$C$5</f>
        <v>106.63964604639455</v>
      </c>
      <c r="E198" s="690">
        <f>(AD198*KFC!$B$22+KFC!$C$22)*KFC!$C$5</f>
        <v>116.21253790498416</v>
      </c>
      <c r="F198" s="690">
        <f>(AE198*KFC!$B$22+KFC!$C$22)*KFC!$C$5</f>
        <v>125.78542976357379</v>
      </c>
      <c r="G198" s="690">
        <f>(AF198*KFC!$B$22+KFC!$C$22)*KFC!$C$5</f>
        <v>135.3583216221634</v>
      </c>
      <c r="H198" s="690">
        <f>(AG198*KFC!$B$22+KFC!$C$22)*KFC!$C$5</f>
        <v>144.93121348075303</v>
      </c>
      <c r="I198" s="690">
        <f>(AH198*KFC!$B$22+KFC!$C$22)*KFC!$C$5</f>
        <v>154.50410533934263</v>
      </c>
      <c r="J198" s="690">
        <f>(AI198*KFC!$B$22+KFC!$C$22)*KFC!$C$5</f>
        <v>164.07699719793226</v>
      </c>
      <c r="K198" s="690">
        <f>(AJ198*KFC!$B$22+KFC!$C$22)*KFC!$C$5</f>
        <v>173.64988905652189</v>
      </c>
      <c r="L198" s="690">
        <f>(AK198*KFC!$B$22+KFC!$C$22)*KFC!$C$5</f>
        <v>183.22278091511149</v>
      </c>
      <c r="M198" s="690">
        <f>(AL198*KFC!$B$22+KFC!$C$22)*KFC!$C$5</f>
        <v>192.79567277370109</v>
      </c>
      <c r="N198" s="690">
        <f>(AM198*KFC!$B$22+KFC!$C$22)*KFC!$C$5</f>
        <v>202.36856463229068</v>
      </c>
      <c r="O198" s="690">
        <f>(AN198*KFC!$B$22+KFC!$C$22)*KFC!$C$5</f>
        <v>211.94145649088028</v>
      </c>
      <c r="P198" s="690">
        <f>(AO198*KFC!$B$22+KFC!$C$22)*KFC!$C$5</f>
        <v>221.51434834946988</v>
      </c>
      <c r="Q198" s="690">
        <f>(AP198*KFC!$B$22+KFC!$C$22)*KFC!$C$5</f>
        <v>231.08724020805948</v>
      </c>
      <c r="R198" s="690">
        <f>(AQ198*KFC!$B$22+KFC!$C$22)*KFC!$C$5</f>
        <v>240.66013206664908</v>
      </c>
      <c r="S198" s="690">
        <f>(AR198*KFC!$B$22+KFC!$C$22)*KFC!$C$5</f>
        <v>250.23302392523868</v>
      </c>
      <c r="T198" s="690">
        <f>(AS198*KFC!$B$22+KFC!$C$22)*KFC!$C$5</f>
        <v>259.80591578382831</v>
      </c>
      <c r="U198" s="690">
        <f>(AT198*KFC!$B$22+KFC!$C$22)*KFC!$C$5</f>
        <v>269.37880764241788</v>
      </c>
      <c r="V198" s="690">
        <f>(AU198*KFC!$B$22+KFC!$C$22)*KFC!$C$5</f>
        <v>278.95169950100751</v>
      </c>
      <c r="W198" s="690">
        <f>(AV198*KFC!$B$22+KFC!$C$22)*KFC!$C$5</f>
        <v>288.52459135959708</v>
      </c>
      <c r="X198" s="690">
        <f>(AW198*KFC!$B$22+KFC!$C$22)*KFC!$C$5</f>
        <v>298.09748321818671</v>
      </c>
      <c r="Y198" s="690">
        <f>(AX198*KFC!$B$22+KFC!$C$22)*KFC!$C$5</f>
        <v>307.67037507677628</v>
      </c>
      <c r="Z198" s="690">
        <f>(AY198*KFC!$B$22+KFC!$C$22)*KFC!$C$5</f>
        <v>317.24326693536602</v>
      </c>
      <c r="AB198" s="771">
        <v>97.066754187804918</v>
      </c>
      <c r="AC198" s="772">
        <v>106.63964604639455</v>
      </c>
      <c r="AD198" s="772">
        <v>116.21253790498416</v>
      </c>
      <c r="AE198" s="772">
        <v>125.78542976357379</v>
      </c>
      <c r="AF198" s="772">
        <v>135.3583216221634</v>
      </c>
      <c r="AG198" s="772">
        <v>144.93121348075303</v>
      </c>
      <c r="AH198" s="772">
        <v>154.50410533934263</v>
      </c>
      <c r="AI198" s="772">
        <v>164.07699719793226</v>
      </c>
      <c r="AJ198" s="772">
        <v>173.64988905652189</v>
      </c>
      <c r="AK198" s="772">
        <v>183.22278091511149</v>
      </c>
      <c r="AL198" s="772">
        <v>192.79567277370109</v>
      </c>
      <c r="AM198" s="772">
        <v>202.36856463229068</v>
      </c>
      <c r="AN198" s="772">
        <v>211.94145649088028</v>
      </c>
      <c r="AO198" s="772">
        <v>221.51434834946988</v>
      </c>
      <c r="AP198" s="772">
        <v>231.08724020805948</v>
      </c>
      <c r="AQ198" s="772">
        <v>240.66013206664908</v>
      </c>
      <c r="AR198" s="772">
        <v>250.23302392523868</v>
      </c>
      <c r="AS198" s="772">
        <v>259.80591578382831</v>
      </c>
      <c r="AT198" s="772">
        <v>269.37880764241788</v>
      </c>
      <c r="AU198" s="772">
        <v>278.95169950100751</v>
      </c>
      <c r="AV198" s="772">
        <v>288.52459135959708</v>
      </c>
      <c r="AW198" s="772">
        <v>298.09748321818671</v>
      </c>
      <c r="AX198" s="772">
        <v>307.67037507677628</v>
      </c>
      <c r="AY198" s="773">
        <v>317.24326693536602</v>
      </c>
    </row>
    <row r="199" spans="1:51">
      <c r="A199" s="1277"/>
      <c r="B199" s="681">
        <v>1.6</v>
      </c>
      <c r="C199" s="690">
        <f>(AB199*KFC!$B$22+KFC!$C$22)*KFC!$C$5</f>
        <v>99.852376836585421</v>
      </c>
      <c r="D199" s="690">
        <f>(AC199*KFC!$B$22+KFC!$C$22)*KFC!$C$5</f>
        <v>109.82363338472965</v>
      </c>
      <c r="E199" s="690">
        <f>(AD199*KFC!$B$22+KFC!$C$22)*KFC!$C$5</f>
        <v>119.79488993287387</v>
      </c>
      <c r="F199" s="690">
        <f>(AE199*KFC!$B$22+KFC!$C$22)*KFC!$C$5</f>
        <v>129.7661464810181</v>
      </c>
      <c r="G199" s="690">
        <f>(AF199*KFC!$B$22+KFC!$C$22)*KFC!$C$5</f>
        <v>139.73740302916232</v>
      </c>
      <c r="H199" s="690">
        <f>(AG199*KFC!$B$22+KFC!$C$22)*KFC!$C$5</f>
        <v>149.70865957730655</v>
      </c>
      <c r="I199" s="690">
        <f>(AH199*KFC!$B$22+KFC!$C$22)*KFC!$C$5</f>
        <v>159.67991612545077</v>
      </c>
      <c r="J199" s="690">
        <f>(AI199*KFC!$B$22+KFC!$C$22)*KFC!$C$5</f>
        <v>169.651172673595</v>
      </c>
      <c r="K199" s="690">
        <f>(AJ199*KFC!$B$22+KFC!$C$22)*KFC!$C$5</f>
        <v>179.6224292217392</v>
      </c>
      <c r="L199" s="690">
        <f>(AK199*KFC!$B$22+KFC!$C$22)*KFC!$C$5</f>
        <v>189.59368576988339</v>
      </c>
      <c r="M199" s="690">
        <f>(AL199*KFC!$B$22+KFC!$C$22)*KFC!$C$5</f>
        <v>199.56494231802762</v>
      </c>
      <c r="N199" s="690">
        <f>(AM199*KFC!$B$22+KFC!$C$22)*KFC!$C$5</f>
        <v>209.53619886617182</v>
      </c>
      <c r="O199" s="690">
        <f>(AN199*KFC!$B$22+KFC!$C$22)*KFC!$C$5</f>
        <v>219.50745541431604</v>
      </c>
      <c r="P199" s="690">
        <f>(AO199*KFC!$B$22+KFC!$C$22)*KFC!$C$5</f>
        <v>229.47871196246024</v>
      </c>
      <c r="Q199" s="690">
        <f>(AP199*KFC!$B$22+KFC!$C$22)*KFC!$C$5</f>
        <v>239.44996851060444</v>
      </c>
      <c r="R199" s="690">
        <f>(AQ199*KFC!$B$22+KFC!$C$22)*KFC!$C$5</f>
        <v>249.42122505874866</v>
      </c>
      <c r="S199" s="690">
        <f>(AR199*KFC!$B$22+KFC!$C$22)*KFC!$C$5</f>
        <v>259.39248160689289</v>
      </c>
      <c r="T199" s="690">
        <f>(AS199*KFC!$B$22+KFC!$C$22)*KFC!$C$5</f>
        <v>269.36373815503708</v>
      </c>
      <c r="U199" s="690">
        <f>(AT199*KFC!$B$22+KFC!$C$22)*KFC!$C$5</f>
        <v>279.33499470318128</v>
      </c>
      <c r="V199" s="690">
        <f>(AU199*KFC!$B$22+KFC!$C$22)*KFC!$C$5</f>
        <v>289.30625125132548</v>
      </c>
      <c r="W199" s="690">
        <f>(AV199*KFC!$B$22+KFC!$C$22)*KFC!$C$5</f>
        <v>299.27750779946967</v>
      </c>
      <c r="X199" s="690">
        <f>(AW199*KFC!$B$22+KFC!$C$22)*KFC!$C$5</f>
        <v>309.24876434761387</v>
      </c>
      <c r="Y199" s="690">
        <f>(AX199*KFC!$B$22+KFC!$C$22)*KFC!$C$5</f>
        <v>319.22002089575813</v>
      </c>
      <c r="Z199" s="690">
        <f>(AY199*KFC!$B$22+KFC!$C$22)*KFC!$C$5</f>
        <v>329.19127744390261</v>
      </c>
      <c r="AB199" s="771">
        <v>99.852376836585421</v>
      </c>
      <c r="AC199" s="772">
        <v>109.82363338472965</v>
      </c>
      <c r="AD199" s="772">
        <v>119.79488993287387</v>
      </c>
      <c r="AE199" s="772">
        <v>129.7661464810181</v>
      </c>
      <c r="AF199" s="772">
        <v>139.73740302916232</v>
      </c>
      <c r="AG199" s="772">
        <v>149.70865957730655</v>
      </c>
      <c r="AH199" s="772">
        <v>159.67991612545077</v>
      </c>
      <c r="AI199" s="772">
        <v>169.651172673595</v>
      </c>
      <c r="AJ199" s="772">
        <v>179.6224292217392</v>
      </c>
      <c r="AK199" s="772">
        <v>189.59368576988339</v>
      </c>
      <c r="AL199" s="772">
        <v>199.56494231802762</v>
      </c>
      <c r="AM199" s="772">
        <v>209.53619886617182</v>
      </c>
      <c r="AN199" s="772">
        <v>219.50745541431604</v>
      </c>
      <c r="AO199" s="772">
        <v>229.47871196246024</v>
      </c>
      <c r="AP199" s="772">
        <v>239.44996851060444</v>
      </c>
      <c r="AQ199" s="772">
        <v>249.42122505874866</v>
      </c>
      <c r="AR199" s="772">
        <v>259.39248160689289</v>
      </c>
      <c r="AS199" s="772">
        <v>269.36373815503708</v>
      </c>
      <c r="AT199" s="772">
        <v>279.33499470318128</v>
      </c>
      <c r="AU199" s="772">
        <v>289.30625125132548</v>
      </c>
      <c r="AV199" s="772">
        <v>299.27750779946967</v>
      </c>
      <c r="AW199" s="772">
        <v>309.24876434761387</v>
      </c>
      <c r="AX199" s="772">
        <v>319.22002089575813</v>
      </c>
      <c r="AY199" s="773">
        <v>329.19127744390261</v>
      </c>
    </row>
    <row r="200" spans="1:51">
      <c r="A200" s="1277"/>
      <c r="B200" s="681">
        <v>1.7</v>
      </c>
      <c r="C200" s="690">
        <f>(AB200*KFC!$B$22+KFC!$C$22)*KFC!$C$5</f>
        <v>102.63799948536592</v>
      </c>
      <c r="D200" s="690">
        <f>(AC200*KFC!$B$22+KFC!$C$22)*KFC!$C$5</f>
        <v>113.00762072306475</v>
      </c>
      <c r="E200" s="690">
        <f>(AD200*KFC!$B$22+KFC!$C$22)*KFC!$C$5</f>
        <v>123.37724196076358</v>
      </c>
      <c r="F200" s="690">
        <f>(AE200*KFC!$B$22+KFC!$C$22)*KFC!$C$5</f>
        <v>133.74686319846242</v>
      </c>
      <c r="G200" s="690">
        <f>(AF200*KFC!$B$22+KFC!$C$22)*KFC!$C$5</f>
        <v>144.11648443616124</v>
      </c>
      <c r="H200" s="690">
        <f>(AG200*KFC!$B$22+KFC!$C$22)*KFC!$C$5</f>
        <v>154.4861056738601</v>
      </c>
      <c r="I200" s="690">
        <f>(AH200*KFC!$B$22+KFC!$C$22)*KFC!$C$5</f>
        <v>164.85572691155892</v>
      </c>
      <c r="J200" s="690">
        <f>(AI200*KFC!$B$22+KFC!$C$22)*KFC!$C$5</f>
        <v>175.22534814925777</v>
      </c>
      <c r="K200" s="690">
        <f>(AJ200*KFC!$B$22+KFC!$C$22)*KFC!$C$5</f>
        <v>185.59496938695662</v>
      </c>
      <c r="L200" s="690">
        <f>(AK200*KFC!$B$22+KFC!$C$22)*KFC!$C$5</f>
        <v>195.96459062465547</v>
      </c>
      <c r="M200" s="690">
        <f>(AL200*KFC!$B$22+KFC!$C$22)*KFC!$C$5</f>
        <v>206.33421186235432</v>
      </c>
      <c r="N200" s="690">
        <f>(AM200*KFC!$B$22+KFC!$C$22)*KFC!$C$5</f>
        <v>216.70383310005317</v>
      </c>
      <c r="O200" s="690">
        <f>(AN200*KFC!$B$22+KFC!$C$22)*KFC!$C$5</f>
        <v>227.07345433775203</v>
      </c>
      <c r="P200" s="690">
        <f>(AO200*KFC!$B$22+KFC!$C$22)*KFC!$C$5</f>
        <v>237.44307557545088</v>
      </c>
      <c r="Q200" s="690">
        <f>(AP200*KFC!$B$22+KFC!$C$22)*KFC!$C$5</f>
        <v>247.81269681314973</v>
      </c>
      <c r="R200" s="690">
        <f>(AQ200*KFC!$B$22+KFC!$C$22)*KFC!$C$5</f>
        <v>258.18231805084861</v>
      </c>
      <c r="S200" s="690">
        <f>(AR200*KFC!$B$22+KFC!$C$22)*KFC!$C$5</f>
        <v>268.55193928854743</v>
      </c>
      <c r="T200" s="690">
        <f>(AS200*KFC!$B$22+KFC!$C$22)*KFC!$C$5</f>
        <v>278.92156052624631</v>
      </c>
      <c r="U200" s="690">
        <f>(AT200*KFC!$B$22+KFC!$C$22)*KFC!$C$5</f>
        <v>289.29118176394513</v>
      </c>
      <c r="V200" s="690">
        <f>(AU200*KFC!$B$22+KFC!$C$22)*KFC!$C$5</f>
        <v>299.66080300164401</v>
      </c>
      <c r="W200" s="690">
        <f>(AV200*KFC!$B$22+KFC!$C$22)*KFC!$C$5</f>
        <v>310.03042423934284</v>
      </c>
      <c r="X200" s="690">
        <f>(AW200*KFC!$B$22+KFC!$C$22)*KFC!$C$5</f>
        <v>320.40004547704172</v>
      </c>
      <c r="Y200" s="690">
        <f>(AX200*KFC!$B$22+KFC!$C$22)*KFC!$C$5</f>
        <v>330.76966671474054</v>
      </c>
      <c r="Z200" s="690">
        <f>(AY200*KFC!$B$22+KFC!$C$22)*KFC!$C$5</f>
        <v>341.13928795243919</v>
      </c>
      <c r="AB200" s="771">
        <v>102.63799948536592</v>
      </c>
      <c r="AC200" s="772">
        <v>113.00762072306475</v>
      </c>
      <c r="AD200" s="772">
        <v>123.37724196076358</v>
      </c>
      <c r="AE200" s="772">
        <v>133.74686319846242</v>
      </c>
      <c r="AF200" s="772">
        <v>144.11648443616124</v>
      </c>
      <c r="AG200" s="772">
        <v>154.4861056738601</v>
      </c>
      <c r="AH200" s="772">
        <v>164.85572691155892</v>
      </c>
      <c r="AI200" s="772">
        <v>175.22534814925777</v>
      </c>
      <c r="AJ200" s="772">
        <v>185.59496938695662</v>
      </c>
      <c r="AK200" s="772">
        <v>195.96459062465547</v>
      </c>
      <c r="AL200" s="772">
        <v>206.33421186235432</v>
      </c>
      <c r="AM200" s="772">
        <v>216.70383310005317</v>
      </c>
      <c r="AN200" s="772">
        <v>227.07345433775203</v>
      </c>
      <c r="AO200" s="772">
        <v>237.44307557545088</v>
      </c>
      <c r="AP200" s="772">
        <v>247.81269681314973</v>
      </c>
      <c r="AQ200" s="772">
        <v>258.18231805084861</v>
      </c>
      <c r="AR200" s="772">
        <v>268.55193928854743</v>
      </c>
      <c r="AS200" s="772">
        <v>278.92156052624631</v>
      </c>
      <c r="AT200" s="772">
        <v>289.29118176394513</v>
      </c>
      <c r="AU200" s="772">
        <v>299.66080300164401</v>
      </c>
      <c r="AV200" s="772">
        <v>310.03042423934284</v>
      </c>
      <c r="AW200" s="772">
        <v>320.40004547704172</v>
      </c>
      <c r="AX200" s="772">
        <v>330.76966671474054</v>
      </c>
      <c r="AY200" s="773">
        <v>341.13928795243919</v>
      </c>
    </row>
    <row r="201" spans="1:51">
      <c r="A201" s="1277"/>
      <c r="B201" s="681">
        <v>1.8</v>
      </c>
      <c r="C201" s="690">
        <f>(AB201*KFC!$B$22+KFC!$C$22)*KFC!$C$5</f>
        <v>105.42362213414641</v>
      </c>
      <c r="D201" s="690">
        <f>(AC201*KFC!$B$22+KFC!$C$22)*KFC!$C$5</f>
        <v>116.19160806139988</v>
      </c>
      <c r="E201" s="690">
        <f>(AD201*KFC!$B$22+KFC!$C$22)*KFC!$C$5</f>
        <v>126.95959398865334</v>
      </c>
      <c r="F201" s="690">
        <f>(AE201*KFC!$B$22+KFC!$C$22)*KFC!$C$5</f>
        <v>137.7275799159068</v>
      </c>
      <c r="G201" s="690">
        <f>(AF201*KFC!$B$22+KFC!$C$22)*KFC!$C$5</f>
        <v>148.49556584316025</v>
      </c>
      <c r="H201" s="690">
        <f>(AG201*KFC!$B$22+KFC!$C$22)*KFC!$C$5</f>
        <v>159.2635517704137</v>
      </c>
      <c r="I201" s="690">
        <f>(AH201*KFC!$B$22+KFC!$C$22)*KFC!$C$5</f>
        <v>170.03153769766718</v>
      </c>
      <c r="J201" s="690">
        <f>(AI201*KFC!$B$22+KFC!$C$22)*KFC!$C$5</f>
        <v>180.79952362492062</v>
      </c>
      <c r="K201" s="690">
        <f>(AJ201*KFC!$B$22+KFC!$C$22)*KFC!$C$5</f>
        <v>191.56750955217407</v>
      </c>
      <c r="L201" s="690">
        <f>(AK201*KFC!$B$22+KFC!$C$22)*KFC!$C$5</f>
        <v>202.33549547942755</v>
      </c>
      <c r="M201" s="690">
        <f>(AL201*KFC!$B$22+KFC!$C$22)*KFC!$C$5</f>
        <v>213.103481406681</v>
      </c>
      <c r="N201" s="690">
        <f>(AM201*KFC!$B$22+KFC!$C$22)*KFC!$C$5</f>
        <v>223.87146733393445</v>
      </c>
      <c r="O201" s="690">
        <f>(AN201*KFC!$B$22+KFC!$C$22)*KFC!$C$5</f>
        <v>234.63945326118792</v>
      </c>
      <c r="P201" s="690">
        <f>(AO201*KFC!$B$22+KFC!$C$22)*KFC!$C$5</f>
        <v>245.40743918844137</v>
      </c>
      <c r="Q201" s="690">
        <f>(AP201*KFC!$B$22+KFC!$C$22)*KFC!$C$5</f>
        <v>256.17542511569485</v>
      </c>
      <c r="R201" s="690">
        <f>(AQ201*KFC!$B$22+KFC!$C$22)*KFC!$C$5</f>
        <v>266.9434110429483</v>
      </c>
      <c r="S201" s="690">
        <f>(AR201*KFC!$B$22+KFC!$C$22)*KFC!$C$5</f>
        <v>277.71139697020175</v>
      </c>
      <c r="T201" s="690">
        <f>(AS201*KFC!$B$22+KFC!$C$22)*KFC!$C$5</f>
        <v>288.4793828974552</v>
      </c>
      <c r="U201" s="690">
        <f>(AT201*KFC!$B$22+KFC!$C$22)*KFC!$C$5</f>
        <v>299.24736882470864</v>
      </c>
      <c r="V201" s="690">
        <f>(AU201*KFC!$B$22+KFC!$C$22)*KFC!$C$5</f>
        <v>310.01535475196215</v>
      </c>
      <c r="W201" s="690">
        <f>(AV201*KFC!$B$22+KFC!$C$22)*KFC!$C$5</f>
        <v>320.7833406792156</v>
      </c>
      <c r="X201" s="690">
        <f>(AW201*KFC!$B$22+KFC!$C$22)*KFC!$C$5</f>
        <v>331.55132660646905</v>
      </c>
      <c r="Y201" s="690">
        <f>(AX201*KFC!$B$22+KFC!$C$22)*KFC!$C$5</f>
        <v>342.3193125337225</v>
      </c>
      <c r="Z201" s="690">
        <f>(AY201*KFC!$B$22+KFC!$C$22)*KFC!$C$5</f>
        <v>353.08729846097577</v>
      </c>
      <c r="AB201" s="771">
        <v>105.42362213414641</v>
      </c>
      <c r="AC201" s="772">
        <v>116.19160806139988</v>
      </c>
      <c r="AD201" s="772">
        <v>126.95959398865334</v>
      </c>
      <c r="AE201" s="772">
        <v>137.7275799159068</v>
      </c>
      <c r="AF201" s="772">
        <v>148.49556584316025</v>
      </c>
      <c r="AG201" s="772">
        <v>159.2635517704137</v>
      </c>
      <c r="AH201" s="772">
        <v>170.03153769766718</v>
      </c>
      <c r="AI201" s="772">
        <v>180.79952362492062</v>
      </c>
      <c r="AJ201" s="772">
        <v>191.56750955217407</v>
      </c>
      <c r="AK201" s="772">
        <v>202.33549547942755</v>
      </c>
      <c r="AL201" s="772">
        <v>213.103481406681</v>
      </c>
      <c r="AM201" s="772">
        <v>223.87146733393445</v>
      </c>
      <c r="AN201" s="772">
        <v>234.63945326118792</v>
      </c>
      <c r="AO201" s="772">
        <v>245.40743918844137</v>
      </c>
      <c r="AP201" s="772">
        <v>256.17542511569485</v>
      </c>
      <c r="AQ201" s="772">
        <v>266.9434110429483</v>
      </c>
      <c r="AR201" s="772">
        <v>277.71139697020175</v>
      </c>
      <c r="AS201" s="772">
        <v>288.4793828974552</v>
      </c>
      <c r="AT201" s="772">
        <v>299.24736882470864</v>
      </c>
      <c r="AU201" s="772">
        <v>310.01535475196215</v>
      </c>
      <c r="AV201" s="772">
        <v>320.7833406792156</v>
      </c>
      <c r="AW201" s="772">
        <v>331.55132660646905</v>
      </c>
      <c r="AX201" s="772">
        <v>342.3193125337225</v>
      </c>
      <c r="AY201" s="773">
        <v>353.08729846097577</v>
      </c>
    </row>
    <row r="202" spans="1:51">
      <c r="A202" s="1277"/>
      <c r="B202" s="681">
        <v>1.9</v>
      </c>
      <c r="C202" s="690">
        <f>(AB202*KFC!$B$22+KFC!$C$22)*KFC!$C$5</f>
        <v>108.20924478292692</v>
      </c>
      <c r="D202" s="690">
        <f>(AC202*KFC!$B$22+KFC!$C$22)*KFC!$C$5</f>
        <v>119.37559539973498</v>
      </c>
      <c r="E202" s="690">
        <f>(AD202*KFC!$B$22+KFC!$C$22)*KFC!$C$5</f>
        <v>130.54194601654305</v>
      </c>
      <c r="F202" s="690">
        <f>(AE202*KFC!$B$22+KFC!$C$22)*KFC!$C$5</f>
        <v>141.7082966333511</v>
      </c>
      <c r="G202" s="690">
        <f>(AF202*KFC!$B$22+KFC!$C$22)*KFC!$C$5</f>
        <v>152.87464725015917</v>
      </c>
      <c r="H202" s="690">
        <f>(AG202*KFC!$B$22+KFC!$C$22)*KFC!$C$5</f>
        <v>164.04099786696725</v>
      </c>
      <c r="I202" s="690">
        <f>(AH202*KFC!$B$22+KFC!$C$22)*KFC!$C$5</f>
        <v>175.20734848377529</v>
      </c>
      <c r="J202" s="690">
        <f>(AI202*KFC!$B$22+KFC!$C$22)*KFC!$C$5</f>
        <v>186.37369910058337</v>
      </c>
      <c r="K202" s="690">
        <f>(AJ202*KFC!$B$22+KFC!$C$22)*KFC!$C$5</f>
        <v>197.54004971739144</v>
      </c>
      <c r="L202" s="690">
        <f>(AK202*KFC!$B$22+KFC!$C$22)*KFC!$C$5</f>
        <v>208.70640033419951</v>
      </c>
      <c r="M202" s="690">
        <f>(AL202*KFC!$B$22+KFC!$C$22)*KFC!$C$5</f>
        <v>219.87275095100756</v>
      </c>
      <c r="N202" s="690">
        <f>(AM202*KFC!$B$22+KFC!$C$22)*KFC!$C$5</f>
        <v>231.03910156781564</v>
      </c>
      <c r="O202" s="690">
        <f>(AN202*KFC!$B$22+KFC!$C$22)*KFC!$C$5</f>
        <v>242.20545218462371</v>
      </c>
      <c r="P202" s="690">
        <f>(AO202*KFC!$B$22+KFC!$C$22)*KFC!$C$5</f>
        <v>253.37180280143176</v>
      </c>
      <c r="Q202" s="690">
        <f>(AP202*KFC!$B$22+KFC!$C$22)*KFC!$C$5</f>
        <v>264.5381534182398</v>
      </c>
      <c r="R202" s="690">
        <f>(AQ202*KFC!$B$22+KFC!$C$22)*KFC!$C$5</f>
        <v>275.70450403504788</v>
      </c>
      <c r="S202" s="690">
        <f>(AR202*KFC!$B$22+KFC!$C$22)*KFC!$C$5</f>
        <v>286.87085465185595</v>
      </c>
      <c r="T202" s="690">
        <f>(AS202*KFC!$B$22+KFC!$C$22)*KFC!$C$5</f>
        <v>298.03720526866402</v>
      </c>
      <c r="U202" s="690">
        <f>(AT202*KFC!$B$22+KFC!$C$22)*KFC!$C$5</f>
        <v>309.2035558854721</v>
      </c>
      <c r="V202" s="690">
        <f>(AU202*KFC!$B$22+KFC!$C$22)*KFC!$C$5</f>
        <v>320.36990650228017</v>
      </c>
      <c r="W202" s="690">
        <f>(AV202*KFC!$B$22+KFC!$C$22)*KFC!$C$5</f>
        <v>331.53625711908825</v>
      </c>
      <c r="X202" s="690">
        <f>(AW202*KFC!$B$22+KFC!$C$22)*KFC!$C$5</f>
        <v>342.70260773589627</v>
      </c>
      <c r="Y202" s="690">
        <f>(AX202*KFC!$B$22+KFC!$C$22)*KFC!$C$5</f>
        <v>353.86895835270434</v>
      </c>
      <c r="Z202" s="690">
        <f>(AY202*KFC!$B$22+KFC!$C$22)*KFC!$C$5</f>
        <v>365.03530896951236</v>
      </c>
      <c r="AB202" s="771">
        <v>108.20924478292692</v>
      </c>
      <c r="AC202" s="772">
        <v>119.37559539973498</v>
      </c>
      <c r="AD202" s="772">
        <v>130.54194601654305</v>
      </c>
      <c r="AE202" s="772">
        <v>141.7082966333511</v>
      </c>
      <c r="AF202" s="772">
        <v>152.87464725015917</v>
      </c>
      <c r="AG202" s="772">
        <v>164.04099786696725</v>
      </c>
      <c r="AH202" s="772">
        <v>175.20734848377529</v>
      </c>
      <c r="AI202" s="772">
        <v>186.37369910058337</v>
      </c>
      <c r="AJ202" s="772">
        <v>197.54004971739144</v>
      </c>
      <c r="AK202" s="772">
        <v>208.70640033419951</v>
      </c>
      <c r="AL202" s="772">
        <v>219.87275095100756</v>
      </c>
      <c r="AM202" s="772">
        <v>231.03910156781564</v>
      </c>
      <c r="AN202" s="772">
        <v>242.20545218462371</v>
      </c>
      <c r="AO202" s="772">
        <v>253.37180280143176</v>
      </c>
      <c r="AP202" s="772">
        <v>264.5381534182398</v>
      </c>
      <c r="AQ202" s="772">
        <v>275.70450403504788</v>
      </c>
      <c r="AR202" s="772">
        <v>286.87085465185595</v>
      </c>
      <c r="AS202" s="772">
        <v>298.03720526866402</v>
      </c>
      <c r="AT202" s="772">
        <v>309.2035558854721</v>
      </c>
      <c r="AU202" s="772">
        <v>320.36990650228017</v>
      </c>
      <c r="AV202" s="772">
        <v>331.53625711908825</v>
      </c>
      <c r="AW202" s="772">
        <v>342.70260773589627</v>
      </c>
      <c r="AX202" s="772">
        <v>353.86895835270434</v>
      </c>
      <c r="AY202" s="773">
        <v>365.03530896951236</v>
      </c>
    </row>
    <row r="203" spans="1:51">
      <c r="A203" s="1277"/>
      <c r="B203" s="681">
        <v>2</v>
      </c>
      <c r="C203" s="690">
        <f>(AB203*KFC!$B$22+KFC!$C$22)*KFC!$C$5</f>
        <v>110.99486743170741</v>
      </c>
      <c r="D203" s="690">
        <f>(AC203*KFC!$B$22+KFC!$C$22)*KFC!$C$5</f>
        <v>122.55958273807008</v>
      </c>
      <c r="E203" s="690">
        <f>(AD203*KFC!$B$22+KFC!$C$22)*KFC!$C$5</f>
        <v>134.12429804443275</v>
      </c>
      <c r="F203" s="690">
        <f>(AE203*KFC!$B$22+KFC!$C$22)*KFC!$C$5</f>
        <v>145.68901335079542</v>
      </c>
      <c r="G203" s="690">
        <f>(AF203*KFC!$B$22+KFC!$C$22)*KFC!$C$5</f>
        <v>157.25372865715809</v>
      </c>
      <c r="H203" s="690">
        <f>(AG203*KFC!$B$22+KFC!$C$22)*KFC!$C$5</f>
        <v>168.81844396352076</v>
      </c>
      <c r="I203" s="690">
        <f>(AH203*KFC!$B$22+KFC!$C$22)*KFC!$C$5</f>
        <v>180.38315926988344</v>
      </c>
      <c r="J203" s="690">
        <f>(AI203*KFC!$B$22+KFC!$C$22)*KFC!$C$5</f>
        <v>191.94787457624611</v>
      </c>
      <c r="K203" s="690">
        <f>(AJ203*KFC!$B$22+KFC!$C$22)*KFC!$C$5</f>
        <v>203.51258988260878</v>
      </c>
      <c r="L203" s="690">
        <f>(AK203*KFC!$B$22+KFC!$C$22)*KFC!$C$5</f>
        <v>215.07730518897145</v>
      </c>
      <c r="M203" s="690">
        <f>(AL203*KFC!$B$22+KFC!$C$22)*KFC!$C$5</f>
        <v>226.64202049533412</v>
      </c>
      <c r="N203" s="690">
        <f>(AM203*KFC!$B$22+KFC!$C$22)*KFC!$C$5</f>
        <v>238.20673580169679</v>
      </c>
      <c r="O203" s="690">
        <f>(AN203*KFC!$B$22+KFC!$C$22)*KFC!$C$5</f>
        <v>249.77145110805947</v>
      </c>
      <c r="P203" s="690">
        <f>(AO203*KFC!$B$22+KFC!$C$22)*KFC!$C$5</f>
        <v>261.33616641442217</v>
      </c>
      <c r="Q203" s="690">
        <f>(AP203*KFC!$B$22+KFC!$C$22)*KFC!$C$5</f>
        <v>272.90088172078481</v>
      </c>
      <c r="R203" s="690">
        <f>(AQ203*KFC!$B$22+KFC!$C$22)*KFC!$C$5</f>
        <v>284.46559702714751</v>
      </c>
      <c r="S203" s="690">
        <f>(AR203*KFC!$B$22+KFC!$C$22)*KFC!$C$5</f>
        <v>296.03031233351015</v>
      </c>
      <c r="T203" s="690">
        <f>(AS203*KFC!$B$22+KFC!$C$22)*KFC!$C$5</f>
        <v>307.59502763987285</v>
      </c>
      <c r="U203" s="690">
        <f>(AT203*KFC!$B$22+KFC!$C$22)*KFC!$C$5</f>
        <v>319.1597429462355</v>
      </c>
      <c r="V203" s="690">
        <f>(AU203*KFC!$B$22+KFC!$C$22)*KFC!$C$5</f>
        <v>330.7244582525982</v>
      </c>
      <c r="W203" s="690">
        <f>(AV203*KFC!$B$22+KFC!$C$22)*KFC!$C$5</f>
        <v>342.28917355896084</v>
      </c>
      <c r="X203" s="690">
        <f>(AW203*KFC!$B$22+KFC!$C$22)*KFC!$C$5</f>
        <v>353.85388886532354</v>
      </c>
      <c r="Y203" s="690">
        <f>(AX203*KFC!$B$22+KFC!$C$22)*KFC!$C$5</f>
        <v>365.4186041716863</v>
      </c>
      <c r="Z203" s="690">
        <f>(AY203*KFC!$B$22+KFC!$C$22)*KFC!$C$5</f>
        <v>376.98331947804888</v>
      </c>
      <c r="AB203" s="771">
        <v>110.99486743170741</v>
      </c>
      <c r="AC203" s="772">
        <v>122.55958273807008</v>
      </c>
      <c r="AD203" s="772">
        <v>134.12429804443275</v>
      </c>
      <c r="AE203" s="772">
        <v>145.68901335079542</v>
      </c>
      <c r="AF203" s="772">
        <v>157.25372865715809</v>
      </c>
      <c r="AG203" s="772">
        <v>168.81844396352076</v>
      </c>
      <c r="AH203" s="772">
        <v>180.38315926988344</v>
      </c>
      <c r="AI203" s="772">
        <v>191.94787457624611</v>
      </c>
      <c r="AJ203" s="772">
        <v>203.51258988260878</v>
      </c>
      <c r="AK203" s="772">
        <v>215.07730518897145</v>
      </c>
      <c r="AL203" s="772">
        <v>226.64202049533412</v>
      </c>
      <c r="AM203" s="772">
        <v>238.20673580169679</v>
      </c>
      <c r="AN203" s="772">
        <v>249.77145110805947</v>
      </c>
      <c r="AO203" s="772">
        <v>261.33616641442217</v>
      </c>
      <c r="AP203" s="772">
        <v>272.90088172078481</v>
      </c>
      <c r="AQ203" s="772">
        <v>284.46559702714751</v>
      </c>
      <c r="AR203" s="772">
        <v>296.03031233351015</v>
      </c>
      <c r="AS203" s="772">
        <v>307.59502763987285</v>
      </c>
      <c r="AT203" s="772">
        <v>319.1597429462355</v>
      </c>
      <c r="AU203" s="772">
        <v>330.7244582525982</v>
      </c>
      <c r="AV203" s="772">
        <v>342.28917355896084</v>
      </c>
      <c r="AW203" s="772">
        <v>353.85388886532354</v>
      </c>
      <c r="AX203" s="772">
        <v>365.4186041716863</v>
      </c>
      <c r="AY203" s="773">
        <v>376.98331947804888</v>
      </c>
    </row>
    <row r="204" spans="1:51">
      <c r="A204" s="1277"/>
      <c r="B204" s="681">
        <v>2.1</v>
      </c>
      <c r="C204" s="690">
        <f>(AB204*KFC!$B$22+KFC!$C$22)*KFC!$C$5</f>
        <v>113.78049008048791</v>
      </c>
      <c r="D204" s="690">
        <f>(AC204*KFC!$B$22+KFC!$C$22)*KFC!$C$5</f>
        <v>125.74357007640519</v>
      </c>
      <c r="E204" s="690">
        <f>(AD204*KFC!$B$22+KFC!$C$22)*KFC!$C$5</f>
        <v>137.70665007232247</v>
      </c>
      <c r="F204" s="690">
        <f>(AE204*KFC!$B$22+KFC!$C$22)*KFC!$C$5</f>
        <v>149.66973006823974</v>
      </c>
      <c r="G204" s="690">
        <f>(AF204*KFC!$B$22+KFC!$C$22)*KFC!$C$5</f>
        <v>161.63281006415701</v>
      </c>
      <c r="H204" s="690">
        <f>(AG204*KFC!$B$22+KFC!$C$22)*KFC!$C$5</f>
        <v>173.59589006007431</v>
      </c>
      <c r="I204" s="690">
        <f>(AH204*KFC!$B$22+KFC!$C$22)*KFC!$C$5</f>
        <v>185.55897005599158</v>
      </c>
      <c r="J204" s="690">
        <f>(AI204*KFC!$B$22+KFC!$C$22)*KFC!$C$5</f>
        <v>197.52205005190885</v>
      </c>
      <c r="K204" s="690">
        <f>(AJ204*KFC!$B$22+KFC!$C$22)*KFC!$C$5</f>
        <v>209.48513004782615</v>
      </c>
      <c r="L204" s="690">
        <f>(AK204*KFC!$B$22+KFC!$C$22)*KFC!$C$5</f>
        <v>221.44821004374342</v>
      </c>
      <c r="M204" s="690">
        <f>(AL204*KFC!$B$22+KFC!$C$22)*KFC!$C$5</f>
        <v>233.41129003966068</v>
      </c>
      <c r="N204" s="690">
        <f>(AM204*KFC!$B$22+KFC!$C$22)*KFC!$C$5</f>
        <v>245.37437003557798</v>
      </c>
      <c r="O204" s="690">
        <f>(AN204*KFC!$B$22+KFC!$C$22)*KFC!$C$5</f>
        <v>257.33745003149528</v>
      </c>
      <c r="P204" s="690">
        <f>(AO204*KFC!$B$22+KFC!$C$22)*KFC!$C$5</f>
        <v>269.30053002741255</v>
      </c>
      <c r="Q204" s="690">
        <f>(AP204*KFC!$B$22+KFC!$C$22)*KFC!$C$5</f>
        <v>281.26361002332982</v>
      </c>
      <c r="R204" s="690">
        <f>(AQ204*KFC!$B$22+KFC!$C$22)*KFC!$C$5</f>
        <v>293.22669001924709</v>
      </c>
      <c r="S204" s="690">
        <f>(AR204*KFC!$B$22+KFC!$C$22)*KFC!$C$5</f>
        <v>305.18977001516436</v>
      </c>
      <c r="T204" s="690">
        <f>(AS204*KFC!$B$22+KFC!$C$22)*KFC!$C$5</f>
        <v>317.15285001108163</v>
      </c>
      <c r="U204" s="690">
        <f>(AT204*KFC!$B$22+KFC!$C$22)*KFC!$C$5</f>
        <v>329.11593000699895</v>
      </c>
      <c r="V204" s="690">
        <f>(AU204*KFC!$B$22+KFC!$C$22)*KFC!$C$5</f>
        <v>341.07901000291622</v>
      </c>
      <c r="W204" s="690">
        <f>(AV204*KFC!$B$22+KFC!$C$22)*KFC!$C$5</f>
        <v>353.04208999883349</v>
      </c>
      <c r="X204" s="690">
        <f>(AW204*KFC!$B$22+KFC!$C$22)*KFC!$C$5</f>
        <v>365.00516999475076</v>
      </c>
      <c r="Y204" s="690">
        <f>(AX204*KFC!$B$22+KFC!$C$22)*KFC!$C$5</f>
        <v>376.96824999066803</v>
      </c>
      <c r="Z204" s="690">
        <f>(AY204*KFC!$B$22+KFC!$C$22)*KFC!$C$5</f>
        <v>388.93132998658547</v>
      </c>
      <c r="AB204" s="771">
        <v>113.78049008048791</v>
      </c>
      <c r="AC204" s="772">
        <v>125.74357007640519</v>
      </c>
      <c r="AD204" s="772">
        <v>137.70665007232247</v>
      </c>
      <c r="AE204" s="772">
        <v>149.66973006823974</v>
      </c>
      <c r="AF204" s="772">
        <v>161.63281006415701</v>
      </c>
      <c r="AG204" s="772">
        <v>173.59589006007431</v>
      </c>
      <c r="AH204" s="772">
        <v>185.55897005599158</v>
      </c>
      <c r="AI204" s="772">
        <v>197.52205005190885</v>
      </c>
      <c r="AJ204" s="772">
        <v>209.48513004782615</v>
      </c>
      <c r="AK204" s="772">
        <v>221.44821004374342</v>
      </c>
      <c r="AL204" s="772">
        <v>233.41129003966068</v>
      </c>
      <c r="AM204" s="772">
        <v>245.37437003557798</v>
      </c>
      <c r="AN204" s="772">
        <v>257.33745003149528</v>
      </c>
      <c r="AO204" s="772">
        <v>269.30053002741255</v>
      </c>
      <c r="AP204" s="772">
        <v>281.26361002332982</v>
      </c>
      <c r="AQ204" s="772">
        <v>293.22669001924709</v>
      </c>
      <c r="AR204" s="772">
        <v>305.18977001516436</v>
      </c>
      <c r="AS204" s="772">
        <v>317.15285001108163</v>
      </c>
      <c r="AT204" s="772">
        <v>329.11593000699895</v>
      </c>
      <c r="AU204" s="772">
        <v>341.07901000291622</v>
      </c>
      <c r="AV204" s="772">
        <v>353.04208999883349</v>
      </c>
      <c r="AW204" s="772">
        <v>365.00516999475076</v>
      </c>
      <c r="AX204" s="772">
        <v>376.96824999066803</v>
      </c>
      <c r="AY204" s="773">
        <v>388.93132998658547</v>
      </c>
    </row>
    <row r="205" spans="1:51">
      <c r="A205" s="1277"/>
      <c r="B205" s="681">
        <v>2.2000000000000002</v>
      </c>
      <c r="C205" s="690">
        <f>(AB205*KFC!$B$22+KFC!$C$22)*KFC!$C$5</f>
        <v>116.5661127292684</v>
      </c>
      <c r="D205" s="690">
        <f>(AC205*KFC!$B$22+KFC!$C$22)*KFC!$C$5</f>
        <v>128.92755741474031</v>
      </c>
      <c r="E205" s="690">
        <f>(AD205*KFC!$B$22+KFC!$C$22)*KFC!$C$5</f>
        <v>141.2890021002122</v>
      </c>
      <c r="F205" s="690">
        <f>(AE205*KFC!$B$22+KFC!$C$22)*KFC!$C$5</f>
        <v>153.65044678568412</v>
      </c>
      <c r="G205" s="690">
        <f>(AF205*KFC!$B$22+KFC!$C$22)*KFC!$C$5</f>
        <v>166.01189147115602</v>
      </c>
      <c r="H205" s="690">
        <f>(AG205*KFC!$B$22+KFC!$C$22)*KFC!$C$5</f>
        <v>178.37333615662791</v>
      </c>
      <c r="I205" s="690">
        <f>(AH205*KFC!$B$22+KFC!$C$22)*KFC!$C$5</f>
        <v>190.73478084209978</v>
      </c>
      <c r="J205" s="690">
        <f>(AI205*KFC!$B$22+KFC!$C$22)*KFC!$C$5</f>
        <v>203.09622552757168</v>
      </c>
      <c r="K205" s="690">
        <f>(AJ205*KFC!$B$22+KFC!$C$22)*KFC!$C$5</f>
        <v>215.45767021304357</v>
      </c>
      <c r="L205" s="690">
        <f>(AK205*KFC!$B$22+KFC!$C$22)*KFC!$C$5</f>
        <v>227.81911489851544</v>
      </c>
      <c r="M205" s="690">
        <f>(AL205*KFC!$B$22+KFC!$C$22)*KFC!$C$5</f>
        <v>240.18055958398733</v>
      </c>
      <c r="N205" s="690">
        <f>(AM205*KFC!$B$22+KFC!$C$22)*KFC!$C$5</f>
        <v>252.54200426945923</v>
      </c>
      <c r="O205" s="690">
        <f>(AN205*KFC!$B$22+KFC!$C$22)*KFC!$C$5</f>
        <v>264.90344895493109</v>
      </c>
      <c r="P205" s="690">
        <f>(AO205*KFC!$B$22+KFC!$C$22)*KFC!$C$5</f>
        <v>277.26489364040299</v>
      </c>
      <c r="Q205" s="690">
        <f>(AP205*KFC!$B$22+KFC!$C$22)*KFC!$C$5</f>
        <v>289.62633832587488</v>
      </c>
      <c r="R205" s="690">
        <f>(AQ205*KFC!$B$22+KFC!$C$22)*KFC!$C$5</f>
        <v>301.98778301134678</v>
      </c>
      <c r="S205" s="690">
        <f>(AR205*KFC!$B$22+KFC!$C$22)*KFC!$C$5</f>
        <v>314.34922769681867</v>
      </c>
      <c r="T205" s="690">
        <f>(AS205*KFC!$B$22+KFC!$C$22)*KFC!$C$5</f>
        <v>326.71067238229051</v>
      </c>
      <c r="U205" s="690">
        <f>(AT205*KFC!$B$22+KFC!$C$22)*KFC!$C$5</f>
        <v>339.07211706776241</v>
      </c>
      <c r="V205" s="690">
        <f>(AU205*KFC!$B$22+KFC!$C$22)*KFC!$C$5</f>
        <v>351.43356175323436</v>
      </c>
      <c r="W205" s="690">
        <f>(AV205*KFC!$B$22+KFC!$C$22)*KFC!$C$5</f>
        <v>363.79500643870625</v>
      </c>
      <c r="X205" s="690">
        <f>(AW205*KFC!$B$22+KFC!$C$22)*KFC!$C$5</f>
        <v>376.1564511241782</v>
      </c>
      <c r="Y205" s="690">
        <f>(AX205*KFC!$B$22+KFC!$C$22)*KFC!$C$5</f>
        <v>388.5178958096501</v>
      </c>
      <c r="Z205" s="690">
        <f>(AY205*KFC!$B$22+KFC!$C$22)*KFC!$C$5</f>
        <v>400.87934049512205</v>
      </c>
      <c r="AB205" s="771">
        <v>116.5661127292684</v>
      </c>
      <c r="AC205" s="772">
        <v>128.92755741474031</v>
      </c>
      <c r="AD205" s="772">
        <v>141.2890021002122</v>
      </c>
      <c r="AE205" s="772">
        <v>153.65044678568412</v>
      </c>
      <c r="AF205" s="772">
        <v>166.01189147115602</v>
      </c>
      <c r="AG205" s="772">
        <v>178.37333615662791</v>
      </c>
      <c r="AH205" s="772">
        <v>190.73478084209978</v>
      </c>
      <c r="AI205" s="772">
        <v>203.09622552757168</v>
      </c>
      <c r="AJ205" s="772">
        <v>215.45767021304357</v>
      </c>
      <c r="AK205" s="772">
        <v>227.81911489851544</v>
      </c>
      <c r="AL205" s="772">
        <v>240.18055958398733</v>
      </c>
      <c r="AM205" s="772">
        <v>252.54200426945923</v>
      </c>
      <c r="AN205" s="772">
        <v>264.90344895493109</v>
      </c>
      <c r="AO205" s="772">
        <v>277.26489364040299</v>
      </c>
      <c r="AP205" s="772">
        <v>289.62633832587488</v>
      </c>
      <c r="AQ205" s="772">
        <v>301.98778301134678</v>
      </c>
      <c r="AR205" s="772">
        <v>314.34922769681867</v>
      </c>
      <c r="AS205" s="772">
        <v>326.71067238229051</v>
      </c>
      <c r="AT205" s="772">
        <v>339.07211706776241</v>
      </c>
      <c r="AU205" s="772">
        <v>351.43356175323436</v>
      </c>
      <c r="AV205" s="772">
        <v>363.79500643870625</v>
      </c>
      <c r="AW205" s="772">
        <v>376.1564511241782</v>
      </c>
      <c r="AX205" s="772">
        <v>388.5178958096501</v>
      </c>
      <c r="AY205" s="773">
        <v>400.87934049512205</v>
      </c>
    </row>
    <row r="206" spans="1:51" ht="13.5" customHeight="1">
      <c r="A206" s="1277"/>
      <c r="B206" s="681">
        <v>2.2999999999999998</v>
      </c>
      <c r="C206" s="690">
        <f>(AB206*KFC!$B$22+KFC!$C$22)*KFC!$C$5</f>
        <v>119.3517353780489</v>
      </c>
      <c r="D206" s="690">
        <f>(AC206*KFC!$B$22+KFC!$C$22)*KFC!$C$5</f>
        <v>132.11154475307541</v>
      </c>
      <c r="E206" s="690">
        <f>(AD206*KFC!$B$22+KFC!$C$22)*KFC!$C$5</f>
        <v>144.87135412810193</v>
      </c>
      <c r="F206" s="690">
        <f>(AE206*KFC!$B$22+KFC!$C$22)*KFC!$C$5</f>
        <v>157.63116350312845</v>
      </c>
      <c r="G206" s="690">
        <f>(AF206*KFC!$B$22+KFC!$C$22)*KFC!$C$5</f>
        <v>170.39097287815494</v>
      </c>
      <c r="H206" s="690">
        <f>(AG206*KFC!$B$22+KFC!$C$22)*KFC!$C$5</f>
        <v>183.15078225318143</v>
      </c>
      <c r="I206" s="690">
        <f>(AH206*KFC!$B$22+KFC!$C$22)*KFC!$C$5</f>
        <v>195.91059162820792</v>
      </c>
      <c r="J206" s="690">
        <f>(AI206*KFC!$B$22+KFC!$C$22)*KFC!$C$5</f>
        <v>208.67040100323442</v>
      </c>
      <c r="K206" s="690">
        <f>(AJ206*KFC!$B$22+KFC!$C$22)*KFC!$C$5</f>
        <v>221.43021037826091</v>
      </c>
      <c r="L206" s="690">
        <f>(AK206*KFC!$B$22+KFC!$C$22)*KFC!$C$5</f>
        <v>234.1900197532874</v>
      </c>
      <c r="M206" s="690">
        <f>(AL206*KFC!$B$22+KFC!$C$22)*KFC!$C$5</f>
        <v>246.94982912831389</v>
      </c>
      <c r="N206" s="690">
        <f>(AM206*KFC!$B$22+KFC!$C$22)*KFC!$C$5</f>
        <v>259.70963850334039</v>
      </c>
      <c r="O206" s="690">
        <f>(AN206*KFC!$B$22+KFC!$C$22)*KFC!$C$5</f>
        <v>272.46944787836691</v>
      </c>
      <c r="P206" s="690">
        <f>(AO206*KFC!$B$22+KFC!$C$22)*KFC!$C$5</f>
        <v>285.22925725339337</v>
      </c>
      <c r="Q206" s="690">
        <f>(AP206*KFC!$B$22+KFC!$C$22)*KFC!$C$5</f>
        <v>297.98906662841989</v>
      </c>
      <c r="R206" s="690">
        <f>(AQ206*KFC!$B$22+KFC!$C$22)*KFC!$C$5</f>
        <v>310.74887600344636</v>
      </c>
      <c r="S206" s="690">
        <f>(AR206*KFC!$B$22+KFC!$C$22)*KFC!$C$5</f>
        <v>323.50868537847288</v>
      </c>
      <c r="T206" s="690">
        <f>(AS206*KFC!$B$22+KFC!$C$22)*KFC!$C$5</f>
        <v>336.26849475349934</v>
      </c>
      <c r="U206" s="690">
        <f>(AT206*KFC!$B$22+KFC!$C$22)*KFC!$C$5</f>
        <v>349.02830412852586</v>
      </c>
      <c r="V206" s="690">
        <f>(AU206*KFC!$B$22+KFC!$C$22)*KFC!$C$5</f>
        <v>361.78811350355232</v>
      </c>
      <c r="W206" s="690">
        <f>(AV206*KFC!$B$22+KFC!$C$22)*KFC!$C$5</f>
        <v>374.54792287857885</v>
      </c>
      <c r="X206" s="690">
        <f>(AW206*KFC!$B$22+KFC!$C$22)*KFC!$C$5</f>
        <v>387.30773225360531</v>
      </c>
      <c r="Y206" s="690">
        <f>(AX206*KFC!$B$22+KFC!$C$22)*KFC!$C$5</f>
        <v>400.06754162863183</v>
      </c>
      <c r="Z206" s="690">
        <f>(AY206*KFC!$B$22+KFC!$C$22)*KFC!$C$5</f>
        <v>412.82735100365858</v>
      </c>
      <c r="AB206" s="771">
        <v>119.3517353780489</v>
      </c>
      <c r="AC206" s="772">
        <v>132.11154475307541</v>
      </c>
      <c r="AD206" s="772">
        <v>144.87135412810193</v>
      </c>
      <c r="AE206" s="772">
        <v>157.63116350312845</v>
      </c>
      <c r="AF206" s="772">
        <v>170.39097287815494</v>
      </c>
      <c r="AG206" s="772">
        <v>183.15078225318143</v>
      </c>
      <c r="AH206" s="772">
        <v>195.91059162820792</v>
      </c>
      <c r="AI206" s="772">
        <v>208.67040100323442</v>
      </c>
      <c r="AJ206" s="772">
        <v>221.43021037826091</v>
      </c>
      <c r="AK206" s="772">
        <v>234.1900197532874</v>
      </c>
      <c r="AL206" s="772">
        <v>246.94982912831389</v>
      </c>
      <c r="AM206" s="772">
        <v>259.70963850334039</v>
      </c>
      <c r="AN206" s="772">
        <v>272.46944787836691</v>
      </c>
      <c r="AO206" s="772">
        <v>285.22925725339337</v>
      </c>
      <c r="AP206" s="772">
        <v>297.98906662841989</v>
      </c>
      <c r="AQ206" s="772">
        <v>310.74887600344636</v>
      </c>
      <c r="AR206" s="772">
        <v>323.50868537847288</v>
      </c>
      <c r="AS206" s="772">
        <v>336.26849475349934</v>
      </c>
      <c r="AT206" s="772">
        <v>349.02830412852586</v>
      </c>
      <c r="AU206" s="772">
        <v>361.78811350355232</v>
      </c>
      <c r="AV206" s="772">
        <v>374.54792287857885</v>
      </c>
      <c r="AW206" s="772">
        <v>387.30773225360531</v>
      </c>
      <c r="AX206" s="772">
        <v>400.06754162863183</v>
      </c>
      <c r="AY206" s="773">
        <v>412.82735100365858</v>
      </c>
    </row>
    <row r="207" spans="1:51">
      <c r="A207" s="1277"/>
      <c r="B207" s="681">
        <v>2.4</v>
      </c>
      <c r="C207" s="690">
        <f>(AB207*KFC!$B$22+KFC!$C$22)*KFC!$C$5</f>
        <v>122.1373580268294</v>
      </c>
      <c r="D207" s="690">
        <f>(AC207*KFC!$B$22+KFC!$C$22)*KFC!$C$5</f>
        <v>135.29553209141051</v>
      </c>
      <c r="E207" s="690">
        <f>(AD207*KFC!$B$22+KFC!$C$22)*KFC!$C$5</f>
        <v>148.45370615599163</v>
      </c>
      <c r="F207" s="690">
        <f>(AE207*KFC!$B$22+KFC!$C$22)*KFC!$C$5</f>
        <v>161.61188022057274</v>
      </c>
      <c r="G207" s="690">
        <f>(AF207*KFC!$B$22+KFC!$C$22)*KFC!$C$5</f>
        <v>174.77005428515386</v>
      </c>
      <c r="H207" s="690">
        <f>(AG207*KFC!$B$22+KFC!$C$22)*KFC!$C$5</f>
        <v>187.92822834973501</v>
      </c>
      <c r="I207" s="690">
        <f>(AH207*KFC!$B$22+KFC!$C$22)*KFC!$C$5</f>
        <v>201.08640241431615</v>
      </c>
      <c r="J207" s="690">
        <f>(AI207*KFC!$B$22+KFC!$C$22)*KFC!$C$5</f>
        <v>214.24457647889727</v>
      </c>
      <c r="K207" s="690">
        <f>(AJ207*KFC!$B$22+KFC!$C$22)*KFC!$C$5</f>
        <v>227.40275054347842</v>
      </c>
      <c r="L207" s="690">
        <f>(AK207*KFC!$B$22+KFC!$C$22)*KFC!$C$5</f>
        <v>240.56092460805954</v>
      </c>
      <c r="M207" s="690">
        <f>(AL207*KFC!$B$22+KFC!$C$22)*KFC!$C$5</f>
        <v>253.71909867264068</v>
      </c>
      <c r="N207" s="690">
        <f>(AM207*KFC!$B$22+KFC!$C$22)*KFC!$C$5</f>
        <v>266.8772727372218</v>
      </c>
      <c r="O207" s="690">
        <f>(AN207*KFC!$B$22+KFC!$C$22)*KFC!$C$5</f>
        <v>280.03544680180295</v>
      </c>
      <c r="P207" s="690">
        <f>(AO207*KFC!$B$22+KFC!$C$22)*KFC!$C$5</f>
        <v>293.19362086638409</v>
      </c>
      <c r="Q207" s="690">
        <f>(AP207*KFC!$B$22+KFC!$C$22)*KFC!$C$5</f>
        <v>306.35179493096524</v>
      </c>
      <c r="R207" s="690">
        <f>(AQ207*KFC!$B$22+KFC!$C$22)*KFC!$C$5</f>
        <v>319.50996899554639</v>
      </c>
      <c r="S207" s="690">
        <f>(AR207*KFC!$B$22+KFC!$C$22)*KFC!$C$5</f>
        <v>332.66814306012748</v>
      </c>
      <c r="T207" s="690">
        <f>(AS207*KFC!$B$22+KFC!$C$22)*KFC!$C$5</f>
        <v>345.82631712470862</v>
      </c>
      <c r="U207" s="690">
        <f>(AT207*KFC!$B$22+KFC!$C$22)*KFC!$C$5</f>
        <v>358.98449118928977</v>
      </c>
      <c r="V207" s="690">
        <f>(AU207*KFC!$B$22+KFC!$C$22)*KFC!$C$5</f>
        <v>372.14266525387092</v>
      </c>
      <c r="W207" s="690">
        <f>(AV207*KFC!$B$22+KFC!$C$22)*KFC!$C$5</f>
        <v>385.30083931845206</v>
      </c>
      <c r="X207" s="690">
        <f>(AW207*KFC!$B$22+KFC!$C$22)*KFC!$C$5</f>
        <v>398.45901338303321</v>
      </c>
      <c r="Y207" s="690">
        <f>(AX207*KFC!$B$22+KFC!$C$22)*KFC!$C$5</f>
        <v>411.6171874476143</v>
      </c>
      <c r="Z207" s="690">
        <f>(AY207*KFC!$B$22+KFC!$C$22)*KFC!$C$5</f>
        <v>424.77536151219516</v>
      </c>
      <c r="AB207" s="771">
        <v>122.1373580268294</v>
      </c>
      <c r="AC207" s="772">
        <v>135.29553209141051</v>
      </c>
      <c r="AD207" s="772">
        <v>148.45370615599163</v>
      </c>
      <c r="AE207" s="772">
        <v>161.61188022057274</v>
      </c>
      <c r="AF207" s="772">
        <v>174.77005428515386</v>
      </c>
      <c r="AG207" s="772">
        <v>187.92822834973501</v>
      </c>
      <c r="AH207" s="772">
        <v>201.08640241431615</v>
      </c>
      <c r="AI207" s="772">
        <v>214.24457647889727</v>
      </c>
      <c r="AJ207" s="772">
        <v>227.40275054347842</v>
      </c>
      <c r="AK207" s="772">
        <v>240.56092460805954</v>
      </c>
      <c r="AL207" s="772">
        <v>253.71909867264068</v>
      </c>
      <c r="AM207" s="772">
        <v>266.8772727372218</v>
      </c>
      <c r="AN207" s="772">
        <v>280.03544680180295</v>
      </c>
      <c r="AO207" s="772">
        <v>293.19362086638409</v>
      </c>
      <c r="AP207" s="772">
        <v>306.35179493096524</v>
      </c>
      <c r="AQ207" s="772">
        <v>319.50996899554639</v>
      </c>
      <c r="AR207" s="772">
        <v>332.66814306012748</v>
      </c>
      <c r="AS207" s="772">
        <v>345.82631712470862</v>
      </c>
      <c r="AT207" s="772">
        <v>358.98449118928977</v>
      </c>
      <c r="AU207" s="772">
        <v>372.14266525387092</v>
      </c>
      <c r="AV207" s="772">
        <v>385.30083931845206</v>
      </c>
      <c r="AW207" s="772">
        <v>398.45901338303321</v>
      </c>
      <c r="AX207" s="772">
        <v>411.6171874476143</v>
      </c>
      <c r="AY207" s="773">
        <v>424.77536151219516</v>
      </c>
    </row>
    <row r="208" spans="1:51" ht="12.75" customHeight="1">
      <c r="A208" s="1277"/>
      <c r="B208" s="681">
        <v>2.5</v>
      </c>
      <c r="C208" s="690">
        <f>(AB208*KFC!$B$22+KFC!$C$22)*KFC!$C$5</f>
        <v>124.92298067560989</v>
      </c>
      <c r="D208" s="690">
        <f>(AC208*KFC!$B$22+KFC!$C$22)*KFC!$C$5</f>
        <v>138.47951942974561</v>
      </c>
      <c r="E208" s="690">
        <f>(AD208*KFC!$B$22+KFC!$C$22)*KFC!$C$5</f>
        <v>152.03605818388135</v>
      </c>
      <c r="F208" s="690">
        <f>(AE208*KFC!$B$22+KFC!$C$22)*KFC!$C$5</f>
        <v>165.59259693801707</v>
      </c>
      <c r="G208" s="690">
        <f>(AF208*KFC!$B$22+KFC!$C$22)*KFC!$C$5</f>
        <v>179.14913569215278</v>
      </c>
      <c r="H208" s="690">
        <f>(AG208*KFC!$B$22+KFC!$C$22)*KFC!$C$5</f>
        <v>192.70567444628853</v>
      </c>
      <c r="I208" s="690">
        <f>(AH208*KFC!$B$22+KFC!$C$22)*KFC!$C$5</f>
        <v>206.26221320042427</v>
      </c>
      <c r="J208" s="690">
        <f>(AI208*KFC!$B$22+KFC!$C$22)*KFC!$C$5</f>
        <v>219.81875195456001</v>
      </c>
      <c r="K208" s="690">
        <f>(AJ208*KFC!$B$22+KFC!$C$22)*KFC!$C$5</f>
        <v>233.37529070869576</v>
      </c>
      <c r="L208" s="690">
        <f>(AK208*KFC!$B$22+KFC!$C$22)*KFC!$C$5</f>
        <v>246.9318294628315</v>
      </c>
      <c r="M208" s="690">
        <f>(AL208*KFC!$B$22+KFC!$C$22)*KFC!$C$5</f>
        <v>260.48836821696727</v>
      </c>
      <c r="N208" s="690">
        <f>(AM208*KFC!$B$22+KFC!$C$22)*KFC!$C$5</f>
        <v>274.04490697110299</v>
      </c>
      <c r="O208" s="690">
        <f>(AN208*KFC!$B$22+KFC!$C$22)*KFC!$C$5</f>
        <v>287.60144572523876</v>
      </c>
      <c r="P208" s="690">
        <f>(AO208*KFC!$B$22+KFC!$C$22)*KFC!$C$5</f>
        <v>301.15798447937448</v>
      </c>
      <c r="Q208" s="690">
        <f>(AP208*KFC!$B$22+KFC!$C$22)*KFC!$C$5</f>
        <v>314.71452323351025</v>
      </c>
      <c r="R208" s="690">
        <f>(AQ208*KFC!$B$22+KFC!$C$22)*KFC!$C$5</f>
        <v>328.27106198764596</v>
      </c>
      <c r="S208" s="690">
        <f>(AR208*KFC!$B$22+KFC!$C$22)*KFC!$C$5</f>
        <v>341.82760074178174</v>
      </c>
      <c r="T208" s="690">
        <f>(AS208*KFC!$B$22+KFC!$C$22)*KFC!$C$5</f>
        <v>355.3841394959174</v>
      </c>
      <c r="U208" s="690">
        <f>(AT208*KFC!$B$22+KFC!$C$22)*KFC!$C$5</f>
        <v>368.94067825005311</v>
      </c>
      <c r="V208" s="690">
        <f>(AU208*KFC!$B$22+KFC!$C$22)*KFC!$C$5</f>
        <v>382.49721700418883</v>
      </c>
      <c r="W208" s="690">
        <f>(AV208*KFC!$B$22+KFC!$C$22)*KFC!$C$5</f>
        <v>396.05375575832454</v>
      </c>
      <c r="X208" s="690">
        <f>(AW208*KFC!$B$22+KFC!$C$22)*KFC!$C$5</f>
        <v>409.61029451246026</v>
      </c>
      <c r="Y208" s="690">
        <f>(AX208*KFC!$B$22+KFC!$C$22)*KFC!$C$5</f>
        <v>423.16683326659592</v>
      </c>
      <c r="Z208" s="690">
        <f>(AY208*KFC!$B$22+KFC!$C$22)*KFC!$C$5</f>
        <v>436.72337202073174</v>
      </c>
      <c r="AB208" s="771">
        <v>124.92298067560989</v>
      </c>
      <c r="AC208" s="772">
        <v>138.47951942974561</v>
      </c>
      <c r="AD208" s="772">
        <v>152.03605818388135</v>
      </c>
      <c r="AE208" s="772">
        <v>165.59259693801707</v>
      </c>
      <c r="AF208" s="772">
        <v>179.14913569215278</v>
      </c>
      <c r="AG208" s="772">
        <v>192.70567444628853</v>
      </c>
      <c r="AH208" s="772">
        <v>206.26221320042427</v>
      </c>
      <c r="AI208" s="772">
        <v>219.81875195456001</v>
      </c>
      <c r="AJ208" s="772">
        <v>233.37529070869576</v>
      </c>
      <c r="AK208" s="772">
        <v>246.9318294628315</v>
      </c>
      <c r="AL208" s="772">
        <v>260.48836821696727</v>
      </c>
      <c r="AM208" s="772">
        <v>274.04490697110299</v>
      </c>
      <c r="AN208" s="772">
        <v>287.60144572523876</v>
      </c>
      <c r="AO208" s="772">
        <v>301.15798447937448</v>
      </c>
      <c r="AP208" s="772">
        <v>314.71452323351025</v>
      </c>
      <c r="AQ208" s="772">
        <v>328.27106198764596</v>
      </c>
      <c r="AR208" s="772">
        <v>341.82760074178174</v>
      </c>
      <c r="AS208" s="772">
        <v>355.3841394959174</v>
      </c>
      <c r="AT208" s="772">
        <v>368.94067825005311</v>
      </c>
      <c r="AU208" s="772">
        <v>382.49721700418883</v>
      </c>
      <c r="AV208" s="772">
        <v>396.05375575832454</v>
      </c>
      <c r="AW208" s="772">
        <v>409.61029451246026</v>
      </c>
      <c r="AX208" s="772">
        <v>423.16683326659592</v>
      </c>
      <c r="AY208" s="773">
        <v>436.72337202073174</v>
      </c>
    </row>
    <row r="209" spans="1:51">
      <c r="A209" s="1277"/>
      <c r="B209" s="681">
        <v>2.6</v>
      </c>
      <c r="C209" s="690">
        <f>(AB209*KFC!$B$22+KFC!$C$22)*KFC!$C$5</f>
        <v>127.7086033243904</v>
      </c>
      <c r="D209" s="690">
        <f>(AC209*KFC!$B$22+KFC!$C$22)*KFC!$C$5</f>
        <v>141.66350676808074</v>
      </c>
      <c r="E209" s="690">
        <f>(AD209*KFC!$B$22+KFC!$C$22)*KFC!$C$5</f>
        <v>155.61841021177111</v>
      </c>
      <c r="F209" s="690">
        <f>(AE209*KFC!$B$22+KFC!$C$22)*KFC!$C$5</f>
        <v>169.57331365546145</v>
      </c>
      <c r="G209" s="690">
        <f>(AF209*KFC!$B$22+KFC!$C$22)*KFC!$C$5</f>
        <v>183.52821709915179</v>
      </c>
      <c r="H209" s="690">
        <f>(AG209*KFC!$B$22+KFC!$C$22)*KFC!$C$5</f>
        <v>197.48312054284213</v>
      </c>
      <c r="I209" s="690">
        <f>(AH209*KFC!$B$22+KFC!$C$22)*KFC!$C$5</f>
        <v>211.4380239865325</v>
      </c>
      <c r="J209" s="690">
        <f>(AI209*KFC!$B$22+KFC!$C$22)*KFC!$C$5</f>
        <v>225.39292743022284</v>
      </c>
      <c r="K209" s="690">
        <f>(AJ209*KFC!$B$22+KFC!$C$22)*KFC!$C$5</f>
        <v>239.34783087391318</v>
      </c>
      <c r="L209" s="690">
        <f>(AK209*KFC!$B$22+KFC!$C$22)*KFC!$C$5</f>
        <v>253.30273431760355</v>
      </c>
      <c r="M209" s="690">
        <f>(AL209*KFC!$B$22+KFC!$C$22)*KFC!$C$5</f>
        <v>267.25763776129389</v>
      </c>
      <c r="N209" s="690">
        <f>(AM209*KFC!$B$22+KFC!$C$22)*KFC!$C$5</f>
        <v>281.21254120498423</v>
      </c>
      <c r="O209" s="690">
        <f>(AN209*KFC!$B$22+KFC!$C$22)*KFC!$C$5</f>
        <v>295.16744464867458</v>
      </c>
      <c r="P209" s="690">
        <f>(AO209*KFC!$B$22+KFC!$C$22)*KFC!$C$5</f>
        <v>309.12234809236492</v>
      </c>
      <c r="Q209" s="690">
        <f>(AP209*KFC!$B$22+KFC!$C$22)*KFC!$C$5</f>
        <v>323.07725153605531</v>
      </c>
      <c r="R209" s="690">
        <f>(AQ209*KFC!$B$22+KFC!$C$22)*KFC!$C$5</f>
        <v>337.03215497974566</v>
      </c>
      <c r="S209" s="690">
        <f>(AR209*KFC!$B$22+KFC!$C$22)*KFC!$C$5</f>
        <v>350.987058423436</v>
      </c>
      <c r="T209" s="690">
        <f>(AS209*KFC!$B$22+KFC!$C$22)*KFC!$C$5</f>
        <v>364.94196186712634</v>
      </c>
      <c r="U209" s="690">
        <f>(AT209*KFC!$B$22+KFC!$C$22)*KFC!$C$5</f>
        <v>378.89686531081668</v>
      </c>
      <c r="V209" s="690">
        <f>(AU209*KFC!$B$22+KFC!$C$22)*KFC!$C$5</f>
        <v>392.85176875450702</v>
      </c>
      <c r="W209" s="690">
        <f>(AV209*KFC!$B$22+KFC!$C$22)*KFC!$C$5</f>
        <v>406.80667219819736</v>
      </c>
      <c r="X209" s="690">
        <f>(AW209*KFC!$B$22+KFC!$C$22)*KFC!$C$5</f>
        <v>420.76157564188776</v>
      </c>
      <c r="Y209" s="690">
        <f>(AX209*KFC!$B$22+KFC!$C$22)*KFC!$C$5</f>
        <v>434.7164790855781</v>
      </c>
      <c r="Z209" s="690">
        <f>(AY209*KFC!$B$22+KFC!$C$22)*KFC!$C$5</f>
        <v>448.67138252926827</v>
      </c>
      <c r="AB209" s="771">
        <v>127.7086033243904</v>
      </c>
      <c r="AC209" s="772">
        <v>141.66350676808074</v>
      </c>
      <c r="AD209" s="772">
        <v>155.61841021177111</v>
      </c>
      <c r="AE209" s="772">
        <v>169.57331365546145</v>
      </c>
      <c r="AF209" s="772">
        <v>183.52821709915179</v>
      </c>
      <c r="AG209" s="772">
        <v>197.48312054284213</v>
      </c>
      <c r="AH209" s="772">
        <v>211.4380239865325</v>
      </c>
      <c r="AI209" s="772">
        <v>225.39292743022284</v>
      </c>
      <c r="AJ209" s="772">
        <v>239.34783087391318</v>
      </c>
      <c r="AK209" s="772">
        <v>253.30273431760355</v>
      </c>
      <c r="AL209" s="772">
        <v>267.25763776129389</v>
      </c>
      <c r="AM209" s="772">
        <v>281.21254120498423</v>
      </c>
      <c r="AN209" s="772">
        <v>295.16744464867458</v>
      </c>
      <c r="AO209" s="772">
        <v>309.12234809236492</v>
      </c>
      <c r="AP209" s="772">
        <v>323.07725153605531</v>
      </c>
      <c r="AQ209" s="772">
        <v>337.03215497974566</v>
      </c>
      <c r="AR209" s="772">
        <v>350.987058423436</v>
      </c>
      <c r="AS209" s="772">
        <v>364.94196186712634</v>
      </c>
      <c r="AT209" s="772">
        <v>378.89686531081668</v>
      </c>
      <c r="AU209" s="772">
        <v>392.85176875450702</v>
      </c>
      <c r="AV209" s="772">
        <v>406.80667219819736</v>
      </c>
      <c r="AW209" s="772">
        <v>420.76157564188776</v>
      </c>
      <c r="AX209" s="772">
        <v>434.7164790855781</v>
      </c>
      <c r="AY209" s="773">
        <v>448.67138252926827</v>
      </c>
    </row>
    <row r="210" spans="1:51">
      <c r="A210" s="1277"/>
      <c r="B210" s="681">
        <v>2.7</v>
      </c>
      <c r="C210" s="690">
        <f>(AB210*KFC!$B$22+KFC!$C$22)*KFC!$C$5</f>
        <v>130.4942259731709</v>
      </c>
      <c r="D210" s="690">
        <f>(AC210*KFC!$B$22+KFC!$C$22)*KFC!$C$5</f>
        <v>144.84749410641584</v>
      </c>
      <c r="E210" s="690">
        <f>(AD210*KFC!$B$22+KFC!$C$22)*KFC!$C$5</f>
        <v>159.2007622396608</v>
      </c>
      <c r="F210" s="690">
        <f>(AE210*KFC!$B$22+KFC!$C$22)*KFC!$C$5</f>
        <v>173.55403037290577</v>
      </c>
      <c r="G210" s="690">
        <f>(AF210*KFC!$B$22+KFC!$C$22)*KFC!$C$5</f>
        <v>187.90729850615071</v>
      </c>
      <c r="H210" s="690">
        <f>(AG210*KFC!$B$22+KFC!$C$22)*KFC!$C$5</f>
        <v>202.26056663939568</v>
      </c>
      <c r="I210" s="690">
        <f>(AH210*KFC!$B$22+KFC!$C$22)*KFC!$C$5</f>
        <v>216.61383477264062</v>
      </c>
      <c r="J210" s="690">
        <f>(AI210*KFC!$B$22+KFC!$C$22)*KFC!$C$5</f>
        <v>230.96710290588558</v>
      </c>
      <c r="K210" s="690">
        <f>(AJ210*KFC!$B$22+KFC!$C$22)*KFC!$C$5</f>
        <v>245.32037103913055</v>
      </c>
      <c r="L210" s="690">
        <f>(AK210*KFC!$B$22+KFC!$C$22)*KFC!$C$5</f>
        <v>259.67363917237549</v>
      </c>
      <c r="M210" s="690">
        <f>(AL210*KFC!$B$22+KFC!$C$22)*KFC!$C$5</f>
        <v>274.02690730562045</v>
      </c>
      <c r="N210" s="690">
        <f>(AM210*KFC!$B$22+KFC!$C$22)*KFC!$C$5</f>
        <v>288.38017543886542</v>
      </c>
      <c r="O210" s="690">
        <f>(AN210*KFC!$B$22+KFC!$C$22)*KFC!$C$5</f>
        <v>302.73344357211039</v>
      </c>
      <c r="P210" s="690">
        <f>(AO210*KFC!$B$22+KFC!$C$22)*KFC!$C$5</f>
        <v>317.0867117053553</v>
      </c>
      <c r="Q210" s="690">
        <f>(AP210*KFC!$B$22+KFC!$C$22)*KFC!$C$5</f>
        <v>331.43997983860027</v>
      </c>
      <c r="R210" s="690">
        <f>(AQ210*KFC!$B$22+KFC!$C$22)*KFC!$C$5</f>
        <v>345.79324797184518</v>
      </c>
      <c r="S210" s="690">
        <f>(AR210*KFC!$B$22+KFC!$C$22)*KFC!$C$5</f>
        <v>360.14651610509014</v>
      </c>
      <c r="T210" s="690">
        <f>(AS210*KFC!$B$22+KFC!$C$22)*KFC!$C$5</f>
        <v>374.49978423833505</v>
      </c>
      <c r="U210" s="690">
        <f>(AT210*KFC!$B$22+KFC!$C$22)*KFC!$C$5</f>
        <v>388.85305237157996</v>
      </c>
      <c r="V210" s="690">
        <f>(AU210*KFC!$B$22+KFC!$C$22)*KFC!$C$5</f>
        <v>403.20632050482487</v>
      </c>
      <c r="W210" s="690">
        <f>(AV210*KFC!$B$22+KFC!$C$22)*KFC!$C$5</f>
        <v>417.55958863806978</v>
      </c>
      <c r="X210" s="690">
        <f>(AW210*KFC!$B$22+KFC!$C$22)*KFC!$C$5</f>
        <v>431.91285677131469</v>
      </c>
      <c r="Y210" s="690">
        <f>(AX210*KFC!$B$22+KFC!$C$22)*KFC!$C$5</f>
        <v>446.2661249045596</v>
      </c>
      <c r="Z210" s="690">
        <f>(AY210*KFC!$B$22+KFC!$C$22)*KFC!$C$5</f>
        <v>460.61939303780485</v>
      </c>
      <c r="AB210" s="771">
        <v>130.4942259731709</v>
      </c>
      <c r="AC210" s="772">
        <v>144.84749410641584</v>
      </c>
      <c r="AD210" s="772">
        <v>159.2007622396608</v>
      </c>
      <c r="AE210" s="772">
        <v>173.55403037290577</v>
      </c>
      <c r="AF210" s="772">
        <v>187.90729850615071</v>
      </c>
      <c r="AG210" s="772">
        <v>202.26056663939568</v>
      </c>
      <c r="AH210" s="772">
        <v>216.61383477264062</v>
      </c>
      <c r="AI210" s="772">
        <v>230.96710290588558</v>
      </c>
      <c r="AJ210" s="772">
        <v>245.32037103913055</v>
      </c>
      <c r="AK210" s="772">
        <v>259.67363917237549</v>
      </c>
      <c r="AL210" s="772">
        <v>274.02690730562045</v>
      </c>
      <c r="AM210" s="772">
        <v>288.38017543886542</v>
      </c>
      <c r="AN210" s="772">
        <v>302.73344357211039</v>
      </c>
      <c r="AO210" s="772">
        <v>317.0867117053553</v>
      </c>
      <c r="AP210" s="772">
        <v>331.43997983860027</v>
      </c>
      <c r="AQ210" s="772">
        <v>345.79324797184518</v>
      </c>
      <c r="AR210" s="772">
        <v>360.14651610509014</v>
      </c>
      <c r="AS210" s="772">
        <v>374.49978423833505</v>
      </c>
      <c r="AT210" s="772">
        <v>388.85305237157996</v>
      </c>
      <c r="AU210" s="772">
        <v>403.20632050482487</v>
      </c>
      <c r="AV210" s="772">
        <v>417.55958863806978</v>
      </c>
      <c r="AW210" s="772">
        <v>431.91285677131469</v>
      </c>
      <c r="AX210" s="772">
        <v>446.2661249045596</v>
      </c>
      <c r="AY210" s="773">
        <v>460.61939303780485</v>
      </c>
    </row>
    <row r="211" spans="1:51">
      <c r="A211" s="1277"/>
      <c r="B211" s="681">
        <v>2.8</v>
      </c>
      <c r="C211" s="690">
        <f>(AB211*KFC!$B$22+KFC!$C$22)*KFC!$C$5</f>
        <v>133.27984862195137</v>
      </c>
      <c r="D211" s="690">
        <f>(AC211*KFC!$B$22+KFC!$C$22)*KFC!$C$5</f>
        <v>148.03148144475094</v>
      </c>
      <c r="E211" s="690">
        <f>(AD211*KFC!$B$22+KFC!$C$22)*KFC!$C$5</f>
        <v>162.7831142675505</v>
      </c>
      <c r="F211" s="690">
        <f>(AE211*KFC!$B$22+KFC!$C$22)*KFC!$C$5</f>
        <v>177.53474709035007</v>
      </c>
      <c r="G211" s="690">
        <f>(AF211*KFC!$B$22+KFC!$C$22)*KFC!$C$5</f>
        <v>192.28637991314963</v>
      </c>
      <c r="H211" s="690">
        <f>(AG211*KFC!$B$22+KFC!$C$22)*KFC!$C$5</f>
        <v>207.0380127359492</v>
      </c>
      <c r="I211" s="690">
        <f>(AH211*KFC!$B$22+KFC!$C$22)*KFC!$C$5</f>
        <v>221.78964555874876</v>
      </c>
      <c r="J211" s="690">
        <f>(AI211*KFC!$B$22+KFC!$C$22)*KFC!$C$5</f>
        <v>236.54127838154832</v>
      </c>
      <c r="K211" s="690">
        <f>(AJ211*KFC!$B$22+KFC!$C$22)*KFC!$C$5</f>
        <v>251.29291120434789</v>
      </c>
      <c r="L211" s="690">
        <f>(AK211*KFC!$B$22+KFC!$C$22)*KFC!$C$5</f>
        <v>266.04454402714748</v>
      </c>
      <c r="M211" s="690">
        <f>(AL211*KFC!$B$22+KFC!$C$22)*KFC!$C$5</f>
        <v>280.79617684994702</v>
      </c>
      <c r="N211" s="690">
        <f>(AM211*KFC!$B$22+KFC!$C$22)*KFC!$C$5</f>
        <v>295.54780967274655</v>
      </c>
      <c r="O211" s="690">
        <f>(AN211*KFC!$B$22+KFC!$C$22)*KFC!$C$5</f>
        <v>310.29944249554615</v>
      </c>
      <c r="P211" s="690">
        <f>(AO211*KFC!$B$22+KFC!$C$22)*KFC!$C$5</f>
        <v>325.05107531834568</v>
      </c>
      <c r="Q211" s="690">
        <f>(AP211*KFC!$B$22+KFC!$C$22)*KFC!$C$5</f>
        <v>339.80270814114527</v>
      </c>
      <c r="R211" s="690">
        <f>(AQ211*KFC!$B$22+KFC!$C$22)*KFC!$C$5</f>
        <v>354.55434096394481</v>
      </c>
      <c r="S211" s="690">
        <f>(AR211*KFC!$B$22+KFC!$C$22)*KFC!$C$5</f>
        <v>369.3059737867444</v>
      </c>
      <c r="T211" s="690">
        <f>(AS211*KFC!$B$22+KFC!$C$22)*KFC!$C$5</f>
        <v>384.05760660954394</v>
      </c>
      <c r="U211" s="690">
        <f>(AT211*KFC!$B$22+KFC!$C$22)*KFC!$C$5</f>
        <v>398.80923943234353</v>
      </c>
      <c r="V211" s="690">
        <f>(AU211*KFC!$B$22+KFC!$C$22)*KFC!$C$5</f>
        <v>413.56087225514307</v>
      </c>
      <c r="W211" s="690">
        <f>(AV211*KFC!$B$22+KFC!$C$22)*KFC!$C$5</f>
        <v>428.31250507794266</v>
      </c>
      <c r="X211" s="690">
        <f>(AW211*KFC!$B$22+KFC!$C$22)*KFC!$C$5</f>
        <v>443.0641379007422</v>
      </c>
      <c r="Y211" s="690">
        <f>(AX211*KFC!$B$22+KFC!$C$22)*KFC!$C$5</f>
        <v>457.81577072354179</v>
      </c>
      <c r="Z211" s="690">
        <f>(AY211*KFC!$B$22+KFC!$C$22)*KFC!$C$5</f>
        <v>472.56740354634144</v>
      </c>
      <c r="AB211" s="771">
        <v>133.27984862195137</v>
      </c>
      <c r="AC211" s="772">
        <v>148.03148144475094</v>
      </c>
      <c r="AD211" s="772">
        <v>162.7831142675505</v>
      </c>
      <c r="AE211" s="772">
        <v>177.53474709035007</v>
      </c>
      <c r="AF211" s="772">
        <v>192.28637991314963</v>
      </c>
      <c r="AG211" s="772">
        <v>207.0380127359492</v>
      </c>
      <c r="AH211" s="772">
        <v>221.78964555874876</v>
      </c>
      <c r="AI211" s="772">
        <v>236.54127838154832</v>
      </c>
      <c r="AJ211" s="772">
        <v>251.29291120434789</v>
      </c>
      <c r="AK211" s="772">
        <v>266.04454402714748</v>
      </c>
      <c r="AL211" s="772">
        <v>280.79617684994702</v>
      </c>
      <c r="AM211" s="772">
        <v>295.54780967274655</v>
      </c>
      <c r="AN211" s="772">
        <v>310.29944249554615</v>
      </c>
      <c r="AO211" s="772">
        <v>325.05107531834568</v>
      </c>
      <c r="AP211" s="772">
        <v>339.80270814114527</v>
      </c>
      <c r="AQ211" s="772">
        <v>354.55434096394481</v>
      </c>
      <c r="AR211" s="772">
        <v>369.3059737867444</v>
      </c>
      <c r="AS211" s="772">
        <v>384.05760660954394</v>
      </c>
      <c r="AT211" s="772">
        <v>398.80923943234353</v>
      </c>
      <c r="AU211" s="772">
        <v>413.56087225514307</v>
      </c>
      <c r="AV211" s="772">
        <v>428.31250507794266</v>
      </c>
      <c r="AW211" s="772">
        <v>443.0641379007422</v>
      </c>
      <c r="AX211" s="772">
        <v>457.81577072354179</v>
      </c>
      <c r="AY211" s="773">
        <v>472.56740354634144</v>
      </c>
    </row>
    <row r="212" spans="1:51">
      <c r="A212" s="1277"/>
      <c r="B212" s="681">
        <v>2.9</v>
      </c>
      <c r="C212" s="690">
        <f>(AB212*KFC!$B$22+KFC!$C$22)*KFC!$C$5</f>
        <v>136.06547127073188</v>
      </c>
      <c r="D212" s="690">
        <f>(AC212*KFC!$B$22+KFC!$C$22)*KFC!$C$5</f>
        <v>151.21546878308607</v>
      </c>
      <c r="E212" s="690">
        <f>(AD212*KFC!$B$22+KFC!$C$22)*KFC!$C$5</f>
        <v>166.36546629544023</v>
      </c>
      <c r="F212" s="690">
        <f>(AE212*KFC!$B$22+KFC!$C$22)*KFC!$C$5</f>
        <v>181.51546380779439</v>
      </c>
      <c r="G212" s="690">
        <f>(AF212*KFC!$B$22+KFC!$C$22)*KFC!$C$5</f>
        <v>196.66546132014855</v>
      </c>
      <c r="H212" s="690">
        <f>(AG212*KFC!$B$22+KFC!$C$22)*KFC!$C$5</f>
        <v>211.81545883250274</v>
      </c>
      <c r="I212" s="690">
        <f>(AH212*KFC!$B$22+KFC!$C$22)*KFC!$C$5</f>
        <v>226.9654563448569</v>
      </c>
      <c r="J212" s="690">
        <f>(AI212*KFC!$B$22+KFC!$C$22)*KFC!$C$5</f>
        <v>242.11545385721107</v>
      </c>
      <c r="K212" s="690">
        <f>(AJ212*KFC!$B$22+KFC!$C$22)*KFC!$C$5</f>
        <v>257.26545136956526</v>
      </c>
      <c r="L212" s="690">
        <f>(AK212*KFC!$B$22+KFC!$C$22)*KFC!$C$5</f>
        <v>272.41544888191942</v>
      </c>
      <c r="M212" s="690">
        <f>(AL212*KFC!$B$22+KFC!$C$22)*KFC!$C$5</f>
        <v>287.56544639427358</v>
      </c>
      <c r="N212" s="690">
        <f>(AM212*KFC!$B$22+KFC!$C$22)*KFC!$C$5</f>
        <v>302.71544390662774</v>
      </c>
      <c r="O212" s="690">
        <f>(AN212*KFC!$B$22+KFC!$C$22)*KFC!$C$5</f>
        <v>317.8654414189819</v>
      </c>
      <c r="P212" s="690">
        <f>(AO212*KFC!$B$22+KFC!$C$22)*KFC!$C$5</f>
        <v>333.01543893133606</v>
      </c>
      <c r="Q212" s="690">
        <f>(AP212*KFC!$B$22+KFC!$C$22)*KFC!$C$5</f>
        <v>348.16543644369028</v>
      </c>
      <c r="R212" s="690">
        <f>(AQ212*KFC!$B$22+KFC!$C$22)*KFC!$C$5</f>
        <v>363.31543395604444</v>
      </c>
      <c r="S212" s="690">
        <f>(AR212*KFC!$B$22+KFC!$C$22)*KFC!$C$5</f>
        <v>378.46543146839866</v>
      </c>
      <c r="T212" s="690">
        <f>(AS212*KFC!$B$22+KFC!$C$22)*KFC!$C$5</f>
        <v>393.61542898075288</v>
      </c>
      <c r="U212" s="690">
        <f>(AT212*KFC!$B$22+KFC!$C$22)*KFC!$C$5</f>
        <v>408.7654264931071</v>
      </c>
      <c r="V212" s="690">
        <f>(AU212*KFC!$B$22+KFC!$C$22)*KFC!$C$5</f>
        <v>423.91542400546132</v>
      </c>
      <c r="W212" s="690">
        <f>(AV212*KFC!$B$22+KFC!$C$22)*KFC!$C$5</f>
        <v>439.06542151781548</v>
      </c>
      <c r="X212" s="690">
        <f>(AW212*KFC!$B$22+KFC!$C$22)*KFC!$C$5</f>
        <v>454.2154190301697</v>
      </c>
      <c r="Y212" s="690">
        <f>(AX212*KFC!$B$22+KFC!$C$22)*KFC!$C$5</f>
        <v>469.36541654252392</v>
      </c>
      <c r="Z212" s="690">
        <f>(AY212*KFC!$B$22+KFC!$C$22)*KFC!$C$5</f>
        <v>484.51541405487797</v>
      </c>
      <c r="AB212" s="771">
        <v>136.06547127073188</v>
      </c>
      <c r="AC212" s="772">
        <v>151.21546878308607</v>
      </c>
      <c r="AD212" s="772">
        <v>166.36546629544023</v>
      </c>
      <c r="AE212" s="772">
        <v>181.51546380779439</v>
      </c>
      <c r="AF212" s="772">
        <v>196.66546132014855</v>
      </c>
      <c r="AG212" s="772">
        <v>211.81545883250274</v>
      </c>
      <c r="AH212" s="772">
        <v>226.9654563448569</v>
      </c>
      <c r="AI212" s="772">
        <v>242.11545385721107</v>
      </c>
      <c r="AJ212" s="772">
        <v>257.26545136956526</v>
      </c>
      <c r="AK212" s="772">
        <v>272.41544888191942</v>
      </c>
      <c r="AL212" s="772">
        <v>287.56544639427358</v>
      </c>
      <c r="AM212" s="772">
        <v>302.71544390662774</v>
      </c>
      <c r="AN212" s="772">
        <v>317.8654414189819</v>
      </c>
      <c r="AO212" s="772">
        <v>333.01543893133606</v>
      </c>
      <c r="AP212" s="772">
        <v>348.16543644369028</v>
      </c>
      <c r="AQ212" s="772">
        <v>363.31543395604444</v>
      </c>
      <c r="AR212" s="772">
        <v>378.46543146839866</v>
      </c>
      <c r="AS212" s="772">
        <v>393.61542898075288</v>
      </c>
      <c r="AT212" s="772">
        <v>408.7654264931071</v>
      </c>
      <c r="AU212" s="772">
        <v>423.91542400546132</v>
      </c>
      <c r="AV212" s="772">
        <v>439.06542151781548</v>
      </c>
      <c r="AW212" s="772">
        <v>454.2154190301697</v>
      </c>
      <c r="AX212" s="772">
        <v>469.36541654252392</v>
      </c>
      <c r="AY212" s="773">
        <v>484.51541405487797</v>
      </c>
    </row>
    <row r="213" spans="1:51">
      <c r="A213" s="1277"/>
      <c r="B213" s="681">
        <v>3</v>
      </c>
      <c r="C213" s="690">
        <f>(AB213*KFC!$B$22+KFC!$C$22)*KFC!$C$5</f>
        <v>138.85109391951238</v>
      </c>
      <c r="D213" s="690">
        <f>(AC213*KFC!$B$22+KFC!$C$22)*KFC!$C$5</f>
        <v>154.39945612142117</v>
      </c>
      <c r="E213" s="690">
        <f>(AD213*KFC!$B$22+KFC!$C$22)*KFC!$C$5</f>
        <v>169.94781832332998</v>
      </c>
      <c r="F213" s="690">
        <f>(AE213*KFC!$B$22+KFC!$C$22)*KFC!$C$5</f>
        <v>185.49618052523874</v>
      </c>
      <c r="G213" s="690">
        <f>(AF213*KFC!$B$22+KFC!$C$22)*KFC!$C$5</f>
        <v>201.04454272714753</v>
      </c>
      <c r="H213" s="690">
        <f>(AG213*KFC!$B$22+KFC!$C$22)*KFC!$C$5</f>
        <v>216.59290492905629</v>
      </c>
      <c r="I213" s="690">
        <f>(AH213*KFC!$B$22+KFC!$C$22)*KFC!$C$5</f>
        <v>232.14126713096508</v>
      </c>
      <c r="J213" s="690">
        <f>(AI213*KFC!$B$22+KFC!$C$22)*KFC!$C$5</f>
        <v>247.68962933287386</v>
      </c>
      <c r="K213" s="690">
        <f>(AJ213*KFC!$B$22+KFC!$C$22)*KFC!$C$5</f>
        <v>263.23799153478262</v>
      </c>
      <c r="L213" s="690">
        <f>(AK213*KFC!$B$22+KFC!$C$22)*KFC!$C$5</f>
        <v>278.78635373669141</v>
      </c>
      <c r="M213" s="690">
        <f>(AL213*KFC!$B$22+KFC!$C$22)*KFC!$C$5</f>
        <v>294.3347159386002</v>
      </c>
      <c r="N213" s="690">
        <f>(AM213*KFC!$B$22+KFC!$C$22)*KFC!$C$5</f>
        <v>309.88307814050899</v>
      </c>
      <c r="O213" s="690">
        <f>(AN213*KFC!$B$22+KFC!$C$22)*KFC!$C$5</f>
        <v>325.43144034241772</v>
      </c>
      <c r="P213" s="690">
        <f>(AO213*KFC!$B$22+KFC!$C$22)*KFC!$C$5</f>
        <v>340.97980254432656</v>
      </c>
      <c r="Q213" s="690">
        <f>(AP213*KFC!$B$22+KFC!$C$22)*KFC!$C$5</f>
        <v>356.52816474623535</v>
      </c>
      <c r="R213" s="690">
        <f>(AQ213*KFC!$B$22+KFC!$C$22)*KFC!$C$5</f>
        <v>372.07652694814408</v>
      </c>
      <c r="S213" s="690">
        <f>(AR213*KFC!$B$22+KFC!$C$22)*KFC!$C$5</f>
        <v>387.62488915005287</v>
      </c>
      <c r="T213" s="690">
        <f>(AS213*KFC!$B$22+KFC!$C$22)*KFC!$C$5</f>
        <v>403.17325135196165</v>
      </c>
      <c r="U213" s="690">
        <f>(AT213*KFC!$B$22+KFC!$C$22)*KFC!$C$5</f>
        <v>418.72161355387044</v>
      </c>
      <c r="V213" s="690">
        <f>(AU213*KFC!$B$22+KFC!$C$22)*KFC!$C$5</f>
        <v>434.26997575577923</v>
      </c>
      <c r="W213" s="690">
        <f>(AV213*KFC!$B$22+KFC!$C$22)*KFC!$C$5</f>
        <v>449.81833795768796</v>
      </c>
      <c r="X213" s="690">
        <f>(AW213*KFC!$B$22+KFC!$C$22)*KFC!$C$5</f>
        <v>465.36670015959675</v>
      </c>
      <c r="Y213" s="690">
        <f>(AX213*KFC!$B$22+KFC!$C$22)*KFC!$C$5</f>
        <v>480.91506236150553</v>
      </c>
      <c r="Z213" s="690">
        <f>(AY213*KFC!$B$22+KFC!$C$22)*KFC!$C$5</f>
        <v>496.46342456341455</v>
      </c>
      <c r="AB213" s="771">
        <v>138.85109391951238</v>
      </c>
      <c r="AC213" s="772">
        <v>154.39945612142117</v>
      </c>
      <c r="AD213" s="772">
        <v>169.94781832332998</v>
      </c>
      <c r="AE213" s="772">
        <v>185.49618052523874</v>
      </c>
      <c r="AF213" s="772">
        <v>201.04454272714753</v>
      </c>
      <c r="AG213" s="772">
        <v>216.59290492905629</v>
      </c>
      <c r="AH213" s="772">
        <v>232.14126713096508</v>
      </c>
      <c r="AI213" s="772">
        <v>247.68962933287386</v>
      </c>
      <c r="AJ213" s="772">
        <v>263.23799153478262</v>
      </c>
      <c r="AK213" s="772">
        <v>278.78635373669141</v>
      </c>
      <c r="AL213" s="772">
        <v>294.3347159386002</v>
      </c>
      <c r="AM213" s="772">
        <v>309.88307814050899</v>
      </c>
      <c r="AN213" s="772">
        <v>325.43144034241772</v>
      </c>
      <c r="AO213" s="772">
        <v>340.97980254432656</v>
      </c>
      <c r="AP213" s="772">
        <v>356.52816474623535</v>
      </c>
      <c r="AQ213" s="772">
        <v>372.07652694814408</v>
      </c>
      <c r="AR213" s="772">
        <v>387.62488915005287</v>
      </c>
      <c r="AS213" s="772">
        <v>403.17325135196165</v>
      </c>
      <c r="AT213" s="772">
        <v>418.72161355387044</v>
      </c>
      <c r="AU213" s="772">
        <v>434.26997575577923</v>
      </c>
      <c r="AV213" s="772">
        <v>449.81833795768796</v>
      </c>
      <c r="AW213" s="772">
        <v>465.36670015959675</v>
      </c>
      <c r="AX213" s="772">
        <v>480.91506236150553</v>
      </c>
      <c r="AY213" s="773">
        <v>496.46342456341455</v>
      </c>
    </row>
    <row r="214" spans="1:51">
      <c r="A214" s="1277"/>
      <c r="B214" s="681">
        <v>3.1</v>
      </c>
      <c r="C214" s="690">
        <f>(AB214*KFC!$B$22+KFC!$C$22)*KFC!$C$5</f>
        <v>141.63671656829288</v>
      </c>
      <c r="D214" s="690">
        <f>(AC214*KFC!$B$22+KFC!$C$22)*KFC!$C$5</f>
        <v>157.58344345975627</v>
      </c>
      <c r="E214" s="690">
        <f>(AD214*KFC!$B$22+KFC!$C$22)*KFC!$C$5</f>
        <v>173.53017035121968</v>
      </c>
      <c r="F214" s="690">
        <f>(AE214*KFC!$B$22+KFC!$C$22)*KFC!$C$5</f>
        <v>189.47689724268307</v>
      </c>
      <c r="G214" s="690">
        <f>(AF214*KFC!$B$22+KFC!$C$22)*KFC!$C$5</f>
        <v>205.42362413414648</v>
      </c>
      <c r="H214" s="690">
        <f>(AG214*KFC!$B$22+KFC!$C$22)*KFC!$C$5</f>
        <v>221.37035102560992</v>
      </c>
      <c r="I214" s="690">
        <f>(AH214*KFC!$B$22+KFC!$C$22)*KFC!$C$5</f>
        <v>237.31707791707333</v>
      </c>
      <c r="J214" s="690">
        <f>(AI214*KFC!$B$22+KFC!$C$22)*KFC!$C$5</f>
        <v>253.26380480853675</v>
      </c>
      <c r="K214" s="690">
        <f>(AJ214*KFC!$B$22+KFC!$C$22)*KFC!$C$5</f>
        <v>269.21053170000016</v>
      </c>
      <c r="L214" s="690">
        <f>(AK214*KFC!$B$22+KFC!$C$22)*KFC!$C$5</f>
        <v>285.15725859146357</v>
      </c>
      <c r="M214" s="690">
        <f>(AL214*KFC!$B$22+KFC!$C$22)*KFC!$C$5</f>
        <v>301.10398548292699</v>
      </c>
      <c r="N214" s="690">
        <f>(AM214*KFC!$B$22+KFC!$C$22)*KFC!$C$5</f>
        <v>317.05071237439046</v>
      </c>
      <c r="O214" s="690">
        <f>(AN214*KFC!$B$22+KFC!$C$22)*KFC!$C$5</f>
        <v>332.99743926585387</v>
      </c>
      <c r="P214" s="690">
        <f>(AO214*KFC!$B$22+KFC!$C$22)*KFC!$C$5</f>
        <v>348.94416615731728</v>
      </c>
      <c r="Q214" s="690">
        <f>(AP214*KFC!$B$22+KFC!$C$22)*KFC!$C$5</f>
        <v>364.8908930487807</v>
      </c>
      <c r="R214" s="690">
        <f>(AQ214*KFC!$B$22+KFC!$C$22)*KFC!$C$5</f>
        <v>380.83761994024411</v>
      </c>
      <c r="S214" s="690">
        <f>(AR214*KFC!$B$22+KFC!$C$22)*KFC!$C$5</f>
        <v>396.78434683170752</v>
      </c>
      <c r="T214" s="690">
        <f>(AS214*KFC!$B$22+KFC!$C$22)*KFC!$C$5</f>
        <v>412.73107372317094</v>
      </c>
      <c r="U214" s="690">
        <f>(AT214*KFC!$B$22+KFC!$C$22)*KFC!$C$5</f>
        <v>428.67780061463435</v>
      </c>
      <c r="V214" s="690">
        <f>(AU214*KFC!$B$22+KFC!$C$22)*KFC!$C$5</f>
        <v>444.62452750609782</v>
      </c>
      <c r="W214" s="690">
        <f>(AV214*KFC!$B$22+KFC!$C$22)*KFC!$C$5</f>
        <v>460.57125439756123</v>
      </c>
      <c r="X214" s="690">
        <f>(AW214*KFC!$B$22+KFC!$C$22)*KFC!$C$5</f>
        <v>476.51798128902465</v>
      </c>
      <c r="Y214" s="690">
        <f>(AX214*KFC!$B$22+KFC!$C$22)*KFC!$C$5</f>
        <v>492.46470818048806</v>
      </c>
      <c r="Z214" s="690">
        <f>(AY214*KFC!$B$22+KFC!$C$22)*KFC!$C$5</f>
        <v>508.41143507195108</v>
      </c>
      <c r="AB214" s="771">
        <v>141.63671656829288</v>
      </c>
      <c r="AC214" s="772">
        <v>157.58344345975627</v>
      </c>
      <c r="AD214" s="772">
        <v>173.53017035121968</v>
      </c>
      <c r="AE214" s="772">
        <v>189.47689724268307</v>
      </c>
      <c r="AF214" s="772">
        <v>205.42362413414648</v>
      </c>
      <c r="AG214" s="772">
        <v>221.37035102560992</v>
      </c>
      <c r="AH214" s="772">
        <v>237.31707791707333</v>
      </c>
      <c r="AI214" s="772">
        <v>253.26380480853675</v>
      </c>
      <c r="AJ214" s="772">
        <v>269.21053170000016</v>
      </c>
      <c r="AK214" s="772">
        <v>285.15725859146357</v>
      </c>
      <c r="AL214" s="772">
        <v>301.10398548292699</v>
      </c>
      <c r="AM214" s="772">
        <v>317.05071237439046</v>
      </c>
      <c r="AN214" s="772">
        <v>332.99743926585387</v>
      </c>
      <c r="AO214" s="772">
        <v>348.94416615731728</v>
      </c>
      <c r="AP214" s="772">
        <v>364.8908930487807</v>
      </c>
      <c r="AQ214" s="772">
        <v>380.83761994024411</v>
      </c>
      <c r="AR214" s="772">
        <v>396.78434683170752</v>
      </c>
      <c r="AS214" s="772">
        <v>412.73107372317094</v>
      </c>
      <c r="AT214" s="772">
        <v>428.67780061463435</v>
      </c>
      <c r="AU214" s="772">
        <v>444.62452750609782</v>
      </c>
      <c r="AV214" s="772">
        <v>460.57125439756123</v>
      </c>
      <c r="AW214" s="772">
        <v>476.51798128902465</v>
      </c>
      <c r="AX214" s="772">
        <v>492.46470818048806</v>
      </c>
      <c r="AY214" s="773">
        <v>508.41143507195108</v>
      </c>
    </row>
    <row r="215" spans="1:51">
      <c r="A215" s="1277"/>
      <c r="B215" s="681">
        <v>3.2</v>
      </c>
      <c r="C215" s="690">
        <f>(AB215*KFC!$B$22+KFC!$C$22)*KFC!$C$5</f>
        <v>144.42233921707339</v>
      </c>
      <c r="D215" s="690">
        <f>(AC215*KFC!$B$22+KFC!$C$22)*KFC!$C$5</f>
        <v>160.7674307980914</v>
      </c>
      <c r="E215" s="690">
        <f>(AD215*KFC!$B$22+KFC!$C$22)*KFC!$C$5</f>
        <v>177.11252237910941</v>
      </c>
      <c r="F215" s="690">
        <f>(AE215*KFC!$B$22+KFC!$C$22)*KFC!$C$5</f>
        <v>193.45761396012742</v>
      </c>
      <c r="G215" s="690">
        <f>(AF215*KFC!$B$22+KFC!$C$22)*KFC!$C$5</f>
        <v>209.80270554114546</v>
      </c>
      <c r="H215" s="690">
        <f>(AG215*KFC!$B$22+KFC!$C$22)*KFC!$C$5</f>
        <v>226.14779712216347</v>
      </c>
      <c r="I215" s="690">
        <f>(AH215*KFC!$B$22+KFC!$C$22)*KFC!$C$5</f>
        <v>242.49288870318151</v>
      </c>
      <c r="J215" s="690">
        <f>(AI215*KFC!$B$22+KFC!$C$22)*KFC!$C$5</f>
        <v>258.83798028419955</v>
      </c>
      <c r="K215" s="690">
        <f>(AJ215*KFC!$B$22+KFC!$C$22)*KFC!$C$5</f>
        <v>275.18307186521758</v>
      </c>
      <c r="L215" s="690">
        <f>(AK215*KFC!$B$22+KFC!$C$22)*KFC!$C$5</f>
        <v>291.52816344623557</v>
      </c>
      <c r="M215" s="690">
        <f>(AL215*KFC!$B$22+KFC!$C$22)*KFC!$C$5</f>
        <v>307.87325502725361</v>
      </c>
      <c r="N215" s="690">
        <f>(AM215*KFC!$B$22+KFC!$C$22)*KFC!$C$5</f>
        <v>324.21834660827164</v>
      </c>
      <c r="O215" s="690">
        <f>(AN215*KFC!$B$22+KFC!$C$22)*KFC!$C$5</f>
        <v>340.56343818928963</v>
      </c>
      <c r="P215" s="690">
        <f>(AO215*KFC!$B$22+KFC!$C$22)*KFC!$C$5</f>
        <v>356.90852977030761</v>
      </c>
      <c r="Q215" s="690">
        <f>(AP215*KFC!$B$22+KFC!$C$22)*KFC!$C$5</f>
        <v>373.25362135132559</v>
      </c>
      <c r="R215" s="690">
        <f>(AQ215*KFC!$B$22+KFC!$C$22)*KFC!$C$5</f>
        <v>389.59871293234357</v>
      </c>
      <c r="S215" s="690">
        <f>(AR215*KFC!$B$22+KFC!$C$22)*KFC!$C$5</f>
        <v>405.94380451336161</v>
      </c>
      <c r="T215" s="690">
        <f>(AS215*KFC!$B$22+KFC!$C$22)*KFC!$C$5</f>
        <v>422.2888960943796</v>
      </c>
      <c r="U215" s="690">
        <f>(AT215*KFC!$B$22+KFC!$C$22)*KFC!$C$5</f>
        <v>438.63398767539758</v>
      </c>
      <c r="V215" s="690">
        <f>(AU215*KFC!$B$22+KFC!$C$22)*KFC!$C$5</f>
        <v>454.97907925641556</v>
      </c>
      <c r="W215" s="690">
        <f>(AV215*KFC!$B$22+KFC!$C$22)*KFC!$C$5</f>
        <v>471.32417083743354</v>
      </c>
      <c r="X215" s="690">
        <f>(AW215*KFC!$B$22+KFC!$C$22)*KFC!$C$5</f>
        <v>487.66926241845152</v>
      </c>
      <c r="Y215" s="690">
        <f>(AX215*KFC!$B$22+KFC!$C$22)*KFC!$C$5</f>
        <v>504.01435399946951</v>
      </c>
      <c r="Z215" s="690">
        <f>(AY215*KFC!$B$22+KFC!$C$22)*KFC!$C$5</f>
        <v>520.35944558048766</v>
      </c>
      <c r="AB215" s="771">
        <v>144.42233921707339</v>
      </c>
      <c r="AC215" s="772">
        <v>160.7674307980914</v>
      </c>
      <c r="AD215" s="772">
        <v>177.11252237910941</v>
      </c>
      <c r="AE215" s="772">
        <v>193.45761396012742</v>
      </c>
      <c r="AF215" s="772">
        <v>209.80270554114546</v>
      </c>
      <c r="AG215" s="772">
        <v>226.14779712216347</v>
      </c>
      <c r="AH215" s="772">
        <v>242.49288870318151</v>
      </c>
      <c r="AI215" s="772">
        <v>258.83798028419955</v>
      </c>
      <c r="AJ215" s="772">
        <v>275.18307186521758</v>
      </c>
      <c r="AK215" s="772">
        <v>291.52816344623557</v>
      </c>
      <c r="AL215" s="772">
        <v>307.87325502725361</v>
      </c>
      <c r="AM215" s="772">
        <v>324.21834660827164</v>
      </c>
      <c r="AN215" s="772">
        <v>340.56343818928963</v>
      </c>
      <c r="AO215" s="772">
        <v>356.90852977030761</v>
      </c>
      <c r="AP215" s="772">
        <v>373.25362135132559</v>
      </c>
      <c r="AQ215" s="772">
        <v>389.59871293234357</v>
      </c>
      <c r="AR215" s="772">
        <v>405.94380451336161</v>
      </c>
      <c r="AS215" s="772">
        <v>422.2888960943796</v>
      </c>
      <c r="AT215" s="772">
        <v>438.63398767539758</v>
      </c>
      <c r="AU215" s="772">
        <v>454.97907925641556</v>
      </c>
      <c r="AV215" s="772">
        <v>471.32417083743354</v>
      </c>
      <c r="AW215" s="772">
        <v>487.66926241845152</v>
      </c>
      <c r="AX215" s="772">
        <v>504.01435399946951</v>
      </c>
      <c r="AY215" s="773">
        <v>520.35944558048766</v>
      </c>
    </row>
    <row r="216" spans="1:51">
      <c r="A216" s="1277"/>
      <c r="B216" s="681">
        <v>3.3</v>
      </c>
      <c r="C216" s="690">
        <f>(AB216*KFC!$B$22+KFC!$C$22)*KFC!$C$5</f>
        <v>147.20796186585386</v>
      </c>
      <c r="D216" s="690">
        <f>(AC216*KFC!$B$22+KFC!$C$22)*KFC!$C$5</f>
        <v>163.9514181364265</v>
      </c>
      <c r="E216" s="690">
        <f>(AD216*KFC!$B$22+KFC!$C$22)*KFC!$C$5</f>
        <v>180.69487440699913</v>
      </c>
      <c r="F216" s="690">
        <f>(AE216*KFC!$B$22+KFC!$C$22)*KFC!$C$5</f>
        <v>197.43833067757177</v>
      </c>
      <c r="G216" s="690">
        <f>(AF216*KFC!$B$22+KFC!$C$22)*KFC!$C$5</f>
        <v>214.18178694814441</v>
      </c>
      <c r="H216" s="690">
        <f>(AG216*KFC!$B$22+KFC!$C$22)*KFC!$C$5</f>
        <v>230.92524321871704</v>
      </c>
      <c r="I216" s="690">
        <f>(AH216*KFC!$B$22+KFC!$C$22)*KFC!$C$5</f>
        <v>247.66869948928968</v>
      </c>
      <c r="J216" s="690">
        <f>(AI216*KFC!$B$22+KFC!$C$22)*KFC!$C$5</f>
        <v>264.41215575986229</v>
      </c>
      <c r="K216" s="690">
        <f>(AJ216*KFC!$B$22+KFC!$C$22)*KFC!$C$5</f>
        <v>281.15561203043495</v>
      </c>
      <c r="L216" s="690">
        <f>(AK216*KFC!$B$22+KFC!$C$22)*KFC!$C$5</f>
        <v>297.89906830100756</v>
      </c>
      <c r="M216" s="690">
        <f>(AL216*KFC!$B$22+KFC!$C$22)*KFC!$C$5</f>
        <v>314.64252457158022</v>
      </c>
      <c r="N216" s="690">
        <f>(AM216*KFC!$B$22+KFC!$C$22)*KFC!$C$5</f>
        <v>331.38598084215283</v>
      </c>
      <c r="O216" s="690">
        <f>(AN216*KFC!$B$22+KFC!$C$22)*KFC!$C$5</f>
        <v>348.1294371127255</v>
      </c>
      <c r="P216" s="690">
        <f>(AO216*KFC!$B$22+KFC!$C$22)*KFC!$C$5</f>
        <v>364.87289338329811</v>
      </c>
      <c r="Q216" s="690">
        <f>(AP216*KFC!$B$22+KFC!$C$22)*KFC!$C$5</f>
        <v>381.61634965387077</v>
      </c>
      <c r="R216" s="690">
        <f>(AQ216*KFC!$B$22+KFC!$C$22)*KFC!$C$5</f>
        <v>398.35980592444338</v>
      </c>
      <c r="S216" s="690">
        <f>(AR216*KFC!$B$22+KFC!$C$22)*KFC!$C$5</f>
        <v>415.10326219501604</v>
      </c>
      <c r="T216" s="690">
        <f>(AS216*KFC!$B$22+KFC!$C$22)*KFC!$C$5</f>
        <v>431.84671846558865</v>
      </c>
      <c r="U216" s="690">
        <f>(AT216*KFC!$B$22+KFC!$C$22)*KFC!$C$5</f>
        <v>448.59017473616126</v>
      </c>
      <c r="V216" s="690">
        <f>(AU216*KFC!$B$22+KFC!$C$22)*KFC!$C$5</f>
        <v>465.33363100673392</v>
      </c>
      <c r="W216" s="690">
        <f>(AV216*KFC!$B$22+KFC!$C$22)*KFC!$C$5</f>
        <v>482.07708727730653</v>
      </c>
      <c r="X216" s="690">
        <f>(AW216*KFC!$B$22+KFC!$C$22)*KFC!$C$5</f>
        <v>498.8205435478792</v>
      </c>
      <c r="Y216" s="690">
        <f>(AX216*KFC!$B$22+KFC!$C$22)*KFC!$C$5</f>
        <v>515.56399981845186</v>
      </c>
      <c r="Z216" s="690">
        <f>(AY216*KFC!$B$22+KFC!$C$22)*KFC!$C$5</f>
        <v>532.30745608902419</v>
      </c>
      <c r="AB216" s="771">
        <v>147.20796186585386</v>
      </c>
      <c r="AC216" s="772">
        <v>163.9514181364265</v>
      </c>
      <c r="AD216" s="772">
        <v>180.69487440699913</v>
      </c>
      <c r="AE216" s="772">
        <v>197.43833067757177</v>
      </c>
      <c r="AF216" s="772">
        <v>214.18178694814441</v>
      </c>
      <c r="AG216" s="772">
        <v>230.92524321871704</v>
      </c>
      <c r="AH216" s="772">
        <v>247.66869948928968</v>
      </c>
      <c r="AI216" s="772">
        <v>264.41215575986229</v>
      </c>
      <c r="AJ216" s="772">
        <v>281.15561203043495</v>
      </c>
      <c r="AK216" s="772">
        <v>297.89906830100756</v>
      </c>
      <c r="AL216" s="772">
        <v>314.64252457158022</v>
      </c>
      <c r="AM216" s="772">
        <v>331.38598084215283</v>
      </c>
      <c r="AN216" s="772">
        <v>348.1294371127255</v>
      </c>
      <c r="AO216" s="772">
        <v>364.87289338329811</v>
      </c>
      <c r="AP216" s="772">
        <v>381.61634965387077</v>
      </c>
      <c r="AQ216" s="772">
        <v>398.35980592444338</v>
      </c>
      <c r="AR216" s="772">
        <v>415.10326219501604</v>
      </c>
      <c r="AS216" s="772">
        <v>431.84671846558865</v>
      </c>
      <c r="AT216" s="772">
        <v>448.59017473616126</v>
      </c>
      <c r="AU216" s="772">
        <v>465.33363100673392</v>
      </c>
      <c r="AV216" s="772">
        <v>482.07708727730653</v>
      </c>
      <c r="AW216" s="772">
        <v>498.8205435478792</v>
      </c>
      <c r="AX216" s="772">
        <v>515.56399981845186</v>
      </c>
      <c r="AY216" s="773">
        <v>532.30745608902419</v>
      </c>
    </row>
    <row r="217" spans="1:51">
      <c r="A217" s="1277"/>
      <c r="B217" s="681">
        <v>3.4</v>
      </c>
      <c r="C217" s="690">
        <f>(AB217*KFC!$B$22+KFC!$C$22)*KFC!$C$5</f>
        <v>149.99358451463436</v>
      </c>
      <c r="D217" s="690">
        <f>(AC217*KFC!$B$22+KFC!$C$22)*KFC!$C$5</f>
        <v>167.1354054747616</v>
      </c>
      <c r="E217" s="690">
        <f>(AD217*KFC!$B$22+KFC!$C$22)*KFC!$C$5</f>
        <v>184.27722643488886</v>
      </c>
      <c r="F217" s="690">
        <f>(AE217*KFC!$B$22+KFC!$C$22)*KFC!$C$5</f>
        <v>201.41904739501609</v>
      </c>
      <c r="G217" s="690">
        <f>(AF217*KFC!$B$22+KFC!$C$22)*KFC!$C$5</f>
        <v>218.56086835514333</v>
      </c>
      <c r="H217" s="690">
        <f>(AG217*KFC!$B$22+KFC!$C$22)*KFC!$C$5</f>
        <v>235.70268931527056</v>
      </c>
      <c r="I217" s="690">
        <f>(AH217*KFC!$B$22+KFC!$C$22)*KFC!$C$5</f>
        <v>252.84451027539782</v>
      </c>
      <c r="J217" s="690">
        <f>(AI217*KFC!$B$22+KFC!$C$22)*KFC!$C$5</f>
        <v>269.98633123552503</v>
      </c>
      <c r="K217" s="690">
        <f>(AJ217*KFC!$B$22+KFC!$C$22)*KFC!$C$5</f>
        <v>287.12815219565232</v>
      </c>
      <c r="L217" s="690">
        <f>(AK217*KFC!$B$22+KFC!$C$22)*KFC!$C$5</f>
        <v>304.26997315577955</v>
      </c>
      <c r="M217" s="690">
        <f>(AL217*KFC!$B$22+KFC!$C$22)*KFC!$C$5</f>
        <v>321.41179411590679</v>
      </c>
      <c r="N217" s="690">
        <f>(AM217*KFC!$B$22+KFC!$C$22)*KFC!$C$5</f>
        <v>338.55361507603396</v>
      </c>
      <c r="O217" s="690">
        <f>(AN217*KFC!$B$22+KFC!$C$22)*KFC!$C$5</f>
        <v>355.6954360361612</v>
      </c>
      <c r="P217" s="690">
        <f>(AO217*KFC!$B$22+KFC!$C$22)*KFC!$C$5</f>
        <v>372.83725699628837</v>
      </c>
      <c r="Q217" s="690">
        <f>(AP217*KFC!$B$22+KFC!$C$22)*KFC!$C$5</f>
        <v>389.97907795641561</v>
      </c>
      <c r="R217" s="690">
        <f>(AQ217*KFC!$B$22+KFC!$C$22)*KFC!$C$5</f>
        <v>407.12089891654279</v>
      </c>
      <c r="S217" s="690">
        <f>(AR217*KFC!$B$22+KFC!$C$22)*KFC!$C$5</f>
        <v>424.26271987667002</v>
      </c>
      <c r="T217" s="690">
        <f>(AS217*KFC!$B$22+KFC!$C$22)*KFC!$C$5</f>
        <v>441.4045408367972</v>
      </c>
      <c r="U217" s="690">
        <f>(AT217*KFC!$B$22+KFC!$C$22)*KFC!$C$5</f>
        <v>458.54636179692443</v>
      </c>
      <c r="V217" s="690">
        <f>(AU217*KFC!$B$22+KFC!$C$22)*KFC!$C$5</f>
        <v>475.68818275705161</v>
      </c>
      <c r="W217" s="690">
        <f>(AV217*KFC!$B$22+KFC!$C$22)*KFC!$C$5</f>
        <v>492.83000371717878</v>
      </c>
      <c r="X217" s="690">
        <f>(AW217*KFC!$B$22+KFC!$C$22)*KFC!$C$5</f>
        <v>509.97182467730602</v>
      </c>
      <c r="Y217" s="690">
        <f>(AX217*KFC!$B$22+KFC!$C$22)*KFC!$C$5</f>
        <v>527.11364563743325</v>
      </c>
      <c r="Z217" s="690">
        <f>(AY217*KFC!$B$22+KFC!$C$22)*KFC!$C$5</f>
        <v>544.25546659756083</v>
      </c>
      <c r="AB217" s="771">
        <v>149.99358451463436</v>
      </c>
      <c r="AC217" s="772">
        <v>167.1354054747616</v>
      </c>
      <c r="AD217" s="772">
        <v>184.27722643488886</v>
      </c>
      <c r="AE217" s="772">
        <v>201.41904739501609</v>
      </c>
      <c r="AF217" s="772">
        <v>218.56086835514333</v>
      </c>
      <c r="AG217" s="772">
        <v>235.70268931527056</v>
      </c>
      <c r="AH217" s="772">
        <v>252.84451027539782</v>
      </c>
      <c r="AI217" s="772">
        <v>269.98633123552503</v>
      </c>
      <c r="AJ217" s="772">
        <v>287.12815219565232</v>
      </c>
      <c r="AK217" s="772">
        <v>304.26997315577955</v>
      </c>
      <c r="AL217" s="772">
        <v>321.41179411590679</v>
      </c>
      <c r="AM217" s="772">
        <v>338.55361507603396</v>
      </c>
      <c r="AN217" s="772">
        <v>355.6954360361612</v>
      </c>
      <c r="AO217" s="772">
        <v>372.83725699628837</v>
      </c>
      <c r="AP217" s="772">
        <v>389.97907795641561</v>
      </c>
      <c r="AQ217" s="772">
        <v>407.12089891654279</v>
      </c>
      <c r="AR217" s="772">
        <v>424.26271987667002</v>
      </c>
      <c r="AS217" s="772">
        <v>441.4045408367972</v>
      </c>
      <c r="AT217" s="772">
        <v>458.54636179692443</v>
      </c>
      <c r="AU217" s="772">
        <v>475.68818275705161</v>
      </c>
      <c r="AV217" s="772">
        <v>492.83000371717878</v>
      </c>
      <c r="AW217" s="772">
        <v>509.97182467730602</v>
      </c>
      <c r="AX217" s="772">
        <v>527.11364563743325</v>
      </c>
      <c r="AY217" s="773">
        <v>544.25546659756083</v>
      </c>
    </row>
    <row r="218" spans="1:51">
      <c r="A218" s="1277"/>
      <c r="B218" s="681">
        <v>3.5</v>
      </c>
      <c r="C218" s="690">
        <f>(AB218*KFC!$B$22+KFC!$C$22)*KFC!$C$5</f>
        <v>152.77920716341487</v>
      </c>
      <c r="D218" s="690">
        <f>(AC218*KFC!$B$22+KFC!$C$22)*KFC!$C$5</f>
        <v>170.31939281309673</v>
      </c>
      <c r="E218" s="690">
        <f>(AD218*KFC!$B$22+KFC!$C$22)*KFC!$C$5</f>
        <v>187.85957846277856</v>
      </c>
      <c r="F218" s="690">
        <f>(AE218*KFC!$B$22+KFC!$C$22)*KFC!$C$5</f>
        <v>205.39976411246042</v>
      </c>
      <c r="G218" s="690">
        <f>(AF218*KFC!$B$22+KFC!$C$22)*KFC!$C$5</f>
        <v>222.93994976214225</v>
      </c>
      <c r="H218" s="690">
        <f>(AG218*KFC!$B$22+KFC!$C$22)*KFC!$C$5</f>
        <v>240.48013541182411</v>
      </c>
      <c r="I218" s="690">
        <f>(AH218*KFC!$B$22+KFC!$C$22)*KFC!$C$5</f>
        <v>258.02032106150597</v>
      </c>
      <c r="J218" s="690">
        <f>(AI218*KFC!$B$22+KFC!$C$22)*KFC!$C$5</f>
        <v>275.56050671118783</v>
      </c>
      <c r="K218" s="690">
        <f>(AJ218*KFC!$B$22+KFC!$C$22)*KFC!$C$5</f>
        <v>293.10069236086963</v>
      </c>
      <c r="L218" s="690">
        <f>(AK218*KFC!$B$22+KFC!$C$22)*KFC!$C$5</f>
        <v>310.64087801055149</v>
      </c>
      <c r="M218" s="690">
        <f>(AL218*KFC!$B$22+KFC!$C$22)*KFC!$C$5</f>
        <v>328.18106366023335</v>
      </c>
      <c r="N218" s="690">
        <f>(AM218*KFC!$B$22+KFC!$C$22)*KFC!$C$5</f>
        <v>345.72124930991521</v>
      </c>
      <c r="O218" s="690">
        <f>(AN218*KFC!$B$22+KFC!$C$22)*KFC!$C$5</f>
        <v>363.26143495959701</v>
      </c>
      <c r="P218" s="690">
        <f>(AO218*KFC!$B$22+KFC!$C$22)*KFC!$C$5</f>
        <v>380.80162060927887</v>
      </c>
      <c r="Q218" s="690">
        <f>(AP218*KFC!$B$22+KFC!$C$22)*KFC!$C$5</f>
        <v>398.34180625896073</v>
      </c>
      <c r="R218" s="690">
        <f>(AQ218*KFC!$B$22+KFC!$C$22)*KFC!$C$5</f>
        <v>415.88199190864259</v>
      </c>
      <c r="S218" s="690">
        <f>(AR218*KFC!$B$22+KFC!$C$22)*KFC!$C$5</f>
        <v>433.42217755832445</v>
      </c>
      <c r="T218" s="690">
        <f>(AS218*KFC!$B$22+KFC!$C$22)*KFC!$C$5</f>
        <v>450.96236320800625</v>
      </c>
      <c r="U218" s="690">
        <f>(AT218*KFC!$B$22+KFC!$C$22)*KFC!$C$5</f>
        <v>468.50254885768811</v>
      </c>
      <c r="V218" s="690">
        <f>(AU218*KFC!$B$22+KFC!$C$22)*KFC!$C$5</f>
        <v>486.04273450736997</v>
      </c>
      <c r="W218" s="690">
        <f>(AV218*KFC!$B$22+KFC!$C$22)*KFC!$C$5</f>
        <v>503.58292015705183</v>
      </c>
      <c r="X218" s="690">
        <f>(AW218*KFC!$B$22+KFC!$C$22)*KFC!$C$5</f>
        <v>521.12310580673363</v>
      </c>
      <c r="Y218" s="690">
        <f>(AX218*KFC!$B$22+KFC!$C$22)*KFC!$C$5</f>
        <v>538.66329145641555</v>
      </c>
      <c r="Z218" s="690">
        <f>(AY218*KFC!$B$22+KFC!$C$22)*KFC!$C$5</f>
        <v>556.20347710609735</v>
      </c>
      <c r="AB218" s="771">
        <v>152.77920716341487</v>
      </c>
      <c r="AC218" s="772">
        <v>170.31939281309673</v>
      </c>
      <c r="AD218" s="772">
        <v>187.85957846277856</v>
      </c>
      <c r="AE218" s="772">
        <v>205.39976411246042</v>
      </c>
      <c r="AF218" s="772">
        <v>222.93994976214225</v>
      </c>
      <c r="AG218" s="772">
        <v>240.48013541182411</v>
      </c>
      <c r="AH218" s="772">
        <v>258.02032106150597</v>
      </c>
      <c r="AI218" s="772">
        <v>275.56050671118783</v>
      </c>
      <c r="AJ218" s="772">
        <v>293.10069236086963</v>
      </c>
      <c r="AK218" s="772">
        <v>310.64087801055149</v>
      </c>
      <c r="AL218" s="772">
        <v>328.18106366023335</v>
      </c>
      <c r="AM218" s="772">
        <v>345.72124930991521</v>
      </c>
      <c r="AN218" s="772">
        <v>363.26143495959701</v>
      </c>
      <c r="AO218" s="772">
        <v>380.80162060927887</v>
      </c>
      <c r="AP218" s="772">
        <v>398.34180625896073</v>
      </c>
      <c r="AQ218" s="772">
        <v>415.88199190864259</v>
      </c>
      <c r="AR218" s="772">
        <v>433.42217755832445</v>
      </c>
      <c r="AS218" s="772">
        <v>450.96236320800625</v>
      </c>
      <c r="AT218" s="772">
        <v>468.50254885768811</v>
      </c>
      <c r="AU218" s="772">
        <v>486.04273450736997</v>
      </c>
      <c r="AV218" s="772">
        <v>503.58292015705183</v>
      </c>
      <c r="AW218" s="772">
        <v>521.12310580673363</v>
      </c>
      <c r="AX218" s="772">
        <v>538.66329145641555</v>
      </c>
      <c r="AY218" s="773">
        <v>556.20347710609735</v>
      </c>
    </row>
    <row r="219" spans="1:51">
      <c r="A219" s="1277"/>
      <c r="B219" s="681">
        <v>3.6</v>
      </c>
      <c r="C219" s="690">
        <f>(AB219*KFC!$B$22+KFC!$C$22)*KFC!$C$5</f>
        <v>155.56482981219537</v>
      </c>
      <c r="D219" s="690">
        <f>(AC219*KFC!$B$22+KFC!$C$22)*KFC!$C$5</f>
        <v>173.50338015143183</v>
      </c>
      <c r="E219" s="690">
        <f>(AD219*KFC!$B$22+KFC!$C$22)*KFC!$C$5</f>
        <v>191.44193049066828</v>
      </c>
      <c r="F219" s="690">
        <f>(AE219*KFC!$B$22+KFC!$C$22)*KFC!$C$5</f>
        <v>209.38048082990474</v>
      </c>
      <c r="G219" s="690">
        <f>(AF219*KFC!$B$22+KFC!$C$22)*KFC!$C$5</f>
        <v>227.31903116914117</v>
      </c>
      <c r="H219" s="690">
        <f>(AG219*KFC!$B$22+KFC!$C$22)*KFC!$C$5</f>
        <v>245.25758150837763</v>
      </c>
      <c r="I219" s="690">
        <f>(AH219*KFC!$B$22+KFC!$C$22)*KFC!$C$5</f>
        <v>263.19613184761408</v>
      </c>
      <c r="J219" s="690">
        <f>(AI219*KFC!$B$22+KFC!$C$22)*KFC!$C$5</f>
        <v>281.13468218685057</v>
      </c>
      <c r="K219" s="690">
        <f>(AJ219*KFC!$B$22+KFC!$C$22)*KFC!$C$5</f>
        <v>299.073232526087</v>
      </c>
      <c r="L219" s="690">
        <f>(AK219*KFC!$B$22+KFC!$C$22)*KFC!$C$5</f>
        <v>317.01178286532343</v>
      </c>
      <c r="M219" s="690">
        <f>(AL219*KFC!$B$22+KFC!$C$22)*KFC!$C$5</f>
        <v>334.95033320455991</v>
      </c>
      <c r="N219" s="690">
        <f>(AM219*KFC!$B$22+KFC!$C$22)*KFC!$C$5</f>
        <v>352.8888835437964</v>
      </c>
      <c r="O219" s="690">
        <f>(AN219*KFC!$B$22+KFC!$C$22)*KFC!$C$5</f>
        <v>370.82743388303288</v>
      </c>
      <c r="P219" s="690">
        <f>(AO219*KFC!$B$22+KFC!$C$22)*KFC!$C$5</f>
        <v>388.76598422226937</v>
      </c>
      <c r="Q219" s="690">
        <f>(AP219*KFC!$B$22+KFC!$C$22)*KFC!$C$5</f>
        <v>406.70453456150585</v>
      </c>
      <c r="R219" s="690">
        <f>(AQ219*KFC!$B$22+KFC!$C$22)*KFC!$C$5</f>
        <v>424.64308490074234</v>
      </c>
      <c r="S219" s="690">
        <f>(AR219*KFC!$B$22+KFC!$C$22)*KFC!$C$5</f>
        <v>442.58163523997888</v>
      </c>
      <c r="T219" s="690">
        <f>(AS219*KFC!$B$22+KFC!$C$22)*KFC!$C$5</f>
        <v>460.52018557921537</v>
      </c>
      <c r="U219" s="690">
        <f>(AT219*KFC!$B$22+KFC!$C$22)*KFC!$C$5</f>
        <v>478.45873591845185</v>
      </c>
      <c r="V219" s="690">
        <f>(AU219*KFC!$B$22+KFC!$C$22)*KFC!$C$5</f>
        <v>496.39728625768834</v>
      </c>
      <c r="W219" s="690">
        <f>(AV219*KFC!$B$22+KFC!$C$22)*KFC!$C$5</f>
        <v>514.33583659692476</v>
      </c>
      <c r="X219" s="690">
        <f>(AW219*KFC!$B$22+KFC!$C$22)*KFC!$C$5</f>
        <v>532.27438693616136</v>
      </c>
      <c r="Y219" s="690">
        <f>(AX219*KFC!$B$22+KFC!$C$22)*KFC!$C$5</f>
        <v>550.21293727539785</v>
      </c>
      <c r="Z219" s="690">
        <f>(AY219*KFC!$B$22+KFC!$C$22)*KFC!$C$5</f>
        <v>568.15148761463388</v>
      </c>
      <c r="AB219" s="771">
        <v>155.56482981219537</v>
      </c>
      <c r="AC219" s="772">
        <v>173.50338015143183</v>
      </c>
      <c r="AD219" s="772">
        <v>191.44193049066828</v>
      </c>
      <c r="AE219" s="772">
        <v>209.38048082990474</v>
      </c>
      <c r="AF219" s="772">
        <v>227.31903116914117</v>
      </c>
      <c r="AG219" s="772">
        <v>245.25758150837763</v>
      </c>
      <c r="AH219" s="772">
        <v>263.19613184761408</v>
      </c>
      <c r="AI219" s="772">
        <v>281.13468218685057</v>
      </c>
      <c r="AJ219" s="772">
        <v>299.073232526087</v>
      </c>
      <c r="AK219" s="772">
        <v>317.01178286532343</v>
      </c>
      <c r="AL219" s="772">
        <v>334.95033320455991</v>
      </c>
      <c r="AM219" s="772">
        <v>352.8888835437964</v>
      </c>
      <c r="AN219" s="772">
        <v>370.82743388303288</v>
      </c>
      <c r="AO219" s="772">
        <v>388.76598422226937</v>
      </c>
      <c r="AP219" s="772">
        <v>406.70453456150585</v>
      </c>
      <c r="AQ219" s="772">
        <v>424.64308490074234</v>
      </c>
      <c r="AR219" s="772">
        <v>442.58163523997888</v>
      </c>
      <c r="AS219" s="772">
        <v>460.52018557921537</v>
      </c>
      <c r="AT219" s="772">
        <v>478.45873591845185</v>
      </c>
      <c r="AU219" s="772">
        <v>496.39728625768834</v>
      </c>
      <c r="AV219" s="772">
        <v>514.33583659692476</v>
      </c>
      <c r="AW219" s="772">
        <v>532.27438693616136</v>
      </c>
      <c r="AX219" s="772">
        <v>550.21293727539785</v>
      </c>
      <c r="AY219" s="773">
        <v>568.15148761463388</v>
      </c>
    </row>
    <row r="220" spans="1:51">
      <c r="A220" s="1277"/>
      <c r="B220" s="681">
        <v>3.7</v>
      </c>
      <c r="C220" s="690">
        <f>(AB220*KFC!$B$22+KFC!$C$22)*KFC!$C$5</f>
        <v>158.35045246097587</v>
      </c>
      <c r="D220" s="690">
        <f>(AC220*KFC!$B$22+KFC!$C$22)*KFC!$C$5</f>
        <v>176.68736748976693</v>
      </c>
      <c r="E220" s="690">
        <f>(AD220*KFC!$B$22+KFC!$C$22)*KFC!$C$5</f>
        <v>195.02428251855798</v>
      </c>
      <c r="F220" s="690">
        <f>(AE220*KFC!$B$22+KFC!$C$22)*KFC!$C$5</f>
        <v>213.36119754734904</v>
      </c>
      <c r="G220" s="690">
        <f>(AF220*KFC!$B$22+KFC!$C$22)*KFC!$C$5</f>
        <v>231.69811257614012</v>
      </c>
      <c r="H220" s="690">
        <f>(AG220*KFC!$B$22+KFC!$C$22)*KFC!$C$5</f>
        <v>250.03502760493117</v>
      </c>
      <c r="I220" s="690">
        <f>(AH220*KFC!$B$22+KFC!$C$22)*KFC!$C$5</f>
        <v>268.3719426337222</v>
      </c>
      <c r="J220" s="690">
        <f>(AI220*KFC!$B$22+KFC!$C$22)*KFC!$C$5</f>
        <v>286.70885766251331</v>
      </c>
      <c r="K220" s="690">
        <f>(AJ220*KFC!$B$22+KFC!$C$22)*KFC!$C$5</f>
        <v>305.04577269130436</v>
      </c>
      <c r="L220" s="690">
        <f>(AK220*KFC!$B$22+KFC!$C$22)*KFC!$C$5</f>
        <v>323.38268772009542</v>
      </c>
      <c r="M220" s="690">
        <f>(AL220*KFC!$B$22+KFC!$C$22)*KFC!$C$5</f>
        <v>341.71960274888647</v>
      </c>
      <c r="N220" s="690">
        <f>(AM220*KFC!$B$22+KFC!$C$22)*KFC!$C$5</f>
        <v>360.05651777767753</v>
      </c>
      <c r="O220" s="690">
        <f>(AN220*KFC!$B$22+KFC!$C$22)*KFC!$C$5</f>
        <v>378.39343280646858</v>
      </c>
      <c r="P220" s="690">
        <f>(AO220*KFC!$B$22+KFC!$C$22)*KFC!$C$5</f>
        <v>396.73034783525964</v>
      </c>
      <c r="Q220" s="690">
        <f>(AP220*KFC!$B$22+KFC!$C$22)*KFC!$C$5</f>
        <v>415.06726286405069</v>
      </c>
      <c r="R220" s="690">
        <f>(AQ220*KFC!$B$22+KFC!$C$22)*KFC!$C$5</f>
        <v>433.40417789284174</v>
      </c>
      <c r="S220" s="690">
        <f>(AR220*KFC!$B$22+KFC!$C$22)*KFC!$C$5</f>
        <v>451.74109292163286</v>
      </c>
      <c r="T220" s="690">
        <f>(AS220*KFC!$B$22+KFC!$C$22)*KFC!$C$5</f>
        <v>470.07800795042391</v>
      </c>
      <c r="U220" s="690">
        <f>(AT220*KFC!$B$22+KFC!$C$22)*KFC!$C$5</f>
        <v>488.41492297921496</v>
      </c>
      <c r="V220" s="690">
        <f>(AU220*KFC!$B$22+KFC!$C$22)*KFC!$C$5</f>
        <v>506.75183800800602</v>
      </c>
      <c r="W220" s="690">
        <f>(AV220*KFC!$B$22+KFC!$C$22)*KFC!$C$5</f>
        <v>525.08875303679713</v>
      </c>
      <c r="X220" s="690">
        <f>(AW220*KFC!$B$22+KFC!$C$22)*KFC!$C$5</f>
        <v>543.42566806558818</v>
      </c>
      <c r="Y220" s="690">
        <f>(AX220*KFC!$B$22+KFC!$C$22)*KFC!$C$5</f>
        <v>561.76258309437924</v>
      </c>
      <c r="Z220" s="690">
        <f>(AY220*KFC!$B$22+KFC!$C$22)*KFC!$C$5</f>
        <v>580.09949812317052</v>
      </c>
      <c r="AB220" s="771">
        <v>158.35045246097587</v>
      </c>
      <c r="AC220" s="772">
        <v>176.68736748976693</v>
      </c>
      <c r="AD220" s="772">
        <v>195.02428251855798</v>
      </c>
      <c r="AE220" s="772">
        <v>213.36119754734904</v>
      </c>
      <c r="AF220" s="772">
        <v>231.69811257614012</v>
      </c>
      <c r="AG220" s="772">
        <v>250.03502760493117</v>
      </c>
      <c r="AH220" s="772">
        <v>268.3719426337222</v>
      </c>
      <c r="AI220" s="772">
        <v>286.70885766251331</v>
      </c>
      <c r="AJ220" s="772">
        <v>305.04577269130436</v>
      </c>
      <c r="AK220" s="772">
        <v>323.38268772009542</v>
      </c>
      <c r="AL220" s="772">
        <v>341.71960274888647</v>
      </c>
      <c r="AM220" s="772">
        <v>360.05651777767753</v>
      </c>
      <c r="AN220" s="772">
        <v>378.39343280646858</v>
      </c>
      <c r="AO220" s="772">
        <v>396.73034783525964</v>
      </c>
      <c r="AP220" s="772">
        <v>415.06726286405069</v>
      </c>
      <c r="AQ220" s="772">
        <v>433.40417789284174</v>
      </c>
      <c r="AR220" s="772">
        <v>451.74109292163286</v>
      </c>
      <c r="AS220" s="772">
        <v>470.07800795042391</v>
      </c>
      <c r="AT220" s="772">
        <v>488.41492297921496</v>
      </c>
      <c r="AU220" s="772">
        <v>506.75183800800602</v>
      </c>
      <c r="AV220" s="772">
        <v>525.08875303679713</v>
      </c>
      <c r="AW220" s="772">
        <v>543.42566806558818</v>
      </c>
      <c r="AX220" s="772">
        <v>561.76258309437924</v>
      </c>
      <c r="AY220" s="773">
        <v>580.09949812317052</v>
      </c>
    </row>
    <row r="221" spans="1:51">
      <c r="A221" s="1277"/>
      <c r="B221" s="681">
        <v>3.8</v>
      </c>
      <c r="C221" s="690">
        <f>(AB221*KFC!$B$22+KFC!$C$22)*KFC!$C$5</f>
        <v>161.13607510975635</v>
      </c>
      <c r="D221" s="690">
        <f>(AC221*KFC!$B$22+KFC!$C$22)*KFC!$C$5</f>
        <v>179.87135482810203</v>
      </c>
      <c r="E221" s="690">
        <f>(AD221*KFC!$B$22+KFC!$C$22)*KFC!$C$5</f>
        <v>198.60663454644768</v>
      </c>
      <c r="F221" s="690">
        <f>(AE221*KFC!$B$22+KFC!$C$22)*KFC!$C$5</f>
        <v>217.34191426479336</v>
      </c>
      <c r="G221" s="690">
        <f>(AF221*KFC!$B$22+KFC!$C$22)*KFC!$C$5</f>
        <v>236.07719398313904</v>
      </c>
      <c r="H221" s="690">
        <f>(AG221*KFC!$B$22+KFC!$C$22)*KFC!$C$5</f>
        <v>254.81247370148469</v>
      </c>
      <c r="I221" s="690">
        <f>(AH221*KFC!$B$22+KFC!$C$22)*KFC!$C$5</f>
        <v>273.54775341983037</v>
      </c>
      <c r="J221" s="690">
        <f>(AI221*KFC!$B$22+KFC!$C$22)*KFC!$C$5</f>
        <v>292.28303313817605</v>
      </c>
      <c r="K221" s="690">
        <f>(AJ221*KFC!$B$22+KFC!$C$22)*KFC!$C$5</f>
        <v>311.01831285652167</v>
      </c>
      <c r="L221" s="690">
        <f>(AK221*KFC!$B$22+KFC!$C$22)*KFC!$C$5</f>
        <v>329.75359257486735</v>
      </c>
      <c r="M221" s="690">
        <f>(AL221*KFC!$B$22+KFC!$C$22)*KFC!$C$5</f>
        <v>348.48887229321303</v>
      </c>
      <c r="N221" s="690">
        <f>(AM221*KFC!$B$22+KFC!$C$22)*KFC!$C$5</f>
        <v>367.22415201155872</v>
      </c>
      <c r="O221" s="690">
        <f>(AN221*KFC!$B$22+KFC!$C$22)*KFC!$C$5</f>
        <v>385.95943172990445</v>
      </c>
      <c r="P221" s="690">
        <f>(AO221*KFC!$B$22+KFC!$C$22)*KFC!$C$5</f>
        <v>404.69471144825013</v>
      </c>
      <c r="Q221" s="690">
        <f>(AP221*KFC!$B$22+KFC!$C$22)*KFC!$C$5</f>
        <v>423.42999116659587</v>
      </c>
      <c r="R221" s="690">
        <f>(AQ221*KFC!$B$22+KFC!$C$22)*KFC!$C$5</f>
        <v>442.16527088494155</v>
      </c>
      <c r="S221" s="690">
        <f>(AR221*KFC!$B$22+KFC!$C$22)*KFC!$C$5</f>
        <v>460.90055060328729</v>
      </c>
      <c r="T221" s="690">
        <f>(AS221*KFC!$B$22+KFC!$C$22)*KFC!$C$5</f>
        <v>479.63583032163297</v>
      </c>
      <c r="U221" s="690">
        <f>(AT221*KFC!$B$22+KFC!$C$22)*KFC!$C$5</f>
        <v>498.37111003997865</v>
      </c>
      <c r="V221" s="690">
        <f>(AU221*KFC!$B$22+KFC!$C$22)*KFC!$C$5</f>
        <v>517.10638975832433</v>
      </c>
      <c r="W221" s="690">
        <f>(AV221*KFC!$B$22+KFC!$C$22)*KFC!$C$5</f>
        <v>535.84166947667006</v>
      </c>
      <c r="X221" s="690">
        <f>(AW221*KFC!$B$22+KFC!$C$22)*KFC!$C$5</f>
        <v>554.5769491950158</v>
      </c>
      <c r="Y221" s="690">
        <f>(AX221*KFC!$B$22+KFC!$C$22)*KFC!$C$5</f>
        <v>573.31222891336154</v>
      </c>
      <c r="Z221" s="690">
        <f>(AY221*KFC!$B$22+KFC!$C$22)*KFC!$C$5</f>
        <v>592.04750863170705</v>
      </c>
      <c r="AB221" s="771">
        <v>161.13607510975635</v>
      </c>
      <c r="AC221" s="772">
        <v>179.87135482810203</v>
      </c>
      <c r="AD221" s="772">
        <v>198.60663454644768</v>
      </c>
      <c r="AE221" s="772">
        <v>217.34191426479336</v>
      </c>
      <c r="AF221" s="772">
        <v>236.07719398313904</v>
      </c>
      <c r="AG221" s="772">
        <v>254.81247370148469</v>
      </c>
      <c r="AH221" s="772">
        <v>273.54775341983037</v>
      </c>
      <c r="AI221" s="772">
        <v>292.28303313817605</v>
      </c>
      <c r="AJ221" s="772">
        <v>311.01831285652167</v>
      </c>
      <c r="AK221" s="772">
        <v>329.75359257486735</v>
      </c>
      <c r="AL221" s="772">
        <v>348.48887229321303</v>
      </c>
      <c r="AM221" s="772">
        <v>367.22415201155872</v>
      </c>
      <c r="AN221" s="772">
        <v>385.95943172990445</v>
      </c>
      <c r="AO221" s="772">
        <v>404.69471144825013</v>
      </c>
      <c r="AP221" s="772">
        <v>423.42999116659587</v>
      </c>
      <c r="AQ221" s="772">
        <v>442.16527088494155</v>
      </c>
      <c r="AR221" s="772">
        <v>460.90055060328729</v>
      </c>
      <c r="AS221" s="772">
        <v>479.63583032163297</v>
      </c>
      <c r="AT221" s="772">
        <v>498.37111003997865</v>
      </c>
      <c r="AU221" s="772">
        <v>517.10638975832433</v>
      </c>
      <c r="AV221" s="772">
        <v>535.84166947667006</v>
      </c>
      <c r="AW221" s="772">
        <v>554.5769491950158</v>
      </c>
      <c r="AX221" s="772">
        <v>573.31222891336154</v>
      </c>
      <c r="AY221" s="773">
        <v>592.04750863170705</v>
      </c>
    </row>
    <row r="222" spans="1:51">
      <c r="A222" s="1277"/>
      <c r="B222" s="681">
        <v>3.9</v>
      </c>
      <c r="C222" s="690">
        <f>(AB222*KFC!$B$22+KFC!$C$22)*KFC!$C$5</f>
        <v>163.92169775853685</v>
      </c>
      <c r="D222" s="690">
        <f>(AC222*KFC!$B$22+KFC!$C$22)*KFC!$C$5</f>
        <v>183.05534216643713</v>
      </c>
      <c r="E222" s="690">
        <f>(AD222*KFC!$B$22+KFC!$C$22)*KFC!$C$5</f>
        <v>202.18898657433741</v>
      </c>
      <c r="F222" s="690">
        <f>(AE222*KFC!$B$22+KFC!$C$22)*KFC!$C$5</f>
        <v>221.32263098223768</v>
      </c>
      <c r="G222" s="690">
        <f>(AF222*KFC!$B$22+KFC!$C$22)*KFC!$C$5</f>
        <v>240.45627539013796</v>
      </c>
      <c r="H222" s="690">
        <f>(AG222*KFC!$B$22+KFC!$C$22)*KFC!$C$5</f>
        <v>259.58991979803824</v>
      </c>
      <c r="I222" s="690">
        <f>(AH222*KFC!$B$22+KFC!$C$22)*KFC!$C$5</f>
        <v>278.72356420593849</v>
      </c>
      <c r="J222" s="690">
        <f>(AI222*KFC!$B$22+KFC!$C$22)*KFC!$C$5</f>
        <v>297.85720861383879</v>
      </c>
      <c r="K222" s="690">
        <f>(AJ222*KFC!$B$22+KFC!$C$22)*KFC!$C$5</f>
        <v>316.99085302173904</v>
      </c>
      <c r="L222" s="690">
        <f>(AK222*KFC!$B$22+KFC!$C$22)*KFC!$C$5</f>
        <v>336.12449742963935</v>
      </c>
      <c r="M222" s="690">
        <f>(AL222*KFC!$B$22+KFC!$C$22)*KFC!$C$5</f>
        <v>355.2581418375396</v>
      </c>
      <c r="N222" s="690">
        <f>(AM222*KFC!$B$22+KFC!$C$22)*KFC!$C$5</f>
        <v>374.39178624543985</v>
      </c>
      <c r="O222" s="690">
        <f>(AN222*KFC!$B$22+KFC!$C$22)*KFC!$C$5</f>
        <v>393.52543065334015</v>
      </c>
      <c r="P222" s="690">
        <f>(AO222*KFC!$B$22+KFC!$C$22)*KFC!$C$5</f>
        <v>412.6590750612404</v>
      </c>
      <c r="Q222" s="690">
        <f>(AP222*KFC!$B$22+KFC!$C$22)*KFC!$C$5</f>
        <v>431.79271946914071</v>
      </c>
      <c r="R222" s="690">
        <f>(AQ222*KFC!$B$22+KFC!$C$22)*KFC!$C$5</f>
        <v>450.92636387704096</v>
      </c>
      <c r="S222" s="690">
        <f>(AR222*KFC!$B$22+KFC!$C$22)*KFC!$C$5</f>
        <v>470.06000828494126</v>
      </c>
      <c r="T222" s="690">
        <f>(AS222*KFC!$B$22+KFC!$C$22)*KFC!$C$5</f>
        <v>489.19365269284151</v>
      </c>
      <c r="U222" s="690">
        <f>(AT222*KFC!$B$22+KFC!$C$22)*KFC!$C$5</f>
        <v>508.32729710074182</v>
      </c>
      <c r="V222" s="690">
        <f>(AU222*KFC!$B$22+KFC!$C$22)*KFC!$C$5</f>
        <v>527.46094150864201</v>
      </c>
      <c r="W222" s="690">
        <f>(AV222*KFC!$B$22+KFC!$C$22)*KFC!$C$5</f>
        <v>546.59458591654231</v>
      </c>
      <c r="X222" s="690">
        <f>(AW222*KFC!$B$22+KFC!$C$22)*KFC!$C$5</f>
        <v>565.72823032444262</v>
      </c>
      <c r="Y222" s="690">
        <f>(AX222*KFC!$B$22+KFC!$C$22)*KFC!$C$5</f>
        <v>584.86187473234293</v>
      </c>
      <c r="Z222" s="690">
        <f>(AY222*KFC!$B$22+KFC!$C$22)*KFC!$C$5</f>
        <v>603.99551914024357</v>
      </c>
      <c r="AB222" s="771">
        <v>163.92169775853685</v>
      </c>
      <c r="AC222" s="772">
        <v>183.05534216643713</v>
      </c>
      <c r="AD222" s="772">
        <v>202.18898657433741</v>
      </c>
      <c r="AE222" s="772">
        <v>221.32263098223768</v>
      </c>
      <c r="AF222" s="772">
        <v>240.45627539013796</v>
      </c>
      <c r="AG222" s="772">
        <v>259.58991979803824</v>
      </c>
      <c r="AH222" s="772">
        <v>278.72356420593849</v>
      </c>
      <c r="AI222" s="772">
        <v>297.85720861383879</v>
      </c>
      <c r="AJ222" s="772">
        <v>316.99085302173904</v>
      </c>
      <c r="AK222" s="772">
        <v>336.12449742963935</v>
      </c>
      <c r="AL222" s="772">
        <v>355.2581418375396</v>
      </c>
      <c r="AM222" s="772">
        <v>374.39178624543985</v>
      </c>
      <c r="AN222" s="772">
        <v>393.52543065334015</v>
      </c>
      <c r="AO222" s="772">
        <v>412.6590750612404</v>
      </c>
      <c r="AP222" s="772">
        <v>431.79271946914071</v>
      </c>
      <c r="AQ222" s="772">
        <v>450.92636387704096</v>
      </c>
      <c r="AR222" s="772">
        <v>470.06000828494126</v>
      </c>
      <c r="AS222" s="772">
        <v>489.19365269284151</v>
      </c>
      <c r="AT222" s="772">
        <v>508.32729710074182</v>
      </c>
      <c r="AU222" s="772">
        <v>527.46094150864201</v>
      </c>
      <c r="AV222" s="772">
        <v>546.59458591654231</v>
      </c>
      <c r="AW222" s="772">
        <v>565.72823032444262</v>
      </c>
      <c r="AX222" s="772">
        <v>584.86187473234293</v>
      </c>
      <c r="AY222" s="773">
        <v>603.99551914024357</v>
      </c>
    </row>
    <row r="223" spans="1:51">
      <c r="A223" s="1277"/>
      <c r="B223" s="681">
        <v>4</v>
      </c>
      <c r="C223" s="690">
        <f>(AB223*KFC!$B$22+KFC!$C$22)*KFC!$C$5</f>
        <v>166.70732040731735</v>
      </c>
      <c r="D223" s="690">
        <f>(AC223*KFC!$B$22+KFC!$C$22)*KFC!$C$5</f>
        <v>186.23932950477226</v>
      </c>
      <c r="E223" s="690">
        <f>(AD223*KFC!$B$22+KFC!$C$22)*KFC!$C$5</f>
        <v>205.77133860222719</v>
      </c>
      <c r="F223" s="690">
        <f>(AE223*KFC!$B$22+KFC!$C$22)*KFC!$C$5</f>
        <v>225.30334769968212</v>
      </c>
      <c r="G223" s="690">
        <f>(AF223*KFC!$B$22+KFC!$C$22)*KFC!$C$5</f>
        <v>244.83535679713702</v>
      </c>
      <c r="H223" s="690">
        <f>(AG223*KFC!$B$22+KFC!$C$22)*KFC!$C$5</f>
        <v>264.36736589459196</v>
      </c>
      <c r="I223" s="690">
        <f>(AH223*KFC!$B$22+KFC!$C$22)*KFC!$C$5</f>
        <v>283.89937499204689</v>
      </c>
      <c r="J223" s="690">
        <f>(AI223*KFC!$B$22+KFC!$C$22)*KFC!$C$5</f>
        <v>303.43138408950176</v>
      </c>
      <c r="K223" s="690">
        <f>(AJ223*KFC!$B$22+KFC!$C$22)*KFC!$C$5</f>
        <v>322.96339318695669</v>
      </c>
      <c r="L223" s="690">
        <f>(AK223*KFC!$B$22+KFC!$C$22)*KFC!$C$5</f>
        <v>342.49540228441163</v>
      </c>
      <c r="M223" s="690">
        <f>(AL223*KFC!$B$22+KFC!$C$22)*KFC!$C$5</f>
        <v>362.02741138186656</v>
      </c>
      <c r="N223" s="690">
        <f>(AM223*KFC!$B$22+KFC!$C$22)*KFC!$C$5</f>
        <v>381.55942047932143</v>
      </c>
      <c r="O223" s="690">
        <f>(AN223*KFC!$B$22+KFC!$C$22)*KFC!$C$5</f>
        <v>401.09142957677636</v>
      </c>
      <c r="P223" s="690">
        <f>(AO223*KFC!$B$22+KFC!$C$22)*KFC!$C$5</f>
        <v>420.62343867423129</v>
      </c>
      <c r="Q223" s="690">
        <f>(AP223*KFC!$B$22+KFC!$C$22)*KFC!$C$5</f>
        <v>440.15544777168623</v>
      </c>
      <c r="R223" s="690">
        <f>(AQ223*KFC!$B$22+KFC!$C$22)*KFC!$C$5</f>
        <v>459.6874568691411</v>
      </c>
      <c r="S223" s="690">
        <f>(AR223*KFC!$B$22+KFC!$C$22)*KFC!$C$5</f>
        <v>479.21946596659603</v>
      </c>
      <c r="T223" s="690">
        <f>(AS223*KFC!$B$22+KFC!$C$22)*KFC!$C$5</f>
        <v>498.75147506405096</v>
      </c>
      <c r="U223" s="690">
        <f>(AT223*KFC!$B$22+KFC!$C$22)*KFC!$C$5</f>
        <v>518.28348416150584</v>
      </c>
      <c r="V223" s="690">
        <f>(AU223*KFC!$B$22+KFC!$C$22)*KFC!$C$5</f>
        <v>537.81549325896083</v>
      </c>
      <c r="W223" s="690">
        <f>(AV223*KFC!$B$22+KFC!$C$22)*KFC!$C$5</f>
        <v>557.3475023564157</v>
      </c>
      <c r="X223" s="690">
        <f>(AW223*KFC!$B$22+KFC!$C$22)*KFC!$C$5</f>
        <v>576.87951145387069</v>
      </c>
      <c r="Y223" s="690">
        <f>(AX223*KFC!$B$22+KFC!$C$22)*KFC!$C$5</f>
        <v>596.41152055132557</v>
      </c>
      <c r="Z223" s="690">
        <f>(AY223*KFC!$B$22+KFC!$C$22)*KFC!$C$5</f>
        <v>615.94352964878021</v>
      </c>
      <c r="AB223" s="771">
        <v>166.70732040731735</v>
      </c>
      <c r="AC223" s="772">
        <v>186.23932950477226</v>
      </c>
      <c r="AD223" s="772">
        <v>205.77133860222719</v>
      </c>
      <c r="AE223" s="772">
        <v>225.30334769968212</v>
      </c>
      <c r="AF223" s="772">
        <v>244.83535679713702</v>
      </c>
      <c r="AG223" s="772">
        <v>264.36736589459196</v>
      </c>
      <c r="AH223" s="772">
        <v>283.89937499204689</v>
      </c>
      <c r="AI223" s="772">
        <v>303.43138408950176</v>
      </c>
      <c r="AJ223" s="772">
        <v>322.96339318695669</v>
      </c>
      <c r="AK223" s="772">
        <v>342.49540228441163</v>
      </c>
      <c r="AL223" s="772">
        <v>362.02741138186656</v>
      </c>
      <c r="AM223" s="772">
        <v>381.55942047932143</v>
      </c>
      <c r="AN223" s="772">
        <v>401.09142957677636</v>
      </c>
      <c r="AO223" s="772">
        <v>420.62343867423129</v>
      </c>
      <c r="AP223" s="772">
        <v>440.15544777168623</v>
      </c>
      <c r="AQ223" s="772">
        <v>459.6874568691411</v>
      </c>
      <c r="AR223" s="772">
        <v>479.21946596659603</v>
      </c>
      <c r="AS223" s="772">
        <v>498.75147506405096</v>
      </c>
      <c r="AT223" s="772">
        <v>518.28348416150584</v>
      </c>
      <c r="AU223" s="772">
        <v>537.81549325896083</v>
      </c>
      <c r="AV223" s="772">
        <v>557.3475023564157</v>
      </c>
      <c r="AW223" s="772">
        <v>576.87951145387069</v>
      </c>
      <c r="AX223" s="772">
        <v>596.41152055132557</v>
      </c>
      <c r="AY223" s="773">
        <v>615.94352964878021</v>
      </c>
    </row>
    <row r="224" spans="1:51">
      <c r="A224" s="1277"/>
      <c r="B224" s="681">
        <v>4.0999999999999996</v>
      </c>
      <c r="C224" s="690">
        <f>(AB224*KFC!$B$22+KFC!$C$22)*KFC!$C$5</f>
        <v>169.49294305609786</v>
      </c>
      <c r="D224" s="690">
        <f>(AC224*KFC!$B$22+KFC!$C$22)*KFC!$C$5</f>
        <v>189.42331684310739</v>
      </c>
      <c r="E224" s="690">
        <f>(AD224*KFC!$B$22+KFC!$C$22)*KFC!$C$5</f>
        <v>209.35369063011689</v>
      </c>
      <c r="F224" s="690">
        <f>(AE224*KFC!$B$22+KFC!$C$22)*KFC!$C$5</f>
        <v>229.28406441712642</v>
      </c>
      <c r="G224" s="690">
        <f>(AF224*KFC!$B$22+KFC!$C$22)*KFC!$C$5</f>
        <v>249.21443820413594</v>
      </c>
      <c r="H224" s="690">
        <f>(AG224*KFC!$B$22+KFC!$C$22)*KFC!$C$5</f>
        <v>269.1448119911455</v>
      </c>
      <c r="I224" s="690">
        <f>(AH224*KFC!$B$22+KFC!$C$22)*KFC!$C$5</f>
        <v>289.075185778155</v>
      </c>
      <c r="J224" s="690">
        <f>(AI224*KFC!$B$22+KFC!$C$22)*KFC!$C$5</f>
        <v>309.0055595651645</v>
      </c>
      <c r="K224" s="690">
        <f>(AJ224*KFC!$B$22+KFC!$C$22)*KFC!$C$5</f>
        <v>328.93593335217406</v>
      </c>
      <c r="L224" s="690">
        <f>(AK224*KFC!$B$22+KFC!$C$22)*KFC!$C$5</f>
        <v>348.86630713918356</v>
      </c>
      <c r="M224" s="690">
        <f>(AL224*KFC!$B$22+KFC!$C$22)*KFC!$C$5</f>
        <v>368.79668092619301</v>
      </c>
      <c r="N224" s="690">
        <f>(AM224*KFC!$B$22+KFC!$C$22)*KFC!$C$5</f>
        <v>388.72705471320251</v>
      </c>
      <c r="O224" s="690">
        <f>(AN224*KFC!$B$22+KFC!$C$22)*KFC!$C$5</f>
        <v>408.65742850021201</v>
      </c>
      <c r="P224" s="690">
        <f>(AO224*KFC!$B$22+KFC!$C$22)*KFC!$C$5</f>
        <v>428.58780228722151</v>
      </c>
      <c r="Q224" s="690">
        <f>(AP224*KFC!$B$22+KFC!$C$22)*KFC!$C$5</f>
        <v>448.51817607423095</v>
      </c>
      <c r="R224" s="690">
        <f>(AQ224*KFC!$B$22+KFC!$C$22)*KFC!$C$5</f>
        <v>468.44854986124045</v>
      </c>
      <c r="S224" s="690">
        <f>(AR224*KFC!$B$22+KFC!$C$22)*KFC!$C$5</f>
        <v>488.37892364824995</v>
      </c>
      <c r="T224" s="690">
        <f>(AS224*KFC!$B$22+KFC!$C$22)*KFC!$C$5</f>
        <v>508.30929743525945</v>
      </c>
      <c r="U224" s="690">
        <f>(AT224*KFC!$B$22+KFC!$C$22)*KFC!$C$5</f>
        <v>528.23967122226895</v>
      </c>
      <c r="V224" s="690">
        <f>(AU224*KFC!$B$22+KFC!$C$22)*KFC!$C$5</f>
        <v>548.1700450092784</v>
      </c>
      <c r="W224" s="690">
        <f>(AV224*KFC!$B$22+KFC!$C$22)*KFC!$C$5</f>
        <v>568.10041879628795</v>
      </c>
      <c r="X224" s="690">
        <f>(AW224*KFC!$B$22+KFC!$C$22)*KFC!$C$5</f>
        <v>588.0307925832974</v>
      </c>
      <c r="Y224" s="690">
        <f>(AX224*KFC!$B$22+KFC!$C$22)*KFC!$C$5</f>
        <v>607.96116637030684</v>
      </c>
      <c r="Z224" s="690">
        <f>(AY224*KFC!$B$22+KFC!$C$22)*KFC!$C$5</f>
        <v>627.89154015731674</v>
      </c>
      <c r="AB224" s="771">
        <v>169.49294305609786</v>
      </c>
      <c r="AC224" s="772">
        <v>189.42331684310739</v>
      </c>
      <c r="AD224" s="772">
        <v>209.35369063011689</v>
      </c>
      <c r="AE224" s="772">
        <v>229.28406441712642</v>
      </c>
      <c r="AF224" s="772">
        <v>249.21443820413594</v>
      </c>
      <c r="AG224" s="772">
        <v>269.1448119911455</v>
      </c>
      <c r="AH224" s="772">
        <v>289.075185778155</v>
      </c>
      <c r="AI224" s="772">
        <v>309.0055595651645</v>
      </c>
      <c r="AJ224" s="772">
        <v>328.93593335217406</v>
      </c>
      <c r="AK224" s="772">
        <v>348.86630713918356</v>
      </c>
      <c r="AL224" s="772">
        <v>368.79668092619301</v>
      </c>
      <c r="AM224" s="772">
        <v>388.72705471320251</v>
      </c>
      <c r="AN224" s="772">
        <v>408.65742850021201</v>
      </c>
      <c r="AO224" s="772">
        <v>428.58780228722151</v>
      </c>
      <c r="AP224" s="772">
        <v>448.51817607423095</v>
      </c>
      <c r="AQ224" s="772">
        <v>468.44854986124045</v>
      </c>
      <c r="AR224" s="772">
        <v>488.37892364824995</v>
      </c>
      <c r="AS224" s="772">
        <v>508.30929743525945</v>
      </c>
      <c r="AT224" s="772">
        <v>528.23967122226895</v>
      </c>
      <c r="AU224" s="772">
        <v>548.1700450092784</v>
      </c>
      <c r="AV224" s="772">
        <v>568.10041879628795</v>
      </c>
      <c r="AW224" s="772">
        <v>588.0307925832974</v>
      </c>
      <c r="AX224" s="772">
        <v>607.96116637030684</v>
      </c>
      <c r="AY224" s="773">
        <v>627.89154015731674</v>
      </c>
    </row>
    <row r="225" spans="1:51">
      <c r="A225" s="1277"/>
      <c r="B225" s="681">
        <v>4.2</v>
      </c>
      <c r="C225" s="690">
        <f>(AB225*KFC!$B$22+KFC!$C$22)*KFC!$C$5</f>
        <v>172.27856570487836</v>
      </c>
      <c r="D225" s="690">
        <f>(AC225*KFC!$B$22+KFC!$C$22)*KFC!$C$5</f>
        <v>192.60730418144249</v>
      </c>
      <c r="E225" s="690">
        <f>(AD225*KFC!$B$22+KFC!$C$22)*KFC!$C$5</f>
        <v>212.93604265800661</v>
      </c>
      <c r="F225" s="690">
        <f>(AE225*KFC!$B$22+KFC!$C$22)*KFC!$C$5</f>
        <v>233.26478113457074</v>
      </c>
      <c r="G225" s="690">
        <f>(AF225*KFC!$B$22+KFC!$C$22)*KFC!$C$5</f>
        <v>253.59351961113487</v>
      </c>
      <c r="H225" s="690">
        <f>(AG225*KFC!$B$22+KFC!$C$22)*KFC!$C$5</f>
        <v>273.92225808769899</v>
      </c>
      <c r="I225" s="690">
        <f>(AH225*KFC!$B$22+KFC!$C$22)*KFC!$C$5</f>
        <v>294.25099656426312</v>
      </c>
      <c r="J225" s="690">
        <f>(AI225*KFC!$B$22+KFC!$C$22)*KFC!$C$5</f>
        <v>314.57973504082725</v>
      </c>
      <c r="K225" s="690">
        <f>(AJ225*KFC!$B$22+KFC!$C$22)*KFC!$C$5</f>
        <v>334.90847351739143</v>
      </c>
      <c r="L225" s="690">
        <f>(AK225*KFC!$B$22+KFC!$C$22)*KFC!$C$5</f>
        <v>355.23721199395555</v>
      </c>
      <c r="M225" s="690">
        <f>(AL225*KFC!$B$22+KFC!$C$22)*KFC!$C$5</f>
        <v>375.56595047051968</v>
      </c>
      <c r="N225" s="690">
        <f>(AM225*KFC!$B$22+KFC!$C$22)*KFC!$C$5</f>
        <v>395.89468894708381</v>
      </c>
      <c r="O225" s="690">
        <f>(AN225*KFC!$B$22+KFC!$C$22)*KFC!$C$5</f>
        <v>416.22342742364793</v>
      </c>
      <c r="P225" s="690">
        <f>(AO225*KFC!$B$22+KFC!$C$22)*KFC!$C$5</f>
        <v>436.55216590021206</v>
      </c>
      <c r="Q225" s="690">
        <f>(AP225*KFC!$B$22+KFC!$C$22)*KFC!$C$5</f>
        <v>456.88090437677619</v>
      </c>
      <c r="R225" s="690">
        <f>(AQ225*KFC!$B$22+KFC!$C$22)*KFC!$C$5</f>
        <v>477.20964285334031</v>
      </c>
      <c r="S225" s="690">
        <f>(AR225*KFC!$B$22+KFC!$C$22)*KFC!$C$5</f>
        <v>497.53838132990444</v>
      </c>
      <c r="T225" s="690">
        <f>(AS225*KFC!$B$22+KFC!$C$22)*KFC!$C$5</f>
        <v>517.86711980646862</v>
      </c>
      <c r="U225" s="690">
        <f>(AT225*KFC!$B$22+KFC!$C$22)*KFC!$C$5</f>
        <v>538.19585828303275</v>
      </c>
      <c r="V225" s="690">
        <f>(AU225*KFC!$B$22+KFC!$C$22)*KFC!$C$5</f>
        <v>558.52459675959688</v>
      </c>
      <c r="W225" s="690">
        <f>(AV225*KFC!$B$22+KFC!$C$22)*KFC!$C$5</f>
        <v>578.853335236161</v>
      </c>
      <c r="X225" s="690">
        <f>(AW225*KFC!$B$22+KFC!$C$22)*KFC!$C$5</f>
        <v>599.18207371272513</v>
      </c>
      <c r="Y225" s="690">
        <f>(AX225*KFC!$B$22+KFC!$C$22)*KFC!$C$5</f>
        <v>619.51081218928925</v>
      </c>
      <c r="Z225" s="690">
        <f>(AY225*KFC!$B$22+KFC!$C$22)*KFC!$C$5</f>
        <v>639.83955066585327</v>
      </c>
      <c r="AB225" s="771">
        <v>172.27856570487836</v>
      </c>
      <c r="AC225" s="772">
        <v>192.60730418144249</v>
      </c>
      <c r="AD225" s="772">
        <v>212.93604265800661</v>
      </c>
      <c r="AE225" s="772">
        <v>233.26478113457074</v>
      </c>
      <c r="AF225" s="772">
        <v>253.59351961113487</v>
      </c>
      <c r="AG225" s="772">
        <v>273.92225808769899</v>
      </c>
      <c r="AH225" s="772">
        <v>294.25099656426312</v>
      </c>
      <c r="AI225" s="772">
        <v>314.57973504082725</v>
      </c>
      <c r="AJ225" s="772">
        <v>334.90847351739143</v>
      </c>
      <c r="AK225" s="772">
        <v>355.23721199395555</v>
      </c>
      <c r="AL225" s="772">
        <v>375.56595047051968</v>
      </c>
      <c r="AM225" s="772">
        <v>395.89468894708381</v>
      </c>
      <c r="AN225" s="772">
        <v>416.22342742364793</v>
      </c>
      <c r="AO225" s="772">
        <v>436.55216590021206</v>
      </c>
      <c r="AP225" s="772">
        <v>456.88090437677619</v>
      </c>
      <c r="AQ225" s="772">
        <v>477.20964285334031</v>
      </c>
      <c r="AR225" s="772">
        <v>497.53838132990444</v>
      </c>
      <c r="AS225" s="772">
        <v>517.86711980646862</v>
      </c>
      <c r="AT225" s="772">
        <v>538.19585828303275</v>
      </c>
      <c r="AU225" s="772">
        <v>558.52459675959688</v>
      </c>
      <c r="AV225" s="772">
        <v>578.853335236161</v>
      </c>
      <c r="AW225" s="772">
        <v>599.18207371272513</v>
      </c>
      <c r="AX225" s="772">
        <v>619.51081218928925</v>
      </c>
      <c r="AY225" s="773">
        <v>639.83955066585327</v>
      </c>
    </row>
    <row r="226" spans="1:51">
      <c r="A226" s="1277"/>
      <c r="B226" s="681">
        <v>4.3</v>
      </c>
      <c r="C226" s="690">
        <f>(AB226*KFC!$B$22+KFC!$C$22)*KFC!$C$5</f>
        <v>175.06418835365884</v>
      </c>
      <c r="D226" s="690">
        <f>(AC226*KFC!$B$22+KFC!$C$22)*KFC!$C$5</f>
        <v>195.79129151977759</v>
      </c>
      <c r="E226" s="690">
        <f>(AD226*KFC!$B$22+KFC!$C$22)*KFC!$C$5</f>
        <v>216.51839468589631</v>
      </c>
      <c r="F226" s="690">
        <f>(AE226*KFC!$B$22+KFC!$C$22)*KFC!$C$5</f>
        <v>237.24549785201506</v>
      </c>
      <c r="G226" s="690">
        <f>(AF226*KFC!$B$22+KFC!$C$22)*KFC!$C$5</f>
        <v>257.97260101813379</v>
      </c>
      <c r="H226" s="690">
        <f>(AG226*KFC!$B$22+KFC!$C$22)*KFC!$C$5</f>
        <v>278.69970418425254</v>
      </c>
      <c r="I226" s="690">
        <f>(AH226*KFC!$B$22+KFC!$C$22)*KFC!$C$5</f>
        <v>299.42680735037129</v>
      </c>
      <c r="J226" s="690">
        <f>(AI226*KFC!$B$22+KFC!$C$22)*KFC!$C$5</f>
        <v>320.15391051648999</v>
      </c>
      <c r="K226" s="690">
        <f>(AJ226*KFC!$B$22+KFC!$C$22)*KFC!$C$5</f>
        <v>340.88101368260874</v>
      </c>
      <c r="L226" s="690">
        <f>(AK226*KFC!$B$22+KFC!$C$22)*KFC!$C$5</f>
        <v>361.60811684872755</v>
      </c>
      <c r="M226" s="690">
        <f>(AL226*KFC!$B$22+KFC!$C$22)*KFC!$C$5</f>
        <v>382.3352200148463</v>
      </c>
      <c r="N226" s="690">
        <f>(AM226*KFC!$B$22+KFC!$C$22)*KFC!$C$5</f>
        <v>403.06232318096505</v>
      </c>
      <c r="O226" s="690">
        <f>(AN226*KFC!$B$22+KFC!$C$22)*KFC!$C$5</f>
        <v>423.78942634708386</v>
      </c>
      <c r="P226" s="690">
        <f>(AO226*KFC!$B$22+KFC!$C$22)*KFC!$C$5</f>
        <v>444.51652951320261</v>
      </c>
      <c r="Q226" s="690">
        <f>(AP226*KFC!$B$22+KFC!$C$22)*KFC!$C$5</f>
        <v>465.24363267932142</v>
      </c>
      <c r="R226" s="690">
        <f>(AQ226*KFC!$B$22+KFC!$C$22)*KFC!$C$5</f>
        <v>485.97073584544017</v>
      </c>
      <c r="S226" s="690">
        <f>(AR226*KFC!$B$22+KFC!$C$22)*KFC!$C$5</f>
        <v>506.69783901155898</v>
      </c>
      <c r="T226" s="690">
        <f>(AS226*KFC!$B$22+KFC!$C$22)*KFC!$C$5</f>
        <v>527.42494217767774</v>
      </c>
      <c r="U226" s="690">
        <f>(AT226*KFC!$B$22+KFC!$C$22)*KFC!$C$5</f>
        <v>548.15204534379654</v>
      </c>
      <c r="V226" s="690">
        <f>(AU226*KFC!$B$22+KFC!$C$22)*KFC!$C$5</f>
        <v>568.87914850991524</v>
      </c>
      <c r="W226" s="690">
        <f>(AV226*KFC!$B$22+KFC!$C$22)*KFC!$C$5</f>
        <v>589.60625167603405</v>
      </c>
      <c r="X226" s="690">
        <f>(AW226*KFC!$B$22+KFC!$C$22)*KFC!$C$5</f>
        <v>610.33335484215286</v>
      </c>
      <c r="Y226" s="690">
        <f>(AX226*KFC!$B$22+KFC!$C$22)*KFC!$C$5</f>
        <v>631.06045800827167</v>
      </c>
      <c r="Z226" s="690">
        <f>(AY226*KFC!$B$22+KFC!$C$22)*KFC!$C$5</f>
        <v>651.78756117438991</v>
      </c>
      <c r="AB226" s="771">
        <v>175.06418835365884</v>
      </c>
      <c r="AC226" s="772">
        <v>195.79129151977759</v>
      </c>
      <c r="AD226" s="772">
        <v>216.51839468589631</v>
      </c>
      <c r="AE226" s="772">
        <v>237.24549785201506</v>
      </c>
      <c r="AF226" s="772">
        <v>257.97260101813379</v>
      </c>
      <c r="AG226" s="772">
        <v>278.69970418425254</v>
      </c>
      <c r="AH226" s="772">
        <v>299.42680735037129</v>
      </c>
      <c r="AI226" s="772">
        <v>320.15391051648999</v>
      </c>
      <c r="AJ226" s="772">
        <v>340.88101368260874</v>
      </c>
      <c r="AK226" s="772">
        <v>361.60811684872755</v>
      </c>
      <c r="AL226" s="772">
        <v>382.3352200148463</v>
      </c>
      <c r="AM226" s="772">
        <v>403.06232318096505</v>
      </c>
      <c r="AN226" s="772">
        <v>423.78942634708386</v>
      </c>
      <c r="AO226" s="772">
        <v>444.51652951320261</v>
      </c>
      <c r="AP226" s="772">
        <v>465.24363267932142</v>
      </c>
      <c r="AQ226" s="772">
        <v>485.97073584544017</v>
      </c>
      <c r="AR226" s="772">
        <v>506.69783901155898</v>
      </c>
      <c r="AS226" s="772">
        <v>527.42494217767774</v>
      </c>
      <c r="AT226" s="772">
        <v>548.15204534379654</v>
      </c>
      <c r="AU226" s="772">
        <v>568.87914850991524</v>
      </c>
      <c r="AV226" s="772">
        <v>589.60625167603405</v>
      </c>
      <c r="AW226" s="772">
        <v>610.33335484215286</v>
      </c>
      <c r="AX226" s="772">
        <v>631.06045800827167</v>
      </c>
      <c r="AY226" s="773">
        <v>651.78756117438991</v>
      </c>
    </row>
    <row r="227" spans="1:51">
      <c r="A227" s="1277"/>
      <c r="B227" s="681">
        <v>4.4000000000000004</v>
      </c>
      <c r="C227" s="690">
        <f>(AB227*KFC!$B$22+KFC!$C$22)*KFC!$C$5</f>
        <v>177.84981100243934</v>
      </c>
      <c r="D227" s="690">
        <f>(AC227*KFC!$B$22+KFC!$C$22)*KFC!$C$5</f>
        <v>198.97527885811269</v>
      </c>
      <c r="E227" s="690">
        <f>(AD227*KFC!$B$22+KFC!$C$22)*KFC!$C$5</f>
        <v>220.10074671378604</v>
      </c>
      <c r="F227" s="690">
        <f>(AE227*KFC!$B$22+KFC!$C$22)*KFC!$C$5</f>
        <v>241.22621456945939</v>
      </c>
      <c r="G227" s="690">
        <f>(AF227*KFC!$B$22+KFC!$C$22)*KFC!$C$5</f>
        <v>262.35168242513271</v>
      </c>
      <c r="H227" s="690">
        <f>(AG227*KFC!$B$22+KFC!$C$22)*KFC!$C$5</f>
        <v>283.47715028080609</v>
      </c>
      <c r="I227" s="690">
        <f>(AH227*KFC!$B$22+KFC!$C$22)*KFC!$C$5</f>
        <v>304.60261813647941</v>
      </c>
      <c r="J227" s="690">
        <f>(AI227*KFC!$B$22+KFC!$C$22)*KFC!$C$5</f>
        <v>325.72808599215278</v>
      </c>
      <c r="K227" s="690">
        <f>(AJ227*KFC!$B$22+KFC!$C$22)*KFC!$C$5</f>
        <v>346.85355384782611</v>
      </c>
      <c r="L227" s="690">
        <f>(AK227*KFC!$B$22+KFC!$C$22)*KFC!$C$5</f>
        <v>367.97902170349943</v>
      </c>
      <c r="M227" s="690">
        <f>(AL227*KFC!$B$22+KFC!$C$22)*KFC!$C$5</f>
        <v>389.10448955917281</v>
      </c>
      <c r="N227" s="690">
        <f>(AM227*KFC!$B$22+KFC!$C$22)*KFC!$C$5</f>
        <v>410.22995741484613</v>
      </c>
      <c r="O227" s="690">
        <f>(AN227*KFC!$B$22+KFC!$C$22)*KFC!$C$5</f>
        <v>431.3554252705195</v>
      </c>
      <c r="P227" s="690">
        <f>(AO227*KFC!$B$22+KFC!$C$22)*KFC!$C$5</f>
        <v>452.48089312619283</v>
      </c>
      <c r="Q227" s="690">
        <f>(AP227*KFC!$B$22+KFC!$C$22)*KFC!$C$5</f>
        <v>473.60636098186615</v>
      </c>
      <c r="R227" s="690">
        <f>(AQ227*KFC!$B$22+KFC!$C$22)*KFC!$C$5</f>
        <v>494.73182883753952</v>
      </c>
      <c r="S227" s="690">
        <f>(AR227*KFC!$B$22+KFC!$C$22)*KFC!$C$5</f>
        <v>515.8572966932129</v>
      </c>
      <c r="T227" s="690">
        <f>(AS227*KFC!$B$22+KFC!$C$22)*KFC!$C$5</f>
        <v>536.98276454888617</v>
      </c>
      <c r="U227" s="690">
        <f>(AT227*KFC!$B$22+KFC!$C$22)*KFC!$C$5</f>
        <v>558.10823240455954</v>
      </c>
      <c r="V227" s="690">
        <f>(AU227*KFC!$B$22+KFC!$C$22)*KFC!$C$5</f>
        <v>579.23370026023292</v>
      </c>
      <c r="W227" s="690">
        <f>(AV227*KFC!$B$22+KFC!$C$22)*KFC!$C$5</f>
        <v>600.35916811590619</v>
      </c>
      <c r="X227" s="690">
        <f>(AW227*KFC!$B$22+KFC!$C$22)*KFC!$C$5</f>
        <v>621.48463597157956</v>
      </c>
      <c r="Y227" s="690">
        <f>(AX227*KFC!$B$22+KFC!$C$22)*KFC!$C$5</f>
        <v>642.61010382725294</v>
      </c>
      <c r="Z227" s="690">
        <f>(AY227*KFC!$B$22+KFC!$C$22)*KFC!$C$5</f>
        <v>663.73557168292643</v>
      </c>
      <c r="AB227" s="771">
        <v>177.84981100243934</v>
      </c>
      <c r="AC227" s="772">
        <v>198.97527885811269</v>
      </c>
      <c r="AD227" s="772">
        <v>220.10074671378604</v>
      </c>
      <c r="AE227" s="772">
        <v>241.22621456945939</v>
      </c>
      <c r="AF227" s="772">
        <v>262.35168242513271</v>
      </c>
      <c r="AG227" s="772">
        <v>283.47715028080609</v>
      </c>
      <c r="AH227" s="772">
        <v>304.60261813647941</v>
      </c>
      <c r="AI227" s="772">
        <v>325.72808599215278</v>
      </c>
      <c r="AJ227" s="772">
        <v>346.85355384782611</v>
      </c>
      <c r="AK227" s="772">
        <v>367.97902170349943</v>
      </c>
      <c r="AL227" s="772">
        <v>389.10448955917281</v>
      </c>
      <c r="AM227" s="772">
        <v>410.22995741484613</v>
      </c>
      <c r="AN227" s="772">
        <v>431.3554252705195</v>
      </c>
      <c r="AO227" s="772">
        <v>452.48089312619283</v>
      </c>
      <c r="AP227" s="772">
        <v>473.60636098186615</v>
      </c>
      <c r="AQ227" s="772">
        <v>494.73182883753952</v>
      </c>
      <c r="AR227" s="772">
        <v>515.8572966932129</v>
      </c>
      <c r="AS227" s="772">
        <v>536.98276454888617</v>
      </c>
      <c r="AT227" s="772">
        <v>558.10823240455954</v>
      </c>
      <c r="AU227" s="772">
        <v>579.23370026023292</v>
      </c>
      <c r="AV227" s="772">
        <v>600.35916811590619</v>
      </c>
      <c r="AW227" s="772">
        <v>621.48463597157956</v>
      </c>
      <c r="AX227" s="772">
        <v>642.61010382725294</v>
      </c>
      <c r="AY227" s="773">
        <v>663.73557168292643</v>
      </c>
    </row>
    <row r="228" spans="1:51">
      <c r="A228" s="1277"/>
      <c r="B228" s="681">
        <v>4.5</v>
      </c>
      <c r="C228" s="690">
        <f>(AB228*KFC!$B$22+KFC!$C$22)*KFC!$C$5</f>
        <v>180.63543365121984</v>
      </c>
      <c r="D228" s="690">
        <f>(AC228*KFC!$B$22+KFC!$C$22)*KFC!$C$5</f>
        <v>202.15926619644779</v>
      </c>
      <c r="E228" s="690">
        <f>(AD228*KFC!$B$22+KFC!$C$22)*KFC!$C$5</f>
        <v>223.68309874167574</v>
      </c>
      <c r="F228" s="690">
        <f>(AE228*KFC!$B$22+KFC!$C$22)*KFC!$C$5</f>
        <v>245.20693128690368</v>
      </c>
      <c r="G228" s="690">
        <f>(AF228*KFC!$B$22+KFC!$C$22)*KFC!$C$5</f>
        <v>266.73076383213163</v>
      </c>
      <c r="H228" s="690">
        <f>(AG228*KFC!$B$22+KFC!$C$22)*KFC!$C$5</f>
        <v>288.25459637735958</v>
      </c>
      <c r="I228" s="690">
        <f>(AH228*KFC!$B$22+KFC!$C$22)*KFC!$C$5</f>
        <v>309.77842892258752</v>
      </c>
      <c r="J228" s="690">
        <f>(AI228*KFC!$B$22+KFC!$C$22)*KFC!$C$5</f>
        <v>331.30226146781553</v>
      </c>
      <c r="K228" s="690">
        <f>(AJ228*KFC!$B$22+KFC!$C$22)*KFC!$C$5</f>
        <v>352.82609401304347</v>
      </c>
      <c r="L228" s="690">
        <f>(AK228*KFC!$B$22+KFC!$C$22)*KFC!$C$5</f>
        <v>374.34992655827142</v>
      </c>
      <c r="M228" s="690">
        <f>(AL228*KFC!$B$22+KFC!$C$22)*KFC!$C$5</f>
        <v>395.87375910349942</v>
      </c>
      <c r="N228" s="690">
        <f>(AM228*KFC!$B$22+KFC!$C$22)*KFC!$C$5</f>
        <v>417.39759164872743</v>
      </c>
      <c r="O228" s="690">
        <f>(AN228*KFC!$B$22+KFC!$C$22)*KFC!$C$5</f>
        <v>438.92142419395543</v>
      </c>
      <c r="P228" s="690">
        <f>(AO228*KFC!$B$22+KFC!$C$22)*KFC!$C$5</f>
        <v>460.44525673918338</v>
      </c>
      <c r="Q228" s="690">
        <f>(AP228*KFC!$B$22+KFC!$C$22)*KFC!$C$5</f>
        <v>481.96908928441138</v>
      </c>
      <c r="R228" s="690">
        <f>(AQ228*KFC!$B$22+KFC!$C$22)*KFC!$C$5</f>
        <v>503.49292182963939</v>
      </c>
      <c r="S228" s="690">
        <f>(AR228*KFC!$B$22+KFC!$C$22)*KFC!$C$5</f>
        <v>525.01675437486733</v>
      </c>
      <c r="T228" s="690">
        <f>(AS228*KFC!$B$22+KFC!$C$22)*KFC!$C$5</f>
        <v>546.54058692009539</v>
      </c>
      <c r="U228" s="690">
        <f>(AT228*KFC!$B$22+KFC!$C$22)*KFC!$C$5</f>
        <v>568.06441946532334</v>
      </c>
      <c r="V228" s="690">
        <f>(AU228*KFC!$B$22+KFC!$C$22)*KFC!$C$5</f>
        <v>589.58825201055129</v>
      </c>
      <c r="W228" s="690">
        <f>(AV228*KFC!$B$22+KFC!$C$22)*KFC!$C$5</f>
        <v>611.11208455577935</v>
      </c>
      <c r="X228" s="690">
        <f>(AW228*KFC!$B$22+KFC!$C$22)*KFC!$C$5</f>
        <v>632.63591710100729</v>
      </c>
      <c r="Y228" s="690">
        <f>(AX228*KFC!$B$22+KFC!$C$22)*KFC!$C$5</f>
        <v>654.15974964623535</v>
      </c>
      <c r="Z228" s="690">
        <f>(AY228*KFC!$B$22+KFC!$C$22)*KFC!$C$5</f>
        <v>675.68358219146307</v>
      </c>
      <c r="AB228" s="771">
        <v>180.63543365121984</v>
      </c>
      <c r="AC228" s="772">
        <v>202.15926619644779</v>
      </c>
      <c r="AD228" s="772">
        <v>223.68309874167574</v>
      </c>
      <c r="AE228" s="772">
        <v>245.20693128690368</v>
      </c>
      <c r="AF228" s="772">
        <v>266.73076383213163</v>
      </c>
      <c r="AG228" s="772">
        <v>288.25459637735958</v>
      </c>
      <c r="AH228" s="772">
        <v>309.77842892258752</v>
      </c>
      <c r="AI228" s="772">
        <v>331.30226146781553</v>
      </c>
      <c r="AJ228" s="772">
        <v>352.82609401304347</v>
      </c>
      <c r="AK228" s="772">
        <v>374.34992655827142</v>
      </c>
      <c r="AL228" s="772">
        <v>395.87375910349942</v>
      </c>
      <c r="AM228" s="772">
        <v>417.39759164872743</v>
      </c>
      <c r="AN228" s="772">
        <v>438.92142419395543</v>
      </c>
      <c r="AO228" s="772">
        <v>460.44525673918338</v>
      </c>
      <c r="AP228" s="772">
        <v>481.96908928441138</v>
      </c>
      <c r="AQ228" s="772">
        <v>503.49292182963939</v>
      </c>
      <c r="AR228" s="772">
        <v>525.01675437486733</v>
      </c>
      <c r="AS228" s="772">
        <v>546.54058692009539</v>
      </c>
      <c r="AT228" s="772">
        <v>568.06441946532334</v>
      </c>
      <c r="AU228" s="772">
        <v>589.58825201055129</v>
      </c>
      <c r="AV228" s="772">
        <v>611.11208455577935</v>
      </c>
      <c r="AW228" s="772">
        <v>632.63591710100729</v>
      </c>
      <c r="AX228" s="772">
        <v>654.15974964623535</v>
      </c>
      <c r="AY228" s="773">
        <v>675.68358219146307</v>
      </c>
    </row>
    <row r="229" spans="1:51" ht="13.8" thickBot="1">
      <c r="A229" s="1277"/>
      <c r="B229" s="681">
        <v>4.5999999999999996</v>
      </c>
      <c r="C229" s="690">
        <f>(AB229*KFC!$B$22+KFC!$C$22)*KFC!$C$5</f>
        <v>183.4210563</v>
      </c>
      <c r="D229" s="690">
        <f>(AC229*KFC!$B$22+KFC!$C$22)*KFC!$C$5</f>
        <v>205.3432535347826</v>
      </c>
      <c r="E229" s="690">
        <f>(AD229*KFC!$B$22+KFC!$C$22)*KFC!$C$5</f>
        <v>227.26545076956518</v>
      </c>
      <c r="F229" s="690">
        <f>(AE229*KFC!$B$22+KFC!$C$22)*KFC!$C$5</f>
        <v>249.18764800434778</v>
      </c>
      <c r="G229" s="690">
        <f>(AF229*KFC!$B$22+KFC!$C$22)*KFC!$C$5</f>
        <v>271.10984523913038</v>
      </c>
      <c r="H229" s="690">
        <f>(AG229*KFC!$B$22+KFC!$C$22)*KFC!$C$5</f>
        <v>293.03204247391295</v>
      </c>
      <c r="I229" s="690">
        <f>(AH229*KFC!$B$22+KFC!$C$22)*KFC!$C$5</f>
        <v>314.95423970869558</v>
      </c>
      <c r="J229" s="690">
        <f>(AI229*KFC!$B$22+KFC!$C$22)*KFC!$C$5</f>
        <v>336.87643694347815</v>
      </c>
      <c r="K229" s="690">
        <f>(AJ229*KFC!$B$22+KFC!$C$22)*KFC!$C$5</f>
        <v>358.79863417826078</v>
      </c>
      <c r="L229" s="690">
        <f>(AK229*KFC!$B$22+KFC!$C$22)*KFC!$C$5</f>
        <v>380.72083141304341</v>
      </c>
      <c r="M229" s="690">
        <f>(AL229*KFC!$B$22+KFC!$C$22)*KFC!$C$5</f>
        <v>402.64302864782604</v>
      </c>
      <c r="N229" s="690">
        <f>(AM229*KFC!$B$22+KFC!$C$22)*KFC!$C$5</f>
        <v>424.56522588260873</v>
      </c>
      <c r="O229" s="690">
        <f>(AN229*KFC!$B$22+KFC!$C$22)*KFC!$C$5</f>
        <v>446.48742311739136</v>
      </c>
      <c r="P229" s="690">
        <f>(AO229*KFC!$B$22+KFC!$C$22)*KFC!$C$5</f>
        <v>468.40962035217399</v>
      </c>
      <c r="Q229" s="690">
        <f>(AP229*KFC!$B$22+KFC!$C$22)*KFC!$C$5</f>
        <v>490.33181758695662</v>
      </c>
      <c r="R229" s="690">
        <f>(AQ229*KFC!$B$22+KFC!$C$22)*KFC!$C$5</f>
        <v>512.25401482173925</v>
      </c>
      <c r="S229" s="690">
        <f>(AR229*KFC!$B$22+KFC!$C$22)*KFC!$C$5</f>
        <v>534.17621205652188</v>
      </c>
      <c r="T229" s="690">
        <f>(AS229*KFC!$B$22+KFC!$C$22)*KFC!$C$5</f>
        <v>556.09840929130451</v>
      </c>
      <c r="U229" s="690">
        <f>(AT229*KFC!$B$22+KFC!$C$22)*KFC!$C$5</f>
        <v>578.02060652608714</v>
      </c>
      <c r="V229" s="690">
        <f>(AU229*KFC!$B$22+KFC!$C$22)*KFC!$C$5</f>
        <v>599.94280376086977</v>
      </c>
      <c r="W229" s="690">
        <f>(AV229*KFC!$B$22+KFC!$C$22)*KFC!$C$5</f>
        <v>621.86500099565239</v>
      </c>
      <c r="X229" s="690">
        <f>(AW229*KFC!$B$22+KFC!$C$22)*KFC!$C$5</f>
        <v>643.78719823043502</v>
      </c>
      <c r="Y229" s="690">
        <f>(AX229*KFC!$B$22+KFC!$C$22)*KFC!$C$5</f>
        <v>665.70939546521765</v>
      </c>
      <c r="Z229" s="690">
        <f>(AY229*KFC!$B$22+KFC!$C$22)*KFC!$C$5</f>
        <v>687.63159270000006</v>
      </c>
      <c r="AB229" s="774">
        <v>183.4210563</v>
      </c>
      <c r="AC229" s="775">
        <v>205.3432535347826</v>
      </c>
      <c r="AD229" s="775">
        <v>227.26545076956518</v>
      </c>
      <c r="AE229" s="775">
        <v>249.18764800434778</v>
      </c>
      <c r="AF229" s="775">
        <v>271.10984523913038</v>
      </c>
      <c r="AG229" s="775">
        <v>293.03204247391295</v>
      </c>
      <c r="AH229" s="775">
        <v>314.95423970869558</v>
      </c>
      <c r="AI229" s="775">
        <v>336.87643694347815</v>
      </c>
      <c r="AJ229" s="775">
        <v>358.79863417826078</v>
      </c>
      <c r="AK229" s="775">
        <v>380.72083141304341</v>
      </c>
      <c r="AL229" s="775">
        <v>402.64302864782604</v>
      </c>
      <c r="AM229" s="775">
        <v>424.56522588260873</v>
      </c>
      <c r="AN229" s="775">
        <v>446.48742311739136</v>
      </c>
      <c r="AO229" s="775">
        <v>468.40962035217399</v>
      </c>
      <c r="AP229" s="775">
        <v>490.33181758695662</v>
      </c>
      <c r="AQ229" s="775">
        <v>512.25401482173925</v>
      </c>
      <c r="AR229" s="775">
        <v>534.17621205652188</v>
      </c>
      <c r="AS229" s="775">
        <v>556.09840929130451</v>
      </c>
      <c r="AT229" s="775">
        <v>578.02060652608714</v>
      </c>
      <c r="AU229" s="775">
        <v>599.94280376086977</v>
      </c>
      <c r="AV229" s="775">
        <v>621.86500099565239</v>
      </c>
      <c r="AW229" s="775">
        <v>643.78719823043502</v>
      </c>
      <c r="AX229" s="775">
        <v>665.70939546521765</v>
      </c>
      <c r="AY229" s="776">
        <v>687.63159270000006</v>
      </c>
    </row>
    <row r="231" spans="1:51">
      <c r="A231" s="1749" t="s">
        <v>320</v>
      </c>
      <c r="B231" s="1749"/>
      <c r="C231" s="1732" t="s">
        <v>207</v>
      </c>
      <c r="D231" s="1732"/>
      <c r="E231" s="1732"/>
      <c r="F231" s="1732"/>
      <c r="G231" s="1732"/>
      <c r="H231" s="1732"/>
      <c r="I231" s="1732"/>
      <c r="J231" s="1732"/>
      <c r="K231" s="1732"/>
      <c r="L231" s="1732"/>
      <c r="M231" s="1732"/>
      <c r="N231" s="1732"/>
      <c r="O231" s="1732"/>
      <c r="P231" s="1732"/>
      <c r="Q231" s="1732"/>
      <c r="R231" s="1732"/>
      <c r="S231" s="1732"/>
      <c r="T231" s="1732"/>
      <c r="U231" s="1732"/>
      <c r="V231" s="1732"/>
      <c r="W231" s="1732"/>
      <c r="X231" s="1732"/>
      <c r="Y231" s="1732"/>
      <c r="Z231" s="1732"/>
    </row>
    <row r="232" spans="1:51" ht="13.8" thickBot="1">
      <c r="A232" s="1749"/>
      <c r="B232" s="1749"/>
      <c r="C232" s="681">
        <v>0.7</v>
      </c>
      <c r="D232" s="681">
        <v>0.8</v>
      </c>
      <c r="E232" s="681">
        <v>0.9</v>
      </c>
      <c r="F232" s="681">
        <v>1</v>
      </c>
      <c r="G232" s="681">
        <v>1.1000000000000001</v>
      </c>
      <c r="H232" s="681">
        <v>1.2</v>
      </c>
      <c r="I232" s="681">
        <v>1.3</v>
      </c>
      <c r="J232" s="681">
        <v>1.4</v>
      </c>
      <c r="K232" s="681">
        <v>1.5</v>
      </c>
      <c r="L232" s="681">
        <v>1.6</v>
      </c>
      <c r="M232" s="681">
        <v>1.7</v>
      </c>
      <c r="N232" s="681">
        <v>1.8</v>
      </c>
      <c r="O232" s="681">
        <v>1.9</v>
      </c>
      <c r="P232" s="681">
        <v>2</v>
      </c>
      <c r="Q232" s="681">
        <v>2.1</v>
      </c>
      <c r="R232" s="681">
        <v>2.2000000000000002</v>
      </c>
      <c r="S232" s="681">
        <v>2.2999999999999998</v>
      </c>
      <c r="T232" s="681">
        <v>2.4</v>
      </c>
      <c r="U232" s="681">
        <v>2.5</v>
      </c>
      <c r="V232" s="681">
        <v>2.6</v>
      </c>
      <c r="W232" s="681">
        <v>2.7</v>
      </c>
      <c r="X232" s="681">
        <v>2.8</v>
      </c>
      <c r="Y232" s="681">
        <v>2.9</v>
      </c>
      <c r="Z232" s="681">
        <v>3</v>
      </c>
    </row>
    <row r="233" spans="1:51" ht="12.75" customHeight="1">
      <c r="A233" s="1277" t="s">
        <v>3</v>
      </c>
      <c r="B233" s="681">
        <v>0.5</v>
      </c>
      <c r="C233" s="690">
        <f>(AB233*KFC!$B$22+KFC!$C$22)*KFC!$C$5</f>
        <v>71.447369849999987</v>
      </c>
      <c r="D233" s="690">
        <f>(AC233*KFC!$B$22+KFC!$C$22)*KFC!$C$5</f>
        <v>77.37414342391304</v>
      </c>
      <c r="E233" s="690">
        <f>(AD233*KFC!$B$22+KFC!$C$22)*KFC!$C$5</f>
        <v>83.300916997826079</v>
      </c>
      <c r="F233" s="690">
        <f>(AE233*KFC!$B$22+KFC!$C$22)*KFC!$C$5</f>
        <v>89.227690571739117</v>
      </c>
      <c r="G233" s="690">
        <f>(AF233*KFC!$B$22+KFC!$C$22)*KFC!$C$5</f>
        <v>95.15446414565217</v>
      </c>
      <c r="H233" s="690">
        <f>(AG233*KFC!$B$22+KFC!$C$22)*KFC!$C$5</f>
        <v>101.08123771956521</v>
      </c>
      <c r="I233" s="690">
        <f>(AH233*KFC!$B$22+KFC!$C$22)*KFC!$C$5</f>
        <v>107.00801129347825</v>
      </c>
      <c r="J233" s="690">
        <f>(AI233*KFC!$B$22+KFC!$C$22)*KFC!$C$5</f>
        <v>112.9347848673913</v>
      </c>
      <c r="K233" s="690">
        <f>(AJ233*KFC!$B$22+KFC!$C$22)*KFC!$C$5</f>
        <v>118.86155844130434</v>
      </c>
      <c r="L233" s="690">
        <f>(AK233*KFC!$B$22+KFC!$C$22)*KFC!$C$5</f>
        <v>124.78833201521738</v>
      </c>
      <c r="M233" s="690">
        <f>(AL233*KFC!$B$22+KFC!$C$22)*KFC!$C$5</f>
        <v>130.71510558913042</v>
      </c>
      <c r="N233" s="690">
        <f>(AM233*KFC!$B$22+KFC!$C$22)*KFC!$C$5</f>
        <v>136.64187916304346</v>
      </c>
      <c r="O233" s="690">
        <f>(AN233*KFC!$B$22+KFC!$C$22)*KFC!$C$5</f>
        <v>142.56865273695649</v>
      </c>
      <c r="P233" s="690">
        <f>(AO233*KFC!$B$22+KFC!$C$22)*KFC!$C$5</f>
        <v>148.49542631086956</v>
      </c>
      <c r="Q233" s="690">
        <f>(AP233*KFC!$B$22+KFC!$C$22)*KFC!$C$5</f>
        <v>154.4221998847826</v>
      </c>
      <c r="R233" s="690">
        <f>(AQ233*KFC!$B$22+KFC!$C$22)*KFC!$C$5</f>
        <v>160.34897345869564</v>
      </c>
      <c r="S233" s="690">
        <f>(AR233*KFC!$B$22+KFC!$C$22)*KFC!$C$5</f>
        <v>166.27574703260868</v>
      </c>
      <c r="T233" s="690">
        <f>(AS233*KFC!$B$22+KFC!$C$22)*KFC!$C$5</f>
        <v>172.20252060652174</v>
      </c>
      <c r="U233" s="690">
        <f>(AT233*KFC!$B$22+KFC!$C$22)*KFC!$C$5</f>
        <v>178.12929418043478</v>
      </c>
      <c r="V233" s="690">
        <f>(AU233*KFC!$B$22+KFC!$C$22)*KFC!$C$5</f>
        <v>184.05606775434782</v>
      </c>
      <c r="W233" s="690">
        <f>(AV233*KFC!$B$22+KFC!$C$22)*KFC!$C$5</f>
        <v>189.98284132826086</v>
      </c>
      <c r="X233" s="690">
        <f>(AW233*KFC!$B$22+KFC!$C$22)*KFC!$C$5</f>
        <v>195.9096149021739</v>
      </c>
      <c r="Y233" s="690">
        <f>(AX233*KFC!$B$22+KFC!$C$22)*KFC!$C$5</f>
        <v>201.83638847608697</v>
      </c>
      <c r="Z233" s="690">
        <f>(AY233*KFC!$B$22+KFC!$C$22)*KFC!$C$5</f>
        <v>207.76316205000001</v>
      </c>
      <c r="AB233" s="768">
        <v>71.447369849999987</v>
      </c>
      <c r="AC233" s="769">
        <v>77.37414342391304</v>
      </c>
      <c r="AD233" s="769">
        <v>83.300916997826079</v>
      </c>
      <c r="AE233" s="769">
        <v>89.227690571739117</v>
      </c>
      <c r="AF233" s="769">
        <v>95.15446414565217</v>
      </c>
      <c r="AG233" s="769">
        <v>101.08123771956521</v>
      </c>
      <c r="AH233" s="769">
        <v>107.00801129347825</v>
      </c>
      <c r="AI233" s="769">
        <v>112.9347848673913</v>
      </c>
      <c r="AJ233" s="769">
        <v>118.86155844130434</v>
      </c>
      <c r="AK233" s="769">
        <v>124.78833201521738</v>
      </c>
      <c r="AL233" s="769">
        <v>130.71510558913042</v>
      </c>
      <c r="AM233" s="769">
        <v>136.64187916304346</v>
      </c>
      <c r="AN233" s="769">
        <v>142.56865273695649</v>
      </c>
      <c r="AO233" s="769">
        <v>148.49542631086956</v>
      </c>
      <c r="AP233" s="769">
        <v>154.4221998847826</v>
      </c>
      <c r="AQ233" s="769">
        <v>160.34897345869564</v>
      </c>
      <c r="AR233" s="769">
        <v>166.27574703260868</v>
      </c>
      <c r="AS233" s="769">
        <v>172.20252060652174</v>
      </c>
      <c r="AT233" s="769">
        <v>178.12929418043478</v>
      </c>
      <c r="AU233" s="769">
        <v>184.05606775434782</v>
      </c>
      <c r="AV233" s="769">
        <v>189.98284132826086</v>
      </c>
      <c r="AW233" s="769">
        <v>195.9096149021739</v>
      </c>
      <c r="AX233" s="769">
        <v>201.83638847608697</v>
      </c>
      <c r="AY233" s="770">
        <v>207.76316205000001</v>
      </c>
    </row>
    <row r="234" spans="1:51" ht="12.75" customHeight="1">
      <c r="A234" s="1277"/>
      <c r="B234" s="681">
        <v>0.6</v>
      </c>
      <c r="C234" s="690">
        <f>(AB234*KFC!$B$22+KFC!$C$22)*KFC!$C$5</f>
        <v>74.707960415853648</v>
      </c>
      <c r="D234" s="690">
        <f>(AC234*KFC!$B$22+KFC!$C$22)*KFC!$C$5</f>
        <v>81.100074178791075</v>
      </c>
      <c r="E234" s="690">
        <f>(AD234*KFC!$B$22+KFC!$C$22)*KFC!$C$5</f>
        <v>87.492187941728517</v>
      </c>
      <c r="F234" s="690">
        <f>(AE234*KFC!$B$22+KFC!$C$22)*KFC!$C$5</f>
        <v>93.884301704665958</v>
      </c>
      <c r="G234" s="690">
        <f>(AF234*KFC!$B$22+KFC!$C$22)*KFC!$C$5</f>
        <v>100.2764154676034</v>
      </c>
      <c r="H234" s="690">
        <f>(AG234*KFC!$B$22+KFC!$C$22)*KFC!$C$5</f>
        <v>106.66852923054084</v>
      </c>
      <c r="I234" s="690">
        <f>(AH234*KFC!$B$22+KFC!$C$22)*KFC!$C$5</f>
        <v>113.06064299347828</v>
      </c>
      <c r="J234" s="690">
        <f>(AI234*KFC!$B$22+KFC!$C$22)*KFC!$C$5</f>
        <v>119.45275675641572</v>
      </c>
      <c r="K234" s="690">
        <f>(AJ234*KFC!$B$22+KFC!$C$22)*KFC!$C$5</f>
        <v>125.84487051935317</v>
      </c>
      <c r="L234" s="690">
        <f>(AK234*KFC!$B$22+KFC!$C$22)*KFC!$C$5</f>
        <v>132.23698428229059</v>
      </c>
      <c r="M234" s="690">
        <f>(AL234*KFC!$B$22+KFC!$C$22)*KFC!$C$5</f>
        <v>138.62909804522803</v>
      </c>
      <c r="N234" s="690">
        <f>(AM234*KFC!$B$22+KFC!$C$22)*KFC!$C$5</f>
        <v>145.02121180816548</v>
      </c>
      <c r="O234" s="690">
        <f>(AN234*KFC!$B$22+KFC!$C$22)*KFC!$C$5</f>
        <v>151.41332557110292</v>
      </c>
      <c r="P234" s="690">
        <f>(AO234*KFC!$B$22+KFC!$C$22)*KFC!$C$5</f>
        <v>157.80543933404036</v>
      </c>
      <c r="Q234" s="690">
        <f>(AP234*KFC!$B$22+KFC!$C$22)*KFC!$C$5</f>
        <v>164.1975530969778</v>
      </c>
      <c r="R234" s="690">
        <f>(AQ234*KFC!$B$22+KFC!$C$22)*KFC!$C$5</f>
        <v>170.58966685991524</v>
      </c>
      <c r="S234" s="690">
        <f>(AR234*KFC!$B$22+KFC!$C$22)*KFC!$C$5</f>
        <v>176.98178062285265</v>
      </c>
      <c r="T234" s="690">
        <f>(AS234*KFC!$B$22+KFC!$C$22)*KFC!$C$5</f>
        <v>183.37389438579009</v>
      </c>
      <c r="U234" s="690">
        <f>(AT234*KFC!$B$22+KFC!$C$22)*KFC!$C$5</f>
        <v>189.76600814872751</v>
      </c>
      <c r="V234" s="690">
        <f>(AU234*KFC!$B$22+KFC!$C$22)*KFC!$C$5</f>
        <v>196.15812191166492</v>
      </c>
      <c r="W234" s="690">
        <f>(AV234*KFC!$B$22+KFC!$C$22)*KFC!$C$5</f>
        <v>202.55023567460233</v>
      </c>
      <c r="X234" s="690">
        <f>(AW234*KFC!$B$22+KFC!$C$22)*KFC!$C$5</f>
        <v>208.94234943753978</v>
      </c>
      <c r="Y234" s="690">
        <f>(AX234*KFC!$B$22+KFC!$C$22)*KFC!$C$5</f>
        <v>215.33446320047719</v>
      </c>
      <c r="Z234" s="690">
        <f>(AY234*KFC!$B$22+KFC!$C$22)*KFC!$C$5</f>
        <v>221.72657696341466</v>
      </c>
      <c r="AB234" s="771">
        <v>74.707960415853648</v>
      </c>
      <c r="AC234" s="772">
        <v>81.100074178791075</v>
      </c>
      <c r="AD234" s="772">
        <v>87.492187941728517</v>
      </c>
      <c r="AE234" s="772">
        <v>93.884301704665958</v>
      </c>
      <c r="AF234" s="772">
        <v>100.2764154676034</v>
      </c>
      <c r="AG234" s="772">
        <v>106.66852923054084</v>
      </c>
      <c r="AH234" s="772">
        <v>113.06064299347828</v>
      </c>
      <c r="AI234" s="772">
        <v>119.45275675641572</v>
      </c>
      <c r="AJ234" s="772">
        <v>125.84487051935317</v>
      </c>
      <c r="AK234" s="772">
        <v>132.23698428229059</v>
      </c>
      <c r="AL234" s="772">
        <v>138.62909804522803</v>
      </c>
      <c r="AM234" s="772">
        <v>145.02121180816548</v>
      </c>
      <c r="AN234" s="772">
        <v>151.41332557110292</v>
      </c>
      <c r="AO234" s="772">
        <v>157.80543933404036</v>
      </c>
      <c r="AP234" s="772">
        <v>164.1975530969778</v>
      </c>
      <c r="AQ234" s="772">
        <v>170.58966685991524</v>
      </c>
      <c r="AR234" s="772">
        <v>176.98178062285265</v>
      </c>
      <c r="AS234" s="772">
        <v>183.37389438579009</v>
      </c>
      <c r="AT234" s="772">
        <v>189.76600814872751</v>
      </c>
      <c r="AU234" s="772">
        <v>196.15812191166492</v>
      </c>
      <c r="AV234" s="772">
        <v>202.55023567460233</v>
      </c>
      <c r="AW234" s="772">
        <v>208.94234943753978</v>
      </c>
      <c r="AX234" s="772">
        <v>215.33446320047719</v>
      </c>
      <c r="AY234" s="773">
        <v>221.72657696341466</v>
      </c>
    </row>
    <row r="235" spans="1:51" ht="12.75" customHeight="1">
      <c r="A235" s="1277"/>
      <c r="B235" s="681">
        <v>0.7</v>
      </c>
      <c r="C235" s="690">
        <f>(AB235*KFC!$B$22+KFC!$C$22)*KFC!$C$5</f>
        <v>77.96855098170731</v>
      </c>
      <c r="D235" s="690">
        <f>(AC235*KFC!$B$22+KFC!$C$22)*KFC!$C$5</f>
        <v>84.826004933669125</v>
      </c>
      <c r="E235" s="690">
        <f>(AD235*KFC!$B$22+KFC!$C$22)*KFC!$C$5</f>
        <v>91.683458885630941</v>
      </c>
      <c r="F235" s="690">
        <f>(AE235*KFC!$B$22+KFC!$C$22)*KFC!$C$5</f>
        <v>98.540912837592757</v>
      </c>
      <c r="G235" s="690">
        <f>(AF235*KFC!$B$22+KFC!$C$22)*KFC!$C$5</f>
        <v>105.39836678955459</v>
      </c>
      <c r="H235" s="690">
        <f>(AG235*KFC!$B$22+KFC!$C$22)*KFC!$C$5</f>
        <v>112.2558207415164</v>
      </c>
      <c r="I235" s="690">
        <f>(AH235*KFC!$B$22+KFC!$C$22)*KFC!$C$5</f>
        <v>119.11327469347822</v>
      </c>
      <c r="J235" s="690">
        <f>(AI235*KFC!$B$22+KFC!$C$22)*KFC!$C$5</f>
        <v>125.97072864544003</v>
      </c>
      <c r="K235" s="690">
        <f>(AJ235*KFC!$B$22+KFC!$C$22)*KFC!$C$5</f>
        <v>132.82818259740185</v>
      </c>
      <c r="L235" s="690">
        <f>(AK235*KFC!$B$22+KFC!$C$22)*KFC!$C$5</f>
        <v>139.68563654936366</v>
      </c>
      <c r="M235" s="690">
        <f>(AL235*KFC!$B$22+KFC!$C$22)*KFC!$C$5</f>
        <v>146.54309050132548</v>
      </c>
      <c r="N235" s="690">
        <f>(AM235*KFC!$B$22+KFC!$C$22)*KFC!$C$5</f>
        <v>153.4005444532873</v>
      </c>
      <c r="O235" s="690">
        <f>(AN235*KFC!$B$22+KFC!$C$22)*KFC!$C$5</f>
        <v>160.25799840524914</v>
      </c>
      <c r="P235" s="690">
        <f>(AO235*KFC!$B$22+KFC!$C$22)*KFC!$C$5</f>
        <v>167.11545235721096</v>
      </c>
      <c r="Q235" s="690">
        <f>(AP235*KFC!$B$22+KFC!$C$22)*KFC!$C$5</f>
        <v>173.97290630917277</v>
      </c>
      <c r="R235" s="690">
        <f>(AQ235*KFC!$B$22+KFC!$C$22)*KFC!$C$5</f>
        <v>180.83036026113459</v>
      </c>
      <c r="S235" s="690">
        <f>(AR235*KFC!$B$22+KFC!$C$22)*KFC!$C$5</f>
        <v>187.68781421309643</v>
      </c>
      <c r="T235" s="690">
        <f>(AS235*KFC!$B$22+KFC!$C$22)*KFC!$C$5</f>
        <v>194.54526816505827</v>
      </c>
      <c r="U235" s="690">
        <f>(AT235*KFC!$B$22+KFC!$C$22)*KFC!$C$5</f>
        <v>201.40272211702012</v>
      </c>
      <c r="V235" s="690">
        <f>(AU235*KFC!$B$22+KFC!$C$22)*KFC!$C$5</f>
        <v>208.26017606898193</v>
      </c>
      <c r="W235" s="690">
        <f>(AV235*KFC!$B$22+KFC!$C$22)*KFC!$C$5</f>
        <v>215.11763002094378</v>
      </c>
      <c r="X235" s="690">
        <f>(AW235*KFC!$B$22+KFC!$C$22)*KFC!$C$5</f>
        <v>221.97508397290562</v>
      </c>
      <c r="Y235" s="690">
        <f>(AX235*KFC!$B$22+KFC!$C$22)*KFC!$C$5</f>
        <v>228.83253792486747</v>
      </c>
      <c r="Z235" s="690">
        <f>(AY235*KFC!$B$22+KFC!$C$22)*KFC!$C$5</f>
        <v>235.68999187682931</v>
      </c>
      <c r="AB235" s="771">
        <v>77.96855098170731</v>
      </c>
      <c r="AC235" s="772">
        <v>84.826004933669125</v>
      </c>
      <c r="AD235" s="772">
        <v>91.683458885630941</v>
      </c>
      <c r="AE235" s="772">
        <v>98.540912837592757</v>
      </c>
      <c r="AF235" s="772">
        <v>105.39836678955459</v>
      </c>
      <c r="AG235" s="772">
        <v>112.2558207415164</v>
      </c>
      <c r="AH235" s="772">
        <v>119.11327469347822</v>
      </c>
      <c r="AI235" s="772">
        <v>125.97072864544003</v>
      </c>
      <c r="AJ235" s="772">
        <v>132.82818259740185</v>
      </c>
      <c r="AK235" s="772">
        <v>139.68563654936366</v>
      </c>
      <c r="AL235" s="772">
        <v>146.54309050132548</v>
      </c>
      <c r="AM235" s="772">
        <v>153.4005444532873</v>
      </c>
      <c r="AN235" s="772">
        <v>160.25799840524914</v>
      </c>
      <c r="AO235" s="772">
        <v>167.11545235721096</v>
      </c>
      <c r="AP235" s="772">
        <v>173.97290630917277</v>
      </c>
      <c r="AQ235" s="772">
        <v>180.83036026113459</v>
      </c>
      <c r="AR235" s="772">
        <v>187.68781421309643</v>
      </c>
      <c r="AS235" s="772">
        <v>194.54526816505827</v>
      </c>
      <c r="AT235" s="772">
        <v>201.40272211702012</v>
      </c>
      <c r="AU235" s="772">
        <v>208.26017606898193</v>
      </c>
      <c r="AV235" s="772">
        <v>215.11763002094378</v>
      </c>
      <c r="AW235" s="772">
        <v>221.97508397290562</v>
      </c>
      <c r="AX235" s="772">
        <v>228.83253792486747</v>
      </c>
      <c r="AY235" s="773">
        <v>235.68999187682931</v>
      </c>
    </row>
    <row r="236" spans="1:51" ht="12.75" customHeight="1">
      <c r="A236" s="1277"/>
      <c r="B236" s="681">
        <v>0.8</v>
      </c>
      <c r="C236" s="690">
        <f>(AB236*KFC!$B$22+KFC!$C$22)*KFC!$C$5</f>
        <v>81.229141547560957</v>
      </c>
      <c r="D236" s="690">
        <f>(AC236*KFC!$B$22+KFC!$C$22)*KFC!$C$5</f>
        <v>88.551935688547189</v>
      </c>
      <c r="E236" s="690">
        <f>(AD236*KFC!$B$22+KFC!$C$22)*KFC!$C$5</f>
        <v>95.874729829533408</v>
      </c>
      <c r="F236" s="690">
        <f>(AE236*KFC!$B$22+KFC!$C$22)*KFC!$C$5</f>
        <v>103.19752397051961</v>
      </c>
      <c r="G236" s="690">
        <f>(AF236*KFC!$B$22+KFC!$C$22)*KFC!$C$5</f>
        <v>110.52031811150583</v>
      </c>
      <c r="H236" s="690">
        <f>(AG236*KFC!$B$22+KFC!$C$22)*KFC!$C$5</f>
        <v>117.84311225249205</v>
      </c>
      <c r="I236" s="690">
        <f>(AH236*KFC!$B$22+KFC!$C$22)*KFC!$C$5</f>
        <v>125.16590639347827</v>
      </c>
      <c r="J236" s="690">
        <f>(AI236*KFC!$B$22+KFC!$C$22)*KFC!$C$5</f>
        <v>132.48870053446447</v>
      </c>
      <c r="K236" s="690">
        <f>(AJ236*KFC!$B$22+KFC!$C$22)*KFC!$C$5</f>
        <v>139.81149467545069</v>
      </c>
      <c r="L236" s="690">
        <f>(AK236*KFC!$B$22+KFC!$C$22)*KFC!$C$5</f>
        <v>147.13428881643691</v>
      </c>
      <c r="M236" s="690">
        <f>(AL236*KFC!$B$22+KFC!$C$22)*KFC!$C$5</f>
        <v>154.45708295742313</v>
      </c>
      <c r="N236" s="690">
        <f>(AM236*KFC!$B$22+KFC!$C$22)*KFC!$C$5</f>
        <v>161.77987709840934</v>
      </c>
      <c r="O236" s="690">
        <f>(AN236*KFC!$B$22+KFC!$C$22)*KFC!$C$5</f>
        <v>169.10267123939556</v>
      </c>
      <c r="P236" s="690">
        <f>(AO236*KFC!$B$22+KFC!$C$22)*KFC!$C$5</f>
        <v>176.42546538038178</v>
      </c>
      <c r="Q236" s="690">
        <f>(AP236*KFC!$B$22+KFC!$C$22)*KFC!$C$5</f>
        <v>183.748259521368</v>
      </c>
      <c r="R236" s="690">
        <f>(AQ236*KFC!$B$22+KFC!$C$22)*KFC!$C$5</f>
        <v>191.07105366235422</v>
      </c>
      <c r="S236" s="690">
        <f>(AR236*KFC!$B$22+KFC!$C$22)*KFC!$C$5</f>
        <v>198.39384780334044</v>
      </c>
      <c r="T236" s="690">
        <f>(AS236*KFC!$B$22+KFC!$C$22)*KFC!$C$5</f>
        <v>205.71664194432665</v>
      </c>
      <c r="U236" s="690">
        <f>(AT236*KFC!$B$22+KFC!$C$22)*KFC!$C$5</f>
        <v>213.03943608531287</v>
      </c>
      <c r="V236" s="690">
        <f>(AU236*KFC!$B$22+KFC!$C$22)*KFC!$C$5</f>
        <v>220.36223022629909</v>
      </c>
      <c r="W236" s="690">
        <f>(AV236*KFC!$B$22+KFC!$C$22)*KFC!$C$5</f>
        <v>227.68502436728531</v>
      </c>
      <c r="X236" s="690">
        <f>(AW236*KFC!$B$22+KFC!$C$22)*KFC!$C$5</f>
        <v>235.00781850827153</v>
      </c>
      <c r="Y236" s="690">
        <f>(AX236*KFC!$B$22+KFC!$C$22)*KFC!$C$5</f>
        <v>242.33061264925772</v>
      </c>
      <c r="Z236" s="690">
        <f>(AY236*KFC!$B$22+KFC!$C$22)*KFC!$C$5</f>
        <v>249.65340679024393</v>
      </c>
      <c r="AB236" s="771">
        <v>81.229141547560957</v>
      </c>
      <c r="AC236" s="772">
        <v>88.551935688547189</v>
      </c>
      <c r="AD236" s="772">
        <v>95.874729829533408</v>
      </c>
      <c r="AE236" s="772">
        <v>103.19752397051961</v>
      </c>
      <c r="AF236" s="772">
        <v>110.52031811150583</v>
      </c>
      <c r="AG236" s="772">
        <v>117.84311225249205</v>
      </c>
      <c r="AH236" s="772">
        <v>125.16590639347827</v>
      </c>
      <c r="AI236" s="772">
        <v>132.48870053446447</v>
      </c>
      <c r="AJ236" s="772">
        <v>139.81149467545069</v>
      </c>
      <c r="AK236" s="772">
        <v>147.13428881643691</v>
      </c>
      <c r="AL236" s="772">
        <v>154.45708295742313</v>
      </c>
      <c r="AM236" s="772">
        <v>161.77987709840934</v>
      </c>
      <c r="AN236" s="772">
        <v>169.10267123939556</v>
      </c>
      <c r="AO236" s="772">
        <v>176.42546538038178</v>
      </c>
      <c r="AP236" s="772">
        <v>183.748259521368</v>
      </c>
      <c r="AQ236" s="772">
        <v>191.07105366235422</v>
      </c>
      <c r="AR236" s="772">
        <v>198.39384780334044</v>
      </c>
      <c r="AS236" s="772">
        <v>205.71664194432665</v>
      </c>
      <c r="AT236" s="772">
        <v>213.03943608531287</v>
      </c>
      <c r="AU236" s="772">
        <v>220.36223022629909</v>
      </c>
      <c r="AV236" s="772">
        <v>227.68502436728531</v>
      </c>
      <c r="AW236" s="772">
        <v>235.00781850827153</v>
      </c>
      <c r="AX236" s="772">
        <v>242.33061264925772</v>
      </c>
      <c r="AY236" s="773">
        <v>249.65340679024393</v>
      </c>
    </row>
    <row r="237" spans="1:51" ht="12.75" customHeight="1">
      <c r="A237" s="1277"/>
      <c r="B237" s="681">
        <v>0.9</v>
      </c>
      <c r="C237" s="690">
        <f>(AB237*KFC!$B$22+KFC!$C$22)*KFC!$C$5</f>
        <v>84.489732113414618</v>
      </c>
      <c r="D237" s="690">
        <f>(AC237*KFC!$B$22+KFC!$C$22)*KFC!$C$5</f>
        <v>92.277866443425239</v>
      </c>
      <c r="E237" s="690">
        <f>(AD237*KFC!$B$22+KFC!$C$22)*KFC!$C$5</f>
        <v>100.06600077343585</v>
      </c>
      <c r="F237" s="690">
        <f>(AE237*KFC!$B$22+KFC!$C$22)*KFC!$C$5</f>
        <v>107.85413510344645</v>
      </c>
      <c r="G237" s="690">
        <f>(AF237*KFC!$B$22+KFC!$C$22)*KFC!$C$5</f>
        <v>115.64226943345707</v>
      </c>
      <c r="H237" s="690">
        <f>(AG237*KFC!$B$22+KFC!$C$22)*KFC!$C$5</f>
        <v>123.43040376346768</v>
      </c>
      <c r="I237" s="690">
        <f>(AH237*KFC!$B$22+KFC!$C$22)*KFC!$C$5</f>
        <v>131.21853809347829</v>
      </c>
      <c r="J237" s="690">
        <f>(AI237*KFC!$B$22+KFC!$C$22)*KFC!$C$5</f>
        <v>139.00667242348891</v>
      </c>
      <c r="K237" s="690">
        <f>(AJ237*KFC!$B$22+KFC!$C$22)*KFC!$C$5</f>
        <v>146.79480675349953</v>
      </c>
      <c r="L237" s="690">
        <f>(AK237*KFC!$B$22+KFC!$C$22)*KFC!$C$5</f>
        <v>154.58294108351012</v>
      </c>
      <c r="M237" s="690">
        <f>(AL237*KFC!$B$22+KFC!$C$22)*KFC!$C$5</f>
        <v>162.37107541352074</v>
      </c>
      <c r="N237" s="690">
        <f>(AM237*KFC!$B$22+KFC!$C$22)*KFC!$C$5</f>
        <v>170.15920974353136</v>
      </c>
      <c r="O237" s="690">
        <f>(AN237*KFC!$B$22+KFC!$C$22)*KFC!$C$5</f>
        <v>177.94734407354196</v>
      </c>
      <c r="P237" s="690">
        <f>(AO237*KFC!$B$22+KFC!$C$22)*KFC!$C$5</f>
        <v>185.73547840355255</v>
      </c>
      <c r="Q237" s="690">
        <f>(AP237*KFC!$B$22+KFC!$C$22)*KFC!$C$5</f>
        <v>193.52361273356314</v>
      </c>
      <c r="R237" s="690">
        <f>(AQ237*KFC!$B$22+KFC!$C$22)*KFC!$C$5</f>
        <v>201.31174706357373</v>
      </c>
      <c r="S237" s="690">
        <f>(AR237*KFC!$B$22+KFC!$C$22)*KFC!$C$5</f>
        <v>209.09988139358433</v>
      </c>
      <c r="T237" s="690">
        <f>(AS237*KFC!$B$22+KFC!$C$22)*KFC!$C$5</f>
        <v>216.88801572359492</v>
      </c>
      <c r="U237" s="690">
        <f>(AT237*KFC!$B$22+KFC!$C$22)*KFC!$C$5</f>
        <v>224.67615005360551</v>
      </c>
      <c r="V237" s="690">
        <f>(AU237*KFC!$B$22+KFC!$C$22)*KFC!$C$5</f>
        <v>232.4642843836161</v>
      </c>
      <c r="W237" s="690">
        <f>(AV237*KFC!$B$22+KFC!$C$22)*KFC!$C$5</f>
        <v>240.2524187136267</v>
      </c>
      <c r="X237" s="690">
        <f>(AW237*KFC!$B$22+KFC!$C$22)*KFC!$C$5</f>
        <v>248.04055304363729</v>
      </c>
      <c r="Y237" s="690">
        <f>(AX237*KFC!$B$22+KFC!$C$22)*KFC!$C$5</f>
        <v>255.82868737364788</v>
      </c>
      <c r="Z237" s="690">
        <f>(AY237*KFC!$B$22+KFC!$C$22)*KFC!$C$5</f>
        <v>263.61682170365862</v>
      </c>
      <c r="AB237" s="771">
        <v>84.489732113414618</v>
      </c>
      <c r="AC237" s="772">
        <v>92.277866443425239</v>
      </c>
      <c r="AD237" s="772">
        <v>100.06600077343585</v>
      </c>
      <c r="AE237" s="772">
        <v>107.85413510344645</v>
      </c>
      <c r="AF237" s="772">
        <v>115.64226943345707</v>
      </c>
      <c r="AG237" s="772">
        <v>123.43040376346768</v>
      </c>
      <c r="AH237" s="772">
        <v>131.21853809347829</v>
      </c>
      <c r="AI237" s="772">
        <v>139.00667242348891</v>
      </c>
      <c r="AJ237" s="772">
        <v>146.79480675349953</v>
      </c>
      <c r="AK237" s="772">
        <v>154.58294108351012</v>
      </c>
      <c r="AL237" s="772">
        <v>162.37107541352074</v>
      </c>
      <c r="AM237" s="772">
        <v>170.15920974353136</v>
      </c>
      <c r="AN237" s="772">
        <v>177.94734407354196</v>
      </c>
      <c r="AO237" s="772">
        <v>185.73547840355255</v>
      </c>
      <c r="AP237" s="772">
        <v>193.52361273356314</v>
      </c>
      <c r="AQ237" s="772">
        <v>201.31174706357373</v>
      </c>
      <c r="AR237" s="772">
        <v>209.09988139358433</v>
      </c>
      <c r="AS237" s="772">
        <v>216.88801572359492</v>
      </c>
      <c r="AT237" s="772">
        <v>224.67615005360551</v>
      </c>
      <c r="AU237" s="772">
        <v>232.4642843836161</v>
      </c>
      <c r="AV237" s="772">
        <v>240.2524187136267</v>
      </c>
      <c r="AW237" s="772">
        <v>248.04055304363729</v>
      </c>
      <c r="AX237" s="772">
        <v>255.82868737364788</v>
      </c>
      <c r="AY237" s="773">
        <v>263.61682170365862</v>
      </c>
    </row>
    <row r="238" spans="1:51" ht="12.75" customHeight="1">
      <c r="A238" s="1277"/>
      <c r="B238" s="681">
        <v>1</v>
      </c>
      <c r="C238" s="690">
        <f>(AB238*KFC!$B$22+KFC!$C$22)*KFC!$C$5</f>
        <v>87.75032267926828</v>
      </c>
      <c r="D238" s="690">
        <f>(AC238*KFC!$B$22+KFC!$C$22)*KFC!$C$5</f>
        <v>96.003797198303275</v>
      </c>
      <c r="E238" s="690">
        <f>(AD238*KFC!$B$22+KFC!$C$22)*KFC!$C$5</f>
        <v>104.25727171733827</v>
      </c>
      <c r="F238" s="690">
        <f>(AE238*KFC!$B$22+KFC!$C$22)*KFC!$C$5</f>
        <v>112.51074623637327</v>
      </c>
      <c r="G238" s="690">
        <f>(AF238*KFC!$B$22+KFC!$C$22)*KFC!$C$5</f>
        <v>120.76422075540825</v>
      </c>
      <c r="H238" s="690">
        <f>(AG238*KFC!$B$22+KFC!$C$22)*KFC!$C$5</f>
        <v>129.01769527444324</v>
      </c>
      <c r="I238" s="690">
        <f>(AH238*KFC!$B$22+KFC!$C$22)*KFC!$C$5</f>
        <v>137.27116979347824</v>
      </c>
      <c r="J238" s="690">
        <f>(AI238*KFC!$B$22+KFC!$C$22)*KFC!$C$5</f>
        <v>145.52464431251323</v>
      </c>
      <c r="K238" s="690">
        <f>(AJ238*KFC!$B$22+KFC!$C$22)*KFC!$C$5</f>
        <v>153.7781188315482</v>
      </c>
      <c r="L238" s="690">
        <f>(AK238*KFC!$B$22+KFC!$C$22)*KFC!$C$5</f>
        <v>162.03159335058319</v>
      </c>
      <c r="M238" s="690">
        <f>(AL238*KFC!$B$22+KFC!$C$22)*KFC!$C$5</f>
        <v>170.28506786961819</v>
      </c>
      <c r="N238" s="690">
        <f>(AM238*KFC!$B$22+KFC!$C$22)*KFC!$C$5</f>
        <v>178.53854238865321</v>
      </c>
      <c r="O238" s="690">
        <f>(AN238*KFC!$B$22+KFC!$C$22)*KFC!$C$5</f>
        <v>186.79201690768821</v>
      </c>
      <c r="P238" s="690">
        <f>(AO238*KFC!$B$22+KFC!$C$22)*KFC!$C$5</f>
        <v>195.04549142672323</v>
      </c>
      <c r="Q238" s="690">
        <f>(AP238*KFC!$B$22+KFC!$C$22)*KFC!$C$5</f>
        <v>203.29896594575823</v>
      </c>
      <c r="R238" s="690">
        <f>(AQ238*KFC!$B$22+KFC!$C$22)*KFC!$C$5</f>
        <v>211.55244046479325</v>
      </c>
      <c r="S238" s="690">
        <f>(AR238*KFC!$B$22+KFC!$C$22)*KFC!$C$5</f>
        <v>219.80591498382825</v>
      </c>
      <c r="T238" s="690">
        <f>(AS238*KFC!$B$22+KFC!$C$22)*KFC!$C$5</f>
        <v>228.05938950286327</v>
      </c>
      <c r="U238" s="690">
        <f>(AT238*KFC!$B$22+KFC!$C$22)*KFC!$C$5</f>
        <v>236.31286402189826</v>
      </c>
      <c r="V238" s="690">
        <f>(AU238*KFC!$B$22+KFC!$C$22)*KFC!$C$5</f>
        <v>244.56633854093329</v>
      </c>
      <c r="W238" s="690">
        <f>(AV238*KFC!$B$22+KFC!$C$22)*KFC!$C$5</f>
        <v>252.81981305996828</v>
      </c>
      <c r="X238" s="690">
        <f>(AW238*KFC!$B$22+KFC!$C$22)*KFC!$C$5</f>
        <v>261.07328757900331</v>
      </c>
      <c r="Y238" s="690">
        <f>(AX238*KFC!$B$22+KFC!$C$22)*KFC!$C$5</f>
        <v>269.32676209803833</v>
      </c>
      <c r="Z238" s="690">
        <f>(AY238*KFC!$B$22+KFC!$C$22)*KFC!$C$5</f>
        <v>277.58023661707324</v>
      </c>
      <c r="AB238" s="771">
        <v>87.75032267926828</v>
      </c>
      <c r="AC238" s="772">
        <v>96.003797198303275</v>
      </c>
      <c r="AD238" s="772">
        <v>104.25727171733827</v>
      </c>
      <c r="AE238" s="772">
        <v>112.51074623637327</v>
      </c>
      <c r="AF238" s="772">
        <v>120.76422075540825</v>
      </c>
      <c r="AG238" s="772">
        <v>129.01769527444324</v>
      </c>
      <c r="AH238" s="772">
        <v>137.27116979347824</v>
      </c>
      <c r="AI238" s="772">
        <v>145.52464431251323</v>
      </c>
      <c r="AJ238" s="772">
        <v>153.7781188315482</v>
      </c>
      <c r="AK238" s="772">
        <v>162.03159335058319</v>
      </c>
      <c r="AL238" s="772">
        <v>170.28506786961819</v>
      </c>
      <c r="AM238" s="772">
        <v>178.53854238865321</v>
      </c>
      <c r="AN238" s="772">
        <v>186.79201690768821</v>
      </c>
      <c r="AO238" s="772">
        <v>195.04549142672323</v>
      </c>
      <c r="AP238" s="772">
        <v>203.29896594575823</v>
      </c>
      <c r="AQ238" s="772">
        <v>211.55244046479325</v>
      </c>
      <c r="AR238" s="772">
        <v>219.80591498382825</v>
      </c>
      <c r="AS238" s="772">
        <v>228.05938950286327</v>
      </c>
      <c r="AT238" s="772">
        <v>236.31286402189826</v>
      </c>
      <c r="AU238" s="772">
        <v>244.56633854093329</v>
      </c>
      <c r="AV238" s="772">
        <v>252.81981305996828</v>
      </c>
      <c r="AW238" s="772">
        <v>261.07328757900331</v>
      </c>
      <c r="AX238" s="772">
        <v>269.32676209803833</v>
      </c>
      <c r="AY238" s="773">
        <v>277.58023661707324</v>
      </c>
    </row>
    <row r="239" spans="1:51" ht="12.75" customHeight="1">
      <c r="A239" s="1277"/>
      <c r="B239" s="681">
        <v>1.1000000000000001</v>
      </c>
      <c r="C239" s="690">
        <f>(AB239*KFC!$B$22+KFC!$C$22)*KFC!$C$5</f>
        <v>91.010913245121955</v>
      </c>
      <c r="D239" s="690">
        <f>(AC239*KFC!$B$22+KFC!$C$22)*KFC!$C$5</f>
        <v>99.729727953181339</v>
      </c>
      <c r="E239" s="690">
        <f>(AD239*KFC!$B$22+KFC!$C$22)*KFC!$C$5</f>
        <v>108.44854266124072</v>
      </c>
      <c r="F239" s="690">
        <f>(AE239*KFC!$B$22+KFC!$C$22)*KFC!$C$5</f>
        <v>117.16735736930012</v>
      </c>
      <c r="G239" s="690">
        <f>(AF239*KFC!$B$22+KFC!$C$22)*KFC!$C$5</f>
        <v>125.8861720773595</v>
      </c>
      <c r="H239" s="690">
        <f>(AG239*KFC!$B$22+KFC!$C$22)*KFC!$C$5</f>
        <v>134.6049867854189</v>
      </c>
      <c r="I239" s="690">
        <f>(AH239*KFC!$B$22+KFC!$C$22)*KFC!$C$5</f>
        <v>143.32380149347827</v>
      </c>
      <c r="J239" s="690">
        <f>(AI239*KFC!$B$22+KFC!$C$22)*KFC!$C$5</f>
        <v>152.04261620153767</v>
      </c>
      <c r="K239" s="690">
        <f>(AJ239*KFC!$B$22+KFC!$C$22)*KFC!$C$5</f>
        <v>160.76143090959707</v>
      </c>
      <c r="L239" s="690">
        <f>(AK239*KFC!$B$22+KFC!$C$22)*KFC!$C$5</f>
        <v>169.48024561765646</v>
      </c>
      <c r="M239" s="690">
        <f>(AL239*KFC!$B$22+KFC!$C$22)*KFC!$C$5</f>
        <v>178.19906032571586</v>
      </c>
      <c r="N239" s="690">
        <f>(AM239*KFC!$B$22+KFC!$C$22)*KFC!$C$5</f>
        <v>186.91787503377523</v>
      </c>
      <c r="O239" s="690">
        <f>(AN239*KFC!$B$22+KFC!$C$22)*KFC!$C$5</f>
        <v>195.63668974183463</v>
      </c>
      <c r="P239" s="690">
        <f>(AO239*KFC!$B$22+KFC!$C$22)*KFC!$C$5</f>
        <v>204.355504449894</v>
      </c>
      <c r="Q239" s="690">
        <f>(AP239*KFC!$B$22+KFC!$C$22)*KFC!$C$5</f>
        <v>213.0743191579534</v>
      </c>
      <c r="R239" s="690">
        <f>(AQ239*KFC!$B$22+KFC!$C$22)*KFC!$C$5</f>
        <v>221.79313386601279</v>
      </c>
      <c r="S239" s="690">
        <f>(AR239*KFC!$B$22+KFC!$C$22)*KFC!$C$5</f>
        <v>230.51194857407216</v>
      </c>
      <c r="T239" s="690">
        <f>(AS239*KFC!$B$22+KFC!$C$22)*KFC!$C$5</f>
        <v>239.23076328213156</v>
      </c>
      <c r="U239" s="690">
        <f>(AT239*KFC!$B$22+KFC!$C$22)*KFC!$C$5</f>
        <v>247.94957799019096</v>
      </c>
      <c r="V239" s="690">
        <f>(AU239*KFC!$B$22+KFC!$C$22)*KFC!$C$5</f>
        <v>256.66839269825033</v>
      </c>
      <c r="W239" s="690">
        <f>(AV239*KFC!$B$22+KFC!$C$22)*KFC!$C$5</f>
        <v>265.38720740630976</v>
      </c>
      <c r="X239" s="690">
        <f>(AW239*KFC!$B$22+KFC!$C$22)*KFC!$C$5</f>
        <v>274.10602211436913</v>
      </c>
      <c r="Y239" s="690">
        <f>(AX239*KFC!$B$22+KFC!$C$22)*KFC!$C$5</f>
        <v>282.82483682242849</v>
      </c>
      <c r="Z239" s="690">
        <f>(AY239*KFC!$B$22+KFC!$C$22)*KFC!$C$5</f>
        <v>291.54365153048786</v>
      </c>
      <c r="AB239" s="771">
        <v>91.010913245121955</v>
      </c>
      <c r="AC239" s="772">
        <v>99.729727953181339</v>
      </c>
      <c r="AD239" s="772">
        <v>108.44854266124072</v>
      </c>
      <c r="AE239" s="772">
        <v>117.16735736930012</v>
      </c>
      <c r="AF239" s="772">
        <v>125.8861720773595</v>
      </c>
      <c r="AG239" s="772">
        <v>134.6049867854189</v>
      </c>
      <c r="AH239" s="772">
        <v>143.32380149347827</v>
      </c>
      <c r="AI239" s="772">
        <v>152.04261620153767</v>
      </c>
      <c r="AJ239" s="772">
        <v>160.76143090959707</v>
      </c>
      <c r="AK239" s="772">
        <v>169.48024561765646</v>
      </c>
      <c r="AL239" s="772">
        <v>178.19906032571586</v>
      </c>
      <c r="AM239" s="772">
        <v>186.91787503377523</v>
      </c>
      <c r="AN239" s="772">
        <v>195.63668974183463</v>
      </c>
      <c r="AO239" s="772">
        <v>204.355504449894</v>
      </c>
      <c r="AP239" s="772">
        <v>213.0743191579534</v>
      </c>
      <c r="AQ239" s="772">
        <v>221.79313386601279</v>
      </c>
      <c r="AR239" s="772">
        <v>230.51194857407216</v>
      </c>
      <c r="AS239" s="772">
        <v>239.23076328213156</v>
      </c>
      <c r="AT239" s="772">
        <v>247.94957799019096</v>
      </c>
      <c r="AU239" s="772">
        <v>256.66839269825033</v>
      </c>
      <c r="AV239" s="772">
        <v>265.38720740630976</v>
      </c>
      <c r="AW239" s="772">
        <v>274.10602211436913</v>
      </c>
      <c r="AX239" s="772">
        <v>282.82483682242849</v>
      </c>
      <c r="AY239" s="773">
        <v>291.54365153048786</v>
      </c>
    </row>
    <row r="240" spans="1:51" ht="12.75" customHeight="1">
      <c r="A240" s="1277"/>
      <c r="B240" s="681">
        <v>1.2</v>
      </c>
      <c r="C240" s="690">
        <f>(AB240*KFC!$B$22+KFC!$C$22)*KFC!$C$5</f>
        <v>94.271503810975616</v>
      </c>
      <c r="D240" s="690">
        <f>(AC240*KFC!$B$22+KFC!$C$22)*KFC!$C$5</f>
        <v>103.4556587080594</v>
      </c>
      <c r="E240" s="690">
        <f>(AD240*KFC!$B$22+KFC!$C$22)*KFC!$C$5</f>
        <v>112.63981360514319</v>
      </c>
      <c r="F240" s="690">
        <f>(AE240*KFC!$B$22+KFC!$C$22)*KFC!$C$5</f>
        <v>121.82396850222698</v>
      </c>
      <c r="G240" s="690">
        <f>(AF240*KFC!$B$22+KFC!$C$22)*KFC!$C$5</f>
        <v>131.00812339931076</v>
      </c>
      <c r="H240" s="690">
        <f>(AG240*KFC!$B$22+KFC!$C$22)*KFC!$C$5</f>
        <v>140.19227829639453</v>
      </c>
      <c r="I240" s="690">
        <f>(AH240*KFC!$B$22+KFC!$C$22)*KFC!$C$5</f>
        <v>149.37643319347833</v>
      </c>
      <c r="J240" s="690">
        <f>(AI240*KFC!$B$22+KFC!$C$22)*KFC!$C$5</f>
        <v>158.56058809056211</v>
      </c>
      <c r="K240" s="690">
        <f>(AJ240*KFC!$B$22+KFC!$C$22)*KFC!$C$5</f>
        <v>167.74474298764591</v>
      </c>
      <c r="L240" s="690">
        <f>(AK240*KFC!$B$22+KFC!$C$22)*KFC!$C$5</f>
        <v>176.92889788472965</v>
      </c>
      <c r="M240" s="690">
        <f>(AL240*KFC!$B$22+KFC!$C$22)*KFC!$C$5</f>
        <v>186.11305278181342</v>
      </c>
      <c r="N240" s="690">
        <f>(AM240*KFC!$B$22+KFC!$C$22)*KFC!$C$5</f>
        <v>195.29720767889719</v>
      </c>
      <c r="O240" s="690">
        <f>(AN240*KFC!$B$22+KFC!$C$22)*KFC!$C$5</f>
        <v>204.48136257598097</v>
      </c>
      <c r="P240" s="690">
        <f>(AO240*KFC!$B$22+KFC!$C$22)*KFC!$C$5</f>
        <v>213.66551747306474</v>
      </c>
      <c r="Q240" s="690">
        <f>(AP240*KFC!$B$22+KFC!$C$22)*KFC!$C$5</f>
        <v>222.84967237014848</v>
      </c>
      <c r="R240" s="690">
        <f>(AQ240*KFC!$B$22+KFC!$C$22)*KFC!$C$5</f>
        <v>232.03382726723225</v>
      </c>
      <c r="S240" s="690">
        <f>(AR240*KFC!$B$22+KFC!$C$22)*KFC!$C$5</f>
        <v>241.21798216431603</v>
      </c>
      <c r="T240" s="690">
        <f>(AS240*KFC!$B$22+KFC!$C$22)*KFC!$C$5</f>
        <v>250.4021370613998</v>
      </c>
      <c r="U240" s="690">
        <f>(AT240*KFC!$B$22+KFC!$C$22)*KFC!$C$5</f>
        <v>259.58629195848357</v>
      </c>
      <c r="V240" s="690">
        <f>(AU240*KFC!$B$22+KFC!$C$22)*KFC!$C$5</f>
        <v>268.77044685556734</v>
      </c>
      <c r="W240" s="690">
        <f>(AV240*KFC!$B$22+KFC!$C$22)*KFC!$C$5</f>
        <v>277.95460175265112</v>
      </c>
      <c r="X240" s="690">
        <f>(AW240*KFC!$B$22+KFC!$C$22)*KFC!$C$5</f>
        <v>287.13875664973489</v>
      </c>
      <c r="Y240" s="690">
        <f>(AX240*KFC!$B$22+KFC!$C$22)*KFC!$C$5</f>
        <v>296.3229115468186</v>
      </c>
      <c r="Z240" s="690">
        <f>(AY240*KFC!$B$22+KFC!$C$22)*KFC!$C$5</f>
        <v>305.50706644390254</v>
      </c>
      <c r="AB240" s="771">
        <v>94.271503810975616</v>
      </c>
      <c r="AC240" s="772">
        <v>103.4556587080594</v>
      </c>
      <c r="AD240" s="772">
        <v>112.63981360514319</v>
      </c>
      <c r="AE240" s="772">
        <v>121.82396850222698</v>
      </c>
      <c r="AF240" s="772">
        <v>131.00812339931076</v>
      </c>
      <c r="AG240" s="772">
        <v>140.19227829639453</v>
      </c>
      <c r="AH240" s="772">
        <v>149.37643319347833</v>
      </c>
      <c r="AI240" s="772">
        <v>158.56058809056211</v>
      </c>
      <c r="AJ240" s="772">
        <v>167.74474298764591</v>
      </c>
      <c r="AK240" s="772">
        <v>176.92889788472965</v>
      </c>
      <c r="AL240" s="772">
        <v>186.11305278181342</v>
      </c>
      <c r="AM240" s="772">
        <v>195.29720767889719</v>
      </c>
      <c r="AN240" s="772">
        <v>204.48136257598097</v>
      </c>
      <c r="AO240" s="772">
        <v>213.66551747306474</v>
      </c>
      <c r="AP240" s="772">
        <v>222.84967237014848</v>
      </c>
      <c r="AQ240" s="772">
        <v>232.03382726723225</v>
      </c>
      <c r="AR240" s="772">
        <v>241.21798216431603</v>
      </c>
      <c r="AS240" s="772">
        <v>250.4021370613998</v>
      </c>
      <c r="AT240" s="772">
        <v>259.58629195848357</v>
      </c>
      <c r="AU240" s="772">
        <v>268.77044685556734</v>
      </c>
      <c r="AV240" s="772">
        <v>277.95460175265112</v>
      </c>
      <c r="AW240" s="772">
        <v>287.13875664973489</v>
      </c>
      <c r="AX240" s="772">
        <v>296.3229115468186</v>
      </c>
      <c r="AY240" s="773">
        <v>305.50706644390254</v>
      </c>
    </row>
    <row r="241" spans="1:51" ht="12.75" customHeight="1">
      <c r="A241" s="1277"/>
      <c r="B241" s="681">
        <v>1.3</v>
      </c>
      <c r="C241" s="690">
        <f>(AB241*KFC!$B$22+KFC!$C$22)*KFC!$C$5</f>
        <v>97.532094376829278</v>
      </c>
      <c r="D241" s="690">
        <f>(AC241*KFC!$B$22+KFC!$C$22)*KFC!$C$5</f>
        <v>107.18158946293745</v>
      </c>
      <c r="E241" s="690">
        <f>(AD241*KFC!$B$22+KFC!$C$22)*KFC!$C$5</f>
        <v>116.83108454904561</v>
      </c>
      <c r="F241" s="690">
        <f>(AE241*KFC!$B$22+KFC!$C$22)*KFC!$C$5</f>
        <v>126.48057963515377</v>
      </c>
      <c r="G241" s="690">
        <f>(AF241*KFC!$B$22+KFC!$C$22)*KFC!$C$5</f>
        <v>136.13007472126193</v>
      </c>
      <c r="H241" s="690">
        <f>(AG241*KFC!$B$22+KFC!$C$22)*KFC!$C$5</f>
        <v>145.77956980737011</v>
      </c>
      <c r="I241" s="690">
        <f>(AH241*KFC!$B$22+KFC!$C$22)*KFC!$C$5</f>
        <v>155.42906489347826</v>
      </c>
      <c r="J241" s="690">
        <f>(AI241*KFC!$B$22+KFC!$C$22)*KFC!$C$5</f>
        <v>165.07855997958643</v>
      </c>
      <c r="K241" s="690">
        <f>(AJ241*KFC!$B$22+KFC!$C$22)*KFC!$C$5</f>
        <v>174.7280550656946</v>
      </c>
      <c r="L241" s="690">
        <f>(AK241*KFC!$B$22+KFC!$C$22)*KFC!$C$5</f>
        <v>184.37755015180278</v>
      </c>
      <c r="M241" s="690">
        <f>(AL241*KFC!$B$22+KFC!$C$22)*KFC!$C$5</f>
        <v>194.02704523791098</v>
      </c>
      <c r="N241" s="690">
        <f>(AM241*KFC!$B$22+KFC!$C$22)*KFC!$C$5</f>
        <v>203.67654032401916</v>
      </c>
      <c r="O241" s="690">
        <f>(AN241*KFC!$B$22+KFC!$C$22)*KFC!$C$5</f>
        <v>213.32603541012733</v>
      </c>
      <c r="P241" s="690">
        <f>(AO241*KFC!$B$22+KFC!$C$22)*KFC!$C$5</f>
        <v>222.97553049623551</v>
      </c>
      <c r="Q241" s="690">
        <f>(AP241*KFC!$B$22+KFC!$C$22)*KFC!$C$5</f>
        <v>232.62502558234371</v>
      </c>
      <c r="R241" s="690">
        <f>(AQ241*KFC!$B$22+KFC!$C$22)*KFC!$C$5</f>
        <v>242.27452066845188</v>
      </c>
      <c r="S241" s="690">
        <f>(AR241*KFC!$B$22+KFC!$C$22)*KFC!$C$5</f>
        <v>251.92401575456006</v>
      </c>
      <c r="T241" s="690">
        <f>(AS241*KFC!$B$22+KFC!$C$22)*KFC!$C$5</f>
        <v>261.57351084066823</v>
      </c>
      <c r="U241" s="690">
        <f>(AT241*KFC!$B$22+KFC!$C$22)*KFC!$C$5</f>
        <v>271.22300592677641</v>
      </c>
      <c r="V241" s="690">
        <f>(AU241*KFC!$B$22+KFC!$C$22)*KFC!$C$5</f>
        <v>280.87250101288458</v>
      </c>
      <c r="W241" s="690">
        <f>(AV241*KFC!$B$22+KFC!$C$22)*KFC!$C$5</f>
        <v>290.52199609899282</v>
      </c>
      <c r="X241" s="690">
        <f>(AW241*KFC!$B$22+KFC!$C$22)*KFC!$C$5</f>
        <v>300.17149118510099</v>
      </c>
      <c r="Y241" s="690">
        <f>(AX241*KFC!$B$22+KFC!$C$22)*KFC!$C$5</f>
        <v>309.82098627120916</v>
      </c>
      <c r="Z241" s="690">
        <f>(AY241*KFC!$B$22+KFC!$C$22)*KFC!$C$5</f>
        <v>319.47048135731717</v>
      </c>
      <c r="AB241" s="771">
        <v>97.532094376829278</v>
      </c>
      <c r="AC241" s="772">
        <v>107.18158946293745</v>
      </c>
      <c r="AD241" s="772">
        <v>116.83108454904561</v>
      </c>
      <c r="AE241" s="772">
        <v>126.48057963515377</v>
      </c>
      <c r="AF241" s="772">
        <v>136.13007472126193</v>
      </c>
      <c r="AG241" s="772">
        <v>145.77956980737011</v>
      </c>
      <c r="AH241" s="772">
        <v>155.42906489347826</v>
      </c>
      <c r="AI241" s="772">
        <v>165.07855997958643</v>
      </c>
      <c r="AJ241" s="772">
        <v>174.7280550656946</v>
      </c>
      <c r="AK241" s="772">
        <v>184.37755015180278</v>
      </c>
      <c r="AL241" s="772">
        <v>194.02704523791098</v>
      </c>
      <c r="AM241" s="772">
        <v>203.67654032401916</v>
      </c>
      <c r="AN241" s="772">
        <v>213.32603541012733</v>
      </c>
      <c r="AO241" s="772">
        <v>222.97553049623551</v>
      </c>
      <c r="AP241" s="772">
        <v>232.62502558234371</v>
      </c>
      <c r="AQ241" s="772">
        <v>242.27452066845188</v>
      </c>
      <c r="AR241" s="772">
        <v>251.92401575456006</v>
      </c>
      <c r="AS241" s="772">
        <v>261.57351084066823</v>
      </c>
      <c r="AT241" s="772">
        <v>271.22300592677641</v>
      </c>
      <c r="AU241" s="772">
        <v>280.87250101288458</v>
      </c>
      <c r="AV241" s="772">
        <v>290.52199609899282</v>
      </c>
      <c r="AW241" s="772">
        <v>300.17149118510099</v>
      </c>
      <c r="AX241" s="772">
        <v>309.82098627120916</v>
      </c>
      <c r="AY241" s="773">
        <v>319.47048135731717</v>
      </c>
    </row>
    <row r="242" spans="1:51" ht="12.75" customHeight="1">
      <c r="A242" s="1277"/>
      <c r="B242" s="681">
        <v>1.4</v>
      </c>
      <c r="C242" s="690">
        <f>(AB242*KFC!$B$22+KFC!$C$22)*KFC!$C$5</f>
        <v>100.79268494268295</v>
      </c>
      <c r="D242" s="690">
        <f>(AC242*KFC!$B$22+KFC!$C$22)*KFC!$C$5</f>
        <v>110.90752021781552</v>
      </c>
      <c r="E242" s="690">
        <f>(AD242*KFC!$B$22+KFC!$C$22)*KFC!$C$5</f>
        <v>121.02235549294807</v>
      </c>
      <c r="F242" s="690">
        <f>(AE242*KFC!$B$22+KFC!$C$22)*KFC!$C$5</f>
        <v>131.13719076808064</v>
      </c>
      <c r="G242" s="690">
        <f>(AF242*KFC!$B$22+KFC!$C$22)*KFC!$C$5</f>
        <v>141.25202604321319</v>
      </c>
      <c r="H242" s="690">
        <f>(AG242*KFC!$B$22+KFC!$C$22)*KFC!$C$5</f>
        <v>151.36686131834574</v>
      </c>
      <c r="I242" s="690">
        <f>(AH242*KFC!$B$22+KFC!$C$22)*KFC!$C$5</f>
        <v>161.48169659347832</v>
      </c>
      <c r="J242" s="690">
        <f>(AI242*KFC!$B$22+KFC!$C$22)*KFC!$C$5</f>
        <v>171.59653186861087</v>
      </c>
      <c r="K242" s="690">
        <f>(AJ242*KFC!$B$22+KFC!$C$22)*KFC!$C$5</f>
        <v>181.71136714374344</v>
      </c>
      <c r="L242" s="690">
        <f>(AK242*KFC!$B$22+KFC!$C$22)*KFC!$C$5</f>
        <v>191.82620241887599</v>
      </c>
      <c r="M242" s="690">
        <f>(AL242*KFC!$B$22+KFC!$C$22)*KFC!$C$5</f>
        <v>201.94103769400854</v>
      </c>
      <c r="N242" s="690">
        <f>(AM242*KFC!$B$22+KFC!$C$22)*KFC!$C$5</f>
        <v>212.05587296914112</v>
      </c>
      <c r="O242" s="690">
        <f>(AN242*KFC!$B$22+KFC!$C$22)*KFC!$C$5</f>
        <v>222.17070824427367</v>
      </c>
      <c r="P242" s="690">
        <f>(AO242*KFC!$B$22+KFC!$C$22)*KFC!$C$5</f>
        <v>232.28554351940625</v>
      </c>
      <c r="Q242" s="690">
        <f>(AP242*KFC!$B$22+KFC!$C$22)*KFC!$C$5</f>
        <v>242.4003787945388</v>
      </c>
      <c r="R242" s="690">
        <f>(AQ242*KFC!$B$22+KFC!$C$22)*KFC!$C$5</f>
        <v>252.51521406967134</v>
      </c>
      <c r="S242" s="690">
        <f>(AR242*KFC!$B$22+KFC!$C$22)*KFC!$C$5</f>
        <v>262.63004934480392</v>
      </c>
      <c r="T242" s="690">
        <f>(AS242*KFC!$B$22+KFC!$C$22)*KFC!$C$5</f>
        <v>272.7448846199365</v>
      </c>
      <c r="U242" s="690">
        <f>(AT242*KFC!$B$22+KFC!$C$22)*KFC!$C$5</f>
        <v>282.85971989506902</v>
      </c>
      <c r="V242" s="690">
        <f>(AU242*KFC!$B$22+KFC!$C$22)*KFC!$C$5</f>
        <v>292.9745551702016</v>
      </c>
      <c r="W242" s="690">
        <f>(AV242*KFC!$B$22+KFC!$C$22)*KFC!$C$5</f>
        <v>303.08939044533417</v>
      </c>
      <c r="X242" s="690">
        <f>(AW242*KFC!$B$22+KFC!$C$22)*KFC!$C$5</f>
        <v>313.2042257204667</v>
      </c>
      <c r="Y242" s="690">
        <f>(AX242*KFC!$B$22+KFC!$C$22)*KFC!$C$5</f>
        <v>323.31906099559927</v>
      </c>
      <c r="Z242" s="690">
        <f>(AY242*KFC!$B$22+KFC!$C$22)*KFC!$C$5</f>
        <v>333.43389627073185</v>
      </c>
      <c r="AB242" s="771">
        <v>100.79268494268295</v>
      </c>
      <c r="AC242" s="772">
        <v>110.90752021781552</v>
      </c>
      <c r="AD242" s="772">
        <v>121.02235549294807</v>
      </c>
      <c r="AE242" s="772">
        <v>131.13719076808064</v>
      </c>
      <c r="AF242" s="772">
        <v>141.25202604321319</v>
      </c>
      <c r="AG242" s="772">
        <v>151.36686131834574</v>
      </c>
      <c r="AH242" s="772">
        <v>161.48169659347832</v>
      </c>
      <c r="AI242" s="772">
        <v>171.59653186861087</v>
      </c>
      <c r="AJ242" s="772">
        <v>181.71136714374344</v>
      </c>
      <c r="AK242" s="772">
        <v>191.82620241887599</v>
      </c>
      <c r="AL242" s="772">
        <v>201.94103769400854</v>
      </c>
      <c r="AM242" s="772">
        <v>212.05587296914112</v>
      </c>
      <c r="AN242" s="772">
        <v>222.17070824427367</v>
      </c>
      <c r="AO242" s="772">
        <v>232.28554351940625</v>
      </c>
      <c r="AP242" s="772">
        <v>242.4003787945388</v>
      </c>
      <c r="AQ242" s="772">
        <v>252.51521406967134</v>
      </c>
      <c r="AR242" s="772">
        <v>262.63004934480392</v>
      </c>
      <c r="AS242" s="772">
        <v>272.7448846199365</v>
      </c>
      <c r="AT242" s="772">
        <v>282.85971989506902</v>
      </c>
      <c r="AU242" s="772">
        <v>292.9745551702016</v>
      </c>
      <c r="AV242" s="772">
        <v>303.08939044533417</v>
      </c>
      <c r="AW242" s="772">
        <v>313.2042257204667</v>
      </c>
      <c r="AX242" s="772">
        <v>323.31906099559927</v>
      </c>
      <c r="AY242" s="773">
        <v>333.43389627073185</v>
      </c>
    </row>
    <row r="243" spans="1:51" ht="12.75" customHeight="1">
      <c r="A243" s="1277"/>
      <c r="B243" s="681">
        <v>1.5</v>
      </c>
      <c r="C243" s="690">
        <f>(AB243*KFC!$B$22+KFC!$C$22)*KFC!$C$5</f>
        <v>104.05327550853661</v>
      </c>
      <c r="D243" s="690">
        <f>(AC243*KFC!$B$22+KFC!$C$22)*KFC!$C$5</f>
        <v>114.63345097269357</v>
      </c>
      <c r="E243" s="690">
        <f>(AD243*KFC!$B$22+KFC!$C$22)*KFC!$C$5</f>
        <v>125.21362643685052</v>
      </c>
      <c r="F243" s="690">
        <f>(AE243*KFC!$B$22+KFC!$C$22)*KFC!$C$5</f>
        <v>135.79380190100744</v>
      </c>
      <c r="G243" s="690">
        <f>(AF243*KFC!$B$22+KFC!$C$22)*KFC!$C$5</f>
        <v>146.37397736516439</v>
      </c>
      <c r="H243" s="690">
        <f>(AG243*KFC!$B$22+KFC!$C$22)*KFC!$C$5</f>
        <v>156.95415282932132</v>
      </c>
      <c r="I243" s="690">
        <f>(AH243*KFC!$B$22+KFC!$C$22)*KFC!$C$5</f>
        <v>167.53432829347827</v>
      </c>
      <c r="J243" s="690">
        <f>(AI243*KFC!$B$22+KFC!$C$22)*KFC!$C$5</f>
        <v>178.11450375763522</v>
      </c>
      <c r="K243" s="690">
        <f>(AJ243*KFC!$B$22+KFC!$C$22)*KFC!$C$5</f>
        <v>188.69467922179214</v>
      </c>
      <c r="L243" s="690">
        <f>(AK243*KFC!$B$22+KFC!$C$22)*KFC!$C$5</f>
        <v>199.27485468594909</v>
      </c>
      <c r="M243" s="690">
        <f>(AL243*KFC!$B$22+KFC!$C$22)*KFC!$C$5</f>
        <v>209.85503015010602</v>
      </c>
      <c r="N243" s="690">
        <f>(AM243*KFC!$B$22+KFC!$C$22)*KFC!$C$5</f>
        <v>220.43520561426297</v>
      </c>
      <c r="O243" s="690">
        <f>(AN243*KFC!$B$22+KFC!$C$22)*KFC!$C$5</f>
        <v>231.01538107841989</v>
      </c>
      <c r="P243" s="690">
        <f>(AO243*KFC!$B$22+KFC!$C$22)*KFC!$C$5</f>
        <v>241.59555654257684</v>
      </c>
      <c r="Q243" s="690">
        <f>(AP243*KFC!$B$22+KFC!$C$22)*KFC!$C$5</f>
        <v>252.17573200673377</v>
      </c>
      <c r="R243" s="690">
        <f>(AQ243*KFC!$B$22+KFC!$C$22)*KFC!$C$5</f>
        <v>262.75590747089069</v>
      </c>
      <c r="S243" s="690">
        <f>(AR243*KFC!$B$22+KFC!$C$22)*KFC!$C$5</f>
        <v>273.33608293504767</v>
      </c>
      <c r="T243" s="690">
        <f>(AS243*KFC!$B$22+KFC!$C$22)*KFC!$C$5</f>
        <v>283.91625839920459</v>
      </c>
      <c r="U243" s="690">
        <f>(AT243*KFC!$B$22+KFC!$C$22)*KFC!$C$5</f>
        <v>294.49643386336152</v>
      </c>
      <c r="V243" s="690">
        <f>(AU243*KFC!$B$22+KFC!$C$22)*KFC!$C$5</f>
        <v>305.0766093275185</v>
      </c>
      <c r="W243" s="690">
        <f>(AV243*KFC!$B$22+KFC!$C$22)*KFC!$C$5</f>
        <v>315.65678479167542</v>
      </c>
      <c r="X243" s="690">
        <f>(AW243*KFC!$B$22+KFC!$C$22)*KFC!$C$5</f>
        <v>326.23696025583234</v>
      </c>
      <c r="Y243" s="690">
        <f>(AX243*KFC!$B$22+KFC!$C$22)*KFC!$C$5</f>
        <v>336.81713571998927</v>
      </c>
      <c r="Z243" s="690">
        <f>(AY243*KFC!$B$22+KFC!$C$22)*KFC!$C$5</f>
        <v>347.39731118414647</v>
      </c>
      <c r="AB243" s="771">
        <v>104.05327550853661</v>
      </c>
      <c r="AC243" s="772">
        <v>114.63345097269357</v>
      </c>
      <c r="AD243" s="772">
        <v>125.21362643685052</v>
      </c>
      <c r="AE243" s="772">
        <v>135.79380190100744</v>
      </c>
      <c r="AF243" s="772">
        <v>146.37397736516439</v>
      </c>
      <c r="AG243" s="772">
        <v>156.95415282932132</v>
      </c>
      <c r="AH243" s="772">
        <v>167.53432829347827</v>
      </c>
      <c r="AI243" s="772">
        <v>178.11450375763522</v>
      </c>
      <c r="AJ243" s="772">
        <v>188.69467922179214</v>
      </c>
      <c r="AK243" s="772">
        <v>199.27485468594909</v>
      </c>
      <c r="AL243" s="772">
        <v>209.85503015010602</v>
      </c>
      <c r="AM243" s="772">
        <v>220.43520561426297</v>
      </c>
      <c r="AN243" s="772">
        <v>231.01538107841989</v>
      </c>
      <c r="AO243" s="772">
        <v>241.59555654257684</v>
      </c>
      <c r="AP243" s="772">
        <v>252.17573200673377</v>
      </c>
      <c r="AQ243" s="772">
        <v>262.75590747089069</v>
      </c>
      <c r="AR243" s="772">
        <v>273.33608293504767</v>
      </c>
      <c r="AS243" s="772">
        <v>283.91625839920459</v>
      </c>
      <c r="AT243" s="772">
        <v>294.49643386336152</v>
      </c>
      <c r="AU243" s="772">
        <v>305.0766093275185</v>
      </c>
      <c r="AV243" s="772">
        <v>315.65678479167542</v>
      </c>
      <c r="AW243" s="772">
        <v>326.23696025583234</v>
      </c>
      <c r="AX243" s="772">
        <v>336.81713571998927</v>
      </c>
      <c r="AY243" s="773">
        <v>347.39731118414647</v>
      </c>
    </row>
    <row r="244" spans="1:51" ht="12.75" customHeight="1">
      <c r="A244" s="1277"/>
      <c r="B244" s="681">
        <v>1.6</v>
      </c>
      <c r="C244" s="690">
        <f>(AB244*KFC!$B$22+KFC!$C$22)*KFC!$C$5</f>
        <v>107.31386607439028</v>
      </c>
      <c r="D244" s="690">
        <f>(AC244*KFC!$B$22+KFC!$C$22)*KFC!$C$5</f>
        <v>118.35938172757162</v>
      </c>
      <c r="E244" s="690">
        <f>(AD244*KFC!$B$22+KFC!$C$22)*KFC!$C$5</f>
        <v>129.40489738075294</v>
      </c>
      <c r="F244" s="690">
        <f>(AE244*KFC!$B$22+KFC!$C$22)*KFC!$C$5</f>
        <v>140.4504130339343</v>
      </c>
      <c r="G244" s="690">
        <f>(AF244*KFC!$B$22+KFC!$C$22)*KFC!$C$5</f>
        <v>151.49592868711562</v>
      </c>
      <c r="H244" s="690">
        <f>(AG244*KFC!$B$22+KFC!$C$22)*KFC!$C$5</f>
        <v>162.54144434029695</v>
      </c>
      <c r="I244" s="690">
        <f>(AH244*KFC!$B$22+KFC!$C$22)*KFC!$C$5</f>
        <v>173.5869599934783</v>
      </c>
      <c r="J244" s="690">
        <f>(AI244*KFC!$B$22+KFC!$C$22)*KFC!$C$5</f>
        <v>184.63247564665966</v>
      </c>
      <c r="K244" s="690">
        <f>(AJ244*KFC!$B$22+KFC!$C$22)*KFC!$C$5</f>
        <v>195.67799129984101</v>
      </c>
      <c r="L244" s="690">
        <f>(AK244*KFC!$B$22+KFC!$C$22)*KFC!$C$5</f>
        <v>206.72350695302237</v>
      </c>
      <c r="M244" s="690">
        <f>(AL244*KFC!$B$22+KFC!$C$22)*KFC!$C$5</f>
        <v>217.76902260620372</v>
      </c>
      <c r="N244" s="690">
        <f>(AM244*KFC!$B$22+KFC!$C$22)*KFC!$C$5</f>
        <v>228.81453825938507</v>
      </c>
      <c r="O244" s="690">
        <f>(AN244*KFC!$B$22+KFC!$C$22)*KFC!$C$5</f>
        <v>239.86005391256643</v>
      </c>
      <c r="P244" s="690">
        <f>(AO244*KFC!$B$22+KFC!$C$22)*KFC!$C$5</f>
        <v>250.90556956574778</v>
      </c>
      <c r="Q244" s="690">
        <f>(AP244*KFC!$B$22+KFC!$C$22)*KFC!$C$5</f>
        <v>261.95108521892911</v>
      </c>
      <c r="R244" s="690">
        <f>(AQ244*KFC!$B$22+KFC!$C$22)*KFC!$C$5</f>
        <v>272.99660087211049</v>
      </c>
      <c r="S244" s="690">
        <f>(AR244*KFC!$B$22+KFC!$C$22)*KFC!$C$5</f>
        <v>284.04211652529182</v>
      </c>
      <c r="T244" s="690">
        <f>(AS244*KFC!$B$22+KFC!$C$22)*KFC!$C$5</f>
        <v>295.0876321784732</v>
      </c>
      <c r="U244" s="690">
        <f>(AT244*KFC!$B$22+KFC!$C$22)*KFC!$C$5</f>
        <v>306.13314783165453</v>
      </c>
      <c r="V244" s="690">
        <f>(AU244*KFC!$B$22+KFC!$C$22)*KFC!$C$5</f>
        <v>317.17866348483591</v>
      </c>
      <c r="W244" s="690">
        <f>(AV244*KFC!$B$22+KFC!$C$22)*KFC!$C$5</f>
        <v>328.22417913801723</v>
      </c>
      <c r="X244" s="690">
        <f>(AW244*KFC!$B$22+KFC!$C$22)*KFC!$C$5</f>
        <v>339.26969479119862</v>
      </c>
      <c r="Y244" s="690">
        <f>(AX244*KFC!$B$22+KFC!$C$22)*KFC!$C$5</f>
        <v>350.31521044437994</v>
      </c>
      <c r="Z244" s="690">
        <f>(AY244*KFC!$B$22+KFC!$C$22)*KFC!$C$5</f>
        <v>361.3607260975611</v>
      </c>
      <c r="AB244" s="771">
        <v>107.31386607439028</v>
      </c>
      <c r="AC244" s="772">
        <v>118.35938172757162</v>
      </c>
      <c r="AD244" s="772">
        <v>129.40489738075294</v>
      </c>
      <c r="AE244" s="772">
        <v>140.4504130339343</v>
      </c>
      <c r="AF244" s="772">
        <v>151.49592868711562</v>
      </c>
      <c r="AG244" s="772">
        <v>162.54144434029695</v>
      </c>
      <c r="AH244" s="772">
        <v>173.5869599934783</v>
      </c>
      <c r="AI244" s="772">
        <v>184.63247564665966</v>
      </c>
      <c r="AJ244" s="772">
        <v>195.67799129984101</v>
      </c>
      <c r="AK244" s="772">
        <v>206.72350695302237</v>
      </c>
      <c r="AL244" s="772">
        <v>217.76902260620372</v>
      </c>
      <c r="AM244" s="772">
        <v>228.81453825938507</v>
      </c>
      <c r="AN244" s="772">
        <v>239.86005391256643</v>
      </c>
      <c r="AO244" s="772">
        <v>250.90556956574778</v>
      </c>
      <c r="AP244" s="772">
        <v>261.95108521892911</v>
      </c>
      <c r="AQ244" s="772">
        <v>272.99660087211049</v>
      </c>
      <c r="AR244" s="772">
        <v>284.04211652529182</v>
      </c>
      <c r="AS244" s="772">
        <v>295.0876321784732</v>
      </c>
      <c r="AT244" s="772">
        <v>306.13314783165453</v>
      </c>
      <c r="AU244" s="772">
        <v>317.17866348483591</v>
      </c>
      <c r="AV244" s="772">
        <v>328.22417913801723</v>
      </c>
      <c r="AW244" s="772">
        <v>339.26969479119862</v>
      </c>
      <c r="AX244" s="772">
        <v>350.31521044437994</v>
      </c>
      <c r="AY244" s="773">
        <v>361.3607260975611</v>
      </c>
    </row>
    <row r="245" spans="1:51" ht="12.75" customHeight="1">
      <c r="A245" s="1277"/>
      <c r="B245" s="681">
        <v>1.7</v>
      </c>
      <c r="C245" s="690">
        <f>(AB245*KFC!$B$22+KFC!$C$22)*KFC!$C$5</f>
        <v>110.57445664024395</v>
      </c>
      <c r="D245" s="690">
        <f>(AC245*KFC!$B$22+KFC!$C$22)*KFC!$C$5</f>
        <v>122.08531248244968</v>
      </c>
      <c r="E245" s="690">
        <f>(AD245*KFC!$B$22+KFC!$C$22)*KFC!$C$5</f>
        <v>133.59616832465542</v>
      </c>
      <c r="F245" s="690">
        <f>(AE245*KFC!$B$22+KFC!$C$22)*KFC!$C$5</f>
        <v>145.10702416686115</v>
      </c>
      <c r="G245" s="690">
        <f>(AF245*KFC!$B$22+KFC!$C$22)*KFC!$C$5</f>
        <v>156.61788000906688</v>
      </c>
      <c r="H245" s="690">
        <f>(AG245*KFC!$B$22+KFC!$C$22)*KFC!$C$5</f>
        <v>168.12873585127261</v>
      </c>
      <c r="I245" s="690">
        <f>(AH245*KFC!$B$22+KFC!$C$22)*KFC!$C$5</f>
        <v>179.63959169347834</v>
      </c>
      <c r="J245" s="690">
        <f>(AI245*KFC!$B$22+KFC!$C$22)*KFC!$C$5</f>
        <v>191.15044753568407</v>
      </c>
      <c r="K245" s="690">
        <f>(AJ245*KFC!$B$22+KFC!$C$22)*KFC!$C$5</f>
        <v>202.66130337788979</v>
      </c>
      <c r="L245" s="690">
        <f>(AK245*KFC!$B$22+KFC!$C$22)*KFC!$C$5</f>
        <v>214.17215922009552</v>
      </c>
      <c r="M245" s="690">
        <f>(AL245*KFC!$B$22+KFC!$C$22)*KFC!$C$5</f>
        <v>225.68301506230125</v>
      </c>
      <c r="N245" s="690">
        <f>(AM245*KFC!$B$22+KFC!$C$22)*KFC!$C$5</f>
        <v>237.19387090450698</v>
      </c>
      <c r="O245" s="690">
        <f>(AN245*KFC!$B$22+KFC!$C$22)*KFC!$C$5</f>
        <v>248.70472674671274</v>
      </c>
      <c r="P245" s="690">
        <f>(AO245*KFC!$B$22+KFC!$C$22)*KFC!$C$5</f>
        <v>260.21558258891844</v>
      </c>
      <c r="Q245" s="690">
        <f>(AP245*KFC!$B$22+KFC!$C$22)*KFC!$C$5</f>
        <v>271.72643843112417</v>
      </c>
      <c r="R245" s="690">
        <f>(AQ245*KFC!$B$22+KFC!$C$22)*KFC!$C$5</f>
        <v>283.23729427332989</v>
      </c>
      <c r="S245" s="690">
        <f>(AR245*KFC!$B$22+KFC!$C$22)*KFC!$C$5</f>
        <v>294.74815011553568</v>
      </c>
      <c r="T245" s="690">
        <f>(AS245*KFC!$B$22+KFC!$C$22)*KFC!$C$5</f>
        <v>306.25900595774141</v>
      </c>
      <c r="U245" s="690">
        <f>(AT245*KFC!$B$22+KFC!$C$22)*KFC!$C$5</f>
        <v>317.76986179994714</v>
      </c>
      <c r="V245" s="690">
        <f>(AU245*KFC!$B$22+KFC!$C$22)*KFC!$C$5</f>
        <v>329.28071764215287</v>
      </c>
      <c r="W245" s="690">
        <f>(AV245*KFC!$B$22+KFC!$C$22)*KFC!$C$5</f>
        <v>340.79157348435859</v>
      </c>
      <c r="X245" s="690">
        <f>(AW245*KFC!$B$22+KFC!$C$22)*KFC!$C$5</f>
        <v>352.30242932656427</v>
      </c>
      <c r="Y245" s="690">
        <f>(AX245*KFC!$B$22+KFC!$C$22)*KFC!$C$5</f>
        <v>363.81328516876999</v>
      </c>
      <c r="Z245" s="690">
        <f>(AY245*KFC!$B$22+KFC!$C$22)*KFC!$C$5</f>
        <v>375.32414101097572</v>
      </c>
      <c r="AB245" s="771">
        <v>110.57445664024395</v>
      </c>
      <c r="AC245" s="772">
        <v>122.08531248244968</v>
      </c>
      <c r="AD245" s="772">
        <v>133.59616832465542</v>
      </c>
      <c r="AE245" s="772">
        <v>145.10702416686115</v>
      </c>
      <c r="AF245" s="772">
        <v>156.61788000906688</v>
      </c>
      <c r="AG245" s="772">
        <v>168.12873585127261</v>
      </c>
      <c r="AH245" s="772">
        <v>179.63959169347834</v>
      </c>
      <c r="AI245" s="772">
        <v>191.15044753568407</v>
      </c>
      <c r="AJ245" s="772">
        <v>202.66130337788979</v>
      </c>
      <c r="AK245" s="772">
        <v>214.17215922009552</v>
      </c>
      <c r="AL245" s="772">
        <v>225.68301506230125</v>
      </c>
      <c r="AM245" s="772">
        <v>237.19387090450698</v>
      </c>
      <c r="AN245" s="772">
        <v>248.70472674671274</v>
      </c>
      <c r="AO245" s="772">
        <v>260.21558258891844</v>
      </c>
      <c r="AP245" s="772">
        <v>271.72643843112417</v>
      </c>
      <c r="AQ245" s="772">
        <v>283.23729427332989</v>
      </c>
      <c r="AR245" s="772">
        <v>294.74815011553568</v>
      </c>
      <c r="AS245" s="772">
        <v>306.25900595774141</v>
      </c>
      <c r="AT245" s="772">
        <v>317.76986179994714</v>
      </c>
      <c r="AU245" s="772">
        <v>329.28071764215287</v>
      </c>
      <c r="AV245" s="772">
        <v>340.79157348435859</v>
      </c>
      <c r="AW245" s="772">
        <v>352.30242932656427</v>
      </c>
      <c r="AX245" s="772">
        <v>363.81328516876999</v>
      </c>
      <c r="AY245" s="773">
        <v>375.32414101097572</v>
      </c>
    </row>
    <row r="246" spans="1:51" ht="12.75" customHeight="1">
      <c r="A246" s="1277"/>
      <c r="B246" s="681">
        <v>1.8</v>
      </c>
      <c r="C246" s="690">
        <f>(AB246*KFC!$B$22+KFC!$C$22)*KFC!$C$5</f>
        <v>113.83504720609761</v>
      </c>
      <c r="D246" s="690">
        <f>(AC246*KFC!$B$22+KFC!$C$22)*KFC!$C$5</f>
        <v>125.81124323732773</v>
      </c>
      <c r="E246" s="690">
        <f>(AD246*KFC!$B$22+KFC!$C$22)*KFC!$C$5</f>
        <v>137.78743926855785</v>
      </c>
      <c r="F246" s="690">
        <f>(AE246*KFC!$B$22+KFC!$C$22)*KFC!$C$5</f>
        <v>149.76363529978795</v>
      </c>
      <c r="G246" s="690">
        <f>(AF246*KFC!$B$22+KFC!$C$22)*KFC!$C$5</f>
        <v>161.73983133101805</v>
      </c>
      <c r="H246" s="690">
        <f>(AG246*KFC!$B$22+KFC!$C$22)*KFC!$C$5</f>
        <v>173.71602736224818</v>
      </c>
      <c r="I246" s="690">
        <f>(AH246*KFC!$B$22+KFC!$C$22)*KFC!$C$5</f>
        <v>185.69222339347829</v>
      </c>
      <c r="J246" s="690">
        <f>(AI246*KFC!$B$22+KFC!$C$22)*KFC!$C$5</f>
        <v>197.66841942470839</v>
      </c>
      <c r="K246" s="690">
        <f>(AJ246*KFC!$B$22+KFC!$C$22)*KFC!$C$5</f>
        <v>209.64461545593849</v>
      </c>
      <c r="L246" s="690">
        <f>(AK246*KFC!$B$22+KFC!$C$22)*KFC!$C$5</f>
        <v>221.62081148716862</v>
      </c>
      <c r="M246" s="690">
        <f>(AL246*KFC!$B$22+KFC!$C$22)*KFC!$C$5</f>
        <v>233.59700751839873</v>
      </c>
      <c r="N246" s="690">
        <f>(AM246*KFC!$B$22+KFC!$C$22)*KFC!$C$5</f>
        <v>245.57320354962883</v>
      </c>
      <c r="O246" s="690">
        <f>(AN246*KFC!$B$22+KFC!$C$22)*KFC!$C$5</f>
        <v>257.54939958085896</v>
      </c>
      <c r="P246" s="690">
        <f>(AO246*KFC!$B$22+KFC!$C$22)*KFC!$C$5</f>
        <v>269.52559561208903</v>
      </c>
      <c r="Q246" s="690">
        <f>(AP246*KFC!$B$22+KFC!$C$22)*KFC!$C$5</f>
        <v>281.50179164331917</v>
      </c>
      <c r="R246" s="690">
        <f>(AQ246*KFC!$B$22+KFC!$C$22)*KFC!$C$5</f>
        <v>293.4779876745493</v>
      </c>
      <c r="S246" s="690">
        <f>(AR246*KFC!$B$22+KFC!$C$22)*KFC!$C$5</f>
        <v>305.45418370577937</v>
      </c>
      <c r="T246" s="690">
        <f>(AS246*KFC!$B$22+KFC!$C$22)*KFC!$C$5</f>
        <v>317.4303797370095</v>
      </c>
      <c r="U246" s="690">
        <f>(AT246*KFC!$B$22+KFC!$C$22)*KFC!$C$5</f>
        <v>329.40657576823963</v>
      </c>
      <c r="V246" s="690">
        <f>(AU246*KFC!$B$22+KFC!$C$22)*KFC!$C$5</f>
        <v>341.38277179946971</v>
      </c>
      <c r="W246" s="690">
        <f>(AV246*KFC!$B$22+KFC!$C$22)*KFC!$C$5</f>
        <v>353.35896783069984</v>
      </c>
      <c r="X246" s="690">
        <f>(AW246*KFC!$B$22+KFC!$C$22)*KFC!$C$5</f>
        <v>365.33516386192997</v>
      </c>
      <c r="Y246" s="690">
        <f>(AX246*KFC!$B$22+KFC!$C$22)*KFC!$C$5</f>
        <v>377.31135989316004</v>
      </c>
      <c r="Z246" s="690">
        <f>(AY246*KFC!$B$22+KFC!$C$22)*KFC!$C$5</f>
        <v>389.2875559243904</v>
      </c>
      <c r="AB246" s="771">
        <v>113.83504720609761</v>
      </c>
      <c r="AC246" s="772">
        <v>125.81124323732773</v>
      </c>
      <c r="AD246" s="772">
        <v>137.78743926855785</v>
      </c>
      <c r="AE246" s="772">
        <v>149.76363529978795</v>
      </c>
      <c r="AF246" s="772">
        <v>161.73983133101805</v>
      </c>
      <c r="AG246" s="772">
        <v>173.71602736224818</v>
      </c>
      <c r="AH246" s="772">
        <v>185.69222339347829</v>
      </c>
      <c r="AI246" s="772">
        <v>197.66841942470839</v>
      </c>
      <c r="AJ246" s="772">
        <v>209.64461545593849</v>
      </c>
      <c r="AK246" s="772">
        <v>221.62081148716862</v>
      </c>
      <c r="AL246" s="772">
        <v>233.59700751839873</v>
      </c>
      <c r="AM246" s="772">
        <v>245.57320354962883</v>
      </c>
      <c r="AN246" s="772">
        <v>257.54939958085896</v>
      </c>
      <c r="AO246" s="772">
        <v>269.52559561208903</v>
      </c>
      <c r="AP246" s="772">
        <v>281.50179164331917</v>
      </c>
      <c r="AQ246" s="772">
        <v>293.4779876745493</v>
      </c>
      <c r="AR246" s="772">
        <v>305.45418370577937</v>
      </c>
      <c r="AS246" s="772">
        <v>317.4303797370095</v>
      </c>
      <c r="AT246" s="772">
        <v>329.40657576823963</v>
      </c>
      <c r="AU246" s="772">
        <v>341.38277179946971</v>
      </c>
      <c r="AV246" s="772">
        <v>353.35896783069984</v>
      </c>
      <c r="AW246" s="772">
        <v>365.33516386192997</v>
      </c>
      <c r="AX246" s="772">
        <v>377.31135989316004</v>
      </c>
      <c r="AY246" s="773">
        <v>389.2875559243904</v>
      </c>
    </row>
    <row r="247" spans="1:51" ht="12.75" customHeight="1">
      <c r="A247" s="1277"/>
      <c r="B247" s="681">
        <v>1.9</v>
      </c>
      <c r="C247" s="690">
        <f>(AB247*KFC!$B$22+KFC!$C$22)*KFC!$C$5</f>
        <v>117.09563777195127</v>
      </c>
      <c r="D247" s="690">
        <f>(AC247*KFC!$B$22+KFC!$C$22)*KFC!$C$5</f>
        <v>129.53717399220579</v>
      </c>
      <c r="E247" s="690">
        <f>(AD247*KFC!$B$22+KFC!$C$22)*KFC!$C$5</f>
        <v>141.9787102124603</v>
      </c>
      <c r="F247" s="690">
        <f>(AE247*KFC!$B$22+KFC!$C$22)*KFC!$C$5</f>
        <v>154.4202464327148</v>
      </c>
      <c r="G247" s="690">
        <f>(AF247*KFC!$B$22+KFC!$C$22)*KFC!$C$5</f>
        <v>166.86178265296931</v>
      </c>
      <c r="H247" s="690">
        <f>(AG247*KFC!$B$22+KFC!$C$22)*KFC!$C$5</f>
        <v>179.30331887322382</v>
      </c>
      <c r="I247" s="690">
        <f>(AH247*KFC!$B$22+KFC!$C$22)*KFC!$C$5</f>
        <v>191.74485509347835</v>
      </c>
      <c r="J247" s="690">
        <f>(AI247*KFC!$B$22+KFC!$C$22)*KFC!$C$5</f>
        <v>204.18639131373288</v>
      </c>
      <c r="K247" s="690">
        <f>(AJ247*KFC!$B$22+KFC!$C$22)*KFC!$C$5</f>
        <v>216.62792753398739</v>
      </c>
      <c r="L247" s="690">
        <f>(AK247*KFC!$B$22+KFC!$C$22)*KFC!$C$5</f>
        <v>229.06946375424192</v>
      </c>
      <c r="M247" s="690">
        <f>(AL247*KFC!$B$22+KFC!$C$22)*KFC!$C$5</f>
        <v>241.51099997449646</v>
      </c>
      <c r="N247" s="690">
        <f>(AM247*KFC!$B$22+KFC!$C$22)*KFC!$C$5</f>
        <v>253.95253619475099</v>
      </c>
      <c r="O247" s="690">
        <f>(AN247*KFC!$B$22+KFC!$C$22)*KFC!$C$5</f>
        <v>266.3940724150055</v>
      </c>
      <c r="P247" s="690">
        <f>(AO247*KFC!$B$22+KFC!$C$22)*KFC!$C$5</f>
        <v>278.83560863526003</v>
      </c>
      <c r="Q247" s="690">
        <f>(AP247*KFC!$B$22+KFC!$C$22)*KFC!$C$5</f>
        <v>291.27714485551456</v>
      </c>
      <c r="R247" s="690">
        <f>(AQ247*KFC!$B$22+KFC!$C$22)*KFC!$C$5</f>
        <v>303.7186810757691</v>
      </c>
      <c r="S247" s="690">
        <f>(AR247*KFC!$B$22+KFC!$C$22)*KFC!$C$5</f>
        <v>316.16021729602363</v>
      </c>
      <c r="T247" s="690">
        <f>(AS247*KFC!$B$22+KFC!$C$22)*KFC!$C$5</f>
        <v>328.60175351627817</v>
      </c>
      <c r="U247" s="690">
        <f>(AT247*KFC!$B$22+KFC!$C$22)*KFC!$C$5</f>
        <v>341.04328973653264</v>
      </c>
      <c r="V247" s="690">
        <f>(AU247*KFC!$B$22+KFC!$C$22)*KFC!$C$5</f>
        <v>353.48482595678718</v>
      </c>
      <c r="W247" s="690">
        <f>(AV247*KFC!$B$22+KFC!$C$22)*KFC!$C$5</f>
        <v>365.92636217704171</v>
      </c>
      <c r="X247" s="690">
        <f>(AW247*KFC!$B$22+KFC!$C$22)*KFC!$C$5</f>
        <v>378.36789839729624</v>
      </c>
      <c r="Y247" s="690">
        <f>(AX247*KFC!$B$22+KFC!$C$22)*KFC!$C$5</f>
        <v>390.80943461755072</v>
      </c>
      <c r="Z247" s="690">
        <f>(AY247*KFC!$B$22+KFC!$C$22)*KFC!$C$5</f>
        <v>403.25097083780503</v>
      </c>
      <c r="AB247" s="771">
        <v>117.09563777195127</v>
      </c>
      <c r="AC247" s="772">
        <v>129.53717399220579</v>
      </c>
      <c r="AD247" s="772">
        <v>141.9787102124603</v>
      </c>
      <c r="AE247" s="772">
        <v>154.4202464327148</v>
      </c>
      <c r="AF247" s="772">
        <v>166.86178265296931</v>
      </c>
      <c r="AG247" s="772">
        <v>179.30331887322382</v>
      </c>
      <c r="AH247" s="772">
        <v>191.74485509347835</v>
      </c>
      <c r="AI247" s="772">
        <v>204.18639131373288</v>
      </c>
      <c r="AJ247" s="772">
        <v>216.62792753398739</v>
      </c>
      <c r="AK247" s="772">
        <v>229.06946375424192</v>
      </c>
      <c r="AL247" s="772">
        <v>241.51099997449646</v>
      </c>
      <c r="AM247" s="772">
        <v>253.95253619475099</v>
      </c>
      <c r="AN247" s="772">
        <v>266.3940724150055</v>
      </c>
      <c r="AO247" s="772">
        <v>278.83560863526003</v>
      </c>
      <c r="AP247" s="772">
        <v>291.27714485551456</v>
      </c>
      <c r="AQ247" s="772">
        <v>303.7186810757691</v>
      </c>
      <c r="AR247" s="772">
        <v>316.16021729602363</v>
      </c>
      <c r="AS247" s="772">
        <v>328.60175351627817</v>
      </c>
      <c r="AT247" s="772">
        <v>341.04328973653264</v>
      </c>
      <c r="AU247" s="772">
        <v>353.48482595678718</v>
      </c>
      <c r="AV247" s="772">
        <v>365.92636217704171</v>
      </c>
      <c r="AW247" s="772">
        <v>378.36789839729624</v>
      </c>
      <c r="AX247" s="772">
        <v>390.80943461755072</v>
      </c>
      <c r="AY247" s="773">
        <v>403.25097083780503</v>
      </c>
    </row>
    <row r="248" spans="1:51" ht="12.75" customHeight="1">
      <c r="A248" s="1277"/>
      <c r="B248" s="681">
        <v>2</v>
      </c>
      <c r="C248" s="690">
        <f>(AB248*KFC!$B$22+KFC!$C$22)*KFC!$C$5</f>
        <v>120.35622833780495</v>
      </c>
      <c r="D248" s="690">
        <f>(AC248*KFC!$B$22+KFC!$C$22)*KFC!$C$5</f>
        <v>133.26310474708384</v>
      </c>
      <c r="E248" s="690">
        <f>(AD248*KFC!$B$22+KFC!$C$22)*KFC!$C$5</f>
        <v>146.16998115636275</v>
      </c>
      <c r="F248" s="690">
        <f>(AE248*KFC!$B$22+KFC!$C$22)*KFC!$C$5</f>
        <v>159.07685756564166</v>
      </c>
      <c r="G248" s="690">
        <f>(AF248*KFC!$B$22+KFC!$C$22)*KFC!$C$5</f>
        <v>171.98373397492057</v>
      </c>
      <c r="H248" s="690">
        <f>(AG248*KFC!$B$22+KFC!$C$22)*KFC!$C$5</f>
        <v>184.89061038419948</v>
      </c>
      <c r="I248" s="690">
        <f>(AH248*KFC!$B$22+KFC!$C$22)*KFC!$C$5</f>
        <v>197.79748679347838</v>
      </c>
      <c r="J248" s="690">
        <f>(AI248*KFC!$B$22+KFC!$C$22)*KFC!$C$5</f>
        <v>210.70436320275729</v>
      </c>
      <c r="K248" s="690">
        <f>(AJ248*KFC!$B$22+KFC!$C$22)*KFC!$C$5</f>
        <v>223.6112396120362</v>
      </c>
      <c r="L248" s="690">
        <f>(AK248*KFC!$B$22+KFC!$C$22)*KFC!$C$5</f>
        <v>236.51811602131508</v>
      </c>
      <c r="M248" s="690">
        <f>(AL248*KFC!$B$22+KFC!$C$22)*KFC!$C$5</f>
        <v>249.42499243059399</v>
      </c>
      <c r="N248" s="690">
        <f>(AM248*KFC!$B$22+KFC!$C$22)*KFC!$C$5</f>
        <v>262.33186883987293</v>
      </c>
      <c r="O248" s="690">
        <f>(AN248*KFC!$B$22+KFC!$C$22)*KFC!$C$5</f>
        <v>275.2387452491518</v>
      </c>
      <c r="P248" s="690">
        <f>(AO248*KFC!$B$22+KFC!$C$22)*KFC!$C$5</f>
        <v>288.14562165843074</v>
      </c>
      <c r="Q248" s="690">
        <f>(AP248*KFC!$B$22+KFC!$C$22)*KFC!$C$5</f>
        <v>301.05249806770962</v>
      </c>
      <c r="R248" s="690">
        <f>(AQ248*KFC!$B$22+KFC!$C$22)*KFC!$C$5</f>
        <v>313.9593744769885</v>
      </c>
      <c r="S248" s="690">
        <f>(AR248*KFC!$B$22+KFC!$C$22)*KFC!$C$5</f>
        <v>326.86625088626744</v>
      </c>
      <c r="T248" s="690">
        <f>(AS248*KFC!$B$22+KFC!$C$22)*KFC!$C$5</f>
        <v>339.77312729554632</v>
      </c>
      <c r="U248" s="690">
        <f>(AT248*KFC!$B$22+KFC!$C$22)*KFC!$C$5</f>
        <v>352.6800037048252</v>
      </c>
      <c r="V248" s="690">
        <f>(AU248*KFC!$B$22+KFC!$C$22)*KFC!$C$5</f>
        <v>365.58688011410408</v>
      </c>
      <c r="W248" s="690">
        <f>(AV248*KFC!$B$22+KFC!$C$22)*KFC!$C$5</f>
        <v>378.49375652338296</v>
      </c>
      <c r="X248" s="690">
        <f>(AW248*KFC!$B$22+KFC!$C$22)*KFC!$C$5</f>
        <v>391.40063293266184</v>
      </c>
      <c r="Y248" s="690">
        <f>(AX248*KFC!$B$22+KFC!$C$22)*KFC!$C$5</f>
        <v>404.30750934194066</v>
      </c>
      <c r="Z248" s="690">
        <f>(AY248*KFC!$B$22+KFC!$C$22)*KFC!$C$5</f>
        <v>417.21438575121971</v>
      </c>
      <c r="AB248" s="771">
        <v>120.35622833780495</v>
      </c>
      <c r="AC248" s="772">
        <v>133.26310474708384</v>
      </c>
      <c r="AD248" s="772">
        <v>146.16998115636275</v>
      </c>
      <c r="AE248" s="772">
        <v>159.07685756564166</v>
      </c>
      <c r="AF248" s="772">
        <v>171.98373397492057</v>
      </c>
      <c r="AG248" s="772">
        <v>184.89061038419948</v>
      </c>
      <c r="AH248" s="772">
        <v>197.79748679347838</v>
      </c>
      <c r="AI248" s="772">
        <v>210.70436320275729</v>
      </c>
      <c r="AJ248" s="772">
        <v>223.6112396120362</v>
      </c>
      <c r="AK248" s="772">
        <v>236.51811602131508</v>
      </c>
      <c r="AL248" s="772">
        <v>249.42499243059399</v>
      </c>
      <c r="AM248" s="772">
        <v>262.33186883987293</v>
      </c>
      <c r="AN248" s="772">
        <v>275.2387452491518</v>
      </c>
      <c r="AO248" s="772">
        <v>288.14562165843074</v>
      </c>
      <c r="AP248" s="772">
        <v>301.05249806770962</v>
      </c>
      <c r="AQ248" s="772">
        <v>313.9593744769885</v>
      </c>
      <c r="AR248" s="772">
        <v>326.86625088626744</v>
      </c>
      <c r="AS248" s="772">
        <v>339.77312729554632</v>
      </c>
      <c r="AT248" s="772">
        <v>352.6800037048252</v>
      </c>
      <c r="AU248" s="772">
        <v>365.58688011410408</v>
      </c>
      <c r="AV248" s="772">
        <v>378.49375652338296</v>
      </c>
      <c r="AW248" s="772">
        <v>391.40063293266184</v>
      </c>
      <c r="AX248" s="772">
        <v>404.30750934194066</v>
      </c>
      <c r="AY248" s="773">
        <v>417.21438575121971</v>
      </c>
    </row>
    <row r="249" spans="1:51" ht="12.75" customHeight="1">
      <c r="A249" s="1277"/>
      <c r="B249" s="681">
        <v>2.1</v>
      </c>
      <c r="C249" s="690">
        <f>(AB249*KFC!$B$22+KFC!$C$22)*KFC!$C$5</f>
        <v>123.61681890365861</v>
      </c>
      <c r="D249" s="690">
        <f>(AC249*KFC!$B$22+KFC!$C$22)*KFC!$C$5</f>
        <v>136.98903550196192</v>
      </c>
      <c r="E249" s="690">
        <f>(AD249*KFC!$B$22+KFC!$C$22)*KFC!$C$5</f>
        <v>150.3612521002652</v>
      </c>
      <c r="F249" s="690">
        <f>(AE249*KFC!$B$22+KFC!$C$22)*KFC!$C$5</f>
        <v>163.73346869856849</v>
      </c>
      <c r="G249" s="690">
        <f>(AF249*KFC!$B$22+KFC!$C$22)*KFC!$C$5</f>
        <v>177.10568529687177</v>
      </c>
      <c r="H249" s="690">
        <f>(AG249*KFC!$B$22+KFC!$C$22)*KFC!$C$5</f>
        <v>190.47790189517505</v>
      </c>
      <c r="I249" s="690">
        <f>(AH249*KFC!$B$22+KFC!$C$22)*KFC!$C$5</f>
        <v>203.85011849347833</v>
      </c>
      <c r="J249" s="690">
        <f>(AI249*KFC!$B$22+KFC!$C$22)*KFC!$C$5</f>
        <v>217.22233509178162</v>
      </c>
      <c r="K249" s="690">
        <f>(AJ249*KFC!$B$22+KFC!$C$22)*KFC!$C$5</f>
        <v>230.5945516900849</v>
      </c>
      <c r="L249" s="690">
        <f>(AK249*KFC!$B$22+KFC!$C$22)*KFC!$C$5</f>
        <v>243.96676828838818</v>
      </c>
      <c r="M249" s="690">
        <f>(AL249*KFC!$B$22+KFC!$C$22)*KFC!$C$5</f>
        <v>257.33898488669149</v>
      </c>
      <c r="N249" s="690">
        <f>(AM249*KFC!$B$22+KFC!$C$22)*KFC!$C$5</f>
        <v>270.71120148499477</v>
      </c>
      <c r="O249" s="690">
        <f>(AN249*KFC!$B$22+KFC!$C$22)*KFC!$C$5</f>
        <v>284.08341808329806</v>
      </c>
      <c r="P249" s="690">
        <f>(AO249*KFC!$B$22+KFC!$C$22)*KFC!$C$5</f>
        <v>297.45563468160134</v>
      </c>
      <c r="Q249" s="690">
        <f>(AP249*KFC!$B$22+KFC!$C$22)*KFC!$C$5</f>
        <v>310.82785127990462</v>
      </c>
      <c r="R249" s="690">
        <f>(AQ249*KFC!$B$22+KFC!$C$22)*KFC!$C$5</f>
        <v>324.2000678782079</v>
      </c>
      <c r="S249" s="690">
        <f>(AR249*KFC!$B$22+KFC!$C$22)*KFC!$C$5</f>
        <v>337.57228447651119</v>
      </c>
      <c r="T249" s="690">
        <f>(AS249*KFC!$B$22+KFC!$C$22)*KFC!$C$5</f>
        <v>350.94450107481447</v>
      </c>
      <c r="U249" s="690">
        <f>(AT249*KFC!$B$22+KFC!$C$22)*KFC!$C$5</f>
        <v>364.31671767311775</v>
      </c>
      <c r="V249" s="690">
        <f>(AU249*KFC!$B$22+KFC!$C$22)*KFC!$C$5</f>
        <v>377.68893427142103</v>
      </c>
      <c r="W249" s="690">
        <f>(AV249*KFC!$B$22+KFC!$C$22)*KFC!$C$5</f>
        <v>391.06115086972432</v>
      </c>
      <c r="X249" s="690">
        <f>(AW249*KFC!$B$22+KFC!$C$22)*KFC!$C$5</f>
        <v>404.43336746802765</v>
      </c>
      <c r="Y249" s="690">
        <f>(AX249*KFC!$B$22+KFC!$C$22)*KFC!$C$5</f>
        <v>417.80558406633094</v>
      </c>
      <c r="Z249" s="690">
        <f>(AY249*KFC!$B$22+KFC!$C$22)*KFC!$C$5</f>
        <v>431.17780066463433</v>
      </c>
      <c r="AB249" s="771">
        <v>123.61681890365861</v>
      </c>
      <c r="AC249" s="772">
        <v>136.98903550196192</v>
      </c>
      <c r="AD249" s="772">
        <v>150.3612521002652</v>
      </c>
      <c r="AE249" s="772">
        <v>163.73346869856849</v>
      </c>
      <c r="AF249" s="772">
        <v>177.10568529687177</v>
      </c>
      <c r="AG249" s="772">
        <v>190.47790189517505</v>
      </c>
      <c r="AH249" s="772">
        <v>203.85011849347833</v>
      </c>
      <c r="AI249" s="772">
        <v>217.22233509178162</v>
      </c>
      <c r="AJ249" s="772">
        <v>230.5945516900849</v>
      </c>
      <c r="AK249" s="772">
        <v>243.96676828838818</v>
      </c>
      <c r="AL249" s="772">
        <v>257.33898488669149</v>
      </c>
      <c r="AM249" s="772">
        <v>270.71120148499477</v>
      </c>
      <c r="AN249" s="772">
        <v>284.08341808329806</v>
      </c>
      <c r="AO249" s="772">
        <v>297.45563468160134</v>
      </c>
      <c r="AP249" s="772">
        <v>310.82785127990462</v>
      </c>
      <c r="AQ249" s="772">
        <v>324.2000678782079</v>
      </c>
      <c r="AR249" s="772">
        <v>337.57228447651119</v>
      </c>
      <c r="AS249" s="772">
        <v>350.94450107481447</v>
      </c>
      <c r="AT249" s="772">
        <v>364.31671767311775</v>
      </c>
      <c r="AU249" s="772">
        <v>377.68893427142103</v>
      </c>
      <c r="AV249" s="772">
        <v>391.06115086972432</v>
      </c>
      <c r="AW249" s="772">
        <v>404.43336746802765</v>
      </c>
      <c r="AX249" s="772">
        <v>417.80558406633094</v>
      </c>
      <c r="AY249" s="773">
        <v>431.17780066463433</v>
      </c>
    </row>
    <row r="250" spans="1:51" ht="12.75" customHeight="1">
      <c r="A250" s="1277"/>
      <c r="B250" s="681">
        <v>2.2000000000000002</v>
      </c>
      <c r="C250" s="690">
        <f>(AB250*KFC!$B$22+KFC!$C$22)*KFC!$C$5</f>
        <v>126.87740946951227</v>
      </c>
      <c r="D250" s="690">
        <f>(AC250*KFC!$B$22+KFC!$C$22)*KFC!$C$5</f>
        <v>140.71496625683997</v>
      </c>
      <c r="E250" s="690">
        <f>(AD250*KFC!$B$22+KFC!$C$22)*KFC!$C$5</f>
        <v>154.55252304416763</v>
      </c>
      <c r="F250" s="690">
        <f>(AE250*KFC!$B$22+KFC!$C$22)*KFC!$C$5</f>
        <v>168.39007983149531</v>
      </c>
      <c r="G250" s="690">
        <f>(AF250*KFC!$B$22+KFC!$C$22)*KFC!$C$5</f>
        <v>182.227636618823</v>
      </c>
      <c r="H250" s="690">
        <f>(AG250*KFC!$B$22+KFC!$C$22)*KFC!$C$5</f>
        <v>196.06519340615071</v>
      </c>
      <c r="I250" s="690">
        <f>(AH250*KFC!$B$22+KFC!$C$22)*KFC!$C$5</f>
        <v>209.9027501934784</v>
      </c>
      <c r="J250" s="690">
        <f>(AI250*KFC!$B$22+KFC!$C$22)*KFC!$C$5</f>
        <v>223.74030698080611</v>
      </c>
      <c r="K250" s="690">
        <f>(AJ250*KFC!$B$22+KFC!$C$22)*KFC!$C$5</f>
        <v>237.5778637681338</v>
      </c>
      <c r="L250" s="690">
        <f>(AK250*KFC!$B$22+KFC!$C$22)*KFC!$C$5</f>
        <v>251.41542055546151</v>
      </c>
      <c r="M250" s="690">
        <f>(AL250*KFC!$B$22+KFC!$C$22)*KFC!$C$5</f>
        <v>265.25297734278922</v>
      </c>
      <c r="N250" s="690">
        <f>(AM250*KFC!$B$22+KFC!$C$22)*KFC!$C$5</f>
        <v>279.09053413011691</v>
      </c>
      <c r="O250" s="690">
        <f>(AN250*KFC!$B$22+KFC!$C$22)*KFC!$C$5</f>
        <v>292.92809091744459</v>
      </c>
      <c r="P250" s="690">
        <f>(AO250*KFC!$B$22+KFC!$C$22)*KFC!$C$5</f>
        <v>306.76564770477228</v>
      </c>
      <c r="Q250" s="690">
        <f>(AP250*KFC!$B$22+KFC!$C$22)*KFC!$C$5</f>
        <v>320.60320449210002</v>
      </c>
      <c r="R250" s="690">
        <f>(AQ250*KFC!$B$22+KFC!$C$22)*KFC!$C$5</f>
        <v>334.4407612794277</v>
      </c>
      <c r="S250" s="690">
        <f>(AR250*KFC!$B$22+KFC!$C$22)*KFC!$C$5</f>
        <v>348.27831806675539</v>
      </c>
      <c r="T250" s="690">
        <f>(AS250*KFC!$B$22+KFC!$C$22)*KFC!$C$5</f>
        <v>362.11587485408307</v>
      </c>
      <c r="U250" s="690">
        <f>(AT250*KFC!$B$22+KFC!$C$22)*KFC!$C$5</f>
        <v>375.95343164141082</v>
      </c>
      <c r="V250" s="690">
        <f>(AU250*KFC!$B$22+KFC!$C$22)*KFC!$C$5</f>
        <v>389.7909884287385</v>
      </c>
      <c r="W250" s="690">
        <f>(AV250*KFC!$B$22+KFC!$C$22)*KFC!$C$5</f>
        <v>403.62854521606619</v>
      </c>
      <c r="X250" s="690">
        <f>(AW250*KFC!$B$22+KFC!$C$22)*KFC!$C$5</f>
        <v>417.46610200339387</v>
      </c>
      <c r="Y250" s="690">
        <f>(AX250*KFC!$B$22+KFC!$C$22)*KFC!$C$5</f>
        <v>431.30365879072161</v>
      </c>
      <c r="Z250" s="690">
        <f>(AY250*KFC!$B$22+KFC!$C$22)*KFC!$C$5</f>
        <v>445.14121557804901</v>
      </c>
      <c r="AB250" s="771">
        <v>126.87740946951227</v>
      </c>
      <c r="AC250" s="772">
        <v>140.71496625683997</v>
      </c>
      <c r="AD250" s="772">
        <v>154.55252304416763</v>
      </c>
      <c r="AE250" s="772">
        <v>168.39007983149531</v>
      </c>
      <c r="AF250" s="772">
        <v>182.227636618823</v>
      </c>
      <c r="AG250" s="772">
        <v>196.06519340615071</v>
      </c>
      <c r="AH250" s="772">
        <v>209.9027501934784</v>
      </c>
      <c r="AI250" s="772">
        <v>223.74030698080611</v>
      </c>
      <c r="AJ250" s="772">
        <v>237.5778637681338</v>
      </c>
      <c r="AK250" s="772">
        <v>251.41542055546151</v>
      </c>
      <c r="AL250" s="772">
        <v>265.25297734278922</v>
      </c>
      <c r="AM250" s="772">
        <v>279.09053413011691</v>
      </c>
      <c r="AN250" s="772">
        <v>292.92809091744459</v>
      </c>
      <c r="AO250" s="772">
        <v>306.76564770477228</v>
      </c>
      <c r="AP250" s="772">
        <v>320.60320449210002</v>
      </c>
      <c r="AQ250" s="772">
        <v>334.4407612794277</v>
      </c>
      <c r="AR250" s="772">
        <v>348.27831806675539</v>
      </c>
      <c r="AS250" s="772">
        <v>362.11587485408307</v>
      </c>
      <c r="AT250" s="772">
        <v>375.95343164141082</v>
      </c>
      <c r="AU250" s="772">
        <v>389.7909884287385</v>
      </c>
      <c r="AV250" s="772">
        <v>403.62854521606619</v>
      </c>
      <c r="AW250" s="772">
        <v>417.46610200339387</v>
      </c>
      <c r="AX250" s="772">
        <v>431.30365879072161</v>
      </c>
      <c r="AY250" s="773">
        <v>445.14121557804901</v>
      </c>
    </row>
    <row r="251" spans="1:51" ht="12.75" customHeight="1">
      <c r="A251" s="1277"/>
      <c r="B251" s="681">
        <v>2.2999999999999998</v>
      </c>
      <c r="C251" s="690">
        <f>(AB251*KFC!$B$22+KFC!$C$22)*KFC!$C$5</f>
        <v>130.13800003536593</v>
      </c>
      <c r="D251" s="690">
        <f>(AC251*KFC!$B$22+KFC!$C$22)*KFC!$C$5</f>
        <v>144.44089701171802</v>
      </c>
      <c r="E251" s="690">
        <f>(AD251*KFC!$B$22+KFC!$C$22)*KFC!$C$5</f>
        <v>158.74379398807011</v>
      </c>
      <c r="F251" s="690">
        <f>(AE251*KFC!$B$22+KFC!$C$22)*KFC!$C$5</f>
        <v>173.04669096442217</v>
      </c>
      <c r="G251" s="690">
        <f>(AF251*KFC!$B$22+KFC!$C$22)*KFC!$C$5</f>
        <v>187.34958794077423</v>
      </c>
      <c r="H251" s="690">
        <f>(AG251*KFC!$B$22+KFC!$C$22)*KFC!$C$5</f>
        <v>201.65248491712632</v>
      </c>
      <c r="I251" s="690">
        <f>(AH251*KFC!$B$22+KFC!$C$22)*KFC!$C$5</f>
        <v>215.9553818934784</v>
      </c>
      <c r="J251" s="690">
        <f>(AI251*KFC!$B$22+KFC!$C$22)*KFC!$C$5</f>
        <v>230.25827886983046</v>
      </c>
      <c r="K251" s="690">
        <f>(AJ251*KFC!$B$22+KFC!$C$22)*KFC!$C$5</f>
        <v>244.56117584618255</v>
      </c>
      <c r="L251" s="690">
        <f>(AK251*KFC!$B$22+KFC!$C$22)*KFC!$C$5</f>
        <v>258.86407282253464</v>
      </c>
      <c r="M251" s="690">
        <f>(AL251*KFC!$B$22+KFC!$C$22)*KFC!$C$5</f>
        <v>273.16696979888673</v>
      </c>
      <c r="N251" s="690">
        <f>(AM251*KFC!$B$22+KFC!$C$22)*KFC!$C$5</f>
        <v>287.46986677523876</v>
      </c>
      <c r="O251" s="690">
        <f>(AN251*KFC!$B$22+KFC!$C$22)*KFC!$C$5</f>
        <v>301.77276375159084</v>
      </c>
      <c r="P251" s="690">
        <f>(AO251*KFC!$B$22+KFC!$C$22)*KFC!$C$5</f>
        <v>316.07566072794293</v>
      </c>
      <c r="Q251" s="690">
        <f>(AP251*KFC!$B$22+KFC!$C$22)*KFC!$C$5</f>
        <v>330.37855770429502</v>
      </c>
      <c r="R251" s="690">
        <f>(AQ251*KFC!$B$22+KFC!$C$22)*KFC!$C$5</f>
        <v>344.68145468064711</v>
      </c>
      <c r="S251" s="690">
        <f>(AR251*KFC!$B$22+KFC!$C$22)*KFC!$C$5</f>
        <v>358.98435165699914</v>
      </c>
      <c r="T251" s="690">
        <f>(AS251*KFC!$B$22+KFC!$C$22)*KFC!$C$5</f>
        <v>373.28724863335117</v>
      </c>
      <c r="U251" s="690">
        <f>(AT251*KFC!$B$22+KFC!$C$22)*KFC!$C$5</f>
        <v>387.5901456097032</v>
      </c>
      <c r="V251" s="690">
        <f>(AU251*KFC!$B$22+KFC!$C$22)*KFC!$C$5</f>
        <v>401.89304258605523</v>
      </c>
      <c r="W251" s="690">
        <f>(AV251*KFC!$B$22+KFC!$C$22)*KFC!$C$5</f>
        <v>416.19593956240732</v>
      </c>
      <c r="X251" s="690">
        <f>(AW251*KFC!$B$22+KFC!$C$22)*KFC!$C$5</f>
        <v>430.49883653875935</v>
      </c>
      <c r="Y251" s="690">
        <f>(AX251*KFC!$B$22+KFC!$C$22)*KFC!$C$5</f>
        <v>444.80173351511138</v>
      </c>
      <c r="Z251" s="690">
        <f>(AY251*KFC!$B$22+KFC!$C$22)*KFC!$C$5</f>
        <v>459.10463049146364</v>
      </c>
      <c r="AB251" s="771">
        <v>130.13800003536593</v>
      </c>
      <c r="AC251" s="772">
        <v>144.44089701171802</v>
      </c>
      <c r="AD251" s="772">
        <v>158.74379398807011</v>
      </c>
      <c r="AE251" s="772">
        <v>173.04669096442217</v>
      </c>
      <c r="AF251" s="772">
        <v>187.34958794077423</v>
      </c>
      <c r="AG251" s="772">
        <v>201.65248491712632</v>
      </c>
      <c r="AH251" s="772">
        <v>215.9553818934784</v>
      </c>
      <c r="AI251" s="772">
        <v>230.25827886983046</v>
      </c>
      <c r="AJ251" s="772">
        <v>244.56117584618255</v>
      </c>
      <c r="AK251" s="772">
        <v>258.86407282253464</v>
      </c>
      <c r="AL251" s="772">
        <v>273.16696979888673</v>
      </c>
      <c r="AM251" s="772">
        <v>287.46986677523876</v>
      </c>
      <c r="AN251" s="772">
        <v>301.77276375159084</v>
      </c>
      <c r="AO251" s="772">
        <v>316.07566072794293</v>
      </c>
      <c r="AP251" s="772">
        <v>330.37855770429502</v>
      </c>
      <c r="AQ251" s="772">
        <v>344.68145468064711</v>
      </c>
      <c r="AR251" s="772">
        <v>358.98435165699914</v>
      </c>
      <c r="AS251" s="772">
        <v>373.28724863335117</v>
      </c>
      <c r="AT251" s="772">
        <v>387.5901456097032</v>
      </c>
      <c r="AU251" s="772">
        <v>401.89304258605523</v>
      </c>
      <c r="AV251" s="772">
        <v>416.19593956240732</v>
      </c>
      <c r="AW251" s="772">
        <v>430.49883653875935</v>
      </c>
      <c r="AX251" s="772">
        <v>444.80173351511138</v>
      </c>
      <c r="AY251" s="773">
        <v>459.10463049146364</v>
      </c>
    </row>
    <row r="252" spans="1:51" ht="12.75" customHeight="1">
      <c r="A252" s="1277"/>
      <c r="B252" s="681">
        <v>2.4</v>
      </c>
      <c r="C252" s="690">
        <f>(AB252*KFC!$B$22+KFC!$C$22)*KFC!$C$5</f>
        <v>133.39859060121961</v>
      </c>
      <c r="D252" s="690">
        <f>(AC252*KFC!$B$22+KFC!$C$22)*KFC!$C$5</f>
        <v>148.16682776659607</v>
      </c>
      <c r="E252" s="690">
        <f>(AD252*KFC!$B$22+KFC!$C$22)*KFC!$C$5</f>
        <v>162.93506493197253</v>
      </c>
      <c r="F252" s="690">
        <f>(AE252*KFC!$B$22+KFC!$C$22)*KFC!$C$5</f>
        <v>177.70330209734897</v>
      </c>
      <c r="G252" s="690">
        <f>(AF252*KFC!$B$22+KFC!$C$22)*KFC!$C$5</f>
        <v>192.47153926272543</v>
      </c>
      <c r="H252" s="690">
        <f>(AG252*KFC!$B$22+KFC!$C$22)*KFC!$C$5</f>
        <v>207.23977642810189</v>
      </c>
      <c r="I252" s="690">
        <f>(AH252*KFC!$B$22+KFC!$C$22)*KFC!$C$5</f>
        <v>222.00801359347835</v>
      </c>
      <c r="J252" s="690">
        <f>(AI252*KFC!$B$22+KFC!$C$22)*KFC!$C$5</f>
        <v>236.77625075885481</v>
      </c>
      <c r="K252" s="690">
        <f>(AJ252*KFC!$B$22+KFC!$C$22)*KFC!$C$5</f>
        <v>251.54448792423125</v>
      </c>
      <c r="L252" s="690">
        <f>(AK252*KFC!$B$22+KFC!$C$22)*KFC!$C$5</f>
        <v>266.31272508960774</v>
      </c>
      <c r="M252" s="690">
        <f>(AL252*KFC!$B$22+KFC!$C$22)*KFC!$C$5</f>
        <v>281.08096225498417</v>
      </c>
      <c r="N252" s="690">
        <f>(AM252*KFC!$B$22+KFC!$C$22)*KFC!$C$5</f>
        <v>295.84919942036061</v>
      </c>
      <c r="O252" s="690">
        <f>(AN252*KFC!$B$22+KFC!$C$22)*KFC!$C$5</f>
        <v>310.6174365857371</v>
      </c>
      <c r="P252" s="690">
        <f>(AO252*KFC!$B$22+KFC!$C$22)*KFC!$C$5</f>
        <v>325.38567375111353</v>
      </c>
      <c r="Q252" s="690">
        <f>(AP252*KFC!$B$22+KFC!$C$22)*KFC!$C$5</f>
        <v>340.15391091649002</v>
      </c>
      <c r="R252" s="690">
        <f>(AQ252*KFC!$B$22+KFC!$C$22)*KFC!$C$5</f>
        <v>354.92214808186651</v>
      </c>
      <c r="S252" s="690">
        <f>(AR252*KFC!$B$22+KFC!$C$22)*KFC!$C$5</f>
        <v>369.69038524724294</v>
      </c>
      <c r="T252" s="690">
        <f>(AS252*KFC!$B$22+KFC!$C$22)*KFC!$C$5</f>
        <v>384.45862241261938</v>
      </c>
      <c r="U252" s="690">
        <f>(AT252*KFC!$B$22+KFC!$C$22)*KFC!$C$5</f>
        <v>399.22685957799587</v>
      </c>
      <c r="V252" s="690">
        <f>(AU252*KFC!$B$22+KFC!$C$22)*KFC!$C$5</f>
        <v>413.9950967433723</v>
      </c>
      <c r="W252" s="690">
        <f>(AV252*KFC!$B$22+KFC!$C$22)*KFC!$C$5</f>
        <v>428.76333390874879</v>
      </c>
      <c r="X252" s="690">
        <f>(AW252*KFC!$B$22+KFC!$C$22)*KFC!$C$5</f>
        <v>443.53157107412522</v>
      </c>
      <c r="Y252" s="690">
        <f>(AX252*KFC!$B$22+KFC!$C$22)*KFC!$C$5</f>
        <v>458.29980823950166</v>
      </c>
      <c r="Z252" s="690">
        <f>(AY252*KFC!$B$22+KFC!$C$22)*KFC!$C$5</f>
        <v>473.06804540487826</v>
      </c>
      <c r="AB252" s="771">
        <v>133.39859060121961</v>
      </c>
      <c r="AC252" s="772">
        <v>148.16682776659607</v>
      </c>
      <c r="AD252" s="772">
        <v>162.93506493197253</v>
      </c>
      <c r="AE252" s="772">
        <v>177.70330209734897</v>
      </c>
      <c r="AF252" s="772">
        <v>192.47153926272543</v>
      </c>
      <c r="AG252" s="772">
        <v>207.23977642810189</v>
      </c>
      <c r="AH252" s="772">
        <v>222.00801359347835</v>
      </c>
      <c r="AI252" s="772">
        <v>236.77625075885481</v>
      </c>
      <c r="AJ252" s="772">
        <v>251.54448792423125</v>
      </c>
      <c r="AK252" s="772">
        <v>266.31272508960774</v>
      </c>
      <c r="AL252" s="772">
        <v>281.08096225498417</v>
      </c>
      <c r="AM252" s="772">
        <v>295.84919942036061</v>
      </c>
      <c r="AN252" s="772">
        <v>310.6174365857371</v>
      </c>
      <c r="AO252" s="772">
        <v>325.38567375111353</v>
      </c>
      <c r="AP252" s="772">
        <v>340.15391091649002</v>
      </c>
      <c r="AQ252" s="772">
        <v>354.92214808186651</v>
      </c>
      <c r="AR252" s="772">
        <v>369.69038524724294</v>
      </c>
      <c r="AS252" s="772">
        <v>384.45862241261938</v>
      </c>
      <c r="AT252" s="772">
        <v>399.22685957799587</v>
      </c>
      <c r="AU252" s="772">
        <v>413.9950967433723</v>
      </c>
      <c r="AV252" s="772">
        <v>428.76333390874879</v>
      </c>
      <c r="AW252" s="772">
        <v>443.53157107412522</v>
      </c>
      <c r="AX252" s="772">
        <v>458.29980823950166</v>
      </c>
      <c r="AY252" s="773">
        <v>473.06804540487826</v>
      </c>
    </row>
    <row r="253" spans="1:51" ht="12.75" customHeight="1">
      <c r="A253" s="1277"/>
      <c r="B253" s="681">
        <v>2.5</v>
      </c>
      <c r="C253" s="690">
        <f>(AB253*KFC!$B$22+KFC!$C$22)*KFC!$C$5</f>
        <v>136.65918116707329</v>
      </c>
      <c r="D253" s="690">
        <f>(AC253*KFC!$B$22+KFC!$C$22)*KFC!$C$5</f>
        <v>151.89275852147412</v>
      </c>
      <c r="E253" s="690">
        <f>(AD253*KFC!$B$22+KFC!$C$22)*KFC!$C$5</f>
        <v>167.12633587587499</v>
      </c>
      <c r="F253" s="690">
        <f>(AE253*KFC!$B$22+KFC!$C$22)*KFC!$C$5</f>
        <v>182.35991323027582</v>
      </c>
      <c r="G253" s="690">
        <f>(AF253*KFC!$B$22+KFC!$C$22)*KFC!$C$5</f>
        <v>197.59349058467672</v>
      </c>
      <c r="H253" s="690">
        <f>(AG253*KFC!$B$22+KFC!$C$22)*KFC!$C$5</f>
        <v>212.82706793907758</v>
      </c>
      <c r="I253" s="690">
        <f>(AH253*KFC!$B$22+KFC!$C$22)*KFC!$C$5</f>
        <v>228.06064529347844</v>
      </c>
      <c r="J253" s="690">
        <f>(AI253*KFC!$B$22+KFC!$C$22)*KFC!$C$5</f>
        <v>243.29422264787934</v>
      </c>
      <c r="K253" s="690">
        <f>(AJ253*KFC!$B$22+KFC!$C$22)*KFC!$C$5</f>
        <v>258.52780000228017</v>
      </c>
      <c r="L253" s="690">
        <f>(AK253*KFC!$B$22+KFC!$C$22)*KFC!$C$5</f>
        <v>273.76137735668107</v>
      </c>
      <c r="M253" s="690">
        <f>(AL253*KFC!$B$22+KFC!$C$22)*KFC!$C$5</f>
        <v>288.99495471108196</v>
      </c>
      <c r="N253" s="690">
        <f>(AM253*KFC!$B$22+KFC!$C$22)*KFC!$C$5</f>
        <v>304.2285320654828</v>
      </c>
      <c r="O253" s="690">
        <f>(AN253*KFC!$B$22+KFC!$C$22)*KFC!$C$5</f>
        <v>319.46210941988369</v>
      </c>
      <c r="P253" s="690">
        <f>(AO253*KFC!$B$22+KFC!$C$22)*KFC!$C$5</f>
        <v>334.69568677428458</v>
      </c>
      <c r="Q253" s="690">
        <f>(AP253*KFC!$B$22+KFC!$C$22)*KFC!$C$5</f>
        <v>349.92926412868542</v>
      </c>
      <c r="R253" s="690">
        <f>(AQ253*KFC!$B$22+KFC!$C$22)*KFC!$C$5</f>
        <v>365.16284148308625</v>
      </c>
      <c r="S253" s="690">
        <f>(AR253*KFC!$B$22+KFC!$C$22)*KFC!$C$5</f>
        <v>380.39641883748715</v>
      </c>
      <c r="T253" s="690">
        <f>(AS253*KFC!$B$22+KFC!$C$22)*KFC!$C$5</f>
        <v>395.62999619188798</v>
      </c>
      <c r="U253" s="690">
        <f>(AT253*KFC!$B$22+KFC!$C$22)*KFC!$C$5</f>
        <v>410.86357354628888</v>
      </c>
      <c r="V253" s="690">
        <f>(AU253*KFC!$B$22+KFC!$C$22)*KFC!$C$5</f>
        <v>426.09715090068977</v>
      </c>
      <c r="W253" s="690">
        <f>(AV253*KFC!$B$22+KFC!$C$22)*KFC!$C$5</f>
        <v>441.33072825509061</v>
      </c>
      <c r="X253" s="690">
        <f>(AW253*KFC!$B$22+KFC!$C$22)*KFC!$C$5</f>
        <v>456.5643056094915</v>
      </c>
      <c r="Y253" s="690">
        <f>(AX253*KFC!$B$22+KFC!$C$22)*KFC!$C$5</f>
        <v>471.79788296389239</v>
      </c>
      <c r="Z253" s="690">
        <f>(AY253*KFC!$B$22+KFC!$C$22)*KFC!$C$5</f>
        <v>487.03146031829294</v>
      </c>
      <c r="AB253" s="771">
        <v>136.65918116707329</v>
      </c>
      <c r="AC253" s="772">
        <v>151.89275852147412</v>
      </c>
      <c r="AD253" s="772">
        <v>167.12633587587499</v>
      </c>
      <c r="AE253" s="772">
        <v>182.35991323027582</v>
      </c>
      <c r="AF253" s="772">
        <v>197.59349058467672</v>
      </c>
      <c r="AG253" s="772">
        <v>212.82706793907758</v>
      </c>
      <c r="AH253" s="772">
        <v>228.06064529347844</v>
      </c>
      <c r="AI253" s="772">
        <v>243.29422264787934</v>
      </c>
      <c r="AJ253" s="772">
        <v>258.52780000228017</v>
      </c>
      <c r="AK253" s="772">
        <v>273.76137735668107</v>
      </c>
      <c r="AL253" s="772">
        <v>288.99495471108196</v>
      </c>
      <c r="AM253" s="772">
        <v>304.2285320654828</v>
      </c>
      <c r="AN253" s="772">
        <v>319.46210941988369</v>
      </c>
      <c r="AO253" s="772">
        <v>334.69568677428458</v>
      </c>
      <c r="AP253" s="772">
        <v>349.92926412868542</v>
      </c>
      <c r="AQ253" s="772">
        <v>365.16284148308625</v>
      </c>
      <c r="AR253" s="772">
        <v>380.39641883748715</v>
      </c>
      <c r="AS253" s="772">
        <v>395.62999619188798</v>
      </c>
      <c r="AT253" s="772">
        <v>410.86357354628888</v>
      </c>
      <c r="AU253" s="772">
        <v>426.09715090068977</v>
      </c>
      <c r="AV253" s="772">
        <v>441.33072825509061</v>
      </c>
      <c r="AW253" s="772">
        <v>456.5643056094915</v>
      </c>
      <c r="AX253" s="772">
        <v>471.79788296389239</v>
      </c>
      <c r="AY253" s="773">
        <v>487.03146031829294</v>
      </c>
    </row>
    <row r="254" spans="1:51" ht="12.75" customHeight="1">
      <c r="A254" s="1277"/>
      <c r="B254" s="681">
        <v>2.6</v>
      </c>
      <c r="C254" s="690">
        <f>(AB254*KFC!$B$22+KFC!$C$22)*KFC!$C$5</f>
        <v>139.91977173292693</v>
      </c>
      <c r="D254" s="690">
        <f>(AC254*KFC!$B$22+KFC!$C$22)*KFC!$C$5</f>
        <v>155.6186892763522</v>
      </c>
      <c r="E254" s="690">
        <f>(AD254*KFC!$B$22+KFC!$C$22)*KFC!$C$5</f>
        <v>171.31760681977744</v>
      </c>
      <c r="F254" s="690">
        <f>(AE254*KFC!$B$22+KFC!$C$22)*KFC!$C$5</f>
        <v>187.01652436320271</v>
      </c>
      <c r="G254" s="690">
        <f>(AF254*KFC!$B$22+KFC!$C$22)*KFC!$C$5</f>
        <v>202.71544190662794</v>
      </c>
      <c r="H254" s="690">
        <f>(AG254*KFC!$B$22+KFC!$C$22)*KFC!$C$5</f>
        <v>218.41435945005318</v>
      </c>
      <c r="I254" s="690">
        <f>(AH254*KFC!$B$22+KFC!$C$22)*KFC!$C$5</f>
        <v>234.11327699347845</v>
      </c>
      <c r="J254" s="690">
        <f>(AI254*KFC!$B$22+KFC!$C$22)*KFC!$C$5</f>
        <v>249.81219453690369</v>
      </c>
      <c r="K254" s="690">
        <f>(AJ254*KFC!$B$22+KFC!$C$22)*KFC!$C$5</f>
        <v>265.51111208032893</v>
      </c>
      <c r="L254" s="690">
        <f>(AK254*KFC!$B$22+KFC!$C$22)*KFC!$C$5</f>
        <v>281.21002962375417</v>
      </c>
      <c r="M254" s="690">
        <f>(AL254*KFC!$B$22+KFC!$C$22)*KFC!$C$5</f>
        <v>296.90894716717946</v>
      </c>
      <c r="N254" s="690">
        <f>(AM254*KFC!$B$22+KFC!$C$22)*KFC!$C$5</f>
        <v>312.6078647106047</v>
      </c>
      <c r="O254" s="690">
        <f>(AN254*KFC!$B$22+KFC!$C$22)*KFC!$C$5</f>
        <v>328.30678225402994</v>
      </c>
      <c r="P254" s="690">
        <f>(AO254*KFC!$B$22+KFC!$C$22)*KFC!$C$5</f>
        <v>344.00569979745518</v>
      </c>
      <c r="Q254" s="690">
        <f>(AP254*KFC!$B$22+KFC!$C$22)*KFC!$C$5</f>
        <v>359.70461734088036</v>
      </c>
      <c r="R254" s="690">
        <f>(AQ254*KFC!$B$22+KFC!$C$22)*KFC!$C$5</f>
        <v>375.4035348843056</v>
      </c>
      <c r="S254" s="690">
        <f>(AR254*KFC!$B$22+KFC!$C$22)*KFC!$C$5</f>
        <v>391.10245242773078</v>
      </c>
      <c r="T254" s="690">
        <f>(AS254*KFC!$B$22+KFC!$C$22)*KFC!$C$5</f>
        <v>406.80136997115602</v>
      </c>
      <c r="U254" s="690">
        <f>(AT254*KFC!$B$22+KFC!$C$22)*KFC!$C$5</f>
        <v>422.5002875145812</v>
      </c>
      <c r="V254" s="690">
        <f>(AU254*KFC!$B$22+KFC!$C$22)*KFC!$C$5</f>
        <v>438.19920505800644</v>
      </c>
      <c r="W254" s="690">
        <f>(AV254*KFC!$B$22+KFC!$C$22)*KFC!$C$5</f>
        <v>453.89812260143162</v>
      </c>
      <c r="X254" s="690">
        <f>(AW254*KFC!$B$22+KFC!$C$22)*KFC!$C$5</f>
        <v>469.59704014485686</v>
      </c>
      <c r="Y254" s="690">
        <f>(AX254*KFC!$B$22+KFC!$C$22)*KFC!$C$5</f>
        <v>485.2959576882821</v>
      </c>
      <c r="Z254" s="690">
        <f>(AY254*KFC!$B$22+KFC!$C$22)*KFC!$C$5</f>
        <v>500.99487523170757</v>
      </c>
      <c r="AB254" s="771">
        <v>139.91977173292693</v>
      </c>
      <c r="AC254" s="772">
        <v>155.6186892763522</v>
      </c>
      <c r="AD254" s="772">
        <v>171.31760681977744</v>
      </c>
      <c r="AE254" s="772">
        <v>187.01652436320271</v>
      </c>
      <c r="AF254" s="772">
        <v>202.71544190662794</v>
      </c>
      <c r="AG254" s="772">
        <v>218.41435945005318</v>
      </c>
      <c r="AH254" s="772">
        <v>234.11327699347845</v>
      </c>
      <c r="AI254" s="772">
        <v>249.81219453690369</v>
      </c>
      <c r="AJ254" s="772">
        <v>265.51111208032893</v>
      </c>
      <c r="AK254" s="772">
        <v>281.21002962375417</v>
      </c>
      <c r="AL254" s="772">
        <v>296.90894716717946</v>
      </c>
      <c r="AM254" s="772">
        <v>312.6078647106047</v>
      </c>
      <c r="AN254" s="772">
        <v>328.30678225402994</v>
      </c>
      <c r="AO254" s="772">
        <v>344.00569979745518</v>
      </c>
      <c r="AP254" s="772">
        <v>359.70461734088036</v>
      </c>
      <c r="AQ254" s="772">
        <v>375.4035348843056</v>
      </c>
      <c r="AR254" s="772">
        <v>391.10245242773078</v>
      </c>
      <c r="AS254" s="772">
        <v>406.80136997115602</v>
      </c>
      <c r="AT254" s="772">
        <v>422.5002875145812</v>
      </c>
      <c r="AU254" s="772">
        <v>438.19920505800644</v>
      </c>
      <c r="AV254" s="772">
        <v>453.89812260143162</v>
      </c>
      <c r="AW254" s="772">
        <v>469.59704014485686</v>
      </c>
      <c r="AX254" s="772">
        <v>485.2959576882821</v>
      </c>
      <c r="AY254" s="773">
        <v>500.99487523170757</v>
      </c>
    </row>
    <row r="255" spans="1:51" ht="12.75" customHeight="1">
      <c r="A255" s="1277"/>
      <c r="B255" s="681">
        <v>2.7</v>
      </c>
      <c r="C255" s="690">
        <f>(AB255*KFC!$B$22+KFC!$C$22)*KFC!$C$5</f>
        <v>143.18036229878061</v>
      </c>
      <c r="D255" s="690">
        <f>(AC255*KFC!$B$22+KFC!$C$22)*KFC!$C$5</f>
        <v>159.34462003123025</v>
      </c>
      <c r="E255" s="690">
        <f>(AD255*KFC!$B$22+KFC!$C$22)*KFC!$C$5</f>
        <v>175.50887776367989</v>
      </c>
      <c r="F255" s="690">
        <f>(AE255*KFC!$B$22+KFC!$C$22)*KFC!$C$5</f>
        <v>191.6731354961295</v>
      </c>
      <c r="G255" s="690">
        <f>(AF255*KFC!$B$22+KFC!$C$22)*KFC!$C$5</f>
        <v>207.83739322857915</v>
      </c>
      <c r="H255" s="690">
        <f>(AG255*KFC!$B$22+KFC!$C$22)*KFC!$C$5</f>
        <v>224.00165096102876</v>
      </c>
      <c r="I255" s="690">
        <f>(AH255*KFC!$B$22+KFC!$C$22)*KFC!$C$5</f>
        <v>240.1659086934784</v>
      </c>
      <c r="J255" s="690">
        <f>(AI255*KFC!$B$22+KFC!$C$22)*KFC!$C$5</f>
        <v>256.33016642592804</v>
      </c>
      <c r="K255" s="690">
        <f>(AJ255*KFC!$B$22+KFC!$C$22)*KFC!$C$5</f>
        <v>272.49442415837768</v>
      </c>
      <c r="L255" s="690">
        <f>(AK255*KFC!$B$22+KFC!$C$22)*KFC!$C$5</f>
        <v>288.65868189082727</v>
      </c>
      <c r="M255" s="690">
        <f>(AL255*KFC!$B$22+KFC!$C$22)*KFC!$C$5</f>
        <v>304.82293962327691</v>
      </c>
      <c r="N255" s="690">
        <f>(AM255*KFC!$B$22+KFC!$C$22)*KFC!$C$5</f>
        <v>320.98719735572655</v>
      </c>
      <c r="O255" s="690">
        <f>(AN255*KFC!$B$22+KFC!$C$22)*KFC!$C$5</f>
        <v>337.15145508817619</v>
      </c>
      <c r="P255" s="690">
        <f>(AO255*KFC!$B$22+KFC!$C$22)*KFC!$C$5</f>
        <v>353.31571282062578</v>
      </c>
      <c r="Q255" s="690">
        <f>(AP255*KFC!$B$22+KFC!$C$22)*KFC!$C$5</f>
        <v>369.47997055307542</v>
      </c>
      <c r="R255" s="690">
        <f>(AQ255*KFC!$B$22+KFC!$C$22)*KFC!$C$5</f>
        <v>385.64422828552506</v>
      </c>
      <c r="S255" s="690">
        <f>(AR255*KFC!$B$22+KFC!$C$22)*KFC!$C$5</f>
        <v>401.8084860179747</v>
      </c>
      <c r="T255" s="690">
        <f>(AS255*KFC!$B$22+KFC!$C$22)*KFC!$C$5</f>
        <v>417.97274375042434</v>
      </c>
      <c r="U255" s="690">
        <f>(AT255*KFC!$B$22+KFC!$C$22)*KFC!$C$5</f>
        <v>434.13700148287393</v>
      </c>
      <c r="V255" s="690">
        <f>(AU255*KFC!$B$22+KFC!$C$22)*KFC!$C$5</f>
        <v>450.30125921532357</v>
      </c>
      <c r="W255" s="690">
        <f>(AV255*KFC!$B$22+KFC!$C$22)*KFC!$C$5</f>
        <v>466.46551694777321</v>
      </c>
      <c r="X255" s="690">
        <f>(AW255*KFC!$B$22+KFC!$C$22)*KFC!$C$5</f>
        <v>482.62977468022285</v>
      </c>
      <c r="Y255" s="690">
        <f>(AX255*KFC!$B$22+KFC!$C$22)*KFC!$C$5</f>
        <v>498.79403241267244</v>
      </c>
      <c r="Z255" s="690">
        <f>(AY255*KFC!$B$22+KFC!$C$22)*KFC!$C$5</f>
        <v>514.95829014512219</v>
      </c>
      <c r="AB255" s="771">
        <v>143.18036229878061</v>
      </c>
      <c r="AC255" s="772">
        <v>159.34462003123025</v>
      </c>
      <c r="AD255" s="772">
        <v>175.50887776367989</v>
      </c>
      <c r="AE255" s="772">
        <v>191.6731354961295</v>
      </c>
      <c r="AF255" s="772">
        <v>207.83739322857915</v>
      </c>
      <c r="AG255" s="772">
        <v>224.00165096102876</v>
      </c>
      <c r="AH255" s="772">
        <v>240.1659086934784</v>
      </c>
      <c r="AI255" s="772">
        <v>256.33016642592804</v>
      </c>
      <c r="AJ255" s="772">
        <v>272.49442415837768</v>
      </c>
      <c r="AK255" s="772">
        <v>288.65868189082727</v>
      </c>
      <c r="AL255" s="772">
        <v>304.82293962327691</v>
      </c>
      <c r="AM255" s="772">
        <v>320.98719735572655</v>
      </c>
      <c r="AN255" s="772">
        <v>337.15145508817619</v>
      </c>
      <c r="AO255" s="772">
        <v>353.31571282062578</v>
      </c>
      <c r="AP255" s="772">
        <v>369.47997055307542</v>
      </c>
      <c r="AQ255" s="772">
        <v>385.64422828552506</v>
      </c>
      <c r="AR255" s="772">
        <v>401.8084860179747</v>
      </c>
      <c r="AS255" s="772">
        <v>417.97274375042434</v>
      </c>
      <c r="AT255" s="772">
        <v>434.13700148287393</v>
      </c>
      <c r="AU255" s="772">
        <v>450.30125921532357</v>
      </c>
      <c r="AV255" s="772">
        <v>466.46551694777321</v>
      </c>
      <c r="AW255" s="772">
        <v>482.62977468022285</v>
      </c>
      <c r="AX255" s="772">
        <v>498.79403241267244</v>
      </c>
      <c r="AY255" s="773">
        <v>514.95829014512219</v>
      </c>
    </row>
    <row r="256" spans="1:51" ht="12.75" customHeight="1">
      <c r="A256" s="1277"/>
      <c r="B256" s="681">
        <v>2.8</v>
      </c>
      <c r="C256" s="690">
        <f>(AB256*KFC!$B$22+KFC!$C$22)*KFC!$C$5</f>
        <v>146.44095286463428</v>
      </c>
      <c r="D256" s="690">
        <f>(AC256*KFC!$B$22+KFC!$C$22)*KFC!$C$5</f>
        <v>163.0705507861083</v>
      </c>
      <c r="E256" s="690">
        <f>(AD256*KFC!$B$22+KFC!$C$22)*KFC!$C$5</f>
        <v>179.70014870758231</v>
      </c>
      <c r="F256" s="690">
        <f>(AE256*KFC!$B$22+KFC!$C$22)*KFC!$C$5</f>
        <v>196.32974662905636</v>
      </c>
      <c r="G256" s="690">
        <f>(AF256*KFC!$B$22+KFC!$C$22)*KFC!$C$5</f>
        <v>212.9593445505304</v>
      </c>
      <c r="H256" s="690">
        <f>(AG256*KFC!$B$22+KFC!$C$22)*KFC!$C$5</f>
        <v>229.58894247200445</v>
      </c>
      <c r="I256" s="690">
        <f>(AH256*KFC!$B$22+KFC!$C$22)*KFC!$C$5</f>
        <v>246.21854039347849</v>
      </c>
      <c r="J256" s="690">
        <f>(AI256*KFC!$B$22+KFC!$C$22)*KFC!$C$5</f>
        <v>262.84813831495256</v>
      </c>
      <c r="K256" s="690">
        <f>(AJ256*KFC!$B$22+KFC!$C$22)*KFC!$C$5</f>
        <v>279.47773623642661</v>
      </c>
      <c r="L256" s="690">
        <f>(AK256*KFC!$B$22+KFC!$C$22)*KFC!$C$5</f>
        <v>296.10733415790065</v>
      </c>
      <c r="M256" s="690">
        <f>(AL256*KFC!$B$22+KFC!$C$22)*KFC!$C$5</f>
        <v>312.7369320793747</v>
      </c>
      <c r="N256" s="690">
        <f>(AM256*KFC!$B$22+KFC!$C$22)*KFC!$C$5</f>
        <v>329.36653000084874</v>
      </c>
      <c r="O256" s="690">
        <f>(AN256*KFC!$B$22+KFC!$C$22)*KFC!$C$5</f>
        <v>345.99612792232278</v>
      </c>
      <c r="P256" s="690">
        <f>(AO256*KFC!$B$22+KFC!$C$22)*KFC!$C$5</f>
        <v>362.62572584379683</v>
      </c>
      <c r="Q256" s="690">
        <f>(AP256*KFC!$B$22+KFC!$C$22)*KFC!$C$5</f>
        <v>379.25532376527087</v>
      </c>
      <c r="R256" s="690">
        <f>(AQ256*KFC!$B$22+KFC!$C$22)*KFC!$C$5</f>
        <v>395.88492168674492</v>
      </c>
      <c r="S256" s="690">
        <f>(AR256*KFC!$B$22+KFC!$C$22)*KFC!$C$5</f>
        <v>412.51451960821896</v>
      </c>
      <c r="T256" s="690">
        <f>(AS256*KFC!$B$22+KFC!$C$22)*KFC!$C$5</f>
        <v>429.14411752969301</v>
      </c>
      <c r="U256" s="690">
        <f>(AT256*KFC!$B$22+KFC!$C$22)*KFC!$C$5</f>
        <v>445.77371545116705</v>
      </c>
      <c r="V256" s="690">
        <f>(AU256*KFC!$B$22+KFC!$C$22)*KFC!$C$5</f>
        <v>462.40331337264109</v>
      </c>
      <c r="W256" s="690">
        <f>(AV256*KFC!$B$22+KFC!$C$22)*KFC!$C$5</f>
        <v>479.03291129411514</v>
      </c>
      <c r="X256" s="690">
        <f>(AW256*KFC!$B$22+KFC!$C$22)*KFC!$C$5</f>
        <v>495.66250921558918</v>
      </c>
      <c r="Y256" s="690">
        <f>(AX256*KFC!$B$22+KFC!$C$22)*KFC!$C$5</f>
        <v>512.29210713706323</v>
      </c>
      <c r="Z256" s="690">
        <f>(AY256*KFC!$B$22+KFC!$C$22)*KFC!$C$5</f>
        <v>528.92170505853687</v>
      </c>
      <c r="AB256" s="771">
        <v>146.44095286463428</v>
      </c>
      <c r="AC256" s="772">
        <v>163.0705507861083</v>
      </c>
      <c r="AD256" s="772">
        <v>179.70014870758231</v>
      </c>
      <c r="AE256" s="772">
        <v>196.32974662905636</v>
      </c>
      <c r="AF256" s="772">
        <v>212.9593445505304</v>
      </c>
      <c r="AG256" s="772">
        <v>229.58894247200445</v>
      </c>
      <c r="AH256" s="772">
        <v>246.21854039347849</v>
      </c>
      <c r="AI256" s="772">
        <v>262.84813831495256</v>
      </c>
      <c r="AJ256" s="772">
        <v>279.47773623642661</v>
      </c>
      <c r="AK256" s="772">
        <v>296.10733415790065</v>
      </c>
      <c r="AL256" s="772">
        <v>312.7369320793747</v>
      </c>
      <c r="AM256" s="772">
        <v>329.36653000084874</v>
      </c>
      <c r="AN256" s="772">
        <v>345.99612792232278</v>
      </c>
      <c r="AO256" s="772">
        <v>362.62572584379683</v>
      </c>
      <c r="AP256" s="772">
        <v>379.25532376527087</v>
      </c>
      <c r="AQ256" s="772">
        <v>395.88492168674492</v>
      </c>
      <c r="AR256" s="772">
        <v>412.51451960821896</v>
      </c>
      <c r="AS256" s="772">
        <v>429.14411752969301</v>
      </c>
      <c r="AT256" s="772">
        <v>445.77371545116705</v>
      </c>
      <c r="AU256" s="772">
        <v>462.40331337264109</v>
      </c>
      <c r="AV256" s="772">
        <v>479.03291129411514</v>
      </c>
      <c r="AW256" s="772">
        <v>495.66250921558918</v>
      </c>
      <c r="AX256" s="772">
        <v>512.29210713706323</v>
      </c>
      <c r="AY256" s="773">
        <v>528.92170505853687</v>
      </c>
    </row>
    <row r="257" spans="1:51" ht="12.75" customHeight="1">
      <c r="A257" s="1277"/>
      <c r="B257" s="681">
        <v>2.9</v>
      </c>
      <c r="C257" s="690">
        <f>(AB257*KFC!$B$22+KFC!$C$22)*KFC!$C$5</f>
        <v>149.70154343048793</v>
      </c>
      <c r="D257" s="690">
        <f>(AC257*KFC!$B$22+KFC!$C$22)*KFC!$C$5</f>
        <v>166.79648154098635</v>
      </c>
      <c r="E257" s="690">
        <f>(AD257*KFC!$B$22+KFC!$C$22)*KFC!$C$5</f>
        <v>183.89141965148477</v>
      </c>
      <c r="F257" s="690">
        <f>(AE257*KFC!$B$22+KFC!$C$22)*KFC!$C$5</f>
        <v>200.98635776198319</v>
      </c>
      <c r="G257" s="690">
        <f>(AF257*KFC!$B$22+KFC!$C$22)*KFC!$C$5</f>
        <v>218.0812958724816</v>
      </c>
      <c r="H257" s="690">
        <f>(AG257*KFC!$B$22+KFC!$C$22)*KFC!$C$5</f>
        <v>235.17623398298002</v>
      </c>
      <c r="I257" s="690">
        <f>(AH257*KFC!$B$22+KFC!$C$22)*KFC!$C$5</f>
        <v>252.27117209347847</v>
      </c>
      <c r="J257" s="690">
        <f>(AI257*KFC!$B$22+KFC!$C$22)*KFC!$C$5</f>
        <v>269.36611020397686</v>
      </c>
      <c r="K257" s="690">
        <f>(AJ257*KFC!$B$22+KFC!$C$22)*KFC!$C$5</f>
        <v>286.46104831447531</v>
      </c>
      <c r="L257" s="690">
        <f>(AK257*KFC!$B$22+KFC!$C$22)*KFC!$C$5</f>
        <v>303.55598642497375</v>
      </c>
      <c r="M257" s="690">
        <f>(AL257*KFC!$B$22+KFC!$C$22)*KFC!$C$5</f>
        <v>320.65092453547214</v>
      </c>
      <c r="N257" s="690">
        <f>(AM257*KFC!$B$22+KFC!$C$22)*KFC!$C$5</f>
        <v>337.74586264597053</v>
      </c>
      <c r="O257" s="690">
        <f>(AN257*KFC!$B$22+KFC!$C$22)*KFC!$C$5</f>
        <v>354.84080075646892</v>
      </c>
      <c r="P257" s="690">
        <f>(AO257*KFC!$B$22+KFC!$C$22)*KFC!$C$5</f>
        <v>371.93573886696731</v>
      </c>
      <c r="Q257" s="690">
        <f>(AP257*KFC!$B$22+KFC!$C$22)*KFC!$C$5</f>
        <v>389.0306769774657</v>
      </c>
      <c r="R257" s="690">
        <f>(AQ257*KFC!$B$22+KFC!$C$22)*KFC!$C$5</f>
        <v>406.12561508796409</v>
      </c>
      <c r="S257" s="690">
        <f>(AR257*KFC!$B$22+KFC!$C$22)*KFC!$C$5</f>
        <v>423.22055319846248</v>
      </c>
      <c r="T257" s="690">
        <f>(AS257*KFC!$B$22+KFC!$C$22)*KFC!$C$5</f>
        <v>440.31549130896087</v>
      </c>
      <c r="U257" s="690">
        <f>(AT257*KFC!$B$22+KFC!$C$22)*KFC!$C$5</f>
        <v>457.41042941945921</v>
      </c>
      <c r="V257" s="690">
        <f>(AU257*KFC!$B$22+KFC!$C$22)*KFC!$C$5</f>
        <v>474.5053675299576</v>
      </c>
      <c r="W257" s="690">
        <f>(AV257*KFC!$B$22+KFC!$C$22)*KFC!$C$5</f>
        <v>491.60030564045599</v>
      </c>
      <c r="X257" s="690">
        <f>(AW257*KFC!$B$22+KFC!$C$22)*KFC!$C$5</f>
        <v>508.69524375095438</v>
      </c>
      <c r="Y257" s="690">
        <f>(AX257*KFC!$B$22+KFC!$C$22)*KFC!$C$5</f>
        <v>525.79018186145277</v>
      </c>
      <c r="Z257" s="690">
        <f>(AY257*KFC!$B$22+KFC!$C$22)*KFC!$C$5</f>
        <v>542.88511997195155</v>
      </c>
      <c r="AB257" s="771">
        <v>149.70154343048793</v>
      </c>
      <c r="AC257" s="772">
        <v>166.79648154098635</v>
      </c>
      <c r="AD257" s="772">
        <v>183.89141965148477</v>
      </c>
      <c r="AE257" s="772">
        <v>200.98635776198319</v>
      </c>
      <c r="AF257" s="772">
        <v>218.0812958724816</v>
      </c>
      <c r="AG257" s="772">
        <v>235.17623398298002</v>
      </c>
      <c r="AH257" s="772">
        <v>252.27117209347847</v>
      </c>
      <c r="AI257" s="772">
        <v>269.36611020397686</v>
      </c>
      <c r="AJ257" s="772">
        <v>286.46104831447531</v>
      </c>
      <c r="AK257" s="772">
        <v>303.55598642497375</v>
      </c>
      <c r="AL257" s="772">
        <v>320.65092453547214</v>
      </c>
      <c r="AM257" s="772">
        <v>337.74586264597053</v>
      </c>
      <c r="AN257" s="772">
        <v>354.84080075646892</v>
      </c>
      <c r="AO257" s="772">
        <v>371.93573886696731</v>
      </c>
      <c r="AP257" s="772">
        <v>389.0306769774657</v>
      </c>
      <c r="AQ257" s="772">
        <v>406.12561508796409</v>
      </c>
      <c r="AR257" s="772">
        <v>423.22055319846248</v>
      </c>
      <c r="AS257" s="772">
        <v>440.31549130896087</v>
      </c>
      <c r="AT257" s="772">
        <v>457.41042941945921</v>
      </c>
      <c r="AU257" s="772">
        <v>474.5053675299576</v>
      </c>
      <c r="AV257" s="772">
        <v>491.60030564045599</v>
      </c>
      <c r="AW257" s="772">
        <v>508.69524375095438</v>
      </c>
      <c r="AX257" s="772">
        <v>525.79018186145277</v>
      </c>
      <c r="AY257" s="773">
        <v>542.88511997195155</v>
      </c>
    </row>
    <row r="258" spans="1:51" ht="12.75" customHeight="1">
      <c r="A258" s="1277"/>
      <c r="B258" s="681">
        <v>3</v>
      </c>
      <c r="C258" s="690">
        <f>(AB258*KFC!$B$22+KFC!$C$22)*KFC!$C$5</f>
        <v>152.96213399634161</v>
      </c>
      <c r="D258" s="690">
        <f>(AC258*KFC!$B$22+KFC!$C$22)*KFC!$C$5</f>
        <v>170.5224122958644</v>
      </c>
      <c r="E258" s="690">
        <f>(AD258*KFC!$B$22+KFC!$C$22)*KFC!$C$5</f>
        <v>188.08269059538722</v>
      </c>
      <c r="F258" s="690">
        <f>(AE258*KFC!$B$22+KFC!$C$22)*KFC!$C$5</f>
        <v>205.64296889491001</v>
      </c>
      <c r="G258" s="690">
        <f>(AF258*KFC!$B$22+KFC!$C$22)*KFC!$C$5</f>
        <v>223.20324719443281</v>
      </c>
      <c r="H258" s="690">
        <f>(AG258*KFC!$B$22+KFC!$C$22)*KFC!$C$5</f>
        <v>240.7635254939556</v>
      </c>
      <c r="I258" s="690">
        <f>(AH258*KFC!$B$22+KFC!$C$22)*KFC!$C$5</f>
        <v>258.32380379347842</v>
      </c>
      <c r="J258" s="690">
        <f>(AI258*KFC!$B$22+KFC!$C$22)*KFC!$C$5</f>
        <v>275.88408209300121</v>
      </c>
      <c r="K258" s="690">
        <f>(AJ258*KFC!$B$22+KFC!$C$22)*KFC!$C$5</f>
        <v>293.444360392524</v>
      </c>
      <c r="L258" s="690">
        <f>(AK258*KFC!$B$22+KFC!$C$22)*KFC!$C$5</f>
        <v>311.0046386920468</v>
      </c>
      <c r="M258" s="690">
        <f>(AL258*KFC!$B$22+KFC!$C$22)*KFC!$C$5</f>
        <v>328.56491699156965</v>
      </c>
      <c r="N258" s="690">
        <f>(AM258*KFC!$B$22+KFC!$C$22)*KFC!$C$5</f>
        <v>346.12519529109244</v>
      </c>
      <c r="O258" s="690">
        <f>(AN258*KFC!$B$22+KFC!$C$22)*KFC!$C$5</f>
        <v>363.68547359061523</v>
      </c>
      <c r="P258" s="690">
        <f>(AO258*KFC!$B$22+KFC!$C$22)*KFC!$C$5</f>
        <v>381.24575189013802</v>
      </c>
      <c r="Q258" s="690">
        <f>(AP258*KFC!$B$22+KFC!$C$22)*KFC!$C$5</f>
        <v>398.80603018966082</v>
      </c>
      <c r="R258" s="690">
        <f>(AQ258*KFC!$B$22+KFC!$C$22)*KFC!$C$5</f>
        <v>416.36630848918361</v>
      </c>
      <c r="S258" s="690">
        <f>(AR258*KFC!$B$22+KFC!$C$22)*KFC!$C$5</f>
        <v>433.9265867887064</v>
      </c>
      <c r="T258" s="690">
        <f>(AS258*KFC!$B$22+KFC!$C$22)*KFC!$C$5</f>
        <v>451.48686508822925</v>
      </c>
      <c r="U258" s="690">
        <f>(AT258*KFC!$B$22+KFC!$C$22)*KFC!$C$5</f>
        <v>469.04714338775204</v>
      </c>
      <c r="V258" s="690">
        <f>(AU258*KFC!$B$22+KFC!$C$22)*KFC!$C$5</f>
        <v>486.60742168727484</v>
      </c>
      <c r="W258" s="690">
        <f>(AV258*KFC!$B$22+KFC!$C$22)*KFC!$C$5</f>
        <v>504.16769998679763</v>
      </c>
      <c r="X258" s="690">
        <f>(AW258*KFC!$B$22+KFC!$C$22)*KFC!$C$5</f>
        <v>521.72797828632042</v>
      </c>
      <c r="Y258" s="690">
        <f>(AX258*KFC!$B$22+KFC!$C$22)*KFC!$C$5</f>
        <v>539.28825658584321</v>
      </c>
      <c r="Z258" s="690">
        <f>(AY258*KFC!$B$22+KFC!$C$22)*KFC!$C$5</f>
        <v>556.84853488536623</v>
      </c>
      <c r="AB258" s="771">
        <v>152.96213399634161</v>
      </c>
      <c r="AC258" s="772">
        <v>170.5224122958644</v>
      </c>
      <c r="AD258" s="772">
        <v>188.08269059538722</v>
      </c>
      <c r="AE258" s="772">
        <v>205.64296889491001</v>
      </c>
      <c r="AF258" s="772">
        <v>223.20324719443281</v>
      </c>
      <c r="AG258" s="772">
        <v>240.7635254939556</v>
      </c>
      <c r="AH258" s="772">
        <v>258.32380379347842</v>
      </c>
      <c r="AI258" s="772">
        <v>275.88408209300121</v>
      </c>
      <c r="AJ258" s="772">
        <v>293.444360392524</v>
      </c>
      <c r="AK258" s="772">
        <v>311.0046386920468</v>
      </c>
      <c r="AL258" s="772">
        <v>328.56491699156965</v>
      </c>
      <c r="AM258" s="772">
        <v>346.12519529109244</v>
      </c>
      <c r="AN258" s="772">
        <v>363.68547359061523</v>
      </c>
      <c r="AO258" s="772">
        <v>381.24575189013802</v>
      </c>
      <c r="AP258" s="772">
        <v>398.80603018966082</v>
      </c>
      <c r="AQ258" s="772">
        <v>416.36630848918361</v>
      </c>
      <c r="AR258" s="772">
        <v>433.9265867887064</v>
      </c>
      <c r="AS258" s="772">
        <v>451.48686508822925</v>
      </c>
      <c r="AT258" s="772">
        <v>469.04714338775204</v>
      </c>
      <c r="AU258" s="772">
        <v>486.60742168727484</v>
      </c>
      <c r="AV258" s="772">
        <v>504.16769998679763</v>
      </c>
      <c r="AW258" s="772">
        <v>521.72797828632042</v>
      </c>
      <c r="AX258" s="772">
        <v>539.28825658584321</v>
      </c>
      <c r="AY258" s="773">
        <v>556.84853488536623</v>
      </c>
    </row>
    <row r="259" spans="1:51" ht="12.75" customHeight="1">
      <c r="A259" s="1277"/>
      <c r="B259" s="681">
        <v>3.1</v>
      </c>
      <c r="C259" s="690">
        <f>(AB259*KFC!$B$22+KFC!$C$22)*KFC!$C$5</f>
        <v>156.22272456219528</v>
      </c>
      <c r="D259" s="690">
        <f>(AC259*KFC!$B$22+KFC!$C$22)*KFC!$C$5</f>
        <v>174.24834305074248</v>
      </c>
      <c r="E259" s="690">
        <f>(AD259*KFC!$B$22+KFC!$C$22)*KFC!$C$5</f>
        <v>192.27396153928964</v>
      </c>
      <c r="F259" s="690">
        <f>(AE259*KFC!$B$22+KFC!$C$22)*KFC!$C$5</f>
        <v>210.29958002783687</v>
      </c>
      <c r="G259" s="690">
        <f>(AF259*KFC!$B$22+KFC!$C$22)*KFC!$C$5</f>
        <v>228.32519851638409</v>
      </c>
      <c r="H259" s="690">
        <f>(AG259*KFC!$B$22+KFC!$C$22)*KFC!$C$5</f>
        <v>246.35081700493129</v>
      </c>
      <c r="I259" s="690">
        <f>(AH259*KFC!$B$22+KFC!$C$22)*KFC!$C$5</f>
        <v>264.37643549347854</v>
      </c>
      <c r="J259" s="690">
        <f>(AI259*KFC!$B$22+KFC!$C$22)*KFC!$C$5</f>
        <v>282.40205398202573</v>
      </c>
      <c r="K259" s="690">
        <f>(AJ259*KFC!$B$22+KFC!$C$22)*KFC!$C$5</f>
        <v>300.42767247057293</v>
      </c>
      <c r="L259" s="690">
        <f>(AK259*KFC!$B$22+KFC!$C$22)*KFC!$C$5</f>
        <v>318.45329095912018</v>
      </c>
      <c r="M259" s="690">
        <f>(AL259*KFC!$B$22+KFC!$C$22)*KFC!$C$5</f>
        <v>336.47890944766738</v>
      </c>
      <c r="N259" s="690">
        <f>(AM259*KFC!$B$22+KFC!$C$22)*KFC!$C$5</f>
        <v>354.50452793621463</v>
      </c>
      <c r="O259" s="690">
        <f>(AN259*KFC!$B$22+KFC!$C$22)*KFC!$C$5</f>
        <v>372.53014642476182</v>
      </c>
      <c r="P259" s="690">
        <f>(AO259*KFC!$B$22+KFC!$C$22)*KFC!$C$5</f>
        <v>390.55576491330902</v>
      </c>
      <c r="Q259" s="690">
        <f>(AP259*KFC!$B$22+KFC!$C$22)*KFC!$C$5</f>
        <v>408.58138340185627</v>
      </c>
      <c r="R259" s="690">
        <f>(AQ259*KFC!$B$22+KFC!$C$22)*KFC!$C$5</f>
        <v>426.60700189040347</v>
      </c>
      <c r="S259" s="690">
        <f>(AR259*KFC!$B$22+KFC!$C$22)*KFC!$C$5</f>
        <v>444.63262037895066</v>
      </c>
      <c r="T259" s="690">
        <f>(AS259*KFC!$B$22+KFC!$C$22)*KFC!$C$5</f>
        <v>462.65823886749791</v>
      </c>
      <c r="U259" s="690">
        <f>(AT259*KFC!$B$22+KFC!$C$22)*KFC!$C$5</f>
        <v>480.68385735604511</v>
      </c>
      <c r="V259" s="690">
        <f>(AU259*KFC!$B$22+KFC!$C$22)*KFC!$C$5</f>
        <v>498.70947584459236</v>
      </c>
      <c r="W259" s="690">
        <f>(AV259*KFC!$B$22+KFC!$C$22)*KFC!$C$5</f>
        <v>516.7350943331395</v>
      </c>
      <c r="X259" s="690">
        <f>(AW259*KFC!$B$22+KFC!$C$22)*KFC!$C$5</f>
        <v>534.76071282168675</v>
      </c>
      <c r="Y259" s="690">
        <f>(AX259*KFC!$B$22+KFC!$C$22)*KFC!$C$5</f>
        <v>552.786331310234</v>
      </c>
      <c r="Z259" s="690">
        <f>(AY259*KFC!$B$22+KFC!$C$22)*KFC!$C$5</f>
        <v>570.8119497987808</v>
      </c>
      <c r="AB259" s="771">
        <v>156.22272456219528</v>
      </c>
      <c r="AC259" s="772">
        <v>174.24834305074248</v>
      </c>
      <c r="AD259" s="772">
        <v>192.27396153928964</v>
      </c>
      <c r="AE259" s="772">
        <v>210.29958002783687</v>
      </c>
      <c r="AF259" s="772">
        <v>228.32519851638409</v>
      </c>
      <c r="AG259" s="772">
        <v>246.35081700493129</v>
      </c>
      <c r="AH259" s="772">
        <v>264.37643549347854</v>
      </c>
      <c r="AI259" s="772">
        <v>282.40205398202573</v>
      </c>
      <c r="AJ259" s="772">
        <v>300.42767247057293</v>
      </c>
      <c r="AK259" s="772">
        <v>318.45329095912018</v>
      </c>
      <c r="AL259" s="772">
        <v>336.47890944766738</v>
      </c>
      <c r="AM259" s="772">
        <v>354.50452793621463</v>
      </c>
      <c r="AN259" s="772">
        <v>372.53014642476182</v>
      </c>
      <c r="AO259" s="772">
        <v>390.55576491330902</v>
      </c>
      <c r="AP259" s="772">
        <v>408.58138340185627</v>
      </c>
      <c r="AQ259" s="772">
        <v>426.60700189040347</v>
      </c>
      <c r="AR259" s="772">
        <v>444.63262037895066</v>
      </c>
      <c r="AS259" s="772">
        <v>462.65823886749791</v>
      </c>
      <c r="AT259" s="772">
        <v>480.68385735604511</v>
      </c>
      <c r="AU259" s="772">
        <v>498.70947584459236</v>
      </c>
      <c r="AV259" s="772">
        <v>516.7350943331395</v>
      </c>
      <c r="AW259" s="772">
        <v>534.76071282168675</v>
      </c>
      <c r="AX259" s="772">
        <v>552.786331310234</v>
      </c>
      <c r="AY259" s="773">
        <v>570.8119497987808</v>
      </c>
    </row>
    <row r="260" spans="1:51" ht="12.75" customHeight="1">
      <c r="A260" s="1277"/>
      <c r="B260" s="681">
        <v>3.2</v>
      </c>
      <c r="C260" s="690">
        <f>(AB260*KFC!$B$22+KFC!$C$22)*KFC!$C$5</f>
        <v>159.48331512804893</v>
      </c>
      <c r="D260" s="690">
        <f>(AC260*KFC!$B$22+KFC!$C$22)*KFC!$C$5</f>
        <v>177.97427380562053</v>
      </c>
      <c r="E260" s="690">
        <f>(AD260*KFC!$B$22+KFC!$C$22)*KFC!$C$5</f>
        <v>196.46523248319212</v>
      </c>
      <c r="F260" s="690">
        <f>(AE260*KFC!$B$22+KFC!$C$22)*KFC!$C$5</f>
        <v>214.95619116076372</v>
      </c>
      <c r="G260" s="690">
        <f>(AF260*KFC!$B$22+KFC!$C$22)*KFC!$C$5</f>
        <v>233.44714983833532</v>
      </c>
      <c r="H260" s="690">
        <f>(AG260*KFC!$B$22+KFC!$C$22)*KFC!$C$5</f>
        <v>251.93810851590692</v>
      </c>
      <c r="I260" s="690">
        <f>(AH260*KFC!$B$22+KFC!$C$22)*KFC!$C$5</f>
        <v>270.42906719347849</v>
      </c>
      <c r="J260" s="690">
        <f>(AI260*KFC!$B$22+KFC!$C$22)*KFC!$C$5</f>
        <v>288.92002587105009</v>
      </c>
      <c r="K260" s="690">
        <f>(AJ260*KFC!$B$22+KFC!$C$22)*KFC!$C$5</f>
        <v>307.41098454862168</v>
      </c>
      <c r="L260" s="690">
        <f>(AK260*KFC!$B$22+KFC!$C$22)*KFC!$C$5</f>
        <v>325.90194322619328</v>
      </c>
      <c r="M260" s="690">
        <f>(AL260*KFC!$B$22+KFC!$C$22)*KFC!$C$5</f>
        <v>344.39290190376488</v>
      </c>
      <c r="N260" s="690">
        <f>(AM260*KFC!$B$22+KFC!$C$22)*KFC!$C$5</f>
        <v>362.88386058133642</v>
      </c>
      <c r="O260" s="690">
        <f>(AN260*KFC!$B$22+KFC!$C$22)*KFC!$C$5</f>
        <v>381.37481925890796</v>
      </c>
      <c r="P260" s="690">
        <f>(AO260*KFC!$B$22+KFC!$C$22)*KFC!$C$5</f>
        <v>399.8657779364795</v>
      </c>
      <c r="Q260" s="690">
        <f>(AP260*KFC!$B$22+KFC!$C$22)*KFC!$C$5</f>
        <v>418.3567366140511</v>
      </c>
      <c r="R260" s="690">
        <f>(AQ260*KFC!$B$22+KFC!$C$22)*KFC!$C$5</f>
        <v>436.84769529162264</v>
      </c>
      <c r="S260" s="690">
        <f>(AR260*KFC!$B$22+KFC!$C$22)*KFC!$C$5</f>
        <v>455.33865396919418</v>
      </c>
      <c r="T260" s="690">
        <f>(AS260*KFC!$B$22+KFC!$C$22)*KFC!$C$5</f>
        <v>473.82961264676578</v>
      </c>
      <c r="U260" s="690">
        <f>(AT260*KFC!$B$22+KFC!$C$22)*KFC!$C$5</f>
        <v>492.32057132433732</v>
      </c>
      <c r="V260" s="690">
        <f>(AU260*KFC!$B$22+KFC!$C$22)*KFC!$C$5</f>
        <v>510.81153000190886</v>
      </c>
      <c r="W260" s="690">
        <f>(AV260*KFC!$B$22+KFC!$C$22)*KFC!$C$5</f>
        <v>529.30248867948046</v>
      </c>
      <c r="X260" s="690">
        <f>(AW260*KFC!$B$22+KFC!$C$22)*KFC!$C$5</f>
        <v>547.79344735705195</v>
      </c>
      <c r="Y260" s="690">
        <f>(AX260*KFC!$B$22+KFC!$C$22)*KFC!$C$5</f>
        <v>566.28440603462354</v>
      </c>
      <c r="Z260" s="690">
        <f>(AY260*KFC!$B$22+KFC!$C$22)*KFC!$C$5</f>
        <v>584.77536471219548</v>
      </c>
      <c r="AB260" s="771">
        <v>159.48331512804893</v>
      </c>
      <c r="AC260" s="772">
        <v>177.97427380562053</v>
      </c>
      <c r="AD260" s="772">
        <v>196.46523248319212</v>
      </c>
      <c r="AE260" s="772">
        <v>214.95619116076372</v>
      </c>
      <c r="AF260" s="772">
        <v>233.44714983833532</v>
      </c>
      <c r="AG260" s="772">
        <v>251.93810851590692</v>
      </c>
      <c r="AH260" s="772">
        <v>270.42906719347849</v>
      </c>
      <c r="AI260" s="772">
        <v>288.92002587105009</v>
      </c>
      <c r="AJ260" s="772">
        <v>307.41098454862168</v>
      </c>
      <c r="AK260" s="772">
        <v>325.90194322619328</v>
      </c>
      <c r="AL260" s="772">
        <v>344.39290190376488</v>
      </c>
      <c r="AM260" s="772">
        <v>362.88386058133642</v>
      </c>
      <c r="AN260" s="772">
        <v>381.37481925890796</v>
      </c>
      <c r="AO260" s="772">
        <v>399.8657779364795</v>
      </c>
      <c r="AP260" s="772">
        <v>418.3567366140511</v>
      </c>
      <c r="AQ260" s="772">
        <v>436.84769529162264</v>
      </c>
      <c r="AR260" s="772">
        <v>455.33865396919418</v>
      </c>
      <c r="AS260" s="772">
        <v>473.82961264676578</v>
      </c>
      <c r="AT260" s="772">
        <v>492.32057132433732</v>
      </c>
      <c r="AU260" s="772">
        <v>510.81153000190886</v>
      </c>
      <c r="AV260" s="772">
        <v>529.30248867948046</v>
      </c>
      <c r="AW260" s="772">
        <v>547.79344735705195</v>
      </c>
      <c r="AX260" s="772">
        <v>566.28440603462354</v>
      </c>
      <c r="AY260" s="773">
        <v>584.77536471219548</v>
      </c>
    </row>
    <row r="261" spans="1:51" ht="12.75" customHeight="1">
      <c r="A261" s="1277"/>
      <c r="B261" s="681">
        <v>3.3</v>
      </c>
      <c r="C261" s="690">
        <f>(AB261*KFC!$B$22+KFC!$C$22)*KFC!$C$5</f>
        <v>162.7439056939026</v>
      </c>
      <c r="D261" s="690">
        <f>(AC261*KFC!$B$22+KFC!$C$22)*KFC!$C$5</f>
        <v>181.70020456049861</v>
      </c>
      <c r="E261" s="690">
        <f>(AD261*KFC!$B$22+KFC!$C$22)*KFC!$C$5</f>
        <v>200.65650342709458</v>
      </c>
      <c r="F261" s="690">
        <f>(AE261*KFC!$B$22+KFC!$C$22)*KFC!$C$5</f>
        <v>219.61280229369055</v>
      </c>
      <c r="G261" s="690">
        <f>(AF261*KFC!$B$22+KFC!$C$22)*KFC!$C$5</f>
        <v>238.56910116028652</v>
      </c>
      <c r="H261" s="690">
        <f>(AG261*KFC!$B$22+KFC!$C$22)*KFC!$C$5</f>
        <v>257.52540002688249</v>
      </c>
      <c r="I261" s="690">
        <f>(AH261*KFC!$B$22+KFC!$C$22)*KFC!$C$5</f>
        <v>276.48169889347844</v>
      </c>
      <c r="J261" s="690">
        <f>(AI261*KFC!$B$22+KFC!$C$22)*KFC!$C$5</f>
        <v>295.43799776007444</v>
      </c>
      <c r="K261" s="690">
        <f>(AJ261*KFC!$B$22+KFC!$C$22)*KFC!$C$5</f>
        <v>314.39429662667044</v>
      </c>
      <c r="L261" s="690">
        <f>(AK261*KFC!$B$22+KFC!$C$22)*KFC!$C$5</f>
        <v>333.35059549326638</v>
      </c>
      <c r="M261" s="690">
        <f>(AL261*KFC!$B$22+KFC!$C$22)*KFC!$C$5</f>
        <v>352.30689435986238</v>
      </c>
      <c r="N261" s="690">
        <f>(AM261*KFC!$B$22+KFC!$C$22)*KFC!$C$5</f>
        <v>371.26319322645838</v>
      </c>
      <c r="O261" s="690">
        <f>(AN261*KFC!$B$22+KFC!$C$22)*KFC!$C$5</f>
        <v>390.21949209305433</v>
      </c>
      <c r="P261" s="690">
        <f>(AO261*KFC!$B$22+KFC!$C$22)*KFC!$C$5</f>
        <v>409.17579095965033</v>
      </c>
      <c r="Q261" s="690">
        <f>(AP261*KFC!$B$22+KFC!$C$22)*KFC!$C$5</f>
        <v>428.13208982624627</v>
      </c>
      <c r="R261" s="690">
        <f>(AQ261*KFC!$B$22+KFC!$C$22)*KFC!$C$5</f>
        <v>447.08838869284227</v>
      </c>
      <c r="S261" s="690">
        <f>(AR261*KFC!$B$22+KFC!$C$22)*KFC!$C$5</f>
        <v>466.04468755943822</v>
      </c>
      <c r="T261" s="690">
        <f>(AS261*KFC!$B$22+KFC!$C$22)*KFC!$C$5</f>
        <v>485.00098642603422</v>
      </c>
      <c r="U261" s="690">
        <f>(AT261*KFC!$B$22+KFC!$C$22)*KFC!$C$5</f>
        <v>503.95728529263016</v>
      </c>
      <c r="V261" s="690">
        <f>(AU261*KFC!$B$22+KFC!$C$22)*KFC!$C$5</f>
        <v>522.91358415922616</v>
      </c>
      <c r="W261" s="690">
        <f>(AV261*KFC!$B$22+KFC!$C$22)*KFC!$C$5</f>
        <v>541.86988302582211</v>
      </c>
      <c r="X261" s="690">
        <f>(AW261*KFC!$B$22+KFC!$C$22)*KFC!$C$5</f>
        <v>560.82618189241816</v>
      </c>
      <c r="Y261" s="690">
        <f>(AX261*KFC!$B$22+KFC!$C$22)*KFC!$C$5</f>
        <v>579.78248075901411</v>
      </c>
      <c r="Z261" s="690">
        <f>(AY261*KFC!$B$22+KFC!$C$22)*KFC!$C$5</f>
        <v>598.73877962561016</v>
      </c>
      <c r="AB261" s="771">
        <v>162.7439056939026</v>
      </c>
      <c r="AC261" s="772">
        <v>181.70020456049861</v>
      </c>
      <c r="AD261" s="772">
        <v>200.65650342709458</v>
      </c>
      <c r="AE261" s="772">
        <v>219.61280229369055</v>
      </c>
      <c r="AF261" s="772">
        <v>238.56910116028652</v>
      </c>
      <c r="AG261" s="772">
        <v>257.52540002688249</v>
      </c>
      <c r="AH261" s="772">
        <v>276.48169889347844</v>
      </c>
      <c r="AI261" s="772">
        <v>295.43799776007444</v>
      </c>
      <c r="AJ261" s="772">
        <v>314.39429662667044</v>
      </c>
      <c r="AK261" s="772">
        <v>333.35059549326638</v>
      </c>
      <c r="AL261" s="772">
        <v>352.30689435986238</v>
      </c>
      <c r="AM261" s="772">
        <v>371.26319322645838</v>
      </c>
      <c r="AN261" s="772">
        <v>390.21949209305433</v>
      </c>
      <c r="AO261" s="772">
        <v>409.17579095965033</v>
      </c>
      <c r="AP261" s="772">
        <v>428.13208982624627</v>
      </c>
      <c r="AQ261" s="772">
        <v>447.08838869284227</v>
      </c>
      <c r="AR261" s="772">
        <v>466.04468755943822</v>
      </c>
      <c r="AS261" s="772">
        <v>485.00098642603422</v>
      </c>
      <c r="AT261" s="772">
        <v>503.95728529263016</v>
      </c>
      <c r="AU261" s="772">
        <v>522.91358415922616</v>
      </c>
      <c r="AV261" s="772">
        <v>541.86988302582211</v>
      </c>
      <c r="AW261" s="772">
        <v>560.82618189241816</v>
      </c>
      <c r="AX261" s="772">
        <v>579.78248075901411</v>
      </c>
      <c r="AY261" s="773">
        <v>598.73877962561016</v>
      </c>
    </row>
    <row r="262" spans="1:51" ht="12.75" customHeight="1">
      <c r="A262" s="1277"/>
      <c r="B262" s="681">
        <v>3.4</v>
      </c>
      <c r="C262" s="690">
        <f>(AB262*KFC!$B$22+KFC!$C$22)*KFC!$C$5</f>
        <v>166.00449625975628</v>
      </c>
      <c r="D262" s="690">
        <f>(AC262*KFC!$B$22+KFC!$C$22)*KFC!$C$5</f>
        <v>185.42613531537665</v>
      </c>
      <c r="E262" s="690">
        <f>(AD262*KFC!$B$22+KFC!$C$22)*KFC!$C$5</f>
        <v>204.84777437099706</v>
      </c>
      <c r="F262" s="690">
        <f>(AE262*KFC!$B$22+KFC!$C$22)*KFC!$C$5</f>
        <v>224.26941342661743</v>
      </c>
      <c r="G262" s="690">
        <f>(AF262*KFC!$B$22+KFC!$C$22)*KFC!$C$5</f>
        <v>243.69105248223784</v>
      </c>
      <c r="H262" s="690">
        <f>(AG262*KFC!$B$22+KFC!$C$22)*KFC!$C$5</f>
        <v>263.11269153785821</v>
      </c>
      <c r="I262" s="690">
        <f>(AH262*KFC!$B$22+KFC!$C$22)*KFC!$C$5</f>
        <v>282.53433059347861</v>
      </c>
      <c r="J262" s="690">
        <f>(AI262*KFC!$B$22+KFC!$C$22)*KFC!$C$5</f>
        <v>301.95596964909902</v>
      </c>
      <c r="K262" s="690">
        <f>(AJ262*KFC!$B$22+KFC!$C$22)*KFC!$C$5</f>
        <v>321.37760870471936</v>
      </c>
      <c r="L262" s="690">
        <f>(AK262*KFC!$B$22+KFC!$C$22)*KFC!$C$5</f>
        <v>340.79924776033977</v>
      </c>
      <c r="M262" s="690">
        <f>(AL262*KFC!$B$22+KFC!$C$22)*KFC!$C$5</f>
        <v>360.22088681596017</v>
      </c>
      <c r="N262" s="690">
        <f>(AM262*KFC!$B$22+KFC!$C$22)*KFC!$C$5</f>
        <v>379.64252587158057</v>
      </c>
      <c r="O262" s="690">
        <f>(AN262*KFC!$B$22+KFC!$C$22)*KFC!$C$5</f>
        <v>399.06416492720092</v>
      </c>
      <c r="P262" s="690">
        <f>(AO262*KFC!$B$22+KFC!$C$22)*KFC!$C$5</f>
        <v>418.48580398282132</v>
      </c>
      <c r="Q262" s="690">
        <f>(AP262*KFC!$B$22+KFC!$C$22)*KFC!$C$5</f>
        <v>437.90744303844173</v>
      </c>
      <c r="R262" s="690">
        <f>(AQ262*KFC!$B$22+KFC!$C$22)*KFC!$C$5</f>
        <v>457.32908209406213</v>
      </c>
      <c r="S262" s="690">
        <f>(AR262*KFC!$B$22+KFC!$C$22)*KFC!$C$5</f>
        <v>476.75072114968248</v>
      </c>
      <c r="T262" s="690">
        <f>(AS262*KFC!$B$22+KFC!$C$22)*KFC!$C$5</f>
        <v>496.17236020530288</v>
      </c>
      <c r="U262" s="690">
        <f>(AT262*KFC!$B$22+KFC!$C$22)*KFC!$C$5</f>
        <v>515.59399926092328</v>
      </c>
      <c r="V262" s="690">
        <f>(AU262*KFC!$B$22+KFC!$C$22)*KFC!$C$5</f>
        <v>535.01563831654369</v>
      </c>
      <c r="W262" s="690">
        <f>(AV262*KFC!$B$22+KFC!$C$22)*KFC!$C$5</f>
        <v>554.43727737216409</v>
      </c>
      <c r="X262" s="690">
        <f>(AW262*KFC!$B$22+KFC!$C$22)*KFC!$C$5</f>
        <v>573.85891642778449</v>
      </c>
      <c r="Y262" s="690">
        <f>(AX262*KFC!$B$22+KFC!$C$22)*KFC!$C$5</f>
        <v>593.28055548340478</v>
      </c>
      <c r="Z262" s="690">
        <f>(AY262*KFC!$B$22+KFC!$C$22)*KFC!$C$5</f>
        <v>612.70219453902473</v>
      </c>
      <c r="AB262" s="771">
        <v>166.00449625975628</v>
      </c>
      <c r="AC262" s="772">
        <v>185.42613531537665</v>
      </c>
      <c r="AD262" s="772">
        <v>204.84777437099706</v>
      </c>
      <c r="AE262" s="772">
        <v>224.26941342661743</v>
      </c>
      <c r="AF262" s="772">
        <v>243.69105248223784</v>
      </c>
      <c r="AG262" s="772">
        <v>263.11269153785821</v>
      </c>
      <c r="AH262" s="772">
        <v>282.53433059347861</v>
      </c>
      <c r="AI262" s="772">
        <v>301.95596964909902</v>
      </c>
      <c r="AJ262" s="772">
        <v>321.37760870471936</v>
      </c>
      <c r="AK262" s="772">
        <v>340.79924776033977</v>
      </c>
      <c r="AL262" s="772">
        <v>360.22088681596017</v>
      </c>
      <c r="AM262" s="772">
        <v>379.64252587158057</v>
      </c>
      <c r="AN262" s="772">
        <v>399.06416492720092</v>
      </c>
      <c r="AO262" s="772">
        <v>418.48580398282132</v>
      </c>
      <c r="AP262" s="772">
        <v>437.90744303844173</v>
      </c>
      <c r="AQ262" s="772">
        <v>457.32908209406213</v>
      </c>
      <c r="AR262" s="772">
        <v>476.75072114968248</v>
      </c>
      <c r="AS262" s="772">
        <v>496.17236020530288</v>
      </c>
      <c r="AT262" s="772">
        <v>515.59399926092328</v>
      </c>
      <c r="AU262" s="772">
        <v>535.01563831654369</v>
      </c>
      <c r="AV262" s="772">
        <v>554.43727737216409</v>
      </c>
      <c r="AW262" s="772">
        <v>573.85891642778449</v>
      </c>
      <c r="AX262" s="772">
        <v>593.28055548340478</v>
      </c>
      <c r="AY262" s="773">
        <v>612.70219453902473</v>
      </c>
    </row>
    <row r="263" spans="1:51" ht="12.75" customHeight="1">
      <c r="A263" s="1277"/>
      <c r="B263" s="681">
        <v>3.5</v>
      </c>
      <c r="C263" s="690">
        <f>(AB263*KFC!$B$22+KFC!$C$22)*KFC!$C$5</f>
        <v>169.26508682560993</v>
      </c>
      <c r="D263" s="690">
        <f>(AC263*KFC!$B$22+KFC!$C$22)*KFC!$C$5</f>
        <v>189.15206607025468</v>
      </c>
      <c r="E263" s="690">
        <f>(AD263*KFC!$B$22+KFC!$C$22)*KFC!$C$5</f>
        <v>209.03904531489945</v>
      </c>
      <c r="F263" s="690">
        <f>(AE263*KFC!$B$22+KFC!$C$22)*KFC!$C$5</f>
        <v>228.92602455954423</v>
      </c>
      <c r="G263" s="690">
        <f>(AF263*KFC!$B$22+KFC!$C$22)*KFC!$C$5</f>
        <v>248.81300380418898</v>
      </c>
      <c r="H263" s="690">
        <f>(AG263*KFC!$B$22+KFC!$C$22)*KFC!$C$5</f>
        <v>268.69998304883376</v>
      </c>
      <c r="I263" s="690">
        <f>(AH263*KFC!$B$22+KFC!$C$22)*KFC!$C$5</f>
        <v>288.58696229347851</v>
      </c>
      <c r="J263" s="690">
        <f>(AI263*KFC!$B$22+KFC!$C$22)*KFC!$C$5</f>
        <v>308.47394153812331</v>
      </c>
      <c r="K263" s="690">
        <f>(AJ263*KFC!$B$22+KFC!$C$22)*KFC!$C$5</f>
        <v>328.36092078276806</v>
      </c>
      <c r="L263" s="690">
        <f>(AK263*KFC!$B$22+KFC!$C$22)*KFC!$C$5</f>
        <v>348.24790002741281</v>
      </c>
      <c r="M263" s="690">
        <f>(AL263*KFC!$B$22+KFC!$C$22)*KFC!$C$5</f>
        <v>368.13487927205756</v>
      </c>
      <c r="N263" s="690">
        <f>(AM263*KFC!$B$22+KFC!$C$22)*KFC!$C$5</f>
        <v>388.02185851670231</v>
      </c>
      <c r="O263" s="690">
        <f>(AN263*KFC!$B$22+KFC!$C$22)*KFC!$C$5</f>
        <v>407.908837761347</v>
      </c>
      <c r="P263" s="690">
        <f>(AO263*KFC!$B$22+KFC!$C$22)*KFC!$C$5</f>
        <v>427.79581700599175</v>
      </c>
      <c r="Q263" s="690">
        <f>(AP263*KFC!$B$22+KFC!$C$22)*KFC!$C$5</f>
        <v>447.6827962506365</v>
      </c>
      <c r="R263" s="690">
        <f>(AQ263*KFC!$B$22+KFC!$C$22)*KFC!$C$5</f>
        <v>467.56977549528119</v>
      </c>
      <c r="S263" s="690">
        <f>(AR263*KFC!$B$22+KFC!$C$22)*KFC!$C$5</f>
        <v>487.45675473992594</v>
      </c>
      <c r="T263" s="690">
        <f>(AS263*KFC!$B$22+KFC!$C$22)*KFC!$C$5</f>
        <v>507.34373398457069</v>
      </c>
      <c r="U263" s="690">
        <f>(AT263*KFC!$B$22+KFC!$C$22)*KFC!$C$5</f>
        <v>527.23071322921544</v>
      </c>
      <c r="V263" s="690">
        <f>(AU263*KFC!$B$22+KFC!$C$22)*KFC!$C$5</f>
        <v>547.11769247386019</v>
      </c>
      <c r="W263" s="690">
        <f>(AV263*KFC!$B$22+KFC!$C$22)*KFC!$C$5</f>
        <v>567.00467171850482</v>
      </c>
      <c r="X263" s="690">
        <f>(AW263*KFC!$B$22+KFC!$C$22)*KFC!$C$5</f>
        <v>586.89165096314957</v>
      </c>
      <c r="Y263" s="690">
        <f>(AX263*KFC!$B$22+KFC!$C$22)*KFC!$C$5</f>
        <v>606.77863020779432</v>
      </c>
      <c r="Z263" s="690">
        <f>(AY263*KFC!$B$22+KFC!$C$22)*KFC!$C$5</f>
        <v>626.66560945243941</v>
      </c>
      <c r="AB263" s="771">
        <v>169.26508682560993</v>
      </c>
      <c r="AC263" s="772">
        <v>189.15206607025468</v>
      </c>
      <c r="AD263" s="772">
        <v>209.03904531489945</v>
      </c>
      <c r="AE263" s="772">
        <v>228.92602455954423</v>
      </c>
      <c r="AF263" s="772">
        <v>248.81300380418898</v>
      </c>
      <c r="AG263" s="772">
        <v>268.69998304883376</v>
      </c>
      <c r="AH263" s="772">
        <v>288.58696229347851</v>
      </c>
      <c r="AI263" s="772">
        <v>308.47394153812331</v>
      </c>
      <c r="AJ263" s="772">
        <v>328.36092078276806</v>
      </c>
      <c r="AK263" s="772">
        <v>348.24790002741281</v>
      </c>
      <c r="AL263" s="772">
        <v>368.13487927205756</v>
      </c>
      <c r="AM263" s="772">
        <v>388.02185851670231</v>
      </c>
      <c r="AN263" s="772">
        <v>407.908837761347</v>
      </c>
      <c r="AO263" s="772">
        <v>427.79581700599175</v>
      </c>
      <c r="AP263" s="772">
        <v>447.6827962506365</v>
      </c>
      <c r="AQ263" s="772">
        <v>467.56977549528119</v>
      </c>
      <c r="AR263" s="772">
        <v>487.45675473992594</v>
      </c>
      <c r="AS263" s="772">
        <v>507.34373398457069</v>
      </c>
      <c r="AT263" s="772">
        <v>527.23071322921544</v>
      </c>
      <c r="AU263" s="772">
        <v>547.11769247386019</v>
      </c>
      <c r="AV263" s="772">
        <v>567.00467171850482</v>
      </c>
      <c r="AW263" s="772">
        <v>586.89165096314957</v>
      </c>
      <c r="AX263" s="772">
        <v>606.77863020779432</v>
      </c>
      <c r="AY263" s="773">
        <v>626.66560945243941</v>
      </c>
    </row>
    <row r="264" spans="1:51" ht="12.75" customHeight="1">
      <c r="A264" s="1277"/>
      <c r="B264" s="681">
        <v>3.6</v>
      </c>
      <c r="C264" s="690">
        <f>(AB264*KFC!$B$22+KFC!$C$22)*KFC!$C$5</f>
        <v>172.52567739146357</v>
      </c>
      <c r="D264" s="690">
        <f>(AC264*KFC!$B$22+KFC!$C$22)*KFC!$C$5</f>
        <v>192.8779968251327</v>
      </c>
      <c r="E264" s="690">
        <f>(AD264*KFC!$B$22+KFC!$C$22)*KFC!$C$5</f>
        <v>213.23031625880185</v>
      </c>
      <c r="F264" s="690">
        <f>(AE264*KFC!$B$22+KFC!$C$22)*KFC!$C$5</f>
        <v>233.582635692471</v>
      </c>
      <c r="G264" s="690">
        <f>(AF264*KFC!$B$22+KFC!$C$22)*KFC!$C$5</f>
        <v>253.93495512614015</v>
      </c>
      <c r="H264" s="690">
        <f>(AG264*KFC!$B$22+KFC!$C$22)*KFC!$C$5</f>
        <v>274.2872745598093</v>
      </c>
      <c r="I264" s="690">
        <f>(AH264*KFC!$B$22+KFC!$C$22)*KFC!$C$5</f>
        <v>294.63959399347846</v>
      </c>
      <c r="J264" s="690">
        <f>(AI264*KFC!$B$22+KFC!$C$22)*KFC!$C$5</f>
        <v>314.99191342714761</v>
      </c>
      <c r="K264" s="690">
        <f>(AJ264*KFC!$B$22+KFC!$C$22)*KFC!$C$5</f>
        <v>335.34423286081676</v>
      </c>
      <c r="L264" s="690">
        <f>(AK264*KFC!$B$22+KFC!$C$22)*KFC!$C$5</f>
        <v>355.69655229448585</v>
      </c>
      <c r="M264" s="690">
        <f>(AL264*KFC!$B$22+KFC!$C$22)*KFC!$C$5</f>
        <v>376.04887172815501</v>
      </c>
      <c r="N264" s="690">
        <f>(AM264*KFC!$B$22+KFC!$C$22)*KFC!$C$5</f>
        <v>396.40119116182416</v>
      </c>
      <c r="O264" s="690">
        <f>(AN264*KFC!$B$22+KFC!$C$22)*KFC!$C$5</f>
        <v>416.75351059549331</v>
      </c>
      <c r="P264" s="690">
        <f>(AO264*KFC!$B$22+KFC!$C$22)*KFC!$C$5</f>
        <v>437.10583002916246</v>
      </c>
      <c r="Q264" s="690">
        <f>(AP264*KFC!$B$22+KFC!$C$22)*KFC!$C$5</f>
        <v>457.45814946283161</v>
      </c>
      <c r="R264" s="690">
        <f>(AQ264*KFC!$B$22+KFC!$C$22)*KFC!$C$5</f>
        <v>477.81046889650077</v>
      </c>
      <c r="S264" s="690">
        <f>(AR264*KFC!$B$22+KFC!$C$22)*KFC!$C$5</f>
        <v>498.16278833016992</v>
      </c>
      <c r="T264" s="690">
        <f>(AS264*KFC!$B$22+KFC!$C$22)*KFC!$C$5</f>
        <v>518.51510776383907</v>
      </c>
      <c r="U264" s="690">
        <f>(AT264*KFC!$B$22+KFC!$C$22)*KFC!$C$5</f>
        <v>538.86742719750816</v>
      </c>
      <c r="V264" s="690">
        <f>(AU264*KFC!$B$22+KFC!$C$22)*KFC!$C$5</f>
        <v>559.21974663117737</v>
      </c>
      <c r="W264" s="690">
        <f>(AV264*KFC!$B$22+KFC!$C$22)*KFC!$C$5</f>
        <v>579.57206606484647</v>
      </c>
      <c r="X264" s="690">
        <f>(AW264*KFC!$B$22+KFC!$C$22)*KFC!$C$5</f>
        <v>599.92438549851568</v>
      </c>
      <c r="Y264" s="690">
        <f>(AX264*KFC!$B$22+KFC!$C$22)*KFC!$C$5</f>
        <v>620.27670493218477</v>
      </c>
      <c r="Z264" s="690">
        <f>(AY264*KFC!$B$22+KFC!$C$22)*KFC!$C$5</f>
        <v>640.62902436585409</v>
      </c>
      <c r="AB264" s="771">
        <v>172.52567739146357</v>
      </c>
      <c r="AC264" s="772">
        <v>192.8779968251327</v>
      </c>
      <c r="AD264" s="772">
        <v>213.23031625880185</v>
      </c>
      <c r="AE264" s="772">
        <v>233.582635692471</v>
      </c>
      <c r="AF264" s="772">
        <v>253.93495512614015</v>
      </c>
      <c r="AG264" s="772">
        <v>274.2872745598093</v>
      </c>
      <c r="AH264" s="772">
        <v>294.63959399347846</v>
      </c>
      <c r="AI264" s="772">
        <v>314.99191342714761</v>
      </c>
      <c r="AJ264" s="772">
        <v>335.34423286081676</v>
      </c>
      <c r="AK264" s="772">
        <v>355.69655229448585</v>
      </c>
      <c r="AL264" s="772">
        <v>376.04887172815501</v>
      </c>
      <c r="AM264" s="772">
        <v>396.40119116182416</v>
      </c>
      <c r="AN264" s="772">
        <v>416.75351059549331</v>
      </c>
      <c r="AO264" s="772">
        <v>437.10583002916246</v>
      </c>
      <c r="AP264" s="772">
        <v>457.45814946283161</v>
      </c>
      <c r="AQ264" s="772">
        <v>477.81046889650077</v>
      </c>
      <c r="AR264" s="772">
        <v>498.16278833016992</v>
      </c>
      <c r="AS264" s="772">
        <v>518.51510776383907</v>
      </c>
      <c r="AT264" s="772">
        <v>538.86742719750816</v>
      </c>
      <c r="AU264" s="772">
        <v>559.21974663117737</v>
      </c>
      <c r="AV264" s="772">
        <v>579.57206606484647</v>
      </c>
      <c r="AW264" s="772">
        <v>599.92438549851568</v>
      </c>
      <c r="AX264" s="772">
        <v>620.27670493218477</v>
      </c>
      <c r="AY264" s="773">
        <v>640.62902436585409</v>
      </c>
    </row>
    <row r="265" spans="1:51" ht="12.75" customHeight="1">
      <c r="A265" s="1277"/>
      <c r="B265" s="681">
        <v>3.7</v>
      </c>
      <c r="C265" s="690">
        <f>(AB265*KFC!$B$22+KFC!$C$22)*KFC!$C$5</f>
        <v>175.78626795731722</v>
      </c>
      <c r="D265" s="690">
        <f>(AC265*KFC!$B$22+KFC!$C$22)*KFC!$C$5</f>
        <v>196.60392758001075</v>
      </c>
      <c r="E265" s="690">
        <f>(AD265*KFC!$B$22+KFC!$C$22)*KFC!$C$5</f>
        <v>217.4215872027043</v>
      </c>
      <c r="F265" s="690">
        <f>(AE265*KFC!$B$22+KFC!$C$22)*KFC!$C$5</f>
        <v>238.23924682539786</v>
      </c>
      <c r="G265" s="690">
        <f>(AF265*KFC!$B$22+KFC!$C$22)*KFC!$C$5</f>
        <v>259.05690644809141</v>
      </c>
      <c r="H265" s="690">
        <f>(AG265*KFC!$B$22+KFC!$C$22)*KFC!$C$5</f>
        <v>279.87456607078497</v>
      </c>
      <c r="I265" s="690">
        <f>(AH265*KFC!$B$22+KFC!$C$22)*KFC!$C$5</f>
        <v>300.69222569347852</v>
      </c>
      <c r="J265" s="690">
        <f>(AI265*KFC!$B$22+KFC!$C$22)*KFC!$C$5</f>
        <v>321.50988531617213</v>
      </c>
      <c r="K265" s="690">
        <f>(AJ265*KFC!$B$22+KFC!$C$22)*KFC!$C$5</f>
        <v>342.32754493886569</v>
      </c>
      <c r="L265" s="690">
        <f>(AK265*KFC!$B$22+KFC!$C$22)*KFC!$C$5</f>
        <v>363.14520456155924</v>
      </c>
      <c r="M265" s="690">
        <f>(AL265*KFC!$B$22+KFC!$C$22)*KFC!$C$5</f>
        <v>383.96286418425279</v>
      </c>
      <c r="N265" s="690">
        <f>(AM265*KFC!$B$22+KFC!$C$22)*KFC!$C$5</f>
        <v>404.78052380694635</v>
      </c>
      <c r="O265" s="690">
        <f>(AN265*KFC!$B$22+KFC!$C$22)*KFC!$C$5</f>
        <v>425.5981834296399</v>
      </c>
      <c r="P265" s="690">
        <f>(AO265*KFC!$B$22+KFC!$C$22)*KFC!$C$5</f>
        <v>446.41584305233346</v>
      </c>
      <c r="Q265" s="690">
        <f>(AP265*KFC!$B$22+KFC!$C$22)*KFC!$C$5</f>
        <v>467.23350267502707</v>
      </c>
      <c r="R265" s="690">
        <f>(AQ265*KFC!$B$22+KFC!$C$22)*KFC!$C$5</f>
        <v>488.05116229772062</v>
      </c>
      <c r="S265" s="690">
        <f>(AR265*KFC!$B$22+KFC!$C$22)*KFC!$C$5</f>
        <v>508.86882192041418</v>
      </c>
      <c r="T265" s="690">
        <f>(AS265*KFC!$B$22+KFC!$C$22)*KFC!$C$5</f>
        <v>529.68648154310767</v>
      </c>
      <c r="U265" s="690">
        <f>(AT265*KFC!$B$22+KFC!$C$22)*KFC!$C$5</f>
        <v>550.50414116580134</v>
      </c>
      <c r="V265" s="690">
        <f>(AU265*KFC!$B$22+KFC!$C$22)*KFC!$C$5</f>
        <v>571.3218007884949</v>
      </c>
      <c r="W265" s="690">
        <f>(AV265*KFC!$B$22+KFC!$C$22)*KFC!$C$5</f>
        <v>592.13946041118845</v>
      </c>
      <c r="X265" s="690">
        <f>(AW265*KFC!$B$22+KFC!$C$22)*KFC!$C$5</f>
        <v>612.95712003388201</v>
      </c>
      <c r="Y265" s="690">
        <f>(AX265*KFC!$B$22+KFC!$C$22)*KFC!$C$5</f>
        <v>633.77477965657556</v>
      </c>
      <c r="Z265" s="690">
        <f>(AY265*KFC!$B$22+KFC!$C$22)*KFC!$C$5</f>
        <v>654.59243927926877</v>
      </c>
      <c r="AB265" s="771">
        <v>175.78626795731722</v>
      </c>
      <c r="AC265" s="772">
        <v>196.60392758001075</v>
      </c>
      <c r="AD265" s="772">
        <v>217.4215872027043</v>
      </c>
      <c r="AE265" s="772">
        <v>238.23924682539786</v>
      </c>
      <c r="AF265" s="772">
        <v>259.05690644809141</v>
      </c>
      <c r="AG265" s="772">
        <v>279.87456607078497</v>
      </c>
      <c r="AH265" s="772">
        <v>300.69222569347852</v>
      </c>
      <c r="AI265" s="772">
        <v>321.50988531617213</v>
      </c>
      <c r="AJ265" s="772">
        <v>342.32754493886569</v>
      </c>
      <c r="AK265" s="772">
        <v>363.14520456155924</v>
      </c>
      <c r="AL265" s="772">
        <v>383.96286418425279</v>
      </c>
      <c r="AM265" s="772">
        <v>404.78052380694635</v>
      </c>
      <c r="AN265" s="772">
        <v>425.5981834296399</v>
      </c>
      <c r="AO265" s="772">
        <v>446.41584305233346</v>
      </c>
      <c r="AP265" s="772">
        <v>467.23350267502707</v>
      </c>
      <c r="AQ265" s="772">
        <v>488.05116229772062</v>
      </c>
      <c r="AR265" s="772">
        <v>508.86882192041418</v>
      </c>
      <c r="AS265" s="772">
        <v>529.68648154310767</v>
      </c>
      <c r="AT265" s="772">
        <v>550.50414116580134</v>
      </c>
      <c r="AU265" s="772">
        <v>571.3218007884949</v>
      </c>
      <c r="AV265" s="772">
        <v>592.13946041118845</v>
      </c>
      <c r="AW265" s="772">
        <v>612.95712003388201</v>
      </c>
      <c r="AX265" s="772">
        <v>633.77477965657556</v>
      </c>
      <c r="AY265" s="773">
        <v>654.59243927926877</v>
      </c>
    </row>
    <row r="266" spans="1:51" ht="12.75" customHeight="1">
      <c r="A266" s="1277"/>
      <c r="B266" s="681">
        <v>3.8</v>
      </c>
      <c r="C266" s="690">
        <f>(AB266*KFC!$B$22+KFC!$C$22)*KFC!$C$5</f>
        <v>179.04685852317087</v>
      </c>
      <c r="D266" s="690">
        <f>(AC266*KFC!$B$22+KFC!$C$22)*KFC!$C$5</f>
        <v>200.3298583348888</v>
      </c>
      <c r="E266" s="690">
        <f>(AD266*KFC!$B$22+KFC!$C$22)*KFC!$C$5</f>
        <v>221.61285814660673</v>
      </c>
      <c r="F266" s="690">
        <f>(AE266*KFC!$B$22+KFC!$C$22)*KFC!$C$5</f>
        <v>242.89585795832468</v>
      </c>
      <c r="G266" s="690">
        <f>(AF266*KFC!$B$22+KFC!$C$22)*KFC!$C$5</f>
        <v>264.17885777004261</v>
      </c>
      <c r="H266" s="690">
        <f>(AG266*KFC!$B$22+KFC!$C$22)*KFC!$C$5</f>
        <v>285.46185758176057</v>
      </c>
      <c r="I266" s="690">
        <f>(AH266*KFC!$B$22+KFC!$C$22)*KFC!$C$5</f>
        <v>306.74485739347853</v>
      </c>
      <c r="J266" s="690">
        <f>(AI266*KFC!$B$22+KFC!$C$22)*KFC!$C$5</f>
        <v>328.02785720519643</v>
      </c>
      <c r="K266" s="690">
        <f>(AJ266*KFC!$B$22+KFC!$C$22)*KFC!$C$5</f>
        <v>349.31085701691438</v>
      </c>
      <c r="L266" s="690">
        <f>(AK266*KFC!$B$22+KFC!$C$22)*KFC!$C$5</f>
        <v>370.59385682863228</v>
      </c>
      <c r="M266" s="690">
        <f>(AL266*KFC!$B$22+KFC!$C$22)*KFC!$C$5</f>
        <v>391.87685664035018</v>
      </c>
      <c r="N266" s="690">
        <f>(AM266*KFC!$B$22+KFC!$C$22)*KFC!$C$5</f>
        <v>413.15985645206808</v>
      </c>
      <c r="O266" s="690">
        <f>(AN266*KFC!$B$22+KFC!$C$22)*KFC!$C$5</f>
        <v>434.44285626378598</v>
      </c>
      <c r="P266" s="690">
        <f>(AO266*KFC!$B$22+KFC!$C$22)*KFC!$C$5</f>
        <v>455.72585607550388</v>
      </c>
      <c r="Q266" s="690">
        <f>(AP266*KFC!$B$22+KFC!$C$22)*KFC!$C$5</f>
        <v>477.00885588722178</v>
      </c>
      <c r="R266" s="690">
        <f>(AQ266*KFC!$B$22+KFC!$C$22)*KFC!$C$5</f>
        <v>498.29185569893968</v>
      </c>
      <c r="S266" s="690">
        <f>(AR266*KFC!$B$22+KFC!$C$22)*KFC!$C$5</f>
        <v>519.57485551065759</v>
      </c>
      <c r="T266" s="690">
        <f>(AS266*KFC!$B$22+KFC!$C$22)*KFC!$C$5</f>
        <v>540.85785532237549</v>
      </c>
      <c r="U266" s="690">
        <f>(AT266*KFC!$B$22+KFC!$C$22)*KFC!$C$5</f>
        <v>562.14085513409339</v>
      </c>
      <c r="V266" s="690">
        <f>(AU266*KFC!$B$22+KFC!$C$22)*KFC!$C$5</f>
        <v>583.42385494581129</v>
      </c>
      <c r="W266" s="690">
        <f>(AV266*KFC!$B$22+KFC!$C$22)*KFC!$C$5</f>
        <v>604.70685475752919</v>
      </c>
      <c r="X266" s="690">
        <f>(AW266*KFC!$B$22+KFC!$C$22)*KFC!$C$5</f>
        <v>625.98985456924709</v>
      </c>
      <c r="Y266" s="690">
        <f>(AX266*KFC!$B$22+KFC!$C$22)*KFC!$C$5</f>
        <v>647.27285438096499</v>
      </c>
      <c r="Z266" s="690">
        <f>(AY266*KFC!$B$22+KFC!$C$22)*KFC!$C$5</f>
        <v>668.55585419268334</v>
      </c>
      <c r="AB266" s="771">
        <v>179.04685852317087</v>
      </c>
      <c r="AC266" s="772">
        <v>200.3298583348888</v>
      </c>
      <c r="AD266" s="772">
        <v>221.61285814660673</v>
      </c>
      <c r="AE266" s="772">
        <v>242.89585795832468</v>
      </c>
      <c r="AF266" s="772">
        <v>264.17885777004261</v>
      </c>
      <c r="AG266" s="772">
        <v>285.46185758176057</v>
      </c>
      <c r="AH266" s="772">
        <v>306.74485739347853</v>
      </c>
      <c r="AI266" s="772">
        <v>328.02785720519643</v>
      </c>
      <c r="AJ266" s="772">
        <v>349.31085701691438</v>
      </c>
      <c r="AK266" s="772">
        <v>370.59385682863228</v>
      </c>
      <c r="AL266" s="772">
        <v>391.87685664035018</v>
      </c>
      <c r="AM266" s="772">
        <v>413.15985645206808</v>
      </c>
      <c r="AN266" s="772">
        <v>434.44285626378598</v>
      </c>
      <c r="AO266" s="772">
        <v>455.72585607550388</v>
      </c>
      <c r="AP266" s="772">
        <v>477.00885588722178</v>
      </c>
      <c r="AQ266" s="772">
        <v>498.29185569893968</v>
      </c>
      <c r="AR266" s="772">
        <v>519.57485551065759</v>
      </c>
      <c r="AS266" s="772">
        <v>540.85785532237549</v>
      </c>
      <c r="AT266" s="772">
        <v>562.14085513409339</v>
      </c>
      <c r="AU266" s="772">
        <v>583.42385494581129</v>
      </c>
      <c r="AV266" s="772">
        <v>604.70685475752919</v>
      </c>
      <c r="AW266" s="772">
        <v>625.98985456924709</v>
      </c>
      <c r="AX266" s="772">
        <v>647.27285438096499</v>
      </c>
      <c r="AY266" s="773">
        <v>668.55585419268334</v>
      </c>
    </row>
    <row r="267" spans="1:51" ht="12.75" customHeight="1">
      <c r="A267" s="1277"/>
      <c r="B267" s="681">
        <v>3.9</v>
      </c>
      <c r="C267" s="690">
        <f>(AB267*KFC!$B$22+KFC!$C$22)*KFC!$C$5</f>
        <v>182.30744908902452</v>
      </c>
      <c r="D267" s="690">
        <f>(AC267*KFC!$B$22+KFC!$C$22)*KFC!$C$5</f>
        <v>204.05578908976682</v>
      </c>
      <c r="E267" s="690">
        <f>(AD267*KFC!$B$22+KFC!$C$22)*KFC!$C$5</f>
        <v>225.80412909050915</v>
      </c>
      <c r="F267" s="690">
        <f>(AE267*KFC!$B$22+KFC!$C$22)*KFC!$C$5</f>
        <v>247.55246909125145</v>
      </c>
      <c r="G267" s="690">
        <f>(AF267*KFC!$B$22+KFC!$C$22)*KFC!$C$5</f>
        <v>269.30080909199376</v>
      </c>
      <c r="H267" s="690">
        <f>(AG267*KFC!$B$22+KFC!$C$22)*KFC!$C$5</f>
        <v>291.04914909273612</v>
      </c>
      <c r="I267" s="690">
        <f>(AH267*KFC!$B$22+KFC!$C$22)*KFC!$C$5</f>
        <v>312.79748909347842</v>
      </c>
      <c r="J267" s="690">
        <f>(AI267*KFC!$B$22+KFC!$C$22)*KFC!$C$5</f>
        <v>334.54582909422072</v>
      </c>
      <c r="K267" s="690">
        <f>(AJ267*KFC!$B$22+KFC!$C$22)*KFC!$C$5</f>
        <v>356.29416909496308</v>
      </c>
      <c r="L267" s="690">
        <f>(AK267*KFC!$B$22+KFC!$C$22)*KFC!$C$5</f>
        <v>378.04250909570538</v>
      </c>
      <c r="M267" s="690">
        <f>(AL267*KFC!$B$22+KFC!$C$22)*KFC!$C$5</f>
        <v>399.79084909644774</v>
      </c>
      <c r="N267" s="690">
        <f>(AM267*KFC!$B$22+KFC!$C$22)*KFC!$C$5</f>
        <v>421.53918909719005</v>
      </c>
      <c r="O267" s="690">
        <f>(AN267*KFC!$B$22+KFC!$C$22)*KFC!$C$5</f>
        <v>443.28752909793235</v>
      </c>
      <c r="P267" s="690">
        <f>(AO267*KFC!$B$22+KFC!$C$22)*KFC!$C$5</f>
        <v>465.03586909867471</v>
      </c>
      <c r="Q267" s="690">
        <f>(AP267*KFC!$B$22+KFC!$C$22)*KFC!$C$5</f>
        <v>486.78420909941701</v>
      </c>
      <c r="R267" s="690">
        <f>(AQ267*KFC!$B$22+KFC!$C$22)*KFC!$C$5</f>
        <v>508.53254910015932</v>
      </c>
      <c r="S267" s="690">
        <f>(AR267*KFC!$B$22+KFC!$C$22)*KFC!$C$5</f>
        <v>530.28088910090162</v>
      </c>
      <c r="T267" s="690">
        <f>(AS267*KFC!$B$22+KFC!$C$22)*KFC!$C$5</f>
        <v>552.02922910164398</v>
      </c>
      <c r="U267" s="690">
        <f>(AT267*KFC!$B$22+KFC!$C$22)*KFC!$C$5</f>
        <v>573.77756910238622</v>
      </c>
      <c r="V267" s="690">
        <f>(AU267*KFC!$B$22+KFC!$C$22)*KFC!$C$5</f>
        <v>595.52590910312858</v>
      </c>
      <c r="W267" s="690">
        <f>(AV267*KFC!$B$22+KFC!$C$22)*KFC!$C$5</f>
        <v>617.27424910387094</v>
      </c>
      <c r="X267" s="690">
        <f>(AW267*KFC!$B$22+KFC!$C$22)*KFC!$C$5</f>
        <v>639.02258910461319</v>
      </c>
      <c r="Y267" s="690">
        <f>(AX267*KFC!$B$22+KFC!$C$22)*KFC!$C$5</f>
        <v>660.77092910535555</v>
      </c>
      <c r="Z267" s="690">
        <f>(AY267*KFC!$B$22+KFC!$C$22)*KFC!$C$5</f>
        <v>682.51926910609802</v>
      </c>
      <c r="AB267" s="771">
        <v>182.30744908902452</v>
      </c>
      <c r="AC267" s="772">
        <v>204.05578908976682</v>
      </c>
      <c r="AD267" s="772">
        <v>225.80412909050915</v>
      </c>
      <c r="AE267" s="772">
        <v>247.55246909125145</v>
      </c>
      <c r="AF267" s="772">
        <v>269.30080909199376</v>
      </c>
      <c r="AG267" s="772">
        <v>291.04914909273612</v>
      </c>
      <c r="AH267" s="772">
        <v>312.79748909347842</v>
      </c>
      <c r="AI267" s="772">
        <v>334.54582909422072</v>
      </c>
      <c r="AJ267" s="772">
        <v>356.29416909496308</v>
      </c>
      <c r="AK267" s="772">
        <v>378.04250909570538</v>
      </c>
      <c r="AL267" s="772">
        <v>399.79084909644774</v>
      </c>
      <c r="AM267" s="772">
        <v>421.53918909719005</v>
      </c>
      <c r="AN267" s="772">
        <v>443.28752909793235</v>
      </c>
      <c r="AO267" s="772">
        <v>465.03586909867471</v>
      </c>
      <c r="AP267" s="772">
        <v>486.78420909941701</v>
      </c>
      <c r="AQ267" s="772">
        <v>508.53254910015932</v>
      </c>
      <c r="AR267" s="772">
        <v>530.28088910090162</v>
      </c>
      <c r="AS267" s="772">
        <v>552.02922910164398</v>
      </c>
      <c r="AT267" s="772">
        <v>573.77756910238622</v>
      </c>
      <c r="AU267" s="772">
        <v>595.52590910312858</v>
      </c>
      <c r="AV267" s="772">
        <v>617.27424910387094</v>
      </c>
      <c r="AW267" s="772">
        <v>639.02258910461319</v>
      </c>
      <c r="AX267" s="772">
        <v>660.77092910535555</v>
      </c>
      <c r="AY267" s="773">
        <v>682.51926910609802</v>
      </c>
    </row>
    <row r="268" spans="1:51" ht="12.75" customHeight="1">
      <c r="A268" s="1277"/>
      <c r="B268" s="681">
        <v>4</v>
      </c>
      <c r="C268" s="690">
        <f>(AB268*KFC!$B$22+KFC!$C$22)*KFC!$C$5</f>
        <v>185.56803965487816</v>
      </c>
      <c r="D268" s="690">
        <f>(AC268*KFC!$B$22+KFC!$C$22)*KFC!$C$5</f>
        <v>207.7817198446449</v>
      </c>
      <c r="E268" s="690">
        <f>(AD268*KFC!$B$22+KFC!$C$22)*KFC!$C$5</f>
        <v>229.99540003441163</v>
      </c>
      <c r="F268" s="690">
        <f>(AE268*KFC!$B$22+KFC!$C$22)*KFC!$C$5</f>
        <v>252.20908022417836</v>
      </c>
      <c r="G268" s="690">
        <f>(AF268*KFC!$B$22+KFC!$C$22)*KFC!$C$5</f>
        <v>274.42276041394507</v>
      </c>
      <c r="H268" s="690">
        <f>(AG268*KFC!$B$22+KFC!$C$22)*KFC!$C$5</f>
        <v>296.63644060371183</v>
      </c>
      <c r="I268" s="690">
        <f>(AH268*KFC!$B$22+KFC!$C$22)*KFC!$C$5</f>
        <v>318.85012079347854</v>
      </c>
      <c r="J268" s="690">
        <f>(AI268*KFC!$B$22+KFC!$C$22)*KFC!$C$5</f>
        <v>341.0638009832453</v>
      </c>
      <c r="K268" s="690">
        <f>(AJ268*KFC!$B$22+KFC!$C$22)*KFC!$C$5</f>
        <v>363.27748117301201</v>
      </c>
      <c r="L268" s="690">
        <f>(AK268*KFC!$B$22+KFC!$C$22)*KFC!$C$5</f>
        <v>385.49116136277877</v>
      </c>
      <c r="M268" s="690">
        <f>(AL268*KFC!$B$22+KFC!$C$22)*KFC!$C$5</f>
        <v>407.70484155254547</v>
      </c>
      <c r="N268" s="690">
        <f>(AM268*KFC!$B$22+KFC!$C$22)*KFC!$C$5</f>
        <v>429.91852174231224</v>
      </c>
      <c r="O268" s="690">
        <f>(AN268*KFC!$B$22+KFC!$C$22)*KFC!$C$5</f>
        <v>452.13220193207894</v>
      </c>
      <c r="P268" s="690">
        <f>(AO268*KFC!$B$22+KFC!$C$22)*KFC!$C$5</f>
        <v>474.3458821218457</v>
      </c>
      <c r="Q268" s="690">
        <f>(AP268*KFC!$B$22+KFC!$C$22)*KFC!$C$5</f>
        <v>496.55956231161241</v>
      </c>
      <c r="R268" s="690">
        <f>(AQ268*KFC!$B$22+KFC!$C$22)*KFC!$C$5</f>
        <v>518.77324250137917</v>
      </c>
      <c r="S268" s="690">
        <f>(AR268*KFC!$B$22+KFC!$C$22)*KFC!$C$5</f>
        <v>540.98692269114588</v>
      </c>
      <c r="T268" s="690">
        <f>(AS268*KFC!$B$22+KFC!$C$22)*KFC!$C$5</f>
        <v>563.20060288091258</v>
      </c>
      <c r="U268" s="690">
        <f>(AT268*KFC!$B$22+KFC!$C$22)*KFC!$C$5</f>
        <v>585.4142830706794</v>
      </c>
      <c r="V268" s="690">
        <f>(AU268*KFC!$B$22+KFC!$C$22)*KFC!$C$5</f>
        <v>607.62796326044611</v>
      </c>
      <c r="W268" s="690">
        <f>(AV268*KFC!$B$22+KFC!$C$22)*KFC!$C$5</f>
        <v>629.84164345021281</v>
      </c>
      <c r="X268" s="690">
        <f>(AW268*KFC!$B$22+KFC!$C$22)*KFC!$C$5</f>
        <v>652.05532363997963</v>
      </c>
      <c r="Y268" s="690">
        <f>(AX268*KFC!$B$22+KFC!$C$22)*KFC!$C$5</f>
        <v>674.26900382974634</v>
      </c>
      <c r="Z268" s="690">
        <f>(AY268*KFC!$B$22+KFC!$C$22)*KFC!$C$5</f>
        <v>696.4826840195127</v>
      </c>
      <c r="AB268" s="771">
        <v>185.56803965487816</v>
      </c>
      <c r="AC268" s="772">
        <v>207.7817198446449</v>
      </c>
      <c r="AD268" s="772">
        <v>229.99540003441163</v>
      </c>
      <c r="AE268" s="772">
        <v>252.20908022417836</v>
      </c>
      <c r="AF268" s="772">
        <v>274.42276041394507</v>
      </c>
      <c r="AG268" s="772">
        <v>296.63644060371183</v>
      </c>
      <c r="AH268" s="772">
        <v>318.85012079347854</v>
      </c>
      <c r="AI268" s="772">
        <v>341.0638009832453</v>
      </c>
      <c r="AJ268" s="772">
        <v>363.27748117301201</v>
      </c>
      <c r="AK268" s="772">
        <v>385.49116136277877</v>
      </c>
      <c r="AL268" s="772">
        <v>407.70484155254547</v>
      </c>
      <c r="AM268" s="772">
        <v>429.91852174231224</v>
      </c>
      <c r="AN268" s="772">
        <v>452.13220193207894</v>
      </c>
      <c r="AO268" s="772">
        <v>474.3458821218457</v>
      </c>
      <c r="AP268" s="772">
        <v>496.55956231161241</v>
      </c>
      <c r="AQ268" s="772">
        <v>518.77324250137917</v>
      </c>
      <c r="AR268" s="772">
        <v>540.98692269114588</v>
      </c>
      <c r="AS268" s="772">
        <v>563.20060288091258</v>
      </c>
      <c r="AT268" s="772">
        <v>585.4142830706794</v>
      </c>
      <c r="AU268" s="772">
        <v>607.62796326044611</v>
      </c>
      <c r="AV268" s="772">
        <v>629.84164345021281</v>
      </c>
      <c r="AW268" s="772">
        <v>652.05532363997963</v>
      </c>
      <c r="AX268" s="772">
        <v>674.26900382974634</v>
      </c>
      <c r="AY268" s="773">
        <v>696.4826840195127</v>
      </c>
    </row>
    <row r="269" spans="1:51" ht="12.75" customHeight="1">
      <c r="A269" s="1277"/>
      <c r="B269" s="681">
        <v>4.0999999999999996</v>
      </c>
      <c r="C269" s="690">
        <f>(AB269*KFC!$B$22+KFC!$C$22)*KFC!$C$5</f>
        <v>188.82863022073181</v>
      </c>
      <c r="D269" s="690">
        <f>(AC269*KFC!$B$22+KFC!$C$22)*KFC!$C$5</f>
        <v>211.50765059952292</v>
      </c>
      <c r="E269" s="690">
        <f>(AD269*KFC!$B$22+KFC!$C$22)*KFC!$C$5</f>
        <v>234.18667097831403</v>
      </c>
      <c r="F269" s="690">
        <f>(AE269*KFC!$B$22+KFC!$C$22)*KFC!$C$5</f>
        <v>256.86569135710516</v>
      </c>
      <c r="G269" s="690">
        <f>(AF269*KFC!$B$22+KFC!$C$22)*KFC!$C$5</f>
        <v>279.54471173589627</v>
      </c>
      <c r="H269" s="690">
        <f>(AG269*KFC!$B$22+KFC!$C$22)*KFC!$C$5</f>
        <v>302.22373211468738</v>
      </c>
      <c r="I269" s="690">
        <f>(AH269*KFC!$B$22+KFC!$C$22)*KFC!$C$5</f>
        <v>324.90275249347849</v>
      </c>
      <c r="J269" s="690">
        <f>(AI269*KFC!$B$22+KFC!$C$22)*KFC!$C$5</f>
        <v>347.5817728722696</v>
      </c>
      <c r="K269" s="690">
        <f>(AJ269*KFC!$B$22+KFC!$C$22)*KFC!$C$5</f>
        <v>370.26079325106065</v>
      </c>
      <c r="L269" s="690">
        <f>(AK269*KFC!$B$22+KFC!$C$22)*KFC!$C$5</f>
        <v>392.93981362985176</v>
      </c>
      <c r="M269" s="690">
        <f>(AL269*KFC!$B$22+KFC!$C$22)*KFC!$C$5</f>
        <v>415.61883400864281</v>
      </c>
      <c r="N269" s="690">
        <f>(AM269*KFC!$B$22+KFC!$C$22)*KFC!$C$5</f>
        <v>438.29785438743392</v>
      </c>
      <c r="O269" s="690">
        <f>(AN269*KFC!$B$22+KFC!$C$22)*KFC!$C$5</f>
        <v>460.97687476622497</v>
      </c>
      <c r="P269" s="690">
        <f>(AO269*KFC!$B$22+KFC!$C$22)*KFC!$C$5</f>
        <v>483.65589514501602</v>
      </c>
      <c r="Q269" s="690">
        <f>(AP269*KFC!$B$22+KFC!$C$22)*KFC!$C$5</f>
        <v>506.33491552380713</v>
      </c>
      <c r="R269" s="690">
        <f>(AQ269*KFC!$B$22+KFC!$C$22)*KFC!$C$5</f>
        <v>529.01393590259818</v>
      </c>
      <c r="S269" s="690">
        <f>(AR269*KFC!$B$22+KFC!$C$22)*KFC!$C$5</f>
        <v>551.69295628138923</v>
      </c>
      <c r="T269" s="690">
        <f>(AS269*KFC!$B$22+KFC!$C$22)*KFC!$C$5</f>
        <v>574.37197666018039</v>
      </c>
      <c r="U269" s="690">
        <f>(AT269*KFC!$B$22+KFC!$C$22)*KFC!$C$5</f>
        <v>597.05099703897145</v>
      </c>
      <c r="V269" s="690">
        <f>(AU269*KFC!$B$22+KFC!$C$22)*KFC!$C$5</f>
        <v>619.7300174177625</v>
      </c>
      <c r="W269" s="690">
        <f>(AV269*KFC!$B$22+KFC!$C$22)*KFC!$C$5</f>
        <v>642.40903779655355</v>
      </c>
      <c r="X269" s="690">
        <f>(AW269*KFC!$B$22+KFC!$C$22)*KFC!$C$5</f>
        <v>665.0880581753446</v>
      </c>
      <c r="Y269" s="690">
        <f>(AX269*KFC!$B$22+KFC!$C$22)*KFC!$C$5</f>
        <v>687.76707855413576</v>
      </c>
      <c r="Z269" s="690">
        <f>(AY269*KFC!$B$22+KFC!$C$22)*KFC!$C$5</f>
        <v>710.44609893292727</v>
      </c>
      <c r="AB269" s="771">
        <v>188.82863022073181</v>
      </c>
      <c r="AC269" s="772">
        <v>211.50765059952292</v>
      </c>
      <c r="AD269" s="772">
        <v>234.18667097831403</v>
      </c>
      <c r="AE269" s="772">
        <v>256.86569135710516</v>
      </c>
      <c r="AF269" s="772">
        <v>279.54471173589627</v>
      </c>
      <c r="AG269" s="772">
        <v>302.22373211468738</v>
      </c>
      <c r="AH269" s="772">
        <v>324.90275249347849</v>
      </c>
      <c r="AI269" s="772">
        <v>347.5817728722696</v>
      </c>
      <c r="AJ269" s="772">
        <v>370.26079325106065</v>
      </c>
      <c r="AK269" s="772">
        <v>392.93981362985176</v>
      </c>
      <c r="AL269" s="772">
        <v>415.61883400864281</v>
      </c>
      <c r="AM269" s="772">
        <v>438.29785438743392</v>
      </c>
      <c r="AN269" s="772">
        <v>460.97687476622497</v>
      </c>
      <c r="AO269" s="772">
        <v>483.65589514501602</v>
      </c>
      <c r="AP269" s="772">
        <v>506.33491552380713</v>
      </c>
      <c r="AQ269" s="772">
        <v>529.01393590259818</v>
      </c>
      <c r="AR269" s="772">
        <v>551.69295628138923</v>
      </c>
      <c r="AS269" s="772">
        <v>574.37197666018039</v>
      </c>
      <c r="AT269" s="772">
        <v>597.05099703897145</v>
      </c>
      <c r="AU269" s="772">
        <v>619.7300174177625</v>
      </c>
      <c r="AV269" s="772">
        <v>642.40903779655355</v>
      </c>
      <c r="AW269" s="772">
        <v>665.0880581753446</v>
      </c>
      <c r="AX269" s="772">
        <v>687.76707855413576</v>
      </c>
      <c r="AY269" s="773">
        <v>710.44609893292727</v>
      </c>
    </row>
    <row r="270" spans="1:51" ht="12.75" customHeight="1">
      <c r="A270" s="1277"/>
      <c r="B270" s="681">
        <v>4.2</v>
      </c>
      <c r="C270" s="690">
        <f>(AB270*KFC!$B$22+KFC!$C$22)*KFC!$C$5</f>
        <v>192.08922078658546</v>
      </c>
      <c r="D270" s="690">
        <f>(AC270*KFC!$B$22+KFC!$C$22)*KFC!$C$5</f>
        <v>215.23358135440094</v>
      </c>
      <c r="E270" s="690">
        <f>(AD270*KFC!$B$22+KFC!$C$22)*KFC!$C$5</f>
        <v>238.37794192221642</v>
      </c>
      <c r="F270" s="690">
        <f>(AE270*KFC!$B$22+KFC!$C$22)*KFC!$C$5</f>
        <v>261.5223024900319</v>
      </c>
      <c r="G270" s="690">
        <f>(AF270*KFC!$B$22+KFC!$C$22)*KFC!$C$5</f>
        <v>284.66666305784742</v>
      </c>
      <c r="H270" s="690">
        <f>(AG270*KFC!$B$22+KFC!$C$22)*KFC!$C$5</f>
        <v>307.81102362566293</v>
      </c>
      <c r="I270" s="690">
        <f>(AH270*KFC!$B$22+KFC!$C$22)*KFC!$C$5</f>
        <v>330.95538419347838</v>
      </c>
      <c r="J270" s="690">
        <f>(AI270*KFC!$B$22+KFC!$C$22)*KFC!$C$5</f>
        <v>354.09974476129389</v>
      </c>
      <c r="K270" s="690">
        <f>(AJ270*KFC!$B$22+KFC!$C$22)*KFC!$C$5</f>
        <v>377.2441053291094</v>
      </c>
      <c r="L270" s="690">
        <f>(AK270*KFC!$B$22+KFC!$C$22)*KFC!$C$5</f>
        <v>400.38846589692486</v>
      </c>
      <c r="M270" s="690">
        <f>(AL270*KFC!$B$22+KFC!$C$22)*KFC!$C$5</f>
        <v>423.53282646474037</v>
      </c>
      <c r="N270" s="690">
        <f>(AM270*KFC!$B$22+KFC!$C$22)*KFC!$C$5</f>
        <v>446.67718703255588</v>
      </c>
      <c r="O270" s="690">
        <f>(AN270*KFC!$B$22+KFC!$C$22)*KFC!$C$5</f>
        <v>469.82154760037133</v>
      </c>
      <c r="P270" s="690">
        <f>(AO270*KFC!$B$22+KFC!$C$22)*KFC!$C$5</f>
        <v>492.96590816818684</v>
      </c>
      <c r="Q270" s="690">
        <f>(AP270*KFC!$B$22+KFC!$C$22)*KFC!$C$5</f>
        <v>516.11026873600235</v>
      </c>
      <c r="R270" s="690">
        <f>(AQ270*KFC!$B$22+KFC!$C$22)*KFC!$C$5</f>
        <v>539.25462930381786</v>
      </c>
      <c r="S270" s="690">
        <f>(AR270*KFC!$B$22+KFC!$C$22)*KFC!$C$5</f>
        <v>562.39898987163326</v>
      </c>
      <c r="T270" s="690">
        <f>(AS270*KFC!$B$22+KFC!$C$22)*KFC!$C$5</f>
        <v>585.54335043944877</v>
      </c>
      <c r="U270" s="690">
        <f>(AT270*KFC!$B$22+KFC!$C$22)*KFC!$C$5</f>
        <v>608.68771100726428</v>
      </c>
      <c r="V270" s="690">
        <f>(AU270*KFC!$B$22+KFC!$C$22)*KFC!$C$5</f>
        <v>631.83207157507979</v>
      </c>
      <c r="W270" s="690">
        <f>(AV270*KFC!$B$22+KFC!$C$22)*KFC!$C$5</f>
        <v>654.97643214289531</v>
      </c>
      <c r="X270" s="690">
        <f>(AW270*KFC!$B$22+KFC!$C$22)*KFC!$C$5</f>
        <v>678.12079271071082</v>
      </c>
      <c r="Y270" s="690">
        <f>(AX270*KFC!$B$22+KFC!$C$22)*KFC!$C$5</f>
        <v>701.26515327852633</v>
      </c>
      <c r="Z270" s="690">
        <f>(AY270*KFC!$B$22+KFC!$C$22)*KFC!$C$5</f>
        <v>724.40951384634195</v>
      </c>
      <c r="AB270" s="771">
        <v>192.08922078658546</v>
      </c>
      <c r="AC270" s="772">
        <v>215.23358135440094</v>
      </c>
      <c r="AD270" s="772">
        <v>238.37794192221642</v>
      </c>
      <c r="AE270" s="772">
        <v>261.5223024900319</v>
      </c>
      <c r="AF270" s="772">
        <v>284.66666305784742</v>
      </c>
      <c r="AG270" s="772">
        <v>307.81102362566293</v>
      </c>
      <c r="AH270" s="772">
        <v>330.95538419347838</v>
      </c>
      <c r="AI270" s="772">
        <v>354.09974476129389</v>
      </c>
      <c r="AJ270" s="772">
        <v>377.2441053291094</v>
      </c>
      <c r="AK270" s="772">
        <v>400.38846589692486</v>
      </c>
      <c r="AL270" s="772">
        <v>423.53282646474037</v>
      </c>
      <c r="AM270" s="772">
        <v>446.67718703255588</v>
      </c>
      <c r="AN270" s="772">
        <v>469.82154760037133</v>
      </c>
      <c r="AO270" s="772">
        <v>492.96590816818684</v>
      </c>
      <c r="AP270" s="772">
        <v>516.11026873600235</v>
      </c>
      <c r="AQ270" s="772">
        <v>539.25462930381786</v>
      </c>
      <c r="AR270" s="772">
        <v>562.39898987163326</v>
      </c>
      <c r="AS270" s="772">
        <v>585.54335043944877</v>
      </c>
      <c r="AT270" s="772">
        <v>608.68771100726428</v>
      </c>
      <c r="AU270" s="772">
        <v>631.83207157507979</v>
      </c>
      <c r="AV270" s="772">
        <v>654.97643214289531</v>
      </c>
      <c r="AW270" s="772">
        <v>678.12079271071082</v>
      </c>
      <c r="AX270" s="772">
        <v>701.26515327852633</v>
      </c>
      <c r="AY270" s="773">
        <v>724.40951384634195</v>
      </c>
    </row>
    <row r="271" spans="1:51" ht="12.75" customHeight="1">
      <c r="A271" s="1277"/>
      <c r="B271" s="681">
        <v>4.3</v>
      </c>
      <c r="C271" s="690">
        <f>(AB271*KFC!$B$22+KFC!$C$22)*KFC!$C$5</f>
        <v>195.3498113524391</v>
      </c>
      <c r="D271" s="690">
        <f>(AC271*KFC!$B$22+KFC!$C$22)*KFC!$C$5</f>
        <v>218.95951210927899</v>
      </c>
      <c r="E271" s="690">
        <f>(AD271*KFC!$B$22+KFC!$C$22)*KFC!$C$5</f>
        <v>242.5692128661189</v>
      </c>
      <c r="F271" s="690">
        <f>(AE271*KFC!$B$22+KFC!$C$22)*KFC!$C$5</f>
        <v>266.17891362295882</v>
      </c>
      <c r="G271" s="690">
        <f>(AF271*KFC!$B$22+KFC!$C$22)*KFC!$C$5</f>
        <v>289.78861437979873</v>
      </c>
      <c r="H271" s="690">
        <f>(AG271*KFC!$B$22+KFC!$C$22)*KFC!$C$5</f>
        <v>313.39831513663864</v>
      </c>
      <c r="I271" s="690">
        <f>(AH271*KFC!$B$22+KFC!$C$22)*KFC!$C$5</f>
        <v>337.0080158934785</v>
      </c>
      <c r="J271" s="690">
        <f>(AI271*KFC!$B$22+KFC!$C$22)*KFC!$C$5</f>
        <v>360.61771665031841</v>
      </c>
      <c r="K271" s="690">
        <f>(AJ271*KFC!$B$22+KFC!$C$22)*KFC!$C$5</f>
        <v>384.22741740715833</v>
      </c>
      <c r="L271" s="690">
        <f>(AK271*KFC!$B$22+KFC!$C$22)*KFC!$C$5</f>
        <v>407.83711816399824</v>
      </c>
      <c r="M271" s="690">
        <f>(AL271*KFC!$B$22+KFC!$C$22)*KFC!$C$5</f>
        <v>431.44681892083815</v>
      </c>
      <c r="N271" s="690">
        <f>(AM271*KFC!$B$22+KFC!$C$22)*KFC!$C$5</f>
        <v>455.05651967767801</v>
      </c>
      <c r="O271" s="690">
        <f>(AN271*KFC!$B$22+KFC!$C$22)*KFC!$C$5</f>
        <v>478.66622043451792</v>
      </c>
      <c r="P271" s="690">
        <f>(AO271*KFC!$B$22+KFC!$C$22)*KFC!$C$5</f>
        <v>502.27592119135784</v>
      </c>
      <c r="Q271" s="690">
        <f>(AP271*KFC!$B$22+KFC!$C$22)*KFC!$C$5</f>
        <v>525.88562194819781</v>
      </c>
      <c r="R271" s="690">
        <f>(AQ271*KFC!$B$22+KFC!$C$22)*KFC!$C$5</f>
        <v>549.49532270503767</v>
      </c>
      <c r="S271" s="690">
        <f>(AR271*KFC!$B$22+KFC!$C$22)*KFC!$C$5</f>
        <v>573.10502346187752</v>
      </c>
      <c r="T271" s="690">
        <f>(AS271*KFC!$B$22+KFC!$C$22)*KFC!$C$5</f>
        <v>596.71472421871749</v>
      </c>
      <c r="U271" s="690">
        <f>(AT271*KFC!$B$22+KFC!$C$22)*KFC!$C$5</f>
        <v>620.32442497555735</v>
      </c>
      <c r="V271" s="690">
        <f>(AU271*KFC!$B$22+KFC!$C$22)*KFC!$C$5</f>
        <v>643.93412573239732</v>
      </c>
      <c r="W271" s="690">
        <f>(AV271*KFC!$B$22+KFC!$C$22)*KFC!$C$5</f>
        <v>667.54382648923718</v>
      </c>
      <c r="X271" s="690">
        <f>(AW271*KFC!$B$22+KFC!$C$22)*KFC!$C$5</f>
        <v>691.15352724607715</v>
      </c>
      <c r="Y271" s="690">
        <f>(AX271*KFC!$B$22+KFC!$C$22)*KFC!$C$5</f>
        <v>714.763228002917</v>
      </c>
      <c r="Z271" s="690">
        <f>(AY271*KFC!$B$22+KFC!$C$22)*KFC!$C$5</f>
        <v>738.37292875975663</v>
      </c>
      <c r="AB271" s="771">
        <v>195.3498113524391</v>
      </c>
      <c r="AC271" s="772">
        <v>218.95951210927899</v>
      </c>
      <c r="AD271" s="772">
        <v>242.5692128661189</v>
      </c>
      <c r="AE271" s="772">
        <v>266.17891362295882</v>
      </c>
      <c r="AF271" s="772">
        <v>289.78861437979873</v>
      </c>
      <c r="AG271" s="772">
        <v>313.39831513663864</v>
      </c>
      <c r="AH271" s="772">
        <v>337.0080158934785</v>
      </c>
      <c r="AI271" s="772">
        <v>360.61771665031841</v>
      </c>
      <c r="AJ271" s="772">
        <v>384.22741740715833</v>
      </c>
      <c r="AK271" s="772">
        <v>407.83711816399824</v>
      </c>
      <c r="AL271" s="772">
        <v>431.44681892083815</v>
      </c>
      <c r="AM271" s="772">
        <v>455.05651967767801</v>
      </c>
      <c r="AN271" s="772">
        <v>478.66622043451792</v>
      </c>
      <c r="AO271" s="772">
        <v>502.27592119135784</v>
      </c>
      <c r="AP271" s="772">
        <v>525.88562194819781</v>
      </c>
      <c r="AQ271" s="772">
        <v>549.49532270503767</v>
      </c>
      <c r="AR271" s="772">
        <v>573.10502346187752</v>
      </c>
      <c r="AS271" s="772">
        <v>596.71472421871749</v>
      </c>
      <c r="AT271" s="772">
        <v>620.32442497555735</v>
      </c>
      <c r="AU271" s="772">
        <v>643.93412573239732</v>
      </c>
      <c r="AV271" s="772">
        <v>667.54382648923718</v>
      </c>
      <c r="AW271" s="772">
        <v>691.15352724607715</v>
      </c>
      <c r="AX271" s="772">
        <v>714.763228002917</v>
      </c>
      <c r="AY271" s="773">
        <v>738.37292875975663</v>
      </c>
    </row>
    <row r="272" spans="1:51" ht="12.75" customHeight="1">
      <c r="A272" s="1277"/>
      <c r="B272" s="681">
        <v>4.4000000000000004</v>
      </c>
      <c r="C272" s="690">
        <f>(AB272*KFC!$B$22+KFC!$C$22)*KFC!$C$5</f>
        <v>198.61040191829275</v>
      </c>
      <c r="D272" s="690">
        <f>(AC272*KFC!$B$22+KFC!$C$22)*KFC!$C$5</f>
        <v>222.68544286415704</v>
      </c>
      <c r="E272" s="690">
        <f>(AD272*KFC!$B$22+KFC!$C$22)*KFC!$C$5</f>
        <v>246.7604838100213</v>
      </c>
      <c r="F272" s="690">
        <f>(AE272*KFC!$B$22+KFC!$C$22)*KFC!$C$5</f>
        <v>270.83552475588561</v>
      </c>
      <c r="G272" s="690">
        <f>(AF272*KFC!$B$22+KFC!$C$22)*KFC!$C$5</f>
        <v>294.91056570174987</v>
      </c>
      <c r="H272" s="690">
        <f>(AG272*KFC!$B$22+KFC!$C$22)*KFC!$C$5</f>
        <v>318.98560664761419</v>
      </c>
      <c r="I272" s="690">
        <f>(AH272*KFC!$B$22+KFC!$C$22)*KFC!$C$5</f>
        <v>343.06064759347845</v>
      </c>
      <c r="J272" s="690">
        <f>(AI272*KFC!$B$22+KFC!$C$22)*KFC!$C$5</f>
        <v>367.13568853934271</v>
      </c>
      <c r="K272" s="690">
        <f>(AJ272*KFC!$B$22+KFC!$C$22)*KFC!$C$5</f>
        <v>391.21072948520703</v>
      </c>
      <c r="L272" s="690">
        <f>(AK272*KFC!$B$22+KFC!$C$22)*KFC!$C$5</f>
        <v>415.28577043107134</v>
      </c>
      <c r="M272" s="690">
        <f>(AL272*KFC!$B$22+KFC!$C$22)*KFC!$C$5</f>
        <v>439.36081137693566</v>
      </c>
      <c r="N272" s="690">
        <f>(AM272*KFC!$B$22+KFC!$C$22)*KFC!$C$5</f>
        <v>463.43585232279997</v>
      </c>
      <c r="O272" s="690">
        <f>(AN272*KFC!$B$22+KFC!$C$22)*KFC!$C$5</f>
        <v>487.51089326866429</v>
      </c>
      <c r="P272" s="690">
        <f>(AO272*KFC!$B$22+KFC!$C$22)*KFC!$C$5</f>
        <v>511.58593421452866</v>
      </c>
      <c r="Q272" s="690">
        <f>(AP272*KFC!$B$22+KFC!$C$22)*KFC!$C$5</f>
        <v>535.66097516039292</v>
      </c>
      <c r="R272" s="690">
        <f>(AQ272*KFC!$B$22+KFC!$C$22)*KFC!$C$5</f>
        <v>559.73601610625724</v>
      </c>
      <c r="S272" s="690">
        <f>(AR272*KFC!$B$22+KFC!$C$22)*KFC!$C$5</f>
        <v>583.81105705212155</v>
      </c>
      <c r="T272" s="690">
        <f>(AS272*KFC!$B$22+KFC!$C$22)*KFC!$C$5</f>
        <v>607.88609799798598</v>
      </c>
      <c r="U272" s="690">
        <f>(AT272*KFC!$B$22+KFC!$C$22)*KFC!$C$5</f>
        <v>631.9611389438503</v>
      </c>
      <c r="V272" s="690">
        <f>(AU272*KFC!$B$22+KFC!$C$22)*KFC!$C$5</f>
        <v>656.03617988971462</v>
      </c>
      <c r="W272" s="690">
        <f>(AV272*KFC!$B$22+KFC!$C$22)*KFC!$C$5</f>
        <v>680.11122083557893</v>
      </c>
      <c r="X272" s="690">
        <f>(AW272*KFC!$B$22+KFC!$C$22)*KFC!$C$5</f>
        <v>704.18626178144325</v>
      </c>
      <c r="Y272" s="690">
        <f>(AX272*KFC!$B$22+KFC!$C$22)*KFC!$C$5</f>
        <v>728.26130272730757</v>
      </c>
      <c r="Z272" s="690">
        <f>(AY272*KFC!$B$22+KFC!$C$22)*KFC!$C$5</f>
        <v>752.33634367317131</v>
      </c>
      <c r="AB272" s="771">
        <v>198.61040191829275</v>
      </c>
      <c r="AC272" s="772">
        <v>222.68544286415704</v>
      </c>
      <c r="AD272" s="772">
        <v>246.7604838100213</v>
      </c>
      <c r="AE272" s="772">
        <v>270.83552475588561</v>
      </c>
      <c r="AF272" s="772">
        <v>294.91056570174987</v>
      </c>
      <c r="AG272" s="772">
        <v>318.98560664761419</v>
      </c>
      <c r="AH272" s="772">
        <v>343.06064759347845</v>
      </c>
      <c r="AI272" s="772">
        <v>367.13568853934271</v>
      </c>
      <c r="AJ272" s="772">
        <v>391.21072948520703</v>
      </c>
      <c r="AK272" s="772">
        <v>415.28577043107134</v>
      </c>
      <c r="AL272" s="772">
        <v>439.36081137693566</v>
      </c>
      <c r="AM272" s="772">
        <v>463.43585232279997</v>
      </c>
      <c r="AN272" s="772">
        <v>487.51089326866429</v>
      </c>
      <c r="AO272" s="772">
        <v>511.58593421452866</v>
      </c>
      <c r="AP272" s="772">
        <v>535.66097516039292</v>
      </c>
      <c r="AQ272" s="772">
        <v>559.73601610625724</v>
      </c>
      <c r="AR272" s="772">
        <v>583.81105705212155</v>
      </c>
      <c r="AS272" s="772">
        <v>607.88609799798598</v>
      </c>
      <c r="AT272" s="772">
        <v>631.9611389438503</v>
      </c>
      <c r="AU272" s="772">
        <v>656.03617988971462</v>
      </c>
      <c r="AV272" s="772">
        <v>680.11122083557893</v>
      </c>
      <c r="AW272" s="772">
        <v>704.18626178144325</v>
      </c>
      <c r="AX272" s="772">
        <v>728.26130272730757</v>
      </c>
      <c r="AY272" s="773">
        <v>752.33634367317131</v>
      </c>
    </row>
    <row r="273" spans="1:51" ht="12.75" customHeight="1">
      <c r="A273" s="1277"/>
      <c r="B273" s="681">
        <v>4.5</v>
      </c>
      <c r="C273" s="690">
        <f>(AB273*KFC!$B$22+KFC!$C$22)*KFC!$C$5</f>
        <v>201.8709924841464</v>
      </c>
      <c r="D273" s="690">
        <f>(AC273*KFC!$B$22+KFC!$C$22)*KFC!$C$5</f>
        <v>226.41137361903506</v>
      </c>
      <c r="E273" s="690">
        <f>(AD273*KFC!$B$22+KFC!$C$22)*KFC!$C$5</f>
        <v>250.95175475392372</v>
      </c>
      <c r="F273" s="690">
        <f>(AE273*KFC!$B$22+KFC!$C$22)*KFC!$C$5</f>
        <v>275.49213588881236</v>
      </c>
      <c r="G273" s="690">
        <f>(AF273*KFC!$B$22+KFC!$C$22)*KFC!$C$5</f>
        <v>300.03251702370102</v>
      </c>
      <c r="H273" s="690">
        <f>(AG273*KFC!$B$22+KFC!$C$22)*KFC!$C$5</f>
        <v>324.57289815858968</v>
      </c>
      <c r="I273" s="690">
        <f>(AH273*KFC!$B$22+KFC!$C$22)*KFC!$C$5</f>
        <v>349.1132792934784</v>
      </c>
      <c r="J273" s="690">
        <f>(AI273*KFC!$B$22+KFC!$C$22)*KFC!$C$5</f>
        <v>373.65366042836706</v>
      </c>
      <c r="K273" s="690">
        <f>(AJ273*KFC!$B$22+KFC!$C$22)*KFC!$C$5</f>
        <v>398.19404156325572</v>
      </c>
      <c r="L273" s="690">
        <f>(AK273*KFC!$B$22+KFC!$C$22)*KFC!$C$5</f>
        <v>422.73442269814439</v>
      </c>
      <c r="M273" s="690">
        <f>(AL273*KFC!$B$22+KFC!$C$22)*KFC!$C$5</f>
        <v>447.27480383303305</v>
      </c>
      <c r="N273" s="690">
        <f>(AM273*KFC!$B$22+KFC!$C$22)*KFC!$C$5</f>
        <v>471.81518496792171</v>
      </c>
      <c r="O273" s="690">
        <f>(AN273*KFC!$B$22+KFC!$C$22)*KFC!$C$5</f>
        <v>496.35556610281037</v>
      </c>
      <c r="P273" s="690">
        <f>(AO273*KFC!$B$22+KFC!$C$22)*KFC!$C$5</f>
        <v>520.89594723769903</v>
      </c>
      <c r="Q273" s="690">
        <f>(AP273*KFC!$B$22+KFC!$C$22)*KFC!$C$5</f>
        <v>545.4363283725877</v>
      </c>
      <c r="R273" s="690">
        <f>(AQ273*KFC!$B$22+KFC!$C$22)*KFC!$C$5</f>
        <v>569.97670950747636</v>
      </c>
      <c r="S273" s="690">
        <f>(AR273*KFC!$B$22+KFC!$C$22)*KFC!$C$5</f>
        <v>594.51709064236502</v>
      </c>
      <c r="T273" s="690">
        <f>(AS273*KFC!$B$22+KFC!$C$22)*KFC!$C$5</f>
        <v>619.05747177725368</v>
      </c>
      <c r="U273" s="690">
        <f>(AT273*KFC!$B$22+KFC!$C$22)*KFC!$C$5</f>
        <v>643.59785291214234</v>
      </c>
      <c r="V273" s="690">
        <f>(AU273*KFC!$B$22+KFC!$C$22)*KFC!$C$5</f>
        <v>668.13823404703101</v>
      </c>
      <c r="W273" s="690">
        <f>(AV273*KFC!$B$22+KFC!$C$22)*KFC!$C$5</f>
        <v>692.67861518191967</v>
      </c>
      <c r="X273" s="690">
        <f>(AW273*KFC!$B$22+KFC!$C$22)*KFC!$C$5</f>
        <v>717.21899631680844</v>
      </c>
      <c r="Y273" s="690">
        <f>(AX273*KFC!$B$22+KFC!$C$22)*KFC!$C$5</f>
        <v>741.75937745169722</v>
      </c>
      <c r="Z273" s="690">
        <f>(AY273*KFC!$B$22+KFC!$C$22)*KFC!$C$5</f>
        <v>766.29975858658588</v>
      </c>
      <c r="AB273" s="771">
        <v>201.8709924841464</v>
      </c>
      <c r="AC273" s="772">
        <v>226.41137361903506</v>
      </c>
      <c r="AD273" s="772">
        <v>250.95175475392372</v>
      </c>
      <c r="AE273" s="772">
        <v>275.49213588881236</v>
      </c>
      <c r="AF273" s="772">
        <v>300.03251702370102</v>
      </c>
      <c r="AG273" s="772">
        <v>324.57289815858968</v>
      </c>
      <c r="AH273" s="772">
        <v>349.1132792934784</v>
      </c>
      <c r="AI273" s="772">
        <v>373.65366042836706</v>
      </c>
      <c r="AJ273" s="772">
        <v>398.19404156325572</v>
      </c>
      <c r="AK273" s="772">
        <v>422.73442269814439</v>
      </c>
      <c r="AL273" s="772">
        <v>447.27480383303305</v>
      </c>
      <c r="AM273" s="772">
        <v>471.81518496792171</v>
      </c>
      <c r="AN273" s="772">
        <v>496.35556610281037</v>
      </c>
      <c r="AO273" s="772">
        <v>520.89594723769903</v>
      </c>
      <c r="AP273" s="772">
        <v>545.4363283725877</v>
      </c>
      <c r="AQ273" s="772">
        <v>569.97670950747636</v>
      </c>
      <c r="AR273" s="772">
        <v>594.51709064236502</v>
      </c>
      <c r="AS273" s="772">
        <v>619.05747177725368</v>
      </c>
      <c r="AT273" s="772">
        <v>643.59785291214234</v>
      </c>
      <c r="AU273" s="772">
        <v>668.13823404703101</v>
      </c>
      <c r="AV273" s="772">
        <v>692.67861518191967</v>
      </c>
      <c r="AW273" s="772">
        <v>717.21899631680844</v>
      </c>
      <c r="AX273" s="772">
        <v>741.75937745169722</v>
      </c>
      <c r="AY273" s="773">
        <v>766.29975858658588</v>
      </c>
    </row>
    <row r="274" spans="1:51" ht="12.75" customHeight="1" thickBot="1">
      <c r="A274" s="1277"/>
      <c r="B274" s="681">
        <v>4.5999999999999996</v>
      </c>
      <c r="C274" s="690">
        <f>(AB274*KFC!$B$22+KFC!$C$22)*KFC!$C$5</f>
        <v>205.13158304999999</v>
      </c>
      <c r="D274" s="690">
        <f>(AC274*KFC!$B$22+KFC!$C$22)*KFC!$C$5</f>
        <v>230.13730437391305</v>
      </c>
      <c r="E274" s="690">
        <f>(AD274*KFC!$B$22+KFC!$C$22)*KFC!$C$5</f>
        <v>255.14302569782609</v>
      </c>
      <c r="F274" s="690">
        <f>(AE274*KFC!$B$22+KFC!$C$22)*KFC!$C$5</f>
        <v>280.1487470217391</v>
      </c>
      <c r="G274" s="690">
        <f>(AF274*KFC!$B$22+KFC!$C$22)*KFC!$C$5</f>
        <v>305.15446834565216</v>
      </c>
      <c r="H274" s="690">
        <f>(AG274*KFC!$B$22+KFC!$C$22)*KFC!$C$5</f>
        <v>330.16018966956523</v>
      </c>
      <c r="I274" s="690">
        <f>(AH274*KFC!$B$22+KFC!$C$22)*KFC!$C$5</f>
        <v>355.16591099347829</v>
      </c>
      <c r="J274" s="690">
        <f>(AI274*KFC!$B$22+KFC!$C$22)*KFC!$C$5</f>
        <v>380.1716323173913</v>
      </c>
      <c r="K274" s="690">
        <f>(AJ274*KFC!$B$22+KFC!$C$22)*KFC!$C$5</f>
        <v>405.17735364130431</v>
      </c>
      <c r="L274" s="690">
        <f>(AK274*KFC!$B$22+KFC!$C$22)*KFC!$C$5</f>
        <v>430.18307496521732</v>
      </c>
      <c r="M274" s="690">
        <f>(AL274*KFC!$B$22+KFC!$C$22)*KFC!$C$5</f>
        <v>455.18879628913032</v>
      </c>
      <c r="N274" s="690">
        <f>(AM274*KFC!$B$22+KFC!$C$22)*KFC!$C$5</f>
        <v>480.19451761304333</v>
      </c>
      <c r="O274" s="690">
        <f>(AN274*KFC!$B$22+KFC!$C$22)*KFC!$C$5</f>
        <v>505.20023893695634</v>
      </c>
      <c r="P274" s="690">
        <f>(AO274*KFC!$B$22+KFC!$C$22)*KFC!$C$5</f>
        <v>530.20596026086935</v>
      </c>
      <c r="Q274" s="690">
        <f>(AP274*KFC!$B$22+KFC!$C$22)*KFC!$C$5</f>
        <v>555.21168158478235</v>
      </c>
      <c r="R274" s="690">
        <f>(AQ274*KFC!$B$22+KFC!$C$22)*KFC!$C$5</f>
        <v>580.21740290869536</v>
      </c>
      <c r="S274" s="690">
        <f>(AR274*KFC!$B$22+KFC!$C$22)*KFC!$C$5</f>
        <v>605.22312423260837</v>
      </c>
      <c r="T274" s="690">
        <f>(AS274*KFC!$B$22+KFC!$C$22)*KFC!$C$5</f>
        <v>630.22884555652138</v>
      </c>
      <c r="U274" s="690">
        <f>(AT274*KFC!$B$22+KFC!$C$22)*KFC!$C$5</f>
        <v>655.23456688043439</v>
      </c>
      <c r="V274" s="690">
        <f>(AU274*KFC!$B$22+KFC!$C$22)*KFC!$C$5</f>
        <v>680.24028820434739</v>
      </c>
      <c r="W274" s="690">
        <f>(AV274*KFC!$B$22+KFC!$C$22)*KFC!$C$5</f>
        <v>705.2460095282604</v>
      </c>
      <c r="X274" s="690">
        <f>(AW274*KFC!$B$22+KFC!$C$22)*KFC!$C$5</f>
        <v>730.25173085217341</v>
      </c>
      <c r="Y274" s="690">
        <f>(AX274*KFC!$B$22+KFC!$C$22)*KFC!$C$5</f>
        <v>755.25745217608642</v>
      </c>
      <c r="Z274" s="690">
        <f>(AY274*KFC!$B$22+KFC!$C$22)*KFC!$C$5</f>
        <v>780.26317349999999</v>
      </c>
      <c r="AB274" s="774">
        <v>205.13158304999999</v>
      </c>
      <c r="AC274" s="775">
        <v>230.13730437391305</v>
      </c>
      <c r="AD274" s="775">
        <v>255.14302569782609</v>
      </c>
      <c r="AE274" s="775">
        <v>280.1487470217391</v>
      </c>
      <c r="AF274" s="775">
        <v>305.15446834565216</v>
      </c>
      <c r="AG274" s="775">
        <v>330.16018966956523</v>
      </c>
      <c r="AH274" s="775">
        <v>355.16591099347829</v>
      </c>
      <c r="AI274" s="775">
        <v>380.1716323173913</v>
      </c>
      <c r="AJ274" s="775">
        <v>405.17735364130431</v>
      </c>
      <c r="AK274" s="775">
        <v>430.18307496521732</v>
      </c>
      <c r="AL274" s="775">
        <v>455.18879628913032</v>
      </c>
      <c r="AM274" s="775">
        <v>480.19451761304333</v>
      </c>
      <c r="AN274" s="775">
        <v>505.20023893695634</v>
      </c>
      <c r="AO274" s="775">
        <v>530.20596026086935</v>
      </c>
      <c r="AP274" s="775">
        <v>555.21168158478235</v>
      </c>
      <c r="AQ274" s="775">
        <v>580.21740290869536</v>
      </c>
      <c r="AR274" s="775">
        <v>605.22312423260837</v>
      </c>
      <c r="AS274" s="775">
        <v>630.22884555652138</v>
      </c>
      <c r="AT274" s="775">
        <v>655.23456688043439</v>
      </c>
      <c r="AU274" s="775">
        <v>680.24028820434739</v>
      </c>
      <c r="AV274" s="775">
        <v>705.2460095282604</v>
      </c>
      <c r="AW274" s="775">
        <v>730.25173085217341</v>
      </c>
      <c r="AX274" s="775">
        <v>755.25745217608642</v>
      </c>
      <c r="AY274" s="776">
        <v>780.26317349999999</v>
      </c>
    </row>
    <row r="275" spans="1:51" s="1" customFormat="1" ht="13.8" thickBot="1">
      <c r="A275" s="180" t="s">
        <v>303</v>
      </c>
      <c r="B275" s="682"/>
      <c r="C275" s="683"/>
      <c r="D275" s="683"/>
      <c r="E275" s="683"/>
      <c r="F275" s="683"/>
      <c r="G275" s="683"/>
      <c r="H275" s="683"/>
      <c r="I275" s="683"/>
      <c r="J275" s="683"/>
      <c r="K275" s="683"/>
      <c r="L275" s="683"/>
      <c r="M275" s="683"/>
      <c r="N275" s="683"/>
      <c r="O275" s="683"/>
      <c r="P275" s="683"/>
      <c r="Q275" s="683"/>
      <c r="R275" s="683"/>
      <c r="S275" s="683"/>
      <c r="T275" s="683"/>
      <c r="U275" s="683"/>
      <c r="V275" s="683"/>
      <c r="W275" s="683"/>
      <c r="X275" s="683"/>
      <c r="Y275" s="683"/>
      <c r="Z275" s="673"/>
      <c r="AA275" s="673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</row>
    <row r="276" spans="1:51" s="1" customFormat="1" ht="13.8" thickBot="1">
      <c r="A276" s="1620" t="s">
        <v>182</v>
      </c>
      <c r="B276" s="1621"/>
      <c r="C276" s="1621"/>
      <c r="D276" s="1621"/>
      <c r="E276" s="1621"/>
      <c r="F276" s="1621"/>
      <c r="G276" s="1621"/>
      <c r="H276" s="1621"/>
      <c r="I276" s="1621"/>
      <c r="J276" s="1621"/>
      <c r="K276" s="1621"/>
      <c r="L276" s="1621"/>
      <c r="M276" s="1621"/>
      <c r="N276" s="1621"/>
      <c r="O276" s="1621"/>
      <c r="P276" s="1621"/>
      <c r="Q276" s="1621"/>
      <c r="R276" s="1621"/>
      <c r="S276" s="1621"/>
      <c r="T276" s="1621"/>
      <c r="U276" s="1621"/>
      <c r="V276" s="1621"/>
      <c r="W276" s="1621"/>
      <c r="X276" s="1621"/>
      <c r="Y276" s="1621"/>
      <c r="Z276" s="1622"/>
      <c r="AA276" s="684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</row>
    <row r="277" spans="1:51" s="1" customFormat="1">
      <c r="A277" s="185" t="s">
        <v>808</v>
      </c>
      <c r="B277" s="672"/>
      <c r="C277" s="673"/>
      <c r="D277" s="673"/>
      <c r="E277" s="673"/>
      <c r="F277" s="673"/>
      <c r="G277" s="673"/>
      <c r="H277" s="673"/>
      <c r="I277" s="673"/>
      <c r="J277" s="673"/>
      <c r="K277" s="673"/>
      <c r="L277" s="673"/>
      <c r="M277" s="673"/>
      <c r="N277" s="673"/>
      <c r="O277" s="673"/>
      <c r="P277" s="673"/>
      <c r="Q277" s="673"/>
      <c r="R277" s="673"/>
      <c r="S277" s="673"/>
      <c r="T277" s="673"/>
      <c r="U277" s="673"/>
      <c r="V277" s="673"/>
      <c r="W277" s="673"/>
      <c r="X277" s="673"/>
      <c r="Y277" s="673"/>
      <c r="Z277" s="673"/>
      <c r="AA277" s="673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</row>
    <row r="278" spans="1:51" s="462" customFormat="1" ht="16.5" customHeight="1">
      <c r="A278" s="1750" t="s">
        <v>807</v>
      </c>
      <c r="B278" s="1750"/>
      <c r="C278" s="1750"/>
      <c r="D278" s="1750"/>
      <c r="E278" s="1750"/>
      <c r="F278" s="1750"/>
      <c r="G278" s="1750"/>
      <c r="H278" s="1750"/>
      <c r="I278" s="1750"/>
      <c r="J278" s="1750"/>
      <c r="K278" s="1750"/>
      <c r="L278" s="1750"/>
      <c r="M278" s="674">
        <f>(2.78*KFC!$B$22+KFC!$C$22)*KFC!$C$5</f>
        <v>2.78</v>
      </c>
      <c r="N278" s="685" t="s">
        <v>744</v>
      </c>
      <c r="O278" s="185"/>
      <c r="P278" s="1"/>
      <c r="Q278" s="1"/>
      <c r="R278" s="1"/>
      <c r="S278" s="686"/>
      <c r="T278" s="686"/>
      <c r="U278" s="686"/>
      <c r="V278" s="673"/>
      <c r="W278" s="673"/>
      <c r="X278" s="673"/>
      <c r="Y278" s="673"/>
      <c r="Z278" s="673"/>
      <c r="AA278" s="673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</row>
    <row r="279" spans="1:51" s="462" customFormat="1" ht="16.5" customHeight="1">
      <c r="A279" s="1571" t="s">
        <v>1015</v>
      </c>
      <c r="B279" s="1571"/>
      <c r="C279" s="1571"/>
      <c r="D279" s="1571"/>
      <c r="E279" s="1571"/>
      <c r="F279" s="674">
        <f>(29*KFC!$B$20+KFC!$C$20)*KFC!$C$5</f>
        <v>29</v>
      </c>
      <c r="G279" s="675" t="s">
        <v>1066</v>
      </c>
      <c r="H279" s="740"/>
      <c r="I279" s="740"/>
      <c r="J279" s="740"/>
      <c r="K279" s="740"/>
      <c r="L279" s="740"/>
      <c r="M279" s="741"/>
      <c r="N279" s="686"/>
      <c r="O279" s="185"/>
      <c r="P279" s="1"/>
      <c r="Q279" s="1"/>
      <c r="R279" s="1"/>
      <c r="S279" s="686"/>
      <c r="T279" s="686"/>
      <c r="U279" s="686"/>
      <c r="V279" s="673"/>
      <c r="W279" s="673"/>
      <c r="X279" s="673"/>
      <c r="Y279" s="673"/>
      <c r="Z279" s="673"/>
      <c r="AA279" s="673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</row>
    <row r="280" spans="1:51" s="462" customFormat="1" ht="16.5" customHeight="1">
      <c r="A280" s="1571" t="s">
        <v>1069</v>
      </c>
      <c r="B280" s="1571"/>
      <c r="C280" s="1571"/>
      <c r="D280" s="1571"/>
      <c r="E280" s="1571"/>
      <c r="F280" s="674">
        <f>(29*KFC!$B$20+KFC!$C$20)*KFC!$C$5</f>
        <v>29</v>
      </c>
      <c r="G280" s="675" t="s">
        <v>1066</v>
      </c>
      <c r="H280" s="740"/>
      <c r="I280" s="740"/>
      <c r="J280" s="742" t="s">
        <v>1067</v>
      </c>
      <c r="K280" s="674">
        <f>(12.5*KFC!$B$20+KFC!$C$20)*KFC!$C$5</f>
        <v>12.5</v>
      </c>
      <c r="L280" s="675" t="s">
        <v>1068</v>
      </c>
      <c r="M280" s="741"/>
      <c r="N280" s="686"/>
      <c r="O280" s="185"/>
      <c r="P280" s="1"/>
      <c r="Q280" s="1"/>
      <c r="R280" s="1"/>
      <c r="S280" s="686"/>
      <c r="T280" s="686"/>
      <c r="U280" s="686"/>
      <c r="V280" s="673"/>
      <c r="W280" s="673"/>
      <c r="X280" s="673"/>
      <c r="Y280" s="673"/>
      <c r="Z280" s="673"/>
      <c r="AA280" s="673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</row>
    <row r="281" spans="1:51" s="462" customFormat="1" ht="30" customHeight="1">
      <c r="A281" s="1283" t="s">
        <v>1016</v>
      </c>
      <c r="B281" s="1283"/>
      <c r="C281" s="1283"/>
      <c r="D281" s="1283"/>
      <c r="E281" s="1283"/>
      <c r="F281" s="1283"/>
      <c r="G281" s="1283"/>
      <c r="H281" s="1283"/>
      <c r="I281" s="1283"/>
      <c r="J281" s="1283"/>
      <c r="K281" s="1283"/>
      <c r="L281" s="1283"/>
      <c r="M281" s="1283"/>
      <c r="N281" s="1283"/>
      <c r="O281" s="1283"/>
      <c r="P281" s="1283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</row>
    <row r="282" spans="1:51" s="1" customFormat="1" ht="15.75" customHeight="1">
      <c r="A282" s="1283" t="s">
        <v>764</v>
      </c>
      <c r="B282" s="1283"/>
      <c r="C282" s="1283"/>
      <c r="D282" s="1283"/>
      <c r="E282" s="687">
        <f>(2.24*KFC!$B$22+KFC!$C$22)*KFC!$C$5</f>
        <v>2.2400000000000002</v>
      </c>
      <c r="F282" s="1751" t="s">
        <v>773</v>
      </c>
      <c r="G282" s="1283"/>
      <c r="H282" s="1283"/>
      <c r="I282" s="1752"/>
      <c r="J282" s="677">
        <f>(3.55*KFC!$B$22+KFC!$C$22)*KFC!$C$5</f>
        <v>3.55</v>
      </c>
      <c r="K282" s="1738" t="s">
        <v>774</v>
      </c>
      <c r="L282" s="1567"/>
      <c r="M282" s="1567"/>
      <c r="N282" s="1567"/>
      <c r="O282" s="678"/>
      <c r="P282" s="678"/>
      <c r="Q282" s="462"/>
      <c r="R282" s="462"/>
      <c r="S282" s="462"/>
      <c r="T282" s="462"/>
      <c r="U282" s="462"/>
      <c r="V282" s="462"/>
      <c r="W282" s="462"/>
      <c r="X282" s="462"/>
      <c r="Y282" s="462"/>
      <c r="Z282" s="462"/>
      <c r="AA282" s="46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</row>
    <row r="283" spans="1:51" s="1" customFormat="1" ht="18.75" customHeight="1">
      <c r="A283" s="1750" t="s">
        <v>1018</v>
      </c>
      <c r="B283" s="1750"/>
      <c r="C283" s="1750"/>
      <c r="D283" s="1750"/>
      <c r="E283" s="1750"/>
      <c r="F283" s="1750"/>
      <c r="G283" s="1750"/>
      <c r="H283" s="1750"/>
      <c r="I283" s="677">
        <f>(19.83*KFC!$B$22+KFC!$C$22)*KFC!$C$5</f>
        <v>19.829999999999998</v>
      </c>
      <c r="J283" s="308" t="s">
        <v>1019</v>
      </c>
      <c r="K283" s="308"/>
      <c r="L283" s="308"/>
      <c r="M283" s="688"/>
      <c r="N283" s="688"/>
      <c r="O283" s="678"/>
      <c r="P283" s="678"/>
      <c r="Q283" s="462"/>
      <c r="R283" s="462"/>
      <c r="S283" s="462"/>
      <c r="T283" s="462"/>
      <c r="U283" s="462"/>
      <c r="V283" s="462"/>
      <c r="W283" s="462"/>
      <c r="X283" s="462"/>
      <c r="Y283" s="462"/>
      <c r="Z283" s="462"/>
      <c r="AA283" s="462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</row>
    <row r="284" spans="1:51" s="462" customFormat="1" ht="31.5" customHeight="1">
      <c r="A284" s="1283" t="s">
        <v>1020</v>
      </c>
      <c r="B284" s="1283"/>
      <c r="C284" s="1283"/>
      <c r="D284" s="1283"/>
      <c r="E284" s="1283"/>
      <c r="F284" s="1283"/>
      <c r="G284" s="1283"/>
      <c r="H284" s="1283"/>
      <c r="I284" s="1283"/>
      <c r="J284" s="1283"/>
      <c r="K284" s="1283"/>
      <c r="L284" s="1283"/>
      <c r="M284" s="1283"/>
      <c r="N284" s="1283"/>
      <c r="O284" s="1283"/>
      <c r="P284" s="1283"/>
      <c r="Q284" s="1283"/>
      <c r="R284" s="1283"/>
      <c r="S284" s="1283"/>
      <c r="T284" s="1283"/>
      <c r="U284" s="1283"/>
      <c r="V284" s="1283"/>
      <c r="W284" s="1283"/>
      <c r="X284" s="1283"/>
      <c r="Y284" s="1283"/>
      <c r="Z284" s="1283"/>
      <c r="AA284" s="499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</row>
    <row r="285" spans="1:51" s="1" customFormat="1" ht="23.4" customHeight="1" thickBot="1">
      <c r="A285" s="1644" t="s">
        <v>1005</v>
      </c>
      <c r="B285" s="1644"/>
      <c r="C285" s="1644"/>
      <c r="D285" s="1644"/>
      <c r="E285" s="1644"/>
      <c r="F285" s="1644"/>
      <c r="G285" s="1644"/>
      <c r="H285" s="1644"/>
      <c r="I285" s="1644"/>
      <c r="J285" s="1644"/>
      <c r="K285" s="1644"/>
      <c r="L285" s="1644"/>
      <c r="M285" s="1644"/>
      <c r="N285" s="1644"/>
      <c r="O285" s="1644"/>
      <c r="P285" s="1644"/>
      <c r="Q285" s="1644"/>
      <c r="R285" s="1644"/>
      <c r="S285" s="1644"/>
      <c r="T285" s="1644"/>
      <c r="U285" s="1644"/>
      <c r="V285" s="1644"/>
      <c r="W285" s="1644"/>
      <c r="X285" s="1644"/>
      <c r="Y285" s="1644"/>
      <c r="Z285" s="1644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</row>
    <row r="286" spans="1:51" s="1" customFormat="1" ht="14.4" thickBot="1">
      <c r="H286" s="1638" t="s">
        <v>88</v>
      </c>
      <c r="I286" s="1639"/>
      <c r="J286" s="1640"/>
      <c r="K286" s="1114" t="s">
        <v>87</v>
      </c>
      <c r="L286" s="1006"/>
      <c r="M286" s="1006"/>
      <c r="N286" s="1006"/>
      <c r="O286" s="1006"/>
      <c r="P286" s="1006"/>
      <c r="Q286" s="1006"/>
      <c r="R286" s="1006"/>
      <c r="S286" s="1115"/>
      <c r="T286" s="1641" t="s">
        <v>24</v>
      </c>
      <c r="U286" s="1642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</row>
    <row r="287" spans="1:51" s="1" customFormat="1" ht="30.75" customHeight="1">
      <c r="H287" s="1653" t="s">
        <v>695</v>
      </c>
      <c r="I287" s="1654"/>
      <c r="J287" s="1654"/>
      <c r="K287" s="1117" t="s">
        <v>704</v>
      </c>
      <c r="L287" s="1117"/>
      <c r="M287" s="1117"/>
      <c r="N287" s="1117"/>
      <c r="O287" s="1117"/>
      <c r="P287" s="1117"/>
      <c r="Q287" s="1117"/>
      <c r="R287" s="1117"/>
      <c r="S287" s="1117"/>
      <c r="T287" s="1655">
        <f>(348.1*KFC!$B$41+KFC!$C$41)*KFC!$C$5</f>
        <v>348.1</v>
      </c>
      <c r="U287" s="1656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</row>
    <row r="288" spans="1:51" s="1" customFormat="1" ht="23.25" customHeight="1">
      <c r="H288" s="1035"/>
      <c r="I288" s="1218"/>
      <c r="J288" s="1218"/>
      <c r="K288" s="1647" t="s">
        <v>852</v>
      </c>
      <c r="L288" s="1118"/>
      <c r="M288" s="1118"/>
      <c r="N288" s="1118"/>
      <c r="O288" s="1118"/>
      <c r="P288" s="1118"/>
      <c r="Q288" s="1118"/>
      <c r="R288" s="1118"/>
      <c r="S288" s="1118"/>
      <c r="T288" s="1293"/>
      <c r="U288" s="1294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</row>
    <row r="289" spans="8:51" s="1" customFormat="1" ht="28.5" customHeight="1">
      <c r="H289" s="1035" t="s">
        <v>698</v>
      </c>
      <c r="I289" s="1218"/>
      <c r="J289" s="1218"/>
      <c r="K289" s="1118" t="s">
        <v>705</v>
      </c>
      <c r="L289" s="1118"/>
      <c r="M289" s="1118"/>
      <c r="N289" s="1118"/>
      <c r="O289" s="1118"/>
      <c r="P289" s="1118"/>
      <c r="Q289" s="1118"/>
      <c r="R289" s="1118"/>
      <c r="S289" s="1118"/>
      <c r="T289" s="1293">
        <f>(493.7*KFC!$B$41+KFC!$C$41)*KFC!$C$5</f>
        <v>493.7</v>
      </c>
      <c r="U289" s="1294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</row>
    <row r="290" spans="8:51" s="1" customFormat="1" ht="23.25" customHeight="1">
      <c r="H290" s="1035"/>
      <c r="I290" s="1218"/>
      <c r="J290" s="1218"/>
      <c r="K290" s="1647" t="s">
        <v>853</v>
      </c>
      <c r="L290" s="1118"/>
      <c r="M290" s="1118"/>
      <c r="N290" s="1118"/>
      <c r="O290" s="1118"/>
      <c r="P290" s="1118"/>
      <c r="Q290" s="1118"/>
      <c r="R290" s="1118"/>
      <c r="S290" s="1118"/>
      <c r="T290" s="1293"/>
      <c r="U290" s="1294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</row>
    <row r="291" spans="8:51" s="1" customFormat="1" ht="24" customHeight="1">
      <c r="H291" s="1035" t="s">
        <v>1063</v>
      </c>
      <c r="I291" s="1218"/>
      <c r="J291" s="1218"/>
      <c r="K291" s="1650" t="s">
        <v>663</v>
      </c>
      <c r="L291" s="1650"/>
      <c r="M291" s="1650"/>
      <c r="N291" s="1650"/>
      <c r="O291" s="1650"/>
      <c r="P291" s="1650"/>
      <c r="Q291" s="1650"/>
      <c r="R291" s="1650"/>
      <c r="S291" s="1650"/>
      <c r="T291" s="1293">
        <f>(238.67*KFC!$B$41+KFC!$C$41)*KFC!$C$5</f>
        <v>238.67</v>
      </c>
      <c r="U291" s="1294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</row>
    <row r="292" spans="8:51" s="1" customFormat="1" ht="28.95" customHeight="1">
      <c r="H292" s="1648"/>
      <c r="I292" s="1649"/>
      <c r="J292" s="1649"/>
      <c r="K292" s="1647" t="s">
        <v>854</v>
      </c>
      <c r="L292" s="1650"/>
      <c r="M292" s="1650"/>
      <c r="N292" s="1650"/>
      <c r="O292" s="1650"/>
      <c r="P292" s="1650"/>
      <c r="Q292" s="1650"/>
      <c r="R292" s="1650"/>
      <c r="S292" s="1650"/>
      <c r="T292" s="1753"/>
      <c r="U292" s="1754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</row>
    <row r="293" spans="8:51" s="1" customFormat="1" ht="37.950000000000003" customHeight="1">
      <c r="H293" s="1035" t="s">
        <v>1064</v>
      </c>
      <c r="I293" s="1218"/>
      <c r="J293" s="1218"/>
      <c r="K293" s="1650" t="s">
        <v>664</v>
      </c>
      <c r="L293" s="1650"/>
      <c r="M293" s="1650"/>
      <c r="N293" s="1650"/>
      <c r="O293" s="1650"/>
      <c r="P293" s="1650"/>
      <c r="Q293" s="1650"/>
      <c r="R293" s="1650"/>
      <c r="S293" s="1650"/>
      <c r="T293" s="1293">
        <f>(330.46*KFC!$B$41+KFC!$C$41)*KFC!$C$5</f>
        <v>330.46</v>
      </c>
      <c r="U293" s="1294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</row>
    <row r="294" spans="8:51" s="1" customFormat="1" ht="21.75" customHeight="1">
      <c r="H294" s="1035" t="s">
        <v>1065</v>
      </c>
      <c r="I294" s="1218"/>
      <c r="J294" s="1218"/>
      <c r="K294" s="1650" t="s">
        <v>665</v>
      </c>
      <c r="L294" s="1650"/>
      <c r="M294" s="1650"/>
      <c r="N294" s="1650"/>
      <c r="O294" s="1650"/>
      <c r="P294" s="1650"/>
      <c r="Q294" s="1650"/>
      <c r="R294" s="1650"/>
      <c r="S294" s="1650"/>
      <c r="T294" s="1293">
        <f>(385.44*KFC!$B$41+KFC!$C$41)*KFC!$C$5</f>
        <v>385.44</v>
      </c>
      <c r="U294" s="1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</row>
    <row r="295" spans="8:51" s="1" customFormat="1" ht="24" customHeight="1">
      <c r="H295" s="1648"/>
      <c r="I295" s="1649"/>
      <c r="J295" s="1649"/>
      <c r="K295" s="1647" t="s">
        <v>873</v>
      </c>
      <c r="L295" s="1650"/>
      <c r="M295" s="1650"/>
      <c r="N295" s="1650"/>
      <c r="O295" s="1650"/>
      <c r="P295" s="1650"/>
      <c r="Q295" s="1650"/>
      <c r="R295" s="1650"/>
      <c r="S295" s="1650"/>
      <c r="T295" s="1753"/>
      <c r="U295" s="1754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</row>
    <row r="296" spans="8:51" s="1" customFormat="1" ht="13.8">
      <c r="H296" s="1035" t="s">
        <v>903</v>
      </c>
      <c r="I296" s="1218"/>
      <c r="J296" s="1218"/>
      <c r="K296" s="1118" t="s">
        <v>1009</v>
      </c>
      <c r="L296" s="1118"/>
      <c r="M296" s="1118"/>
      <c r="N296" s="1118"/>
      <c r="O296" s="1118"/>
      <c r="P296" s="1118"/>
      <c r="Q296" s="1118"/>
      <c r="R296" s="1118"/>
      <c r="S296" s="1118"/>
      <c r="T296" s="1293">
        <f>(120.3*KFC!$B$41+KFC!$C$41)*KFC!$C$5</f>
        <v>120.3</v>
      </c>
      <c r="U296" s="1294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</row>
    <row r="297" spans="8:51" s="1" customFormat="1" ht="31.2" customHeight="1">
      <c r="H297" s="1035"/>
      <c r="I297" s="1218"/>
      <c r="J297" s="1218"/>
      <c r="K297" s="1647" t="s">
        <v>855</v>
      </c>
      <c r="L297" s="1118"/>
      <c r="M297" s="1118"/>
      <c r="N297" s="1118"/>
      <c r="O297" s="1118"/>
      <c r="P297" s="1118"/>
      <c r="Q297" s="1118"/>
      <c r="R297" s="1118"/>
      <c r="S297" s="1118"/>
      <c r="T297" s="1293"/>
      <c r="U297" s="1294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</row>
    <row r="298" spans="8:51" s="1" customFormat="1" ht="13.8">
      <c r="H298" s="1035" t="s">
        <v>903</v>
      </c>
      <c r="I298" s="1218"/>
      <c r="J298" s="1218"/>
      <c r="K298" s="1118" t="s">
        <v>1008</v>
      </c>
      <c r="L298" s="1118"/>
      <c r="M298" s="1118"/>
      <c r="N298" s="1118"/>
      <c r="O298" s="1118"/>
      <c r="P298" s="1118"/>
      <c r="Q298" s="1118"/>
      <c r="R298" s="1118"/>
      <c r="S298" s="1118"/>
      <c r="T298" s="1293">
        <f>(132.9*KFC!$B$41+KFC!$C$41)*KFC!$C$5</f>
        <v>132.9</v>
      </c>
      <c r="U298" s="1294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</row>
    <row r="299" spans="8:51" s="1" customFormat="1" ht="13.8">
      <c r="H299" s="1035"/>
      <c r="I299" s="1218"/>
      <c r="J299" s="1218"/>
      <c r="K299" s="1647" t="s">
        <v>856</v>
      </c>
      <c r="L299" s="1118"/>
      <c r="M299" s="1118"/>
      <c r="N299" s="1118"/>
      <c r="O299" s="1118"/>
      <c r="P299" s="1118"/>
      <c r="Q299" s="1118"/>
      <c r="R299" s="1118"/>
      <c r="S299" s="1118"/>
      <c r="T299" s="1293"/>
      <c r="U299" s="1294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</row>
    <row r="300" spans="8:51" s="1" customFormat="1" ht="13.8">
      <c r="H300" s="1035" t="s">
        <v>890</v>
      </c>
      <c r="I300" s="1218"/>
      <c r="J300" s="1218"/>
      <c r="K300" s="1118" t="s">
        <v>661</v>
      </c>
      <c r="L300" s="1118"/>
      <c r="M300" s="1118"/>
      <c r="N300" s="1118"/>
      <c r="O300" s="1118"/>
      <c r="P300" s="1118"/>
      <c r="Q300" s="1118"/>
      <c r="R300" s="1118"/>
      <c r="S300" s="1118"/>
      <c r="T300" s="1293">
        <f>(196.2*KFC!$B$41+KFC!$C$41)*KFC!$C$5</f>
        <v>196.2</v>
      </c>
      <c r="U300" s="1294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</row>
    <row r="301" spans="8:51" s="1" customFormat="1" ht="13.95" customHeight="1">
      <c r="H301" s="1035"/>
      <c r="I301" s="1218"/>
      <c r="J301" s="1218"/>
      <c r="K301" s="1647" t="s">
        <v>857</v>
      </c>
      <c r="L301" s="1118"/>
      <c r="M301" s="1118"/>
      <c r="N301" s="1118"/>
      <c r="O301" s="1118"/>
      <c r="P301" s="1118"/>
      <c r="Q301" s="1118"/>
      <c r="R301" s="1118"/>
      <c r="S301" s="1118"/>
      <c r="T301" s="1293"/>
      <c r="U301" s="1294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</row>
    <row r="302" spans="8:51" s="1" customFormat="1" ht="28.2" customHeight="1">
      <c r="H302" s="1526" t="s">
        <v>904</v>
      </c>
      <c r="I302" s="1252"/>
      <c r="J302" s="1253"/>
      <c r="K302" s="1650" t="s">
        <v>1003</v>
      </c>
      <c r="L302" s="1650"/>
      <c r="M302" s="1650"/>
      <c r="N302" s="1650"/>
      <c r="O302" s="1650"/>
      <c r="P302" s="1650"/>
      <c r="Q302" s="1650"/>
      <c r="R302" s="1650"/>
      <c r="S302" s="1650"/>
      <c r="T302" s="1657">
        <f>(177.7*KFC!$B$41+KFC!$C$41)*KFC!$C$5</f>
        <v>177.7</v>
      </c>
      <c r="U302" s="1658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</row>
    <row r="303" spans="8:51" s="1" customFormat="1" ht="28.2" customHeight="1">
      <c r="H303" s="1663"/>
      <c r="I303" s="1255"/>
      <c r="J303" s="1256"/>
      <c r="K303" s="1661" t="s">
        <v>1002</v>
      </c>
      <c r="L303" s="1662"/>
      <c r="M303" s="1662"/>
      <c r="N303" s="1662"/>
      <c r="O303" s="1662"/>
      <c r="P303" s="1662"/>
      <c r="Q303" s="1662"/>
      <c r="R303" s="1662"/>
      <c r="S303" s="1662"/>
      <c r="T303" s="1659"/>
      <c r="U303" s="1660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</row>
    <row r="304" spans="8:51" s="1" customFormat="1" ht="28.2" customHeight="1">
      <c r="H304" s="1035" t="s">
        <v>904</v>
      </c>
      <c r="I304" s="1218"/>
      <c r="J304" s="1218"/>
      <c r="K304" s="1650" t="s">
        <v>1021</v>
      </c>
      <c r="L304" s="1650"/>
      <c r="M304" s="1650"/>
      <c r="N304" s="1650"/>
      <c r="O304" s="1650"/>
      <c r="P304" s="1650"/>
      <c r="Q304" s="1650"/>
      <c r="R304" s="1650"/>
      <c r="S304" s="1650"/>
      <c r="T304" s="1293">
        <f>(120.3*KFC!$B$41+KFC!$C$41)*KFC!$C$5</f>
        <v>120.3</v>
      </c>
      <c r="U304" s="129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</row>
    <row r="305" spans="1:51" s="1" customFormat="1" ht="28.2" customHeight="1">
      <c r="H305" s="1035" t="s">
        <v>904</v>
      </c>
      <c r="I305" s="1218"/>
      <c r="J305" s="1218"/>
      <c r="K305" s="1650" t="s">
        <v>1022</v>
      </c>
      <c r="L305" s="1650"/>
      <c r="M305" s="1650"/>
      <c r="N305" s="1650"/>
      <c r="O305" s="1650"/>
      <c r="P305" s="1650"/>
      <c r="Q305" s="1650"/>
      <c r="R305" s="1650"/>
      <c r="S305" s="1650"/>
      <c r="T305" s="1293">
        <f>(126.6*KFC!$B$41+KFC!$C$41)*KFC!$C$5</f>
        <v>126.6</v>
      </c>
      <c r="U305" s="1294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</row>
    <row r="306" spans="1:51" s="1" customFormat="1" ht="28.2" customHeight="1">
      <c r="H306" s="1035" t="s">
        <v>904</v>
      </c>
      <c r="I306" s="1218"/>
      <c r="J306" s="1218"/>
      <c r="K306" s="1650" t="s">
        <v>1023</v>
      </c>
      <c r="L306" s="1650"/>
      <c r="M306" s="1650"/>
      <c r="N306" s="1650"/>
      <c r="O306" s="1650"/>
      <c r="P306" s="1650"/>
      <c r="Q306" s="1650"/>
      <c r="R306" s="1650"/>
      <c r="S306" s="1650"/>
      <c r="T306" s="1293">
        <f>(126.3*KFC!$B$41+KFC!$C$41)*KFC!$C$5</f>
        <v>126.3</v>
      </c>
      <c r="U306" s="1294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</row>
    <row r="307" spans="1:51" s="1" customFormat="1" ht="28.2" customHeight="1" thickBot="1">
      <c r="H307" s="1036" t="s">
        <v>904</v>
      </c>
      <c r="I307" s="1564"/>
      <c r="J307" s="1564"/>
      <c r="K307" s="1556" t="s">
        <v>905</v>
      </c>
      <c r="L307" s="1556"/>
      <c r="M307" s="1556"/>
      <c r="N307" s="1556"/>
      <c r="O307" s="1556"/>
      <c r="P307" s="1556"/>
      <c r="Q307" s="1556"/>
      <c r="R307" s="1556"/>
      <c r="S307" s="1556"/>
      <c r="T307" s="1295">
        <f>(173.42*KFC!$B$41+KFC!$C$41)*KFC!$C$5</f>
        <v>173.42</v>
      </c>
      <c r="U307" s="1296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</row>
    <row r="308" spans="1:51" s="1" customFormat="1">
      <c r="A308" s="398"/>
      <c r="B308" s="398"/>
      <c r="C308" s="398"/>
      <c r="D308" s="398"/>
      <c r="E308" s="398"/>
      <c r="F308" s="398"/>
      <c r="G308" s="398"/>
      <c r="H308" s="398"/>
      <c r="I308" s="398"/>
      <c r="J308" s="398"/>
      <c r="K308" s="398"/>
      <c r="L308" s="398"/>
      <c r="M308" s="398"/>
      <c r="N308" s="399"/>
      <c r="O308" s="326"/>
      <c r="P308" s="326"/>
      <c r="Q308" s="326"/>
      <c r="R308" s="326"/>
      <c r="S308" s="326"/>
      <c r="T308" s="326"/>
      <c r="U308" s="326"/>
      <c r="V308" s="326"/>
      <c r="W308" s="326"/>
      <c r="X308" s="326"/>
      <c r="Y308" s="326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</row>
    <row r="309" spans="1:51" s="1" customFormat="1" ht="19.5" customHeight="1" thickBot="1">
      <c r="A309" s="1758" t="s">
        <v>1024</v>
      </c>
      <c r="B309" s="1758"/>
      <c r="C309" s="1758"/>
      <c r="D309" s="1758"/>
      <c r="E309" s="1758"/>
      <c r="F309" s="1758"/>
      <c r="G309" s="1758"/>
      <c r="H309" s="1758"/>
      <c r="I309" s="1758"/>
      <c r="J309" s="1758"/>
      <c r="K309" s="1758"/>
      <c r="L309" s="1758"/>
      <c r="M309" s="1758"/>
      <c r="N309" s="1758"/>
      <c r="O309" s="1758"/>
      <c r="P309" s="1758"/>
      <c r="Q309" s="1758"/>
      <c r="R309" s="1758"/>
      <c r="S309" s="1758"/>
      <c r="T309" s="1758"/>
      <c r="U309" s="1758"/>
      <c r="V309" s="1758"/>
      <c r="W309" s="1758"/>
      <c r="X309" s="1758"/>
      <c r="Y309" s="1758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</row>
    <row r="310" spans="1:51" s="1" customFormat="1" ht="37.5" customHeight="1" thickBot="1">
      <c r="A310" s="1043" t="s">
        <v>260</v>
      </c>
      <c r="B310" s="1759"/>
      <c r="C310" s="1759"/>
      <c r="D310" s="1759"/>
      <c r="E310" s="1760"/>
      <c r="F310" s="1761" t="s">
        <v>174</v>
      </c>
      <c r="G310" s="1762"/>
      <c r="H310" s="1762"/>
      <c r="I310" s="1763"/>
      <c r="J310" s="1761" t="s">
        <v>175</v>
      </c>
      <c r="K310" s="1762"/>
      <c r="L310" s="1762"/>
      <c r="M310" s="1763"/>
      <c r="N310" s="1761" t="s">
        <v>176</v>
      </c>
      <c r="O310" s="1762"/>
      <c r="P310" s="1762"/>
      <c r="Q310" s="1763"/>
      <c r="R310" s="1761" t="s">
        <v>177</v>
      </c>
      <c r="S310" s="1762"/>
      <c r="T310" s="1762"/>
      <c r="U310" s="1763"/>
      <c r="V310" s="1761" t="s">
        <v>178</v>
      </c>
      <c r="W310" s="1762"/>
      <c r="X310" s="1762"/>
      <c r="Y310" s="1764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</row>
    <row r="311" spans="1:51" s="1" customFormat="1" ht="16.2" customHeight="1">
      <c r="A311" s="1755" t="s">
        <v>1004</v>
      </c>
      <c r="B311" s="1756"/>
      <c r="C311" s="1756"/>
      <c r="D311" s="1756"/>
      <c r="E311" s="1756"/>
      <c r="F311" s="1530">
        <v>590</v>
      </c>
      <c r="G311" s="1530"/>
      <c r="H311" s="1530"/>
      <c r="I311" s="1530"/>
      <c r="J311" s="1530">
        <v>2500</v>
      </c>
      <c r="K311" s="1530"/>
      <c r="L311" s="1530"/>
      <c r="M311" s="1530"/>
      <c r="N311" s="1530">
        <v>3000</v>
      </c>
      <c r="O311" s="1530"/>
      <c r="P311" s="1530"/>
      <c r="Q311" s="1530"/>
      <c r="R311" s="1530">
        <v>3000</v>
      </c>
      <c r="S311" s="1530"/>
      <c r="T311" s="1530"/>
      <c r="U311" s="1530"/>
      <c r="V311" s="1530">
        <v>3000</v>
      </c>
      <c r="W311" s="1530"/>
      <c r="X311" s="1530"/>
      <c r="Y311" s="1757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</row>
    <row r="312" spans="1:51" s="1" customFormat="1" ht="16.2" customHeight="1">
      <c r="A312" s="1765" t="s">
        <v>916</v>
      </c>
      <c r="B312" s="1766"/>
      <c r="C312" s="1766"/>
      <c r="D312" s="1766"/>
      <c r="E312" s="1766"/>
      <c r="F312" s="1532">
        <v>580</v>
      </c>
      <c r="G312" s="1532"/>
      <c r="H312" s="1532"/>
      <c r="I312" s="1532"/>
      <c r="J312" s="1532">
        <v>2500</v>
      </c>
      <c r="K312" s="1532"/>
      <c r="L312" s="1532"/>
      <c r="M312" s="1532"/>
      <c r="N312" s="1532">
        <v>3000</v>
      </c>
      <c r="O312" s="1532"/>
      <c r="P312" s="1532"/>
      <c r="Q312" s="1532"/>
      <c r="R312" s="1532">
        <v>3000</v>
      </c>
      <c r="S312" s="1532"/>
      <c r="T312" s="1532"/>
      <c r="U312" s="1532"/>
      <c r="V312" s="1532">
        <v>3000</v>
      </c>
      <c r="W312" s="1532"/>
      <c r="X312" s="1532"/>
      <c r="Y312" s="1767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</row>
    <row r="313" spans="1:51" s="1" customFormat="1" ht="16.2" customHeight="1">
      <c r="A313" s="1765" t="s">
        <v>917</v>
      </c>
      <c r="B313" s="1766"/>
      <c r="C313" s="1766"/>
      <c r="D313" s="1766"/>
      <c r="E313" s="1766"/>
      <c r="F313" s="1532">
        <v>680</v>
      </c>
      <c r="G313" s="1532"/>
      <c r="H313" s="1532"/>
      <c r="I313" s="1532"/>
      <c r="J313" s="1532">
        <v>2500</v>
      </c>
      <c r="K313" s="1532"/>
      <c r="L313" s="1532"/>
      <c r="M313" s="1532"/>
      <c r="N313" s="1532">
        <v>3000</v>
      </c>
      <c r="O313" s="1532"/>
      <c r="P313" s="1532"/>
      <c r="Q313" s="1532"/>
      <c r="R313" s="1532">
        <v>3000</v>
      </c>
      <c r="S313" s="1532"/>
      <c r="T313" s="1532"/>
      <c r="U313" s="1532"/>
      <c r="V313" s="1532">
        <v>3000</v>
      </c>
      <c r="W313" s="1532"/>
      <c r="X313" s="1532"/>
      <c r="Y313" s="1767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</row>
    <row r="314" spans="1:51" s="1" customFormat="1" ht="16.2" customHeight="1">
      <c r="A314" s="1765" t="s">
        <v>918</v>
      </c>
      <c r="B314" s="1766"/>
      <c r="C314" s="1766"/>
      <c r="D314" s="1766"/>
      <c r="E314" s="1766"/>
      <c r="F314" s="1532">
        <v>590</v>
      </c>
      <c r="G314" s="1532"/>
      <c r="H314" s="1532"/>
      <c r="I314" s="1532"/>
      <c r="J314" s="1532">
        <v>2500</v>
      </c>
      <c r="K314" s="1532"/>
      <c r="L314" s="1532"/>
      <c r="M314" s="1532"/>
      <c r="N314" s="1532">
        <v>3000</v>
      </c>
      <c r="O314" s="1532"/>
      <c r="P314" s="1532"/>
      <c r="Q314" s="1532"/>
      <c r="R314" s="1532">
        <v>3000</v>
      </c>
      <c r="S314" s="1532"/>
      <c r="T314" s="1532"/>
      <c r="U314" s="1532"/>
      <c r="V314" s="1532">
        <v>3000</v>
      </c>
      <c r="W314" s="1532"/>
      <c r="X314" s="1532"/>
      <c r="Y314" s="1767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</row>
    <row r="315" spans="1:51" s="1" customFormat="1" ht="16.2" customHeight="1">
      <c r="A315" s="1765" t="s">
        <v>919</v>
      </c>
      <c r="B315" s="1766"/>
      <c r="C315" s="1766"/>
      <c r="D315" s="1766"/>
      <c r="E315" s="1766"/>
      <c r="F315" s="1532">
        <v>880</v>
      </c>
      <c r="G315" s="1532"/>
      <c r="H315" s="1532"/>
      <c r="I315" s="1532"/>
      <c r="J315" s="1532">
        <v>2500</v>
      </c>
      <c r="K315" s="1532"/>
      <c r="L315" s="1532"/>
      <c r="M315" s="1532"/>
      <c r="N315" s="1532">
        <v>3000</v>
      </c>
      <c r="O315" s="1532"/>
      <c r="P315" s="1532"/>
      <c r="Q315" s="1532"/>
      <c r="R315" s="1532">
        <v>3000</v>
      </c>
      <c r="S315" s="1532"/>
      <c r="T315" s="1532"/>
      <c r="U315" s="1532"/>
      <c r="V315" s="1532">
        <v>3000</v>
      </c>
      <c r="W315" s="1532"/>
      <c r="X315" s="1532"/>
      <c r="Y315" s="1767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</row>
    <row r="316" spans="1:51" s="1" customFormat="1" ht="16.2" customHeight="1">
      <c r="A316" s="1765" t="s">
        <v>677</v>
      </c>
      <c r="B316" s="1766"/>
      <c r="C316" s="1766"/>
      <c r="D316" s="1766"/>
      <c r="E316" s="1766"/>
      <c r="F316" s="1532">
        <v>560</v>
      </c>
      <c r="G316" s="1532"/>
      <c r="H316" s="1532"/>
      <c r="I316" s="1532"/>
      <c r="J316" s="1532">
        <v>2500</v>
      </c>
      <c r="K316" s="1532"/>
      <c r="L316" s="1532"/>
      <c r="M316" s="1532"/>
      <c r="N316" s="1532">
        <v>3000</v>
      </c>
      <c r="O316" s="1532"/>
      <c r="P316" s="1532"/>
      <c r="Q316" s="1532"/>
      <c r="R316" s="1532">
        <v>3000</v>
      </c>
      <c r="S316" s="1532"/>
      <c r="T316" s="1532"/>
      <c r="U316" s="1532"/>
      <c r="V316" s="1532">
        <v>3000</v>
      </c>
      <c r="W316" s="1532"/>
      <c r="X316" s="1532"/>
      <c r="Y316" s="1767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</row>
    <row r="317" spans="1:51" s="1" customFormat="1" ht="16.2" customHeight="1">
      <c r="A317" s="1765" t="s">
        <v>673</v>
      </c>
      <c r="B317" s="1766"/>
      <c r="C317" s="1766"/>
      <c r="D317" s="1766"/>
      <c r="E317" s="1766"/>
      <c r="F317" s="1532">
        <v>600</v>
      </c>
      <c r="G317" s="1532"/>
      <c r="H317" s="1532"/>
      <c r="I317" s="1532"/>
      <c r="J317" s="1532">
        <v>2500</v>
      </c>
      <c r="K317" s="1532"/>
      <c r="L317" s="1532"/>
      <c r="M317" s="1532"/>
      <c r="N317" s="1532">
        <v>3000</v>
      </c>
      <c r="O317" s="1532"/>
      <c r="P317" s="1532"/>
      <c r="Q317" s="1532"/>
      <c r="R317" s="1532">
        <v>3000</v>
      </c>
      <c r="S317" s="1532"/>
      <c r="T317" s="1532"/>
      <c r="U317" s="1532"/>
      <c r="V317" s="1532">
        <v>3000</v>
      </c>
      <c r="W317" s="1532"/>
      <c r="X317" s="1532"/>
      <c r="Y317" s="1767"/>
      <c r="AB317" s="673"/>
      <c r="AC317" s="673"/>
    </row>
    <row r="318" spans="1:51" s="1" customFormat="1" ht="16.2" customHeight="1">
      <c r="A318" s="1765" t="s">
        <v>667</v>
      </c>
      <c r="B318" s="1766"/>
      <c r="C318" s="1766"/>
      <c r="D318" s="1766"/>
      <c r="E318" s="1766"/>
      <c r="F318" s="1532">
        <v>560</v>
      </c>
      <c r="G318" s="1532"/>
      <c r="H318" s="1532"/>
      <c r="I318" s="1532"/>
      <c r="J318" s="1532">
        <v>2500</v>
      </c>
      <c r="K318" s="1532"/>
      <c r="L318" s="1532"/>
      <c r="M318" s="1532"/>
      <c r="N318" s="1532">
        <v>3000</v>
      </c>
      <c r="O318" s="1532"/>
      <c r="P318" s="1532"/>
      <c r="Q318" s="1532"/>
      <c r="R318" s="1532">
        <v>3000</v>
      </c>
      <c r="S318" s="1532"/>
      <c r="T318" s="1532"/>
      <c r="U318" s="1532"/>
      <c r="V318" s="1532">
        <v>3000</v>
      </c>
      <c r="W318" s="1532"/>
      <c r="X318" s="1532"/>
      <c r="Y318" s="1767"/>
      <c r="AB318" s="684"/>
      <c r="AC318" s="684"/>
    </row>
    <row r="319" spans="1:51" s="1" customFormat="1" ht="16.2" customHeight="1">
      <c r="A319" s="1765" t="s">
        <v>662</v>
      </c>
      <c r="B319" s="1766"/>
      <c r="C319" s="1766"/>
      <c r="D319" s="1766"/>
      <c r="E319" s="1766"/>
      <c r="F319" s="1532">
        <v>570</v>
      </c>
      <c r="G319" s="1532"/>
      <c r="H319" s="1532"/>
      <c r="I319" s="1532"/>
      <c r="J319" s="1532">
        <v>2500</v>
      </c>
      <c r="K319" s="1532"/>
      <c r="L319" s="1532"/>
      <c r="M319" s="1532"/>
      <c r="N319" s="1532">
        <v>3000</v>
      </c>
      <c r="O319" s="1532"/>
      <c r="P319" s="1532"/>
      <c r="Q319" s="1532"/>
      <c r="R319" s="1532">
        <v>3000</v>
      </c>
      <c r="S319" s="1532"/>
      <c r="T319" s="1532"/>
      <c r="U319" s="1532"/>
      <c r="V319" s="1532">
        <v>3000</v>
      </c>
      <c r="W319" s="1532"/>
      <c r="X319" s="1532"/>
      <c r="Y319" s="1767"/>
      <c r="AB319" s="673"/>
      <c r="AC319" s="673"/>
    </row>
    <row r="320" spans="1:51" s="1" customFormat="1" ht="16.2" customHeight="1">
      <c r="A320" s="1765" t="s">
        <v>666</v>
      </c>
      <c r="B320" s="1766"/>
      <c r="C320" s="1766"/>
      <c r="D320" s="1766"/>
      <c r="E320" s="1766"/>
      <c r="F320" s="1532">
        <v>480</v>
      </c>
      <c r="G320" s="1532"/>
      <c r="H320" s="1532"/>
      <c r="I320" s="1532"/>
      <c r="J320" s="1532">
        <v>2500</v>
      </c>
      <c r="K320" s="1532"/>
      <c r="L320" s="1532"/>
      <c r="M320" s="1532"/>
      <c r="N320" s="1532">
        <v>3000</v>
      </c>
      <c r="O320" s="1532"/>
      <c r="P320" s="1532"/>
      <c r="Q320" s="1532"/>
      <c r="R320" s="1532">
        <v>3000</v>
      </c>
      <c r="S320" s="1532"/>
      <c r="T320" s="1532"/>
      <c r="U320" s="1532"/>
      <c r="V320" s="1532">
        <v>3000</v>
      </c>
      <c r="W320" s="1532"/>
      <c r="X320" s="1532"/>
      <c r="Y320" s="1767"/>
      <c r="AB320" s="673"/>
      <c r="AC320" s="673"/>
      <c r="AD320" s="462"/>
      <c r="AE320" s="462"/>
      <c r="AF320" s="462"/>
      <c r="AG320" s="462"/>
      <c r="AH320" s="462"/>
      <c r="AI320" s="462"/>
      <c r="AJ320" s="462"/>
      <c r="AK320" s="462"/>
      <c r="AL320" s="462"/>
      <c r="AM320" s="462"/>
      <c r="AN320" s="462"/>
      <c r="AO320" s="462"/>
      <c r="AP320" s="462"/>
      <c r="AQ320" s="462"/>
      <c r="AR320" s="462"/>
      <c r="AS320" s="462"/>
      <c r="AT320" s="462"/>
      <c r="AU320" s="462"/>
      <c r="AV320" s="462"/>
      <c r="AW320" s="462"/>
      <c r="AX320" s="462"/>
      <c r="AY320" s="462"/>
    </row>
    <row r="321" spans="1:51" s="1" customFormat="1" ht="16.2" customHeight="1">
      <c r="A321" s="1765" t="s">
        <v>678</v>
      </c>
      <c r="B321" s="1766"/>
      <c r="C321" s="1766"/>
      <c r="D321" s="1766"/>
      <c r="E321" s="1766"/>
      <c r="F321" s="1532">
        <v>605</v>
      </c>
      <c r="G321" s="1532"/>
      <c r="H321" s="1532"/>
      <c r="I321" s="1532"/>
      <c r="J321" s="1532">
        <v>2500</v>
      </c>
      <c r="K321" s="1532"/>
      <c r="L321" s="1532"/>
      <c r="M321" s="1532"/>
      <c r="N321" s="1532">
        <v>3000</v>
      </c>
      <c r="O321" s="1532"/>
      <c r="P321" s="1532"/>
      <c r="Q321" s="1532"/>
      <c r="R321" s="1532">
        <v>3000</v>
      </c>
      <c r="S321" s="1532"/>
      <c r="T321" s="1532"/>
      <c r="U321" s="1532"/>
      <c r="V321" s="1532">
        <v>3000</v>
      </c>
      <c r="W321" s="1532"/>
      <c r="X321" s="1532"/>
      <c r="Y321" s="1767"/>
      <c r="AB321" s="673"/>
      <c r="AC321" s="673"/>
      <c r="AD321" s="462"/>
      <c r="AE321" s="462"/>
      <c r="AF321" s="462"/>
      <c r="AG321" s="462"/>
      <c r="AH321" s="462"/>
      <c r="AI321" s="462"/>
      <c r="AJ321" s="462"/>
      <c r="AK321" s="462"/>
      <c r="AL321" s="462"/>
      <c r="AM321" s="462"/>
      <c r="AN321" s="462"/>
      <c r="AO321" s="462"/>
      <c r="AP321" s="462"/>
      <c r="AQ321" s="462"/>
      <c r="AR321" s="462"/>
      <c r="AS321" s="462"/>
      <c r="AT321" s="462"/>
      <c r="AU321" s="462"/>
      <c r="AV321" s="462"/>
      <c r="AW321" s="462"/>
      <c r="AX321" s="462"/>
      <c r="AY321" s="462"/>
    </row>
    <row r="322" spans="1:51" s="1" customFormat="1" ht="16.2" customHeight="1">
      <c r="A322" s="1765" t="s">
        <v>984</v>
      </c>
      <c r="B322" s="1766"/>
      <c r="C322" s="1766"/>
      <c r="D322" s="1766"/>
      <c r="E322" s="1766"/>
      <c r="F322" s="1532">
        <v>685</v>
      </c>
      <c r="G322" s="1532"/>
      <c r="H322" s="1532"/>
      <c r="I322" s="1532"/>
      <c r="J322" s="1532">
        <v>2500</v>
      </c>
      <c r="K322" s="1532"/>
      <c r="L322" s="1532"/>
      <c r="M322" s="1532"/>
      <c r="N322" s="1532">
        <v>3000</v>
      </c>
      <c r="O322" s="1532"/>
      <c r="P322" s="1532"/>
      <c r="Q322" s="1532"/>
      <c r="R322" s="1532">
        <v>3000</v>
      </c>
      <c r="S322" s="1532"/>
      <c r="T322" s="1532"/>
      <c r="U322" s="1532"/>
      <c r="V322" s="1532">
        <v>3000</v>
      </c>
      <c r="W322" s="1532"/>
      <c r="X322" s="1532"/>
      <c r="Y322" s="1767"/>
      <c r="AB322" s="673"/>
      <c r="AC322" s="673"/>
      <c r="AD322" s="462"/>
      <c r="AE322" s="462"/>
      <c r="AF322" s="462"/>
      <c r="AG322" s="462"/>
      <c r="AH322" s="462"/>
      <c r="AI322" s="462"/>
      <c r="AJ322" s="462"/>
      <c r="AK322" s="462"/>
      <c r="AL322" s="462"/>
      <c r="AM322" s="462"/>
      <c r="AN322" s="462"/>
      <c r="AO322" s="462"/>
      <c r="AP322" s="462"/>
      <c r="AQ322" s="462"/>
      <c r="AR322" s="462"/>
      <c r="AS322" s="462"/>
      <c r="AT322" s="462"/>
      <c r="AU322" s="462"/>
      <c r="AV322" s="462"/>
      <c r="AW322" s="462"/>
      <c r="AX322" s="462"/>
      <c r="AY322" s="462"/>
    </row>
    <row r="323" spans="1:51" s="1" customFormat="1" ht="13.8" thickBot="1">
      <c r="A323" s="1768" t="s">
        <v>490</v>
      </c>
      <c r="B323" s="1769"/>
      <c r="C323" s="1769"/>
      <c r="D323" s="1769"/>
      <c r="E323" s="1769"/>
      <c r="F323" s="1770">
        <v>750</v>
      </c>
      <c r="G323" s="1770"/>
      <c r="H323" s="1770"/>
      <c r="I323" s="1770"/>
      <c r="J323" s="1770">
        <v>2500</v>
      </c>
      <c r="K323" s="1770"/>
      <c r="L323" s="1770"/>
      <c r="M323" s="1770"/>
      <c r="N323" s="1770">
        <v>3000</v>
      </c>
      <c r="O323" s="1770"/>
      <c r="P323" s="1770"/>
      <c r="Q323" s="1770"/>
      <c r="R323" s="1770">
        <v>3000</v>
      </c>
      <c r="S323" s="1770"/>
      <c r="T323" s="1770"/>
      <c r="U323" s="1770"/>
      <c r="V323" s="1770">
        <v>3000</v>
      </c>
      <c r="W323" s="1770"/>
      <c r="X323" s="1770"/>
      <c r="Y323" s="1771"/>
      <c r="AB323" s="462"/>
      <c r="AC323" s="462"/>
      <c r="AD323" s="462"/>
      <c r="AE323" s="462"/>
      <c r="AF323" s="462"/>
      <c r="AG323" s="462"/>
      <c r="AH323" s="462"/>
      <c r="AI323" s="462"/>
      <c r="AJ323" s="462"/>
      <c r="AK323" s="462"/>
      <c r="AL323" s="462"/>
      <c r="AM323" s="462"/>
      <c r="AN323" s="462"/>
      <c r="AO323" s="462"/>
      <c r="AP323" s="462"/>
      <c r="AQ323" s="462"/>
      <c r="AR323" s="462"/>
      <c r="AS323" s="462"/>
      <c r="AT323" s="462"/>
      <c r="AU323" s="462"/>
      <c r="AV323" s="462"/>
      <c r="AW323" s="462"/>
      <c r="AX323" s="462"/>
      <c r="AY323" s="462"/>
    </row>
    <row r="324" spans="1:51" s="1" customFormat="1">
      <c r="A324" s="58"/>
      <c r="AB324" s="462"/>
      <c r="AC324" s="462"/>
    </row>
    <row r="325" spans="1:51" s="1" customFormat="1" ht="16.2" thickBot="1">
      <c r="H325" s="1664" t="s">
        <v>1025</v>
      </c>
      <c r="I325" s="1664"/>
      <c r="J325" s="1664"/>
      <c r="K325" s="1664"/>
      <c r="L325" s="1664"/>
      <c r="M325" s="1664"/>
      <c r="N325" s="1664"/>
      <c r="O325" s="1664"/>
      <c r="P325" s="1664"/>
      <c r="Q325" s="1664"/>
      <c r="R325" s="1664"/>
      <c r="S325" s="1664"/>
      <c r="T325" s="1664"/>
      <c r="U325" s="1664"/>
      <c r="V325" s="1664"/>
      <c r="W325" s="1664"/>
      <c r="X325" s="1664"/>
      <c r="AB325" s="462"/>
      <c r="AC325" s="462"/>
    </row>
    <row r="326" spans="1:51" s="1" customFormat="1" ht="14.4" thickBot="1">
      <c r="H326" s="1665" t="s">
        <v>88</v>
      </c>
      <c r="I326" s="1666"/>
      <c r="J326" s="1666"/>
      <c r="K326" s="1051" t="s">
        <v>87</v>
      </c>
      <c r="L326" s="1052"/>
      <c r="M326" s="1052"/>
      <c r="N326" s="1052"/>
      <c r="O326" s="1052"/>
      <c r="P326" s="1052"/>
      <c r="Q326" s="1052"/>
      <c r="R326" s="1052"/>
      <c r="S326" s="1052"/>
      <c r="T326" s="1053"/>
      <c r="U326" s="1049" t="s">
        <v>24</v>
      </c>
      <c r="V326" s="1667"/>
      <c r="W326" s="1667"/>
      <c r="X326" s="1050"/>
      <c r="AB326" s="499"/>
      <c r="AC326" s="499"/>
      <c r="AD326" s="462"/>
      <c r="AE326" s="462"/>
      <c r="AF326" s="462"/>
      <c r="AG326" s="462"/>
      <c r="AH326" s="462"/>
      <c r="AI326" s="462"/>
      <c r="AJ326" s="462"/>
      <c r="AK326" s="462"/>
      <c r="AL326" s="462"/>
      <c r="AM326" s="462"/>
      <c r="AN326" s="462"/>
      <c r="AO326" s="462"/>
      <c r="AP326" s="462"/>
      <c r="AQ326" s="462"/>
      <c r="AR326" s="462"/>
      <c r="AS326" s="462"/>
      <c r="AT326" s="462"/>
      <c r="AU326" s="462"/>
      <c r="AV326" s="462"/>
      <c r="AW326" s="462"/>
      <c r="AX326" s="462"/>
      <c r="AY326" s="462"/>
    </row>
    <row r="327" spans="1:51" s="1" customFormat="1" ht="13.8">
      <c r="H327" s="1668" t="s">
        <v>689</v>
      </c>
      <c r="I327" s="1669"/>
      <c r="J327" s="1669"/>
      <c r="K327" s="1192" t="s">
        <v>644</v>
      </c>
      <c r="L327" s="1193"/>
      <c r="M327" s="1193"/>
      <c r="N327" s="1193"/>
      <c r="O327" s="1193"/>
      <c r="P327" s="1193"/>
      <c r="Q327" s="1193"/>
      <c r="R327" s="1193"/>
      <c r="S327" s="1193"/>
      <c r="T327" s="1194"/>
      <c r="U327" s="1672">
        <f>(44.31*KFC!$B$41*1.6+KFC!$C$41)*KFC!$C$5</f>
        <v>70.896000000000001</v>
      </c>
      <c r="V327" s="1673"/>
      <c r="W327" s="1673"/>
      <c r="X327" s="1674"/>
    </row>
    <row r="328" spans="1:51" s="1" customFormat="1" ht="13.8">
      <c r="H328" s="1670"/>
      <c r="I328" s="1671"/>
      <c r="J328" s="1671"/>
      <c r="K328" s="1388" t="s">
        <v>858</v>
      </c>
      <c r="L328" s="1678"/>
      <c r="M328" s="1678"/>
      <c r="N328" s="1678"/>
      <c r="O328" s="1678"/>
      <c r="P328" s="1678"/>
      <c r="Q328" s="1678"/>
      <c r="R328" s="1678"/>
      <c r="S328" s="1678"/>
      <c r="T328" s="1679"/>
      <c r="U328" s="1675"/>
      <c r="V328" s="1676"/>
      <c r="W328" s="1676"/>
      <c r="X328" s="1677"/>
    </row>
    <row r="329" spans="1:51" s="1" customFormat="1" ht="13.8">
      <c r="H329" s="1680" t="s">
        <v>689</v>
      </c>
      <c r="I329" s="1681"/>
      <c r="J329" s="1681"/>
      <c r="K329" s="1170" t="s">
        <v>645</v>
      </c>
      <c r="L329" s="1171"/>
      <c r="M329" s="1171"/>
      <c r="N329" s="1171"/>
      <c r="O329" s="1171"/>
      <c r="P329" s="1171"/>
      <c r="Q329" s="1171"/>
      <c r="R329" s="1171"/>
      <c r="S329" s="1171"/>
      <c r="T329" s="1172"/>
      <c r="U329" s="1657">
        <f>(75.95*KFC!$B$41*1.6+KFC!$C$41)*KFC!$C$5</f>
        <v>121.52000000000001</v>
      </c>
      <c r="V329" s="1682"/>
      <c r="W329" s="1682"/>
      <c r="X329" s="1658"/>
    </row>
    <row r="330" spans="1:51" s="1" customFormat="1" ht="13.8">
      <c r="H330" s="1670"/>
      <c r="I330" s="1671"/>
      <c r="J330" s="1671"/>
      <c r="K330" s="1388" t="s">
        <v>859</v>
      </c>
      <c r="L330" s="1678"/>
      <c r="M330" s="1678"/>
      <c r="N330" s="1678"/>
      <c r="O330" s="1678"/>
      <c r="P330" s="1678"/>
      <c r="Q330" s="1678"/>
      <c r="R330" s="1678"/>
      <c r="S330" s="1678"/>
      <c r="T330" s="1679"/>
      <c r="U330" s="1675"/>
      <c r="V330" s="1676"/>
      <c r="W330" s="1676"/>
      <c r="X330" s="1677"/>
    </row>
    <row r="331" spans="1:51" s="1" customFormat="1" ht="13.8">
      <c r="H331" s="1680" t="s">
        <v>695</v>
      </c>
      <c r="I331" s="1681"/>
      <c r="J331" s="1681"/>
      <c r="K331" s="1170" t="s">
        <v>91</v>
      </c>
      <c r="L331" s="1171"/>
      <c r="M331" s="1171"/>
      <c r="N331" s="1171"/>
      <c r="O331" s="1171"/>
      <c r="P331" s="1171"/>
      <c r="Q331" s="1171"/>
      <c r="R331" s="1171"/>
      <c r="S331" s="1171"/>
      <c r="T331" s="1172"/>
      <c r="U331" s="1657">
        <f>(181.52*KFC!$B$41*1.6+KFC!$C$41)*KFC!$C$5</f>
        <v>290.43200000000002</v>
      </c>
      <c r="V331" s="1682"/>
      <c r="W331" s="1682"/>
      <c r="X331" s="1658"/>
    </row>
    <row r="332" spans="1:51" s="1" customFormat="1" ht="13.8">
      <c r="H332" s="1670"/>
      <c r="I332" s="1671"/>
      <c r="J332" s="1671"/>
      <c r="K332" s="1388" t="s">
        <v>860</v>
      </c>
      <c r="L332" s="1678"/>
      <c r="M332" s="1678"/>
      <c r="N332" s="1678"/>
      <c r="O332" s="1678"/>
      <c r="P332" s="1678"/>
      <c r="Q332" s="1678"/>
      <c r="R332" s="1678"/>
      <c r="S332" s="1678"/>
      <c r="T332" s="1679"/>
      <c r="U332" s="1683"/>
      <c r="V332" s="1684"/>
      <c r="W332" s="1684"/>
      <c r="X332" s="1685"/>
    </row>
    <row r="333" spans="1:51" s="1" customFormat="1" ht="13.8">
      <c r="H333" s="1680" t="s">
        <v>696</v>
      </c>
      <c r="I333" s="1681"/>
      <c r="J333" s="1681"/>
      <c r="K333" s="1170" t="s">
        <v>819</v>
      </c>
      <c r="L333" s="1171"/>
      <c r="M333" s="1171"/>
      <c r="N333" s="1171"/>
      <c r="O333" s="1171"/>
      <c r="P333" s="1171"/>
      <c r="Q333" s="1171"/>
      <c r="R333" s="1171"/>
      <c r="S333" s="1171"/>
      <c r="T333" s="1171"/>
      <c r="U333" s="1657">
        <f>(95.07*KFC!$B$41*1.6+KFC!$C$41)*KFC!$C$5</f>
        <v>152.11199999999999</v>
      </c>
      <c r="V333" s="1682"/>
      <c r="W333" s="1682"/>
      <c r="X333" s="1658"/>
    </row>
    <row r="334" spans="1:51" s="1" customFormat="1" ht="18.75" customHeight="1">
      <c r="H334" s="1670"/>
      <c r="I334" s="1671"/>
      <c r="J334" s="1671"/>
      <c r="K334" s="1388" t="s">
        <v>861</v>
      </c>
      <c r="L334" s="1678"/>
      <c r="M334" s="1678"/>
      <c r="N334" s="1678"/>
      <c r="O334" s="1678"/>
      <c r="P334" s="1678"/>
      <c r="Q334" s="1678"/>
      <c r="R334" s="1678"/>
      <c r="S334" s="1678"/>
      <c r="T334" s="1678"/>
      <c r="U334" s="559"/>
      <c r="V334" s="560"/>
      <c r="W334" s="560"/>
      <c r="X334" s="561"/>
    </row>
    <row r="335" spans="1:51" s="1" customFormat="1" ht="13.8">
      <c r="H335" s="1680" t="s">
        <v>690</v>
      </c>
      <c r="I335" s="1681"/>
      <c r="J335" s="1681"/>
      <c r="K335" s="1170" t="s">
        <v>820</v>
      </c>
      <c r="L335" s="1171"/>
      <c r="M335" s="1171"/>
      <c r="N335" s="1171"/>
      <c r="O335" s="1171"/>
      <c r="P335" s="1171"/>
      <c r="Q335" s="1171"/>
      <c r="R335" s="1171"/>
      <c r="S335" s="1171"/>
      <c r="T335" s="1172"/>
      <c r="U335" s="1657">
        <f>(113.93*KFC!$B$41*1.6+KFC!$C$41)*KFC!$C$5</f>
        <v>182.28800000000001</v>
      </c>
      <c r="V335" s="1682"/>
      <c r="W335" s="1682"/>
      <c r="X335" s="1658"/>
    </row>
    <row r="336" spans="1:51" s="1" customFormat="1" ht="23.25" customHeight="1">
      <c r="H336" s="1670"/>
      <c r="I336" s="1671"/>
      <c r="J336" s="1671"/>
      <c r="K336" s="1388" t="s">
        <v>862</v>
      </c>
      <c r="L336" s="1678"/>
      <c r="M336" s="1678"/>
      <c r="N336" s="1678"/>
      <c r="O336" s="1678"/>
      <c r="P336" s="1678"/>
      <c r="Q336" s="1678"/>
      <c r="R336" s="1678"/>
      <c r="S336" s="1678"/>
      <c r="T336" s="1679"/>
      <c r="U336" s="1675"/>
      <c r="V336" s="1676"/>
      <c r="W336" s="1676"/>
      <c r="X336" s="1677"/>
    </row>
    <row r="337" spans="8:24" s="1" customFormat="1" ht="13.8">
      <c r="H337" s="1680" t="s">
        <v>697</v>
      </c>
      <c r="I337" s="1681"/>
      <c r="J337" s="1681"/>
      <c r="K337" s="1170" t="s">
        <v>92</v>
      </c>
      <c r="L337" s="1171"/>
      <c r="M337" s="1171"/>
      <c r="N337" s="1171"/>
      <c r="O337" s="1171"/>
      <c r="P337" s="1171"/>
      <c r="Q337" s="1171"/>
      <c r="R337" s="1171"/>
      <c r="S337" s="1171"/>
      <c r="T337" s="1172"/>
      <c r="U337" s="1657">
        <f>(38.74*KFC!$B$41*1.6+KFC!$C$41)*KFC!$C$5</f>
        <v>61.984000000000009</v>
      </c>
      <c r="V337" s="1682"/>
      <c r="W337" s="1682"/>
      <c r="X337" s="1658"/>
    </row>
    <row r="338" spans="8:24" s="1" customFormat="1" ht="27.6" customHeight="1">
      <c r="H338" s="1670"/>
      <c r="I338" s="1671"/>
      <c r="J338" s="1671"/>
      <c r="K338" s="1017" t="s">
        <v>863</v>
      </c>
      <c r="L338" s="1403"/>
      <c r="M338" s="1403"/>
      <c r="N338" s="1403"/>
      <c r="O338" s="1403"/>
      <c r="P338" s="1403"/>
      <c r="Q338" s="1403"/>
      <c r="R338" s="1403"/>
      <c r="S338" s="1403"/>
      <c r="T338" s="1404"/>
      <c r="U338" s="1675"/>
      <c r="V338" s="1676"/>
      <c r="W338" s="1676"/>
      <c r="X338" s="1677"/>
    </row>
    <row r="339" spans="8:24" s="1" customFormat="1" ht="27.6" customHeight="1">
      <c r="H339" s="1686" t="s">
        <v>696</v>
      </c>
      <c r="I339" s="1687"/>
      <c r="J339" s="1687"/>
      <c r="K339" s="1008" t="s">
        <v>93</v>
      </c>
      <c r="L339" s="1008"/>
      <c r="M339" s="1008"/>
      <c r="N339" s="1008"/>
      <c r="O339" s="1008"/>
      <c r="P339" s="1008"/>
      <c r="Q339" s="1008"/>
      <c r="R339" s="1008"/>
      <c r="S339" s="1008"/>
      <c r="T339" s="1008"/>
      <c r="U339" s="1293">
        <f>(143.17*KFC!$B$41*1.6+KFC!$C$41)*KFC!$C$5</f>
        <v>229.072</v>
      </c>
      <c r="V339" s="1293"/>
      <c r="W339" s="1293"/>
      <c r="X339" s="1294"/>
    </row>
    <row r="340" spans="8:24" s="1" customFormat="1" ht="27.6" customHeight="1">
      <c r="H340" s="1686" t="s">
        <v>697</v>
      </c>
      <c r="I340" s="1687"/>
      <c r="J340" s="1687"/>
      <c r="K340" s="1003" t="s">
        <v>649</v>
      </c>
      <c r="L340" s="1003"/>
      <c r="M340" s="1003"/>
      <c r="N340" s="1003"/>
      <c r="O340" s="1003"/>
      <c r="P340" s="1003"/>
      <c r="Q340" s="1003"/>
      <c r="R340" s="1003"/>
      <c r="S340" s="1003"/>
      <c r="T340" s="1003"/>
      <c r="U340" s="1293">
        <f>(21.52*KFC!$B$41*1.6+KFC!$C$41)*KFC!$C$5</f>
        <v>34.432000000000002</v>
      </c>
      <c r="V340" s="1293"/>
      <c r="W340" s="1293"/>
      <c r="X340" s="1294"/>
    </row>
    <row r="341" spans="8:24" s="1" customFormat="1" ht="27.6" customHeight="1">
      <c r="H341" s="1686" t="s">
        <v>695</v>
      </c>
      <c r="I341" s="1687"/>
      <c r="J341" s="1687"/>
      <c r="K341" s="1003" t="s">
        <v>650</v>
      </c>
      <c r="L341" s="1003"/>
      <c r="M341" s="1003"/>
      <c r="N341" s="1003"/>
      <c r="O341" s="1003"/>
      <c r="P341" s="1003"/>
      <c r="Q341" s="1003"/>
      <c r="R341" s="1003"/>
      <c r="S341" s="1003"/>
      <c r="T341" s="1003"/>
      <c r="U341" s="1293">
        <f>(1.9*KFC!$B$41*1.6+KFC!$C$41)*KFC!$C$5</f>
        <v>3.04</v>
      </c>
      <c r="V341" s="1293"/>
      <c r="W341" s="1293"/>
      <c r="X341" s="1294"/>
    </row>
    <row r="342" spans="8:24" s="1" customFormat="1" ht="27.6" customHeight="1">
      <c r="H342" s="1686" t="s">
        <v>690</v>
      </c>
      <c r="I342" s="1687"/>
      <c r="J342" s="1687"/>
      <c r="K342" s="1003" t="s">
        <v>651</v>
      </c>
      <c r="L342" s="1003"/>
      <c r="M342" s="1003"/>
      <c r="N342" s="1003"/>
      <c r="O342" s="1003"/>
      <c r="P342" s="1003"/>
      <c r="Q342" s="1003"/>
      <c r="R342" s="1003"/>
      <c r="S342" s="1003"/>
      <c r="T342" s="1003"/>
      <c r="U342" s="1293">
        <f>(4.43*KFC!$B$41*1.6+KFC!$C$41)*KFC!$C$5</f>
        <v>7.0880000000000001</v>
      </c>
      <c r="V342" s="1293"/>
      <c r="W342" s="1293"/>
      <c r="X342" s="1294"/>
    </row>
    <row r="343" spans="8:24" s="1" customFormat="1" ht="27.6" customHeight="1">
      <c r="H343" s="1686" t="s">
        <v>696</v>
      </c>
      <c r="I343" s="1687"/>
      <c r="J343" s="1687"/>
      <c r="K343" s="1003" t="s">
        <v>816</v>
      </c>
      <c r="L343" s="1003"/>
      <c r="M343" s="1003"/>
      <c r="N343" s="1003"/>
      <c r="O343" s="1003"/>
      <c r="P343" s="1003"/>
      <c r="Q343" s="1003"/>
      <c r="R343" s="1003"/>
      <c r="S343" s="1003"/>
      <c r="T343" s="1003"/>
      <c r="U343" s="1293">
        <f>(17.85*KFC!$B$41*1.6+KFC!$C$41)*KFC!$C$5</f>
        <v>28.560000000000002</v>
      </c>
      <c r="V343" s="1293"/>
      <c r="W343" s="1293"/>
      <c r="X343" s="1294"/>
    </row>
    <row r="344" spans="8:24" s="1" customFormat="1" ht="13.8">
      <c r="H344" s="1686" t="s">
        <v>890</v>
      </c>
      <c r="I344" s="1687"/>
      <c r="J344" s="1687"/>
      <c r="K344" s="1003" t="s">
        <v>643</v>
      </c>
      <c r="L344" s="1003"/>
      <c r="M344" s="1003"/>
      <c r="N344" s="1003"/>
      <c r="O344" s="1003"/>
      <c r="P344" s="1003"/>
      <c r="Q344" s="1003"/>
      <c r="R344" s="1003"/>
      <c r="S344" s="1003"/>
      <c r="T344" s="1003"/>
      <c r="U344" s="1293">
        <f>(17.73*KFC!$B$41+KFC!$C$41)*KFC!$C$5</f>
        <v>17.73</v>
      </c>
      <c r="V344" s="1293"/>
      <c r="W344" s="1293"/>
      <c r="X344" s="1294"/>
    </row>
    <row r="345" spans="8:24" s="1" customFormat="1" ht="13.8">
      <c r="H345" s="1680" t="s">
        <v>891</v>
      </c>
      <c r="I345" s="1681"/>
      <c r="J345" s="1688"/>
      <c r="K345" s="1408" t="s">
        <v>458</v>
      </c>
      <c r="L345" s="1408"/>
      <c r="M345" s="1408"/>
      <c r="N345" s="1408"/>
      <c r="O345" s="1408"/>
      <c r="P345" s="1408"/>
      <c r="Q345" s="1408"/>
      <c r="R345" s="1408"/>
      <c r="S345" s="1408"/>
      <c r="T345" s="1408"/>
      <c r="U345" s="1657">
        <f>(31.65*KFC!$B$41+KFC!$C$41)*KFC!$C$5</f>
        <v>31.65</v>
      </c>
      <c r="V345" s="1682"/>
      <c r="W345" s="1682"/>
      <c r="X345" s="1658"/>
    </row>
    <row r="346" spans="8:24" s="1" customFormat="1">
      <c r="H346" s="1689"/>
      <c r="I346" s="1690"/>
      <c r="J346" s="1691"/>
      <c r="K346" s="1047" t="s">
        <v>870</v>
      </c>
      <c r="L346" s="1047"/>
      <c r="M346" s="1047"/>
      <c r="N346" s="1047"/>
      <c r="O346" s="1047"/>
      <c r="P346" s="1047"/>
      <c r="Q346" s="1047"/>
      <c r="R346" s="1047"/>
      <c r="S346" s="1047"/>
      <c r="T346" s="1047"/>
      <c r="U346" s="1692"/>
      <c r="V346" s="1551"/>
      <c r="W346" s="1551"/>
      <c r="X346" s="1693"/>
    </row>
    <row r="347" spans="8:24" s="1" customFormat="1" ht="13.8">
      <c r="H347" s="1680" t="s">
        <v>892</v>
      </c>
      <c r="I347" s="1681"/>
      <c r="J347" s="1688"/>
      <c r="K347" s="1408" t="s">
        <v>459</v>
      </c>
      <c r="L347" s="1408"/>
      <c r="M347" s="1408"/>
      <c r="N347" s="1408"/>
      <c r="O347" s="1408"/>
      <c r="P347" s="1408"/>
      <c r="Q347" s="1408"/>
      <c r="R347" s="1408"/>
      <c r="S347" s="1408"/>
      <c r="T347" s="1408"/>
      <c r="U347" s="1657">
        <f>(40.51*KFC!$B$41+KFC!$C$41)*KFC!$C$5</f>
        <v>40.51</v>
      </c>
      <c r="V347" s="1682"/>
      <c r="W347" s="1682"/>
      <c r="X347" s="1658"/>
    </row>
    <row r="348" spans="8:24" s="1" customFormat="1">
      <c r="H348" s="1689"/>
      <c r="I348" s="1690"/>
      <c r="J348" s="1691"/>
      <c r="K348" s="1694" t="s">
        <v>864</v>
      </c>
      <c r="L348" s="1694"/>
      <c r="M348" s="1694"/>
      <c r="N348" s="1694"/>
      <c r="O348" s="1694"/>
      <c r="P348" s="1694"/>
      <c r="Q348" s="1694"/>
      <c r="R348" s="1694"/>
      <c r="S348" s="1694"/>
      <c r="T348" s="1694"/>
      <c r="U348" s="1692"/>
      <c r="V348" s="1551"/>
      <c r="W348" s="1551"/>
      <c r="X348" s="1693"/>
    </row>
    <row r="349" spans="8:24" s="1" customFormat="1" ht="13.8">
      <c r="H349" s="1680" t="s">
        <v>893</v>
      </c>
      <c r="I349" s="1681"/>
      <c r="J349" s="1688"/>
      <c r="K349" s="1695" t="s">
        <v>460</v>
      </c>
      <c r="L349" s="1695"/>
      <c r="M349" s="1695"/>
      <c r="N349" s="1695"/>
      <c r="O349" s="1695"/>
      <c r="P349" s="1695"/>
      <c r="Q349" s="1695"/>
      <c r="R349" s="1695"/>
      <c r="S349" s="1695"/>
      <c r="T349" s="1695"/>
      <c r="U349" s="1293">
        <f>(31.65*KFC!$B$41+KFC!$C$41)*KFC!$C$5</f>
        <v>31.65</v>
      </c>
      <c r="V349" s="1293"/>
      <c r="W349" s="1293"/>
      <c r="X349" s="1294"/>
    </row>
    <row r="350" spans="8:24" s="1" customFormat="1">
      <c r="H350" s="1689"/>
      <c r="I350" s="1690"/>
      <c r="J350" s="1691"/>
      <c r="K350" s="1047" t="s">
        <v>867</v>
      </c>
      <c r="L350" s="1047"/>
      <c r="M350" s="1047"/>
      <c r="N350" s="1047"/>
      <c r="O350" s="1047"/>
      <c r="P350" s="1047"/>
      <c r="Q350" s="1047"/>
      <c r="R350" s="1047"/>
      <c r="S350" s="1047"/>
      <c r="T350" s="1047"/>
      <c r="U350" s="1293"/>
      <c r="V350" s="1293"/>
      <c r="W350" s="1293"/>
      <c r="X350" s="1294"/>
    </row>
    <row r="351" spans="8:24" s="1" customFormat="1" ht="13.8">
      <c r="H351" s="1680" t="s">
        <v>892</v>
      </c>
      <c r="I351" s="1681"/>
      <c r="J351" s="1688"/>
      <c r="K351" s="1408" t="s">
        <v>485</v>
      </c>
      <c r="L351" s="1408"/>
      <c r="M351" s="1408"/>
      <c r="N351" s="1408"/>
      <c r="O351" s="1408"/>
      <c r="P351" s="1408"/>
      <c r="Q351" s="1408"/>
      <c r="R351" s="1408"/>
      <c r="S351" s="1408"/>
      <c r="T351" s="1408"/>
      <c r="U351" s="1293">
        <f>(40.51*KFC!$B$41+KFC!$C$41)*KFC!$C$5</f>
        <v>40.51</v>
      </c>
      <c r="V351" s="1293"/>
      <c r="W351" s="1293"/>
      <c r="X351" s="1294"/>
    </row>
    <row r="352" spans="8:24" s="1" customFormat="1" ht="28.95" customHeight="1">
      <c r="H352" s="1689"/>
      <c r="I352" s="1690"/>
      <c r="J352" s="1691"/>
      <c r="K352" s="1047" t="s">
        <v>868</v>
      </c>
      <c r="L352" s="1047"/>
      <c r="M352" s="1047"/>
      <c r="N352" s="1047"/>
      <c r="O352" s="1047"/>
      <c r="P352" s="1047"/>
      <c r="Q352" s="1047"/>
      <c r="R352" s="1047"/>
      <c r="S352" s="1047"/>
      <c r="T352" s="1047"/>
      <c r="U352" s="1293"/>
      <c r="V352" s="1293"/>
      <c r="W352" s="1293"/>
      <c r="X352" s="1294"/>
    </row>
    <row r="353" spans="1:51" s="1" customFormat="1" ht="13.8">
      <c r="H353" s="1686" t="s">
        <v>892</v>
      </c>
      <c r="I353" s="1687"/>
      <c r="J353" s="1687"/>
      <c r="K353" s="1003" t="s">
        <v>652</v>
      </c>
      <c r="L353" s="1003"/>
      <c r="M353" s="1003"/>
      <c r="N353" s="1003"/>
      <c r="O353" s="1003"/>
      <c r="P353" s="1003"/>
      <c r="Q353" s="1003"/>
      <c r="R353" s="1003"/>
      <c r="S353" s="1003"/>
      <c r="T353" s="1003"/>
      <c r="U353" s="1293">
        <f>(50.64*KFC!$B$41+KFC!$C$41)*KFC!$C$5</f>
        <v>50.64</v>
      </c>
      <c r="V353" s="1293"/>
      <c r="W353" s="1293"/>
      <c r="X353" s="1294"/>
    </row>
    <row r="354" spans="1:51" s="1" customFormat="1" ht="13.8">
      <c r="H354" s="1680" t="s">
        <v>893</v>
      </c>
      <c r="I354" s="1681"/>
      <c r="J354" s="1688"/>
      <c r="K354" s="1408" t="s">
        <v>653</v>
      </c>
      <c r="L354" s="1408"/>
      <c r="M354" s="1408"/>
      <c r="N354" s="1408"/>
      <c r="O354" s="1408"/>
      <c r="P354" s="1408"/>
      <c r="Q354" s="1408"/>
      <c r="R354" s="1408"/>
      <c r="S354" s="1408"/>
      <c r="T354" s="1408"/>
      <c r="U354" s="1293">
        <f>(7.6*KFC!$B$41+KFC!$C$41)*KFC!$C$5</f>
        <v>7.6</v>
      </c>
      <c r="V354" s="1293"/>
      <c r="W354" s="1293"/>
      <c r="X354" s="1294"/>
    </row>
    <row r="355" spans="1:51" s="1" customFormat="1" ht="30" customHeight="1">
      <c r="H355" s="1689"/>
      <c r="I355" s="1690"/>
      <c r="J355" s="1691"/>
      <c r="K355" s="1047" t="s">
        <v>869</v>
      </c>
      <c r="L355" s="1047"/>
      <c r="M355" s="1047"/>
      <c r="N355" s="1047"/>
      <c r="O355" s="1047"/>
      <c r="P355" s="1047"/>
      <c r="Q355" s="1047"/>
      <c r="R355" s="1047"/>
      <c r="S355" s="1047"/>
      <c r="T355" s="1047"/>
      <c r="U355" s="1293"/>
      <c r="V355" s="1293"/>
      <c r="W355" s="1293"/>
      <c r="X355" s="1294"/>
    </row>
    <row r="356" spans="1:51" s="1" customFormat="1" ht="30" customHeight="1">
      <c r="H356" s="1686" t="s">
        <v>894</v>
      </c>
      <c r="I356" s="1687"/>
      <c r="J356" s="1687"/>
      <c r="K356" s="1003" t="s">
        <v>654</v>
      </c>
      <c r="L356" s="1003"/>
      <c r="M356" s="1003"/>
      <c r="N356" s="1003"/>
      <c r="O356" s="1003"/>
      <c r="P356" s="1003"/>
      <c r="Q356" s="1003"/>
      <c r="R356" s="1003"/>
      <c r="S356" s="1003"/>
      <c r="T356" s="1003"/>
      <c r="U356" s="1293">
        <f>(2.54*KFC!$B$41+KFC!$C$41)*KFC!$C$5</f>
        <v>2.54</v>
      </c>
      <c r="V356" s="1293"/>
      <c r="W356" s="1293"/>
      <c r="X356" s="1294"/>
    </row>
    <row r="357" spans="1:51" s="1" customFormat="1" ht="30" customHeight="1" thickBot="1">
      <c r="H357" s="1701" t="s">
        <v>891</v>
      </c>
      <c r="I357" s="1702"/>
      <c r="J357" s="1702"/>
      <c r="K357" s="1170" t="s">
        <v>655</v>
      </c>
      <c r="L357" s="1171"/>
      <c r="M357" s="1171"/>
      <c r="N357" s="1171"/>
      <c r="O357" s="1171"/>
      <c r="P357" s="1171"/>
      <c r="Q357" s="1171"/>
      <c r="R357" s="1171"/>
      <c r="S357" s="1171"/>
      <c r="T357" s="1172"/>
      <c r="U357" s="1704">
        <f>(37.98*KFC!$B$41+KFC!$C$41)*KFC!$C$5</f>
        <v>37.979999999999997</v>
      </c>
      <c r="V357" s="1704"/>
      <c r="W357" s="1704"/>
      <c r="X357" s="1397"/>
    </row>
    <row r="358" spans="1:51" s="1" customFormat="1" ht="30" customHeight="1">
      <c r="H358" s="1705" t="s">
        <v>895</v>
      </c>
      <c r="I358" s="1706"/>
      <c r="J358" s="1706"/>
      <c r="K358" s="1192" t="s">
        <v>896</v>
      </c>
      <c r="L358" s="1193"/>
      <c r="M358" s="1193"/>
      <c r="N358" s="1193"/>
      <c r="O358" s="1193"/>
      <c r="P358" s="1193"/>
      <c r="Q358" s="1193"/>
      <c r="R358" s="1193"/>
      <c r="S358" s="1193"/>
      <c r="T358" s="1194"/>
      <c r="U358" s="1655">
        <f>(31.65*KFC!$B$41+KFC!$C$41)*KFC!$C$5</f>
        <v>31.65</v>
      </c>
      <c r="V358" s="1655"/>
      <c r="W358" s="1655"/>
      <c r="X358" s="1656"/>
    </row>
    <row r="359" spans="1:51" s="1" customFormat="1" ht="30" customHeight="1">
      <c r="H359" s="1701" t="s">
        <v>895</v>
      </c>
      <c r="I359" s="1702"/>
      <c r="J359" s="1702"/>
      <c r="K359" s="1170" t="s">
        <v>897</v>
      </c>
      <c r="L359" s="1171"/>
      <c r="M359" s="1171"/>
      <c r="N359" s="1171"/>
      <c r="O359" s="1171"/>
      <c r="P359" s="1171"/>
      <c r="Q359" s="1171"/>
      <c r="R359" s="1171"/>
      <c r="S359" s="1171"/>
      <c r="T359" s="1172"/>
      <c r="U359" s="1293">
        <f>(37.98*KFC!$B$41+KFC!$C$41)*KFC!$C$5</f>
        <v>37.979999999999997</v>
      </c>
      <c r="V359" s="1293"/>
      <c r="W359" s="1293"/>
      <c r="X359" s="1294"/>
    </row>
    <row r="360" spans="1:51" s="1" customFormat="1" ht="30" customHeight="1">
      <c r="H360" s="1701" t="s">
        <v>895</v>
      </c>
      <c r="I360" s="1702"/>
      <c r="J360" s="1702"/>
      <c r="K360" s="1170" t="s">
        <v>898</v>
      </c>
      <c r="L360" s="1171"/>
      <c r="M360" s="1171"/>
      <c r="N360" s="1171"/>
      <c r="O360" s="1171"/>
      <c r="P360" s="1171"/>
      <c r="Q360" s="1171"/>
      <c r="R360" s="1171"/>
      <c r="S360" s="1171"/>
      <c r="T360" s="1172"/>
      <c r="U360" s="1293">
        <f>(44.31*KFC!$B$41+KFC!$C$41)*KFC!$C$5</f>
        <v>44.31</v>
      </c>
      <c r="V360" s="1293"/>
      <c r="W360" s="1293"/>
      <c r="X360" s="1294"/>
    </row>
    <row r="361" spans="1:51" s="1" customFormat="1" ht="30" customHeight="1">
      <c r="H361" s="1701" t="s">
        <v>895</v>
      </c>
      <c r="I361" s="1702"/>
      <c r="J361" s="1702"/>
      <c r="K361" s="1170" t="s">
        <v>899</v>
      </c>
      <c r="L361" s="1171"/>
      <c r="M361" s="1171"/>
      <c r="N361" s="1171"/>
      <c r="O361" s="1171"/>
      <c r="P361" s="1171"/>
      <c r="Q361" s="1171"/>
      <c r="R361" s="1171"/>
      <c r="S361" s="1171"/>
      <c r="T361" s="1172"/>
      <c r="U361" s="1293">
        <f>(31.65*KFC!$B$41+KFC!$C$41)*KFC!$C$5</f>
        <v>31.65</v>
      </c>
      <c r="V361" s="1293"/>
      <c r="W361" s="1293"/>
      <c r="X361" s="1294"/>
    </row>
    <row r="362" spans="1:51" s="1" customFormat="1" ht="30" customHeight="1">
      <c r="H362" s="1701" t="s">
        <v>895</v>
      </c>
      <c r="I362" s="1702"/>
      <c r="J362" s="1702"/>
      <c r="K362" s="1170" t="s">
        <v>900</v>
      </c>
      <c r="L362" s="1171"/>
      <c r="M362" s="1171"/>
      <c r="N362" s="1171"/>
      <c r="O362" s="1171"/>
      <c r="P362" s="1171"/>
      <c r="Q362" s="1171"/>
      <c r="R362" s="1171"/>
      <c r="S362" s="1171"/>
      <c r="T362" s="1172"/>
      <c r="U362" s="1293">
        <f>(37.98*KFC!$B$41+KFC!$C$41)*KFC!$C$5</f>
        <v>37.979999999999997</v>
      </c>
      <c r="V362" s="1293"/>
      <c r="W362" s="1293"/>
      <c r="X362" s="1294"/>
    </row>
    <row r="363" spans="1:51" s="1" customFormat="1" ht="30" customHeight="1">
      <c r="H363" s="1701" t="s">
        <v>895</v>
      </c>
      <c r="I363" s="1702"/>
      <c r="J363" s="1702"/>
      <c r="K363" s="1170" t="s">
        <v>901</v>
      </c>
      <c r="L363" s="1171"/>
      <c r="M363" s="1171"/>
      <c r="N363" s="1171"/>
      <c r="O363" s="1171"/>
      <c r="P363" s="1171"/>
      <c r="Q363" s="1171"/>
      <c r="R363" s="1171"/>
      <c r="S363" s="1171"/>
      <c r="T363" s="1172"/>
      <c r="U363" s="1293">
        <f>(75.95*KFC!$B$41+KFC!$C$41)*KFC!$C$5</f>
        <v>75.95</v>
      </c>
      <c r="V363" s="1293"/>
      <c r="W363" s="1293"/>
      <c r="X363" s="1294"/>
    </row>
    <row r="364" spans="1:51" ht="14.4" thickBot="1">
      <c r="A364" s="1"/>
      <c r="B364" s="1"/>
      <c r="C364" s="1"/>
      <c r="D364" s="1"/>
      <c r="E364" s="1"/>
      <c r="F364" s="1"/>
      <c r="G364" s="1"/>
      <c r="H364" s="1696" t="s">
        <v>895</v>
      </c>
      <c r="I364" s="1697"/>
      <c r="J364" s="1697"/>
      <c r="K364" s="1698" t="s">
        <v>902</v>
      </c>
      <c r="L364" s="1699"/>
      <c r="M364" s="1699"/>
      <c r="N364" s="1699"/>
      <c r="O364" s="1699"/>
      <c r="P364" s="1699"/>
      <c r="Q364" s="1699"/>
      <c r="R364" s="1699"/>
      <c r="S364" s="1699"/>
      <c r="T364" s="1700"/>
      <c r="U364" s="1295">
        <f>(25.32*KFC!$B$41+KFC!$C$41)*KFC!$C$5</f>
        <v>25.32</v>
      </c>
      <c r="V364" s="1295"/>
      <c r="W364" s="1295"/>
      <c r="X364" s="1296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</row>
    <row r="365" spans="1:5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</row>
    <row r="366" spans="1:5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</row>
    <row r="367" spans="1:5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</row>
    <row r="368" spans="1:5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</row>
    <row r="369" spans="1:5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</row>
    <row r="370" spans="1:5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</row>
    <row r="371" spans="1:51">
      <c r="A371" s="1"/>
      <c r="B371" s="1"/>
      <c r="C371" s="1"/>
      <c r="D371" s="1"/>
      <c r="E371" s="1"/>
      <c r="F371" s="1"/>
      <c r="G371" s="1"/>
      <c r="H371" s="719"/>
      <c r="I371" s="719"/>
      <c r="J371" s="719"/>
      <c r="K371" s="719"/>
      <c r="L371" s="719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</row>
    <row r="372" spans="1:51">
      <c r="A372" s="1"/>
      <c r="B372" s="1"/>
      <c r="C372" s="1"/>
      <c r="D372" s="1"/>
      <c r="E372" s="1"/>
      <c r="F372" s="1"/>
      <c r="G372" s="1"/>
      <c r="H372" s="719"/>
      <c r="I372" s="719"/>
      <c r="J372" s="719"/>
      <c r="K372" s="719"/>
      <c r="L372" s="719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</row>
    <row r="373" spans="1:51" ht="13.8">
      <c r="A373" s="1"/>
      <c r="B373" s="1"/>
      <c r="C373" s="1"/>
      <c r="D373" s="1"/>
      <c r="E373" s="1"/>
      <c r="F373" s="1"/>
      <c r="G373" s="1"/>
      <c r="H373" s="870"/>
      <c r="I373" s="870"/>
      <c r="J373" s="870"/>
      <c r="K373" s="870"/>
      <c r="L373" s="719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</row>
    <row r="374" spans="1:51" ht="13.8">
      <c r="A374" s="1"/>
      <c r="B374" s="1"/>
      <c r="C374" s="1"/>
      <c r="D374" s="1"/>
      <c r="E374" s="1"/>
      <c r="F374" s="1"/>
      <c r="G374" s="1"/>
      <c r="H374" s="870"/>
      <c r="I374" s="870"/>
      <c r="J374" s="870"/>
      <c r="K374" s="870"/>
      <c r="L374" s="719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</row>
    <row r="375" spans="1:51" ht="13.8">
      <c r="A375" s="1"/>
      <c r="B375" s="1"/>
      <c r="C375" s="1"/>
      <c r="D375" s="1"/>
      <c r="E375" s="1"/>
      <c r="F375" s="1"/>
      <c r="G375" s="1"/>
      <c r="H375" s="870"/>
      <c r="I375" s="870"/>
      <c r="J375" s="870"/>
      <c r="K375" s="870"/>
      <c r="L375" s="719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</row>
    <row r="376" spans="1:5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</row>
    <row r="377" spans="1:51" ht="15.6">
      <c r="A377" s="1"/>
      <c r="B377" s="1"/>
      <c r="C377" s="1"/>
      <c r="D377" s="1"/>
      <c r="E377" s="1"/>
      <c r="F377" s="1"/>
      <c r="G377" s="1"/>
      <c r="H377" s="1004" t="s">
        <v>1190</v>
      </c>
      <c r="I377" s="1004"/>
      <c r="J377" s="1004"/>
      <c r="K377" s="1004"/>
      <c r="L377" s="1004"/>
      <c r="M377" s="1004"/>
      <c r="N377" s="1004"/>
      <c r="O377" s="1004"/>
      <c r="P377" s="1004"/>
      <c r="Q377" s="1004"/>
      <c r="R377" s="1004"/>
      <c r="S377" s="1004"/>
      <c r="T377" s="1004"/>
      <c r="U377" s="1004"/>
      <c r="V377" s="1004"/>
      <c r="W377" s="1004"/>
      <c r="X377" s="1004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</row>
    <row r="378" spans="1:51" ht="13.8" thickBo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</row>
    <row r="379" spans="1:51" ht="15" customHeight="1" thickBot="1">
      <c r="A379" s="1"/>
      <c r="B379" s="1"/>
      <c r="C379" s="1"/>
      <c r="D379" s="1"/>
      <c r="E379" s="1"/>
      <c r="F379" s="1"/>
      <c r="G379" s="1"/>
      <c r="H379" s="1727" t="s">
        <v>87</v>
      </c>
      <c r="I379" s="1409"/>
      <c r="J379" s="1409"/>
      <c r="K379" s="1409"/>
      <c r="L379" s="1409"/>
      <c r="M379" s="1409"/>
      <c r="N379" s="1409"/>
      <c r="O379" s="1409"/>
      <c r="P379" s="1409"/>
      <c r="Q379" s="1409"/>
      <c r="R379" s="1409"/>
      <c r="S379" s="1409"/>
      <c r="T379" s="1409"/>
      <c r="U379" s="839" t="s">
        <v>1191</v>
      </c>
      <c r="V379" s="1092" t="s">
        <v>1194</v>
      </c>
      <c r="W379" s="1092"/>
      <c r="X379" s="1093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</row>
    <row r="380" spans="1:51" ht="15" customHeight="1">
      <c r="A380" s="1"/>
      <c r="B380" s="1"/>
      <c r="C380" s="1"/>
      <c r="D380" s="1"/>
      <c r="E380" s="1"/>
      <c r="F380" s="1"/>
      <c r="G380" s="1"/>
      <c r="H380" s="1725" t="s">
        <v>1180</v>
      </c>
      <c r="I380" s="1726"/>
      <c r="J380" s="1726"/>
      <c r="K380" s="1726"/>
      <c r="L380" s="1726"/>
      <c r="M380" s="1726"/>
      <c r="N380" s="1726"/>
      <c r="O380" s="1726"/>
      <c r="P380" s="1726"/>
      <c r="Q380" s="1726"/>
      <c r="R380" s="1726"/>
      <c r="S380" s="1726"/>
      <c r="T380" s="1726"/>
      <c r="U380" s="873" t="s">
        <v>526</v>
      </c>
      <c r="V380" s="1655">
        <f>(206.72*KFC!$B$41+KFC!$C$41)</f>
        <v>206.72</v>
      </c>
      <c r="W380" s="1655"/>
      <c r="X380" s="1656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</row>
    <row r="381" spans="1:51" ht="15" customHeight="1">
      <c r="A381" s="1"/>
      <c r="B381" s="1"/>
      <c r="C381" s="1"/>
      <c r="D381" s="1"/>
      <c r="E381" s="1"/>
      <c r="F381" s="1"/>
      <c r="G381" s="1"/>
      <c r="H381" s="1215" t="s">
        <v>1181</v>
      </c>
      <c r="I381" s="1003"/>
      <c r="J381" s="1003"/>
      <c r="K381" s="1003"/>
      <c r="L381" s="1003"/>
      <c r="M381" s="1003"/>
      <c r="N381" s="1003"/>
      <c r="O381" s="1003"/>
      <c r="P381" s="1003"/>
      <c r="Q381" s="1003"/>
      <c r="R381" s="1003"/>
      <c r="S381" s="1003"/>
      <c r="T381" s="1003"/>
      <c r="U381" s="869" t="s">
        <v>526</v>
      </c>
      <c r="V381" s="1293">
        <f>(226.92*KFC!$B$41+KFC!$C$41)</f>
        <v>226.92</v>
      </c>
      <c r="W381" s="1293"/>
      <c r="X381" s="1294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</row>
    <row r="382" spans="1:51" ht="15" customHeight="1">
      <c r="A382" s="1"/>
      <c r="B382" s="1"/>
      <c r="C382" s="1"/>
      <c r="D382" s="1"/>
      <c r="E382" s="1"/>
      <c r="F382" s="1"/>
      <c r="G382" s="1"/>
      <c r="H382" s="1215" t="s">
        <v>1182</v>
      </c>
      <c r="I382" s="1003"/>
      <c r="J382" s="1003"/>
      <c r="K382" s="1003"/>
      <c r="L382" s="1003"/>
      <c r="M382" s="1003"/>
      <c r="N382" s="1003"/>
      <c r="O382" s="1003"/>
      <c r="P382" s="1003"/>
      <c r="Q382" s="1003"/>
      <c r="R382" s="1003"/>
      <c r="S382" s="1003"/>
      <c r="T382" s="1003"/>
      <c r="U382" s="869" t="s">
        <v>526</v>
      </c>
      <c r="V382" s="1293">
        <f>(624.88*KFC!$B$41+KFC!$C$41)</f>
        <v>624.88</v>
      </c>
      <c r="W382" s="1293"/>
      <c r="X382" s="1294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</row>
    <row r="383" spans="1:51" ht="15" customHeight="1">
      <c r="A383" s="1"/>
      <c r="B383" s="1"/>
      <c r="C383" s="1"/>
      <c r="D383" s="1"/>
      <c r="E383" s="1"/>
      <c r="F383" s="1"/>
      <c r="G383" s="1"/>
      <c r="H383" s="1215" t="s">
        <v>1183</v>
      </c>
      <c r="I383" s="1003"/>
      <c r="J383" s="1003"/>
      <c r="K383" s="1003"/>
      <c r="L383" s="1003"/>
      <c r="M383" s="1003"/>
      <c r="N383" s="1003"/>
      <c r="O383" s="1003"/>
      <c r="P383" s="1003"/>
      <c r="Q383" s="1003"/>
      <c r="R383" s="1003"/>
      <c r="S383" s="1003"/>
      <c r="T383" s="1003"/>
      <c r="U383" s="869" t="s">
        <v>526</v>
      </c>
      <c r="V383" s="1293">
        <f>(687.38*KFC!$B$41+KFC!$C$41)</f>
        <v>687.38</v>
      </c>
      <c r="W383" s="1293"/>
      <c r="X383" s="1294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</row>
    <row r="384" spans="1:51" ht="15" customHeight="1">
      <c r="A384" s="1"/>
      <c r="B384" s="1"/>
      <c r="C384" s="1"/>
      <c r="D384" s="1"/>
      <c r="E384" s="1"/>
      <c r="F384" s="1"/>
      <c r="G384" s="1"/>
      <c r="H384" s="1215" t="s">
        <v>1184</v>
      </c>
      <c r="I384" s="1003"/>
      <c r="J384" s="1003"/>
      <c r="K384" s="1003"/>
      <c r="L384" s="1003"/>
      <c r="M384" s="1003"/>
      <c r="N384" s="1003"/>
      <c r="O384" s="1003"/>
      <c r="P384" s="1003"/>
      <c r="Q384" s="1003"/>
      <c r="R384" s="1003"/>
      <c r="S384" s="1003"/>
      <c r="T384" s="1003"/>
      <c r="U384" s="869" t="s">
        <v>1192</v>
      </c>
      <c r="V384" s="1293">
        <f>(97.05*KFC!$B$41+KFC!$C$41)</f>
        <v>97.05</v>
      </c>
      <c r="W384" s="1293"/>
      <c r="X384" s="1294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</row>
    <row r="385" spans="1:51" ht="15" customHeight="1">
      <c r="A385" s="1"/>
      <c r="B385" s="1"/>
      <c r="C385" s="1"/>
      <c r="D385" s="1"/>
      <c r="E385" s="1"/>
      <c r="F385" s="1"/>
      <c r="G385" s="1"/>
      <c r="H385" s="1215" t="s">
        <v>1185</v>
      </c>
      <c r="I385" s="1003"/>
      <c r="J385" s="1003"/>
      <c r="K385" s="1003"/>
      <c r="L385" s="1003"/>
      <c r="M385" s="1003"/>
      <c r="N385" s="1003"/>
      <c r="O385" s="1003"/>
      <c r="P385" s="1003"/>
      <c r="Q385" s="1003"/>
      <c r="R385" s="1003"/>
      <c r="S385" s="1003"/>
      <c r="T385" s="1003"/>
      <c r="U385" s="869" t="s">
        <v>1192</v>
      </c>
      <c r="V385" s="1293">
        <f>(125.45*KFC!$B$41+KFC!$C$41)</f>
        <v>125.45</v>
      </c>
      <c r="W385" s="1293"/>
      <c r="X385" s="1294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</row>
    <row r="386" spans="1:51" ht="15" customHeight="1">
      <c r="A386" s="1"/>
      <c r="B386" s="1"/>
      <c r="C386" s="1"/>
      <c r="D386" s="1"/>
      <c r="E386" s="1"/>
      <c r="F386" s="1"/>
      <c r="G386" s="1"/>
      <c r="H386" s="1215" t="s">
        <v>1186</v>
      </c>
      <c r="I386" s="1003"/>
      <c r="J386" s="1003"/>
      <c r="K386" s="1003"/>
      <c r="L386" s="1003"/>
      <c r="M386" s="1003"/>
      <c r="N386" s="1003"/>
      <c r="O386" s="1003"/>
      <c r="P386" s="1003"/>
      <c r="Q386" s="1003"/>
      <c r="R386" s="1003"/>
      <c r="S386" s="1003"/>
      <c r="T386" s="1003"/>
      <c r="U386" s="869" t="s">
        <v>1192</v>
      </c>
      <c r="V386" s="1293">
        <f>(222.81*KFC!$B$41+KFC!$C$41)</f>
        <v>222.81</v>
      </c>
      <c r="W386" s="1293"/>
      <c r="X386" s="1294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</row>
    <row r="387" spans="1:51" ht="15" customHeight="1">
      <c r="A387" s="1"/>
      <c r="B387" s="1"/>
      <c r="C387" s="1"/>
      <c r="D387" s="1"/>
      <c r="E387" s="1"/>
      <c r="F387" s="1"/>
      <c r="G387" s="1"/>
      <c r="H387" s="1215" t="s">
        <v>1187</v>
      </c>
      <c r="I387" s="1003"/>
      <c r="J387" s="1003"/>
      <c r="K387" s="1003"/>
      <c r="L387" s="1003"/>
      <c r="M387" s="1003"/>
      <c r="N387" s="1003"/>
      <c r="O387" s="1003"/>
      <c r="P387" s="1003"/>
      <c r="Q387" s="1003"/>
      <c r="R387" s="1003"/>
      <c r="S387" s="1003"/>
      <c r="T387" s="1003"/>
      <c r="U387" s="869" t="s">
        <v>526</v>
      </c>
      <c r="V387" s="1293">
        <f>(269.6*KFC!$B$41+KFC!$C$41)</f>
        <v>269.60000000000002</v>
      </c>
      <c r="W387" s="1293"/>
      <c r="X387" s="1294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</row>
    <row r="388" spans="1:51" ht="15" customHeight="1">
      <c r="A388" s="1"/>
      <c r="B388" s="1"/>
      <c r="C388" s="1"/>
      <c r="D388" s="1"/>
      <c r="E388" s="1"/>
      <c r="F388" s="1"/>
      <c r="G388" s="1"/>
      <c r="H388" s="1215" t="s">
        <v>1193</v>
      </c>
      <c r="I388" s="1003"/>
      <c r="J388" s="1003"/>
      <c r="K388" s="1003"/>
      <c r="L388" s="1003"/>
      <c r="M388" s="1003"/>
      <c r="N388" s="1003"/>
      <c r="O388" s="1003"/>
      <c r="P388" s="1003"/>
      <c r="Q388" s="1003"/>
      <c r="R388" s="1003"/>
      <c r="S388" s="1003"/>
      <c r="T388" s="1003"/>
      <c r="U388" s="869" t="s">
        <v>526</v>
      </c>
      <c r="V388" s="1293">
        <f>(402.86*KFC!$B$41+KFC!$C$41)</f>
        <v>402.86</v>
      </c>
      <c r="W388" s="1293"/>
      <c r="X388" s="1294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</row>
    <row r="389" spans="1:51" ht="15" customHeight="1">
      <c r="A389" s="1"/>
      <c r="B389" s="1"/>
      <c r="C389" s="1"/>
      <c r="D389" s="1"/>
      <c r="E389" s="1"/>
      <c r="F389" s="1"/>
      <c r="G389" s="1"/>
      <c r="H389" s="1215" t="s">
        <v>1188</v>
      </c>
      <c r="I389" s="1003"/>
      <c r="J389" s="1003"/>
      <c r="K389" s="1003"/>
      <c r="L389" s="1003"/>
      <c r="M389" s="1003"/>
      <c r="N389" s="1003"/>
      <c r="O389" s="1003"/>
      <c r="P389" s="1003"/>
      <c r="Q389" s="1003"/>
      <c r="R389" s="1003"/>
      <c r="S389" s="1003"/>
      <c r="T389" s="1003"/>
      <c r="U389" s="869" t="s">
        <v>526</v>
      </c>
      <c r="V389" s="1293">
        <f>(132.48*KFC!$B$41+KFC!$C$41)</f>
        <v>132.47999999999999</v>
      </c>
      <c r="W389" s="1293"/>
      <c r="X389" s="1294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</row>
    <row r="390" spans="1:51" ht="15.75" customHeight="1" thickBot="1">
      <c r="A390" s="1"/>
      <c r="B390" s="1"/>
      <c r="C390" s="1"/>
      <c r="D390" s="1"/>
      <c r="E390" s="1"/>
      <c r="F390" s="1"/>
      <c r="G390" s="1"/>
      <c r="H390" s="1213" t="s">
        <v>1189</v>
      </c>
      <c r="I390" s="1214"/>
      <c r="J390" s="1214"/>
      <c r="K390" s="1214"/>
      <c r="L390" s="1214"/>
      <c r="M390" s="1214"/>
      <c r="N390" s="1214"/>
      <c r="O390" s="1214"/>
      <c r="P390" s="1214"/>
      <c r="Q390" s="1214"/>
      <c r="R390" s="1214"/>
      <c r="S390" s="1214"/>
      <c r="T390" s="1214"/>
      <c r="U390" s="872" t="s">
        <v>526</v>
      </c>
      <c r="V390" s="1295">
        <f>(121.32*KFC!$B$41+KFC!$C$41)</f>
        <v>121.32</v>
      </c>
      <c r="W390" s="1295"/>
      <c r="X390" s="1296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</row>
    <row r="391" spans="1:51">
      <c r="A391" s="1"/>
      <c r="B391" s="1"/>
      <c r="C391" s="1"/>
      <c r="D391" s="1"/>
      <c r="E391" s="1"/>
      <c r="F391" s="1"/>
      <c r="G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</row>
    <row r="392" spans="1:51"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</row>
    <row r="393" spans="1:51"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</row>
    <row r="394" spans="1:51"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</row>
    <row r="395" spans="1:51"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</row>
    <row r="396" spans="1:51"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</row>
    <row r="397" spans="1:51"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</row>
    <row r="398" spans="1:51"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</row>
    <row r="399" spans="1:51"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</row>
    <row r="400" spans="1:51"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</row>
    <row r="401" spans="28:51"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</row>
    <row r="402" spans="28:51"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</row>
    <row r="403" spans="28:51"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</row>
    <row r="404" spans="28:51"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</row>
    <row r="405" spans="28:51"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</row>
    <row r="406" spans="28:51">
      <c r="AB406" s="1"/>
      <c r="AC406" s="1"/>
    </row>
  </sheetData>
  <mergeCells count="292">
    <mergeCell ref="H390:T390"/>
    <mergeCell ref="V390:X390"/>
    <mergeCell ref="H385:T385"/>
    <mergeCell ref="V385:X385"/>
    <mergeCell ref="H386:T386"/>
    <mergeCell ref="H389:T389"/>
    <mergeCell ref="V389:X389"/>
    <mergeCell ref="H387:T387"/>
    <mergeCell ref="V387:X387"/>
    <mergeCell ref="V384:X384"/>
    <mergeCell ref="H388:T388"/>
    <mergeCell ref="V388:X388"/>
    <mergeCell ref="H384:T384"/>
    <mergeCell ref="V379:X379"/>
    <mergeCell ref="H380:T380"/>
    <mergeCell ref="V380:X380"/>
    <mergeCell ref="H381:T381"/>
    <mergeCell ref="V381:X381"/>
    <mergeCell ref="V386:X386"/>
    <mergeCell ref="H383:T383"/>
    <mergeCell ref="V383:X383"/>
    <mergeCell ref="H382:T382"/>
    <mergeCell ref="V382:X382"/>
    <mergeCell ref="H363:J363"/>
    <mergeCell ref="K363:T363"/>
    <mergeCell ref="U363:X363"/>
    <mergeCell ref="H364:J364"/>
    <mergeCell ref="K364:T364"/>
    <mergeCell ref="U364:X364"/>
    <mergeCell ref="H377:X377"/>
    <mergeCell ref="H379:T379"/>
    <mergeCell ref="H361:J361"/>
    <mergeCell ref="K361:T361"/>
    <mergeCell ref="U361:X361"/>
    <mergeCell ref="H362:J362"/>
    <mergeCell ref="K362:T362"/>
    <mergeCell ref="U362:X362"/>
    <mergeCell ref="H359:J359"/>
    <mergeCell ref="K359:T359"/>
    <mergeCell ref="U359:X359"/>
    <mergeCell ref="H360:J360"/>
    <mergeCell ref="K360:T360"/>
    <mergeCell ref="U360:X360"/>
    <mergeCell ref="H357:J357"/>
    <mergeCell ref="K357:T357"/>
    <mergeCell ref="U357:X357"/>
    <mergeCell ref="H358:J358"/>
    <mergeCell ref="K358:T358"/>
    <mergeCell ref="U358:X358"/>
    <mergeCell ref="H354:J355"/>
    <mergeCell ref="K354:T354"/>
    <mergeCell ref="U354:X355"/>
    <mergeCell ref="K355:T355"/>
    <mergeCell ref="H356:J356"/>
    <mergeCell ref="K356:T356"/>
    <mergeCell ref="U356:X356"/>
    <mergeCell ref="H351:J352"/>
    <mergeCell ref="K351:T351"/>
    <mergeCell ref="U351:X352"/>
    <mergeCell ref="K352:T352"/>
    <mergeCell ref="H353:J353"/>
    <mergeCell ref="K353:T353"/>
    <mergeCell ref="U353:X353"/>
    <mergeCell ref="H347:J348"/>
    <mergeCell ref="K347:T347"/>
    <mergeCell ref="U347:X348"/>
    <mergeCell ref="K348:T348"/>
    <mergeCell ref="H349:J350"/>
    <mergeCell ref="K349:T349"/>
    <mergeCell ref="U349:X350"/>
    <mergeCell ref="K350:T350"/>
    <mergeCell ref="H344:J344"/>
    <mergeCell ref="K344:T344"/>
    <mergeCell ref="U344:X344"/>
    <mergeCell ref="H345:J346"/>
    <mergeCell ref="K345:T345"/>
    <mergeCell ref="U345:X346"/>
    <mergeCell ref="K346:T346"/>
    <mergeCell ref="H342:J342"/>
    <mergeCell ref="K342:T342"/>
    <mergeCell ref="U342:X342"/>
    <mergeCell ref="H343:J343"/>
    <mergeCell ref="K343:T343"/>
    <mergeCell ref="U343:X343"/>
    <mergeCell ref="H340:J340"/>
    <mergeCell ref="K340:T340"/>
    <mergeCell ref="U340:X340"/>
    <mergeCell ref="H341:J341"/>
    <mergeCell ref="K341:T341"/>
    <mergeCell ref="U341:X341"/>
    <mergeCell ref="H337:J338"/>
    <mergeCell ref="K337:T337"/>
    <mergeCell ref="U337:X338"/>
    <mergeCell ref="K338:T338"/>
    <mergeCell ref="H339:J339"/>
    <mergeCell ref="K339:T339"/>
    <mergeCell ref="U339:X339"/>
    <mergeCell ref="H333:J334"/>
    <mergeCell ref="K333:T333"/>
    <mergeCell ref="U333:X333"/>
    <mergeCell ref="K334:T334"/>
    <mergeCell ref="H335:J336"/>
    <mergeCell ref="K335:T335"/>
    <mergeCell ref="U335:X336"/>
    <mergeCell ref="K336:T336"/>
    <mergeCell ref="H329:J330"/>
    <mergeCell ref="K329:T329"/>
    <mergeCell ref="U329:X330"/>
    <mergeCell ref="K330:T330"/>
    <mergeCell ref="H331:J332"/>
    <mergeCell ref="K331:T331"/>
    <mergeCell ref="U331:X332"/>
    <mergeCell ref="K332:T332"/>
    <mergeCell ref="H325:X325"/>
    <mergeCell ref="H326:J326"/>
    <mergeCell ref="K326:T326"/>
    <mergeCell ref="U326:X326"/>
    <mergeCell ref="H327:J328"/>
    <mergeCell ref="K327:T327"/>
    <mergeCell ref="U327:X328"/>
    <mergeCell ref="K328:T328"/>
    <mergeCell ref="A323:E323"/>
    <mergeCell ref="F323:I323"/>
    <mergeCell ref="J323:M323"/>
    <mergeCell ref="N323:Q323"/>
    <mergeCell ref="R323:U323"/>
    <mergeCell ref="V323:Y323"/>
    <mergeCell ref="A322:E322"/>
    <mergeCell ref="F322:I322"/>
    <mergeCell ref="J322:M322"/>
    <mergeCell ref="N322:Q322"/>
    <mergeCell ref="R322:U322"/>
    <mergeCell ref="V322:Y322"/>
    <mergeCell ref="A321:E321"/>
    <mergeCell ref="F321:I321"/>
    <mergeCell ref="J321:M321"/>
    <mergeCell ref="N321:Q321"/>
    <mergeCell ref="R321:U321"/>
    <mergeCell ref="V321:Y321"/>
    <mergeCell ref="A320:E320"/>
    <mergeCell ref="F320:I320"/>
    <mergeCell ref="J320:M320"/>
    <mergeCell ref="N320:Q320"/>
    <mergeCell ref="R320:U320"/>
    <mergeCell ref="V320:Y320"/>
    <mergeCell ref="A319:E319"/>
    <mergeCell ref="F319:I319"/>
    <mergeCell ref="J319:M319"/>
    <mergeCell ref="N319:Q319"/>
    <mergeCell ref="R319:U319"/>
    <mergeCell ref="V319:Y319"/>
    <mergeCell ref="A318:E318"/>
    <mergeCell ref="F318:I318"/>
    <mergeCell ref="J318:M318"/>
    <mergeCell ref="N318:Q318"/>
    <mergeCell ref="R318:U318"/>
    <mergeCell ref="V318:Y318"/>
    <mergeCell ref="A317:E317"/>
    <mergeCell ref="F317:I317"/>
    <mergeCell ref="J317:M317"/>
    <mergeCell ref="N317:Q317"/>
    <mergeCell ref="R317:U317"/>
    <mergeCell ref="V317:Y317"/>
    <mergeCell ref="A316:E316"/>
    <mergeCell ref="F316:I316"/>
    <mergeCell ref="J316:M316"/>
    <mergeCell ref="N316:Q316"/>
    <mergeCell ref="R316:U316"/>
    <mergeCell ref="V316:Y316"/>
    <mergeCell ref="A315:E315"/>
    <mergeCell ref="F315:I315"/>
    <mergeCell ref="J315:M315"/>
    <mergeCell ref="N315:Q315"/>
    <mergeCell ref="R315:U315"/>
    <mergeCell ref="V315:Y315"/>
    <mergeCell ref="A314:E314"/>
    <mergeCell ref="F314:I314"/>
    <mergeCell ref="J314:M314"/>
    <mergeCell ref="N314:Q314"/>
    <mergeCell ref="R314:U314"/>
    <mergeCell ref="V314:Y314"/>
    <mergeCell ref="A313:E313"/>
    <mergeCell ref="F313:I313"/>
    <mergeCell ref="J313:M313"/>
    <mergeCell ref="N313:Q313"/>
    <mergeCell ref="R313:U313"/>
    <mergeCell ref="V313:Y313"/>
    <mergeCell ref="A312:E312"/>
    <mergeCell ref="F312:I312"/>
    <mergeCell ref="J312:M312"/>
    <mergeCell ref="N312:Q312"/>
    <mergeCell ref="R312:U312"/>
    <mergeCell ref="V312:Y312"/>
    <mergeCell ref="A311:E311"/>
    <mergeCell ref="F311:I311"/>
    <mergeCell ref="J311:M311"/>
    <mergeCell ref="N311:Q311"/>
    <mergeCell ref="R311:U311"/>
    <mergeCell ref="V311:Y311"/>
    <mergeCell ref="H307:J307"/>
    <mergeCell ref="K307:S307"/>
    <mergeCell ref="T307:U307"/>
    <mergeCell ref="A309:Y309"/>
    <mergeCell ref="A310:E310"/>
    <mergeCell ref="F310:I310"/>
    <mergeCell ref="J310:M310"/>
    <mergeCell ref="N310:Q310"/>
    <mergeCell ref="R310:U310"/>
    <mergeCell ref="V310:Y310"/>
    <mergeCell ref="H305:J305"/>
    <mergeCell ref="K305:S305"/>
    <mergeCell ref="T305:U305"/>
    <mergeCell ref="H306:J306"/>
    <mergeCell ref="K306:S306"/>
    <mergeCell ref="T306:U306"/>
    <mergeCell ref="H302:J303"/>
    <mergeCell ref="K302:S302"/>
    <mergeCell ref="T302:U303"/>
    <mergeCell ref="K303:S303"/>
    <mergeCell ref="H304:J304"/>
    <mergeCell ref="K304:S304"/>
    <mergeCell ref="T304:U304"/>
    <mergeCell ref="H298:J299"/>
    <mergeCell ref="K298:S298"/>
    <mergeCell ref="T298:U299"/>
    <mergeCell ref="K299:S299"/>
    <mergeCell ref="H300:J301"/>
    <mergeCell ref="K300:S300"/>
    <mergeCell ref="T300:U301"/>
    <mergeCell ref="K301:S301"/>
    <mergeCell ref="H294:J295"/>
    <mergeCell ref="K294:S294"/>
    <mergeCell ref="T294:U295"/>
    <mergeCell ref="K295:S295"/>
    <mergeCell ref="H296:J297"/>
    <mergeCell ref="K296:S296"/>
    <mergeCell ref="T296:U297"/>
    <mergeCell ref="K297:S297"/>
    <mergeCell ref="H291:J292"/>
    <mergeCell ref="K291:S291"/>
    <mergeCell ref="T291:U292"/>
    <mergeCell ref="K292:S292"/>
    <mergeCell ref="H293:J293"/>
    <mergeCell ref="K293:S293"/>
    <mergeCell ref="T293:U293"/>
    <mergeCell ref="H287:J288"/>
    <mergeCell ref="K287:S287"/>
    <mergeCell ref="T287:U288"/>
    <mergeCell ref="K288:S288"/>
    <mergeCell ref="H289:J290"/>
    <mergeCell ref="K289:S289"/>
    <mergeCell ref="T289:U290"/>
    <mergeCell ref="K290:S290"/>
    <mergeCell ref="A283:H283"/>
    <mergeCell ref="A284:Z284"/>
    <mergeCell ref="A285:Z285"/>
    <mergeCell ref="H286:J286"/>
    <mergeCell ref="K286:S286"/>
    <mergeCell ref="T286:U286"/>
    <mergeCell ref="A233:A274"/>
    <mergeCell ref="A276:Z276"/>
    <mergeCell ref="A278:L278"/>
    <mergeCell ref="A281:P281"/>
    <mergeCell ref="A282:D282"/>
    <mergeCell ref="F282:I282"/>
    <mergeCell ref="K282:N282"/>
    <mergeCell ref="A279:E279"/>
    <mergeCell ref="A280:E280"/>
    <mergeCell ref="A143:A184"/>
    <mergeCell ref="A186:B187"/>
    <mergeCell ref="C186:Z186"/>
    <mergeCell ref="A188:A229"/>
    <mergeCell ref="A231:B232"/>
    <mergeCell ref="C231:Z231"/>
    <mergeCell ref="A53:A94"/>
    <mergeCell ref="A96:B97"/>
    <mergeCell ref="C96:Z96"/>
    <mergeCell ref="A98:A139"/>
    <mergeCell ref="A141:B142"/>
    <mergeCell ref="C141:Z141"/>
    <mergeCell ref="A5:F5"/>
    <mergeCell ref="G5:Z5"/>
    <mergeCell ref="A6:B7"/>
    <mergeCell ref="C6:Z6"/>
    <mergeCell ref="A8:A49"/>
    <mergeCell ref="A51:B52"/>
    <mergeCell ref="C51:Z51"/>
    <mergeCell ref="A1:Z1"/>
    <mergeCell ref="A2:Z2"/>
    <mergeCell ref="A3:P3"/>
    <mergeCell ref="A4:F4"/>
    <mergeCell ref="G4:Z4"/>
  </mergeCells>
  <hyperlinks>
    <hyperlink ref="G5" r:id="rId1" xr:uid="{A3BC2AFE-CFE3-4D71-9B6B-05964B06D1C7}"/>
    <hyperlink ref="K288" r:id="rId2" xr:uid="{81BD7EB8-B51A-442E-81C7-AAD94C92784A}"/>
    <hyperlink ref="K290" r:id="rId3" xr:uid="{9A43738F-9096-4786-BD2E-B5925C7913C3}"/>
    <hyperlink ref="K301" r:id="rId4" xr:uid="{B15B346E-EF2A-455D-80A5-892574636CA9}"/>
    <hyperlink ref="K297" r:id="rId5" xr:uid="{70AFD650-49A5-4900-8C70-B291A733A98B}"/>
    <hyperlink ref="K352" r:id="rId6" xr:uid="{2B47A256-EF04-41B5-B03C-27A792DA8EF1}"/>
    <hyperlink ref="K350" r:id="rId7" xr:uid="{FF02575F-E1D6-4451-9B2E-9523A9700833}"/>
    <hyperlink ref="K355" r:id="rId8" xr:uid="{3040B6D0-8340-4C08-8A27-32C36E3DFFBC}"/>
    <hyperlink ref="K348" r:id="rId9" xr:uid="{EEBD0B12-7087-43DA-AFE9-72EAA253826E}"/>
    <hyperlink ref="K346" r:id="rId10" xr:uid="{A7AE99E9-3FFD-46BB-AB9E-90CDA6DB9223}"/>
    <hyperlink ref="K292" r:id="rId11" xr:uid="{BCC59B39-7604-456E-98E5-E9774BFBB39C}"/>
    <hyperlink ref="K295" r:id="rId12" xr:uid="{A21A94B1-E8B7-47C6-AB49-9D2A7409E095}"/>
    <hyperlink ref="K328" r:id="rId13" xr:uid="{39347419-8370-4E39-8680-A4BC55700576}"/>
    <hyperlink ref="K330" r:id="rId14" xr:uid="{A123D026-FD95-4FB4-8CF2-C70E493EC4C0}"/>
    <hyperlink ref="K332" r:id="rId15" xr:uid="{9E081CD7-B55D-4366-B749-D7A9DA039647}"/>
    <hyperlink ref="K334" r:id="rId16" xr:uid="{31C8B3BE-E1C8-4DD2-81E3-E66F2A01D761}"/>
    <hyperlink ref="K336" r:id="rId17" xr:uid="{24B8E11D-5043-4941-A309-590BEC973E31}"/>
    <hyperlink ref="K338" r:id="rId18" xr:uid="{02CA810B-8530-433B-9C9F-87661654E0A0}"/>
    <hyperlink ref="K299" r:id="rId19" xr:uid="{5D3F5CB4-B6CD-4C64-A5D6-5D9860704544}"/>
    <hyperlink ref="K303" r:id="rId20" xr:uid="{98ECB4FC-9D30-43A6-985E-984948D84445}"/>
    <hyperlink ref="G4" r:id="rId21" xr:uid="{62C9CD44-0CCD-41E2-B7A4-21BBEB983D99}"/>
  </hyperlinks>
  <pageMargins left="0.7" right="0.7" top="0.75" bottom="0.75" header="0.3" footer="0.3"/>
  <pageSetup paperSize="9" scale="60" fitToHeight="0" orientation="landscape" r:id="rId22"/>
  <rowBreaks count="7" manualBreakCount="7">
    <brk id="50" max="16383" man="1"/>
    <brk id="94" max="16383" man="1"/>
    <brk id="140" max="16383" man="1"/>
    <brk id="185" max="16383" man="1"/>
    <brk id="230" max="16383" man="1"/>
    <brk id="275" max="16383" man="1"/>
    <brk id="308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614A56-6B28-41AE-A548-FA0CD159C30E}">
  <sheetPr codeName="Лист2">
    <tabColor indexed="13"/>
  </sheetPr>
  <dimension ref="A1:C49"/>
  <sheetViews>
    <sheetView zoomScaleNormal="100" zoomScaleSheetLayoutView="100" workbookViewId="0">
      <pane ySplit="8" topLeftCell="A9" activePane="bottomLeft" state="frozen"/>
      <selection pane="bottomLeft" activeCell="C5" sqref="C5"/>
    </sheetView>
  </sheetViews>
  <sheetFormatPr defaultColWidth="9.109375" defaultRowHeight="13.2"/>
  <cols>
    <col min="1" max="1" width="56.5546875" style="1" customWidth="1"/>
    <col min="2" max="2" width="16.33203125" style="1" customWidth="1"/>
    <col min="3" max="3" width="16.5546875" style="1" customWidth="1"/>
    <col min="4" max="16384" width="9.109375" style="1"/>
  </cols>
  <sheetData>
    <row r="1" spans="1:3" ht="13.8" thickBot="1"/>
    <row r="2" spans="1:3" ht="18" thickBot="1">
      <c r="A2" s="376" t="s">
        <v>441</v>
      </c>
      <c r="B2" s="74">
        <v>0</v>
      </c>
      <c r="C2" s="377" t="s">
        <v>442</v>
      </c>
    </row>
    <row r="4" spans="1:3" ht="13.8" thickBot="1">
      <c r="B4" s="51"/>
    </row>
    <row r="5" spans="1:3" ht="18" thickBot="1">
      <c r="B5" s="188" t="s">
        <v>40</v>
      </c>
      <c r="C5" s="74">
        <v>1</v>
      </c>
    </row>
    <row r="6" spans="1:3">
      <c r="C6" s="187"/>
    </row>
    <row r="8" spans="1:3">
      <c r="A8" s="104"/>
      <c r="B8" s="105" t="s">
        <v>41</v>
      </c>
      <c r="C8" s="105" t="s">
        <v>42</v>
      </c>
    </row>
    <row r="9" spans="1:3">
      <c r="A9" s="57" t="s">
        <v>31</v>
      </c>
      <c r="B9" s="90">
        <f t="shared" ref="B9:B42" si="0">1-скидка/100</f>
        <v>1</v>
      </c>
      <c r="C9" s="65">
        <v>0</v>
      </c>
    </row>
    <row r="10" spans="1:3">
      <c r="A10" s="57" t="s">
        <v>36</v>
      </c>
      <c r="B10" s="90">
        <f t="shared" si="0"/>
        <v>1</v>
      </c>
      <c r="C10" s="65">
        <v>0</v>
      </c>
    </row>
    <row r="11" spans="1:3">
      <c r="A11" s="53" t="s">
        <v>202</v>
      </c>
      <c r="B11" s="90">
        <f t="shared" si="0"/>
        <v>1</v>
      </c>
      <c r="C11" s="65">
        <v>0</v>
      </c>
    </row>
    <row r="12" spans="1:3">
      <c r="A12" s="53" t="s">
        <v>990</v>
      </c>
      <c r="B12" s="90">
        <f t="shared" si="0"/>
        <v>1</v>
      </c>
      <c r="C12" s="65">
        <v>0</v>
      </c>
    </row>
    <row r="13" spans="1:3">
      <c r="A13" s="53" t="s">
        <v>998</v>
      </c>
      <c r="B13" s="90">
        <f t="shared" si="0"/>
        <v>1</v>
      </c>
      <c r="C13" s="65">
        <v>0</v>
      </c>
    </row>
    <row r="14" spans="1:3">
      <c r="A14" s="53" t="s">
        <v>784</v>
      </c>
      <c r="B14" s="90">
        <f t="shared" si="0"/>
        <v>1</v>
      </c>
      <c r="C14" s="65">
        <v>0</v>
      </c>
    </row>
    <row r="15" spans="1:3">
      <c r="A15" s="57" t="s">
        <v>0</v>
      </c>
      <c r="B15" s="90">
        <f t="shared" si="0"/>
        <v>1</v>
      </c>
      <c r="C15" s="65">
        <v>0</v>
      </c>
    </row>
    <row r="16" spans="1:3">
      <c r="A16" s="57" t="s">
        <v>34</v>
      </c>
      <c r="B16" s="90">
        <f t="shared" si="0"/>
        <v>1</v>
      </c>
      <c r="C16" s="65">
        <v>0</v>
      </c>
    </row>
    <row r="17" spans="1:3">
      <c r="A17" s="57" t="s">
        <v>35</v>
      </c>
      <c r="B17" s="90">
        <f t="shared" si="0"/>
        <v>1</v>
      </c>
      <c r="C17" s="65">
        <v>0</v>
      </c>
    </row>
    <row r="18" spans="1:3">
      <c r="A18" s="53" t="s">
        <v>29</v>
      </c>
      <c r="B18" s="90">
        <f t="shared" si="0"/>
        <v>1</v>
      </c>
      <c r="C18" s="65">
        <v>0</v>
      </c>
    </row>
    <row r="19" spans="1:3">
      <c r="A19" s="53" t="s">
        <v>1233</v>
      </c>
      <c r="B19" s="90">
        <f t="shared" si="0"/>
        <v>1</v>
      </c>
      <c r="C19" s="65">
        <v>0</v>
      </c>
    </row>
    <row r="20" spans="1:3">
      <c r="A20" s="53" t="s">
        <v>1120</v>
      </c>
      <c r="B20" s="90">
        <f t="shared" si="0"/>
        <v>1</v>
      </c>
      <c r="C20" s="65">
        <v>0</v>
      </c>
    </row>
    <row r="21" spans="1:3">
      <c r="A21" s="53" t="s">
        <v>1070</v>
      </c>
      <c r="B21" s="90">
        <f t="shared" si="0"/>
        <v>1</v>
      </c>
      <c r="C21" s="65">
        <v>0</v>
      </c>
    </row>
    <row r="22" spans="1:3">
      <c r="A22" s="53" t="s">
        <v>1071</v>
      </c>
      <c r="B22" s="90">
        <f t="shared" si="0"/>
        <v>1</v>
      </c>
      <c r="C22" s="65">
        <v>0</v>
      </c>
    </row>
    <row r="23" spans="1:3">
      <c r="A23" s="53" t="s">
        <v>478</v>
      </c>
      <c r="B23" s="90">
        <f t="shared" si="0"/>
        <v>1</v>
      </c>
      <c r="C23" s="65">
        <v>0</v>
      </c>
    </row>
    <row r="24" spans="1:3">
      <c r="A24" s="53" t="s">
        <v>755</v>
      </c>
      <c r="B24" s="90">
        <f t="shared" si="0"/>
        <v>1</v>
      </c>
      <c r="C24" s="65">
        <v>0</v>
      </c>
    </row>
    <row r="25" spans="1:3">
      <c r="A25" s="57" t="s">
        <v>37</v>
      </c>
      <c r="B25" s="90">
        <f t="shared" si="0"/>
        <v>1</v>
      </c>
      <c r="C25" s="65">
        <v>0</v>
      </c>
    </row>
    <row r="26" spans="1:3">
      <c r="A26" s="53" t="s">
        <v>550</v>
      </c>
      <c r="B26" s="90">
        <f t="shared" si="0"/>
        <v>1</v>
      </c>
      <c r="C26" s="65">
        <v>0</v>
      </c>
    </row>
    <row r="27" spans="1:3">
      <c r="A27" s="53" t="s">
        <v>348</v>
      </c>
      <c r="B27" s="90">
        <f t="shared" si="0"/>
        <v>1</v>
      </c>
      <c r="C27" s="65">
        <v>0</v>
      </c>
    </row>
    <row r="28" spans="1:3">
      <c r="A28" s="53" t="s">
        <v>316</v>
      </c>
      <c r="B28" s="90">
        <f t="shared" si="0"/>
        <v>1</v>
      </c>
      <c r="C28" s="65">
        <v>0</v>
      </c>
    </row>
    <row r="29" spans="1:3">
      <c r="A29" s="53" t="s">
        <v>349</v>
      </c>
      <c r="B29" s="90">
        <f t="shared" si="0"/>
        <v>1</v>
      </c>
      <c r="C29" s="65">
        <v>0</v>
      </c>
    </row>
    <row r="30" spans="1:3">
      <c r="A30" s="57" t="s">
        <v>38</v>
      </c>
      <c r="B30" s="90">
        <f t="shared" si="0"/>
        <v>1</v>
      </c>
      <c r="C30" s="65">
        <v>0</v>
      </c>
    </row>
    <row r="31" spans="1:3">
      <c r="A31" s="53" t="s">
        <v>981</v>
      </c>
      <c r="B31" s="90">
        <f t="shared" si="0"/>
        <v>1</v>
      </c>
      <c r="C31" s="65">
        <v>0</v>
      </c>
    </row>
    <row r="32" spans="1:3">
      <c r="A32" s="53" t="s">
        <v>1159</v>
      </c>
      <c r="B32" s="90">
        <f t="shared" si="0"/>
        <v>1</v>
      </c>
      <c r="C32" s="65">
        <v>0</v>
      </c>
    </row>
    <row r="33" spans="1:3">
      <c r="A33" s="53" t="s">
        <v>333</v>
      </c>
      <c r="B33" s="90">
        <f t="shared" si="0"/>
        <v>1</v>
      </c>
      <c r="C33" s="65">
        <v>0</v>
      </c>
    </row>
    <row r="34" spans="1:3">
      <c r="A34" s="53" t="s">
        <v>1127</v>
      </c>
      <c r="B34" s="90">
        <f t="shared" si="0"/>
        <v>1</v>
      </c>
      <c r="C34" s="65">
        <v>0</v>
      </c>
    </row>
    <row r="35" spans="1:3">
      <c r="A35" s="53" t="s">
        <v>1128</v>
      </c>
      <c r="B35" s="90">
        <f t="shared" si="0"/>
        <v>1</v>
      </c>
      <c r="C35" s="65">
        <v>0</v>
      </c>
    </row>
    <row r="36" spans="1:3">
      <c r="A36" s="53" t="s">
        <v>33</v>
      </c>
      <c r="B36" s="90">
        <f t="shared" si="0"/>
        <v>1</v>
      </c>
      <c r="C36" s="65">
        <v>0</v>
      </c>
    </row>
    <row r="37" spans="1:3">
      <c r="A37" s="53" t="s">
        <v>47</v>
      </c>
      <c r="B37" s="90">
        <f t="shared" si="0"/>
        <v>1</v>
      </c>
      <c r="C37" s="65">
        <v>0</v>
      </c>
    </row>
    <row r="38" spans="1:3">
      <c r="A38" s="53" t="s">
        <v>48</v>
      </c>
      <c r="B38" s="90">
        <f t="shared" si="0"/>
        <v>1</v>
      </c>
      <c r="C38" s="65">
        <v>0</v>
      </c>
    </row>
    <row r="39" spans="1:3">
      <c r="A39" s="53" t="s">
        <v>955</v>
      </c>
      <c r="B39" s="90">
        <f t="shared" si="0"/>
        <v>1</v>
      </c>
      <c r="C39" s="65">
        <v>0</v>
      </c>
    </row>
    <row r="40" spans="1:3">
      <c r="A40" s="57" t="s">
        <v>39</v>
      </c>
      <c r="B40" s="90">
        <f t="shared" si="0"/>
        <v>1</v>
      </c>
      <c r="C40" s="65">
        <v>0</v>
      </c>
    </row>
    <row r="41" spans="1:3">
      <c r="A41" s="420" t="s">
        <v>552</v>
      </c>
      <c r="B41" s="90">
        <f t="shared" si="0"/>
        <v>1</v>
      </c>
      <c r="C41" s="65">
        <v>0</v>
      </c>
    </row>
    <row r="42" spans="1:3">
      <c r="A42" s="53" t="s">
        <v>317</v>
      </c>
      <c r="B42" s="90">
        <f t="shared" si="0"/>
        <v>1</v>
      </c>
      <c r="C42" s="65">
        <v>0</v>
      </c>
    </row>
    <row r="44" spans="1:3">
      <c r="A44" s="1" t="s">
        <v>285</v>
      </c>
    </row>
    <row r="45" spans="1:3" ht="24.75" customHeight="1">
      <c r="A45" s="986" t="s">
        <v>286</v>
      </c>
      <c r="B45" s="986"/>
      <c r="C45" s="986"/>
    </row>
    <row r="47" spans="1:3" ht="37.5" customHeight="1">
      <c r="A47" s="987" t="s">
        <v>304</v>
      </c>
      <c r="B47" s="987"/>
      <c r="C47" s="987"/>
    </row>
    <row r="48" spans="1:3" ht="9.75" customHeight="1"/>
    <row r="49" spans="1:3" ht="36" customHeight="1">
      <c r="A49" s="987" t="s">
        <v>287</v>
      </c>
      <c r="B49" s="987"/>
      <c r="C49" s="987"/>
    </row>
  </sheetData>
  <mergeCells count="3">
    <mergeCell ref="A45:C45"/>
    <mergeCell ref="A47:C47"/>
    <mergeCell ref="A49:C49"/>
  </mergeCells>
  <phoneticPr fontId="7" type="noConversion"/>
  <pageMargins left="0.75" right="0.75" top="1" bottom="1" header="0.5" footer="0.5"/>
  <pageSetup paperSize="9" scale="83" orientation="portrait" verticalDpi="20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B99B03-7410-4C49-B99F-8C9E9EDF8070}">
  <sheetPr>
    <tabColor rgb="FFFFC000"/>
  </sheetPr>
  <dimension ref="A1:AH460"/>
  <sheetViews>
    <sheetView topLeftCell="A83" zoomScale="80" zoomScaleNormal="80" zoomScaleSheetLayoutView="75" workbookViewId="0">
      <selection activeCell="U116" sqref="U116"/>
    </sheetView>
  </sheetViews>
  <sheetFormatPr defaultRowHeight="13.2"/>
  <cols>
    <col min="1" max="34" width="6.5546875" customWidth="1"/>
  </cols>
  <sheetData>
    <row r="1" spans="1:34">
      <c r="A1" s="1"/>
      <c r="B1" s="1"/>
      <c r="C1" s="1"/>
      <c r="D1" s="15"/>
      <c r="E1" s="52"/>
      <c r="F1" s="15"/>
      <c r="G1" s="15"/>
      <c r="H1" s="15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</row>
    <row r="2" spans="1:34">
      <c r="A2" s="1"/>
      <c r="B2" s="1"/>
      <c r="C2" s="1"/>
      <c r="D2" s="15"/>
      <c r="E2" s="52"/>
      <c r="F2" s="15"/>
      <c r="G2" s="15"/>
      <c r="H2" s="15"/>
      <c r="I2" s="118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</row>
    <row r="3" spans="1:34" ht="15.6">
      <c r="A3" s="1776" t="s">
        <v>476</v>
      </c>
      <c r="B3" s="1776"/>
      <c r="C3" s="1776"/>
      <c r="D3" s="1776"/>
      <c r="E3" s="1776"/>
      <c r="F3" s="1776"/>
      <c r="G3" s="1776"/>
      <c r="H3" s="1776"/>
      <c r="I3" s="1776"/>
      <c r="J3" s="1776"/>
      <c r="K3" s="1776"/>
      <c r="L3" s="1776"/>
      <c r="M3" s="1776"/>
      <c r="N3" s="1776"/>
      <c r="O3" s="1776"/>
      <c r="P3" s="1776"/>
      <c r="Q3" s="1776"/>
      <c r="R3" s="1776"/>
      <c r="S3" s="1776"/>
      <c r="T3" s="1776"/>
      <c r="U3" s="1776"/>
      <c r="V3" s="1776"/>
      <c r="W3" s="1776"/>
      <c r="X3" s="1776"/>
      <c r="Y3" s="1776"/>
      <c r="Z3" s="1776"/>
      <c r="AA3" s="1776"/>
      <c r="AB3" s="1776"/>
      <c r="AC3" s="1776"/>
      <c r="AD3" s="1776"/>
      <c r="AE3" s="1776"/>
      <c r="AF3" s="1776"/>
      <c r="AG3" s="1776"/>
      <c r="AH3" s="1776"/>
    </row>
    <row r="4" spans="1:34">
      <c r="A4" s="1777" t="s">
        <v>480</v>
      </c>
      <c r="B4" s="1777"/>
      <c r="C4" s="1777"/>
      <c r="D4" s="1777"/>
      <c r="E4" s="1777"/>
      <c r="F4" s="1777"/>
      <c r="G4" s="1777"/>
      <c r="H4" s="1777"/>
      <c r="I4" s="1777"/>
      <c r="J4" s="1777"/>
      <c r="K4" s="1777"/>
      <c r="L4" s="1777"/>
      <c r="M4" s="1777"/>
      <c r="N4" s="1777"/>
      <c r="O4" s="1777"/>
      <c r="P4" s="1777"/>
      <c r="Q4" s="1777"/>
      <c r="R4" s="1777"/>
      <c r="S4" s="1777"/>
      <c r="T4" s="1777"/>
      <c r="U4" s="1777"/>
      <c r="V4" s="1777"/>
      <c r="W4" s="1777"/>
      <c r="X4" s="1777"/>
      <c r="Y4" s="1777"/>
      <c r="Z4" s="1777"/>
      <c r="AA4" s="1777"/>
      <c r="AB4" s="1777"/>
      <c r="AC4" s="1777"/>
      <c r="AD4" s="1777"/>
      <c r="AE4" s="1777"/>
      <c r="AF4" s="1777"/>
      <c r="AG4" s="1777"/>
      <c r="AH4" s="1777"/>
    </row>
    <row r="5" spans="1:34">
      <c r="A5" s="1777" t="s">
        <v>982</v>
      </c>
      <c r="B5" s="1777"/>
      <c r="C5" s="1777"/>
      <c r="D5" s="1777"/>
      <c r="E5" s="1777"/>
      <c r="F5" s="1777"/>
      <c r="G5" s="1777"/>
      <c r="H5" s="1777"/>
      <c r="I5" s="1777"/>
      <c r="J5" s="1777"/>
      <c r="K5" s="1777"/>
      <c r="L5" s="1777"/>
      <c r="M5" s="1777"/>
      <c r="N5" s="1777"/>
      <c r="O5" s="1777"/>
      <c r="P5" s="1777"/>
      <c r="Q5" s="1777"/>
      <c r="R5" s="1777"/>
      <c r="S5" s="1777"/>
      <c r="T5" s="1777"/>
      <c r="U5" s="1777"/>
      <c r="V5" s="1777"/>
      <c r="W5" s="1777"/>
      <c r="X5" s="1777"/>
      <c r="Y5" s="1777"/>
      <c r="Z5" s="1777"/>
      <c r="AA5" s="1777"/>
      <c r="AB5" s="1777"/>
      <c r="AC5" s="1777"/>
      <c r="AD5" s="1777"/>
      <c r="AE5" s="1777"/>
      <c r="AF5" s="1777"/>
      <c r="AG5" s="1777"/>
      <c r="AH5" s="1777"/>
    </row>
    <row r="6" spans="1:34">
      <c r="A6" s="1777" t="s">
        <v>983</v>
      </c>
      <c r="B6" s="1777"/>
      <c r="C6" s="1777"/>
      <c r="D6" s="1777"/>
      <c r="E6" s="1777"/>
      <c r="F6" s="1777"/>
      <c r="G6" s="1777"/>
      <c r="H6" s="1777"/>
      <c r="I6" s="1777"/>
      <c r="J6" s="1777"/>
      <c r="K6" s="1777"/>
      <c r="L6" s="1777"/>
      <c r="M6" s="1777"/>
      <c r="N6" s="1777"/>
      <c r="O6" s="1777"/>
      <c r="P6" s="1777"/>
      <c r="Q6" s="1777"/>
      <c r="R6" s="1777"/>
      <c r="S6" s="1777"/>
      <c r="T6" s="1777"/>
      <c r="U6" s="1777"/>
      <c r="V6" s="1777"/>
      <c r="W6" s="1777"/>
      <c r="X6" s="1777"/>
      <c r="Y6" s="1777"/>
      <c r="Z6" s="1777"/>
      <c r="AA6" s="1777"/>
      <c r="AB6" s="1777"/>
      <c r="AC6" s="1777"/>
      <c r="AD6" s="1777"/>
      <c r="AE6" s="1777"/>
      <c r="AF6" s="1777"/>
      <c r="AG6" s="1777"/>
      <c r="AH6" s="1777"/>
    </row>
    <row r="7" spans="1:34" ht="20.25" customHeight="1">
      <c r="A7" s="1089" t="s">
        <v>593</v>
      </c>
      <c r="B7" s="1089"/>
      <c r="C7" s="1089"/>
      <c r="D7" s="1089"/>
      <c r="E7" s="1089"/>
      <c r="F7" s="1089"/>
      <c r="G7" s="1406" t="s">
        <v>615</v>
      </c>
      <c r="H7" s="1406"/>
      <c r="I7" s="1406"/>
      <c r="J7" s="1406"/>
      <c r="K7" s="1406"/>
      <c r="L7" s="1406"/>
      <c r="M7" s="1406"/>
      <c r="N7" s="1406"/>
      <c r="O7" s="1406"/>
      <c r="P7" s="1406"/>
      <c r="Q7" s="1406"/>
      <c r="R7" s="1406"/>
      <c r="S7" s="1406"/>
      <c r="T7" s="1406"/>
      <c r="U7" s="1406"/>
      <c r="V7" s="1406"/>
      <c r="W7" s="1406"/>
      <c r="X7" s="1406"/>
      <c r="Y7" s="1406"/>
      <c r="Z7" s="1406"/>
      <c r="AA7" s="1406"/>
      <c r="AB7" s="1406"/>
      <c r="AC7" s="1406"/>
      <c r="AD7" s="1406"/>
      <c r="AE7" s="1406"/>
      <c r="AF7" s="1406"/>
      <c r="AG7" s="1406"/>
      <c r="AH7" s="1406"/>
    </row>
    <row r="8" spans="1:34" ht="20.25" customHeight="1" thickBot="1">
      <c r="A8" s="1089" t="s">
        <v>611</v>
      </c>
      <c r="B8" s="1089"/>
      <c r="C8" s="1089"/>
      <c r="D8" s="1089"/>
      <c r="E8" s="1089"/>
      <c r="F8" s="1089"/>
      <c r="G8" s="1168" t="s">
        <v>613</v>
      </c>
      <c r="H8" s="1168"/>
      <c r="I8" s="1168"/>
      <c r="J8" s="1168"/>
      <c r="K8" s="1168"/>
      <c r="L8" s="1168"/>
      <c r="M8" s="1168"/>
      <c r="N8" s="1168"/>
      <c r="O8" s="1168"/>
      <c r="P8" s="1168"/>
      <c r="Q8" s="1168"/>
      <c r="R8" s="1168"/>
      <c r="S8" s="1168"/>
      <c r="T8" s="1168"/>
      <c r="U8" s="1168"/>
      <c r="V8" s="1168"/>
      <c r="W8" s="1168"/>
      <c r="X8" s="1168"/>
      <c r="Y8" s="1168"/>
      <c r="Z8" s="1168"/>
      <c r="AA8" s="1168"/>
      <c r="AB8" s="1168"/>
      <c r="AC8" s="1168"/>
      <c r="AD8" s="1168"/>
      <c r="AE8" s="1168"/>
      <c r="AF8" s="1168"/>
      <c r="AG8" s="1168"/>
      <c r="AH8" s="1168"/>
    </row>
    <row r="9" spans="1:34" ht="13.8" thickBot="1">
      <c r="A9" s="1413" t="s">
        <v>462</v>
      </c>
      <c r="B9" s="1601"/>
      <c r="C9" s="1534" t="s">
        <v>207</v>
      </c>
      <c r="D9" s="1535"/>
      <c r="E9" s="1535"/>
      <c r="F9" s="1535"/>
      <c r="G9" s="1535"/>
      <c r="H9" s="1535"/>
      <c r="I9" s="1535"/>
      <c r="J9" s="1535"/>
      <c r="K9" s="1535"/>
      <c r="L9" s="1535"/>
      <c r="M9" s="1535"/>
      <c r="N9" s="1535"/>
      <c r="O9" s="1535"/>
      <c r="P9" s="1535"/>
      <c r="Q9" s="1535"/>
      <c r="R9" s="1535"/>
      <c r="S9" s="1535"/>
      <c r="T9" s="1535"/>
      <c r="U9" s="1535"/>
      <c r="V9" s="1535"/>
      <c r="W9" s="1535"/>
      <c r="X9" s="1535"/>
      <c r="Y9" s="1535"/>
      <c r="Z9" s="1535"/>
      <c r="AA9" s="1535"/>
      <c r="AB9" s="1535"/>
      <c r="AC9" s="1535"/>
      <c r="AD9" s="1535"/>
      <c r="AE9" s="1535"/>
      <c r="AF9" s="1535"/>
      <c r="AG9" s="1535"/>
      <c r="AH9" s="1536"/>
    </row>
    <row r="10" spans="1:34" ht="13.8" thickBot="1">
      <c r="A10" s="1778"/>
      <c r="B10" s="1779"/>
      <c r="C10" s="341">
        <v>0.7</v>
      </c>
      <c r="D10" s="341">
        <v>0.8</v>
      </c>
      <c r="E10" s="341">
        <v>0.9</v>
      </c>
      <c r="F10" s="341">
        <v>1</v>
      </c>
      <c r="G10" s="341">
        <v>1.1000000000000001</v>
      </c>
      <c r="H10" s="341">
        <v>1.2</v>
      </c>
      <c r="I10" s="341">
        <v>1.3</v>
      </c>
      <c r="J10" s="341">
        <v>1.4</v>
      </c>
      <c r="K10" s="341">
        <v>1.5</v>
      </c>
      <c r="L10" s="341">
        <v>1.6</v>
      </c>
      <c r="M10" s="341">
        <v>1.7</v>
      </c>
      <c r="N10" s="341">
        <v>1.8</v>
      </c>
      <c r="O10" s="341">
        <v>1.9</v>
      </c>
      <c r="P10" s="341">
        <v>2</v>
      </c>
      <c r="Q10" s="341">
        <v>2.1</v>
      </c>
      <c r="R10" s="341">
        <v>2.2000000000000002</v>
      </c>
      <c r="S10" s="341">
        <v>2.2999999999999998</v>
      </c>
      <c r="T10" s="341">
        <v>2.4</v>
      </c>
      <c r="U10" s="341">
        <v>2.5</v>
      </c>
      <c r="V10" s="341">
        <v>2.6</v>
      </c>
      <c r="W10" s="341">
        <v>2.7</v>
      </c>
      <c r="X10" s="341">
        <v>2.8</v>
      </c>
      <c r="Y10" s="341">
        <v>2.9</v>
      </c>
      <c r="Z10" s="342">
        <v>3</v>
      </c>
      <c r="AA10" s="340">
        <v>3.1</v>
      </c>
      <c r="AB10" s="341">
        <v>3.2</v>
      </c>
      <c r="AC10" s="341">
        <v>3.3</v>
      </c>
      <c r="AD10" s="341">
        <v>3.4</v>
      </c>
      <c r="AE10" s="341">
        <v>3.5</v>
      </c>
      <c r="AF10" s="341">
        <v>3.6</v>
      </c>
      <c r="AG10" s="341">
        <v>3.7</v>
      </c>
      <c r="AH10" s="341">
        <v>3.8</v>
      </c>
    </row>
    <row r="11" spans="1:34">
      <c r="A11" s="1780" t="s">
        <v>3</v>
      </c>
      <c r="B11" s="391">
        <v>0.5</v>
      </c>
      <c r="C11" s="274">
        <f>C70-C70*10/100</f>
        <v>80.857440000000011</v>
      </c>
      <c r="D11" s="301">
        <f t="shared" ref="D11:AH11" si="0">D70-D70*10/100</f>
        <v>82.399679999999989</v>
      </c>
      <c r="E11" s="301">
        <f t="shared" si="0"/>
        <v>83.831760000000003</v>
      </c>
      <c r="F11" s="301">
        <f t="shared" si="0"/>
        <v>85.373999999999995</v>
      </c>
      <c r="G11" s="301">
        <f t="shared" si="0"/>
        <v>86.916240000000016</v>
      </c>
      <c r="H11" s="301">
        <f t="shared" si="0"/>
        <v>88.45847999999998</v>
      </c>
      <c r="I11" s="301">
        <f t="shared" si="0"/>
        <v>90.000720000000001</v>
      </c>
      <c r="J11" s="301">
        <f t="shared" si="0"/>
        <v>91.4328</v>
      </c>
      <c r="K11" s="301">
        <f t="shared" si="0"/>
        <v>92.975040000000007</v>
      </c>
      <c r="L11" s="301">
        <f t="shared" si="0"/>
        <v>94.51728</v>
      </c>
      <c r="M11" s="301">
        <f t="shared" si="0"/>
        <v>96.059519999999992</v>
      </c>
      <c r="N11" s="301">
        <f t="shared" si="0"/>
        <v>97.601759999999999</v>
      </c>
      <c r="O11" s="301">
        <f t="shared" si="0"/>
        <v>99.033840000000012</v>
      </c>
      <c r="P11" s="301">
        <f t="shared" si="0"/>
        <v>100.57607999999999</v>
      </c>
      <c r="Q11" s="301">
        <f t="shared" si="0"/>
        <v>102.11832</v>
      </c>
      <c r="R11" s="301">
        <f t="shared" si="0"/>
        <v>103.66056</v>
      </c>
      <c r="S11" s="301">
        <f t="shared" si="0"/>
        <v>105.2028</v>
      </c>
      <c r="T11" s="301">
        <f t="shared" si="0"/>
        <v>106.74504000000002</v>
      </c>
      <c r="U11" s="301">
        <f t="shared" si="0"/>
        <v>108.17712</v>
      </c>
      <c r="V11" s="301">
        <f t="shared" si="0"/>
        <v>109.71935999999999</v>
      </c>
      <c r="W11" s="301">
        <f t="shared" si="0"/>
        <v>111.26159999999999</v>
      </c>
      <c r="X11" s="301">
        <f t="shared" si="0"/>
        <v>112.80384000000001</v>
      </c>
      <c r="Y11" s="301">
        <f t="shared" si="0"/>
        <v>114.34608</v>
      </c>
      <c r="Z11" s="301">
        <f t="shared" si="0"/>
        <v>115.77815999999999</v>
      </c>
      <c r="AA11" s="301">
        <f t="shared" si="0"/>
        <v>117.32039999999999</v>
      </c>
      <c r="AB11" s="301">
        <f t="shared" si="0"/>
        <v>118.86264</v>
      </c>
      <c r="AC11" s="301">
        <f t="shared" si="0"/>
        <v>120.40487999999999</v>
      </c>
      <c r="AD11" s="301">
        <f t="shared" si="0"/>
        <v>121.94712000000001</v>
      </c>
      <c r="AE11" s="301">
        <f t="shared" si="0"/>
        <v>123.3792</v>
      </c>
      <c r="AF11" s="301">
        <f t="shared" si="0"/>
        <v>124.92144</v>
      </c>
      <c r="AG11" s="301">
        <f t="shared" si="0"/>
        <v>126.46368</v>
      </c>
      <c r="AH11" s="302">
        <f t="shared" si="0"/>
        <v>128.00592</v>
      </c>
    </row>
    <row r="12" spans="1:34">
      <c r="A12" s="1781"/>
      <c r="B12" s="392">
        <v>0.6</v>
      </c>
      <c r="C12" s="303">
        <f t="shared" ref="C12:AH12" si="1">C71-C71*10/100</f>
        <v>81.408239999999992</v>
      </c>
      <c r="D12" s="300">
        <f t="shared" si="1"/>
        <v>83.060639999999992</v>
      </c>
      <c r="E12" s="300">
        <f t="shared" si="1"/>
        <v>84.602879999999999</v>
      </c>
      <c r="F12" s="300">
        <f t="shared" si="1"/>
        <v>86.145120000000006</v>
      </c>
      <c r="G12" s="300">
        <f t="shared" si="1"/>
        <v>87.797520000000006</v>
      </c>
      <c r="H12" s="300">
        <f t="shared" si="1"/>
        <v>89.339759999999984</v>
      </c>
      <c r="I12" s="300">
        <f t="shared" si="1"/>
        <v>90.882000000000005</v>
      </c>
      <c r="J12" s="300">
        <f t="shared" si="1"/>
        <v>92.534400000000005</v>
      </c>
      <c r="K12" s="300">
        <f t="shared" si="1"/>
        <v>94.076639999999998</v>
      </c>
      <c r="L12" s="300">
        <f t="shared" si="1"/>
        <v>95.618880000000004</v>
      </c>
      <c r="M12" s="300">
        <f t="shared" si="1"/>
        <v>97.271280000000004</v>
      </c>
      <c r="N12" s="300">
        <f t="shared" si="1"/>
        <v>98.813519999999997</v>
      </c>
      <c r="O12" s="300">
        <f t="shared" si="1"/>
        <v>100.46592</v>
      </c>
      <c r="P12" s="300">
        <f t="shared" si="1"/>
        <v>102.00816</v>
      </c>
      <c r="Q12" s="300">
        <f t="shared" si="1"/>
        <v>103.5504</v>
      </c>
      <c r="R12" s="300">
        <f t="shared" si="1"/>
        <v>105.2028</v>
      </c>
      <c r="S12" s="300">
        <f t="shared" si="1"/>
        <v>106.74504000000002</v>
      </c>
      <c r="T12" s="300">
        <f t="shared" si="1"/>
        <v>108.28728</v>
      </c>
      <c r="U12" s="300">
        <f t="shared" si="1"/>
        <v>109.93967999999998</v>
      </c>
      <c r="V12" s="300">
        <f t="shared" si="1"/>
        <v>111.48192</v>
      </c>
      <c r="W12" s="300">
        <f t="shared" si="1"/>
        <v>113.02415999999999</v>
      </c>
      <c r="X12" s="300">
        <f t="shared" si="1"/>
        <v>114.67655999999999</v>
      </c>
      <c r="Y12" s="300">
        <f t="shared" si="1"/>
        <v>116.2188</v>
      </c>
      <c r="Z12" s="300">
        <f t="shared" si="1"/>
        <v>117.76104000000002</v>
      </c>
      <c r="AA12" s="300">
        <f t="shared" si="1"/>
        <v>119.41344000000001</v>
      </c>
      <c r="AB12" s="300">
        <f t="shared" si="1"/>
        <v>120.95567999999999</v>
      </c>
      <c r="AC12" s="300">
        <f t="shared" si="1"/>
        <v>122.49792000000001</v>
      </c>
      <c r="AD12" s="300">
        <f t="shared" si="1"/>
        <v>124.15032000000002</v>
      </c>
      <c r="AE12" s="300">
        <f t="shared" si="1"/>
        <v>125.69255999999997</v>
      </c>
      <c r="AF12" s="300">
        <f t="shared" si="1"/>
        <v>127.23479999999999</v>
      </c>
      <c r="AG12" s="300">
        <f t="shared" si="1"/>
        <v>128.88720000000001</v>
      </c>
      <c r="AH12" s="304">
        <f t="shared" si="1"/>
        <v>130.42944</v>
      </c>
    </row>
    <row r="13" spans="1:34">
      <c r="A13" s="1781"/>
      <c r="B13" s="392">
        <v>0.7</v>
      </c>
      <c r="C13" s="303">
        <f t="shared" ref="C13:AH13" si="2">C72-C72*10/100</f>
        <v>82.069199999999995</v>
      </c>
      <c r="D13" s="300">
        <f t="shared" si="2"/>
        <v>83.721599999999995</v>
      </c>
      <c r="E13" s="300">
        <f t="shared" si="2"/>
        <v>85.373999999999995</v>
      </c>
      <c r="F13" s="300">
        <f t="shared" si="2"/>
        <v>87.026399999999995</v>
      </c>
      <c r="G13" s="300">
        <f t="shared" si="2"/>
        <v>88.568640000000016</v>
      </c>
      <c r="H13" s="300">
        <f t="shared" si="2"/>
        <v>90.221040000000016</v>
      </c>
      <c r="I13" s="300">
        <f t="shared" si="2"/>
        <v>91.873440000000016</v>
      </c>
      <c r="J13" s="300">
        <f t="shared" si="2"/>
        <v>93.525840000000002</v>
      </c>
      <c r="K13" s="300">
        <f t="shared" si="2"/>
        <v>95.178240000000017</v>
      </c>
      <c r="L13" s="300">
        <f t="shared" si="2"/>
        <v>96.830640000000002</v>
      </c>
      <c r="M13" s="300">
        <f t="shared" si="2"/>
        <v>98.483040000000003</v>
      </c>
      <c r="N13" s="300">
        <f t="shared" si="2"/>
        <v>100.13544</v>
      </c>
      <c r="O13" s="300">
        <f t="shared" si="2"/>
        <v>101.78784</v>
      </c>
      <c r="P13" s="300">
        <f t="shared" si="2"/>
        <v>103.33008</v>
      </c>
      <c r="Q13" s="300">
        <f t="shared" si="2"/>
        <v>104.98248</v>
      </c>
      <c r="R13" s="300">
        <f t="shared" si="2"/>
        <v>106.63488</v>
      </c>
      <c r="S13" s="300">
        <f t="shared" si="2"/>
        <v>108.28728</v>
      </c>
      <c r="T13" s="300">
        <f t="shared" si="2"/>
        <v>109.93967999999998</v>
      </c>
      <c r="U13" s="300">
        <f t="shared" si="2"/>
        <v>111.59208</v>
      </c>
      <c r="V13" s="300">
        <f t="shared" si="2"/>
        <v>113.24448</v>
      </c>
      <c r="W13" s="300">
        <f t="shared" si="2"/>
        <v>114.89688</v>
      </c>
      <c r="X13" s="300">
        <f t="shared" si="2"/>
        <v>116.43912</v>
      </c>
      <c r="Y13" s="300">
        <f t="shared" si="2"/>
        <v>118.09152000000002</v>
      </c>
      <c r="Z13" s="300">
        <f t="shared" si="2"/>
        <v>119.74392</v>
      </c>
      <c r="AA13" s="300">
        <f t="shared" si="2"/>
        <v>121.39632</v>
      </c>
      <c r="AB13" s="300">
        <f t="shared" si="2"/>
        <v>123.04872</v>
      </c>
      <c r="AC13" s="300">
        <f t="shared" si="2"/>
        <v>124.70111999999999</v>
      </c>
      <c r="AD13" s="300">
        <f t="shared" si="2"/>
        <v>126.35352</v>
      </c>
      <c r="AE13" s="300">
        <f t="shared" si="2"/>
        <v>128.00592</v>
      </c>
      <c r="AF13" s="300">
        <f t="shared" si="2"/>
        <v>129.65832</v>
      </c>
      <c r="AG13" s="300">
        <f t="shared" si="2"/>
        <v>131.20056</v>
      </c>
      <c r="AH13" s="304">
        <f t="shared" si="2"/>
        <v>132.85296</v>
      </c>
    </row>
    <row r="14" spans="1:34">
      <c r="A14" s="1781"/>
      <c r="B14" s="392">
        <v>0.8</v>
      </c>
      <c r="C14" s="303">
        <f t="shared" ref="C14:AH14" si="3">C73-C73*10/100</f>
        <v>82.62</v>
      </c>
      <c r="D14" s="300">
        <f t="shared" si="3"/>
        <v>84.382559999999984</v>
      </c>
      <c r="E14" s="300">
        <f t="shared" si="3"/>
        <v>86.034959999999998</v>
      </c>
      <c r="F14" s="300">
        <f t="shared" si="3"/>
        <v>87.797520000000006</v>
      </c>
      <c r="G14" s="300">
        <f t="shared" si="3"/>
        <v>89.449919999999992</v>
      </c>
      <c r="H14" s="300">
        <f t="shared" si="3"/>
        <v>91.212479999999999</v>
      </c>
      <c r="I14" s="300">
        <f t="shared" si="3"/>
        <v>92.864879999999999</v>
      </c>
      <c r="J14" s="300">
        <f t="shared" si="3"/>
        <v>94.51728</v>
      </c>
      <c r="K14" s="300">
        <f t="shared" si="3"/>
        <v>96.279840000000007</v>
      </c>
      <c r="L14" s="300">
        <f t="shared" si="3"/>
        <v>97.932240000000007</v>
      </c>
      <c r="M14" s="300">
        <f t="shared" si="3"/>
        <v>99.694800000000001</v>
      </c>
      <c r="N14" s="300">
        <f t="shared" si="3"/>
        <v>101.3472</v>
      </c>
      <c r="O14" s="300">
        <f t="shared" si="3"/>
        <v>103.10975999999999</v>
      </c>
      <c r="P14" s="300">
        <f t="shared" si="3"/>
        <v>104.76215999999999</v>
      </c>
      <c r="Q14" s="300">
        <f t="shared" si="3"/>
        <v>106.41455999999999</v>
      </c>
      <c r="R14" s="300">
        <f t="shared" si="3"/>
        <v>108.17712</v>
      </c>
      <c r="S14" s="300">
        <f t="shared" si="3"/>
        <v>109.82952</v>
      </c>
      <c r="T14" s="300">
        <f t="shared" si="3"/>
        <v>111.59208</v>
      </c>
      <c r="U14" s="300">
        <f t="shared" si="3"/>
        <v>113.24448</v>
      </c>
      <c r="V14" s="300">
        <f t="shared" si="3"/>
        <v>114.89688</v>
      </c>
      <c r="W14" s="300">
        <f t="shared" si="3"/>
        <v>116.65944</v>
      </c>
      <c r="X14" s="300">
        <f t="shared" si="3"/>
        <v>118.31183999999999</v>
      </c>
      <c r="Y14" s="300">
        <f t="shared" si="3"/>
        <v>120.0744</v>
      </c>
      <c r="Z14" s="300">
        <f t="shared" si="3"/>
        <v>121.72680000000001</v>
      </c>
      <c r="AA14" s="300">
        <f t="shared" si="3"/>
        <v>123.48935999999999</v>
      </c>
      <c r="AB14" s="300">
        <f t="shared" si="3"/>
        <v>125.14176</v>
      </c>
      <c r="AC14" s="300">
        <f t="shared" si="3"/>
        <v>126.79415999999999</v>
      </c>
      <c r="AD14" s="300">
        <f t="shared" si="3"/>
        <v>128.55672000000001</v>
      </c>
      <c r="AE14" s="300">
        <f t="shared" si="3"/>
        <v>130.20912000000001</v>
      </c>
      <c r="AF14" s="300">
        <f t="shared" si="3"/>
        <v>131.97167999999999</v>
      </c>
      <c r="AG14" s="300">
        <f t="shared" si="3"/>
        <v>133.62407999999999</v>
      </c>
      <c r="AH14" s="304">
        <f t="shared" si="3"/>
        <v>135.38664</v>
      </c>
    </row>
    <row r="15" spans="1:34">
      <c r="A15" s="1781"/>
      <c r="B15" s="392">
        <v>0.9</v>
      </c>
      <c r="C15" s="303">
        <f t="shared" ref="C15:AH15" si="4">C74-C74*10/100</f>
        <v>83.280959999999993</v>
      </c>
      <c r="D15" s="300">
        <f t="shared" si="4"/>
        <v>85.043520000000001</v>
      </c>
      <c r="E15" s="300">
        <f t="shared" si="4"/>
        <v>86.806080000000009</v>
      </c>
      <c r="F15" s="300">
        <f t="shared" si="4"/>
        <v>88.568640000000016</v>
      </c>
      <c r="G15" s="300">
        <f t="shared" si="4"/>
        <v>90.331199999999995</v>
      </c>
      <c r="H15" s="300">
        <f t="shared" si="4"/>
        <v>92.093759999999989</v>
      </c>
      <c r="I15" s="300">
        <f t="shared" si="4"/>
        <v>93.856320000000011</v>
      </c>
      <c r="J15" s="300">
        <f t="shared" si="4"/>
        <v>95.618880000000004</v>
      </c>
      <c r="K15" s="300">
        <f t="shared" si="4"/>
        <v>97.381439999999998</v>
      </c>
      <c r="L15" s="300">
        <f t="shared" si="4"/>
        <v>99.144000000000005</v>
      </c>
      <c r="M15" s="300">
        <f t="shared" si="4"/>
        <v>100.90656</v>
      </c>
      <c r="N15" s="300">
        <f t="shared" si="4"/>
        <v>102.66912000000001</v>
      </c>
      <c r="O15" s="300">
        <f t="shared" si="4"/>
        <v>104.43167999999999</v>
      </c>
      <c r="P15" s="300">
        <f t="shared" si="4"/>
        <v>106.19424000000001</v>
      </c>
      <c r="Q15" s="300">
        <f t="shared" si="4"/>
        <v>107.84663999999999</v>
      </c>
      <c r="R15" s="300">
        <f t="shared" si="4"/>
        <v>109.60919999999999</v>
      </c>
      <c r="S15" s="300">
        <f t="shared" si="4"/>
        <v>111.37175999999999</v>
      </c>
      <c r="T15" s="300">
        <f t="shared" si="4"/>
        <v>113.13432</v>
      </c>
      <c r="U15" s="300">
        <f t="shared" si="4"/>
        <v>114.89688</v>
      </c>
      <c r="V15" s="300">
        <f t="shared" si="4"/>
        <v>116.65944</v>
      </c>
      <c r="W15" s="300">
        <f t="shared" si="4"/>
        <v>118.42200000000001</v>
      </c>
      <c r="X15" s="300">
        <f t="shared" si="4"/>
        <v>120.18455999999999</v>
      </c>
      <c r="Y15" s="300">
        <f t="shared" si="4"/>
        <v>121.94712000000001</v>
      </c>
      <c r="Z15" s="300">
        <f t="shared" si="4"/>
        <v>123.70967999999999</v>
      </c>
      <c r="AA15" s="300">
        <f t="shared" si="4"/>
        <v>125.47224</v>
      </c>
      <c r="AB15" s="300">
        <f t="shared" si="4"/>
        <v>127.23479999999999</v>
      </c>
      <c r="AC15" s="300">
        <f t="shared" si="4"/>
        <v>128.99735999999999</v>
      </c>
      <c r="AD15" s="300">
        <f t="shared" si="4"/>
        <v>130.75991999999999</v>
      </c>
      <c r="AE15" s="300">
        <f t="shared" si="4"/>
        <v>132.52248</v>
      </c>
      <c r="AF15" s="300">
        <f t="shared" si="4"/>
        <v>134.28504000000001</v>
      </c>
      <c r="AG15" s="300">
        <f t="shared" si="4"/>
        <v>136.04759999999999</v>
      </c>
      <c r="AH15" s="304">
        <f t="shared" si="4"/>
        <v>137.81015999999997</v>
      </c>
    </row>
    <row r="16" spans="1:34">
      <c r="A16" s="1781"/>
      <c r="B16" s="392">
        <v>1</v>
      </c>
      <c r="C16" s="303">
        <f t="shared" ref="C16:AH16" si="5">C75-C75*10/100</f>
        <v>83.941919999999996</v>
      </c>
      <c r="D16" s="300">
        <f t="shared" si="5"/>
        <v>85.70447999999999</v>
      </c>
      <c r="E16" s="300">
        <f t="shared" si="5"/>
        <v>87.577200000000005</v>
      </c>
      <c r="F16" s="300">
        <f t="shared" si="5"/>
        <v>89.339759999999984</v>
      </c>
      <c r="G16" s="300">
        <f t="shared" si="5"/>
        <v>91.212479999999999</v>
      </c>
      <c r="H16" s="300">
        <f t="shared" si="5"/>
        <v>92.975040000000007</v>
      </c>
      <c r="I16" s="300">
        <f t="shared" si="5"/>
        <v>94.847759999999994</v>
      </c>
      <c r="J16" s="300">
        <f t="shared" si="5"/>
        <v>96.610320000000002</v>
      </c>
      <c r="K16" s="300">
        <f t="shared" si="5"/>
        <v>98.483040000000003</v>
      </c>
      <c r="L16" s="300">
        <f t="shared" si="5"/>
        <v>100.2456</v>
      </c>
      <c r="M16" s="300">
        <f t="shared" si="5"/>
        <v>102.11832</v>
      </c>
      <c r="N16" s="300">
        <f t="shared" si="5"/>
        <v>103.88087999999999</v>
      </c>
      <c r="O16" s="300">
        <f t="shared" si="5"/>
        <v>105.75359999999999</v>
      </c>
      <c r="P16" s="300">
        <f t="shared" si="5"/>
        <v>107.51615999999999</v>
      </c>
      <c r="Q16" s="300">
        <f t="shared" si="5"/>
        <v>109.38888</v>
      </c>
      <c r="R16" s="300">
        <f t="shared" si="5"/>
        <v>111.15143999999999</v>
      </c>
      <c r="S16" s="300">
        <f t="shared" si="5"/>
        <v>113.02415999999999</v>
      </c>
      <c r="T16" s="300">
        <f t="shared" si="5"/>
        <v>114.78672</v>
      </c>
      <c r="U16" s="300">
        <f t="shared" si="5"/>
        <v>116.65944</v>
      </c>
      <c r="V16" s="300">
        <f t="shared" si="5"/>
        <v>118.42200000000001</v>
      </c>
      <c r="W16" s="300">
        <f t="shared" si="5"/>
        <v>120.29472</v>
      </c>
      <c r="X16" s="300">
        <f t="shared" si="5"/>
        <v>122.05728000000001</v>
      </c>
      <c r="Y16" s="300">
        <f t="shared" si="5"/>
        <v>123.92999999999999</v>
      </c>
      <c r="Z16" s="300">
        <f t="shared" si="5"/>
        <v>125.69255999999997</v>
      </c>
      <c r="AA16" s="300">
        <f t="shared" si="5"/>
        <v>127.56527999999999</v>
      </c>
      <c r="AB16" s="300">
        <f t="shared" si="5"/>
        <v>129.32783999999998</v>
      </c>
      <c r="AC16" s="300">
        <f t="shared" si="5"/>
        <v>131.20056</v>
      </c>
      <c r="AD16" s="300">
        <f t="shared" si="5"/>
        <v>132.96312</v>
      </c>
      <c r="AE16" s="300">
        <f t="shared" si="5"/>
        <v>134.83583999999999</v>
      </c>
      <c r="AF16" s="300">
        <f t="shared" si="5"/>
        <v>136.5984</v>
      </c>
      <c r="AG16" s="300">
        <f t="shared" si="5"/>
        <v>138.47111999999998</v>
      </c>
      <c r="AH16" s="304">
        <f t="shared" si="5"/>
        <v>140.23367999999999</v>
      </c>
    </row>
    <row r="17" spans="1:34">
      <c r="A17" s="1781"/>
      <c r="B17" s="392">
        <v>1.1000000000000001</v>
      </c>
      <c r="C17" s="303">
        <f t="shared" ref="C17:AH17" si="6">C76-C76*10/100</f>
        <v>84.492720000000006</v>
      </c>
      <c r="D17" s="300">
        <f t="shared" si="6"/>
        <v>86.365440000000007</v>
      </c>
      <c r="E17" s="300">
        <f t="shared" si="6"/>
        <v>88.238159999999993</v>
      </c>
      <c r="F17" s="300">
        <f t="shared" si="6"/>
        <v>90.11087999999998</v>
      </c>
      <c r="G17" s="300">
        <f t="shared" si="6"/>
        <v>91.983599999999996</v>
      </c>
      <c r="H17" s="300">
        <f t="shared" si="6"/>
        <v>93.856320000000011</v>
      </c>
      <c r="I17" s="300">
        <f t="shared" si="6"/>
        <v>95.729039999999998</v>
      </c>
      <c r="J17" s="300">
        <f t="shared" si="6"/>
        <v>97.601759999999999</v>
      </c>
      <c r="K17" s="300">
        <f t="shared" si="6"/>
        <v>99.47448</v>
      </c>
      <c r="L17" s="300">
        <f t="shared" si="6"/>
        <v>101.3472</v>
      </c>
      <c r="M17" s="300">
        <f t="shared" si="6"/>
        <v>103.33008</v>
      </c>
      <c r="N17" s="300">
        <f t="shared" si="6"/>
        <v>105.2028</v>
      </c>
      <c r="O17" s="300">
        <f t="shared" si="6"/>
        <v>107.07552000000001</v>
      </c>
      <c r="P17" s="300">
        <f t="shared" si="6"/>
        <v>108.94824000000001</v>
      </c>
      <c r="Q17" s="300">
        <f t="shared" si="6"/>
        <v>110.82095999999999</v>
      </c>
      <c r="R17" s="300">
        <f t="shared" si="6"/>
        <v>112.69368</v>
      </c>
      <c r="S17" s="300">
        <f t="shared" si="6"/>
        <v>114.56639999999999</v>
      </c>
      <c r="T17" s="300">
        <f t="shared" si="6"/>
        <v>116.43912</v>
      </c>
      <c r="U17" s="300">
        <f t="shared" si="6"/>
        <v>118.31183999999999</v>
      </c>
      <c r="V17" s="300">
        <f t="shared" si="6"/>
        <v>120.18455999999999</v>
      </c>
      <c r="W17" s="300">
        <f t="shared" si="6"/>
        <v>122.05728000000001</v>
      </c>
      <c r="X17" s="300">
        <f t="shared" si="6"/>
        <v>123.92999999999999</v>
      </c>
      <c r="Y17" s="300">
        <f t="shared" si="6"/>
        <v>125.80271999999999</v>
      </c>
      <c r="Z17" s="300">
        <f t="shared" si="6"/>
        <v>127.67544000000001</v>
      </c>
      <c r="AA17" s="300">
        <f t="shared" si="6"/>
        <v>129.54816</v>
      </c>
      <c r="AB17" s="300">
        <f t="shared" si="6"/>
        <v>131.42087999999998</v>
      </c>
      <c r="AC17" s="300">
        <f t="shared" si="6"/>
        <v>133.2936</v>
      </c>
      <c r="AD17" s="300">
        <f t="shared" si="6"/>
        <v>135.16631999999998</v>
      </c>
      <c r="AE17" s="300">
        <f t="shared" si="6"/>
        <v>137.03904</v>
      </c>
      <c r="AF17" s="300">
        <f t="shared" si="6"/>
        <v>138.91175999999999</v>
      </c>
      <c r="AG17" s="300">
        <f t="shared" si="6"/>
        <v>140.78448</v>
      </c>
      <c r="AH17" s="304">
        <f t="shared" si="6"/>
        <v>142.65720000000002</v>
      </c>
    </row>
    <row r="18" spans="1:34">
      <c r="A18" s="1781"/>
      <c r="B18" s="392">
        <v>1.2</v>
      </c>
      <c r="C18" s="303">
        <f t="shared" ref="C18:AH18" si="7">C77-C77*10/100</f>
        <v>85.153680000000008</v>
      </c>
      <c r="D18" s="300">
        <f t="shared" si="7"/>
        <v>87.026399999999995</v>
      </c>
      <c r="E18" s="300">
        <f t="shared" si="7"/>
        <v>89.00927999999999</v>
      </c>
      <c r="F18" s="300">
        <f t="shared" si="7"/>
        <v>90.882000000000005</v>
      </c>
      <c r="G18" s="300">
        <f t="shared" si="7"/>
        <v>92.864879999999999</v>
      </c>
      <c r="H18" s="300">
        <f t="shared" si="7"/>
        <v>94.847759999999994</v>
      </c>
      <c r="I18" s="300">
        <f t="shared" si="7"/>
        <v>96.720479999999995</v>
      </c>
      <c r="J18" s="300">
        <f t="shared" si="7"/>
        <v>98.703359999999989</v>
      </c>
      <c r="K18" s="300">
        <f t="shared" si="7"/>
        <v>100.57607999999999</v>
      </c>
      <c r="L18" s="300">
        <f t="shared" si="7"/>
        <v>102.55895999999998</v>
      </c>
      <c r="M18" s="300">
        <f t="shared" si="7"/>
        <v>104.43167999999999</v>
      </c>
      <c r="N18" s="300">
        <f t="shared" si="7"/>
        <v>106.41455999999999</v>
      </c>
      <c r="O18" s="300">
        <f t="shared" si="7"/>
        <v>108.39744</v>
      </c>
      <c r="P18" s="300">
        <f t="shared" si="7"/>
        <v>110.27015999999998</v>
      </c>
      <c r="Q18" s="300">
        <f t="shared" si="7"/>
        <v>112.25304</v>
      </c>
      <c r="R18" s="300">
        <f t="shared" si="7"/>
        <v>114.12576</v>
      </c>
      <c r="S18" s="300">
        <f t="shared" si="7"/>
        <v>116.10864000000001</v>
      </c>
      <c r="T18" s="300">
        <f t="shared" si="7"/>
        <v>117.98136</v>
      </c>
      <c r="U18" s="300">
        <f t="shared" si="7"/>
        <v>119.96424</v>
      </c>
      <c r="V18" s="300">
        <f t="shared" si="7"/>
        <v>121.94712000000001</v>
      </c>
      <c r="W18" s="300">
        <f t="shared" si="7"/>
        <v>123.81984000000001</v>
      </c>
      <c r="X18" s="300">
        <f t="shared" si="7"/>
        <v>125.80271999999999</v>
      </c>
      <c r="Y18" s="300">
        <f t="shared" si="7"/>
        <v>127.67544000000001</v>
      </c>
      <c r="Z18" s="300">
        <f t="shared" si="7"/>
        <v>129.65832</v>
      </c>
      <c r="AA18" s="300">
        <f t="shared" si="7"/>
        <v>131.53103999999999</v>
      </c>
      <c r="AB18" s="300">
        <f t="shared" si="7"/>
        <v>133.51392000000001</v>
      </c>
      <c r="AC18" s="300">
        <f t="shared" si="7"/>
        <v>135.49680000000001</v>
      </c>
      <c r="AD18" s="300">
        <f t="shared" si="7"/>
        <v>137.36951999999999</v>
      </c>
      <c r="AE18" s="300">
        <f t="shared" si="7"/>
        <v>139.35239999999999</v>
      </c>
      <c r="AF18" s="300">
        <f t="shared" si="7"/>
        <v>141.22511999999998</v>
      </c>
      <c r="AG18" s="300">
        <f t="shared" si="7"/>
        <v>143.20799999999997</v>
      </c>
      <c r="AH18" s="304">
        <f t="shared" si="7"/>
        <v>145.19088000000002</v>
      </c>
    </row>
    <row r="19" spans="1:34">
      <c r="A19" s="1781"/>
      <c r="B19" s="392">
        <v>1.3</v>
      </c>
      <c r="C19" s="303">
        <f t="shared" ref="C19:AH19" si="8">C78-C78*10/100</f>
        <v>85.70447999999999</v>
      </c>
      <c r="D19" s="300">
        <f t="shared" si="8"/>
        <v>87.687359999999998</v>
      </c>
      <c r="E19" s="300">
        <f t="shared" si="8"/>
        <v>89.670240000000007</v>
      </c>
      <c r="F19" s="300">
        <f t="shared" si="8"/>
        <v>91.763279999999995</v>
      </c>
      <c r="G19" s="300">
        <f t="shared" si="8"/>
        <v>93.746159999999989</v>
      </c>
      <c r="H19" s="300">
        <f t="shared" si="8"/>
        <v>95.729039999999998</v>
      </c>
      <c r="I19" s="300">
        <f t="shared" si="8"/>
        <v>97.711919999999992</v>
      </c>
      <c r="J19" s="300">
        <f t="shared" si="8"/>
        <v>99.694800000000001</v>
      </c>
      <c r="K19" s="300">
        <f t="shared" si="8"/>
        <v>101.67768000000001</v>
      </c>
      <c r="L19" s="300">
        <f t="shared" si="8"/>
        <v>103.66056</v>
      </c>
      <c r="M19" s="300">
        <f t="shared" si="8"/>
        <v>105.64344</v>
      </c>
      <c r="N19" s="300">
        <f t="shared" si="8"/>
        <v>107.73648</v>
      </c>
      <c r="O19" s="300">
        <f t="shared" si="8"/>
        <v>109.71935999999999</v>
      </c>
      <c r="P19" s="300">
        <f t="shared" si="8"/>
        <v>111.70224</v>
      </c>
      <c r="Q19" s="300">
        <f t="shared" si="8"/>
        <v>113.68512</v>
      </c>
      <c r="R19" s="300">
        <f t="shared" si="8"/>
        <v>115.66800000000001</v>
      </c>
      <c r="S19" s="300">
        <f t="shared" si="8"/>
        <v>117.65087999999999</v>
      </c>
      <c r="T19" s="300">
        <f t="shared" si="8"/>
        <v>119.63375999999998</v>
      </c>
      <c r="U19" s="300">
        <f t="shared" si="8"/>
        <v>121.61664000000002</v>
      </c>
      <c r="V19" s="300">
        <f t="shared" si="8"/>
        <v>123.59951999999998</v>
      </c>
      <c r="W19" s="300">
        <f t="shared" si="8"/>
        <v>125.69255999999997</v>
      </c>
      <c r="X19" s="300">
        <f t="shared" si="8"/>
        <v>127.67544000000001</v>
      </c>
      <c r="Y19" s="300">
        <f t="shared" si="8"/>
        <v>129.65832</v>
      </c>
      <c r="Z19" s="300">
        <f t="shared" si="8"/>
        <v>131.6412</v>
      </c>
      <c r="AA19" s="300">
        <f t="shared" si="8"/>
        <v>133.62407999999999</v>
      </c>
      <c r="AB19" s="300">
        <f t="shared" si="8"/>
        <v>135.60695999999999</v>
      </c>
      <c r="AC19" s="300">
        <f t="shared" si="8"/>
        <v>137.58984000000001</v>
      </c>
      <c r="AD19" s="300">
        <f t="shared" si="8"/>
        <v>139.57272</v>
      </c>
      <c r="AE19" s="300">
        <f t="shared" si="8"/>
        <v>141.5556</v>
      </c>
      <c r="AF19" s="300">
        <f t="shared" si="8"/>
        <v>143.64864</v>
      </c>
      <c r="AG19" s="300">
        <f t="shared" si="8"/>
        <v>145.63151999999999</v>
      </c>
      <c r="AH19" s="304">
        <f t="shared" si="8"/>
        <v>147.61439999999999</v>
      </c>
    </row>
    <row r="20" spans="1:34">
      <c r="A20" s="1781"/>
      <c r="B20" s="392">
        <v>1.4</v>
      </c>
      <c r="C20" s="303">
        <f t="shared" ref="C20:AH20" si="9">C79-C79*10/100</f>
        <v>86.365440000000007</v>
      </c>
      <c r="D20" s="300">
        <f t="shared" si="9"/>
        <v>88.348320000000001</v>
      </c>
      <c r="E20" s="300">
        <f t="shared" si="9"/>
        <v>90.441359999999975</v>
      </c>
      <c r="F20" s="300">
        <f t="shared" si="9"/>
        <v>92.534400000000005</v>
      </c>
      <c r="G20" s="300">
        <f t="shared" si="9"/>
        <v>94.51728</v>
      </c>
      <c r="H20" s="300">
        <f t="shared" si="9"/>
        <v>96.610320000000002</v>
      </c>
      <c r="I20" s="300">
        <f t="shared" si="9"/>
        <v>98.703359999999989</v>
      </c>
      <c r="J20" s="300">
        <f t="shared" si="9"/>
        <v>100.68624000000001</v>
      </c>
      <c r="K20" s="300">
        <f t="shared" si="9"/>
        <v>102.77927999999999</v>
      </c>
      <c r="L20" s="300">
        <f t="shared" si="9"/>
        <v>104.87232</v>
      </c>
      <c r="M20" s="300">
        <f t="shared" si="9"/>
        <v>106.8552</v>
      </c>
      <c r="N20" s="300">
        <f t="shared" si="9"/>
        <v>108.94824000000001</v>
      </c>
      <c r="O20" s="300">
        <f t="shared" si="9"/>
        <v>111.04128</v>
      </c>
      <c r="P20" s="300">
        <f t="shared" si="9"/>
        <v>113.02415999999999</v>
      </c>
      <c r="Q20" s="300">
        <f t="shared" si="9"/>
        <v>115.1172</v>
      </c>
      <c r="R20" s="300">
        <f t="shared" si="9"/>
        <v>117.21024</v>
      </c>
      <c r="S20" s="300">
        <f t="shared" si="9"/>
        <v>119.19312000000001</v>
      </c>
      <c r="T20" s="300">
        <f t="shared" si="9"/>
        <v>121.28616</v>
      </c>
      <c r="U20" s="300">
        <f t="shared" si="9"/>
        <v>123.3792</v>
      </c>
      <c r="V20" s="300">
        <f t="shared" si="9"/>
        <v>125.36207999999998</v>
      </c>
      <c r="W20" s="300">
        <f t="shared" si="9"/>
        <v>126.79415999999999</v>
      </c>
      <c r="X20" s="300">
        <f t="shared" si="9"/>
        <v>129.43799999999999</v>
      </c>
      <c r="Y20" s="300">
        <f t="shared" si="9"/>
        <v>131.53103999999999</v>
      </c>
      <c r="Z20" s="300">
        <f t="shared" si="9"/>
        <v>133.62407999999999</v>
      </c>
      <c r="AA20" s="300">
        <f t="shared" si="9"/>
        <v>135.60695999999999</v>
      </c>
      <c r="AB20" s="300">
        <f t="shared" si="9"/>
        <v>137.69999999999999</v>
      </c>
      <c r="AC20" s="300">
        <f t="shared" si="9"/>
        <v>139.79304000000002</v>
      </c>
      <c r="AD20" s="300">
        <f t="shared" si="9"/>
        <v>141.77591999999999</v>
      </c>
      <c r="AE20" s="300">
        <f t="shared" si="9"/>
        <v>143.86895999999996</v>
      </c>
      <c r="AF20" s="300">
        <f t="shared" si="9"/>
        <v>145.96199999999999</v>
      </c>
      <c r="AG20" s="300">
        <f t="shared" si="9"/>
        <v>147.94488000000001</v>
      </c>
      <c r="AH20" s="304">
        <f t="shared" si="9"/>
        <v>150.03791999999999</v>
      </c>
    </row>
    <row r="21" spans="1:34">
      <c r="A21" s="1781"/>
      <c r="B21" s="392">
        <v>1.5</v>
      </c>
      <c r="C21" s="303">
        <f t="shared" ref="C21:AH21" si="10">C80-C80*10/100</f>
        <v>86.916240000000016</v>
      </c>
      <c r="D21" s="300">
        <f t="shared" si="10"/>
        <v>89.119439999999997</v>
      </c>
      <c r="E21" s="300">
        <f t="shared" si="10"/>
        <v>91.212479999999999</v>
      </c>
      <c r="F21" s="300">
        <f t="shared" si="10"/>
        <v>93.305520000000001</v>
      </c>
      <c r="G21" s="300">
        <f t="shared" si="10"/>
        <v>95.398559999999989</v>
      </c>
      <c r="H21" s="300">
        <f t="shared" si="10"/>
        <v>97.491600000000005</v>
      </c>
      <c r="I21" s="300">
        <f t="shared" si="10"/>
        <v>99.694800000000001</v>
      </c>
      <c r="J21" s="300">
        <f t="shared" si="10"/>
        <v>101.78784</v>
      </c>
      <c r="K21" s="300">
        <f t="shared" si="10"/>
        <v>103.88087999999999</v>
      </c>
      <c r="L21" s="300">
        <f t="shared" si="10"/>
        <v>105.97392000000001</v>
      </c>
      <c r="M21" s="300">
        <f t="shared" si="10"/>
        <v>108.06695999999999</v>
      </c>
      <c r="N21" s="300">
        <f t="shared" si="10"/>
        <v>110.16</v>
      </c>
      <c r="O21" s="300">
        <f t="shared" si="10"/>
        <v>112.36320000000001</v>
      </c>
      <c r="P21" s="300">
        <f t="shared" si="10"/>
        <v>114.45624000000001</v>
      </c>
      <c r="Q21" s="300">
        <f t="shared" si="10"/>
        <v>116.54928000000001</v>
      </c>
      <c r="R21" s="300">
        <f t="shared" si="10"/>
        <v>118.64231999999998</v>
      </c>
      <c r="S21" s="300">
        <f t="shared" si="10"/>
        <v>120.73535999999999</v>
      </c>
      <c r="T21" s="300">
        <f t="shared" si="10"/>
        <v>122.93856</v>
      </c>
      <c r="U21" s="300">
        <f t="shared" si="10"/>
        <v>125.03159999999998</v>
      </c>
      <c r="V21" s="300">
        <f t="shared" si="10"/>
        <v>127.12464000000001</v>
      </c>
      <c r="W21" s="300">
        <f t="shared" si="10"/>
        <v>129.21768</v>
      </c>
      <c r="X21" s="300">
        <f t="shared" si="10"/>
        <v>131.31072</v>
      </c>
      <c r="Y21" s="300">
        <f t="shared" si="10"/>
        <v>133.51392000000001</v>
      </c>
      <c r="Z21" s="300">
        <f t="shared" si="10"/>
        <v>135.60695999999999</v>
      </c>
      <c r="AA21" s="300">
        <f t="shared" si="10"/>
        <v>137.69999999999999</v>
      </c>
      <c r="AB21" s="300">
        <f t="shared" si="10"/>
        <v>139.79304000000002</v>
      </c>
      <c r="AC21" s="300">
        <f t="shared" si="10"/>
        <v>141.88607999999999</v>
      </c>
      <c r="AD21" s="300">
        <f t="shared" si="10"/>
        <v>143.97911999999999</v>
      </c>
      <c r="AE21" s="300">
        <f t="shared" si="10"/>
        <v>146.18231999999998</v>
      </c>
      <c r="AF21" s="300">
        <f t="shared" si="10"/>
        <v>148.27535999999998</v>
      </c>
      <c r="AG21" s="300">
        <f t="shared" si="10"/>
        <v>150.36840000000001</v>
      </c>
      <c r="AH21" s="304">
        <f t="shared" si="10"/>
        <v>152.46144000000001</v>
      </c>
    </row>
    <row r="22" spans="1:34">
      <c r="A22" s="1781"/>
      <c r="B22" s="392">
        <v>1.6</v>
      </c>
      <c r="C22" s="303">
        <f t="shared" ref="C22:AH22" si="11">C81-C81*10/100</f>
        <v>87.577200000000005</v>
      </c>
      <c r="D22" s="300">
        <f t="shared" si="11"/>
        <v>89.780399999999986</v>
      </c>
      <c r="E22" s="300">
        <f t="shared" si="11"/>
        <v>91.873440000000016</v>
      </c>
      <c r="F22" s="300">
        <f t="shared" si="11"/>
        <v>94.076639999999998</v>
      </c>
      <c r="G22" s="300">
        <f t="shared" si="11"/>
        <v>96.279840000000007</v>
      </c>
      <c r="H22" s="300">
        <f t="shared" si="11"/>
        <v>98.483040000000003</v>
      </c>
      <c r="I22" s="300">
        <f t="shared" si="11"/>
        <v>100.57607999999999</v>
      </c>
      <c r="J22" s="300">
        <f t="shared" si="11"/>
        <v>102.77927999999999</v>
      </c>
      <c r="K22" s="300">
        <f t="shared" si="11"/>
        <v>104.98248</v>
      </c>
      <c r="L22" s="300">
        <f t="shared" si="11"/>
        <v>107.07552000000001</v>
      </c>
      <c r="M22" s="300">
        <f t="shared" si="11"/>
        <v>109.27872000000002</v>
      </c>
      <c r="N22" s="300">
        <f t="shared" si="11"/>
        <v>111.48192</v>
      </c>
      <c r="O22" s="300">
        <f t="shared" si="11"/>
        <v>113.68512</v>
      </c>
      <c r="P22" s="300">
        <f t="shared" si="11"/>
        <v>115.77815999999999</v>
      </c>
      <c r="Q22" s="300">
        <f t="shared" si="11"/>
        <v>117.98136</v>
      </c>
      <c r="R22" s="300">
        <f t="shared" si="11"/>
        <v>120.18455999999999</v>
      </c>
      <c r="S22" s="300">
        <f t="shared" si="11"/>
        <v>122.38776</v>
      </c>
      <c r="T22" s="300">
        <f t="shared" si="11"/>
        <v>124.48080000000002</v>
      </c>
      <c r="U22" s="300">
        <f t="shared" si="11"/>
        <v>126.684</v>
      </c>
      <c r="V22" s="300">
        <f t="shared" si="11"/>
        <v>128.88720000000001</v>
      </c>
      <c r="W22" s="300">
        <f t="shared" si="11"/>
        <v>130.98024000000001</v>
      </c>
      <c r="X22" s="300">
        <f t="shared" si="11"/>
        <v>133.18344000000002</v>
      </c>
      <c r="Y22" s="300">
        <f t="shared" si="11"/>
        <v>135.38664</v>
      </c>
      <c r="Z22" s="300">
        <f t="shared" si="11"/>
        <v>137.58984000000001</v>
      </c>
      <c r="AA22" s="300">
        <f t="shared" si="11"/>
        <v>139.68288000000001</v>
      </c>
      <c r="AB22" s="300">
        <f t="shared" si="11"/>
        <v>141.88607999999999</v>
      </c>
      <c r="AC22" s="300">
        <f t="shared" si="11"/>
        <v>144.08928000000003</v>
      </c>
      <c r="AD22" s="300">
        <f t="shared" si="11"/>
        <v>146.29248000000001</v>
      </c>
      <c r="AE22" s="300">
        <f t="shared" si="11"/>
        <v>148.38551999999996</v>
      </c>
      <c r="AF22" s="300">
        <f t="shared" si="11"/>
        <v>150.58872</v>
      </c>
      <c r="AG22" s="300">
        <f t="shared" si="11"/>
        <v>152.79191999999998</v>
      </c>
      <c r="AH22" s="304">
        <f t="shared" si="11"/>
        <v>154.88496000000001</v>
      </c>
    </row>
    <row r="23" spans="1:34">
      <c r="A23" s="1781"/>
      <c r="B23" s="392">
        <v>1.7</v>
      </c>
      <c r="C23" s="303">
        <f t="shared" ref="C23:AH23" si="12">C82-C82*10/100</f>
        <v>88.238159999999993</v>
      </c>
      <c r="D23" s="300">
        <f t="shared" si="12"/>
        <v>90.441359999999975</v>
      </c>
      <c r="E23" s="300">
        <f t="shared" si="12"/>
        <v>92.644559999999984</v>
      </c>
      <c r="F23" s="300">
        <f t="shared" si="12"/>
        <v>94.847759999999994</v>
      </c>
      <c r="G23" s="300">
        <f t="shared" si="12"/>
        <v>97.161119999999997</v>
      </c>
      <c r="H23" s="300">
        <f t="shared" si="12"/>
        <v>99.364320000000006</v>
      </c>
      <c r="I23" s="300">
        <f t="shared" si="12"/>
        <v>101.56752000000002</v>
      </c>
      <c r="J23" s="300">
        <f t="shared" si="12"/>
        <v>103.77072</v>
      </c>
      <c r="K23" s="300">
        <f t="shared" si="12"/>
        <v>106.08407999999999</v>
      </c>
      <c r="L23" s="300">
        <f t="shared" si="12"/>
        <v>108.28728</v>
      </c>
      <c r="M23" s="300">
        <f t="shared" si="12"/>
        <v>110.49047999999999</v>
      </c>
      <c r="N23" s="300">
        <f t="shared" si="12"/>
        <v>112.69368</v>
      </c>
      <c r="O23" s="300">
        <f t="shared" si="12"/>
        <v>115.00704000000002</v>
      </c>
      <c r="P23" s="300">
        <f t="shared" si="12"/>
        <v>117.21024</v>
      </c>
      <c r="Q23" s="300">
        <f t="shared" si="12"/>
        <v>119.41344000000001</v>
      </c>
      <c r="R23" s="300">
        <f t="shared" si="12"/>
        <v>121.61664000000002</v>
      </c>
      <c r="S23" s="300">
        <f t="shared" si="12"/>
        <v>123.92999999999999</v>
      </c>
      <c r="T23" s="300">
        <f t="shared" si="12"/>
        <v>126.13319999999999</v>
      </c>
      <c r="U23" s="300">
        <f t="shared" si="12"/>
        <v>128.3364</v>
      </c>
      <c r="V23" s="300">
        <f t="shared" si="12"/>
        <v>130.64975999999999</v>
      </c>
      <c r="W23" s="300">
        <f t="shared" si="12"/>
        <v>132.85296</v>
      </c>
      <c r="X23" s="300">
        <f t="shared" si="12"/>
        <v>135.05616000000001</v>
      </c>
      <c r="Y23" s="300">
        <f t="shared" si="12"/>
        <v>137.25936000000002</v>
      </c>
      <c r="Z23" s="300">
        <f t="shared" si="12"/>
        <v>139.57272</v>
      </c>
      <c r="AA23" s="300">
        <f t="shared" si="12"/>
        <v>141.77591999999999</v>
      </c>
      <c r="AB23" s="300">
        <f t="shared" si="12"/>
        <v>143.97911999999999</v>
      </c>
      <c r="AC23" s="300">
        <f t="shared" si="12"/>
        <v>146.18231999999998</v>
      </c>
      <c r="AD23" s="300">
        <f t="shared" si="12"/>
        <v>148.49567999999999</v>
      </c>
      <c r="AE23" s="300">
        <f t="shared" si="12"/>
        <v>150.69888</v>
      </c>
      <c r="AF23" s="300">
        <f t="shared" si="12"/>
        <v>152.90208000000001</v>
      </c>
      <c r="AG23" s="300">
        <f t="shared" si="12"/>
        <v>155.10527999999999</v>
      </c>
      <c r="AH23" s="304">
        <f t="shared" si="12"/>
        <v>157.41864000000001</v>
      </c>
    </row>
    <row r="24" spans="1:34">
      <c r="A24" s="1781"/>
      <c r="B24" s="392">
        <v>1.8</v>
      </c>
      <c r="C24" s="303">
        <f t="shared" ref="C24:AH24" si="13">C83-C83*10/100</f>
        <v>88.788959999999975</v>
      </c>
      <c r="D24" s="300">
        <f t="shared" si="13"/>
        <v>91.102320000000006</v>
      </c>
      <c r="E24" s="300">
        <f t="shared" si="13"/>
        <v>93.415679999999995</v>
      </c>
      <c r="F24" s="300">
        <f t="shared" si="13"/>
        <v>95.618880000000004</v>
      </c>
      <c r="G24" s="300">
        <f t="shared" si="13"/>
        <v>97.932240000000007</v>
      </c>
      <c r="H24" s="300">
        <f t="shared" si="13"/>
        <v>100.2456</v>
      </c>
      <c r="I24" s="300">
        <f t="shared" si="13"/>
        <v>102.55895999999998</v>
      </c>
      <c r="J24" s="300">
        <f t="shared" si="13"/>
        <v>104.87232</v>
      </c>
      <c r="K24" s="300">
        <f t="shared" si="13"/>
        <v>107.07552000000001</v>
      </c>
      <c r="L24" s="300">
        <f t="shared" si="13"/>
        <v>109.38888</v>
      </c>
      <c r="M24" s="300">
        <f t="shared" si="13"/>
        <v>111.70224</v>
      </c>
      <c r="N24" s="300">
        <f t="shared" si="13"/>
        <v>114.01560000000001</v>
      </c>
      <c r="O24" s="300">
        <f t="shared" si="13"/>
        <v>116.32895999999998</v>
      </c>
      <c r="P24" s="300">
        <f t="shared" si="13"/>
        <v>118.53215999999998</v>
      </c>
      <c r="Q24" s="300">
        <f t="shared" si="13"/>
        <v>120.84551999999999</v>
      </c>
      <c r="R24" s="300">
        <f t="shared" si="13"/>
        <v>123.15888</v>
      </c>
      <c r="S24" s="300">
        <f t="shared" si="13"/>
        <v>125.47224</v>
      </c>
      <c r="T24" s="300">
        <f t="shared" si="13"/>
        <v>127.7856</v>
      </c>
      <c r="U24" s="300">
        <f t="shared" si="13"/>
        <v>129.9888</v>
      </c>
      <c r="V24" s="300">
        <f t="shared" si="13"/>
        <v>132.30215999999999</v>
      </c>
      <c r="W24" s="300">
        <f t="shared" si="13"/>
        <v>134.61552</v>
      </c>
      <c r="X24" s="300">
        <f t="shared" si="13"/>
        <v>136.92887999999999</v>
      </c>
      <c r="Y24" s="300">
        <f t="shared" si="13"/>
        <v>139.24223999999998</v>
      </c>
      <c r="Z24" s="300">
        <f t="shared" si="13"/>
        <v>141.5556</v>
      </c>
      <c r="AA24" s="300">
        <f t="shared" si="13"/>
        <v>143.75880000000001</v>
      </c>
      <c r="AB24" s="300">
        <f t="shared" si="13"/>
        <v>146.07216</v>
      </c>
      <c r="AC24" s="300">
        <f t="shared" si="13"/>
        <v>148.38551999999996</v>
      </c>
      <c r="AD24" s="300">
        <f t="shared" si="13"/>
        <v>150.69888</v>
      </c>
      <c r="AE24" s="300">
        <f t="shared" si="13"/>
        <v>153.01223999999999</v>
      </c>
      <c r="AF24" s="300">
        <f t="shared" si="13"/>
        <v>155.21544</v>
      </c>
      <c r="AG24" s="300">
        <f t="shared" si="13"/>
        <v>157.52880000000002</v>
      </c>
      <c r="AH24" s="304">
        <f t="shared" si="13"/>
        <v>159.84216000000001</v>
      </c>
    </row>
    <row r="25" spans="1:34">
      <c r="A25" s="1781"/>
      <c r="B25" s="392">
        <v>1.9</v>
      </c>
      <c r="C25" s="303">
        <f t="shared" ref="C25:AH25" si="14">C84-C84*10/100</f>
        <v>89.449919999999992</v>
      </c>
      <c r="D25" s="300">
        <f t="shared" si="14"/>
        <v>91.763279999999995</v>
      </c>
      <c r="E25" s="300">
        <f t="shared" si="14"/>
        <v>94.076639999999998</v>
      </c>
      <c r="F25" s="300">
        <f t="shared" si="14"/>
        <v>96.50015999999998</v>
      </c>
      <c r="G25" s="300">
        <f t="shared" si="14"/>
        <v>98.813519999999997</v>
      </c>
      <c r="H25" s="300">
        <f t="shared" si="14"/>
        <v>101.12688</v>
      </c>
      <c r="I25" s="300">
        <f t="shared" si="14"/>
        <v>103.5504</v>
      </c>
      <c r="J25" s="300">
        <f t="shared" si="14"/>
        <v>105.86375999999998</v>
      </c>
      <c r="K25" s="300">
        <f t="shared" si="14"/>
        <v>108.17712</v>
      </c>
      <c r="L25" s="300">
        <f t="shared" si="14"/>
        <v>110.60064</v>
      </c>
      <c r="M25" s="300">
        <f t="shared" si="14"/>
        <v>112.91399999999999</v>
      </c>
      <c r="N25" s="300">
        <f t="shared" si="14"/>
        <v>115.22735999999999</v>
      </c>
      <c r="O25" s="300">
        <f t="shared" si="14"/>
        <v>117.65087999999999</v>
      </c>
      <c r="P25" s="300">
        <f t="shared" si="14"/>
        <v>119.96424</v>
      </c>
      <c r="Q25" s="300">
        <f t="shared" si="14"/>
        <v>122.27760000000001</v>
      </c>
      <c r="R25" s="300">
        <f t="shared" si="14"/>
        <v>124.70111999999999</v>
      </c>
      <c r="S25" s="300">
        <f t="shared" si="14"/>
        <v>127.01447999999999</v>
      </c>
      <c r="T25" s="300">
        <f t="shared" si="14"/>
        <v>129.32783999999998</v>
      </c>
      <c r="U25" s="300">
        <f t="shared" si="14"/>
        <v>131.75135999999998</v>
      </c>
      <c r="V25" s="300">
        <f t="shared" si="14"/>
        <v>134.06471999999999</v>
      </c>
      <c r="W25" s="300">
        <f t="shared" si="14"/>
        <v>136.37807999999998</v>
      </c>
      <c r="X25" s="300">
        <f t="shared" si="14"/>
        <v>138.80160000000001</v>
      </c>
      <c r="Y25" s="300">
        <f t="shared" si="14"/>
        <v>141.11496</v>
      </c>
      <c r="Z25" s="300">
        <f t="shared" si="14"/>
        <v>143.42832000000001</v>
      </c>
      <c r="AA25" s="300">
        <f t="shared" si="14"/>
        <v>145.85184000000001</v>
      </c>
      <c r="AB25" s="300">
        <f t="shared" si="14"/>
        <v>148.1652</v>
      </c>
      <c r="AC25" s="300">
        <f t="shared" si="14"/>
        <v>150.47855999999999</v>
      </c>
      <c r="AD25" s="300">
        <f t="shared" si="14"/>
        <v>152.90208000000001</v>
      </c>
      <c r="AE25" s="300">
        <f t="shared" si="14"/>
        <v>155.21544</v>
      </c>
      <c r="AF25" s="300">
        <f t="shared" si="14"/>
        <v>157.52880000000002</v>
      </c>
      <c r="AG25" s="300">
        <f t="shared" si="14"/>
        <v>159.95231999999999</v>
      </c>
      <c r="AH25" s="304">
        <f t="shared" si="14"/>
        <v>162.26568</v>
      </c>
    </row>
    <row r="26" spans="1:34">
      <c r="A26" s="1781"/>
      <c r="B26" s="392">
        <v>2</v>
      </c>
      <c r="C26" s="303">
        <f t="shared" ref="C26:AH26" si="15">C85-C85*10/100</f>
        <v>90.000720000000001</v>
      </c>
      <c r="D26" s="300">
        <f t="shared" si="15"/>
        <v>92.424239999999998</v>
      </c>
      <c r="E26" s="300">
        <f t="shared" si="15"/>
        <v>94.847759999999994</v>
      </c>
      <c r="F26" s="300">
        <f t="shared" si="15"/>
        <v>97.271280000000004</v>
      </c>
      <c r="G26" s="300">
        <f t="shared" si="15"/>
        <v>99.694800000000001</v>
      </c>
      <c r="H26" s="300">
        <f t="shared" si="15"/>
        <v>102.11832</v>
      </c>
      <c r="I26" s="300">
        <f t="shared" si="15"/>
        <v>104.43167999999999</v>
      </c>
      <c r="J26" s="300">
        <f t="shared" si="15"/>
        <v>106.8552</v>
      </c>
      <c r="K26" s="300">
        <f t="shared" si="15"/>
        <v>109.27872000000002</v>
      </c>
      <c r="L26" s="300">
        <f t="shared" si="15"/>
        <v>111.70224</v>
      </c>
      <c r="M26" s="300">
        <f t="shared" si="15"/>
        <v>114.12576</v>
      </c>
      <c r="N26" s="300">
        <f t="shared" si="15"/>
        <v>116.54928000000001</v>
      </c>
      <c r="O26" s="300">
        <f t="shared" si="15"/>
        <v>118.97279999999998</v>
      </c>
      <c r="P26" s="300">
        <f t="shared" si="15"/>
        <v>121.39632</v>
      </c>
      <c r="Q26" s="300">
        <f t="shared" si="15"/>
        <v>123.70967999999999</v>
      </c>
      <c r="R26" s="300">
        <f t="shared" si="15"/>
        <v>126.13319999999999</v>
      </c>
      <c r="S26" s="300">
        <f t="shared" si="15"/>
        <v>128.55672000000001</v>
      </c>
      <c r="T26" s="300">
        <f t="shared" si="15"/>
        <v>130.98024000000001</v>
      </c>
      <c r="U26" s="300">
        <f t="shared" si="15"/>
        <v>133.40375999999998</v>
      </c>
      <c r="V26" s="300">
        <f t="shared" si="15"/>
        <v>135.82728</v>
      </c>
      <c r="W26" s="300">
        <f t="shared" si="15"/>
        <v>138.2508</v>
      </c>
      <c r="X26" s="300">
        <f t="shared" si="15"/>
        <v>140.67432000000002</v>
      </c>
      <c r="Y26" s="300">
        <f t="shared" si="15"/>
        <v>142.98768000000001</v>
      </c>
      <c r="Z26" s="300">
        <f t="shared" si="15"/>
        <v>145.41120000000001</v>
      </c>
      <c r="AA26" s="300">
        <f t="shared" si="15"/>
        <v>147.83472</v>
      </c>
      <c r="AB26" s="300">
        <f t="shared" si="15"/>
        <v>150.25824000000003</v>
      </c>
      <c r="AC26" s="300">
        <f t="shared" si="15"/>
        <v>152.68175999999997</v>
      </c>
      <c r="AD26" s="300">
        <f t="shared" si="15"/>
        <v>155.10527999999999</v>
      </c>
      <c r="AE26" s="300">
        <f t="shared" si="15"/>
        <v>157.52880000000002</v>
      </c>
      <c r="AF26" s="300">
        <f t="shared" si="15"/>
        <v>159.95231999999999</v>
      </c>
      <c r="AG26" s="300">
        <f t="shared" si="15"/>
        <v>162.37584000000001</v>
      </c>
      <c r="AH26" s="304">
        <f t="shared" si="15"/>
        <v>164.6892</v>
      </c>
    </row>
    <row r="27" spans="1:34">
      <c r="A27" s="1781"/>
      <c r="B27" s="392">
        <v>2.1</v>
      </c>
      <c r="C27" s="303">
        <f t="shared" ref="C27:AH27" si="16">C86-C86*10/100</f>
        <v>90.66167999999999</v>
      </c>
      <c r="D27" s="300">
        <f t="shared" si="16"/>
        <v>93.0852</v>
      </c>
      <c r="E27" s="300">
        <f t="shared" si="16"/>
        <v>95.618880000000004</v>
      </c>
      <c r="F27" s="300">
        <f t="shared" si="16"/>
        <v>98.042399999999986</v>
      </c>
      <c r="G27" s="300">
        <f t="shared" si="16"/>
        <v>100.46592</v>
      </c>
      <c r="H27" s="300">
        <f t="shared" si="16"/>
        <v>102.9996</v>
      </c>
      <c r="I27" s="300">
        <f t="shared" si="16"/>
        <v>105.42312</v>
      </c>
      <c r="J27" s="300">
        <f t="shared" si="16"/>
        <v>107.9568</v>
      </c>
      <c r="K27" s="300">
        <f t="shared" si="16"/>
        <v>110.38032</v>
      </c>
      <c r="L27" s="300">
        <f t="shared" si="16"/>
        <v>112.80384000000001</v>
      </c>
      <c r="M27" s="300">
        <f t="shared" si="16"/>
        <v>115.33752000000001</v>
      </c>
      <c r="N27" s="300">
        <f t="shared" si="16"/>
        <v>117.76104000000002</v>
      </c>
      <c r="O27" s="300">
        <f t="shared" si="16"/>
        <v>120.29472</v>
      </c>
      <c r="P27" s="300">
        <f t="shared" si="16"/>
        <v>122.71823999999999</v>
      </c>
      <c r="Q27" s="300">
        <f t="shared" si="16"/>
        <v>125.25192</v>
      </c>
      <c r="R27" s="300">
        <f t="shared" si="16"/>
        <v>127.67544000000001</v>
      </c>
      <c r="S27" s="300">
        <f t="shared" si="16"/>
        <v>130.09895999999998</v>
      </c>
      <c r="T27" s="300">
        <f t="shared" si="16"/>
        <v>132.63263999999998</v>
      </c>
      <c r="U27" s="300">
        <f t="shared" si="16"/>
        <v>135.05616000000001</v>
      </c>
      <c r="V27" s="300">
        <f t="shared" si="16"/>
        <v>137.58984000000001</v>
      </c>
      <c r="W27" s="300">
        <f t="shared" si="16"/>
        <v>140.01335999999998</v>
      </c>
      <c r="X27" s="300">
        <f t="shared" si="16"/>
        <v>142.43688</v>
      </c>
      <c r="Y27" s="300">
        <f t="shared" si="16"/>
        <v>144.97055999999998</v>
      </c>
      <c r="Z27" s="300">
        <f t="shared" si="16"/>
        <v>147.39408000000003</v>
      </c>
      <c r="AA27" s="300">
        <f t="shared" si="16"/>
        <v>149.92776000000001</v>
      </c>
      <c r="AB27" s="300">
        <f t="shared" si="16"/>
        <v>152.35128</v>
      </c>
      <c r="AC27" s="300">
        <f t="shared" si="16"/>
        <v>154.88496000000001</v>
      </c>
      <c r="AD27" s="300">
        <f t="shared" si="16"/>
        <v>157.30848</v>
      </c>
      <c r="AE27" s="300">
        <f t="shared" si="16"/>
        <v>159.732</v>
      </c>
      <c r="AF27" s="300">
        <f t="shared" si="16"/>
        <v>162.26568</v>
      </c>
      <c r="AG27" s="300">
        <f t="shared" si="16"/>
        <v>164.6892</v>
      </c>
      <c r="AH27" s="304">
        <f t="shared" si="16"/>
        <v>167.22288</v>
      </c>
    </row>
    <row r="28" spans="1:34">
      <c r="A28" s="1781"/>
      <c r="B28" s="392">
        <v>2.2000000000000002</v>
      </c>
      <c r="C28" s="303">
        <f t="shared" ref="C28:AH28" si="17">C87-C87*10/100</f>
        <v>91.212479999999999</v>
      </c>
      <c r="D28" s="300">
        <f t="shared" si="17"/>
        <v>93.746159999999989</v>
      </c>
      <c r="E28" s="300">
        <f t="shared" si="17"/>
        <v>96.279840000000007</v>
      </c>
      <c r="F28" s="300">
        <f t="shared" si="17"/>
        <v>98.813519999999997</v>
      </c>
      <c r="G28" s="300">
        <f t="shared" si="17"/>
        <v>101.3472</v>
      </c>
      <c r="H28" s="300">
        <f t="shared" si="17"/>
        <v>103.88087999999999</v>
      </c>
      <c r="I28" s="300">
        <f t="shared" si="17"/>
        <v>106.41455999999999</v>
      </c>
      <c r="J28" s="300">
        <f t="shared" si="17"/>
        <v>108.94824000000001</v>
      </c>
      <c r="K28" s="300">
        <f t="shared" si="17"/>
        <v>111.48192</v>
      </c>
      <c r="L28" s="300">
        <f t="shared" si="17"/>
        <v>114.01560000000001</v>
      </c>
      <c r="M28" s="300">
        <f t="shared" si="17"/>
        <v>116.54928000000001</v>
      </c>
      <c r="N28" s="300">
        <f t="shared" si="17"/>
        <v>119.08296000000001</v>
      </c>
      <c r="O28" s="300">
        <f t="shared" si="17"/>
        <v>121.61664000000002</v>
      </c>
      <c r="P28" s="300">
        <f t="shared" si="17"/>
        <v>124.15032000000002</v>
      </c>
      <c r="Q28" s="300">
        <f t="shared" si="17"/>
        <v>126.684</v>
      </c>
      <c r="R28" s="300">
        <f t="shared" si="17"/>
        <v>129.21768</v>
      </c>
      <c r="S28" s="300">
        <f t="shared" si="17"/>
        <v>131.75135999999998</v>
      </c>
      <c r="T28" s="300">
        <f t="shared" si="17"/>
        <v>134.28504000000001</v>
      </c>
      <c r="U28" s="300">
        <f t="shared" si="17"/>
        <v>136.70855999999998</v>
      </c>
      <c r="V28" s="300">
        <f t="shared" si="17"/>
        <v>139.24223999999998</v>
      </c>
      <c r="W28" s="300">
        <f t="shared" si="17"/>
        <v>141.77591999999999</v>
      </c>
      <c r="X28" s="300">
        <f t="shared" si="17"/>
        <v>144.30959999999999</v>
      </c>
      <c r="Y28" s="300">
        <f t="shared" si="17"/>
        <v>146.84327999999999</v>
      </c>
      <c r="Z28" s="300">
        <f t="shared" si="17"/>
        <v>149.37695999999997</v>
      </c>
      <c r="AA28" s="300">
        <f t="shared" si="17"/>
        <v>151.91064</v>
      </c>
      <c r="AB28" s="300">
        <f t="shared" si="17"/>
        <v>154.44431999999998</v>
      </c>
      <c r="AC28" s="300">
        <f t="shared" si="17"/>
        <v>156.97799999999998</v>
      </c>
      <c r="AD28" s="300">
        <f t="shared" si="17"/>
        <v>159.51168000000001</v>
      </c>
      <c r="AE28" s="300">
        <f t="shared" si="17"/>
        <v>162.04535999999999</v>
      </c>
      <c r="AF28" s="300">
        <f t="shared" si="17"/>
        <v>164.57903999999999</v>
      </c>
      <c r="AG28" s="300">
        <f t="shared" si="17"/>
        <v>167.11271999999997</v>
      </c>
      <c r="AH28" s="304">
        <f t="shared" si="17"/>
        <v>169.6464</v>
      </c>
    </row>
    <row r="29" spans="1:34">
      <c r="A29" s="1781"/>
      <c r="B29" s="392">
        <v>2.2999999999999998</v>
      </c>
      <c r="C29" s="303">
        <f t="shared" ref="C29:AH29" si="18">C88-C88*10/100</f>
        <v>91.873440000000016</v>
      </c>
      <c r="D29" s="300">
        <f t="shared" si="18"/>
        <v>94.407119999999992</v>
      </c>
      <c r="E29" s="300">
        <f t="shared" si="18"/>
        <v>97.050959999999989</v>
      </c>
      <c r="F29" s="300">
        <f t="shared" si="18"/>
        <v>99.584640000000007</v>
      </c>
      <c r="G29" s="300">
        <f t="shared" si="18"/>
        <v>102.22847999999999</v>
      </c>
      <c r="H29" s="300">
        <f t="shared" si="18"/>
        <v>104.76215999999999</v>
      </c>
      <c r="I29" s="300">
        <f t="shared" si="18"/>
        <v>107.40600000000001</v>
      </c>
      <c r="J29" s="300">
        <f t="shared" si="18"/>
        <v>109.93967999999998</v>
      </c>
      <c r="K29" s="300">
        <f t="shared" si="18"/>
        <v>112.58351999999999</v>
      </c>
      <c r="L29" s="300">
        <f t="shared" si="18"/>
        <v>115.1172</v>
      </c>
      <c r="M29" s="300">
        <f t="shared" si="18"/>
        <v>117.76104000000002</v>
      </c>
      <c r="N29" s="300">
        <f t="shared" si="18"/>
        <v>120.29472</v>
      </c>
      <c r="O29" s="300">
        <f t="shared" si="18"/>
        <v>122.93856</v>
      </c>
      <c r="P29" s="300">
        <f t="shared" si="18"/>
        <v>125.47224</v>
      </c>
      <c r="Q29" s="300">
        <f t="shared" si="18"/>
        <v>128.11608000000001</v>
      </c>
      <c r="R29" s="300">
        <f t="shared" si="18"/>
        <v>130.64975999999999</v>
      </c>
      <c r="S29" s="300">
        <f t="shared" si="18"/>
        <v>133.2936</v>
      </c>
      <c r="T29" s="300">
        <f t="shared" si="18"/>
        <v>135.82728</v>
      </c>
      <c r="U29" s="300">
        <f t="shared" si="18"/>
        <v>138.47111999999998</v>
      </c>
      <c r="V29" s="300">
        <f t="shared" si="18"/>
        <v>141.00479999999999</v>
      </c>
      <c r="W29" s="300">
        <f t="shared" si="18"/>
        <v>143.64864</v>
      </c>
      <c r="X29" s="300">
        <f t="shared" si="18"/>
        <v>146.18231999999998</v>
      </c>
      <c r="Y29" s="300">
        <f t="shared" si="18"/>
        <v>148.82615999999999</v>
      </c>
      <c r="Z29" s="300">
        <f t="shared" si="18"/>
        <v>151.35983999999999</v>
      </c>
      <c r="AA29" s="300">
        <f t="shared" si="18"/>
        <v>154.00367999999997</v>
      </c>
      <c r="AB29" s="300">
        <f t="shared" si="18"/>
        <v>156.53735999999998</v>
      </c>
      <c r="AC29" s="300">
        <f t="shared" si="18"/>
        <v>159.18120000000002</v>
      </c>
      <c r="AD29" s="300">
        <f t="shared" si="18"/>
        <v>161.71488000000002</v>
      </c>
      <c r="AE29" s="300">
        <f t="shared" si="18"/>
        <v>164.35872000000001</v>
      </c>
      <c r="AF29" s="300">
        <f t="shared" si="18"/>
        <v>166.89240000000001</v>
      </c>
      <c r="AG29" s="300">
        <f t="shared" si="18"/>
        <v>169.53624000000002</v>
      </c>
      <c r="AH29" s="304">
        <f t="shared" si="18"/>
        <v>172.06992</v>
      </c>
    </row>
    <row r="30" spans="1:34">
      <c r="A30" s="1781"/>
      <c r="B30" s="392">
        <v>2.4</v>
      </c>
      <c r="C30" s="303">
        <f t="shared" ref="C30:AH30" si="19">C89-C89*10/100</f>
        <v>92.424239999999998</v>
      </c>
      <c r="D30" s="300">
        <f t="shared" si="19"/>
        <v>95.068079999999995</v>
      </c>
      <c r="E30" s="300">
        <f t="shared" si="19"/>
        <v>97.711919999999992</v>
      </c>
      <c r="F30" s="300">
        <f t="shared" si="19"/>
        <v>100.46592</v>
      </c>
      <c r="G30" s="300">
        <f t="shared" si="19"/>
        <v>103.10975999999999</v>
      </c>
      <c r="H30" s="300">
        <f t="shared" si="19"/>
        <v>105.75359999999999</v>
      </c>
      <c r="I30" s="300">
        <f t="shared" si="19"/>
        <v>108.39744</v>
      </c>
      <c r="J30" s="300">
        <f t="shared" si="19"/>
        <v>111.04128</v>
      </c>
      <c r="K30" s="300">
        <f t="shared" si="19"/>
        <v>113.68512</v>
      </c>
      <c r="L30" s="300">
        <f t="shared" si="19"/>
        <v>116.32895999999998</v>
      </c>
      <c r="M30" s="300">
        <f t="shared" si="19"/>
        <v>118.97279999999998</v>
      </c>
      <c r="N30" s="300">
        <f t="shared" si="19"/>
        <v>121.61664000000002</v>
      </c>
      <c r="O30" s="300">
        <f t="shared" si="19"/>
        <v>124.26047999999999</v>
      </c>
      <c r="P30" s="300">
        <f t="shared" si="19"/>
        <v>126.90431999999998</v>
      </c>
      <c r="Q30" s="300">
        <f t="shared" si="19"/>
        <v>129.54816</v>
      </c>
      <c r="R30" s="300">
        <f t="shared" si="19"/>
        <v>132.19200000000001</v>
      </c>
      <c r="S30" s="300">
        <f t="shared" si="19"/>
        <v>134.83583999999999</v>
      </c>
      <c r="T30" s="300">
        <f t="shared" si="19"/>
        <v>137.47967999999997</v>
      </c>
      <c r="U30" s="300">
        <f t="shared" si="19"/>
        <v>140.12352000000001</v>
      </c>
      <c r="V30" s="300">
        <f t="shared" si="19"/>
        <v>142.76736</v>
      </c>
      <c r="W30" s="300">
        <f t="shared" si="19"/>
        <v>145.41120000000001</v>
      </c>
      <c r="X30" s="300">
        <f t="shared" si="19"/>
        <v>148.05504000000002</v>
      </c>
      <c r="Y30" s="300">
        <f t="shared" si="19"/>
        <v>150.69888</v>
      </c>
      <c r="Z30" s="300">
        <f t="shared" si="19"/>
        <v>153.34271999999999</v>
      </c>
      <c r="AA30" s="300">
        <f t="shared" si="19"/>
        <v>155.98655999999997</v>
      </c>
      <c r="AB30" s="300">
        <f t="shared" si="19"/>
        <v>158.63040000000001</v>
      </c>
      <c r="AC30" s="300">
        <f t="shared" si="19"/>
        <v>161.27423999999999</v>
      </c>
      <c r="AD30" s="300">
        <f t="shared" si="19"/>
        <v>163.91808</v>
      </c>
      <c r="AE30" s="300">
        <f t="shared" si="19"/>
        <v>166.56191999999999</v>
      </c>
      <c r="AF30" s="300">
        <f t="shared" si="19"/>
        <v>169.20576</v>
      </c>
      <c r="AG30" s="300">
        <f t="shared" si="19"/>
        <v>171.84959999999998</v>
      </c>
      <c r="AH30" s="304">
        <f t="shared" si="19"/>
        <v>174.49344000000002</v>
      </c>
    </row>
    <row r="31" spans="1:34">
      <c r="A31" s="1781"/>
      <c r="B31" s="392">
        <v>2.5</v>
      </c>
      <c r="C31" s="303">
        <f t="shared" ref="C31:AH31" si="20">C90-C90*10/100</f>
        <v>93.0852</v>
      </c>
      <c r="D31" s="300">
        <f t="shared" si="20"/>
        <v>95.839199999999991</v>
      </c>
      <c r="E31" s="300">
        <f t="shared" si="20"/>
        <v>98.483040000000003</v>
      </c>
      <c r="F31" s="300">
        <f t="shared" si="20"/>
        <v>101.23704000000002</v>
      </c>
      <c r="G31" s="300">
        <f t="shared" si="20"/>
        <v>103.88087999999999</v>
      </c>
      <c r="H31" s="300">
        <f t="shared" si="20"/>
        <v>106.63488</v>
      </c>
      <c r="I31" s="300">
        <f t="shared" si="20"/>
        <v>109.27872000000002</v>
      </c>
      <c r="J31" s="300">
        <f t="shared" si="20"/>
        <v>112.03272</v>
      </c>
      <c r="K31" s="300">
        <f t="shared" si="20"/>
        <v>114.78672</v>
      </c>
      <c r="L31" s="300">
        <f t="shared" si="20"/>
        <v>117.43056</v>
      </c>
      <c r="M31" s="300">
        <f t="shared" si="20"/>
        <v>120.18455999999999</v>
      </c>
      <c r="N31" s="300">
        <f t="shared" si="20"/>
        <v>122.8284</v>
      </c>
      <c r="O31" s="300">
        <f t="shared" si="20"/>
        <v>125.58240000000001</v>
      </c>
      <c r="P31" s="300">
        <f t="shared" si="20"/>
        <v>128.22624000000002</v>
      </c>
      <c r="Q31" s="300">
        <f t="shared" si="20"/>
        <v>130.98024000000001</v>
      </c>
      <c r="R31" s="300">
        <f t="shared" si="20"/>
        <v>133.62407999999999</v>
      </c>
      <c r="S31" s="300">
        <f t="shared" si="20"/>
        <v>136.37807999999998</v>
      </c>
      <c r="T31" s="300">
        <f t="shared" si="20"/>
        <v>139.13207999999997</v>
      </c>
      <c r="U31" s="300">
        <f t="shared" si="20"/>
        <v>141.77591999999999</v>
      </c>
      <c r="V31" s="300">
        <f t="shared" si="20"/>
        <v>144.52991999999998</v>
      </c>
      <c r="W31" s="300">
        <f t="shared" si="20"/>
        <v>147.17375999999999</v>
      </c>
      <c r="X31" s="300">
        <f t="shared" si="20"/>
        <v>149.92776000000001</v>
      </c>
      <c r="Y31" s="300">
        <f t="shared" si="20"/>
        <v>152.57159999999999</v>
      </c>
      <c r="Z31" s="300">
        <f t="shared" si="20"/>
        <v>155.32559999999998</v>
      </c>
      <c r="AA31" s="300">
        <f t="shared" si="20"/>
        <v>158.0796</v>
      </c>
      <c r="AB31" s="300">
        <f t="shared" si="20"/>
        <v>160.72344000000001</v>
      </c>
      <c r="AC31" s="300">
        <f t="shared" si="20"/>
        <v>163.47744</v>
      </c>
      <c r="AD31" s="300">
        <f t="shared" si="20"/>
        <v>166.12127999999998</v>
      </c>
      <c r="AE31" s="300">
        <f t="shared" si="20"/>
        <v>168.87528</v>
      </c>
      <c r="AF31" s="300">
        <f t="shared" si="20"/>
        <v>171.51911999999999</v>
      </c>
      <c r="AG31" s="300">
        <f t="shared" si="20"/>
        <v>174.27312000000001</v>
      </c>
      <c r="AH31" s="304">
        <f t="shared" si="20"/>
        <v>177.02711999999997</v>
      </c>
    </row>
    <row r="32" spans="1:34">
      <c r="A32" s="1781"/>
      <c r="B32" s="392">
        <v>2.6</v>
      </c>
      <c r="C32" s="303">
        <f t="shared" ref="C32:AH32" si="21">C91-C91*10/100</f>
        <v>93.746159999999989</v>
      </c>
      <c r="D32" s="300">
        <f t="shared" si="21"/>
        <v>96.50015999999998</v>
      </c>
      <c r="E32" s="300">
        <f t="shared" si="21"/>
        <v>99.254159999999999</v>
      </c>
      <c r="F32" s="300">
        <f t="shared" si="21"/>
        <v>102.00816</v>
      </c>
      <c r="G32" s="300">
        <f t="shared" si="21"/>
        <v>104.76215999999999</v>
      </c>
      <c r="H32" s="300">
        <f t="shared" si="21"/>
        <v>107.51615999999999</v>
      </c>
      <c r="I32" s="300">
        <f t="shared" si="21"/>
        <v>110.27015999999998</v>
      </c>
      <c r="J32" s="300">
        <f t="shared" si="21"/>
        <v>113.02415999999999</v>
      </c>
      <c r="K32" s="300">
        <f t="shared" si="21"/>
        <v>115.77815999999999</v>
      </c>
      <c r="L32" s="300">
        <f t="shared" si="21"/>
        <v>118.53215999999998</v>
      </c>
      <c r="M32" s="300">
        <f t="shared" si="21"/>
        <v>121.39632</v>
      </c>
      <c r="N32" s="300">
        <f t="shared" si="21"/>
        <v>124.15032000000002</v>
      </c>
      <c r="O32" s="300">
        <f t="shared" si="21"/>
        <v>126.90431999999998</v>
      </c>
      <c r="P32" s="300">
        <f t="shared" si="21"/>
        <v>129.65832</v>
      </c>
      <c r="Q32" s="300">
        <f t="shared" si="21"/>
        <v>132.41231999999999</v>
      </c>
      <c r="R32" s="300">
        <f t="shared" si="21"/>
        <v>135.16631999999998</v>
      </c>
      <c r="S32" s="300">
        <f t="shared" si="21"/>
        <v>137.92032</v>
      </c>
      <c r="T32" s="300">
        <f t="shared" si="21"/>
        <v>140.67432000000002</v>
      </c>
      <c r="U32" s="300">
        <f t="shared" si="21"/>
        <v>143.42832000000001</v>
      </c>
      <c r="V32" s="300">
        <f t="shared" si="21"/>
        <v>146.29248000000001</v>
      </c>
      <c r="W32" s="300">
        <f t="shared" si="21"/>
        <v>149.04648</v>
      </c>
      <c r="X32" s="300">
        <f t="shared" si="21"/>
        <v>151.80047999999999</v>
      </c>
      <c r="Y32" s="300">
        <f t="shared" si="21"/>
        <v>154.55448000000001</v>
      </c>
      <c r="Z32" s="300">
        <f t="shared" si="21"/>
        <v>157.30848</v>
      </c>
      <c r="AA32" s="300">
        <f t="shared" si="21"/>
        <v>160.06248000000002</v>
      </c>
      <c r="AB32" s="300">
        <f t="shared" si="21"/>
        <v>162.81647999999998</v>
      </c>
      <c r="AC32" s="300">
        <f t="shared" si="21"/>
        <v>165.57048000000003</v>
      </c>
      <c r="AD32" s="300">
        <f t="shared" si="21"/>
        <v>168.32448000000002</v>
      </c>
      <c r="AE32" s="300">
        <f t="shared" si="21"/>
        <v>171.07848000000001</v>
      </c>
      <c r="AF32" s="300">
        <f t="shared" si="21"/>
        <v>173.94264000000001</v>
      </c>
      <c r="AG32" s="300">
        <f t="shared" si="21"/>
        <v>176.69664</v>
      </c>
      <c r="AH32" s="304">
        <f t="shared" si="21"/>
        <v>179.45063999999999</v>
      </c>
    </row>
    <row r="33" spans="1:34">
      <c r="A33" s="1781"/>
      <c r="B33" s="392">
        <v>2.7</v>
      </c>
      <c r="C33" s="303">
        <f t="shared" ref="C33:AH33" si="22">C92-C92*10/100</f>
        <v>94.296959999999999</v>
      </c>
      <c r="D33" s="300">
        <f t="shared" si="22"/>
        <v>97.161119999999997</v>
      </c>
      <c r="E33" s="300">
        <f t="shared" si="22"/>
        <v>99.915120000000002</v>
      </c>
      <c r="F33" s="300">
        <f t="shared" si="22"/>
        <v>102.77927999999999</v>
      </c>
      <c r="G33" s="300">
        <f t="shared" si="22"/>
        <v>105.64344</v>
      </c>
      <c r="H33" s="300">
        <f t="shared" si="22"/>
        <v>108.39744</v>
      </c>
      <c r="I33" s="300">
        <f t="shared" si="22"/>
        <v>111.26159999999999</v>
      </c>
      <c r="J33" s="300">
        <f t="shared" si="22"/>
        <v>114.12576</v>
      </c>
      <c r="K33" s="300">
        <f t="shared" si="22"/>
        <v>116.87976</v>
      </c>
      <c r="L33" s="300">
        <f t="shared" si="22"/>
        <v>119.74392</v>
      </c>
      <c r="M33" s="300">
        <f t="shared" si="22"/>
        <v>122.60808</v>
      </c>
      <c r="N33" s="300">
        <f t="shared" si="22"/>
        <v>125.36207999999998</v>
      </c>
      <c r="O33" s="300">
        <f t="shared" si="22"/>
        <v>128.22624000000002</v>
      </c>
      <c r="P33" s="300">
        <f t="shared" si="22"/>
        <v>130.98024000000001</v>
      </c>
      <c r="Q33" s="300">
        <f t="shared" si="22"/>
        <v>133.84440000000001</v>
      </c>
      <c r="R33" s="300">
        <f t="shared" si="22"/>
        <v>136.70855999999998</v>
      </c>
      <c r="S33" s="300">
        <f t="shared" si="22"/>
        <v>139.46256</v>
      </c>
      <c r="T33" s="300">
        <f t="shared" si="22"/>
        <v>142.32671999999999</v>
      </c>
      <c r="U33" s="300">
        <f t="shared" si="22"/>
        <v>145.19088000000002</v>
      </c>
      <c r="V33" s="300">
        <f t="shared" si="22"/>
        <v>147.94488000000001</v>
      </c>
      <c r="W33" s="300">
        <f t="shared" si="22"/>
        <v>150.80903999999998</v>
      </c>
      <c r="X33" s="300">
        <f t="shared" si="22"/>
        <v>153.67319999999998</v>
      </c>
      <c r="Y33" s="300">
        <f t="shared" si="22"/>
        <v>156.4272</v>
      </c>
      <c r="Z33" s="300">
        <f t="shared" si="22"/>
        <v>159.29136</v>
      </c>
      <c r="AA33" s="300">
        <f t="shared" si="22"/>
        <v>162.15551999999997</v>
      </c>
      <c r="AB33" s="300">
        <f t="shared" si="22"/>
        <v>164.90951999999999</v>
      </c>
      <c r="AC33" s="300">
        <f t="shared" si="22"/>
        <v>167.77368000000001</v>
      </c>
      <c r="AD33" s="300">
        <f t="shared" si="22"/>
        <v>170.52768</v>
      </c>
      <c r="AE33" s="300">
        <f t="shared" si="22"/>
        <v>173.39184</v>
      </c>
      <c r="AF33" s="300">
        <f t="shared" si="22"/>
        <v>176.25599999999997</v>
      </c>
      <c r="AG33" s="300">
        <f t="shared" si="22"/>
        <v>179.01</v>
      </c>
      <c r="AH33" s="304">
        <f t="shared" si="22"/>
        <v>181.87415999999999</v>
      </c>
    </row>
    <row r="34" spans="1:34">
      <c r="A34" s="1781"/>
      <c r="B34" s="392">
        <v>2.8</v>
      </c>
      <c r="C34" s="303">
        <f t="shared" ref="C34:AH34" si="23">C93-C93*10/100</f>
        <v>94.957920000000001</v>
      </c>
      <c r="D34" s="300">
        <f t="shared" si="23"/>
        <v>97.82208</v>
      </c>
      <c r="E34" s="300">
        <f t="shared" si="23"/>
        <v>100.68624000000001</v>
      </c>
      <c r="F34" s="300">
        <f t="shared" si="23"/>
        <v>103.5504</v>
      </c>
      <c r="G34" s="300">
        <f t="shared" si="23"/>
        <v>106.41455999999999</v>
      </c>
      <c r="H34" s="300">
        <f t="shared" si="23"/>
        <v>109.38888</v>
      </c>
      <c r="I34" s="300">
        <f t="shared" si="23"/>
        <v>112.25304</v>
      </c>
      <c r="J34" s="300">
        <f t="shared" si="23"/>
        <v>115.1172</v>
      </c>
      <c r="K34" s="300">
        <f t="shared" si="23"/>
        <v>117.98136</v>
      </c>
      <c r="L34" s="300">
        <f t="shared" si="23"/>
        <v>120.84551999999999</v>
      </c>
      <c r="M34" s="300">
        <f t="shared" si="23"/>
        <v>123.70967999999999</v>
      </c>
      <c r="N34" s="300">
        <f t="shared" si="23"/>
        <v>126.684</v>
      </c>
      <c r="O34" s="300">
        <f t="shared" si="23"/>
        <v>129.54816</v>
      </c>
      <c r="P34" s="300">
        <f t="shared" si="23"/>
        <v>132.41231999999999</v>
      </c>
      <c r="Q34" s="300">
        <f t="shared" si="23"/>
        <v>135.27647999999999</v>
      </c>
      <c r="R34" s="300">
        <f t="shared" si="23"/>
        <v>138.14063999999999</v>
      </c>
      <c r="S34" s="300">
        <f t="shared" si="23"/>
        <v>141.11496</v>
      </c>
      <c r="T34" s="300">
        <f t="shared" si="23"/>
        <v>143.97911999999999</v>
      </c>
      <c r="U34" s="300">
        <f t="shared" si="23"/>
        <v>146.84327999999999</v>
      </c>
      <c r="V34" s="300">
        <f t="shared" si="23"/>
        <v>149.70743999999999</v>
      </c>
      <c r="W34" s="300">
        <f t="shared" si="23"/>
        <v>152.57159999999999</v>
      </c>
      <c r="X34" s="300">
        <f t="shared" si="23"/>
        <v>155.43576000000002</v>
      </c>
      <c r="Y34" s="300">
        <f t="shared" si="23"/>
        <v>158.41007999999999</v>
      </c>
      <c r="Z34" s="300">
        <f t="shared" si="23"/>
        <v>161.27423999999999</v>
      </c>
      <c r="AA34" s="300">
        <f t="shared" si="23"/>
        <v>164.13839999999999</v>
      </c>
      <c r="AB34" s="300">
        <f t="shared" si="23"/>
        <v>167.00256000000002</v>
      </c>
      <c r="AC34" s="300">
        <f t="shared" si="23"/>
        <v>169.86671999999999</v>
      </c>
      <c r="AD34" s="300">
        <f t="shared" si="23"/>
        <v>172.84104000000002</v>
      </c>
      <c r="AE34" s="300">
        <f t="shared" si="23"/>
        <v>175.70519999999999</v>
      </c>
      <c r="AF34" s="300">
        <f t="shared" si="23"/>
        <v>178.56935999999999</v>
      </c>
      <c r="AG34" s="300">
        <f t="shared" si="23"/>
        <v>181.43351999999999</v>
      </c>
      <c r="AH34" s="304">
        <f t="shared" si="23"/>
        <v>184.29768000000001</v>
      </c>
    </row>
    <row r="35" spans="1:34">
      <c r="A35" s="1781"/>
      <c r="B35" s="392">
        <v>2.9</v>
      </c>
      <c r="C35" s="303">
        <f t="shared" ref="C35:AH35" si="24">C94-C94*10/100</f>
        <v>95.508719999999983</v>
      </c>
      <c r="D35" s="300">
        <f t="shared" si="24"/>
        <v>98.483040000000003</v>
      </c>
      <c r="E35" s="300">
        <f t="shared" si="24"/>
        <v>101.45735999999999</v>
      </c>
      <c r="F35" s="300">
        <f t="shared" si="24"/>
        <v>104.32152000000001</v>
      </c>
      <c r="G35" s="300">
        <f t="shared" si="24"/>
        <v>107.29584</v>
      </c>
      <c r="H35" s="300">
        <f t="shared" si="24"/>
        <v>110.27015999999998</v>
      </c>
      <c r="I35" s="300">
        <f t="shared" si="24"/>
        <v>113.24448</v>
      </c>
      <c r="J35" s="300">
        <f t="shared" si="24"/>
        <v>116.10864000000001</v>
      </c>
      <c r="K35" s="300">
        <f t="shared" si="24"/>
        <v>119.08296000000001</v>
      </c>
      <c r="L35" s="300">
        <f t="shared" si="24"/>
        <v>122.05728000000001</v>
      </c>
      <c r="M35" s="300">
        <f t="shared" si="24"/>
        <v>124.92144</v>
      </c>
      <c r="N35" s="300">
        <f t="shared" si="24"/>
        <v>127.89575999999998</v>
      </c>
      <c r="O35" s="300">
        <f t="shared" si="24"/>
        <v>130.87008</v>
      </c>
      <c r="P35" s="300">
        <f t="shared" si="24"/>
        <v>133.84440000000001</v>
      </c>
      <c r="Q35" s="300">
        <f t="shared" si="24"/>
        <v>136.70855999999998</v>
      </c>
      <c r="R35" s="300">
        <f t="shared" si="24"/>
        <v>139.68288000000001</v>
      </c>
      <c r="S35" s="300">
        <f t="shared" si="24"/>
        <v>142.65720000000002</v>
      </c>
      <c r="T35" s="300">
        <f t="shared" si="24"/>
        <v>145.52135999999999</v>
      </c>
      <c r="U35" s="300">
        <f t="shared" si="24"/>
        <v>148.49567999999999</v>
      </c>
      <c r="V35" s="300">
        <f t="shared" si="24"/>
        <v>151.46999999999997</v>
      </c>
      <c r="W35" s="300">
        <f t="shared" si="24"/>
        <v>154.44431999999998</v>
      </c>
      <c r="X35" s="300">
        <f t="shared" si="24"/>
        <v>157.30848</v>
      </c>
      <c r="Y35" s="300">
        <f t="shared" si="24"/>
        <v>160.28279999999998</v>
      </c>
      <c r="Z35" s="300">
        <f t="shared" si="24"/>
        <v>163.25711999999999</v>
      </c>
      <c r="AA35" s="300">
        <f t="shared" si="24"/>
        <v>166.12127999999998</v>
      </c>
      <c r="AB35" s="300">
        <f t="shared" si="24"/>
        <v>169.09559999999999</v>
      </c>
      <c r="AC35" s="300">
        <f t="shared" si="24"/>
        <v>172.06992</v>
      </c>
      <c r="AD35" s="300">
        <f t="shared" si="24"/>
        <v>175.04424</v>
      </c>
      <c r="AE35" s="300">
        <f t="shared" si="24"/>
        <v>177.9084</v>
      </c>
      <c r="AF35" s="300">
        <f t="shared" si="24"/>
        <v>180.88271999999995</v>
      </c>
      <c r="AG35" s="300">
        <f t="shared" si="24"/>
        <v>183.85703999999998</v>
      </c>
      <c r="AH35" s="304">
        <f t="shared" si="24"/>
        <v>186.83135999999999</v>
      </c>
    </row>
    <row r="36" spans="1:34">
      <c r="A36" s="1781"/>
      <c r="B36" s="392">
        <v>3</v>
      </c>
      <c r="C36" s="303">
        <f t="shared" ref="C36:AH36" si="25">C95-C95*10/100</f>
        <v>96.169679999999985</v>
      </c>
      <c r="D36" s="300">
        <f t="shared" si="25"/>
        <v>99.144000000000005</v>
      </c>
      <c r="E36" s="300">
        <f t="shared" si="25"/>
        <v>102.11832</v>
      </c>
      <c r="F36" s="300">
        <f t="shared" si="25"/>
        <v>105.2028</v>
      </c>
      <c r="G36" s="300">
        <f t="shared" si="25"/>
        <v>108.17712</v>
      </c>
      <c r="H36" s="300">
        <f t="shared" si="25"/>
        <v>111.15143999999999</v>
      </c>
      <c r="I36" s="300">
        <f t="shared" si="25"/>
        <v>114.12576</v>
      </c>
      <c r="J36" s="300">
        <f t="shared" si="25"/>
        <v>117.21024</v>
      </c>
      <c r="K36" s="300">
        <f t="shared" si="25"/>
        <v>120.18455999999999</v>
      </c>
      <c r="L36" s="300">
        <f t="shared" si="25"/>
        <v>123.15888</v>
      </c>
      <c r="M36" s="300">
        <f t="shared" si="25"/>
        <v>126.13319999999999</v>
      </c>
      <c r="N36" s="300">
        <f t="shared" si="25"/>
        <v>129.21768</v>
      </c>
      <c r="O36" s="300">
        <f t="shared" si="25"/>
        <v>132.19200000000001</v>
      </c>
      <c r="P36" s="300">
        <f t="shared" si="25"/>
        <v>135.16631999999998</v>
      </c>
      <c r="Q36" s="300">
        <f t="shared" si="25"/>
        <v>138.14063999999999</v>
      </c>
      <c r="R36" s="300">
        <f t="shared" si="25"/>
        <v>141.22511999999998</v>
      </c>
      <c r="S36" s="300">
        <f t="shared" si="25"/>
        <v>144.19943999999998</v>
      </c>
      <c r="T36" s="300">
        <f t="shared" si="25"/>
        <v>147.17375999999999</v>
      </c>
      <c r="U36" s="300">
        <f t="shared" si="25"/>
        <v>150.14807999999999</v>
      </c>
      <c r="V36" s="300">
        <f t="shared" si="25"/>
        <v>153.23256000000001</v>
      </c>
      <c r="W36" s="300">
        <f t="shared" si="25"/>
        <v>156.20688000000001</v>
      </c>
      <c r="X36" s="300">
        <f t="shared" si="25"/>
        <v>159.18120000000002</v>
      </c>
      <c r="Y36" s="300">
        <f t="shared" si="25"/>
        <v>162.15551999999997</v>
      </c>
      <c r="Z36" s="300">
        <f t="shared" si="25"/>
        <v>165.24</v>
      </c>
      <c r="AA36" s="300">
        <f t="shared" si="25"/>
        <v>168.21431999999999</v>
      </c>
      <c r="AB36" s="300">
        <f t="shared" si="25"/>
        <v>171.18863999999999</v>
      </c>
      <c r="AC36" s="300">
        <f t="shared" si="25"/>
        <v>174.16296</v>
      </c>
      <c r="AD36" s="300">
        <f t="shared" si="25"/>
        <v>177.24743999999998</v>
      </c>
      <c r="AE36" s="300">
        <f t="shared" si="25"/>
        <v>180.22175999999996</v>
      </c>
      <c r="AF36" s="300">
        <f t="shared" si="25"/>
        <v>183.19607999999999</v>
      </c>
      <c r="AG36" s="300">
        <f t="shared" si="25"/>
        <v>186.28055999999998</v>
      </c>
      <c r="AH36" s="304">
        <f t="shared" si="25"/>
        <v>189.25488000000001</v>
      </c>
    </row>
    <row r="37" spans="1:34">
      <c r="A37" s="1781"/>
      <c r="B37" s="392">
        <v>3.1</v>
      </c>
      <c r="C37" s="303">
        <f t="shared" ref="C37:AH37" si="26">C96-C96*10/100</f>
        <v>96.720479999999995</v>
      </c>
      <c r="D37" s="300">
        <f t="shared" si="26"/>
        <v>99.804959999999994</v>
      </c>
      <c r="E37" s="300">
        <f t="shared" si="26"/>
        <v>102.88944000000001</v>
      </c>
      <c r="F37" s="300">
        <f t="shared" si="26"/>
        <v>105.97392000000001</v>
      </c>
      <c r="G37" s="300">
        <f t="shared" si="26"/>
        <v>109.05840000000001</v>
      </c>
      <c r="H37" s="300">
        <f t="shared" si="26"/>
        <v>112.03272</v>
      </c>
      <c r="I37" s="300">
        <f t="shared" si="26"/>
        <v>115.1172</v>
      </c>
      <c r="J37" s="300">
        <f t="shared" si="26"/>
        <v>118.20167999999998</v>
      </c>
      <c r="K37" s="300">
        <f t="shared" si="26"/>
        <v>121.28616</v>
      </c>
      <c r="L37" s="300">
        <f t="shared" si="26"/>
        <v>124.26047999999999</v>
      </c>
      <c r="M37" s="300">
        <f t="shared" si="26"/>
        <v>127.34495999999999</v>
      </c>
      <c r="N37" s="300">
        <f t="shared" si="26"/>
        <v>130.42944</v>
      </c>
      <c r="O37" s="300">
        <f t="shared" si="26"/>
        <v>133.51392000000001</v>
      </c>
      <c r="P37" s="300">
        <f t="shared" si="26"/>
        <v>136.5984</v>
      </c>
      <c r="Q37" s="300">
        <f t="shared" si="26"/>
        <v>139.57272</v>
      </c>
      <c r="R37" s="300">
        <f t="shared" si="26"/>
        <v>142.65720000000002</v>
      </c>
      <c r="S37" s="300">
        <f t="shared" si="26"/>
        <v>145.74168000000003</v>
      </c>
      <c r="T37" s="300">
        <f t="shared" si="26"/>
        <v>148.82615999999999</v>
      </c>
      <c r="U37" s="300">
        <f t="shared" si="26"/>
        <v>151.91064</v>
      </c>
      <c r="V37" s="300">
        <f t="shared" si="26"/>
        <v>154.88496000000001</v>
      </c>
      <c r="W37" s="300">
        <f t="shared" si="26"/>
        <v>157.96944000000002</v>
      </c>
      <c r="X37" s="300">
        <f t="shared" si="26"/>
        <v>161.05391999999998</v>
      </c>
      <c r="Y37" s="300">
        <f t="shared" si="26"/>
        <v>164.13839999999999</v>
      </c>
      <c r="Z37" s="300">
        <f t="shared" si="26"/>
        <v>167.22288</v>
      </c>
      <c r="AA37" s="300">
        <f t="shared" si="26"/>
        <v>170.19720000000001</v>
      </c>
      <c r="AB37" s="300">
        <f t="shared" si="26"/>
        <v>173.28168000000002</v>
      </c>
      <c r="AC37" s="300">
        <f t="shared" si="26"/>
        <v>176.36615999999998</v>
      </c>
      <c r="AD37" s="300">
        <f t="shared" si="26"/>
        <v>179.45063999999999</v>
      </c>
      <c r="AE37" s="300">
        <f t="shared" si="26"/>
        <v>182.53511999999998</v>
      </c>
      <c r="AF37" s="300">
        <f t="shared" si="26"/>
        <v>185.50944000000001</v>
      </c>
      <c r="AG37" s="300">
        <f t="shared" si="26"/>
        <v>188.59392</v>
      </c>
      <c r="AH37" s="304">
        <f t="shared" si="26"/>
        <v>191.67839999999998</v>
      </c>
    </row>
    <row r="38" spans="1:34">
      <c r="A38" s="1781"/>
      <c r="B38" s="392">
        <v>3.2</v>
      </c>
      <c r="C38" s="303">
        <f t="shared" ref="C38:AH38" si="27">C97-C97*10/100</f>
        <v>97.381439999999998</v>
      </c>
      <c r="D38" s="300">
        <f t="shared" si="27"/>
        <v>100.46592</v>
      </c>
      <c r="E38" s="300">
        <f t="shared" si="27"/>
        <v>103.66056</v>
      </c>
      <c r="F38" s="300">
        <f t="shared" si="27"/>
        <v>106.74504000000002</v>
      </c>
      <c r="G38" s="300">
        <f t="shared" si="27"/>
        <v>109.82952</v>
      </c>
      <c r="H38" s="300">
        <f t="shared" si="27"/>
        <v>113.02415999999999</v>
      </c>
      <c r="I38" s="300">
        <f t="shared" si="27"/>
        <v>116.10864000000001</v>
      </c>
      <c r="J38" s="300">
        <f t="shared" si="27"/>
        <v>119.19312000000001</v>
      </c>
      <c r="K38" s="300">
        <f t="shared" si="27"/>
        <v>122.38776</v>
      </c>
      <c r="L38" s="300">
        <f t="shared" si="27"/>
        <v>125.47224</v>
      </c>
      <c r="M38" s="300">
        <f t="shared" si="27"/>
        <v>128.55672000000001</v>
      </c>
      <c r="N38" s="300">
        <f t="shared" si="27"/>
        <v>131.75135999999998</v>
      </c>
      <c r="O38" s="300">
        <f t="shared" si="27"/>
        <v>134.83583999999999</v>
      </c>
      <c r="P38" s="300">
        <f t="shared" si="27"/>
        <v>137.92032</v>
      </c>
      <c r="Q38" s="300">
        <f t="shared" si="27"/>
        <v>141.11496</v>
      </c>
      <c r="R38" s="300">
        <f t="shared" si="27"/>
        <v>144.19943999999998</v>
      </c>
      <c r="S38" s="300">
        <f t="shared" si="27"/>
        <v>147.28391999999999</v>
      </c>
      <c r="T38" s="300">
        <f t="shared" si="27"/>
        <v>150.47855999999999</v>
      </c>
      <c r="U38" s="300">
        <f t="shared" si="27"/>
        <v>153.56304</v>
      </c>
      <c r="V38" s="300">
        <f t="shared" si="27"/>
        <v>156.64751999999996</v>
      </c>
      <c r="W38" s="300">
        <f t="shared" si="27"/>
        <v>159.84216000000001</v>
      </c>
      <c r="X38" s="300">
        <f t="shared" si="27"/>
        <v>162.92663999999999</v>
      </c>
      <c r="Y38" s="300">
        <f t="shared" si="27"/>
        <v>166.01112000000001</v>
      </c>
      <c r="Z38" s="300">
        <f t="shared" si="27"/>
        <v>169.20576</v>
      </c>
      <c r="AA38" s="300">
        <f t="shared" si="27"/>
        <v>172.29024000000001</v>
      </c>
      <c r="AB38" s="300">
        <f t="shared" si="27"/>
        <v>175.37472</v>
      </c>
      <c r="AC38" s="300">
        <f t="shared" si="27"/>
        <v>178.56935999999999</v>
      </c>
      <c r="AD38" s="300">
        <f t="shared" si="27"/>
        <v>181.65384</v>
      </c>
      <c r="AE38" s="300">
        <f t="shared" si="27"/>
        <v>184.73832000000002</v>
      </c>
      <c r="AF38" s="300">
        <f t="shared" si="27"/>
        <v>187.93296000000001</v>
      </c>
      <c r="AG38" s="300">
        <f t="shared" si="27"/>
        <v>191.01743999999997</v>
      </c>
      <c r="AH38" s="304">
        <f t="shared" si="27"/>
        <v>194.10191999999998</v>
      </c>
    </row>
    <row r="39" spans="1:34">
      <c r="A39" s="1781"/>
      <c r="B39" s="392">
        <v>3.3</v>
      </c>
      <c r="C39" s="303">
        <f t="shared" ref="C39:AH39" si="28">C98-C98*10/100</f>
        <v>97.932240000000007</v>
      </c>
      <c r="D39" s="300">
        <f t="shared" si="28"/>
        <v>101.12688</v>
      </c>
      <c r="E39" s="300">
        <f t="shared" si="28"/>
        <v>104.32152000000001</v>
      </c>
      <c r="F39" s="300">
        <f t="shared" si="28"/>
        <v>107.51615999999999</v>
      </c>
      <c r="G39" s="300">
        <f t="shared" si="28"/>
        <v>110.71080000000001</v>
      </c>
      <c r="H39" s="300">
        <f t="shared" si="28"/>
        <v>113.90544</v>
      </c>
      <c r="I39" s="300">
        <f t="shared" si="28"/>
        <v>117.10007999999999</v>
      </c>
      <c r="J39" s="300">
        <f t="shared" si="28"/>
        <v>120.29472</v>
      </c>
      <c r="K39" s="300">
        <f t="shared" si="28"/>
        <v>123.3792</v>
      </c>
      <c r="L39" s="300">
        <f t="shared" si="28"/>
        <v>126.57383999999999</v>
      </c>
      <c r="M39" s="300">
        <f t="shared" si="28"/>
        <v>129.76847999999998</v>
      </c>
      <c r="N39" s="300">
        <f t="shared" si="28"/>
        <v>132.96312</v>
      </c>
      <c r="O39" s="300">
        <f t="shared" si="28"/>
        <v>136.15776</v>
      </c>
      <c r="P39" s="300">
        <f t="shared" si="28"/>
        <v>139.35239999999999</v>
      </c>
      <c r="Q39" s="300">
        <f t="shared" si="28"/>
        <v>142.54703999999998</v>
      </c>
      <c r="R39" s="300">
        <f t="shared" si="28"/>
        <v>145.74168000000003</v>
      </c>
      <c r="S39" s="300">
        <f t="shared" si="28"/>
        <v>148.82615999999999</v>
      </c>
      <c r="T39" s="300">
        <f t="shared" si="28"/>
        <v>152.02079999999998</v>
      </c>
      <c r="U39" s="300">
        <f t="shared" si="28"/>
        <v>155.21544</v>
      </c>
      <c r="V39" s="300">
        <f t="shared" si="28"/>
        <v>158.41007999999999</v>
      </c>
      <c r="W39" s="300">
        <f t="shared" si="28"/>
        <v>161.60471999999999</v>
      </c>
      <c r="X39" s="300">
        <f t="shared" si="28"/>
        <v>164.79935999999998</v>
      </c>
      <c r="Y39" s="300">
        <f t="shared" si="28"/>
        <v>167.994</v>
      </c>
      <c r="Z39" s="300">
        <f t="shared" si="28"/>
        <v>171.07848000000001</v>
      </c>
      <c r="AA39" s="300">
        <f t="shared" si="28"/>
        <v>174.27312000000001</v>
      </c>
      <c r="AB39" s="300">
        <f t="shared" si="28"/>
        <v>177.46776</v>
      </c>
      <c r="AC39" s="300">
        <f t="shared" si="28"/>
        <v>180.66239999999999</v>
      </c>
      <c r="AD39" s="300">
        <f t="shared" si="28"/>
        <v>183.85703999999998</v>
      </c>
      <c r="AE39" s="300">
        <f t="shared" si="28"/>
        <v>187.05168</v>
      </c>
      <c r="AF39" s="300">
        <f t="shared" si="28"/>
        <v>190.24631999999997</v>
      </c>
      <c r="AG39" s="300">
        <f t="shared" si="28"/>
        <v>193.44095999999999</v>
      </c>
      <c r="AH39" s="304">
        <f t="shared" si="28"/>
        <v>196.52544</v>
      </c>
    </row>
    <row r="40" spans="1:34">
      <c r="A40" s="1781"/>
      <c r="B40" s="392">
        <v>3.4</v>
      </c>
      <c r="C40" s="303">
        <f t="shared" ref="C40:AH40" si="29">C99-C99*10/100</f>
        <v>98.593199999999996</v>
      </c>
      <c r="D40" s="300">
        <f t="shared" si="29"/>
        <v>101.78784</v>
      </c>
      <c r="E40" s="300">
        <f t="shared" si="29"/>
        <v>105.09264</v>
      </c>
      <c r="F40" s="300">
        <f t="shared" si="29"/>
        <v>108.28728</v>
      </c>
      <c r="G40" s="300">
        <f t="shared" si="29"/>
        <v>111.59208</v>
      </c>
      <c r="H40" s="300">
        <f t="shared" si="29"/>
        <v>114.78672</v>
      </c>
      <c r="I40" s="300">
        <f t="shared" si="29"/>
        <v>117.98136</v>
      </c>
      <c r="J40" s="300">
        <f t="shared" si="29"/>
        <v>121.28616</v>
      </c>
      <c r="K40" s="300">
        <f t="shared" si="29"/>
        <v>124.48080000000002</v>
      </c>
      <c r="L40" s="300">
        <f t="shared" si="29"/>
        <v>127.7856</v>
      </c>
      <c r="M40" s="300">
        <f t="shared" si="29"/>
        <v>130.98024000000001</v>
      </c>
      <c r="N40" s="300">
        <f t="shared" si="29"/>
        <v>134.28504000000001</v>
      </c>
      <c r="O40" s="300">
        <f t="shared" si="29"/>
        <v>137.47967999999997</v>
      </c>
      <c r="P40" s="300">
        <f t="shared" si="29"/>
        <v>140.67432000000002</v>
      </c>
      <c r="Q40" s="300">
        <f t="shared" si="29"/>
        <v>143.97911999999999</v>
      </c>
      <c r="R40" s="300">
        <f t="shared" si="29"/>
        <v>147.17375999999999</v>
      </c>
      <c r="S40" s="300">
        <f t="shared" si="29"/>
        <v>150.47855999999999</v>
      </c>
      <c r="T40" s="300">
        <f t="shared" si="29"/>
        <v>153.67319999999998</v>
      </c>
      <c r="U40" s="300">
        <f t="shared" si="29"/>
        <v>156.86784</v>
      </c>
      <c r="V40" s="300">
        <f t="shared" si="29"/>
        <v>160.17264</v>
      </c>
      <c r="W40" s="300">
        <f t="shared" si="29"/>
        <v>163.36728000000002</v>
      </c>
      <c r="X40" s="300">
        <f t="shared" si="29"/>
        <v>166.67207999999999</v>
      </c>
      <c r="Y40" s="300">
        <f t="shared" si="29"/>
        <v>169.86671999999999</v>
      </c>
      <c r="Z40" s="300">
        <f t="shared" si="29"/>
        <v>173.06135999999998</v>
      </c>
      <c r="AA40" s="300">
        <f t="shared" si="29"/>
        <v>176.36615999999998</v>
      </c>
      <c r="AB40" s="300">
        <f t="shared" si="29"/>
        <v>179.56079999999997</v>
      </c>
      <c r="AC40" s="300">
        <f t="shared" si="29"/>
        <v>182.8656</v>
      </c>
      <c r="AD40" s="300">
        <f t="shared" si="29"/>
        <v>186.06024000000002</v>
      </c>
      <c r="AE40" s="300">
        <f t="shared" si="29"/>
        <v>189.25488000000001</v>
      </c>
      <c r="AF40" s="300">
        <f t="shared" si="29"/>
        <v>192.55968000000001</v>
      </c>
      <c r="AG40" s="300">
        <f t="shared" si="29"/>
        <v>195.75432000000001</v>
      </c>
      <c r="AH40" s="304">
        <f t="shared" si="29"/>
        <v>199.05911999999998</v>
      </c>
    </row>
    <row r="41" spans="1:34">
      <c r="A41" s="1781"/>
      <c r="B41" s="392">
        <v>3.5</v>
      </c>
      <c r="C41" s="303">
        <f t="shared" ref="C41:AH41" si="30">C100-C100*10/100</f>
        <v>99.254159999999999</v>
      </c>
      <c r="D41" s="300">
        <f t="shared" si="30"/>
        <v>102.55895999999998</v>
      </c>
      <c r="E41" s="300">
        <f t="shared" si="30"/>
        <v>105.75359999999999</v>
      </c>
      <c r="F41" s="300">
        <f t="shared" si="30"/>
        <v>109.05840000000001</v>
      </c>
      <c r="G41" s="300">
        <f t="shared" si="30"/>
        <v>112.36320000000001</v>
      </c>
      <c r="H41" s="300">
        <f t="shared" si="30"/>
        <v>115.66800000000001</v>
      </c>
      <c r="I41" s="300">
        <f t="shared" si="30"/>
        <v>118.97279999999998</v>
      </c>
      <c r="J41" s="300">
        <f t="shared" si="30"/>
        <v>122.27760000000001</v>
      </c>
      <c r="K41" s="300">
        <f t="shared" si="30"/>
        <v>125.58240000000001</v>
      </c>
      <c r="L41" s="300">
        <f t="shared" si="30"/>
        <v>128.88720000000001</v>
      </c>
      <c r="M41" s="300">
        <f t="shared" si="30"/>
        <v>132.19200000000001</v>
      </c>
      <c r="N41" s="300">
        <f t="shared" si="30"/>
        <v>135.49680000000001</v>
      </c>
      <c r="O41" s="300">
        <f t="shared" si="30"/>
        <v>138.80160000000001</v>
      </c>
      <c r="P41" s="300">
        <f t="shared" si="30"/>
        <v>142.10640000000001</v>
      </c>
      <c r="Q41" s="300">
        <f t="shared" si="30"/>
        <v>145.41120000000001</v>
      </c>
      <c r="R41" s="300">
        <f t="shared" si="30"/>
        <v>148.71599999999998</v>
      </c>
      <c r="S41" s="300">
        <f t="shared" si="30"/>
        <v>152.02079999999998</v>
      </c>
      <c r="T41" s="300">
        <f t="shared" si="30"/>
        <v>155.32559999999998</v>
      </c>
      <c r="U41" s="300">
        <f t="shared" si="30"/>
        <v>158.63040000000001</v>
      </c>
      <c r="V41" s="300">
        <f t="shared" si="30"/>
        <v>161.93520000000001</v>
      </c>
      <c r="W41" s="300">
        <f t="shared" si="30"/>
        <v>165.24</v>
      </c>
      <c r="X41" s="300">
        <f t="shared" si="30"/>
        <v>168.43464</v>
      </c>
      <c r="Y41" s="300">
        <f t="shared" si="30"/>
        <v>171.73944</v>
      </c>
      <c r="Z41" s="300">
        <f t="shared" si="30"/>
        <v>175.04424</v>
      </c>
      <c r="AA41" s="300">
        <f t="shared" si="30"/>
        <v>178.34904</v>
      </c>
      <c r="AB41" s="300">
        <f t="shared" si="30"/>
        <v>181.65384</v>
      </c>
      <c r="AC41" s="300">
        <f t="shared" si="30"/>
        <v>184.95864</v>
      </c>
      <c r="AD41" s="300">
        <f t="shared" si="30"/>
        <v>188.26344</v>
      </c>
      <c r="AE41" s="300">
        <f t="shared" si="30"/>
        <v>191.56824</v>
      </c>
      <c r="AF41" s="300">
        <f t="shared" si="30"/>
        <v>194.87304000000003</v>
      </c>
      <c r="AG41" s="300">
        <f t="shared" si="30"/>
        <v>198.17784000000003</v>
      </c>
      <c r="AH41" s="304">
        <f t="shared" si="30"/>
        <v>201.48264</v>
      </c>
    </row>
    <row r="42" spans="1:34">
      <c r="A42" s="1781"/>
      <c r="B42" s="392">
        <v>3.6</v>
      </c>
      <c r="C42" s="303">
        <f t="shared" ref="C42:AH42" si="31">C101-C101*10/100</f>
        <v>99.804959999999994</v>
      </c>
      <c r="D42" s="300">
        <f t="shared" si="31"/>
        <v>103.21992</v>
      </c>
      <c r="E42" s="300">
        <f t="shared" si="31"/>
        <v>106.52472</v>
      </c>
      <c r="F42" s="300">
        <f t="shared" si="31"/>
        <v>109.93967999999998</v>
      </c>
      <c r="G42" s="300">
        <f t="shared" si="31"/>
        <v>113.24448</v>
      </c>
      <c r="H42" s="300">
        <f t="shared" si="31"/>
        <v>116.65944</v>
      </c>
      <c r="I42" s="300">
        <f t="shared" si="31"/>
        <v>119.96424</v>
      </c>
      <c r="J42" s="300">
        <f t="shared" si="31"/>
        <v>123.3792</v>
      </c>
      <c r="K42" s="300">
        <f t="shared" si="31"/>
        <v>126.684</v>
      </c>
      <c r="L42" s="300">
        <f t="shared" si="31"/>
        <v>129.9888</v>
      </c>
      <c r="M42" s="300">
        <f t="shared" si="31"/>
        <v>133.40375999999998</v>
      </c>
      <c r="N42" s="300">
        <f t="shared" si="31"/>
        <v>136.70855999999998</v>
      </c>
      <c r="O42" s="300">
        <f t="shared" si="31"/>
        <v>140.12352000000001</v>
      </c>
      <c r="P42" s="300">
        <f t="shared" si="31"/>
        <v>143.42832000000001</v>
      </c>
      <c r="Q42" s="300">
        <f t="shared" si="31"/>
        <v>146.84327999999999</v>
      </c>
      <c r="R42" s="300">
        <f t="shared" si="31"/>
        <v>150.14807999999999</v>
      </c>
      <c r="S42" s="300">
        <f t="shared" si="31"/>
        <v>153.56304</v>
      </c>
      <c r="T42" s="300">
        <f t="shared" si="31"/>
        <v>156.86784</v>
      </c>
      <c r="U42" s="300">
        <f t="shared" si="31"/>
        <v>160.28279999999998</v>
      </c>
      <c r="V42" s="300">
        <f t="shared" si="31"/>
        <v>163.58759999999998</v>
      </c>
      <c r="W42" s="300">
        <f t="shared" si="31"/>
        <v>167.00256000000002</v>
      </c>
      <c r="X42" s="300">
        <f t="shared" si="31"/>
        <v>170.30736000000002</v>
      </c>
      <c r="Y42" s="300">
        <f t="shared" si="31"/>
        <v>173.72231999999997</v>
      </c>
      <c r="Z42" s="300">
        <f t="shared" si="31"/>
        <v>177.02711999999997</v>
      </c>
      <c r="AA42" s="300">
        <f t="shared" si="31"/>
        <v>180.44208000000003</v>
      </c>
      <c r="AB42" s="300">
        <f t="shared" si="31"/>
        <v>183.74688000000003</v>
      </c>
      <c r="AC42" s="300">
        <f t="shared" si="31"/>
        <v>187.16183999999998</v>
      </c>
      <c r="AD42" s="300">
        <f t="shared" si="31"/>
        <v>190.46664000000001</v>
      </c>
      <c r="AE42" s="300">
        <f t="shared" si="31"/>
        <v>193.88159999999999</v>
      </c>
      <c r="AF42" s="300">
        <f t="shared" si="31"/>
        <v>197.18639999999999</v>
      </c>
      <c r="AG42" s="300">
        <f t="shared" si="31"/>
        <v>200.60135999999997</v>
      </c>
      <c r="AH42" s="304">
        <f t="shared" si="31"/>
        <v>203.90616</v>
      </c>
    </row>
    <row r="43" spans="1:34">
      <c r="A43" s="1781"/>
      <c r="B43" s="392">
        <v>3.7</v>
      </c>
      <c r="C43" s="303">
        <f t="shared" ref="C43:AH43" si="32">C102-C102*10/100</f>
        <v>100.46592</v>
      </c>
      <c r="D43" s="300">
        <f t="shared" si="32"/>
        <v>103.88087999999999</v>
      </c>
      <c r="E43" s="300">
        <f t="shared" si="32"/>
        <v>107.29584</v>
      </c>
      <c r="F43" s="300">
        <f t="shared" si="32"/>
        <v>110.71080000000001</v>
      </c>
      <c r="G43" s="300">
        <f t="shared" si="32"/>
        <v>114.12576</v>
      </c>
      <c r="H43" s="300">
        <f t="shared" si="32"/>
        <v>117.54071999999999</v>
      </c>
      <c r="I43" s="300">
        <f t="shared" si="32"/>
        <v>120.95567999999999</v>
      </c>
      <c r="J43" s="300">
        <f t="shared" si="32"/>
        <v>124.37063999999998</v>
      </c>
      <c r="K43" s="300">
        <f t="shared" si="32"/>
        <v>127.7856</v>
      </c>
      <c r="L43" s="300">
        <f t="shared" si="32"/>
        <v>131.20056</v>
      </c>
      <c r="M43" s="300">
        <f t="shared" si="32"/>
        <v>134.61552</v>
      </c>
      <c r="N43" s="300">
        <f t="shared" si="32"/>
        <v>138.03048000000001</v>
      </c>
      <c r="O43" s="300">
        <f t="shared" si="32"/>
        <v>141.44544000000002</v>
      </c>
      <c r="P43" s="300">
        <f t="shared" si="32"/>
        <v>144.8604</v>
      </c>
      <c r="Q43" s="300">
        <f t="shared" si="32"/>
        <v>148.27535999999998</v>
      </c>
      <c r="R43" s="300">
        <f t="shared" si="32"/>
        <v>151.69031999999999</v>
      </c>
      <c r="S43" s="300">
        <f t="shared" si="32"/>
        <v>155.10527999999999</v>
      </c>
      <c r="T43" s="300">
        <f t="shared" si="32"/>
        <v>158.52024000000003</v>
      </c>
      <c r="U43" s="300">
        <f t="shared" si="32"/>
        <v>161.93520000000001</v>
      </c>
      <c r="V43" s="300">
        <f t="shared" si="32"/>
        <v>165.35015999999999</v>
      </c>
      <c r="W43" s="300">
        <f t="shared" si="32"/>
        <v>168.76511999999997</v>
      </c>
      <c r="X43" s="300">
        <f t="shared" si="32"/>
        <v>172.18008</v>
      </c>
      <c r="Y43" s="300">
        <f t="shared" si="32"/>
        <v>175.59504000000001</v>
      </c>
      <c r="Z43" s="300">
        <f t="shared" si="32"/>
        <v>179.01</v>
      </c>
      <c r="AA43" s="300">
        <f t="shared" si="32"/>
        <v>182.42496</v>
      </c>
      <c r="AB43" s="300">
        <f t="shared" si="32"/>
        <v>185.83991999999998</v>
      </c>
      <c r="AC43" s="300">
        <f t="shared" si="32"/>
        <v>189.25488000000001</v>
      </c>
      <c r="AD43" s="300">
        <f t="shared" si="32"/>
        <v>192.66983999999999</v>
      </c>
      <c r="AE43" s="300">
        <f t="shared" si="32"/>
        <v>196.08479999999997</v>
      </c>
      <c r="AF43" s="300">
        <f t="shared" si="32"/>
        <v>199.49976000000001</v>
      </c>
      <c r="AG43" s="300">
        <f t="shared" si="32"/>
        <v>202.91471999999999</v>
      </c>
      <c r="AH43" s="304">
        <f t="shared" si="32"/>
        <v>206.32968000000002</v>
      </c>
    </row>
    <row r="44" spans="1:34">
      <c r="A44" s="1781"/>
      <c r="B44" s="392">
        <v>3.8</v>
      </c>
      <c r="C44" s="303">
        <f t="shared" ref="C44:AH44" si="33">C103-C103*10/100</f>
        <v>101.01672000000001</v>
      </c>
      <c r="D44" s="300">
        <f t="shared" si="33"/>
        <v>104.54184000000001</v>
      </c>
      <c r="E44" s="300">
        <f t="shared" si="33"/>
        <v>107.9568</v>
      </c>
      <c r="F44" s="300">
        <f t="shared" si="33"/>
        <v>111.48192</v>
      </c>
      <c r="G44" s="300">
        <f t="shared" si="33"/>
        <v>114.89688</v>
      </c>
      <c r="H44" s="300">
        <f t="shared" si="33"/>
        <v>118.42200000000001</v>
      </c>
      <c r="I44" s="300">
        <f t="shared" si="33"/>
        <v>121.94712000000001</v>
      </c>
      <c r="J44" s="300">
        <f t="shared" si="33"/>
        <v>125.36207999999998</v>
      </c>
      <c r="K44" s="300">
        <f t="shared" si="33"/>
        <v>128.88720000000001</v>
      </c>
      <c r="L44" s="300">
        <f t="shared" si="33"/>
        <v>132.30215999999999</v>
      </c>
      <c r="M44" s="300">
        <f t="shared" si="33"/>
        <v>135.82728</v>
      </c>
      <c r="N44" s="300">
        <f t="shared" si="33"/>
        <v>139.24223999999998</v>
      </c>
      <c r="O44" s="300">
        <f t="shared" si="33"/>
        <v>142.76736</v>
      </c>
      <c r="P44" s="300">
        <f t="shared" si="33"/>
        <v>146.29248000000001</v>
      </c>
      <c r="Q44" s="300">
        <f t="shared" si="33"/>
        <v>149.70743999999999</v>
      </c>
      <c r="R44" s="300">
        <f t="shared" si="33"/>
        <v>153.23256000000001</v>
      </c>
      <c r="S44" s="300">
        <f t="shared" si="33"/>
        <v>156.64751999999996</v>
      </c>
      <c r="T44" s="300">
        <f t="shared" si="33"/>
        <v>160.17264</v>
      </c>
      <c r="U44" s="300">
        <f t="shared" si="33"/>
        <v>163.58759999999998</v>
      </c>
      <c r="V44" s="300">
        <f t="shared" si="33"/>
        <v>167.11271999999997</v>
      </c>
      <c r="W44" s="300">
        <f t="shared" si="33"/>
        <v>170.52768</v>
      </c>
      <c r="X44" s="300">
        <f t="shared" si="33"/>
        <v>174.05279999999999</v>
      </c>
      <c r="Y44" s="300">
        <f t="shared" si="33"/>
        <v>177.57791999999995</v>
      </c>
      <c r="Z44" s="300">
        <f t="shared" si="33"/>
        <v>180.99288000000001</v>
      </c>
      <c r="AA44" s="300">
        <f t="shared" si="33"/>
        <v>184.51799999999997</v>
      </c>
      <c r="AB44" s="300">
        <f t="shared" si="33"/>
        <v>187.93296000000001</v>
      </c>
      <c r="AC44" s="300">
        <f t="shared" si="33"/>
        <v>191.45808</v>
      </c>
      <c r="AD44" s="300">
        <f t="shared" si="33"/>
        <v>194.87304000000003</v>
      </c>
      <c r="AE44" s="300">
        <f t="shared" si="33"/>
        <v>198.39815999999999</v>
      </c>
      <c r="AF44" s="300">
        <f t="shared" si="33"/>
        <v>201.92328000000001</v>
      </c>
      <c r="AG44" s="300">
        <f t="shared" si="33"/>
        <v>205.33824000000001</v>
      </c>
      <c r="AH44" s="304">
        <f t="shared" si="33"/>
        <v>208.86335999999997</v>
      </c>
    </row>
    <row r="45" spans="1:34">
      <c r="A45" s="1781"/>
      <c r="B45" s="392">
        <v>3.9</v>
      </c>
      <c r="C45" s="303">
        <f t="shared" ref="C45:AH45" si="34">C104-C104*10/100</f>
        <v>101.67768000000001</v>
      </c>
      <c r="D45" s="300">
        <f t="shared" si="34"/>
        <v>105.2028</v>
      </c>
      <c r="E45" s="300">
        <f t="shared" si="34"/>
        <v>108.72792000000001</v>
      </c>
      <c r="F45" s="300">
        <f t="shared" si="34"/>
        <v>112.25304</v>
      </c>
      <c r="G45" s="300">
        <f t="shared" si="34"/>
        <v>115.77815999999999</v>
      </c>
      <c r="H45" s="300">
        <f t="shared" si="34"/>
        <v>119.30327999999997</v>
      </c>
      <c r="I45" s="300">
        <f t="shared" si="34"/>
        <v>122.8284</v>
      </c>
      <c r="J45" s="300">
        <f t="shared" si="34"/>
        <v>126.46368</v>
      </c>
      <c r="K45" s="300">
        <f t="shared" si="34"/>
        <v>129.9888</v>
      </c>
      <c r="L45" s="300">
        <f t="shared" si="34"/>
        <v>133.51392000000001</v>
      </c>
      <c r="M45" s="300">
        <f t="shared" si="34"/>
        <v>137.03904</v>
      </c>
      <c r="N45" s="300">
        <f t="shared" si="34"/>
        <v>140.56415999999999</v>
      </c>
      <c r="O45" s="300">
        <f t="shared" si="34"/>
        <v>144.08928000000003</v>
      </c>
      <c r="P45" s="300">
        <f t="shared" si="34"/>
        <v>147.61439999999999</v>
      </c>
      <c r="Q45" s="300">
        <f t="shared" si="34"/>
        <v>151.13951999999998</v>
      </c>
      <c r="R45" s="300">
        <f t="shared" si="34"/>
        <v>154.66463999999999</v>
      </c>
      <c r="S45" s="300">
        <f t="shared" si="34"/>
        <v>158.18976000000001</v>
      </c>
      <c r="T45" s="300">
        <f t="shared" si="34"/>
        <v>161.71488000000002</v>
      </c>
      <c r="U45" s="300">
        <f t="shared" si="34"/>
        <v>165.35015999999999</v>
      </c>
      <c r="V45" s="300">
        <f t="shared" si="34"/>
        <v>168.87528</v>
      </c>
      <c r="W45" s="300">
        <f t="shared" si="34"/>
        <v>172.40039999999999</v>
      </c>
      <c r="X45" s="300">
        <f t="shared" si="34"/>
        <v>175.92552000000001</v>
      </c>
      <c r="Y45" s="300">
        <f t="shared" si="34"/>
        <v>179.45063999999999</v>
      </c>
      <c r="Z45" s="300">
        <f t="shared" si="34"/>
        <v>182.97576000000001</v>
      </c>
      <c r="AA45" s="300">
        <f t="shared" si="34"/>
        <v>186.50088</v>
      </c>
      <c r="AB45" s="300">
        <f t="shared" si="34"/>
        <v>190.02600000000001</v>
      </c>
      <c r="AC45" s="300">
        <f t="shared" si="34"/>
        <v>193.55111999999997</v>
      </c>
      <c r="AD45" s="300">
        <f t="shared" si="34"/>
        <v>197.07624000000001</v>
      </c>
      <c r="AE45" s="300">
        <f t="shared" si="34"/>
        <v>200.71152000000001</v>
      </c>
      <c r="AF45" s="300">
        <f t="shared" si="34"/>
        <v>204.23663999999999</v>
      </c>
      <c r="AG45" s="300">
        <f t="shared" si="34"/>
        <v>207.76175999999998</v>
      </c>
      <c r="AH45" s="304">
        <f t="shared" si="34"/>
        <v>211.28688</v>
      </c>
    </row>
    <row r="46" spans="1:34">
      <c r="A46" s="1781"/>
      <c r="B46" s="392">
        <v>4</v>
      </c>
      <c r="C46" s="303">
        <f t="shared" ref="C46:AH46" si="35">C105-C105*10/100</f>
        <v>102.22847999999999</v>
      </c>
      <c r="D46" s="300">
        <f t="shared" si="35"/>
        <v>105.86375999999998</v>
      </c>
      <c r="E46" s="300">
        <f t="shared" si="35"/>
        <v>109.49903999999999</v>
      </c>
      <c r="F46" s="300">
        <f t="shared" si="35"/>
        <v>113.02415999999999</v>
      </c>
      <c r="G46" s="300">
        <f t="shared" si="35"/>
        <v>116.65944</v>
      </c>
      <c r="H46" s="300">
        <f t="shared" si="35"/>
        <v>120.29472</v>
      </c>
      <c r="I46" s="300">
        <f t="shared" si="35"/>
        <v>123.81984000000001</v>
      </c>
      <c r="J46" s="300">
        <f t="shared" si="35"/>
        <v>127.45512000000001</v>
      </c>
      <c r="K46" s="300">
        <f t="shared" si="35"/>
        <v>130.98024000000001</v>
      </c>
      <c r="L46" s="300">
        <f t="shared" si="35"/>
        <v>134.61552</v>
      </c>
      <c r="M46" s="300">
        <f t="shared" si="35"/>
        <v>138.2508</v>
      </c>
      <c r="N46" s="300">
        <f t="shared" si="35"/>
        <v>141.77591999999999</v>
      </c>
      <c r="O46" s="300">
        <f t="shared" si="35"/>
        <v>145.41120000000001</v>
      </c>
      <c r="P46" s="300">
        <f t="shared" si="35"/>
        <v>149.04648</v>
      </c>
      <c r="Q46" s="300">
        <f t="shared" si="35"/>
        <v>152.57159999999999</v>
      </c>
      <c r="R46" s="300">
        <f t="shared" si="35"/>
        <v>156.20688000000001</v>
      </c>
      <c r="S46" s="300">
        <f t="shared" si="35"/>
        <v>159.84216000000001</v>
      </c>
      <c r="T46" s="300">
        <f t="shared" si="35"/>
        <v>163.36728000000002</v>
      </c>
      <c r="U46" s="300">
        <f t="shared" si="35"/>
        <v>167.00256000000002</v>
      </c>
      <c r="V46" s="300">
        <f t="shared" si="35"/>
        <v>170.52768</v>
      </c>
      <c r="W46" s="300">
        <f t="shared" si="35"/>
        <v>174.16296</v>
      </c>
      <c r="X46" s="300">
        <f t="shared" si="35"/>
        <v>177.79824000000002</v>
      </c>
      <c r="Y46" s="300">
        <f t="shared" si="35"/>
        <v>181.32335999999998</v>
      </c>
      <c r="Z46" s="300">
        <f t="shared" si="35"/>
        <v>184.95864</v>
      </c>
      <c r="AA46" s="300">
        <f t="shared" si="35"/>
        <v>188.59392</v>
      </c>
      <c r="AB46" s="300">
        <f t="shared" si="35"/>
        <v>192.11903999999998</v>
      </c>
      <c r="AC46" s="300">
        <f t="shared" si="35"/>
        <v>195.75432000000001</v>
      </c>
      <c r="AD46" s="300">
        <f t="shared" si="35"/>
        <v>199.3896</v>
      </c>
      <c r="AE46" s="300">
        <f t="shared" si="35"/>
        <v>202.91471999999999</v>
      </c>
      <c r="AF46" s="300">
        <f t="shared" si="35"/>
        <v>206.55</v>
      </c>
      <c r="AG46" s="300">
        <f t="shared" si="35"/>
        <v>210.07511999999997</v>
      </c>
      <c r="AH46" s="304">
        <f t="shared" si="35"/>
        <v>213.71039999999999</v>
      </c>
    </row>
    <row r="47" spans="1:34">
      <c r="A47" s="1781"/>
      <c r="B47" s="392">
        <v>4.0999999999999996</v>
      </c>
      <c r="C47" s="303">
        <f t="shared" ref="C47:AH47" si="36">C106-C106*10/100</f>
        <v>102.88944000000001</v>
      </c>
      <c r="D47" s="300">
        <f t="shared" si="36"/>
        <v>106.52472</v>
      </c>
      <c r="E47" s="300">
        <f t="shared" si="36"/>
        <v>110.16</v>
      </c>
      <c r="F47" s="300">
        <f t="shared" si="36"/>
        <v>113.79527999999999</v>
      </c>
      <c r="G47" s="300">
        <f t="shared" si="36"/>
        <v>117.54071999999999</v>
      </c>
      <c r="H47" s="300">
        <f t="shared" si="36"/>
        <v>121.17599999999999</v>
      </c>
      <c r="I47" s="300">
        <f t="shared" si="36"/>
        <v>124.81128000000001</v>
      </c>
      <c r="J47" s="300">
        <f t="shared" si="36"/>
        <v>128.44656000000001</v>
      </c>
      <c r="K47" s="300">
        <f t="shared" si="36"/>
        <v>132.08184</v>
      </c>
      <c r="L47" s="300">
        <f t="shared" si="36"/>
        <v>135.82728</v>
      </c>
      <c r="M47" s="300">
        <f t="shared" si="36"/>
        <v>139.46256</v>
      </c>
      <c r="N47" s="300">
        <f t="shared" si="36"/>
        <v>143.09784000000002</v>
      </c>
      <c r="O47" s="300">
        <f t="shared" si="36"/>
        <v>146.73311999999999</v>
      </c>
      <c r="P47" s="300">
        <f t="shared" si="36"/>
        <v>150.36840000000001</v>
      </c>
      <c r="Q47" s="300">
        <f t="shared" si="36"/>
        <v>154.00367999999997</v>
      </c>
      <c r="R47" s="300">
        <f t="shared" si="36"/>
        <v>157.74911999999998</v>
      </c>
      <c r="S47" s="300">
        <f t="shared" si="36"/>
        <v>161.3844</v>
      </c>
      <c r="T47" s="300">
        <f t="shared" si="36"/>
        <v>165.01968000000002</v>
      </c>
      <c r="U47" s="300">
        <f t="shared" si="36"/>
        <v>168.65495999999999</v>
      </c>
      <c r="V47" s="300">
        <f t="shared" si="36"/>
        <v>172.29024000000001</v>
      </c>
      <c r="W47" s="300">
        <f t="shared" si="36"/>
        <v>175.92552000000001</v>
      </c>
      <c r="X47" s="300">
        <f t="shared" si="36"/>
        <v>179.67096000000001</v>
      </c>
      <c r="Y47" s="300">
        <f t="shared" si="36"/>
        <v>183.30624</v>
      </c>
      <c r="Z47" s="300">
        <f t="shared" si="36"/>
        <v>186.94152</v>
      </c>
      <c r="AA47" s="300">
        <f t="shared" si="36"/>
        <v>190.57680000000002</v>
      </c>
      <c r="AB47" s="300">
        <f t="shared" si="36"/>
        <v>194.21208000000001</v>
      </c>
      <c r="AC47" s="300">
        <f t="shared" si="36"/>
        <v>197.84735999999998</v>
      </c>
      <c r="AD47" s="300">
        <f t="shared" si="36"/>
        <v>201.59279999999998</v>
      </c>
      <c r="AE47" s="300">
        <f t="shared" si="36"/>
        <v>205.22808000000001</v>
      </c>
      <c r="AF47" s="300">
        <f t="shared" si="36"/>
        <v>208.86335999999997</v>
      </c>
      <c r="AG47" s="300">
        <f t="shared" si="36"/>
        <v>212.49863999999999</v>
      </c>
      <c r="AH47" s="304">
        <f t="shared" si="36"/>
        <v>216.13391999999999</v>
      </c>
    </row>
    <row r="48" spans="1:34">
      <c r="A48" s="1781"/>
      <c r="B48" s="392">
        <v>4.2</v>
      </c>
      <c r="C48" s="303">
        <f t="shared" ref="C48:AH48" si="37">C107-C107*10/100</f>
        <v>103.44024</v>
      </c>
      <c r="D48" s="300">
        <f t="shared" si="37"/>
        <v>107.18567999999999</v>
      </c>
      <c r="E48" s="300">
        <f t="shared" si="37"/>
        <v>110.93111999999999</v>
      </c>
      <c r="F48" s="300">
        <f t="shared" si="37"/>
        <v>114.67655999999999</v>
      </c>
      <c r="G48" s="300">
        <f t="shared" si="37"/>
        <v>118.31183999999999</v>
      </c>
      <c r="H48" s="300">
        <f t="shared" si="37"/>
        <v>122.05728000000001</v>
      </c>
      <c r="I48" s="300">
        <f t="shared" si="37"/>
        <v>125.80271999999999</v>
      </c>
      <c r="J48" s="300">
        <f t="shared" si="37"/>
        <v>129.43799999999999</v>
      </c>
      <c r="K48" s="300">
        <f t="shared" si="37"/>
        <v>133.18344000000002</v>
      </c>
      <c r="L48" s="300">
        <f t="shared" si="37"/>
        <v>136.92887999999999</v>
      </c>
      <c r="M48" s="300">
        <f t="shared" si="37"/>
        <v>140.67432000000002</v>
      </c>
      <c r="N48" s="300">
        <f t="shared" si="37"/>
        <v>144.30959999999999</v>
      </c>
      <c r="O48" s="300">
        <f t="shared" si="37"/>
        <v>148.05504000000002</v>
      </c>
      <c r="P48" s="300">
        <f t="shared" si="37"/>
        <v>151.80047999999999</v>
      </c>
      <c r="Q48" s="300">
        <f t="shared" si="37"/>
        <v>155.43576000000002</v>
      </c>
      <c r="R48" s="300">
        <f t="shared" si="37"/>
        <v>159.18120000000002</v>
      </c>
      <c r="S48" s="300">
        <f t="shared" si="37"/>
        <v>162.92663999999999</v>
      </c>
      <c r="T48" s="300">
        <f t="shared" si="37"/>
        <v>166.67207999999999</v>
      </c>
      <c r="U48" s="300">
        <f t="shared" si="37"/>
        <v>170.30736000000002</v>
      </c>
      <c r="V48" s="300">
        <f t="shared" si="37"/>
        <v>174.05279999999999</v>
      </c>
      <c r="W48" s="300">
        <f t="shared" si="37"/>
        <v>177.79824000000002</v>
      </c>
      <c r="X48" s="300">
        <f t="shared" si="37"/>
        <v>181.43351999999999</v>
      </c>
      <c r="Y48" s="300">
        <f t="shared" si="37"/>
        <v>185.17895999999996</v>
      </c>
      <c r="Z48" s="300">
        <f t="shared" si="37"/>
        <v>188.92439999999999</v>
      </c>
      <c r="AA48" s="300">
        <f t="shared" si="37"/>
        <v>192.66983999999999</v>
      </c>
      <c r="AB48" s="300">
        <f t="shared" si="37"/>
        <v>196.30511999999999</v>
      </c>
      <c r="AC48" s="300">
        <f t="shared" si="37"/>
        <v>200.05056000000002</v>
      </c>
      <c r="AD48" s="300">
        <f t="shared" si="37"/>
        <v>203.79600000000002</v>
      </c>
      <c r="AE48" s="300">
        <f t="shared" si="37"/>
        <v>207.43127999999999</v>
      </c>
      <c r="AF48" s="300">
        <f t="shared" si="37"/>
        <v>211.17671999999999</v>
      </c>
      <c r="AG48" s="300">
        <f t="shared" si="37"/>
        <v>214.92216000000002</v>
      </c>
      <c r="AH48" s="304">
        <f t="shared" si="37"/>
        <v>218.66759999999999</v>
      </c>
    </row>
    <row r="49" spans="1:34">
      <c r="A49" s="1781"/>
      <c r="B49" s="392">
        <v>4.3</v>
      </c>
      <c r="C49" s="303">
        <f t="shared" ref="C49:AH49" si="38">C108-C108*10/100</f>
        <v>104.10119999999999</v>
      </c>
      <c r="D49" s="300">
        <f t="shared" si="38"/>
        <v>107.84663999999999</v>
      </c>
      <c r="E49" s="300">
        <f t="shared" si="38"/>
        <v>111.70224</v>
      </c>
      <c r="F49" s="300">
        <f t="shared" si="38"/>
        <v>115.44767999999999</v>
      </c>
      <c r="G49" s="300">
        <f t="shared" si="38"/>
        <v>119.19312000000001</v>
      </c>
      <c r="H49" s="300">
        <f t="shared" si="38"/>
        <v>122.93856</v>
      </c>
      <c r="I49" s="300">
        <f t="shared" si="38"/>
        <v>126.79415999999999</v>
      </c>
      <c r="J49" s="300">
        <f t="shared" si="38"/>
        <v>130.53960000000001</v>
      </c>
      <c r="K49" s="300">
        <f t="shared" si="38"/>
        <v>134.28504000000001</v>
      </c>
      <c r="L49" s="300">
        <f t="shared" si="38"/>
        <v>138.03048000000001</v>
      </c>
      <c r="M49" s="300">
        <f t="shared" si="38"/>
        <v>141.88607999999999</v>
      </c>
      <c r="N49" s="300">
        <f t="shared" si="38"/>
        <v>145.63151999999999</v>
      </c>
      <c r="O49" s="300">
        <f t="shared" si="38"/>
        <v>149.37695999999997</v>
      </c>
      <c r="P49" s="300">
        <f t="shared" si="38"/>
        <v>153.1224</v>
      </c>
      <c r="Q49" s="300">
        <f t="shared" si="38"/>
        <v>156.97799999999998</v>
      </c>
      <c r="R49" s="300">
        <f t="shared" si="38"/>
        <v>160.72344000000001</v>
      </c>
      <c r="S49" s="300">
        <f t="shared" si="38"/>
        <v>164.46888000000001</v>
      </c>
      <c r="T49" s="300">
        <f t="shared" si="38"/>
        <v>168.21431999999999</v>
      </c>
      <c r="U49" s="300">
        <f t="shared" si="38"/>
        <v>172.06992</v>
      </c>
      <c r="V49" s="300">
        <f t="shared" si="38"/>
        <v>175.81536</v>
      </c>
      <c r="W49" s="300">
        <f t="shared" si="38"/>
        <v>179.56079999999997</v>
      </c>
      <c r="X49" s="300">
        <f t="shared" si="38"/>
        <v>183.30624</v>
      </c>
      <c r="Y49" s="300">
        <f t="shared" si="38"/>
        <v>187.16183999999998</v>
      </c>
      <c r="Z49" s="300">
        <f t="shared" si="38"/>
        <v>190.90728000000001</v>
      </c>
      <c r="AA49" s="300">
        <f t="shared" si="38"/>
        <v>194.65271999999999</v>
      </c>
      <c r="AB49" s="300">
        <f t="shared" si="38"/>
        <v>198.39815999999999</v>
      </c>
      <c r="AC49" s="300">
        <f t="shared" si="38"/>
        <v>202.25376</v>
      </c>
      <c r="AD49" s="300">
        <f t="shared" si="38"/>
        <v>205.9992</v>
      </c>
      <c r="AE49" s="300">
        <f t="shared" si="38"/>
        <v>209.74464</v>
      </c>
      <c r="AF49" s="300">
        <f t="shared" si="38"/>
        <v>213.49008000000003</v>
      </c>
      <c r="AG49" s="300">
        <f t="shared" si="38"/>
        <v>217.34568000000002</v>
      </c>
      <c r="AH49" s="304">
        <f t="shared" si="38"/>
        <v>221.09111999999999</v>
      </c>
    </row>
    <row r="50" spans="1:34">
      <c r="A50" s="1781"/>
      <c r="B50" s="392">
        <v>4.4000000000000004</v>
      </c>
      <c r="C50" s="303">
        <f t="shared" ref="C50:AH50" si="39">C109-C109*10/100</f>
        <v>104.76215999999999</v>
      </c>
      <c r="D50" s="300">
        <f t="shared" si="39"/>
        <v>108.5076</v>
      </c>
      <c r="E50" s="300">
        <f t="shared" si="39"/>
        <v>112.36320000000001</v>
      </c>
      <c r="F50" s="300">
        <f t="shared" si="39"/>
        <v>116.2188</v>
      </c>
      <c r="G50" s="300">
        <f t="shared" si="39"/>
        <v>120.0744</v>
      </c>
      <c r="H50" s="300">
        <f t="shared" si="39"/>
        <v>123.92999999999999</v>
      </c>
      <c r="I50" s="300">
        <f t="shared" si="39"/>
        <v>127.67544000000001</v>
      </c>
      <c r="J50" s="300">
        <f t="shared" si="39"/>
        <v>131.53103999999999</v>
      </c>
      <c r="K50" s="300">
        <f t="shared" si="39"/>
        <v>135.38664</v>
      </c>
      <c r="L50" s="300">
        <f t="shared" si="39"/>
        <v>139.24223999999998</v>
      </c>
      <c r="M50" s="300">
        <f t="shared" si="39"/>
        <v>142.98768000000001</v>
      </c>
      <c r="N50" s="300">
        <f t="shared" si="39"/>
        <v>146.84327999999999</v>
      </c>
      <c r="O50" s="300">
        <f t="shared" si="39"/>
        <v>150.69888</v>
      </c>
      <c r="P50" s="300">
        <f t="shared" si="39"/>
        <v>154.55448000000001</v>
      </c>
      <c r="Q50" s="300">
        <f t="shared" si="39"/>
        <v>158.41007999999999</v>
      </c>
      <c r="R50" s="300">
        <f t="shared" si="39"/>
        <v>162.15551999999997</v>
      </c>
      <c r="S50" s="300">
        <f t="shared" si="39"/>
        <v>166.01112000000001</v>
      </c>
      <c r="T50" s="300">
        <f t="shared" si="39"/>
        <v>169.86671999999999</v>
      </c>
      <c r="U50" s="300">
        <f t="shared" si="39"/>
        <v>173.72231999999997</v>
      </c>
      <c r="V50" s="300">
        <f t="shared" si="39"/>
        <v>177.57791999999995</v>
      </c>
      <c r="W50" s="300">
        <f t="shared" si="39"/>
        <v>181.32335999999998</v>
      </c>
      <c r="X50" s="300">
        <f t="shared" si="39"/>
        <v>185.17895999999996</v>
      </c>
      <c r="Y50" s="300">
        <f t="shared" si="39"/>
        <v>189.03456</v>
      </c>
      <c r="Z50" s="300">
        <f t="shared" si="39"/>
        <v>192.89015999999998</v>
      </c>
      <c r="AA50" s="300">
        <f t="shared" si="39"/>
        <v>196.74575999999999</v>
      </c>
      <c r="AB50" s="300">
        <f t="shared" si="39"/>
        <v>200.49119999999999</v>
      </c>
      <c r="AC50" s="300">
        <f t="shared" si="39"/>
        <v>204.3468</v>
      </c>
      <c r="AD50" s="300">
        <f t="shared" si="39"/>
        <v>208.20239999999998</v>
      </c>
      <c r="AE50" s="300">
        <f t="shared" si="39"/>
        <v>212.05799999999999</v>
      </c>
      <c r="AF50" s="300">
        <f t="shared" si="39"/>
        <v>215.80343999999999</v>
      </c>
      <c r="AG50" s="300">
        <f t="shared" si="39"/>
        <v>219.65904</v>
      </c>
      <c r="AH50" s="304">
        <f t="shared" si="39"/>
        <v>223.51463999999999</v>
      </c>
    </row>
    <row r="51" spans="1:34">
      <c r="A51" s="1781"/>
      <c r="B51" s="392">
        <v>4.5</v>
      </c>
      <c r="C51" s="303">
        <f t="shared" ref="C51:AH51" si="40">C110-C110*10/100</f>
        <v>105.31295999999999</v>
      </c>
      <c r="D51" s="300">
        <f t="shared" si="40"/>
        <v>109.16855999999999</v>
      </c>
      <c r="E51" s="300">
        <f t="shared" si="40"/>
        <v>113.13432</v>
      </c>
      <c r="F51" s="300">
        <f t="shared" si="40"/>
        <v>116.98992</v>
      </c>
      <c r="G51" s="300">
        <f t="shared" si="40"/>
        <v>120.84551999999999</v>
      </c>
      <c r="H51" s="300">
        <f t="shared" si="40"/>
        <v>124.81128000000001</v>
      </c>
      <c r="I51" s="300">
        <f t="shared" si="40"/>
        <v>128.66687999999999</v>
      </c>
      <c r="J51" s="300">
        <f t="shared" si="40"/>
        <v>132.52248</v>
      </c>
      <c r="K51" s="300">
        <f t="shared" si="40"/>
        <v>136.48824000000002</v>
      </c>
      <c r="L51" s="300">
        <f t="shared" si="40"/>
        <v>140.34384</v>
      </c>
      <c r="M51" s="300">
        <f t="shared" si="40"/>
        <v>144.19943999999998</v>
      </c>
      <c r="N51" s="300">
        <f t="shared" si="40"/>
        <v>148.1652</v>
      </c>
      <c r="O51" s="300">
        <f t="shared" si="40"/>
        <v>152.02079999999998</v>
      </c>
      <c r="P51" s="300">
        <f t="shared" si="40"/>
        <v>155.87639999999999</v>
      </c>
      <c r="Q51" s="300">
        <f t="shared" si="40"/>
        <v>159.84216000000001</v>
      </c>
      <c r="R51" s="300">
        <f t="shared" si="40"/>
        <v>163.69776000000002</v>
      </c>
      <c r="S51" s="300">
        <f t="shared" si="40"/>
        <v>167.55336</v>
      </c>
      <c r="T51" s="300">
        <f t="shared" si="40"/>
        <v>171.51911999999999</v>
      </c>
      <c r="U51" s="300">
        <f t="shared" si="40"/>
        <v>175.37472</v>
      </c>
      <c r="V51" s="300">
        <f t="shared" si="40"/>
        <v>179.23031999999998</v>
      </c>
      <c r="W51" s="300">
        <f t="shared" si="40"/>
        <v>183.19607999999999</v>
      </c>
      <c r="X51" s="300">
        <f t="shared" si="40"/>
        <v>187.05168</v>
      </c>
      <c r="Y51" s="300">
        <f t="shared" si="40"/>
        <v>190.90728000000001</v>
      </c>
      <c r="Z51" s="300">
        <f t="shared" si="40"/>
        <v>194.87304000000003</v>
      </c>
      <c r="AA51" s="300">
        <f t="shared" si="40"/>
        <v>198.72864000000001</v>
      </c>
      <c r="AB51" s="300">
        <f t="shared" si="40"/>
        <v>202.58424000000002</v>
      </c>
      <c r="AC51" s="300">
        <f t="shared" si="40"/>
        <v>206.55</v>
      </c>
      <c r="AD51" s="300">
        <f t="shared" si="40"/>
        <v>210.40559999999999</v>
      </c>
      <c r="AE51" s="300">
        <f t="shared" si="40"/>
        <v>214.2612</v>
      </c>
      <c r="AF51" s="300">
        <f t="shared" si="40"/>
        <v>218.22695999999999</v>
      </c>
      <c r="AG51" s="300">
        <f t="shared" si="40"/>
        <v>222.08256</v>
      </c>
      <c r="AH51" s="304">
        <f t="shared" si="40"/>
        <v>225.93815999999998</v>
      </c>
    </row>
    <row r="52" spans="1:34">
      <c r="A52" s="1781"/>
      <c r="B52" s="392">
        <v>4.5999999999999996</v>
      </c>
      <c r="C52" s="303">
        <f t="shared" ref="C52:AH52" si="41">C111-C111*10/100</f>
        <v>105.97392000000001</v>
      </c>
      <c r="D52" s="300">
        <f t="shared" si="41"/>
        <v>109.93967999999998</v>
      </c>
      <c r="E52" s="300">
        <f t="shared" si="41"/>
        <v>113.79527999999999</v>
      </c>
      <c r="F52" s="300">
        <f t="shared" si="41"/>
        <v>117.76104000000002</v>
      </c>
      <c r="G52" s="300">
        <f t="shared" si="41"/>
        <v>121.72680000000001</v>
      </c>
      <c r="H52" s="300">
        <f t="shared" si="41"/>
        <v>125.69255999999997</v>
      </c>
      <c r="I52" s="300">
        <f t="shared" si="41"/>
        <v>129.65832</v>
      </c>
      <c r="J52" s="300">
        <f t="shared" si="41"/>
        <v>133.62407999999999</v>
      </c>
      <c r="K52" s="300">
        <f t="shared" si="41"/>
        <v>137.58984000000001</v>
      </c>
      <c r="L52" s="300">
        <f t="shared" si="41"/>
        <v>141.5556</v>
      </c>
      <c r="M52" s="300">
        <f t="shared" si="41"/>
        <v>145.41120000000001</v>
      </c>
      <c r="N52" s="300">
        <f t="shared" si="41"/>
        <v>149.37695999999997</v>
      </c>
      <c r="O52" s="300">
        <f t="shared" si="41"/>
        <v>153.34271999999999</v>
      </c>
      <c r="P52" s="300">
        <f t="shared" si="41"/>
        <v>157.30848</v>
      </c>
      <c r="Q52" s="300">
        <f t="shared" si="41"/>
        <v>161.27423999999999</v>
      </c>
      <c r="R52" s="300">
        <f t="shared" si="41"/>
        <v>165.24</v>
      </c>
      <c r="S52" s="300">
        <f t="shared" si="41"/>
        <v>169.20576</v>
      </c>
      <c r="T52" s="300">
        <f t="shared" si="41"/>
        <v>173.06135999999998</v>
      </c>
      <c r="U52" s="300">
        <f t="shared" si="41"/>
        <v>177.02711999999997</v>
      </c>
      <c r="V52" s="300">
        <f t="shared" si="41"/>
        <v>180.99288000000001</v>
      </c>
      <c r="W52" s="300">
        <f t="shared" si="41"/>
        <v>184.95864</v>
      </c>
      <c r="X52" s="300">
        <f t="shared" si="41"/>
        <v>188.92439999999999</v>
      </c>
      <c r="Y52" s="300">
        <f t="shared" si="41"/>
        <v>192.89015999999998</v>
      </c>
      <c r="Z52" s="300">
        <f t="shared" si="41"/>
        <v>196.85592</v>
      </c>
      <c r="AA52" s="300">
        <f t="shared" si="41"/>
        <v>200.71152000000001</v>
      </c>
      <c r="AB52" s="300">
        <f t="shared" si="41"/>
        <v>204.67728000000002</v>
      </c>
      <c r="AC52" s="300">
        <f t="shared" si="41"/>
        <v>208.64304000000001</v>
      </c>
      <c r="AD52" s="300">
        <f t="shared" si="41"/>
        <v>212.6088</v>
      </c>
      <c r="AE52" s="300">
        <f t="shared" si="41"/>
        <v>216.57455999999999</v>
      </c>
      <c r="AF52" s="300">
        <f t="shared" si="41"/>
        <v>220.54031999999995</v>
      </c>
      <c r="AG52" s="300">
        <f t="shared" si="41"/>
        <v>224.50608</v>
      </c>
      <c r="AH52" s="304">
        <f t="shared" si="41"/>
        <v>228.47183999999999</v>
      </c>
    </row>
    <row r="53" spans="1:34">
      <c r="A53" s="1781"/>
      <c r="B53" s="392">
        <v>4.7</v>
      </c>
      <c r="C53" s="303">
        <f t="shared" ref="C53:AH53" si="42">C112-C112*10/100</f>
        <v>106.52472</v>
      </c>
      <c r="D53" s="300">
        <f t="shared" si="42"/>
        <v>110.60064</v>
      </c>
      <c r="E53" s="300">
        <f t="shared" si="42"/>
        <v>114.56639999999999</v>
      </c>
      <c r="F53" s="300">
        <f t="shared" si="42"/>
        <v>118.53215999999998</v>
      </c>
      <c r="G53" s="300">
        <f t="shared" si="42"/>
        <v>122.60808</v>
      </c>
      <c r="H53" s="300">
        <f t="shared" si="42"/>
        <v>126.57383999999999</v>
      </c>
      <c r="I53" s="300">
        <f t="shared" si="42"/>
        <v>130.64975999999999</v>
      </c>
      <c r="J53" s="300">
        <f t="shared" si="42"/>
        <v>134.61552</v>
      </c>
      <c r="K53" s="300">
        <f t="shared" si="42"/>
        <v>138.69144</v>
      </c>
      <c r="L53" s="300">
        <f t="shared" si="42"/>
        <v>142.65720000000002</v>
      </c>
      <c r="M53" s="300">
        <f t="shared" si="42"/>
        <v>146.62296000000001</v>
      </c>
      <c r="N53" s="300">
        <f t="shared" si="42"/>
        <v>150.69888</v>
      </c>
      <c r="O53" s="300">
        <f t="shared" si="42"/>
        <v>154.66463999999999</v>
      </c>
      <c r="P53" s="300">
        <f t="shared" si="42"/>
        <v>158.74055999999999</v>
      </c>
      <c r="Q53" s="300">
        <f t="shared" si="42"/>
        <v>162.70632000000001</v>
      </c>
      <c r="R53" s="300">
        <f t="shared" si="42"/>
        <v>166.67207999999999</v>
      </c>
      <c r="S53" s="300">
        <f t="shared" si="42"/>
        <v>170.74799999999999</v>
      </c>
      <c r="T53" s="300">
        <f t="shared" si="42"/>
        <v>174.71375999999998</v>
      </c>
      <c r="U53" s="300">
        <f t="shared" si="42"/>
        <v>178.78968</v>
      </c>
      <c r="V53" s="300">
        <f t="shared" si="42"/>
        <v>182.75544000000002</v>
      </c>
      <c r="W53" s="300">
        <f t="shared" si="42"/>
        <v>186.72120000000001</v>
      </c>
      <c r="X53" s="300">
        <f t="shared" si="42"/>
        <v>190.79711999999998</v>
      </c>
      <c r="Y53" s="300">
        <f t="shared" si="42"/>
        <v>194.76288</v>
      </c>
      <c r="Z53" s="300">
        <f t="shared" si="42"/>
        <v>198.83880000000002</v>
      </c>
      <c r="AA53" s="300">
        <f t="shared" si="42"/>
        <v>202.80456000000001</v>
      </c>
      <c r="AB53" s="300">
        <f t="shared" si="42"/>
        <v>206.77031999999997</v>
      </c>
      <c r="AC53" s="300">
        <f t="shared" si="42"/>
        <v>210.84623999999999</v>
      </c>
      <c r="AD53" s="300">
        <f t="shared" si="42"/>
        <v>214.81200000000001</v>
      </c>
      <c r="AE53" s="300">
        <f t="shared" si="42"/>
        <v>218.88791999999998</v>
      </c>
      <c r="AF53" s="300">
        <f t="shared" si="42"/>
        <v>222.85368</v>
      </c>
      <c r="AG53" s="300">
        <f t="shared" si="42"/>
        <v>226.81943999999999</v>
      </c>
      <c r="AH53" s="304">
        <f t="shared" si="42"/>
        <v>230.89535999999998</v>
      </c>
    </row>
    <row r="54" spans="1:34">
      <c r="A54" s="1781"/>
      <c r="B54" s="392">
        <v>4.8</v>
      </c>
      <c r="C54" s="303">
        <f t="shared" ref="C54:AH54" si="43">C113-C113*10/100</f>
        <v>107.18567999999999</v>
      </c>
      <c r="D54" s="300">
        <f t="shared" si="43"/>
        <v>111.26159999999999</v>
      </c>
      <c r="E54" s="300">
        <f t="shared" si="43"/>
        <v>115.33752000000001</v>
      </c>
      <c r="F54" s="300">
        <f t="shared" si="43"/>
        <v>119.41344000000001</v>
      </c>
      <c r="G54" s="300">
        <f t="shared" si="43"/>
        <v>123.48935999999999</v>
      </c>
      <c r="H54" s="300">
        <f t="shared" si="43"/>
        <v>127.56527999999999</v>
      </c>
      <c r="I54" s="300">
        <f t="shared" si="43"/>
        <v>131.53103999999999</v>
      </c>
      <c r="J54" s="300">
        <f t="shared" si="43"/>
        <v>135.60695999999999</v>
      </c>
      <c r="K54" s="300">
        <f t="shared" si="43"/>
        <v>139.68288000000001</v>
      </c>
      <c r="L54" s="300">
        <f t="shared" si="43"/>
        <v>143.75880000000001</v>
      </c>
      <c r="M54" s="300">
        <f t="shared" si="43"/>
        <v>147.83472</v>
      </c>
      <c r="N54" s="300">
        <f t="shared" si="43"/>
        <v>151.91064</v>
      </c>
      <c r="O54" s="300">
        <f t="shared" si="43"/>
        <v>155.98655999999997</v>
      </c>
      <c r="P54" s="300">
        <f t="shared" si="43"/>
        <v>160.06248000000002</v>
      </c>
      <c r="Q54" s="300">
        <f t="shared" si="43"/>
        <v>164.13839999999999</v>
      </c>
      <c r="R54" s="300">
        <f t="shared" si="43"/>
        <v>168.21431999999999</v>
      </c>
      <c r="S54" s="300">
        <f t="shared" si="43"/>
        <v>172.29024000000001</v>
      </c>
      <c r="T54" s="300">
        <f t="shared" si="43"/>
        <v>176.36615999999998</v>
      </c>
      <c r="U54" s="300">
        <f t="shared" si="43"/>
        <v>180.44208000000003</v>
      </c>
      <c r="V54" s="300">
        <f t="shared" si="43"/>
        <v>184.51799999999997</v>
      </c>
      <c r="W54" s="300">
        <f t="shared" si="43"/>
        <v>188.59392</v>
      </c>
      <c r="X54" s="300">
        <f t="shared" si="43"/>
        <v>192.66983999999999</v>
      </c>
      <c r="Y54" s="300">
        <f t="shared" si="43"/>
        <v>196.74575999999999</v>
      </c>
      <c r="Z54" s="300">
        <f t="shared" si="43"/>
        <v>200.71152000000001</v>
      </c>
      <c r="AA54" s="300">
        <f t="shared" si="43"/>
        <v>204.78744</v>
      </c>
      <c r="AB54" s="300">
        <f t="shared" si="43"/>
        <v>208.86335999999997</v>
      </c>
      <c r="AC54" s="300">
        <f t="shared" si="43"/>
        <v>212.93928000000002</v>
      </c>
      <c r="AD54" s="300">
        <f t="shared" si="43"/>
        <v>217.01519999999999</v>
      </c>
      <c r="AE54" s="300">
        <f t="shared" si="43"/>
        <v>221.09111999999999</v>
      </c>
      <c r="AF54" s="300">
        <f t="shared" si="43"/>
        <v>225.16703999999999</v>
      </c>
      <c r="AG54" s="300">
        <f t="shared" si="43"/>
        <v>229.24295999999998</v>
      </c>
      <c r="AH54" s="304">
        <f t="shared" si="43"/>
        <v>233.31888000000001</v>
      </c>
    </row>
    <row r="55" spans="1:34">
      <c r="A55" s="1781"/>
      <c r="B55" s="392">
        <v>4.9000000000000004</v>
      </c>
      <c r="C55" s="303">
        <f t="shared" ref="C55:AH55" si="44">C114-C114*10/100</f>
        <v>107.73648</v>
      </c>
      <c r="D55" s="300">
        <f t="shared" si="44"/>
        <v>111.92255999999999</v>
      </c>
      <c r="E55" s="300">
        <f t="shared" si="44"/>
        <v>115.99848</v>
      </c>
      <c r="F55" s="300">
        <f t="shared" si="44"/>
        <v>120.18455999999999</v>
      </c>
      <c r="G55" s="300">
        <f t="shared" si="44"/>
        <v>124.26047999999999</v>
      </c>
      <c r="H55" s="300">
        <f t="shared" si="44"/>
        <v>128.44656000000001</v>
      </c>
      <c r="I55" s="300">
        <f t="shared" si="44"/>
        <v>132.52248</v>
      </c>
      <c r="J55" s="300">
        <f t="shared" si="44"/>
        <v>136.70855999999998</v>
      </c>
      <c r="K55" s="300">
        <f t="shared" si="44"/>
        <v>140.78448</v>
      </c>
      <c r="L55" s="300">
        <f t="shared" si="44"/>
        <v>144.97055999999998</v>
      </c>
      <c r="M55" s="300">
        <f t="shared" si="44"/>
        <v>149.04648</v>
      </c>
      <c r="N55" s="300">
        <f t="shared" si="44"/>
        <v>153.23256000000001</v>
      </c>
      <c r="O55" s="300">
        <f t="shared" si="44"/>
        <v>157.30848</v>
      </c>
      <c r="P55" s="300">
        <f t="shared" si="44"/>
        <v>161.49456000000001</v>
      </c>
      <c r="Q55" s="300">
        <f t="shared" si="44"/>
        <v>165.57048000000003</v>
      </c>
      <c r="R55" s="300">
        <f t="shared" si="44"/>
        <v>169.75655999999998</v>
      </c>
      <c r="S55" s="300">
        <f t="shared" si="44"/>
        <v>173.83248000000003</v>
      </c>
      <c r="T55" s="300">
        <f t="shared" si="44"/>
        <v>178.01855999999998</v>
      </c>
      <c r="U55" s="300">
        <f t="shared" si="44"/>
        <v>182.09448000000003</v>
      </c>
      <c r="V55" s="300">
        <f t="shared" si="44"/>
        <v>186.28055999999998</v>
      </c>
      <c r="W55" s="300">
        <f t="shared" si="44"/>
        <v>190.35648000000003</v>
      </c>
      <c r="X55" s="300">
        <f t="shared" si="44"/>
        <v>194.4324</v>
      </c>
      <c r="Y55" s="300">
        <f t="shared" si="44"/>
        <v>198.61847999999998</v>
      </c>
      <c r="Z55" s="300">
        <f t="shared" si="44"/>
        <v>202.6944</v>
      </c>
      <c r="AA55" s="300">
        <f t="shared" si="44"/>
        <v>206.88048000000001</v>
      </c>
      <c r="AB55" s="300">
        <f t="shared" si="44"/>
        <v>210.95640000000003</v>
      </c>
      <c r="AC55" s="300">
        <f t="shared" si="44"/>
        <v>215.14248000000001</v>
      </c>
      <c r="AD55" s="300">
        <f t="shared" si="44"/>
        <v>219.21839999999997</v>
      </c>
      <c r="AE55" s="300">
        <f t="shared" si="44"/>
        <v>223.40448000000001</v>
      </c>
      <c r="AF55" s="300">
        <f t="shared" si="44"/>
        <v>227.48039999999997</v>
      </c>
      <c r="AG55" s="300">
        <f t="shared" si="44"/>
        <v>231.66648000000004</v>
      </c>
      <c r="AH55" s="304">
        <f t="shared" si="44"/>
        <v>235.74239999999998</v>
      </c>
    </row>
    <row r="56" spans="1:34">
      <c r="A56" s="1781"/>
      <c r="B56" s="392">
        <v>5</v>
      </c>
      <c r="C56" s="303">
        <f t="shared" ref="C56:AH56" si="45">C115-C115*10/100</f>
        <v>108.39744</v>
      </c>
      <c r="D56" s="300">
        <f t="shared" si="45"/>
        <v>112.58351999999999</v>
      </c>
      <c r="E56" s="300">
        <f t="shared" si="45"/>
        <v>116.7696</v>
      </c>
      <c r="F56" s="300">
        <f t="shared" si="45"/>
        <v>120.95567999999999</v>
      </c>
      <c r="G56" s="300">
        <f t="shared" si="45"/>
        <v>125.14176</v>
      </c>
      <c r="H56" s="300">
        <f t="shared" si="45"/>
        <v>129.32783999999998</v>
      </c>
      <c r="I56" s="300">
        <f t="shared" si="45"/>
        <v>133.51392000000001</v>
      </c>
      <c r="J56" s="300">
        <f t="shared" si="45"/>
        <v>137.69999999999999</v>
      </c>
      <c r="K56" s="300">
        <f t="shared" si="45"/>
        <v>141.88607999999999</v>
      </c>
      <c r="L56" s="300">
        <f t="shared" si="45"/>
        <v>146.07216</v>
      </c>
      <c r="M56" s="300">
        <f t="shared" si="45"/>
        <v>150.25824000000003</v>
      </c>
      <c r="N56" s="300">
        <f t="shared" si="45"/>
        <v>154.44431999999998</v>
      </c>
      <c r="O56" s="300">
        <f t="shared" si="45"/>
        <v>158.63040000000001</v>
      </c>
      <c r="P56" s="300">
        <f t="shared" si="45"/>
        <v>162.81647999999998</v>
      </c>
      <c r="Q56" s="300">
        <f t="shared" si="45"/>
        <v>167.00256000000002</v>
      </c>
      <c r="R56" s="300">
        <f t="shared" si="45"/>
        <v>171.18863999999999</v>
      </c>
      <c r="S56" s="300">
        <f t="shared" si="45"/>
        <v>175.37472</v>
      </c>
      <c r="T56" s="300">
        <f t="shared" si="45"/>
        <v>179.56079999999997</v>
      </c>
      <c r="U56" s="300">
        <f t="shared" si="45"/>
        <v>183.74688000000003</v>
      </c>
      <c r="V56" s="300">
        <f t="shared" si="45"/>
        <v>187.93296000000001</v>
      </c>
      <c r="W56" s="300">
        <f t="shared" si="45"/>
        <v>192.11903999999998</v>
      </c>
      <c r="X56" s="300">
        <f t="shared" si="45"/>
        <v>196.30511999999999</v>
      </c>
      <c r="Y56" s="300">
        <f t="shared" si="45"/>
        <v>200.49119999999999</v>
      </c>
      <c r="Z56" s="300">
        <f t="shared" si="45"/>
        <v>204.67728000000002</v>
      </c>
      <c r="AA56" s="300">
        <f t="shared" si="45"/>
        <v>208.86335999999997</v>
      </c>
      <c r="AB56" s="300">
        <f t="shared" si="45"/>
        <v>213.04944</v>
      </c>
      <c r="AC56" s="300">
        <f t="shared" si="45"/>
        <v>217.23551999999998</v>
      </c>
      <c r="AD56" s="300">
        <f t="shared" si="45"/>
        <v>221.42160000000001</v>
      </c>
      <c r="AE56" s="300">
        <f t="shared" si="45"/>
        <v>225.60768000000002</v>
      </c>
      <c r="AF56" s="300">
        <f t="shared" si="45"/>
        <v>229.79375999999999</v>
      </c>
      <c r="AG56" s="300">
        <f t="shared" si="45"/>
        <v>233.97984</v>
      </c>
      <c r="AH56" s="304">
        <f t="shared" si="45"/>
        <v>238.16592000000003</v>
      </c>
    </row>
    <row r="57" spans="1:34">
      <c r="A57" s="1781"/>
      <c r="B57" s="392">
        <v>5.0999999999999996</v>
      </c>
      <c r="C57" s="303">
        <f t="shared" ref="C57:AH57" si="46">C116-C116*10/100</f>
        <v>109.05840000000001</v>
      </c>
      <c r="D57" s="300">
        <f t="shared" si="46"/>
        <v>113.24448</v>
      </c>
      <c r="E57" s="300">
        <f t="shared" si="46"/>
        <v>117.54071999999999</v>
      </c>
      <c r="F57" s="300">
        <f t="shared" si="46"/>
        <v>121.72680000000001</v>
      </c>
      <c r="G57" s="300">
        <f t="shared" si="46"/>
        <v>126.02303999999999</v>
      </c>
      <c r="H57" s="300">
        <f t="shared" si="46"/>
        <v>130.20912000000001</v>
      </c>
      <c r="I57" s="300">
        <f t="shared" si="46"/>
        <v>134.50536</v>
      </c>
      <c r="J57" s="300">
        <f t="shared" si="46"/>
        <v>138.69144</v>
      </c>
      <c r="K57" s="300">
        <f t="shared" si="46"/>
        <v>142.98768000000001</v>
      </c>
      <c r="L57" s="300">
        <f t="shared" si="46"/>
        <v>147.28391999999999</v>
      </c>
      <c r="M57" s="300">
        <f t="shared" si="46"/>
        <v>151.46999999999997</v>
      </c>
      <c r="N57" s="300">
        <f t="shared" si="46"/>
        <v>155.76624000000001</v>
      </c>
      <c r="O57" s="300">
        <f t="shared" si="46"/>
        <v>159.95231999999999</v>
      </c>
      <c r="P57" s="300">
        <f t="shared" si="46"/>
        <v>164.24855999999997</v>
      </c>
      <c r="Q57" s="300">
        <f t="shared" si="46"/>
        <v>168.43464</v>
      </c>
      <c r="R57" s="300">
        <f t="shared" si="46"/>
        <v>172.73088000000001</v>
      </c>
      <c r="S57" s="300">
        <f t="shared" si="46"/>
        <v>176.91695999999996</v>
      </c>
      <c r="T57" s="300">
        <f t="shared" si="46"/>
        <v>181.21319999999997</v>
      </c>
      <c r="U57" s="300">
        <f t="shared" si="46"/>
        <v>185.50944000000001</v>
      </c>
      <c r="V57" s="300">
        <f t="shared" si="46"/>
        <v>189.69551999999999</v>
      </c>
      <c r="W57" s="300">
        <f t="shared" si="46"/>
        <v>193.99175999999997</v>
      </c>
      <c r="X57" s="300">
        <f t="shared" si="46"/>
        <v>198.17784000000003</v>
      </c>
      <c r="Y57" s="300">
        <f t="shared" si="46"/>
        <v>202.47408000000004</v>
      </c>
      <c r="Z57" s="300">
        <f t="shared" si="46"/>
        <v>206.66015999999999</v>
      </c>
      <c r="AA57" s="300">
        <f t="shared" si="46"/>
        <v>210.95640000000003</v>
      </c>
      <c r="AB57" s="300">
        <f t="shared" si="46"/>
        <v>215.14248000000001</v>
      </c>
      <c r="AC57" s="300">
        <f t="shared" si="46"/>
        <v>219.43871999999999</v>
      </c>
      <c r="AD57" s="300">
        <f t="shared" si="46"/>
        <v>223.73496</v>
      </c>
      <c r="AE57" s="300">
        <f t="shared" si="46"/>
        <v>227.92104</v>
      </c>
      <c r="AF57" s="300">
        <f t="shared" si="46"/>
        <v>232.21728000000002</v>
      </c>
      <c r="AG57" s="300">
        <f t="shared" si="46"/>
        <v>236.40335999999996</v>
      </c>
      <c r="AH57" s="304">
        <f t="shared" si="46"/>
        <v>240.69960000000003</v>
      </c>
    </row>
    <row r="58" spans="1:34">
      <c r="A58" s="1781"/>
      <c r="B58" s="392">
        <v>5.2</v>
      </c>
      <c r="C58" s="303">
        <f t="shared" ref="C58:AH58" si="47">C117-C117*10/100</f>
        <v>109.60919999999999</v>
      </c>
      <c r="D58" s="300">
        <f t="shared" si="47"/>
        <v>113.90544</v>
      </c>
      <c r="E58" s="300">
        <f t="shared" si="47"/>
        <v>118.20167999999998</v>
      </c>
      <c r="F58" s="300">
        <f t="shared" si="47"/>
        <v>122.49792000000001</v>
      </c>
      <c r="G58" s="300">
        <f t="shared" si="47"/>
        <v>126.79415999999999</v>
      </c>
      <c r="H58" s="300">
        <f t="shared" si="47"/>
        <v>131.20056</v>
      </c>
      <c r="I58" s="300">
        <f t="shared" si="47"/>
        <v>135.49680000000001</v>
      </c>
      <c r="J58" s="300">
        <f t="shared" si="47"/>
        <v>139.79304000000002</v>
      </c>
      <c r="K58" s="300">
        <f t="shared" si="47"/>
        <v>144.08928000000003</v>
      </c>
      <c r="L58" s="300">
        <f t="shared" si="47"/>
        <v>148.38551999999996</v>
      </c>
      <c r="M58" s="300">
        <f t="shared" si="47"/>
        <v>152.68175999999997</v>
      </c>
      <c r="N58" s="300">
        <f t="shared" si="47"/>
        <v>156.97799999999998</v>
      </c>
      <c r="O58" s="300">
        <f t="shared" si="47"/>
        <v>161.27423999999999</v>
      </c>
      <c r="P58" s="300">
        <f t="shared" si="47"/>
        <v>165.57048000000003</v>
      </c>
      <c r="Q58" s="300">
        <f t="shared" si="47"/>
        <v>169.86671999999999</v>
      </c>
      <c r="R58" s="300">
        <f t="shared" si="47"/>
        <v>174.16296</v>
      </c>
      <c r="S58" s="300">
        <f t="shared" si="47"/>
        <v>178.56935999999999</v>
      </c>
      <c r="T58" s="300">
        <f t="shared" si="47"/>
        <v>182.8656</v>
      </c>
      <c r="U58" s="300">
        <f t="shared" si="47"/>
        <v>187.16183999999998</v>
      </c>
      <c r="V58" s="300">
        <f t="shared" si="47"/>
        <v>191.45808</v>
      </c>
      <c r="W58" s="300">
        <f t="shared" si="47"/>
        <v>195.75432000000001</v>
      </c>
      <c r="X58" s="300">
        <f t="shared" si="47"/>
        <v>200.05056000000002</v>
      </c>
      <c r="Y58" s="300">
        <f t="shared" si="47"/>
        <v>204.3468</v>
      </c>
      <c r="Z58" s="300">
        <f t="shared" si="47"/>
        <v>208.64304000000001</v>
      </c>
      <c r="AA58" s="300">
        <f t="shared" si="47"/>
        <v>212.93928000000002</v>
      </c>
      <c r="AB58" s="300">
        <f t="shared" si="47"/>
        <v>217.23551999999998</v>
      </c>
      <c r="AC58" s="300">
        <f t="shared" si="47"/>
        <v>221.53175999999996</v>
      </c>
      <c r="AD58" s="300">
        <f t="shared" si="47"/>
        <v>225.93815999999998</v>
      </c>
      <c r="AE58" s="300">
        <f t="shared" si="47"/>
        <v>230.23439999999999</v>
      </c>
      <c r="AF58" s="300">
        <f t="shared" si="47"/>
        <v>234.53064000000001</v>
      </c>
      <c r="AG58" s="300">
        <f t="shared" si="47"/>
        <v>238.82688000000002</v>
      </c>
      <c r="AH58" s="304">
        <f t="shared" si="47"/>
        <v>243.12312</v>
      </c>
    </row>
    <row r="59" spans="1:34">
      <c r="A59" s="1781"/>
      <c r="B59" s="392">
        <v>5.3</v>
      </c>
      <c r="C59" s="303">
        <f t="shared" ref="C59:AH59" si="48">C118-C118*10/100</f>
        <v>110.27015999999998</v>
      </c>
      <c r="D59" s="300">
        <f t="shared" si="48"/>
        <v>114.56639999999999</v>
      </c>
      <c r="E59" s="300">
        <f t="shared" si="48"/>
        <v>118.97279999999998</v>
      </c>
      <c r="F59" s="300">
        <f t="shared" si="48"/>
        <v>123.3792</v>
      </c>
      <c r="G59" s="300">
        <f t="shared" si="48"/>
        <v>127.67544000000001</v>
      </c>
      <c r="H59" s="300">
        <f t="shared" si="48"/>
        <v>132.08184</v>
      </c>
      <c r="I59" s="300">
        <f t="shared" si="48"/>
        <v>136.37807999999998</v>
      </c>
      <c r="J59" s="300">
        <f t="shared" si="48"/>
        <v>140.78448</v>
      </c>
      <c r="K59" s="300">
        <f t="shared" si="48"/>
        <v>145.19088000000002</v>
      </c>
      <c r="L59" s="300">
        <f t="shared" si="48"/>
        <v>149.48711999999998</v>
      </c>
      <c r="M59" s="300">
        <f t="shared" si="48"/>
        <v>153.89352</v>
      </c>
      <c r="N59" s="300">
        <f t="shared" si="48"/>
        <v>158.29991999999999</v>
      </c>
      <c r="O59" s="300">
        <f t="shared" si="48"/>
        <v>162.59616</v>
      </c>
      <c r="P59" s="300">
        <f t="shared" si="48"/>
        <v>167.00256000000002</v>
      </c>
      <c r="Q59" s="300">
        <f t="shared" si="48"/>
        <v>171.29880000000003</v>
      </c>
      <c r="R59" s="300">
        <f t="shared" si="48"/>
        <v>175.70519999999999</v>
      </c>
      <c r="S59" s="300">
        <f t="shared" si="48"/>
        <v>180.11160000000001</v>
      </c>
      <c r="T59" s="300">
        <f t="shared" si="48"/>
        <v>184.40784000000002</v>
      </c>
      <c r="U59" s="300">
        <f t="shared" si="48"/>
        <v>188.81423999999998</v>
      </c>
      <c r="V59" s="300">
        <f t="shared" si="48"/>
        <v>193.22064</v>
      </c>
      <c r="W59" s="300">
        <f t="shared" si="48"/>
        <v>197.51688000000001</v>
      </c>
      <c r="X59" s="300">
        <f t="shared" si="48"/>
        <v>201.92328000000001</v>
      </c>
      <c r="Y59" s="300">
        <f t="shared" si="48"/>
        <v>206.32968000000002</v>
      </c>
      <c r="Z59" s="300">
        <f t="shared" si="48"/>
        <v>210.62591999999998</v>
      </c>
      <c r="AA59" s="300">
        <f t="shared" si="48"/>
        <v>215.03231999999997</v>
      </c>
      <c r="AB59" s="300">
        <f t="shared" si="48"/>
        <v>219.32855999999998</v>
      </c>
      <c r="AC59" s="300">
        <f t="shared" si="48"/>
        <v>223.73496</v>
      </c>
      <c r="AD59" s="300">
        <f t="shared" si="48"/>
        <v>228.14135999999996</v>
      </c>
      <c r="AE59" s="300">
        <f t="shared" si="48"/>
        <v>232.4376</v>
      </c>
      <c r="AF59" s="300">
        <f t="shared" si="48"/>
        <v>236.84400000000002</v>
      </c>
      <c r="AG59" s="300">
        <f t="shared" si="48"/>
        <v>241.25039999999998</v>
      </c>
      <c r="AH59" s="304">
        <f t="shared" si="48"/>
        <v>245.54663999999997</v>
      </c>
    </row>
    <row r="60" spans="1:34">
      <c r="A60" s="1781"/>
      <c r="B60" s="392">
        <v>5.4</v>
      </c>
      <c r="C60" s="303">
        <f t="shared" ref="C60:AH60" si="49">C119-C119*10/100</f>
        <v>110.82095999999999</v>
      </c>
      <c r="D60" s="300">
        <f t="shared" si="49"/>
        <v>115.22735999999999</v>
      </c>
      <c r="E60" s="300">
        <f t="shared" si="49"/>
        <v>119.74392</v>
      </c>
      <c r="F60" s="300">
        <f t="shared" si="49"/>
        <v>124.15032000000002</v>
      </c>
      <c r="G60" s="300">
        <f t="shared" si="49"/>
        <v>128.55672000000001</v>
      </c>
      <c r="H60" s="300">
        <f t="shared" si="49"/>
        <v>132.96312</v>
      </c>
      <c r="I60" s="300">
        <f t="shared" si="49"/>
        <v>137.36951999999999</v>
      </c>
      <c r="J60" s="300">
        <f t="shared" si="49"/>
        <v>141.77591999999999</v>
      </c>
      <c r="K60" s="300">
        <f t="shared" si="49"/>
        <v>146.29248000000001</v>
      </c>
      <c r="L60" s="300">
        <f t="shared" si="49"/>
        <v>150.69888</v>
      </c>
      <c r="M60" s="300">
        <f t="shared" si="49"/>
        <v>155.10527999999999</v>
      </c>
      <c r="N60" s="300">
        <f t="shared" si="49"/>
        <v>159.51168000000001</v>
      </c>
      <c r="O60" s="300">
        <f t="shared" si="49"/>
        <v>163.91808</v>
      </c>
      <c r="P60" s="300">
        <f t="shared" si="49"/>
        <v>168.32448000000002</v>
      </c>
      <c r="Q60" s="300">
        <f t="shared" si="49"/>
        <v>172.84104000000002</v>
      </c>
      <c r="R60" s="300">
        <f t="shared" si="49"/>
        <v>177.24743999999998</v>
      </c>
      <c r="S60" s="300">
        <f t="shared" si="49"/>
        <v>181.65384</v>
      </c>
      <c r="T60" s="300">
        <f t="shared" si="49"/>
        <v>186.06024000000002</v>
      </c>
      <c r="U60" s="300">
        <f t="shared" si="49"/>
        <v>190.46664000000001</v>
      </c>
      <c r="V60" s="300">
        <f t="shared" si="49"/>
        <v>194.87304000000003</v>
      </c>
      <c r="W60" s="300">
        <f t="shared" si="49"/>
        <v>199.3896</v>
      </c>
      <c r="X60" s="300">
        <f t="shared" si="49"/>
        <v>203.79600000000002</v>
      </c>
      <c r="Y60" s="300">
        <f t="shared" si="49"/>
        <v>208.20239999999998</v>
      </c>
      <c r="Z60" s="300">
        <f t="shared" si="49"/>
        <v>212.6088</v>
      </c>
      <c r="AA60" s="300">
        <f t="shared" si="49"/>
        <v>217.01519999999999</v>
      </c>
      <c r="AB60" s="300">
        <f t="shared" si="49"/>
        <v>221.42160000000001</v>
      </c>
      <c r="AC60" s="300">
        <f t="shared" si="49"/>
        <v>225.93815999999998</v>
      </c>
      <c r="AD60" s="300">
        <f t="shared" si="49"/>
        <v>230.34456</v>
      </c>
      <c r="AE60" s="300">
        <f t="shared" si="49"/>
        <v>234.75095999999996</v>
      </c>
      <c r="AF60" s="300">
        <f t="shared" si="49"/>
        <v>239.15735999999998</v>
      </c>
      <c r="AG60" s="300">
        <f t="shared" si="49"/>
        <v>243.56376</v>
      </c>
      <c r="AH60" s="304">
        <f t="shared" si="49"/>
        <v>247.97015999999999</v>
      </c>
    </row>
    <row r="61" spans="1:34">
      <c r="A61" s="1781"/>
      <c r="B61" s="392">
        <v>5.5</v>
      </c>
      <c r="C61" s="303">
        <f t="shared" ref="C61:AH61" si="50">C120-C120*10/100</f>
        <v>111.48192</v>
      </c>
      <c r="D61" s="300">
        <f t="shared" si="50"/>
        <v>115.88832000000001</v>
      </c>
      <c r="E61" s="300">
        <f t="shared" si="50"/>
        <v>120.40487999999999</v>
      </c>
      <c r="F61" s="300">
        <f t="shared" si="50"/>
        <v>124.92144</v>
      </c>
      <c r="G61" s="300">
        <f t="shared" si="50"/>
        <v>129.43799999999999</v>
      </c>
      <c r="H61" s="300">
        <f t="shared" si="50"/>
        <v>133.84440000000001</v>
      </c>
      <c r="I61" s="300">
        <f t="shared" si="50"/>
        <v>138.36096000000001</v>
      </c>
      <c r="J61" s="300">
        <f t="shared" si="50"/>
        <v>142.87751999999998</v>
      </c>
      <c r="K61" s="300">
        <f t="shared" si="50"/>
        <v>147.28391999999999</v>
      </c>
      <c r="L61" s="300">
        <f t="shared" si="50"/>
        <v>151.80047999999999</v>
      </c>
      <c r="M61" s="300">
        <f t="shared" si="50"/>
        <v>156.31703999999999</v>
      </c>
      <c r="N61" s="300">
        <f t="shared" si="50"/>
        <v>160.83360000000002</v>
      </c>
      <c r="O61" s="300">
        <f t="shared" si="50"/>
        <v>165.24</v>
      </c>
      <c r="P61" s="300">
        <f t="shared" si="50"/>
        <v>169.75655999999998</v>
      </c>
      <c r="Q61" s="300">
        <f t="shared" si="50"/>
        <v>174.27312000000001</v>
      </c>
      <c r="R61" s="300">
        <f t="shared" si="50"/>
        <v>178.67951999999997</v>
      </c>
      <c r="S61" s="300">
        <f t="shared" si="50"/>
        <v>183.19607999999999</v>
      </c>
      <c r="T61" s="300">
        <f t="shared" si="50"/>
        <v>187.71264000000002</v>
      </c>
      <c r="U61" s="300">
        <f t="shared" si="50"/>
        <v>192.11903999999998</v>
      </c>
      <c r="V61" s="300">
        <f t="shared" si="50"/>
        <v>196.63559999999998</v>
      </c>
      <c r="W61" s="300">
        <f t="shared" si="50"/>
        <v>201.15215999999998</v>
      </c>
      <c r="X61" s="300">
        <f t="shared" si="50"/>
        <v>205.66871999999998</v>
      </c>
      <c r="Y61" s="300">
        <f t="shared" si="50"/>
        <v>210.07511999999997</v>
      </c>
      <c r="Z61" s="300">
        <f t="shared" si="50"/>
        <v>214.59168</v>
      </c>
      <c r="AA61" s="300">
        <f t="shared" si="50"/>
        <v>219.10824</v>
      </c>
      <c r="AB61" s="300">
        <f t="shared" si="50"/>
        <v>223.51463999999999</v>
      </c>
      <c r="AC61" s="300">
        <f t="shared" si="50"/>
        <v>228.03120000000001</v>
      </c>
      <c r="AD61" s="300">
        <f t="shared" si="50"/>
        <v>232.54775999999998</v>
      </c>
      <c r="AE61" s="300">
        <f t="shared" si="50"/>
        <v>237.06431999999995</v>
      </c>
      <c r="AF61" s="300">
        <f t="shared" si="50"/>
        <v>241.47071999999997</v>
      </c>
      <c r="AG61" s="300">
        <f t="shared" si="50"/>
        <v>245.98728000000003</v>
      </c>
      <c r="AH61" s="304">
        <f t="shared" si="50"/>
        <v>250.50384</v>
      </c>
    </row>
    <row r="62" spans="1:34">
      <c r="A62" s="1781"/>
      <c r="B62" s="392">
        <v>5.6</v>
      </c>
      <c r="C62" s="303">
        <f t="shared" ref="C62:AH62" si="51">C121-C121*10/100</f>
        <v>112.03272</v>
      </c>
      <c r="D62" s="300">
        <f t="shared" si="51"/>
        <v>116.65944</v>
      </c>
      <c r="E62" s="300">
        <f t="shared" si="51"/>
        <v>121.17599999999999</v>
      </c>
      <c r="F62" s="300">
        <f t="shared" si="51"/>
        <v>125.69255999999997</v>
      </c>
      <c r="G62" s="300">
        <f t="shared" si="51"/>
        <v>130.20912000000001</v>
      </c>
      <c r="H62" s="300">
        <f t="shared" si="51"/>
        <v>134.83583999999999</v>
      </c>
      <c r="I62" s="300">
        <f t="shared" si="51"/>
        <v>139.35239999999999</v>
      </c>
      <c r="J62" s="300">
        <f t="shared" si="51"/>
        <v>143.86895999999996</v>
      </c>
      <c r="K62" s="300">
        <f t="shared" si="51"/>
        <v>148.38551999999996</v>
      </c>
      <c r="L62" s="300">
        <f t="shared" si="51"/>
        <v>153.01223999999999</v>
      </c>
      <c r="M62" s="300">
        <f t="shared" si="51"/>
        <v>157.52880000000002</v>
      </c>
      <c r="N62" s="300">
        <f t="shared" si="51"/>
        <v>162.04535999999999</v>
      </c>
      <c r="O62" s="300">
        <f t="shared" si="51"/>
        <v>166.56191999999999</v>
      </c>
      <c r="P62" s="300">
        <f t="shared" si="51"/>
        <v>171.07848000000001</v>
      </c>
      <c r="Q62" s="300">
        <f t="shared" si="51"/>
        <v>175.70519999999999</v>
      </c>
      <c r="R62" s="300">
        <f t="shared" si="51"/>
        <v>180.22175999999996</v>
      </c>
      <c r="S62" s="300">
        <f t="shared" si="51"/>
        <v>184.73832000000002</v>
      </c>
      <c r="T62" s="300">
        <f t="shared" si="51"/>
        <v>189.25488000000001</v>
      </c>
      <c r="U62" s="300">
        <f t="shared" si="51"/>
        <v>193.88159999999999</v>
      </c>
      <c r="V62" s="300">
        <f t="shared" si="51"/>
        <v>198.39815999999999</v>
      </c>
      <c r="W62" s="300">
        <f t="shared" si="51"/>
        <v>202.91471999999999</v>
      </c>
      <c r="X62" s="300">
        <f t="shared" si="51"/>
        <v>207.43127999999999</v>
      </c>
      <c r="Y62" s="300">
        <f t="shared" si="51"/>
        <v>212.05799999999999</v>
      </c>
      <c r="Z62" s="300">
        <f t="shared" si="51"/>
        <v>216.57455999999999</v>
      </c>
      <c r="AA62" s="300">
        <f t="shared" si="51"/>
        <v>221.09111999999999</v>
      </c>
      <c r="AB62" s="300">
        <f t="shared" si="51"/>
        <v>225.60768000000002</v>
      </c>
      <c r="AC62" s="300">
        <f t="shared" si="51"/>
        <v>230.23439999999999</v>
      </c>
      <c r="AD62" s="300">
        <f t="shared" si="51"/>
        <v>234.75095999999996</v>
      </c>
      <c r="AE62" s="300">
        <f t="shared" si="51"/>
        <v>239.26751999999996</v>
      </c>
      <c r="AF62" s="300">
        <f t="shared" si="51"/>
        <v>243.78408000000005</v>
      </c>
      <c r="AG62" s="300">
        <f t="shared" si="51"/>
        <v>248.41079999999999</v>
      </c>
      <c r="AH62" s="304">
        <f t="shared" si="51"/>
        <v>252.92735999999999</v>
      </c>
    </row>
    <row r="63" spans="1:34">
      <c r="A63" s="1781"/>
      <c r="B63" s="392">
        <v>5.7</v>
      </c>
      <c r="C63" s="303">
        <f t="shared" ref="C63:AH63" si="52">C122-C122*10/100</f>
        <v>112.69368</v>
      </c>
      <c r="D63" s="300">
        <f t="shared" si="52"/>
        <v>117.32039999999999</v>
      </c>
      <c r="E63" s="300">
        <f t="shared" si="52"/>
        <v>121.83695999999998</v>
      </c>
      <c r="F63" s="300">
        <f t="shared" si="52"/>
        <v>126.46368</v>
      </c>
      <c r="G63" s="300">
        <f t="shared" si="52"/>
        <v>131.09039999999999</v>
      </c>
      <c r="H63" s="300">
        <f t="shared" si="52"/>
        <v>135.71711999999999</v>
      </c>
      <c r="I63" s="300">
        <f t="shared" si="52"/>
        <v>140.34384</v>
      </c>
      <c r="J63" s="300">
        <f t="shared" si="52"/>
        <v>144.8604</v>
      </c>
      <c r="K63" s="300">
        <f t="shared" si="52"/>
        <v>149.48711999999998</v>
      </c>
      <c r="L63" s="300">
        <f t="shared" si="52"/>
        <v>154.11384000000001</v>
      </c>
      <c r="M63" s="300">
        <f t="shared" si="52"/>
        <v>158.74055999999999</v>
      </c>
      <c r="N63" s="300">
        <f t="shared" si="52"/>
        <v>163.25711999999999</v>
      </c>
      <c r="O63" s="300">
        <f t="shared" si="52"/>
        <v>167.88383999999999</v>
      </c>
      <c r="P63" s="300">
        <f t="shared" si="52"/>
        <v>172.51056</v>
      </c>
      <c r="Q63" s="300">
        <f t="shared" si="52"/>
        <v>177.13728000000003</v>
      </c>
      <c r="R63" s="300">
        <f t="shared" si="52"/>
        <v>181.76400000000001</v>
      </c>
      <c r="S63" s="300">
        <f t="shared" si="52"/>
        <v>186.28055999999998</v>
      </c>
      <c r="T63" s="300">
        <f t="shared" si="52"/>
        <v>190.90728000000001</v>
      </c>
      <c r="U63" s="300">
        <f t="shared" si="52"/>
        <v>195.53400000000002</v>
      </c>
      <c r="V63" s="300">
        <f t="shared" si="52"/>
        <v>200.16072</v>
      </c>
      <c r="W63" s="300">
        <f t="shared" si="52"/>
        <v>204.78744</v>
      </c>
      <c r="X63" s="300">
        <f t="shared" si="52"/>
        <v>209.304</v>
      </c>
      <c r="Y63" s="300">
        <f t="shared" si="52"/>
        <v>213.93071999999998</v>
      </c>
      <c r="Z63" s="300">
        <f t="shared" si="52"/>
        <v>218.55744000000004</v>
      </c>
      <c r="AA63" s="300">
        <f t="shared" si="52"/>
        <v>223.18415999999999</v>
      </c>
      <c r="AB63" s="300">
        <f t="shared" si="52"/>
        <v>227.70071999999999</v>
      </c>
      <c r="AC63" s="300">
        <f t="shared" si="52"/>
        <v>232.32744000000002</v>
      </c>
      <c r="AD63" s="300">
        <f t="shared" si="52"/>
        <v>236.84400000000002</v>
      </c>
      <c r="AE63" s="300">
        <f t="shared" si="52"/>
        <v>241.58088000000001</v>
      </c>
      <c r="AF63" s="300">
        <f t="shared" si="52"/>
        <v>246.20759999999996</v>
      </c>
      <c r="AG63" s="300">
        <f t="shared" si="52"/>
        <v>250.72415999999996</v>
      </c>
      <c r="AH63" s="304">
        <f t="shared" si="52"/>
        <v>255.35088000000002</v>
      </c>
    </row>
    <row r="64" spans="1:34">
      <c r="A64" s="1781"/>
      <c r="B64" s="392">
        <v>5.8</v>
      </c>
      <c r="C64" s="303">
        <f t="shared" ref="C64:AH64" si="53">C123-C123*10/100</f>
        <v>113.24448</v>
      </c>
      <c r="D64" s="300">
        <f t="shared" si="53"/>
        <v>117.98136</v>
      </c>
      <c r="E64" s="300">
        <f t="shared" si="53"/>
        <v>122.60808</v>
      </c>
      <c r="F64" s="300">
        <f t="shared" si="53"/>
        <v>127.23479999999999</v>
      </c>
      <c r="G64" s="300">
        <f t="shared" si="53"/>
        <v>131.97167999999999</v>
      </c>
      <c r="H64" s="300">
        <f t="shared" si="53"/>
        <v>136.5984</v>
      </c>
      <c r="I64" s="300">
        <f t="shared" si="53"/>
        <v>141.22511999999998</v>
      </c>
      <c r="J64" s="300">
        <f t="shared" si="53"/>
        <v>145.96199999999999</v>
      </c>
      <c r="K64" s="300">
        <f t="shared" si="53"/>
        <v>150.58872</v>
      </c>
      <c r="L64" s="300">
        <f t="shared" si="53"/>
        <v>155.21544</v>
      </c>
      <c r="M64" s="300">
        <f t="shared" si="53"/>
        <v>159.95231999999999</v>
      </c>
      <c r="N64" s="300">
        <f t="shared" si="53"/>
        <v>164.57903999999999</v>
      </c>
      <c r="O64" s="300">
        <f t="shared" si="53"/>
        <v>169.20576</v>
      </c>
      <c r="P64" s="300">
        <f t="shared" si="53"/>
        <v>173.94264000000001</v>
      </c>
      <c r="Q64" s="300">
        <f t="shared" si="53"/>
        <v>178.56935999999999</v>
      </c>
      <c r="R64" s="300">
        <f t="shared" si="53"/>
        <v>183.19607999999999</v>
      </c>
      <c r="S64" s="300">
        <f t="shared" si="53"/>
        <v>187.93296000000001</v>
      </c>
      <c r="T64" s="300">
        <f t="shared" si="53"/>
        <v>192.55968000000001</v>
      </c>
      <c r="U64" s="300">
        <f t="shared" si="53"/>
        <v>197.18639999999999</v>
      </c>
      <c r="V64" s="300">
        <f t="shared" si="53"/>
        <v>201.92328000000001</v>
      </c>
      <c r="W64" s="300">
        <f t="shared" si="53"/>
        <v>206.55</v>
      </c>
      <c r="X64" s="300">
        <f t="shared" si="53"/>
        <v>211.17671999999999</v>
      </c>
      <c r="Y64" s="300">
        <f t="shared" si="53"/>
        <v>215.80343999999999</v>
      </c>
      <c r="Z64" s="300">
        <f t="shared" si="53"/>
        <v>220.54031999999995</v>
      </c>
      <c r="AA64" s="300">
        <f t="shared" si="53"/>
        <v>225.16703999999999</v>
      </c>
      <c r="AB64" s="300">
        <f t="shared" si="53"/>
        <v>229.79375999999999</v>
      </c>
      <c r="AC64" s="300">
        <f t="shared" si="53"/>
        <v>234.53064000000001</v>
      </c>
      <c r="AD64" s="300">
        <f t="shared" si="53"/>
        <v>239.15735999999998</v>
      </c>
      <c r="AE64" s="300">
        <f t="shared" si="53"/>
        <v>243.78408000000005</v>
      </c>
      <c r="AF64" s="300">
        <f t="shared" si="53"/>
        <v>248.52095999999997</v>
      </c>
      <c r="AG64" s="300">
        <f t="shared" si="53"/>
        <v>253.14767999999998</v>
      </c>
      <c r="AH64" s="304">
        <f t="shared" si="53"/>
        <v>257.77440000000001</v>
      </c>
    </row>
    <row r="65" spans="1:34">
      <c r="A65" s="1781"/>
      <c r="B65" s="392">
        <v>5.9</v>
      </c>
      <c r="C65" s="303">
        <f t="shared" ref="C65:AH65" si="54">C124-C124*10/100</f>
        <v>113.90544</v>
      </c>
      <c r="D65" s="300">
        <f t="shared" si="54"/>
        <v>118.64231999999998</v>
      </c>
      <c r="E65" s="300">
        <f t="shared" si="54"/>
        <v>123.3792</v>
      </c>
      <c r="F65" s="300">
        <f t="shared" si="54"/>
        <v>128.11608000000001</v>
      </c>
      <c r="G65" s="300">
        <f t="shared" si="54"/>
        <v>132.74279999999999</v>
      </c>
      <c r="H65" s="300">
        <f t="shared" si="54"/>
        <v>137.47967999999997</v>
      </c>
      <c r="I65" s="300">
        <f t="shared" si="54"/>
        <v>142.21655999999999</v>
      </c>
      <c r="J65" s="300">
        <f t="shared" si="54"/>
        <v>146.95344</v>
      </c>
      <c r="K65" s="300">
        <f t="shared" si="54"/>
        <v>151.69031999999999</v>
      </c>
      <c r="L65" s="300">
        <f t="shared" si="54"/>
        <v>156.4272</v>
      </c>
      <c r="M65" s="300">
        <f t="shared" si="54"/>
        <v>161.16408000000001</v>
      </c>
      <c r="N65" s="300">
        <f t="shared" si="54"/>
        <v>165.79079999999999</v>
      </c>
      <c r="O65" s="300">
        <f t="shared" si="54"/>
        <v>170.52768</v>
      </c>
      <c r="P65" s="300">
        <f t="shared" si="54"/>
        <v>175.26456000000002</v>
      </c>
      <c r="Q65" s="300">
        <f t="shared" si="54"/>
        <v>180.00144</v>
      </c>
      <c r="R65" s="300">
        <f t="shared" si="54"/>
        <v>184.73832000000002</v>
      </c>
      <c r="S65" s="300">
        <f t="shared" si="54"/>
        <v>189.4752</v>
      </c>
      <c r="T65" s="300">
        <f t="shared" si="54"/>
        <v>194.21208000000001</v>
      </c>
      <c r="U65" s="300">
        <f t="shared" si="54"/>
        <v>198.83880000000002</v>
      </c>
      <c r="V65" s="300">
        <f t="shared" si="54"/>
        <v>203.57568000000001</v>
      </c>
      <c r="W65" s="300">
        <f t="shared" si="54"/>
        <v>208.31255999999999</v>
      </c>
      <c r="X65" s="300">
        <f t="shared" si="54"/>
        <v>213.04944</v>
      </c>
      <c r="Y65" s="300">
        <f t="shared" si="54"/>
        <v>217.78631999999999</v>
      </c>
      <c r="Z65" s="300">
        <f t="shared" si="54"/>
        <v>222.52319999999997</v>
      </c>
      <c r="AA65" s="300">
        <f t="shared" si="54"/>
        <v>227.26008000000002</v>
      </c>
      <c r="AB65" s="300">
        <f t="shared" si="54"/>
        <v>231.88679999999999</v>
      </c>
      <c r="AC65" s="300">
        <f t="shared" si="54"/>
        <v>236.62367999999998</v>
      </c>
      <c r="AD65" s="300">
        <f t="shared" si="54"/>
        <v>241.36056000000002</v>
      </c>
      <c r="AE65" s="300">
        <f t="shared" si="54"/>
        <v>246.09744000000001</v>
      </c>
      <c r="AF65" s="300">
        <f t="shared" si="54"/>
        <v>250.83431999999999</v>
      </c>
      <c r="AG65" s="300">
        <f t="shared" si="54"/>
        <v>255.5712</v>
      </c>
      <c r="AH65" s="304">
        <f t="shared" si="54"/>
        <v>260.30808000000002</v>
      </c>
    </row>
    <row r="66" spans="1:34" ht="13.8" thickBot="1">
      <c r="A66" s="1782"/>
      <c r="B66" s="393">
        <v>6</v>
      </c>
      <c r="C66" s="305">
        <f t="shared" ref="C66:AH66" si="55">C125-C125*10/100</f>
        <v>114.56639999999999</v>
      </c>
      <c r="D66" s="306">
        <f t="shared" si="55"/>
        <v>119.30327999999997</v>
      </c>
      <c r="E66" s="306">
        <f t="shared" si="55"/>
        <v>124.04015999999999</v>
      </c>
      <c r="F66" s="306">
        <f t="shared" si="55"/>
        <v>128.88720000000001</v>
      </c>
      <c r="G66" s="306">
        <f t="shared" si="55"/>
        <v>133.62407999999999</v>
      </c>
      <c r="H66" s="306">
        <f t="shared" si="55"/>
        <v>138.47111999999998</v>
      </c>
      <c r="I66" s="306">
        <f t="shared" si="55"/>
        <v>143.20799999999997</v>
      </c>
      <c r="J66" s="306">
        <f t="shared" si="55"/>
        <v>147.94488000000001</v>
      </c>
      <c r="K66" s="306">
        <f t="shared" si="55"/>
        <v>152.79191999999998</v>
      </c>
      <c r="L66" s="306">
        <f t="shared" si="55"/>
        <v>157.52880000000002</v>
      </c>
      <c r="M66" s="306">
        <f t="shared" si="55"/>
        <v>162.37584000000001</v>
      </c>
      <c r="N66" s="306">
        <f t="shared" si="55"/>
        <v>167.11271999999997</v>
      </c>
      <c r="O66" s="306">
        <f t="shared" si="55"/>
        <v>171.84959999999998</v>
      </c>
      <c r="P66" s="306">
        <f t="shared" si="55"/>
        <v>176.69664</v>
      </c>
      <c r="Q66" s="306">
        <f t="shared" si="55"/>
        <v>181.43351999999999</v>
      </c>
      <c r="R66" s="306">
        <f t="shared" si="55"/>
        <v>186.28055999999998</v>
      </c>
      <c r="S66" s="306">
        <f t="shared" si="55"/>
        <v>191.01743999999997</v>
      </c>
      <c r="T66" s="306">
        <f t="shared" si="55"/>
        <v>195.75432000000001</v>
      </c>
      <c r="U66" s="306">
        <f t="shared" si="55"/>
        <v>200.60135999999997</v>
      </c>
      <c r="V66" s="306">
        <f t="shared" si="55"/>
        <v>205.33824000000001</v>
      </c>
      <c r="W66" s="306">
        <f t="shared" si="55"/>
        <v>210.07511999999997</v>
      </c>
      <c r="X66" s="306">
        <f t="shared" si="55"/>
        <v>214.92216000000002</v>
      </c>
      <c r="Y66" s="306">
        <f t="shared" si="55"/>
        <v>219.65904</v>
      </c>
      <c r="Z66" s="306">
        <f t="shared" si="55"/>
        <v>224.50608</v>
      </c>
      <c r="AA66" s="306">
        <f t="shared" si="55"/>
        <v>229.24295999999998</v>
      </c>
      <c r="AB66" s="306">
        <f t="shared" si="55"/>
        <v>233.97984</v>
      </c>
      <c r="AC66" s="306">
        <f t="shared" si="55"/>
        <v>238.82688000000002</v>
      </c>
      <c r="AD66" s="306">
        <f t="shared" si="55"/>
        <v>243.56376</v>
      </c>
      <c r="AE66" s="306">
        <f t="shared" si="55"/>
        <v>248.41079999999999</v>
      </c>
      <c r="AF66" s="306">
        <f t="shared" si="55"/>
        <v>253.14767999999998</v>
      </c>
      <c r="AG66" s="306">
        <f t="shared" si="55"/>
        <v>257.88456000000002</v>
      </c>
      <c r="AH66" s="307">
        <f t="shared" si="55"/>
        <v>262.73159999999996</v>
      </c>
    </row>
    <row r="67" spans="1:34" ht="20.25" customHeight="1" thickBot="1">
      <c r="A67" s="442"/>
      <c r="B67" s="442"/>
      <c r="C67" s="442"/>
      <c r="D67" s="442"/>
      <c r="E67" s="442"/>
      <c r="F67" s="442"/>
      <c r="G67" s="519"/>
      <c r="H67" s="519"/>
      <c r="I67" s="519"/>
      <c r="J67" s="519"/>
      <c r="K67" s="519"/>
      <c r="L67" s="519"/>
      <c r="M67" s="519"/>
      <c r="N67" s="519"/>
      <c r="O67" s="519"/>
      <c r="P67" s="519"/>
      <c r="Q67" s="519"/>
      <c r="R67" s="519"/>
      <c r="S67" s="519"/>
      <c r="T67" s="519"/>
      <c r="U67" s="519"/>
      <c r="V67" s="519"/>
      <c r="W67" s="519"/>
      <c r="X67" s="519"/>
      <c r="Y67" s="519"/>
      <c r="Z67" s="519"/>
      <c r="AA67" s="519"/>
      <c r="AB67" s="519"/>
      <c r="AC67" s="519"/>
      <c r="AD67" s="519"/>
      <c r="AE67" s="519"/>
      <c r="AF67" s="519"/>
      <c r="AG67" s="519"/>
      <c r="AH67" s="519"/>
    </row>
    <row r="68" spans="1:34" ht="13.8" thickBot="1">
      <c r="A68" s="1413" t="s">
        <v>314</v>
      </c>
      <c r="B68" s="1601"/>
      <c r="C68" s="1534" t="s">
        <v>207</v>
      </c>
      <c r="D68" s="1535"/>
      <c r="E68" s="1535"/>
      <c r="F68" s="1535"/>
      <c r="G68" s="1535"/>
      <c r="H68" s="1535"/>
      <c r="I68" s="1535"/>
      <c r="J68" s="1535"/>
      <c r="K68" s="1535"/>
      <c r="L68" s="1535"/>
      <c r="M68" s="1535"/>
      <c r="N68" s="1535"/>
      <c r="O68" s="1535"/>
      <c r="P68" s="1535"/>
      <c r="Q68" s="1535"/>
      <c r="R68" s="1535"/>
      <c r="S68" s="1535"/>
      <c r="T68" s="1535"/>
      <c r="U68" s="1535"/>
      <c r="V68" s="1535"/>
      <c r="W68" s="1535"/>
      <c r="X68" s="1535"/>
      <c r="Y68" s="1535"/>
      <c r="Z68" s="1535"/>
      <c r="AA68" s="1535"/>
      <c r="AB68" s="1535"/>
      <c r="AC68" s="1535"/>
      <c r="AD68" s="1535"/>
      <c r="AE68" s="1535"/>
      <c r="AF68" s="1535"/>
      <c r="AG68" s="1535"/>
      <c r="AH68" s="1536"/>
    </row>
    <row r="69" spans="1:34" ht="13.8" thickBot="1">
      <c r="A69" s="1778"/>
      <c r="B69" s="1779"/>
      <c r="C69" s="341">
        <v>0.7</v>
      </c>
      <c r="D69" s="341">
        <v>0.8</v>
      </c>
      <c r="E69" s="341">
        <v>0.9</v>
      </c>
      <c r="F69" s="341">
        <v>1</v>
      </c>
      <c r="G69" s="341">
        <v>1.1000000000000001</v>
      </c>
      <c r="H69" s="341">
        <v>1.2</v>
      </c>
      <c r="I69" s="341">
        <v>1.3</v>
      </c>
      <c r="J69" s="341">
        <v>1.4</v>
      </c>
      <c r="K69" s="341">
        <v>1.5</v>
      </c>
      <c r="L69" s="341">
        <v>1.6</v>
      </c>
      <c r="M69" s="341">
        <v>1.7</v>
      </c>
      <c r="N69" s="341">
        <v>1.8</v>
      </c>
      <c r="O69" s="341">
        <v>1.9</v>
      </c>
      <c r="P69" s="341">
        <v>2</v>
      </c>
      <c r="Q69" s="341">
        <v>2.1</v>
      </c>
      <c r="R69" s="341">
        <v>2.2000000000000002</v>
      </c>
      <c r="S69" s="341">
        <v>2.2999999999999998</v>
      </c>
      <c r="T69" s="341">
        <v>2.4</v>
      </c>
      <c r="U69" s="341">
        <v>2.5</v>
      </c>
      <c r="V69" s="341">
        <v>2.6</v>
      </c>
      <c r="W69" s="341">
        <v>2.7</v>
      </c>
      <c r="X69" s="341">
        <v>2.8</v>
      </c>
      <c r="Y69" s="341">
        <v>2.9</v>
      </c>
      <c r="Z69" s="342">
        <v>3</v>
      </c>
      <c r="AA69" s="340">
        <v>3.1</v>
      </c>
      <c r="AB69" s="341">
        <v>3.2</v>
      </c>
      <c r="AC69" s="341">
        <v>3.3</v>
      </c>
      <c r="AD69" s="341">
        <v>3.4</v>
      </c>
      <c r="AE69" s="341">
        <v>3.5</v>
      </c>
      <c r="AF69" s="341">
        <v>3.6</v>
      </c>
      <c r="AG69" s="341">
        <v>3.7</v>
      </c>
      <c r="AH69" s="341">
        <v>3.8</v>
      </c>
    </row>
    <row r="70" spans="1:34">
      <c r="A70" s="1780" t="s">
        <v>3</v>
      </c>
      <c r="B70" s="391">
        <v>0.5</v>
      </c>
      <c r="C70" s="274">
        <f>(73.4*KFC!$B$23*1.02*1.2+KFC!$C$23)*KFC!$C$5</f>
        <v>89.841600000000014</v>
      </c>
      <c r="D70" s="301">
        <f>(74.8*KFC!$B$23*1.02*1.2+KFC!$C$23)*KFC!$C$5</f>
        <v>91.555199999999985</v>
      </c>
      <c r="E70" s="301">
        <f>(76.1*KFC!$B$23*1.02*1.2+KFC!$C$23)*KFC!$C$5</f>
        <v>93.1464</v>
      </c>
      <c r="F70" s="301">
        <f>(77.5*KFC!$B$23*1.02*1.2+KFC!$C$23)*KFC!$C$5</f>
        <v>94.86</v>
      </c>
      <c r="G70" s="301">
        <f>(78.9*KFC!$B$23*1.02*1.2+KFC!$C$23)*KFC!$C$5</f>
        <v>96.573600000000013</v>
      </c>
      <c r="H70" s="301">
        <f>(80.3*KFC!$B$23*1.02*1.2+KFC!$C$23)*KFC!$C$5</f>
        <v>98.287199999999984</v>
      </c>
      <c r="I70" s="301">
        <f>(81.7*KFC!$B$23*1.02*1.2+KFC!$C$23)*KFC!$C$5</f>
        <v>100.0008</v>
      </c>
      <c r="J70" s="301">
        <f>(83*KFC!$B$23*1.02*1.2+KFC!$C$23)*KFC!$C$5</f>
        <v>101.592</v>
      </c>
      <c r="K70" s="301">
        <f>(84.4*KFC!$B$23*1.02*1.2+KFC!$C$23)*KFC!$C$5</f>
        <v>103.30560000000001</v>
      </c>
      <c r="L70" s="301">
        <f>(85.8*KFC!$B$23*1.02*1.2+KFC!$C$23)*KFC!$C$5</f>
        <v>105.0192</v>
      </c>
      <c r="M70" s="301">
        <f>(87.2*KFC!$B$23*1.02*1.2+KFC!$C$23)*KFC!$C$5</f>
        <v>106.7328</v>
      </c>
      <c r="N70" s="301">
        <f>(88.6*KFC!$B$23*1.02*1.2+KFC!$C$23)*KFC!$C$5</f>
        <v>108.4464</v>
      </c>
      <c r="O70" s="301">
        <f>(89.9*KFC!$B$23*1.02*1.2+KFC!$C$23)*KFC!$C$5</f>
        <v>110.03760000000001</v>
      </c>
      <c r="P70" s="301">
        <f>(91.3*KFC!$B$23*1.02*1.2+KFC!$C$23)*KFC!$C$5</f>
        <v>111.7512</v>
      </c>
      <c r="Q70" s="301">
        <f>(92.7*KFC!$B$23*1.02*1.2+KFC!$C$23)*KFC!$C$5</f>
        <v>113.4648</v>
      </c>
      <c r="R70" s="301">
        <f>(94.1*KFC!$B$23*1.02*1.2+KFC!$C$23)*KFC!$C$5</f>
        <v>115.1784</v>
      </c>
      <c r="S70" s="301">
        <f>(95.5*KFC!$B$23*1.02*1.2+KFC!$C$23)*KFC!$C$5</f>
        <v>116.892</v>
      </c>
      <c r="T70" s="301">
        <f>(96.9*KFC!$B$23*1.02*1.2+KFC!$C$23)*KFC!$C$5</f>
        <v>118.60560000000001</v>
      </c>
      <c r="U70" s="301">
        <f>(98.2*KFC!$B$23*1.02*1.2+KFC!$C$23)*KFC!$C$5</f>
        <v>120.1968</v>
      </c>
      <c r="V70" s="301">
        <f>(99.6*KFC!$B$23*1.02*1.2+KFC!$C$23)*KFC!$C$5</f>
        <v>121.9104</v>
      </c>
      <c r="W70" s="301">
        <f>(101*KFC!$B$23*1.02*1.2+KFC!$C$23)*KFC!$C$5</f>
        <v>123.624</v>
      </c>
      <c r="X70" s="301">
        <f>(102.4*KFC!$B$23*1.02*1.2+KFC!$C$23)*KFC!$C$5</f>
        <v>125.33760000000001</v>
      </c>
      <c r="Y70" s="301">
        <f>(103.8*KFC!$B$23*1.02*1.2+KFC!$C$23)*KFC!$C$5</f>
        <v>127.05119999999999</v>
      </c>
      <c r="Z70" s="301">
        <f>(105.1*KFC!$B$23*1.02*1.2+KFC!$C$23)*KFC!$C$5</f>
        <v>128.64239999999998</v>
      </c>
      <c r="AA70" s="301">
        <f>(106.5*KFC!$B$23*1.02*1.2+KFC!$C$23)*KFC!$C$5</f>
        <v>130.35599999999999</v>
      </c>
      <c r="AB70" s="301">
        <f>(107.9*KFC!$B$23*1.02*1.2+KFC!$C$23)*KFC!$C$5</f>
        <v>132.06960000000001</v>
      </c>
      <c r="AC70" s="301">
        <f>(109.3*KFC!$B$23*1.02*1.2+KFC!$C$23)*KFC!$C$5</f>
        <v>133.78319999999999</v>
      </c>
      <c r="AD70" s="301">
        <f>(110.7*KFC!$B$23*1.02*1.2+KFC!$C$23)*KFC!$C$5</f>
        <v>135.49680000000001</v>
      </c>
      <c r="AE70" s="301">
        <f>(112*KFC!$B$23*1.02*1.2+KFC!$C$23)*KFC!$C$5</f>
        <v>137.08799999999999</v>
      </c>
      <c r="AF70" s="301">
        <f>(113.4*KFC!$B$23*1.02*1.2+KFC!$C$23)*KFC!$C$5</f>
        <v>138.80160000000001</v>
      </c>
      <c r="AG70" s="301">
        <f>(114.8*KFC!$B$23*1.02*1.2+KFC!$C$23)*KFC!$C$5</f>
        <v>140.51519999999999</v>
      </c>
      <c r="AH70" s="302">
        <f>(116.2*KFC!$B$23*1.02*1.2+KFC!$C$23)*KFC!$C$5</f>
        <v>142.22880000000001</v>
      </c>
    </row>
    <row r="71" spans="1:34">
      <c r="A71" s="1781"/>
      <c r="B71" s="392">
        <v>0.6</v>
      </c>
      <c r="C71" s="303">
        <f>(73.9*KFC!$B$23*1.02*1.2+KFC!$C$23)*KFC!$C$5</f>
        <v>90.453599999999994</v>
      </c>
      <c r="D71" s="300">
        <f>(75.4*KFC!$B$23*1.02*1.2+KFC!$C$23)*KFC!$C$5</f>
        <v>92.289599999999993</v>
      </c>
      <c r="E71" s="300">
        <f>(76.8*KFC!$B$23*1.02*1.2+KFC!$C$23)*KFC!$C$5</f>
        <v>94.003199999999993</v>
      </c>
      <c r="F71" s="300">
        <f>(78.2*KFC!$B$23*1.02*1.2+KFC!$C$23)*KFC!$C$5</f>
        <v>95.716800000000006</v>
      </c>
      <c r="G71" s="300">
        <f>(79.7*KFC!$B$23*1.02*1.2+KFC!$C$23)*KFC!$C$5</f>
        <v>97.552800000000005</v>
      </c>
      <c r="H71" s="300">
        <f>(81.1*KFC!$B$23*1.02*1.2+KFC!$C$23)*KFC!$C$5</f>
        <v>99.26639999999999</v>
      </c>
      <c r="I71" s="300">
        <f>(82.5*KFC!$B$23*1.02*1.2+KFC!$C$23)*KFC!$C$5</f>
        <v>100.98</v>
      </c>
      <c r="J71" s="300">
        <f>(84*KFC!$B$23*1.02*1.2+KFC!$C$23)*KFC!$C$5</f>
        <v>102.816</v>
      </c>
      <c r="K71" s="300">
        <f>(85.4*KFC!$B$23*1.02*1.2+KFC!$C$23)*KFC!$C$5</f>
        <v>104.5296</v>
      </c>
      <c r="L71" s="300">
        <f>(86.8*KFC!$B$23*1.02*1.2+KFC!$C$23)*KFC!$C$5</f>
        <v>106.2432</v>
      </c>
      <c r="M71" s="300">
        <f>(88.3*KFC!$B$23*1.02*1.2+KFC!$C$23)*KFC!$C$5</f>
        <v>108.0792</v>
      </c>
      <c r="N71" s="300">
        <f>(89.7*KFC!$B$23*1.02*1.2+KFC!$C$23)*KFC!$C$5</f>
        <v>109.7928</v>
      </c>
      <c r="O71" s="300">
        <f>(91.2*KFC!$B$23*1.02*1.2+KFC!$C$23)*KFC!$C$5</f>
        <v>111.6288</v>
      </c>
      <c r="P71" s="300">
        <f>(92.6*KFC!$B$23*1.02*1.2+KFC!$C$23)*KFC!$C$5</f>
        <v>113.3424</v>
      </c>
      <c r="Q71" s="300">
        <f>(94*KFC!$B$23*1.02*1.2+KFC!$C$23)*KFC!$C$5</f>
        <v>115.056</v>
      </c>
      <c r="R71" s="300">
        <f>(95.5*KFC!$B$23*1.02*1.2+KFC!$C$23)*KFC!$C$5</f>
        <v>116.892</v>
      </c>
      <c r="S71" s="300">
        <f>(96.9*KFC!$B$23*1.02*1.2+KFC!$C$23)*KFC!$C$5</f>
        <v>118.60560000000001</v>
      </c>
      <c r="T71" s="300">
        <f>(98.3*KFC!$B$23*1.02*1.2+KFC!$C$23)*KFC!$C$5</f>
        <v>120.3192</v>
      </c>
      <c r="U71" s="300">
        <f>(99.8*KFC!$B$23*1.02*1.2+KFC!$C$23)*KFC!$C$5</f>
        <v>122.15519999999998</v>
      </c>
      <c r="V71" s="300">
        <f>(101.2*KFC!$B$23*1.02*1.2+KFC!$C$23)*KFC!$C$5</f>
        <v>123.86879999999999</v>
      </c>
      <c r="W71" s="300">
        <f>(102.6*KFC!$B$23*1.02*1.2+KFC!$C$23)*KFC!$C$5</f>
        <v>125.58239999999999</v>
      </c>
      <c r="X71" s="300">
        <f>(104.1*KFC!$B$23*1.02*1.2+KFC!$C$23)*KFC!$C$5</f>
        <v>127.41839999999999</v>
      </c>
      <c r="Y71" s="300">
        <f>(105.5*KFC!$B$23*1.02*1.2+KFC!$C$23)*KFC!$C$5</f>
        <v>129.13200000000001</v>
      </c>
      <c r="Z71" s="300">
        <f>(106.9*KFC!$B$23*1.02*1.2+KFC!$C$23)*KFC!$C$5</f>
        <v>130.84560000000002</v>
      </c>
      <c r="AA71" s="300">
        <f>(108.4*KFC!$B$23*1.02*1.2+KFC!$C$23)*KFC!$C$5</f>
        <v>132.6816</v>
      </c>
      <c r="AB71" s="300">
        <f>(109.8*KFC!$B$23*1.02*1.2+KFC!$C$23)*KFC!$C$5</f>
        <v>134.39519999999999</v>
      </c>
      <c r="AC71" s="300">
        <f>(111.2*KFC!$B$23*1.02*1.2+KFC!$C$23)*KFC!$C$5</f>
        <v>136.1088</v>
      </c>
      <c r="AD71" s="300">
        <f>(112.7*KFC!$B$23*1.02*1.2+KFC!$C$23)*KFC!$C$5</f>
        <v>137.94480000000001</v>
      </c>
      <c r="AE71" s="300">
        <f>(114.1*KFC!$B$23*1.02*1.2+KFC!$C$23)*KFC!$C$5</f>
        <v>139.65839999999997</v>
      </c>
      <c r="AF71" s="300">
        <f>(115.5*KFC!$B$23*1.02*1.2+KFC!$C$23)*KFC!$C$5</f>
        <v>141.37199999999999</v>
      </c>
      <c r="AG71" s="300">
        <f>(117*KFC!$B$23*1.02*1.2+KFC!$C$23)*KFC!$C$5</f>
        <v>143.208</v>
      </c>
      <c r="AH71" s="304">
        <f>(118.4*KFC!$B$23*1.02*1.2+KFC!$C$23)*KFC!$C$5</f>
        <v>144.92160000000001</v>
      </c>
    </row>
    <row r="72" spans="1:34">
      <c r="A72" s="1781"/>
      <c r="B72" s="392">
        <v>0.7</v>
      </c>
      <c r="C72" s="303">
        <f>(74.5*KFC!$B$23*1.02*1.2+KFC!$C$23)*KFC!$C$5</f>
        <v>91.187999999999988</v>
      </c>
      <c r="D72" s="300">
        <f>(76*KFC!$B$23*1.02*1.2+KFC!$C$23)*KFC!$C$5</f>
        <v>93.023999999999987</v>
      </c>
      <c r="E72" s="300">
        <f>(77.5*KFC!$B$23*1.02*1.2+KFC!$C$23)*KFC!$C$5</f>
        <v>94.86</v>
      </c>
      <c r="F72" s="300">
        <f>(79*KFC!$B$23*1.02*1.2+KFC!$C$23)*KFC!$C$5</f>
        <v>96.695999999999998</v>
      </c>
      <c r="G72" s="300">
        <f>(80.4*KFC!$B$23*1.02*1.2+KFC!$C$23)*KFC!$C$5</f>
        <v>98.409600000000012</v>
      </c>
      <c r="H72" s="300">
        <f>(81.9*KFC!$B$23*1.02*1.2+KFC!$C$23)*KFC!$C$5</f>
        <v>100.24560000000001</v>
      </c>
      <c r="I72" s="300">
        <f>(83.4*KFC!$B$23*1.02*1.2+KFC!$C$23)*KFC!$C$5</f>
        <v>102.08160000000001</v>
      </c>
      <c r="J72" s="300">
        <f>(84.9*KFC!$B$23*1.02*1.2+KFC!$C$23)*KFC!$C$5</f>
        <v>103.91760000000001</v>
      </c>
      <c r="K72" s="300">
        <f>(86.4*KFC!$B$23*1.02*1.2+KFC!$C$23)*KFC!$C$5</f>
        <v>105.75360000000002</v>
      </c>
      <c r="L72" s="300">
        <f>(87.9*KFC!$B$23*1.02*1.2+KFC!$C$23)*KFC!$C$5</f>
        <v>107.5896</v>
      </c>
      <c r="M72" s="300">
        <f>(89.4*KFC!$B$23*1.02*1.2+KFC!$C$23)*KFC!$C$5</f>
        <v>109.4256</v>
      </c>
      <c r="N72" s="300">
        <f>(90.9*KFC!$B$23*1.02*1.2+KFC!$C$23)*KFC!$C$5</f>
        <v>111.2616</v>
      </c>
      <c r="O72" s="300">
        <f>(92.4*KFC!$B$23*1.02*1.2+KFC!$C$23)*KFC!$C$5</f>
        <v>113.0976</v>
      </c>
      <c r="P72" s="300">
        <f>(93.8*KFC!$B$23*1.02*1.2+KFC!$C$23)*KFC!$C$5</f>
        <v>114.8112</v>
      </c>
      <c r="Q72" s="300">
        <f>(95.3*KFC!$B$23*1.02*1.2+KFC!$C$23)*KFC!$C$5</f>
        <v>116.6472</v>
      </c>
      <c r="R72" s="300">
        <f>(96.8*KFC!$B$23*1.02*1.2+KFC!$C$23)*KFC!$C$5</f>
        <v>118.4832</v>
      </c>
      <c r="S72" s="300">
        <f>(98.3*KFC!$B$23*1.02*1.2+KFC!$C$23)*KFC!$C$5</f>
        <v>120.3192</v>
      </c>
      <c r="T72" s="300">
        <f>(99.8*KFC!$B$23*1.02*1.2+KFC!$C$23)*KFC!$C$5</f>
        <v>122.15519999999998</v>
      </c>
      <c r="U72" s="300">
        <f>(101.3*KFC!$B$23*1.02*1.2+KFC!$C$23)*KFC!$C$5</f>
        <v>123.99119999999999</v>
      </c>
      <c r="V72" s="300">
        <f>(102.8*KFC!$B$23*1.02*1.2+KFC!$C$23)*KFC!$C$5</f>
        <v>125.82719999999999</v>
      </c>
      <c r="W72" s="300">
        <f>(104.3*KFC!$B$23*1.02*1.2+KFC!$C$23)*KFC!$C$5</f>
        <v>127.66319999999999</v>
      </c>
      <c r="X72" s="300">
        <f>(105.7*KFC!$B$23*1.02*1.2+KFC!$C$23)*KFC!$C$5</f>
        <v>129.3768</v>
      </c>
      <c r="Y72" s="300">
        <f>(107.2*KFC!$B$23*1.02*1.2+KFC!$C$23)*KFC!$C$5</f>
        <v>131.21280000000002</v>
      </c>
      <c r="Z72" s="300">
        <f>(108.7*KFC!$B$23*1.02*1.2+KFC!$C$23)*KFC!$C$5</f>
        <v>133.0488</v>
      </c>
      <c r="AA72" s="300">
        <f>(110.2*KFC!$B$23*1.02*1.2+KFC!$C$23)*KFC!$C$5</f>
        <v>134.88480000000001</v>
      </c>
      <c r="AB72" s="300">
        <f>(111.7*KFC!$B$23*1.02*1.2+KFC!$C$23)*KFC!$C$5</f>
        <v>136.7208</v>
      </c>
      <c r="AC72" s="300">
        <f>(113.2*KFC!$B$23*1.02*1.2+KFC!$C$23)*KFC!$C$5</f>
        <v>138.55679999999998</v>
      </c>
      <c r="AD72" s="300">
        <f>(114.7*KFC!$B$23*1.02*1.2+KFC!$C$23)*KFC!$C$5</f>
        <v>140.39279999999999</v>
      </c>
      <c r="AE72" s="300">
        <f>(116.2*KFC!$B$23*1.02*1.2+KFC!$C$23)*KFC!$C$5</f>
        <v>142.22880000000001</v>
      </c>
      <c r="AF72" s="300">
        <f>(117.7*KFC!$B$23*1.02*1.2+KFC!$C$23)*KFC!$C$5</f>
        <v>144.06479999999999</v>
      </c>
      <c r="AG72" s="300">
        <f>(119.1*KFC!$B$23*1.02*1.2+KFC!$C$23)*KFC!$C$5</f>
        <v>145.7784</v>
      </c>
      <c r="AH72" s="304">
        <f>(120.6*KFC!$B$23*1.02*1.2+KFC!$C$23)*KFC!$C$5</f>
        <v>147.61439999999999</v>
      </c>
    </row>
    <row r="73" spans="1:34">
      <c r="A73" s="1781"/>
      <c r="B73" s="392">
        <v>0.8</v>
      </c>
      <c r="C73" s="303">
        <f>(75*KFC!$B$23*1.02*1.2+KFC!$C$23)*KFC!$C$5</f>
        <v>91.8</v>
      </c>
      <c r="D73" s="300">
        <f>(76.6*KFC!$B$23*1.02*1.2+KFC!$C$23)*KFC!$C$5</f>
        <v>93.75839999999998</v>
      </c>
      <c r="E73" s="300">
        <f>(78.1*KFC!$B$23*1.02*1.2+KFC!$C$23)*KFC!$C$5</f>
        <v>95.594399999999993</v>
      </c>
      <c r="F73" s="300">
        <f>(79.7*KFC!$B$23*1.02*1.2+KFC!$C$23)*KFC!$C$5</f>
        <v>97.552800000000005</v>
      </c>
      <c r="G73" s="300">
        <f>(81.2*KFC!$B$23*1.02*1.2+KFC!$C$23)*KFC!$C$5</f>
        <v>99.388799999999989</v>
      </c>
      <c r="H73" s="300">
        <f>(82.8*KFC!$B$23*1.02*1.2+KFC!$C$23)*KFC!$C$5</f>
        <v>101.3472</v>
      </c>
      <c r="I73" s="300">
        <f>(84.3*KFC!$B$23*1.02*1.2+KFC!$C$23)*KFC!$C$5</f>
        <v>103.1832</v>
      </c>
      <c r="J73" s="300">
        <f>(85.8*KFC!$B$23*1.02*1.2+KFC!$C$23)*KFC!$C$5</f>
        <v>105.0192</v>
      </c>
      <c r="K73" s="300">
        <f>(87.4*KFC!$B$23*1.02*1.2+KFC!$C$23)*KFC!$C$5</f>
        <v>106.97760000000001</v>
      </c>
      <c r="L73" s="300">
        <f>(88.9*KFC!$B$23*1.02*1.2+KFC!$C$23)*KFC!$C$5</f>
        <v>108.81360000000001</v>
      </c>
      <c r="M73" s="300">
        <f>(90.5*KFC!$B$23*1.02*1.2+KFC!$C$23)*KFC!$C$5</f>
        <v>110.77200000000001</v>
      </c>
      <c r="N73" s="300">
        <f>(92*KFC!$B$23*1.02*1.2+KFC!$C$23)*KFC!$C$5</f>
        <v>112.608</v>
      </c>
      <c r="O73" s="300">
        <f>(93.6*KFC!$B$23*1.02*1.2+KFC!$C$23)*KFC!$C$5</f>
        <v>114.56639999999999</v>
      </c>
      <c r="P73" s="300">
        <f>(95.1*KFC!$B$23*1.02*1.2+KFC!$C$23)*KFC!$C$5</f>
        <v>116.40239999999999</v>
      </c>
      <c r="Q73" s="300">
        <f>(96.6*KFC!$B$23*1.02*1.2+KFC!$C$23)*KFC!$C$5</f>
        <v>118.23839999999998</v>
      </c>
      <c r="R73" s="300">
        <f>(98.2*KFC!$B$23*1.02*1.2+KFC!$C$23)*KFC!$C$5</f>
        <v>120.1968</v>
      </c>
      <c r="S73" s="300">
        <f>(99.7*KFC!$B$23*1.02*1.2+KFC!$C$23)*KFC!$C$5</f>
        <v>122.03279999999999</v>
      </c>
      <c r="T73" s="300">
        <f>(101.3*KFC!$B$23*1.02*1.2+KFC!$C$23)*KFC!$C$5</f>
        <v>123.99119999999999</v>
      </c>
      <c r="U73" s="300">
        <f>(102.8*KFC!$B$23*1.02*1.2+KFC!$C$23)*KFC!$C$5</f>
        <v>125.82719999999999</v>
      </c>
      <c r="V73" s="300">
        <f>(104.3*KFC!$B$23*1.02*1.2+KFC!$C$23)*KFC!$C$5</f>
        <v>127.66319999999999</v>
      </c>
      <c r="W73" s="300">
        <f>(105.9*KFC!$B$23*1.02*1.2+KFC!$C$23)*KFC!$C$5</f>
        <v>129.6216</v>
      </c>
      <c r="X73" s="300">
        <f>(107.4*KFC!$B$23*1.02*1.2+KFC!$C$23)*KFC!$C$5</f>
        <v>131.45759999999999</v>
      </c>
      <c r="Y73" s="300">
        <f>(109*KFC!$B$23*1.02*1.2+KFC!$C$23)*KFC!$C$5</f>
        <v>133.416</v>
      </c>
      <c r="Z73" s="300">
        <f>(110.5*KFC!$B$23*1.02*1.2+KFC!$C$23)*KFC!$C$5</f>
        <v>135.25200000000001</v>
      </c>
      <c r="AA73" s="300">
        <f>(112.1*KFC!$B$23*1.02*1.2+KFC!$C$23)*KFC!$C$5</f>
        <v>137.21039999999999</v>
      </c>
      <c r="AB73" s="300">
        <f>(113.6*KFC!$B$23*1.02*1.2+KFC!$C$23)*KFC!$C$5</f>
        <v>139.04640000000001</v>
      </c>
      <c r="AC73" s="300">
        <f>(115.1*KFC!$B$23*1.02*1.2+KFC!$C$23)*KFC!$C$5</f>
        <v>140.88239999999999</v>
      </c>
      <c r="AD73" s="300">
        <f>(116.7*KFC!$B$23*1.02*1.2+KFC!$C$23)*KFC!$C$5</f>
        <v>142.8408</v>
      </c>
      <c r="AE73" s="300">
        <f>(118.2*KFC!$B$23*1.02*1.2+KFC!$C$23)*KFC!$C$5</f>
        <v>144.67680000000001</v>
      </c>
      <c r="AF73" s="300">
        <f>(119.8*KFC!$B$23*1.02*1.2+KFC!$C$23)*KFC!$C$5</f>
        <v>146.6352</v>
      </c>
      <c r="AG73" s="300">
        <f>(121.3*KFC!$B$23*1.02*1.2+KFC!$C$23)*KFC!$C$5</f>
        <v>148.47119999999998</v>
      </c>
      <c r="AH73" s="304">
        <f>(122.9*KFC!$B$23*1.02*1.2+KFC!$C$23)*KFC!$C$5</f>
        <v>150.42959999999999</v>
      </c>
    </row>
    <row r="74" spans="1:34">
      <c r="A74" s="1781"/>
      <c r="B74" s="392">
        <v>0.9</v>
      </c>
      <c r="C74" s="303">
        <f>(75.6*KFC!$B$23*1.02*1.2+KFC!$C$23)*KFC!$C$5</f>
        <v>92.534399999999991</v>
      </c>
      <c r="D74" s="300">
        <f>(77.2*KFC!$B$23*1.02*1.2+KFC!$C$23)*KFC!$C$5</f>
        <v>94.492800000000003</v>
      </c>
      <c r="E74" s="300">
        <f>(78.8*KFC!$B$23*1.02*1.2+KFC!$C$23)*KFC!$C$5</f>
        <v>96.4512</v>
      </c>
      <c r="F74" s="300">
        <f>(80.4*KFC!$B$23*1.02*1.2+KFC!$C$23)*KFC!$C$5</f>
        <v>98.409600000000012</v>
      </c>
      <c r="G74" s="300">
        <f>(82*KFC!$B$23*1.02*1.2+KFC!$C$23)*KFC!$C$5</f>
        <v>100.36799999999999</v>
      </c>
      <c r="H74" s="300">
        <f>(83.6*KFC!$B$23*1.02*1.2+KFC!$C$23)*KFC!$C$5</f>
        <v>102.32639999999999</v>
      </c>
      <c r="I74" s="300">
        <f>(85.2*KFC!$B$23*1.02*1.2+KFC!$C$23)*KFC!$C$5</f>
        <v>104.2848</v>
      </c>
      <c r="J74" s="300">
        <f>(86.8*KFC!$B$23*1.02*1.2+KFC!$C$23)*KFC!$C$5</f>
        <v>106.2432</v>
      </c>
      <c r="K74" s="300">
        <f>(88.4*KFC!$B$23*1.02*1.2+KFC!$C$23)*KFC!$C$5</f>
        <v>108.2016</v>
      </c>
      <c r="L74" s="300">
        <f>(90*KFC!$B$23*1.02*1.2+KFC!$C$23)*KFC!$C$5</f>
        <v>110.16</v>
      </c>
      <c r="M74" s="300">
        <f>(91.6*KFC!$B$23*1.02*1.2+KFC!$C$23)*KFC!$C$5</f>
        <v>112.11839999999999</v>
      </c>
      <c r="N74" s="300">
        <f>(93.2*KFC!$B$23*1.02*1.2+KFC!$C$23)*KFC!$C$5</f>
        <v>114.07680000000001</v>
      </c>
      <c r="O74" s="300">
        <f>(94.8*KFC!$B$23*1.02*1.2+KFC!$C$23)*KFC!$C$5</f>
        <v>116.03519999999999</v>
      </c>
      <c r="P74" s="300">
        <f>(96.4*KFC!$B$23*1.02*1.2+KFC!$C$23)*KFC!$C$5</f>
        <v>117.9936</v>
      </c>
      <c r="Q74" s="300">
        <f>(97.9*KFC!$B$23*1.02*1.2+KFC!$C$23)*KFC!$C$5</f>
        <v>119.8296</v>
      </c>
      <c r="R74" s="300">
        <f>(99.5*KFC!$B$23*1.02*1.2+KFC!$C$23)*KFC!$C$5</f>
        <v>121.78799999999998</v>
      </c>
      <c r="S74" s="300">
        <f>(101.1*KFC!$B$23*1.02*1.2+KFC!$C$23)*KFC!$C$5</f>
        <v>123.74639999999999</v>
      </c>
      <c r="T74" s="300">
        <f>(102.7*KFC!$B$23*1.02*1.2+KFC!$C$23)*KFC!$C$5</f>
        <v>125.70480000000001</v>
      </c>
      <c r="U74" s="300">
        <f>(104.3*KFC!$B$23*1.02*1.2+KFC!$C$23)*KFC!$C$5</f>
        <v>127.66319999999999</v>
      </c>
      <c r="V74" s="300">
        <f>(105.9*KFC!$B$23*1.02*1.2+KFC!$C$23)*KFC!$C$5</f>
        <v>129.6216</v>
      </c>
      <c r="W74" s="300">
        <f>(107.5*KFC!$B$23*1.02*1.2+KFC!$C$23)*KFC!$C$5</f>
        <v>131.58000000000001</v>
      </c>
      <c r="X74" s="300">
        <f>(109.1*KFC!$B$23*1.02*1.2+KFC!$C$23)*KFC!$C$5</f>
        <v>133.5384</v>
      </c>
      <c r="Y74" s="300">
        <f>(110.7*KFC!$B$23*1.02*1.2+KFC!$C$23)*KFC!$C$5</f>
        <v>135.49680000000001</v>
      </c>
      <c r="Z74" s="300">
        <f>(112.3*KFC!$B$23*1.02*1.2+KFC!$C$23)*KFC!$C$5</f>
        <v>137.45519999999999</v>
      </c>
      <c r="AA74" s="300">
        <f>(113.9*KFC!$B$23*1.02*1.2+KFC!$C$23)*KFC!$C$5</f>
        <v>139.4136</v>
      </c>
      <c r="AB74" s="300">
        <f>(115.5*KFC!$B$23*1.02*1.2+KFC!$C$23)*KFC!$C$5</f>
        <v>141.37199999999999</v>
      </c>
      <c r="AC74" s="300">
        <f>(117.1*KFC!$B$23*1.02*1.2+KFC!$C$23)*KFC!$C$5</f>
        <v>143.3304</v>
      </c>
      <c r="AD74" s="300">
        <f>(118.7*KFC!$B$23*1.02*1.2+KFC!$C$23)*KFC!$C$5</f>
        <v>145.28879999999998</v>
      </c>
      <c r="AE74" s="300">
        <f>(120.3*KFC!$B$23*1.02*1.2+KFC!$C$23)*KFC!$C$5</f>
        <v>147.24719999999999</v>
      </c>
      <c r="AF74" s="300">
        <f>(121.9*KFC!$B$23*1.02*1.2+KFC!$C$23)*KFC!$C$5</f>
        <v>149.2056</v>
      </c>
      <c r="AG74" s="300">
        <f>(123.5*KFC!$B$23*1.02*1.2+KFC!$C$23)*KFC!$C$5</f>
        <v>151.16399999999999</v>
      </c>
      <c r="AH74" s="304">
        <f>(125.1*KFC!$B$23*1.02*1.2+KFC!$C$23)*KFC!$C$5</f>
        <v>153.12239999999997</v>
      </c>
    </row>
    <row r="75" spans="1:34">
      <c r="A75" s="1781"/>
      <c r="B75" s="392">
        <v>1</v>
      </c>
      <c r="C75" s="303">
        <f>(76.2*KFC!$B$23*1.02*1.2+KFC!$C$23)*KFC!$C$5</f>
        <v>93.268799999999999</v>
      </c>
      <c r="D75" s="300">
        <f>(77.8*KFC!$B$23*1.02*1.2+KFC!$C$23)*KFC!$C$5</f>
        <v>95.227199999999996</v>
      </c>
      <c r="E75" s="300">
        <f>(79.5*KFC!$B$23*1.02*1.2+KFC!$C$23)*KFC!$C$5</f>
        <v>97.308000000000007</v>
      </c>
      <c r="F75" s="300">
        <f>(81.1*KFC!$B$23*1.02*1.2+KFC!$C$23)*KFC!$C$5</f>
        <v>99.26639999999999</v>
      </c>
      <c r="G75" s="300">
        <f>(82.8*KFC!$B$23*1.02*1.2+KFC!$C$23)*KFC!$C$5</f>
        <v>101.3472</v>
      </c>
      <c r="H75" s="300">
        <f>(84.4*KFC!$B$23*1.02*1.2+KFC!$C$23)*KFC!$C$5</f>
        <v>103.30560000000001</v>
      </c>
      <c r="I75" s="300">
        <f>(86.1*KFC!$B$23*1.02*1.2+KFC!$C$23)*KFC!$C$5</f>
        <v>105.38639999999999</v>
      </c>
      <c r="J75" s="300">
        <f>(87.7*KFC!$B$23*1.02*1.2+KFC!$C$23)*KFC!$C$5</f>
        <v>107.34480000000001</v>
      </c>
      <c r="K75" s="300">
        <f>(89.4*KFC!$B$23*1.02*1.2+KFC!$C$23)*KFC!$C$5</f>
        <v>109.4256</v>
      </c>
      <c r="L75" s="300">
        <f>(91*KFC!$B$23*1.02*1.2+KFC!$C$23)*KFC!$C$5</f>
        <v>111.384</v>
      </c>
      <c r="M75" s="300">
        <f>(92.7*KFC!$B$23*1.02*1.2+KFC!$C$23)*KFC!$C$5</f>
        <v>113.4648</v>
      </c>
      <c r="N75" s="300">
        <f>(94.3*KFC!$B$23*1.02*1.2+KFC!$C$23)*KFC!$C$5</f>
        <v>115.42319999999998</v>
      </c>
      <c r="O75" s="300">
        <f>(96*KFC!$B$23*1.02*1.2+KFC!$C$23)*KFC!$C$5</f>
        <v>117.50399999999999</v>
      </c>
      <c r="P75" s="300">
        <f>(97.6*KFC!$B$23*1.02*1.2+KFC!$C$23)*KFC!$C$5</f>
        <v>119.46239999999999</v>
      </c>
      <c r="Q75" s="300">
        <f>(99.3*KFC!$B$23*1.02*1.2+KFC!$C$23)*KFC!$C$5</f>
        <v>121.5432</v>
      </c>
      <c r="R75" s="300">
        <f>(100.9*KFC!$B$23*1.02*1.2+KFC!$C$23)*KFC!$C$5</f>
        <v>123.5016</v>
      </c>
      <c r="S75" s="300">
        <f>(102.6*KFC!$B$23*1.02*1.2+KFC!$C$23)*KFC!$C$5</f>
        <v>125.58239999999999</v>
      </c>
      <c r="T75" s="300">
        <f>(104.2*KFC!$B$23*1.02*1.2+KFC!$C$23)*KFC!$C$5</f>
        <v>127.5408</v>
      </c>
      <c r="U75" s="300">
        <f>(105.9*KFC!$B$23*1.02*1.2+KFC!$C$23)*KFC!$C$5</f>
        <v>129.6216</v>
      </c>
      <c r="V75" s="300">
        <f>(107.5*KFC!$B$23*1.02*1.2+KFC!$C$23)*KFC!$C$5</f>
        <v>131.58000000000001</v>
      </c>
      <c r="W75" s="300">
        <f>(109.2*KFC!$B$23*1.02*1.2+KFC!$C$23)*KFC!$C$5</f>
        <v>133.66079999999999</v>
      </c>
      <c r="X75" s="300">
        <f>(110.8*KFC!$B$23*1.02*1.2+KFC!$C$23)*KFC!$C$5</f>
        <v>135.61920000000001</v>
      </c>
      <c r="Y75" s="300">
        <f>(112.5*KFC!$B$23*1.02*1.2+KFC!$C$23)*KFC!$C$5</f>
        <v>137.69999999999999</v>
      </c>
      <c r="Z75" s="300">
        <f>(114.1*KFC!$B$23*1.02*1.2+KFC!$C$23)*KFC!$C$5</f>
        <v>139.65839999999997</v>
      </c>
      <c r="AA75" s="300">
        <f>(115.8*KFC!$B$23*1.02*1.2+KFC!$C$23)*KFC!$C$5</f>
        <v>141.73919999999998</v>
      </c>
      <c r="AB75" s="300">
        <f>(117.4*KFC!$B$23*1.02*1.2+KFC!$C$23)*KFC!$C$5</f>
        <v>143.69759999999999</v>
      </c>
      <c r="AC75" s="300">
        <f>(119.1*KFC!$B$23*1.02*1.2+KFC!$C$23)*KFC!$C$5</f>
        <v>145.7784</v>
      </c>
      <c r="AD75" s="300">
        <f>(120.7*KFC!$B$23*1.02*1.2+KFC!$C$23)*KFC!$C$5</f>
        <v>147.73679999999999</v>
      </c>
      <c r="AE75" s="300">
        <f>(122.4*KFC!$B$23*1.02*1.2+KFC!$C$23)*KFC!$C$5</f>
        <v>149.8176</v>
      </c>
      <c r="AF75" s="300">
        <f>(124*KFC!$B$23*1.02*1.2+KFC!$C$23)*KFC!$C$5</f>
        <v>151.77600000000001</v>
      </c>
      <c r="AG75" s="300">
        <f>(125.7*KFC!$B$23*1.02*1.2+KFC!$C$23)*KFC!$C$5</f>
        <v>153.85679999999999</v>
      </c>
      <c r="AH75" s="304">
        <f>(127.3*KFC!$B$23*1.02*1.2+KFC!$C$23)*KFC!$C$5</f>
        <v>155.8152</v>
      </c>
    </row>
    <row r="76" spans="1:34">
      <c r="A76" s="1781"/>
      <c r="B76" s="392">
        <v>1.1000000000000001</v>
      </c>
      <c r="C76" s="303">
        <f>(76.7*KFC!$B$23*1.02*1.2+KFC!$C$23)*KFC!$C$5</f>
        <v>93.880800000000008</v>
      </c>
      <c r="D76" s="300">
        <f>(78.4*KFC!$B$23*1.02*1.2+KFC!$C$23)*KFC!$C$5</f>
        <v>95.961600000000004</v>
      </c>
      <c r="E76" s="300">
        <f>(80.1*KFC!$B$23*1.02*1.2+KFC!$C$23)*KFC!$C$5</f>
        <v>98.042400000000001</v>
      </c>
      <c r="F76" s="300">
        <f>(81.8*KFC!$B$23*1.02*1.2+KFC!$C$23)*KFC!$C$5</f>
        <v>100.12319999999998</v>
      </c>
      <c r="G76" s="300">
        <f>(83.5*KFC!$B$23*1.02*1.2+KFC!$C$23)*KFC!$C$5</f>
        <v>102.20399999999999</v>
      </c>
      <c r="H76" s="300">
        <f>(85.2*KFC!$B$23*1.02*1.2+KFC!$C$23)*KFC!$C$5</f>
        <v>104.2848</v>
      </c>
      <c r="I76" s="300">
        <f>(86.9*KFC!$B$23*1.02*1.2+KFC!$C$23)*KFC!$C$5</f>
        <v>106.3656</v>
      </c>
      <c r="J76" s="300">
        <f>(88.6*KFC!$B$23*1.02*1.2+KFC!$C$23)*KFC!$C$5</f>
        <v>108.4464</v>
      </c>
      <c r="K76" s="300">
        <f>(90.3*KFC!$B$23*1.02*1.2+KFC!$C$23)*KFC!$C$5</f>
        <v>110.52719999999999</v>
      </c>
      <c r="L76" s="300">
        <f>(92*KFC!$B$23*1.02*1.2+KFC!$C$23)*KFC!$C$5</f>
        <v>112.608</v>
      </c>
      <c r="M76" s="300">
        <f>(93.8*KFC!$B$23*1.02*1.2+KFC!$C$23)*KFC!$C$5</f>
        <v>114.8112</v>
      </c>
      <c r="N76" s="300">
        <f>(95.5*KFC!$B$23*1.02*1.2+KFC!$C$23)*KFC!$C$5</f>
        <v>116.892</v>
      </c>
      <c r="O76" s="300">
        <f>(97.2*KFC!$B$23*1.02*1.2+KFC!$C$23)*KFC!$C$5</f>
        <v>118.97280000000001</v>
      </c>
      <c r="P76" s="300">
        <f>(98.9*KFC!$B$23*1.02*1.2+KFC!$C$23)*KFC!$C$5</f>
        <v>121.05360000000002</v>
      </c>
      <c r="Q76" s="300">
        <f>(100.6*KFC!$B$23*1.02*1.2+KFC!$C$23)*KFC!$C$5</f>
        <v>123.13439999999999</v>
      </c>
      <c r="R76" s="300">
        <f>(102.3*KFC!$B$23*1.02*1.2+KFC!$C$23)*KFC!$C$5</f>
        <v>125.2152</v>
      </c>
      <c r="S76" s="300">
        <f>(104*KFC!$B$23*1.02*1.2+KFC!$C$23)*KFC!$C$5</f>
        <v>127.29599999999999</v>
      </c>
      <c r="T76" s="300">
        <f>(105.7*KFC!$B$23*1.02*1.2+KFC!$C$23)*KFC!$C$5</f>
        <v>129.3768</v>
      </c>
      <c r="U76" s="300">
        <f>(107.4*KFC!$B$23*1.02*1.2+KFC!$C$23)*KFC!$C$5</f>
        <v>131.45759999999999</v>
      </c>
      <c r="V76" s="300">
        <f>(109.1*KFC!$B$23*1.02*1.2+KFC!$C$23)*KFC!$C$5</f>
        <v>133.5384</v>
      </c>
      <c r="W76" s="300">
        <f>(110.8*KFC!$B$23*1.02*1.2+KFC!$C$23)*KFC!$C$5</f>
        <v>135.61920000000001</v>
      </c>
      <c r="X76" s="300">
        <f>(112.5*KFC!$B$23*1.02*1.2+KFC!$C$23)*KFC!$C$5</f>
        <v>137.69999999999999</v>
      </c>
      <c r="Y76" s="300">
        <f>(114.2*KFC!$B$23*1.02*1.2+KFC!$C$23)*KFC!$C$5</f>
        <v>139.7808</v>
      </c>
      <c r="Z76" s="300">
        <f>(115.9*KFC!$B$23*1.02*1.2+KFC!$C$23)*KFC!$C$5</f>
        <v>141.86160000000001</v>
      </c>
      <c r="AA76" s="300">
        <f>(117.6*KFC!$B$23*1.02*1.2+KFC!$C$23)*KFC!$C$5</f>
        <v>143.94239999999999</v>
      </c>
      <c r="AB76" s="300">
        <f>(119.3*KFC!$B$23*1.02*1.2+KFC!$C$23)*KFC!$C$5</f>
        <v>146.02319999999997</v>
      </c>
      <c r="AC76" s="300">
        <f>(121*KFC!$B$23*1.02*1.2+KFC!$C$23)*KFC!$C$5</f>
        <v>148.10399999999998</v>
      </c>
      <c r="AD76" s="300">
        <f>(122.7*KFC!$B$23*1.02*1.2+KFC!$C$23)*KFC!$C$5</f>
        <v>150.1848</v>
      </c>
      <c r="AE76" s="300">
        <f>(124.4*KFC!$B$23*1.02*1.2+KFC!$C$23)*KFC!$C$5</f>
        <v>152.26560000000001</v>
      </c>
      <c r="AF76" s="300">
        <f>(126.1*KFC!$B$23*1.02*1.2+KFC!$C$23)*KFC!$C$5</f>
        <v>154.34639999999999</v>
      </c>
      <c r="AG76" s="300">
        <f>(127.8*KFC!$B$23*1.02*1.2+KFC!$C$23)*KFC!$C$5</f>
        <v>156.4272</v>
      </c>
      <c r="AH76" s="304">
        <f>(129.5*KFC!$B$23*1.02*1.2+KFC!$C$23)*KFC!$C$5</f>
        <v>158.50800000000001</v>
      </c>
    </row>
    <row r="77" spans="1:34">
      <c r="A77" s="1781"/>
      <c r="B77" s="392">
        <v>1.2</v>
      </c>
      <c r="C77" s="303">
        <f>(77.3*KFC!$B$23*1.02*1.2+KFC!$C$23)*KFC!$C$5</f>
        <v>94.615200000000002</v>
      </c>
      <c r="D77" s="300">
        <f>(79*KFC!$B$23*1.02*1.2+KFC!$C$23)*KFC!$C$5</f>
        <v>96.695999999999998</v>
      </c>
      <c r="E77" s="300">
        <f>(80.8*KFC!$B$23*1.02*1.2+KFC!$C$23)*KFC!$C$5</f>
        <v>98.899199999999993</v>
      </c>
      <c r="F77" s="300">
        <f>(82.5*KFC!$B$23*1.02*1.2+KFC!$C$23)*KFC!$C$5</f>
        <v>100.98</v>
      </c>
      <c r="G77" s="300">
        <f>(84.3*KFC!$B$23*1.02*1.2+KFC!$C$23)*KFC!$C$5</f>
        <v>103.1832</v>
      </c>
      <c r="H77" s="300">
        <f>(86.1*KFC!$B$23*1.02*1.2+KFC!$C$23)*KFC!$C$5</f>
        <v>105.38639999999999</v>
      </c>
      <c r="I77" s="300">
        <f>(87.8*KFC!$B$23*1.02*1.2+KFC!$C$23)*KFC!$C$5</f>
        <v>107.46719999999999</v>
      </c>
      <c r="J77" s="300">
        <f>(89.6*KFC!$B$23*1.02*1.2+KFC!$C$23)*KFC!$C$5</f>
        <v>109.67039999999999</v>
      </c>
      <c r="K77" s="300">
        <f>(91.3*KFC!$B$23*1.02*1.2+KFC!$C$23)*KFC!$C$5</f>
        <v>111.7512</v>
      </c>
      <c r="L77" s="300">
        <f>(93.1*KFC!$B$23*1.02*1.2+KFC!$C$23)*KFC!$C$5</f>
        <v>113.95439999999998</v>
      </c>
      <c r="M77" s="300">
        <f>(94.8*KFC!$B$23*1.02*1.2+KFC!$C$23)*KFC!$C$5</f>
        <v>116.03519999999999</v>
      </c>
      <c r="N77" s="300">
        <f>(96.6*KFC!$B$23*1.02*1.2+KFC!$C$23)*KFC!$C$5</f>
        <v>118.23839999999998</v>
      </c>
      <c r="O77" s="300">
        <f>(98.4*KFC!$B$23*1.02*1.2+KFC!$C$23)*KFC!$C$5</f>
        <v>120.44160000000001</v>
      </c>
      <c r="P77" s="300">
        <f>(100.1*KFC!$B$23*1.02*1.2+KFC!$C$23)*KFC!$C$5</f>
        <v>122.52239999999998</v>
      </c>
      <c r="Q77" s="300">
        <f>(101.9*KFC!$B$23*1.02*1.2+KFC!$C$23)*KFC!$C$5</f>
        <v>124.7256</v>
      </c>
      <c r="R77" s="300">
        <f>(103.6*KFC!$B$23*1.02*1.2+KFC!$C$23)*KFC!$C$5</f>
        <v>126.8064</v>
      </c>
      <c r="S77" s="300">
        <f>(105.4*KFC!$B$23*1.02*1.2+KFC!$C$23)*KFC!$C$5</f>
        <v>129.00960000000001</v>
      </c>
      <c r="T77" s="300">
        <f>(107.1*KFC!$B$23*1.02*1.2+KFC!$C$23)*KFC!$C$5</f>
        <v>131.09039999999999</v>
      </c>
      <c r="U77" s="300">
        <f>(108.9*KFC!$B$23*1.02*1.2+KFC!$C$23)*KFC!$C$5</f>
        <v>133.2936</v>
      </c>
      <c r="V77" s="300">
        <f>(110.7*KFC!$B$23*1.02*1.2+KFC!$C$23)*KFC!$C$5</f>
        <v>135.49680000000001</v>
      </c>
      <c r="W77" s="300">
        <f>(112.4*KFC!$B$23*1.02*1.2+KFC!$C$23)*KFC!$C$5</f>
        <v>137.57760000000002</v>
      </c>
      <c r="X77" s="300">
        <f>(114.2*KFC!$B$23*1.02*1.2+KFC!$C$23)*KFC!$C$5</f>
        <v>139.7808</v>
      </c>
      <c r="Y77" s="300">
        <f>(115.9*KFC!$B$23*1.02*1.2+KFC!$C$23)*KFC!$C$5</f>
        <v>141.86160000000001</v>
      </c>
      <c r="Z77" s="300">
        <f>(117.7*KFC!$B$23*1.02*1.2+KFC!$C$23)*KFC!$C$5</f>
        <v>144.06479999999999</v>
      </c>
      <c r="AA77" s="300">
        <f>(119.4*KFC!$B$23*1.02*1.2+KFC!$C$23)*KFC!$C$5</f>
        <v>146.1456</v>
      </c>
      <c r="AB77" s="300">
        <f>(121.2*KFC!$B$23*1.02*1.2+KFC!$C$23)*KFC!$C$5</f>
        <v>148.34880000000001</v>
      </c>
      <c r="AC77" s="300">
        <f>(123*KFC!$B$23*1.02*1.2+KFC!$C$23)*KFC!$C$5</f>
        <v>150.55199999999999</v>
      </c>
      <c r="AD77" s="300">
        <f>(124.7*KFC!$B$23*1.02*1.2+KFC!$C$23)*KFC!$C$5</f>
        <v>152.6328</v>
      </c>
      <c r="AE77" s="300">
        <f>(126.5*KFC!$B$23*1.02*1.2+KFC!$C$23)*KFC!$C$5</f>
        <v>154.83599999999998</v>
      </c>
      <c r="AF77" s="300">
        <f>(128.2*KFC!$B$23*1.02*1.2+KFC!$C$23)*KFC!$C$5</f>
        <v>156.91679999999997</v>
      </c>
      <c r="AG77" s="300">
        <f>(130*KFC!$B$23*1.02*1.2+KFC!$C$23)*KFC!$C$5</f>
        <v>159.11999999999998</v>
      </c>
      <c r="AH77" s="304">
        <f>(131.8*KFC!$B$23*1.02*1.2+KFC!$C$23)*KFC!$C$5</f>
        <v>161.32320000000001</v>
      </c>
    </row>
    <row r="78" spans="1:34">
      <c r="A78" s="1781"/>
      <c r="B78" s="392">
        <v>1.3</v>
      </c>
      <c r="C78" s="303">
        <f>(77.8*KFC!$B$23*1.02*1.2+KFC!$C$23)*KFC!$C$5</f>
        <v>95.227199999999996</v>
      </c>
      <c r="D78" s="300">
        <f>(79.6*KFC!$B$23*1.02*1.2+KFC!$C$23)*KFC!$C$5</f>
        <v>97.430399999999992</v>
      </c>
      <c r="E78" s="300">
        <f>(81.4*KFC!$B$23*1.02*1.2+KFC!$C$23)*KFC!$C$5</f>
        <v>99.633600000000001</v>
      </c>
      <c r="F78" s="300">
        <f>(83.3*KFC!$B$23*1.02*1.2+KFC!$C$23)*KFC!$C$5</f>
        <v>101.9592</v>
      </c>
      <c r="G78" s="300">
        <f>(85.1*KFC!$B$23*1.02*1.2+KFC!$C$23)*KFC!$C$5</f>
        <v>104.16239999999999</v>
      </c>
      <c r="H78" s="300">
        <f>(86.9*KFC!$B$23*1.02*1.2+KFC!$C$23)*KFC!$C$5</f>
        <v>106.3656</v>
      </c>
      <c r="I78" s="300">
        <f>(88.7*KFC!$B$23*1.02*1.2+KFC!$C$23)*KFC!$C$5</f>
        <v>108.5688</v>
      </c>
      <c r="J78" s="300">
        <f>(90.5*KFC!$B$23*1.02*1.2+KFC!$C$23)*KFC!$C$5</f>
        <v>110.77200000000001</v>
      </c>
      <c r="K78" s="300">
        <f>(92.3*KFC!$B$23*1.02*1.2+KFC!$C$23)*KFC!$C$5</f>
        <v>112.9752</v>
      </c>
      <c r="L78" s="300">
        <f>(94.1*KFC!$B$23*1.02*1.2+KFC!$C$23)*KFC!$C$5</f>
        <v>115.1784</v>
      </c>
      <c r="M78" s="300">
        <f>(95.9*KFC!$B$23*1.02*1.2+KFC!$C$23)*KFC!$C$5</f>
        <v>117.38160000000001</v>
      </c>
      <c r="N78" s="300">
        <f>(97.8*KFC!$B$23*1.02*1.2+KFC!$C$23)*KFC!$C$5</f>
        <v>119.7072</v>
      </c>
      <c r="O78" s="300">
        <f>(99.6*KFC!$B$23*1.02*1.2+KFC!$C$23)*KFC!$C$5</f>
        <v>121.9104</v>
      </c>
      <c r="P78" s="300">
        <f>(101.4*KFC!$B$23*1.02*1.2+KFC!$C$23)*KFC!$C$5</f>
        <v>124.11360000000001</v>
      </c>
      <c r="Q78" s="300">
        <f>(103.2*KFC!$B$23*1.02*1.2+KFC!$C$23)*KFC!$C$5</f>
        <v>126.3168</v>
      </c>
      <c r="R78" s="300">
        <f>(105*KFC!$B$23*1.02*1.2+KFC!$C$23)*KFC!$C$5</f>
        <v>128.52000000000001</v>
      </c>
      <c r="S78" s="300">
        <f>(106.8*KFC!$B$23*1.02*1.2+KFC!$C$23)*KFC!$C$5</f>
        <v>130.72319999999999</v>
      </c>
      <c r="T78" s="300">
        <f>(108.6*KFC!$B$23*1.02*1.2+KFC!$C$23)*KFC!$C$5</f>
        <v>132.92639999999997</v>
      </c>
      <c r="U78" s="300">
        <f>(110.4*KFC!$B$23*1.02*1.2+KFC!$C$23)*KFC!$C$5</f>
        <v>135.12960000000001</v>
      </c>
      <c r="V78" s="300">
        <f>(112.2*KFC!$B$23*1.02*1.2+KFC!$C$23)*KFC!$C$5</f>
        <v>137.33279999999999</v>
      </c>
      <c r="W78" s="300">
        <f>(114.1*KFC!$B$23*1.02*1.2+KFC!$C$23)*KFC!$C$5</f>
        <v>139.65839999999997</v>
      </c>
      <c r="X78" s="300">
        <f>(115.9*KFC!$B$23*1.02*1.2+KFC!$C$23)*KFC!$C$5</f>
        <v>141.86160000000001</v>
      </c>
      <c r="Y78" s="300">
        <f>(117.7*KFC!$B$23*1.02*1.2+KFC!$C$23)*KFC!$C$5</f>
        <v>144.06479999999999</v>
      </c>
      <c r="Z78" s="300">
        <f>(119.5*KFC!$B$23*1.02*1.2+KFC!$C$23)*KFC!$C$5</f>
        <v>146.268</v>
      </c>
      <c r="AA78" s="300">
        <f>(121.3*KFC!$B$23*1.02*1.2+KFC!$C$23)*KFC!$C$5</f>
        <v>148.47119999999998</v>
      </c>
      <c r="AB78" s="300">
        <f>(123.1*KFC!$B$23*1.02*1.2+KFC!$C$23)*KFC!$C$5</f>
        <v>150.67439999999999</v>
      </c>
      <c r="AC78" s="300">
        <f>(124.9*KFC!$B$23*1.02*1.2+KFC!$C$23)*KFC!$C$5</f>
        <v>152.8776</v>
      </c>
      <c r="AD78" s="300">
        <f>(126.7*KFC!$B$23*1.02*1.2+KFC!$C$23)*KFC!$C$5</f>
        <v>155.08080000000001</v>
      </c>
      <c r="AE78" s="300">
        <f>(128.5*KFC!$B$23*1.02*1.2+KFC!$C$23)*KFC!$C$5</f>
        <v>157.28399999999999</v>
      </c>
      <c r="AF78" s="300">
        <f>(130.4*KFC!$B$23*1.02*1.2+KFC!$C$23)*KFC!$C$5</f>
        <v>159.6096</v>
      </c>
      <c r="AG78" s="300">
        <f>(132.2*KFC!$B$23*1.02*1.2+KFC!$C$23)*KFC!$C$5</f>
        <v>161.81279999999998</v>
      </c>
      <c r="AH78" s="304">
        <f>(134*KFC!$B$23*1.02*1.2+KFC!$C$23)*KFC!$C$5</f>
        <v>164.01599999999999</v>
      </c>
    </row>
    <row r="79" spans="1:34">
      <c r="A79" s="1781"/>
      <c r="B79" s="392">
        <v>1.4</v>
      </c>
      <c r="C79" s="303">
        <f>(78.4*KFC!$B$23*1.02*1.2+KFC!$C$23)*KFC!$C$5</f>
        <v>95.961600000000004</v>
      </c>
      <c r="D79" s="300">
        <f>(80.2*KFC!$B$23*1.02*1.2+KFC!$C$23)*KFC!$C$5</f>
        <v>98.1648</v>
      </c>
      <c r="E79" s="300">
        <f>(82.1*KFC!$B$23*1.02*1.2+KFC!$C$23)*KFC!$C$5</f>
        <v>100.49039999999998</v>
      </c>
      <c r="F79" s="300">
        <f>(84*KFC!$B$23*1.02*1.2+KFC!$C$23)*KFC!$C$5</f>
        <v>102.816</v>
      </c>
      <c r="G79" s="300">
        <f>(85.8*KFC!$B$23*1.02*1.2+KFC!$C$23)*KFC!$C$5</f>
        <v>105.0192</v>
      </c>
      <c r="H79" s="300">
        <f>(87.7*KFC!$B$23*1.02*1.2+KFC!$C$23)*KFC!$C$5</f>
        <v>107.34480000000001</v>
      </c>
      <c r="I79" s="300">
        <f>(89.6*KFC!$B$23*1.02*1.2+KFC!$C$23)*KFC!$C$5</f>
        <v>109.67039999999999</v>
      </c>
      <c r="J79" s="300">
        <f>(91.4*KFC!$B$23*1.02*1.2+KFC!$C$23)*KFC!$C$5</f>
        <v>111.87360000000001</v>
      </c>
      <c r="K79" s="300">
        <f>(93.3*KFC!$B$23*1.02*1.2+KFC!$C$23)*KFC!$C$5</f>
        <v>114.19919999999999</v>
      </c>
      <c r="L79" s="300">
        <f>(95.2*KFC!$B$23*1.02*1.2+KFC!$C$23)*KFC!$C$5</f>
        <v>116.5248</v>
      </c>
      <c r="M79" s="300">
        <f>(97*KFC!$B$23*1.02*1.2+KFC!$C$23)*KFC!$C$5</f>
        <v>118.72799999999999</v>
      </c>
      <c r="N79" s="300">
        <f>(98.9*KFC!$B$23*1.02*1.2+KFC!$C$23)*KFC!$C$5</f>
        <v>121.05360000000002</v>
      </c>
      <c r="O79" s="300">
        <f>(100.8*KFC!$B$23*1.02*1.2+KFC!$C$23)*KFC!$C$5</f>
        <v>123.3792</v>
      </c>
      <c r="P79" s="300">
        <f>(102.6*KFC!$B$23*1.02*1.2+KFC!$C$23)*KFC!$C$5</f>
        <v>125.58239999999999</v>
      </c>
      <c r="Q79" s="300">
        <f>(104.5*KFC!$B$23*1.02*1.2+KFC!$C$23)*KFC!$C$5</f>
        <v>127.908</v>
      </c>
      <c r="R79" s="300">
        <f>(106.4*KFC!$B$23*1.02*1.2+KFC!$C$23)*KFC!$C$5</f>
        <v>130.2336</v>
      </c>
      <c r="S79" s="300">
        <f>(108.2*KFC!$B$23*1.02*1.2+KFC!$C$23)*KFC!$C$5</f>
        <v>132.43680000000001</v>
      </c>
      <c r="T79" s="300">
        <f>(110.1*KFC!$B$23*1.02*1.2+KFC!$C$23)*KFC!$C$5</f>
        <v>134.76239999999999</v>
      </c>
      <c r="U79" s="300">
        <f>(112*KFC!$B$23*1.02*1.2+KFC!$C$23)*KFC!$C$5</f>
        <v>137.08799999999999</v>
      </c>
      <c r="V79" s="300">
        <f>(113.8*KFC!$B$23*1.02*1.2+KFC!$C$23)*KFC!$C$5</f>
        <v>139.29119999999998</v>
      </c>
      <c r="W79" s="300">
        <f>(115.1*KFC!$B$23*1.02*1.2+KFC!$C$23)*KFC!$C$5</f>
        <v>140.88239999999999</v>
      </c>
      <c r="X79" s="300">
        <f>(117.5*KFC!$B$23*1.02*1.2+KFC!$C$23)*KFC!$C$5</f>
        <v>143.82</v>
      </c>
      <c r="Y79" s="300">
        <f>(119.4*KFC!$B$23*1.02*1.2+KFC!$C$23)*KFC!$C$5</f>
        <v>146.1456</v>
      </c>
      <c r="Z79" s="300">
        <f>(121.3*KFC!$B$23*1.02*1.2+KFC!$C$23)*KFC!$C$5</f>
        <v>148.47119999999998</v>
      </c>
      <c r="AA79" s="300">
        <f>(123.1*KFC!$B$23*1.02*1.2+KFC!$C$23)*KFC!$C$5</f>
        <v>150.67439999999999</v>
      </c>
      <c r="AB79" s="300">
        <f>(125*KFC!$B$23*1.02*1.2+KFC!$C$23)*KFC!$C$5</f>
        <v>153</v>
      </c>
      <c r="AC79" s="300">
        <f>(126.9*KFC!$B$23*1.02*1.2+KFC!$C$23)*KFC!$C$5</f>
        <v>155.32560000000001</v>
      </c>
      <c r="AD79" s="300">
        <f>(128.7*KFC!$B$23*1.02*1.2+KFC!$C$23)*KFC!$C$5</f>
        <v>157.52879999999999</v>
      </c>
      <c r="AE79" s="300">
        <f>(130.6*KFC!$B$23*1.02*1.2+KFC!$C$23)*KFC!$C$5</f>
        <v>159.85439999999997</v>
      </c>
      <c r="AF79" s="300">
        <f>(132.5*KFC!$B$23*1.02*1.2+KFC!$C$23)*KFC!$C$5</f>
        <v>162.18</v>
      </c>
      <c r="AG79" s="300">
        <f>(134.3*KFC!$B$23*1.02*1.2+KFC!$C$23)*KFC!$C$5</f>
        <v>164.38320000000002</v>
      </c>
      <c r="AH79" s="304">
        <f>(136.2*KFC!$B$23*1.02*1.2+KFC!$C$23)*KFC!$C$5</f>
        <v>166.70879999999997</v>
      </c>
    </row>
    <row r="80" spans="1:34">
      <c r="A80" s="1781"/>
      <c r="B80" s="392">
        <v>1.5</v>
      </c>
      <c r="C80" s="303">
        <f>(78.9*KFC!$B$23*1.02*1.2+KFC!$C$23)*KFC!$C$5</f>
        <v>96.573600000000013</v>
      </c>
      <c r="D80" s="300">
        <f>(80.9*KFC!$B$23*1.02*1.2+KFC!$C$23)*KFC!$C$5</f>
        <v>99.021599999999992</v>
      </c>
      <c r="E80" s="300">
        <f>(82.8*KFC!$B$23*1.02*1.2+KFC!$C$23)*KFC!$C$5</f>
        <v>101.3472</v>
      </c>
      <c r="F80" s="300">
        <f>(84.7*KFC!$B$23*1.02*1.2+KFC!$C$23)*KFC!$C$5</f>
        <v>103.67280000000001</v>
      </c>
      <c r="G80" s="300">
        <f>(86.6*KFC!$B$23*1.02*1.2+KFC!$C$23)*KFC!$C$5</f>
        <v>105.99839999999999</v>
      </c>
      <c r="H80" s="300">
        <f>(88.5*KFC!$B$23*1.02*1.2+KFC!$C$23)*KFC!$C$5</f>
        <v>108.324</v>
      </c>
      <c r="I80" s="300">
        <f>(90.5*KFC!$B$23*1.02*1.2+KFC!$C$23)*KFC!$C$5</f>
        <v>110.77200000000001</v>
      </c>
      <c r="J80" s="300">
        <f>(92.4*KFC!$B$23*1.02*1.2+KFC!$C$23)*KFC!$C$5</f>
        <v>113.0976</v>
      </c>
      <c r="K80" s="300">
        <f>(94.3*KFC!$B$23*1.02*1.2+KFC!$C$23)*KFC!$C$5</f>
        <v>115.42319999999998</v>
      </c>
      <c r="L80" s="300">
        <f>(96.2*KFC!$B$23*1.02*1.2+KFC!$C$23)*KFC!$C$5</f>
        <v>117.7488</v>
      </c>
      <c r="M80" s="300">
        <f>(98.1*KFC!$B$23*1.02*1.2+KFC!$C$23)*KFC!$C$5</f>
        <v>120.0744</v>
      </c>
      <c r="N80" s="300">
        <f>(100*KFC!$B$23*1.02*1.2+KFC!$C$23)*KFC!$C$5</f>
        <v>122.39999999999999</v>
      </c>
      <c r="O80" s="300">
        <f>(102*KFC!$B$23*1.02*1.2+KFC!$C$23)*KFC!$C$5</f>
        <v>124.848</v>
      </c>
      <c r="P80" s="300">
        <f>(103.9*KFC!$B$23*1.02*1.2+KFC!$C$23)*KFC!$C$5</f>
        <v>127.17360000000001</v>
      </c>
      <c r="Q80" s="300">
        <f>(105.8*KFC!$B$23*1.02*1.2+KFC!$C$23)*KFC!$C$5</f>
        <v>129.4992</v>
      </c>
      <c r="R80" s="300">
        <f>(107.7*KFC!$B$23*1.02*1.2+KFC!$C$23)*KFC!$C$5</f>
        <v>131.82479999999998</v>
      </c>
      <c r="S80" s="300">
        <f>(109.6*KFC!$B$23*1.02*1.2+KFC!$C$23)*KFC!$C$5</f>
        <v>134.15039999999999</v>
      </c>
      <c r="T80" s="300">
        <f>(111.6*KFC!$B$23*1.02*1.2+KFC!$C$23)*KFC!$C$5</f>
        <v>136.5984</v>
      </c>
      <c r="U80" s="300">
        <f>(113.5*KFC!$B$23*1.02*1.2+KFC!$C$23)*KFC!$C$5</f>
        <v>138.92399999999998</v>
      </c>
      <c r="V80" s="300">
        <f>(115.4*KFC!$B$23*1.02*1.2+KFC!$C$23)*KFC!$C$5</f>
        <v>141.24960000000002</v>
      </c>
      <c r="W80" s="300">
        <f>(117.3*KFC!$B$23*1.02*1.2+KFC!$C$23)*KFC!$C$5</f>
        <v>143.5752</v>
      </c>
      <c r="X80" s="300">
        <f>(119.2*KFC!$B$23*1.02*1.2+KFC!$C$23)*KFC!$C$5</f>
        <v>145.9008</v>
      </c>
      <c r="Y80" s="300">
        <f>(121.2*KFC!$B$23*1.02*1.2+KFC!$C$23)*KFC!$C$5</f>
        <v>148.34880000000001</v>
      </c>
      <c r="Z80" s="300">
        <f>(123.1*KFC!$B$23*1.02*1.2+KFC!$C$23)*KFC!$C$5</f>
        <v>150.67439999999999</v>
      </c>
      <c r="AA80" s="300">
        <f>(125*KFC!$B$23*1.02*1.2+KFC!$C$23)*KFC!$C$5</f>
        <v>153</v>
      </c>
      <c r="AB80" s="300">
        <f>(126.9*KFC!$B$23*1.02*1.2+KFC!$C$23)*KFC!$C$5</f>
        <v>155.32560000000001</v>
      </c>
      <c r="AC80" s="300">
        <f>(128.8*KFC!$B$23*1.02*1.2+KFC!$C$23)*KFC!$C$5</f>
        <v>157.65119999999999</v>
      </c>
      <c r="AD80" s="300">
        <f>(130.7*KFC!$B$23*1.02*1.2+KFC!$C$23)*KFC!$C$5</f>
        <v>159.9768</v>
      </c>
      <c r="AE80" s="300">
        <f>(132.7*KFC!$B$23*1.02*1.2+KFC!$C$23)*KFC!$C$5</f>
        <v>162.42479999999998</v>
      </c>
      <c r="AF80" s="300">
        <f>(134.6*KFC!$B$23*1.02*1.2+KFC!$C$23)*KFC!$C$5</f>
        <v>164.75039999999998</v>
      </c>
      <c r="AG80" s="300">
        <f>(136.5*KFC!$B$23*1.02*1.2+KFC!$C$23)*KFC!$C$5</f>
        <v>167.07599999999999</v>
      </c>
      <c r="AH80" s="304">
        <f>(138.4*KFC!$B$23*1.02*1.2+KFC!$C$23)*KFC!$C$5</f>
        <v>169.4016</v>
      </c>
    </row>
    <row r="81" spans="1:34">
      <c r="A81" s="1781"/>
      <c r="B81" s="392">
        <v>1.6</v>
      </c>
      <c r="C81" s="303">
        <f>(79.5*KFC!$B$23*1.02*1.2+KFC!$C$23)*KFC!$C$5</f>
        <v>97.308000000000007</v>
      </c>
      <c r="D81" s="300">
        <f>(81.5*KFC!$B$23*1.02*1.2+KFC!$C$23)*KFC!$C$5</f>
        <v>99.755999999999986</v>
      </c>
      <c r="E81" s="300">
        <f>(83.4*KFC!$B$23*1.02*1.2+KFC!$C$23)*KFC!$C$5</f>
        <v>102.08160000000001</v>
      </c>
      <c r="F81" s="300">
        <f>(85.4*KFC!$B$23*1.02*1.2+KFC!$C$23)*KFC!$C$5</f>
        <v>104.5296</v>
      </c>
      <c r="G81" s="300">
        <f>(87.4*KFC!$B$23*1.02*1.2+KFC!$C$23)*KFC!$C$5</f>
        <v>106.97760000000001</v>
      </c>
      <c r="H81" s="300">
        <f>(89.4*KFC!$B$23*1.02*1.2+KFC!$C$23)*KFC!$C$5</f>
        <v>109.4256</v>
      </c>
      <c r="I81" s="300">
        <f>(91.3*KFC!$B$23*1.02*1.2+KFC!$C$23)*KFC!$C$5</f>
        <v>111.7512</v>
      </c>
      <c r="J81" s="300">
        <f>(93.3*KFC!$B$23*1.02*1.2+KFC!$C$23)*KFC!$C$5</f>
        <v>114.19919999999999</v>
      </c>
      <c r="K81" s="300">
        <f>(95.3*KFC!$B$23*1.02*1.2+KFC!$C$23)*KFC!$C$5</f>
        <v>116.6472</v>
      </c>
      <c r="L81" s="300">
        <f>(97.2*KFC!$B$23*1.02*1.2+KFC!$C$23)*KFC!$C$5</f>
        <v>118.97280000000001</v>
      </c>
      <c r="M81" s="300">
        <f>(99.2*KFC!$B$23*1.02*1.2+KFC!$C$23)*KFC!$C$5</f>
        <v>121.42080000000001</v>
      </c>
      <c r="N81" s="300">
        <f>(101.2*KFC!$B$23*1.02*1.2+KFC!$C$23)*KFC!$C$5</f>
        <v>123.86879999999999</v>
      </c>
      <c r="O81" s="300">
        <f>(103.2*KFC!$B$23*1.02*1.2+KFC!$C$23)*KFC!$C$5</f>
        <v>126.3168</v>
      </c>
      <c r="P81" s="300">
        <f>(105.1*KFC!$B$23*1.02*1.2+KFC!$C$23)*KFC!$C$5</f>
        <v>128.64239999999998</v>
      </c>
      <c r="Q81" s="300">
        <f>(107.1*KFC!$B$23*1.02*1.2+KFC!$C$23)*KFC!$C$5</f>
        <v>131.09039999999999</v>
      </c>
      <c r="R81" s="300">
        <f>(109.1*KFC!$B$23*1.02*1.2+KFC!$C$23)*KFC!$C$5</f>
        <v>133.5384</v>
      </c>
      <c r="S81" s="300">
        <f>(111.1*KFC!$B$23*1.02*1.2+KFC!$C$23)*KFC!$C$5</f>
        <v>135.9864</v>
      </c>
      <c r="T81" s="300">
        <f>(113*KFC!$B$23*1.02*1.2+KFC!$C$23)*KFC!$C$5</f>
        <v>138.31200000000001</v>
      </c>
      <c r="U81" s="300">
        <f>(115*KFC!$B$23*1.02*1.2+KFC!$C$23)*KFC!$C$5</f>
        <v>140.76</v>
      </c>
      <c r="V81" s="300">
        <f>(117*KFC!$B$23*1.02*1.2+KFC!$C$23)*KFC!$C$5</f>
        <v>143.208</v>
      </c>
      <c r="W81" s="300">
        <f>(118.9*KFC!$B$23*1.02*1.2+KFC!$C$23)*KFC!$C$5</f>
        <v>145.53360000000001</v>
      </c>
      <c r="X81" s="300">
        <f>(120.9*KFC!$B$23*1.02*1.2+KFC!$C$23)*KFC!$C$5</f>
        <v>147.98160000000001</v>
      </c>
      <c r="Y81" s="300">
        <f>(122.9*KFC!$B$23*1.02*1.2+KFC!$C$23)*KFC!$C$5</f>
        <v>150.42959999999999</v>
      </c>
      <c r="Z81" s="300">
        <f>(124.9*KFC!$B$23*1.02*1.2+KFC!$C$23)*KFC!$C$5</f>
        <v>152.8776</v>
      </c>
      <c r="AA81" s="300">
        <f>(126.8*KFC!$B$23*1.02*1.2+KFC!$C$23)*KFC!$C$5</f>
        <v>155.20320000000001</v>
      </c>
      <c r="AB81" s="300">
        <f>(128.8*KFC!$B$23*1.02*1.2+KFC!$C$23)*KFC!$C$5</f>
        <v>157.65119999999999</v>
      </c>
      <c r="AC81" s="300">
        <f>(130.8*KFC!$B$23*1.02*1.2+KFC!$C$23)*KFC!$C$5</f>
        <v>160.09920000000002</v>
      </c>
      <c r="AD81" s="300">
        <f>(132.8*KFC!$B$23*1.02*1.2+KFC!$C$23)*KFC!$C$5</f>
        <v>162.5472</v>
      </c>
      <c r="AE81" s="300">
        <f>(134.7*KFC!$B$23*1.02*1.2+KFC!$C$23)*KFC!$C$5</f>
        <v>164.87279999999996</v>
      </c>
      <c r="AF81" s="300">
        <f>(136.7*KFC!$B$23*1.02*1.2+KFC!$C$23)*KFC!$C$5</f>
        <v>167.32079999999999</v>
      </c>
      <c r="AG81" s="300">
        <f>(138.7*KFC!$B$23*1.02*1.2+KFC!$C$23)*KFC!$C$5</f>
        <v>169.76879999999997</v>
      </c>
      <c r="AH81" s="304">
        <f>(140.6*KFC!$B$23*1.02*1.2+KFC!$C$23)*KFC!$C$5</f>
        <v>172.09440000000001</v>
      </c>
    </row>
    <row r="82" spans="1:34">
      <c r="A82" s="1781"/>
      <c r="B82" s="392">
        <v>1.7</v>
      </c>
      <c r="C82" s="303">
        <f>(80.1*KFC!$B$23*1.02*1.2+KFC!$C$23)*KFC!$C$5</f>
        <v>98.042400000000001</v>
      </c>
      <c r="D82" s="300">
        <f>(82.1*KFC!$B$23*1.02*1.2+KFC!$C$23)*KFC!$C$5</f>
        <v>100.49039999999998</v>
      </c>
      <c r="E82" s="300">
        <f>(84.1*KFC!$B$23*1.02*1.2+KFC!$C$23)*KFC!$C$5</f>
        <v>102.93839999999999</v>
      </c>
      <c r="F82" s="300">
        <f>(86.1*KFC!$B$23*1.02*1.2+KFC!$C$23)*KFC!$C$5</f>
        <v>105.38639999999999</v>
      </c>
      <c r="G82" s="300">
        <f>(88.2*KFC!$B$23*1.02*1.2+KFC!$C$23)*KFC!$C$5</f>
        <v>107.9568</v>
      </c>
      <c r="H82" s="300">
        <f>(90.2*KFC!$B$23*1.02*1.2+KFC!$C$23)*KFC!$C$5</f>
        <v>110.40480000000001</v>
      </c>
      <c r="I82" s="300">
        <f>(92.2*KFC!$B$23*1.02*1.2+KFC!$C$23)*KFC!$C$5</f>
        <v>112.85280000000002</v>
      </c>
      <c r="J82" s="300">
        <f>(94.2*KFC!$B$23*1.02*1.2+KFC!$C$23)*KFC!$C$5</f>
        <v>115.3008</v>
      </c>
      <c r="K82" s="300">
        <f>(96.3*KFC!$B$23*1.02*1.2+KFC!$C$23)*KFC!$C$5</f>
        <v>117.87119999999999</v>
      </c>
      <c r="L82" s="300">
        <f>(98.3*KFC!$B$23*1.02*1.2+KFC!$C$23)*KFC!$C$5</f>
        <v>120.3192</v>
      </c>
      <c r="M82" s="300">
        <f>(100.3*KFC!$B$23*1.02*1.2+KFC!$C$23)*KFC!$C$5</f>
        <v>122.76719999999999</v>
      </c>
      <c r="N82" s="300">
        <f>(102.3*KFC!$B$23*1.02*1.2+KFC!$C$23)*KFC!$C$5</f>
        <v>125.2152</v>
      </c>
      <c r="O82" s="300">
        <f>(104.4*KFC!$B$23*1.02*1.2+KFC!$C$23)*KFC!$C$5</f>
        <v>127.78560000000002</v>
      </c>
      <c r="P82" s="300">
        <f>(106.4*KFC!$B$23*1.02*1.2+KFC!$C$23)*KFC!$C$5</f>
        <v>130.2336</v>
      </c>
      <c r="Q82" s="300">
        <f>(108.4*KFC!$B$23*1.02*1.2+KFC!$C$23)*KFC!$C$5</f>
        <v>132.6816</v>
      </c>
      <c r="R82" s="300">
        <f>(110.4*KFC!$B$23*1.02*1.2+KFC!$C$23)*KFC!$C$5</f>
        <v>135.12960000000001</v>
      </c>
      <c r="S82" s="300">
        <f>(112.5*KFC!$B$23*1.02*1.2+KFC!$C$23)*KFC!$C$5</f>
        <v>137.69999999999999</v>
      </c>
      <c r="T82" s="300">
        <f>(114.5*KFC!$B$23*1.02*1.2+KFC!$C$23)*KFC!$C$5</f>
        <v>140.148</v>
      </c>
      <c r="U82" s="300">
        <f>(116.5*KFC!$B$23*1.02*1.2+KFC!$C$23)*KFC!$C$5</f>
        <v>142.596</v>
      </c>
      <c r="V82" s="300">
        <f>(118.6*KFC!$B$23*1.02*1.2+KFC!$C$23)*KFC!$C$5</f>
        <v>145.16639999999998</v>
      </c>
      <c r="W82" s="300">
        <f>(120.6*KFC!$B$23*1.02*1.2+KFC!$C$23)*KFC!$C$5</f>
        <v>147.61439999999999</v>
      </c>
      <c r="X82" s="300">
        <f>(122.6*KFC!$B$23*1.02*1.2+KFC!$C$23)*KFC!$C$5</f>
        <v>150.0624</v>
      </c>
      <c r="Y82" s="300">
        <f>(124.6*KFC!$B$23*1.02*1.2+KFC!$C$23)*KFC!$C$5</f>
        <v>152.5104</v>
      </c>
      <c r="Z82" s="300">
        <f>(126.7*KFC!$B$23*1.02*1.2+KFC!$C$23)*KFC!$C$5</f>
        <v>155.08080000000001</v>
      </c>
      <c r="AA82" s="300">
        <f>(128.7*KFC!$B$23*1.02*1.2+KFC!$C$23)*KFC!$C$5</f>
        <v>157.52879999999999</v>
      </c>
      <c r="AB82" s="300">
        <f>(130.7*KFC!$B$23*1.02*1.2+KFC!$C$23)*KFC!$C$5</f>
        <v>159.9768</v>
      </c>
      <c r="AC82" s="300">
        <f>(132.7*KFC!$B$23*1.02*1.2+KFC!$C$23)*KFC!$C$5</f>
        <v>162.42479999999998</v>
      </c>
      <c r="AD82" s="300">
        <f>(134.8*KFC!$B$23*1.02*1.2+KFC!$C$23)*KFC!$C$5</f>
        <v>164.99520000000001</v>
      </c>
      <c r="AE82" s="300">
        <f>(136.8*KFC!$B$23*1.02*1.2+KFC!$C$23)*KFC!$C$5</f>
        <v>167.44319999999999</v>
      </c>
      <c r="AF82" s="300">
        <f>(138.8*KFC!$B$23*1.02*1.2+KFC!$C$23)*KFC!$C$5</f>
        <v>169.89120000000003</v>
      </c>
      <c r="AG82" s="300">
        <f>(140.8*KFC!$B$23*1.02*1.2+KFC!$C$23)*KFC!$C$5</f>
        <v>172.33920000000001</v>
      </c>
      <c r="AH82" s="304">
        <f>(142.9*KFC!$B$23*1.02*1.2+KFC!$C$23)*KFC!$C$5</f>
        <v>174.90960000000001</v>
      </c>
    </row>
    <row r="83" spans="1:34">
      <c r="A83" s="1781"/>
      <c r="B83" s="392">
        <v>1.8</v>
      </c>
      <c r="C83" s="303">
        <f>(80.6*KFC!$B$23*1.02*1.2+KFC!$C$23)*KFC!$C$5</f>
        <v>98.654399999999981</v>
      </c>
      <c r="D83" s="300">
        <f>(82.7*KFC!$B$23*1.02*1.2+KFC!$C$23)*KFC!$C$5</f>
        <v>101.2248</v>
      </c>
      <c r="E83" s="300">
        <f>(84.8*KFC!$B$23*1.02*1.2+KFC!$C$23)*KFC!$C$5</f>
        <v>103.79519999999999</v>
      </c>
      <c r="F83" s="300">
        <f>(86.8*KFC!$B$23*1.02*1.2+KFC!$C$23)*KFC!$C$5</f>
        <v>106.2432</v>
      </c>
      <c r="G83" s="300">
        <f>(88.9*KFC!$B$23*1.02*1.2+KFC!$C$23)*KFC!$C$5</f>
        <v>108.81360000000001</v>
      </c>
      <c r="H83" s="300">
        <f>(91*KFC!$B$23*1.02*1.2+KFC!$C$23)*KFC!$C$5</f>
        <v>111.384</v>
      </c>
      <c r="I83" s="300">
        <f>(93.1*KFC!$B$23*1.02*1.2+KFC!$C$23)*KFC!$C$5</f>
        <v>113.95439999999998</v>
      </c>
      <c r="J83" s="300">
        <f>(95.2*KFC!$B$23*1.02*1.2+KFC!$C$23)*KFC!$C$5</f>
        <v>116.5248</v>
      </c>
      <c r="K83" s="300">
        <f>(97.2*KFC!$B$23*1.02*1.2+KFC!$C$23)*KFC!$C$5</f>
        <v>118.97280000000001</v>
      </c>
      <c r="L83" s="300">
        <f>(99.3*KFC!$B$23*1.02*1.2+KFC!$C$23)*KFC!$C$5</f>
        <v>121.5432</v>
      </c>
      <c r="M83" s="300">
        <f>(101.4*KFC!$B$23*1.02*1.2+KFC!$C$23)*KFC!$C$5</f>
        <v>124.11360000000001</v>
      </c>
      <c r="N83" s="300">
        <f>(103.5*KFC!$B$23*1.02*1.2+KFC!$C$23)*KFC!$C$5</f>
        <v>126.684</v>
      </c>
      <c r="O83" s="300">
        <f>(105.6*KFC!$B$23*1.02*1.2+KFC!$C$23)*KFC!$C$5</f>
        <v>129.25439999999998</v>
      </c>
      <c r="P83" s="300">
        <f>(107.6*KFC!$B$23*1.02*1.2+KFC!$C$23)*KFC!$C$5</f>
        <v>131.70239999999998</v>
      </c>
      <c r="Q83" s="300">
        <f>(109.7*KFC!$B$23*1.02*1.2+KFC!$C$23)*KFC!$C$5</f>
        <v>134.27279999999999</v>
      </c>
      <c r="R83" s="300">
        <f>(111.8*KFC!$B$23*1.02*1.2+KFC!$C$23)*KFC!$C$5</f>
        <v>136.8432</v>
      </c>
      <c r="S83" s="300">
        <f>(113.9*KFC!$B$23*1.02*1.2+KFC!$C$23)*KFC!$C$5</f>
        <v>139.4136</v>
      </c>
      <c r="T83" s="300">
        <f>(116*KFC!$B$23*1.02*1.2+KFC!$C$23)*KFC!$C$5</f>
        <v>141.98400000000001</v>
      </c>
      <c r="U83" s="300">
        <f>(118*KFC!$B$23*1.02*1.2+KFC!$C$23)*KFC!$C$5</f>
        <v>144.43199999999999</v>
      </c>
      <c r="V83" s="300">
        <f>(120.1*KFC!$B$23*1.02*1.2+KFC!$C$23)*KFC!$C$5</f>
        <v>147.00239999999999</v>
      </c>
      <c r="W83" s="300">
        <f>(122.2*KFC!$B$23*1.02*1.2+KFC!$C$23)*KFC!$C$5</f>
        <v>149.5728</v>
      </c>
      <c r="X83" s="300">
        <f>(124.3*KFC!$B$23*1.02*1.2+KFC!$C$23)*KFC!$C$5</f>
        <v>152.14320000000001</v>
      </c>
      <c r="Y83" s="300">
        <f>(126.4*KFC!$B$23*1.02*1.2+KFC!$C$23)*KFC!$C$5</f>
        <v>154.71359999999999</v>
      </c>
      <c r="Z83" s="300">
        <f>(128.5*KFC!$B$23*1.02*1.2+KFC!$C$23)*KFC!$C$5</f>
        <v>157.28399999999999</v>
      </c>
      <c r="AA83" s="300">
        <f>(130.5*KFC!$B$23*1.02*1.2+KFC!$C$23)*KFC!$C$5</f>
        <v>159.732</v>
      </c>
      <c r="AB83" s="300">
        <f>(132.6*KFC!$B$23*1.02*1.2+KFC!$C$23)*KFC!$C$5</f>
        <v>162.30240000000001</v>
      </c>
      <c r="AC83" s="300">
        <f>(134.7*KFC!$B$23*1.02*1.2+KFC!$C$23)*KFC!$C$5</f>
        <v>164.87279999999996</v>
      </c>
      <c r="AD83" s="300">
        <f>(136.8*KFC!$B$23*1.02*1.2+KFC!$C$23)*KFC!$C$5</f>
        <v>167.44319999999999</v>
      </c>
      <c r="AE83" s="300">
        <f>(138.9*KFC!$B$23*1.02*1.2+KFC!$C$23)*KFC!$C$5</f>
        <v>170.0136</v>
      </c>
      <c r="AF83" s="300">
        <f>(140.9*KFC!$B$23*1.02*1.2+KFC!$C$23)*KFC!$C$5</f>
        <v>172.4616</v>
      </c>
      <c r="AG83" s="300">
        <f>(143*KFC!$B$23*1.02*1.2+KFC!$C$23)*KFC!$C$5</f>
        <v>175.03200000000001</v>
      </c>
      <c r="AH83" s="304">
        <f>(145.1*KFC!$B$23*1.02*1.2+KFC!$C$23)*KFC!$C$5</f>
        <v>177.60240000000002</v>
      </c>
    </row>
    <row r="84" spans="1:34">
      <c r="A84" s="1781"/>
      <c r="B84" s="392">
        <v>1.9</v>
      </c>
      <c r="C84" s="303">
        <f>(81.2*KFC!$B$23*1.02*1.2+KFC!$C$23)*KFC!$C$5</f>
        <v>99.388799999999989</v>
      </c>
      <c r="D84" s="300">
        <f>(83.3*KFC!$B$23*1.02*1.2+KFC!$C$23)*KFC!$C$5</f>
        <v>101.9592</v>
      </c>
      <c r="E84" s="300">
        <f>(85.4*KFC!$B$23*1.02*1.2+KFC!$C$23)*KFC!$C$5</f>
        <v>104.5296</v>
      </c>
      <c r="F84" s="300">
        <f>(87.6*KFC!$B$23*1.02*1.2+KFC!$C$23)*KFC!$C$5</f>
        <v>107.22239999999998</v>
      </c>
      <c r="G84" s="300">
        <f>(89.7*KFC!$B$23*1.02*1.2+KFC!$C$23)*KFC!$C$5</f>
        <v>109.7928</v>
      </c>
      <c r="H84" s="300">
        <f>(91.8*KFC!$B$23*1.02*1.2+KFC!$C$23)*KFC!$C$5</f>
        <v>112.36319999999999</v>
      </c>
      <c r="I84" s="300">
        <f>(94*KFC!$B$23*1.02*1.2+KFC!$C$23)*KFC!$C$5</f>
        <v>115.056</v>
      </c>
      <c r="J84" s="300">
        <f>(96.1*KFC!$B$23*1.02*1.2+KFC!$C$23)*KFC!$C$5</f>
        <v>117.62639999999999</v>
      </c>
      <c r="K84" s="300">
        <f>(98.2*KFC!$B$23*1.02*1.2+KFC!$C$23)*KFC!$C$5</f>
        <v>120.1968</v>
      </c>
      <c r="L84" s="300">
        <f>(100.4*KFC!$B$23*1.02*1.2+KFC!$C$23)*KFC!$C$5</f>
        <v>122.8896</v>
      </c>
      <c r="M84" s="300">
        <f>(102.5*KFC!$B$23*1.02*1.2+KFC!$C$23)*KFC!$C$5</f>
        <v>125.46</v>
      </c>
      <c r="N84" s="300">
        <f>(104.6*KFC!$B$23*1.02*1.2+KFC!$C$23)*KFC!$C$5</f>
        <v>128.03039999999999</v>
      </c>
      <c r="O84" s="300">
        <f>(106.8*KFC!$B$23*1.02*1.2+KFC!$C$23)*KFC!$C$5</f>
        <v>130.72319999999999</v>
      </c>
      <c r="P84" s="300">
        <f>(108.9*KFC!$B$23*1.02*1.2+KFC!$C$23)*KFC!$C$5</f>
        <v>133.2936</v>
      </c>
      <c r="Q84" s="300">
        <f>(111*KFC!$B$23*1.02*1.2+KFC!$C$23)*KFC!$C$5</f>
        <v>135.864</v>
      </c>
      <c r="R84" s="300">
        <f>(113.2*KFC!$B$23*1.02*1.2+KFC!$C$23)*KFC!$C$5</f>
        <v>138.55679999999998</v>
      </c>
      <c r="S84" s="300">
        <f>(115.3*KFC!$B$23*1.02*1.2+KFC!$C$23)*KFC!$C$5</f>
        <v>141.12719999999999</v>
      </c>
      <c r="T84" s="300">
        <f>(117.4*KFC!$B$23*1.02*1.2+KFC!$C$23)*KFC!$C$5</f>
        <v>143.69759999999999</v>
      </c>
      <c r="U84" s="300">
        <f>(119.6*KFC!$B$23*1.02*1.2+KFC!$C$23)*KFC!$C$5</f>
        <v>146.39039999999997</v>
      </c>
      <c r="V84" s="300">
        <f>(121.7*KFC!$B$23*1.02*1.2+KFC!$C$23)*KFC!$C$5</f>
        <v>148.96080000000001</v>
      </c>
      <c r="W84" s="300">
        <f>(123.8*KFC!$B$23*1.02*1.2+KFC!$C$23)*KFC!$C$5</f>
        <v>151.53119999999998</v>
      </c>
      <c r="X84" s="300">
        <f>(126*KFC!$B$23*1.02*1.2+KFC!$C$23)*KFC!$C$5</f>
        <v>154.22400000000002</v>
      </c>
      <c r="Y84" s="300">
        <f>(128.1*KFC!$B$23*1.02*1.2+KFC!$C$23)*KFC!$C$5</f>
        <v>156.7944</v>
      </c>
      <c r="Z84" s="300">
        <f>(130.2*KFC!$B$23*1.02*1.2+KFC!$C$23)*KFC!$C$5</f>
        <v>159.3648</v>
      </c>
      <c r="AA84" s="300">
        <f>(132.4*KFC!$B$23*1.02*1.2+KFC!$C$23)*KFC!$C$5</f>
        <v>162.05760000000001</v>
      </c>
      <c r="AB84" s="300">
        <f>(134.5*KFC!$B$23*1.02*1.2+KFC!$C$23)*KFC!$C$5</f>
        <v>164.62799999999999</v>
      </c>
      <c r="AC84" s="300">
        <f>(136.6*KFC!$B$23*1.02*1.2+KFC!$C$23)*KFC!$C$5</f>
        <v>167.19839999999999</v>
      </c>
      <c r="AD84" s="300">
        <f>(138.8*KFC!$B$23*1.02*1.2+KFC!$C$23)*KFC!$C$5</f>
        <v>169.89120000000003</v>
      </c>
      <c r="AE84" s="300">
        <f>(140.9*KFC!$B$23*1.02*1.2+KFC!$C$23)*KFC!$C$5</f>
        <v>172.4616</v>
      </c>
      <c r="AF84" s="300">
        <f>(143*KFC!$B$23*1.02*1.2+KFC!$C$23)*KFC!$C$5</f>
        <v>175.03200000000001</v>
      </c>
      <c r="AG84" s="300">
        <f>(145.2*KFC!$B$23*1.02*1.2+KFC!$C$23)*KFC!$C$5</f>
        <v>177.72479999999999</v>
      </c>
      <c r="AH84" s="304">
        <f>(147.3*KFC!$B$23*1.02*1.2+KFC!$C$23)*KFC!$C$5</f>
        <v>180.29519999999999</v>
      </c>
    </row>
    <row r="85" spans="1:34">
      <c r="A85" s="1781"/>
      <c r="B85" s="392">
        <v>2</v>
      </c>
      <c r="C85" s="303">
        <f>(81.7*KFC!$B$23*1.02*1.2+KFC!$C$23)*KFC!$C$5</f>
        <v>100.0008</v>
      </c>
      <c r="D85" s="300">
        <f>(83.9*KFC!$B$23*1.02*1.2+KFC!$C$23)*KFC!$C$5</f>
        <v>102.6936</v>
      </c>
      <c r="E85" s="300">
        <f>(86.1*KFC!$B$23*1.02*1.2+KFC!$C$23)*KFC!$C$5</f>
        <v>105.38639999999999</v>
      </c>
      <c r="F85" s="300">
        <f>(88.3*KFC!$B$23*1.02*1.2+KFC!$C$23)*KFC!$C$5</f>
        <v>108.0792</v>
      </c>
      <c r="G85" s="300">
        <f>(90.5*KFC!$B$23*1.02*1.2+KFC!$C$23)*KFC!$C$5</f>
        <v>110.77200000000001</v>
      </c>
      <c r="H85" s="300">
        <f>(92.7*KFC!$B$23*1.02*1.2+KFC!$C$23)*KFC!$C$5</f>
        <v>113.4648</v>
      </c>
      <c r="I85" s="300">
        <f>(94.8*KFC!$B$23*1.02*1.2+KFC!$C$23)*KFC!$C$5</f>
        <v>116.03519999999999</v>
      </c>
      <c r="J85" s="300">
        <f>(97*KFC!$B$23*1.02*1.2+KFC!$C$23)*KFC!$C$5</f>
        <v>118.72799999999999</v>
      </c>
      <c r="K85" s="300">
        <f>(99.2*KFC!$B$23*1.02*1.2+KFC!$C$23)*KFC!$C$5</f>
        <v>121.42080000000001</v>
      </c>
      <c r="L85" s="300">
        <f>(101.4*KFC!$B$23*1.02*1.2+KFC!$C$23)*KFC!$C$5</f>
        <v>124.11360000000001</v>
      </c>
      <c r="M85" s="300">
        <f>(103.6*KFC!$B$23*1.02*1.2+KFC!$C$23)*KFC!$C$5</f>
        <v>126.8064</v>
      </c>
      <c r="N85" s="300">
        <f>(105.8*KFC!$B$23*1.02*1.2+KFC!$C$23)*KFC!$C$5</f>
        <v>129.4992</v>
      </c>
      <c r="O85" s="300">
        <f>(108*KFC!$B$23*1.02*1.2+KFC!$C$23)*KFC!$C$5</f>
        <v>132.19199999999998</v>
      </c>
      <c r="P85" s="300">
        <f>(110.2*KFC!$B$23*1.02*1.2+KFC!$C$23)*KFC!$C$5</f>
        <v>134.88480000000001</v>
      </c>
      <c r="Q85" s="300">
        <f>(112.3*KFC!$B$23*1.02*1.2+KFC!$C$23)*KFC!$C$5</f>
        <v>137.45519999999999</v>
      </c>
      <c r="R85" s="300">
        <f>(114.5*KFC!$B$23*1.02*1.2+KFC!$C$23)*KFC!$C$5</f>
        <v>140.148</v>
      </c>
      <c r="S85" s="300">
        <f>(116.7*KFC!$B$23*1.02*1.2+KFC!$C$23)*KFC!$C$5</f>
        <v>142.8408</v>
      </c>
      <c r="T85" s="300">
        <f>(118.9*KFC!$B$23*1.02*1.2+KFC!$C$23)*KFC!$C$5</f>
        <v>145.53360000000001</v>
      </c>
      <c r="U85" s="300">
        <f>(121.1*KFC!$B$23*1.02*1.2+KFC!$C$23)*KFC!$C$5</f>
        <v>148.22639999999998</v>
      </c>
      <c r="V85" s="300">
        <f>(123.3*KFC!$B$23*1.02*1.2+KFC!$C$23)*KFC!$C$5</f>
        <v>150.91919999999999</v>
      </c>
      <c r="W85" s="300">
        <f>(125.5*KFC!$B$23*1.02*1.2+KFC!$C$23)*KFC!$C$5</f>
        <v>153.61199999999999</v>
      </c>
      <c r="X85" s="300">
        <f>(127.7*KFC!$B$23*1.02*1.2+KFC!$C$23)*KFC!$C$5</f>
        <v>156.30480000000003</v>
      </c>
      <c r="Y85" s="300">
        <f>(129.8*KFC!$B$23*1.02*1.2+KFC!$C$23)*KFC!$C$5</f>
        <v>158.87520000000001</v>
      </c>
      <c r="Z85" s="300">
        <f>(132*KFC!$B$23*1.02*1.2+KFC!$C$23)*KFC!$C$5</f>
        <v>161.56800000000001</v>
      </c>
      <c r="AA85" s="300">
        <f>(134.2*KFC!$B$23*1.02*1.2+KFC!$C$23)*KFC!$C$5</f>
        <v>164.26079999999999</v>
      </c>
      <c r="AB85" s="300">
        <f>(136.4*KFC!$B$23*1.02*1.2+KFC!$C$23)*KFC!$C$5</f>
        <v>166.95360000000002</v>
      </c>
      <c r="AC85" s="300">
        <f>(138.6*KFC!$B$23*1.02*1.2+KFC!$C$23)*KFC!$C$5</f>
        <v>169.64639999999997</v>
      </c>
      <c r="AD85" s="300">
        <f>(140.8*KFC!$B$23*1.02*1.2+KFC!$C$23)*KFC!$C$5</f>
        <v>172.33920000000001</v>
      </c>
      <c r="AE85" s="300">
        <f>(143*KFC!$B$23*1.02*1.2+KFC!$C$23)*KFC!$C$5</f>
        <v>175.03200000000001</v>
      </c>
      <c r="AF85" s="300">
        <f>(145.2*KFC!$B$23*1.02*1.2+KFC!$C$23)*KFC!$C$5</f>
        <v>177.72479999999999</v>
      </c>
      <c r="AG85" s="300">
        <f>(147.4*KFC!$B$23*1.02*1.2+KFC!$C$23)*KFC!$C$5</f>
        <v>180.41760000000002</v>
      </c>
      <c r="AH85" s="304">
        <f>(149.5*KFC!$B$23*1.02*1.2+KFC!$C$23)*KFC!$C$5</f>
        <v>182.988</v>
      </c>
    </row>
    <row r="86" spans="1:34">
      <c r="A86" s="1781"/>
      <c r="B86" s="392">
        <v>2.1</v>
      </c>
      <c r="C86" s="303">
        <f>(82.3*KFC!$B$23*1.02*1.2+KFC!$C$23)*KFC!$C$5</f>
        <v>100.73519999999999</v>
      </c>
      <c r="D86" s="300">
        <f>(84.5*KFC!$B$23*1.02*1.2+KFC!$C$23)*KFC!$C$5</f>
        <v>103.428</v>
      </c>
      <c r="E86" s="300">
        <f>(86.8*KFC!$B$23*1.02*1.2+KFC!$C$23)*KFC!$C$5</f>
        <v>106.2432</v>
      </c>
      <c r="F86" s="300">
        <f>(89*KFC!$B$23*1.02*1.2+KFC!$C$23)*KFC!$C$5</f>
        <v>108.93599999999999</v>
      </c>
      <c r="G86" s="300">
        <f>(91.2*KFC!$B$23*1.02*1.2+KFC!$C$23)*KFC!$C$5</f>
        <v>111.6288</v>
      </c>
      <c r="H86" s="300">
        <f>(93.5*KFC!$B$23*1.02*1.2+KFC!$C$23)*KFC!$C$5</f>
        <v>114.444</v>
      </c>
      <c r="I86" s="300">
        <f>(95.7*KFC!$B$23*1.02*1.2+KFC!$C$23)*KFC!$C$5</f>
        <v>117.13679999999999</v>
      </c>
      <c r="J86" s="300">
        <f>(98*KFC!$B$23*1.02*1.2+KFC!$C$23)*KFC!$C$5</f>
        <v>119.952</v>
      </c>
      <c r="K86" s="300">
        <f>(100.2*KFC!$B$23*1.02*1.2+KFC!$C$23)*KFC!$C$5</f>
        <v>122.6448</v>
      </c>
      <c r="L86" s="300">
        <f>(102.4*KFC!$B$23*1.02*1.2+KFC!$C$23)*KFC!$C$5</f>
        <v>125.33760000000001</v>
      </c>
      <c r="M86" s="300">
        <f>(104.7*KFC!$B$23*1.02*1.2+KFC!$C$23)*KFC!$C$5</f>
        <v>128.15280000000001</v>
      </c>
      <c r="N86" s="300">
        <f>(106.9*KFC!$B$23*1.02*1.2+KFC!$C$23)*KFC!$C$5</f>
        <v>130.84560000000002</v>
      </c>
      <c r="O86" s="300">
        <f>(109.2*KFC!$B$23*1.02*1.2+KFC!$C$23)*KFC!$C$5</f>
        <v>133.66079999999999</v>
      </c>
      <c r="P86" s="300">
        <f>(111.4*KFC!$B$23*1.02*1.2+KFC!$C$23)*KFC!$C$5</f>
        <v>136.3536</v>
      </c>
      <c r="Q86" s="300">
        <f>(113.7*KFC!$B$23*1.02*1.2+KFC!$C$23)*KFC!$C$5</f>
        <v>139.1688</v>
      </c>
      <c r="R86" s="300">
        <f>(115.9*KFC!$B$23*1.02*1.2+KFC!$C$23)*KFC!$C$5</f>
        <v>141.86160000000001</v>
      </c>
      <c r="S86" s="300">
        <f>(118.1*KFC!$B$23*1.02*1.2+KFC!$C$23)*KFC!$C$5</f>
        <v>144.55439999999999</v>
      </c>
      <c r="T86" s="300">
        <f>(120.4*KFC!$B$23*1.02*1.2+KFC!$C$23)*KFC!$C$5</f>
        <v>147.36959999999999</v>
      </c>
      <c r="U86" s="300">
        <f>(122.6*KFC!$B$23*1.02*1.2+KFC!$C$23)*KFC!$C$5</f>
        <v>150.0624</v>
      </c>
      <c r="V86" s="300">
        <f>(124.9*KFC!$B$23*1.02*1.2+KFC!$C$23)*KFC!$C$5</f>
        <v>152.8776</v>
      </c>
      <c r="W86" s="300">
        <f>(127.1*KFC!$B$23*1.02*1.2+KFC!$C$23)*KFC!$C$5</f>
        <v>155.57039999999998</v>
      </c>
      <c r="X86" s="300">
        <f>(129.3*KFC!$B$23*1.02*1.2+KFC!$C$23)*KFC!$C$5</f>
        <v>158.26320000000001</v>
      </c>
      <c r="Y86" s="300">
        <f>(131.6*KFC!$B$23*1.02*1.2+KFC!$C$23)*KFC!$C$5</f>
        <v>161.07839999999999</v>
      </c>
      <c r="Z86" s="300">
        <f>(133.8*KFC!$B$23*1.02*1.2+KFC!$C$23)*KFC!$C$5</f>
        <v>163.77120000000002</v>
      </c>
      <c r="AA86" s="300">
        <f>(136.1*KFC!$B$23*1.02*1.2+KFC!$C$23)*KFC!$C$5</f>
        <v>166.5864</v>
      </c>
      <c r="AB86" s="300">
        <f>(138.3*KFC!$B$23*1.02*1.2+KFC!$C$23)*KFC!$C$5</f>
        <v>169.2792</v>
      </c>
      <c r="AC86" s="300">
        <f>(140.6*KFC!$B$23*1.02*1.2+KFC!$C$23)*KFC!$C$5</f>
        <v>172.09440000000001</v>
      </c>
      <c r="AD86" s="300">
        <f>(142.8*KFC!$B$23*1.02*1.2+KFC!$C$23)*KFC!$C$5</f>
        <v>174.78720000000001</v>
      </c>
      <c r="AE86" s="300">
        <f>(145*KFC!$B$23*1.02*1.2+KFC!$C$23)*KFC!$C$5</f>
        <v>177.48</v>
      </c>
      <c r="AF86" s="300">
        <f>(147.3*KFC!$B$23*1.02*1.2+KFC!$C$23)*KFC!$C$5</f>
        <v>180.29519999999999</v>
      </c>
      <c r="AG86" s="300">
        <f>(149.5*KFC!$B$23*1.02*1.2+KFC!$C$23)*KFC!$C$5</f>
        <v>182.988</v>
      </c>
      <c r="AH86" s="304">
        <f>(151.8*KFC!$B$23*1.02*1.2+KFC!$C$23)*KFC!$C$5</f>
        <v>185.8032</v>
      </c>
    </row>
    <row r="87" spans="1:34">
      <c r="A87" s="1781"/>
      <c r="B87" s="392">
        <v>2.2000000000000002</v>
      </c>
      <c r="C87" s="303">
        <f>(82.8*KFC!$B$23*1.02*1.2+KFC!$C$23)*KFC!$C$5</f>
        <v>101.3472</v>
      </c>
      <c r="D87" s="300">
        <f>(85.1*KFC!$B$23*1.02*1.2+KFC!$C$23)*KFC!$C$5</f>
        <v>104.16239999999999</v>
      </c>
      <c r="E87" s="300">
        <f>(87.4*KFC!$B$23*1.02*1.2+KFC!$C$23)*KFC!$C$5</f>
        <v>106.97760000000001</v>
      </c>
      <c r="F87" s="300">
        <f>(89.7*KFC!$B$23*1.02*1.2+KFC!$C$23)*KFC!$C$5</f>
        <v>109.7928</v>
      </c>
      <c r="G87" s="300">
        <f>(92*KFC!$B$23*1.02*1.2+KFC!$C$23)*KFC!$C$5</f>
        <v>112.608</v>
      </c>
      <c r="H87" s="300">
        <f>(94.3*KFC!$B$23*1.02*1.2+KFC!$C$23)*KFC!$C$5</f>
        <v>115.42319999999998</v>
      </c>
      <c r="I87" s="300">
        <f>(96.6*KFC!$B$23*1.02*1.2+KFC!$C$23)*KFC!$C$5</f>
        <v>118.23839999999998</v>
      </c>
      <c r="J87" s="300">
        <f>(98.9*KFC!$B$23*1.02*1.2+KFC!$C$23)*KFC!$C$5</f>
        <v>121.05360000000002</v>
      </c>
      <c r="K87" s="300">
        <f>(101.2*KFC!$B$23*1.02*1.2+KFC!$C$23)*KFC!$C$5</f>
        <v>123.86879999999999</v>
      </c>
      <c r="L87" s="300">
        <f>(103.5*KFC!$B$23*1.02*1.2+KFC!$C$23)*KFC!$C$5</f>
        <v>126.684</v>
      </c>
      <c r="M87" s="300">
        <f>(105.8*KFC!$B$23*1.02*1.2+KFC!$C$23)*KFC!$C$5</f>
        <v>129.4992</v>
      </c>
      <c r="N87" s="300">
        <f>(108.1*KFC!$B$23*1.02*1.2+KFC!$C$23)*KFC!$C$5</f>
        <v>132.31440000000001</v>
      </c>
      <c r="O87" s="300">
        <f>(110.4*KFC!$B$23*1.02*1.2+KFC!$C$23)*KFC!$C$5</f>
        <v>135.12960000000001</v>
      </c>
      <c r="P87" s="300">
        <f>(112.7*KFC!$B$23*1.02*1.2+KFC!$C$23)*KFC!$C$5</f>
        <v>137.94480000000001</v>
      </c>
      <c r="Q87" s="300">
        <f>(115*KFC!$B$23*1.02*1.2+KFC!$C$23)*KFC!$C$5</f>
        <v>140.76</v>
      </c>
      <c r="R87" s="300">
        <f>(117.3*KFC!$B$23*1.02*1.2+KFC!$C$23)*KFC!$C$5</f>
        <v>143.5752</v>
      </c>
      <c r="S87" s="300">
        <f>(119.6*KFC!$B$23*1.02*1.2+KFC!$C$23)*KFC!$C$5</f>
        <v>146.39039999999997</v>
      </c>
      <c r="T87" s="300">
        <f>(121.9*KFC!$B$23*1.02*1.2+KFC!$C$23)*KFC!$C$5</f>
        <v>149.2056</v>
      </c>
      <c r="U87" s="300">
        <f>(124.1*KFC!$B$23*1.02*1.2+KFC!$C$23)*KFC!$C$5</f>
        <v>151.89839999999998</v>
      </c>
      <c r="V87" s="300">
        <f>(126.4*KFC!$B$23*1.02*1.2+KFC!$C$23)*KFC!$C$5</f>
        <v>154.71359999999999</v>
      </c>
      <c r="W87" s="300">
        <f>(128.7*KFC!$B$23*1.02*1.2+KFC!$C$23)*KFC!$C$5</f>
        <v>157.52879999999999</v>
      </c>
      <c r="X87" s="300">
        <f>(131*KFC!$B$23*1.02*1.2+KFC!$C$23)*KFC!$C$5</f>
        <v>160.34399999999999</v>
      </c>
      <c r="Y87" s="300">
        <f>(133.3*KFC!$B$23*1.02*1.2+KFC!$C$23)*KFC!$C$5</f>
        <v>163.1592</v>
      </c>
      <c r="Z87" s="300">
        <f>(135.6*KFC!$B$23*1.02*1.2+KFC!$C$23)*KFC!$C$5</f>
        <v>165.97439999999997</v>
      </c>
      <c r="AA87" s="300">
        <f>(137.9*KFC!$B$23*1.02*1.2+KFC!$C$23)*KFC!$C$5</f>
        <v>168.78960000000001</v>
      </c>
      <c r="AB87" s="300">
        <f>(140.2*KFC!$B$23*1.02*1.2+KFC!$C$23)*KFC!$C$5</f>
        <v>171.60479999999998</v>
      </c>
      <c r="AC87" s="300">
        <f>(142.5*KFC!$B$23*1.02*1.2+KFC!$C$23)*KFC!$C$5</f>
        <v>174.42</v>
      </c>
      <c r="AD87" s="300">
        <f>(144.8*KFC!$B$23*1.02*1.2+KFC!$C$23)*KFC!$C$5</f>
        <v>177.23520000000002</v>
      </c>
      <c r="AE87" s="300">
        <f>(147.1*KFC!$B$23*1.02*1.2+KFC!$C$23)*KFC!$C$5</f>
        <v>180.0504</v>
      </c>
      <c r="AF87" s="300">
        <f>(149.4*KFC!$B$23*1.02*1.2+KFC!$C$23)*KFC!$C$5</f>
        <v>182.8656</v>
      </c>
      <c r="AG87" s="300">
        <f>(151.7*KFC!$B$23*1.02*1.2+KFC!$C$23)*KFC!$C$5</f>
        <v>185.68079999999998</v>
      </c>
      <c r="AH87" s="304">
        <f>(154*KFC!$B$23*1.02*1.2+KFC!$C$23)*KFC!$C$5</f>
        <v>188.49600000000001</v>
      </c>
    </row>
    <row r="88" spans="1:34">
      <c r="A88" s="1781"/>
      <c r="B88" s="392">
        <v>2.2999999999999998</v>
      </c>
      <c r="C88" s="303">
        <f>(83.4*KFC!$B$23*1.02*1.2+KFC!$C$23)*KFC!$C$5</f>
        <v>102.08160000000001</v>
      </c>
      <c r="D88" s="300">
        <f>(85.7*KFC!$B$23*1.02*1.2+KFC!$C$23)*KFC!$C$5</f>
        <v>104.8968</v>
      </c>
      <c r="E88" s="300">
        <f>(88.1*KFC!$B$23*1.02*1.2+KFC!$C$23)*KFC!$C$5</f>
        <v>107.83439999999999</v>
      </c>
      <c r="F88" s="300">
        <f>(90.4*KFC!$B$23*1.02*1.2+KFC!$C$23)*KFC!$C$5</f>
        <v>110.64960000000001</v>
      </c>
      <c r="G88" s="300">
        <f>(92.8*KFC!$B$23*1.02*1.2+KFC!$C$23)*KFC!$C$5</f>
        <v>113.58719999999998</v>
      </c>
      <c r="H88" s="300">
        <f>(95.1*KFC!$B$23*1.02*1.2+KFC!$C$23)*KFC!$C$5</f>
        <v>116.40239999999999</v>
      </c>
      <c r="I88" s="300">
        <f>(97.5*KFC!$B$23*1.02*1.2+KFC!$C$23)*KFC!$C$5</f>
        <v>119.34</v>
      </c>
      <c r="J88" s="300">
        <f>(99.8*KFC!$B$23*1.02*1.2+KFC!$C$23)*KFC!$C$5</f>
        <v>122.15519999999998</v>
      </c>
      <c r="K88" s="300">
        <f>(102.2*KFC!$B$23*1.02*1.2+KFC!$C$23)*KFC!$C$5</f>
        <v>125.0928</v>
      </c>
      <c r="L88" s="300">
        <f>(104.5*KFC!$B$23*1.02*1.2+KFC!$C$23)*KFC!$C$5</f>
        <v>127.908</v>
      </c>
      <c r="M88" s="300">
        <f>(106.9*KFC!$B$23*1.02*1.2+KFC!$C$23)*KFC!$C$5</f>
        <v>130.84560000000002</v>
      </c>
      <c r="N88" s="300">
        <f>(109.2*KFC!$B$23*1.02*1.2+KFC!$C$23)*KFC!$C$5</f>
        <v>133.66079999999999</v>
      </c>
      <c r="O88" s="300">
        <f>(111.6*KFC!$B$23*1.02*1.2+KFC!$C$23)*KFC!$C$5</f>
        <v>136.5984</v>
      </c>
      <c r="P88" s="300">
        <f>(113.9*KFC!$B$23*1.02*1.2+KFC!$C$23)*KFC!$C$5</f>
        <v>139.4136</v>
      </c>
      <c r="Q88" s="300">
        <f>(116.3*KFC!$B$23*1.02*1.2+KFC!$C$23)*KFC!$C$5</f>
        <v>142.35120000000001</v>
      </c>
      <c r="R88" s="300">
        <f>(118.6*KFC!$B$23*1.02*1.2+KFC!$C$23)*KFC!$C$5</f>
        <v>145.16639999999998</v>
      </c>
      <c r="S88" s="300">
        <f>(121*KFC!$B$23*1.02*1.2+KFC!$C$23)*KFC!$C$5</f>
        <v>148.10399999999998</v>
      </c>
      <c r="T88" s="300">
        <f>(123.3*KFC!$B$23*1.02*1.2+KFC!$C$23)*KFC!$C$5</f>
        <v>150.91919999999999</v>
      </c>
      <c r="U88" s="300">
        <f>(125.7*KFC!$B$23*1.02*1.2+KFC!$C$23)*KFC!$C$5</f>
        <v>153.85679999999999</v>
      </c>
      <c r="V88" s="300">
        <f>(128*KFC!$B$23*1.02*1.2+KFC!$C$23)*KFC!$C$5</f>
        <v>156.672</v>
      </c>
      <c r="W88" s="300">
        <f>(130.4*KFC!$B$23*1.02*1.2+KFC!$C$23)*KFC!$C$5</f>
        <v>159.6096</v>
      </c>
      <c r="X88" s="300">
        <f>(132.7*KFC!$B$23*1.02*1.2+KFC!$C$23)*KFC!$C$5</f>
        <v>162.42479999999998</v>
      </c>
      <c r="Y88" s="300">
        <f>(135.1*KFC!$B$23*1.02*1.2+KFC!$C$23)*KFC!$C$5</f>
        <v>165.36239999999998</v>
      </c>
      <c r="Z88" s="300">
        <f>(137.4*KFC!$B$23*1.02*1.2+KFC!$C$23)*KFC!$C$5</f>
        <v>168.17759999999998</v>
      </c>
      <c r="AA88" s="300">
        <f>(139.8*KFC!$B$23*1.02*1.2+KFC!$C$23)*KFC!$C$5</f>
        <v>171.11519999999999</v>
      </c>
      <c r="AB88" s="300">
        <f>(142.1*KFC!$B$23*1.02*1.2+KFC!$C$23)*KFC!$C$5</f>
        <v>173.93039999999999</v>
      </c>
      <c r="AC88" s="300">
        <f>(144.5*KFC!$B$23*1.02*1.2+KFC!$C$23)*KFC!$C$5</f>
        <v>176.86800000000002</v>
      </c>
      <c r="AD88" s="300">
        <f>(146.8*KFC!$B$23*1.02*1.2+KFC!$C$23)*KFC!$C$5</f>
        <v>179.68320000000003</v>
      </c>
      <c r="AE88" s="300">
        <f>(149.2*KFC!$B$23*1.02*1.2+KFC!$C$23)*KFC!$C$5</f>
        <v>182.6208</v>
      </c>
      <c r="AF88" s="300">
        <f>(151.5*KFC!$B$23*1.02*1.2+KFC!$C$23)*KFC!$C$5</f>
        <v>185.43600000000001</v>
      </c>
      <c r="AG88" s="300">
        <f>(153.9*KFC!$B$23*1.02*1.2+KFC!$C$23)*KFC!$C$5</f>
        <v>188.37360000000001</v>
      </c>
      <c r="AH88" s="304">
        <f>(156.2*KFC!$B$23*1.02*1.2+KFC!$C$23)*KFC!$C$5</f>
        <v>191.18879999999999</v>
      </c>
    </row>
    <row r="89" spans="1:34">
      <c r="A89" s="1781"/>
      <c r="B89" s="392">
        <v>2.4</v>
      </c>
      <c r="C89" s="303">
        <f>(83.9*KFC!$B$23*1.02*1.2+KFC!$C$23)*KFC!$C$5</f>
        <v>102.6936</v>
      </c>
      <c r="D89" s="300">
        <f>(86.3*KFC!$B$23*1.02*1.2+KFC!$C$23)*KFC!$C$5</f>
        <v>105.63119999999999</v>
      </c>
      <c r="E89" s="300">
        <f>(88.7*KFC!$B$23*1.02*1.2+KFC!$C$23)*KFC!$C$5</f>
        <v>108.5688</v>
      </c>
      <c r="F89" s="300">
        <f>(91.2*KFC!$B$23*1.02*1.2+KFC!$C$23)*KFC!$C$5</f>
        <v>111.6288</v>
      </c>
      <c r="G89" s="300">
        <f>(93.6*KFC!$B$23*1.02*1.2+KFC!$C$23)*KFC!$C$5</f>
        <v>114.56639999999999</v>
      </c>
      <c r="H89" s="300">
        <f>(96*KFC!$B$23*1.02*1.2+KFC!$C$23)*KFC!$C$5</f>
        <v>117.50399999999999</v>
      </c>
      <c r="I89" s="300">
        <f>(98.4*KFC!$B$23*1.02*1.2+KFC!$C$23)*KFC!$C$5</f>
        <v>120.44160000000001</v>
      </c>
      <c r="J89" s="300">
        <f>(100.8*KFC!$B$23*1.02*1.2+KFC!$C$23)*KFC!$C$5</f>
        <v>123.3792</v>
      </c>
      <c r="K89" s="300">
        <f>(103.2*KFC!$B$23*1.02*1.2+KFC!$C$23)*KFC!$C$5</f>
        <v>126.3168</v>
      </c>
      <c r="L89" s="300">
        <f>(105.6*KFC!$B$23*1.02*1.2+KFC!$C$23)*KFC!$C$5</f>
        <v>129.25439999999998</v>
      </c>
      <c r="M89" s="300">
        <f>(108*KFC!$B$23*1.02*1.2+KFC!$C$23)*KFC!$C$5</f>
        <v>132.19199999999998</v>
      </c>
      <c r="N89" s="300">
        <f>(110.4*KFC!$B$23*1.02*1.2+KFC!$C$23)*KFC!$C$5</f>
        <v>135.12960000000001</v>
      </c>
      <c r="O89" s="300">
        <f>(112.8*KFC!$B$23*1.02*1.2+KFC!$C$23)*KFC!$C$5</f>
        <v>138.06719999999999</v>
      </c>
      <c r="P89" s="300">
        <f>(115.2*KFC!$B$23*1.02*1.2+KFC!$C$23)*KFC!$C$5</f>
        <v>141.00479999999999</v>
      </c>
      <c r="Q89" s="300">
        <f>(117.6*KFC!$B$23*1.02*1.2+KFC!$C$23)*KFC!$C$5</f>
        <v>143.94239999999999</v>
      </c>
      <c r="R89" s="300">
        <f>(120*KFC!$B$23*1.02*1.2+KFC!$C$23)*KFC!$C$5</f>
        <v>146.88</v>
      </c>
      <c r="S89" s="300">
        <f>(122.4*KFC!$B$23*1.02*1.2+KFC!$C$23)*KFC!$C$5</f>
        <v>149.8176</v>
      </c>
      <c r="T89" s="300">
        <f>(124.8*KFC!$B$23*1.02*1.2+KFC!$C$23)*KFC!$C$5</f>
        <v>152.75519999999997</v>
      </c>
      <c r="U89" s="300">
        <f>(127.2*KFC!$B$23*1.02*1.2+KFC!$C$23)*KFC!$C$5</f>
        <v>155.69280000000001</v>
      </c>
      <c r="V89" s="300">
        <f>(129.6*KFC!$B$23*1.02*1.2+KFC!$C$23)*KFC!$C$5</f>
        <v>158.63040000000001</v>
      </c>
      <c r="W89" s="300">
        <f>(132*KFC!$B$23*1.02*1.2+KFC!$C$23)*KFC!$C$5</f>
        <v>161.56800000000001</v>
      </c>
      <c r="X89" s="300">
        <f>(134.4*KFC!$B$23*1.02*1.2+KFC!$C$23)*KFC!$C$5</f>
        <v>164.50560000000002</v>
      </c>
      <c r="Y89" s="300">
        <f>(136.8*KFC!$B$23*1.02*1.2+KFC!$C$23)*KFC!$C$5</f>
        <v>167.44319999999999</v>
      </c>
      <c r="Z89" s="300">
        <f>(139.2*KFC!$B$23*1.02*1.2+KFC!$C$23)*KFC!$C$5</f>
        <v>170.38079999999997</v>
      </c>
      <c r="AA89" s="300">
        <f>(141.6*KFC!$B$23*1.02*1.2+KFC!$C$23)*KFC!$C$5</f>
        <v>173.31839999999997</v>
      </c>
      <c r="AB89" s="300">
        <f>(144*KFC!$B$23*1.02*1.2+KFC!$C$23)*KFC!$C$5</f>
        <v>176.256</v>
      </c>
      <c r="AC89" s="300">
        <f>(146.4*KFC!$B$23*1.02*1.2+KFC!$C$23)*KFC!$C$5</f>
        <v>179.1936</v>
      </c>
      <c r="AD89" s="300">
        <f>(148.8*KFC!$B$23*1.02*1.2+KFC!$C$23)*KFC!$C$5</f>
        <v>182.13120000000001</v>
      </c>
      <c r="AE89" s="300">
        <f>(151.2*KFC!$B$23*1.02*1.2+KFC!$C$23)*KFC!$C$5</f>
        <v>185.06879999999998</v>
      </c>
      <c r="AF89" s="300">
        <f>(153.6*KFC!$B$23*1.02*1.2+KFC!$C$23)*KFC!$C$5</f>
        <v>188.00639999999999</v>
      </c>
      <c r="AG89" s="300">
        <f>(156*KFC!$B$23*1.02*1.2+KFC!$C$23)*KFC!$C$5</f>
        <v>190.94399999999999</v>
      </c>
      <c r="AH89" s="304">
        <f>(158.4*KFC!$B$23*1.02*1.2+KFC!$C$23)*KFC!$C$5</f>
        <v>193.88160000000002</v>
      </c>
    </row>
    <row r="90" spans="1:34">
      <c r="A90" s="1781"/>
      <c r="B90" s="392">
        <v>2.5</v>
      </c>
      <c r="C90" s="303">
        <f>(84.5*KFC!$B$23*1.02*1.2+KFC!$C$23)*KFC!$C$5</f>
        <v>103.428</v>
      </c>
      <c r="D90" s="300">
        <f>(87*KFC!$B$23*1.02*1.2+KFC!$C$23)*KFC!$C$5</f>
        <v>106.48799999999999</v>
      </c>
      <c r="E90" s="300">
        <f>(89.4*KFC!$B$23*1.02*1.2+KFC!$C$23)*KFC!$C$5</f>
        <v>109.4256</v>
      </c>
      <c r="F90" s="300">
        <f>(91.9*KFC!$B$23*1.02*1.2+KFC!$C$23)*KFC!$C$5</f>
        <v>112.48560000000002</v>
      </c>
      <c r="G90" s="300">
        <f>(94.3*KFC!$B$23*1.02*1.2+KFC!$C$23)*KFC!$C$5</f>
        <v>115.42319999999998</v>
      </c>
      <c r="H90" s="300">
        <f>(96.8*KFC!$B$23*1.02*1.2+KFC!$C$23)*KFC!$C$5</f>
        <v>118.4832</v>
      </c>
      <c r="I90" s="300">
        <f>(99.2*KFC!$B$23*1.02*1.2+KFC!$C$23)*KFC!$C$5</f>
        <v>121.42080000000001</v>
      </c>
      <c r="J90" s="300">
        <f>(101.7*KFC!$B$23*1.02*1.2+KFC!$C$23)*KFC!$C$5</f>
        <v>124.4808</v>
      </c>
      <c r="K90" s="300">
        <f>(104.2*KFC!$B$23*1.02*1.2+KFC!$C$23)*KFC!$C$5</f>
        <v>127.5408</v>
      </c>
      <c r="L90" s="300">
        <f>(106.6*KFC!$B$23*1.02*1.2+KFC!$C$23)*KFC!$C$5</f>
        <v>130.47839999999999</v>
      </c>
      <c r="M90" s="300">
        <f>(109.1*KFC!$B$23*1.02*1.2+KFC!$C$23)*KFC!$C$5</f>
        <v>133.5384</v>
      </c>
      <c r="N90" s="300">
        <f>(111.5*KFC!$B$23*1.02*1.2+KFC!$C$23)*KFC!$C$5</f>
        <v>136.476</v>
      </c>
      <c r="O90" s="300">
        <f>(114*KFC!$B$23*1.02*1.2+KFC!$C$23)*KFC!$C$5</f>
        <v>139.536</v>
      </c>
      <c r="P90" s="300">
        <f>(116.4*KFC!$B$23*1.02*1.2+KFC!$C$23)*KFC!$C$5</f>
        <v>142.4736</v>
      </c>
      <c r="Q90" s="300">
        <f>(118.9*KFC!$B$23*1.02*1.2+KFC!$C$23)*KFC!$C$5</f>
        <v>145.53360000000001</v>
      </c>
      <c r="R90" s="300">
        <f>(121.3*KFC!$B$23*1.02*1.2+KFC!$C$23)*KFC!$C$5</f>
        <v>148.47119999999998</v>
      </c>
      <c r="S90" s="300">
        <f>(123.8*KFC!$B$23*1.02*1.2+KFC!$C$23)*KFC!$C$5</f>
        <v>151.53119999999998</v>
      </c>
      <c r="T90" s="300">
        <f>(126.3*KFC!$B$23*1.02*1.2+KFC!$C$23)*KFC!$C$5</f>
        <v>154.59119999999999</v>
      </c>
      <c r="U90" s="300">
        <f>(128.7*KFC!$B$23*1.02*1.2+KFC!$C$23)*KFC!$C$5</f>
        <v>157.52879999999999</v>
      </c>
      <c r="V90" s="300">
        <f>(131.2*KFC!$B$23*1.02*1.2+KFC!$C$23)*KFC!$C$5</f>
        <v>160.58879999999996</v>
      </c>
      <c r="W90" s="300">
        <f>(133.6*KFC!$B$23*1.02*1.2+KFC!$C$23)*KFC!$C$5</f>
        <v>163.5264</v>
      </c>
      <c r="X90" s="300">
        <f>(136.1*KFC!$B$23*1.02*1.2+KFC!$C$23)*KFC!$C$5</f>
        <v>166.5864</v>
      </c>
      <c r="Y90" s="300">
        <f>(138.5*KFC!$B$23*1.02*1.2+KFC!$C$23)*KFC!$C$5</f>
        <v>169.524</v>
      </c>
      <c r="Z90" s="300">
        <f>(141*KFC!$B$23*1.02*1.2+KFC!$C$23)*KFC!$C$5</f>
        <v>172.58399999999997</v>
      </c>
      <c r="AA90" s="300">
        <f>(143.5*KFC!$B$23*1.02*1.2+KFC!$C$23)*KFC!$C$5</f>
        <v>175.64400000000001</v>
      </c>
      <c r="AB90" s="300">
        <f>(145.9*KFC!$B$23*1.02*1.2+KFC!$C$23)*KFC!$C$5</f>
        <v>178.58160000000001</v>
      </c>
      <c r="AC90" s="300">
        <f>(148.4*KFC!$B$23*1.02*1.2+KFC!$C$23)*KFC!$C$5</f>
        <v>181.64159999999998</v>
      </c>
      <c r="AD90" s="300">
        <f>(150.8*KFC!$B$23*1.02*1.2+KFC!$C$23)*KFC!$C$5</f>
        <v>184.57919999999999</v>
      </c>
      <c r="AE90" s="300">
        <f>(153.3*KFC!$B$23*1.02*1.2+KFC!$C$23)*KFC!$C$5</f>
        <v>187.63920000000002</v>
      </c>
      <c r="AF90" s="300">
        <f>(155.7*KFC!$B$23*1.02*1.2+KFC!$C$23)*KFC!$C$5</f>
        <v>190.57679999999999</v>
      </c>
      <c r="AG90" s="300">
        <f>(158.2*KFC!$B$23*1.02*1.2+KFC!$C$23)*KFC!$C$5</f>
        <v>193.63679999999999</v>
      </c>
      <c r="AH90" s="304">
        <f>(160.7*KFC!$B$23*1.02*1.2+KFC!$C$23)*KFC!$C$5</f>
        <v>196.69679999999997</v>
      </c>
    </row>
    <row r="91" spans="1:34">
      <c r="A91" s="1781"/>
      <c r="B91" s="392">
        <v>2.6</v>
      </c>
      <c r="C91" s="303">
        <f>(85.1*KFC!$B$23*1.02*1.2+KFC!$C$23)*KFC!$C$5</f>
        <v>104.16239999999999</v>
      </c>
      <c r="D91" s="300">
        <f>(87.6*KFC!$B$23*1.02*1.2+KFC!$C$23)*KFC!$C$5</f>
        <v>107.22239999999998</v>
      </c>
      <c r="E91" s="300">
        <f>(90.1*KFC!$B$23*1.02*1.2+KFC!$C$23)*KFC!$C$5</f>
        <v>110.2824</v>
      </c>
      <c r="F91" s="300">
        <f>(92.6*KFC!$B$23*1.02*1.2+KFC!$C$23)*KFC!$C$5</f>
        <v>113.3424</v>
      </c>
      <c r="G91" s="300">
        <f>(95.1*KFC!$B$23*1.02*1.2+KFC!$C$23)*KFC!$C$5</f>
        <v>116.40239999999999</v>
      </c>
      <c r="H91" s="300">
        <f>(97.6*KFC!$B$23*1.02*1.2+KFC!$C$23)*KFC!$C$5</f>
        <v>119.46239999999999</v>
      </c>
      <c r="I91" s="300">
        <f>(100.1*KFC!$B$23*1.02*1.2+KFC!$C$23)*KFC!$C$5</f>
        <v>122.52239999999998</v>
      </c>
      <c r="J91" s="300">
        <f>(102.6*KFC!$B$23*1.02*1.2+KFC!$C$23)*KFC!$C$5</f>
        <v>125.58239999999999</v>
      </c>
      <c r="K91" s="300">
        <f>(105.1*KFC!$B$23*1.02*1.2+KFC!$C$23)*KFC!$C$5</f>
        <v>128.64239999999998</v>
      </c>
      <c r="L91" s="300">
        <f>(107.6*KFC!$B$23*1.02*1.2+KFC!$C$23)*KFC!$C$5</f>
        <v>131.70239999999998</v>
      </c>
      <c r="M91" s="300">
        <f>(110.2*KFC!$B$23*1.02*1.2+KFC!$C$23)*KFC!$C$5</f>
        <v>134.88480000000001</v>
      </c>
      <c r="N91" s="300">
        <f>(112.7*KFC!$B$23*1.02*1.2+KFC!$C$23)*KFC!$C$5</f>
        <v>137.94480000000001</v>
      </c>
      <c r="O91" s="300">
        <f>(115.2*KFC!$B$23*1.02*1.2+KFC!$C$23)*KFC!$C$5</f>
        <v>141.00479999999999</v>
      </c>
      <c r="P91" s="300">
        <f>(117.7*KFC!$B$23*1.02*1.2+KFC!$C$23)*KFC!$C$5</f>
        <v>144.06479999999999</v>
      </c>
      <c r="Q91" s="300">
        <f>(120.2*KFC!$B$23*1.02*1.2+KFC!$C$23)*KFC!$C$5</f>
        <v>147.12479999999999</v>
      </c>
      <c r="R91" s="300">
        <f>(122.7*KFC!$B$23*1.02*1.2+KFC!$C$23)*KFC!$C$5</f>
        <v>150.1848</v>
      </c>
      <c r="S91" s="300">
        <f>(125.2*KFC!$B$23*1.02*1.2+KFC!$C$23)*KFC!$C$5</f>
        <v>153.2448</v>
      </c>
      <c r="T91" s="300">
        <f>(127.7*KFC!$B$23*1.02*1.2+KFC!$C$23)*KFC!$C$5</f>
        <v>156.30480000000003</v>
      </c>
      <c r="U91" s="300">
        <f>(130.2*KFC!$B$23*1.02*1.2+KFC!$C$23)*KFC!$C$5</f>
        <v>159.3648</v>
      </c>
      <c r="V91" s="300">
        <f>(132.8*KFC!$B$23*1.02*1.2+KFC!$C$23)*KFC!$C$5</f>
        <v>162.5472</v>
      </c>
      <c r="W91" s="300">
        <f>(135.3*KFC!$B$23*1.02*1.2+KFC!$C$23)*KFC!$C$5</f>
        <v>165.60720000000001</v>
      </c>
      <c r="X91" s="300">
        <f>(137.8*KFC!$B$23*1.02*1.2+KFC!$C$23)*KFC!$C$5</f>
        <v>168.66720000000001</v>
      </c>
      <c r="Y91" s="300">
        <f>(140.3*KFC!$B$23*1.02*1.2+KFC!$C$23)*KFC!$C$5</f>
        <v>171.72720000000001</v>
      </c>
      <c r="Z91" s="300">
        <f>(142.8*KFC!$B$23*1.02*1.2+KFC!$C$23)*KFC!$C$5</f>
        <v>174.78720000000001</v>
      </c>
      <c r="AA91" s="300">
        <f>(145.3*KFC!$B$23*1.02*1.2+KFC!$C$23)*KFC!$C$5</f>
        <v>177.84720000000002</v>
      </c>
      <c r="AB91" s="300">
        <f>(147.8*KFC!$B$23*1.02*1.2+KFC!$C$23)*KFC!$C$5</f>
        <v>180.90719999999999</v>
      </c>
      <c r="AC91" s="300">
        <f>(150.3*KFC!$B$23*1.02*1.2+KFC!$C$23)*KFC!$C$5</f>
        <v>183.96720000000002</v>
      </c>
      <c r="AD91" s="300">
        <f>(152.8*KFC!$B$23*1.02*1.2+KFC!$C$23)*KFC!$C$5</f>
        <v>187.02720000000002</v>
      </c>
      <c r="AE91" s="300">
        <f>(155.3*KFC!$B$23*1.02*1.2+KFC!$C$23)*KFC!$C$5</f>
        <v>190.0872</v>
      </c>
      <c r="AF91" s="300">
        <f>(157.9*KFC!$B$23*1.02*1.2+KFC!$C$23)*KFC!$C$5</f>
        <v>193.26960000000003</v>
      </c>
      <c r="AG91" s="300">
        <f>(160.4*KFC!$B$23*1.02*1.2+KFC!$C$23)*KFC!$C$5</f>
        <v>196.3296</v>
      </c>
      <c r="AH91" s="304">
        <f>(162.9*KFC!$B$23*1.02*1.2+KFC!$C$23)*KFC!$C$5</f>
        <v>199.3896</v>
      </c>
    </row>
    <row r="92" spans="1:34">
      <c r="A92" s="1781"/>
      <c r="B92" s="392">
        <v>2.7</v>
      </c>
      <c r="C92" s="303">
        <f>(85.6*KFC!$B$23*1.02*1.2+KFC!$C$23)*KFC!$C$5</f>
        <v>104.7744</v>
      </c>
      <c r="D92" s="300">
        <f>(88.2*KFC!$B$23*1.02*1.2+KFC!$C$23)*KFC!$C$5</f>
        <v>107.9568</v>
      </c>
      <c r="E92" s="300">
        <f>(90.7*KFC!$B$23*1.02*1.2+KFC!$C$23)*KFC!$C$5</f>
        <v>111.0168</v>
      </c>
      <c r="F92" s="300">
        <f>(93.3*KFC!$B$23*1.02*1.2+KFC!$C$23)*KFC!$C$5</f>
        <v>114.19919999999999</v>
      </c>
      <c r="G92" s="300">
        <f>(95.9*KFC!$B$23*1.02*1.2+KFC!$C$23)*KFC!$C$5</f>
        <v>117.38160000000001</v>
      </c>
      <c r="H92" s="300">
        <f>(98.4*KFC!$B$23*1.02*1.2+KFC!$C$23)*KFC!$C$5</f>
        <v>120.44160000000001</v>
      </c>
      <c r="I92" s="300">
        <f>(101*KFC!$B$23*1.02*1.2+KFC!$C$23)*KFC!$C$5</f>
        <v>123.624</v>
      </c>
      <c r="J92" s="300">
        <f>(103.6*KFC!$B$23*1.02*1.2+KFC!$C$23)*KFC!$C$5</f>
        <v>126.8064</v>
      </c>
      <c r="K92" s="300">
        <f>(106.1*KFC!$B$23*1.02*1.2+KFC!$C$23)*KFC!$C$5</f>
        <v>129.8664</v>
      </c>
      <c r="L92" s="300">
        <f>(108.7*KFC!$B$23*1.02*1.2+KFC!$C$23)*KFC!$C$5</f>
        <v>133.0488</v>
      </c>
      <c r="M92" s="300">
        <f>(111.3*KFC!$B$23*1.02*1.2+KFC!$C$23)*KFC!$C$5</f>
        <v>136.2312</v>
      </c>
      <c r="N92" s="300">
        <f>(113.8*KFC!$B$23*1.02*1.2+KFC!$C$23)*KFC!$C$5</f>
        <v>139.29119999999998</v>
      </c>
      <c r="O92" s="300">
        <f>(116.4*KFC!$B$23*1.02*1.2+KFC!$C$23)*KFC!$C$5</f>
        <v>142.4736</v>
      </c>
      <c r="P92" s="300">
        <f>(118.9*KFC!$B$23*1.02*1.2+KFC!$C$23)*KFC!$C$5</f>
        <v>145.53360000000001</v>
      </c>
      <c r="Q92" s="300">
        <f>(121.5*KFC!$B$23*1.02*1.2+KFC!$C$23)*KFC!$C$5</f>
        <v>148.71600000000001</v>
      </c>
      <c r="R92" s="300">
        <f>(124.1*KFC!$B$23*1.02*1.2+KFC!$C$23)*KFC!$C$5</f>
        <v>151.89839999999998</v>
      </c>
      <c r="S92" s="300">
        <f>(126.6*KFC!$B$23*1.02*1.2+KFC!$C$23)*KFC!$C$5</f>
        <v>154.95840000000001</v>
      </c>
      <c r="T92" s="300">
        <f>(129.2*KFC!$B$23*1.02*1.2+KFC!$C$23)*KFC!$C$5</f>
        <v>158.14079999999998</v>
      </c>
      <c r="U92" s="300">
        <f>(131.8*KFC!$B$23*1.02*1.2+KFC!$C$23)*KFC!$C$5</f>
        <v>161.32320000000001</v>
      </c>
      <c r="V92" s="300">
        <f>(134.3*KFC!$B$23*1.02*1.2+KFC!$C$23)*KFC!$C$5</f>
        <v>164.38320000000002</v>
      </c>
      <c r="W92" s="300">
        <f>(136.9*KFC!$B$23*1.02*1.2+KFC!$C$23)*KFC!$C$5</f>
        <v>167.56559999999999</v>
      </c>
      <c r="X92" s="300">
        <f>(139.5*KFC!$B$23*1.02*1.2+KFC!$C$23)*KFC!$C$5</f>
        <v>170.74799999999999</v>
      </c>
      <c r="Y92" s="300">
        <f>(142*KFC!$B$23*1.02*1.2+KFC!$C$23)*KFC!$C$5</f>
        <v>173.80799999999999</v>
      </c>
      <c r="Z92" s="300">
        <f>(144.6*KFC!$B$23*1.02*1.2+KFC!$C$23)*KFC!$C$5</f>
        <v>176.99039999999999</v>
      </c>
      <c r="AA92" s="300">
        <f>(147.2*KFC!$B$23*1.02*1.2+KFC!$C$23)*KFC!$C$5</f>
        <v>180.17279999999997</v>
      </c>
      <c r="AB92" s="300">
        <f>(149.7*KFC!$B$23*1.02*1.2+KFC!$C$23)*KFC!$C$5</f>
        <v>183.23279999999997</v>
      </c>
      <c r="AC92" s="300">
        <f>(152.3*KFC!$B$23*1.02*1.2+KFC!$C$23)*KFC!$C$5</f>
        <v>186.4152</v>
      </c>
      <c r="AD92" s="300">
        <f>(154.8*KFC!$B$23*1.02*1.2+KFC!$C$23)*KFC!$C$5</f>
        <v>189.4752</v>
      </c>
      <c r="AE92" s="300">
        <f>(157.4*KFC!$B$23*1.02*1.2+KFC!$C$23)*KFC!$C$5</f>
        <v>192.6576</v>
      </c>
      <c r="AF92" s="300">
        <f>(160*KFC!$B$23*1.02*1.2+KFC!$C$23)*KFC!$C$5</f>
        <v>195.83999999999997</v>
      </c>
      <c r="AG92" s="300">
        <f>(162.5*KFC!$B$23*1.02*1.2+KFC!$C$23)*KFC!$C$5</f>
        <v>198.9</v>
      </c>
      <c r="AH92" s="304">
        <f>(165.1*KFC!$B$23*1.02*1.2+KFC!$C$23)*KFC!$C$5</f>
        <v>202.08239999999998</v>
      </c>
    </row>
    <row r="93" spans="1:34">
      <c r="A93" s="1781"/>
      <c r="B93" s="392">
        <v>2.8</v>
      </c>
      <c r="C93" s="303">
        <f>(86.2*KFC!$B$23*1.02*1.2+KFC!$C$23)*KFC!$C$5</f>
        <v>105.50880000000001</v>
      </c>
      <c r="D93" s="300">
        <f>(88.8*KFC!$B$23*1.02*1.2+KFC!$C$23)*KFC!$C$5</f>
        <v>108.69119999999999</v>
      </c>
      <c r="E93" s="300">
        <f>(91.4*KFC!$B$23*1.02*1.2+KFC!$C$23)*KFC!$C$5</f>
        <v>111.87360000000001</v>
      </c>
      <c r="F93" s="300">
        <f>(94*KFC!$B$23*1.02*1.2+KFC!$C$23)*KFC!$C$5</f>
        <v>115.056</v>
      </c>
      <c r="G93" s="300">
        <f>(96.6*KFC!$B$23*1.02*1.2+KFC!$C$23)*KFC!$C$5</f>
        <v>118.23839999999998</v>
      </c>
      <c r="H93" s="300">
        <f>(99.3*KFC!$B$23*1.02*1.2+KFC!$C$23)*KFC!$C$5</f>
        <v>121.5432</v>
      </c>
      <c r="I93" s="300">
        <f>(101.9*KFC!$B$23*1.02*1.2+KFC!$C$23)*KFC!$C$5</f>
        <v>124.7256</v>
      </c>
      <c r="J93" s="300">
        <f>(104.5*KFC!$B$23*1.02*1.2+KFC!$C$23)*KFC!$C$5</f>
        <v>127.908</v>
      </c>
      <c r="K93" s="300">
        <f>(107.1*KFC!$B$23*1.02*1.2+KFC!$C$23)*KFC!$C$5</f>
        <v>131.09039999999999</v>
      </c>
      <c r="L93" s="300">
        <f>(109.7*KFC!$B$23*1.02*1.2+KFC!$C$23)*KFC!$C$5</f>
        <v>134.27279999999999</v>
      </c>
      <c r="M93" s="300">
        <f>(112.3*KFC!$B$23*1.02*1.2+KFC!$C$23)*KFC!$C$5</f>
        <v>137.45519999999999</v>
      </c>
      <c r="N93" s="300">
        <f>(115*KFC!$B$23*1.02*1.2+KFC!$C$23)*KFC!$C$5</f>
        <v>140.76</v>
      </c>
      <c r="O93" s="300">
        <f>(117.6*KFC!$B$23*1.02*1.2+KFC!$C$23)*KFC!$C$5</f>
        <v>143.94239999999999</v>
      </c>
      <c r="P93" s="300">
        <f>(120.2*KFC!$B$23*1.02*1.2+KFC!$C$23)*KFC!$C$5</f>
        <v>147.12479999999999</v>
      </c>
      <c r="Q93" s="300">
        <f>(122.8*KFC!$B$23*1.02*1.2+KFC!$C$23)*KFC!$C$5</f>
        <v>150.30719999999999</v>
      </c>
      <c r="R93" s="300">
        <f>(125.4*KFC!$B$23*1.02*1.2+KFC!$C$23)*KFC!$C$5</f>
        <v>153.4896</v>
      </c>
      <c r="S93" s="300">
        <f>(128.1*KFC!$B$23*1.02*1.2+KFC!$C$23)*KFC!$C$5</f>
        <v>156.7944</v>
      </c>
      <c r="T93" s="300">
        <f>(130.7*KFC!$B$23*1.02*1.2+KFC!$C$23)*KFC!$C$5</f>
        <v>159.9768</v>
      </c>
      <c r="U93" s="300">
        <f>(133.3*KFC!$B$23*1.02*1.2+KFC!$C$23)*KFC!$C$5</f>
        <v>163.1592</v>
      </c>
      <c r="V93" s="300">
        <f>(135.9*KFC!$B$23*1.02*1.2+KFC!$C$23)*KFC!$C$5</f>
        <v>166.3416</v>
      </c>
      <c r="W93" s="300">
        <f>(138.5*KFC!$B$23*1.02*1.2+KFC!$C$23)*KFC!$C$5</f>
        <v>169.524</v>
      </c>
      <c r="X93" s="300">
        <f>(141.1*KFC!$B$23*1.02*1.2+KFC!$C$23)*KFC!$C$5</f>
        <v>172.7064</v>
      </c>
      <c r="Y93" s="300">
        <f>(143.8*KFC!$B$23*1.02*1.2+KFC!$C$23)*KFC!$C$5</f>
        <v>176.0112</v>
      </c>
      <c r="Z93" s="300">
        <f>(146.4*KFC!$B$23*1.02*1.2+KFC!$C$23)*KFC!$C$5</f>
        <v>179.1936</v>
      </c>
      <c r="AA93" s="300">
        <f>(149*KFC!$B$23*1.02*1.2+KFC!$C$23)*KFC!$C$5</f>
        <v>182.37599999999998</v>
      </c>
      <c r="AB93" s="300">
        <f>(151.6*KFC!$B$23*1.02*1.2+KFC!$C$23)*KFC!$C$5</f>
        <v>185.55840000000001</v>
      </c>
      <c r="AC93" s="300">
        <f>(154.2*KFC!$B$23*1.02*1.2+KFC!$C$23)*KFC!$C$5</f>
        <v>188.74079999999998</v>
      </c>
      <c r="AD93" s="300">
        <f>(156.9*KFC!$B$23*1.02*1.2+KFC!$C$23)*KFC!$C$5</f>
        <v>192.04560000000001</v>
      </c>
      <c r="AE93" s="300">
        <f>(159.5*KFC!$B$23*1.02*1.2+KFC!$C$23)*KFC!$C$5</f>
        <v>195.22799999999998</v>
      </c>
      <c r="AF93" s="300">
        <f>(162.1*KFC!$B$23*1.02*1.2+KFC!$C$23)*KFC!$C$5</f>
        <v>198.41039999999998</v>
      </c>
      <c r="AG93" s="300">
        <f>(164.7*KFC!$B$23*1.02*1.2+KFC!$C$23)*KFC!$C$5</f>
        <v>201.59279999999998</v>
      </c>
      <c r="AH93" s="304">
        <f>(167.3*KFC!$B$23*1.02*1.2+KFC!$C$23)*KFC!$C$5</f>
        <v>204.77520000000001</v>
      </c>
    </row>
    <row r="94" spans="1:34">
      <c r="A94" s="1781"/>
      <c r="B94" s="392">
        <v>2.9</v>
      </c>
      <c r="C94" s="303">
        <f>(86.7*KFC!$B$23*1.02*1.2+KFC!$C$23)*KFC!$C$5</f>
        <v>106.12079999999999</v>
      </c>
      <c r="D94" s="300">
        <f>(89.4*KFC!$B$23*1.02*1.2+KFC!$C$23)*KFC!$C$5</f>
        <v>109.4256</v>
      </c>
      <c r="E94" s="300">
        <f>(92.1*KFC!$B$23*1.02*1.2+KFC!$C$23)*KFC!$C$5</f>
        <v>112.73039999999999</v>
      </c>
      <c r="F94" s="300">
        <f>(94.7*KFC!$B$23*1.02*1.2+KFC!$C$23)*KFC!$C$5</f>
        <v>115.9128</v>
      </c>
      <c r="G94" s="300">
        <f>(97.4*KFC!$B$23*1.02*1.2+KFC!$C$23)*KFC!$C$5</f>
        <v>119.2176</v>
      </c>
      <c r="H94" s="300">
        <f>(100.1*KFC!$B$23*1.02*1.2+KFC!$C$23)*KFC!$C$5</f>
        <v>122.52239999999998</v>
      </c>
      <c r="I94" s="300">
        <f>(102.8*KFC!$B$23*1.02*1.2+KFC!$C$23)*KFC!$C$5</f>
        <v>125.82719999999999</v>
      </c>
      <c r="J94" s="300">
        <f>(105.4*KFC!$B$23*1.02*1.2+KFC!$C$23)*KFC!$C$5</f>
        <v>129.00960000000001</v>
      </c>
      <c r="K94" s="300">
        <f>(108.1*KFC!$B$23*1.02*1.2+KFC!$C$23)*KFC!$C$5</f>
        <v>132.31440000000001</v>
      </c>
      <c r="L94" s="300">
        <f>(110.8*KFC!$B$23*1.02*1.2+KFC!$C$23)*KFC!$C$5</f>
        <v>135.61920000000001</v>
      </c>
      <c r="M94" s="300">
        <f>(113.4*KFC!$B$23*1.02*1.2+KFC!$C$23)*KFC!$C$5</f>
        <v>138.80160000000001</v>
      </c>
      <c r="N94" s="300">
        <f>(116.1*KFC!$B$23*1.02*1.2+KFC!$C$23)*KFC!$C$5</f>
        <v>142.10639999999998</v>
      </c>
      <c r="O94" s="300">
        <f>(118.8*KFC!$B$23*1.02*1.2+KFC!$C$23)*KFC!$C$5</f>
        <v>145.41120000000001</v>
      </c>
      <c r="P94" s="300">
        <f>(121.5*KFC!$B$23*1.02*1.2+KFC!$C$23)*KFC!$C$5</f>
        <v>148.71600000000001</v>
      </c>
      <c r="Q94" s="300">
        <f>(124.1*KFC!$B$23*1.02*1.2+KFC!$C$23)*KFC!$C$5</f>
        <v>151.89839999999998</v>
      </c>
      <c r="R94" s="300">
        <f>(126.8*KFC!$B$23*1.02*1.2+KFC!$C$23)*KFC!$C$5</f>
        <v>155.20320000000001</v>
      </c>
      <c r="S94" s="300">
        <f>(129.5*KFC!$B$23*1.02*1.2+KFC!$C$23)*KFC!$C$5</f>
        <v>158.50800000000001</v>
      </c>
      <c r="T94" s="300">
        <f>(132.1*KFC!$B$23*1.02*1.2+KFC!$C$23)*KFC!$C$5</f>
        <v>161.69039999999998</v>
      </c>
      <c r="U94" s="300">
        <f>(134.8*KFC!$B$23*1.02*1.2+KFC!$C$23)*KFC!$C$5</f>
        <v>164.99520000000001</v>
      </c>
      <c r="V94" s="300">
        <f>(137.5*KFC!$B$23*1.02*1.2+KFC!$C$23)*KFC!$C$5</f>
        <v>168.29999999999998</v>
      </c>
      <c r="W94" s="300">
        <f>(140.2*KFC!$B$23*1.02*1.2+KFC!$C$23)*KFC!$C$5</f>
        <v>171.60479999999998</v>
      </c>
      <c r="X94" s="300">
        <f>(142.8*KFC!$B$23*1.02*1.2+KFC!$C$23)*KFC!$C$5</f>
        <v>174.78720000000001</v>
      </c>
      <c r="Y94" s="300">
        <f>(145.5*KFC!$B$23*1.02*1.2+KFC!$C$23)*KFC!$C$5</f>
        <v>178.09199999999998</v>
      </c>
      <c r="Z94" s="300">
        <f>(148.2*KFC!$B$23*1.02*1.2+KFC!$C$23)*KFC!$C$5</f>
        <v>181.39679999999998</v>
      </c>
      <c r="AA94" s="300">
        <f>(150.8*KFC!$B$23*1.02*1.2+KFC!$C$23)*KFC!$C$5</f>
        <v>184.57919999999999</v>
      </c>
      <c r="AB94" s="300">
        <f>(153.5*KFC!$B$23*1.02*1.2+KFC!$C$23)*KFC!$C$5</f>
        <v>187.88399999999999</v>
      </c>
      <c r="AC94" s="300">
        <f>(156.2*KFC!$B$23*1.02*1.2+KFC!$C$23)*KFC!$C$5</f>
        <v>191.18879999999999</v>
      </c>
      <c r="AD94" s="300">
        <f>(158.9*KFC!$B$23*1.02*1.2+KFC!$C$23)*KFC!$C$5</f>
        <v>194.49359999999999</v>
      </c>
      <c r="AE94" s="300">
        <f>(161.5*KFC!$B$23*1.02*1.2+KFC!$C$23)*KFC!$C$5</f>
        <v>197.67599999999999</v>
      </c>
      <c r="AF94" s="300">
        <f>(164.2*KFC!$B$23*1.02*1.2+KFC!$C$23)*KFC!$C$5</f>
        <v>200.98079999999996</v>
      </c>
      <c r="AG94" s="300">
        <f>(166.9*KFC!$B$23*1.02*1.2+KFC!$C$23)*KFC!$C$5</f>
        <v>204.28559999999999</v>
      </c>
      <c r="AH94" s="304">
        <f>(169.6*KFC!$B$23*1.02*1.2+KFC!$C$23)*KFC!$C$5</f>
        <v>207.59039999999999</v>
      </c>
    </row>
    <row r="95" spans="1:34">
      <c r="A95" s="1781"/>
      <c r="B95" s="392">
        <v>3</v>
      </c>
      <c r="C95" s="303">
        <f>(87.3*KFC!$B$23*1.02*1.2+KFC!$C$23)*KFC!$C$5</f>
        <v>106.85519999999998</v>
      </c>
      <c r="D95" s="300">
        <f>(90*KFC!$B$23*1.02*1.2+KFC!$C$23)*KFC!$C$5</f>
        <v>110.16</v>
      </c>
      <c r="E95" s="300">
        <f>(92.7*KFC!$B$23*1.02*1.2+KFC!$C$23)*KFC!$C$5</f>
        <v>113.4648</v>
      </c>
      <c r="F95" s="300">
        <f>(95.5*KFC!$B$23*1.02*1.2+KFC!$C$23)*KFC!$C$5</f>
        <v>116.892</v>
      </c>
      <c r="G95" s="300">
        <f>(98.2*KFC!$B$23*1.02*1.2+KFC!$C$23)*KFC!$C$5</f>
        <v>120.1968</v>
      </c>
      <c r="H95" s="300">
        <f>(100.9*KFC!$B$23*1.02*1.2+KFC!$C$23)*KFC!$C$5</f>
        <v>123.5016</v>
      </c>
      <c r="I95" s="300">
        <f>(103.6*KFC!$B$23*1.02*1.2+KFC!$C$23)*KFC!$C$5</f>
        <v>126.8064</v>
      </c>
      <c r="J95" s="300">
        <f>(106.4*KFC!$B$23*1.02*1.2+KFC!$C$23)*KFC!$C$5</f>
        <v>130.2336</v>
      </c>
      <c r="K95" s="300">
        <f>(109.1*KFC!$B$23*1.02*1.2+KFC!$C$23)*KFC!$C$5</f>
        <v>133.5384</v>
      </c>
      <c r="L95" s="300">
        <f>(111.8*KFC!$B$23*1.02*1.2+KFC!$C$23)*KFC!$C$5</f>
        <v>136.8432</v>
      </c>
      <c r="M95" s="300">
        <f>(114.5*KFC!$B$23*1.02*1.2+KFC!$C$23)*KFC!$C$5</f>
        <v>140.148</v>
      </c>
      <c r="N95" s="300">
        <f>(117.3*KFC!$B$23*1.02*1.2+KFC!$C$23)*KFC!$C$5</f>
        <v>143.5752</v>
      </c>
      <c r="O95" s="300">
        <f>(120*KFC!$B$23*1.02*1.2+KFC!$C$23)*KFC!$C$5</f>
        <v>146.88</v>
      </c>
      <c r="P95" s="300">
        <f>(122.7*KFC!$B$23*1.02*1.2+KFC!$C$23)*KFC!$C$5</f>
        <v>150.1848</v>
      </c>
      <c r="Q95" s="300">
        <f>(125.4*KFC!$B$23*1.02*1.2+KFC!$C$23)*KFC!$C$5</f>
        <v>153.4896</v>
      </c>
      <c r="R95" s="300">
        <f>(128.2*KFC!$B$23*1.02*1.2+KFC!$C$23)*KFC!$C$5</f>
        <v>156.91679999999997</v>
      </c>
      <c r="S95" s="300">
        <f>(130.9*KFC!$B$23*1.02*1.2+KFC!$C$23)*KFC!$C$5</f>
        <v>160.2216</v>
      </c>
      <c r="T95" s="300">
        <f>(133.6*KFC!$B$23*1.02*1.2+KFC!$C$23)*KFC!$C$5</f>
        <v>163.5264</v>
      </c>
      <c r="U95" s="300">
        <f>(136.3*KFC!$B$23*1.02*1.2+KFC!$C$23)*KFC!$C$5</f>
        <v>166.8312</v>
      </c>
      <c r="V95" s="300">
        <f>(139.1*KFC!$B$23*1.02*1.2+KFC!$C$23)*KFC!$C$5</f>
        <v>170.25839999999999</v>
      </c>
      <c r="W95" s="300">
        <f>(141.8*KFC!$B$23*1.02*1.2+KFC!$C$23)*KFC!$C$5</f>
        <v>173.56320000000002</v>
      </c>
      <c r="X95" s="300">
        <f>(144.5*KFC!$B$23*1.02*1.2+KFC!$C$23)*KFC!$C$5</f>
        <v>176.86800000000002</v>
      </c>
      <c r="Y95" s="300">
        <f>(147.2*KFC!$B$23*1.02*1.2+KFC!$C$23)*KFC!$C$5</f>
        <v>180.17279999999997</v>
      </c>
      <c r="Z95" s="300">
        <f>(150*KFC!$B$23*1.02*1.2+KFC!$C$23)*KFC!$C$5</f>
        <v>183.6</v>
      </c>
      <c r="AA95" s="300">
        <f>(152.7*KFC!$B$23*1.02*1.2+KFC!$C$23)*KFC!$C$5</f>
        <v>186.90479999999999</v>
      </c>
      <c r="AB95" s="300">
        <f>(155.4*KFC!$B$23*1.02*1.2+KFC!$C$23)*KFC!$C$5</f>
        <v>190.20959999999999</v>
      </c>
      <c r="AC95" s="300">
        <f>(158.1*KFC!$B$23*1.02*1.2+KFC!$C$23)*KFC!$C$5</f>
        <v>193.51439999999999</v>
      </c>
      <c r="AD95" s="300">
        <f>(160.9*KFC!$B$23*1.02*1.2+KFC!$C$23)*KFC!$C$5</f>
        <v>196.94159999999999</v>
      </c>
      <c r="AE95" s="300">
        <f>(163.6*KFC!$B$23*1.02*1.2+KFC!$C$23)*KFC!$C$5</f>
        <v>200.24639999999997</v>
      </c>
      <c r="AF95" s="300">
        <f>(166.3*KFC!$B$23*1.02*1.2+KFC!$C$23)*KFC!$C$5</f>
        <v>203.55119999999999</v>
      </c>
      <c r="AG95" s="300">
        <f>(169.1*KFC!$B$23*1.02*1.2+KFC!$C$23)*KFC!$C$5</f>
        <v>206.97839999999999</v>
      </c>
      <c r="AH95" s="304">
        <f>(171.8*KFC!$B$23*1.02*1.2+KFC!$C$23)*KFC!$C$5</f>
        <v>210.28320000000002</v>
      </c>
    </row>
    <row r="96" spans="1:34">
      <c r="A96" s="1781"/>
      <c r="B96" s="392">
        <v>3.1</v>
      </c>
      <c r="C96" s="303">
        <f>(87.8*KFC!$B$23*1.02*1.2+KFC!$C$23)*KFC!$C$5</f>
        <v>107.46719999999999</v>
      </c>
      <c r="D96" s="300">
        <f>(90.6*KFC!$B$23*1.02*1.2+KFC!$C$23)*KFC!$C$5</f>
        <v>110.89439999999999</v>
      </c>
      <c r="E96" s="300">
        <f>(93.4*KFC!$B$23*1.02*1.2+KFC!$C$23)*KFC!$C$5</f>
        <v>114.3216</v>
      </c>
      <c r="F96" s="300">
        <f>(96.2*KFC!$B$23*1.02*1.2+KFC!$C$23)*KFC!$C$5</f>
        <v>117.7488</v>
      </c>
      <c r="G96" s="300">
        <f>(99*KFC!$B$23*1.02*1.2+KFC!$C$23)*KFC!$C$5</f>
        <v>121.176</v>
      </c>
      <c r="H96" s="300">
        <f>(101.7*KFC!$B$23*1.02*1.2+KFC!$C$23)*KFC!$C$5</f>
        <v>124.4808</v>
      </c>
      <c r="I96" s="300">
        <f>(104.5*KFC!$B$23*1.02*1.2+KFC!$C$23)*KFC!$C$5</f>
        <v>127.908</v>
      </c>
      <c r="J96" s="300">
        <f>(107.3*KFC!$B$23*1.02*1.2+KFC!$C$23)*KFC!$C$5</f>
        <v>131.33519999999999</v>
      </c>
      <c r="K96" s="300">
        <f>(110.1*KFC!$B$23*1.02*1.2+KFC!$C$23)*KFC!$C$5</f>
        <v>134.76239999999999</v>
      </c>
      <c r="L96" s="300">
        <f>(112.8*KFC!$B$23*1.02*1.2+KFC!$C$23)*KFC!$C$5</f>
        <v>138.06719999999999</v>
      </c>
      <c r="M96" s="300">
        <f>(115.6*KFC!$B$23*1.02*1.2+KFC!$C$23)*KFC!$C$5</f>
        <v>141.49439999999998</v>
      </c>
      <c r="N96" s="300">
        <f>(118.4*KFC!$B$23*1.02*1.2+KFC!$C$23)*KFC!$C$5</f>
        <v>144.92160000000001</v>
      </c>
      <c r="O96" s="300">
        <f>(121.2*KFC!$B$23*1.02*1.2+KFC!$C$23)*KFC!$C$5</f>
        <v>148.34880000000001</v>
      </c>
      <c r="P96" s="300">
        <f>(124*KFC!$B$23*1.02*1.2+KFC!$C$23)*KFC!$C$5</f>
        <v>151.77600000000001</v>
      </c>
      <c r="Q96" s="300">
        <f>(126.7*KFC!$B$23*1.02*1.2+KFC!$C$23)*KFC!$C$5</f>
        <v>155.08080000000001</v>
      </c>
      <c r="R96" s="300">
        <f>(129.5*KFC!$B$23*1.02*1.2+KFC!$C$23)*KFC!$C$5</f>
        <v>158.50800000000001</v>
      </c>
      <c r="S96" s="300">
        <f>(132.3*KFC!$B$23*1.02*1.2+KFC!$C$23)*KFC!$C$5</f>
        <v>161.93520000000004</v>
      </c>
      <c r="T96" s="300">
        <f>(135.1*KFC!$B$23*1.02*1.2+KFC!$C$23)*KFC!$C$5</f>
        <v>165.36239999999998</v>
      </c>
      <c r="U96" s="300">
        <f>(137.9*KFC!$B$23*1.02*1.2+KFC!$C$23)*KFC!$C$5</f>
        <v>168.78960000000001</v>
      </c>
      <c r="V96" s="300">
        <f>(140.6*KFC!$B$23*1.02*1.2+KFC!$C$23)*KFC!$C$5</f>
        <v>172.09440000000001</v>
      </c>
      <c r="W96" s="300">
        <f>(143.4*KFC!$B$23*1.02*1.2+KFC!$C$23)*KFC!$C$5</f>
        <v>175.52160000000001</v>
      </c>
      <c r="X96" s="300">
        <f>(146.2*KFC!$B$23*1.02*1.2+KFC!$C$23)*KFC!$C$5</f>
        <v>178.94879999999998</v>
      </c>
      <c r="Y96" s="300">
        <f>(149*KFC!$B$23*1.02*1.2+KFC!$C$23)*KFC!$C$5</f>
        <v>182.37599999999998</v>
      </c>
      <c r="Z96" s="300">
        <f>(151.8*KFC!$B$23*1.02*1.2+KFC!$C$23)*KFC!$C$5</f>
        <v>185.8032</v>
      </c>
      <c r="AA96" s="300">
        <f>(154.5*KFC!$B$23*1.02*1.2+KFC!$C$23)*KFC!$C$5</f>
        <v>189.108</v>
      </c>
      <c r="AB96" s="300">
        <f>(157.3*KFC!$B$23*1.02*1.2+KFC!$C$23)*KFC!$C$5</f>
        <v>192.53520000000003</v>
      </c>
      <c r="AC96" s="300">
        <f>(160.1*KFC!$B$23*1.02*1.2+KFC!$C$23)*KFC!$C$5</f>
        <v>195.96239999999997</v>
      </c>
      <c r="AD96" s="300">
        <f>(162.9*KFC!$B$23*1.02*1.2+KFC!$C$23)*KFC!$C$5</f>
        <v>199.3896</v>
      </c>
      <c r="AE96" s="300">
        <f>(165.7*KFC!$B$23*1.02*1.2+KFC!$C$23)*KFC!$C$5</f>
        <v>202.81679999999997</v>
      </c>
      <c r="AF96" s="300">
        <f>(168.4*KFC!$B$23*1.02*1.2+KFC!$C$23)*KFC!$C$5</f>
        <v>206.1216</v>
      </c>
      <c r="AG96" s="300">
        <f>(171.2*KFC!$B$23*1.02*1.2+KFC!$C$23)*KFC!$C$5</f>
        <v>209.5488</v>
      </c>
      <c r="AH96" s="304">
        <f>(174*KFC!$B$23*1.02*1.2+KFC!$C$23)*KFC!$C$5</f>
        <v>212.97599999999997</v>
      </c>
    </row>
    <row r="97" spans="1:34">
      <c r="A97" s="1781"/>
      <c r="B97" s="392">
        <v>3.2</v>
      </c>
      <c r="C97" s="303">
        <f>(88.4*KFC!$B$23*1.02*1.2+KFC!$C$23)*KFC!$C$5</f>
        <v>108.2016</v>
      </c>
      <c r="D97" s="300">
        <f>(91.2*KFC!$B$23*1.02*1.2+KFC!$C$23)*KFC!$C$5</f>
        <v>111.6288</v>
      </c>
      <c r="E97" s="300">
        <f>(94.1*KFC!$B$23*1.02*1.2+KFC!$C$23)*KFC!$C$5</f>
        <v>115.1784</v>
      </c>
      <c r="F97" s="300">
        <f>(96.9*KFC!$B$23*1.02*1.2+KFC!$C$23)*KFC!$C$5</f>
        <v>118.60560000000001</v>
      </c>
      <c r="G97" s="300">
        <f>(99.7*KFC!$B$23*1.02*1.2+KFC!$C$23)*KFC!$C$5</f>
        <v>122.03279999999999</v>
      </c>
      <c r="H97" s="300">
        <f>(102.6*KFC!$B$23*1.02*1.2+KFC!$C$23)*KFC!$C$5</f>
        <v>125.58239999999999</v>
      </c>
      <c r="I97" s="300">
        <f>(105.4*KFC!$B$23*1.02*1.2+KFC!$C$23)*KFC!$C$5</f>
        <v>129.00960000000001</v>
      </c>
      <c r="J97" s="300">
        <f>(108.2*KFC!$B$23*1.02*1.2+KFC!$C$23)*KFC!$C$5</f>
        <v>132.43680000000001</v>
      </c>
      <c r="K97" s="300">
        <f>(111.1*KFC!$B$23*1.02*1.2+KFC!$C$23)*KFC!$C$5</f>
        <v>135.9864</v>
      </c>
      <c r="L97" s="300">
        <f>(113.9*KFC!$B$23*1.02*1.2+KFC!$C$23)*KFC!$C$5</f>
        <v>139.4136</v>
      </c>
      <c r="M97" s="300">
        <f>(116.7*KFC!$B$23*1.02*1.2+KFC!$C$23)*KFC!$C$5</f>
        <v>142.8408</v>
      </c>
      <c r="N97" s="300">
        <f>(119.6*KFC!$B$23*1.02*1.2+KFC!$C$23)*KFC!$C$5</f>
        <v>146.39039999999997</v>
      </c>
      <c r="O97" s="300">
        <f>(122.4*KFC!$B$23*1.02*1.2+KFC!$C$23)*KFC!$C$5</f>
        <v>149.8176</v>
      </c>
      <c r="P97" s="300">
        <f>(125.2*KFC!$B$23*1.02*1.2+KFC!$C$23)*KFC!$C$5</f>
        <v>153.2448</v>
      </c>
      <c r="Q97" s="300">
        <f>(128.1*KFC!$B$23*1.02*1.2+KFC!$C$23)*KFC!$C$5</f>
        <v>156.7944</v>
      </c>
      <c r="R97" s="300">
        <f>(130.9*KFC!$B$23*1.02*1.2+KFC!$C$23)*KFC!$C$5</f>
        <v>160.2216</v>
      </c>
      <c r="S97" s="300">
        <f>(133.7*KFC!$B$23*1.02*1.2+KFC!$C$23)*KFC!$C$5</f>
        <v>163.64879999999999</v>
      </c>
      <c r="T97" s="300">
        <f>(136.6*KFC!$B$23*1.02*1.2+KFC!$C$23)*KFC!$C$5</f>
        <v>167.19839999999999</v>
      </c>
      <c r="U97" s="300">
        <f>(139.4*KFC!$B$23*1.02*1.2+KFC!$C$23)*KFC!$C$5</f>
        <v>170.62560000000002</v>
      </c>
      <c r="V97" s="300">
        <f>(142.2*KFC!$B$23*1.02*1.2+KFC!$C$23)*KFC!$C$5</f>
        <v>174.05279999999996</v>
      </c>
      <c r="W97" s="300">
        <f>(145.1*KFC!$B$23*1.02*1.2+KFC!$C$23)*KFC!$C$5</f>
        <v>177.60240000000002</v>
      </c>
      <c r="X97" s="300">
        <f>(147.9*KFC!$B$23*1.02*1.2+KFC!$C$23)*KFC!$C$5</f>
        <v>181.02959999999999</v>
      </c>
      <c r="Y97" s="300">
        <f>(150.7*KFC!$B$23*1.02*1.2+KFC!$C$23)*KFC!$C$5</f>
        <v>184.45679999999999</v>
      </c>
      <c r="Z97" s="300">
        <f>(153.6*KFC!$B$23*1.02*1.2+KFC!$C$23)*KFC!$C$5</f>
        <v>188.00639999999999</v>
      </c>
      <c r="AA97" s="300">
        <f>(156.4*KFC!$B$23*1.02*1.2+KFC!$C$23)*KFC!$C$5</f>
        <v>191.43360000000001</v>
      </c>
      <c r="AB97" s="300">
        <f>(159.2*KFC!$B$23*1.02*1.2+KFC!$C$23)*KFC!$C$5</f>
        <v>194.86079999999998</v>
      </c>
      <c r="AC97" s="300">
        <f>(162.1*KFC!$B$23*1.02*1.2+KFC!$C$23)*KFC!$C$5</f>
        <v>198.41039999999998</v>
      </c>
      <c r="AD97" s="300">
        <f>(164.9*KFC!$B$23*1.02*1.2+KFC!$C$23)*KFC!$C$5</f>
        <v>201.83760000000001</v>
      </c>
      <c r="AE97" s="300">
        <f>(167.7*KFC!$B$23*1.02*1.2+KFC!$C$23)*KFC!$C$5</f>
        <v>205.26480000000001</v>
      </c>
      <c r="AF97" s="300">
        <f>(170.6*KFC!$B$23*1.02*1.2+KFC!$C$23)*KFC!$C$5</f>
        <v>208.81440000000001</v>
      </c>
      <c r="AG97" s="300">
        <f>(173.4*KFC!$B$23*1.02*1.2+KFC!$C$23)*KFC!$C$5</f>
        <v>212.24159999999998</v>
      </c>
      <c r="AH97" s="304">
        <f>(176.2*KFC!$B$23*1.02*1.2+KFC!$C$23)*KFC!$C$5</f>
        <v>215.66879999999998</v>
      </c>
    </row>
    <row r="98" spans="1:34">
      <c r="A98" s="1781"/>
      <c r="B98" s="392">
        <v>3.3</v>
      </c>
      <c r="C98" s="303">
        <f>(88.9*KFC!$B$23*1.02*1.2+KFC!$C$23)*KFC!$C$5</f>
        <v>108.81360000000001</v>
      </c>
      <c r="D98" s="300">
        <f>(91.8*KFC!$B$23*1.02*1.2+KFC!$C$23)*KFC!$C$5</f>
        <v>112.36319999999999</v>
      </c>
      <c r="E98" s="300">
        <f>(94.7*KFC!$B$23*1.02*1.2+KFC!$C$23)*KFC!$C$5</f>
        <v>115.9128</v>
      </c>
      <c r="F98" s="300">
        <f>(97.6*KFC!$B$23*1.02*1.2+KFC!$C$23)*KFC!$C$5</f>
        <v>119.46239999999999</v>
      </c>
      <c r="G98" s="300">
        <f>(100.5*KFC!$B$23*1.02*1.2+KFC!$C$23)*KFC!$C$5</f>
        <v>123.012</v>
      </c>
      <c r="H98" s="300">
        <f>(103.4*KFC!$B$23*1.02*1.2+KFC!$C$23)*KFC!$C$5</f>
        <v>126.5616</v>
      </c>
      <c r="I98" s="300">
        <f>(106.3*KFC!$B$23*1.02*1.2+KFC!$C$23)*KFC!$C$5</f>
        <v>130.1112</v>
      </c>
      <c r="J98" s="300">
        <f>(109.2*KFC!$B$23*1.02*1.2+KFC!$C$23)*KFC!$C$5</f>
        <v>133.66079999999999</v>
      </c>
      <c r="K98" s="300">
        <f>(112*KFC!$B$23*1.02*1.2+KFC!$C$23)*KFC!$C$5</f>
        <v>137.08799999999999</v>
      </c>
      <c r="L98" s="300">
        <f>(114.9*KFC!$B$23*1.02*1.2+KFC!$C$23)*KFC!$C$5</f>
        <v>140.63759999999999</v>
      </c>
      <c r="M98" s="300">
        <f>(117.8*KFC!$B$23*1.02*1.2+KFC!$C$23)*KFC!$C$5</f>
        <v>144.18719999999999</v>
      </c>
      <c r="N98" s="300">
        <f>(120.7*KFC!$B$23*1.02*1.2+KFC!$C$23)*KFC!$C$5</f>
        <v>147.73679999999999</v>
      </c>
      <c r="O98" s="300">
        <f>(123.6*KFC!$B$23*1.02*1.2+KFC!$C$23)*KFC!$C$5</f>
        <v>151.28639999999999</v>
      </c>
      <c r="P98" s="300">
        <f>(126.5*KFC!$B$23*1.02*1.2+KFC!$C$23)*KFC!$C$5</f>
        <v>154.83599999999998</v>
      </c>
      <c r="Q98" s="300">
        <f>(129.4*KFC!$B$23*1.02*1.2+KFC!$C$23)*KFC!$C$5</f>
        <v>158.38559999999998</v>
      </c>
      <c r="R98" s="300">
        <f>(132.3*KFC!$B$23*1.02*1.2+KFC!$C$23)*KFC!$C$5</f>
        <v>161.93520000000004</v>
      </c>
      <c r="S98" s="300">
        <f>(135.1*KFC!$B$23*1.02*1.2+KFC!$C$23)*KFC!$C$5</f>
        <v>165.36239999999998</v>
      </c>
      <c r="T98" s="300">
        <f>(138*KFC!$B$23*1.02*1.2+KFC!$C$23)*KFC!$C$5</f>
        <v>168.91199999999998</v>
      </c>
      <c r="U98" s="300">
        <f>(140.9*KFC!$B$23*1.02*1.2+KFC!$C$23)*KFC!$C$5</f>
        <v>172.4616</v>
      </c>
      <c r="V98" s="300">
        <f>(143.8*KFC!$B$23*1.02*1.2+KFC!$C$23)*KFC!$C$5</f>
        <v>176.0112</v>
      </c>
      <c r="W98" s="300">
        <f>(146.7*KFC!$B$23*1.02*1.2+KFC!$C$23)*KFC!$C$5</f>
        <v>179.56079999999997</v>
      </c>
      <c r="X98" s="300">
        <f>(149.6*KFC!$B$23*1.02*1.2+KFC!$C$23)*KFC!$C$5</f>
        <v>183.11039999999997</v>
      </c>
      <c r="Y98" s="300">
        <f>(152.5*KFC!$B$23*1.02*1.2+KFC!$C$23)*KFC!$C$5</f>
        <v>186.66</v>
      </c>
      <c r="Z98" s="300">
        <f>(155.3*KFC!$B$23*1.02*1.2+KFC!$C$23)*KFC!$C$5</f>
        <v>190.0872</v>
      </c>
      <c r="AA98" s="300">
        <f>(158.2*KFC!$B$23*1.02*1.2+KFC!$C$23)*KFC!$C$5</f>
        <v>193.63679999999999</v>
      </c>
      <c r="AB98" s="300">
        <f>(161.1*KFC!$B$23*1.02*1.2+KFC!$C$23)*KFC!$C$5</f>
        <v>197.18639999999999</v>
      </c>
      <c r="AC98" s="300">
        <f>(164*KFC!$B$23*1.02*1.2+KFC!$C$23)*KFC!$C$5</f>
        <v>200.73599999999999</v>
      </c>
      <c r="AD98" s="300">
        <f>(166.9*KFC!$B$23*1.02*1.2+KFC!$C$23)*KFC!$C$5</f>
        <v>204.28559999999999</v>
      </c>
      <c r="AE98" s="300">
        <f>(169.8*KFC!$B$23*1.02*1.2+KFC!$C$23)*KFC!$C$5</f>
        <v>207.83520000000001</v>
      </c>
      <c r="AF98" s="300">
        <f>(172.7*KFC!$B$23*1.02*1.2+KFC!$C$23)*KFC!$C$5</f>
        <v>211.38479999999998</v>
      </c>
      <c r="AG98" s="300">
        <f>(175.6*KFC!$B$23*1.02*1.2+KFC!$C$23)*KFC!$C$5</f>
        <v>214.93439999999998</v>
      </c>
      <c r="AH98" s="304">
        <f>(178.4*KFC!$B$23*1.02*1.2+KFC!$C$23)*KFC!$C$5</f>
        <v>218.36160000000001</v>
      </c>
    </row>
    <row r="99" spans="1:34">
      <c r="A99" s="1781"/>
      <c r="B99" s="392">
        <v>3.4</v>
      </c>
      <c r="C99" s="303">
        <f>(89.5*KFC!$B$23*1.02*1.2+KFC!$C$23)*KFC!$C$5</f>
        <v>109.548</v>
      </c>
      <c r="D99" s="300">
        <f>(92.4*KFC!$B$23*1.02*1.2+KFC!$C$23)*KFC!$C$5</f>
        <v>113.0976</v>
      </c>
      <c r="E99" s="300">
        <f>(95.4*KFC!$B$23*1.02*1.2+KFC!$C$23)*KFC!$C$5</f>
        <v>116.7696</v>
      </c>
      <c r="F99" s="300">
        <f>(98.3*KFC!$B$23*1.02*1.2+KFC!$C$23)*KFC!$C$5</f>
        <v>120.3192</v>
      </c>
      <c r="G99" s="300">
        <f>(101.3*KFC!$B$23*1.02*1.2+KFC!$C$23)*KFC!$C$5</f>
        <v>123.99119999999999</v>
      </c>
      <c r="H99" s="300">
        <f>(104.2*KFC!$B$23*1.02*1.2+KFC!$C$23)*KFC!$C$5</f>
        <v>127.5408</v>
      </c>
      <c r="I99" s="300">
        <f>(107.1*KFC!$B$23*1.02*1.2+KFC!$C$23)*KFC!$C$5</f>
        <v>131.09039999999999</v>
      </c>
      <c r="J99" s="300">
        <f>(110.1*KFC!$B$23*1.02*1.2+KFC!$C$23)*KFC!$C$5</f>
        <v>134.76239999999999</v>
      </c>
      <c r="K99" s="300">
        <f>(113*KFC!$B$23*1.02*1.2+KFC!$C$23)*KFC!$C$5</f>
        <v>138.31200000000001</v>
      </c>
      <c r="L99" s="300">
        <f>(116*KFC!$B$23*1.02*1.2+KFC!$C$23)*KFC!$C$5</f>
        <v>141.98400000000001</v>
      </c>
      <c r="M99" s="300">
        <f>(118.9*KFC!$B$23*1.02*1.2+KFC!$C$23)*KFC!$C$5</f>
        <v>145.53360000000001</v>
      </c>
      <c r="N99" s="300">
        <f>(121.9*KFC!$B$23*1.02*1.2+KFC!$C$23)*KFC!$C$5</f>
        <v>149.2056</v>
      </c>
      <c r="O99" s="300">
        <f>(124.8*KFC!$B$23*1.02*1.2+KFC!$C$23)*KFC!$C$5</f>
        <v>152.75519999999997</v>
      </c>
      <c r="P99" s="300">
        <f>(127.7*KFC!$B$23*1.02*1.2+KFC!$C$23)*KFC!$C$5</f>
        <v>156.30480000000003</v>
      </c>
      <c r="Q99" s="300">
        <f>(130.7*KFC!$B$23*1.02*1.2+KFC!$C$23)*KFC!$C$5</f>
        <v>159.9768</v>
      </c>
      <c r="R99" s="300">
        <f>(133.6*KFC!$B$23*1.02*1.2+KFC!$C$23)*KFC!$C$5</f>
        <v>163.5264</v>
      </c>
      <c r="S99" s="300">
        <f>(136.6*KFC!$B$23*1.02*1.2+KFC!$C$23)*KFC!$C$5</f>
        <v>167.19839999999999</v>
      </c>
      <c r="T99" s="300">
        <f>(139.5*KFC!$B$23*1.02*1.2+KFC!$C$23)*KFC!$C$5</f>
        <v>170.74799999999999</v>
      </c>
      <c r="U99" s="300">
        <f>(142.4*KFC!$B$23*1.02*1.2+KFC!$C$23)*KFC!$C$5</f>
        <v>174.29760000000002</v>
      </c>
      <c r="V99" s="300">
        <f>(145.4*KFC!$B$23*1.02*1.2+KFC!$C$23)*KFC!$C$5</f>
        <v>177.96960000000001</v>
      </c>
      <c r="W99" s="300">
        <f>(148.3*KFC!$B$23*1.02*1.2+KFC!$C$23)*KFC!$C$5</f>
        <v>181.51920000000001</v>
      </c>
      <c r="X99" s="300">
        <f>(151.3*KFC!$B$23*1.02*1.2+KFC!$C$23)*KFC!$C$5</f>
        <v>185.19120000000001</v>
      </c>
      <c r="Y99" s="300">
        <f>(154.2*KFC!$B$23*1.02*1.2+KFC!$C$23)*KFC!$C$5</f>
        <v>188.74079999999998</v>
      </c>
      <c r="Z99" s="300">
        <f>(157.1*KFC!$B$23*1.02*1.2+KFC!$C$23)*KFC!$C$5</f>
        <v>192.29039999999998</v>
      </c>
      <c r="AA99" s="300">
        <f>(160.1*KFC!$B$23*1.02*1.2+KFC!$C$23)*KFC!$C$5</f>
        <v>195.96239999999997</v>
      </c>
      <c r="AB99" s="300">
        <f>(163*KFC!$B$23*1.02*1.2+KFC!$C$23)*KFC!$C$5</f>
        <v>199.51199999999997</v>
      </c>
      <c r="AC99" s="300">
        <f>(166*KFC!$B$23*1.02*1.2+KFC!$C$23)*KFC!$C$5</f>
        <v>203.184</v>
      </c>
      <c r="AD99" s="300">
        <f>(168.9*KFC!$B$23*1.02*1.2+KFC!$C$23)*KFC!$C$5</f>
        <v>206.73360000000002</v>
      </c>
      <c r="AE99" s="300">
        <f>(171.8*KFC!$B$23*1.02*1.2+KFC!$C$23)*KFC!$C$5</f>
        <v>210.28320000000002</v>
      </c>
      <c r="AF99" s="300">
        <f>(174.8*KFC!$B$23*1.02*1.2+KFC!$C$23)*KFC!$C$5</f>
        <v>213.95520000000002</v>
      </c>
      <c r="AG99" s="300">
        <f>(177.7*KFC!$B$23*1.02*1.2+KFC!$C$23)*KFC!$C$5</f>
        <v>217.50479999999999</v>
      </c>
      <c r="AH99" s="304">
        <f>(180.7*KFC!$B$23*1.02*1.2+KFC!$C$23)*KFC!$C$5</f>
        <v>221.17679999999999</v>
      </c>
    </row>
    <row r="100" spans="1:34">
      <c r="A100" s="1781"/>
      <c r="B100" s="392">
        <v>3.5</v>
      </c>
      <c r="C100" s="303">
        <f>(90.1*KFC!$B$23*1.02*1.2+KFC!$C$23)*KFC!$C$5</f>
        <v>110.2824</v>
      </c>
      <c r="D100" s="300">
        <f>(93.1*KFC!$B$23*1.02*1.2+KFC!$C$23)*KFC!$C$5</f>
        <v>113.95439999999998</v>
      </c>
      <c r="E100" s="300">
        <f>(96*KFC!$B$23*1.02*1.2+KFC!$C$23)*KFC!$C$5</f>
        <v>117.50399999999999</v>
      </c>
      <c r="F100" s="300">
        <f>(99*KFC!$B$23*1.02*1.2+KFC!$C$23)*KFC!$C$5</f>
        <v>121.176</v>
      </c>
      <c r="G100" s="300">
        <f>(102*KFC!$B$23*1.02*1.2+KFC!$C$23)*KFC!$C$5</f>
        <v>124.848</v>
      </c>
      <c r="H100" s="300">
        <f>(105*KFC!$B$23*1.02*1.2+KFC!$C$23)*KFC!$C$5</f>
        <v>128.52000000000001</v>
      </c>
      <c r="I100" s="300">
        <f>(108*KFC!$B$23*1.02*1.2+KFC!$C$23)*KFC!$C$5</f>
        <v>132.19199999999998</v>
      </c>
      <c r="J100" s="300">
        <f>(111*KFC!$B$23*1.02*1.2+KFC!$C$23)*KFC!$C$5</f>
        <v>135.864</v>
      </c>
      <c r="K100" s="300">
        <f>(114*KFC!$B$23*1.02*1.2+KFC!$C$23)*KFC!$C$5</f>
        <v>139.536</v>
      </c>
      <c r="L100" s="300">
        <f>(117*KFC!$B$23*1.02*1.2+KFC!$C$23)*KFC!$C$5</f>
        <v>143.208</v>
      </c>
      <c r="M100" s="300">
        <f>(120*KFC!$B$23*1.02*1.2+KFC!$C$23)*KFC!$C$5</f>
        <v>146.88</v>
      </c>
      <c r="N100" s="300">
        <f>(123*KFC!$B$23*1.02*1.2+KFC!$C$23)*KFC!$C$5</f>
        <v>150.55199999999999</v>
      </c>
      <c r="O100" s="300">
        <f>(126*KFC!$B$23*1.02*1.2+KFC!$C$23)*KFC!$C$5</f>
        <v>154.22400000000002</v>
      </c>
      <c r="P100" s="300">
        <f>(129*KFC!$B$23*1.02*1.2+KFC!$C$23)*KFC!$C$5</f>
        <v>157.89600000000002</v>
      </c>
      <c r="Q100" s="300">
        <f>(132*KFC!$B$23*1.02*1.2+KFC!$C$23)*KFC!$C$5</f>
        <v>161.56800000000001</v>
      </c>
      <c r="R100" s="300">
        <f>(135*KFC!$B$23*1.02*1.2+KFC!$C$23)*KFC!$C$5</f>
        <v>165.23999999999998</v>
      </c>
      <c r="S100" s="300">
        <f>(138*KFC!$B$23*1.02*1.2+KFC!$C$23)*KFC!$C$5</f>
        <v>168.91199999999998</v>
      </c>
      <c r="T100" s="300">
        <f>(141*KFC!$B$23*1.02*1.2+KFC!$C$23)*KFC!$C$5</f>
        <v>172.58399999999997</v>
      </c>
      <c r="U100" s="300">
        <f>(144*KFC!$B$23*1.02*1.2+KFC!$C$23)*KFC!$C$5</f>
        <v>176.256</v>
      </c>
      <c r="V100" s="300">
        <f>(147*KFC!$B$23*1.02*1.2+KFC!$C$23)*KFC!$C$5</f>
        <v>179.928</v>
      </c>
      <c r="W100" s="300">
        <f>(150*KFC!$B$23*1.02*1.2+KFC!$C$23)*KFC!$C$5</f>
        <v>183.6</v>
      </c>
      <c r="X100" s="300">
        <f>(152.9*KFC!$B$23*1.02*1.2+KFC!$C$23)*KFC!$C$5</f>
        <v>187.14959999999999</v>
      </c>
      <c r="Y100" s="300">
        <f>(155.9*KFC!$B$23*1.02*1.2+KFC!$C$23)*KFC!$C$5</f>
        <v>190.82159999999999</v>
      </c>
      <c r="Z100" s="300">
        <f>(158.9*KFC!$B$23*1.02*1.2+KFC!$C$23)*KFC!$C$5</f>
        <v>194.49359999999999</v>
      </c>
      <c r="AA100" s="300">
        <f>(161.9*KFC!$B$23*1.02*1.2+KFC!$C$23)*KFC!$C$5</f>
        <v>198.16560000000001</v>
      </c>
      <c r="AB100" s="300">
        <f>(164.9*KFC!$B$23*1.02*1.2+KFC!$C$23)*KFC!$C$5</f>
        <v>201.83760000000001</v>
      </c>
      <c r="AC100" s="300">
        <f>(167.9*KFC!$B$23*1.02*1.2+KFC!$C$23)*KFC!$C$5</f>
        <v>205.50960000000001</v>
      </c>
      <c r="AD100" s="300">
        <f>(170.9*KFC!$B$23*1.02*1.2+KFC!$C$23)*KFC!$C$5</f>
        <v>209.1816</v>
      </c>
      <c r="AE100" s="300">
        <f>(173.9*KFC!$B$23*1.02*1.2+KFC!$C$23)*KFC!$C$5</f>
        <v>212.8536</v>
      </c>
      <c r="AF100" s="300">
        <f>(176.9*KFC!$B$23*1.02*1.2+KFC!$C$23)*KFC!$C$5</f>
        <v>216.52560000000003</v>
      </c>
      <c r="AG100" s="300">
        <f>(179.9*KFC!$B$23*1.02*1.2+KFC!$C$23)*KFC!$C$5</f>
        <v>220.19760000000002</v>
      </c>
      <c r="AH100" s="304">
        <f>(182.9*KFC!$B$23*1.02*1.2+KFC!$C$23)*KFC!$C$5</f>
        <v>223.86960000000002</v>
      </c>
    </row>
    <row r="101" spans="1:34">
      <c r="A101" s="1781"/>
      <c r="B101" s="392">
        <v>3.6</v>
      </c>
      <c r="C101" s="303">
        <f>(90.6*KFC!$B$23*1.02*1.2+KFC!$C$23)*KFC!$C$5</f>
        <v>110.89439999999999</v>
      </c>
      <c r="D101" s="300">
        <f>(93.7*KFC!$B$23*1.02*1.2+KFC!$C$23)*KFC!$C$5</f>
        <v>114.6888</v>
      </c>
      <c r="E101" s="300">
        <f>(96.7*KFC!$B$23*1.02*1.2+KFC!$C$23)*KFC!$C$5</f>
        <v>118.3608</v>
      </c>
      <c r="F101" s="300">
        <f>(99.8*KFC!$B$23*1.02*1.2+KFC!$C$23)*KFC!$C$5</f>
        <v>122.15519999999998</v>
      </c>
      <c r="G101" s="300">
        <f>(102.8*KFC!$B$23*1.02*1.2+KFC!$C$23)*KFC!$C$5</f>
        <v>125.82719999999999</v>
      </c>
      <c r="H101" s="300">
        <f>(105.9*KFC!$B$23*1.02*1.2+KFC!$C$23)*KFC!$C$5</f>
        <v>129.6216</v>
      </c>
      <c r="I101" s="300">
        <f>(108.9*KFC!$B$23*1.02*1.2+KFC!$C$23)*KFC!$C$5</f>
        <v>133.2936</v>
      </c>
      <c r="J101" s="300">
        <f>(112*KFC!$B$23*1.02*1.2+KFC!$C$23)*KFC!$C$5</f>
        <v>137.08799999999999</v>
      </c>
      <c r="K101" s="300">
        <f>(115*KFC!$B$23*1.02*1.2+KFC!$C$23)*KFC!$C$5</f>
        <v>140.76</v>
      </c>
      <c r="L101" s="300">
        <f>(118*KFC!$B$23*1.02*1.2+KFC!$C$23)*KFC!$C$5</f>
        <v>144.43199999999999</v>
      </c>
      <c r="M101" s="300">
        <f>(121.1*KFC!$B$23*1.02*1.2+KFC!$C$23)*KFC!$C$5</f>
        <v>148.22639999999998</v>
      </c>
      <c r="N101" s="300">
        <f>(124.1*KFC!$B$23*1.02*1.2+KFC!$C$23)*KFC!$C$5</f>
        <v>151.89839999999998</v>
      </c>
      <c r="O101" s="300">
        <f>(127.2*KFC!$B$23*1.02*1.2+KFC!$C$23)*KFC!$C$5</f>
        <v>155.69280000000001</v>
      </c>
      <c r="P101" s="300">
        <f>(130.2*KFC!$B$23*1.02*1.2+KFC!$C$23)*KFC!$C$5</f>
        <v>159.3648</v>
      </c>
      <c r="Q101" s="300">
        <f>(133.3*KFC!$B$23*1.02*1.2+KFC!$C$23)*KFC!$C$5</f>
        <v>163.1592</v>
      </c>
      <c r="R101" s="300">
        <f>(136.3*KFC!$B$23*1.02*1.2+KFC!$C$23)*KFC!$C$5</f>
        <v>166.8312</v>
      </c>
      <c r="S101" s="300">
        <f>(139.4*KFC!$B$23*1.02*1.2+KFC!$C$23)*KFC!$C$5</f>
        <v>170.62560000000002</v>
      </c>
      <c r="T101" s="300">
        <f>(142.4*KFC!$B$23*1.02*1.2+KFC!$C$23)*KFC!$C$5</f>
        <v>174.29760000000002</v>
      </c>
      <c r="U101" s="300">
        <f>(145.5*KFC!$B$23*1.02*1.2+KFC!$C$23)*KFC!$C$5</f>
        <v>178.09199999999998</v>
      </c>
      <c r="V101" s="300">
        <f>(148.5*KFC!$B$23*1.02*1.2+KFC!$C$23)*KFC!$C$5</f>
        <v>181.76399999999998</v>
      </c>
      <c r="W101" s="300">
        <f>(151.6*KFC!$B$23*1.02*1.2+KFC!$C$23)*KFC!$C$5</f>
        <v>185.55840000000001</v>
      </c>
      <c r="X101" s="300">
        <f>(154.6*KFC!$B$23*1.02*1.2+KFC!$C$23)*KFC!$C$5</f>
        <v>189.2304</v>
      </c>
      <c r="Y101" s="300">
        <f>(157.7*KFC!$B$23*1.02*1.2+KFC!$C$23)*KFC!$C$5</f>
        <v>193.02479999999997</v>
      </c>
      <c r="Z101" s="300">
        <f>(160.7*KFC!$B$23*1.02*1.2+KFC!$C$23)*KFC!$C$5</f>
        <v>196.69679999999997</v>
      </c>
      <c r="AA101" s="300">
        <f>(163.8*KFC!$B$23*1.02*1.2+KFC!$C$23)*KFC!$C$5</f>
        <v>200.49120000000002</v>
      </c>
      <c r="AB101" s="300">
        <f>(166.8*KFC!$B$23*1.02*1.2+KFC!$C$23)*KFC!$C$5</f>
        <v>204.16320000000002</v>
      </c>
      <c r="AC101" s="300">
        <f>(169.9*KFC!$B$23*1.02*1.2+KFC!$C$23)*KFC!$C$5</f>
        <v>207.95759999999999</v>
      </c>
      <c r="AD101" s="300">
        <f>(172.9*KFC!$B$23*1.02*1.2+KFC!$C$23)*KFC!$C$5</f>
        <v>211.62960000000001</v>
      </c>
      <c r="AE101" s="300">
        <f>(176*KFC!$B$23*1.02*1.2+KFC!$C$23)*KFC!$C$5</f>
        <v>215.42400000000001</v>
      </c>
      <c r="AF101" s="300">
        <f>(179*KFC!$B$23*1.02*1.2+KFC!$C$23)*KFC!$C$5</f>
        <v>219.096</v>
      </c>
      <c r="AG101" s="300">
        <f>(182.1*KFC!$B$23*1.02*1.2+KFC!$C$23)*KFC!$C$5</f>
        <v>222.89039999999997</v>
      </c>
      <c r="AH101" s="304">
        <f>(185.1*KFC!$B$23*1.02*1.2+KFC!$C$23)*KFC!$C$5</f>
        <v>226.5624</v>
      </c>
    </row>
    <row r="102" spans="1:34">
      <c r="A102" s="1781"/>
      <c r="B102" s="392">
        <v>3.7</v>
      </c>
      <c r="C102" s="303">
        <f>(91.2*KFC!$B$23*1.02*1.2+KFC!$C$23)*KFC!$C$5</f>
        <v>111.6288</v>
      </c>
      <c r="D102" s="300">
        <f>(94.3*KFC!$B$23*1.02*1.2+KFC!$C$23)*KFC!$C$5</f>
        <v>115.42319999999998</v>
      </c>
      <c r="E102" s="300">
        <f>(97.4*KFC!$B$23*1.02*1.2+KFC!$C$23)*KFC!$C$5</f>
        <v>119.2176</v>
      </c>
      <c r="F102" s="300">
        <f>(100.5*KFC!$B$23*1.02*1.2+KFC!$C$23)*KFC!$C$5</f>
        <v>123.012</v>
      </c>
      <c r="G102" s="300">
        <f>(103.6*KFC!$B$23*1.02*1.2+KFC!$C$23)*KFC!$C$5</f>
        <v>126.8064</v>
      </c>
      <c r="H102" s="300">
        <f>(106.7*KFC!$B$23*1.02*1.2+KFC!$C$23)*KFC!$C$5</f>
        <v>130.60079999999999</v>
      </c>
      <c r="I102" s="300">
        <f>(109.8*KFC!$B$23*1.02*1.2+KFC!$C$23)*KFC!$C$5</f>
        <v>134.39519999999999</v>
      </c>
      <c r="J102" s="300">
        <f>(112.9*KFC!$B$23*1.02*1.2+KFC!$C$23)*KFC!$C$5</f>
        <v>138.18959999999998</v>
      </c>
      <c r="K102" s="300">
        <f>(116*KFC!$B$23*1.02*1.2+KFC!$C$23)*KFC!$C$5</f>
        <v>141.98400000000001</v>
      </c>
      <c r="L102" s="300">
        <f>(119.1*KFC!$B$23*1.02*1.2+KFC!$C$23)*KFC!$C$5</f>
        <v>145.7784</v>
      </c>
      <c r="M102" s="300">
        <f>(122.2*KFC!$B$23*1.02*1.2+KFC!$C$23)*KFC!$C$5</f>
        <v>149.5728</v>
      </c>
      <c r="N102" s="300">
        <f>(125.3*KFC!$B$23*1.02*1.2+KFC!$C$23)*KFC!$C$5</f>
        <v>153.3672</v>
      </c>
      <c r="O102" s="300">
        <f>(128.4*KFC!$B$23*1.02*1.2+KFC!$C$23)*KFC!$C$5</f>
        <v>157.16160000000002</v>
      </c>
      <c r="P102" s="300">
        <f>(131.5*KFC!$B$23*1.02*1.2+KFC!$C$23)*KFC!$C$5</f>
        <v>160.95599999999999</v>
      </c>
      <c r="Q102" s="300">
        <f>(134.6*KFC!$B$23*1.02*1.2+KFC!$C$23)*KFC!$C$5</f>
        <v>164.75039999999998</v>
      </c>
      <c r="R102" s="300">
        <f>(137.7*KFC!$B$23*1.02*1.2+KFC!$C$23)*KFC!$C$5</f>
        <v>168.54479999999998</v>
      </c>
      <c r="S102" s="300">
        <f>(140.8*KFC!$B$23*1.02*1.2+KFC!$C$23)*KFC!$C$5</f>
        <v>172.33920000000001</v>
      </c>
      <c r="T102" s="300">
        <f>(143.9*KFC!$B$23*1.02*1.2+KFC!$C$23)*KFC!$C$5</f>
        <v>176.13360000000003</v>
      </c>
      <c r="U102" s="300">
        <f>(147*KFC!$B$23*1.02*1.2+KFC!$C$23)*KFC!$C$5</f>
        <v>179.928</v>
      </c>
      <c r="V102" s="300">
        <f>(150.1*KFC!$B$23*1.02*1.2+KFC!$C$23)*KFC!$C$5</f>
        <v>183.72239999999999</v>
      </c>
      <c r="W102" s="300">
        <f>(153.2*KFC!$B$23*1.02*1.2+KFC!$C$23)*KFC!$C$5</f>
        <v>187.51679999999996</v>
      </c>
      <c r="X102" s="300">
        <f>(156.3*KFC!$B$23*1.02*1.2+KFC!$C$23)*KFC!$C$5</f>
        <v>191.31120000000001</v>
      </c>
      <c r="Y102" s="300">
        <f>(159.4*KFC!$B$23*1.02*1.2+KFC!$C$23)*KFC!$C$5</f>
        <v>195.10560000000001</v>
      </c>
      <c r="Z102" s="300">
        <f>(162.5*KFC!$B$23*1.02*1.2+KFC!$C$23)*KFC!$C$5</f>
        <v>198.9</v>
      </c>
      <c r="AA102" s="300">
        <f>(165.6*KFC!$B$23*1.02*1.2+KFC!$C$23)*KFC!$C$5</f>
        <v>202.6944</v>
      </c>
      <c r="AB102" s="300">
        <f>(168.7*KFC!$B$23*1.02*1.2+KFC!$C$23)*KFC!$C$5</f>
        <v>206.48879999999997</v>
      </c>
      <c r="AC102" s="300">
        <f>(171.8*KFC!$B$23*1.02*1.2+KFC!$C$23)*KFC!$C$5</f>
        <v>210.28320000000002</v>
      </c>
      <c r="AD102" s="300">
        <f>(174.9*KFC!$B$23*1.02*1.2+KFC!$C$23)*KFC!$C$5</f>
        <v>214.07759999999999</v>
      </c>
      <c r="AE102" s="300">
        <f>(178*KFC!$B$23*1.02*1.2+KFC!$C$23)*KFC!$C$5</f>
        <v>217.87199999999999</v>
      </c>
      <c r="AF102" s="300">
        <f>(181.1*KFC!$B$23*1.02*1.2+KFC!$C$23)*KFC!$C$5</f>
        <v>221.66640000000001</v>
      </c>
      <c r="AG102" s="300">
        <f>(184.2*KFC!$B$23*1.02*1.2+KFC!$C$23)*KFC!$C$5</f>
        <v>225.46079999999998</v>
      </c>
      <c r="AH102" s="304">
        <f>(187.3*KFC!$B$23*1.02*1.2+KFC!$C$23)*KFC!$C$5</f>
        <v>229.25520000000003</v>
      </c>
    </row>
    <row r="103" spans="1:34">
      <c r="A103" s="1781"/>
      <c r="B103" s="392">
        <v>3.8</v>
      </c>
      <c r="C103" s="303">
        <f>(91.7*KFC!$B$23*1.02*1.2+KFC!$C$23)*KFC!$C$5</f>
        <v>112.24080000000001</v>
      </c>
      <c r="D103" s="300">
        <f>(94.9*KFC!$B$23*1.02*1.2+KFC!$C$23)*KFC!$C$5</f>
        <v>116.1576</v>
      </c>
      <c r="E103" s="300">
        <f>(98*KFC!$B$23*1.02*1.2+KFC!$C$23)*KFC!$C$5</f>
        <v>119.952</v>
      </c>
      <c r="F103" s="300">
        <f>(101.2*KFC!$B$23*1.02*1.2+KFC!$C$23)*KFC!$C$5</f>
        <v>123.86879999999999</v>
      </c>
      <c r="G103" s="300">
        <f>(104.3*KFC!$B$23*1.02*1.2+KFC!$C$23)*KFC!$C$5</f>
        <v>127.66319999999999</v>
      </c>
      <c r="H103" s="300">
        <f>(107.5*KFC!$B$23*1.02*1.2+KFC!$C$23)*KFC!$C$5</f>
        <v>131.58000000000001</v>
      </c>
      <c r="I103" s="300">
        <f>(110.7*KFC!$B$23*1.02*1.2+KFC!$C$23)*KFC!$C$5</f>
        <v>135.49680000000001</v>
      </c>
      <c r="J103" s="300">
        <f>(113.8*KFC!$B$23*1.02*1.2+KFC!$C$23)*KFC!$C$5</f>
        <v>139.29119999999998</v>
      </c>
      <c r="K103" s="300">
        <f>(117*KFC!$B$23*1.02*1.2+KFC!$C$23)*KFC!$C$5</f>
        <v>143.208</v>
      </c>
      <c r="L103" s="300">
        <f>(120.1*KFC!$B$23*1.02*1.2+KFC!$C$23)*KFC!$C$5</f>
        <v>147.00239999999999</v>
      </c>
      <c r="M103" s="300">
        <f>(123.3*KFC!$B$23*1.02*1.2+KFC!$C$23)*KFC!$C$5</f>
        <v>150.91919999999999</v>
      </c>
      <c r="N103" s="300">
        <f>(126.4*KFC!$B$23*1.02*1.2+KFC!$C$23)*KFC!$C$5</f>
        <v>154.71359999999999</v>
      </c>
      <c r="O103" s="300">
        <f>(129.6*KFC!$B$23*1.02*1.2+KFC!$C$23)*KFC!$C$5</f>
        <v>158.63040000000001</v>
      </c>
      <c r="P103" s="300">
        <f>(132.8*KFC!$B$23*1.02*1.2+KFC!$C$23)*KFC!$C$5</f>
        <v>162.5472</v>
      </c>
      <c r="Q103" s="300">
        <f>(135.9*KFC!$B$23*1.02*1.2+KFC!$C$23)*KFC!$C$5</f>
        <v>166.3416</v>
      </c>
      <c r="R103" s="300">
        <f>(139.1*KFC!$B$23*1.02*1.2+KFC!$C$23)*KFC!$C$5</f>
        <v>170.25839999999999</v>
      </c>
      <c r="S103" s="300">
        <f>(142.2*KFC!$B$23*1.02*1.2+KFC!$C$23)*KFC!$C$5</f>
        <v>174.05279999999996</v>
      </c>
      <c r="T103" s="300">
        <f>(145.4*KFC!$B$23*1.02*1.2+KFC!$C$23)*KFC!$C$5</f>
        <v>177.96960000000001</v>
      </c>
      <c r="U103" s="300">
        <f>(148.5*KFC!$B$23*1.02*1.2+KFC!$C$23)*KFC!$C$5</f>
        <v>181.76399999999998</v>
      </c>
      <c r="V103" s="300">
        <f>(151.7*KFC!$B$23*1.02*1.2+KFC!$C$23)*KFC!$C$5</f>
        <v>185.68079999999998</v>
      </c>
      <c r="W103" s="300">
        <f>(154.8*KFC!$B$23*1.02*1.2+KFC!$C$23)*KFC!$C$5</f>
        <v>189.4752</v>
      </c>
      <c r="X103" s="300">
        <f>(158*KFC!$B$23*1.02*1.2+KFC!$C$23)*KFC!$C$5</f>
        <v>193.392</v>
      </c>
      <c r="Y103" s="300">
        <f>(161.2*KFC!$B$23*1.02*1.2+KFC!$C$23)*KFC!$C$5</f>
        <v>197.30879999999996</v>
      </c>
      <c r="Z103" s="300">
        <f>(164.3*KFC!$B$23*1.02*1.2+KFC!$C$23)*KFC!$C$5</f>
        <v>201.10320000000002</v>
      </c>
      <c r="AA103" s="300">
        <f>(167.5*KFC!$B$23*1.02*1.2+KFC!$C$23)*KFC!$C$5</f>
        <v>205.01999999999998</v>
      </c>
      <c r="AB103" s="300">
        <f>(170.6*KFC!$B$23*1.02*1.2+KFC!$C$23)*KFC!$C$5</f>
        <v>208.81440000000001</v>
      </c>
      <c r="AC103" s="300">
        <f>(173.8*KFC!$B$23*1.02*1.2+KFC!$C$23)*KFC!$C$5</f>
        <v>212.7312</v>
      </c>
      <c r="AD103" s="300">
        <f>(176.9*KFC!$B$23*1.02*1.2+KFC!$C$23)*KFC!$C$5</f>
        <v>216.52560000000003</v>
      </c>
      <c r="AE103" s="300">
        <f>(180.1*KFC!$B$23*1.02*1.2+KFC!$C$23)*KFC!$C$5</f>
        <v>220.44239999999999</v>
      </c>
      <c r="AF103" s="300">
        <f>(183.3*KFC!$B$23*1.02*1.2+KFC!$C$23)*KFC!$C$5</f>
        <v>224.35920000000002</v>
      </c>
      <c r="AG103" s="300">
        <f>(186.4*KFC!$B$23*1.02*1.2+KFC!$C$23)*KFC!$C$5</f>
        <v>228.15360000000001</v>
      </c>
      <c r="AH103" s="304">
        <f>(189.6*KFC!$B$23*1.02*1.2+KFC!$C$23)*KFC!$C$5</f>
        <v>232.07039999999998</v>
      </c>
    </row>
    <row r="104" spans="1:34">
      <c r="A104" s="1781"/>
      <c r="B104" s="392">
        <v>3.9</v>
      </c>
      <c r="C104" s="303">
        <f>(92.3*KFC!$B$23*1.02*1.2+KFC!$C$23)*KFC!$C$5</f>
        <v>112.9752</v>
      </c>
      <c r="D104" s="300">
        <f>(95.5*KFC!$B$23*1.02*1.2+KFC!$C$23)*KFC!$C$5</f>
        <v>116.892</v>
      </c>
      <c r="E104" s="300">
        <f>(98.7*KFC!$B$23*1.02*1.2+KFC!$C$23)*KFC!$C$5</f>
        <v>120.80880000000001</v>
      </c>
      <c r="F104" s="300">
        <f>(101.9*KFC!$B$23*1.02*1.2+KFC!$C$23)*KFC!$C$5</f>
        <v>124.7256</v>
      </c>
      <c r="G104" s="300">
        <f>(105.1*KFC!$B$23*1.02*1.2+KFC!$C$23)*KFC!$C$5</f>
        <v>128.64239999999998</v>
      </c>
      <c r="H104" s="300">
        <f>(108.3*KFC!$B$23*1.02*1.2+KFC!$C$23)*KFC!$C$5</f>
        <v>132.55919999999998</v>
      </c>
      <c r="I104" s="300">
        <f>(111.5*KFC!$B$23*1.02*1.2+KFC!$C$23)*KFC!$C$5</f>
        <v>136.476</v>
      </c>
      <c r="J104" s="300">
        <f>(114.8*KFC!$B$23*1.02*1.2+KFC!$C$23)*KFC!$C$5</f>
        <v>140.51519999999999</v>
      </c>
      <c r="K104" s="300">
        <f>(118*KFC!$B$23*1.02*1.2+KFC!$C$23)*KFC!$C$5</f>
        <v>144.43199999999999</v>
      </c>
      <c r="L104" s="300">
        <f>(121.2*KFC!$B$23*1.02*1.2+KFC!$C$23)*KFC!$C$5</f>
        <v>148.34880000000001</v>
      </c>
      <c r="M104" s="300">
        <f>(124.4*KFC!$B$23*1.02*1.2+KFC!$C$23)*KFC!$C$5</f>
        <v>152.26560000000001</v>
      </c>
      <c r="N104" s="300">
        <f>(127.6*KFC!$B$23*1.02*1.2+KFC!$C$23)*KFC!$C$5</f>
        <v>156.18239999999997</v>
      </c>
      <c r="O104" s="300">
        <f>(130.8*KFC!$B$23*1.02*1.2+KFC!$C$23)*KFC!$C$5</f>
        <v>160.09920000000002</v>
      </c>
      <c r="P104" s="300">
        <f>(134*KFC!$B$23*1.02*1.2+KFC!$C$23)*KFC!$C$5</f>
        <v>164.01599999999999</v>
      </c>
      <c r="Q104" s="300">
        <f>(137.2*KFC!$B$23*1.02*1.2+KFC!$C$23)*KFC!$C$5</f>
        <v>167.93279999999999</v>
      </c>
      <c r="R104" s="300">
        <f>(140.4*KFC!$B$23*1.02*1.2+KFC!$C$23)*KFC!$C$5</f>
        <v>171.84959999999998</v>
      </c>
      <c r="S104" s="300">
        <f>(143.6*KFC!$B$23*1.02*1.2+KFC!$C$23)*KFC!$C$5</f>
        <v>175.7664</v>
      </c>
      <c r="T104" s="300">
        <f>(146.8*KFC!$B$23*1.02*1.2+KFC!$C$23)*KFC!$C$5</f>
        <v>179.68320000000003</v>
      </c>
      <c r="U104" s="300">
        <f>(150.1*KFC!$B$23*1.02*1.2+KFC!$C$23)*KFC!$C$5</f>
        <v>183.72239999999999</v>
      </c>
      <c r="V104" s="300">
        <f>(153.3*KFC!$B$23*1.02*1.2+KFC!$C$23)*KFC!$C$5</f>
        <v>187.63920000000002</v>
      </c>
      <c r="W104" s="300">
        <f>(156.5*KFC!$B$23*1.02*1.2+KFC!$C$23)*KFC!$C$5</f>
        <v>191.55599999999998</v>
      </c>
      <c r="X104" s="300">
        <f>(159.7*KFC!$B$23*1.02*1.2+KFC!$C$23)*KFC!$C$5</f>
        <v>195.47280000000001</v>
      </c>
      <c r="Y104" s="300">
        <f>(162.9*KFC!$B$23*1.02*1.2+KFC!$C$23)*KFC!$C$5</f>
        <v>199.3896</v>
      </c>
      <c r="Z104" s="300">
        <f>(166.1*KFC!$B$23*1.02*1.2+KFC!$C$23)*KFC!$C$5</f>
        <v>203.3064</v>
      </c>
      <c r="AA104" s="300">
        <f>(169.3*KFC!$B$23*1.02*1.2+KFC!$C$23)*KFC!$C$5</f>
        <v>207.22319999999999</v>
      </c>
      <c r="AB104" s="300">
        <f>(172.5*KFC!$B$23*1.02*1.2+KFC!$C$23)*KFC!$C$5</f>
        <v>211.14000000000001</v>
      </c>
      <c r="AC104" s="300">
        <f>(175.7*KFC!$B$23*1.02*1.2+KFC!$C$23)*KFC!$C$5</f>
        <v>215.05679999999998</v>
      </c>
      <c r="AD104" s="300">
        <f>(178.9*KFC!$B$23*1.02*1.2+KFC!$C$23)*KFC!$C$5</f>
        <v>218.9736</v>
      </c>
      <c r="AE104" s="300">
        <f>(182.2*KFC!$B$23*1.02*1.2+KFC!$C$23)*KFC!$C$5</f>
        <v>223.0128</v>
      </c>
      <c r="AF104" s="300">
        <f>(185.4*KFC!$B$23*1.02*1.2+KFC!$C$23)*KFC!$C$5</f>
        <v>226.92959999999999</v>
      </c>
      <c r="AG104" s="300">
        <f>(188.6*KFC!$B$23*1.02*1.2+KFC!$C$23)*KFC!$C$5</f>
        <v>230.84639999999996</v>
      </c>
      <c r="AH104" s="304">
        <f>(191.8*KFC!$B$23*1.02*1.2+KFC!$C$23)*KFC!$C$5</f>
        <v>234.76320000000001</v>
      </c>
    </row>
    <row r="105" spans="1:34">
      <c r="A105" s="1781"/>
      <c r="B105" s="392">
        <v>4</v>
      </c>
      <c r="C105" s="303">
        <f>(92.8*KFC!$B$23*1.02*1.2+KFC!$C$23)*KFC!$C$5</f>
        <v>113.58719999999998</v>
      </c>
      <c r="D105" s="300">
        <f>(96.1*KFC!$B$23*1.02*1.2+KFC!$C$23)*KFC!$C$5</f>
        <v>117.62639999999999</v>
      </c>
      <c r="E105" s="300">
        <f>(99.4*KFC!$B$23*1.02*1.2+KFC!$C$23)*KFC!$C$5</f>
        <v>121.6656</v>
      </c>
      <c r="F105" s="300">
        <f>(102.6*KFC!$B$23*1.02*1.2+KFC!$C$23)*KFC!$C$5</f>
        <v>125.58239999999999</v>
      </c>
      <c r="G105" s="300">
        <f>(105.9*KFC!$B$23*1.02*1.2+KFC!$C$23)*KFC!$C$5</f>
        <v>129.6216</v>
      </c>
      <c r="H105" s="300">
        <f>(109.2*KFC!$B$23*1.02*1.2+KFC!$C$23)*KFC!$C$5</f>
        <v>133.66079999999999</v>
      </c>
      <c r="I105" s="300">
        <f>(112.4*KFC!$B$23*1.02*1.2+KFC!$C$23)*KFC!$C$5</f>
        <v>137.57760000000002</v>
      </c>
      <c r="J105" s="300">
        <f>(115.7*KFC!$B$23*1.02*1.2+KFC!$C$23)*KFC!$C$5</f>
        <v>141.61680000000001</v>
      </c>
      <c r="K105" s="300">
        <f>(118.9*KFC!$B$23*1.02*1.2+KFC!$C$23)*KFC!$C$5</f>
        <v>145.53360000000001</v>
      </c>
      <c r="L105" s="300">
        <f>(122.2*KFC!$B$23*1.02*1.2+KFC!$C$23)*KFC!$C$5</f>
        <v>149.5728</v>
      </c>
      <c r="M105" s="300">
        <f>(125.5*KFC!$B$23*1.02*1.2+KFC!$C$23)*KFC!$C$5</f>
        <v>153.61199999999999</v>
      </c>
      <c r="N105" s="300">
        <f>(128.7*KFC!$B$23*1.02*1.2+KFC!$C$23)*KFC!$C$5</f>
        <v>157.52879999999999</v>
      </c>
      <c r="O105" s="300">
        <f>(132*KFC!$B$23*1.02*1.2+KFC!$C$23)*KFC!$C$5</f>
        <v>161.56800000000001</v>
      </c>
      <c r="P105" s="300">
        <f>(135.3*KFC!$B$23*1.02*1.2+KFC!$C$23)*KFC!$C$5</f>
        <v>165.60720000000001</v>
      </c>
      <c r="Q105" s="300">
        <f>(138.5*KFC!$B$23*1.02*1.2+KFC!$C$23)*KFC!$C$5</f>
        <v>169.524</v>
      </c>
      <c r="R105" s="300">
        <f>(141.8*KFC!$B$23*1.02*1.2+KFC!$C$23)*KFC!$C$5</f>
        <v>173.56320000000002</v>
      </c>
      <c r="S105" s="300">
        <f>(145.1*KFC!$B$23*1.02*1.2+KFC!$C$23)*KFC!$C$5</f>
        <v>177.60240000000002</v>
      </c>
      <c r="T105" s="300">
        <f>(148.3*KFC!$B$23*1.02*1.2+KFC!$C$23)*KFC!$C$5</f>
        <v>181.51920000000001</v>
      </c>
      <c r="U105" s="300">
        <f>(151.6*KFC!$B$23*1.02*1.2+KFC!$C$23)*KFC!$C$5</f>
        <v>185.55840000000001</v>
      </c>
      <c r="V105" s="300">
        <f>(154.8*KFC!$B$23*1.02*1.2+KFC!$C$23)*KFC!$C$5</f>
        <v>189.4752</v>
      </c>
      <c r="W105" s="300">
        <f>(158.1*KFC!$B$23*1.02*1.2+KFC!$C$23)*KFC!$C$5</f>
        <v>193.51439999999999</v>
      </c>
      <c r="X105" s="300">
        <f>(161.4*KFC!$B$23*1.02*1.2+KFC!$C$23)*KFC!$C$5</f>
        <v>197.55360000000002</v>
      </c>
      <c r="Y105" s="300">
        <f>(164.6*KFC!$B$23*1.02*1.2+KFC!$C$23)*KFC!$C$5</f>
        <v>201.47039999999998</v>
      </c>
      <c r="Z105" s="300">
        <f>(167.9*KFC!$B$23*1.02*1.2+KFC!$C$23)*KFC!$C$5</f>
        <v>205.50960000000001</v>
      </c>
      <c r="AA105" s="300">
        <f>(171.2*KFC!$B$23*1.02*1.2+KFC!$C$23)*KFC!$C$5</f>
        <v>209.5488</v>
      </c>
      <c r="AB105" s="300">
        <f>(174.4*KFC!$B$23*1.02*1.2+KFC!$C$23)*KFC!$C$5</f>
        <v>213.46559999999999</v>
      </c>
      <c r="AC105" s="300">
        <f>(177.7*KFC!$B$23*1.02*1.2+KFC!$C$23)*KFC!$C$5</f>
        <v>217.50479999999999</v>
      </c>
      <c r="AD105" s="300">
        <f>(181*KFC!$B$23*1.02*1.2+KFC!$C$23)*KFC!$C$5</f>
        <v>221.54400000000001</v>
      </c>
      <c r="AE105" s="300">
        <f>(184.2*KFC!$B$23*1.02*1.2+KFC!$C$23)*KFC!$C$5</f>
        <v>225.46079999999998</v>
      </c>
      <c r="AF105" s="300">
        <f>(187.5*KFC!$B$23*1.02*1.2+KFC!$C$23)*KFC!$C$5</f>
        <v>229.5</v>
      </c>
      <c r="AG105" s="300">
        <f>(190.7*KFC!$B$23*1.02*1.2+KFC!$C$23)*KFC!$C$5</f>
        <v>233.41679999999997</v>
      </c>
      <c r="AH105" s="304">
        <f>(194*KFC!$B$23*1.02*1.2+KFC!$C$23)*KFC!$C$5</f>
        <v>237.45599999999999</v>
      </c>
    </row>
    <row r="106" spans="1:34">
      <c r="A106" s="1781"/>
      <c r="B106" s="392">
        <v>4.0999999999999996</v>
      </c>
      <c r="C106" s="303">
        <f>(93.4*KFC!$B$23*1.02*1.2+KFC!$C$23)*KFC!$C$5</f>
        <v>114.3216</v>
      </c>
      <c r="D106" s="300">
        <f>(96.7*KFC!$B$23*1.02*1.2+KFC!$C$23)*KFC!$C$5</f>
        <v>118.3608</v>
      </c>
      <c r="E106" s="300">
        <f>(100*KFC!$B$23*1.02*1.2+KFC!$C$23)*KFC!$C$5</f>
        <v>122.39999999999999</v>
      </c>
      <c r="F106" s="300">
        <f>(103.3*KFC!$B$23*1.02*1.2+KFC!$C$23)*KFC!$C$5</f>
        <v>126.4392</v>
      </c>
      <c r="G106" s="300">
        <f>(106.7*KFC!$B$23*1.02*1.2+KFC!$C$23)*KFC!$C$5</f>
        <v>130.60079999999999</v>
      </c>
      <c r="H106" s="300">
        <f>(110*KFC!$B$23*1.02*1.2+KFC!$C$23)*KFC!$C$5</f>
        <v>134.63999999999999</v>
      </c>
      <c r="I106" s="300">
        <f>(113.3*KFC!$B$23*1.02*1.2+KFC!$C$23)*KFC!$C$5</f>
        <v>138.67920000000001</v>
      </c>
      <c r="J106" s="300">
        <f>(116.6*KFC!$B$23*1.02*1.2+KFC!$C$23)*KFC!$C$5</f>
        <v>142.7184</v>
      </c>
      <c r="K106" s="300">
        <f>(119.9*KFC!$B$23*1.02*1.2+KFC!$C$23)*KFC!$C$5</f>
        <v>146.7576</v>
      </c>
      <c r="L106" s="300">
        <f>(123.3*KFC!$B$23*1.02*1.2+KFC!$C$23)*KFC!$C$5</f>
        <v>150.91919999999999</v>
      </c>
      <c r="M106" s="300">
        <f>(126.6*KFC!$B$23*1.02*1.2+KFC!$C$23)*KFC!$C$5</f>
        <v>154.95840000000001</v>
      </c>
      <c r="N106" s="300">
        <f>(129.9*KFC!$B$23*1.02*1.2+KFC!$C$23)*KFC!$C$5</f>
        <v>158.99760000000001</v>
      </c>
      <c r="O106" s="300">
        <f>(133.2*KFC!$B$23*1.02*1.2+KFC!$C$23)*KFC!$C$5</f>
        <v>163.0368</v>
      </c>
      <c r="P106" s="300">
        <f>(136.5*KFC!$B$23*1.02*1.2+KFC!$C$23)*KFC!$C$5</f>
        <v>167.07599999999999</v>
      </c>
      <c r="Q106" s="300">
        <f>(139.8*KFC!$B$23*1.02*1.2+KFC!$C$23)*KFC!$C$5</f>
        <v>171.11519999999999</v>
      </c>
      <c r="R106" s="300">
        <f>(143.2*KFC!$B$23*1.02*1.2+KFC!$C$23)*KFC!$C$5</f>
        <v>175.27679999999998</v>
      </c>
      <c r="S106" s="300">
        <f>(146.5*KFC!$B$23*1.02*1.2+KFC!$C$23)*KFC!$C$5</f>
        <v>179.316</v>
      </c>
      <c r="T106" s="300">
        <f>(149.8*KFC!$B$23*1.02*1.2+KFC!$C$23)*KFC!$C$5</f>
        <v>183.35520000000002</v>
      </c>
      <c r="U106" s="300">
        <f>(153.1*KFC!$B$23*1.02*1.2+KFC!$C$23)*KFC!$C$5</f>
        <v>187.39439999999999</v>
      </c>
      <c r="V106" s="300">
        <f>(156.4*KFC!$B$23*1.02*1.2+KFC!$C$23)*KFC!$C$5</f>
        <v>191.43360000000001</v>
      </c>
      <c r="W106" s="300">
        <f>(159.7*KFC!$B$23*1.02*1.2+KFC!$C$23)*KFC!$C$5</f>
        <v>195.47280000000001</v>
      </c>
      <c r="X106" s="300">
        <f>(163.1*KFC!$B$23*1.02*1.2+KFC!$C$23)*KFC!$C$5</f>
        <v>199.6344</v>
      </c>
      <c r="Y106" s="300">
        <f>(166.4*KFC!$B$23*1.02*1.2+KFC!$C$23)*KFC!$C$5</f>
        <v>203.67359999999999</v>
      </c>
      <c r="Z106" s="300">
        <f>(169.7*KFC!$B$23*1.02*1.2+KFC!$C$23)*KFC!$C$5</f>
        <v>207.71279999999999</v>
      </c>
      <c r="AA106" s="300">
        <f>(173*KFC!$B$23*1.02*1.2+KFC!$C$23)*KFC!$C$5</f>
        <v>211.75200000000001</v>
      </c>
      <c r="AB106" s="300">
        <f>(176.3*KFC!$B$23*1.02*1.2+KFC!$C$23)*KFC!$C$5</f>
        <v>215.79120000000003</v>
      </c>
      <c r="AC106" s="300">
        <f>(179.6*KFC!$B$23*1.02*1.2+KFC!$C$23)*KFC!$C$5</f>
        <v>219.8304</v>
      </c>
      <c r="AD106" s="300">
        <f>(183*KFC!$B$23*1.02*1.2+KFC!$C$23)*KFC!$C$5</f>
        <v>223.99199999999999</v>
      </c>
      <c r="AE106" s="300">
        <f>(186.3*KFC!$B$23*1.02*1.2+KFC!$C$23)*KFC!$C$5</f>
        <v>228.03120000000001</v>
      </c>
      <c r="AF106" s="300">
        <f>(189.6*KFC!$B$23*1.02*1.2+KFC!$C$23)*KFC!$C$5</f>
        <v>232.07039999999998</v>
      </c>
      <c r="AG106" s="300">
        <f>(192.9*KFC!$B$23*1.02*1.2+KFC!$C$23)*KFC!$C$5</f>
        <v>236.1096</v>
      </c>
      <c r="AH106" s="304">
        <f>(196.2*KFC!$B$23*1.02*1.2+KFC!$C$23)*KFC!$C$5</f>
        <v>240.14879999999999</v>
      </c>
    </row>
    <row r="107" spans="1:34">
      <c r="A107" s="1781"/>
      <c r="B107" s="392">
        <v>4.2</v>
      </c>
      <c r="C107" s="303">
        <f>(93.9*KFC!$B$23*1.02*1.2+KFC!$C$23)*KFC!$C$5</f>
        <v>114.9336</v>
      </c>
      <c r="D107" s="300">
        <f>(97.3*KFC!$B$23*1.02*1.2+KFC!$C$23)*KFC!$C$5</f>
        <v>119.09519999999999</v>
      </c>
      <c r="E107" s="300">
        <f>(100.7*KFC!$B$23*1.02*1.2+KFC!$C$23)*KFC!$C$5</f>
        <v>123.2568</v>
      </c>
      <c r="F107" s="300">
        <f>(104.1*KFC!$B$23*1.02*1.2+KFC!$C$23)*KFC!$C$5</f>
        <v>127.41839999999999</v>
      </c>
      <c r="G107" s="300">
        <f>(107.4*KFC!$B$23*1.02*1.2+KFC!$C$23)*KFC!$C$5</f>
        <v>131.45759999999999</v>
      </c>
      <c r="H107" s="300">
        <f>(110.8*KFC!$B$23*1.02*1.2+KFC!$C$23)*KFC!$C$5</f>
        <v>135.61920000000001</v>
      </c>
      <c r="I107" s="300">
        <f>(114.2*KFC!$B$23*1.02*1.2+KFC!$C$23)*KFC!$C$5</f>
        <v>139.7808</v>
      </c>
      <c r="J107" s="300">
        <f>(117.5*KFC!$B$23*1.02*1.2+KFC!$C$23)*KFC!$C$5</f>
        <v>143.82</v>
      </c>
      <c r="K107" s="300">
        <f>(120.9*KFC!$B$23*1.02*1.2+KFC!$C$23)*KFC!$C$5</f>
        <v>147.98160000000001</v>
      </c>
      <c r="L107" s="300">
        <f>(124.3*KFC!$B$23*1.02*1.2+KFC!$C$23)*KFC!$C$5</f>
        <v>152.14320000000001</v>
      </c>
      <c r="M107" s="300">
        <f>(127.7*KFC!$B$23*1.02*1.2+KFC!$C$23)*KFC!$C$5</f>
        <v>156.30480000000003</v>
      </c>
      <c r="N107" s="300">
        <f>(131*KFC!$B$23*1.02*1.2+KFC!$C$23)*KFC!$C$5</f>
        <v>160.34399999999999</v>
      </c>
      <c r="O107" s="300">
        <f>(134.4*KFC!$B$23*1.02*1.2+KFC!$C$23)*KFC!$C$5</f>
        <v>164.50560000000002</v>
      </c>
      <c r="P107" s="300">
        <f>(137.8*KFC!$B$23*1.02*1.2+KFC!$C$23)*KFC!$C$5</f>
        <v>168.66720000000001</v>
      </c>
      <c r="Q107" s="300">
        <f>(141.1*KFC!$B$23*1.02*1.2+KFC!$C$23)*KFC!$C$5</f>
        <v>172.7064</v>
      </c>
      <c r="R107" s="300">
        <f>(144.5*KFC!$B$23*1.02*1.2+KFC!$C$23)*KFC!$C$5</f>
        <v>176.86800000000002</v>
      </c>
      <c r="S107" s="300">
        <f>(147.9*KFC!$B$23*1.02*1.2+KFC!$C$23)*KFC!$C$5</f>
        <v>181.02959999999999</v>
      </c>
      <c r="T107" s="300">
        <f>(151.3*KFC!$B$23*1.02*1.2+KFC!$C$23)*KFC!$C$5</f>
        <v>185.19120000000001</v>
      </c>
      <c r="U107" s="300">
        <f>(154.6*KFC!$B$23*1.02*1.2+KFC!$C$23)*KFC!$C$5</f>
        <v>189.2304</v>
      </c>
      <c r="V107" s="300">
        <f>(158*KFC!$B$23*1.02*1.2+KFC!$C$23)*KFC!$C$5</f>
        <v>193.392</v>
      </c>
      <c r="W107" s="300">
        <f>(161.4*KFC!$B$23*1.02*1.2+KFC!$C$23)*KFC!$C$5</f>
        <v>197.55360000000002</v>
      </c>
      <c r="X107" s="300">
        <f>(164.7*KFC!$B$23*1.02*1.2+KFC!$C$23)*KFC!$C$5</f>
        <v>201.59279999999998</v>
      </c>
      <c r="Y107" s="300">
        <f>(168.1*KFC!$B$23*1.02*1.2+KFC!$C$23)*KFC!$C$5</f>
        <v>205.75439999999998</v>
      </c>
      <c r="Z107" s="300">
        <f>(171.5*KFC!$B$23*1.02*1.2+KFC!$C$23)*KFC!$C$5</f>
        <v>209.916</v>
      </c>
      <c r="AA107" s="300">
        <f>(174.9*KFC!$B$23*1.02*1.2+KFC!$C$23)*KFC!$C$5</f>
        <v>214.07759999999999</v>
      </c>
      <c r="AB107" s="300">
        <f>(178.2*KFC!$B$23*1.02*1.2+KFC!$C$23)*KFC!$C$5</f>
        <v>218.11679999999998</v>
      </c>
      <c r="AC107" s="300">
        <f>(181.6*KFC!$B$23*1.02*1.2+KFC!$C$23)*KFC!$C$5</f>
        <v>222.2784</v>
      </c>
      <c r="AD107" s="300">
        <f>(185*KFC!$B$23*1.02*1.2+KFC!$C$23)*KFC!$C$5</f>
        <v>226.44000000000003</v>
      </c>
      <c r="AE107" s="300">
        <f>(188.3*KFC!$B$23*1.02*1.2+KFC!$C$23)*KFC!$C$5</f>
        <v>230.47919999999999</v>
      </c>
      <c r="AF107" s="300">
        <f>(191.7*KFC!$B$23*1.02*1.2+KFC!$C$23)*KFC!$C$5</f>
        <v>234.64079999999998</v>
      </c>
      <c r="AG107" s="300">
        <f>(195.1*KFC!$B$23*1.02*1.2+KFC!$C$23)*KFC!$C$5</f>
        <v>238.80240000000001</v>
      </c>
      <c r="AH107" s="304">
        <f>(198.5*KFC!$B$23*1.02*1.2+KFC!$C$23)*KFC!$C$5</f>
        <v>242.964</v>
      </c>
    </row>
    <row r="108" spans="1:34">
      <c r="A108" s="1781"/>
      <c r="B108" s="392">
        <v>4.3</v>
      </c>
      <c r="C108" s="303">
        <f>(94.5*KFC!$B$23*1.02*1.2+KFC!$C$23)*KFC!$C$5</f>
        <v>115.66799999999999</v>
      </c>
      <c r="D108" s="300">
        <f>(97.9*KFC!$B$23*1.02*1.2+KFC!$C$23)*KFC!$C$5</f>
        <v>119.8296</v>
      </c>
      <c r="E108" s="300">
        <f>(101.4*KFC!$B$23*1.02*1.2+KFC!$C$23)*KFC!$C$5</f>
        <v>124.11360000000001</v>
      </c>
      <c r="F108" s="300">
        <f>(104.8*KFC!$B$23*1.02*1.2+KFC!$C$23)*KFC!$C$5</f>
        <v>128.27519999999998</v>
      </c>
      <c r="G108" s="300">
        <f>(108.2*KFC!$B$23*1.02*1.2+KFC!$C$23)*KFC!$C$5</f>
        <v>132.43680000000001</v>
      </c>
      <c r="H108" s="300">
        <f>(111.6*KFC!$B$23*1.02*1.2+KFC!$C$23)*KFC!$C$5</f>
        <v>136.5984</v>
      </c>
      <c r="I108" s="300">
        <f>(115.1*KFC!$B$23*1.02*1.2+KFC!$C$23)*KFC!$C$5</f>
        <v>140.88239999999999</v>
      </c>
      <c r="J108" s="300">
        <f>(118.5*KFC!$B$23*1.02*1.2+KFC!$C$23)*KFC!$C$5</f>
        <v>145.04400000000001</v>
      </c>
      <c r="K108" s="300">
        <f>(121.9*KFC!$B$23*1.02*1.2+KFC!$C$23)*KFC!$C$5</f>
        <v>149.2056</v>
      </c>
      <c r="L108" s="300">
        <f>(125.3*KFC!$B$23*1.02*1.2+KFC!$C$23)*KFC!$C$5</f>
        <v>153.3672</v>
      </c>
      <c r="M108" s="300">
        <f>(128.8*KFC!$B$23*1.02*1.2+KFC!$C$23)*KFC!$C$5</f>
        <v>157.65119999999999</v>
      </c>
      <c r="N108" s="300">
        <f>(132.2*KFC!$B$23*1.02*1.2+KFC!$C$23)*KFC!$C$5</f>
        <v>161.81279999999998</v>
      </c>
      <c r="O108" s="300">
        <f>(135.6*KFC!$B$23*1.02*1.2+KFC!$C$23)*KFC!$C$5</f>
        <v>165.97439999999997</v>
      </c>
      <c r="P108" s="300">
        <f>(139*KFC!$B$23*1.02*1.2+KFC!$C$23)*KFC!$C$5</f>
        <v>170.136</v>
      </c>
      <c r="Q108" s="300">
        <f>(142.5*KFC!$B$23*1.02*1.2+KFC!$C$23)*KFC!$C$5</f>
        <v>174.42</v>
      </c>
      <c r="R108" s="300">
        <f>(145.9*KFC!$B$23*1.02*1.2+KFC!$C$23)*KFC!$C$5</f>
        <v>178.58160000000001</v>
      </c>
      <c r="S108" s="300">
        <f>(149.3*KFC!$B$23*1.02*1.2+KFC!$C$23)*KFC!$C$5</f>
        <v>182.7432</v>
      </c>
      <c r="T108" s="300">
        <f>(152.7*KFC!$B$23*1.02*1.2+KFC!$C$23)*KFC!$C$5</f>
        <v>186.90479999999999</v>
      </c>
      <c r="U108" s="300">
        <f>(156.2*KFC!$B$23*1.02*1.2+KFC!$C$23)*KFC!$C$5</f>
        <v>191.18879999999999</v>
      </c>
      <c r="V108" s="300">
        <f>(159.6*KFC!$B$23*1.02*1.2+KFC!$C$23)*KFC!$C$5</f>
        <v>195.35040000000001</v>
      </c>
      <c r="W108" s="300">
        <f>(163*KFC!$B$23*1.02*1.2+KFC!$C$23)*KFC!$C$5</f>
        <v>199.51199999999997</v>
      </c>
      <c r="X108" s="300">
        <f>(166.4*KFC!$B$23*1.02*1.2+KFC!$C$23)*KFC!$C$5</f>
        <v>203.67359999999999</v>
      </c>
      <c r="Y108" s="300">
        <f>(169.9*KFC!$B$23*1.02*1.2+KFC!$C$23)*KFC!$C$5</f>
        <v>207.95759999999999</v>
      </c>
      <c r="Z108" s="300">
        <f>(173.3*KFC!$B$23*1.02*1.2+KFC!$C$23)*KFC!$C$5</f>
        <v>212.11920000000001</v>
      </c>
      <c r="AA108" s="300">
        <f>(176.7*KFC!$B$23*1.02*1.2+KFC!$C$23)*KFC!$C$5</f>
        <v>216.28079999999997</v>
      </c>
      <c r="AB108" s="300">
        <f>(180.1*KFC!$B$23*1.02*1.2+KFC!$C$23)*KFC!$C$5</f>
        <v>220.44239999999999</v>
      </c>
      <c r="AC108" s="300">
        <f>(183.6*KFC!$B$23*1.02*1.2+KFC!$C$23)*KFC!$C$5</f>
        <v>224.72639999999998</v>
      </c>
      <c r="AD108" s="300">
        <f>(187*KFC!$B$23*1.02*1.2+KFC!$C$23)*KFC!$C$5</f>
        <v>228.88800000000001</v>
      </c>
      <c r="AE108" s="300">
        <f>(190.4*KFC!$B$23*1.02*1.2+KFC!$C$23)*KFC!$C$5</f>
        <v>233.0496</v>
      </c>
      <c r="AF108" s="300">
        <f>(193.8*KFC!$B$23*1.02*1.2+KFC!$C$23)*KFC!$C$5</f>
        <v>237.21120000000002</v>
      </c>
      <c r="AG108" s="300">
        <f>(197.3*KFC!$B$23*1.02*1.2+KFC!$C$23)*KFC!$C$5</f>
        <v>241.49520000000001</v>
      </c>
      <c r="AH108" s="304">
        <f>(200.7*KFC!$B$23*1.02*1.2+KFC!$C$23)*KFC!$C$5</f>
        <v>245.65679999999998</v>
      </c>
    </row>
    <row r="109" spans="1:34">
      <c r="A109" s="1781"/>
      <c r="B109" s="392">
        <v>4.4000000000000004</v>
      </c>
      <c r="C109" s="303">
        <f>(95.1*KFC!$B$23*1.02*1.2+KFC!$C$23)*KFC!$C$5</f>
        <v>116.40239999999999</v>
      </c>
      <c r="D109" s="300">
        <f>(98.5*KFC!$B$23*1.02*1.2+KFC!$C$23)*KFC!$C$5</f>
        <v>120.56399999999999</v>
      </c>
      <c r="E109" s="300">
        <f>(102*KFC!$B$23*1.02*1.2+KFC!$C$23)*KFC!$C$5</f>
        <v>124.848</v>
      </c>
      <c r="F109" s="300">
        <f>(105.5*KFC!$B$23*1.02*1.2+KFC!$C$23)*KFC!$C$5</f>
        <v>129.13200000000001</v>
      </c>
      <c r="G109" s="300">
        <f>(109*KFC!$B$23*1.02*1.2+KFC!$C$23)*KFC!$C$5</f>
        <v>133.416</v>
      </c>
      <c r="H109" s="300">
        <f>(112.5*KFC!$B$23*1.02*1.2+KFC!$C$23)*KFC!$C$5</f>
        <v>137.69999999999999</v>
      </c>
      <c r="I109" s="300">
        <f>(115.9*KFC!$B$23*1.02*1.2+KFC!$C$23)*KFC!$C$5</f>
        <v>141.86160000000001</v>
      </c>
      <c r="J109" s="300">
        <f>(119.4*KFC!$B$23*1.02*1.2+KFC!$C$23)*KFC!$C$5</f>
        <v>146.1456</v>
      </c>
      <c r="K109" s="300">
        <f>(122.9*KFC!$B$23*1.02*1.2+KFC!$C$23)*KFC!$C$5</f>
        <v>150.42959999999999</v>
      </c>
      <c r="L109" s="300">
        <f>(126.4*KFC!$B$23*1.02*1.2+KFC!$C$23)*KFC!$C$5</f>
        <v>154.71359999999999</v>
      </c>
      <c r="M109" s="300">
        <f>(129.8*KFC!$B$23*1.02*1.2+KFC!$C$23)*KFC!$C$5</f>
        <v>158.87520000000001</v>
      </c>
      <c r="N109" s="300">
        <f>(133.3*KFC!$B$23*1.02*1.2+KFC!$C$23)*KFC!$C$5</f>
        <v>163.1592</v>
      </c>
      <c r="O109" s="300">
        <f>(136.8*KFC!$B$23*1.02*1.2+KFC!$C$23)*KFC!$C$5</f>
        <v>167.44319999999999</v>
      </c>
      <c r="P109" s="300">
        <f>(140.3*KFC!$B$23*1.02*1.2+KFC!$C$23)*KFC!$C$5</f>
        <v>171.72720000000001</v>
      </c>
      <c r="Q109" s="300">
        <f>(143.8*KFC!$B$23*1.02*1.2+KFC!$C$23)*KFC!$C$5</f>
        <v>176.0112</v>
      </c>
      <c r="R109" s="300">
        <f>(147.2*KFC!$B$23*1.02*1.2+KFC!$C$23)*KFC!$C$5</f>
        <v>180.17279999999997</v>
      </c>
      <c r="S109" s="300">
        <f>(150.7*KFC!$B$23*1.02*1.2+KFC!$C$23)*KFC!$C$5</f>
        <v>184.45679999999999</v>
      </c>
      <c r="T109" s="300">
        <f>(154.2*KFC!$B$23*1.02*1.2+KFC!$C$23)*KFC!$C$5</f>
        <v>188.74079999999998</v>
      </c>
      <c r="U109" s="300">
        <f>(157.7*KFC!$B$23*1.02*1.2+KFC!$C$23)*KFC!$C$5</f>
        <v>193.02479999999997</v>
      </c>
      <c r="V109" s="300">
        <f>(161.2*KFC!$B$23*1.02*1.2+KFC!$C$23)*KFC!$C$5</f>
        <v>197.30879999999996</v>
      </c>
      <c r="W109" s="300">
        <f>(164.6*KFC!$B$23*1.02*1.2+KFC!$C$23)*KFC!$C$5</f>
        <v>201.47039999999998</v>
      </c>
      <c r="X109" s="300">
        <f>(168.1*KFC!$B$23*1.02*1.2+KFC!$C$23)*KFC!$C$5</f>
        <v>205.75439999999998</v>
      </c>
      <c r="Y109" s="300">
        <f>(171.6*KFC!$B$23*1.02*1.2+KFC!$C$23)*KFC!$C$5</f>
        <v>210.0384</v>
      </c>
      <c r="Z109" s="300">
        <f>(175.1*KFC!$B$23*1.02*1.2+KFC!$C$23)*KFC!$C$5</f>
        <v>214.32239999999999</v>
      </c>
      <c r="AA109" s="300">
        <f>(178.6*KFC!$B$23*1.02*1.2+KFC!$C$23)*KFC!$C$5</f>
        <v>218.60639999999998</v>
      </c>
      <c r="AB109" s="300">
        <f>(182*KFC!$B$23*1.02*1.2+KFC!$C$23)*KFC!$C$5</f>
        <v>222.768</v>
      </c>
      <c r="AC109" s="300">
        <f>(185.5*KFC!$B$23*1.02*1.2+KFC!$C$23)*KFC!$C$5</f>
        <v>227.05199999999999</v>
      </c>
      <c r="AD109" s="300">
        <f>(189*KFC!$B$23*1.02*1.2+KFC!$C$23)*KFC!$C$5</f>
        <v>231.33599999999998</v>
      </c>
      <c r="AE109" s="300">
        <f>(192.5*KFC!$B$23*1.02*1.2+KFC!$C$23)*KFC!$C$5</f>
        <v>235.61999999999998</v>
      </c>
      <c r="AF109" s="300">
        <f>(195.9*KFC!$B$23*1.02*1.2+KFC!$C$23)*KFC!$C$5</f>
        <v>239.7816</v>
      </c>
      <c r="AG109" s="300">
        <f>(199.4*KFC!$B$23*1.02*1.2+KFC!$C$23)*KFC!$C$5</f>
        <v>244.06559999999999</v>
      </c>
      <c r="AH109" s="304">
        <f>(202.9*KFC!$B$23*1.02*1.2+KFC!$C$23)*KFC!$C$5</f>
        <v>248.34959999999998</v>
      </c>
    </row>
    <row r="110" spans="1:34">
      <c r="A110" s="1781"/>
      <c r="B110" s="392">
        <v>4.5</v>
      </c>
      <c r="C110" s="303">
        <f>(95.6*KFC!$B$23*1.02*1.2+KFC!$C$23)*KFC!$C$5</f>
        <v>117.01439999999999</v>
      </c>
      <c r="D110" s="300">
        <f>(99.1*KFC!$B$23*1.02*1.2+KFC!$C$23)*KFC!$C$5</f>
        <v>121.29839999999999</v>
      </c>
      <c r="E110" s="300">
        <f>(102.7*KFC!$B$23*1.02*1.2+KFC!$C$23)*KFC!$C$5</f>
        <v>125.70480000000001</v>
      </c>
      <c r="F110" s="300">
        <f>(106.2*KFC!$B$23*1.02*1.2+KFC!$C$23)*KFC!$C$5</f>
        <v>129.9888</v>
      </c>
      <c r="G110" s="300">
        <f>(109.7*KFC!$B$23*1.02*1.2+KFC!$C$23)*KFC!$C$5</f>
        <v>134.27279999999999</v>
      </c>
      <c r="H110" s="300">
        <f>(113.3*KFC!$B$23*1.02*1.2+KFC!$C$23)*KFC!$C$5</f>
        <v>138.67920000000001</v>
      </c>
      <c r="I110" s="300">
        <f>(116.8*KFC!$B$23*1.02*1.2+KFC!$C$23)*KFC!$C$5</f>
        <v>142.9632</v>
      </c>
      <c r="J110" s="300">
        <f>(120.3*KFC!$B$23*1.02*1.2+KFC!$C$23)*KFC!$C$5</f>
        <v>147.24719999999999</v>
      </c>
      <c r="K110" s="300">
        <f>(123.9*KFC!$B$23*1.02*1.2+KFC!$C$23)*KFC!$C$5</f>
        <v>151.65360000000001</v>
      </c>
      <c r="L110" s="300">
        <f>(127.4*KFC!$B$23*1.02*1.2+KFC!$C$23)*KFC!$C$5</f>
        <v>155.9376</v>
      </c>
      <c r="M110" s="300">
        <f>(130.9*KFC!$B$23*1.02*1.2+KFC!$C$23)*KFC!$C$5</f>
        <v>160.2216</v>
      </c>
      <c r="N110" s="300">
        <f>(134.5*KFC!$B$23*1.02*1.2+KFC!$C$23)*KFC!$C$5</f>
        <v>164.62799999999999</v>
      </c>
      <c r="O110" s="300">
        <f>(138*KFC!$B$23*1.02*1.2+KFC!$C$23)*KFC!$C$5</f>
        <v>168.91199999999998</v>
      </c>
      <c r="P110" s="300">
        <f>(141.5*KFC!$B$23*1.02*1.2+KFC!$C$23)*KFC!$C$5</f>
        <v>173.196</v>
      </c>
      <c r="Q110" s="300">
        <f>(145.1*KFC!$B$23*1.02*1.2+KFC!$C$23)*KFC!$C$5</f>
        <v>177.60240000000002</v>
      </c>
      <c r="R110" s="300">
        <f>(148.6*KFC!$B$23*1.02*1.2+KFC!$C$23)*KFC!$C$5</f>
        <v>181.88640000000001</v>
      </c>
      <c r="S110" s="300">
        <f>(152.1*KFC!$B$23*1.02*1.2+KFC!$C$23)*KFC!$C$5</f>
        <v>186.1704</v>
      </c>
      <c r="T110" s="300">
        <f>(155.7*KFC!$B$23*1.02*1.2+KFC!$C$23)*KFC!$C$5</f>
        <v>190.57679999999999</v>
      </c>
      <c r="U110" s="300">
        <f>(159.2*KFC!$B$23*1.02*1.2+KFC!$C$23)*KFC!$C$5</f>
        <v>194.86079999999998</v>
      </c>
      <c r="V110" s="300">
        <f>(162.7*KFC!$B$23*1.02*1.2+KFC!$C$23)*KFC!$C$5</f>
        <v>199.14479999999998</v>
      </c>
      <c r="W110" s="300">
        <f>(166.3*KFC!$B$23*1.02*1.2+KFC!$C$23)*KFC!$C$5</f>
        <v>203.55119999999999</v>
      </c>
      <c r="X110" s="300">
        <f>(169.8*KFC!$B$23*1.02*1.2+KFC!$C$23)*KFC!$C$5</f>
        <v>207.83520000000001</v>
      </c>
      <c r="Y110" s="300">
        <f>(173.3*KFC!$B$23*1.02*1.2+KFC!$C$23)*KFC!$C$5</f>
        <v>212.11920000000001</v>
      </c>
      <c r="Z110" s="300">
        <f>(176.9*KFC!$B$23*1.02*1.2+KFC!$C$23)*KFC!$C$5</f>
        <v>216.52560000000003</v>
      </c>
      <c r="AA110" s="300">
        <f>(180.4*KFC!$B$23*1.02*1.2+KFC!$C$23)*KFC!$C$5</f>
        <v>220.80960000000002</v>
      </c>
      <c r="AB110" s="300">
        <f>(183.9*KFC!$B$23*1.02*1.2+KFC!$C$23)*KFC!$C$5</f>
        <v>225.09360000000001</v>
      </c>
      <c r="AC110" s="300">
        <f>(187.5*KFC!$B$23*1.02*1.2+KFC!$C$23)*KFC!$C$5</f>
        <v>229.5</v>
      </c>
      <c r="AD110" s="300">
        <f>(191*KFC!$B$23*1.02*1.2+KFC!$C$23)*KFC!$C$5</f>
        <v>233.78399999999999</v>
      </c>
      <c r="AE110" s="300">
        <f>(194.5*KFC!$B$23*1.02*1.2+KFC!$C$23)*KFC!$C$5</f>
        <v>238.06800000000001</v>
      </c>
      <c r="AF110" s="300">
        <f>(198.1*KFC!$B$23*1.02*1.2+KFC!$C$23)*KFC!$C$5</f>
        <v>242.4744</v>
      </c>
      <c r="AG110" s="300">
        <f>(201.6*KFC!$B$23*1.02*1.2+KFC!$C$23)*KFC!$C$5</f>
        <v>246.75839999999999</v>
      </c>
      <c r="AH110" s="304">
        <f>(205.1*KFC!$B$23*1.02*1.2+KFC!$C$23)*KFC!$C$5</f>
        <v>251.04239999999999</v>
      </c>
    </row>
    <row r="111" spans="1:34">
      <c r="A111" s="1781"/>
      <c r="B111" s="392">
        <v>4.5999999999999996</v>
      </c>
      <c r="C111" s="303">
        <f>(96.2*KFC!$B$23*1.02*1.2+KFC!$C$23)*KFC!$C$5</f>
        <v>117.7488</v>
      </c>
      <c r="D111" s="300">
        <f>(99.8*KFC!$B$23*1.02*1.2+KFC!$C$23)*KFC!$C$5</f>
        <v>122.15519999999998</v>
      </c>
      <c r="E111" s="300">
        <f>(103.3*KFC!$B$23*1.02*1.2+KFC!$C$23)*KFC!$C$5</f>
        <v>126.4392</v>
      </c>
      <c r="F111" s="300">
        <f>(106.9*KFC!$B$23*1.02*1.2+KFC!$C$23)*KFC!$C$5</f>
        <v>130.84560000000002</v>
      </c>
      <c r="G111" s="300">
        <f>(110.5*KFC!$B$23*1.02*1.2+KFC!$C$23)*KFC!$C$5</f>
        <v>135.25200000000001</v>
      </c>
      <c r="H111" s="300">
        <f>(114.1*KFC!$B$23*1.02*1.2+KFC!$C$23)*KFC!$C$5</f>
        <v>139.65839999999997</v>
      </c>
      <c r="I111" s="300">
        <f>(117.7*KFC!$B$23*1.02*1.2+KFC!$C$23)*KFC!$C$5</f>
        <v>144.06479999999999</v>
      </c>
      <c r="J111" s="300">
        <f>(121.3*KFC!$B$23*1.02*1.2+KFC!$C$23)*KFC!$C$5</f>
        <v>148.47119999999998</v>
      </c>
      <c r="K111" s="300">
        <f>(124.9*KFC!$B$23*1.02*1.2+KFC!$C$23)*KFC!$C$5</f>
        <v>152.8776</v>
      </c>
      <c r="L111" s="300">
        <f>(128.5*KFC!$B$23*1.02*1.2+KFC!$C$23)*KFC!$C$5</f>
        <v>157.28399999999999</v>
      </c>
      <c r="M111" s="300">
        <f>(132*KFC!$B$23*1.02*1.2+KFC!$C$23)*KFC!$C$5</f>
        <v>161.56800000000001</v>
      </c>
      <c r="N111" s="300">
        <f>(135.6*KFC!$B$23*1.02*1.2+KFC!$C$23)*KFC!$C$5</f>
        <v>165.97439999999997</v>
      </c>
      <c r="O111" s="300">
        <f>(139.2*KFC!$B$23*1.02*1.2+KFC!$C$23)*KFC!$C$5</f>
        <v>170.38079999999997</v>
      </c>
      <c r="P111" s="300">
        <f>(142.8*KFC!$B$23*1.02*1.2+KFC!$C$23)*KFC!$C$5</f>
        <v>174.78720000000001</v>
      </c>
      <c r="Q111" s="300">
        <f>(146.4*KFC!$B$23*1.02*1.2+KFC!$C$23)*KFC!$C$5</f>
        <v>179.1936</v>
      </c>
      <c r="R111" s="300">
        <f>(150*KFC!$B$23*1.02*1.2+KFC!$C$23)*KFC!$C$5</f>
        <v>183.6</v>
      </c>
      <c r="S111" s="300">
        <f>(153.6*KFC!$B$23*1.02*1.2+KFC!$C$23)*KFC!$C$5</f>
        <v>188.00639999999999</v>
      </c>
      <c r="T111" s="300">
        <f>(157.1*KFC!$B$23*1.02*1.2+KFC!$C$23)*KFC!$C$5</f>
        <v>192.29039999999998</v>
      </c>
      <c r="U111" s="300">
        <f>(160.7*KFC!$B$23*1.02*1.2+KFC!$C$23)*KFC!$C$5</f>
        <v>196.69679999999997</v>
      </c>
      <c r="V111" s="300">
        <f>(164.3*KFC!$B$23*1.02*1.2+KFC!$C$23)*KFC!$C$5</f>
        <v>201.10320000000002</v>
      </c>
      <c r="W111" s="300">
        <f>(167.9*KFC!$B$23*1.02*1.2+KFC!$C$23)*KFC!$C$5</f>
        <v>205.50960000000001</v>
      </c>
      <c r="X111" s="300">
        <f>(171.5*KFC!$B$23*1.02*1.2+KFC!$C$23)*KFC!$C$5</f>
        <v>209.916</v>
      </c>
      <c r="Y111" s="300">
        <f>(175.1*KFC!$B$23*1.02*1.2+KFC!$C$23)*KFC!$C$5</f>
        <v>214.32239999999999</v>
      </c>
      <c r="Z111" s="300">
        <f>(178.7*KFC!$B$23*1.02*1.2+KFC!$C$23)*KFC!$C$5</f>
        <v>218.72880000000001</v>
      </c>
      <c r="AA111" s="300">
        <f>(182.2*KFC!$B$23*1.02*1.2+KFC!$C$23)*KFC!$C$5</f>
        <v>223.0128</v>
      </c>
      <c r="AB111" s="300">
        <f>(185.8*KFC!$B$23*1.02*1.2+KFC!$C$23)*KFC!$C$5</f>
        <v>227.41920000000002</v>
      </c>
      <c r="AC111" s="300">
        <f>(189.4*KFC!$B$23*1.02*1.2+KFC!$C$23)*KFC!$C$5</f>
        <v>231.82560000000001</v>
      </c>
      <c r="AD111" s="300">
        <f>(193*KFC!$B$23*1.02*1.2+KFC!$C$23)*KFC!$C$5</f>
        <v>236.232</v>
      </c>
      <c r="AE111" s="300">
        <f>(196.6*KFC!$B$23*1.02*1.2+KFC!$C$23)*KFC!$C$5</f>
        <v>240.63839999999999</v>
      </c>
      <c r="AF111" s="300">
        <f>(200.2*KFC!$B$23*1.02*1.2+KFC!$C$23)*KFC!$C$5</f>
        <v>245.04479999999995</v>
      </c>
      <c r="AG111" s="300">
        <f>(203.8*KFC!$B$23*1.02*1.2+KFC!$C$23)*KFC!$C$5</f>
        <v>249.4512</v>
      </c>
      <c r="AH111" s="304">
        <f>(207.4*KFC!$B$23*1.02*1.2+KFC!$C$23)*KFC!$C$5</f>
        <v>253.85759999999999</v>
      </c>
    </row>
    <row r="112" spans="1:34">
      <c r="A112" s="1781"/>
      <c r="B112" s="392">
        <v>4.7</v>
      </c>
      <c r="C112" s="303">
        <f>(96.7*KFC!$B$23*1.02*1.2+KFC!$C$23)*KFC!$C$5</f>
        <v>118.3608</v>
      </c>
      <c r="D112" s="300">
        <f>(100.4*KFC!$B$23*1.02*1.2+KFC!$C$23)*KFC!$C$5</f>
        <v>122.8896</v>
      </c>
      <c r="E112" s="300">
        <f>(104*KFC!$B$23*1.02*1.2+KFC!$C$23)*KFC!$C$5</f>
        <v>127.29599999999999</v>
      </c>
      <c r="F112" s="300">
        <f>(107.6*KFC!$B$23*1.02*1.2+KFC!$C$23)*KFC!$C$5</f>
        <v>131.70239999999998</v>
      </c>
      <c r="G112" s="300">
        <f>(111.3*KFC!$B$23*1.02*1.2+KFC!$C$23)*KFC!$C$5</f>
        <v>136.2312</v>
      </c>
      <c r="H112" s="300">
        <f>(114.9*KFC!$B$23*1.02*1.2+KFC!$C$23)*KFC!$C$5</f>
        <v>140.63759999999999</v>
      </c>
      <c r="I112" s="300">
        <f>(118.6*KFC!$B$23*1.02*1.2+KFC!$C$23)*KFC!$C$5</f>
        <v>145.16639999999998</v>
      </c>
      <c r="J112" s="300">
        <f>(122.2*KFC!$B$23*1.02*1.2+KFC!$C$23)*KFC!$C$5</f>
        <v>149.5728</v>
      </c>
      <c r="K112" s="300">
        <f>(125.9*KFC!$B$23*1.02*1.2+KFC!$C$23)*KFC!$C$5</f>
        <v>154.10159999999999</v>
      </c>
      <c r="L112" s="300">
        <f>(129.5*KFC!$B$23*1.02*1.2+KFC!$C$23)*KFC!$C$5</f>
        <v>158.50800000000001</v>
      </c>
      <c r="M112" s="300">
        <f>(133.1*KFC!$B$23*1.02*1.2+KFC!$C$23)*KFC!$C$5</f>
        <v>162.9144</v>
      </c>
      <c r="N112" s="300">
        <f>(136.8*KFC!$B$23*1.02*1.2+KFC!$C$23)*KFC!$C$5</f>
        <v>167.44319999999999</v>
      </c>
      <c r="O112" s="300">
        <f>(140.4*KFC!$B$23*1.02*1.2+KFC!$C$23)*KFC!$C$5</f>
        <v>171.84959999999998</v>
      </c>
      <c r="P112" s="300">
        <f>(144.1*KFC!$B$23*1.02*1.2+KFC!$C$23)*KFC!$C$5</f>
        <v>176.3784</v>
      </c>
      <c r="Q112" s="300">
        <f>(147.7*KFC!$B$23*1.02*1.2+KFC!$C$23)*KFC!$C$5</f>
        <v>180.78479999999999</v>
      </c>
      <c r="R112" s="300">
        <f>(151.3*KFC!$B$23*1.02*1.2+KFC!$C$23)*KFC!$C$5</f>
        <v>185.19120000000001</v>
      </c>
      <c r="S112" s="300">
        <f>(155*KFC!$B$23*1.02*1.2+KFC!$C$23)*KFC!$C$5</f>
        <v>189.72</v>
      </c>
      <c r="T112" s="300">
        <f>(158.6*KFC!$B$23*1.02*1.2+KFC!$C$23)*KFC!$C$5</f>
        <v>194.12639999999999</v>
      </c>
      <c r="U112" s="300">
        <f>(162.3*KFC!$B$23*1.02*1.2+KFC!$C$23)*KFC!$C$5</f>
        <v>198.65520000000001</v>
      </c>
      <c r="V112" s="300">
        <f>(165.9*KFC!$B$23*1.02*1.2+KFC!$C$23)*KFC!$C$5</f>
        <v>203.06160000000003</v>
      </c>
      <c r="W112" s="300">
        <f>(169.5*KFC!$B$23*1.02*1.2+KFC!$C$23)*KFC!$C$5</f>
        <v>207.46800000000002</v>
      </c>
      <c r="X112" s="300">
        <f>(173.2*KFC!$B$23*1.02*1.2+KFC!$C$23)*KFC!$C$5</f>
        <v>211.99679999999998</v>
      </c>
      <c r="Y112" s="300">
        <f>(176.8*KFC!$B$23*1.02*1.2+KFC!$C$23)*KFC!$C$5</f>
        <v>216.4032</v>
      </c>
      <c r="Z112" s="300">
        <f>(180.5*KFC!$B$23*1.02*1.2+KFC!$C$23)*KFC!$C$5</f>
        <v>220.93200000000002</v>
      </c>
      <c r="AA112" s="300">
        <f>(184.1*KFC!$B$23*1.02*1.2+KFC!$C$23)*KFC!$C$5</f>
        <v>225.33840000000001</v>
      </c>
      <c r="AB112" s="300">
        <f>(187.7*KFC!$B$23*1.02*1.2+KFC!$C$23)*KFC!$C$5</f>
        <v>229.74479999999997</v>
      </c>
      <c r="AC112" s="300">
        <f>(191.4*KFC!$B$23*1.02*1.2+KFC!$C$23)*KFC!$C$5</f>
        <v>234.27359999999999</v>
      </c>
      <c r="AD112" s="300">
        <f>(195*KFC!$B$23*1.02*1.2+KFC!$C$23)*KFC!$C$5</f>
        <v>238.68</v>
      </c>
      <c r="AE112" s="300">
        <f>(198.7*KFC!$B$23*1.02*1.2+KFC!$C$23)*KFC!$C$5</f>
        <v>243.20879999999997</v>
      </c>
      <c r="AF112" s="300">
        <f>(202.3*KFC!$B$23*1.02*1.2+KFC!$C$23)*KFC!$C$5</f>
        <v>247.61519999999999</v>
      </c>
      <c r="AG112" s="300">
        <f>(205.9*KFC!$B$23*1.02*1.2+KFC!$C$23)*KFC!$C$5</f>
        <v>252.02159999999998</v>
      </c>
      <c r="AH112" s="304">
        <f>(209.6*KFC!$B$23*1.02*1.2+KFC!$C$23)*KFC!$C$5</f>
        <v>256.55039999999997</v>
      </c>
    </row>
    <row r="113" spans="1:34">
      <c r="A113" s="1781"/>
      <c r="B113" s="392">
        <v>4.8</v>
      </c>
      <c r="C113" s="303">
        <f>(97.3*KFC!$B$23*1.02*1.2+KFC!$C$23)*KFC!$C$5</f>
        <v>119.09519999999999</v>
      </c>
      <c r="D113" s="300">
        <f>(101*KFC!$B$23*1.02*1.2+KFC!$C$23)*KFC!$C$5</f>
        <v>123.624</v>
      </c>
      <c r="E113" s="300">
        <f>(104.7*KFC!$B$23*1.02*1.2+KFC!$C$23)*KFC!$C$5</f>
        <v>128.15280000000001</v>
      </c>
      <c r="F113" s="300">
        <f>(108.4*KFC!$B$23*1.02*1.2+KFC!$C$23)*KFC!$C$5</f>
        <v>132.6816</v>
      </c>
      <c r="G113" s="300">
        <f>(112.1*KFC!$B$23*1.02*1.2+KFC!$C$23)*KFC!$C$5</f>
        <v>137.21039999999999</v>
      </c>
      <c r="H113" s="300">
        <f>(115.8*KFC!$B$23*1.02*1.2+KFC!$C$23)*KFC!$C$5</f>
        <v>141.73919999999998</v>
      </c>
      <c r="I113" s="300">
        <f>(119.4*KFC!$B$23*1.02*1.2+KFC!$C$23)*KFC!$C$5</f>
        <v>146.1456</v>
      </c>
      <c r="J113" s="300">
        <f>(123.1*KFC!$B$23*1.02*1.2+KFC!$C$23)*KFC!$C$5</f>
        <v>150.67439999999999</v>
      </c>
      <c r="K113" s="300">
        <f>(126.8*KFC!$B$23*1.02*1.2+KFC!$C$23)*KFC!$C$5</f>
        <v>155.20320000000001</v>
      </c>
      <c r="L113" s="300">
        <f>(130.5*KFC!$B$23*1.02*1.2+KFC!$C$23)*KFC!$C$5</f>
        <v>159.732</v>
      </c>
      <c r="M113" s="300">
        <f>(134.2*KFC!$B$23*1.02*1.2+KFC!$C$23)*KFC!$C$5</f>
        <v>164.26079999999999</v>
      </c>
      <c r="N113" s="300">
        <f>(137.9*KFC!$B$23*1.02*1.2+KFC!$C$23)*KFC!$C$5</f>
        <v>168.78960000000001</v>
      </c>
      <c r="O113" s="300">
        <f>(141.6*KFC!$B$23*1.02*1.2+KFC!$C$23)*KFC!$C$5</f>
        <v>173.31839999999997</v>
      </c>
      <c r="P113" s="300">
        <f>(145.3*KFC!$B$23*1.02*1.2+KFC!$C$23)*KFC!$C$5</f>
        <v>177.84720000000002</v>
      </c>
      <c r="Q113" s="300">
        <f>(149*KFC!$B$23*1.02*1.2+KFC!$C$23)*KFC!$C$5</f>
        <v>182.37599999999998</v>
      </c>
      <c r="R113" s="300">
        <f>(152.7*KFC!$B$23*1.02*1.2+KFC!$C$23)*KFC!$C$5</f>
        <v>186.90479999999999</v>
      </c>
      <c r="S113" s="300">
        <f>(156.4*KFC!$B$23*1.02*1.2+KFC!$C$23)*KFC!$C$5</f>
        <v>191.43360000000001</v>
      </c>
      <c r="T113" s="300">
        <f>(160.1*KFC!$B$23*1.02*1.2+KFC!$C$23)*KFC!$C$5</f>
        <v>195.96239999999997</v>
      </c>
      <c r="U113" s="300">
        <f>(163.8*KFC!$B$23*1.02*1.2+KFC!$C$23)*KFC!$C$5</f>
        <v>200.49120000000002</v>
      </c>
      <c r="V113" s="300">
        <f>(167.5*KFC!$B$23*1.02*1.2+KFC!$C$23)*KFC!$C$5</f>
        <v>205.01999999999998</v>
      </c>
      <c r="W113" s="300">
        <f>(171.2*KFC!$B$23*1.02*1.2+KFC!$C$23)*KFC!$C$5</f>
        <v>209.5488</v>
      </c>
      <c r="X113" s="300">
        <f>(174.9*KFC!$B$23*1.02*1.2+KFC!$C$23)*KFC!$C$5</f>
        <v>214.07759999999999</v>
      </c>
      <c r="Y113" s="300">
        <f>(178.6*KFC!$B$23*1.02*1.2+KFC!$C$23)*KFC!$C$5</f>
        <v>218.60639999999998</v>
      </c>
      <c r="Z113" s="300">
        <f>(182.2*KFC!$B$23*1.02*1.2+KFC!$C$23)*KFC!$C$5</f>
        <v>223.0128</v>
      </c>
      <c r="AA113" s="300">
        <f>(185.9*KFC!$B$23*1.02*1.2+KFC!$C$23)*KFC!$C$5</f>
        <v>227.54159999999999</v>
      </c>
      <c r="AB113" s="300">
        <f>(189.6*KFC!$B$23*1.02*1.2+KFC!$C$23)*KFC!$C$5</f>
        <v>232.07039999999998</v>
      </c>
      <c r="AC113" s="300">
        <f>(193.3*KFC!$B$23*1.02*1.2+KFC!$C$23)*KFC!$C$5</f>
        <v>236.59920000000002</v>
      </c>
      <c r="AD113" s="300">
        <f>(197*KFC!$B$23*1.02*1.2+KFC!$C$23)*KFC!$C$5</f>
        <v>241.12799999999999</v>
      </c>
      <c r="AE113" s="300">
        <f>(200.7*KFC!$B$23*1.02*1.2+KFC!$C$23)*KFC!$C$5</f>
        <v>245.65679999999998</v>
      </c>
      <c r="AF113" s="300">
        <f>(204.4*KFC!$B$23*1.02*1.2+KFC!$C$23)*KFC!$C$5</f>
        <v>250.18559999999999</v>
      </c>
      <c r="AG113" s="300">
        <f>(208.1*KFC!$B$23*1.02*1.2+KFC!$C$23)*KFC!$C$5</f>
        <v>254.71439999999998</v>
      </c>
      <c r="AH113" s="304">
        <f>(211.8*KFC!$B$23*1.02*1.2+KFC!$C$23)*KFC!$C$5</f>
        <v>259.2432</v>
      </c>
    </row>
    <row r="114" spans="1:34">
      <c r="A114" s="1781"/>
      <c r="B114" s="392">
        <v>4.9000000000000004</v>
      </c>
      <c r="C114" s="303">
        <f>(97.8*KFC!$B$23*1.02*1.2+KFC!$C$23)*KFC!$C$5</f>
        <v>119.7072</v>
      </c>
      <c r="D114" s="300">
        <f>(101.6*KFC!$B$23*1.02*1.2+KFC!$C$23)*KFC!$C$5</f>
        <v>124.35839999999999</v>
      </c>
      <c r="E114" s="300">
        <f>(105.3*KFC!$B$23*1.02*1.2+KFC!$C$23)*KFC!$C$5</f>
        <v>128.88720000000001</v>
      </c>
      <c r="F114" s="300">
        <f>(109.1*KFC!$B$23*1.02*1.2+KFC!$C$23)*KFC!$C$5</f>
        <v>133.5384</v>
      </c>
      <c r="G114" s="300">
        <f>(112.8*KFC!$B$23*1.02*1.2+KFC!$C$23)*KFC!$C$5</f>
        <v>138.06719999999999</v>
      </c>
      <c r="H114" s="300">
        <f>(116.6*KFC!$B$23*1.02*1.2+KFC!$C$23)*KFC!$C$5</f>
        <v>142.7184</v>
      </c>
      <c r="I114" s="300">
        <f>(120.3*KFC!$B$23*1.02*1.2+KFC!$C$23)*KFC!$C$5</f>
        <v>147.24719999999999</v>
      </c>
      <c r="J114" s="300">
        <f>(124.1*KFC!$B$23*1.02*1.2+KFC!$C$23)*KFC!$C$5</f>
        <v>151.89839999999998</v>
      </c>
      <c r="K114" s="300">
        <f>(127.8*KFC!$B$23*1.02*1.2+KFC!$C$23)*KFC!$C$5</f>
        <v>156.4272</v>
      </c>
      <c r="L114" s="300">
        <f>(131.6*KFC!$B$23*1.02*1.2+KFC!$C$23)*KFC!$C$5</f>
        <v>161.07839999999999</v>
      </c>
      <c r="M114" s="300">
        <f>(135.3*KFC!$B$23*1.02*1.2+KFC!$C$23)*KFC!$C$5</f>
        <v>165.60720000000001</v>
      </c>
      <c r="N114" s="300">
        <f>(139.1*KFC!$B$23*1.02*1.2+KFC!$C$23)*KFC!$C$5</f>
        <v>170.25839999999999</v>
      </c>
      <c r="O114" s="300">
        <f>(142.8*KFC!$B$23*1.02*1.2+KFC!$C$23)*KFC!$C$5</f>
        <v>174.78720000000001</v>
      </c>
      <c r="P114" s="300">
        <f>(146.6*KFC!$B$23*1.02*1.2+KFC!$C$23)*KFC!$C$5</f>
        <v>179.4384</v>
      </c>
      <c r="Q114" s="300">
        <f>(150.3*KFC!$B$23*1.02*1.2+KFC!$C$23)*KFC!$C$5</f>
        <v>183.96720000000002</v>
      </c>
      <c r="R114" s="300">
        <f>(154.1*KFC!$B$23*1.02*1.2+KFC!$C$23)*KFC!$C$5</f>
        <v>188.61839999999998</v>
      </c>
      <c r="S114" s="300">
        <f>(157.8*KFC!$B$23*1.02*1.2+KFC!$C$23)*KFC!$C$5</f>
        <v>193.14720000000003</v>
      </c>
      <c r="T114" s="300">
        <f>(161.6*KFC!$B$23*1.02*1.2+KFC!$C$23)*KFC!$C$5</f>
        <v>197.79839999999999</v>
      </c>
      <c r="U114" s="300">
        <f>(165.3*KFC!$B$23*1.02*1.2+KFC!$C$23)*KFC!$C$5</f>
        <v>202.32720000000003</v>
      </c>
      <c r="V114" s="300">
        <f>(169.1*KFC!$B$23*1.02*1.2+KFC!$C$23)*KFC!$C$5</f>
        <v>206.97839999999999</v>
      </c>
      <c r="W114" s="300">
        <f>(172.8*KFC!$B$23*1.02*1.2+KFC!$C$23)*KFC!$C$5</f>
        <v>211.50720000000004</v>
      </c>
      <c r="X114" s="300">
        <f>(176.5*KFC!$B$23*1.02*1.2+KFC!$C$23)*KFC!$C$5</f>
        <v>216.036</v>
      </c>
      <c r="Y114" s="300">
        <f>(180.3*KFC!$B$23*1.02*1.2+KFC!$C$23)*KFC!$C$5</f>
        <v>220.68719999999999</v>
      </c>
      <c r="Z114" s="300">
        <f>(184*KFC!$B$23*1.02*1.2+KFC!$C$23)*KFC!$C$5</f>
        <v>225.21600000000001</v>
      </c>
      <c r="AA114" s="300">
        <f>(187.8*KFC!$B$23*1.02*1.2+KFC!$C$23)*KFC!$C$5</f>
        <v>229.8672</v>
      </c>
      <c r="AB114" s="300">
        <f>(191.5*KFC!$B$23*1.02*1.2+KFC!$C$23)*KFC!$C$5</f>
        <v>234.39600000000002</v>
      </c>
      <c r="AC114" s="300">
        <f>(195.3*KFC!$B$23*1.02*1.2+KFC!$C$23)*KFC!$C$5</f>
        <v>239.0472</v>
      </c>
      <c r="AD114" s="300">
        <f>(199*KFC!$B$23*1.02*1.2+KFC!$C$23)*KFC!$C$5</f>
        <v>243.57599999999996</v>
      </c>
      <c r="AE114" s="300">
        <f>(202.8*KFC!$B$23*1.02*1.2+KFC!$C$23)*KFC!$C$5</f>
        <v>248.22720000000001</v>
      </c>
      <c r="AF114" s="300">
        <f>(206.5*KFC!$B$23*1.02*1.2+KFC!$C$23)*KFC!$C$5</f>
        <v>252.75599999999997</v>
      </c>
      <c r="AG114" s="300">
        <f>(210.3*KFC!$B$23*1.02*1.2+KFC!$C$23)*KFC!$C$5</f>
        <v>257.40720000000005</v>
      </c>
      <c r="AH114" s="304">
        <f>(214*KFC!$B$23*1.02*1.2+KFC!$C$23)*KFC!$C$5</f>
        <v>261.93599999999998</v>
      </c>
    </row>
    <row r="115" spans="1:34">
      <c r="A115" s="1781"/>
      <c r="B115" s="392">
        <v>5</v>
      </c>
      <c r="C115" s="303">
        <f>(98.4*KFC!$B$23*1.02*1.2+KFC!$C$23)*KFC!$C$5</f>
        <v>120.44160000000001</v>
      </c>
      <c r="D115" s="300">
        <f>(102.2*KFC!$B$23*1.02*1.2+KFC!$C$23)*KFC!$C$5</f>
        <v>125.0928</v>
      </c>
      <c r="E115" s="300">
        <f>(106*KFC!$B$23*1.02*1.2+KFC!$C$23)*KFC!$C$5</f>
        <v>129.744</v>
      </c>
      <c r="F115" s="300">
        <f>(109.8*KFC!$B$23*1.02*1.2+KFC!$C$23)*KFC!$C$5</f>
        <v>134.39519999999999</v>
      </c>
      <c r="G115" s="300">
        <f>(113.6*KFC!$B$23*1.02*1.2+KFC!$C$23)*KFC!$C$5</f>
        <v>139.04640000000001</v>
      </c>
      <c r="H115" s="300">
        <f>(117.4*KFC!$B$23*1.02*1.2+KFC!$C$23)*KFC!$C$5</f>
        <v>143.69759999999999</v>
      </c>
      <c r="I115" s="300">
        <f>(121.2*KFC!$B$23*1.02*1.2+KFC!$C$23)*KFC!$C$5</f>
        <v>148.34880000000001</v>
      </c>
      <c r="J115" s="300">
        <f>(125*KFC!$B$23*1.02*1.2+KFC!$C$23)*KFC!$C$5</f>
        <v>153</v>
      </c>
      <c r="K115" s="300">
        <f>(128.8*KFC!$B$23*1.02*1.2+KFC!$C$23)*KFC!$C$5</f>
        <v>157.65119999999999</v>
      </c>
      <c r="L115" s="300">
        <f>(132.6*KFC!$B$23*1.02*1.2+KFC!$C$23)*KFC!$C$5</f>
        <v>162.30240000000001</v>
      </c>
      <c r="M115" s="300">
        <f>(136.4*KFC!$B$23*1.02*1.2+KFC!$C$23)*KFC!$C$5</f>
        <v>166.95360000000002</v>
      </c>
      <c r="N115" s="300">
        <f>(140.2*KFC!$B$23*1.02*1.2+KFC!$C$23)*KFC!$C$5</f>
        <v>171.60479999999998</v>
      </c>
      <c r="O115" s="300">
        <f>(144*KFC!$B$23*1.02*1.2+KFC!$C$23)*KFC!$C$5</f>
        <v>176.256</v>
      </c>
      <c r="P115" s="300">
        <f>(147.8*KFC!$B$23*1.02*1.2+KFC!$C$23)*KFC!$C$5</f>
        <v>180.90719999999999</v>
      </c>
      <c r="Q115" s="300">
        <f>(151.6*KFC!$B$23*1.02*1.2+KFC!$C$23)*KFC!$C$5</f>
        <v>185.55840000000001</v>
      </c>
      <c r="R115" s="300">
        <f>(155.4*KFC!$B$23*1.02*1.2+KFC!$C$23)*KFC!$C$5</f>
        <v>190.20959999999999</v>
      </c>
      <c r="S115" s="300">
        <f>(159.2*KFC!$B$23*1.02*1.2+KFC!$C$23)*KFC!$C$5</f>
        <v>194.86079999999998</v>
      </c>
      <c r="T115" s="300">
        <f>(163*KFC!$B$23*1.02*1.2+KFC!$C$23)*KFC!$C$5</f>
        <v>199.51199999999997</v>
      </c>
      <c r="U115" s="300">
        <f>(166.8*KFC!$B$23*1.02*1.2+KFC!$C$23)*KFC!$C$5</f>
        <v>204.16320000000002</v>
      </c>
      <c r="V115" s="300">
        <f>(170.6*KFC!$B$23*1.02*1.2+KFC!$C$23)*KFC!$C$5</f>
        <v>208.81440000000001</v>
      </c>
      <c r="W115" s="300">
        <f>(174.4*KFC!$B$23*1.02*1.2+KFC!$C$23)*KFC!$C$5</f>
        <v>213.46559999999999</v>
      </c>
      <c r="X115" s="300">
        <f>(178.2*KFC!$B$23*1.02*1.2+KFC!$C$23)*KFC!$C$5</f>
        <v>218.11679999999998</v>
      </c>
      <c r="Y115" s="300">
        <f>(182*KFC!$B$23*1.02*1.2+KFC!$C$23)*KFC!$C$5</f>
        <v>222.768</v>
      </c>
      <c r="Z115" s="300">
        <f>(185.8*KFC!$B$23*1.02*1.2+KFC!$C$23)*KFC!$C$5</f>
        <v>227.41920000000002</v>
      </c>
      <c r="AA115" s="300">
        <f>(189.6*KFC!$B$23*1.02*1.2+KFC!$C$23)*KFC!$C$5</f>
        <v>232.07039999999998</v>
      </c>
      <c r="AB115" s="300">
        <f>(193.4*KFC!$B$23*1.02*1.2+KFC!$C$23)*KFC!$C$5</f>
        <v>236.7216</v>
      </c>
      <c r="AC115" s="300">
        <f>(197.2*KFC!$B$23*1.02*1.2+KFC!$C$23)*KFC!$C$5</f>
        <v>241.37279999999998</v>
      </c>
      <c r="AD115" s="300">
        <f>(201*KFC!$B$23*1.02*1.2+KFC!$C$23)*KFC!$C$5</f>
        <v>246.024</v>
      </c>
      <c r="AE115" s="300">
        <f>(204.8*KFC!$B$23*1.02*1.2+KFC!$C$23)*KFC!$C$5</f>
        <v>250.67520000000002</v>
      </c>
      <c r="AF115" s="300">
        <f>(208.6*KFC!$B$23*1.02*1.2+KFC!$C$23)*KFC!$C$5</f>
        <v>255.32639999999998</v>
      </c>
      <c r="AG115" s="300">
        <f>(212.4*KFC!$B$23*1.02*1.2+KFC!$C$23)*KFC!$C$5</f>
        <v>259.9776</v>
      </c>
      <c r="AH115" s="304">
        <f>(216.2*KFC!$B$23*1.02*1.2+KFC!$C$23)*KFC!$C$5</f>
        <v>264.62880000000001</v>
      </c>
    </row>
    <row r="116" spans="1:34">
      <c r="A116" s="1781"/>
      <c r="B116" s="392">
        <v>5.0999999999999996</v>
      </c>
      <c r="C116" s="303">
        <f>(99*KFC!$B$23*1.02*1.2+KFC!$C$23)*KFC!$C$5</f>
        <v>121.176</v>
      </c>
      <c r="D116" s="300">
        <f>(102.8*KFC!$B$23*1.02*1.2+KFC!$C$23)*KFC!$C$5</f>
        <v>125.82719999999999</v>
      </c>
      <c r="E116" s="300">
        <f>(106.7*KFC!$B$23*1.02*1.2+KFC!$C$23)*KFC!$C$5</f>
        <v>130.60079999999999</v>
      </c>
      <c r="F116" s="300">
        <f>(110.5*KFC!$B$23*1.02*1.2+KFC!$C$23)*KFC!$C$5</f>
        <v>135.25200000000001</v>
      </c>
      <c r="G116" s="300">
        <f>(114.4*KFC!$B$23*1.02*1.2+KFC!$C$23)*KFC!$C$5</f>
        <v>140.0256</v>
      </c>
      <c r="H116" s="300">
        <f>(118.2*KFC!$B$23*1.02*1.2+KFC!$C$23)*KFC!$C$5</f>
        <v>144.67680000000001</v>
      </c>
      <c r="I116" s="300">
        <f>(122.1*KFC!$B$23*1.02*1.2+KFC!$C$23)*KFC!$C$5</f>
        <v>149.4504</v>
      </c>
      <c r="J116" s="300">
        <f>(125.9*KFC!$B$23*1.02*1.2+KFC!$C$23)*KFC!$C$5</f>
        <v>154.10159999999999</v>
      </c>
      <c r="K116" s="300">
        <f>(129.8*KFC!$B$23*1.02*1.2+KFC!$C$23)*KFC!$C$5</f>
        <v>158.87520000000001</v>
      </c>
      <c r="L116" s="300">
        <f>(133.7*KFC!$B$23*1.02*1.2+KFC!$C$23)*KFC!$C$5</f>
        <v>163.64879999999999</v>
      </c>
      <c r="M116" s="300">
        <f>(137.5*KFC!$B$23*1.02*1.2+KFC!$C$23)*KFC!$C$5</f>
        <v>168.29999999999998</v>
      </c>
      <c r="N116" s="300">
        <f>(141.4*KFC!$B$23*1.02*1.2+KFC!$C$23)*KFC!$C$5</f>
        <v>173.0736</v>
      </c>
      <c r="O116" s="300">
        <f>(145.2*KFC!$B$23*1.02*1.2+KFC!$C$23)*KFC!$C$5</f>
        <v>177.72479999999999</v>
      </c>
      <c r="P116" s="300">
        <f>(149.1*KFC!$B$23*1.02*1.2+KFC!$C$23)*KFC!$C$5</f>
        <v>182.49839999999998</v>
      </c>
      <c r="Q116" s="300">
        <f>(152.9*KFC!$B$23*1.02*1.2+KFC!$C$23)*KFC!$C$5</f>
        <v>187.14959999999999</v>
      </c>
      <c r="R116" s="300">
        <f>(156.8*KFC!$B$23*1.02*1.2+KFC!$C$23)*KFC!$C$5</f>
        <v>191.92320000000001</v>
      </c>
      <c r="S116" s="300">
        <f>(160.6*KFC!$B$23*1.02*1.2+KFC!$C$23)*KFC!$C$5</f>
        <v>196.57439999999997</v>
      </c>
      <c r="T116" s="300">
        <f>(164.5*KFC!$B$23*1.02*1.2+KFC!$C$23)*KFC!$C$5</f>
        <v>201.34799999999998</v>
      </c>
      <c r="U116" s="300">
        <f>(168.4*KFC!$B$23*1.02*1.2+KFC!$C$23)*KFC!$C$5</f>
        <v>206.1216</v>
      </c>
      <c r="V116" s="300">
        <f>(172.2*KFC!$B$23*1.02*1.2+KFC!$C$23)*KFC!$C$5</f>
        <v>210.77279999999999</v>
      </c>
      <c r="W116" s="300">
        <f>(176.1*KFC!$B$23*1.02*1.2+KFC!$C$23)*KFC!$C$5</f>
        <v>215.54639999999998</v>
      </c>
      <c r="X116" s="300">
        <f>(179.9*KFC!$B$23*1.02*1.2+KFC!$C$23)*KFC!$C$5</f>
        <v>220.19760000000002</v>
      </c>
      <c r="Y116" s="300">
        <f>(183.8*KFC!$B$23*1.02*1.2+KFC!$C$23)*KFC!$C$5</f>
        <v>224.97120000000004</v>
      </c>
      <c r="Z116" s="300">
        <f>(187.6*KFC!$B$23*1.02*1.2+KFC!$C$23)*KFC!$C$5</f>
        <v>229.6224</v>
      </c>
      <c r="AA116" s="300">
        <f>(191.5*KFC!$B$23*1.02*1.2+KFC!$C$23)*KFC!$C$5</f>
        <v>234.39600000000002</v>
      </c>
      <c r="AB116" s="300">
        <f>(195.3*KFC!$B$23*1.02*1.2+KFC!$C$23)*KFC!$C$5</f>
        <v>239.0472</v>
      </c>
      <c r="AC116" s="300">
        <f>(199.2*KFC!$B$23*1.02*1.2+KFC!$C$23)*KFC!$C$5</f>
        <v>243.82079999999999</v>
      </c>
      <c r="AD116" s="300">
        <f>(203.1*KFC!$B$23*1.02*1.2+KFC!$C$23)*KFC!$C$5</f>
        <v>248.59440000000001</v>
      </c>
      <c r="AE116" s="300">
        <f>(206.9*KFC!$B$23*1.02*1.2+KFC!$C$23)*KFC!$C$5</f>
        <v>253.2456</v>
      </c>
      <c r="AF116" s="300">
        <f>(210.8*KFC!$B$23*1.02*1.2+KFC!$C$23)*KFC!$C$5</f>
        <v>258.01920000000001</v>
      </c>
      <c r="AG116" s="300">
        <f>(214.6*KFC!$B$23*1.02*1.2+KFC!$C$23)*KFC!$C$5</f>
        <v>262.67039999999997</v>
      </c>
      <c r="AH116" s="304">
        <f>(218.5*KFC!$B$23*1.02*1.2+KFC!$C$23)*KFC!$C$5</f>
        <v>267.44400000000002</v>
      </c>
    </row>
    <row r="117" spans="1:34">
      <c r="A117" s="1781"/>
      <c r="B117" s="392">
        <v>5.2</v>
      </c>
      <c r="C117" s="303">
        <f>(99.5*KFC!$B$23*1.02*1.2+KFC!$C$23)*KFC!$C$5</f>
        <v>121.78799999999998</v>
      </c>
      <c r="D117" s="300">
        <f>(103.4*KFC!$B$23*1.02*1.2+KFC!$C$23)*KFC!$C$5</f>
        <v>126.5616</v>
      </c>
      <c r="E117" s="300">
        <f>(107.3*KFC!$B$23*1.02*1.2+KFC!$C$23)*KFC!$C$5</f>
        <v>131.33519999999999</v>
      </c>
      <c r="F117" s="300">
        <f>(111.2*KFC!$B$23*1.02*1.2+KFC!$C$23)*KFC!$C$5</f>
        <v>136.1088</v>
      </c>
      <c r="G117" s="300">
        <f>(115.1*KFC!$B$23*1.02*1.2+KFC!$C$23)*KFC!$C$5</f>
        <v>140.88239999999999</v>
      </c>
      <c r="H117" s="300">
        <f>(119.1*KFC!$B$23*1.02*1.2+KFC!$C$23)*KFC!$C$5</f>
        <v>145.7784</v>
      </c>
      <c r="I117" s="300">
        <f>(123*KFC!$B$23*1.02*1.2+KFC!$C$23)*KFC!$C$5</f>
        <v>150.55199999999999</v>
      </c>
      <c r="J117" s="300">
        <f>(126.9*KFC!$B$23*1.02*1.2+KFC!$C$23)*KFC!$C$5</f>
        <v>155.32560000000001</v>
      </c>
      <c r="K117" s="300">
        <f>(130.8*KFC!$B$23*1.02*1.2+KFC!$C$23)*KFC!$C$5</f>
        <v>160.09920000000002</v>
      </c>
      <c r="L117" s="300">
        <f>(134.7*KFC!$B$23*1.02*1.2+KFC!$C$23)*KFC!$C$5</f>
        <v>164.87279999999996</v>
      </c>
      <c r="M117" s="300">
        <f>(138.6*KFC!$B$23*1.02*1.2+KFC!$C$23)*KFC!$C$5</f>
        <v>169.64639999999997</v>
      </c>
      <c r="N117" s="300">
        <f>(142.5*KFC!$B$23*1.02*1.2+KFC!$C$23)*KFC!$C$5</f>
        <v>174.42</v>
      </c>
      <c r="O117" s="300">
        <f>(146.4*KFC!$B$23*1.02*1.2+KFC!$C$23)*KFC!$C$5</f>
        <v>179.1936</v>
      </c>
      <c r="P117" s="300">
        <f>(150.3*KFC!$B$23*1.02*1.2+KFC!$C$23)*KFC!$C$5</f>
        <v>183.96720000000002</v>
      </c>
      <c r="Q117" s="300">
        <f>(154.2*KFC!$B$23*1.02*1.2+KFC!$C$23)*KFC!$C$5</f>
        <v>188.74079999999998</v>
      </c>
      <c r="R117" s="300">
        <f>(158.1*KFC!$B$23*1.02*1.2+KFC!$C$23)*KFC!$C$5</f>
        <v>193.51439999999999</v>
      </c>
      <c r="S117" s="300">
        <f>(162.1*KFC!$B$23*1.02*1.2+KFC!$C$23)*KFC!$C$5</f>
        <v>198.41039999999998</v>
      </c>
      <c r="T117" s="300">
        <f>(166*KFC!$B$23*1.02*1.2+KFC!$C$23)*KFC!$C$5</f>
        <v>203.184</v>
      </c>
      <c r="U117" s="300">
        <f>(169.9*KFC!$B$23*1.02*1.2+KFC!$C$23)*KFC!$C$5</f>
        <v>207.95759999999999</v>
      </c>
      <c r="V117" s="300">
        <f>(173.8*KFC!$B$23*1.02*1.2+KFC!$C$23)*KFC!$C$5</f>
        <v>212.7312</v>
      </c>
      <c r="W117" s="300">
        <f>(177.7*KFC!$B$23*1.02*1.2+KFC!$C$23)*KFC!$C$5</f>
        <v>217.50479999999999</v>
      </c>
      <c r="X117" s="300">
        <f>(181.6*KFC!$B$23*1.02*1.2+KFC!$C$23)*KFC!$C$5</f>
        <v>222.2784</v>
      </c>
      <c r="Y117" s="300">
        <f>(185.5*KFC!$B$23*1.02*1.2+KFC!$C$23)*KFC!$C$5</f>
        <v>227.05199999999999</v>
      </c>
      <c r="Z117" s="300">
        <f>(189.4*KFC!$B$23*1.02*1.2+KFC!$C$23)*KFC!$C$5</f>
        <v>231.82560000000001</v>
      </c>
      <c r="AA117" s="300">
        <f>(193.3*KFC!$B$23*1.02*1.2+KFC!$C$23)*KFC!$C$5</f>
        <v>236.59920000000002</v>
      </c>
      <c r="AB117" s="300">
        <f>(197.2*KFC!$B$23*1.02*1.2+KFC!$C$23)*KFC!$C$5</f>
        <v>241.37279999999998</v>
      </c>
      <c r="AC117" s="300">
        <f>(201.1*KFC!$B$23*1.02*1.2+KFC!$C$23)*KFC!$C$5</f>
        <v>246.14639999999997</v>
      </c>
      <c r="AD117" s="300">
        <f>(205.1*KFC!$B$23*1.02*1.2+KFC!$C$23)*KFC!$C$5</f>
        <v>251.04239999999999</v>
      </c>
      <c r="AE117" s="300">
        <f>(209*KFC!$B$23*1.02*1.2+KFC!$C$23)*KFC!$C$5</f>
        <v>255.816</v>
      </c>
      <c r="AF117" s="300">
        <f>(212.9*KFC!$B$23*1.02*1.2+KFC!$C$23)*KFC!$C$5</f>
        <v>260.58960000000002</v>
      </c>
      <c r="AG117" s="300">
        <f>(216.8*KFC!$B$23*1.02*1.2+KFC!$C$23)*KFC!$C$5</f>
        <v>265.36320000000001</v>
      </c>
      <c r="AH117" s="304">
        <f>(220.7*KFC!$B$23*1.02*1.2+KFC!$C$23)*KFC!$C$5</f>
        <v>270.13679999999999</v>
      </c>
    </row>
    <row r="118" spans="1:34">
      <c r="A118" s="1781"/>
      <c r="B118" s="392">
        <v>5.3</v>
      </c>
      <c r="C118" s="303">
        <f>(100.1*KFC!$B$23*1.02*1.2+KFC!$C$23)*KFC!$C$5</f>
        <v>122.52239999999998</v>
      </c>
      <c r="D118" s="300">
        <f>(104*KFC!$B$23*1.02*1.2+KFC!$C$23)*KFC!$C$5</f>
        <v>127.29599999999999</v>
      </c>
      <c r="E118" s="300">
        <f>(108*KFC!$B$23*1.02*1.2+KFC!$C$23)*KFC!$C$5</f>
        <v>132.19199999999998</v>
      </c>
      <c r="F118" s="300">
        <f>(112*KFC!$B$23*1.02*1.2+KFC!$C$23)*KFC!$C$5</f>
        <v>137.08799999999999</v>
      </c>
      <c r="G118" s="300">
        <f>(115.9*KFC!$B$23*1.02*1.2+KFC!$C$23)*KFC!$C$5</f>
        <v>141.86160000000001</v>
      </c>
      <c r="H118" s="300">
        <f>(119.9*KFC!$B$23*1.02*1.2+KFC!$C$23)*KFC!$C$5</f>
        <v>146.7576</v>
      </c>
      <c r="I118" s="300">
        <f>(123.8*KFC!$B$23*1.02*1.2+KFC!$C$23)*KFC!$C$5</f>
        <v>151.53119999999998</v>
      </c>
      <c r="J118" s="300">
        <f>(127.8*KFC!$B$23*1.02*1.2+KFC!$C$23)*KFC!$C$5</f>
        <v>156.4272</v>
      </c>
      <c r="K118" s="300">
        <f>(131.8*KFC!$B$23*1.02*1.2+KFC!$C$23)*KFC!$C$5</f>
        <v>161.32320000000001</v>
      </c>
      <c r="L118" s="300">
        <f>(135.7*KFC!$B$23*1.02*1.2+KFC!$C$23)*KFC!$C$5</f>
        <v>166.09679999999997</v>
      </c>
      <c r="M118" s="300">
        <f>(139.7*KFC!$B$23*1.02*1.2+KFC!$C$23)*KFC!$C$5</f>
        <v>170.99279999999999</v>
      </c>
      <c r="N118" s="300">
        <f>(143.7*KFC!$B$23*1.02*1.2+KFC!$C$23)*KFC!$C$5</f>
        <v>175.88879999999997</v>
      </c>
      <c r="O118" s="300">
        <f>(147.6*KFC!$B$23*1.02*1.2+KFC!$C$23)*KFC!$C$5</f>
        <v>180.66239999999999</v>
      </c>
      <c r="P118" s="300">
        <f>(151.6*KFC!$B$23*1.02*1.2+KFC!$C$23)*KFC!$C$5</f>
        <v>185.55840000000001</v>
      </c>
      <c r="Q118" s="300">
        <f>(155.5*KFC!$B$23*1.02*1.2+KFC!$C$23)*KFC!$C$5</f>
        <v>190.33200000000002</v>
      </c>
      <c r="R118" s="300">
        <f>(159.5*KFC!$B$23*1.02*1.2+KFC!$C$23)*KFC!$C$5</f>
        <v>195.22799999999998</v>
      </c>
      <c r="S118" s="300">
        <f>(163.5*KFC!$B$23*1.02*1.2+KFC!$C$23)*KFC!$C$5</f>
        <v>200.124</v>
      </c>
      <c r="T118" s="300">
        <f>(167.4*KFC!$B$23*1.02*1.2+KFC!$C$23)*KFC!$C$5</f>
        <v>204.89760000000001</v>
      </c>
      <c r="U118" s="300">
        <f>(171.4*KFC!$B$23*1.02*1.2+KFC!$C$23)*KFC!$C$5</f>
        <v>209.7936</v>
      </c>
      <c r="V118" s="300">
        <f>(175.4*KFC!$B$23*1.02*1.2+KFC!$C$23)*KFC!$C$5</f>
        <v>214.68960000000001</v>
      </c>
      <c r="W118" s="300">
        <f>(179.3*KFC!$B$23*1.02*1.2+KFC!$C$23)*KFC!$C$5</f>
        <v>219.46320000000003</v>
      </c>
      <c r="X118" s="300">
        <f>(183.3*KFC!$B$23*1.02*1.2+KFC!$C$23)*KFC!$C$5</f>
        <v>224.35920000000002</v>
      </c>
      <c r="Y118" s="300">
        <f>(187.3*KFC!$B$23*1.02*1.2+KFC!$C$23)*KFC!$C$5</f>
        <v>229.25520000000003</v>
      </c>
      <c r="Z118" s="300">
        <f>(191.2*KFC!$B$23*1.02*1.2+KFC!$C$23)*KFC!$C$5</f>
        <v>234.02879999999999</v>
      </c>
      <c r="AA118" s="300">
        <f>(195.2*KFC!$B$23*1.02*1.2+KFC!$C$23)*KFC!$C$5</f>
        <v>238.92479999999998</v>
      </c>
      <c r="AB118" s="300">
        <f>(199.1*KFC!$B$23*1.02*1.2+KFC!$C$23)*KFC!$C$5</f>
        <v>243.69839999999999</v>
      </c>
      <c r="AC118" s="300">
        <f>(203.1*KFC!$B$23*1.02*1.2+KFC!$C$23)*KFC!$C$5</f>
        <v>248.59440000000001</v>
      </c>
      <c r="AD118" s="300">
        <f>(207.1*KFC!$B$23*1.02*1.2+KFC!$C$23)*KFC!$C$5</f>
        <v>253.49039999999997</v>
      </c>
      <c r="AE118" s="300">
        <f>(211*KFC!$B$23*1.02*1.2+KFC!$C$23)*KFC!$C$5</f>
        <v>258.26400000000001</v>
      </c>
      <c r="AF118" s="300">
        <f>(215*KFC!$B$23*1.02*1.2+KFC!$C$23)*KFC!$C$5</f>
        <v>263.16000000000003</v>
      </c>
      <c r="AG118" s="300">
        <f>(219*KFC!$B$23*1.02*1.2+KFC!$C$23)*KFC!$C$5</f>
        <v>268.05599999999998</v>
      </c>
      <c r="AH118" s="304">
        <f>(222.9*KFC!$B$23*1.02*1.2+KFC!$C$23)*KFC!$C$5</f>
        <v>272.82959999999997</v>
      </c>
    </row>
    <row r="119" spans="1:34">
      <c r="A119" s="1781"/>
      <c r="B119" s="392">
        <v>5.4</v>
      </c>
      <c r="C119" s="303">
        <f>(100.6*KFC!$B$23*1.02*1.2+KFC!$C$23)*KFC!$C$5</f>
        <v>123.13439999999999</v>
      </c>
      <c r="D119" s="300">
        <f>(104.6*KFC!$B$23*1.02*1.2+KFC!$C$23)*KFC!$C$5</f>
        <v>128.03039999999999</v>
      </c>
      <c r="E119" s="300">
        <f>(108.7*KFC!$B$23*1.02*1.2+KFC!$C$23)*KFC!$C$5</f>
        <v>133.0488</v>
      </c>
      <c r="F119" s="300">
        <f>(112.7*KFC!$B$23*1.02*1.2+KFC!$C$23)*KFC!$C$5</f>
        <v>137.94480000000001</v>
      </c>
      <c r="G119" s="300">
        <f>(116.7*KFC!$B$23*1.02*1.2+KFC!$C$23)*KFC!$C$5</f>
        <v>142.8408</v>
      </c>
      <c r="H119" s="300">
        <f>(120.7*KFC!$B$23*1.02*1.2+KFC!$C$23)*KFC!$C$5</f>
        <v>147.73679999999999</v>
      </c>
      <c r="I119" s="300">
        <f>(124.7*KFC!$B$23*1.02*1.2+KFC!$C$23)*KFC!$C$5</f>
        <v>152.6328</v>
      </c>
      <c r="J119" s="300">
        <f>(128.7*KFC!$B$23*1.02*1.2+KFC!$C$23)*KFC!$C$5</f>
        <v>157.52879999999999</v>
      </c>
      <c r="K119" s="300">
        <f>(132.8*KFC!$B$23*1.02*1.2+KFC!$C$23)*KFC!$C$5</f>
        <v>162.5472</v>
      </c>
      <c r="L119" s="300">
        <f>(136.8*KFC!$B$23*1.02*1.2+KFC!$C$23)*KFC!$C$5</f>
        <v>167.44319999999999</v>
      </c>
      <c r="M119" s="300">
        <f>(140.8*KFC!$B$23*1.02*1.2+KFC!$C$23)*KFC!$C$5</f>
        <v>172.33920000000001</v>
      </c>
      <c r="N119" s="300">
        <f>(144.8*KFC!$B$23*1.02*1.2+KFC!$C$23)*KFC!$C$5</f>
        <v>177.23520000000002</v>
      </c>
      <c r="O119" s="300">
        <f>(148.8*KFC!$B$23*1.02*1.2+KFC!$C$23)*KFC!$C$5</f>
        <v>182.13120000000001</v>
      </c>
      <c r="P119" s="300">
        <f>(152.8*KFC!$B$23*1.02*1.2+KFC!$C$23)*KFC!$C$5</f>
        <v>187.02720000000002</v>
      </c>
      <c r="Q119" s="300">
        <f>(156.9*KFC!$B$23*1.02*1.2+KFC!$C$23)*KFC!$C$5</f>
        <v>192.04560000000001</v>
      </c>
      <c r="R119" s="300">
        <f>(160.9*KFC!$B$23*1.02*1.2+KFC!$C$23)*KFC!$C$5</f>
        <v>196.94159999999999</v>
      </c>
      <c r="S119" s="300">
        <f>(164.9*KFC!$B$23*1.02*1.2+KFC!$C$23)*KFC!$C$5</f>
        <v>201.83760000000001</v>
      </c>
      <c r="T119" s="300">
        <f>(168.9*KFC!$B$23*1.02*1.2+KFC!$C$23)*KFC!$C$5</f>
        <v>206.73360000000002</v>
      </c>
      <c r="U119" s="300">
        <f>(172.9*KFC!$B$23*1.02*1.2+KFC!$C$23)*KFC!$C$5</f>
        <v>211.62960000000001</v>
      </c>
      <c r="V119" s="300">
        <f>(176.9*KFC!$B$23*1.02*1.2+KFC!$C$23)*KFC!$C$5</f>
        <v>216.52560000000003</v>
      </c>
      <c r="W119" s="300">
        <f>(181*KFC!$B$23*1.02*1.2+KFC!$C$23)*KFC!$C$5</f>
        <v>221.54400000000001</v>
      </c>
      <c r="X119" s="300">
        <f>(185*KFC!$B$23*1.02*1.2+KFC!$C$23)*KFC!$C$5</f>
        <v>226.44000000000003</v>
      </c>
      <c r="Y119" s="300">
        <f>(189*KFC!$B$23*1.02*1.2+KFC!$C$23)*KFC!$C$5</f>
        <v>231.33599999999998</v>
      </c>
      <c r="Z119" s="300">
        <f>(193*KFC!$B$23*1.02*1.2+KFC!$C$23)*KFC!$C$5</f>
        <v>236.232</v>
      </c>
      <c r="AA119" s="300">
        <f>(197*KFC!$B$23*1.02*1.2+KFC!$C$23)*KFC!$C$5</f>
        <v>241.12799999999999</v>
      </c>
      <c r="AB119" s="300">
        <f>(201*KFC!$B$23*1.02*1.2+KFC!$C$23)*KFC!$C$5</f>
        <v>246.024</v>
      </c>
      <c r="AC119" s="300">
        <f>(205.1*KFC!$B$23*1.02*1.2+KFC!$C$23)*KFC!$C$5</f>
        <v>251.04239999999999</v>
      </c>
      <c r="AD119" s="300">
        <f>(209.1*KFC!$B$23*1.02*1.2+KFC!$C$23)*KFC!$C$5</f>
        <v>255.9384</v>
      </c>
      <c r="AE119" s="300">
        <f>(213.1*KFC!$B$23*1.02*1.2+KFC!$C$23)*KFC!$C$5</f>
        <v>260.83439999999996</v>
      </c>
      <c r="AF119" s="300">
        <f>(217.1*KFC!$B$23*1.02*1.2+KFC!$C$23)*KFC!$C$5</f>
        <v>265.73039999999997</v>
      </c>
      <c r="AG119" s="300">
        <f>(221.1*KFC!$B$23*1.02*1.2+KFC!$C$23)*KFC!$C$5</f>
        <v>270.62639999999999</v>
      </c>
      <c r="AH119" s="304">
        <f>(225.1*KFC!$B$23*1.02*1.2+KFC!$C$23)*KFC!$C$5</f>
        <v>275.5224</v>
      </c>
    </row>
    <row r="120" spans="1:34">
      <c r="A120" s="1781"/>
      <c r="B120" s="392">
        <v>5.5</v>
      </c>
      <c r="C120" s="303">
        <f>(101.2*KFC!$B$23*1.02*1.2+KFC!$C$23)*KFC!$C$5</f>
        <v>123.86879999999999</v>
      </c>
      <c r="D120" s="300">
        <f>(105.2*KFC!$B$23*1.02*1.2+KFC!$C$23)*KFC!$C$5</f>
        <v>128.76480000000001</v>
      </c>
      <c r="E120" s="300">
        <f>(109.3*KFC!$B$23*1.02*1.2+KFC!$C$23)*KFC!$C$5</f>
        <v>133.78319999999999</v>
      </c>
      <c r="F120" s="300">
        <f>(113.4*KFC!$B$23*1.02*1.2+KFC!$C$23)*KFC!$C$5</f>
        <v>138.80160000000001</v>
      </c>
      <c r="G120" s="300">
        <f>(117.5*KFC!$B$23*1.02*1.2+KFC!$C$23)*KFC!$C$5</f>
        <v>143.82</v>
      </c>
      <c r="H120" s="300">
        <f>(121.5*KFC!$B$23*1.02*1.2+KFC!$C$23)*KFC!$C$5</f>
        <v>148.71600000000001</v>
      </c>
      <c r="I120" s="300">
        <f>(125.6*KFC!$B$23*1.02*1.2+KFC!$C$23)*KFC!$C$5</f>
        <v>153.73439999999999</v>
      </c>
      <c r="J120" s="300">
        <f>(129.7*KFC!$B$23*1.02*1.2+KFC!$C$23)*KFC!$C$5</f>
        <v>158.75279999999998</v>
      </c>
      <c r="K120" s="300">
        <f>(133.7*KFC!$B$23*1.02*1.2+KFC!$C$23)*KFC!$C$5</f>
        <v>163.64879999999999</v>
      </c>
      <c r="L120" s="300">
        <f>(137.8*KFC!$B$23*1.02*1.2+KFC!$C$23)*KFC!$C$5</f>
        <v>168.66720000000001</v>
      </c>
      <c r="M120" s="300">
        <f>(141.9*KFC!$B$23*1.02*1.2+KFC!$C$23)*KFC!$C$5</f>
        <v>173.68559999999999</v>
      </c>
      <c r="N120" s="300">
        <f>(146*KFC!$B$23*1.02*1.2+KFC!$C$23)*KFC!$C$5</f>
        <v>178.70400000000001</v>
      </c>
      <c r="O120" s="300">
        <f>(150*KFC!$B$23*1.02*1.2+KFC!$C$23)*KFC!$C$5</f>
        <v>183.6</v>
      </c>
      <c r="P120" s="300">
        <f>(154.1*KFC!$B$23*1.02*1.2+KFC!$C$23)*KFC!$C$5</f>
        <v>188.61839999999998</v>
      </c>
      <c r="Q120" s="300">
        <f>(158.2*KFC!$B$23*1.02*1.2+KFC!$C$23)*KFC!$C$5</f>
        <v>193.63679999999999</v>
      </c>
      <c r="R120" s="300">
        <f>(162.2*KFC!$B$23*1.02*1.2+KFC!$C$23)*KFC!$C$5</f>
        <v>198.53279999999998</v>
      </c>
      <c r="S120" s="300">
        <f>(166.3*KFC!$B$23*1.02*1.2+KFC!$C$23)*KFC!$C$5</f>
        <v>203.55119999999999</v>
      </c>
      <c r="T120" s="300">
        <f>(170.4*KFC!$B$23*1.02*1.2+KFC!$C$23)*KFC!$C$5</f>
        <v>208.56960000000001</v>
      </c>
      <c r="U120" s="300">
        <f>(174.4*KFC!$B$23*1.02*1.2+KFC!$C$23)*KFC!$C$5</f>
        <v>213.46559999999999</v>
      </c>
      <c r="V120" s="300">
        <f>(178.5*KFC!$B$23*1.02*1.2+KFC!$C$23)*KFC!$C$5</f>
        <v>218.48399999999998</v>
      </c>
      <c r="W120" s="300">
        <f>(182.6*KFC!$B$23*1.02*1.2+KFC!$C$23)*KFC!$C$5</f>
        <v>223.50239999999999</v>
      </c>
      <c r="X120" s="300">
        <f>(186.7*KFC!$B$23*1.02*1.2+KFC!$C$23)*KFC!$C$5</f>
        <v>228.52079999999998</v>
      </c>
      <c r="Y120" s="300">
        <f>(190.7*KFC!$B$23*1.02*1.2+KFC!$C$23)*KFC!$C$5</f>
        <v>233.41679999999997</v>
      </c>
      <c r="Z120" s="300">
        <f>(194.8*KFC!$B$23*1.02*1.2+KFC!$C$23)*KFC!$C$5</f>
        <v>238.43520000000001</v>
      </c>
      <c r="AA120" s="300">
        <f>(198.9*KFC!$B$23*1.02*1.2+KFC!$C$23)*KFC!$C$5</f>
        <v>243.45359999999999</v>
      </c>
      <c r="AB120" s="300">
        <f>(202.9*KFC!$B$23*1.02*1.2+KFC!$C$23)*KFC!$C$5</f>
        <v>248.34959999999998</v>
      </c>
      <c r="AC120" s="300">
        <f>(207*KFC!$B$23*1.02*1.2+KFC!$C$23)*KFC!$C$5</f>
        <v>253.36799999999999</v>
      </c>
      <c r="AD120" s="300">
        <f>(211.1*KFC!$B$23*1.02*1.2+KFC!$C$23)*KFC!$C$5</f>
        <v>258.38639999999998</v>
      </c>
      <c r="AE120" s="300">
        <f>(215.2*KFC!$B$23*1.02*1.2+KFC!$C$23)*KFC!$C$5</f>
        <v>263.40479999999997</v>
      </c>
      <c r="AF120" s="300">
        <f>(219.2*KFC!$B$23*1.02*1.2+KFC!$C$23)*KFC!$C$5</f>
        <v>268.30079999999998</v>
      </c>
      <c r="AG120" s="300">
        <f>(223.3*KFC!$B$23*1.02*1.2+KFC!$C$23)*KFC!$C$5</f>
        <v>273.31920000000002</v>
      </c>
      <c r="AH120" s="304">
        <f>(227.4*KFC!$B$23*1.02*1.2+KFC!$C$23)*KFC!$C$5</f>
        <v>278.33760000000001</v>
      </c>
    </row>
    <row r="121" spans="1:34">
      <c r="A121" s="1781"/>
      <c r="B121" s="392">
        <v>5.6</v>
      </c>
      <c r="C121" s="303">
        <f>(101.7*KFC!$B$23*1.02*1.2+KFC!$C$23)*KFC!$C$5</f>
        <v>124.4808</v>
      </c>
      <c r="D121" s="300">
        <f>(105.9*KFC!$B$23*1.02*1.2+KFC!$C$23)*KFC!$C$5</f>
        <v>129.6216</v>
      </c>
      <c r="E121" s="300">
        <f>(110*KFC!$B$23*1.02*1.2+KFC!$C$23)*KFC!$C$5</f>
        <v>134.63999999999999</v>
      </c>
      <c r="F121" s="300">
        <f>(114.1*KFC!$B$23*1.02*1.2+KFC!$C$23)*KFC!$C$5</f>
        <v>139.65839999999997</v>
      </c>
      <c r="G121" s="300">
        <f>(118.2*KFC!$B$23*1.02*1.2+KFC!$C$23)*KFC!$C$5</f>
        <v>144.67680000000001</v>
      </c>
      <c r="H121" s="300">
        <f>(122.4*KFC!$B$23*1.02*1.2+KFC!$C$23)*KFC!$C$5</f>
        <v>149.8176</v>
      </c>
      <c r="I121" s="300">
        <f>(126.5*KFC!$B$23*1.02*1.2+KFC!$C$23)*KFC!$C$5</f>
        <v>154.83599999999998</v>
      </c>
      <c r="J121" s="300">
        <f>(130.6*KFC!$B$23*1.02*1.2+KFC!$C$23)*KFC!$C$5</f>
        <v>159.85439999999997</v>
      </c>
      <c r="K121" s="300">
        <f>(134.7*KFC!$B$23*1.02*1.2+KFC!$C$23)*KFC!$C$5</f>
        <v>164.87279999999996</v>
      </c>
      <c r="L121" s="300">
        <f>(138.9*KFC!$B$23*1.02*1.2+KFC!$C$23)*KFC!$C$5</f>
        <v>170.0136</v>
      </c>
      <c r="M121" s="300">
        <f>(143*KFC!$B$23*1.02*1.2+KFC!$C$23)*KFC!$C$5</f>
        <v>175.03200000000001</v>
      </c>
      <c r="N121" s="300">
        <f>(147.1*KFC!$B$23*1.02*1.2+KFC!$C$23)*KFC!$C$5</f>
        <v>180.0504</v>
      </c>
      <c r="O121" s="300">
        <f>(151.2*KFC!$B$23*1.02*1.2+KFC!$C$23)*KFC!$C$5</f>
        <v>185.06879999999998</v>
      </c>
      <c r="P121" s="300">
        <f>(155.3*KFC!$B$23*1.02*1.2+KFC!$C$23)*KFC!$C$5</f>
        <v>190.0872</v>
      </c>
      <c r="Q121" s="300">
        <f>(159.5*KFC!$B$23*1.02*1.2+KFC!$C$23)*KFC!$C$5</f>
        <v>195.22799999999998</v>
      </c>
      <c r="R121" s="300">
        <f>(163.6*KFC!$B$23*1.02*1.2+KFC!$C$23)*KFC!$C$5</f>
        <v>200.24639999999997</v>
      </c>
      <c r="S121" s="300">
        <f>(167.7*KFC!$B$23*1.02*1.2+KFC!$C$23)*KFC!$C$5</f>
        <v>205.26480000000001</v>
      </c>
      <c r="T121" s="300">
        <f>(171.8*KFC!$B$23*1.02*1.2+KFC!$C$23)*KFC!$C$5</f>
        <v>210.28320000000002</v>
      </c>
      <c r="U121" s="300">
        <f>(176*KFC!$B$23*1.02*1.2+KFC!$C$23)*KFC!$C$5</f>
        <v>215.42400000000001</v>
      </c>
      <c r="V121" s="300">
        <f>(180.1*KFC!$B$23*1.02*1.2+KFC!$C$23)*KFC!$C$5</f>
        <v>220.44239999999999</v>
      </c>
      <c r="W121" s="300">
        <f>(184.2*KFC!$B$23*1.02*1.2+KFC!$C$23)*KFC!$C$5</f>
        <v>225.46079999999998</v>
      </c>
      <c r="X121" s="300">
        <f>(188.3*KFC!$B$23*1.02*1.2+KFC!$C$23)*KFC!$C$5</f>
        <v>230.47919999999999</v>
      </c>
      <c r="Y121" s="300">
        <f>(192.5*KFC!$B$23*1.02*1.2+KFC!$C$23)*KFC!$C$5</f>
        <v>235.61999999999998</v>
      </c>
      <c r="Z121" s="300">
        <f>(196.6*KFC!$B$23*1.02*1.2+KFC!$C$23)*KFC!$C$5</f>
        <v>240.63839999999999</v>
      </c>
      <c r="AA121" s="300">
        <f>(200.7*KFC!$B$23*1.02*1.2+KFC!$C$23)*KFC!$C$5</f>
        <v>245.65679999999998</v>
      </c>
      <c r="AB121" s="300">
        <f>(204.8*KFC!$B$23*1.02*1.2+KFC!$C$23)*KFC!$C$5</f>
        <v>250.67520000000002</v>
      </c>
      <c r="AC121" s="300">
        <f>(209*KFC!$B$23*1.02*1.2+KFC!$C$23)*KFC!$C$5</f>
        <v>255.816</v>
      </c>
      <c r="AD121" s="300">
        <f>(213.1*KFC!$B$23*1.02*1.2+KFC!$C$23)*KFC!$C$5</f>
        <v>260.83439999999996</v>
      </c>
      <c r="AE121" s="300">
        <f>(217.2*KFC!$B$23*1.02*1.2+KFC!$C$23)*KFC!$C$5</f>
        <v>265.85279999999995</v>
      </c>
      <c r="AF121" s="300">
        <f>(221.3*KFC!$B$23*1.02*1.2+KFC!$C$23)*KFC!$C$5</f>
        <v>270.87120000000004</v>
      </c>
      <c r="AG121" s="300">
        <f>(225.5*KFC!$B$23*1.02*1.2+KFC!$C$23)*KFC!$C$5</f>
        <v>276.012</v>
      </c>
      <c r="AH121" s="304">
        <f>(229.6*KFC!$B$23*1.02*1.2+KFC!$C$23)*KFC!$C$5</f>
        <v>281.03039999999999</v>
      </c>
    </row>
    <row r="122" spans="1:34">
      <c r="A122" s="1781"/>
      <c r="B122" s="392">
        <v>5.7</v>
      </c>
      <c r="C122" s="303">
        <f>(102.3*KFC!$B$23*1.02*1.2+KFC!$C$23)*KFC!$C$5</f>
        <v>125.2152</v>
      </c>
      <c r="D122" s="300">
        <f>(106.5*KFC!$B$23*1.02*1.2+KFC!$C$23)*KFC!$C$5</f>
        <v>130.35599999999999</v>
      </c>
      <c r="E122" s="300">
        <f>(110.6*KFC!$B$23*1.02*1.2+KFC!$C$23)*KFC!$C$5</f>
        <v>135.37439999999998</v>
      </c>
      <c r="F122" s="300">
        <f>(114.8*KFC!$B$23*1.02*1.2+KFC!$C$23)*KFC!$C$5</f>
        <v>140.51519999999999</v>
      </c>
      <c r="G122" s="300">
        <f>(119*KFC!$B$23*1.02*1.2+KFC!$C$23)*KFC!$C$5</f>
        <v>145.65599999999998</v>
      </c>
      <c r="H122" s="300">
        <f>(123.2*KFC!$B$23*1.02*1.2+KFC!$C$23)*KFC!$C$5</f>
        <v>150.79679999999999</v>
      </c>
      <c r="I122" s="300">
        <f>(127.4*KFC!$B$23*1.02*1.2+KFC!$C$23)*KFC!$C$5</f>
        <v>155.9376</v>
      </c>
      <c r="J122" s="300">
        <f>(131.5*KFC!$B$23*1.02*1.2+KFC!$C$23)*KFC!$C$5</f>
        <v>160.95599999999999</v>
      </c>
      <c r="K122" s="300">
        <f>(135.7*KFC!$B$23*1.02*1.2+KFC!$C$23)*KFC!$C$5</f>
        <v>166.09679999999997</v>
      </c>
      <c r="L122" s="300">
        <f>(139.9*KFC!$B$23*1.02*1.2+KFC!$C$23)*KFC!$C$5</f>
        <v>171.23760000000001</v>
      </c>
      <c r="M122" s="300">
        <f>(144.1*KFC!$B$23*1.02*1.2+KFC!$C$23)*KFC!$C$5</f>
        <v>176.3784</v>
      </c>
      <c r="N122" s="300">
        <f>(148.2*KFC!$B$23*1.02*1.2+KFC!$C$23)*KFC!$C$5</f>
        <v>181.39679999999998</v>
      </c>
      <c r="O122" s="300">
        <f>(152.4*KFC!$B$23*1.02*1.2+KFC!$C$23)*KFC!$C$5</f>
        <v>186.5376</v>
      </c>
      <c r="P122" s="300">
        <f>(156.6*KFC!$B$23*1.02*1.2+KFC!$C$23)*KFC!$C$5</f>
        <v>191.67839999999998</v>
      </c>
      <c r="Q122" s="300">
        <f>(160.8*KFC!$B$23*1.02*1.2+KFC!$C$23)*KFC!$C$5</f>
        <v>196.81920000000002</v>
      </c>
      <c r="R122" s="300">
        <f>(165*KFC!$B$23*1.02*1.2+KFC!$C$23)*KFC!$C$5</f>
        <v>201.96</v>
      </c>
      <c r="S122" s="300">
        <f>(169.1*KFC!$B$23*1.02*1.2+KFC!$C$23)*KFC!$C$5</f>
        <v>206.97839999999999</v>
      </c>
      <c r="T122" s="300">
        <f>(173.3*KFC!$B$23*1.02*1.2+KFC!$C$23)*KFC!$C$5</f>
        <v>212.11920000000001</v>
      </c>
      <c r="U122" s="300">
        <f>(177.5*KFC!$B$23*1.02*1.2+KFC!$C$23)*KFC!$C$5</f>
        <v>217.26000000000002</v>
      </c>
      <c r="V122" s="300">
        <f>(181.7*KFC!$B$23*1.02*1.2+KFC!$C$23)*KFC!$C$5</f>
        <v>222.4008</v>
      </c>
      <c r="W122" s="300">
        <f>(185.9*KFC!$B$23*1.02*1.2+KFC!$C$23)*KFC!$C$5</f>
        <v>227.54159999999999</v>
      </c>
      <c r="X122" s="300">
        <f>(190*KFC!$B$23*1.02*1.2+KFC!$C$23)*KFC!$C$5</f>
        <v>232.56</v>
      </c>
      <c r="Y122" s="300">
        <f>(194.2*KFC!$B$23*1.02*1.2+KFC!$C$23)*KFC!$C$5</f>
        <v>237.70079999999999</v>
      </c>
      <c r="Z122" s="300">
        <f>(198.4*KFC!$B$23*1.02*1.2+KFC!$C$23)*KFC!$C$5</f>
        <v>242.84160000000003</v>
      </c>
      <c r="AA122" s="300">
        <f>(202.6*KFC!$B$23*1.02*1.2+KFC!$C$23)*KFC!$C$5</f>
        <v>247.98239999999998</v>
      </c>
      <c r="AB122" s="300">
        <f>(206.7*KFC!$B$23*1.02*1.2+KFC!$C$23)*KFC!$C$5</f>
        <v>253.0008</v>
      </c>
      <c r="AC122" s="300">
        <f>(210.9*KFC!$B$23*1.02*1.2+KFC!$C$23)*KFC!$C$5</f>
        <v>258.14160000000004</v>
      </c>
      <c r="AD122" s="300">
        <f>(215*KFC!$B$23*1.02*1.2+KFC!$C$23)*KFC!$C$5</f>
        <v>263.16000000000003</v>
      </c>
      <c r="AE122" s="300">
        <f>(219.3*KFC!$B$23*1.02*1.2+KFC!$C$23)*KFC!$C$5</f>
        <v>268.42320000000001</v>
      </c>
      <c r="AF122" s="300">
        <f>(223.5*KFC!$B$23*1.02*1.2+KFC!$C$23)*KFC!$C$5</f>
        <v>273.56399999999996</v>
      </c>
      <c r="AG122" s="300">
        <f>(227.6*KFC!$B$23*1.02*1.2+KFC!$C$23)*KFC!$C$5</f>
        <v>278.58239999999995</v>
      </c>
      <c r="AH122" s="304">
        <f>(231.8*KFC!$B$23*1.02*1.2+KFC!$C$23)*KFC!$C$5</f>
        <v>283.72320000000002</v>
      </c>
    </row>
    <row r="123" spans="1:34">
      <c r="A123" s="1781"/>
      <c r="B123" s="392">
        <v>5.8</v>
      </c>
      <c r="C123" s="303">
        <f>(102.8*KFC!$B$23*1.02*1.2+KFC!$C$23)*KFC!$C$5</f>
        <v>125.82719999999999</v>
      </c>
      <c r="D123" s="300">
        <f>(107.1*KFC!$B$23*1.02*1.2+KFC!$C$23)*KFC!$C$5</f>
        <v>131.09039999999999</v>
      </c>
      <c r="E123" s="300">
        <f>(111.3*KFC!$B$23*1.02*1.2+KFC!$C$23)*KFC!$C$5</f>
        <v>136.2312</v>
      </c>
      <c r="F123" s="300">
        <f>(115.5*KFC!$B$23*1.02*1.2+KFC!$C$23)*KFC!$C$5</f>
        <v>141.37199999999999</v>
      </c>
      <c r="G123" s="300">
        <f>(119.8*KFC!$B$23*1.02*1.2+KFC!$C$23)*KFC!$C$5</f>
        <v>146.6352</v>
      </c>
      <c r="H123" s="300">
        <f>(124*KFC!$B$23*1.02*1.2+KFC!$C$23)*KFC!$C$5</f>
        <v>151.77600000000001</v>
      </c>
      <c r="I123" s="300">
        <f>(128.2*KFC!$B$23*1.02*1.2+KFC!$C$23)*KFC!$C$5</f>
        <v>156.91679999999997</v>
      </c>
      <c r="J123" s="300">
        <f>(132.5*KFC!$B$23*1.02*1.2+KFC!$C$23)*KFC!$C$5</f>
        <v>162.18</v>
      </c>
      <c r="K123" s="300">
        <f>(136.7*KFC!$B$23*1.02*1.2+KFC!$C$23)*KFC!$C$5</f>
        <v>167.32079999999999</v>
      </c>
      <c r="L123" s="300">
        <f>(140.9*KFC!$B$23*1.02*1.2+KFC!$C$23)*KFC!$C$5</f>
        <v>172.4616</v>
      </c>
      <c r="M123" s="300">
        <f>(145.2*KFC!$B$23*1.02*1.2+KFC!$C$23)*KFC!$C$5</f>
        <v>177.72479999999999</v>
      </c>
      <c r="N123" s="300">
        <f>(149.4*KFC!$B$23*1.02*1.2+KFC!$C$23)*KFC!$C$5</f>
        <v>182.8656</v>
      </c>
      <c r="O123" s="300">
        <f>(153.6*KFC!$B$23*1.02*1.2+KFC!$C$23)*KFC!$C$5</f>
        <v>188.00639999999999</v>
      </c>
      <c r="P123" s="300">
        <f>(157.9*KFC!$B$23*1.02*1.2+KFC!$C$23)*KFC!$C$5</f>
        <v>193.26960000000003</v>
      </c>
      <c r="Q123" s="300">
        <f>(162.1*KFC!$B$23*1.02*1.2+KFC!$C$23)*KFC!$C$5</f>
        <v>198.41039999999998</v>
      </c>
      <c r="R123" s="300">
        <f>(166.3*KFC!$B$23*1.02*1.2+KFC!$C$23)*KFC!$C$5</f>
        <v>203.55119999999999</v>
      </c>
      <c r="S123" s="300">
        <f>(170.6*KFC!$B$23*1.02*1.2+KFC!$C$23)*KFC!$C$5</f>
        <v>208.81440000000001</v>
      </c>
      <c r="T123" s="300">
        <f>(174.8*KFC!$B$23*1.02*1.2+KFC!$C$23)*KFC!$C$5</f>
        <v>213.95520000000002</v>
      </c>
      <c r="U123" s="300">
        <f>(179*KFC!$B$23*1.02*1.2+KFC!$C$23)*KFC!$C$5</f>
        <v>219.096</v>
      </c>
      <c r="V123" s="300">
        <f>(183.3*KFC!$B$23*1.02*1.2+KFC!$C$23)*KFC!$C$5</f>
        <v>224.35920000000002</v>
      </c>
      <c r="W123" s="300">
        <f>(187.5*KFC!$B$23*1.02*1.2+KFC!$C$23)*KFC!$C$5</f>
        <v>229.5</v>
      </c>
      <c r="X123" s="300">
        <f>(191.7*KFC!$B$23*1.02*1.2+KFC!$C$23)*KFC!$C$5</f>
        <v>234.64079999999998</v>
      </c>
      <c r="Y123" s="300">
        <f>(195.9*KFC!$B$23*1.02*1.2+KFC!$C$23)*KFC!$C$5</f>
        <v>239.7816</v>
      </c>
      <c r="Z123" s="300">
        <f>(200.2*KFC!$B$23*1.02*1.2+KFC!$C$23)*KFC!$C$5</f>
        <v>245.04479999999995</v>
      </c>
      <c r="AA123" s="300">
        <f>(204.4*KFC!$B$23*1.02*1.2+KFC!$C$23)*KFC!$C$5</f>
        <v>250.18559999999999</v>
      </c>
      <c r="AB123" s="300">
        <f>(208.6*KFC!$B$23*1.02*1.2+KFC!$C$23)*KFC!$C$5</f>
        <v>255.32639999999998</v>
      </c>
      <c r="AC123" s="300">
        <f>(212.9*KFC!$B$23*1.02*1.2+KFC!$C$23)*KFC!$C$5</f>
        <v>260.58960000000002</v>
      </c>
      <c r="AD123" s="300">
        <f>(217.1*KFC!$B$23*1.02*1.2+KFC!$C$23)*KFC!$C$5</f>
        <v>265.73039999999997</v>
      </c>
      <c r="AE123" s="300">
        <f>(221.3*KFC!$B$23*1.02*1.2+KFC!$C$23)*KFC!$C$5</f>
        <v>270.87120000000004</v>
      </c>
      <c r="AF123" s="300">
        <f>(225.6*KFC!$B$23*1.02*1.2+KFC!$C$23)*KFC!$C$5</f>
        <v>276.13439999999997</v>
      </c>
      <c r="AG123" s="300">
        <f>(229.8*KFC!$B$23*1.02*1.2+KFC!$C$23)*KFC!$C$5</f>
        <v>281.27519999999998</v>
      </c>
      <c r="AH123" s="304">
        <f>(234*KFC!$B$23*1.02*1.2+KFC!$C$23)*KFC!$C$5</f>
        <v>286.416</v>
      </c>
    </row>
    <row r="124" spans="1:34">
      <c r="A124" s="1781"/>
      <c r="B124" s="392">
        <v>5.9</v>
      </c>
      <c r="C124" s="303">
        <f>(103.4*KFC!$B$23*1.02*1.2+KFC!$C$23)*KFC!$C$5</f>
        <v>126.5616</v>
      </c>
      <c r="D124" s="300">
        <f>(107.7*KFC!$B$23*1.02*1.2+KFC!$C$23)*KFC!$C$5</f>
        <v>131.82479999999998</v>
      </c>
      <c r="E124" s="300">
        <f>(112*KFC!$B$23*1.02*1.2+KFC!$C$23)*KFC!$C$5</f>
        <v>137.08799999999999</v>
      </c>
      <c r="F124" s="300">
        <f>(116.3*KFC!$B$23*1.02*1.2+KFC!$C$23)*KFC!$C$5</f>
        <v>142.35120000000001</v>
      </c>
      <c r="G124" s="300">
        <f>(120.5*KFC!$B$23*1.02*1.2+KFC!$C$23)*KFC!$C$5</f>
        <v>147.49199999999999</v>
      </c>
      <c r="H124" s="300">
        <f>(124.8*KFC!$B$23*1.02*1.2+KFC!$C$23)*KFC!$C$5</f>
        <v>152.75519999999997</v>
      </c>
      <c r="I124" s="300">
        <f>(129.1*KFC!$B$23*1.02*1.2+KFC!$C$23)*KFC!$C$5</f>
        <v>158.01839999999999</v>
      </c>
      <c r="J124" s="300">
        <f>(133.4*KFC!$B$23*1.02*1.2+KFC!$C$23)*KFC!$C$5</f>
        <v>163.2816</v>
      </c>
      <c r="K124" s="300">
        <f>(137.7*KFC!$B$23*1.02*1.2+KFC!$C$23)*KFC!$C$5</f>
        <v>168.54479999999998</v>
      </c>
      <c r="L124" s="300">
        <f>(142*KFC!$B$23*1.02*1.2+KFC!$C$23)*KFC!$C$5</f>
        <v>173.80799999999999</v>
      </c>
      <c r="M124" s="300">
        <f>(146.3*KFC!$B$23*1.02*1.2+KFC!$C$23)*KFC!$C$5</f>
        <v>179.07120000000003</v>
      </c>
      <c r="N124" s="300">
        <f>(150.5*KFC!$B$23*1.02*1.2+KFC!$C$23)*KFC!$C$5</f>
        <v>184.21199999999999</v>
      </c>
      <c r="O124" s="300">
        <f>(154.8*KFC!$B$23*1.02*1.2+KFC!$C$23)*KFC!$C$5</f>
        <v>189.4752</v>
      </c>
      <c r="P124" s="300">
        <f>(159.1*KFC!$B$23*1.02*1.2+KFC!$C$23)*KFC!$C$5</f>
        <v>194.73840000000001</v>
      </c>
      <c r="Q124" s="300">
        <f>(163.4*KFC!$B$23*1.02*1.2+KFC!$C$23)*KFC!$C$5</f>
        <v>200.0016</v>
      </c>
      <c r="R124" s="300">
        <f>(167.7*KFC!$B$23*1.02*1.2+KFC!$C$23)*KFC!$C$5</f>
        <v>205.26480000000001</v>
      </c>
      <c r="S124" s="300">
        <f>(172*KFC!$B$23*1.02*1.2+KFC!$C$23)*KFC!$C$5</f>
        <v>210.52799999999999</v>
      </c>
      <c r="T124" s="300">
        <f>(176.3*KFC!$B$23*1.02*1.2+KFC!$C$23)*KFC!$C$5</f>
        <v>215.79120000000003</v>
      </c>
      <c r="U124" s="300">
        <f>(180.5*KFC!$B$23*1.02*1.2+KFC!$C$23)*KFC!$C$5</f>
        <v>220.93200000000002</v>
      </c>
      <c r="V124" s="300">
        <f>(184.8*KFC!$B$23*1.02*1.2+KFC!$C$23)*KFC!$C$5</f>
        <v>226.1952</v>
      </c>
      <c r="W124" s="300">
        <f>(189.1*KFC!$B$23*1.02*1.2+KFC!$C$23)*KFC!$C$5</f>
        <v>231.45839999999998</v>
      </c>
      <c r="X124" s="300">
        <f>(193.4*KFC!$B$23*1.02*1.2+KFC!$C$23)*KFC!$C$5</f>
        <v>236.7216</v>
      </c>
      <c r="Y124" s="300">
        <f>(197.7*KFC!$B$23*1.02*1.2+KFC!$C$23)*KFC!$C$5</f>
        <v>241.98479999999998</v>
      </c>
      <c r="Z124" s="300">
        <f>(202*KFC!$B$23*1.02*1.2+KFC!$C$23)*KFC!$C$5</f>
        <v>247.24799999999999</v>
      </c>
      <c r="AA124" s="300">
        <f>(206.3*KFC!$B$23*1.02*1.2+KFC!$C$23)*KFC!$C$5</f>
        <v>252.5112</v>
      </c>
      <c r="AB124" s="300">
        <f>(210.5*KFC!$B$23*1.02*1.2+KFC!$C$23)*KFC!$C$5</f>
        <v>257.65199999999999</v>
      </c>
      <c r="AC124" s="300">
        <f>(214.8*KFC!$B$23*1.02*1.2+KFC!$C$23)*KFC!$C$5</f>
        <v>262.91519999999997</v>
      </c>
      <c r="AD124" s="300">
        <f>(219.1*KFC!$B$23*1.02*1.2+KFC!$C$23)*KFC!$C$5</f>
        <v>268.17840000000001</v>
      </c>
      <c r="AE124" s="300">
        <f>(223.4*KFC!$B$23*1.02*1.2+KFC!$C$23)*KFC!$C$5</f>
        <v>273.44159999999999</v>
      </c>
      <c r="AF124" s="300">
        <f>(227.7*KFC!$B$23*1.02*1.2+KFC!$C$23)*KFC!$C$5</f>
        <v>278.70479999999998</v>
      </c>
      <c r="AG124" s="300">
        <f>(232*KFC!$B$23*1.02*1.2+KFC!$C$23)*KFC!$C$5</f>
        <v>283.96800000000002</v>
      </c>
      <c r="AH124" s="304">
        <f>(236.3*KFC!$B$23*1.02*1.2+KFC!$C$23)*KFC!$C$5</f>
        <v>289.2312</v>
      </c>
    </row>
    <row r="125" spans="1:34" ht="13.8" thickBot="1">
      <c r="A125" s="1782"/>
      <c r="B125" s="393">
        <v>6</v>
      </c>
      <c r="C125" s="305">
        <f>(104*KFC!$B$23*1.02*1.2+KFC!$C$23)*KFC!$C$5</f>
        <v>127.29599999999999</v>
      </c>
      <c r="D125" s="306">
        <f>(108.3*KFC!$B$23*1.02*1.2+KFC!$C$23)*KFC!$C$5</f>
        <v>132.55919999999998</v>
      </c>
      <c r="E125" s="306">
        <f>(112.6*KFC!$B$23*1.02*1.2+KFC!$C$23)*KFC!$C$5</f>
        <v>137.82239999999999</v>
      </c>
      <c r="F125" s="306">
        <f>(117*KFC!$B$23*1.02*1.2+KFC!$C$23)*KFC!$C$5</f>
        <v>143.208</v>
      </c>
      <c r="G125" s="306">
        <f>(121.3*KFC!$B$23*1.02*1.2+KFC!$C$23)*KFC!$C$5</f>
        <v>148.47119999999998</v>
      </c>
      <c r="H125" s="306">
        <f>(125.7*KFC!$B$23*1.02*1.2+KFC!$C$23)*KFC!$C$5</f>
        <v>153.85679999999999</v>
      </c>
      <c r="I125" s="306">
        <f>(130*KFC!$B$23*1.02*1.2+KFC!$C$23)*KFC!$C$5</f>
        <v>159.11999999999998</v>
      </c>
      <c r="J125" s="306">
        <f>(134.3*KFC!$B$23*1.02*1.2+KFC!$C$23)*KFC!$C$5</f>
        <v>164.38320000000002</v>
      </c>
      <c r="K125" s="306">
        <f>(138.7*KFC!$B$23*1.02*1.2+KFC!$C$23)*KFC!$C$5</f>
        <v>169.76879999999997</v>
      </c>
      <c r="L125" s="306">
        <f>(143*KFC!$B$23*1.02*1.2+KFC!$C$23)*KFC!$C$5</f>
        <v>175.03200000000001</v>
      </c>
      <c r="M125" s="306">
        <f>(147.4*KFC!$B$23*1.02*1.2+KFC!$C$23)*KFC!$C$5</f>
        <v>180.41760000000002</v>
      </c>
      <c r="N125" s="306">
        <f>(151.7*KFC!$B$23*1.02*1.2+KFC!$C$23)*KFC!$C$5</f>
        <v>185.68079999999998</v>
      </c>
      <c r="O125" s="306">
        <f>(156*KFC!$B$23*1.02*1.2+KFC!$C$23)*KFC!$C$5</f>
        <v>190.94399999999999</v>
      </c>
      <c r="P125" s="306">
        <f>(160.4*KFC!$B$23*1.02*1.2+KFC!$C$23)*KFC!$C$5</f>
        <v>196.3296</v>
      </c>
      <c r="Q125" s="306">
        <f>(164.7*KFC!$B$23*1.02*1.2+KFC!$C$23)*KFC!$C$5</f>
        <v>201.59279999999998</v>
      </c>
      <c r="R125" s="306">
        <f>(169.1*KFC!$B$23*1.02*1.2+KFC!$C$23)*KFC!$C$5</f>
        <v>206.97839999999999</v>
      </c>
      <c r="S125" s="306">
        <f>(173.4*KFC!$B$23*1.02*1.2+KFC!$C$23)*KFC!$C$5</f>
        <v>212.24159999999998</v>
      </c>
      <c r="T125" s="306">
        <f>(177.7*KFC!$B$23*1.02*1.2+KFC!$C$23)*KFC!$C$5</f>
        <v>217.50479999999999</v>
      </c>
      <c r="U125" s="306">
        <f>(182.1*KFC!$B$23*1.02*1.2+KFC!$C$23)*KFC!$C$5</f>
        <v>222.89039999999997</v>
      </c>
      <c r="V125" s="306">
        <f>(186.4*KFC!$B$23*1.02*1.2+KFC!$C$23)*KFC!$C$5</f>
        <v>228.15360000000001</v>
      </c>
      <c r="W125" s="306">
        <f>(190.7*KFC!$B$23*1.02*1.2+KFC!$C$23)*KFC!$C$5</f>
        <v>233.41679999999997</v>
      </c>
      <c r="X125" s="306">
        <f>(195.1*KFC!$B$23*1.02*1.2+KFC!$C$23)*KFC!$C$5</f>
        <v>238.80240000000001</v>
      </c>
      <c r="Y125" s="306">
        <f>(199.4*KFC!$B$23*1.02*1.2+KFC!$C$23)*KFC!$C$5</f>
        <v>244.06559999999999</v>
      </c>
      <c r="Z125" s="306">
        <f>(203.8*KFC!$B$23*1.02*1.2+KFC!$C$23)*KFC!$C$5</f>
        <v>249.4512</v>
      </c>
      <c r="AA125" s="306">
        <f>(208.1*KFC!$B$23*1.02*1.2+KFC!$C$23)*KFC!$C$5</f>
        <v>254.71439999999998</v>
      </c>
      <c r="AB125" s="306">
        <f>(212.4*KFC!$B$23*1.02*1.2+KFC!$C$23)*KFC!$C$5</f>
        <v>259.9776</v>
      </c>
      <c r="AC125" s="306">
        <f>(216.8*KFC!$B$23*1.02*1.2+KFC!$C$23)*KFC!$C$5</f>
        <v>265.36320000000001</v>
      </c>
      <c r="AD125" s="306">
        <f>(221.1*KFC!$B$23*1.02*1.2+KFC!$C$23)*KFC!$C$5</f>
        <v>270.62639999999999</v>
      </c>
      <c r="AE125" s="306">
        <f>(225.5*KFC!$B$23*1.02*1.2+KFC!$C$23)*KFC!$C$5</f>
        <v>276.012</v>
      </c>
      <c r="AF125" s="306">
        <f>(229.8*KFC!$B$23*1.02*1.2+KFC!$C$23)*KFC!$C$5</f>
        <v>281.27519999999998</v>
      </c>
      <c r="AG125" s="306">
        <f>(234.1*KFC!$B$23*1.02*1.2+KFC!$C$23)*KFC!$C$5</f>
        <v>286.53840000000002</v>
      </c>
      <c r="AH125" s="307">
        <f>(238.5*KFC!$B$23*1.02*1.2+KFC!$C$23)*KFC!$C$5</f>
        <v>291.92399999999998</v>
      </c>
    </row>
    <row r="126" spans="1:34" ht="13.8" thickBot="1">
      <c r="A126" s="218"/>
      <c r="B126" s="218"/>
      <c r="C126" s="218"/>
      <c r="D126" s="218"/>
      <c r="E126" s="218"/>
      <c r="F126" s="218"/>
      <c r="G126" s="218"/>
      <c r="H126" s="218"/>
      <c r="I126" s="218"/>
      <c r="J126" s="218"/>
      <c r="K126" s="218"/>
      <c r="L126" s="218"/>
      <c r="M126" s="218"/>
      <c r="N126" s="218"/>
      <c r="O126" s="218"/>
      <c r="P126" s="218"/>
      <c r="Q126" s="218"/>
      <c r="R126" s="218"/>
      <c r="S126" s="218"/>
      <c r="T126" s="218"/>
      <c r="U126" s="218"/>
      <c r="V126" s="218"/>
      <c r="W126" s="218"/>
      <c r="X126" s="218"/>
      <c r="Y126" s="218"/>
      <c r="Z126" s="218"/>
      <c r="AA126" s="218"/>
      <c r="AB126" s="218"/>
      <c r="AC126" s="218"/>
      <c r="AD126" s="218"/>
      <c r="AE126" s="218"/>
      <c r="AF126" s="218"/>
      <c r="AG126" s="218"/>
      <c r="AH126" s="218"/>
    </row>
    <row r="127" spans="1:34" ht="13.8" thickBot="1">
      <c r="A127" s="200"/>
      <c r="B127" s="200"/>
      <c r="C127" s="200"/>
      <c r="D127" s="200"/>
      <c r="E127" s="200"/>
      <c r="F127" s="200"/>
      <c r="G127" s="200"/>
      <c r="H127" s="200"/>
      <c r="I127" s="200"/>
      <c r="J127" s="200"/>
      <c r="K127" s="200"/>
      <c r="L127" s="200"/>
      <c r="M127" s="200"/>
      <c r="N127" s="200"/>
      <c r="O127" s="200"/>
      <c r="P127" s="200"/>
      <c r="Q127" s="200"/>
      <c r="R127" s="200"/>
      <c r="S127" s="200"/>
      <c r="T127" s="200"/>
      <c r="U127" s="200"/>
      <c r="V127" s="200"/>
      <c r="W127" s="200"/>
      <c r="X127" s="200"/>
      <c r="Y127" s="200"/>
      <c r="Z127" s="200"/>
      <c r="AA127" s="200"/>
      <c r="AB127" s="200"/>
      <c r="AC127" s="200"/>
      <c r="AD127" s="200"/>
      <c r="AE127" s="200"/>
      <c r="AF127" s="200"/>
      <c r="AG127" s="200"/>
      <c r="AH127" s="200"/>
    </row>
    <row r="128" spans="1:34" ht="13.8" thickBot="1">
      <c r="A128" s="1413" t="s">
        <v>315</v>
      </c>
      <c r="B128" s="1601"/>
      <c r="C128" s="1534" t="s">
        <v>207</v>
      </c>
      <c r="D128" s="1535"/>
      <c r="E128" s="1535"/>
      <c r="F128" s="1535"/>
      <c r="G128" s="1535"/>
      <c r="H128" s="1535"/>
      <c r="I128" s="1535"/>
      <c r="J128" s="1535"/>
      <c r="K128" s="1535"/>
      <c r="L128" s="1535"/>
      <c r="M128" s="1535"/>
      <c r="N128" s="1535"/>
      <c r="O128" s="1535"/>
      <c r="P128" s="1535"/>
      <c r="Q128" s="1535"/>
      <c r="R128" s="1535"/>
      <c r="S128" s="1535"/>
      <c r="T128" s="1535"/>
      <c r="U128" s="1535"/>
      <c r="V128" s="1535"/>
      <c r="W128" s="1535"/>
      <c r="X128" s="1535"/>
      <c r="Y128" s="1535"/>
      <c r="Z128" s="1535"/>
      <c r="AA128" s="1535"/>
      <c r="AB128" s="1535"/>
      <c r="AC128" s="1535"/>
      <c r="AD128" s="1535"/>
      <c r="AE128" s="1535"/>
      <c r="AF128" s="1535"/>
      <c r="AG128" s="1535"/>
      <c r="AH128" s="1536"/>
    </row>
    <row r="129" spans="1:34" ht="13.8" thickBot="1">
      <c r="A129" s="1778"/>
      <c r="B129" s="1779"/>
      <c r="C129" s="341">
        <v>0.7</v>
      </c>
      <c r="D129" s="341">
        <v>0.8</v>
      </c>
      <c r="E129" s="341">
        <v>0.9</v>
      </c>
      <c r="F129" s="341">
        <v>1</v>
      </c>
      <c r="G129" s="341">
        <v>1.1000000000000001</v>
      </c>
      <c r="H129" s="341">
        <v>1.2</v>
      </c>
      <c r="I129" s="341">
        <v>1.3</v>
      </c>
      <c r="J129" s="341">
        <v>1.4</v>
      </c>
      <c r="K129" s="341">
        <v>1.5</v>
      </c>
      <c r="L129" s="341">
        <v>1.6</v>
      </c>
      <c r="M129" s="341">
        <v>1.7</v>
      </c>
      <c r="N129" s="341">
        <v>1.8</v>
      </c>
      <c r="O129" s="341">
        <v>1.9</v>
      </c>
      <c r="P129" s="341">
        <v>2</v>
      </c>
      <c r="Q129" s="341">
        <v>2.1</v>
      </c>
      <c r="R129" s="341">
        <v>2.2000000000000002</v>
      </c>
      <c r="S129" s="341">
        <v>2.2999999999999998</v>
      </c>
      <c r="T129" s="341">
        <v>2.4</v>
      </c>
      <c r="U129" s="341">
        <v>2.5</v>
      </c>
      <c r="V129" s="341">
        <v>2.6</v>
      </c>
      <c r="W129" s="341">
        <v>2.7</v>
      </c>
      <c r="X129" s="341">
        <v>2.8</v>
      </c>
      <c r="Y129" s="341">
        <v>2.9</v>
      </c>
      <c r="Z129" s="342">
        <v>3</v>
      </c>
      <c r="AA129" s="340">
        <v>3.1</v>
      </c>
      <c r="AB129" s="341">
        <v>3.2</v>
      </c>
      <c r="AC129" s="341">
        <v>3.3</v>
      </c>
      <c r="AD129" s="341">
        <v>3.4</v>
      </c>
      <c r="AE129" s="341">
        <v>3.5</v>
      </c>
      <c r="AF129" s="341">
        <v>3.6</v>
      </c>
      <c r="AG129" s="341">
        <v>3.7</v>
      </c>
      <c r="AH129" s="341">
        <v>3.8</v>
      </c>
    </row>
    <row r="130" spans="1:34">
      <c r="A130" s="1780" t="s">
        <v>3</v>
      </c>
      <c r="B130" s="391">
        <v>0.5</v>
      </c>
      <c r="C130" s="274">
        <f>(78.3*KFC!$B$23*1.02*1.25+KFC!$C$23)*KFC!$C$5</f>
        <v>99.832499999999996</v>
      </c>
      <c r="D130" s="301">
        <f>(79.9*KFC!$B$23*1.02*1.25+KFC!$C$23)*KFC!$C$5</f>
        <v>101.8725</v>
      </c>
      <c r="E130" s="301">
        <f>(81.5*KFC!$B$23*1.02*1.25+KFC!$C$23)*KFC!$C$5</f>
        <v>103.91249999999999</v>
      </c>
      <c r="F130" s="301">
        <f>(83.1*KFC!$B$23*1.02*1.25+KFC!$C$23)*KFC!$C$5</f>
        <v>105.9525</v>
      </c>
      <c r="G130" s="301">
        <f>(84.7*KFC!$B$23*1.02*1.25+KFC!$C$23)*KFC!$C$5</f>
        <v>107.99250000000001</v>
      </c>
      <c r="H130" s="301">
        <f>(86.4*KFC!$B$23*1.02*1.25+KFC!$C$23)*KFC!$C$5</f>
        <v>110.16000000000003</v>
      </c>
      <c r="I130" s="301">
        <f>(88*KFC!$B$23*1.02*1.25+KFC!$C$23)*KFC!$C$5</f>
        <v>112.2</v>
      </c>
      <c r="J130" s="301">
        <f>(89.6*KFC!$B$23*1.02*1.25+KFC!$C$23)*KFC!$C$5</f>
        <v>114.24</v>
      </c>
      <c r="K130" s="301">
        <f>(91.2*KFC!$B$23*1.02*1.25+KFC!$C$23)*KFC!$C$5</f>
        <v>116.28</v>
      </c>
      <c r="L130" s="301">
        <f>(92.8*KFC!$B$23*1.02*1.25+KFC!$C$23)*KFC!$C$5</f>
        <v>118.32</v>
      </c>
      <c r="M130" s="301">
        <f>(94.4*KFC!$B$23*1.02*1.25+KFC!$C$23)*KFC!$C$5</f>
        <v>120.36000000000001</v>
      </c>
      <c r="N130" s="301">
        <f>(96.1*KFC!$B$23*1.02*1.25+KFC!$C$23)*KFC!$C$5</f>
        <v>122.52749999999999</v>
      </c>
      <c r="O130" s="301">
        <f>(97.7*KFC!$B$23*1.02*1.25+KFC!$C$23)*KFC!$C$5</f>
        <v>124.56750000000001</v>
      </c>
      <c r="P130" s="301">
        <f>(99.3*KFC!$B$23*1.02*1.25+KFC!$C$23)*KFC!$C$5</f>
        <v>126.6075</v>
      </c>
      <c r="Q130" s="301">
        <f>(100.9*KFC!$B$23*1.02*1.25+KFC!$C$23)*KFC!$C$5</f>
        <v>128.64750000000001</v>
      </c>
      <c r="R130" s="301">
        <f>(102.5*KFC!$B$23*1.02*1.25+KFC!$C$23)*KFC!$C$5</f>
        <v>130.6875</v>
      </c>
      <c r="S130" s="301">
        <f>(104.2*KFC!$B$23*1.02*1.25+KFC!$C$23)*KFC!$C$5</f>
        <v>132.85500000000002</v>
      </c>
      <c r="T130" s="301">
        <f>(105.8*KFC!$B$23*1.02*1.25+KFC!$C$23)*KFC!$C$5</f>
        <v>134.89499999999998</v>
      </c>
      <c r="U130" s="301">
        <f>(107.4*KFC!$B$23*1.02*1.25+KFC!$C$23)*KFC!$C$5</f>
        <v>136.935</v>
      </c>
      <c r="V130" s="301">
        <f>(109*KFC!$B$23*1.02*1.25+KFC!$C$23)*KFC!$C$5</f>
        <v>138.97500000000002</v>
      </c>
      <c r="W130" s="301">
        <f>(110.6*KFC!$B$23*1.02*1.25+KFC!$C$23)*KFC!$C$5</f>
        <v>141.01499999999999</v>
      </c>
      <c r="X130" s="301">
        <f>(112.2*KFC!$B$23*1.02*1.25+KFC!$C$23)*KFC!$C$5</f>
        <v>143.05500000000001</v>
      </c>
      <c r="Y130" s="301">
        <f>(113.9*KFC!$B$23*1.02*1.25+KFC!$C$23)*KFC!$C$5</f>
        <v>145.22250000000003</v>
      </c>
      <c r="Z130" s="301">
        <f>(115.5*KFC!$B$23*1.02*1.25+KFC!$C$23)*KFC!$C$5</f>
        <v>147.26249999999999</v>
      </c>
      <c r="AA130" s="301">
        <f>(117.1*KFC!$B$23*1.02*1.25+KFC!$C$23)*KFC!$C$5</f>
        <v>149.30249999999998</v>
      </c>
      <c r="AB130" s="301">
        <f>(118.7*KFC!$B$23*1.02*1.25+KFC!$C$23)*KFC!$C$5</f>
        <v>151.3425</v>
      </c>
      <c r="AC130" s="301">
        <f>(120.3*KFC!$B$23*1.02*1.25+KFC!$C$23)*KFC!$C$5</f>
        <v>153.38249999999999</v>
      </c>
      <c r="AD130" s="301">
        <f>(121.9*KFC!$B$23*1.02*1.25+KFC!$C$23)*KFC!$C$5</f>
        <v>155.42250000000001</v>
      </c>
      <c r="AE130" s="301">
        <f>(123.6*KFC!$B$23*1.02*1.25+KFC!$C$23)*KFC!$C$5</f>
        <v>157.59</v>
      </c>
      <c r="AF130" s="301">
        <f>(125.2*KFC!$B$23*1.02*1.25+KFC!$C$23)*KFC!$C$5</f>
        <v>159.63</v>
      </c>
      <c r="AG130" s="301">
        <f>(126.8*KFC!$B$23*1.02*1.25+KFC!$C$23)*KFC!$C$5</f>
        <v>161.67000000000002</v>
      </c>
      <c r="AH130" s="302">
        <f>(128.4*KFC!$B$23*1.02*1.25+KFC!$C$23)*KFC!$C$5</f>
        <v>163.71000000000004</v>
      </c>
    </row>
    <row r="131" spans="1:34">
      <c r="A131" s="1781"/>
      <c r="B131" s="392">
        <v>0.6</v>
      </c>
      <c r="C131" s="303">
        <f>(79.1*KFC!$B$23*1.02*1.25+KFC!$C$23)*KFC!$C$5</f>
        <v>100.85250000000001</v>
      </c>
      <c r="D131" s="300">
        <f>(80.8*KFC!$B$23*1.02*1.25+KFC!$C$23)*KFC!$C$5</f>
        <v>103.02</v>
      </c>
      <c r="E131" s="300">
        <f>(82.6*KFC!$B$23*1.02*1.25+KFC!$C$23)*KFC!$C$5</f>
        <v>105.315</v>
      </c>
      <c r="F131" s="300">
        <f>(84.3*KFC!$B$23*1.02*1.25+KFC!$C$23)*KFC!$C$5</f>
        <v>107.4825</v>
      </c>
      <c r="G131" s="300">
        <f>(86*KFC!$B$23*1.02*1.25+KFC!$C$23)*KFC!$C$5</f>
        <v>109.65</v>
      </c>
      <c r="H131" s="300">
        <f>(87.8*KFC!$B$23*1.02*1.25+KFC!$C$23)*KFC!$C$5</f>
        <v>111.94499999999999</v>
      </c>
      <c r="I131" s="300">
        <f>(89.5*KFC!$B$23*1.02*1.25+KFC!$C$23)*KFC!$C$5</f>
        <v>114.11250000000001</v>
      </c>
      <c r="J131" s="300">
        <f>(91.2*KFC!$B$23*1.02*1.25+KFC!$C$23)*KFC!$C$5</f>
        <v>116.28</v>
      </c>
      <c r="K131" s="300">
        <f>(93*KFC!$B$23*1.02*1.25+KFC!$C$23)*KFC!$C$5</f>
        <v>118.575</v>
      </c>
      <c r="L131" s="300">
        <f>(94.7*KFC!$B$23*1.02*1.25+KFC!$C$23)*KFC!$C$5</f>
        <v>120.74250000000001</v>
      </c>
      <c r="M131" s="300">
        <f>(96.4*KFC!$B$23*1.02*1.25+KFC!$C$23)*KFC!$C$5</f>
        <v>122.91</v>
      </c>
      <c r="N131" s="300">
        <f>(98.1*KFC!$B$23*1.02*1.25+KFC!$C$23)*KFC!$C$5</f>
        <v>125.0775</v>
      </c>
      <c r="O131" s="300">
        <f>(99.9*KFC!$B$23*1.02*1.25+KFC!$C$23)*KFC!$C$5</f>
        <v>127.37250000000002</v>
      </c>
      <c r="P131" s="300">
        <f>(101.6*KFC!$B$23*1.02*1.25+KFC!$C$23)*KFC!$C$5</f>
        <v>129.54</v>
      </c>
      <c r="Q131" s="300">
        <f>(103.3*KFC!$B$23*1.02*1.25+KFC!$C$23)*KFC!$C$5</f>
        <v>131.70750000000001</v>
      </c>
      <c r="R131" s="300">
        <f>(105.1*KFC!$B$23*1.02*1.25+KFC!$C$23)*KFC!$C$5</f>
        <v>134.0025</v>
      </c>
      <c r="S131" s="300">
        <f>(106.8*KFC!$B$23*1.02*1.25+KFC!$C$23)*KFC!$C$5</f>
        <v>136.16999999999999</v>
      </c>
      <c r="T131" s="300">
        <f>(108.5*KFC!$B$23*1.02*1.25+KFC!$C$23)*KFC!$C$5</f>
        <v>138.33750000000001</v>
      </c>
      <c r="U131" s="300">
        <f>(110.3*KFC!$B$23*1.02*1.25+KFC!$C$23)*KFC!$C$5</f>
        <v>140.63249999999999</v>
      </c>
      <c r="V131" s="300">
        <f>(112*KFC!$B$23*1.02*1.25+KFC!$C$23)*KFC!$C$5</f>
        <v>142.80000000000001</v>
      </c>
      <c r="W131" s="300">
        <f>(113.7*KFC!$B$23*1.02*1.25+KFC!$C$23)*KFC!$C$5</f>
        <v>144.9675</v>
      </c>
      <c r="X131" s="300">
        <f>(115.4*KFC!$B$23*1.02*1.25+KFC!$C$23)*KFC!$C$5</f>
        <v>147.13500000000002</v>
      </c>
      <c r="Y131" s="300">
        <f>(117.2*KFC!$B$23*1.02*1.25+KFC!$C$23)*KFC!$C$5</f>
        <v>149.43</v>
      </c>
      <c r="Z131" s="300">
        <f>(118.9*KFC!$B$23*1.02*1.25+KFC!$C$23)*KFC!$C$5</f>
        <v>151.5975</v>
      </c>
      <c r="AA131" s="300">
        <f>(120.6*KFC!$B$23*1.02*1.25+KFC!$C$23)*KFC!$C$5</f>
        <v>153.76499999999999</v>
      </c>
      <c r="AB131" s="300">
        <f>(122.4*KFC!$B$23*1.02*1.25+KFC!$C$23)*KFC!$C$5</f>
        <v>156.06</v>
      </c>
      <c r="AC131" s="300">
        <f>(124.1*KFC!$B$23*1.02*1.25+KFC!$C$23)*KFC!$C$5</f>
        <v>158.22749999999999</v>
      </c>
      <c r="AD131" s="300">
        <f>(125.8*KFC!$B$23*1.02*1.25+KFC!$C$23)*KFC!$C$5</f>
        <v>160.39500000000001</v>
      </c>
      <c r="AE131" s="300">
        <f>(127.6*KFC!$B$23*1.02*1.25+KFC!$C$23)*KFC!$C$5</f>
        <v>162.69</v>
      </c>
      <c r="AF131" s="300">
        <f>(129.3*KFC!$B$23*1.02*1.25+KFC!$C$23)*KFC!$C$5</f>
        <v>164.85750000000002</v>
      </c>
      <c r="AG131" s="300">
        <f>(131*KFC!$B$23*1.02*1.25+KFC!$C$23)*KFC!$C$5</f>
        <v>167.02500000000001</v>
      </c>
      <c r="AH131" s="304">
        <f>(132.8*KFC!$B$23*1.02*1.25+KFC!$C$23)*KFC!$C$5</f>
        <v>169.32000000000002</v>
      </c>
    </row>
    <row r="132" spans="1:34">
      <c r="A132" s="1781"/>
      <c r="B132" s="392">
        <v>0.7</v>
      </c>
      <c r="C132" s="303">
        <f>(80*KFC!$B$23*1.02*1.25+KFC!$C$23)*KFC!$C$5</f>
        <v>102</v>
      </c>
      <c r="D132" s="300">
        <f>(81.8*KFC!$B$23*1.02*1.25+KFC!$C$23)*KFC!$C$5</f>
        <v>104.29499999999999</v>
      </c>
      <c r="E132" s="300">
        <f>(83.6*KFC!$B$23*1.02*1.25+KFC!$C$23)*KFC!$C$5</f>
        <v>106.58999999999999</v>
      </c>
      <c r="F132" s="300">
        <f>(85.5*KFC!$B$23*1.02*1.25+KFC!$C$23)*KFC!$C$5</f>
        <v>109.01250000000002</v>
      </c>
      <c r="G132" s="300">
        <f>(87.3*KFC!$B$23*1.02*1.25+KFC!$C$23)*KFC!$C$5</f>
        <v>111.30749999999999</v>
      </c>
      <c r="H132" s="300">
        <f>(89.2*KFC!$B$23*1.02*1.25+KFC!$C$23)*KFC!$C$5</f>
        <v>113.73000000000002</v>
      </c>
      <c r="I132" s="300">
        <f>(91*KFC!$B$23*1.02*1.25+KFC!$C$23)*KFC!$C$5</f>
        <v>116.02500000000001</v>
      </c>
      <c r="J132" s="300">
        <f>(92.9*KFC!$B$23*1.02*1.25+KFC!$C$23)*KFC!$C$5</f>
        <v>118.44750000000002</v>
      </c>
      <c r="K132" s="300">
        <f>(94.7*KFC!$B$23*1.02*1.25+KFC!$C$23)*KFC!$C$5</f>
        <v>120.74250000000001</v>
      </c>
      <c r="L132" s="300">
        <f>(96.5*KFC!$B$23*1.02*1.25+KFC!$C$23)*KFC!$C$5</f>
        <v>123.03750000000001</v>
      </c>
      <c r="M132" s="300">
        <f>(98.4*KFC!$B$23*1.02*1.25+KFC!$C$23)*KFC!$C$5</f>
        <v>125.46000000000001</v>
      </c>
      <c r="N132" s="300">
        <f>(100.2*KFC!$B$23*1.02*1.25+KFC!$C$23)*KFC!$C$5</f>
        <v>127.75500000000001</v>
      </c>
      <c r="O132" s="300">
        <f>(102.1*KFC!$B$23*1.02*1.25+KFC!$C$23)*KFC!$C$5</f>
        <v>130.17750000000001</v>
      </c>
      <c r="P132" s="300">
        <f>(103.9*KFC!$B$23*1.02*1.25+KFC!$C$23)*KFC!$C$5</f>
        <v>132.47250000000003</v>
      </c>
      <c r="Q132" s="300">
        <f>(105.8*KFC!$B$23*1.02*1.25+KFC!$C$23)*KFC!$C$5</f>
        <v>134.89499999999998</v>
      </c>
      <c r="R132" s="300">
        <f>(107.6*KFC!$B$23*1.02*1.25+KFC!$C$23)*KFC!$C$5</f>
        <v>137.19</v>
      </c>
      <c r="S132" s="300">
        <f>(109.4*KFC!$B$23*1.02*1.25+KFC!$C$23)*KFC!$C$5</f>
        <v>139.48500000000001</v>
      </c>
      <c r="T132" s="300">
        <f>(111.3*KFC!$B$23*1.02*1.25+KFC!$C$23)*KFC!$C$5</f>
        <v>141.9075</v>
      </c>
      <c r="U132" s="300">
        <f>(113.1*KFC!$B$23*1.02*1.25+KFC!$C$23)*KFC!$C$5</f>
        <v>144.20249999999999</v>
      </c>
      <c r="V132" s="300">
        <f>(115*KFC!$B$23*1.02*1.25+KFC!$C$23)*KFC!$C$5</f>
        <v>146.625</v>
      </c>
      <c r="W132" s="300">
        <f>(116.8*KFC!$B$23*1.02*1.25+KFC!$C$23)*KFC!$C$5</f>
        <v>148.91999999999999</v>
      </c>
      <c r="X132" s="300">
        <f>(118.7*KFC!$B$23*1.02*1.25+KFC!$C$23)*KFC!$C$5</f>
        <v>151.3425</v>
      </c>
      <c r="Y132" s="300">
        <f>(120.5*KFC!$B$23*1.02*1.25+KFC!$C$23)*KFC!$C$5</f>
        <v>153.63749999999999</v>
      </c>
      <c r="Z132" s="300">
        <f>(122.3*KFC!$B$23*1.02*1.25+KFC!$C$23)*KFC!$C$5</f>
        <v>155.9325</v>
      </c>
      <c r="AA132" s="300">
        <f>(124.2*KFC!$B$23*1.02*1.25+KFC!$C$23)*KFC!$C$5</f>
        <v>158.35500000000002</v>
      </c>
      <c r="AB132" s="300">
        <f>(126*KFC!$B$23*1.02*1.25+KFC!$C$23)*KFC!$C$5</f>
        <v>160.65</v>
      </c>
      <c r="AC132" s="300">
        <f>(127.9*KFC!$B$23*1.02*1.25+KFC!$C$23)*KFC!$C$5</f>
        <v>163.07249999999999</v>
      </c>
      <c r="AD132" s="300">
        <f>(129.7*KFC!$B$23*1.02*1.25+KFC!$C$23)*KFC!$C$5</f>
        <v>165.36749999999998</v>
      </c>
      <c r="AE132" s="300">
        <f>(131.6*KFC!$B$23*1.02*1.25+KFC!$C$23)*KFC!$C$5</f>
        <v>167.79</v>
      </c>
      <c r="AF132" s="300">
        <f>(133.4*KFC!$B$23*1.02*1.25+KFC!$C$23)*KFC!$C$5</f>
        <v>170.08500000000001</v>
      </c>
      <c r="AG132" s="300">
        <f>(135.2*KFC!$B$23*1.02*1.25+KFC!$C$23)*KFC!$C$5</f>
        <v>172.38</v>
      </c>
      <c r="AH132" s="304">
        <f>(137.1*KFC!$B$23*1.02*1.25+KFC!$C$23)*KFC!$C$5</f>
        <v>174.80249999999998</v>
      </c>
    </row>
    <row r="133" spans="1:34">
      <c r="A133" s="1781"/>
      <c r="B133" s="392">
        <v>0.8</v>
      </c>
      <c r="C133" s="303">
        <f>(80.8*KFC!$B$23*1.02*1.25+KFC!$C$23)*KFC!$C$5</f>
        <v>103.02</v>
      </c>
      <c r="D133" s="300">
        <f>(82.8*KFC!$B$23*1.02*1.25+KFC!$C$23)*KFC!$C$5</f>
        <v>105.57000000000001</v>
      </c>
      <c r="E133" s="300">
        <f>(84.7*KFC!$B$23*1.02*1.25+KFC!$C$23)*KFC!$C$5</f>
        <v>107.99250000000001</v>
      </c>
      <c r="F133" s="300">
        <f>(86.7*KFC!$B$23*1.02*1.25+KFC!$C$23)*KFC!$C$5</f>
        <v>110.54249999999999</v>
      </c>
      <c r="G133" s="300">
        <f>(88.6*KFC!$B$23*1.02*1.25+KFC!$C$23)*KFC!$C$5</f>
        <v>112.965</v>
      </c>
      <c r="H133" s="300">
        <f>(90.6*KFC!$B$23*1.02*1.25+KFC!$C$23)*KFC!$C$5</f>
        <v>115.51499999999999</v>
      </c>
      <c r="I133" s="300">
        <f>(92.5*KFC!$B$23*1.02*1.25+KFC!$C$23)*KFC!$C$5</f>
        <v>117.93750000000001</v>
      </c>
      <c r="J133" s="300">
        <f>(94.5*KFC!$B$23*1.02*1.25+KFC!$C$23)*KFC!$C$5</f>
        <v>120.4875</v>
      </c>
      <c r="K133" s="300">
        <f>(96.4*KFC!$B$23*1.02*1.25+KFC!$C$23)*KFC!$C$5</f>
        <v>122.91</v>
      </c>
      <c r="L133" s="300">
        <f>(98.4*KFC!$B$23*1.02*1.25+KFC!$C$23)*KFC!$C$5</f>
        <v>125.46000000000001</v>
      </c>
      <c r="M133" s="300">
        <f>(100.4*KFC!$B$23*1.02*1.25+KFC!$C$23)*KFC!$C$5</f>
        <v>128.01</v>
      </c>
      <c r="N133" s="300">
        <f>(102.3*KFC!$B$23*1.02*1.25+KFC!$C$23)*KFC!$C$5</f>
        <v>130.4325</v>
      </c>
      <c r="O133" s="300">
        <f>(104.3*KFC!$B$23*1.02*1.25+KFC!$C$23)*KFC!$C$5</f>
        <v>132.98249999999999</v>
      </c>
      <c r="P133" s="300">
        <f>(106.2*KFC!$B$23*1.02*1.25+KFC!$C$23)*KFC!$C$5</f>
        <v>135.405</v>
      </c>
      <c r="Q133" s="300">
        <f>(108.2*KFC!$B$23*1.02*1.25+KFC!$C$23)*KFC!$C$5</f>
        <v>137.95500000000001</v>
      </c>
      <c r="R133" s="300">
        <f>(110.1*KFC!$B$23*1.02*1.25+KFC!$C$23)*KFC!$C$5</f>
        <v>140.3775</v>
      </c>
      <c r="S133" s="300">
        <f>(112.1*KFC!$B$23*1.02*1.25+KFC!$C$23)*KFC!$C$5</f>
        <v>142.92750000000001</v>
      </c>
      <c r="T133" s="300">
        <f>(114*KFC!$B$23*1.02*1.25+KFC!$C$23)*KFC!$C$5</f>
        <v>145.35</v>
      </c>
      <c r="U133" s="300">
        <f>(116*KFC!$B$23*1.02*1.25+KFC!$C$23)*KFC!$C$5</f>
        <v>147.9</v>
      </c>
      <c r="V133" s="300">
        <f>(118*KFC!$B$23*1.02*1.25+KFC!$C$23)*KFC!$C$5</f>
        <v>150.44999999999999</v>
      </c>
      <c r="W133" s="300">
        <f>(119.9*KFC!$B$23*1.02*1.25+KFC!$C$23)*KFC!$C$5</f>
        <v>152.8725</v>
      </c>
      <c r="X133" s="300">
        <f>(121.9*KFC!$B$23*1.02*1.25+KFC!$C$23)*KFC!$C$5</f>
        <v>155.42250000000001</v>
      </c>
      <c r="Y133" s="300">
        <f>(123.8*KFC!$B$23*1.02*1.25+KFC!$C$23)*KFC!$C$5</f>
        <v>157.845</v>
      </c>
      <c r="Z133" s="300">
        <f>(125.8*KFC!$B$23*1.02*1.25+KFC!$C$23)*KFC!$C$5</f>
        <v>160.39500000000001</v>
      </c>
      <c r="AA133" s="300">
        <f>(127.7*KFC!$B$23*1.02*1.25+KFC!$C$23)*KFC!$C$5</f>
        <v>162.81750000000002</v>
      </c>
      <c r="AB133" s="300">
        <f>(129.7*KFC!$B$23*1.02*1.25+KFC!$C$23)*KFC!$C$5</f>
        <v>165.36749999999998</v>
      </c>
      <c r="AC133" s="300">
        <f>(131.6*KFC!$B$23*1.02*1.25+KFC!$C$23)*KFC!$C$5</f>
        <v>167.79</v>
      </c>
      <c r="AD133" s="300">
        <f>(133.6*KFC!$B$23*1.02*1.25+KFC!$C$23)*KFC!$C$5</f>
        <v>170.33999999999997</v>
      </c>
      <c r="AE133" s="300">
        <f>(135.6*KFC!$B$23*1.02*1.25+KFC!$C$23)*KFC!$C$5</f>
        <v>172.89</v>
      </c>
      <c r="AF133" s="300">
        <f>(137.5*KFC!$B$23*1.02*1.25+KFC!$C$23)*KFC!$C$5</f>
        <v>175.3125</v>
      </c>
      <c r="AG133" s="300">
        <f>(139.5*KFC!$B$23*1.02*1.25+KFC!$C$23)*KFC!$C$5</f>
        <v>177.86249999999998</v>
      </c>
      <c r="AH133" s="304">
        <f>(141.4*KFC!$B$23*1.02*1.25+KFC!$C$23)*KFC!$C$5</f>
        <v>180.28500000000003</v>
      </c>
    </row>
    <row r="134" spans="1:34">
      <c r="A134" s="1781"/>
      <c r="B134" s="392">
        <v>0.9</v>
      </c>
      <c r="C134" s="303">
        <f>(81.7*KFC!$B$23*1.02*1.25+KFC!$C$23)*KFC!$C$5</f>
        <v>104.1675</v>
      </c>
      <c r="D134" s="300">
        <f>(83.7*KFC!$B$23*1.02*1.25+KFC!$C$23)*KFC!$C$5</f>
        <v>106.71750000000002</v>
      </c>
      <c r="E134" s="300">
        <f>(85.8*KFC!$B$23*1.02*1.25+KFC!$C$23)*KFC!$C$5</f>
        <v>109.39500000000001</v>
      </c>
      <c r="F134" s="300">
        <f>(87.9*KFC!$B$23*1.02*1.25+KFC!$C$23)*KFC!$C$5</f>
        <v>112.07250000000001</v>
      </c>
      <c r="G134" s="300">
        <f>(89.9*KFC!$B$23*1.02*1.25+KFC!$C$23)*KFC!$C$5</f>
        <v>114.6225</v>
      </c>
      <c r="H134" s="300">
        <f>(92*KFC!$B$23*1.02*1.25+KFC!$C$23)*KFC!$C$5</f>
        <v>117.30000000000001</v>
      </c>
      <c r="I134" s="300">
        <f>(94.1*KFC!$B$23*1.02*1.25+KFC!$C$23)*KFC!$C$5</f>
        <v>119.97749999999999</v>
      </c>
      <c r="J134" s="300">
        <f>(96.1*KFC!$B$23*1.02*1.25+KFC!$C$23)*KFC!$C$5</f>
        <v>122.52749999999999</v>
      </c>
      <c r="K134" s="300">
        <f>(98.2*KFC!$B$23*1.02*1.25+KFC!$C$23)*KFC!$C$5</f>
        <v>125.205</v>
      </c>
      <c r="L134" s="300">
        <f>(100.3*KFC!$B$23*1.02*1.25+KFC!$C$23)*KFC!$C$5</f>
        <v>127.88249999999999</v>
      </c>
      <c r="M134" s="300">
        <f>(102.3*KFC!$B$23*1.02*1.25+KFC!$C$23)*KFC!$C$5</f>
        <v>130.4325</v>
      </c>
      <c r="N134" s="300">
        <f>(104.4*KFC!$B$23*1.02*1.25+KFC!$C$23)*KFC!$C$5</f>
        <v>133.11000000000001</v>
      </c>
      <c r="O134" s="300">
        <f>(106.5*KFC!$B$23*1.02*1.25+KFC!$C$23)*KFC!$C$5</f>
        <v>135.78749999999999</v>
      </c>
      <c r="P134" s="300">
        <f>(108.5*KFC!$B$23*1.02*1.25+KFC!$C$23)*KFC!$C$5</f>
        <v>138.33750000000001</v>
      </c>
      <c r="Q134" s="300">
        <f>(110.6*KFC!$B$23*1.02*1.25+KFC!$C$23)*KFC!$C$5</f>
        <v>141.01499999999999</v>
      </c>
      <c r="R134" s="300">
        <f>(112.7*KFC!$B$23*1.02*1.25+KFC!$C$23)*KFC!$C$5</f>
        <v>143.6925</v>
      </c>
      <c r="S134" s="300">
        <f>(114.7*KFC!$B$23*1.02*1.25+KFC!$C$23)*KFC!$C$5</f>
        <v>146.24250000000001</v>
      </c>
      <c r="T134" s="300">
        <f>(116.8*KFC!$B$23*1.02*1.25+KFC!$C$23)*KFC!$C$5</f>
        <v>148.91999999999999</v>
      </c>
      <c r="U134" s="300">
        <f>(118.9*KFC!$B$23*1.02*1.25+KFC!$C$23)*KFC!$C$5</f>
        <v>151.5975</v>
      </c>
      <c r="V134" s="300">
        <f>(120.9*KFC!$B$23*1.02*1.25+KFC!$C$23)*KFC!$C$5</f>
        <v>154.14750000000001</v>
      </c>
      <c r="W134" s="300">
        <f>(123*KFC!$B$23*1.02*1.25+KFC!$C$23)*KFC!$C$5</f>
        <v>156.82500000000002</v>
      </c>
      <c r="X134" s="300">
        <f>(125.1*KFC!$B$23*1.02*1.25+KFC!$C$23)*KFC!$C$5</f>
        <v>159.5025</v>
      </c>
      <c r="Y134" s="300">
        <f>(127.1*KFC!$B$23*1.02*1.25+KFC!$C$23)*KFC!$C$5</f>
        <v>162.05250000000001</v>
      </c>
      <c r="Z134" s="300">
        <f>(129.2*KFC!$B$23*1.02*1.25+KFC!$C$23)*KFC!$C$5</f>
        <v>164.73</v>
      </c>
      <c r="AA134" s="300">
        <f>(131.3*KFC!$B$23*1.02*1.25+KFC!$C$23)*KFC!$C$5</f>
        <v>167.40750000000003</v>
      </c>
      <c r="AB134" s="300">
        <f>(133.4*KFC!$B$23*1.02*1.25+KFC!$C$23)*KFC!$C$5</f>
        <v>170.08500000000001</v>
      </c>
      <c r="AC134" s="300">
        <f>(135.4*KFC!$B$23*1.02*1.25+KFC!$C$23)*KFC!$C$5</f>
        <v>172.63499999999999</v>
      </c>
      <c r="AD134" s="300">
        <f>(137.5*KFC!$B$23*1.02*1.25+KFC!$C$23)*KFC!$C$5</f>
        <v>175.3125</v>
      </c>
      <c r="AE134" s="300">
        <f>(139.6*KFC!$B$23*1.02*1.25+KFC!$C$23)*KFC!$C$5</f>
        <v>177.99</v>
      </c>
      <c r="AF134" s="300">
        <f>(141.6*KFC!$B$23*1.02*1.25+KFC!$C$23)*KFC!$C$5</f>
        <v>180.54</v>
      </c>
      <c r="AG134" s="300">
        <f>(143.7*KFC!$B$23*1.02*1.25+KFC!$C$23)*KFC!$C$5</f>
        <v>183.21749999999997</v>
      </c>
      <c r="AH134" s="304">
        <f>(145.8*KFC!$B$23*1.02*1.25+KFC!$C$23)*KFC!$C$5</f>
        <v>185.89500000000001</v>
      </c>
    </row>
    <row r="135" spans="1:34">
      <c r="A135" s="1781"/>
      <c r="B135" s="392">
        <v>1</v>
      </c>
      <c r="C135" s="303">
        <f>(82.5*KFC!$B$23*1.02*1.25+KFC!$C$23)*KFC!$C$5</f>
        <v>105.1875</v>
      </c>
      <c r="D135" s="300">
        <f>(84.7*KFC!$B$23*1.02*1.25+KFC!$C$23)*KFC!$C$5</f>
        <v>107.99250000000001</v>
      </c>
      <c r="E135" s="300">
        <f>(86.9*KFC!$B$23*1.02*1.25+KFC!$C$23)*KFC!$C$5</f>
        <v>110.79750000000001</v>
      </c>
      <c r="F135" s="300">
        <f>(89*KFC!$B$23*1.02*1.25+KFC!$C$23)*KFC!$C$5</f>
        <v>113.47499999999999</v>
      </c>
      <c r="G135" s="300">
        <f>(91.2*KFC!$B$23*1.02*1.25+KFC!$C$23)*KFC!$C$5</f>
        <v>116.28</v>
      </c>
      <c r="H135" s="300">
        <f>(93.4*KFC!$B$23*1.02*1.25+KFC!$C$23)*KFC!$C$5</f>
        <v>119.08500000000001</v>
      </c>
      <c r="I135" s="300">
        <f>(95.6*KFC!$B$23*1.02*1.25+KFC!$C$23)*KFC!$C$5</f>
        <v>121.89</v>
      </c>
      <c r="J135" s="300">
        <f>(97.8*KFC!$B$23*1.02*1.25+KFC!$C$23)*KFC!$C$5</f>
        <v>124.69499999999999</v>
      </c>
      <c r="K135" s="300">
        <f>(99.9*KFC!$B$23*1.02*1.25+KFC!$C$23)*KFC!$C$5</f>
        <v>127.37250000000002</v>
      </c>
      <c r="L135" s="300">
        <f>(102.1*KFC!$B$23*1.02*1.25+KFC!$C$23)*KFC!$C$5</f>
        <v>130.17750000000001</v>
      </c>
      <c r="M135" s="300">
        <f>(104.3*KFC!$B$23*1.02*1.25+KFC!$C$23)*KFC!$C$5</f>
        <v>132.98249999999999</v>
      </c>
      <c r="N135" s="300">
        <f>(106.5*KFC!$B$23*1.02*1.25+KFC!$C$23)*KFC!$C$5</f>
        <v>135.78749999999999</v>
      </c>
      <c r="O135" s="300">
        <f>(108.7*KFC!$B$23*1.02*1.25+KFC!$C$23)*KFC!$C$5</f>
        <v>138.5925</v>
      </c>
      <c r="P135" s="300">
        <f>(110.8*KFC!$B$23*1.02*1.25+KFC!$C$23)*KFC!$C$5</f>
        <v>141.27000000000001</v>
      </c>
      <c r="Q135" s="300">
        <f>(113*KFC!$B$23*1.02*1.25+KFC!$C$23)*KFC!$C$5</f>
        <v>144.07500000000002</v>
      </c>
      <c r="R135" s="300">
        <f>(115.2*KFC!$B$23*1.02*1.25+KFC!$C$23)*KFC!$C$5</f>
        <v>146.88</v>
      </c>
      <c r="S135" s="300">
        <f>(117.4*KFC!$B$23*1.02*1.25+KFC!$C$23)*KFC!$C$5</f>
        <v>149.685</v>
      </c>
      <c r="T135" s="300">
        <f>(119.6*KFC!$B$23*1.02*1.25+KFC!$C$23)*KFC!$C$5</f>
        <v>152.48999999999998</v>
      </c>
      <c r="U135" s="300">
        <f>(121.7*KFC!$B$23*1.02*1.25+KFC!$C$23)*KFC!$C$5</f>
        <v>155.16749999999999</v>
      </c>
      <c r="V135" s="300">
        <f>(123.9*KFC!$B$23*1.02*1.25+KFC!$C$23)*KFC!$C$5</f>
        <v>157.97250000000003</v>
      </c>
      <c r="W135" s="300">
        <f>(126.1*KFC!$B$23*1.02*1.25+KFC!$C$23)*KFC!$C$5</f>
        <v>160.77749999999997</v>
      </c>
      <c r="X135" s="300">
        <f>(128.3*KFC!$B$23*1.02*1.25+KFC!$C$23)*KFC!$C$5</f>
        <v>163.58250000000001</v>
      </c>
      <c r="Y135" s="300">
        <f>(130.5*KFC!$B$23*1.02*1.25+KFC!$C$23)*KFC!$C$5</f>
        <v>166.38750000000002</v>
      </c>
      <c r="Z135" s="300">
        <f>(132.7*KFC!$B$23*1.02*1.25+KFC!$C$23)*KFC!$C$5</f>
        <v>169.1925</v>
      </c>
      <c r="AA135" s="300">
        <f>(134.8*KFC!$B$23*1.02*1.25+KFC!$C$23)*KFC!$C$5</f>
        <v>171.87</v>
      </c>
      <c r="AB135" s="300">
        <f>(137*KFC!$B$23*1.02*1.25+KFC!$C$23)*KFC!$C$5</f>
        <v>174.67500000000001</v>
      </c>
      <c r="AC135" s="300">
        <f>(139.2*KFC!$B$23*1.02*1.25+KFC!$C$23)*KFC!$C$5</f>
        <v>177.47999999999996</v>
      </c>
      <c r="AD135" s="300">
        <f>(141.4*KFC!$B$23*1.02*1.25+KFC!$C$23)*KFC!$C$5</f>
        <v>180.28500000000003</v>
      </c>
      <c r="AE135" s="300">
        <f>(143.6*KFC!$B$23*1.02*1.25+KFC!$C$23)*KFC!$C$5</f>
        <v>183.09</v>
      </c>
      <c r="AF135" s="300">
        <f>(145.7*KFC!$B$23*1.02*1.25+KFC!$C$23)*KFC!$C$5</f>
        <v>185.76750000000001</v>
      </c>
      <c r="AG135" s="300">
        <f>(147.9*KFC!$B$23*1.02*1.25+KFC!$C$23)*KFC!$C$5</f>
        <v>188.57249999999999</v>
      </c>
      <c r="AH135" s="304">
        <f>(150.1*KFC!$B$23*1.02*1.25+KFC!$C$23)*KFC!$C$5</f>
        <v>191.3775</v>
      </c>
    </row>
    <row r="136" spans="1:34">
      <c r="A136" s="1781"/>
      <c r="B136" s="392">
        <v>1.1000000000000001</v>
      </c>
      <c r="C136" s="303">
        <f>(83.3*KFC!$B$23*1.02*1.25+KFC!$C$23)*KFC!$C$5</f>
        <v>106.2075</v>
      </c>
      <c r="D136" s="300">
        <f>(85.6*KFC!$B$23*1.02*1.25+KFC!$C$23)*KFC!$C$5</f>
        <v>109.14</v>
      </c>
      <c r="E136" s="300">
        <f>(87.9*KFC!$B$23*1.02*1.25+KFC!$C$23)*KFC!$C$5</f>
        <v>112.07250000000001</v>
      </c>
      <c r="F136" s="300">
        <f>(90.2*KFC!$B$23*1.02*1.25+KFC!$C$23)*KFC!$C$5</f>
        <v>115.00500000000001</v>
      </c>
      <c r="G136" s="300">
        <f>(92.5*KFC!$B$23*1.02*1.25+KFC!$C$23)*KFC!$C$5</f>
        <v>117.93750000000001</v>
      </c>
      <c r="H136" s="300">
        <f>(94.8*KFC!$B$23*1.02*1.25+KFC!$C$23)*KFC!$C$5</f>
        <v>120.87</v>
      </c>
      <c r="I136" s="300">
        <f>(97.1*KFC!$B$23*1.02*1.25+KFC!$C$23)*KFC!$C$5</f>
        <v>123.80250000000001</v>
      </c>
      <c r="J136" s="300">
        <f>(99.4*KFC!$B$23*1.02*1.25+KFC!$C$23)*KFC!$C$5</f>
        <v>126.73500000000001</v>
      </c>
      <c r="K136" s="300">
        <f>(101.7*KFC!$B$23*1.02*1.25+KFC!$C$23)*KFC!$C$5</f>
        <v>129.66750000000002</v>
      </c>
      <c r="L136" s="300">
        <f>(104*KFC!$B$23*1.02*1.25+KFC!$C$23)*KFC!$C$5</f>
        <v>132.6</v>
      </c>
      <c r="M136" s="300">
        <f>(106.3*KFC!$B$23*1.02*1.25+KFC!$C$23)*KFC!$C$5</f>
        <v>135.5325</v>
      </c>
      <c r="N136" s="300">
        <f>(108.6*KFC!$B$23*1.02*1.25+KFC!$C$23)*KFC!$C$5</f>
        <v>138.46499999999997</v>
      </c>
      <c r="O136" s="300">
        <f>(110.9*KFC!$B$23*1.02*1.25+KFC!$C$23)*KFC!$C$5</f>
        <v>141.39750000000001</v>
      </c>
      <c r="P136" s="300">
        <f>(113.2*KFC!$B$23*1.02*1.25+KFC!$C$23)*KFC!$C$5</f>
        <v>144.32999999999998</v>
      </c>
      <c r="Q136" s="300">
        <f>(115.4*KFC!$B$23*1.02*1.25+KFC!$C$23)*KFC!$C$5</f>
        <v>147.13500000000002</v>
      </c>
      <c r="R136" s="300">
        <f>(117.7*KFC!$B$23*1.02*1.25+KFC!$C$23)*KFC!$C$5</f>
        <v>150.0675</v>
      </c>
      <c r="S136" s="300">
        <f>(120*KFC!$B$23*1.02*1.25+KFC!$C$23)*KFC!$C$5</f>
        <v>153</v>
      </c>
      <c r="T136" s="300">
        <f>(122.3*KFC!$B$23*1.02*1.25+KFC!$C$23)*KFC!$C$5</f>
        <v>155.9325</v>
      </c>
      <c r="U136" s="300">
        <f>(124.6*KFC!$B$23*1.02*1.25+KFC!$C$23)*KFC!$C$5</f>
        <v>158.86500000000001</v>
      </c>
      <c r="V136" s="300">
        <f>(126.9*KFC!$B$23*1.02*1.25+KFC!$C$23)*KFC!$C$5</f>
        <v>161.79750000000001</v>
      </c>
      <c r="W136" s="300">
        <f>(129.2*KFC!$B$23*1.02*1.25+KFC!$C$23)*KFC!$C$5</f>
        <v>164.73</v>
      </c>
      <c r="X136" s="300">
        <f>(131.5*KFC!$B$23*1.02*1.25+KFC!$C$23)*KFC!$C$5</f>
        <v>167.66249999999999</v>
      </c>
      <c r="Y136" s="300">
        <f>(133.8*KFC!$B$23*1.02*1.25+KFC!$C$23)*KFC!$C$5</f>
        <v>170.59500000000003</v>
      </c>
      <c r="Z136" s="300">
        <f>(136.1*KFC!$B$23*1.02*1.25+KFC!$C$23)*KFC!$C$5</f>
        <v>173.5275</v>
      </c>
      <c r="AA136" s="300">
        <f>(138.4*KFC!$B$23*1.02*1.25+KFC!$C$23)*KFC!$C$5</f>
        <v>176.46</v>
      </c>
      <c r="AB136" s="300">
        <f>(140.7*KFC!$B$23*1.02*1.25+KFC!$C$23)*KFC!$C$5</f>
        <v>179.39249999999998</v>
      </c>
      <c r="AC136" s="300">
        <f>(143*KFC!$B$23*1.02*1.25+KFC!$C$23)*KFC!$C$5</f>
        <v>182.32500000000002</v>
      </c>
      <c r="AD136" s="300">
        <f>(145.3*KFC!$B$23*1.02*1.25+KFC!$C$23)*KFC!$C$5</f>
        <v>185.25750000000002</v>
      </c>
      <c r="AE136" s="300">
        <f>(147.6*KFC!$B$23*1.02*1.25+KFC!$C$23)*KFC!$C$5</f>
        <v>188.19</v>
      </c>
      <c r="AF136" s="300">
        <f>(149.8*KFC!$B$23*1.02*1.25+KFC!$C$23)*KFC!$C$5</f>
        <v>190.99500000000003</v>
      </c>
      <c r="AG136" s="300">
        <f>(152.1*KFC!$B$23*1.02*1.25+KFC!$C$23)*KFC!$C$5</f>
        <v>193.92750000000001</v>
      </c>
      <c r="AH136" s="304">
        <f>(154.4*KFC!$B$23*1.02*1.25+KFC!$C$23)*KFC!$C$5</f>
        <v>196.86</v>
      </c>
    </row>
    <row r="137" spans="1:34">
      <c r="A137" s="1781"/>
      <c r="B137" s="392">
        <v>1.2</v>
      </c>
      <c r="C137" s="303">
        <f>(84.2*KFC!$B$23*1.02*1.25+KFC!$C$23)*KFC!$C$5</f>
        <v>107.355</v>
      </c>
      <c r="D137" s="300">
        <f>(86.6*KFC!$B$23*1.02*1.25+KFC!$C$23)*KFC!$C$5</f>
        <v>110.41499999999999</v>
      </c>
      <c r="E137" s="300">
        <f>(89*KFC!$B$23*1.02*1.25+KFC!$C$23)*KFC!$C$5</f>
        <v>113.47499999999999</v>
      </c>
      <c r="F137" s="300">
        <f>(91.4*KFC!$B$23*1.02*1.25+KFC!$C$23)*KFC!$C$5</f>
        <v>116.53500000000001</v>
      </c>
      <c r="G137" s="300">
        <f>(93.8*KFC!$B$23*1.02*1.25+KFC!$C$23)*KFC!$C$5</f>
        <v>119.595</v>
      </c>
      <c r="H137" s="300">
        <f>(96.2*KFC!$B$23*1.02*1.25+KFC!$C$23)*KFC!$C$5</f>
        <v>122.65500000000002</v>
      </c>
      <c r="I137" s="300">
        <f>(98.6*KFC!$B$23*1.02*1.25+KFC!$C$23)*KFC!$C$5</f>
        <v>125.715</v>
      </c>
      <c r="J137" s="300">
        <f>(101*KFC!$B$23*1.02*1.25+KFC!$C$23)*KFC!$C$5</f>
        <v>128.77500000000001</v>
      </c>
      <c r="K137" s="300">
        <f>(103.4*KFC!$B$23*1.02*1.25+KFC!$C$23)*KFC!$C$5</f>
        <v>131.83500000000001</v>
      </c>
      <c r="L137" s="300">
        <f>(105.8*KFC!$B$23*1.02*1.25+KFC!$C$23)*KFC!$C$5</f>
        <v>134.89499999999998</v>
      </c>
      <c r="M137" s="300">
        <f>(108.2*KFC!$B$23*1.02*1.25+KFC!$C$23)*KFC!$C$5</f>
        <v>137.95500000000001</v>
      </c>
      <c r="N137" s="300">
        <f>(110.7*KFC!$B$23*1.02*1.25+KFC!$C$23)*KFC!$C$5</f>
        <v>141.14250000000001</v>
      </c>
      <c r="O137" s="300">
        <f>(113.1*KFC!$B$23*1.02*1.25+KFC!$C$23)*KFC!$C$5</f>
        <v>144.20249999999999</v>
      </c>
      <c r="P137" s="300">
        <f>(115.5*KFC!$B$23*1.02*1.25+KFC!$C$23)*KFC!$C$5</f>
        <v>147.26249999999999</v>
      </c>
      <c r="Q137" s="300">
        <f>(117.9*KFC!$B$23*1.02*1.25+KFC!$C$23)*KFC!$C$5</f>
        <v>150.32250000000002</v>
      </c>
      <c r="R137" s="300">
        <f>(120.3*KFC!$B$23*1.02*1.25+KFC!$C$23)*KFC!$C$5</f>
        <v>153.38249999999999</v>
      </c>
      <c r="S137" s="300">
        <f>(122.7*KFC!$B$23*1.02*1.25+KFC!$C$23)*KFC!$C$5</f>
        <v>156.44250000000002</v>
      </c>
      <c r="T137" s="300">
        <f>(125.1*KFC!$B$23*1.02*1.25+KFC!$C$23)*KFC!$C$5</f>
        <v>159.5025</v>
      </c>
      <c r="U137" s="300">
        <f>(127.5*KFC!$B$23*1.02*1.25+KFC!$C$23)*KFC!$C$5</f>
        <v>162.5625</v>
      </c>
      <c r="V137" s="300">
        <f>(129.9*KFC!$B$23*1.02*1.25+KFC!$C$23)*KFC!$C$5</f>
        <v>165.62250000000003</v>
      </c>
      <c r="W137" s="300">
        <f>(132.3*KFC!$B$23*1.02*1.25+KFC!$C$23)*KFC!$C$5</f>
        <v>168.68250000000003</v>
      </c>
      <c r="X137" s="300">
        <f>(134.7*KFC!$B$23*1.02*1.25+KFC!$C$23)*KFC!$C$5</f>
        <v>171.74249999999998</v>
      </c>
      <c r="Y137" s="300">
        <f>(137.1*KFC!$B$23*1.02*1.25+KFC!$C$23)*KFC!$C$5</f>
        <v>174.80249999999998</v>
      </c>
      <c r="Z137" s="300">
        <f>(139.5*KFC!$B$23*1.02*1.25+KFC!$C$23)*KFC!$C$5</f>
        <v>177.86249999999998</v>
      </c>
      <c r="AA137" s="300">
        <f>(141.9*KFC!$B$23*1.02*1.25+KFC!$C$23)*KFC!$C$5</f>
        <v>180.92250000000001</v>
      </c>
      <c r="AB137" s="300">
        <f>(144.3*KFC!$B$23*1.02*1.25+KFC!$C$23)*KFC!$C$5</f>
        <v>183.98250000000002</v>
      </c>
      <c r="AC137" s="300">
        <f>(146.7*KFC!$B$23*1.02*1.25+KFC!$C$23)*KFC!$C$5</f>
        <v>187.04249999999999</v>
      </c>
      <c r="AD137" s="300">
        <f>(149.1*KFC!$B$23*1.02*1.25+KFC!$C$23)*KFC!$C$5</f>
        <v>190.10249999999999</v>
      </c>
      <c r="AE137" s="300">
        <f>(151.6*KFC!$B$23*1.02*1.25+KFC!$C$23)*KFC!$C$5</f>
        <v>193.29000000000002</v>
      </c>
      <c r="AF137" s="300">
        <f>(154*KFC!$B$23*1.02*1.25+KFC!$C$23)*KFC!$C$5</f>
        <v>196.35000000000002</v>
      </c>
      <c r="AG137" s="300">
        <f>(156.4*KFC!$B$23*1.02*1.25+KFC!$C$23)*KFC!$C$5</f>
        <v>199.41000000000003</v>
      </c>
      <c r="AH137" s="304">
        <f>(158.8*KFC!$B$23*1.02*1.25+KFC!$C$23)*KFC!$C$5</f>
        <v>202.47000000000003</v>
      </c>
    </row>
    <row r="138" spans="1:34">
      <c r="A138" s="1781"/>
      <c r="B138" s="392">
        <v>1.3</v>
      </c>
      <c r="C138" s="303">
        <f>(85*KFC!$B$23*1.02*1.25+KFC!$C$23)*KFC!$C$5</f>
        <v>108.375</v>
      </c>
      <c r="D138" s="300">
        <f>(87.6*KFC!$B$23*1.02*1.25+KFC!$C$23)*KFC!$C$5</f>
        <v>111.68999999999998</v>
      </c>
      <c r="E138" s="300">
        <f>(90.1*KFC!$B$23*1.02*1.25+KFC!$C$23)*KFC!$C$5</f>
        <v>114.8775</v>
      </c>
      <c r="F138" s="300">
        <f>(92.6*KFC!$B$23*1.02*1.25+KFC!$C$23)*KFC!$C$5</f>
        <v>118.065</v>
      </c>
      <c r="G138" s="300">
        <f>(95.1*KFC!$B$23*1.02*1.25+KFC!$C$23)*KFC!$C$5</f>
        <v>121.2525</v>
      </c>
      <c r="H138" s="300">
        <f>(97.6*KFC!$B$23*1.02*1.25+KFC!$C$23)*KFC!$C$5</f>
        <v>124.44</v>
      </c>
      <c r="I138" s="300">
        <f>(100.1*KFC!$B$23*1.02*1.25+KFC!$C$23)*KFC!$C$5</f>
        <v>127.62749999999998</v>
      </c>
      <c r="J138" s="300">
        <f>(102.7*KFC!$B$23*1.02*1.25+KFC!$C$23)*KFC!$C$5</f>
        <v>130.9425</v>
      </c>
      <c r="K138" s="300">
        <f>(105.2*KFC!$B$23*1.02*1.25+KFC!$C$23)*KFC!$C$5</f>
        <v>134.13</v>
      </c>
      <c r="L138" s="300">
        <f>(107.7*KFC!$B$23*1.02*1.25+KFC!$C$23)*KFC!$C$5</f>
        <v>137.3175</v>
      </c>
      <c r="M138" s="300">
        <f>(110.2*KFC!$B$23*1.02*1.25+KFC!$C$23)*KFC!$C$5</f>
        <v>140.50500000000002</v>
      </c>
      <c r="N138" s="300">
        <f>(112.7*KFC!$B$23*1.02*1.25+KFC!$C$23)*KFC!$C$5</f>
        <v>143.6925</v>
      </c>
      <c r="O138" s="300">
        <f>(115.3*KFC!$B$23*1.02*1.25+KFC!$C$23)*KFC!$C$5</f>
        <v>147.00749999999999</v>
      </c>
      <c r="P138" s="300">
        <f>(117.8*KFC!$B$23*1.02*1.25+KFC!$C$23)*KFC!$C$5</f>
        <v>150.19499999999999</v>
      </c>
      <c r="Q138" s="300">
        <f>(120.3*KFC!$B$23*1.02*1.25+KFC!$C$23)*KFC!$C$5</f>
        <v>153.38249999999999</v>
      </c>
      <c r="R138" s="300">
        <f>(122.8*KFC!$B$23*1.02*1.25+KFC!$C$23)*KFC!$C$5</f>
        <v>156.57</v>
      </c>
      <c r="S138" s="300">
        <f>(125.3*KFC!$B$23*1.02*1.25+KFC!$C$23)*KFC!$C$5</f>
        <v>159.75749999999999</v>
      </c>
      <c r="T138" s="300">
        <f>(127.8*KFC!$B$23*1.02*1.25+KFC!$C$23)*KFC!$C$5</f>
        <v>162.94499999999999</v>
      </c>
      <c r="U138" s="300">
        <f>(130.4*KFC!$B$23*1.02*1.25+KFC!$C$23)*KFC!$C$5</f>
        <v>166.26000000000002</v>
      </c>
      <c r="V138" s="300">
        <f>(132.9*KFC!$B$23*1.02*1.25+KFC!$C$23)*KFC!$C$5</f>
        <v>169.44750000000002</v>
      </c>
      <c r="W138" s="300">
        <f>(135.4*KFC!$B$23*1.02*1.25+KFC!$C$23)*KFC!$C$5</f>
        <v>172.63499999999999</v>
      </c>
      <c r="X138" s="300">
        <f>(137.9*KFC!$B$23*1.02*1.25+KFC!$C$23)*KFC!$C$5</f>
        <v>175.82250000000002</v>
      </c>
      <c r="Y138" s="300">
        <f>(140.4*KFC!$B$23*1.02*1.25+KFC!$C$23)*KFC!$C$5</f>
        <v>179.01</v>
      </c>
      <c r="Z138" s="300">
        <f>(143*KFC!$B$23*1.02*1.25+KFC!$C$23)*KFC!$C$5</f>
        <v>182.32500000000002</v>
      </c>
      <c r="AA138" s="300">
        <f>(145.5*KFC!$B$23*1.02*1.25+KFC!$C$23)*KFC!$C$5</f>
        <v>185.51249999999999</v>
      </c>
      <c r="AB138" s="300">
        <f>(148*KFC!$B$23*1.02*1.25+KFC!$C$23)*KFC!$C$5</f>
        <v>188.70000000000002</v>
      </c>
      <c r="AC138" s="300">
        <f>(150.5*KFC!$B$23*1.02*1.25+KFC!$C$23)*KFC!$C$5</f>
        <v>191.88749999999999</v>
      </c>
      <c r="AD138" s="300">
        <f>(153*KFC!$B$23*1.02*1.25+KFC!$C$23)*KFC!$C$5</f>
        <v>195.07499999999999</v>
      </c>
      <c r="AE138" s="300">
        <f>(155.5*KFC!$B$23*1.02*1.25+KFC!$C$23)*KFC!$C$5</f>
        <v>198.26250000000002</v>
      </c>
      <c r="AF138" s="300">
        <f>(158.1*KFC!$B$23*1.02*1.25+KFC!$C$23)*KFC!$C$5</f>
        <v>201.57749999999999</v>
      </c>
      <c r="AG138" s="300">
        <f>(160.6*KFC!$B$23*1.02*1.25+KFC!$C$23)*KFC!$C$5</f>
        <v>204.76499999999999</v>
      </c>
      <c r="AH138" s="304">
        <f>(163.1*KFC!$B$23*1.02*1.25+KFC!$C$23)*KFC!$C$5</f>
        <v>207.95249999999999</v>
      </c>
    </row>
    <row r="139" spans="1:34">
      <c r="A139" s="1781"/>
      <c r="B139" s="392">
        <v>1.4</v>
      </c>
      <c r="C139" s="303">
        <f>(85.9*KFC!$B$23*1.02*1.25+KFC!$C$23)*KFC!$C$5</f>
        <v>109.52250000000001</v>
      </c>
      <c r="D139" s="300">
        <f>(88.5*KFC!$B$23*1.02*1.25+KFC!$C$23)*KFC!$C$5</f>
        <v>112.83749999999999</v>
      </c>
      <c r="E139" s="300">
        <f>(91.1*KFC!$B$23*1.02*1.25+KFC!$C$23)*KFC!$C$5</f>
        <v>116.1525</v>
      </c>
      <c r="F139" s="300">
        <f>(93.8*KFC!$B$23*1.02*1.25+KFC!$C$23)*KFC!$C$5</f>
        <v>119.595</v>
      </c>
      <c r="G139" s="300">
        <f>(96.4*KFC!$B$23*1.02*1.25+KFC!$C$23)*KFC!$C$5</f>
        <v>122.91</v>
      </c>
      <c r="H139" s="300">
        <f>(99*KFC!$B$23*1.02*1.25+KFC!$C$23)*KFC!$C$5</f>
        <v>126.22500000000001</v>
      </c>
      <c r="I139" s="300">
        <f>(101.7*KFC!$B$23*1.02*1.25+KFC!$C$23)*KFC!$C$5</f>
        <v>129.66750000000002</v>
      </c>
      <c r="J139" s="300">
        <f>(104.3*KFC!$B$23*1.02*1.25+KFC!$C$23)*KFC!$C$5</f>
        <v>132.98249999999999</v>
      </c>
      <c r="K139" s="300">
        <f>(106.9*KFC!$B$23*1.02*1.25+KFC!$C$23)*KFC!$C$5</f>
        <v>136.29750000000001</v>
      </c>
      <c r="L139" s="300">
        <f>(109.6*KFC!$B$23*1.02*1.25+KFC!$C$23)*KFC!$C$5</f>
        <v>139.74</v>
      </c>
      <c r="M139" s="300">
        <f>(112.2*KFC!$B$23*1.02*1.25+KFC!$C$23)*KFC!$C$5</f>
        <v>143.05500000000001</v>
      </c>
      <c r="N139" s="300">
        <f>(114.8*KFC!$B$23*1.02*1.25+KFC!$C$23)*KFC!$C$5</f>
        <v>146.37</v>
      </c>
      <c r="O139" s="300">
        <f>(117.4*KFC!$B$23*1.02*1.25+KFC!$C$23)*KFC!$C$5</f>
        <v>149.685</v>
      </c>
      <c r="P139" s="300">
        <f>(120.1*KFC!$B$23*1.02*1.25+KFC!$C$23)*KFC!$C$5</f>
        <v>153.1275</v>
      </c>
      <c r="Q139" s="300">
        <f>(122.7*KFC!$B$23*1.02*1.25+KFC!$C$23)*KFC!$C$5</f>
        <v>156.44250000000002</v>
      </c>
      <c r="R139" s="300">
        <f>(125.3*KFC!$B$23*1.02*1.25+KFC!$C$23)*KFC!$C$5</f>
        <v>159.75749999999999</v>
      </c>
      <c r="S139" s="300">
        <f>(128*KFC!$B$23*1.02*1.25+KFC!$C$23)*KFC!$C$5</f>
        <v>163.19999999999999</v>
      </c>
      <c r="T139" s="300">
        <f>(130.6*KFC!$B$23*1.02*1.25+KFC!$C$23)*KFC!$C$5</f>
        <v>166.51499999999999</v>
      </c>
      <c r="U139" s="300">
        <f>(133.2*KFC!$B$23*1.02*1.25+KFC!$C$23)*KFC!$C$5</f>
        <v>169.83</v>
      </c>
      <c r="V139" s="300">
        <f>(135.9*KFC!$B$23*1.02*1.25+KFC!$C$23)*KFC!$C$5</f>
        <v>173.27249999999998</v>
      </c>
      <c r="W139" s="300">
        <f>(138.5*KFC!$B$23*1.02*1.25+KFC!$C$23)*KFC!$C$5</f>
        <v>176.58750000000001</v>
      </c>
      <c r="X139" s="300">
        <f>(141.1*KFC!$B$23*1.02*1.25+KFC!$C$23)*KFC!$C$5</f>
        <v>179.9025</v>
      </c>
      <c r="Y139" s="300">
        <f>(143.8*KFC!$B$23*1.02*1.25+KFC!$C$23)*KFC!$C$5</f>
        <v>183.34500000000003</v>
      </c>
      <c r="Z139" s="300">
        <f>(146.4*KFC!$B$23*1.02*1.25+KFC!$C$23)*KFC!$C$5</f>
        <v>186.66</v>
      </c>
      <c r="AA139" s="300">
        <f>(149*KFC!$B$23*1.02*1.25+KFC!$C$23)*KFC!$C$5</f>
        <v>189.97499999999999</v>
      </c>
      <c r="AB139" s="300">
        <f>(151.7*KFC!$B$23*1.02*1.25+KFC!$C$23)*KFC!$C$5</f>
        <v>193.41749999999996</v>
      </c>
      <c r="AC139" s="300">
        <f>(154.3*KFC!$B$23*1.02*1.25+KFC!$C$23)*KFC!$C$5</f>
        <v>196.73250000000002</v>
      </c>
      <c r="AD139" s="300">
        <f>(156.9*KFC!$B$23*1.02*1.25+KFC!$C$23)*KFC!$C$5</f>
        <v>200.04750000000001</v>
      </c>
      <c r="AE139" s="300">
        <f>(159.5*KFC!$B$23*1.02*1.25+KFC!$C$23)*KFC!$C$5</f>
        <v>203.36250000000001</v>
      </c>
      <c r="AF139" s="300">
        <f>(162.2*KFC!$B$23*1.02*1.25+KFC!$C$23)*KFC!$C$5</f>
        <v>206.80499999999998</v>
      </c>
      <c r="AG139" s="300">
        <f>(164.8*KFC!$B$23*1.02*1.25+KFC!$C$23)*KFC!$C$5</f>
        <v>210.12</v>
      </c>
      <c r="AH139" s="304">
        <f>(167.4*KFC!$B$23*1.02*1.25+KFC!$C$23)*KFC!$C$5</f>
        <v>213.43500000000003</v>
      </c>
    </row>
    <row r="140" spans="1:34">
      <c r="A140" s="1781"/>
      <c r="B140" s="392">
        <v>1.5</v>
      </c>
      <c r="C140" s="303">
        <f>(86.7*KFC!$B$23*1.02*1.25+KFC!$C$23)*KFC!$C$5</f>
        <v>110.54249999999999</v>
      </c>
      <c r="D140" s="300">
        <f>(89.5*KFC!$B$23*1.02*1.25+KFC!$C$23)*KFC!$C$5</f>
        <v>114.11250000000001</v>
      </c>
      <c r="E140" s="300">
        <f>(92.2*KFC!$B$23*1.02*1.25+KFC!$C$23)*KFC!$C$5</f>
        <v>117.55500000000001</v>
      </c>
      <c r="F140" s="300">
        <f>(95*KFC!$B$23*1.02*1.25+KFC!$C$23)*KFC!$C$5</f>
        <v>121.125</v>
      </c>
      <c r="G140" s="300">
        <f>(97.7*KFC!$B$23*1.02*1.25+KFC!$C$23)*KFC!$C$5</f>
        <v>124.56750000000001</v>
      </c>
      <c r="H140" s="300">
        <f>(100.4*KFC!$B$23*1.02*1.25+KFC!$C$23)*KFC!$C$5</f>
        <v>128.01</v>
      </c>
      <c r="I140" s="300">
        <f>(103.2*KFC!$B$23*1.02*1.25+KFC!$C$23)*KFC!$C$5</f>
        <v>131.58000000000001</v>
      </c>
      <c r="J140" s="300">
        <f>(105.9*KFC!$B$23*1.02*1.25+KFC!$C$23)*KFC!$C$5</f>
        <v>135.02250000000001</v>
      </c>
      <c r="K140" s="300">
        <f>(108.7*KFC!$B$23*1.02*1.25+KFC!$C$23)*KFC!$C$5</f>
        <v>138.5925</v>
      </c>
      <c r="L140" s="300">
        <f>(111.4*KFC!$B$23*1.02*1.25+KFC!$C$23)*KFC!$C$5</f>
        <v>142.03500000000003</v>
      </c>
      <c r="M140" s="300">
        <f>(114.2*KFC!$B$23*1.02*1.25+KFC!$C$23)*KFC!$C$5</f>
        <v>145.60500000000002</v>
      </c>
      <c r="N140" s="300">
        <f>(116.9*KFC!$B$23*1.02*1.25+KFC!$C$23)*KFC!$C$5</f>
        <v>149.04750000000001</v>
      </c>
      <c r="O140" s="300">
        <f>(119.6*KFC!$B$23*1.02*1.25+KFC!$C$23)*KFC!$C$5</f>
        <v>152.48999999999998</v>
      </c>
      <c r="P140" s="300">
        <f>(122.4*KFC!$B$23*1.02*1.25+KFC!$C$23)*KFC!$C$5</f>
        <v>156.06</v>
      </c>
      <c r="Q140" s="300">
        <f>(125.1*KFC!$B$23*1.02*1.25+KFC!$C$23)*KFC!$C$5</f>
        <v>159.5025</v>
      </c>
      <c r="R140" s="300">
        <f>(127.9*KFC!$B$23*1.02*1.25+KFC!$C$23)*KFC!$C$5</f>
        <v>163.07249999999999</v>
      </c>
      <c r="S140" s="300">
        <f>(130.6*KFC!$B$23*1.02*1.25+KFC!$C$23)*KFC!$C$5</f>
        <v>166.51499999999999</v>
      </c>
      <c r="T140" s="300">
        <f>(133.4*KFC!$B$23*1.02*1.25+KFC!$C$23)*KFC!$C$5</f>
        <v>170.08500000000001</v>
      </c>
      <c r="U140" s="300">
        <f>(136.1*KFC!$B$23*1.02*1.25+KFC!$C$23)*KFC!$C$5</f>
        <v>173.5275</v>
      </c>
      <c r="V140" s="300">
        <f>(138.9*KFC!$B$23*1.02*1.25+KFC!$C$23)*KFC!$C$5</f>
        <v>177.0975</v>
      </c>
      <c r="W140" s="300">
        <f>(141.6*KFC!$B$23*1.02*1.25+KFC!$C$23)*KFC!$C$5</f>
        <v>180.54</v>
      </c>
      <c r="X140" s="300">
        <f>(144.3*KFC!$B$23*1.02*1.25+KFC!$C$23)*KFC!$C$5</f>
        <v>183.98250000000002</v>
      </c>
      <c r="Y140" s="300">
        <f>(147.1*KFC!$B$23*1.02*1.25+KFC!$C$23)*KFC!$C$5</f>
        <v>187.55250000000001</v>
      </c>
      <c r="Z140" s="300">
        <f>(149.8*KFC!$B$23*1.02*1.25+KFC!$C$23)*KFC!$C$5</f>
        <v>190.99500000000003</v>
      </c>
      <c r="AA140" s="300">
        <f>(152.6*KFC!$B$23*1.02*1.25+KFC!$C$23)*KFC!$C$5</f>
        <v>194.565</v>
      </c>
      <c r="AB140" s="300">
        <f>(155.3*KFC!$B$23*1.02*1.25+KFC!$C$23)*KFC!$C$5</f>
        <v>198.00749999999999</v>
      </c>
      <c r="AC140" s="300">
        <f>(158.1*KFC!$B$23*1.02*1.25+KFC!$C$23)*KFC!$C$5</f>
        <v>201.57749999999999</v>
      </c>
      <c r="AD140" s="300">
        <f>(160.8*KFC!$B$23*1.02*1.25+KFC!$C$23)*KFC!$C$5</f>
        <v>205.02000000000004</v>
      </c>
      <c r="AE140" s="300">
        <f>(163.5*KFC!$B$23*1.02*1.25+KFC!$C$23)*KFC!$C$5</f>
        <v>208.46250000000001</v>
      </c>
      <c r="AF140" s="300">
        <f>(166.3*KFC!$B$23*1.02*1.25+KFC!$C$23)*KFC!$C$5</f>
        <v>212.0325</v>
      </c>
      <c r="AG140" s="300">
        <f>(169*KFC!$B$23*1.02*1.25+KFC!$C$23)*KFC!$C$5</f>
        <v>215.47499999999999</v>
      </c>
      <c r="AH140" s="304">
        <f>(171.8*KFC!$B$23*1.02*1.25+KFC!$C$23)*KFC!$C$5</f>
        <v>219.04500000000002</v>
      </c>
    </row>
    <row r="141" spans="1:34">
      <c r="A141" s="1781"/>
      <c r="B141" s="392">
        <v>1.6</v>
      </c>
      <c r="C141" s="303">
        <f>(87.6*KFC!$B$23*1.02*1.25+KFC!$C$23)*KFC!$C$5</f>
        <v>111.68999999999998</v>
      </c>
      <c r="D141" s="300">
        <f>(90.4*KFC!$B$23*1.02*1.25+KFC!$C$23)*KFC!$C$5</f>
        <v>115.26000000000002</v>
      </c>
      <c r="E141" s="300">
        <f>(93.3*KFC!$B$23*1.02*1.25+KFC!$C$23)*KFC!$C$5</f>
        <v>118.9575</v>
      </c>
      <c r="F141" s="300">
        <f>(96.1*KFC!$B$23*1.02*1.25+KFC!$C$23)*KFC!$C$5</f>
        <v>122.52749999999999</v>
      </c>
      <c r="G141" s="300">
        <f>(99*KFC!$B$23*1.02*1.25+KFC!$C$23)*KFC!$C$5</f>
        <v>126.22500000000001</v>
      </c>
      <c r="H141" s="300">
        <f>(101.8*KFC!$B$23*1.02*1.25+KFC!$C$23)*KFC!$C$5</f>
        <v>129.79499999999999</v>
      </c>
      <c r="I141" s="300">
        <f>(104.7*KFC!$B$23*1.02*1.25+KFC!$C$23)*KFC!$C$5</f>
        <v>133.49250000000001</v>
      </c>
      <c r="J141" s="300">
        <f>(107.6*KFC!$B$23*1.02*1.25+KFC!$C$23)*KFC!$C$5</f>
        <v>137.19</v>
      </c>
      <c r="K141" s="300">
        <f>(110.4*KFC!$B$23*1.02*1.25+KFC!$C$23)*KFC!$C$5</f>
        <v>140.76</v>
      </c>
      <c r="L141" s="300">
        <f>(113.3*KFC!$B$23*1.02*1.25+KFC!$C$23)*KFC!$C$5</f>
        <v>144.45750000000001</v>
      </c>
      <c r="M141" s="300">
        <f>(116.1*KFC!$B$23*1.02*1.25+KFC!$C$23)*KFC!$C$5</f>
        <v>148.0275</v>
      </c>
      <c r="N141" s="300">
        <f>(119*KFC!$B$23*1.02*1.25+KFC!$C$23)*KFC!$C$5</f>
        <v>151.72499999999999</v>
      </c>
      <c r="O141" s="300">
        <f>(121.8*KFC!$B$23*1.02*1.25+KFC!$C$23)*KFC!$C$5</f>
        <v>155.29500000000002</v>
      </c>
      <c r="P141" s="300">
        <f>(124.7*KFC!$B$23*1.02*1.25+KFC!$C$23)*KFC!$C$5</f>
        <v>158.99250000000001</v>
      </c>
      <c r="Q141" s="300">
        <f>(127.6*KFC!$B$23*1.02*1.25+KFC!$C$23)*KFC!$C$5</f>
        <v>162.69</v>
      </c>
      <c r="R141" s="300">
        <f>(130.4*KFC!$B$23*1.02*1.25+KFC!$C$23)*KFC!$C$5</f>
        <v>166.26000000000002</v>
      </c>
      <c r="S141" s="300">
        <f>(133.3*KFC!$B$23*1.02*1.25+KFC!$C$23)*KFC!$C$5</f>
        <v>169.95750000000001</v>
      </c>
      <c r="T141" s="300">
        <f>(136.1*KFC!$B$23*1.02*1.25+KFC!$C$23)*KFC!$C$5</f>
        <v>173.5275</v>
      </c>
      <c r="U141" s="300">
        <f>(139*KFC!$B$23*1.02*1.25+KFC!$C$23)*KFC!$C$5</f>
        <v>177.22499999999999</v>
      </c>
      <c r="V141" s="300">
        <f>(141.8*KFC!$B$23*1.02*1.25+KFC!$C$23)*KFC!$C$5</f>
        <v>180.79500000000002</v>
      </c>
      <c r="W141" s="300">
        <f>(144.7*KFC!$B$23*1.02*1.25+KFC!$C$23)*KFC!$C$5</f>
        <v>184.49250000000001</v>
      </c>
      <c r="X141" s="300">
        <f>(147.5*KFC!$B$23*1.02*1.25+KFC!$C$23)*KFC!$C$5</f>
        <v>188.0625</v>
      </c>
      <c r="Y141" s="300">
        <f>(150.4*KFC!$B$23*1.02*1.25+KFC!$C$23)*KFC!$C$5</f>
        <v>191.76000000000002</v>
      </c>
      <c r="Z141" s="300">
        <f>(153.3*KFC!$B$23*1.02*1.25+KFC!$C$23)*KFC!$C$5</f>
        <v>195.45750000000001</v>
      </c>
      <c r="AA141" s="300">
        <f>(156.1*KFC!$B$23*1.02*1.25+KFC!$C$23)*KFC!$C$5</f>
        <v>199.0275</v>
      </c>
      <c r="AB141" s="300">
        <f>(159*KFC!$B$23*1.02*1.25+KFC!$C$23)*KFC!$C$5</f>
        <v>202.72500000000002</v>
      </c>
      <c r="AC141" s="300">
        <f>(161.8*KFC!$B$23*1.02*1.25+KFC!$C$23)*KFC!$C$5</f>
        <v>206.29500000000002</v>
      </c>
      <c r="AD141" s="300">
        <f>(164.7*KFC!$B$23*1.02*1.25+KFC!$C$23)*KFC!$C$5</f>
        <v>209.99250000000001</v>
      </c>
      <c r="AE141" s="300">
        <f>(167.5*KFC!$B$23*1.02*1.25+KFC!$C$23)*KFC!$C$5</f>
        <v>213.5625</v>
      </c>
      <c r="AF141" s="300">
        <f>(170.4*KFC!$B$23*1.02*1.25+KFC!$C$23)*KFC!$C$5</f>
        <v>217.26000000000002</v>
      </c>
      <c r="AG141" s="300">
        <f>(173.3*KFC!$B$23*1.02*1.25+KFC!$C$23)*KFC!$C$5</f>
        <v>220.95750000000004</v>
      </c>
      <c r="AH141" s="304">
        <f>(176.1*KFC!$B$23*1.02*1.25+KFC!$C$23)*KFC!$C$5</f>
        <v>224.52749999999997</v>
      </c>
    </row>
    <row r="142" spans="1:34">
      <c r="A142" s="1781"/>
      <c r="B142" s="392">
        <v>1.7</v>
      </c>
      <c r="C142" s="303">
        <f>(88.4*KFC!$B$23*1.02*1.25+KFC!$C$23)*KFC!$C$5</f>
        <v>112.71000000000001</v>
      </c>
      <c r="D142" s="300">
        <f>(91.4*KFC!$B$23*1.02*1.25+KFC!$C$23)*KFC!$C$5</f>
        <v>116.53500000000001</v>
      </c>
      <c r="E142" s="300">
        <f>(94.3*KFC!$B$23*1.02*1.25+KFC!$C$23)*KFC!$C$5</f>
        <v>120.23249999999999</v>
      </c>
      <c r="F142" s="300">
        <f>(97.3*KFC!$B$23*1.02*1.25+KFC!$C$23)*KFC!$C$5</f>
        <v>124.05749999999999</v>
      </c>
      <c r="G142" s="300">
        <f>(100.3*KFC!$B$23*1.02*1.25+KFC!$C$23)*KFC!$C$5</f>
        <v>127.88249999999999</v>
      </c>
      <c r="H142" s="300">
        <f>(103.3*KFC!$B$23*1.02*1.25+KFC!$C$23)*KFC!$C$5</f>
        <v>131.70750000000001</v>
      </c>
      <c r="I142" s="300">
        <f>(106.2*KFC!$B$23*1.02*1.25+KFC!$C$23)*KFC!$C$5</f>
        <v>135.405</v>
      </c>
      <c r="J142" s="300">
        <f>(109.2*KFC!$B$23*1.02*1.25+KFC!$C$23)*KFC!$C$5</f>
        <v>139.22999999999999</v>
      </c>
      <c r="K142" s="300">
        <f>(112.2*KFC!$B$23*1.02*1.25+KFC!$C$23)*KFC!$C$5</f>
        <v>143.05500000000001</v>
      </c>
      <c r="L142" s="300">
        <f>(115.1*KFC!$B$23*1.02*1.25+KFC!$C$23)*KFC!$C$5</f>
        <v>146.7525</v>
      </c>
      <c r="M142" s="300">
        <f>(118.1*KFC!$B$23*1.02*1.25+KFC!$C$23)*KFC!$C$5</f>
        <v>150.57750000000001</v>
      </c>
      <c r="N142" s="300">
        <f>(121.1*KFC!$B$23*1.02*1.25+KFC!$C$23)*KFC!$C$5</f>
        <v>154.40249999999997</v>
      </c>
      <c r="O142" s="300">
        <f>(124*KFC!$B$23*1.02*1.25+KFC!$C$23)*KFC!$C$5</f>
        <v>158.1</v>
      </c>
      <c r="P142" s="300">
        <f>(127*KFC!$B$23*1.02*1.25+KFC!$C$23)*KFC!$C$5</f>
        <v>161.92499999999998</v>
      </c>
      <c r="Q142" s="300">
        <f>(130*KFC!$B$23*1.02*1.25+KFC!$C$23)*KFC!$C$5</f>
        <v>165.75</v>
      </c>
      <c r="R142" s="300">
        <f>(132.9*KFC!$B$23*1.02*1.25+KFC!$C$23)*KFC!$C$5</f>
        <v>169.44750000000002</v>
      </c>
      <c r="S142" s="300">
        <f>(135.9*KFC!$B$23*1.02*1.25+KFC!$C$23)*KFC!$C$5</f>
        <v>173.27249999999998</v>
      </c>
      <c r="T142" s="300">
        <f>(138.9*KFC!$B$23*1.02*1.25+KFC!$C$23)*KFC!$C$5</f>
        <v>177.0975</v>
      </c>
      <c r="U142" s="300">
        <f>(141.9*KFC!$B$23*1.02*1.25+KFC!$C$23)*KFC!$C$5</f>
        <v>180.92250000000001</v>
      </c>
      <c r="V142" s="300">
        <f>(144.8*KFC!$B$23*1.02*1.25+KFC!$C$23)*KFC!$C$5</f>
        <v>184.62000000000003</v>
      </c>
      <c r="W142" s="300">
        <f>(147.8*KFC!$B$23*1.02*1.25+KFC!$C$23)*KFC!$C$5</f>
        <v>188.44499999999999</v>
      </c>
      <c r="X142" s="300">
        <f>(150.8*KFC!$B$23*1.02*1.25+KFC!$C$23)*KFC!$C$5</f>
        <v>192.27</v>
      </c>
      <c r="Y142" s="300">
        <f>(153.7*KFC!$B$23*1.02*1.25+KFC!$C$23)*KFC!$C$5</f>
        <v>195.9675</v>
      </c>
      <c r="Z142" s="300">
        <f>(156.7*KFC!$B$23*1.02*1.25+KFC!$C$23)*KFC!$C$5</f>
        <v>199.79250000000002</v>
      </c>
      <c r="AA142" s="300">
        <f>(159.7*KFC!$B$23*1.02*1.25+KFC!$C$23)*KFC!$C$5</f>
        <v>203.61750000000001</v>
      </c>
      <c r="AB142" s="300">
        <f>(162.6*KFC!$B$23*1.02*1.25+KFC!$C$23)*KFC!$C$5</f>
        <v>207.315</v>
      </c>
      <c r="AC142" s="300">
        <f>(165.6*KFC!$B$23*1.02*1.25+KFC!$C$23)*KFC!$C$5</f>
        <v>211.14000000000001</v>
      </c>
      <c r="AD142" s="300">
        <f>(168.6*KFC!$B$23*1.02*1.25+KFC!$C$23)*KFC!$C$5</f>
        <v>214.965</v>
      </c>
      <c r="AE142" s="300">
        <f>(171.5*KFC!$B$23*1.02*1.25+KFC!$C$23)*KFC!$C$5</f>
        <v>218.66250000000002</v>
      </c>
      <c r="AF142" s="300">
        <f>(174.5*KFC!$B$23*1.02*1.25+KFC!$C$23)*KFC!$C$5</f>
        <v>222.48750000000001</v>
      </c>
      <c r="AG142" s="300">
        <f>(177.5*KFC!$B$23*1.02*1.25+KFC!$C$23)*KFC!$C$5</f>
        <v>226.3125</v>
      </c>
      <c r="AH142" s="304">
        <f>(180.4*KFC!$B$23*1.02*1.25+KFC!$C$23)*KFC!$C$5</f>
        <v>230.01000000000002</v>
      </c>
    </row>
    <row r="143" spans="1:34">
      <c r="A143" s="1781"/>
      <c r="B143" s="392">
        <v>1.8</v>
      </c>
      <c r="C143" s="303">
        <f>(89.3*KFC!$B$23*1.02*1.25+KFC!$C$23)*KFC!$C$5</f>
        <v>113.8575</v>
      </c>
      <c r="D143" s="300">
        <f>(92.3*KFC!$B$23*1.02*1.25+KFC!$C$23)*KFC!$C$5</f>
        <v>117.6825</v>
      </c>
      <c r="E143" s="300">
        <f>(95.4*KFC!$B$23*1.02*1.25+KFC!$C$23)*KFC!$C$5</f>
        <v>121.63500000000001</v>
      </c>
      <c r="F143" s="300">
        <f>(98.5*KFC!$B$23*1.02*1.25+KFC!$C$23)*KFC!$C$5</f>
        <v>125.58750000000001</v>
      </c>
      <c r="G143" s="300">
        <f>(101.6*KFC!$B$23*1.02*1.25+KFC!$C$23)*KFC!$C$5</f>
        <v>129.54</v>
      </c>
      <c r="H143" s="300">
        <f>(104.7*KFC!$B$23*1.02*1.25+KFC!$C$23)*KFC!$C$5</f>
        <v>133.49250000000001</v>
      </c>
      <c r="I143" s="300">
        <f>(107.7*KFC!$B$23*1.02*1.25+KFC!$C$23)*KFC!$C$5</f>
        <v>137.3175</v>
      </c>
      <c r="J143" s="300">
        <f>(110.8*KFC!$B$23*1.02*1.25+KFC!$C$23)*KFC!$C$5</f>
        <v>141.27000000000001</v>
      </c>
      <c r="K143" s="300">
        <f>(113.9*KFC!$B$23*1.02*1.25+KFC!$C$23)*KFC!$C$5</f>
        <v>145.22250000000003</v>
      </c>
      <c r="L143" s="300">
        <f>(117*KFC!$B$23*1.02*1.25+KFC!$C$23)*KFC!$C$5</f>
        <v>149.17500000000001</v>
      </c>
      <c r="M143" s="300">
        <f>(120.1*KFC!$B$23*1.02*1.25+KFC!$C$23)*KFC!$C$5</f>
        <v>153.1275</v>
      </c>
      <c r="N143" s="300">
        <f>(123.2*KFC!$B$23*1.02*1.25+KFC!$C$23)*KFC!$C$5</f>
        <v>157.08000000000001</v>
      </c>
      <c r="O143" s="300">
        <f>(126.2*KFC!$B$23*1.02*1.25+KFC!$C$23)*KFC!$C$5</f>
        <v>160.90500000000003</v>
      </c>
      <c r="P143" s="300">
        <f>(129.3*KFC!$B$23*1.02*1.25+KFC!$C$23)*KFC!$C$5</f>
        <v>164.85750000000002</v>
      </c>
      <c r="Q143" s="300">
        <f>(132.4*KFC!$B$23*1.02*1.25+KFC!$C$23)*KFC!$C$5</f>
        <v>168.81</v>
      </c>
      <c r="R143" s="300">
        <f>(135.5*KFC!$B$23*1.02*1.25+KFC!$C$23)*KFC!$C$5</f>
        <v>172.76250000000002</v>
      </c>
      <c r="S143" s="300">
        <f>(138.6*KFC!$B$23*1.02*1.25+KFC!$C$23)*KFC!$C$5</f>
        <v>176.71499999999997</v>
      </c>
      <c r="T143" s="300">
        <f>(141.6*KFC!$B$23*1.02*1.25+KFC!$C$23)*KFC!$C$5</f>
        <v>180.54</v>
      </c>
      <c r="U143" s="300">
        <f>(144.7*KFC!$B$23*1.02*1.25+KFC!$C$23)*KFC!$C$5</f>
        <v>184.49250000000001</v>
      </c>
      <c r="V143" s="300">
        <f>(147.8*KFC!$B$23*1.02*1.25+KFC!$C$23)*KFC!$C$5</f>
        <v>188.44499999999999</v>
      </c>
      <c r="W143" s="300">
        <f>(150.9*KFC!$B$23*1.02*1.25+KFC!$C$23)*KFC!$C$5</f>
        <v>192.39750000000001</v>
      </c>
      <c r="X143" s="300">
        <f>(154*KFC!$B$23*1.02*1.25+KFC!$C$23)*KFC!$C$5</f>
        <v>196.35000000000002</v>
      </c>
      <c r="Y143" s="300">
        <f>(157.1*KFC!$B$23*1.02*1.25+KFC!$C$23)*KFC!$C$5</f>
        <v>200.30249999999998</v>
      </c>
      <c r="Z143" s="300">
        <f>(160.1*KFC!$B$23*1.02*1.25+KFC!$C$23)*KFC!$C$5</f>
        <v>204.1275</v>
      </c>
      <c r="AA143" s="300">
        <f>(163.2*KFC!$B$23*1.02*1.25+KFC!$C$23)*KFC!$C$5</f>
        <v>208.07999999999998</v>
      </c>
      <c r="AB143" s="300">
        <f>(166.3*KFC!$B$23*1.02*1.25+KFC!$C$23)*KFC!$C$5</f>
        <v>212.0325</v>
      </c>
      <c r="AC143" s="300">
        <f>(169.4*KFC!$B$23*1.02*1.25+KFC!$C$23)*KFC!$C$5</f>
        <v>215.98500000000001</v>
      </c>
      <c r="AD143" s="300">
        <f>(172.5*KFC!$B$23*1.02*1.25+KFC!$C$23)*KFC!$C$5</f>
        <v>219.93750000000003</v>
      </c>
      <c r="AE143" s="300">
        <f>(175.5*KFC!$B$23*1.02*1.25+KFC!$C$23)*KFC!$C$5</f>
        <v>223.76249999999999</v>
      </c>
      <c r="AF143" s="300">
        <f>(178.6*KFC!$B$23*1.02*1.25+KFC!$C$23)*KFC!$C$5</f>
        <v>227.715</v>
      </c>
      <c r="AG143" s="300">
        <f>(181.7*KFC!$B$23*1.02*1.25+KFC!$C$23)*KFC!$C$5</f>
        <v>231.66750000000002</v>
      </c>
      <c r="AH143" s="304">
        <f>(184.8*KFC!$B$23*1.02*1.25+KFC!$C$23)*KFC!$C$5</f>
        <v>235.62</v>
      </c>
    </row>
    <row r="144" spans="1:34">
      <c r="A144" s="1781"/>
      <c r="B144" s="392">
        <v>1.9</v>
      </c>
      <c r="C144" s="303">
        <f>(90.1*KFC!$B$23*1.02*1.25+KFC!$C$23)*KFC!$C$5</f>
        <v>114.8775</v>
      </c>
      <c r="D144" s="300">
        <f>(93.3*KFC!$B$23*1.02*1.25+KFC!$C$23)*KFC!$C$5</f>
        <v>118.9575</v>
      </c>
      <c r="E144" s="300">
        <f>(96.5*KFC!$B$23*1.02*1.25+KFC!$C$23)*KFC!$C$5</f>
        <v>123.03750000000001</v>
      </c>
      <c r="F144" s="300">
        <f>(99.7*KFC!$B$23*1.02*1.25+KFC!$C$23)*KFC!$C$5</f>
        <v>127.11750000000001</v>
      </c>
      <c r="G144" s="300">
        <f>(102.9*KFC!$B$23*1.02*1.25+KFC!$C$23)*KFC!$C$5</f>
        <v>131.19750000000002</v>
      </c>
      <c r="H144" s="300">
        <f>(106.1*KFC!$B$23*1.02*1.25+KFC!$C$23)*KFC!$C$5</f>
        <v>135.2775</v>
      </c>
      <c r="I144" s="300">
        <f>(109.3*KFC!$B$23*1.02*1.25+KFC!$C$23)*KFC!$C$5</f>
        <v>139.35750000000002</v>
      </c>
      <c r="J144" s="300">
        <f>(112.5*KFC!$B$23*1.02*1.25+KFC!$C$23)*KFC!$C$5</f>
        <v>143.4375</v>
      </c>
      <c r="K144" s="300">
        <f>(115.7*KFC!$B$23*1.02*1.25+KFC!$C$23)*KFC!$C$5</f>
        <v>147.51750000000001</v>
      </c>
      <c r="L144" s="300">
        <f>(118.8*KFC!$B$23*1.02*1.25+KFC!$C$23)*KFC!$C$5</f>
        <v>151.47</v>
      </c>
      <c r="M144" s="300">
        <f>(122*KFC!$B$23*1.02*1.25+KFC!$C$23)*KFC!$C$5</f>
        <v>155.55000000000001</v>
      </c>
      <c r="N144" s="300">
        <f>(125.2*KFC!$B$23*1.02*1.25+KFC!$C$23)*KFC!$C$5</f>
        <v>159.63</v>
      </c>
      <c r="O144" s="300">
        <f>(128.4*KFC!$B$23*1.02*1.25+KFC!$C$23)*KFC!$C$5</f>
        <v>163.71000000000004</v>
      </c>
      <c r="P144" s="300">
        <f>(131.6*KFC!$B$23*1.02*1.25+KFC!$C$23)*KFC!$C$5</f>
        <v>167.79</v>
      </c>
      <c r="Q144" s="300">
        <f>(134.8*KFC!$B$23*1.02*1.25+KFC!$C$23)*KFC!$C$5</f>
        <v>171.87</v>
      </c>
      <c r="R144" s="300">
        <f>(138*KFC!$B$23*1.02*1.25+KFC!$C$23)*KFC!$C$5</f>
        <v>175.95</v>
      </c>
      <c r="S144" s="300">
        <f>(141.2*KFC!$B$23*1.02*1.25+KFC!$C$23)*KFC!$C$5</f>
        <v>180.03</v>
      </c>
      <c r="T144" s="300">
        <f>(144.4*KFC!$B$23*1.02*1.25+KFC!$C$23)*KFC!$C$5</f>
        <v>184.11</v>
      </c>
      <c r="U144" s="300">
        <f>(147.6*KFC!$B$23*1.02*1.25+KFC!$C$23)*KFC!$C$5</f>
        <v>188.19</v>
      </c>
      <c r="V144" s="300">
        <f>(150.8*KFC!$B$23*1.02*1.25+KFC!$C$23)*KFC!$C$5</f>
        <v>192.27</v>
      </c>
      <c r="W144" s="300">
        <f>(154*KFC!$B$23*1.02*1.25+KFC!$C$23)*KFC!$C$5</f>
        <v>196.35000000000002</v>
      </c>
      <c r="X144" s="300">
        <f>(157.2*KFC!$B$23*1.02*1.25+KFC!$C$23)*KFC!$C$5</f>
        <v>200.43</v>
      </c>
      <c r="Y144" s="300">
        <f>(160.4*KFC!$B$23*1.02*1.25+KFC!$C$23)*KFC!$C$5</f>
        <v>204.51</v>
      </c>
      <c r="Z144" s="300">
        <f>(163.6*KFC!$B$23*1.02*1.25+KFC!$C$23)*KFC!$C$5</f>
        <v>208.58999999999997</v>
      </c>
      <c r="AA144" s="300">
        <f>(166.8*KFC!$B$23*1.02*1.25+KFC!$C$23)*KFC!$C$5</f>
        <v>212.67000000000002</v>
      </c>
      <c r="AB144" s="300">
        <f>(170*KFC!$B$23*1.02*1.25+KFC!$C$23)*KFC!$C$5</f>
        <v>216.75</v>
      </c>
      <c r="AC144" s="300">
        <f>(173.1*KFC!$B$23*1.02*1.25+KFC!$C$23)*KFC!$C$5</f>
        <v>220.70249999999999</v>
      </c>
      <c r="AD144" s="300">
        <f>(176.3*KFC!$B$23*1.02*1.25+KFC!$C$23)*KFC!$C$5</f>
        <v>224.78250000000003</v>
      </c>
      <c r="AE144" s="300">
        <f>(179.5*KFC!$B$23*1.02*1.25+KFC!$C$23)*KFC!$C$5</f>
        <v>228.86250000000001</v>
      </c>
      <c r="AF144" s="300">
        <f>(182.7*KFC!$B$23*1.02*1.25+KFC!$C$23)*KFC!$C$5</f>
        <v>232.9425</v>
      </c>
      <c r="AG144" s="300">
        <f>(185.9*KFC!$B$23*1.02*1.25+KFC!$C$23)*KFC!$C$5</f>
        <v>237.02249999999998</v>
      </c>
      <c r="AH144" s="304">
        <f>(189.1*KFC!$B$23*1.02*1.25+KFC!$C$23)*KFC!$C$5</f>
        <v>241.10250000000002</v>
      </c>
    </row>
    <row r="145" spans="1:34">
      <c r="A145" s="1781"/>
      <c r="B145" s="392">
        <v>2</v>
      </c>
      <c r="C145" s="303">
        <f>(90.9*KFC!$B$23*1.02*1.25+KFC!$C$23)*KFC!$C$5</f>
        <v>115.89750000000001</v>
      </c>
      <c r="D145" s="300">
        <f>(94.3*KFC!$B$23*1.02*1.25+KFC!$C$23)*KFC!$C$5</f>
        <v>120.23249999999999</v>
      </c>
      <c r="E145" s="300">
        <f>(97.6*KFC!$B$23*1.02*1.25+KFC!$C$23)*KFC!$C$5</f>
        <v>124.44</v>
      </c>
      <c r="F145" s="300">
        <f>(100.9*KFC!$B$23*1.02*1.25+KFC!$C$23)*KFC!$C$5</f>
        <v>128.64750000000001</v>
      </c>
      <c r="G145" s="300">
        <f>(104.2*KFC!$B$23*1.02*1.25+KFC!$C$23)*KFC!$C$5</f>
        <v>132.85500000000002</v>
      </c>
      <c r="H145" s="300">
        <f>(107.5*KFC!$B$23*1.02*1.25+KFC!$C$23)*KFC!$C$5</f>
        <v>137.0625</v>
      </c>
      <c r="I145" s="300">
        <f>(110.8*KFC!$B$23*1.02*1.25+KFC!$C$23)*KFC!$C$5</f>
        <v>141.27000000000001</v>
      </c>
      <c r="J145" s="300">
        <f>(114.1*KFC!$B$23*1.02*1.25+KFC!$C$23)*KFC!$C$5</f>
        <v>145.47749999999999</v>
      </c>
      <c r="K145" s="300">
        <f>(117.4*KFC!$B$23*1.02*1.25+KFC!$C$23)*KFC!$C$5</f>
        <v>149.685</v>
      </c>
      <c r="L145" s="300">
        <f>(120.7*KFC!$B$23*1.02*1.25+KFC!$C$23)*KFC!$C$5</f>
        <v>153.89250000000001</v>
      </c>
      <c r="M145" s="300">
        <f>(124*KFC!$B$23*1.02*1.25+KFC!$C$23)*KFC!$C$5</f>
        <v>158.1</v>
      </c>
      <c r="N145" s="300">
        <f>(127.3*KFC!$B$23*1.02*1.25+KFC!$C$23)*KFC!$C$5</f>
        <v>162.3075</v>
      </c>
      <c r="O145" s="300">
        <f>(130.6*KFC!$B$23*1.02*1.25+KFC!$C$23)*KFC!$C$5</f>
        <v>166.51499999999999</v>
      </c>
      <c r="P145" s="300">
        <f>(133.9*KFC!$B$23*1.02*1.25+KFC!$C$23)*KFC!$C$5</f>
        <v>170.7225</v>
      </c>
      <c r="Q145" s="300">
        <f>(137.2*KFC!$B$23*1.02*1.25+KFC!$C$23)*KFC!$C$5</f>
        <v>174.92999999999998</v>
      </c>
      <c r="R145" s="300">
        <f>(140.5*KFC!$B$23*1.02*1.25+KFC!$C$23)*KFC!$C$5</f>
        <v>179.13749999999999</v>
      </c>
      <c r="S145" s="300">
        <f>(143.9*KFC!$B$23*1.02*1.25+KFC!$C$23)*KFC!$C$5</f>
        <v>183.47250000000003</v>
      </c>
      <c r="T145" s="300">
        <f>(147.2*KFC!$B$23*1.02*1.25+KFC!$C$23)*KFC!$C$5</f>
        <v>187.67999999999998</v>
      </c>
      <c r="U145" s="300">
        <f>(150.5*KFC!$B$23*1.02*1.25+KFC!$C$23)*KFC!$C$5</f>
        <v>191.88749999999999</v>
      </c>
      <c r="V145" s="300">
        <f>(153.8*KFC!$B$23*1.02*1.25+KFC!$C$23)*KFC!$C$5</f>
        <v>196.095</v>
      </c>
      <c r="W145" s="300">
        <f>(157.1*KFC!$B$23*1.02*1.25+KFC!$C$23)*KFC!$C$5</f>
        <v>200.30249999999998</v>
      </c>
      <c r="X145" s="300">
        <f>(160.4*KFC!$B$23*1.02*1.25+KFC!$C$23)*KFC!$C$5</f>
        <v>204.51</v>
      </c>
      <c r="Y145" s="300">
        <f>(163.7*KFC!$B$23*1.02*1.25+KFC!$C$23)*KFC!$C$5</f>
        <v>208.71749999999997</v>
      </c>
      <c r="Z145" s="300">
        <f>(167*KFC!$B$23*1.02*1.25+KFC!$C$23)*KFC!$C$5</f>
        <v>212.92500000000001</v>
      </c>
      <c r="AA145" s="300">
        <f>(170.3*KFC!$B$23*1.02*1.25+KFC!$C$23)*KFC!$C$5</f>
        <v>217.13250000000002</v>
      </c>
      <c r="AB145" s="300">
        <f>(173.6*KFC!$B$23*1.02*1.25+KFC!$C$23)*KFC!$C$5</f>
        <v>221.34</v>
      </c>
      <c r="AC145" s="300">
        <f>(176.9*KFC!$B$23*1.02*1.25+KFC!$C$23)*KFC!$C$5</f>
        <v>225.54750000000001</v>
      </c>
      <c r="AD145" s="300">
        <f>(180.2*KFC!$B$23*1.02*1.25+KFC!$C$23)*KFC!$C$5</f>
        <v>229.755</v>
      </c>
      <c r="AE145" s="300">
        <f>(183.5*KFC!$B$23*1.02*1.25+KFC!$C$23)*KFC!$C$5</f>
        <v>233.96250000000003</v>
      </c>
      <c r="AF145" s="300">
        <f>(186.8*KFC!$B$23*1.02*1.25+KFC!$C$23)*KFC!$C$5</f>
        <v>238.17000000000002</v>
      </c>
      <c r="AG145" s="300">
        <f>(190.1*KFC!$B$23*1.02*1.25+KFC!$C$23)*KFC!$C$5</f>
        <v>242.3775</v>
      </c>
      <c r="AH145" s="304">
        <f>(193.5*KFC!$B$23*1.02*1.25+KFC!$C$23)*KFC!$C$5</f>
        <v>246.71250000000001</v>
      </c>
    </row>
    <row r="146" spans="1:34">
      <c r="A146" s="1781"/>
      <c r="B146" s="392">
        <v>2.1</v>
      </c>
      <c r="C146" s="303">
        <f>(91.8*KFC!$B$23*1.02*1.25+KFC!$C$23)*KFC!$C$5</f>
        <v>117.04499999999999</v>
      </c>
      <c r="D146" s="300">
        <f>(95.2*KFC!$B$23*1.02*1.25+KFC!$C$23)*KFC!$C$5</f>
        <v>121.38</v>
      </c>
      <c r="E146" s="300">
        <f>(98.6*KFC!$B$23*1.02*1.25+KFC!$C$23)*KFC!$C$5</f>
        <v>125.715</v>
      </c>
      <c r="F146" s="300">
        <f>(102*KFC!$B$23*1.02*1.25+KFC!$C$23)*KFC!$C$5</f>
        <v>130.05000000000001</v>
      </c>
      <c r="G146" s="300">
        <f>(105.5*KFC!$B$23*1.02*1.25+KFC!$C$23)*KFC!$C$5</f>
        <v>134.51249999999999</v>
      </c>
      <c r="H146" s="300">
        <f>(108.9*KFC!$B$23*1.02*1.25+KFC!$C$23)*KFC!$C$5</f>
        <v>138.8475</v>
      </c>
      <c r="I146" s="300">
        <f>(112.3*KFC!$B$23*1.02*1.25+KFC!$C$23)*KFC!$C$5</f>
        <v>143.1825</v>
      </c>
      <c r="J146" s="300">
        <f>(115.7*KFC!$B$23*1.02*1.25+KFC!$C$23)*KFC!$C$5</f>
        <v>147.51750000000001</v>
      </c>
      <c r="K146" s="300">
        <f>(119.1*KFC!$B$23*1.02*1.25+KFC!$C$23)*KFC!$C$5</f>
        <v>151.85249999999999</v>
      </c>
      <c r="L146" s="300">
        <f>(122.6*KFC!$B$23*1.02*1.25+KFC!$C$23)*KFC!$C$5</f>
        <v>156.315</v>
      </c>
      <c r="M146" s="300">
        <f>(126*KFC!$B$23*1.02*1.25+KFC!$C$23)*KFC!$C$5</f>
        <v>160.65</v>
      </c>
      <c r="N146" s="300">
        <f>(129.4*KFC!$B$23*1.02*1.25+KFC!$C$23)*KFC!$C$5</f>
        <v>164.98500000000001</v>
      </c>
      <c r="O146" s="300">
        <f>(132.8*KFC!$B$23*1.02*1.25+KFC!$C$23)*KFC!$C$5</f>
        <v>169.32000000000002</v>
      </c>
      <c r="P146" s="300">
        <f>(136.2*KFC!$B$23*1.02*1.25+KFC!$C$23)*KFC!$C$5</f>
        <v>173.65499999999997</v>
      </c>
      <c r="Q146" s="300">
        <f>(139.7*KFC!$B$23*1.02*1.25+KFC!$C$23)*KFC!$C$5</f>
        <v>178.11750000000001</v>
      </c>
      <c r="R146" s="300">
        <f>(143.1*KFC!$B$23*1.02*1.25+KFC!$C$23)*KFC!$C$5</f>
        <v>182.45249999999999</v>
      </c>
      <c r="S146" s="300">
        <f>(146.5*KFC!$B$23*1.02*1.25+KFC!$C$23)*KFC!$C$5</f>
        <v>186.78750000000002</v>
      </c>
      <c r="T146" s="300">
        <f>(149.9*KFC!$B$23*1.02*1.25+KFC!$C$23)*KFC!$C$5</f>
        <v>191.1225</v>
      </c>
      <c r="U146" s="300">
        <f>(153.3*KFC!$B$23*1.02*1.25+KFC!$C$23)*KFC!$C$5</f>
        <v>195.45750000000001</v>
      </c>
      <c r="V146" s="300">
        <f>(156.8*KFC!$B$23*1.02*1.25+KFC!$C$23)*KFC!$C$5</f>
        <v>199.92000000000002</v>
      </c>
      <c r="W146" s="300">
        <f>(160.2*KFC!$B$23*1.02*1.25+KFC!$C$23)*KFC!$C$5</f>
        <v>204.255</v>
      </c>
      <c r="X146" s="300">
        <f>(163.6*KFC!$B$23*1.02*1.25+KFC!$C$23)*KFC!$C$5</f>
        <v>208.58999999999997</v>
      </c>
      <c r="Y146" s="300">
        <f>(167*KFC!$B$23*1.02*1.25+KFC!$C$23)*KFC!$C$5</f>
        <v>212.92500000000001</v>
      </c>
      <c r="Z146" s="300">
        <f>(170.4*KFC!$B$23*1.02*1.25+KFC!$C$23)*KFC!$C$5</f>
        <v>217.26000000000002</v>
      </c>
      <c r="AA146" s="300">
        <f>(173.9*KFC!$B$23*1.02*1.25+KFC!$C$23)*KFC!$C$5</f>
        <v>221.72250000000003</v>
      </c>
      <c r="AB146" s="300">
        <f>(177.3*KFC!$B$23*1.02*1.25+KFC!$C$23)*KFC!$C$5</f>
        <v>226.0575</v>
      </c>
      <c r="AC146" s="300">
        <f>(180.7*KFC!$B$23*1.02*1.25+KFC!$C$23)*KFC!$C$5</f>
        <v>230.39249999999998</v>
      </c>
      <c r="AD146" s="300">
        <f>(184.1*KFC!$B$23*1.02*1.25+KFC!$C$23)*KFC!$C$5</f>
        <v>234.72750000000002</v>
      </c>
      <c r="AE146" s="300">
        <f>(187.5*KFC!$B$23*1.02*1.25+KFC!$C$23)*KFC!$C$5</f>
        <v>239.0625</v>
      </c>
      <c r="AF146" s="300">
        <f>(191*KFC!$B$23*1.02*1.25+KFC!$C$23)*KFC!$C$5</f>
        <v>243.52499999999998</v>
      </c>
      <c r="AG146" s="300">
        <f>(194.4*KFC!$B$23*1.02*1.25+KFC!$C$23)*KFC!$C$5</f>
        <v>247.86</v>
      </c>
      <c r="AH146" s="304">
        <f>(197.8*KFC!$B$23*1.02*1.25+KFC!$C$23)*KFC!$C$5</f>
        <v>252.19500000000005</v>
      </c>
    </row>
    <row r="147" spans="1:34">
      <c r="A147" s="1781"/>
      <c r="B147" s="392">
        <v>2.2000000000000002</v>
      </c>
      <c r="C147" s="303">
        <f>(92.6*KFC!$B$23*1.02*1.25+KFC!$C$23)*KFC!$C$5</f>
        <v>118.065</v>
      </c>
      <c r="D147" s="300">
        <f>(96.2*KFC!$B$23*1.02*1.25+KFC!$C$23)*KFC!$C$5</f>
        <v>122.65500000000002</v>
      </c>
      <c r="E147" s="300">
        <f>(99.7*KFC!$B$23*1.02*1.25+KFC!$C$23)*KFC!$C$5</f>
        <v>127.11750000000001</v>
      </c>
      <c r="F147" s="300">
        <f>(103.2*KFC!$B$23*1.02*1.25+KFC!$C$23)*KFC!$C$5</f>
        <v>131.58000000000001</v>
      </c>
      <c r="G147" s="300">
        <f>(106.8*KFC!$B$23*1.02*1.25+KFC!$C$23)*KFC!$C$5</f>
        <v>136.16999999999999</v>
      </c>
      <c r="H147" s="300">
        <f>(110.3*KFC!$B$23*1.02*1.25+KFC!$C$23)*KFC!$C$5</f>
        <v>140.63249999999999</v>
      </c>
      <c r="I147" s="300">
        <f>(113.8*KFC!$B$23*1.02*1.25+KFC!$C$23)*KFC!$C$5</f>
        <v>145.095</v>
      </c>
      <c r="J147" s="300">
        <f>(117.4*KFC!$B$23*1.02*1.25+KFC!$C$23)*KFC!$C$5</f>
        <v>149.685</v>
      </c>
      <c r="K147" s="300">
        <f>(120.9*KFC!$B$23*1.02*1.25+KFC!$C$23)*KFC!$C$5</f>
        <v>154.14750000000001</v>
      </c>
      <c r="L147" s="300">
        <f>(124.4*KFC!$B$23*1.02*1.25+KFC!$C$23)*KFC!$C$5</f>
        <v>158.61000000000001</v>
      </c>
      <c r="M147" s="300">
        <f>(128*KFC!$B$23*1.02*1.25+KFC!$C$23)*KFC!$C$5</f>
        <v>163.19999999999999</v>
      </c>
      <c r="N147" s="300">
        <f>(131.5*KFC!$B$23*1.02*1.25+KFC!$C$23)*KFC!$C$5</f>
        <v>167.66249999999999</v>
      </c>
      <c r="O147" s="300">
        <f>(135*KFC!$B$23*1.02*1.25+KFC!$C$23)*KFC!$C$5</f>
        <v>172.125</v>
      </c>
      <c r="P147" s="300">
        <f>(138.6*KFC!$B$23*1.02*1.25+KFC!$C$23)*KFC!$C$5</f>
        <v>176.71499999999997</v>
      </c>
      <c r="Q147" s="300">
        <f>(142.1*KFC!$B$23*1.02*1.25+KFC!$C$23)*KFC!$C$5</f>
        <v>181.17750000000001</v>
      </c>
      <c r="R147" s="300">
        <f>(145.6*KFC!$B$23*1.02*1.25+KFC!$C$23)*KFC!$C$5</f>
        <v>185.64</v>
      </c>
      <c r="S147" s="300">
        <f>(149.1*KFC!$B$23*1.02*1.25+KFC!$C$23)*KFC!$C$5</f>
        <v>190.10249999999999</v>
      </c>
      <c r="T147" s="300">
        <f>(152.7*KFC!$B$23*1.02*1.25+KFC!$C$23)*KFC!$C$5</f>
        <v>194.6925</v>
      </c>
      <c r="U147" s="300">
        <f>(156.2*KFC!$B$23*1.02*1.25+KFC!$C$23)*KFC!$C$5</f>
        <v>199.15499999999997</v>
      </c>
      <c r="V147" s="300">
        <f>(159.7*KFC!$B$23*1.02*1.25+KFC!$C$23)*KFC!$C$5</f>
        <v>203.61750000000001</v>
      </c>
      <c r="W147" s="300">
        <f>(163.3*KFC!$B$23*1.02*1.25+KFC!$C$23)*KFC!$C$5</f>
        <v>208.20750000000001</v>
      </c>
      <c r="X147" s="300">
        <f>(166.8*KFC!$B$23*1.02*1.25+KFC!$C$23)*KFC!$C$5</f>
        <v>212.67000000000002</v>
      </c>
      <c r="Y147" s="300">
        <f>(170.3*KFC!$B$23*1.02*1.25+KFC!$C$23)*KFC!$C$5</f>
        <v>217.13250000000002</v>
      </c>
      <c r="Z147" s="300">
        <f>(173.9*KFC!$B$23*1.02*1.25+KFC!$C$23)*KFC!$C$5</f>
        <v>221.72250000000003</v>
      </c>
      <c r="AA147" s="300">
        <f>(177.4*KFC!$B$23*1.02*1.25+KFC!$C$23)*KFC!$C$5</f>
        <v>226.185</v>
      </c>
      <c r="AB147" s="300">
        <f>(180.9*KFC!$B$23*1.02*1.25+KFC!$C$23)*KFC!$C$5</f>
        <v>230.64750000000001</v>
      </c>
      <c r="AC147" s="300">
        <f>(184.5*KFC!$B$23*1.02*1.25+KFC!$C$23)*KFC!$C$5</f>
        <v>235.23750000000001</v>
      </c>
      <c r="AD147" s="300">
        <f>(188*KFC!$B$23*1.02*1.25+KFC!$C$23)*KFC!$C$5</f>
        <v>239.7</v>
      </c>
      <c r="AE147" s="300">
        <f>(191.5*KFC!$B$23*1.02*1.25+KFC!$C$23)*KFC!$C$5</f>
        <v>244.16250000000002</v>
      </c>
      <c r="AF147" s="300">
        <f>(195.1*KFC!$B$23*1.02*1.25+KFC!$C$23)*KFC!$C$5</f>
        <v>248.7525</v>
      </c>
      <c r="AG147" s="300">
        <f>(198.6*KFC!$B$23*1.02*1.25+KFC!$C$23)*KFC!$C$5</f>
        <v>253.215</v>
      </c>
      <c r="AH147" s="304">
        <f>(202.1*KFC!$B$23*1.02*1.25+KFC!$C$23)*KFC!$C$5</f>
        <v>257.67750000000001</v>
      </c>
    </row>
    <row r="148" spans="1:34">
      <c r="A148" s="1781"/>
      <c r="B148" s="392">
        <v>2.2999999999999998</v>
      </c>
      <c r="C148" s="303">
        <f>(93.5*KFC!$B$23*1.02*1.25+KFC!$C$23)*KFC!$C$5</f>
        <v>119.21250000000001</v>
      </c>
      <c r="D148" s="300">
        <f>(97.1*KFC!$B$23*1.02*1.25+KFC!$C$23)*KFC!$C$5</f>
        <v>123.80250000000001</v>
      </c>
      <c r="E148" s="300">
        <f>(100.8*KFC!$B$23*1.02*1.25+KFC!$C$23)*KFC!$C$5</f>
        <v>128.52000000000001</v>
      </c>
      <c r="F148" s="300">
        <f>(104.4*KFC!$B$23*1.02*1.25+KFC!$C$23)*KFC!$C$5</f>
        <v>133.11000000000001</v>
      </c>
      <c r="G148" s="300">
        <f>(108.1*KFC!$B$23*1.02*1.25+KFC!$C$23)*KFC!$C$5</f>
        <v>137.82749999999999</v>
      </c>
      <c r="H148" s="300">
        <f>(111.7*KFC!$B$23*1.02*1.25+KFC!$C$23)*KFC!$C$5</f>
        <v>142.41750000000002</v>
      </c>
      <c r="I148" s="300">
        <f>(115.3*KFC!$B$23*1.02*1.25+KFC!$C$23)*KFC!$C$5</f>
        <v>147.00749999999999</v>
      </c>
      <c r="J148" s="300">
        <f>(119*KFC!$B$23*1.02*1.25+KFC!$C$23)*KFC!$C$5</f>
        <v>151.72499999999999</v>
      </c>
      <c r="K148" s="300">
        <f>(122.6*KFC!$B$23*1.02*1.25+KFC!$C$23)*KFC!$C$5</f>
        <v>156.315</v>
      </c>
      <c r="L148" s="300">
        <f>(126.3*KFC!$B$23*1.02*1.25+KFC!$C$23)*KFC!$C$5</f>
        <v>161.0325</v>
      </c>
      <c r="M148" s="300">
        <f>(129.9*KFC!$B$23*1.02*1.25+KFC!$C$23)*KFC!$C$5</f>
        <v>165.62250000000003</v>
      </c>
      <c r="N148" s="300">
        <f>(133.6*KFC!$B$23*1.02*1.25+KFC!$C$23)*KFC!$C$5</f>
        <v>170.33999999999997</v>
      </c>
      <c r="O148" s="300">
        <f>(137.2*KFC!$B$23*1.02*1.25+KFC!$C$23)*KFC!$C$5</f>
        <v>174.92999999999998</v>
      </c>
      <c r="P148" s="300">
        <f>(140.9*KFC!$B$23*1.02*1.25+KFC!$C$23)*KFC!$C$5</f>
        <v>179.64750000000004</v>
      </c>
      <c r="Q148" s="300">
        <f>(144.5*KFC!$B$23*1.02*1.25+KFC!$C$23)*KFC!$C$5</f>
        <v>184.23750000000001</v>
      </c>
      <c r="R148" s="300">
        <f>(148.2*KFC!$B$23*1.02*1.25+KFC!$C$23)*KFC!$C$5</f>
        <v>188.95499999999998</v>
      </c>
      <c r="S148" s="300">
        <f>(151.8*KFC!$B$23*1.02*1.25+KFC!$C$23)*KFC!$C$5</f>
        <v>193.54500000000002</v>
      </c>
      <c r="T148" s="300">
        <f>(155.4*KFC!$B$23*1.02*1.25+KFC!$C$23)*KFC!$C$5</f>
        <v>198.13500000000002</v>
      </c>
      <c r="U148" s="300">
        <f>(159.1*KFC!$B$23*1.02*1.25+KFC!$C$23)*KFC!$C$5</f>
        <v>202.85250000000002</v>
      </c>
      <c r="V148" s="300">
        <f>(162.7*KFC!$B$23*1.02*1.25+KFC!$C$23)*KFC!$C$5</f>
        <v>207.44249999999997</v>
      </c>
      <c r="W148" s="300">
        <f>(166.4*KFC!$B$23*1.02*1.25+KFC!$C$23)*KFC!$C$5</f>
        <v>212.16000000000003</v>
      </c>
      <c r="X148" s="300">
        <f>(170*KFC!$B$23*1.02*1.25+KFC!$C$23)*KFC!$C$5</f>
        <v>216.75</v>
      </c>
      <c r="Y148" s="300">
        <f>(173.7*KFC!$B$23*1.02*1.25+KFC!$C$23)*KFC!$C$5</f>
        <v>221.46749999999997</v>
      </c>
      <c r="Z148" s="300">
        <f>(177.3*KFC!$B$23*1.02*1.25+KFC!$C$23)*KFC!$C$5</f>
        <v>226.0575</v>
      </c>
      <c r="AA148" s="300">
        <f>(181*KFC!$B$23*1.02*1.25+KFC!$C$23)*KFC!$C$5</f>
        <v>230.77500000000001</v>
      </c>
      <c r="AB148" s="300">
        <f>(184.6*KFC!$B$23*1.02*1.25+KFC!$C$23)*KFC!$C$5</f>
        <v>235.36500000000001</v>
      </c>
      <c r="AC148" s="300">
        <f>(188.2*KFC!$B$23*1.02*1.25+KFC!$C$23)*KFC!$C$5</f>
        <v>239.95499999999998</v>
      </c>
      <c r="AD148" s="300">
        <f>(191.9*KFC!$B$23*1.02*1.25+KFC!$C$23)*KFC!$C$5</f>
        <v>244.67250000000001</v>
      </c>
      <c r="AE148" s="300">
        <f>(195.5*KFC!$B$23*1.02*1.25+KFC!$C$23)*KFC!$C$5</f>
        <v>249.26249999999999</v>
      </c>
      <c r="AF148" s="300">
        <f>(199.2*KFC!$B$23*1.02*1.25+KFC!$C$23)*KFC!$C$5</f>
        <v>253.98</v>
      </c>
      <c r="AG148" s="300">
        <f>(202.8*KFC!$B$23*1.02*1.25+KFC!$C$23)*KFC!$C$5</f>
        <v>258.57000000000005</v>
      </c>
      <c r="AH148" s="304">
        <f>(206.5*KFC!$B$23*1.02*1.25+KFC!$C$23)*KFC!$C$5</f>
        <v>263.28750000000002</v>
      </c>
    </row>
    <row r="149" spans="1:34">
      <c r="A149" s="1781"/>
      <c r="B149" s="392">
        <v>2.4</v>
      </c>
      <c r="C149" s="303">
        <f>(94.3*KFC!$B$23*1.02*1.25+KFC!$C$23)*KFC!$C$5</f>
        <v>120.23249999999999</v>
      </c>
      <c r="D149" s="300">
        <f>(98.1*KFC!$B$23*1.02*1.25+KFC!$C$23)*KFC!$C$5</f>
        <v>125.0775</v>
      </c>
      <c r="E149" s="300">
        <f>(101.8*KFC!$B$23*1.02*1.25+KFC!$C$23)*KFC!$C$5</f>
        <v>129.79499999999999</v>
      </c>
      <c r="F149" s="300">
        <f>(105.6*KFC!$B$23*1.02*1.25+KFC!$C$23)*KFC!$C$5</f>
        <v>134.63999999999999</v>
      </c>
      <c r="G149" s="300">
        <f>(109.4*KFC!$B$23*1.02*1.25+KFC!$C$23)*KFC!$C$5</f>
        <v>139.48500000000001</v>
      </c>
      <c r="H149" s="300">
        <f>(113.1*KFC!$B$23*1.02*1.25+KFC!$C$23)*KFC!$C$5</f>
        <v>144.20249999999999</v>
      </c>
      <c r="I149" s="300">
        <f>(116.9*KFC!$B$23*1.02*1.25+KFC!$C$23)*KFC!$C$5</f>
        <v>149.04750000000001</v>
      </c>
      <c r="J149" s="300">
        <f>(120.6*KFC!$B$23*1.02*1.25+KFC!$C$23)*KFC!$C$5</f>
        <v>153.76499999999999</v>
      </c>
      <c r="K149" s="300">
        <f>(124.4*KFC!$B$23*1.02*1.25+KFC!$C$23)*KFC!$C$5</f>
        <v>158.61000000000001</v>
      </c>
      <c r="L149" s="300">
        <f>(128.1*KFC!$B$23*1.02*1.25+KFC!$C$23)*KFC!$C$5</f>
        <v>163.32750000000001</v>
      </c>
      <c r="M149" s="300">
        <f>(131.9*KFC!$B$23*1.02*1.25+KFC!$C$23)*KFC!$C$5</f>
        <v>168.17250000000001</v>
      </c>
      <c r="N149" s="300">
        <f>(135.7*KFC!$B$23*1.02*1.25+KFC!$C$23)*KFC!$C$5</f>
        <v>173.01749999999998</v>
      </c>
      <c r="O149" s="300">
        <f>(139.4*KFC!$B$23*1.02*1.25+KFC!$C$23)*KFC!$C$5</f>
        <v>177.73500000000001</v>
      </c>
      <c r="P149" s="300">
        <f>(143.2*KFC!$B$23*1.02*1.25+KFC!$C$23)*KFC!$C$5</f>
        <v>182.57999999999998</v>
      </c>
      <c r="Q149" s="300">
        <f>(146.9*KFC!$B$23*1.02*1.25+KFC!$C$23)*KFC!$C$5</f>
        <v>187.29750000000001</v>
      </c>
      <c r="R149" s="300">
        <f>(150.7*KFC!$B$23*1.02*1.25+KFC!$C$23)*KFC!$C$5</f>
        <v>192.14249999999998</v>
      </c>
      <c r="S149" s="300">
        <f>(154.4*KFC!$B$23*1.02*1.25+KFC!$C$23)*KFC!$C$5</f>
        <v>196.86</v>
      </c>
      <c r="T149" s="300">
        <f>(158.2*KFC!$B$23*1.02*1.25+KFC!$C$23)*KFC!$C$5</f>
        <v>201.70500000000001</v>
      </c>
      <c r="U149" s="300">
        <f>(162*KFC!$B$23*1.02*1.25+KFC!$C$23)*KFC!$C$5</f>
        <v>206.55</v>
      </c>
      <c r="V149" s="300">
        <f>(165.7*KFC!$B$23*1.02*1.25+KFC!$C$23)*KFC!$C$5</f>
        <v>211.26749999999998</v>
      </c>
      <c r="W149" s="300">
        <f>(169.5*KFC!$B$23*1.02*1.25+KFC!$C$23)*KFC!$C$5</f>
        <v>216.11250000000001</v>
      </c>
      <c r="X149" s="300">
        <f>(173.2*KFC!$B$23*1.02*1.25+KFC!$C$23)*KFC!$C$5</f>
        <v>220.82999999999998</v>
      </c>
      <c r="Y149" s="300">
        <f>(177*KFC!$B$23*1.02*1.25+KFC!$C$23)*KFC!$C$5</f>
        <v>225.67499999999998</v>
      </c>
      <c r="Z149" s="300">
        <f>(180.7*KFC!$B$23*1.02*1.25+KFC!$C$23)*KFC!$C$5</f>
        <v>230.39249999999998</v>
      </c>
      <c r="AA149" s="300">
        <f>(184.5*KFC!$B$23*1.02*1.25+KFC!$C$23)*KFC!$C$5</f>
        <v>235.23750000000001</v>
      </c>
      <c r="AB149" s="300">
        <f>(188.3*KFC!$B$23*1.02*1.25+KFC!$C$23)*KFC!$C$5</f>
        <v>240.08250000000001</v>
      </c>
      <c r="AC149" s="300">
        <f>(192*KFC!$B$23*1.02*1.25+KFC!$C$23)*KFC!$C$5</f>
        <v>244.8</v>
      </c>
      <c r="AD149" s="300">
        <f>(195.8*KFC!$B$23*1.02*1.25+KFC!$C$23)*KFC!$C$5</f>
        <v>249.64500000000001</v>
      </c>
      <c r="AE149" s="300">
        <f>(199.5*KFC!$B$23*1.02*1.25+KFC!$C$23)*KFC!$C$5</f>
        <v>254.36250000000001</v>
      </c>
      <c r="AF149" s="300">
        <f>(203.3*KFC!$B$23*1.02*1.25+KFC!$C$23)*KFC!$C$5</f>
        <v>259.20750000000004</v>
      </c>
      <c r="AG149" s="300">
        <f>(207*KFC!$B$23*1.02*1.25+KFC!$C$23)*KFC!$C$5</f>
        <v>263.92500000000001</v>
      </c>
      <c r="AH149" s="304">
        <f>(210.8*KFC!$B$23*1.02*1.25+KFC!$C$23)*KFC!$C$5</f>
        <v>268.77000000000004</v>
      </c>
    </row>
    <row r="150" spans="1:34">
      <c r="A150" s="1781"/>
      <c r="B150" s="392">
        <v>2.5</v>
      </c>
      <c r="C150" s="303">
        <f>(95.2*KFC!$B$23*1.02*1.25+KFC!$C$23)*KFC!$C$5</f>
        <v>121.38</v>
      </c>
      <c r="D150" s="300">
        <f>(99*KFC!$B$23*1.02*1.25+KFC!$C$23)*KFC!$C$5</f>
        <v>126.22500000000001</v>
      </c>
      <c r="E150" s="300">
        <f>(102.9*KFC!$B$23*1.02*1.25+KFC!$C$23)*KFC!$C$5</f>
        <v>131.19750000000002</v>
      </c>
      <c r="F150" s="300">
        <f>(106.8*KFC!$B$23*1.02*1.25+KFC!$C$23)*KFC!$C$5</f>
        <v>136.16999999999999</v>
      </c>
      <c r="G150" s="300">
        <f>(110.7*KFC!$B$23*1.02*1.25+KFC!$C$23)*KFC!$C$5</f>
        <v>141.14250000000001</v>
      </c>
      <c r="H150" s="300">
        <f>(114.5*KFC!$B$23*1.02*1.25+KFC!$C$23)*KFC!$C$5</f>
        <v>145.98750000000001</v>
      </c>
      <c r="I150" s="300">
        <f>(118.4*KFC!$B$23*1.02*1.25+KFC!$C$23)*KFC!$C$5</f>
        <v>150.96</v>
      </c>
      <c r="J150" s="300">
        <f>(122.3*KFC!$B$23*1.02*1.25+KFC!$C$23)*KFC!$C$5</f>
        <v>155.9325</v>
      </c>
      <c r="K150" s="300">
        <f>(126.1*KFC!$B$23*1.02*1.25+KFC!$C$23)*KFC!$C$5</f>
        <v>160.77749999999997</v>
      </c>
      <c r="L150" s="300">
        <f>(130*KFC!$B$23*1.02*1.25+KFC!$C$23)*KFC!$C$5</f>
        <v>165.75</v>
      </c>
      <c r="M150" s="300">
        <f>(133.9*KFC!$B$23*1.02*1.25+KFC!$C$23)*KFC!$C$5</f>
        <v>170.7225</v>
      </c>
      <c r="N150" s="300">
        <f>(137.7*KFC!$B$23*1.02*1.25+KFC!$C$23)*KFC!$C$5</f>
        <v>175.56749999999997</v>
      </c>
      <c r="O150" s="300">
        <f>(141.6*KFC!$B$23*1.02*1.25+KFC!$C$23)*KFC!$C$5</f>
        <v>180.54</v>
      </c>
      <c r="P150" s="300">
        <f>(145.5*KFC!$B$23*1.02*1.25+KFC!$C$23)*KFC!$C$5</f>
        <v>185.51249999999999</v>
      </c>
      <c r="Q150" s="300">
        <f>(149.3*KFC!$B$23*1.02*1.25+KFC!$C$23)*KFC!$C$5</f>
        <v>190.35750000000002</v>
      </c>
      <c r="R150" s="300">
        <f>(153.2*KFC!$B$23*1.02*1.25+KFC!$C$23)*KFC!$C$5</f>
        <v>195.32999999999998</v>
      </c>
      <c r="S150" s="300">
        <f>(157.1*KFC!$B$23*1.02*1.25+KFC!$C$23)*KFC!$C$5</f>
        <v>200.30249999999998</v>
      </c>
      <c r="T150" s="300">
        <f>(161*KFC!$B$23*1.02*1.25+KFC!$C$23)*KFC!$C$5</f>
        <v>205.27500000000001</v>
      </c>
      <c r="U150" s="300">
        <f>(164.8*KFC!$B$23*1.02*1.25+KFC!$C$23)*KFC!$C$5</f>
        <v>210.12</v>
      </c>
      <c r="V150" s="300">
        <f>(168.7*KFC!$B$23*1.02*1.25+KFC!$C$23)*KFC!$C$5</f>
        <v>215.09249999999997</v>
      </c>
      <c r="W150" s="300">
        <f>(172.6*KFC!$B$23*1.02*1.25+KFC!$C$23)*KFC!$C$5</f>
        <v>220.065</v>
      </c>
      <c r="X150" s="300">
        <f>(176.4*KFC!$B$23*1.02*1.25+KFC!$C$23)*KFC!$C$5</f>
        <v>224.91</v>
      </c>
      <c r="Y150" s="300">
        <f>(180.3*KFC!$B$23*1.02*1.25+KFC!$C$23)*KFC!$C$5</f>
        <v>229.88249999999999</v>
      </c>
      <c r="Z150" s="300">
        <f>(184.2*KFC!$B$23*1.02*1.25+KFC!$C$23)*KFC!$C$5</f>
        <v>234.85499999999999</v>
      </c>
      <c r="AA150" s="300">
        <f>(188*KFC!$B$23*1.02*1.25+KFC!$C$23)*KFC!$C$5</f>
        <v>239.7</v>
      </c>
      <c r="AB150" s="300">
        <f>(191.9*KFC!$B$23*1.02*1.25+KFC!$C$23)*KFC!$C$5</f>
        <v>244.67250000000001</v>
      </c>
      <c r="AC150" s="300">
        <f>(195.8*KFC!$B$23*1.02*1.25+KFC!$C$23)*KFC!$C$5</f>
        <v>249.64500000000001</v>
      </c>
      <c r="AD150" s="300">
        <f>(199.7*KFC!$B$23*1.02*1.25+KFC!$C$23)*KFC!$C$5</f>
        <v>254.61749999999998</v>
      </c>
      <c r="AE150" s="300">
        <f>(203.5*KFC!$B$23*1.02*1.25+KFC!$C$23)*KFC!$C$5</f>
        <v>259.46249999999998</v>
      </c>
      <c r="AF150" s="300">
        <f>(207.4*KFC!$B$23*1.02*1.25+KFC!$C$23)*KFC!$C$5</f>
        <v>264.435</v>
      </c>
      <c r="AG150" s="300">
        <f>(211.3*KFC!$B$23*1.02*1.25+KFC!$C$23)*KFC!$C$5</f>
        <v>269.40750000000003</v>
      </c>
      <c r="AH150" s="304">
        <f>(215.1*KFC!$B$23*1.02*1.25+KFC!$C$23)*KFC!$C$5</f>
        <v>274.2525</v>
      </c>
    </row>
    <row r="151" spans="1:34">
      <c r="A151" s="1781"/>
      <c r="B151" s="392">
        <v>2.6</v>
      </c>
      <c r="C151" s="303">
        <f>(96*KFC!$B$23*1.02*1.25+KFC!$C$23)*KFC!$C$5</f>
        <v>122.4</v>
      </c>
      <c r="D151" s="300">
        <f>(100*KFC!$B$23*1.02*1.25+KFC!$C$23)*KFC!$C$5</f>
        <v>127.5</v>
      </c>
      <c r="E151" s="300">
        <f>(104*KFC!$B$23*1.02*1.25+KFC!$C$23)*KFC!$C$5</f>
        <v>132.6</v>
      </c>
      <c r="F151" s="300">
        <f>(108*KFC!$B$23*1.02*1.25+KFC!$C$23)*KFC!$C$5</f>
        <v>137.69999999999999</v>
      </c>
      <c r="G151" s="300">
        <f>(111.9*KFC!$B$23*1.02*1.25+KFC!$C$23)*KFC!$C$5</f>
        <v>142.67250000000001</v>
      </c>
      <c r="H151" s="300">
        <f>(115.9*KFC!$B$23*1.02*1.25+KFC!$C$23)*KFC!$C$5</f>
        <v>147.77250000000001</v>
      </c>
      <c r="I151" s="300">
        <f>(119.9*KFC!$B$23*1.02*1.25+KFC!$C$23)*KFC!$C$5</f>
        <v>152.8725</v>
      </c>
      <c r="J151" s="300">
        <f>(123.9*KFC!$B$23*1.02*1.25+KFC!$C$23)*KFC!$C$5</f>
        <v>157.97250000000003</v>
      </c>
      <c r="K151" s="300">
        <f>(127.9*KFC!$B$23*1.02*1.25+KFC!$C$23)*KFC!$C$5</f>
        <v>163.07249999999999</v>
      </c>
      <c r="L151" s="300">
        <f>(131.9*KFC!$B$23*1.02*1.25+KFC!$C$23)*KFC!$C$5</f>
        <v>168.17250000000001</v>
      </c>
      <c r="M151" s="300">
        <f>(135.8*KFC!$B$23*1.02*1.25+KFC!$C$23)*KFC!$C$5</f>
        <v>173.14500000000004</v>
      </c>
      <c r="N151" s="300">
        <f>(139.8*KFC!$B$23*1.02*1.25+KFC!$C$23)*KFC!$C$5</f>
        <v>178.245</v>
      </c>
      <c r="O151" s="300">
        <f>(143.8*KFC!$B$23*1.02*1.25+KFC!$C$23)*KFC!$C$5</f>
        <v>183.34500000000003</v>
      </c>
      <c r="P151" s="300">
        <f>(147.8*KFC!$B$23*1.02*1.25+KFC!$C$23)*KFC!$C$5</f>
        <v>188.44499999999999</v>
      </c>
      <c r="Q151" s="300">
        <f>(151.8*KFC!$B$23*1.02*1.25+KFC!$C$23)*KFC!$C$5</f>
        <v>193.54500000000002</v>
      </c>
      <c r="R151" s="300">
        <f>(155.8*KFC!$B$23*1.02*1.25+KFC!$C$23)*KFC!$C$5</f>
        <v>198.64500000000004</v>
      </c>
      <c r="S151" s="300">
        <f>(159.7*KFC!$B$23*1.02*1.25+KFC!$C$23)*KFC!$C$5</f>
        <v>203.61750000000001</v>
      </c>
      <c r="T151" s="300">
        <f>(163.7*KFC!$B$23*1.02*1.25+KFC!$C$23)*KFC!$C$5</f>
        <v>208.71749999999997</v>
      </c>
      <c r="U151" s="300">
        <f>(167.7*KFC!$B$23*1.02*1.25+KFC!$C$23)*KFC!$C$5</f>
        <v>213.8175</v>
      </c>
      <c r="V151" s="300">
        <f>(171.7*KFC!$B$23*1.02*1.25+KFC!$C$23)*KFC!$C$5</f>
        <v>218.91749999999999</v>
      </c>
      <c r="W151" s="300">
        <f>(175.7*KFC!$B$23*1.02*1.25+KFC!$C$23)*KFC!$C$5</f>
        <v>224.01749999999998</v>
      </c>
      <c r="X151" s="300">
        <f>(179.6*KFC!$B$23*1.02*1.25+KFC!$C$23)*KFC!$C$5</f>
        <v>228.99</v>
      </c>
      <c r="Y151" s="300">
        <f>(183.6*KFC!$B$23*1.02*1.25+KFC!$C$23)*KFC!$C$5</f>
        <v>234.08999999999997</v>
      </c>
      <c r="Z151" s="300">
        <f>(187.6*KFC!$B$23*1.02*1.25+KFC!$C$23)*KFC!$C$5</f>
        <v>239.19</v>
      </c>
      <c r="AA151" s="300">
        <f>(191.6*KFC!$B$23*1.02*1.25+KFC!$C$23)*KFC!$C$5</f>
        <v>244.29</v>
      </c>
      <c r="AB151" s="300">
        <f>(195.6*KFC!$B$23*1.02*1.25+KFC!$C$23)*KFC!$C$5</f>
        <v>249.39</v>
      </c>
      <c r="AC151" s="300">
        <f>(199.6*KFC!$B$23*1.02*1.25+KFC!$C$23)*KFC!$C$5</f>
        <v>254.48999999999998</v>
      </c>
      <c r="AD151" s="300">
        <f>(203.5*KFC!$B$23*1.02*1.25+KFC!$C$23)*KFC!$C$5</f>
        <v>259.46249999999998</v>
      </c>
      <c r="AE151" s="300">
        <f>(207.5*KFC!$B$23*1.02*1.25+KFC!$C$23)*KFC!$C$5</f>
        <v>264.5625</v>
      </c>
      <c r="AF151" s="300">
        <f>(211.5*KFC!$B$23*1.02*1.25+KFC!$C$23)*KFC!$C$5</f>
        <v>269.66249999999997</v>
      </c>
      <c r="AG151" s="300">
        <f>(215.5*KFC!$B$23*1.02*1.25+KFC!$C$23)*KFC!$C$5</f>
        <v>274.76249999999999</v>
      </c>
      <c r="AH151" s="304">
        <f>(219.5*KFC!$B$23*1.02*1.25+KFC!$C$23)*KFC!$C$5</f>
        <v>279.86250000000001</v>
      </c>
    </row>
    <row r="152" spans="1:34">
      <c r="A152" s="1781"/>
      <c r="B152" s="392">
        <v>2.7</v>
      </c>
      <c r="C152" s="303">
        <f>(96.9*KFC!$B$23*1.02*1.25+KFC!$C$23)*KFC!$C$5</f>
        <v>123.54750000000001</v>
      </c>
      <c r="D152" s="300">
        <f>(101*KFC!$B$23*1.02*1.25+KFC!$C$23)*KFC!$C$5</f>
        <v>128.77500000000001</v>
      </c>
      <c r="E152" s="300">
        <f>(105.1*KFC!$B$23*1.02*1.25+KFC!$C$23)*KFC!$C$5</f>
        <v>134.0025</v>
      </c>
      <c r="F152" s="300">
        <f>(109.1*KFC!$B$23*1.02*1.25+KFC!$C$23)*KFC!$C$5</f>
        <v>139.10249999999999</v>
      </c>
      <c r="G152" s="300">
        <f>(113.2*KFC!$B$23*1.02*1.25+KFC!$C$23)*KFC!$C$5</f>
        <v>144.32999999999998</v>
      </c>
      <c r="H152" s="300">
        <f>(117.3*KFC!$B$23*1.02*1.25+KFC!$C$23)*KFC!$C$5</f>
        <v>149.5575</v>
      </c>
      <c r="I152" s="300">
        <f>(121.4*KFC!$B$23*1.02*1.25+KFC!$C$23)*KFC!$C$5</f>
        <v>154.785</v>
      </c>
      <c r="J152" s="300">
        <f>(125.5*KFC!$B$23*1.02*1.25+KFC!$C$23)*KFC!$C$5</f>
        <v>160.01249999999999</v>
      </c>
      <c r="K152" s="300">
        <f>(129.6*KFC!$B$23*1.02*1.25+KFC!$C$23)*KFC!$C$5</f>
        <v>165.24</v>
      </c>
      <c r="L152" s="300">
        <f>(133.7*KFC!$B$23*1.02*1.25+KFC!$C$23)*KFC!$C$5</f>
        <v>170.4675</v>
      </c>
      <c r="M152" s="300">
        <f>(137.8*KFC!$B$23*1.02*1.25+KFC!$C$23)*KFC!$C$5</f>
        <v>175.69500000000002</v>
      </c>
      <c r="N152" s="300">
        <f>(141.9*KFC!$B$23*1.02*1.25+KFC!$C$23)*KFC!$C$5</f>
        <v>180.92250000000001</v>
      </c>
      <c r="O152" s="300">
        <f>(146*KFC!$B$23*1.02*1.25+KFC!$C$23)*KFC!$C$5</f>
        <v>186.15000000000003</v>
      </c>
      <c r="P152" s="300">
        <f>(150.1*KFC!$B$23*1.02*1.25+KFC!$C$23)*KFC!$C$5</f>
        <v>191.3775</v>
      </c>
      <c r="Q152" s="300">
        <f>(154.2*KFC!$B$23*1.02*1.25+KFC!$C$23)*KFC!$C$5</f>
        <v>196.60499999999999</v>
      </c>
      <c r="R152" s="300">
        <f>(158.3*KFC!$B$23*1.02*1.25+KFC!$C$23)*KFC!$C$5</f>
        <v>201.83250000000001</v>
      </c>
      <c r="S152" s="300">
        <f>(162.4*KFC!$B$23*1.02*1.25+KFC!$C$23)*KFC!$C$5</f>
        <v>207.06</v>
      </c>
      <c r="T152" s="300">
        <f>(166.5*KFC!$B$23*1.02*1.25+KFC!$C$23)*KFC!$C$5</f>
        <v>212.28750000000002</v>
      </c>
      <c r="U152" s="300">
        <f>(170.6*KFC!$B$23*1.02*1.25+KFC!$C$23)*KFC!$C$5</f>
        <v>217.51499999999999</v>
      </c>
      <c r="V152" s="300">
        <f>(174.7*KFC!$B$23*1.02*1.25+KFC!$C$23)*KFC!$C$5</f>
        <v>222.74249999999998</v>
      </c>
      <c r="W152" s="300">
        <f>(178.8*KFC!$B$23*1.02*1.25+KFC!$C$23)*KFC!$C$5</f>
        <v>227.97</v>
      </c>
      <c r="X152" s="300">
        <f>(182.9*KFC!$B$23*1.02*1.25+KFC!$C$23)*KFC!$C$5</f>
        <v>233.19750000000002</v>
      </c>
      <c r="Y152" s="300">
        <f>(187*KFC!$B$23*1.02*1.25+KFC!$C$23)*KFC!$C$5</f>
        <v>238.42500000000001</v>
      </c>
      <c r="Z152" s="300">
        <f>(191*KFC!$B$23*1.02*1.25+KFC!$C$23)*KFC!$C$5</f>
        <v>243.52499999999998</v>
      </c>
      <c r="AA152" s="300">
        <f>(195.1*KFC!$B$23*1.02*1.25+KFC!$C$23)*KFC!$C$5</f>
        <v>248.7525</v>
      </c>
      <c r="AB152" s="300">
        <f>(199.2*KFC!$B$23*1.02*1.25+KFC!$C$23)*KFC!$C$5</f>
        <v>253.98</v>
      </c>
      <c r="AC152" s="300">
        <f>(203.3*KFC!$B$23*1.02*1.25+KFC!$C$23)*KFC!$C$5</f>
        <v>259.20750000000004</v>
      </c>
      <c r="AD152" s="300">
        <f>(207.4*KFC!$B$23*1.02*1.25+KFC!$C$23)*KFC!$C$5</f>
        <v>264.435</v>
      </c>
      <c r="AE152" s="300">
        <f>(211.5*KFC!$B$23*1.02*1.25+KFC!$C$23)*KFC!$C$5</f>
        <v>269.66249999999997</v>
      </c>
      <c r="AF152" s="300">
        <f>(215.6*KFC!$B$23*1.02*1.25+KFC!$C$23)*KFC!$C$5</f>
        <v>274.89</v>
      </c>
      <c r="AG152" s="300">
        <f>(219.7*KFC!$B$23*1.02*1.25+KFC!$C$23)*KFC!$C$5</f>
        <v>280.11750000000001</v>
      </c>
      <c r="AH152" s="304">
        <f>(223.8*KFC!$B$23*1.02*1.25+KFC!$C$23)*KFC!$C$5</f>
        <v>285.34500000000003</v>
      </c>
    </row>
    <row r="153" spans="1:34">
      <c r="A153" s="1781"/>
      <c r="B153" s="392">
        <v>2.8</v>
      </c>
      <c r="C153" s="303">
        <f>(97.7*KFC!$B$23*1.02*1.25+KFC!$C$23)*KFC!$C$5</f>
        <v>124.56750000000001</v>
      </c>
      <c r="D153" s="300">
        <f>(101.9*KFC!$B$23*1.02*1.25+KFC!$C$23)*KFC!$C$5</f>
        <v>129.92250000000001</v>
      </c>
      <c r="E153" s="300">
        <f>(106.1*KFC!$B$23*1.02*1.25+KFC!$C$23)*KFC!$C$5</f>
        <v>135.2775</v>
      </c>
      <c r="F153" s="300">
        <f>(110.3*KFC!$B$23*1.02*1.25+KFC!$C$23)*KFC!$C$5</f>
        <v>140.63249999999999</v>
      </c>
      <c r="G153" s="300">
        <f>(114.5*KFC!$B$23*1.02*1.25+KFC!$C$23)*KFC!$C$5</f>
        <v>145.98750000000001</v>
      </c>
      <c r="H153" s="300">
        <f>(118.7*KFC!$B$23*1.02*1.25+KFC!$C$23)*KFC!$C$5</f>
        <v>151.3425</v>
      </c>
      <c r="I153" s="300">
        <f>(123*KFC!$B$23*1.02*1.25+KFC!$C$23)*KFC!$C$5</f>
        <v>156.82500000000002</v>
      </c>
      <c r="J153" s="300">
        <f>(127.2*KFC!$B$23*1.02*1.25+KFC!$C$23)*KFC!$C$5</f>
        <v>162.18</v>
      </c>
      <c r="K153" s="300">
        <f>(131.4*KFC!$B$23*1.02*1.25+KFC!$C$23)*KFC!$C$5</f>
        <v>167.53500000000003</v>
      </c>
      <c r="L153" s="300">
        <f>(135.6*KFC!$B$23*1.02*1.25+KFC!$C$23)*KFC!$C$5</f>
        <v>172.89</v>
      </c>
      <c r="M153" s="300">
        <f>(139.8*KFC!$B$23*1.02*1.25+KFC!$C$23)*KFC!$C$5</f>
        <v>178.245</v>
      </c>
      <c r="N153" s="300">
        <f>(144*KFC!$B$23*1.02*1.25+KFC!$C$23)*KFC!$C$5</f>
        <v>183.6</v>
      </c>
      <c r="O153" s="300">
        <f>(148.2*KFC!$B$23*1.02*1.25+KFC!$C$23)*KFC!$C$5</f>
        <v>188.95499999999998</v>
      </c>
      <c r="P153" s="300">
        <f>(152.4*KFC!$B$23*1.02*1.25+KFC!$C$23)*KFC!$C$5</f>
        <v>194.31</v>
      </c>
      <c r="Q153" s="300">
        <f>(156.6*KFC!$B$23*1.02*1.25+KFC!$C$23)*KFC!$C$5</f>
        <v>199.66499999999999</v>
      </c>
      <c r="R153" s="300">
        <f>(160.8*KFC!$B$23*1.02*1.25+KFC!$C$23)*KFC!$C$5</f>
        <v>205.02000000000004</v>
      </c>
      <c r="S153" s="300">
        <f>(165*KFC!$B$23*1.02*1.25+KFC!$C$23)*KFC!$C$5</f>
        <v>210.375</v>
      </c>
      <c r="T153" s="300">
        <f>(169.2*KFC!$B$23*1.02*1.25+KFC!$C$23)*KFC!$C$5</f>
        <v>215.73000000000002</v>
      </c>
      <c r="U153" s="300">
        <f>(173.4*KFC!$B$23*1.02*1.25+KFC!$C$23)*KFC!$C$5</f>
        <v>221.08499999999998</v>
      </c>
      <c r="V153" s="300">
        <f>(177.7*KFC!$B$23*1.02*1.25+KFC!$C$23)*KFC!$C$5</f>
        <v>226.5675</v>
      </c>
      <c r="W153" s="300">
        <f>(181.9*KFC!$B$23*1.02*1.25+KFC!$C$23)*KFC!$C$5</f>
        <v>231.92250000000001</v>
      </c>
      <c r="X153" s="300">
        <f>(186.1*KFC!$B$23*1.02*1.25+KFC!$C$23)*KFC!$C$5</f>
        <v>237.2775</v>
      </c>
      <c r="Y153" s="300">
        <f>(190.3*KFC!$B$23*1.02*1.25+KFC!$C$23)*KFC!$C$5</f>
        <v>242.63250000000002</v>
      </c>
      <c r="Z153" s="300">
        <f>(194.5*KFC!$B$23*1.02*1.25+KFC!$C$23)*KFC!$C$5</f>
        <v>247.98750000000001</v>
      </c>
      <c r="AA153" s="300">
        <f>(198.7*KFC!$B$23*1.02*1.25+KFC!$C$23)*KFC!$C$5</f>
        <v>253.34249999999997</v>
      </c>
      <c r="AB153" s="300">
        <f>(202.9*KFC!$B$23*1.02*1.25+KFC!$C$23)*KFC!$C$5</f>
        <v>258.69749999999999</v>
      </c>
      <c r="AC153" s="300">
        <f>(207.1*KFC!$B$23*1.02*1.25+KFC!$C$23)*KFC!$C$5</f>
        <v>264.05250000000001</v>
      </c>
      <c r="AD153" s="300">
        <f>(211.3*KFC!$B$23*1.02*1.25+KFC!$C$23)*KFC!$C$5</f>
        <v>269.40750000000003</v>
      </c>
      <c r="AE153" s="300">
        <f>(215.5*KFC!$B$23*1.02*1.25+KFC!$C$23)*KFC!$C$5</f>
        <v>274.76249999999999</v>
      </c>
      <c r="AF153" s="300">
        <f>(219.7*KFC!$B$23*1.02*1.25+KFC!$C$23)*KFC!$C$5</f>
        <v>280.11750000000001</v>
      </c>
      <c r="AG153" s="300">
        <f>(223.9*KFC!$B$23*1.02*1.25+KFC!$C$23)*KFC!$C$5</f>
        <v>285.47250000000003</v>
      </c>
      <c r="AH153" s="304">
        <f>(228.1*KFC!$B$23*1.02*1.25+KFC!$C$23)*KFC!$C$5</f>
        <v>290.82749999999999</v>
      </c>
    </row>
    <row r="154" spans="1:34">
      <c r="A154" s="1781"/>
      <c r="B154" s="392">
        <v>2.9</v>
      </c>
      <c r="C154" s="303">
        <f>(98.6*KFC!$B$23*1.02*1.25+KFC!$C$23)*KFC!$C$5</f>
        <v>125.715</v>
      </c>
      <c r="D154" s="300">
        <f>(102.9*KFC!$B$23*1.02*1.25+KFC!$C$23)*KFC!$C$5</f>
        <v>131.19750000000002</v>
      </c>
      <c r="E154" s="300">
        <f>(107.2*KFC!$B$23*1.02*1.25+KFC!$C$23)*KFC!$C$5</f>
        <v>136.68</v>
      </c>
      <c r="F154" s="300">
        <f>(111.5*KFC!$B$23*1.02*1.25+KFC!$C$23)*KFC!$C$5</f>
        <v>142.16249999999999</v>
      </c>
      <c r="G154" s="300">
        <f>(115.8*KFC!$B$23*1.02*1.25+KFC!$C$23)*KFC!$C$5</f>
        <v>147.64500000000001</v>
      </c>
      <c r="H154" s="300">
        <f>(120.2*KFC!$B$23*1.02*1.25+KFC!$C$23)*KFC!$C$5</f>
        <v>153.255</v>
      </c>
      <c r="I154" s="300">
        <f>(124.5*KFC!$B$23*1.02*1.25+KFC!$C$23)*KFC!$C$5</f>
        <v>158.73750000000001</v>
      </c>
      <c r="J154" s="300">
        <f>(128.8*KFC!$B$23*1.02*1.25+KFC!$C$23)*KFC!$C$5</f>
        <v>164.22</v>
      </c>
      <c r="K154" s="300">
        <f>(133.1*KFC!$B$23*1.02*1.25+KFC!$C$23)*KFC!$C$5</f>
        <v>169.70249999999999</v>
      </c>
      <c r="L154" s="300">
        <f>(137.4*KFC!$B$23*1.02*1.25+KFC!$C$23)*KFC!$C$5</f>
        <v>175.185</v>
      </c>
      <c r="M154" s="300">
        <f>(141.8*KFC!$B$23*1.02*1.25+KFC!$C$23)*KFC!$C$5</f>
        <v>180.79500000000002</v>
      </c>
      <c r="N154" s="300">
        <f>(146.1*KFC!$B$23*1.02*1.25+KFC!$C$23)*KFC!$C$5</f>
        <v>186.27749999999997</v>
      </c>
      <c r="O154" s="300">
        <f>(150.4*KFC!$B$23*1.02*1.25+KFC!$C$23)*KFC!$C$5</f>
        <v>191.76000000000002</v>
      </c>
      <c r="P154" s="300">
        <f>(154.7*KFC!$B$23*1.02*1.25+KFC!$C$23)*KFC!$C$5</f>
        <v>197.24249999999998</v>
      </c>
      <c r="Q154" s="300">
        <f>(159*KFC!$B$23*1.02*1.25+KFC!$C$23)*KFC!$C$5</f>
        <v>202.72500000000002</v>
      </c>
      <c r="R154" s="300">
        <f>(163.4*KFC!$B$23*1.02*1.25+KFC!$C$23)*KFC!$C$5</f>
        <v>208.33500000000001</v>
      </c>
      <c r="S154" s="300">
        <f>(167.7*KFC!$B$23*1.02*1.25+KFC!$C$23)*KFC!$C$5</f>
        <v>213.8175</v>
      </c>
      <c r="T154" s="300">
        <f>(172*KFC!$B$23*1.02*1.25+KFC!$C$23)*KFC!$C$5</f>
        <v>219.3</v>
      </c>
      <c r="U154" s="300">
        <f>(176.3*KFC!$B$23*1.02*1.25+KFC!$C$23)*KFC!$C$5</f>
        <v>224.78250000000003</v>
      </c>
      <c r="V154" s="300">
        <f>(180.6*KFC!$B$23*1.02*1.25+KFC!$C$23)*KFC!$C$5</f>
        <v>230.26499999999999</v>
      </c>
      <c r="W154" s="300">
        <f>(185*KFC!$B$23*1.02*1.25+KFC!$C$23)*KFC!$C$5</f>
        <v>235.87500000000003</v>
      </c>
      <c r="X154" s="300">
        <f>(189.3*KFC!$B$23*1.02*1.25+KFC!$C$23)*KFC!$C$5</f>
        <v>241.35750000000002</v>
      </c>
      <c r="Y154" s="300">
        <f>(193.6*KFC!$B$23*1.02*1.25+KFC!$C$23)*KFC!$C$5</f>
        <v>246.84</v>
      </c>
      <c r="Z154" s="300">
        <f>(197.9*KFC!$B$23*1.02*1.25+KFC!$C$23)*KFC!$C$5</f>
        <v>252.32249999999999</v>
      </c>
      <c r="AA154" s="300">
        <f>(202.2*KFC!$B$23*1.02*1.25+KFC!$C$23)*KFC!$C$5</f>
        <v>257.80500000000001</v>
      </c>
      <c r="AB154" s="300">
        <f>(206.6*KFC!$B$23*1.02*1.25+KFC!$C$23)*KFC!$C$5</f>
        <v>263.41500000000002</v>
      </c>
      <c r="AC154" s="300">
        <f>(210.9*KFC!$B$23*1.02*1.25+KFC!$C$23)*KFC!$C$5</f>
        <v>268.89750000000004</v>
      </c>
      <c r="AD154" s="300">
        <f>(215.2*KFC!$B$23*1.02*1.25+KFC!$C$23)*KFC!$C$5</f>
        <v>274.38</v>
      </c>
      <c r="AE154" s="300">
        <f>(219.5*KFC!$B$23*1.02*1.25+KFC!$C$23)*KFC!$C$5</f>
        <v>279.86250000000001</v>
      </c>
      <c r="AF154" s="300">
        <f>(223.8*KFC!$B$23*1.02*1.25+KFC!$C$23)*KFC!$C$5</f>
        <v>285.34500000000003</v>
      </c>
      <c r="AG154" s="300">
        <f>(228.2*KFC!$B$23*1.02*1.25+KFC!$C$23)*KFC!$C$5</f>
        <v>290.95499999999998</v>
      </c>
      <c r="AH154" s="304">
        <f>(232.5*KFC!$B$23*1.02*1.25+KFC!$C$23)*KFC!$C$5</f>
        <v>296.4375</v>
      </c>
    </row>
    <row r="155" spans="1:34">
      <c r="A155" s="1781"/>
      <c r="B155" s="392">
        <v>3</v>
      </c>
      <c r="C155" s="303">
        <f>(99.4*KFC!$B$23*1.02*1.25+KFC!$C$23)*KFC!$C$5</f>
        <v>126.73500000000001</v>
      </c>
      <c r="D155" s="300">
        <f>(103.8*KFC!$B$23*1.02*1.25+KFC!$C$23)*KFC!$C$5</f>
        <v>132.345</v>
      </c>
      <c r="E155" s="300">
        <f>(108.3*KFC!$B$23*1.02*1.25+KFC!$C$23)*KFC!$C$5</f>
        <v>138.08249999999998</v>
      </c>
      <c r="F155" s="300">
        <f>(112.7*KFC!$B$23*1.02*1.25+KFC!$C$23)*KFC!$C$5</f>
        <v>143.6925</v>
      </c>
      <c r="G155" s="300">
        <f>(117.1*KFC!$B$23*1.02*1.25+KFC!$C$23)*KFC!$C$5</f>
        <v>149.30249999999998</v>
      </c>
      <c r="H155" s="300">
        <f>(121.6*KFC!$B$23*1.02*1.25+KFC!$C$23)*KFC!$C$5</f>
        <v>155.04</v>
      </c>
      <c r="I155" s="300">
        <f>(126*KFC!$B$23*1.02*1.25+KFC!$C$23)*KFC!$C$5</f>
        <v>160.65</v>
      </c>
      <c r="J155" s="300">
        <f>(130.4*KFC!$B$23*1.02*1.25+KFC!$C$23)*KFC!$C$5</f>
        <v>166.26000000000002</v>
      </c>
      <c r="K155" s="300">
        <f>(134.9*KFC!$B$23*1.02*1.25+KFC!$C$23)*KFC!$C$5</f>
        <v>171.9975</v>
      </c>
      <c r="L155" s="300">
        <f>(139.3*KFC!$B$23*1.02*1.25+KFC!$C$23)*KFC!$C$5</f>
        <v>177.60750000000002</v>
      </c>
      <c r="M155" s="300">
        <f>(143.7*KFC!$B$23*1.02*1.25+KFC!$C$23)*KFC!$C$5</f>
        <v>183.21749999999997</v>
      </c>
      <c r="N155" s="300">
        <f>(148.2*KFC!$B$23*1.02*1.25+KFC!$C$23)*KFC!$C$5</f>
        <v>188.95499999999998</v>
      </c>
      <c r="O155" s="300">
        <f>(152.6*KFC!$B$23*1.02*1.25+KFC!$C$23)*KFC!$C$5</f>
        <v>194.565</v>
      </c>
      <c r="P155" s="300">
        <f>(157*KFC!$B$23*1.02*1.25+KFC!$C$23)*KFC!$C$5</f>
        <v>200.17500000000001</v>
      </c>
      <c r="Q155" s="300">
        <f>(161.5*KFC!$B$23*1.02*1.25+KFC!$C$23)*KFC!$C$5</f>
        <v>205.91249999999999</v>
      </c>
      <c r="R155" s="300">
        <f>(165.9*KFC!$B$23*1.02*1.25+KFC!$C$23)*KFC!$C$5</f>
        <v>211.52250000000004</v>
      </c>
      <c r="S155" s="300">
        <f>(170.3*KFC!$B$23*1.02*1.25+KFC!$C$23)*KFC!$C$5</f>
        <v>217.13250000000002</v>
      </c>
      <c r="T155" s="300">
        <f>(174.8*KFC!$B$23*1.02*1.25+KFC!$C$23)*KFC!$C$5</f>
        <v>222.87000000000003</v>
      </c>
      <c r="U155" s="300">
        <f>(179.2*KFC!$B$23*1.02*1.25+KFC!$C$23)*KFC!$C$5</f>
        <v>228.48</v>
      </c>
      <c r="V155" s="300">
        <f>(183.6*KFC!$B$23*1.02*1.25+KFC!$C$23)*KFC!$C$5</f>
        <v>234.08999999999997</v>
      </c>
      <c r="W155" s="300">
        <f>(188.1*KFC!$B$23*1.02*1.25+KFC!$C$23)*KFC!$C$5</f>
        <v>239.82749999999999</v>
      </c>
      <c r="X155" s="300">
        <f>(192.5*KFC!$B$23*1.02*1.25+KFC!$C$23)*KFC!$C$5</f>
        <v>245.4375</v>
      </c>
      <c r="Y155" s="300">
        <f>(196.9*KFC!$B$23*1.02*1.25+KFC!$C$23)*KFC!$C$5</f>
        <v>251.04750000000001</v>
      </c>
      <c r="Z155" s="300">
        <f>(201.4*KFC!$B$23*1.02*1.25+KFC!$C$23)*KFC!$C$5</f>
        <v>256.78499999999997</v>
      </c>
      <c r="AA155" s="300">
        <f>(205.8*KFC!$B$23*1.02*1.25+KFC!$C$23)*KFC!$C$5</f>
        <v>262.39500000000004</v>
      </c>
      <c r="AB155" s="300">
        <f>(210.2*KFC!$B$23*1.02*1.25+KFC!$C$23)*KFC!$C$5</f>
        <v>268.005</v>
      </c>
      <c r="AC155" s="300">
        <f>(214.7*KFC!$B$23*1.02*1.25+KFC!$C$23)*KFC!$C$5</f>
        <v>273.74250000000001</v>
      </c>
      <c r="AD155" s="300">
        <f>(219.1*KFC!$B$23*1.02*1.25+KFC!$C$23)*KFC!$C$5</f>
        <v>279.35250000000002</v>
      </c>
      <c r="AE155" s="300">
        <f>(223.5*KFC!$B$23*1.02*1.25+KFC!$C$23)*KFC!$C$5</f>
        <v>284.96249999999998</v>
      </c>
      <c r="AF155" s="300">
        <f>(228*KFC!$B$23*1.02*1.25+KFC!$C$23)*KFC!$C$5</f>
        <v>290.7</v>
      </c>
      <c r="AG155" s="300">
        <f>(232.4*KFC!$B$23*1.02*1.25+KFC!$C$23)*KFC!$C$5</f>
        <v>296.31</v>
      </c>
      <c r="AH155" s="304">
        <f>(236.8*KFC!$B$23*1.02*1.25+KFC!$C$23)*KFC!$C$5</f>
        <v>301.92</v>
      </c>
    </row>
    <row r="156" spans="1:34">
      <c r="A156" s="1781"/>
      <c r="B156" s="392">
        <v>3.1</v>
      </c>
      <c r="C156" s="303">
        <f>(100.2*KFC!$B$23*1.02*1.25+KFC!$C$23)*KFC!$C$5</f>
        <v>127.75500000000001</v>
      </c>
      <c r="D156" s="300">
        <f>(104.8*KFC!$B$23*1.02*1.25+KFC!$C$23)*KFC!$C$5</f>
        <v>133.62</v>
      </c>
      <c r="E156" s="300">
        <f>(109.3*KFC!$B$23*1.02*1.25+KFC!$C$23)*KFC!$C$5</f>
        <v>139.35750000000002</v>
      </c>
      <c r="F156" s="300">
        <f>(113.9*KFC!$B$23*1.02*1.25+KFC!$C$23)*KFC!$C$5</f>
        <v>145.22250000000003</v>
      </c>
      <c r="G156" s="300">
        <f>(118.4*KFC!$B$23*1.02*1.25+KFC!$C$23)*KFC!$C$5</f>
        <v>150.96</v>
      </c>
      <c r="H156" s="300">
        <f>(123*KFC!$B$23*1.02*1.25+KFC!$C$23)*KFC!$C$5</f>
        <v>156.82500000000002</v>
      </c>
      <c r="I156" s="300">
        <f>(127.5*KFC!$B$23*1.02*1.25+KFC!$C$23)*KFC!$C$5</f>
        <v>162.5625</v>
      </c>
      <c r="J156" s="300">
        <f>(132.1*KFC!$B$23*1.02*1.25+KFC!$C$23)*KFC!$C$5</f>
        <v>168.42749999999998</v>
      </c>
      <c r="K156" s="300">
        <f>(136.6*KFC!$B$23*1.02*1.25+KFC!$C$23)*KFC!$C$5</f>
        <v>174.16499999999999</v>
      </c>
      <c r="L156" s="300">
        <f>(141.2*KFC!$B$23*1.02*1.25+KFC!$C$23)*KFC!$C$5</f>
        <v>180.03</v>
      </c>
      <c r="M156" s="300">
        <f>(145.7*KFC!$B$23*1.02*1.25+KFC!$C$23)*KFC!$C$5</f>
        <v>185.76750000000001</v>
      </c>
      <c r="N156" s="300">
        <f>(150.2*KFC!$B$23*1.02*1.25+KFC!$C$23)*KFC!$C$5</f>
        <v>191.50499999999997</v>
      </c>
      <c r="O156" s="300">
        <f>(154.8*KFC!$B$23*1.02*1.25+KFC!$C$23)*KFC!$C$5</f>
        <v>197.37</v>
      </c>
      <c r="P156" s="300">
        <f>(159.3*KFC!$B$23*1.02*1.25+KFC!$C$23)*KFC!$C$5</f>
        <v>203.10750000000002</v>
      </c>
      <c r="Q156" s="300">
        <f>(163.9*KFC!$B$23*1.02*1.25+KFC!$C$23)*KFC!$C$5</f>
        <v>208.9725</v>
      </c>
      <c r="R156" s="300">
        <f>(168.4*KFC!$B$23*1.02*1.25+KFC!$C$23)*KFC!$C$5</f>
        <v>214.71</v>
      </c>
      <c r="S156" s="300">
        <f>(173*KFC!$B$23*1.02*1.25+KFC!$C$23)*KFC!$C$5</f>
        <v>220.57500000000002</v>
      </c>
      <c r="T156" s="300">
        <f>(177.5*KFC!$B$23*1.02*1.25+KFC!$C$23)*KFC!$C$5</f>
        <v>226.3125</v>
      </c>
      <c r="U156" s="300">
        <f>(182.1*KFC!$B$23*1.02*1.25+KFC!$C$23)*KFC!$C$5</f>
        <v>232.17749999999998</v>
      </c>
      <c r="V156" s="300">
        <f>(186.6*KFC!$B$23*1.02*1.25+KFC!$C$23)*KFC!$C$5</f>
        <v>237.91499999999999</v>
      </c>
      <c r="W156" s="300">
        <f>(191.2*KFC!$B$23*1.02*1.25+KFC!$C$23)*KFC!$C$5</f>
        <v>243.78</v>
      </c>
      <c r="X156" s="300">
        <f>(195.7*KFC!$B$23*1.02*1.25+KFC!$C$23)*KFC!$C$5</f>
        <v>249.51750000000001</v>
      </c>
      <c r="Y156" s="300">
        <f>(200.2*KFC!$B$23*1.02*1.25+KFC!$C$23)*KFC!$C$5</f>
        <v>255.25499999999997</v>
      </c>
      <c r="Z156" s="300">
        <f>(204.8*KFC!$B$23*1.02*1.25+KFC!$C$23)*KFC!$C$5</f>
        <v>261.12</v>
      </c>
      <c r="AA156" s="300">
        <f>(209.3*KFC!$B$23*1.02*1.25+KFC!$C$23)*KFC!$C$5</f>
        <v>266.85750000000002</v>
      </c>
      <c r="AB156" s="300">
        <f>(213.9*KFC!$B$23*1.02*1.25+KFC!$C$23)*KFC!$C$5</f>
        <v>272.72249999999997</v>
      </c>
      <c r="AC156" s="300">
        <f>(218.4*KFC!$B$23*1.02*1.25+KFC!$C$23)*KFC!$C$5</f>
        <v>278.45999999999998</v>
      </c>
      <c r="AD156" s="300">
        <f>(223*KFC!$B$23*1.02*1.25+KFC!$C$23)*KFC!$C$5</f>
        <v>284.32499999999999</v>
      </c>
      <c r="AE156" s="300">
        <f>(227.5*KFC!$B$23*1.02*1.25+KFC!$C$23)*KFC!$C$5</f>
        <v>290.0625</v>
      </c>
      <c r="AF156" s="300">
        <f>(232.1*KFC!$B$23*1.02*1.25+KFC!$C$23)*KFC!$C$5</f>
        <v>295.92750000000001</v>
      </c>
      <c r="AG156" s="300">
        <f>(236.6*KFC!$B$23*1.02*1.25+KFC!$C$23)*KFC!$C$5</f>
        <v>301.66499999999996</v>
      </c>
      <c r="AH156" s="304">
        <f>(241.2*KFC!$B$23*1.02*1.25+KFC!$C$23)*KFC!$C$5</f>
        <v>307.52999999999997</v>
      </c>
    </row>
    <row r="157" spans="1:34">
      <c r="A157" s="1781"/>
      <c r="B157" s="392">
        <v>3.2</v>
      </c>
      <c r="C157" s="303">
        <f>(101.1*KFC!$B$23*1.02*1.25+KFC!$C$23)*KFC!$C$5</f>
        <v>128.9025</v>
      </c>
      <c r="D157" s="300">
        <f>(105.7*KFC!$B$23*1.02*1.25+KFC!$C$23)*KFC!$C$5</f>
        <v>134.76750000000001</v>
      </c>
      <c r="E157" s="300">
        <f>(110.4*KFC!$B$23*1.02*1.25+KFC!$C$23)*KFC!$C$5</f>
        <v>140.76</v>
      </c>
      <c r="F157" s="300">
        <f>(115.1*KFC!$B$23*1.02*1.25+KFC!$C$23)*KFC!$C$5</f>
        <v>146.7525</v>
      </c>
      <c r="G157" s="300">
        <f>(119.7*KFC!$B$23*1.02*1.25+KFC!$C$23)*KFC!$C$5</f>
        <v>152.61750000000001</v>
      </c>
      <c r="H157" s="300">
        <f>(124.4*KFC!$B$23*1.02*1.25+KFC!$C$23)*KFC!$C$5</f>
        <v>158.61000000000001</v>
      </c>
      <c r="I157" s="300">
        <f>(129*KFC!$B$23*1.02*1.25+KFC!$C$23)*KFC!$C$5</f>
        <v>164.47500000000002</v>
      </c>
      <c r="J157" s="300">
        <f>(133.7*KFC!$B$23*1.02*1.25+KFC!$C$23)*KFC!$C$5</f>
        <v>170.4675</v>
      </c>
      <c r="K157" s="300">
        <f>(138.4*KFC!$B$23*1.02*1.25+KFC!$C$23)*KFC!$C$5</f>
        <v>176.46</v>
      </c>
      <c r="L157" s="300">
        <f>(143*KFC!$B$23*1.02*1.25+KFC!$C$23)*KFC!$C$5</f>
        <v>182.32500000000002</v>
      </c>
      <c r="M157" s="300">
        <f>(147.7*KFC!$B$23*1.02*1.25+KFC!$C$23)*KFC!$C$5</f>
        <v>188.3175</v>
      </c>
      <c r="N157" s="300">
        <f>(152.3*KFC!$B$23*1.02*1.25+KFC!$C$23)*KFC!$C$5</f>
        <v>194.1825</v>
      </c>
      <c r="O157" s="300">
        <f>(157*KFC!$B$23*1.02*1.25+KFC!$C$23)*KFC!$C$5</f>
        <v>200.17500000000001</v>
      </c>
      <c r="P157" s="300">
        <f>(161.6*KFC!$B$23*1.02*1.25+KFC!$C$23)*KFC!$C$5</f>
        <v>206.04</v>
      </c>
      <c r="Q157" s="300">
        <f>(166.3*KFC!$B$23*1.02*1.25+KFC!$C$23)*KFC!$C$5</f>
        <v>212.0325</v>
      </c>
      <c r="R157" s="300">
        <f>(171*KFC!$B$23*1.02*1.25+KFC!$C$23)*KFC!$C$5</f>
        <v>218.02500000000003</v>
      </c>
      <c r="S157" s="300">
        <f>(175.6*KFC!$B$23*1.02*1.25+KFC!$C$23)*KFC!$C$5</f>
        <v>223.89</v>
      </c>
      <c r="T157" s="300">
        <f>(180.3*KFC!$B$23*1.02*1.25+KFC!$C$23)*KFC!$C$5</f>
        <v>229.88249999999999</v>
      </c>
      <c r="U157" s="300">
        <f>(184.9*KFC!$B$23*1.02*1.25+KFC!$C$23)*KFC!$C$5</f>
        <v>235.7475</v>
      </c>
      <c r="V157" s="300">
        <f>(189.6*KFC!$B$23*1.02*1.25+KFC!$C$23)*KFC!$C$5</f>
        <v>241.74</v>
      </c>
      <c r="W157" s="300">
        <f>(194.2*KFC!$B$23*1.02*1.25+KFC!$C$23)*KFC!$C$5</f>
        <v>247.60500000000002</v>
      </c>
      <c r="X157" s="300">
        <f>(198.9*KFC!$B$23*1.02*1.25+KFC!$C$23)*KFC!$C$5</f>
        <v>253.59750000000003</v>
      </c>
      <c r="Y157" s="300">
        <f>(203.6*KFC!$B$23*1.02*1.25+KFC!$C$23)*KFC!$C$5</f>
        <v>259.58999999999997</v>
      </c>
      <c r="Z157" s="300">
        <f>(208.2*KFC!$B$23*1.02*1.25+KFC!$C$23)*KFC!$C$5</f>
        <v>265.45499999999998</v>
      </c>
      <c r="AA157" s="300">
        <f>(212.9*KFC!$B$23*1.02*1.25+KFC!$C$23)*KFC!$C$5</f>
        <v>271.44749999999999</v>
      </c>
      <c r="AB157" s="300">
        <f>(217.5*KFC!$B$23*1.02*1.25+KFC!$C$23)*KFC!$C$5</f>
        <v>277.3125</v>
      </c>
      <c r="AC157" s="300">
        <f>(222.2*KFC!$B$23*1.02*1.25+KFC!$C$23)*KFC!$C$5</f>
        <v>283.30500000000001</v>
      </c>
      <c r="AD157" s="300">
        <f>(226.9*KFC!$B$23*1.02*1.25+KFC!$C$23)*KFC!$C$5</f>
        <v>289.29750000000001</v>
      </c>
      <c r="AE157" s="300">
        <f>(231.5*KFC!$B$23*1.02*1.25+KFC!$C$23)*KFC!$C$5</f>
        <v>295.16250000000002</v>
      </c>
      <c r="AF157" s="300">
        <f>(236.2*KFC!$B$23*1.02*1.25+KFC!$C$23)*KFC!$C$5</f>
        <v>301.15500000000003</v>
      </c>
      <c r="AG157" s="300">
        <f>(240.8*KFC!$B$23*1.02*1.25+KFC!$C$23)*KFC!$C$5</f>
        <v>307.02000000000004</v>
      </c>
      <c r="AH157" s="304">
        <f>(245.5*KFC!$B$23*1.02*1.25+KFC!$C$23)*KFC!$C$5</f>
        <v>313.01249999999999</v>
      </c>
    </row>
    <row r="158" spans="1:34">
      <c r="A158" s="1781"/>
      <c r="B158" s="392">
        <v>3.3</v>
      </c>
      <c r="C158" s="303">
        <f>(101.9*KFC!$B$23*1.02*1.25+KFC!$C$23)*KFC!$C$5</f>
        <v>129.92250000000001</v>
      </c>
      <c r="D158" s="300">
        <f>(106.7*KFC!$B$23*1.02*1.25+KFC!$C$23)*KFC!$C$5</f>
        <v>136.04250000000002</v>
      </c>
      <c r="E158" s="300">
        <f>(111.5*KFC!$B$23*1.02*1.25+KFC!$C$23)*KFC!$C$5</f>
        <v>142.16249999999999</v>
      </c>
      <c r="F158" s="300">
        <f>(116.2*KFC!$B$23*1.02*1.25+KFC!$C$23)*KFC!$C$5</f>
        <v>148.155</v>
      </c>
      <c r="G158" s="300">
        <f>(121*KFC!$B$23*1.02*1.25+KFC!$C$23)*KFC!$C$5</f>
        <v>154.27500000000001</v>
      </c>
      <c r="H158" s="300">
        <f>(125.8*KFC!$B$23*1.02*1.25+KFC!$C$23)*KFC!$C$5</f>
        <v>160.39500000000001</v>
      </c>
      <c r="I158" s="300">
        <f>(130.6*KFC!$B$23*1.02*1.25+KFC!$C$23)*KFC!$C$5</f>
        <v>166.51499999999999</v>
      </c>
      <c r="J158" s="300">
        <f>(135.3*KFC!$B$23*1.02*1.25+KFC!$C$23)*KFC!$C$5</f>
        <v>172.50749999999999</v>
      </c>
      <c r="K158" s="300">
        <f>(140.1*KFC!$B$23*1.02*1.25+KFC!$C$23)*KFC!$C$5</f>
        <v>178.6275</v>
      </c>
      <c r="L158" s="300">
        <f>(144.9*KFC!$B$23*1.02*1.25+KFC!$C$23)*KFC!$C$5</f>
        <v>184.7475</v>
      </c>
      <c r="M158" s="300">
        <f>(149.6*KFC!$B$23*1.02*1.25+KFC!$C$23)*KFC!$C$5</f>
        <v>190.73999999999998</v>
      </c>
      <c r="N158" s="300">
        <f>(154.4*KFC!$B$23*1.02*1.25+KFC!$C$23)*KFC!$C$5</f>
        <v>196.86</v>
      </c>
      <c r="O158" s="300">
        <f>(159.2*KFC!$B$23*1.02*1.25+KFC!$C$23)*KFC!$C$5</f>
        <v>202.98</v>
      </c>
      <c r="P158" s="300">
        <f>(164*KFC!$B$23*1.02*1.25+KFC!$C$23)*KFC!$C$5</f>
        <v>209.1</v>
      </c>
      <c r="Q158" s="300">
        <f>(168.7*KFC!$B$23*1.02*1.25+KFC!$C$23)*KFC!$C$5</f>
        <v>215.09249999999997</v>
      </c>
      <c r="R158" s="300">
        <f>(173.5*KFC!$B$23*1.02*1.25+KFC!$C$23)*KFC!$C$5</f>
        <v>221.21250000000001</v>
      </c>
      <c r="S158" s="300">
        <f>(178.3*KFC!$B$23*1.02*1.25+KFC!$C$23)*KFC!$C$5</f>
        <v>227.33250000000001</v>
      </c>
      <c r="T158" s="300">
        <f>(183*KFC!$B$23*1.02*1.25+KFC!$C$23)*KFC!$C$5</f>
        <v>233.32499999999999</v>
      </c>
      <c r="U158" s="300">
        <f>(187.8*KFC!$B$23*1.02*1.25+KFC!$C$23)*KFC!$C$5</f>
        <v>239.44500000000002</v>
      </c>
      <c r="V158" s="300">
        <f>(192.6*KFC!$B$23*1.02*1.25+KFC!$C$23)*KFC!$C$5</f>
        <v>245.565</v>
      </c>
      <c r="W158" s="300">
        <f>(197.3*KFC!$B$23*1.02*1.25+KFC!$C$23)*KFC!$C$5</f>
        <v>251.5575</v>
      </c>
      <c r="X158" s="300">
        <f>(202.1*KFC!$B$23*1.02*1.25+KFC!$C$23)*KFC!$C$5</f>
        <v>257.67750000000001</v>
      </c>
      <c r="Y158" s="300">
        <f>(206.9*KFC!$B$23*1.02*1.25+KFC!$C$23)*KFC!$C$5</f>
        <v>263.79750000000001</v>
      </c>
      <c r="Z158" s="300">
        <f>(211.7*KFC!$B$23*1.02*1.25+KFC!$C$23)*KFC!$C$5</f>
        <v>269.91750000000002</v>
      </c>
      <c r="AA158" s="300">
        <f>(216.4*KFC!$B$23*1.02*1.25+KFC!$C$23)*KFC!$C$5</f>
        <v>275.91000000000003</v>
      </c>
      <c r="AB158" s="300">
        <f>(221.2*KFC!$B$23*1.02*1.25+KFC!$C$23)*KFC!$C$5</f>
        <v>282.02999999999997</v>
      </c>
      <c r="AC158" s="300">
        <f>(226*KFC!$B$23*1.02*1.25+KFC!$C$23)*KFC!$C$5</f>
        <v>288.15000000000003</v>
      </c>
      <c r="AD158" s="300">
        <f>(230.7*KFC!$B$23*1.02*1.25+KFC!$C$23)*KFC!$C$5</f>
        <v>294.14249999999998</v>
      </c>
      <c r="AE158" s="300">
        <f>(235.5*KFC!$B$23*1.02*1.25+KFC!$C$23)*KFC!$C$5</f>
        <v>300.26249999999999</v>
      </c>
      <c r="AF158" s="300">
        <f>(240.3*KFC!$B$23*1.02*1.25+KFC!$C$23)*KFC!$C$5</f>
        <v>306.38250000000005</v>
      </c>
      <c r="AG158" s="300">
        <f>(245.1*KFC!$B$23*1.02*1.25+KFC!$C$23)*KFC!$C$5</f>
        <v>312.5025</v>
      </c>
      <c r="AH158" s="304">
        <f>(249.8*KFC!$B$23*1.02*1.25+KFC!$C$23)*KFC!$C$5</f>
        <v>318.495</v>
      </c>
    </row>
    <row r="159" spans="1:34">
      <c r="A159" s="1781"/>
      <c r="B159" s="392">
        <v>3.4</v>
      </c>
      <c r="C159" s="303">
        <f>(102.8*KFC!$B$23*1.02*1.25+KFC!$C$23)*KFC!$C$5</f>
        <v>131.07</v>
      </c>
      <c r="D159" s="300">
        <f>(107.7*KFC!$B$23*1.02*1.25+KFC!$C$23)*KFC!$C$5</f>
        <v>137.3175</v>
      </c>
      <c r="E159" s="300">
        <f>(112.5*KFC!$B$23*1.02*1.25+KFC!$C$23)*KFC!$C$5</f>
        <v>143.4375</v>
      </c>
      <c r="F159" s="300">
        <f>(117.4*KFC!$B$23*1.02*1.25+KFC!$C$23)*KFC!$C$5</f>
        <v>149.685</v>
      </c>
      <c r="G159" s="300">
        <f>(122.3*KFC!$B$23*1.02*1.25+KFC!$C$23)*KFC!$C$5</f>
        <v>155.9325</v>
      </c>
      <c r="H159" s="300">
        <f>(127.2*KFC!$B$23*1.02*1.25+KFC!$C$23)*KFC!$C$5</f>
        <v>162.18</v>
      </c>
      <c r="I159" s="300">
        <f>(132.1*KFC!$B$23*1.02*1.25+KFC!$C$23)*KFC!$C$5</f>
        <v>168.42749999999998</v>
      </c>
      <c r="J159" s="300">
        <f>(137*KFC!$B$23*1.02*1.25+KFC!$C$23)*KFC!$C$5</f>
        <v>174.67500000000001</v>
      </c>
      <c r="K159" s="300">
        <f>(141.8*KFC!$B$23*1.02*1.25+KFC!$C$23)*KFC!$C$5</f>
        <v>180.79500000000002</v>
      </c>
      <c r="L159" s="300">
        <f>(146.7*KFC!$B$23*1.02*1.25+KFC!$C$23)*KFC!$C$5</f>
        <v>187.04249999999999</v>
      </c>
      <c r="M159" s="300">
        <f>(151.6*KFC!$B$23*1.02*1.25+KFC!$C$23)*KFC!$C$5</f>
        <v>193.29000000000002</v>
      </c>
      <c r="N159" s="300">
        <f>(156.5*KFC!$B$23*1.02*1.25+KFC!$C$23)*KFC!$C$5</f>
        <v>199.53749999999999</v>
      </c>
      <c r="O159" s="300">
        <f>(161.4*KFC!$B$23*1.02*1.25+KFC!$C$23)*KFC!$C$5</f>
        <v>205.78500000000003</v>
      </c>
      <c r="P159" s="300">
        <f>(166.3*KFC!$B$23*1.02*1.25+KFC!$C$23)*KFC!$C$5</f>
        <v>212.0325</v>
      </c>
      <c r="Q159" s="300">
        <f>(171.1*KFC!$B$23*1.02*1.25+KFC!$C$23)*KFC!$C$5</f>
        <v>218.15249999999997</v>
      </c>
      <c r="R159" s="300">
        <f>(176*KFC!$B$23*1.02*1.25+KFC!$C$23)*KFC!$C$5</f>
        <v>224.4</v>
      </c>
      <c r="S159" s="300">
        <f>(180.9*KFC!$B$23*1.02*1.25+KFC!$C$23)*KFC!$C$5</f>
        <v>230.64750000000001</v>
      </c>
      <c r="T159" s="300">
        <f>(185.8*KFC!$B$23*1.02*1.25+KFC!$C$23)*KFC!$C$5</f>
        <v>236.89500000000004</v>
      </c>
      <c r="U159" s="300">
        <f>(190.7*KFC!$B$23*1.02*1.25+KFC!$C$23)*KFC!$C$5</f>
        <v>243.14249999999998</v>
      </c>
      <c r="V159" s="300">
        <f>(195.6*KFC!$B$23*1.02*1.25+KFC!$C$23)*KFC!$C$5</f>
        <v>249.39</v>
      </c>
      <c r="W159" s="300">
        <f>(200.4*KFC!$B$23*1.02*1.25+KFC!$C$23)*KFC!$C$5</f>
        <v>255.51000000000002</v>
      </c>
      <c r="X159" s="300">
        <f>(205.3*KFC!$B$23*1.02*1.25+KFC!$C$23)*KFC!$C$5</f>
        <v>261.75749999999999</v>
      </c>
      <c r="Y159" s="300">
        <f>(210.2*KFC!$B$23*1.02*1.25+KFC!$C$23)*KFC!$C$5</f>
        <v>268.005</v>
      </c>
      <c r="Z159" s="300">
        <f>(215.1*KFC!$B$23*1.02*1.25+KFC!$C$23)*KFC!$C$5</f>
        <v>274.2525</v>
      </c>
      <c r="AA159" s="300">
        <f>(220*KFC!$B$23*1.02*1.25+KFC!$C$23)*KFC!$C$5</f>
        <v>280.5</v>
      </c>
      <c r="AB159" s="300">
        <f>(224.9*KFC!$B$23*1.02*1.25+KFC!$C$23)*KFC!$C$5</f>
        <v>286.7475</v>
      </c>
      <c r="AC159" s="300">
        <f>(229.7*KFC!$B$23*1.02*1.25+KFC!$C$23)*KFC!$C$5</f>
        <v>292.86749999999995</v>
      </c>
      <c r="AD159" s="300">
        <f>(234.6*KFC!$B$23*1.02*1.25+KFC!$C$23)*KFC!$C$5</f>
        <v>299.11500000000001</v>
      </c>
      <c r="AE159" s="300">
        <f>(239.5*KFC!$B$23*1.02*1.25+KFC!$C$23)*KFC!$C$5</f>
        <v>305.36250000000001</v>
      </c>
      <c r="AF159" s="300">
        <f>(244.4*KFC!$B$23*1.02*1.25+KFC!$C$23)*KFC!$C$5</f>
        <v>311.61</v>
      </c>
      <c r="AG159" s="300">
        <f>(249.3*KFC!$B$23*1.02*1.25+KFC!$C$23)*KFC!$C$5</f>
        <v>317.85750000000002</v>
      </c>
      <c r="AH159" s="304">
        <f>(254.2*KFC!$B$23*1.02*1.25+KFC!$C$23)*KFC!$C$5</f>
        <v>324.10500000000002</v>
      </c>
    </row>
    <row r="160" spans="1:34">
      <c r="A160" s="1781"/>
      <c r="B160" s="392">
        <v>3.5</v>
      </c>
      <c r="C160" s="303">
        <f>(103.6*KFC!$B$23*1.02*1.25+KFC!$C$23)*KFC!$C$5</f>
        <v>132.09</v>
      </c>
      <c r="D160" s="300">
        <f>(108.6*KFC!$B$23*1.02*1.25+KFC!$C$23)*KFC!$C$5</f>
        <v>138.46499999999997</v>
      </c>
      <c r="E160" s="300">
        <f>(113.6*KFC!$B$23*1.02*1.25+KFC!$C$23)*KFC!$C$5</f>
        <v>144.84</v>
      </c>
      <c r="F160" s="300">
        <f>(118.6*KFC!$B$23*1.02*1.25+KFC!$C$23)*KFC!$C$5</f>
        <v>151.215</v>
      </c>
      <c r="G160" s="300">
        <f>(123.6*KFC!$B$23*1.02*1.25+KFC!$C$23)*KFC!$C$5</f>
        <v>157.59</v>
      </c>
      <c r="H160" s="300">
        <f>(128.6*KFC!$B$23*1.02*1.25+KFC!$C$23)*KFC!$C$5</f>
        <v>163.965</v>
      </c>
      <c r="I160" s="300">
        <f>(133.6*KFC!$B$23*1.02*1.25+KFC!$C$23)*KFC!$C$5</f>
        <v>170.33999999999997</v>
      </c>
      <c r="J160" s="300">
        <f>(138.6*KFC!$B$23*1.02*1.25+KFC!$C$23)*KFC!$C$5</f>
        <v>176.71499999999997</v>
      </c>
      <c r="K160" s="300">
        <f>(143.6*KFC!$B$23*1.02*1.25+KFC!$C$23)*KFC!$C$5</f>
        <v>183.09</v>
      </c>
      <c r="L160" s="300">
        <f>(148.6*KFC!$B$23*1.02*1.25+KFC!$C$23)*KFC!$C$5</f>
        <v>189.465</v>
      </c>
      <c r="M160" s="300">
        <f>(153.6*KFC!$B$23*1.02*1.25+KFC!$C$23)*KFC!$C$5</f>
        <v>195.84</v>
      </c>
      <c r="N160" s="300">
        <f>(158.6*KFC!$B$23*1.02*1.25+KFC!$C$23)*KFC!$C$5</f>
        <v>202.21499999999997</v>
      </c>
      <c r="O160" s="300">
        <f>(163.6*KFC!$B$23*1.02*1.25+KFC!$C$23)*KFC!$C$5</f>
        <v>208.58999999999997</v>
      </c>
      <c r="P160" s="300">
        <f>(168.6*KFC!$B$23*1.02*1.25+KFC!$C$23)*KFC!$C$5</f>
        <v>214.965</v>
      </c>
      <c r="Q160" s="300">
        <f>(173.6*KFC!$B$23*1.02*1.25+KFC!$C$23)*KFC!$C$5</f>
        <v>221.34</v>
      </c>
      <c r="R160" s="300">
        <f>(178.6*KFC!$B$23*1.02*1.25+KFC!$C$23)*KFC!$C$5</f>
        <v>227.715</v>
      </c>
      <c r="S160" s="300">
        <f>(183.6*KFC!$B$23*1.02*1.25+KFC!$C$23)*KFC!$C$5</f>
        <v>234.08999999999997</v>
      </c>
      <c r="T160" s="300">
        <f>(188.6*KFC!$B$23*1.02*1.25+KFC!$C$23)*KFC!$C$5</f>
        <v>240.46499999999997</v>
      </c>
      <c r="U160" s="300">
        <f>(193.5*KFC!$B$23*1.02*1.25+KFC!$C$23)*KFC!$C$5</f>
        <v>246.71250000000001</v>
      </c>
      <c r="V160" s="300">
        <f>(198.5*KFC!$B$23*1.02*1.25+KFC!$C$23)*KFC!$C$5</f>
        <v>253.08750000000001</v>
      </c>
      <c r="W160" s="300">
        <f>(203.5*KFC!$B$23*1.02*1.25+KFC!$C$23)*KFC!$C$5</f>
        <v>259.46249999999998</v>
      </c>
      <c r="X160" s="300">
        <f>(208.5*KFC!$B$23*1.02*1.25+KFC!$C$23)*KFC!$C$5</f>
        <v>265.83750000000003</v>
      </c>
      <c r="Y160" s="300">
        <f>(213.5*KFC!$B$23*1.02*1.25+KFC!$C$23)*KFC!$C$5</f>
        <v>272.21250000000003</v>
      </c>
      <c r="Z160" s="300">
        <f>(218.5*KFC!$B$23*1.02*1.25+KFC!$C$23)*KFC!$C$5</f>
        <v>278.58749999999998</v>
      </c>
      <c r="AA160" s="300">
        <f>(223.5*KFC!$B$23*1.02*1.25+KFC!$C$23)*KFC!$C$5</f>
        <v>284.96249999999998</v>
      </c>
      <c r="AB160" s="300">
        <f>(228.5*KFC!$B$23*1.02*1.25+KFC!$C$23)*KFC!$C$5</f>
        <v>291.33749999999998</v>
      </c>
      <c r="AC160" s="300">
        <f>(233.5*KFC!$B$23*1.02*1.25+KFC!$C$23)*KFC!$C$5</f>
        <v>297.71250000000003</v>
      </c>
      <c r="AD160" s="300">
        <f>(238.5*KFC!$B$23*1.02*1.25+KFC!$C$23)*KFC!$C$5</f>
        <v>304.08750000000003</v>
      </c>
      <c r="AE160" s="300">
        <f>(243.5*KFC!$B$23*1.02*1.25+KFC!$C$23)*KFC!$C$5</f>
        <v>310.46249999999998</v>
      </c>
      <c r="AF160" s="300">
        <f>(248.5*KFC!$B$23*1.02*1.25+KFC!$C$23)*KFC!$C$5</f>
        <v>316.83749999999998</v>
      </c>
      <c r="AG160" s="300">
        <f>(253.5*KFC!$B$23*1.02*1.25+KFC!$C$23)*KFC!$C$5</f>
        <v>323.21249999999998</v>
      </c>
      <c r="AH160" s="304">
        <f>(258.5*KFC!$B$23*1.02*1.25+KFC!$C$23)*KFC!$C$5</f>
        <v>329.58750000000003</v>
      </c>
    </row>
    <row r="161" spans="1:34">
      <c r="A161" s="1781"/>
      <c r="B161" s="392">
        <v>3.6</v>
      </c>
      <c r="C161" s="303">
        <f>(104.5*KFC!$B$23*1.02*1.25+KFC!$C$23)*KFC!$C$5</f>
        <v>133.23750000000001</v>
      </c>
      <c r="D161" s="300">
        <f>(109.6*KFC!$B$23*1.02*1.25+KFC!$C$23)*KFC!$C$5</f>
        <v>139.74</v>
      </c>
      <c r="E161" s="300">
        <f>(114.7*KFC!$B$23*1.02*1.25+KFC!$C$23)*KFC!$C$5</f>
        <v>146.24250000000001</v>
      </c>
      <c r="F161" s="300">
        <f>(119.8*KFC!$B$23*1.02*1.25+KFC!$C$23)*KFC!$C$5</f>
        <v>152.745</v>
      </c>
      <c r="G161" s="300">
        <f>(124.9*KFC!$B$23*1.02*1.25+KFC!$C$23)*KFC!$C$5</f>
        <v>159.2475</v>
      </c>
      <c r="H161" s="300">
        <f>(130*KFC!$B$23*1.02*1.25+KFC!$C$23)*KFC!$C$5</f>
        <v>165.75</v>
      </c>
      <c r="I161" s="300">
        <f>(135.1*KFC!$B$23*1.02*1.25+KFC!$C$23)*KFC!$C$5</f>
        <v>172.2525</v>
      </c>
      <c r="J161" s="300">
        <f>(140.2*KFC!$B$23*1.02*1.25+KFC!$C$23)*KFC!$C$5</f>
        <v>178.755</v>
      </c>
      <c r="K161" s="300">
        <f>(145.3*KFC!$B$23*1.02*1.25+KFC!$C$23)*KFC!$C$5</f>
        <v>185.25750000000002</v>
      </c>
      <c r="L161" s="300">
        <f>(150.4*KFC!$B$23*1.02*1.25+KFC!$C$23)*KFC!$C$5</f>
        <v>191.76000000000002</v>
      </c>
      <c r="M161" s="300">
        <f>(155.6*KFC!$B$23*1.02*1.25+KFC!$C$23)*KFC!$C$5</f>
        <v>198.39</v>
      </c>
      <c r="N161" s="300">
        <f>(160.7*KFC!$B$23*1.02*1.25+KFC!$C$23)*KFC!$C$5</f>
        <v>204.89249999999998</v>
      </c>
      <c r="O161" s="300">
        <f>(165.8*KFC!$B$23*1.02*1.25+KFC!$C$23)*KFC!$C$5</f>
        <v>211.39500000000001</v>
      </c>
      <c r="P161" s="300">
        <f>(170.9*KFC!$B$23*1.02*1.25+KFC!$C$23)*KFC!$C$5</f>
        <v>217.89750000000001</v>
      </c>
      <c r="Q161" s="300">
        <f>(176*KFC!$B$23*1.02*1.25+KFC!$C$23)*KFC!$C$5</f>
        <v>224.4</v>
      </c>
      <c r="R161" s="300">
        <f>(181.1*KFC!$B$23*1.02*1.25+KFC!$C$23)*KFC!$C$5</f>
        <v>230.9025</v>
      </c>
      <c r="S161" s="300">
        <f>(186.2*KFC!$B$23*1.02*1.25+KFC!$C$23)*KFC!$C$5</f>
        <v>237.40499999999997</v>
      </c>
      <c r="T161" s="300">
        <f>(191.3*KFC!$B$23*1.02*1.25+KFC!$C$23)*KFC!$C$5</f>
        <v>243.9075</v>
      </c>
      <c r="U161" s="300">
        <f>(196.4*KFC!$B$23*1.02*1.25+KFC!$C$23)*KFC!$C$5</f>
        <v>250.41</v>
      </c>
      <c r="V161" s="300">
        <f>(201.5*KFC!$B$23*1.02*1.25+KFC!$C$23)*KFC!$C$5</f>
        <v>256.91250000000002</v>
      </c>
      <c r="W161" s="300">
        <f>(206.6*KFC!$B$23*1.02*1.25+KFC!$C$23)*KFC!$C$5</f>
        <v>263.41500000000002</v>
      </c>
      <c r="X161" s="300">
        <f>(211.7*KFC!$B$23*1.02*1.25+KFC!$C$23)*KFC!$C$5</f>
        <v>269.91750000000002</v>
      </c>
      <c r="Y161" s="300">
        <f>(216.9*KFC!$B$23*1.02*1.25+KFC!$C$23)*KFC!$C$5</f>
        <v>276.54750000000001</v>
      </c>
      <c r="Z161" s="300">
        <f>(222*KFC!$B$23*1.02*1.25+KFC!$C$23)*KFC!$C$5</f>
        <v>283.05</v>
      </c>
      <c r="AA161" s="300">
        <f>(227.1*KFC!$B$23*1.02*1.25+KFC!$C$23)*KFC!$C$5</f>
        <v>289.55250000000001</v>
      </c>
      <c r="AB161" s="300">
        <f>(232.2*KFC!$B$23*1.02*1.25+KFC!$C$23)*KFC!$C$5</f>
        <v>296.05500000000001</v>
      </c>
      <c r="AC161" s="300">
        <f>(237.3*KFC!$B$23*1.02*1.25+KFC!$C$23)*KFC!$C$5</f>
        <v>302.5575</v>
      </c>
      <c r="AD161" s="300">
        <f>(242.4*KFC!$B$23*1.02*1.25+KFC!$C$23)*KFC!$C$5</f>
        <v>309.06</v>
      </c>
      <c r="AE161" s="300">
        <f>(247.5*KFC!$B$23*1.02*1.25+KFC!$C$23)*KFC!$C$5</f>
        <v>315.5625</v>
      </c>
      <c r="AF161" s="300">
        <f>(252.6*KFC!$B$23*1.02*1.25+KFC!$C$23)*KFC!$C$5</f>
        <v>322.065</v>
      </c>
      <c r="AG161" s="300">
        <f>(257.7*KFC!$B$23*1.02*1.25+KFC!$C$23)*KFC!$C$5</f>
        <v>328.5675</v>
      </c>
      <c r="AH161" s="304">
        <f>(262.8*KFC!$B$23*1.02*1.25+KFC!$C$23)*KFC!$C$5</f>
        <v>335.07000000000005</v>
      </c>
    </row>
    <row r="162" spans="1:34">
      <c r="A162" s="1781"/>
      <c r="B162" s="392">
        <v>3.7</v>
      </c>
      <c r="C162" s="303">
        <f>(105.3*KFC!$B$23*1.02*1.25+KFC!$C$23)*KFC!$C$5</f>
        <v>134.25749999999999</v>
      </c>
      <c r="D162" s="300">
        <f>(110.5*KFC!$B$23*1.02*1.25+KFC!$C$23)*KFC!$C$5</f>
        <v>140.88750000000002</v>
      </c>
      <c r="E162" s="300">
        <f>(115.8*KFC!$B$23*1.02*1.25+KFC!$C$23)*KFC!$C$5</f>
        <v>147.64500000000001</v>
      </c>
      <c r="F162" s="300">
        <f>(121*KFC!$B$23*1.02*1.25+KFC!$C$23)*KFC!$C$5</f>
        <v>154.27500000000001</v>
      </c>
      <c r="G162" s="300">
        <f>(126.2*KFC!$B$23*1.02*1.25+KFC!$C$23)*KFC!$C$5</f>
        <v>160.90500000000003</v>
      </c>
      <c r="H162" s="300">
        <f>(131.4*KFC!$B$23*1.02*1.25+KFC!$C$23)*KFC!$C$5</f>
        <v>167.53500000000003</v>
      </c>
      <c r="I162" s="300">
        <f>(136.6*KFC!$B$23*1.02*1.25+KFC!$C$23)*KFC!$C$5</f>
        <v>174.16499999999999</v>
      </c>
      <c r="J162" s="300">
        <f>(141.9*KFC!$B$23*1.02*1.25+KFC!$C$23)*KFC!$C$5</f>
        <v>180.92250000000001</v>
      </c>
      <c r="K162" s="300">
        <f>(147.1*KFC!$B$23*1.02*1.25+KFC!$C$23)*KFC!$C$5</f>
        <v>187.55250000000001</v>
      </c>
      <c r="L162" s="300">
        <f>(152.3*KFC!$B$23*1.02*1.25+KFC!$C$23)*KFC!$C$5</f>
        <v>194.1825</v>
      </c>
      <c r="M162" s="300">
        <f>(157.5*KFC!$B$23*1.02*1.25+KFC!$C$23)*KFC!$C$5</f>
        <v>200.8125</v>
      </c>
      <c r="N162" s="300">
        <f>(162.7*KFC!$B$23*1.02*1.25+KFC!$C$23)*KFC!$C$5</f>
        <v>207.44249999999997</v>
      </c>
      <c r="O162" s="300">
        <f>(168*KFC!$B$23*1.02*1.25+KFC!$C$23)*KFC!$C$5</f>
        <v>214.20000000000002</v>
      </c>
      <c r="P162" s="300">
        <f>(173.2*KFC!$B$23*1.02*1.25+KFC!$C$23)*KFC!$C$5</f>
        <v>220.82999999999998</v>
      </c>
      <c r="Q162" s="300">
        <f>(178.4*KFC!$B$23*1.02*1.25+KFC!$C$23)*KFC!$C$5</f>
        <v>227.46000000000004</v>
      </c>
      <c r="R162" s="300">
        <f>(183.6*KFC!$B$23*1.02*1.25+KFC!$C$23)*KFC!$C$5</f>
        <v>234.08999999999997</v>
      </c>
      <c r="S162" s="300">
        <f>(188.9*KFC!$B$23*1.02*1.25+KFC!$C$23)*KFC!$C$5</f>
        <v>240.8475</v>
      </c>
      <c r="T162" s="300">
        <f>(194.1*KFC!$B$23*1.02*1.25+KFC!$C$23)*KFC!$C$5</f>
        <v>247.47749999999999</v>
      </c>
      <c r="U162" s="300">
        <f>(199.3*KFC!$B$23*1.02*1.25+KFC!$C$23)*KFC!$C$5</f>
        <v>254.10750000000002</v>
      </c>
      <c r="V162" s="300">
        <f>(204.5*KFC!$B$23*1.02*1.25+KFC!$C$23)*KFC!$C$5</f>
        <v>260.73750000000001</v>
      </c>
      <c r="W162" s="300">
        <f>(209.7*KFC!$B$23*1.02*1.25+KFC!$C$23)*KFC!$C$5</f>
        <v>267.36750000000001</v>
      </c>
      <c r="X162" s="300">
        <f>(215*KFC!$B$23*1.02*1.25+KFC!$C$23)*KFC!$C$5</f>
        <v>274.125</v>
      </c>
      <c r="Y162" s="300">
        <f>(220.2*KFC!$B$23*1.02*1.25+KFC!$C$23)*KFC!$C$5</f>
        <v>280.755</v>
      </c>
      <c r="Z162" s="300">
        <f>(225.4*KFC!$B$23*1.02*1.25+KFC!$C$23)*KFC!$C$5</f>
        <v>287.38499999999999</v>
      </c>
      <c r="AA162" s="300">
        <f>(230.6*KFC!$B$23*1.02*1.25+KFC!$C$23)*KFC!$C$5</f>
        <v>294.01499999999999</v>
      </c>
      <c r="AB162" s="300">
        <f>(235.8*KFC!$B$23*1.02*1.25+KFC!$C$23)*KFC!$C$5</f>
        <v>300.64500000000004</v>
      </c>
      <c r="AC162" s="300">
        <f>(241.1*KFC!$B$23*1.02*1.25+KFC!$C$23)*KFC!$C$5</f>
        <v>307.40249999999997</v>
      </c>
      <c r="AD162" s="300">
        <f>(246.3*KFC!$B$23*1.02*1.25+KFC!$C$23)*KFC!$C$5</f>
        <v>314.03250000000003</v>
      </c>
      <c r="AE162" s="300">
        <f>(251.5*KFC!$B$23*1.02*1.25+KFC!$C$23)*KFC!$C$5</f>
        <v>320.66250000000002</v>
      </c>
      <c r="AF162" s="300">
        <f>(256.7*KFC!$B$23*1.02*1.25+KFC!$C$23)*KFC!$C$5</f>
        <v>327.29250000000002</v>
      </c>
      <c r="AG162" s="300">
        <f>(261.9*KFC!$B$23*1.02*1.25+KFC!$C$23)*KFC!$C$5</f>
        <v>333.92249999999996</v>
      </c>
      <c r="AH162" s="304">
        <f>(267.2*KFC!$B$23*1.02*1.25+KFC!$C$23)*KFC!$C$5</f>
        <v>340.67999999999995</v>
      </c>
    </row>
    <row r="163" spans="1:34">
      <c r="A163" s="1781"/>
      <c r="B163" s="392">
        <v>3.8</v>
      </c>
      <c r="C163" s="303">
        <f>(106.2*KFC!$B$23*1.02*1.25+KFC!$C$23)*KFC!$C$5</f>
        <v>135.405</v>
      </c>
      <c r="D163" s="300">
        <f>(111.5*KFC!$B$23*1.02*1.25+KFC!$C$23)*KFC!$C$5</f>
        <v>142.16249999999999</v>
      </c>
      <c r="E163" s="300">
        <f>(116.8*KFC!$B$23*1.02*1.25+KFC!$C$23)*KFC!$C$5</f>
        <v>148.91999999999999</v>
      </c>
      <c r="F163" s="300">
        <f>(122.2*KFC!$B$23*1.02*1.25+KFC!$C$23)*KFC!$C$5</f>
        <v>155.80500000000001</v>
      </c>
      <c r="G163" s="300">
        <f>(127.5*KFC!$B$23*1.02*1.25+KFC!$C$23)*KFC!$C$5</f>
        <v>162.5625</v>
      </c>
      <c r="H163" s="300">
        <f>(132.8*KFC!$B$23*1.02*1.25+KFC!$C$23)*KFC!$C$5</f>
        <v>169.32000000000002</v>
      </c>
      <c r="I163" s="300">
        <f>(138.2*KFC!$B$23*1.02*1.25+KFC!$C$23)*KFC!$C$5</f>
        <v>176.20499999999998</v>
      </c>
      <c r="J163" s="300">
        <f>(143.5*KFC!$B$23*1.02*1.25+KFC!$C$23)*KFC!$C$5</f>
        <v>182.96250000000001</v>
      </c>
      <c r="K163" s="300">
        <f>(148.8*KFC!$B$23*1.02*1.25+KFC!$C$23)*KFC!$C$5</f>
        <v>189.72000000000003</v>
      </c>
      <c r="L163" s="300">
        <f>(154.2*KFC!$B$23*1.02*1.25+KFC!$C$23)*KFC!$C$5</f>
        <v>196.60499999999999</v>
      </c>
      <c r="M163" s="300">
        <f>(159.5*KFC!$B$23*1.02*1.25+KFC!$C$23)*KFC!$C$5</f>
        <v>203.36250000000001</v>
      </c>
      <c r="N163" s="300">
        <f>(164.8*KFC!$B$23*1.02*1.25+KFC!$C$23)*KFC!$C$5</f>
        <v>210.12</v>
      </c>
      <c r="O163" s="300">
        <f>(170.2*KFC!$B$23*1.02*1.25+KFC!$C$23)*KFC!$C$5</f>
        <v>217.005</v>
      </c>
      <c r="P163" s="300">
        <f>(175.5*KFC!$B$23*1.02*1.25+KFC!$C$23)*KFC!$C$5</f>
        <v>223.76249999999999</v>
      </c>
      <c r="Q163" s="300">
        <f>(180.8*KFC!$B$23*1.02*1.25+KFC!$C$23)*KFC!$C$5</f>
        <v>230.52000000000004</v>
      </c>
      <c r="R163" s="300">
        <f>(186.2*KFC!$B$23*1.02*1.25+KFC!$C$23)*KFC!$C$5</f>
        <v>237.40499999999997</v>
      </c>
      <c r="S163" s="300">
        <f>(191.5*KFC!$B$23*1.02*1.25+KFC!$C$23)*KFC!$C$5</f>
        <v>244.16250000000002</v>
      </c>
      <c r="T163" s="300">
        <f>(196.8*KFC!$B$23*1.02*1.25+KFC!$C$23)*KFC!$C$5</f>
        <v>250.92000000000002</v>
      </c>
      <c r="U163" s="300">
        <f>(202.2*KFC!$B$23*1.02*1.25+KFC!$C$23)*KFC!$C$5</f>
        <v>257.80500000000001</v>
      </c>
      <c r="V163" s="300">
        <f>(207.5*KFC!$B$23*1.02*1.25+KFC!$C$23)*KFC!$C$5</f>
        <v>264.5625</v>
      </c>
      <c r="W163" s="300">
        <f>(212.8*KFC!$B$23*1.02*1.25+KFC!$C$23)*KFC!$C$5</f>
        <v>271.32</v>
      </c>
      <c r="X163" s="300">
        <f>(218.2*KFC!$B$23*1.02*1.25+KFC!$C$23)*KFC!$C$5</f>
        <v>278.20499999999998</v>
      </c>
      <c r="Y163" s="300">
        <f>(223.5*KFC!$B$23*1.02*1.25+KFC!$C$23)*KFC!$C$5</f>
        <v>284.96249999999998</v>
      </c>
      <c r="Z163" s="300">
        <f>(228.8*KFC!$B$23*1.02*1.25+KFC!$C$23)*KFC!$C$5</f>
        <v>291.72000000000003</v>
      </c>
      <c r="AA163" s="300">
        <f>(234.2*KFC!$B$23*1.02*1.25+KFC!$C$23)*KFC!$C$5</f>
        <v>298.60499999999996</v>
      </c>
      <c r="AB163" s="300">
        <f>(239.5*KFC!$B$23*1.02*1.25+KFC!$C$23)*KFC!$C$5</f>
        <v>305.36250000000001</v>
      </c>
      <c r="AC163" s="300">
        <f>(244.8*KFC!$B$23*1.02*1.25+KFC!$C$23)*KFC!$C$5</f>
        <v>312.12</v>
      </c>
      <c r="AD163" s="300">
        <f>(250.2*KFC!$B$23*1.02*1.25+KFC!$C$23)*KFC!$C$5</f>
        <v>319.005</v>
      </c>
      <c r="AE163" s="300">
        <f>(255.5*KFC!$B$23*1.02*1.25+KFC!$C$23)*KFC!$C$5</f>
        <v>325.76250000000005</v>
      </c>
      <c r="AF163" s="300">
        <f>(260.8*KFC!$B$23*1.02*1.25+KFC!$C$23)*KFC!$C$5</f>
        <v>332.52000000000004</v>
      </c>
      <c r="AG163" s="300">
        <f>(266.2*KFC!$B$23*1.02*1.25+KFC!$C$23)*KFC!$C$5</f>
        <v>339.40499999999997</v>
      </c>
      <c r="AH163" s="304">
        <f>(271.5*KFC!$B$23*1.02*1.25+KFC!$C$23)*KFC!$C$5</f>
        <v>346.16250000000002</v>
      </c>
    </row>
    <row r="164" spans="1:34">
      <c r="A164" s="1781"/>
      <c r="B164" s="392">
        <v>3.9</v>
      </c>
      <c r="C164" s="303">
        <f>(107*KFC!$B$23*1.02*1.25+KFC!$C$23)*KFC!$C$5</f>
        <v>136.42500000000001</v>
      </c>
      <c r="D164" s="300">
        <f>(112.4*KFC!$B$23*1.02*1.25+KFC!$C$23)*KFC!$C$5</f>
        <v>143.31</v>
      </c>
      <c r="E164" s="300">
        <f>(117.9*KFC!$B$23*1.02*1.25+KFC!$C$23)*KFC!$C$5</f>
        <v>150.32250000000002</v>
      </c>
      <c r="F164" s="300">
        <f>(123.3*KFC!$B$23*1.02*1.25+KFC!$C$23)*KFC!$C$5</f>
        <v>157.20750000000001</v>
      </c>
      <c r="G164" s="300">
        <f>(128.8*KFC!$B$23*1.02*1.25+KFC!$C$23)*KFC!$C$5</f>
        <v>164.22</v>
      </c>
      <c r="H164" s="300">
        <f>(134.2*KFC!$B$23*1.02*1.25+KFC!$C$23)*KFC!$C$5</f>
        <v>171.10499999999999</v>
      </c>
      <c r="I164" s="300">
        <f>(139.7*KFC!$B$23*1.02*1.25+KFC!$C$23)*KFC!$C$5</f>
        <v>178.11750000000001</v>
      </c>
      <c r="J164" s="300">
        <f>(145.1*KFC!$B$23*1.02*1.25+KFC!$C$23)*KFC!$C$5</f>
        <v>185.0025</v>
      </c>
      <c r="K164" s="300">
        <f>(150.6*KFC!$B$23*1.02*1.25+KFC!$C$23)*KFC!$C$5</f>
        <v>192.01499999999999</v>
      </c>
      <c r="L164" s="300">
        <f>(156*KFC!$B$23*1.02*1.25+KFC!$C$23)*KFC!$C$5</f>
        <v>198.9</v>
      </c>
      <c r="M164" s="300">
        <f>(161.5*KFC!$B$23*1.02*1.25+KFC!$C$23)*KFC!$C$5</f>
        <v>205.91249999999999</v>
      </c>
      <c r="N164" s="300">
        <f>(166.9*KFC!$B$23*1.02*1.25+KFC!$C$23)*KFC!$C$5</f>
        <v>212.79750000000001</v>
      </c>
      <c r="O164" s="300">
        <f>(172.4*KFC!$B$23*1.02*1.25+KFC!$C$23)*KFC!$C$5</f>
        <v>219.81</v>
      </c>
      <c r="P164" s="300">
        <f>(177.8*KFC!$B$23*1.02*1.25+KFC!$C$23)*KFC!$C$5</f>
        <v>226.69500000000002</v>
      </c>
      <c r="Q164" s="300">
        <f>(183.3*KFC!$B$23*1.02*1.25+KFC!$C$23)*KFC!$C$5</f>
        <v>233.70750000000001</v>
      </c>
      <c r="R164" s="300">
        <f>(188.7*KFC!$B$23*1.02*1.25+KFC!$C$23)*KFC!$C$5</f>
        <v>240.59249999999997</v>
      </c>
      <c r="S164" s="300">
        <f>(194.1*KFC!$B$23*1.02*1.25+KFC!$C$23)*KFC!$C$5</f>
        <v>247.47749999999999</v>
      </c>
      <c r="T164" s="300">
        <f>(199.6*KFC!$B$23*1.02*1.25+KFC!$C$23)*KFC!$C$5</f>
        <v>254.48999999999998</v>
      </c>
      <c r="U164" s="300">
        <f>(205*KFC!$B$23*1.02*1.25+KFC!$C$23)*KFC!$C$5</f>
        <v>261.375</v>
      </c>
      <c r="V164" s="300">
        <f>(210.5*KFC!$B$23*1.02*1.25+KFC!$C$23)*KFC!$C$5</f>
        <v>268.38749999999999</v>
      </c>
      <c r="W164" s="300">
        <f>(215.9*KFC!$B$23*1.02*1.25+KFC!$C$23)*KFC!$C$5</f>
        <v>275.27250000000004</v>
      </c>
      <c r="X164" s="300">
        <f>(221.4*KFC!$B$23*1.02*1.25+KFC!$C$23)*KFC!$C$5</f>
        <v>282.28500000000003</v>
      </c>
      <c r="Y164" s="300">
        <f>(226.8*KFC!$B$23*1.02*1.25+KFC!$C$23)*KFC!$C$5</f>
        <v>289.17</v>
      </c>
      <c r="Z164" s="300">
        <f>(232.3*KFC!$B$23*1.02*1.25+KFC!$C$23)*KFC!$C$5</f>
        <v>296.1825</v>
      </c>
      <c r="AA164" s="300">
        <f>(237.7*KFC!$B$23*1.02*1.25+KFC!$C$23)*KFC!$C$5</f>
        <v>303.0675</v>
      </c>
      <c r="AB164" s="300">
        <f>(243.2*KFC!$B$23*1.02*1.25+KFC!$C$23)*KFC!$C$5</f>
        <v>310.08</v>
      </c>
      <c r="AC164" s="300">
        <f>(248.6*KFC!$B$23*1.02*1.25+KFC!$C$23)*KFC!$C$5</f>
        <v>316.96500000000003</v>
      </c>
      <c r="AD164" s="300">
        <f>(254.1*KFC!$B$23*1.02*1.25+KFC!$C$23)*KFC!$C$5</f>
        <v>323.97750000000002</v>
      </c>
      <c r="AE164" s="300">
        <f>(259.5*KFC!$B$23*1.02*1.25+KFC!$C$23)*KFC!$C$5</f>
        <v>330.86250000000001</v>
      </c>
      <c r="AF164" s="300">
        <f>(264.9*KFC!$B$23*1.02*1.25+KFC!$C$23)*KFC!$C$5</f>
        <v>337.74749999999995</v>
      </c>
      <c r="AG164" s="300">
        <f>(270.4*KFC!$B$23*1.02*1.25+KFC!$C$23)*KFC!$C$5</f>
        <v>344.76</v>
      </c>
      <c r="AH164" s="304">
        <f>(275.8*KFC!$B$23*1.02*1.25+KFC!$C$23)*KFC!$C$5</f>
        <v>351.64500000000004</v>
      </c>
    </row>
    <row r="165" spans="1:34">
      <c r="A165" s="1781"/>
      <c r="B165" s="392">
        <v>4</v>
      </c>
      <c r="C165" s="303">
        <f>(107.8*KFC!$B$23*1.02*1.25+KFC!$C$23)*KFC!$C$5</f>
        <v>137.44499999999999</v>
      </c>
      <c r="D165" s="300">
        <f>(113.4*KFC!$B$23*1.02*1.25+KFC!$C$23)*KFC!$C$5</f>
        <v>144.58500000000001</v>
      </c>
      <c r="E165" s="300">
        <f>(119*KFC!$B$23*1.02*1.25+KFC!$C$23)*KFC!$C$5</f>
        <v>151.72499999999999</v>
      </c>
      <c r="F165" s="300">
        <f>(124.5*KFC!$B$23*1.02*1.25+KFC!$C$23)*KFC!$C$5</f>
        <v>158.73750000000001</v>
      </c>
      <c r="G165" s="300">
        <f>(130.1*KFC!$B$23*1.02*1.25+KFC!$C$23)*KFC!$C$5</f>
        <v>165.8775</v>
      </c>
      <c r="H165" s="300">
        <f>(135.6*KFC!$B$23*1.02*1.25+KFC!$C$23)*KFC!$C$5</f>
        <v>172.89</v>
      </c>
      <c r="I165" s="300">
        <f>(141.2*KFC!$B$23*1.02*1.25+KFC!$C$23)*KFC!$C$5</f>
        <v>180.03</v>
      </c>
      <c r="J165" s="300">
        <f>(146.8*KFC!$B$23*1.02*1.25+KFC!$C$23)*KFC!$C$5</f>
        <v>187.17000000000002</v>
      </c>
      <c r="K165" s="300">
        <f>(152.3*KFC!$B$23*1.02*1.25+KFC!$C$23)*KFC!$C$5</f>
        <v>194.1825</v>
      </c>
      <c r="L165" s="300">
        <f>(157.9*KFC!$B$23*1.02*1.25+KFC!$C$23)*KFC!$C$5</f>
        <v>201.32250000000002</v>
      </c>
      <c r="M165" s="300">
        <f>(163.4*KFC!$B$23*1.02*1.25+KFC!$C$23)*KFC!$C$5</f>
        <v>208.33500000000001</v>
      </c>
      <c r="N165" s="300">
        <f>(169*KFC!$B$23*1.02*1.25+KFC!$C$23)*KFC!$C$5</f>
        <v>215.47499999999999</v>
      </c>
      <c r="O165" s="300">
        <f>(174.6*KFC!$B$23*1.02*1.25+KFC!$C$23)*KFC!$C$5</f>
        <v>222.61499999999998</v>
      </c>
      <c r="P165" s="300">
        <f>(180.1*KFC!$B$23*1.02*1.25+KFC!$C$23)*KFC!$C$5</f>
        <v>229.6275</v>
      </c>
      <c r="Q165" s="300">
        <f>(185.7*KFC!$B$23*1.02*1.25+KFC!$C$23)*KFC!$C$5</f>
        <v>236.76749999999998</v>
      </c>
      <c r="R165" s="300">
        <f>(191.2*KFC!$B$23*1.02*1.25+KFC!$C$23)*KFC!$C$5</f>
        <v>243.78</v>
      </c>
      <c r="S165" s="300">
        <f>(196.8*KFC!$B$23*1.02*1.25+KFC!$C$23)*KFC!$C$5</f>
        <v>250.92000000000002</v>
      </c>
      <c r="T165" s="300">
        <f>(202.4*KFC!$B$23*1.02*1.25+KFC!$C$23)*KFC!$C$5</f>
        <v>258.06</v>
      </c>
      <c r="U165" s="300">
        <f>(207.9*KFC!$B$23*1.02*1.25+KFC!$C$23)*KFC!$C$5</f>
        <v>265.07250000000005</v>
      </c>
      <c r="V165" s="300">
        <f>(213.5*KFC!$B$23*1.02*1.25+KFC!$C$23)*KFC!$C$5</f>
        <v>272.21250000000003</v>
      </c>
      <c r="W165" s="300">
        <f>(219*KFC!$B$23*1.02*1.25+KFC!$C$23)*KFC!$C$5</f>
        <v>279.22500000000002</v>
      </c>
      <c r="X165" s="300">
        <f>(224.6*KFC!$B$23*1.02*1.25+KFC!$C$23)*KFC!$C$5</f>
        <v>286.36500000000001</v>
      </c>
      <c r="Y165" s="300">
        <f>(230.1*KFC!$B$23*1.02*1.25+KFC!$C$23)*KFC!$C$5</f>
        <v>293.3775</v>
      </c>
      <c r="Z165" s="300">
        <f>(235.7*KFC!$B$23*1.02*1.25+KFC!$C$23)*KFC!$C$5</f>
        <v>300.51749999999998</v>
      </c>
      <c r="AA165" s="300">
        <f>(241.3*KFC!$B$23*1.02*1.25+KFC!$C$23)*KFC!$C$5</f>
        <v>307.65750000000003</v>
      </c>
      <c r="AB165" s="300">
        <f>(246.8*KFC!$B$23*1.02*1.25+KFC!$C$23)*KFC!$C$5</f>
        <v>314.67</v>
      </c>
      <c r="AC165" s="300">
        <f>(252.4*KFC!$B$23*1.02*1.25+KFC!$C$23)*KFC!$C$5</f>
        <v>321.81000000000006</v>
      </c>
      <c r="AD165" s="300">
        <f>(257.9*KFC!$B$23*1.02*1.25+KFC!$C$23)*KFC!$C$5</f>
        <v>328.82249999999999</v>
      </c>
      <c r="AE165" s="300">
        <f>(263.5*KFC!$B$23*1.02*1.25+KFC!$C$23)*KFC!$C$5</f>
        <v>335.96249999999998</v>
      </c>
      <c r="AF165" s="300">
        <f>(269.1*KFC!$B$23*1.02*1.25+KFC!$C$23)*KFC!$C$5</f>
        <v>343.10250000000002</v>
      </c>
      <c r="AG165" s="300">
        <f>(274.6*KFC!$B$23*1.02*1.25+KFC!$C$23)*KFC!$C$5</f>
        <v>350.11500000000007</v>
      </c>
      <c r="AH165" s="304">
        <f>(280.2*KFC!$B$23*1.02*1.25+KFC!$C$23)*KFC!$C$5</f>
        <v>357.255</v>
      </c>
    </row>
    <row r="166" spans="1:34">
      <c r="A166" s="1781"/>
      <c r="B166" s="392">
        <v>4.0999999999999996</v>
      </c>
      <c r="C166" s="303">
        <f>(108.7*KFC!$B$23*1.02*1.25+KFC!$C$23)*KFC!$C$5</f>
        <v>138.5925</v>
      </c>
      <c r="D166" s="300">
        <f>(114.4*KFC!$B$23*1.02*1.25+KFC!$C$23)*KFC!$C$5</f>
        <v>145.86000000000001</v>
      </c>
      <c r="E166" s="300">
        <f>(120*KFC!$B$23*1.02*1.25+KFC!$C$23)*KFC!$C$5</f>
        <v>153</v>
      </c>
      <c r="F166" s="300">
        <f>(125.7*KFC!$B$23*1.02*1.25+KFC!$C$23)*KFC!$C$5</f>
        <v>160.26749999999998</v>
      </c>
      <c r="G166" s="300">
        <f>(131.4*KFC!$B$23*1.02*1.25+KFC!$C$23)*KFC!$C$5</f>
        <v>167.53500000000003</v>
      </c>
      <c r="H166" s="300">
        <f>(137*KFC!$B$23*1.02*1.25+KFC!$C$23)*KFC!$C$5</f>
        <v>174.67500000000001</v>
      </c>
      <c r="I166" s="300">
        <f>(142.7*KFC!$B$23*1.02*1.25+KFC!$C$23)*KFC!$C$5</f>
        <v>181.9425</v>
      </c>
      <c r="J166" s="300">
        <f>(148.4*KFC!$B$23*1.02*1.25+KFC!$C$23)*KFC!$C$5</f>
        <v>189.20999999999998</v>
      </c>
      <c r="K166" s="300">
        <f>(154.1*KFC!$B$23*1.02*1.25+KFC!$C$23)*KFC!$C$5</f>
        <v>196.47749999999999</v>
      </c>
      <c r="L166" s="300">
        <f>(159.7*KFC!$B$23*1.02*1.25+KFC!$C$23)*KFC!$C$5</f>
        <v>203.61750000000001</v>
      </c>
      <c r="M166" s="300">
        <f>(165.4*KFC!$B$23*1.02*1.25+KFC!$C$23)*KFC!$C$5</f>
        <v>210.88499999999999</v>
      </c>
      <c r="N166" s="300">
        <f>(171.1*KFC!$B$23*1.02*1.25+KFC!$C$23)*KFC!$C$5</f>
        <v>218.15249999999997</v>
      </c>
      <c r="O166" s="300">
        <f>(176.8*KFC!$B$23*1.02*1.25+KFC!$C$23)*KFC!$C$5</f>
        <v>225.42000000000002</v>
      </c>
      <c r="P166" s="300">
        <f>(182.4*KFC!$B$23*1.02*1.25+KFC!$C$23)*KFC!$C$5</f>
        <v>232.56</v>
      </c>
      <c r="Q166" s="300">
        <f>(188.1*KFC!$B$23*1.02*1.25+KFC!$C$23)*KFC!$C$5</f>
        <v>239.82749999999999</v>
      </c>
      <c r="R166" s="300">
        <f>(193.8*KFC!$B$23*1.02*1.25+KFC!$C$23)*KFC!$C$5</f>
        <v>247.09500000000003</v>
      </c>
      <c r="S166" s="300">
        <f>(199.4*KFC!$B$23*1.02*1.25+KFC!$C$23)*KFC!$C$5</f>
        <v>254.23500000000001</v>
      </c>
      <c r="T166" s="300">
        <f>(205.1*KFC!$B$23*1.02*1.25+KFC!$C$23)*KFC!$C$5</f>
        <v>261.5025</v>
      </c>
      <c r="U166" s="300">
        <f>(210.8*KFC!$B$23*1.02*1.25+KFC!$C$23)*KFC!$C$5</f>
        <v>268.77000000000004</v>
      </c>
      <c r="V166" s="300">
        <f>(216.5*KFC!$B$23*1.02*1.25+KFC!$C$23)*KFC!$C$5</f>
        <v>276.03750000000002</v>
      </c>
      <c r="W166" s="300">
        <f>(222.1*KFC!$B$23*1.02*1.25+KFC!$C$23)*KFC!$C$5</f>
        <v>283.17750000000001</v>
      </c>
      <c r="X166" s="300">
        <f>(227.8*KFC!$B$23*1.02*1.25+KFC!$C$23)*KFC!$C$5</f>
        <v>290.44500000000005</v>
      </c>
      <c r="Y166" s="300">
        <f>(233.5*KFC!$B$23*1.02*1.25+KFC!$C$23)*KFC!$C$5</f>
        <v>297.71250000000003</v>
      </c>
      <c r="Z166" s="300">
        <f>(239.1*KFC!$B$23*1.02*1.25+KFC!$C$23)*KFC!$C$5</f>
        <v>304.85250000000002</v>
      </c>
      <c r="AA166" s="300">
        <f>(244.8*KFC!$B$23*1.02*1.25+KFC!$C$23)*KFC!$C$5</f>
        <v>312.12</v>
      </c>
      <c r="AB166" s="300">
        <f>(250.5*KFC!$B$23*1.02*1.25+KFC!$C$23)*KFC!$C$5</f>
        <v>319.38749999999999</v>
      </c>
      <c r="AC166" s="300">
        <f>(256.2*KFC!$B$23*1.02*1.25+KFC!$C$23)*KFC!$C$5</f>
        <v>326.65500000000003</v>
      </c>
      <c r="AD166" s="300">
        <f>(261.8*KFC!$B$23*1.02*1.25+KFC!$C$23)*KFC!$C$5</f>
        <v>333.79500000000002</v>
      </c>
      <c r="AE166" s="300">
        <f>(267.5*KFC!$B$23*1.02*1.25+KFC!$C$23)*KFC!$C$5</f>
        <v>341.0625</v>
      </c>
      <c r="AF166" s="300">
        <f>(273.2*KFC!$B$23*1.02*1.25+KFC!$C$23)*KFC!$C$5</f>
        <v>348.33</v>
      </c>
      <c r="AG166" s="300">
        <f>(278.8*KFC!$B$23*1.02*1.25+KFC!$C$23)*KFC!$C$5</f>
        <v>355.47</v>
      </c>
      <c r="AH166" s="304">
        <f>(284.5*KFC!$B$23*1.02*1.25+KFC!$C$23)*KFC!$C$5</f>
        <v>362.73750000000001</v>
      </c>
    </row>
    <row r="167" spans="1:34">
      <c r="A167" s="1781"/>
      <c r="B167" s="392">
        <v>4.2</v>
      </c>
      <c r="C167" s="303">
        <f>(109.5*KFC!$B$23*1.02*1.25+KFC!$C$23)*KFC!$C$5</f>
        <v>139.61250000000001</v>
      </c>
      <c r="D167" s="300">
        <f>(115.3*KFC!$B$23*1.02*1.25+KFC!$C$23)*KFC!$C$5</f>
        <v>147.00749999999999</v>
      </c>
      <c r="E167" s="300">
        <f>(121.1*KFC!$B$23*1.02*1.25+KFC!$C$23)*KFC!$C$5</f>
        <v>154.40249999999997</v>
      </c>
      <c r="F167" s="300">
        <f>(126.9*KFC!$B$23*1.02*1.25+KFC!$C$23)*KFC!$C$5</f>
        <v>161.79750000000001</v>
      </c>
      <c r="G167" s="300">
        <f>(132.7*KFC!$B$23*1.02*1.25+KFC!$C$23)*KFC!$C$5</f>
        <v>169.1925</v>
      </c>
      <c r="H167" s="300">
        <f>(138.5*KFC!$B$23*1.02*1.25+KFC!$C$23)*KFC!$C$5</f>
        <v>176.58750000000001</v>
      </c>
      <c r="I167" s="300">
        <f>(144.2*KFC!$B$23*1.02*1.25+KFC!$C$23)*KFC!$C$5</f>
        <v>183.85500000000002</v>
      </c>
      <c r="J167" s="300">
        <f>(150*KFC!$B$23*1.02*1.25+KFC!$C$23)*KFC!$C$5</f>
        <v>191.25</v>
      </c>
      <c r="K167" s="300">
        <f>(155.8*KFC!$B$23*1.02*1.25+KFC!$C$23)*KFC!$C$5</f>
        <v>198.64500000000004</v>
      </c>
      <c r="L167" s="300">
        <f>(161.6*KFC!$B$23*1.02*1.25+KFC!$C$23)*KFC!$C$5</f>
        <v>206.04</v>
      </c>
      <c r="M167" s="300">
        <f>(167.4*KFC!$B$23*1.02*1.25+KFC!$C$23)*KFC!$C$5</f>
        <v>213.43500000000003</v>
      </c>
      <c r="N167" s="300">
        <f>(173.2*KFC!$B$23*1.02*1.25+KFC!$C$23)*KFC!$C$5</f>
        <v>220.82999999999998</v>
      </c>
      <c r="O167" s="300">
        <f>(178.9*KFC!$B$23*1.02*1.25+KFC!$C$23)*KFC!$C$5</f>
        <v>228.09750000000003</v>
      </c>
      <c r="P167" s="300">
        <f>(184.7*KFC!$B$23*1.02*1.25+KFC!$C$23)*KFC!$C$5</f>
        <v>235.49250000000001</v>
      </c>
      <c r="Q167" s="300">
        <f>(190.5*KFC!$B$23*1.02*1.25+KFC!$C$23)*KFC!$C$5</f>
        <v>242.88749999999999</v>
      </c>
      <c r="R167" s="300">
        <f>(196.3*KFC!$B$23*1.02*1.25+KFC!$C$23)*KFC!$C$5</f>
        <v>250.28250000000003</v>
      </c>
      <c r="S167" s="300">
        <f>(202.1*KFC!$B$23*1.02*1.25+KFC!$C$23)*KFC!$C$5</f>
        <v>257.67750000000001</v>
      </c>
      <c r="T167" s="300">
        <f>(207.9*KFC!$B$23*1.02*1.25+KFC!$C$23)*KFC!$C$5</f>
        <v>265.07250000000005</v>
      </c>
      <c r="U167" s="300">
        <f>(213.7*KFC!$B$23*1.02*1.25+KFC!$C$23)*KFC!$C$5</f>
        <v>272.46749999999997</v>
      </c>
      <c r="V167" s="300">
        <f>(219.4*KFC!$B$23*1.02*1.25+KFC!$C$23)*KFC!$C$5</f>
        <v>279.73500000000001</v>
      </c>
      <c r="W167" s="300">
        <f>(225.2*KFC!$B$23*1.02*1.25+KFC!$C$23)*KFC!$C$5</f>
        <v>287.13</v>
      </c>
      <c r="X167" s="300">
        <f>(231*KFC!$B$23*1.02*1.25+KFC!$C$23)*KFC!$C$5</f>
        <v>294.52499999999998</v>
      </c>
      <c r="Y167" s="300">
        <f>(236.8*KFC!$B$23*1.02*1.25+KFC!$C$23)*KFC!$C$5</f>
        <v>301.92</v>
      </c>
      <c r="Z167" s="300">
        <f>(242.6*KFC!$B$23*1.02*1.25+KFC!$C$23)*KFC!$C$5</f>
        <v>309.315</v>
      </c>
      <c r="AA167" s="300">
        <f>(248.4*KFC!$B$23*1.02*1.25+KFC!$C$23)*KFC!$C$5</f>
        <v>316.71000000000004</v>
      </c>
      <c r="AB167" s="300">
        <f>(254.1*KFC!$B$23*1.02*1.25+KFC!$C$23)*KFC!$C$5</f>
        <v>323.97750000000002</v>
      </c>
      <c r="AC167" s="300">
        <f>(259.9*KFC!$B$23*1.02*1.25+KFC!$C$23)*KFC!$C$5</f>
        <v>331.37249999999995</v>
      </c>
      <c r="AD167" s="300">
        <f>(265.7*KFC!$B$23*1.02*1.25+KFC!$C$23)*KFC!$C$5</f>
        <v>338.76750000000004</v>
      </c>
      <c r="AE167" s="300">
        <f>(271.5*KFC!$B$23*1.02*1.25+KFC!$C$23)*KFC!$C$5</f>
        <v>346.16250000000002</v>
      </c>
      <c r="AF167" s="300">
        <f>(277.33*KFC!$B$23*1.02*1.25+KFC!$C$23)*KFC!$C$5</f>
        <v>353.59575000000001</v>
      </c>
      <c r="AG167" s="300">
        <f>(283.1*KFC!$B$23*1.02*1.25+KFC!$C$23)*KFC!$C$5</f>
        <v>360.95249999999999</v>
      </c>
      <c r="AH167" s="304">
        <f>(288.9*KFC!$B$23*1.02*1.25+KFC!$C$23)*KFC!$C$5</f>
        <v>368.34749999999997</v>
      </c>
    </row>
    <row r="168" spans="1:34">
      <c r="A168" s="1781"/>
      <c r="B168" s="392">
        <v>4.3</v>
      </c>
      <c r="C168" s="303">
        <f>(110.4*KFC!$B$23*1.02*1.25+KFC!$C$23)*KFC!$C$5</f>
        <v>140.76</v>
      </c>
      <c r="D168" s="300">
        <f>(116.3*KFC!$B$23*1.02*1.25+KFC!$C$23)*KFC!$C$5</f>
        <v>148.2825</v>
      </c>
      <c r="E168" s="300">
        <f>(122.2*KFC!$B$23*1.02*1.25+KFC!$C$23)*KFC!$C$5</f>
        <v>155.80500000000001</v>
      </c>
      <c r="F168" s="300">
        <f>(128.1*KFC!$B$23*1.02*1.25+KFC!$C$23)*KFC!$C$5</f>
        <v>163.32750000000001</v>
      </c>
      <c r="G168" s="300">
        <f>(134*KFC!$B$23*1.02*1.25+KFC!$C$23)*KFC!$C$5</f>
        <v>170.85000000000002</v>
      </c>
      <c r="H168" s="300">
        <f>(139.9*KFC!$B$23*1.02*1.25+KFC!$C$23)*KFC!$C$5</f>
        <v>178.3725</v>
      </c>
      <c r="I168" s="300">
        <f>(145.8*KFC!$B$23*1.02*1.25+KFC!$C$23)*KFC!$C$5</f>
        <v>185.89500000000001</v>
      </c>
      <c r="J168" s="300">
        <f>(151.7*KFC!$B$23*1.02*1.25+KFC!$C$23)*KFC!$C$5</f>
        <v>193.41749999999996</v>
      </c>
      <c r="K168" s="300">
        <f>(157.6*KFC!$B$23*1.02*1.25+KFC!$C$23)*KFC!$C$5</f>
        <v>200.94</v>
      </c>
      <c r="L168" s="300">
        <f>(163.5*KFC!$B$23*1.02*1.25+KFC!$C$23)*KFC!$C$5</f>
        <v>208.46250000000001</v>
      </c>
      <c r="M168" s="300">
        <f>(169.4*KFC!$B$23*1.02*1.25+KFC!$C$23)*KFC!$C$5</f>
        <v>215.98500000000001</v>
      </c>
      <c r="N168" s="300">
        <f>(175.2*KFC!$B$23*1.02*1.25+KFC!$C$23)*KFC!$C$5</f>
        <v>223.37999999999997</v>
      </c>
      <c r="O168" s="300">
        <f>(181.1*KFC!$B$23*1.02*1.25+KFC!$C$23)*KFC!$C$5</f>
        <v>230.9025</v>
      </c>
      <c r="P168" s="300">
        <f>(187*KFC!$B$23*1.02*1.25+KFC!$C$23)*KFC!$C$5</f>
        <v>238.42500000000001</v>
      </c>
      <c r="Q168" s="300">
        <f>(192.9*KFC!$B$23*1.02*1.25+KFC!$C$23)*KFC!$C$5</f>
        <v>245.94750000000002</v>
      </c>
      <c r="R168" s="300">
        <f>(198.8*KFC!$B$23*1.02*1.25+KFC!$C$23)*KFC!$C$5</f>
        <v>253.47000000000003</v>
      </c>
      <c r="S168" s="300">
        <f>(204.7*KFC!$B$23*1.02*1.25+KFC!$C$23)*KFC!$C$5</f>
        <v>260.99249999999995</v>
      </c>
      <c r="T168" s="300">
        <f>(210.6*KFC!$B$23*1.02*1.25+KFC!$C$23)*KFC!$C$5</f>
        <v>268.51499999999999</v>
      </c>
      <c r="U168" s="300">
        <f>(216.5*KFC!$B$23*1.02*1.25+KFC!$C$23)*KFC!$C$5</f>
        <v>276.03750000000002</v>
      </c>
      <c r="V168" s="300">
        <f>(222.4*KFC!$B$23*1.02*1.25+KFC!$C$23)*KFC!$C$5</f>
        <v>283.56</v>
      </c>
      <c r="W168" s="300">
        <f>(228.3*KFC!$B$23*1.02*1.25+KFC!$C$23)*KFC!$C$5</f>
        <v>291.08250000000004</v>
      </c>
      <c r="X168" s="300">
        <f>(234.2*KFC!$B$23*1.02*1.25+KFC!$C$23)*KFC!$C$5</f>
        <v>298.60499999999996</v>
      </c>
      <c r="Y168" s="300">
        <f>(240.1*KFC!$B$23*1.02*1.25+KFC!$C$23)*KFC!$C$5</f>
        <v>306.1275</v>
      </c>
      <c r="Z168" s="300">
        <f>(246*KFC!$B$23*1.02*1.25+KFC!$C$23)*KFC!$C$5</f>
        <v>313.65000000000003</v>
      </c>
      <c r="AA168" s="300">
        <f>(251.9*KFC!$B$23*1.02*1.25+KFC!$C$23)*KFC!$C$5</f>
        <v>321.17250000000001</v>
      </c>
      <c r="AB168" s="300">
        <f>(257.8*KFC!$B$23*1.02*1.25+KFC!$C$23)*KFC!$C$5</f>
        <v>328.69500000000005</v>
      </c>
      <c r="AC168" s="300">
        <f>(263.7*KFC!$B$23*1.02*1.25+KFC!$C$23)*KFC!$C$5</f>
        <v>336.21749999999997</v>
      </c>
      <c r="AD168" s="300">
        <f>(269.6*KFC!$B$23*1.02*1.25+KFC!$C$23)*KFC!$C$5</f>
        <v>343.74</v>
      </c>
      <c r="AE168" s="300">
        <f>(275.5*KFC!$B$23*1.02*1.25+KFC!$C$23)*KFC!$C$5</f>
        <v>351.26249999999999</v>
      </c>
      <c r="AF168" s="300">
        <f>(281.4*KFC!$B$23*1.02*1.25+KFC!$C$23)*KFC!$C$5</f>
        <v>358.78499999999997</v>
      </c>
      <c r="AG168" s="300">
        <f>(287.3*KFC!$B$23*1.02*1.25+KFC!$C$23)*KFC!$C$5</f>
        <v>366.3075</v>
      </c>
      <c r="AH168" s="304">
        <f>(293.2*KFC!$B$23*1.02*1.25+KFC!$C$23)*KFC!$C$5</f>
        <v>373.83000000000004</v>
      </c>
    </row>
    <row r="169" spans="1:34">
      <c r="A169" s="1781"/>
      <c r="B169" s="392">
        <v>4.4000000000000004</v>
      </c>
      <c r="C169" s="303">
        <f>(111.2*KFC!$B$23*1.02*1.25+KFC!$C$23)*KFC!$C$5</f>
        <v>141.78</v>
      </c>
      <c r="D169" s="300">
        <f>(117.2*KFC!$B$23*1.02*1.25+KFC!$C$23)*KFC!$C$5</f>
        <v>149.43</v>
      </c>
      <c r="E169" s="300">
        <f>(123.2*KFC!$B$23*1.02*1.25+KFC!$C$23)*KFC!$C$5</f>
        <v>157.08000000000001</v>
      </c>
      <c r="F169" s="300">
        <f>(129.3*KFC!$B$23*1.02*1.25+KFC!$C$23)*KFC!$C$5</f>
        <v>164.85750000000002</v>
      </c>
      <c r="G169" s="300">
        <f>(135.3*KFC!$B$23*1.02*1.25+KFC!$C$23)*KFC!$C$5</f>
        <v>172.50749999999999</v>
      </c>
      <c r="H169" s="300">
        <f>(141.3*KFC!$B$23*1.02*1.25+KFC!$C$23)*KFC!$C$5</f>
        <v>180.1575</v>
      </c>
      <c r="I169" s="300">
        <f>(147.3*KFC!$B$23*1.02*1.25+KFC!$C$23)*KFC!$C$5</f>
        <v>187.8075</v>
      </c>
      <c r="J169" s="300">
        <f>(153.3*KFC!$B$23*1.02*1.25+KFC!$C$23)*KFC!$C$5</f>
        <v>195.45750000000001</v>
      </c>
      <c r="K169" s="300">
        <f>(159.3*KFC!$B$23*1.02*1.25+KFC!$C$23)*KFC!$C$5</f>
        <v>203.10750000000002</v>
      </c>
      <c r="L169" s="300">
        <f>(165.3*KFC!$B$23*1.02*1.25+KFC!$C$23)*KFC!$C$5</f>
        <v>210.75750000000002</v>
      </c>
      <c r="M169" s="300">
        <f>(171.3*KFC!$B$23*1.02*1.25+KFC!$C$23)*KFC!$C$5</f>
        <v>218.40750000000003</v>
      </c>
      <c r="N169" s="300">
        <f>(177.3*KFC!$B$23*1.02*1.25+KFC!$C$23)*KFC!$C$5</f>
        <v>226.0575</v>
      </c>
      <c r="O169" s="300">
        <f>(183.3*KFC!$B$23*1.02*1.25+KFC!$C$23)*KFC!$C$5</f>
        <v>233.70750000000001</v>
      </c>
      <c r="P169" s="300">
        <f>(189.4*KFC!$B$23*1.02*1.25+KFC!$C$23)*KFC!$C$5</f>
        <v>241.48500000000001</v>
      </c>
      <c r="Q169" s="300">
        <f>(195.4*KFC!$B$23*1.02*1.25+KFC!$C$23)*KFC!$C$5</f>
        <v>249.13500000000002</v>
      </c>
      <c r="R169" s="300">
        <f>(201.4*KFC!$B$23*1.02*1.25+KFC!$C$23)*KFC!$C$5</f>
        <v>256.78499999999997</v>
      </c>
      <c r="S169" s="300">
        <f>(207.4*KFC!$B$23*1.02*1.25+KFC!$C$23)*KFC!$C$5</f>
        <v>264.435</v>
      </c>
      <c r="T169" s="300">
        <f>(213.4*KFC!$B$23*1.02*1.25+KFC!$C$23)*KFC!$C$5</f>
        <v>272.08500000000004</v>
      </c>
      <c r="U169" s="300">
        <f>(219.4*KFC!$B$23*1.02*1.25+KFC!$C$23)*KFC!$C$5</f>
        <v>279.73500000000001</v>
      </c>
      <c r="V169" s="300">
        <f>(225.4*KFC!$B$23*1.02*1.25+KFC!$C$23)*KFC!$C$5</f>
        <v>287.38499999999999</v>
      </c>
      <c r="W169" s="300">
        <f>(231.4*KFC!$B$23*1.02*1.25+KFC!$C$23)*KFC!$C$5</f>
        <v>295.03500000000003</v>
      </c>
      <c r="X169" s="300">
        <f>(237.4*KFC!$B$23*1.02*1.25+KFC!$C$23)*KFC!$C$5</f>
        <v>302.685</v>
      </c>
      <c r="Y169" s="300">
        <f>(243.4*KFC!$B$23*1.02*1.25+KFC!$C$23)*KFC!$C$5</f>
        <v>310.33499999999998</v>
      </c>
      <c r="Z169" s="300">
        <f>(249.4*KFC!$B$23*1.02*1.25+KFC!$C$23)*KFC!$C$5</f>
        <v>317.98500000000001</v>
      </c>
      <c r="AA169" s="300">
        <f>(255.5*KFC!$B$23*1.02*1.25+KFC!$C$23)*KFC!$C$5</f>
        <v>325.76250000000005</v>
      </c>
      <c r="AB169" s="300">
        <f>(261.5*KFC!$B$23*1.02*1.25+KFC!$C$23)*KFC!$C$5</f>
        <v>333.41250000000002</v>
      </c>
      <c r="AC169" s="300">
        <f>(267.5*KFC!$B$23*1.02*1.25+KFC!$C$23)*KFC!$C$5</f>
        <v>341.0625</v>
      </c>
      <c r="AD169" s="300">
        <f>(273.5*KFC!$B$23*1.02*1.25+KFC!$C$23)*KFC!$C$5</f>
        <v>348.71250000000003</v>
      </c>
      <c r="AE169" s="300">
        <f>(279.5*KFC!$B$23*1.02*1.25+KFC!$C$23)*KFC!$C$5</f>
        <v>356.36250000000007</v>
      </c>
      <c r="AF169" s="300">
        <f>(285.5*KFC!$B$23*1.02*1.25+KFC!$C$23)*KFC!$C$5</f>
        <v>364.01249999999999</v>
      </c>
      <c r="AG169" s="300">
        <f>(291.5*KFC!$B$23*1.02*1.25+KFC!$C$23)*KFC!$C$5</f>
        <v>371.66249999999997</v>
      </c>
      <c r="AH169" s="304">
        <f>(297.5*KFC!$B$23*1.02*1.25+KFC!$C$23)*KFC!$C$5</f>
        <v>379.3125</v>
      </c>
    </row>
    <row r="170" spans="1:34">
      <c r="A170" s="1781"/>
      <c r="B170" s="392">
        <v>4.5</v>
      </c>
      <c r="C170" s="303">
        <f>(112.1*KFC!$B$23*1.02*1.25+KFC!$C$23)*KFC!$C$5</f>
        <v>142.92750000000001</v>
      </c>
      <c r="D170" s="300">
        <f>(118.2*KFC!$B$23*1.02*1.25+KFC!$C$23)*KFC!$C$5</f>
        <v>150.70500000000001</v>
      </c>
      <c r="E170" s="300">
        <f>(124.3*KFC!$B$23*1.02*1.25+KFC!$C$23)*KFC!$C$5</f>
        <v>158.48250000000002</v>
      </c>
      <c r="F170" s="300">
        <f>(130.4*KFC!$B$23*1.02*1.25+KFC!$C$23)*KFC!$C$5</f>
        <v>166.26000000000002</v>
      </c>
      <c r="G170" s="300">
        <f>(136.6*KFC!$B$23*1.02*1.25+KFC!$C$23)*KFC!$C$5</f>
        <v>174.16499999999999</v>
      </c>
      <c r="H170" s="300">
        <f>(142.7*KFC!$B$23*1.02*1.25+KFC!$C$23)*KFC!$C$5</f>
        <v>181.9425</v>
      </c>
      <c r="I170" s="300">
        <f>(148.8*KFC!$B$23*1.02*1.25+KFC!$C$23)*KFC!$C$5</f>
        <v>189.72000000000003</v>
      </c>
      <c r="J170" s="300">
        <f>(154.9*KFC!$B$23*1.02*1.25+KFC!$C$23)*KFC!$C$5</f>
        <v>197.49750000000003</v>
      </c>
      <c r="K170" s="300">
        <f>(161*KFC!$B$23*1.02*1.25+KFC!$C$23)*KFC!$C$5</f>
        <v>205.27500000000001</v>
      </c>
      <c r="L170" s="300">
        <f>(167.2*KFC!$B$23*1.02*1.25+KFC!$C$23)*KFC!$C$5</f>
        <v>213.17999999999998</v>
      </c>
      <c r="M170" s="300">
        <f>(173.3*KFC!$B$23*1.02*1.25+KFC!$C$23)*KFC!$C$5</f>
        <v>220.95750000000004</v>
      </c>
      <c r="N170" s="300">
        <f>(179.4*KFC!$B$23*1.02*1.25+KFC!$C$23)*KFC!$C$5</f>
        <v>228.73500000000001</v>
      </c>
      <c r="O170" s="300">
        <f>(185.5*KFC!$B$23*1.02*1.25+KFC!$C$23)*KFC!$C$5</f>
        <v>236.51250000000002</v>
      </c>
      <c r="P170" s="300">
        <f>(191.7*KFC!$B$23*1.02*1.25+KFC!$C$23)*KFC!$C$5</f>
        <v>244.41749999999999</v>
      </c>
      <c r="Q170" s="300">
        <f>(197.8*KFC!$B$23*1.02*1.25+KFC!$C$23)*KFC!$C$5</f>
        <v>252.19500000000005</v>
      </c>
      <c r="R170" s="300">
        <f>(203.9*KFC!$B$23*1.02*1.25+KFC!$C$23)*KFC!$C$5</f>
        <v>259.97250000000003</v>
      </c>
      <c r="S170" s="300">
        <f>(210*KFC!$B$23*1.02*1.25+KFC!$C$23)*KFC!$C$5</f>
        <v>267.75</v>
      </c>
      <c r="T170" s="300">
        <f>(216.1*KFC!$B$23*1.02*1.25+KFC!$C$23)*KFC!$C$5</f>
        <v>275.52749999999997</v>
      </c>
      <c r="U170" s="300">
        <f>(222.3*KFC!$B$23*1.02*1.25+KFC!$C$23)*KFC!$C$5</f>
        <v>283.4325</v>
      </c>
      <c r="V170" s="300">
        <f>(228.4*KFC!$B$23*1.02*1.25+KFC!$C$23)*KFC!$C$5</f>
        <v>291.21000000000004</v>
      </c>
      <c r="W170" s="300">
        <f>(234.5*KFC!$B$23*1.02*1.25+KFC!$C$23)*KFC!$C$5</f>
        <v>298.98750000000001</v>
      </c>
      <c r="X170" s="300">
        <f>(240.6*KFC!$B$23*1.02*1.25+KFC!$C$23)*KFC!$C$5</f>
        <v>306.76499999999999</v>
      </c>
      <c r="Y170" s="300">
        <f>(246.8*KFC!$B$23*1.02*1.25+KFC!$C$23)*KFC!$C$5</f>
        <v>314.67</v>
      </c>
      <c r="Z170" s="300">
        <f>(252.9*KFC!$B$23*1.02*1.25+KFC!$C$23)*KFC!$C$5</f>
        <v>322.44750000000005</v>
      </c>
      <c r="AA170" s="300">
        <f>(259*KFC!$B$23*1.02*1.25+KFC!$C$23)*KFC!$C$5</f>
        <v>330.22500000000002</v>
      </c>
      <c r="AB170" s="300">
        <f>(265.1*KFC!$B$23*1.02*1.25+KFC!$C$23)*KFC!$C$5</f>
        <v>338.00250000000005</v>
      </c>
      <c r="AC170" s="300">
        <f>(271.2*KFC!$B$23*1.02*1.25+KFC!$C$23)*KFC!$C$5</f>
        <v>345.78</v>
      </c>
      <c r="AD170" s="300">
        <f>(277.4*KFC!$B$23*1.02*1.25+KFC!$C$23)*KFC!$C$5</f>
        <v>353.68499999999995</v>
      </c>
      <c r="AE170" s="300">
        <f>(283.5*KFC!$B$23*1.02*1.25+KFC!$C$23)*KFC!$C$5</f>
        <v>361.46250000000003</v>
      </c>
      <c r="AF170" s="300">
        <f>(289.6*KFC!$B$23*1.02*1.25+KFC!$C$23)*KFC!$C$5</f>
        <v>369.24000000000007</v>
      </c>
      <c r="AG170" s="300">
        <f>(295.7*KFC!$B$23*1.02*1.25+KFC!$C$23)*KFC!$C$5</f>
        <v>377.01749999999998</v>
      </c>
      <c r="AH170" s="304">
        <f>(301.9*KFC!$B$23*1.02*1.25+KFC!$C$23)*KFC!$C$5</f>
        <v>384.92250000000001</v>
      </c>
    </row>
    <row r="171" spans="1:34">
      <c r="A171" s="1781"/>
      <c r="B171" s="392">
        <v>4.5999999999999996</v>
      </c>
      <c r="C171" s="303">
        <f>(112.9*KFC!$B$23*1.02*1.25+KFC!$C$23)*KFC!$C$5</f>
        <v>143.94749999999999</v>
      </c>
      <c r="D171" s="300">
        <f>(119.2*KFC!$B$23*1.02*1.25+KFC!$C$23)*KFC!$C$5</f>
        <v>151.98000000000002</v>
      </c>
      <c r="E171" s="300">
        <f>(125.4*KFC!$B$23*1.02*1.25+KFC!$C$23)*KFC!$C$5</f>
        <v>159.88499999999999</v>
      </c>
      <c r="F171" s="300">
        <f>(131.6*KFC!$B$23*1.02*1.25+KFC!$C$23)*KFC!$C$5</f>
        <v>167.79</v>
      </c>
      <c r="G171" s="300">
        <f>(137.9*KFC!$B$23*1.02*1.25+KFC!$C$23)*KFC!$C$5</f>
        <v>175.82250000000002</v>
      </c>
      <c r="H171" s="300">
        <f>(144.1*KFC!$B$23*1.02*1.25+KFC!$C$23)*KFC!$C$5</f>
        <v>183.72749999999999</v>
      </c>
      <c r="I171" s="300">
        <f>(150.3*KFC!$B$23*1.02*1.25+KFC!$C$23)*KFC!$C$5</f>
        <v>191.63250000000002</v>
      </c>
      <c r="J171" s="300">
        <f>(156.6*KFC!$B$23*1.02*1.25+KFC!$C$23)*KFC!$C$5</f>
        <v>199.66499999999999</v>
      </c>
      <c r="K171" s="300">
        <f>(162.8*KFC!$B$23*1.02*1.25+KFC!$C$23)*KFC!$C$5</f>
        <v>207.57000000000002</v>
      </c>
      <c r="L171" s="300">
        <f>(169*KFC!$B$23*1.02*1.25+KFC!$C$23)*KFC!$C$5</f>
        <v>215.47499999999999</v>
      </c>
      <c r="M171" s="300">
        <f>(175.3*KFC!$B$23*1.02*1.25+KFC!$C$23)*KFC!$C$5</f>
        <v>223.50750000000002</v>
      </c>
      <c r="N171" s="300">
        <f>(181.5*KFC!$B$23*1.02*1.25+KFC!$C$23)*KFC!$C$5</f>
        <v>231.41249999999999</v>
      </c>
      <c r="O171" s="300">
        <f>(187.7*KFC!$B$23*1.02*1.25+KFC!$C$23)*KFC!$C$5</f>
        <v>239.31749999999997</v>
      </c>
      <c r="P171" s="300">
        <f>(194*KFC!$B$23*1.02*1.25+KFC!$C$23)*KFC!$C$5</f>
        <v>247.35</v>
      </c>
      <c r="Q171" s="300">
        <f>(200.2*KFC!$B$23*1.02*1.25+KFC!$C$23)*KFC!$C$5</f>
        <v>255.25499999999997</v>
      </c>
      <c r="R171" s="300">
        <f>(206.4*KFC!$B$23*1.02*1.25+KFC!$C$23)*KFC!$C$5</f>
        <v>263.16000000000003</v>
      </c>
      <c r="S171" s="300">
        <f>(212.7*KFC!$B$23*1.02*1.25+KFC!$C$23)*KFC!$C$5</f>
        <v>271.1925</v>
      </c>
      <c r="T171" s="300">
        <f>(218.9*KFC!$B$23*1.02*1.25+KFC!$C$23)*KFC!$C$5</f>
        <v>279.09750000000003</v>
      </c>
      <c r="U171" s="300">
        <f>(225.1*KFC!$B$23*1.02*1.25+KFC!$C$23)*KFC!$C$5</f>
        <v>287.0025</v>
      </c>
      <c r="V171" s="300">
        <f>(231.4*KFC!$B$23*1.02*1.25+KFC!$C$23)*KFC!$C$5</f>
        <v>295.03500000000003</v>
      </c>
      <c r="W171" s="300">
        <f>(237.6*KFC!$B$23*1.02*1.25+KFC!$C$23)*KFC!$C$5</f>
        <v>302.94</v>
      </c>
      <c r="X171" s="300">
        <f>(243.8*KFC!$B$23*1.02*1.25+KFC!$C$23)*KFC!$C$5</f>
        <v>310.84500000000003</v>
      </c>
      <c r="Y171" s="300">
        <f>(250.1*KFC!$B$23*1.02*1.25+KFC!$C$23)*KFC!$C$5</f>
        <v>318.8775</v>
      </c>
      <c r="Z171" s="300">
        <f>(256.3*KFC!$B$23*1.02*1.25+KFC!$C$23)*KFC!$C$5</f>
        <v>326.78250000000003</v>
      </c>
      <c r="AA171" s="300">
        <f>(262.6*KFC!$B$23*1.02*1.25+KFC!$C$23)*KFC!$C$5</f>
        <v>334.81500000000005</v>
      </c>
      <c r="AB171" s="300">
        <f>(268.8*KFC!$B$23*1.02*1.25+KFC!$C$23)*KFC!$C$5</f>
        <v>342.72</v>
      </c>
      <c r="AC171" s="300">
        <f>(275*KFC!$B$23*1.02*1.25+KFC!$C$23)*KFC!$C$5</f>
        <v>350.625</v>
      </c>
      <c r="AD171" s="300">
        <f>(281.3*KFC!$B$23*1.02*1.25+KFC!$C$23)*KFC!$C$5</f>
        <v>358.65750000000003</v>
      </c>
      <c r="AE171" s="300">
        <f>(287.5*KFC!$B$23*1.02*1.25+KFC!$C$23)*KFC!$C$5</f>
        <v>366.5625</v>
      </c>
      <c r="AF171" s="300">
        <f>(293.7*KFC!$B$23*1.02*1.25+KFC!$C$23)*KFC!$C$5</f>
        <v>374.46750000000003</v>
      </c>
      <c r="AG171" s="300">
        <f>(300*KFC!$B$23*1.02*1.25+KFC!$C$23)*KFC!$C$5</f>
        <v>382.5</v>
      </c>
      <c r="AH171" s="304">
        <f>(306.2*KFC!$B$23*1.02*1.25+KFC!$C$23)*KFC!$C$5</f>
        <v>390.40500000000003</v>
      </c>
    </row>
    <row r="172" spans="1:34">
      <c r="A172" s="1781"/>
      <c r="B172" s="392">
        <v>4.7</v>
      </c>
      <c r="C172" s="303">
        <f>(113.8*KFC!$B$23*1.02*1.25+KFC!$C$23)*KFC!$C$5</f>
        <v>145.095</v>
      </c>
      <c r="D172" s="300">
        <f>(120.1*KFC!$B$23*1.02*1.25+KFC!$C$23)*KFC!$C$5</f>
        <v>153.1275</v>
      </c>
      <c r="E172" s="300">
        <f>(126.5*KFC!$B$23*1.02*1.25+KFC!$C$23)*KFC!$C$5</f>
        <v>161.28749999999999</v>
      </c>
      <c r="F172" s="300">
        <f>(132.8*KFC!$B$23*1.02*1.25+KFC!$C$23)*KFC!$C$5</f>
        <v>169.32000000000002</v>
      </c>
      <c r="G172" s="300">
        <f>(139.2*KFC!$B$23*1.02*1.25+KFC!$C$23)*KFC!$C$5</f>
        <v>177.47999999999996</v>
      </c>
      <c r="H172" s="300">
        <f>(145.5*KFC!$B$23*1.02*1.25+KFC!$C$23)*KFC!$C$5</f>
        <v>185.51249999999999</v>
      </c>
      <c r="I172" s="300">
        <f>(151.8*KFC!$B$23*1.02*1.25+KFC!$C$23)*KFC!$C$5</f>
        <v>193.54500000000002</v>
      </c>
      <c r="J172" s="300">
        <f>(158.2*KFC!$B$23*1.02*1.25+KFC!$C$23)*KFC!$C$5</f>
        <v>201.70500000000001</v>
      </c>
      <c r="K172" s="300">
        <f>(164.5*KFC!$B$23*1.02*1.25+KFC!$C$23)*KFC!$C$5</f>
        <v>209.73749999999998</v>
      </c>
      <c r="L172" s="300">
        <f>(170.9*KFC!$B$23*1.02*1.25+KFC!$C$23)*KFC!$C$5</f>
        <v>217.89750000000001</v>
      </c>
      <c r="M172" s="300">
        <f>(177.2*KFC!$B$23*1.02*1.25+KFC!$C$23)*KFC!$C$5</f>
        <v>225.93</v>
      </c>
      <c r="N172" s="300">
        <f>(183.6*KFC!$B$23*1.02*1.25+KFC!$C$23)*KFC!$C$5</f>
        <v>234.08999999999997</v>
      </c>
      <c r="O172" s="300">
        <f>(189.9*KFC!$B$23*1.02*1.25+KFC!$C$23)*KFC!$C$5</f>
        <v>242.1225</v>
      </c>
      <c r="P172" s="300">
        <f>(196.3*KFC!$B$23*1.02*1.25+KFC!$C$23)*KFC!$C$5</f>
        <v>250.28250000000003</v>
      </c>
      <c r="Q172" s="300">
        <f>(202.6*KFC!$B$23*1.02*1.25+KFC!$C$23)*KFC!$C$5</f>
        <v>258.315</v>
      </c>
      <c r="R172" s="300">
        <f>(209*KFC!$B$23*1.02*1.25+KFC!$C$23)*KFC!$C$5</f>
        <v>266.47500000000002</v>
      </c>
      <c r="S172" s="300">
        <f>(215.3*KFC!$B$23*1.02*1.25+KFC!$C$23)*KFC!$C$5</f>
        <v>274.50750000000005</v>
      </c>
      <c r="T172" s="300">
        <f>(221.7*KFC!$B$23*1.02*1.25+KFC!$C$23)*KFC!$C$5</f>
        <v>282.66749999999996</v>
      </c>
      <c r="U172" s="300">
        <f>(228*KFC!$B$23*1.02*1.25+KFC!$C$23)*KFC!$C$5</f>
        <v>290.7</v>
      </c>
      <c r="V172" s="300">
        <f>(234.4*KFC!$B$23*1.02*1.25+KFC!$C$23)*KFC!$C$5</f>
        <v>298.86</v>
      </c>
      <c r="W172" s="300">
        <f>(240.7*KFC!$B$23*1.02*1.25+KFC!$C$23)*KFC!$C$5</f>
        <v>306.89249999999998</v>
      </c>
      <c r="X172" s="300">
        <f>(247.1*KFC!$B$23*1.02*1.25+KFC!$C$23)*KFC!$C$5</f>
        <v>315.05250000000001</v>
      </c>
      <c r="Y172" s="300">
        <f>(253.4*KFC!$B$23*1.02*1.25+KFC!$C$23)*KFC!$C$5</f>
        <v>323.08500000000004</v>
      </c>
      <c r="Z172" s="300">
        <f>(259.8*KFC!$B$23*1.02*1.25+KFC!$C$23)*KFC!$C$5</f>
        <v>331.24500000000006</v>
      </c>
      <c r="AA172" s="300">
        <f>(266.1*KFC!$B$23*1.02*1.25+KFC!$C$23)*KFC!$C$5</f>
        <v>339.27750000000003</v>
      </c>
      <c r="AB172" s="300">
        <f>(272.4*KFC!$B$23*1.02*1.25+KFC!$C$23)*KFC!$C$5</f>
        <v>347.30999999999995</v>
      </c>
      <c r="AC172" s="300">
        <f>(278.8*KFC!$B$23*1.02*1.25+KFC!$C$23)*KFC!$C$5</f>
        <v>355.47</v>
      </c>
      <c r="AD172" s="300">
        <f>(285.1*KFC!$B$23*1.02*1.25+KFC!$C$23)*KFC!$C$5</f>
        <v>363.50250000000005</v>
      </c>
      <c r="AE172" s="300">
        <f>(291.5*KFC!$B$23*1.02*1.25+KFC!$C$23)*KFC!$C$5</f>
        <v>371.66249999999997</v>
      </c>
      <c r="AF172" s="300">
        <f>(297.8*KFC!$B$23*1.02*1.25+KFC!$C$23)*KFC!$C$5</f>
        <v>379.69500000000005</v>
      </c>
      <c r="AG172" s="300">
        <f>(304.2*KFC!$B$23*1.02*1.25+KFC!$C$23)*KFC!$C$5</f>
        <v>387.85500000000002</v>
      </c>
      <c r="AH172" s="304">
        <f>(310.5*KFC!$B$23*1.02*1.25+KFC!$C$23)*KFC!$C$5</f>
        <v>395.88749999999999</v>
      </c>
    </row>
    <row r="173" spans="1:34">
      <c r="A173" s="1781"/>
      <c r="B173" s="392">
        <v>4.8</v>
      </c>
      <c r="C173" s="303">
        <f>(114.6*KFC!$B$23*1.02*1.25+KFC!$C$23)*KFC!$C$5</f>
        <v>146.11500000000001</v>
      </c>
      <c r="D173" s="300">
        <f>(121.1*KFC!$B$23*1.02*1.25+KFC!$C$23)*KFC!$C$5</f>
        <v>154.40249999999997</v>
      </c>
      <c r="E173" s="300">
        <f>(127.5*KFC!$B$23*1.02*1.25+KFC!$C$23)*KFC!$C$5</f>
        <v>162.5625</v>
      </c>
      <c r="F173" s="300">
        <f>(134*KFC!$B$23*1.02*1.25+KFC!$C$23)*KFC!$C$5</f>
        <v>170.85000000000002</v>
      </c>
      <c r="G173" s="300">
        <f>(140.4*KFC!$B$23*1.02*1.25+KFC!$C$23)*KFC!$C$5</f>
        <v>179.01</v>
      </c>
      <c r="H173" s="300">
        <f>(146.9*KFC!$B$23*1.02*1.25+KFC!$C$23)*KFC!$C$5</f>
        <v>187.29750000000001</v>
      </c>
      <c r="I173" s="300">
        <f>(153.4*KFC!$B$23*1.02*1.25+KFC!$C$23)*KFC!$C$5</f>
        <v>195.58500000000004</v>
      </c>
      <c r="J173" s="300">
        <f>(159.8*KFC!$B$23*1.02*1.25+KFC!$C$23)*KFC!$C$5</f>
        <v>203.745</v>
      </c>
      <c r="K173" s="300">
        <f>(166.3*KFC!$B$23*1.02*1.25+KFC!$C$23)*KFC!$C$5</f>
        <v>212.0325</v>
      </c>
      <c r="L173" s="300">
        <f>(172.7*KFC!$B$23*1.02*1.25+KFC!$C$23)*KFC!$C$5</f>
        <v>220.1925</v>
      </c>
      <c r="M173" s="300">
        <f>(179.2*KFC!$B$23*1.02*1.25+KFC!$C$23)*KFC!$C$5</f>
        <v>228.48</v>
      </c>
      <c r="N173" s="300">
        <f>(185.7*KFC!$B$23*1.02*1.25+KFC!$C$23)*KFC!$C$5</f>
        <v>236.76749999999998</v>
      </c>
      <c r="O173" s="300">
        <f>(192.1*KFC!$B$23*1.02*1.25+KFC!$C$23)*KFC!$C$5</f>
        <v>244.92750000000001</v>
      </c>
      <c r="P173" s="300">
        <f>(198.6*KFC!$B$23*1.02*1.25+KFC!$C$23)*KFC!$C$5</f>
        <v>253.215</v>
      </c>
      <c r="Q173" s="300">
        <f>(205*KFC!$B$23*1.02*1.25+KFC!$C$23)*KFC!$C$5</f>
        <v>261.375</v>
      </c>
      <c r="R173" s="300">
        <f>(211.5*KFC!$B$23*1.02*1.25+KFC!$C$23)*KFC!$C$5</f>
        <v>269.66249999999997</v>
      </c>
      <c r="S173" s="300">
        <f>(218*KFC!$B$23*1.02*1.25+KFC!$C$23)*KFC!$C$5</f>
        <v>277.95000000000005</v>
      </c>
      <c r="T173" s="300">
        <f>(224.4*KFC!$B$23*1.02*1.25+KFC!$C$23)*KFC!$C$5</f>
        <v>286.11</v>
      </c>
      <c r="U173" s="300">
        <f>(230.9*KFC!$B$23*1.02*1.25+KFC!$C$23)*KFC!$C$5</f>
        <v>294.39749999999998</v>
      </c>
      <c r="V173" s="300">
        <f>(237.3*KFC!$B$23*1.02*1.25+KFC!$C$23)*KFC!$C$5</f>
        <v>302.5575</v>
      </c>
      <c r="W173" s="300">
        <f>(243.8*KFC!$B$23*1.02*1.25+KFC!$C$23)*KFC!$C$5</f>
        <v>310.84500000000003</v>
      </c>
      <c r="X173" s="300">
        <f>(250.3*KFC!$B$23*1.02*1.25+KFC!$C$23)*KFC!$C$5</f>
        <v>319.13249999999999</v>
      </c>
      <c r="Y173" s="300">
        <f>(256.7*KFC!$B$23*1.02*1.25+KFC!$C$23)*KFC!$C$5</f>
        <v>327.29250000000002</v>
      </c>
      <c r="Z173" s="300">
        <f>(263.2*KFC!$B$23*1.02*1.25+KFC!$C$23)*KFC!$C$5</f>
        <v>335.58</v>
      </c>
      <c r="AA173" s="300">
        <f>(269.6*KFC!$B$23*1.02*1.25+KFC!$C$23)*KFC!$C$5</f>
        <v>343.74</v>
      </c>
      <c r="AB173" s="300">
        <f>(276.1*KFC!$B$23*1.02*1.25+KFC!$C$23)*KFC!$C$5</f>
        <v>352.02750000000003</v>
      </c>
      <c r="AC173" s="300">
        <f>(282.6*KFC!$B$23*1.02*1.25+KFC!$C$23)*KFC!$C$5</f>
        <v>360.315</v>
      </c>
      <c r="AD173" s="300">
        <f>(289*KFC!$B$23*1.02*1.25+KFC!$C$23)*KFC!$C$5</f>
        <v>368.47500000000002</v>
      </c>
      <c r="AE173" s="300">
        <f>(295.5*KFC!$B$23*1.02*1.25+KFC!$C$23)*KFC!$C$5</f>
        <v>376.76250000000005</v>
      </c>
      <c r="AF173" s="300">
        <f>(301.9*KFC!$B$23*1.02*1.25+KFC!$C$23)*KFC!$C$5</f>
        <v>384.92250000000001</v>
      </c>
      <c r="AG173" s="300">
        <f>(308.4*KFC!$B$23*1.02*1.25+KFC!$C$23)*KFC!$C$5</f>
        <v>393.21</v>
      </c>
      <c r="AH173" s="304">
        <f>(314.9*KFC!$B$23*1.02*1.25+KFC!$C$23)*KFC!$C$5</f>
        <v>401.49749999999995</v>
      </c>
    </row>
    <row r="174" spans="1:34">
      <c r="A174" s="1781"/>
      <c r="B174" s="392">
        <v>4.9000000000000004</v>
      </c>
      <c r="C174" s="303">
        <f>(115.5*KFC!$B$23*1.02*1.25+KFC!$C$23)*KFC!$C$5</f>
        <v>147.26249999999999</v>
      </c>
      <c r="D174" s="300">
        <f>(122*KFC!$B$23*1.02*1.25+KFC!$C$23)*KFC!$C$5</f>
        <v>155.55000000000001</v>
      </c>
      <c r="E174" s="300">
        <f>(128.6*KFC!$B$23*1.02*1.25+KFC!$C$23)*KFC!$C$5</f>
        <v>163.965</v>
      </c>
      <c r="F174" s="300">
        <f>(135.2*KFC!$B$23*1.02*1.25+KFC!$C$23)*KFC!$C$5</f>
        <v>172.38</v>
      </c>
      <c r="G174" s="300">
        <f>(141.7*KFC!$B$23*1.02*1.25+KFC!$C$23)*KFC!$C$5</f>
        <v>180.66749999999999</v>
      </c>
      <c r="H174" s="300">
        <f>(148.3*KFC!$B$23*1.02*1.25+KFC!$C$23)*KFC!$C$5</f>
        <v>189.08250000000004</v>
      </c>
      <c r="I174" s="300">
        <f>(154.9*KFC!$B$23*1.02*1.25+KFC!$C$23)*KFC!$C$5</f>
        <v>197.49750000000003</v>
      </c>
      <c r="J174" s="300">
        <f>(161.5*KFC!$B$23*1.02*1.25+KFC!$C$23)*KFC!$C$5</f>
        <v>205.91249999999999</v>
      </c>
      <c r="K174" s="300">
        <f>(168*KFC!$B$23*1.02*1.25+KFC!$C$23)*KFC!$C$5</f>
        <v>214.20000000000002</v>
      </c>
      <c r="L174" s="300">
        <f>(174.6*KFC!$B$23*1.02*1.25+KFC!$C$23)*KFC!$C$5</f>
        <v>222.61499999999998</v>
      </c>
      <c r="M174" s="300">
        <f>(181.2*KFC!$B$23*1.02*1.25+KFC!$C$23)*KFC!$C$5</f>
        <v>231.02999999999997</v>
      </c>
      <c r="N174" s="300">
        <f>(187.8*KFC!$B$23*1.02*1.25+KFC!$C$23)*KFC!$C$5</f>
        <v>239.44500000000002</v>
      </c>
      <c r="O174" s="300">
        <f>(194.3*KFC!$B$23*1.02*1.25+KFC!$C$23)*KFC!$C$5</f>
        <v>247.73250000000002</v>
      </c>
      <c r="P174" s="300">
        <f>(200.9*KFC!$B$23*1.02*1.25+KFC!$C$23)*KFC!$C$5</f>
        <v>256.14750000000004</v>
      </c>
      <c r="Q174" s="300">
        <f>(207.5*KFC!$B$23*1.02*1.25+KFC!$C$23)*KFC!$C$5</f>
        <v>264.5625</v>
      </c>
      <c r="R174" s="300">
        <f>(214*KFC!$B$23*1.02*1.25+KFC!$C$23)*KFC!$C$5</f>
        <v>272.85000000000002</v>
      </c>
      <c r="S174" s="300">
        <f>(220.6*KFC!$B$23*1.02*1.25+KFC!$C$23)*KFC!$C$5</f>
        <v>281.26499999999999</v>
      </c>
      <c r="T174" s="300">
        <f>(227.2*KFC!$B$23*1.02*1.25+KFC!$C$23)*KFC!$C$5</f>
        <v>289.68</v>
      </c>
      <c r="U174" s="300">
        <f>(233.8*KFC!$B$23*1.02*1.25+KFC!$C$23)*KFC!$C$5</f>
        <v>298.09500000000003</v>
      </c>
      <c r="V174" s="300">
        <f>(240.3*KFC!$B$23*1.02*1.25+KFC!$C$23)*KFC!$C$5</f>
        <v>306.38250000000005</v>
      </c>
      <c r="W174" s="300">
        <f>(246.9*KFC!$B$23*1.02*1.25+KFC!$C$23)*KFC!$C$5</f>
        <v>314.79750000000001</v>
      </c>
      <c r="X174" s="300">
        <f>(253.5*KFC!$B$23*1.02*1.25+KFC!$C$23)*KFC!$C$5</f>
        <v>323.21249999999998</v>
      </c>
      <c r="Y174" s="300">
        <f>(260*KFC!$B$23*1.02*1.25+KFC!$C$23)*KFC!$C$5</f>
        <v>331.5</v>
      </c>
      <c r="Z174" s="300">
        <f>(266.6*KFC!$B$23*1.02*1.25+KFC!$C$23)*KFC!$C$5</f>
        <v>339.91500000000002</v>
      </c>
      <c r="AA174" s="300">
        <f>(273.2*KFC!$B$23*1.02*1.25+KFC!$C$23)*KFC!$C$5</f>
        <v>348.33</v>
      </c>
      <c r="AB174" s="300">
        <f>(279.8*KFC!$B$23*1.02*1.25+KFC!$C$23)*KFC!$C$5</f>
        <v>356.745</v>
      </c>
      <c r="AC174" s="300">
        <f>(286.3*KFC!$B$23*1.02*1.25+KFC!$C$23)*KFC!$C$5</f>
        <v>365.03250000000003</v>
      </c>
      <c r="AD174" s="300">
        <f>(292.9*KFC!$B$23*1.02*1.25+KFC!$C$23)*KFC!$C$5</f>
        <v>373.44749999999999</v>
      </c>
      <c r="AE174" s="300">
        <f>(299.5*KFC!$B$23*1.02*1.25+KFC!$C$23)*KFC!$C$5</f>
        <v>381.86250000000001</v>
      </c>
      <c r="AF174" s="300">
        <f>(306.1*KFC!$B$23*1.02*1.25+KFC!$C$23)*KFC!$C$5</f>
        <v>390.27750000000003</v>
      </c>
      <c r="AG174" s="300">
        <f>(312.6*KFC!$B$23*1.02*1.25+KFC!$C$23)*KFC!$C$5</f>
        <v>398.56500000000005</v>
      </c>
      <c r="AH174" s="304">
        <f>(319.2*KFC!$B$23*1.02*1.25+KFC!$C$23)*KFC!$C$5</f>
        <v>406.98</v>
      </c>
    </row>
    <row r="175" spans="1:34">
      <c r="A175" s="1781"/>
      <c r="B175" s="392">
        <v>5</v>
      </c>
      <c r="C175" s="303">
        <f>(116.3*KFC!$B$23*1.02*1.25+KFC!$C$23)*KFC!$C$5</f>
        <v>148.2825</v>
      </c>
      <c r="D175" s="300">
        <f>(123*KFC!$B$23*1.02*1.25+KFC!$C$23)*KFC!$C$5</f>
        <v>156.82500000000002</v>
      </c>
      <c r="E175" s="300">
        <f>(129.7*KFC!$B$23*1.02*1.25+KFC!$C$23)*KFC!$C$5</f>
        <v>165.36749999999998</v>
      </c>
      <c r="F175" s="300">
        <f>(136.4*KFC!$B$23*1.02*1.25+KFC!$C$23)*KFC!$C$5</f>
        <v>173.91000000000003</v>
      </c>
      <c r="G175" s="300">
        <f>(143*KFC!$B$23*1.02*1.25+KFC!$C$23)*KFC!$C$5</f>
        <v>182.32500000000002</v>
      </c>
      <c r="H175" s="300">
        <f>(149.7*KFC!$B$23*1.02*1.25+KFC!$C$23)*KFC!$C$5</f>
        <v>190.86749999999998</v>
      </c>
      <c r="I175" s="300">
        <f>(156.4*KFC!$B$23*1.02*1.25+KFC!$C$23)*KFC!$C$5</f>
        <v>199.41000000000003</v>
      </c>
      <c r="J175" s="300">
        <f>(163.1*KFC!$B$23*1.02*1.25+KFC!$C$23)*KFC!$C$5</f>
        <v>207.95249999999999</v>
      </c>
      <c r="K175" s="300">
        <f>(169.8*KFC!$B$23*1.02*1.25+KFC!$C$23)*KFC!$C$5</f>
        <v>216.49500000000003</v>
      </c>
      <c r="L175" s="300">
        <f>(176.5*KFC!$B$23*1.02*1.25+KFC!$C$23)*KFC!$C$5</f>
        <v>225.03749999999999</v>
      </c>
      <c r="M175" s="300">
        <f>(183.1*KFC!$B$23*1.02*1.25+KFC!$C$23)*KFC!$C$5</f>
        <v>233.45249999999999</v>
      </c>
      <c r="N175" s="300">
        <f>(189.8*KFC!$B$23*1.02*1.25+KFC!$C$23)*KFC!$C$5</f>
        <v>241.995</v>
      </c>
      <c r="O175" s="300">
        <f>(196.5*KFC!$B$23*1.02*1.25+KFC!$C$23)*KFC!$C$5</f>
        <v>250.53750000000002</v>
      </c>
      <c r="P175" s="300">
        <f>(203.2*KFC!$B$23*1.02*1.25+KFC!$C$23)*KFC!$C$5</f>
        <v>259.08</v>
      </c>
      <c r="Q175" s="300">
        <f>(209.9*KFC!$B$23*1.02*1.25+KFC!$C$23)*KFC!$C$5</f>
        <v>267.6225</v>
      </c>
      <c r="R175" s="300">
        <f>(216.6*KFC!$B$23*1.02*1.25+KFC!$C$23)*KFC!$C$5</f>
        <v>276.16499999999996</v>
      </c>
      <c r="S175" s="300">
        <f>(223.3*KFC!$B$23*1.02*1.25+KFC!$C$23)*KFC!$C$5</f>
        <v>284.70750000000004</v>
      </c>
      <c r="T175" s="300">
        <f>(229.9*KFC!$B$23*1.02*1.25+KFC!$C$23)*KFC!$C$5</f>
        <v>293.1225</v>
      </c>
      <c r="U175" s="300">
        <f>(236.6*KFC!$B$23*1.02*1.25+KFC!$C$23)*KFC!$C$5</f>
        <v>301.66499999999996</v>
      </c>
      <c r="V175" s="300">
        <f>(243.3*KFC!$B$23*1.02*1.25+KFC!$C$23)*KFC!$C$5</f>
        <v>310.20750000000004</v>
      </c>
      <c r="W175" s="300">
        <f>(250*KFC!$B$23*1.02*1.25+KFC!$C$23)*KFC!$C$5</f>
        <v>318.75</v>
      </c>
      <c r="X175" s="300">
        <f>(256.7*KFC!$B$23*1.02*1.25+KFC!$C$23)*KFC!$C$5</f>
        <v>327.29250000000002</v>
      </c>
      <c r="Y175" s="300">
        <f>(263.4*KFC!$B$23*1.02*1.25+KFC!$C$23)*KFC!$C$5</f>
        <v>335.83500000000004</v>
      </c>
      <c r="Z175" s="300">
        <f>(270.1*KFC!$B$23*1.02*1.25+KFC!$C$23)*KFC!$C$5</f>
        <v>344.3775</v>
      </c>
      <c r="AA175" s="300">
        <f>(276.7*KFC!$B$23*1.02*1.25+KFC!$C$23)*KFC!$C$5</f>
        <v>352.79249999999996</v>
      </c>
      <c r="AB175" s="300">
        <f>(283.4*KFC!$B$23*1.02*1.25+KFC!$C$23)*KFC!$C$5</f>
        <v>361.33499999999998</v>
      </c>
      <c r="AC175" s="300">
        <f>(290.1*KFC!$B$23*1.02*1.25+KFC!$C$23)*KFC!$C$5</f>
        <v>369.87750000000005</v>
      </c>
      <c r="AD175" s="300">
        <f>(296.8*KFC!$B$23*1.02*1.25+KFC!$C$23)*KFC!$C$5</f>
        <v>378.41999999999996</v>
      </c>
      <c r="AE175" s="300">
        <f>(303.5*KFC!$B$23*1.02*1.25+KFC!$C$23)*KFC!$C$5</f>
        <v>386.96249999999998</v>
      </c>
      <c r="AF175" s="300">
        <f>(310.2*KFC!$B$23*1.02*1.25+KFC!$C$23)*KFC!$C$5</f>
        <v>395.505</v>
      </c>
      <c r="AG175" s="300">
        <f>(316.9*KFC!$B$23*1.02*1.25+KFC!$C$23)*KFC!$C$5</f>
        <v>404.04750000000001</v>
      </c>
      <c r="AH175" s="304">
        <f>(323.5*KFC!$B$23*1.02*1.25+KFC!$C$23)*KFC!$C$5</f>
        <v>412.46250000000003</v>
      </c>
    </row>
    <row r="176" spans="1:34">
      <c r="A176" s="1781"/>
      <c r="B176" s="392">
        <v>5.0999999999999996</v>
      </c>
      <c r="C176" s="303">
        <f>(117.1*KFC!$B$23*1.02*1.25+KFC!$C$23)*KFC!$C$5</f>
        <v>149.30249999999998</v>
      </c>
      <c r="D176" s="300">
        <f>(123.9*KFC!$B$23*1.02*1.25+KFC!$C$23)*KFC!$C$5</f>
        <v>157.97250000000003</v>
      </c>
      <c r="E176" s="300">
        <f>(130.7*KFC!$B$23*1.02*1.25+KFC!$C$23)*KFC!$C$5</f>
        <v>166.64249999999998</v>
      </c>
      <c r="F176" s="300">
        <f>(137.5*KFC!$B$23*1.02*1.25+KFC!$C$23)*KFC!$C$5</f>
        <v>175.3125</v>
      </c>
      <c r="G176" s="300">
        <f>(144.3*KFC!$B$23*1.02*1.25+KFC!$C$23)*KFC!$C$5</f>
        <v>183.98250000000002</v>
      </c>
      <c r="H176" s="300">
        <f>(151.1*KFC!$B$23*1.02*1.25+KFC!$C$23)*KFC!$C$5</f>
        <v>192.65249999999997</v>
      </c>
      <c r="I176" s="300">
        <f>(157.9*KFC!$B$23*1.02*1.25+KFC!$C$23)*KFC!$C$5</f>
        <v>201.32250000000002</v>
      </c>
      <c r="J176" s="300">
        <f>(164.7*KFC!$B$23*1.02*1.25+KFC!$C$23)*KFC!$C$5</f>
        <v>209.99250000000001</v>
      </c>
      <c r="K176" s="300">
        <f>(171.5*KFC!$B$23*1.02*1.25+KFC!$C$23)*KFC!$C$5</f>
        <v>218.66250000000002</v>
      </c>
      <c r="L176" s="300">
        <f>(178.3*KFC!$B$23*1.02*1.25+KFC!$C$23)*KFC!$C$5</f>
        <v>227.33250000000001</v>
      </c>
      <c r="M176" s="300">
        <f>(185.1*KFC!$B$23*1.02*1.25+KFC!$C$23)*KFC!$C$5</f>
        <v>236.0025</v>
      </c>
      <c r="N176" s="300">
        <f>(191.9*KFC!$B$23*1.02*1.25+KFC!$C$23)*KFC!$C$5</f>
        <v>244.67250000000001</v>
      </c>
      <c r="O176" s="300">
        <f>(198.7*KFC!$B$23*1.02*1.25+KFC!$C$23)*KFC!$C$5</f>
        <v>253.34249999999997</v>
      </c>
      <c r="P176" s="300">
        <f>(205.5*KFC!$B$23*1.02*1.25+KFC!$C$23)*KFC!$C$5</f>
        <v>262.01250000000005</v>
      </c>
      <c r="Q176" s="300">
        <f>(212.3*KFC!$B$23*1.02*1.25+KFC!$C$23)*KFC!$C$5</f>
        <v>270.6825</v>
      </c>
      <c r="R176" s="300">
        <f>(219.1*KFC!$B$23*1.02*1.25+KFC!$C$23)*KFC!$C$5</f>
        <v>279.35250000000002</v>
      </c>
      <c r="S176" s="300">
        <f>(225.9*KFC!$B$23*1.02*1.25+KFC!$C$23)*KFC!$C$5</f>
        <v>288.02250000000004</v>
      </c>
      <c r="T176" s="300">
        <f>(232.7*KFC!$B$23*1.02*1.25+KFC!$C$23)*KFC!$C$5</f>
        <v>296.6925</v>
      </c>
      <c r="U176" s="300">
        <f>(239.5*KFC!$B$23*1.02*1.25+KFC!$C$23)*KFC!$C$5</f>
        <v>305.36250000000001</v>
      </c>
      <c r="V176" s="300">
        <f>(246.3*KFC!$B$23*1.02*1.25+KFC!$C$23)*KFC!$C$5</f>
        <v>314.03250000000003</v>
      </c>
      <c r="W176" s="300">
        <f>(253.1*KFC!$B$23*1.02*1.25+KFC!$C$23)*KFC!$C$5</f>
        <v>322.70249999999999</v>
      </c>
      <c r="X176" s="300">
        <f>(259.9*KFC!$B$23*1.02*1.25+KFC!$C$23)*KFC!$C$5</f>
        <v>331.37249999999995</v>
      </c>
      <c r="Y176" s="300">
        <f>(266.7*KFC!$B$23*1.02*1.25+KFC!$C$23)*KFC!$C$5</f>
        <v>340.04250000000002</v>
      </c>
      <c r="Z176" s="300">
        <f>(273.5*KFC!$B$23*1.02*1.25+KFC!$C$23)*KFC!$C$5</f>
        <v>348.71250000000003</v>
      </c>
      <c r="AA176" s="300">
        <f>(280.3*KFC!$B$23*1.02*1.25+KFC!$C$23)*KFC!$C$5</f>
        <v>357.38249999999999</v>
      </c>
      <c r="AB176" s="300">
        <f>(287.1*KFC!$B$23*1.02*1.25+KFC!$C$23)*KFC!$C$5</f>
        <v>366.05250000000007</v>
      </c>
      <c r="AC176" s="300">
        <f>(293.9*KFC!$B$23*1.02*1.25+KFC!$C$23)*KFC!$C$5</f>
        <v>374.72249999999997</v>
      </c>
      <c r="AD176" s="300">
        <f>(300.7*KFC!$B$23*1.02*1.25+KFC!$C$23)*KFC!$C$5</f>
        <v>383.39249999999998</v>
      </c>
      <c r="AE176" s="300">
        <f>(307.5*KFC!$B$23*1.02*1.25+KFC!$C$23)*KFC!$C$5</f>
        <v>392.0625</v>
      </c>
      <c r="AF176" s="300">
        <f>(312.3*KFC!$B$23*1.02*1.25+KFC!$C$23)*KFC!$C$5</f>
        <v>398.1825</v>
      </c>
      <c r="AG176" s="300">
        <f>(321.1*KFC!$B$23*1.02*1.25+KFC!$C$23)*KFC!$C$5</f>
        <v>409.40250000000003</v>
      </c>
      <c r="AH176" s="304">
        <f>(327.9*KFC!$B$23*1.02*1.25+KFC!$C$23)*KFC!$C$5</f>
        <v>418.07249999999999</v>
      </c>
    </row>
    <row r="177" spans="1:34">
      <c r="A177" s="1781"/>
      <c r="B177" s="392">
        <v>5.2</v>
      </c>
      <c r="C177" s="303">
        <f>(118*KFC!$B$23*1.02*1.25+KFC!$C$23)*KFC!$C$5</f>
        <v>150.44999999999999</v>
      </c>
      <c r="D177" s="300">
        <f>(124.9*KFC!$B$23*1.02*1.25+KFC!$C$23)*KFC!$C$5</f>
        <v>159.2475</v>
      </c>
      <c r="E177" s="300">
        <f>(131.8*KFC!$B$23*1.02*1.25+KFC!$C$23)*KFC!$C$5</f>
        <v>168.04500000000002</v>
      </c>
      <c r="F177" s="300">
        <f>(138.7*KFC!$B$23*1.02*1.25+KFC!$C$23)*KFC!$C$5</f>
        <v>176.84249999999997</v>
      </c>
      <c r="G177" s="300">
        <f>(145.6*KFC!$B$23*1.02*1.25+KFC!$C$23)*KFC!$C$5</f>
        <v>185.64</v>
      </c>
      <c r="H177" s="300">
        <f>(152.5*KFC!$B$23*1.02*1.25+KFC!$C$23)*KFC!$C$5</f>
        <v>194.4375</v>
      </c>
      <c r="I177" s="300">
        <f>(159.4*KFC!$B$23*1.02*1.25+KFC!$C$23)*KFC!$C$5</f>
        <v>203.23500000000001</v>
      </c>
      <c r="J177" s="300">
        <f>(166.4*KFC!$B$23*1.02*1.25+KFC!$C$23)*KFC!$C$5</f>
        <v>212.16000000000003</v>
      </c>
      <c r="K177" s="300">
        <f>(173.3*KFC!$B$23*1.02*1.25+KFC!$C$23)*KFC!$C$5</f>
        <v>220.95750000000004</v>
      </c>
      <c r="L177" s="300">
        <f>(180.2*KFC!$B$23*1.02*1.25+KFC!$C$23)*KFC!$C$5</f>
        <v>229.755</v>
      </c>
      <c r="M177" s="300">
        <f>(187.1*KFC!$B$23*1.02*1.25+KFC!$C$23)*KFC!$C$5</f>
        <v>238.55249999999998</v>
      </c>
      <c r="N177" s="300">
        <f>(194*KFC!$B$23*1.02*1.25+KFC!$C$23)*KFC!$C$5</f>
        <v>247.35</v>
      </c>
      <c r="O177" s="300">
        <f>(200.9*KFC!$B$23*1.02*1.25+KFC!$C$23)*KFC!$C$5</f>
        <v>256.14750000000004</v>
      </c>
      <c r="P177" s="300">
        <f>(207.8*KFC!$B$23*1.02*1.25+KFC!$C$23)*KFC!$C$5</f>
        <v>264.94500000000005</v>
      </c>
      <c r="Q177" s="300">
        <f>(214.7*KFC!$B$23*1.02*1.25+KFC!$C$23)*KFC!$C$5</f>
        <v>273.74250000000001</v>
      </c>
      <c r="R177" s="300">
        <f>(221.6*KFC!$B$23*1.02*1.25+KFC!$C$23)*KFC!$C$5</f>
        <v>282.54000000000002</v>
      </c>
      <c r="S177" s="300">
        <f>(228.6*KFC!$B$23*1.02*1.25+KFC!$C$23)*KFC!$C$5</f>
        <v>291.46499999999997</v>
      </c>
      <c r="T177" s="300">
        <f>(235.5*KFC!$B$23*1.02*1.25+KFC!$C$23)*KFC!$C$5</f>
        <v>300.26249999999999</v>
      </c>
      <c r="U177" s="300">
        <f>(242.4*KFC!$B$23*1.02*1.25+KFC!$C$23)*KFC!$C$5</f>
        <v>309.06</v>
      </c>
      <c r="V177" s="300">
        <f>(249.3*KFC!$B$23*1.02*1.25+KFC!$C$23)*KFC!$C$5</f>
        <v>317.85750000000002</v>
      </c>
      <c r="W177" s="300">
        <f>(256.2*KFC!$B$23*1.02*1.25+KFC!$C$23)*KFC!$C$5</f>
        <v>326.65500000000003</v>
      </c>
      <c r="X177" s="300">
        <f>(263.1*KFC!$B$23*1.02*1.25+KFC!$C$23)*KFC!$C$5</f>
        <v>335.45250000000004</v>
      </c>
      <c r="Y177" s="300">
        <f>(270*KFC!$B$23*1.02*1.25+KFC!$C$23)*KFC!$C$5</f>
        <v>344.25</v>
      </c>
      <c r="Z177" s="300">
        <f>(276.9*KFC!$B$23*1.02*1.25+KFC!$C$23)*KFC!$C$5</f>
        <v>353.04750000000001</v>
      </c>
      <c r="AA177" s="300">
        <f>(283.8*KFC!$B$23*1.02*1.25+KFC!$C$23)*KFC!$C$5</f>
        <v>361.84500000000003</v>
      </c>
      <c r="AB177" s="300">
        <f>(290.7*KFC!$B$23*1.02*1.25+KFC!$C$23)*KFC!$C$5</f>
        <v>370.64250000000004</v>
      </c>
      <c r="AC177" s="300">
        <f>(297.7*KFC!$B$23*1.02*1.25+KFC!$C$23)*KFC!$C$5</f>
        <v>379.5675</v>
      </c>
      <c r="AD177" s="300">
        <f>(304.6*KFC!$B$23*1.02*1.25+KFC!$C$23)*KFC!$C$5</f>
        <v>388.36500000000001</v>
      </c>
      <c r="AE177" s="300">
        <f>(311.5*KFC!$B$23*1.02*1.25+KFC!$C$23)*KFC!$C$5</f>
        <v>397.16250000000002</v>
      </c>
      <c r="AF177" s="300">
        <f>(318.4*KFC!$B$23*1.02*1.25+KFC!$C$23)*KFC!$C$5</f>
        <v>405.96</v>
      </c>
      <c r="AG177" s="300">
        <f>(325.3*KFC!$B$23*1.02*1.25+KFC!$C$23)*KFC!$C$5</f>
        <v>414.75750000000005</v>
      </c>
      <c r="AH177" s="304">
        <f>(332.2*KFC!$B$23*1.02*1.25+KFC!$C$23)*KFC!$C$5</f>
        <v>423.55500000000001</v>
      </c>
    </row>
    <row r="178" spans="1:34">
      <c r="A178" s="1781"/>
      <c r="B178" s="392">
        <v>5.3</v>
      </c>
      <c r="C178" s="303">
        <f>(118.8*KFC!$B$23*1.02*1.25+KFC!$C$23)*KFC!$C$5</f>
        <v>151.47</v>
      </c>
      <c r="D178" s="300">
        <f>(125.9*KFC!$B$23*1.02*1.25+KFC!$C$23)*KFC!$C$5</f>
        <v>160.52250000000001</v>
      </c>
      <c r="E178" s="300">
        <f>(132.9*KFC!$B$23*1.02*1.25+KFC!$C$23)*KFC!$C$5</f>
        <v>169.44750000000002</v>
      </c>
      <c r="F178" s="300">
        <f>(139.9*KFC!$B$23*1.02*1.25+KFC!$C$23)*KFC!$C$5</f>
        <v>178.3725</v>
      </c>
      <c r="G178" s="300">
        <f>(146.9*KFC!$B$23*1.02*1.25+KFC!$C$23)*KFC!$C$5</f>
        <v>187.29750000000001</v>
      </c>
      <c r="H178" s="300">
        <f>(153.9*KFC!$B$23*1.02*1.25+KFC!$C$23)*KFC!$C$5</f>
        <v>196.22250000000003</v>
      </c>
      <c r="I178" s="300">
        <f>(161*KFC!$B$23*1.02*1.25+KFC!$C$23)*KFC!$C$5</f>
        <v>205.27500000000001</v>
      </c>
      <c r="J178" s="300">
        <f>(168*KFC!$B$23*1.02*1.25+KFC!$C$23)*KFC!$C$5</f>
        <v>214.20000000000002</v>
      </c>
      <c r="K178" s="300">
        <f>(175*KFC!$B$23*1.02*1.25+KFC!$C$23)*KFC!$C$5</f>
        <v>223.125</v>
      </c>
      <c r="L178" s="300">
        <f>(182*KFC!$B$23*1.02*1.25+KFC!$C$23)*KFC!$C$5</f>
        <v>232.05</v>
      </c>
      <c r="M178" s="300">
        <f>(189.1*KFC!$B$23*1.02*1.25+KFC!$C$23)*KFC!$C$5</f>
        <v>241.10250000000002</v>
      </c>
      <c r="N178" s="300">
        <f>(196.1*KFC!$B$23*1.02*1.25+KFC!$C$23)*KFC!$C$5</f>
        <v>250.02749999999997</v>
      </c>
      <c r="O178" s="300">
        <f>(203.1*KFC!$B$23*1.02*1.25+KFC!$C$23)*KFC!$C$5</f>
        <v>258.95249999999999</v>
      </c>
      <c r="P178" s="300">
        <f>(210.1*KFC!$B$23*1.02*1.25+KFC!$C$23)*KFC!$C$5</f>
        <v>267.8775</v>
      </c>
      <c r="Q178" s="300">
        <f>(217.2*KFC!$B$23*1.02*1.25+KFC!$C$23)*KFC!$C$5</f>
        <v>276.92999999999995</v>
      </c>
      <c r="R178" s="300">
        <f>(224.2*KFC!$B$23*1.02*1.25+KFC!$C$23)*KFC!$C$5</f>
        <v>285.85500000000002</v>
      </c>
      <c r="S178" s="300">
        <f>(231.21*KFC!$B$23*1.02*1.25+KFC!$C$23)*KFC!$C$5</f>
        <v>294.79275000000001</v>
      </c>
      <c r="T178" s="300">
        <f>(238.2*KFC!$B$23*1.02*1.25+KFC!$C$23)*KFC!$C$5</f>
        <v>303.70499999999998</v>
      </c>
      <c r="U178" s="300">
        <f>(245.2*KFC!$B$23*1.02*1.25+KFC!$C$23)*KFC!$C$5</f>
        <v>312.63</v>
      </c>
      <c r="V178" s="300">
        <f>(252.3*KFC!$B$23*1.02*1.25+KFC!$C$23)*KFC!$C$5</f>
        <v>321.6825</v>
      </c>
      <c r="W178" s="300">
        <f>(259.3*KFC!$B$23*1.02*1.25+KFC!$C$23)*KFC!$C$5</f>
        <v>330.60749999999996</v>
      </c>
      <c r="X178" s="300">
        <f>(266.3*KFC!$B$23*1.02*1.25+KFC!$C$23)*KFC!$C$5</f>
        <v>339.53250000000003</v>
      </c>
      <c r="Y178" s="300">
        <f>(273.3*KFC!$B$23*1.02*1.25+KFC!$C$23)*KFC!$C$5</f>
        <v>348.45750000000004</v>
      </c>
      <c r="Z178" s="300">
        <f>(280.4*KFC!$B$23*1.02*1.25+KFC!$C$23)*KFC!$C$5</f>
        <v>357.51</v>
      </c>
      <c r="AA178" s="300">
        <f>(287.4*KFC!$B$23*1.02*1.25+KFC!$C$23)*KFC!$C$5</f>
        <v>366.43499999999995</v>
      </c>
      <c r="AB178" s="300">
        <f>(294.4*KFC!$B$23*1.02*1.25+KFC!$C$23)*KFC!$C$5</f>
        <v>375.35999999999996</v>
      </c>
      <c r="AC178" s="300">
        <f>(301.4*KFC!$B$23*1.02*1.25+KFC!$C$23)*KFC!$C$5</f>
        <v>384.28499999999997</v>
      </c>
      <c r="AD178" s="300">
        <f>(308.5*KFC!$B$23*1.02*1.25+KFC!$C$23)*KFC!$C$5</f>
        <v>393.33750000000003</v>
      </c>
      <c r="AE178" s="300">
        <f>(315.5*KFC!$B$23*1.02*1.25+KFC!$C$23)*KFC!$C$5</f>
        <v>402.26249999999999</v>
      </c>
      <c r="AF178" s="300">
        <f>(322.5*KFC!$B$23*1.02*1.25+KFC!$C$23)*KFC!$C$5</f>
        <v>411.1875</v>
      </c>
      <c r="AG178" s="300">
        <f>(329.5*KFC!$B$23*1.02*1.25+KFC!$C$23)*KFC!$C$5</f>
        <v>420.11250000000007</v>
      </c>
      <c r="AH178" s="304">
        <f>(336.5*KFC!$B$23*1.02*1.25+KFC!$C$23)*KFC!$C$5</f>
        <v>429.03750000000002</v>
      </c>
    </row>
    <row r="179" spans="1:34">
      <c r="A179" s="1781"/>
      <c r="B179" s="392">
        <v>5.4</v>
      </c>
      <c r="C179" s="303">
        <f>(119.7*KFC!$B$23*1.02*1.25+KFC!$C$23)*KFC!$C$5</f>
        <v>152.61750000000001</v>
      </c>
      <c r="D179" s="300">
        <f>(126.8*KFC!$B$23*1.02*1.25+KFC!$C$23)*KFC!$C$5</f>
        <v>161.67000000000002</v>
      </c>
      <c r="E179" s="300">
        <f>(133.9*KFC!$B$23*1.02*1.25+KFC!$C$23)*KFC!$C$5</f>
        <v>170.7225</v>
      </c>
      <c r="F179" s="300">
        <f>(141.1*KFC!$B$23*1.02*1.25+KFC!$C$23)*KFC!$C$5</f>
        <v>179.9025</v>
      </c>
      <c r="G179" s="300">
        <f>(148.2*KFC!$B$23*1.02*1.25+KFC!$C$23)*KFC!$C$5</f>
        <v>188.95499999999998</v>
      </c>
      <c r="H179" s="300">
        <f>(155.4*KFC!$B$23*1.02*1.25+KFC!$C$23)*KFC!$C$5</f>
        <v>198.13500000000002</v>
      </c>
      <c r="I179" s="300">
        <f>(162.5*KFC!$B$23*1.02*1.25+KFC!$C$23)*KFC!$C$5</f>
        <v>207.1875</v>
      </c>
      <c r="J179" s="300">
        <f>(169.6*KFC!$B$23*1.02*1.25+KFC!$C$23)*KFC!$C$5</f>
        <v>216.23999999999998</v>
      </c>
      <c r="K179" s="300">
        <f>(176.8*KFC!$B$23*1.02*1.25+KFC!$C$23)*KFC!$C$5</f>
        <v>225.42000000000002</v>
      </c>
      <c r="L179" s="300">
        <f>(183.9*KFC!$B$23*1.02*1.25+KFC!$C$23)*KFC!$C$5</f>
        <v>234.4725</v>
      </c>
      <c r="M179" s="300">
        <f>(191*KFC!$B$23*1.02*1.25+KFC!$C$23)*KFC!$C$5</f>
        <v>243.52499999999998</v>
      </c>
      <c r="N179" s="300">
        <f>(198.2*KFC!$B$23*1.02*1.25+KFC!$C$23)*KFC!$C$5</f>
        <v>252.70499999999998</v>
      </c>
      <c r="O179" s="300">
        <f>(205.3*KFC!$B$23*1.02*1.25+KFC!$C$23)*KFC!$C$5</f>
        <v>261.75749999999999</v>
      </c>
      <c r="P179" s="300">
        <f>(212.4*KFC!$B$23*1.02*1.25+KFC!$C$23)*KFC!$C$5</f>
        <v>270.81</v>
      </c>
      <c r="Q179" s="300">
        <f>(219.6*KFC!$B$23*1.02*1.25+KFC!$C$23)*KFC!$C$5</f>
        <v>279.99</v>
      </c>
      <c r="R179" s="300">
        <f>(226.7*KFC!$B$23*1.02*1.25+KFC!$C$23)*KFC!$C$5</f>
        <v>289.04249999999996</v>
      </c>
      <c r="S179" s="300">
        <f>(233.8*KFC!$B$23*1.02*1.25+KFC!$C$23)*KFC!$C$5</f>
        <v>298.09500000000003</v>
      </c>
      <c r="T179" s="300">
        <f>(241*KFC!$B$23*1.02*1.25+KFC!$C$23)*KFC!$C$5</f>
        <v>307.27499999999998</v>
      </c>
      <c r="U179" s="300">
        <f>(248.1*KFC!$B$23*1.02*1.25+KFC!$C$23)*KFC!$C$5</f>
        <v>316.32749999999999</v>
      </c>
      <c r="V179" s="300">
        <f>(255.3*KFC!$B$23*1.02*1.25+KFC!$C$23)*KFC!$C$5</f>
        <v>325.50749999999999</v>
      </c>
      <c r="W179" s="300">
        <f>(262.4*KFC!$B$23*1.02*1.25+KFC!$C$23)*KFC!$C$5</f>
        <v>334.55999999999995</v>
      </c>
      <c r="X179" s="300">
        <f>(269.5*KFC!$B$23*1.02*1.25+KFC!$C$23)*KFC!$C$5</f>
        <v>343.61249999999995</v>
      </c>
      <c r="Y179" s="300">
        <f>(276.7*KFC!$B$23*1.02*1.25+KFC!$C$23)*KFC!$C$5</f>
        <v>352.79249999999996</v>
      </c>
      <c r="Z179" s="300">
        <f>(283.8*KFC!$B$23*1.02*1.25+KFC!$C$23)*KFC!$C$5</f>
        <v>361.84500000000003</v>
      </c>
      <c r="AA179" s="300">
        <f>(290.9*KFC!$B$23*1.02*1.25+KFC!$C$23)*KFC!$C$5</f>
        <v>370.89749999999992</v>
      </c>
      <c r="AB179" s="300">
        <f>(298.1*KFC!$B$23*1.02*1.25+KFC!$C$23)*KFC!$C$5</f>
        <v>380.07749999999999</v>
      </c>
      <c r="AC179" s="300">
        <f>(305.2*KFC!$B$23*1.02*1.25+KFC!$C$23)*KFC!$C$5</f>
        <v>389.13</v>
      </c>
      <c r="AD179" s="300">
        <f>(312.3*KFC!$B$23*1.02*1.25+KFC!$C$23)*KFC!$C$5</f>
        <v>398.1825</v>
      </c>
      <c r="AE179" s="300">
        <f>(319.5*KFC!$B$23*1.02*1.25+KFC!$C$23)*KFC!$C$5</f>
        <v>407.36249999999995</v>
      </c>
      <c r="AF179" s="300">
        <f>(326.6*KFC!$B$23*1.02*1.25+KFC!$C$23)*KFC!$C$5</f>
        <v>416.41500000000002</v>
      </c>
      <c r="AG179" s="300">
        <f>(333.7*KFC!$B$23*1.02*1.25+KFC!$C$23)*KFC!$C$5</f>
        <v>425.46749999999997</v>
      </c>
      <c r="AH179" s="304">
        <f>(340.9*KFC!$B$23*1.02*1.25+KFC!$C$23)*KFC!$C$5</f>
        <v>434.64749999999992</v>
      </c>
    </row>
    <row r="180" spans="1:34">
      <c r="A180" s="1781"/>
      <c r="B180" s="392">
        <v>5.5</v>
      </c>
      <c r="C180" s="303">
        <f>(120.5*KFC!$B$23*1.02*1.25+KFC!$C$23)*KFC!$C$5</f>
        <v>153.63749999999999</v>
      </c>
      <c r="D180" s="300">
        <f>(127.8*KFC!$B$23*1.02*1.25+KFC!$C$23)*KFC!$C$5</f>
        <v>162.94499999999999</v>
      </c>
      <c r="E180" s="300">
        <f>(135*KFC!$B$23*1.02*1.25+KFC!$C$23)*KFC!$C$5</f>
        <v>172.125</v>
      </c>
      <c r="F180" s="300">
        <f>(142.3*KFC!$B$23*1.02*1.25+KFC!$C$23)*KFC!$C$5</f>
        <v>181.4325</v>
      </c>
      <c r="G180" s="300">
        <f>(149.5*KFC!$B$23*1.02*1.25+KFC!$C$23)*KFC!$C$5</f>
        <v>190.61250000000001</v>
      </c>
      <c r="H180" s="300">
        <f>(156.8*KFC!$B$23*1.02*1.25+KFC!$C$23)*KFC!$C$5</f>
        <v>199.92000000000002</v>
      </c>
      <c r="I180" s="300">
        <f>(164*KFC!$B$23*1.02*1.25+KFC!$C$23)*KFC!$C$5</f>
        <v>209.1</v>
      </c>
      <c r="J180" s="300">
        <f>(171.3*KFC!$B$23*1.02*1.25+KFC!$C$23)*KFC!$C$5</f>
        <v>218.40750000000003</v>
      </c>
      <c r="K180" s="300">
        <f>(178.5*KFC!$B$23*1.02*1.25+KFC!$C$23)*KFC!$C$5</f>
        <v>227.58749999999998</v>
      </c>
      <c r="L180" s="300">
        <f>(185.8*KFC!$B$23*1.02*1.25+KFC!$C$23)*KFC!$C$5</f>
        <v>236.89500000000004</v>
      </c>
      <c r="M180" s="300">
        <f>(193*KFC!$B$23*1.02*1.25+KFC!$C$23)*KFC!$C$5</f>
        <v>246.07500000000002</v>
      </c>
      <c r="N180" s="300">
        <f>(200.3*KFC!$B$23*1.02*1.25+KFC!$C$23)*KFC!$C$5</f>
        <v>255.38250000000002</v>
      </c>
      <c r="O180" s="300">
        <f>(207.5*KFC!$B$23*1.02*1.25+KFC!$C$23)*KFC!$C$5</f>
        <v>264.5625</v>
      </c>
      <c r="P180" s="300">
        <f>(214.7*KFC!$B$23*1.02*1.25+KFC!$C$23)*KFC!$C$5</f>
        <v>273.74250000000001</v>
      </c>
      <c r="Q180" s="300">
        <f>(222*KFC!$B$23*1.02*1.25+KFC!$C$23)*KFC!$C$5</f>
        <v>283.05</v>
      </c>
      <c r="R180" s="300">
        <f>(229.2*KFC!$B$23*1.02*1.25+KFC!$C$23)*KFC!$C$5</f>
        <v>292.23</v>
      </c>
      <c r="S180" s="300">
        <f>(236.5*KFC!$B$23*1.02*1.25+KFC!$C$23)*KFC!$C$5</f>
        <v>301.53750000000002</v>
      </c>
      <c r="T180" s="300">
        <f>(243.7*KFC!$B$23*1.02*1.25+KFC!$C$23)*KFC!$C$5</f>
        <v>310.71749999999997</v>
      </c>
      <c r="U180" s="300">
        <f>(251*KFC!$B$23*1.02*1.25+KFC!$C$23)*KFC!$C$5</f>
        <v>320.02499999999998</v>
      </c>
      <c r="V180" s="300">
        <f>(258.2*KFC!$B$23*1.02*1.25+KFC!$C$23)*KFC!$C$5</f>
        <v>329.20499999999998</v>
      </c>
      <c r="W180" s="300">
        <f>(265.5*KFC!$B$23*1.02*1.25+KFC!$C$23)*KFC!$C$5</f>
        <v>338.51249999999999</v>
      </c>
      <c r="X180" s="300">
        <f>(272.7*KFC!$B$23*1.02*1.25+KFC!$C$23)*KFC!$C$5</f>
        <v>347.6925</v>
      </c>
      <c r="Y180" s="300">
        <f>(280*KFC!$B$23*1.02*1.25+KFC!$C$23)*KFC!$C$5</f>
        <v>357</v>
      </c>
      <c r="Z180" s="300">
        <f>(287.2*KFC!$B$23*1.02*1.25+KFC!$C$23)*KFC!$C$5</f>
        <v>366.18</v>
      </c>
      <c r="AA180" s="300">
        <f>(294.5*KFC!$B$23*1.02*1.25+KFC!$C$23)*KFC!$C$5</f>
        <v>375.48749999999995</v>
      </c>
      <c r="AB180" s="300">
        <f>(301.7*KFC!$B$23*1.02*1.25+KFC!$C$23)*KFC!$C$5</f>
        <v>384.66749999999996</v>
      </c>
      <c r="AC180" s="300">
        <f>(309*KFC!$B$23*1.02*1.25+KFC!$C$23)*KFC!$C$5</f>
        <v>393.97500000000002</v>
      </c>
      <c r="AD180" s="300">
        <f>(316.2*KFC!$B$23*1.02*1.25+KFC!$C$23)*KFC!$C$5</f>
        <v>403.15499999999997</v>
      </c>
      <c r="AE180" s="300">
        <f>(323.5*KFC!$B$23*1.02*1.25+KFC!$C$23)*KFC!$C$5</f>
        <v>412.46250000000003</v>
      </c>
      <c r="AF180" s="300">
        <f>(330.7*KFC!$B$23*1.02*1.25+KFC!$C$23)*KFC!$C$5</f>
        <v>421.64250000000004</v>
      </c>
      <c r="AG180" s="300">
        <f>(338*KFC!$B$23*1.02*1.25+KFC!$C$23)*KFC!$C$5</f>
        <v>430.95</v>
      </c>
      <c r="AH180" s="304">
        <f>(345.2*KFC!$B$23*1.02*1.25+KFC!$C$23)*KFC!$C$5</f>
        <v>440.13</v>
      </c>
    </row>
    <row r="181" spans="1:34">
      <c r="A181" s="1781"/>
      <c r="B181" s="392">
        <v>5.6</v>
      </c>
      <c r="C181" s="303">
        <f>(121.4*KFC!$B$23*1.02*1.25+KFC!$C$23)*KFC!$C$5</f>
        <v>154.785</v>
      </c>
      <c r="D181" s="300">
        <f>(128.7*KFC!$B$23*1.02*1.25+KFC!$C$23)*KFC!$C$5</f>
        <v>164.0925</v>
      </c>
      <c r="E181" s="300">
        <f>(136.1*KFC!$B$23*1.02*1.25+KFC!$C$23)*KFC!$C$5</f>
        <v>173.5275</v>
      </c>
      <c r="F181" s="300">
        <f>(143.4*KFC!$B$23*1.02*1.25+KFC!$C$23)*KFC!$C$5</f>
        <v>182.83500000000001</v>
      </c>
      <c r="G181" s="300">
        <f>(150.8*KFC!$B$23*1.02*1.25+KFC!$C$23)*KFC!$C$5</f>
        <v>192.27</v>
      </c>
      <c r="H181" s="300">
        <f>(158.2*KFC!$B$23*1.02*1.25+KFC!$C$23)*KFC!$C$5</f>
        <v>201.70500000000001</v>
      </c>
      <c r="I181" s="300">
        <f>(165.5*KFC!$B$23*1.02*1.25+KFC!$C$23)*KFC!$C$5</f>
        <v>211.01249999999999</v>
      </c>
      <c r="J181" s="300">
        <f>(172.9*KFC!$B$23*1.02*1.25+KFC!$C$23)*KFC!$C$5</f>
        <v>220.44749999999999</v>
      </c>
      <c r="K181" s="300">
        <f>(180.3*KFC!$B$23*1.02*1.25+KFC!$C$23)*KFC!$C$5</f>
        <v>229.88249999999999</v>
      </c>
      <c r="L181" s="300">
        <f>(187.6*KFC!$B$23*1.02*1.25+KFC!$C$23)*KFC!$C$5</f>
        <v>239.19</v>
      </c>
      <c r="M181" s="300">
        <f>(195*KFC!$B$23*1.02*1.25+KFC!$C$23)*KFC!$C$5</f>
        <v>248.625</v>
      </c>
      <c r="N181" s="300">
        <f>(202.3*KFC!$B$23*1.02*1.25+KFC!$C$23)*KFC!$C$5</f>
        <v>257.9325</v>
      </c>
      <c r="O181" s="300">
        <f>(209.7*KFC!$B$23*1.02*1.25+KFC!$C$23)*KFC!$C$5</f>
        <v>267.36750000000001</v>
      </c>
      <c r="P181" s="300">
        <f>(217.1*KFC!$B$23*1.02*1.25+KFC!$C$23)*KFC!$C$5</f>
        <v>276.80250000000001</v>
      </c>
      <c r="Q181" s="300">
        <f>(224.4*KFC!$B$23*1.02*1.25+KFC!$C$23)*KFC!$C$5</f>
        <v>286.11</v>
      </c>
      <c r="R181" s="300">
        <f>(231.8*KFC!$B$23*1.02*1.25+KFC!$C$23)*KFC!$C$5</f>
        <v>295.54500000000002</v>
      </c>
      <c r="S181" s="300">
        <f>(239.1*KFC!$B$23*1.02*1.25+KFC!$C$23)*KFC!$C$5</f>
        <v>304.85250000000002</v>
      </c>
      <c r="T181" s="300">
        <f>(246.5*KFC!$B$23*1.02*1.25+KFC!$C$23)*KFC!$C$5</f>
        <v>314.28750000000002</v>
      </c>
      <c r="U181" s="300">
        <f>(253.9*KFC!$B$23*1.02*1.25+KFC!$C$23)*KFC!$C$5</f>
        <v>323.72250000000003</v>
      </c>
      <c r="V181" s="300">
        <f>(261.2*KFC!$B$23*1.02*1.25+KFC!$C$23)*KFC!$C$5</f>
        <v>333.03</v>
      </c>
      <c r="W181" s="300">
        <f>(268.6*KFC!$B$23*1.02*1.25+KFC!$C$23)*KFC!$C$5</f>
        <v>342.46500000000003</v>
      </c>
      <c r="X181" s="300">
        <f>(275.9*KFC!$B$23*1.02*1.25+KFC!$C$23)*KFC!$C$5</f>
        <v>351.77250000000004</v>
      </c>
      <c r="Y181" s="300">
        <f>(283.3*KFC!$B$23*1.02*1.25+KFC!$C$23)*KFC!$C$5</f>
        <v>361.20749999999998</v>
      </c>
      <c r="Z181" s="300">
        <f>(290.7*KFC!$B$23*1.02*1.25+KFC!$C$23)*KFC!$C$5</f>
        <v>370.64250000000004</v>
      </c>
      <c r="AA181" s="300">
        <f>(298*KFC!$B$23*1.02*1.25+KFC!$C$23)*KFC!$C$5</f>
        <v>379.95</v>
      </c>
      <c r="AB181" s="300">
        <f>(305.4*KFC!$B$23*1.02*1.25+KFC!$C$23)*KFC!$C$5</f>
        <v>389.38499999999999</v>
      </c>
      <c r="AC181" s="300">
        <f>(312.8*KFC!$B$23*1.02*1.25+KFC!$C$23)*KFC!$C$5</f>
        <v>398.82000000000005</v>
      </c>
      <c r="AD181" s="300">
        <f>(320.1*KFC!$B$23*1.02*1.25+KFC!$C$23)*KFC!$C$5</f>
        <v>408.1275</v>
      </c>
      <c r="AE181" s="300">
        <f>(327.5*KFC!$B$23*1.02*1.25+KFC!$C$23)*KFC!$C$5</f>
        <v>417.5625</v>
      </c>
      <c r="AF181" s="300">
        <f>(334.8*KFC!$B$23*1.02*1.25+KFC!$C$23)*KFC!$C$5</f>
        <v>426.87000000000006</v>
      </c>
      <c r="AG181" s="300">
        <f>(342.2*KFC!$B$23*1.02*1.25+KFC!$C$23)*KFC!$C$5</f>
        <v>436.30499999999995</v>
      </c>
      <c r="AH181" s="304">
        <f>(349.6*KFC!$B$23*1.02*1.25+KFC!$C$23)*KFC!$C$5</f>
        <v>445.74000000000007</v>
      </c>
    </row>
    <row r="182" spans="1:34">
      <c r="A182" s="1781"/>
      <c r="B182" s="392">
        <v>5.7</v>
      </c>
      <c r="C182" s="303">
        <f>(122.2*KFC!$B$23*1.02*1.25+KFC!$C$23)*KFC!$C$5</f>
        <v>155.80500000000001</v>
      </c>
      <c r="D182" s="300">
        <f>(129.7*KFC!$B$23*1.02*1.25+KFC!$C$23)*KFC!$C$5</f>
        <v>165.36749999999998</v>
      </c>
      <c r="E182" s="300">
        <f>(137.2*KFC!$B$23*1.02*1.25+KFC!$C$23)*KFC!$C$5</f>
        <v>174.92999999999998</v>
      </c>
      <c r="F182" s="300">
        <f>(144.6*KFC!$B$23*1.02*1.25+KFC!$C$23)*KFC!$C$5</f>
        <v>184.36499999999998</v>
      </c>
      <c r="G182" s="300">
        <f>(152.1*KFC!$B$23*1.02*1.25+KFC!$C$23)*KFC!$C$5</f>
        <v>193.92750000000001</v>
      </c>
      <c r="H182" s="300">
        <f>(159.6*KFC!$B$23*1.02*1.25+KFC!$C$23)*KFC!$C$5</f>
        <v>203.49</v>
      </c>
      <c r="I182" s="300">
        <f>(167.1*KFC!$B$23*1.02*1.25+KFC!$C$23)*KFC!$C$5</f>
        <v>213.05250000000001</v>
      </c>
      <c r="J182" s="300">
        <f>(174.5*KFC!$B$23*1.02*1.25+KFC!$C$23)*KFC!$C$5</f>
        <v>222.48750000000001</v>
      </c>
      <c r="K182" s="300">
        <f>(182*KFC!$B$23*1.02*1.25+KFC!$C$23)*KFC!$C$5</f>
        <v>232.05</v>
      </c>
      <c r="L182" s="300">
        <f>(189.5*KFC!$B$23*1.02*1.25+KFC!$C$23)*KFC!$C$5</f>
        <v>241.61249999999998</v>
      </c>
      <c r="M182" s="300">
        <f>(196.9*KFC!$B$23*1.02*1.25+KFC!$C$23)*KFC!$C$5</f>
        <v>251.04750000000001</v>
      </c>
      <c r="N182" s="300">
        <f>(204.4*KFC!$B$23*1.02*1.25+KFC!$C$23)*KFC!$C$5</f>
        <v>260.61</v>
      </c>
      <c r="O182" s="300">
        <f>(211.9*KFC!$B$23*1.02*1.25+KFC!$C$23)*KFC!$C$5</f>
        <v>270.17250000000001</v>
      </c>
      <c r="P182" s="300">
        <f>(219.4*KFC!$B$23*1.02*1.25+KFC!$C$23)*KFC!$C$5</f>
        <v>279.73500000000001</v>
      </c>
      <c r="Q182" s="300">
        <f>(226.8*KFC!$B$23*1.02*1.25+KFC!$C$23)*KFC!$C$5</f>
        <v>289.17</v>
      </c>
      <c r="R182" s="300">
        <f>(234.3*KFC!$B$23*1.02*1.25+KFC!$C$23)*KFC!$C$5</f>
        <v>298.73250000000002</v>
      </c>
      <c r="S182" s="300">
        <f>(241.8*KFC!$B$23*1.02*1.25+KFC!$C$23)*KFC!$C$5</f>
        <v>308.29500000000002</v>
      </c>
      <c r="T182" s="300">
        <f>(249.3*KFC!$B$23*1.02*1.25+KFC!$C$23)*KFC!$C$5</f>
        <v>317.85750000000002</v>
      </c>
      <c r="U182" s="300">
        <f>(256.7*KFC!$B$23*1.02*1.25+KFC!$C$23)*KFC!$C$5</f>
        <v>327.29250000000002</v>
      </c>
      <c r="V182" s="300">
        <f>(264.2*KFC!$B$23*1.02*1.25+KFC!$C$23)*KFC!$C$5</f>
        <v>336.85499999999996</v>
      </c>
      <c r="W182" s="300">
        <f>(271.7*KFC!$B$23*1.02*1.25+KFC!$C$23)*KFC!$C$5</f>
        <v>346.41750000000002</v>
      </c>
      <c r="X182" s="300">
        <f>(279.2*KFC!$B$23*1.02*1.25+KFC!$C$23)*KFC!$C$5</f>
        <v>355.98</v>
      </c>
      <c r="Y182" s="300">
        <f>(286.6*KFC!$B$23*1.02*1.25+KFC!$C$23)*KFC!$C$5</f>
        <v>365.41500000000008</v>
      </c>
      <c r="Z182" s="300">
        <f>(294.1*KFC!$B$23*1.02*1.25+KFC!$C$23)*KFC!$C$5</f>
        <v>374.97750000000002</v>
      </c>
      <c r="AA182" s="300">
        <f>(301.6*KFC!$B$23*1.02*1.25+KFC!$C$23)*KFC!$C$5</f>
        <v>384.54</v>
      </c>
      <c r="AB182" s="300">
        <f>(309.1*KFC!$B$23*1.02*1.25+KFC!$C$23)*KFC!$C$5</f>
        <v>394.10250000000008</v>
      </c>
      <c r="AC182" s="300">
        <f>(316.5*KFC!$B$23*1.02*1.25+KFC!$C$23)*KFC!$C$5</f>
        <v>403.53749999999997</v>
      </c>
      <c r="AD182" s="300">
        <f>(324*KFC!$B$23*1.02*1.25+KFC!$C$23)*KFC!$C$5</f>
        <v>413.1</v>
      </c>
      <c r="AE182" s="300">
        <f>(331.5*KFC!$B$23*1.02*1.25+KFC!$C$23)*KFC!$C$5</f>
        <v>422.66250000000002</v>
      </c>
      <c r="AF182" s="300">
        <f>(338.9*KFC!$B$23*1.02*1.25+KFC!$C$23)*KFC!$C$5</f>
        <v>432.09749999999997</v>
      </c>
      <c r="AG182" s="300">
        <f>(346.4*KFC!$B$23*1.02*1.25+KFC!$C$23)*KFC!$C$5</f>
        <v>441.65999999999997</v>
      </c>
      <c r="AH182" s="304">
        <f>(353.9*KFC!$B$23*1.02*1.25+KFC!$C$23)*KFC!$C$5</f>
        <v>451.22250000000003</v>
      </c>
    </row>
    <row r="183" spans="1:34">
      <c r="A183" s="1781"/>
      <c r="B183" s="392">
        <v>5.8</v>
      </c>
      <c r="C183" s="303">
        <f>(123.1*KFC!$B$23*1.02*1.25+KFC!$C$23)*KFC!$C$5</f>
        <v>156.95249999999999</v>
      </c>
      <c r="D183" s="300">
        <f>(130.6*KFC!$B$23*1.02*1.25+KFC!$C$23)*KFC!$C$5</f>
        <v>166.51499999999999</v>
      </c>
      <c r="E183" s="300">
        <f>(138.2*KFC!$B$23*1.02*1.25+KFC!$C$23)*KFC!$C$5</f>
        <v>176.20499999999998</v>
      </c>
      <c r="F183" s="300">
        <f>(145.8*KFC!$B$23*1.02*1.25+KFC!$C$23)*KFC!$C$5</f>
        <v>185.89500000000001</v>
      </c>
      <c r="G183" s="300">
        <f>(153.4*KFC!$B$23*1.02*1.25+KFC!$C$23)*KFC!$C$5</f>
        <v>195.58500000000004</v>
      </c>
      <c r="H183" s="300">
        <f>(161*KFC!$B$23*1.02*1.25+KFC!$C$23)*KFC!$C$5</f>
        <v>205.27500000000001</v>
      </c>
      <c r="I183" s="300">
        <f>(168.6*KFC!$B$23*1.02*1.25+KFC!$C$23)*KFC!$C$5</f>
        <v>214.965</v>
      </c>
      <c r="J183" s="300">
        <f>(176.2*KFC!$B$23*1.02*1.25+KFC!$C$23)*KFC!$C$5</f>
        <v>224.65499999999997</v>
      </c>
      <c r="K183" s="300">
        <f>(183.7*KFC!$B$23*1.02*1.25+KFC!$C$23)*KFC!$C$5</f>
        <v>234.2175</v>
      </c>
      <c r="L183" s="300">
        <f>(191.3*KFC!$B$23*1.02*1.25+KFC!$C$23)*KFC!$C$5</f>
        <v>243.9075</v>
      </c>
      <c r="M183" s="300">
        <f>(198.9*KFC!$B$23*1.02*1.25+KFC!$C$23)*KFC!$C$5</f>
        <v>253.59750000000003</v>
      </c>
      <c r="N183" s="300">
        <f>(206.5*KFC!$B$23*1.02*1.25+KFC!$C$23)*KFC!$C$5</f>
        <v>263.28750000000002</v>
      </c>
      <c r="O183" s="300">
        <f>(214.1*KFC!$B$23*1.02*1.25+KFC!$C$23)*KFC!$C$5</f>
        <v>272.97750000000002</v>
      </c>
      <c r="P183" s="300">
        <f>(221.7*KFC!$B$23*1.02*1.25+KFC!$C$23)*KFC!$C$5</f>
        <v>282.66749999999996</v>
      </c>
      <c r="Q183" s="300">
        <f>(229.3*KFC!$B$23*1.02*1.25+KFC!$C$23)*KFC!$C$5</f>
        <v>292.35750000000002</v>
      </c>
      <c r="R183" s="300">
        <f>(236.8*KFC!$B$23*1.02*1.25+KFC!$C$23)*KFC!$C$5</f>
        <v>301.92</v>
      </c>
      <c r="S183" s="300">
        <f>(244.4*KFC!$B$23*1.02*1.25+KFC!$C$23)*KFC!$C$5</f>
        <v>311.61</v>
      </c>
      <c r="T183" s="300">
        <f>(252*KFC!$B$23*1.02*1.25+KFC!$C$23)*KFC!$C$5</f>
        <v>321.3</v>
      </c>
      <c r="U183" s="300">
        <f>(259.6*KFC!$B$23*1.02*1.25+KFC!$C$23)*KFC!$C$5</f>
        <v>330.99</v>
      </c>
      <c r="V183" s="300">
        <f>(267.2*KFC!$B$23*1.02*1.25+KFC!$C$23)*KFC!$C$5</f>
        <v>340.67999999999995</v>
      </c>
      <c r="W183" s="300">
        <f>(274.8*KFC!$B$23*1.02*1.25+KFC!$C$23)*KFC!$C$5</f>
        <v>350.37</v>
      </c>
      <c r="X183" s="300">
        <f>(282.4*KFC!$B$23*1.02*1.25+KFC!$C$23)*KFC!$C$5</f>
        <v>360.06</v>
      </c>
      <c r="Y183" s="300">
        <f>(290*KFC!$B$23*1.02*1.25+KFC!$C$23)*KFC!$C$5</f>
        <v>369.75</v>
      </c>
      <c r="Z183" s="300">
        <f>(297.5*KFC!$B$23*1.02*1.25+KFC!$C$23)*KFC!$C$5</f>
        <v>379.3125</v>
      </c>
      <c r="AA183" s="300">
        <f>(305.1*KFC!$B$23*1.02*1.25+KFC!$C$23)*KFC!$C$5</f>
        <v>389.00250000000005</v>
      </c>
      <c r="AB183" s="300">
        <f>(312.7*KFC!$B$23*1.02*1.25+KFC!$C$23)*KFC!$C$5</f>
        <v>398.6925</v>
      </c>
      <c r="AC183" s="300">
        <f>(320.3*KFC!$B$23*1.02*1.25+KFC!$C$23)*KFC!$C$5</f>
        <v>408.38250000000005</v>
      </c>
      <c r="AD183" s="300">
        <f>(327.9*KFC!$B$23*1.02*1.25+KFC!$C$23)*KFC!$C$5</f>
        <v>418.07249999999999</v>
      </c>
      <c r="AE183" s="300">
        <f>(335.5*KFC!$B$23*1.02*1.25+KFC!$C$23)*KFC!$C$5</f>
        <v>427.76249999999999</v>
      </c>
      <c r="AF183" s="300">
        <f>(343.1*KFC!$B$23*1.02*1.25+KFC!$C$23)*KFC!$C$5</f>
        <v>437.45250000000004</v>
      </c>
      <c r="AG183" s="300">
        <f>(350.6*KFC!$B$23*1.02*1.25+KFC!$C$23)*KFC!$C$5</f>
        <v>447.01500000000004</v>
      </c>
      <c r="AH183" s="304">
        <f>(358.2*KFC!$B$23*1.02*1.25+KFC!$C$23)*KFC!$C$5</f>
        <v>456.70499999999998</v>
      </c>
    </row>
    <row r="184" spans="1:34">
      <c r="A184" s="1781"/>
      <c r="B184" s="392">
        <v>5.9</v>
      </c>
      <c r="C184" s="303">
        <f>(123.9*KFC!$B$23*1.02*1.25+KFC!$C$23)*KFC!$C$5</f>
        <v>157.97250000000003</v>
      </c>
      <c r="D184" s="300">
        <f>(131.6*KFC!$B$23*1.02*1.25+KFC!$C$23)*KFC!$C$5</f>
        <v>167.79</v>
      </c>
      <c r="E184" s="300">
        <f>(139.3*KFC!$B$23*1.02*1.25+KFC!$C$23)*KFC!$C$5</f>
        <v>177.60750000000002</v>
      </c>
      <c r="F184" s="300">
        <f>(147*KFC!$B$23*1.02*1.25+KFC!$C$23)*KFC!$C$5</f>
        <v>187.42500000000001</v>
      </c>
      <c r="G184" s="300">
        <f>(154.7*KFC!$B$23*1.02*1.25+KFC!$C$23)*KFC!$C$5</f>
        <v>197.24249999999998</v>
      </c>
      <c r="H184" s="300">
        <f>(162.4*KFC!$B$23*1.02*1.25+KFC!$C$23)*KFC!$C$5</f>
        <v>207.06</v>
      </c>
      <c r="I184" s="300">
        <f>(170.1*KFC!$B$23*1.02*1.25+KFC!$C$23)*KFC!$C$5</f>
        <v>216.8775</v>
      </c>
      <c r="J184" s="300">
        <f>(177.8*KFC!$B$23*1.02*1.25+KFC!$C$23)*KFC!$C$5</f>
        <v>226.69500000000002</v>
      </c>
      <c r="K184" s="300">
        <f>(185.5*KFC!$B$23*1.02*1.25+KFC!$C$23)*KFC!$C$5</f>
        <v>236.51250000000002</v>
      </c>
      <c r="L184" s="300">
        <f>(193.2*KFC!$B$23*1.02*1.25+KFC!$C$23)*KFC!$C$5</f>
        <v>246.32999999999998</v>
      </c>
      <c r="M184" s="300">
        <f>(200.9*KFC!$B$23*1.02*1.25+KFC!$C$23)*KFC!$C$5</f>
        <v>256.14750000000004</v>
      </c>
      <c r="N184" s="300">
        <f>(208.6*KFC!$B$23*1.02*1.25+KFC!$C$23)*KFC!$C$5</f>
        <v>265.96499999999997</v>
      </c>
      <c r="O184" s="300">
        <f>(216.3*KFC!$B$23*1.02*1.25+KFC!$C$23)*KFC!$C$5</f>
        <v>275.78250000000003</v>
      </c>
      <c r="P184" s="300">
        <f>(224*KFC!$B$23*1.02*1.25+KFC!$C$23)*KFC!$C$5</f>
        <v>285.60000000000002</v>
      </c>
      <c r="Q184" s="300">
        <f>(231.7*KFC!$B$23*1.02*1.25+KFC!$C$23)*KFC!$C$5</f>
        <v>295.41750000000002</v>
      </c>
      <c r="R184" s="300">
        <f>(239.4*KFC!$B$23*1.02*1.25+KFC!$C$23)*KFC!$C$5</f>
        <v>305.23500000000001</v>
      </c>
      <c r="S184" s="300">
        <f>(247.1*KFC!$B$23*1.02*1.25+KFC!$C$23)*KFC!$C$5</f>
        <v>315.05250000000001</v>
      </c>
      <c r="T184" s="300">
        <f>(254.8*KFC!$B$23*1.02*1.25+KFC!$C$23)*KFC!$C$5</f>
        <v>324.87</v>
      </c>
      <c r="U184" s="300">
        <f>(262.5*KFC!$B$23*1.02*1.25+KFC!$C$23)*KFC!$C$5</f>
        <v>334.6875</v>
      </c>
      <c r="V184" s="300">
        <f>(270.2*KFC!$B$23*1.02*1.25+KFC!$C$23)*KFC!$C$5</f>
        <v>344.505</v>
      </c>
      <c r="W184" s="300">
        <f>(277.9*KFC!$B$23*1.02*1.25+KFC!$C$23)*KFC!$C$5</f>
        <v>354.32249999999999</v>
      </c>
      <c r="X184" s="300">
        <f>(285.6*KFC!$B$23*1.02*1.25+KFC!$C$23)*KFC!$C$5</f>
        <v>364.14</v>
      </c>
      <c r="Y184" s="300">
        <f>(293.3*KFC!$B$23*1.02*1.25+KFC!$C$23)*KFC!$C$5</f>
        <v>373.95749999999998</v>
      </c>
      <c r="Z184" s="300">
        <f>(301*KFC!$B$23*1.02*1.25+KFC!$C$23)*KFC!$C$5</f>
        <v>383.77499999999998</v>
      </c>
      <c r="AA184" s="300">
        <f>(308.7*KFC!$B$23*1.02*1.25+KFC!$C$23)*KFC!$C$5</f>
        <v>393.59249999999997</v>
      </c>
      <c r="AB184" s="300">
        <f>(316.4*KFC!$B$23*1.02*1.25+KFC!$C$23)*KFC!$C$5</f>
        <v>403.41</v>
      </c>
      <c r="AC184" s="300">
        <f>(324.1*KFC!$B$23*1.02*1.25+KFC!$C$23)*KFC!$C$5</f>
        <v>413.22750000000008</v>
      </c>
      <c r="AD184" s="300">
        <f>(331.8*KFC!$B$23*1.02*1.25+KFC!$C$23)*KFC!$C$5</f>
        <v>423.04500000000007</v>
      </c>
      <c r="AE184" s="300">
        <f>(339.5*KFC!$B$23*1.02*1.25+KFC!$C$23)*KFC!$C$5</f>
        <v>432.86250000000001</v>
      </c>
      <c r="AF184" s="300">
        <f>(347.2*KFC!$B$23*1.02*1.25+KFC!$C$23)*KFC!$C$5</f>
        <v>442.68</v>
      </c>
      <c r="AG184" s="300">
        <f>(354.9*KFC!$B$23*1.02*1.25+KFC!$C$23)*KFC!$C$5</f>
        <v>452.4975</v>
      </c>
      <c r="AH184" s="304">
        <f>(362.6*KFC!$B$23*1.02*1.25+KFC!$C$23)*KFC!$C$5</f>
        <v>462.31500000000005</v>
      </c>
    </row>
    <row r="185" spans="1:34" ht="13.8" thickBot="1">
      <c r="A185" s="1782"/>
      <c r="B185" s="393">
        <v>6</v>
      </c>
      <c r="C185" s="305">
        <f>(124.7*KFC!$B$23*1.02*1.25+KFC!$C$23)*KFC!$C$5</f>
        <v>158.99250000000001</v>
      </c>
      <c r="D185" s="306">
        <f>(132.6*KFC!$B$23*1.02*1.25+KFC!$C$23)*KFC!$C$5</f>
        <v>169.065</v>
      </c>
      <c r="E185" s="306">
        <f>(140.4*KFC!$B$23*1.02*1.25+KFC!$C$23)*KFC!$C$5</f>
        <v>179.01</v>
      </c>
      <c r="F185" s="306">
        <f>(148.2*KFC!$B$23*1.02*1.25+KFC!$C$23)*KFC!$C$5</f>
        <v>188.95499999999998</v>
      </c>
      <c r="G185" s="306">
        <f>(156*KFC!$B$23*1.02*1.25+KFC!$C$23)*KFC!$C$5</f>
        <v>198.9</v>
      </c>
      <c r="H185" s="306">
        <f>(163.8*KFC!$B$23*1.02*1.25+KFC!$C$23)*KFC!$C$5</f>
        <v>208.84500000000003</v>
      </c>
      <c r="I185" s="306">
        <f>(171.6*KFC!$B$23*1.02*1.25+KFC!$C$23)*KFC!$C$5</f>
        <v>218.79000000000002</v>
      </c>
      <c r="J185" s="306">
        <f>(179.4*KFC!$B$23*1.02*1.25+KFC!$C$23)*KFC!$C$5</f>
        <v>228.73500000000001</v>
      </c>
      <c r="K185" s="306">
        <f>(187.2*KFC!$B$23*1.02*1.25+KFC!$C$23)*KFC!$C$5</f>
        <v>238.67999999999998</v>
      </c>
      <c r="L185" s="306">
        <f>(195*KFC!$B$23*1.02*1.25+KFC!$C$23)*KFC!$C$5</f>
        <v>248.625</v>
      </c>
      <c r="M185" s="306">
        <f>(202.9*KFC!$B$23*1.02*1.25+KFC!$C$23)*KFC!$C$5</f>
        <v>258.69749999999999</v>
      </c>
      <c r="N185" s="306">
        <f>(210.7*KFC!$B$23*1.02*1.25+KFC!$C$23)*KFC!$C$5</f>
        <v>268.64249999999998</v>
      </c>
      <c r="O185" s="306">
        <f>(218.5*KFC!$B$23*1.02*1.25+KFC!$C$23)*KFC!$C$5</f>
        <v>278.58749999999998</v>
      </c>
      <c r="P185" s="306">
        <f>(226.3*KFC!$B$23*1.02*1.25+KFC!$C$23)*KFC!$C$5</f>
        <v>288.53250000000003</v>
      </c>
      <c r="Q185" s="306">
        <f>(234.1*KFC!$B$23*1.02*1.25+KFC!$C$23)*KFC!$C$5</f>
        <v>298.47750000000002</v>
      </c>
      <c r="R185" s="306">
        <f>(241.9*KFC!$B$23*1.02*1.25+KFC!$C$23)*KFC!$C$5</f>
        <v>308.42250000000001</v>
      </c>
      <c r="S185" s="306">
        <f>(249.7*KFC!$B$23*1.02*1.25+KFC!$C$23)*KFC!$C$5</f>
        <v>318.36750000000001</v>
      </c>
      <c r="T185" s="306">
        <f>(257.5*KFC!$B$23*1.02*1.25+KFC!$C$23)*KFC!$C$5</f>
        <v>328.3125</v>
      </c>
      <c r="U185" s="306">
        <f>(265.4*KFC!$B$23*1.02*1.25+KFC!$C$23)*KFC!$C$5</f>
        <v>338.38499999999999</v>
      </c>
      <c r="V185" s="306">
        <f>(273.2*KFC!$B$23*1.02*1.25+KFC!$C$23)*KFC!$C$5</f>
        <v>348.33</v>
      </c>
      <c r="W185" s="306">
        <f>(281*KFC!$B$23*1.02*1.25+KFC!$C$23)*KFC!$C$5</f>
        <v>358.27499999999998</v>
      </c>
      <c r="X185" s="306">
        <f>(288.8*KFC!$B$23*1.02*1.25+KFC!$C$23)*KFC!$C$5</f>
        <v>368.22</v>
      </c>
      <c r="Y185" s="306">
        <f>(296.6*KFC!$B$23*1.02*1.25+KFC!$C$23)*KFC!$C$5</f>
        <v>378.16500000000008</v>
      </c>
      <c r="Z185" s="306">
        <f>(304.4*KFC!$B$23*1.02*1.25+KFC!$C$23)*KFC!$C$5</f>
        <v>388.11</v>
      </c>
      <c r="AA185" s="306">
        <f>(312.2*KFC!$B$23*1.02*1.25+KFC!$C$23)*KFC!$C$5</f>
        <v>398.05500000000001</v>
      </c>
      <c r="AB185" s="306">
        <f>(320*KFC!$B$23*1.02*1.25+KFC!$C$23)*KFC!$C$5</f>
        <v>408</v>
      </c>
      <c r="AC185" s="306">
        <f>(327.8*KFC!$B$23*1.02*1.25+KFC!$C$23)*KFC!$C$5</f>
        <v>417.94499999999999</v>
      </c>
      <c r="AD185" s="306">
        <f>(335.7*KFC!$B$23*1.02*1.25+KFC!$C$23)*KFC!$C$5</f>
        <v>428.01749999999998</v>
      </c>
      <c r="AE185" s="306">
        <f>(343.5*KFC!$B$23*1.02*1.25+KFC!$C$23)*KFC!$C$5</f>
        <v>437.96249999999998</v>
      </c>
      <c r="AF185" s="306">
        <f>(351.3*KFC!$B$23*1.02*1.25+KFC!$C$23)*KFC!$C$5</f>
        <v>447.90750000000003</v>
      </c>
      <c r="AG185" s="306">
        <f>(359.1*KFC!$B$23*1.02*1.25+KFC!$C$23)*KFC!$C$5</f>
        <v>457.85250000000008</v>
      </c>
      <c r="AH185" s="307">
        <f>(366.9*KFC!$B$23*1.02*1.25+KFC!$C$23)*KFC!$C$5</f>
        <v>467.79750000000001</v>
      </c>
    </row>
    <row r="186" spans="1:34" ht="13.8" thickBot="1">
      <c r="A186" s="218"/>
      <c r="B186" s="218"/>
      <c r="C186" s="218"/>
      <c r="D186" s="218"/>
      <c r="E186" s="218"/>
      <c r="F186" s="218"/>
      <c r="G186" s="218"/>
      <c r="H186" s="218"/>
      <c r="I186" s="218"/>
      <c r="J186" s="218"/>
      <c r="K186" s="218"/>
      <c r="L186" s="218"/>
      <c r="M186" s="218"/>
      <c r="N186" s="218"/>
      <c r="O186" s="218"/>
      <c r="P186" s="218"/>
      <c r="Q186" s="218"/>
      <c r="R186" s="218"/>
      <c r="S186" s="218"/>
      <c r="T186" s="218"/>
      <c r="U186" s="218"/>
      <c r="V186" s="218"/>
      <c r="W186" s="218"/>
      <c r="X186" s="218"/>
      <c r="Y186" s="218"/>
      <c r="Z186" s="218"/>
      <c r="AA186" s="218"/>
      <c r="AB186" s="218"/>
      <c r="AC186" s="218"/>
      <c r="AD186" s="218"/>
      <c r="AE186" s="218"/>
      <c r="AF186" s="218"/>
      <c r="AG186" s="218"/>
      <c r="AH186" s="218"/>
    </row>
    <row r="187" spans="1:34" ht="13.8" thickBot="1">
      <c r="A187" s="200"/>
      <c r="B187" s="200"/>
      <c r="C187" s="200"/>
      <c r="D187" s="200"/>
      <c r="E187" s="200"/>
      <c r="F187" s="200"/>
      <c r="G187" s="200"/>
      <c r="H187" s="200"/>
      <c r="I187" s="200"/>
      <c r="J187" s="200"/>
      <c r="K187" s="200"/>
      <c r="L187" s="200"/>
      <c r="M187" s="200"/>
      <c r="N187" s="200"/>
      <c r="O187" s="200"/>
      <c r="P187" s="200"/>
      <c r="Q187" s="200"/>
      <c r="R187" s="200"/>
      <c r="S187" s="200"/>
      <c r="T187" s="200"/>
      <c r="U187" s="200"/>
      <c r="V187" s="200"/>
      <c r="W187" s="200"/>
      <c r="X187" s="200"/>
      <c r="Y187" s="200"/>
      <c r="Z187" s="200"/>
      <c r="AA187" s="200"/>
      <c r="AB187" s="200"/>
      <c r="AC187" s="200"/>
      <c r="AD187" s="200"/>
      <c r="AE187" s="200"/>
      <c r="AF187" s="200"/>
      <c r="AG187" s="200"/>
      <c r="AH187" s="200"/>
    </row>
    <row r="188" spans="1:34" ht="13.8" thickBot="1">
      <c r="A188" s="1413" t="s">
        <v>318</v>
      </c>
      <c r="B188" s="1601"/>
      <c r="C188" s="1534" t="s">
        <v>207</v>
      </c>
      <c r="D188" s="1535"/>
      <c r="E188" s="1535"/>
      <c r="F188" s="1535"/>
      <c r="G188" s="1535"/>
      <c r="H188" s="1535"/>
      <c r="I188" s="1535"/>
      <c r="J188" s="1535"/>
      <c r="K188" s="1535"/>
      <c r="L188" s="1535"/>
      <c r="M188" s="1535"/>
      <c r="N188" s="1535"/>
      <c r="O188" s="1535"/>
      <c r="P188" s="1535"/>
      <c r="Q188" s="1535"/>
      <c r="R188" s="1535"/>
      <c r="S188" s="1535"/>
      <c r="T188" s="1535"/>
      <c r="U188" s="1535"/>
      <c r="V188" s="1535"/>
      <c r="W188" s="1535"/>
      <c r="X188" s="1535"/>
      <c r="Y188" s="1535"/>
      <c r="Z188" s="1535"/>
      <c r="AA188" s="1535"/>
      <c r="AB188" s="1535"/>
      <c r="AC188" s="1535"/>
      <c r="AD188" s="1535"/>
      <c r="AE188" s="1535"/>
      <c r="AF188" s="1535"/>
      <c r="AG188" s="1535"/>
      <c r="AH188" s="1536"/>
    </row>
    <row r="189" spans="1:34" ht="13.8" thickBot="1">
      <c r="A189" s="1778"/>
      <c r="B189" s="1779"/>
      <c r="C189" s="341">
        <v>0.7</v>
      </c>
      <c r="D189" s="341">
        <v>0.8</v>
      </c>
      <c r="E189" s="341">
        <v>0.9</v>
      </c>
      <c r="F189" s="341">
        <v>1</v>
      </c>
      <c r="G189" s="341">
        <v>1.1000000000000001</v>
      </c>
      <c r="H189" s="341">
        <v>1.2</v>
      </c>
      <c r="I189" s="341">
        <v>1.3</v>
      </c>
      <c r="J189" s="341">
        <v>1.4</v>
      </c>
      <c r="K189" s="341">
        <v>1.5</v>
      </c>
      <c r="L189" s="341">
        <v>1.6</v>
      </c>
      <c r="M189" s="341">
        <v>1.7</v>
      </c>
      <c r="N189" s="341">
        <v>1.8</v>
      </c>
      <c r="O189" s="341">
        <v>1.9</v>
      </c>
      <c r="P189" s="341">
        <v>2</v>
      </c>
      <c r="Q189" s="341">
        <v>2.1</v>
      </c>
      <c r="R189" s="341">
        <v>2.2000000000000002</v>
      </c>
      <c r="S189" s="341">
        <v>2.2999999999999998</v>
      </c>
      <c r="T189" s="341">
        <v>2.4</v>
      </c>
      <c r="U189" s="341">
        <v>2.5</v>
      </c>
      <c r="V189" s="341">
        <v>2.6</v>
      </c>
      <c r="W189" s="341">
        <v>2.7</v>
      </c>
      <c r="X189" s="341">
        <v>2.8</v>
      </c>
      <c r="Y189" s="341">
        <v>2.9</v>
      </c>
      <c r="Z189" s="342">
        <v>3</v>
      </c>
      <c r="AA189" s="340">
        <v>3.1</v>
      </c>
      <c r="AB189" s="341">
        <v>3.2</v>
      </c>
      <c r="AC189" s="341">
        <v>3.3</v>
      </c>
      <c r="AD189" s="341">
        <v>3.4</v>
      </c>
      <c r="AE189" s="341">
        <v>3.5</v>
      </c>
      <c r="AF189" s="341">
        <v>3.6</v>
      </c>
      <c r="AG189" s="341">
        <v>3.7</v>
      </c>
      <c r="AH189" s="341">
        <v>3.8</v>
      </c>
    </row>
    <row r="190" spans="1:34">
      <c r="A190" s="1780" t="s">
        <v>3</v>
      </c>
      <c r="B190" s="394">
        <v>0.5</v>
      </c>
      <c r="C190" s="274">
        <f>(83.2*KFC!$B$23*1.02*1.25+KFC!$C$23)*KFC!$C$5</f>
        <v>106.08000000000001</v>
      </c>
      <c r="D190" s="301">
        <f>(84.8*KFC!$B$23*1.02*1.25+KFC!$C$23)*KFC!$C$5</f>
        <v>108.11999999999999</v>
      </c>
      <c r="E190" s="301">
        <f>(86.5*KFC!$B$23*1.02*1.25+KFC!$C$23)*KFC!$C$5</f>
        <v>110.28750000000001</v>
      </c>
      <c r="F190" s="301">
        <f>(88.1*KFC!$B$23*1.02*1.25+KFC!$C$23)*KFC!$C$5</f>
        <v>112.32749999999999</v>
      </c>
      <c r="G190" s="301">
        <f>(89.8*KFC!$B$23*1.02*1.25+KFC!$C$23)*KFC!$C$5</f>
        <v>114.495</v>
      </c>
      <c r="H190" s="301">
        <f>(91.4*KFC!$B$23*1.02*1.25+KFC!$C$23)*KFC!$C$5</f>
        <v>116.53500000000001</v>
      </c>
      <c r="I190" s="301">
        <f>(93.1*KFC!$B$23*1.02*1.25+KFC!$C$23)*KFC!$C$5</f>
        <v>118.70249999999999</v>
      </c>
      <c r="J190" s="301">
        <f>(94.8*KFC!$B$23*1.02*1.25+KFC!$C$23)*KFC!$C$5</f>
        <v>120.87</v>
      </c>
      <c r="K190" s="301">
        <f>(96.4*KFC!$B$23*1.02*1.25+KFC!$C$23)*KFC!$C$5</f>
        <v>122.91</v>
      </c>
      <c r="L190" s="301">
        <f>(98.1*KFC!$B$23*1.02*1.25+KFC!$C$23)*KFC!$C$5</f>
        <v>125.0775</v>
      </c>
      <c r="M190" s="301">
        <f>(99.7*KFC!$B$23*1.02*1.25+KFC!$C$23)*KFC!$C$5</f>
        <v>127.11750000000001</v>
      </c>
      <c r="N190" s="301">
        <f>(101.4*KFC!$B$23*1.02*1.25+KFC!$C$23)*KFC!$C$5</f>
        <v>129.28500000000003</v>
      </c>
      <c r="O190" s="301">
        <f>(103*KFC!$B$23*1.02*1.25+KFC!$C$23)*KFC!$C$5</f>
        <v>131.32499999999999</v>
      </c>
      <c r="P190" s="301">
        <f>(104.7*KFC!$B$23*1.02*1.25+KFC!$C$23)*KFC!$C$5</f>
        <v>133.49250000000001</v>
      </c>
      <c r="Q190" s="301">
        <f>(106.4*KFC!$B$23*1.02*1.25+KFC!$C$23)*KFC!$C$5</f>
        <v>135.66</v>
      </c>
      <c r="R190" s="301">
        <f>(108*KFC!$B$23*1.02*1.25+KFC!$C$23)*KFC!$C$5</f>
        <v>137.69999999999999</v>
      </c>
      <c r="S190" s="301">
        <f>(109.7*KFC!$B$23*1.02*1.25+KFC!$C$23)*KFC!$C$5</f>
        <v>139.86750000000001</v>
      </c>
      <c r="T190" s="301">
        <f>(111.3*KFC!$B$23*1.02*1.25+KFC!$C$23)*KFC!$C$5</f>
        <v>141.9075</v>
      </c>
      <c r="U190" s="301">
        <f>(113*KFC!$B$23*1.02*1.25+KFC!$C$23)*KFC!$C$5</f>
        <v>144.07500000000002</v>
      </c>
      <c r="V190" s="301">
        <f>(114.6*KFC!$B$23*1.02*1.25+KFC!$C$23)*KFC!$C$5</f>
        <v>146.11500000000001</v>
      </c>
      <c r="W190" s="301">
        <f>(116.3*KFC!$B$23*1.02*1.25+KFC!$C$23)*KFC!$C$5</f>
        <v>148.2825</v>
      </c>
      <c r="X190" s="301">
        <f>(118*KFC!$B$23*1.02*1.25+KFC!$C$23)*KFC!$C$5</f>
        <v>150.44999999999999</v>
      </c>
      <c r="Y190" s="301">
        <f>(119.6*KFC!$B$23*1.02*1.25+KFC!$C$23)*KFC!$C$5</f>
        <v>152.48999999999998</v>
      </c>
      <c r="Z190" s="301">
        <f>(121.3*KFC!$B$23*1.02*1.25+KFC!$C$23)*KFC!$C$5</f>
        <v>154.6575</v>
      </c>
      <c r="AA190" s="301">
        <f>(122.9*KFC!$B$23*1.02*1.25+KFC!$C$23)*KFC!$C$5</f>
        <v>156.69749999999999</v>
      </c>
      <c r="AB190" s="301">
        <f>(124.6*KFC!$B$23*1.02*1.25+KFC!$C$23)*KFC!$C$5</f>
        <v>158.86500000000001</v>
      </c>
      <c r="AC190" s="301">
        <f>(126.2*KFC!$B$23*1.02*1.25+KFC!$C$23)*KFC!$C$5</f>
        <v>160.90500000000003</v>
      </c>
      <c r="AD190" s="301">
        <f>(127.9*KFC!$B$23*1.02*1.25+KFC!$C$23)*KFC!$C$5</f>
        <v>163.07249999999999</v>
      </c>
      <c r="AE190" s="301">
        <f>(129.6*KFC!$B$23*1.02*1.25+KFC!$C$23)*KFC!$C$5</f>
        <v>165.24</v>
      </c>
      <c r="AF190" s="301">
        <f>(131.2*KFC!$B$23*1.02*1.25+KFC!$C$23)*KFC!$C$5</f>
        <v>167.27999999999997</v>
      </c>
      <c r="AG190" s="301">
        <f>(132.9*KFC!$B$23*1.02*1.25+KFC!$C$23)*KFC!$C$5</f>
        <v>169.44750000000002</v>
      </c>
      <c r="AH190" s="301">
        <f>(134.5*KFC!$B$23*1.02*1.25+KFC!$C$23)*KFC!$C$5</f>
        <v>171.48750000000001</v>
      </c>
    </row>
    <row r="191" spans="1:34">
      <c r="A191" s="1781"/>
      <c r="B191" s="395">
        <v>0.6</v>
      </c>
      <c r="C191" s="303">
        <f>(84.2*KFC!$B$23*1.02*1.25+KFC!$C$23)*KFC!$C$5</f>
        <v>107.355</v>
      </c>
      <c r="D191" s="300">
        <f>(86*KFC!$B$23*1.02*1.25+KFC!$C$23)*KFC!$C$5</f>
        <v>109.65</v>
      </c>
      <c r="E191" s="300">
        <f>(87.9*KFC!$B$23*1.02*1.25+KFC!$C$23)*KFC!$C$5</f>
        <v>112.07250000000001</v>
      </c>
      <c r="F191" s="300">
        <f>(89.7*KFC!$B$23*1.02*1.25+KFC!$C$23)*KFC!$C$5</f>
        <v>114.36750000000001</v>
      </c>
      <c r="G191" s="300">
        <f>(91.5*KFC!$B$23*1.02*1.25+KFC!$C$23)*KFC!$C$5</f>
        <v>116.66249999999999</v>
      </c>
      <c r="H191" s="300">
        <f>(93.3*KFC!$B$23*1.02*1.25+KFC!$C$23)*KFC!$C$5</f>
        <v>118.9575</v>
      </c>
      <c r="I191" s="300">
        <f>(95.2*KFC!$B$23*1.02*1.25+KFC!$C$23)*KFC!$C$5</f>
        <v>121.38</v>
      </c>
      <c r="J191" s="300">
        <f>(97*KFC!$B$23*1.02*1.25+KFC!$C$23)*KFC!$C$5</f>
        <v>123.675</v>
      </c>
      <c r="K191" s="300">
        <f>(98.8*KFC!$B$23*1.02*1.25+KFC!$C$23)*KFC!$C$5</f>
        <v>125.97</v>
      </c>
      <c r="L191" s="300">
        <f>(100.6*KFC!$B$23*1.02*1.25+KFC!$C$23)*KFC!$C$5</f>
        <v>128.26499999999999</v>
      </c>
      <c r="M191" s="300">
        <f>(102.5*KFC!$B$23*1.02*1.25+KFC!$C$23)*KFC!$C$5</f>
        <v>130.6875</v>
      </c>
      <c r="N191" s="300">
        <f>(104.3*KFC!$B$23*1.02*1.25+KFC!$C$23)*KFC!$C$5</f>
        <v>132.98249999999999</v>
      </c>
      <c r="O191" s="300">
        <f>(106.1*KFC!$B$23*1.02*1.25+KFC!$C$23)*KFC!$C$5</f>
        <v>135.2775</v>
      </c>
      <c r="P191" s="300">
        <f>(107.9*KFC!$B$23*1.02*1.25+KFC!$C$23)*KFC!$C$5</f>
        <v>137.57250000000002</v>
      </c>
      <c r="Q191" s="300">
        <f>(109.7*KFC!$B$23*1.02*1.25+KFC!$C$23)*KFC!$C$5</f>
        <v>139.86750000000001</v>
      </c>
      <c r="R191" s="300">
        <f>(111.6*KFC!$B$23*1.02*1.25+KFC!$C$23)*KFC!$C$5</f>
        <v>142.29</v>
      </c>
      <c r="S191" s="300">
        <f>(113.4*KFC!$B$23*1.02*1.25+KFC!$C$23)*KFC!$C$5</f>
        <v>144.58500000000001</v>
      </c>
      <c r="T191" s="300">
        <f>(152*KFC!$B$23*1.02*1.25+KFC!$C$23)*KFC!$C$5</f>
        <v>193.79999999999998</v>
      </c>
      <c r="U191" s="300">
        <f>(117*KFC!$B$23*1.02*1.25+KFC!$C$23)*KFC!$C$5</f>
        <v>149.17500000000001</v>
      </c>
      <c r="V191" s="300">
        <f>(118.9*KFC!$B$23*1.02*1.25+KFC!$C$23)*KFC!$C$5</f>
        <v>151.5975</v>
      </c>
      <c r="W191" s="300">
        <f>(120.7*KFC!$B$23*1.02*1.25+KFC!$C$23)*KFC!$C$5</f>
        <v>153.89250000000001</v>
      </c>
      <c r="X191" s="300">
        <f>(122.5*KFC!$B$23*1.02*1.25+KFC!$C$23)*KFC!$C$5</f>
        <v>156.1875</v>
      </c>
      <c r="Y191" s="300">
        <f>(124.3*KFC!$B$23*1.02*1.25+KFC!$C$23)*KFC!$C$5</f>
        <v>158.48250000000002</v>
      </c>
      <c r="Z191" s="300">
        <f>(126.2*KFC!$B$23*1.02*1.25+KFC!$C$23)*KFC!$C$5</f>
        <v>160.90500000000003</v>
      </c>
      <c r="AA191" s="300">
        <f>(128*KFC!$B$23*1.02*1.25+KFC!$C$23)*KFC!$C$5</f>
        <v>163.19999999999999</v>
      </c>
      <c r="AB191" s="300">
        <f>(129.8*KFC!$B$23*1.02*1.25+KFC!$C$23)*KFC!$C$5</f>
        <v>165.495</v>
      </c>
      <c r="AC191" s="300">
        <f>(131.6*KFC!$B$23*1.02*1.25+KFC!$C$23)*KFC!$C$5</f>
        <v>167.79</v>
      </c>
      <c r="AD191" s="300">
        <f>(133.5*KFC!$B$23*1.02*1.25+KFC!$C$23)*KFC!$C$5</f>
        <v>170.21250000000003</v>
      </c>
      <c r="AE191" s="300">
        <f>(135.3*KFC!$B$23*1.02*1.25+KFC!$C$23)*KFC!$C$5</f>
        <v>172.50749999999999</v>
      </c>
      <c r="AF191" s="300">
        <f>(137.1*KFC!$B$23*1.02*1.25+KFC!$C$23)*KFC!$C$5</f>
        <v>174.80249999999998</v>
      </c>
      <c r="AG191" s="300">
        <f>(138.9*KFC!$B$23*1.02*1.25+KFC!$C$23)*KFC!$C$5</f>
        <v>177.0975</v>
      </c>
      <c r="AH191" s="304">
        <f>(140.8*KFC!$B$23*1.02*1.25+KFC!$C$23)*KFC!$C$5</f>
        <v>179.52</v>
      </c>
    </row>
    <row r="192" spans="1:34">
      <c r="A192" s="1781"/>
      <c r="B192" s="395">
        <v>0.7</v>
      </c>
      <c r="C192" s="303">
        <f>(85.3*KFC!$B$23*1.02*1.25+KFC!$C$23)*KFC!$C$5</f>
        <v>108.75749999999999</v>
      </c>
      <c r="D192" s="300">
        <f>(87.2*KFC!$B$23*1.02*1.25+KFC!$C$23)*KFC!$C$5</f>
        <v>111.18</v>
      </c>
      <c r="E192" s="300">
        <f>(89.2*KFC!$B$23*1.02*1.25+KFC!$C$23)*KFC!$C$5</f>
        <v>113.73000000000002</v>
      </c>
      <c r="F192" s="300">
        <f>(91.2*KFC!$B$23*1.02*1.25+KFC!$C$23)*KFC!$C$5</f>
        <v>116.28</v>
      </c>
      <c r="G192" s="300">
        <f>(93.2*KFC!$B$23*1.02*1.25+KFC!$C$23)*KFC!$C$5</f>
        <v>118.83000000000001</v>
      </c>
      <c r="H192" s="300">
        <f>(95.2*KFC!$B$23*1.02*1.25+KFC!$C$23)*KFC!$C$5</f>
        <v>121.38</v>
      </c>
      <c r="I192" s="300">
        <f>(97.2*KFC!$B$23*1.02*1.25+KFC!$C$23)*KFC!$C$5</f>
        <v>123.93</v>
      </c>
      <c r="J192" s="300">
        <f>(99.2*KFC!$B$23*1.02*1.25+KFC!$C$23)*KFC!$C$5</f>
        <v>126.48000000000002</v>
      </c>
      <c r="K192" s="300">
        <f>(101.2*KFC!$B$23*1.02*1.25+KFC!$C$23)*KFC!$C$5</f>
        <v>129.03</v>
      </c>
      <c r="L192" s="300">
        <f>(103.2*KFC!$B$23*1.02*1.25+KFC!$C$23)*KFC!$C$5</f>
        <v>131.58000000000001</v>
      </c>
      <c r="M192" s="300">
        <f>(105.2*KFC!$B$23*1.02*1.25+KFC!$C$23)*KFC!$C$5</f>
        <v>134.13</v>
      </c>
      <c r="N192" s="300">
        <f>(107.2*KFC!$B$23*1.02*1.25+KFC!$C$23)*KFC!$C$5</f>
        <v>136.68</v>
      </c>
      <c r="O192" s="300">
        <f>(109.1*KFC!$B$23*1.02*1.25+KFC!$C$23)*KFC!$C$5</f>
        <v>139.10249999999999</v>
      </c>
      <c r="P192" s="300">
        <f>(111.1*KFC!$B$23*1.02*1.25+KFC!$C$23)*KFC!$C$5</f>
        <v>141.6525</v>
      </c>
      <c r="Q192" s="300">
        <f>(113.1*KFC!$B$23*1.02*1.25+KFC!$C$23)*KFC!$C$5</f>
        <v>144.20249999999999</v>
      </c>
      <c r="R192" s="300">
        <f>(115.1*KFC!$B$23*1.02*1.25+KFC!$C$23)*KFC!$C$5</f>
        <v>146.7525</v>
      </c>
      <c r="S192" s="300">
        <f>(117.1*KFC!$B$23*1.02*1.25+KFC!$C$23)*KFC!$C$5</f>
        <v>149.30249999999998</v>
      </c>
      <c r="T192" s="300">
        <f>(119.1*KFC!$B$23*1.02*1.25+KFC!$C$23)*KFC!$C$5</f>
        <v>151.85249999999999</v>
      </c>
      <c r="U192" s="300">
        <f>(121.1*KFC!$B$23*1.02*1.25+KFC!$C$23)*KFC!$C$5</f>
        <v>154.40249999999997</v>
      </c>
      <c r="V192" s="300">
        <f>(123.1*KFC!$B$23*1.02*1.25+KFC!$C$23)*KFC!$C$5</f>
        <v>156.95249999999999</v>
      </c>
      <c r="W192" s="300">
        <f>(125.1*KFC!$B$23*1.02*1.25+KFC!$C$23)*KFC!$C$5</f>
        <v>159.5025</v>
      </c>
      <c r="X192" s="300">
        <f>(127.1*KFC!$B$23*1.02*1.25+KFC!$C$23)*KFC!$C$5</f>
        <v>162.05250000000001</v>
      </c>
      <c r="Y192" s="300">
        <f>(129.1*KFC!$B$23*1.02*1.25+KFC!$C$23)*KFC!$C$5</f>
        <v>164.60249999999999</v>
      </c>
      <c r="Z192" s="300">
        <f>(131.1*KFC!$B$23*1.02*1.25+KFC!$C$23)*KFC!$C$5</f>
        <v>167.1525</v>
      </c>
      <c r="AA192" s="300">
        <f>(133*KFC!$B$23*1.02*1.25+KFC!$C$23)*KFC!$C$5</f>
        <v>169.57499999999999</v>
      </c>
      <c r="AB192" s="300">
        <f>(135*KFC!$B$23*1.02*1.25+KFC!$C$23)*KFC!$C$5</f>
        <v>172.125</v>
      </c>
      <c r="AC192" s="300">
        <f>(137*KFC!$B$23*1.02*1.25+KFC!$C$23)*KFC!$C$5</f>
        <v>174.67500000000001</v>
      </c>
      <c r="AD192" s="300">
        <f>(139*KFC!$B$23*1.02*1.25+KFC!$C$23)*KFC!$C$5</f>
        <v>177.22499999999999</v>
      </c>
      <c r="AE192" s="300">
        <f>(141*KFC!$B$23*1.02*1.25+KFC!$C$23)*KFC!$C$5</f>
        <v>179.77499999999998</v>
      </c>
      <c r="AF192" s="300">
        <f>(143*KFC!$B$23*1.02*1.25+KFC!$C$23)*KFC!$C$5</f>
        <v>182.32500000000002</v>
      </c>
      <c r="AG192" s="300">
        <f>(145*KFC!$B$23*1.02*1.25+KFC!$C$23)*KFC!$C$5</f>
        <v>184.875</v>
      </c>
      <c r="AH192" s="304">
        <f>(147*KFC!$B$23*1.02*1.25+KFC!$C$23)*KFC!$C$5</f>
        <v>187.42500000000001</v>
      </c>
    </row>
    <row r="193" spans="1:34">
      <c r="A193" s="1781"/>
      <c r="B193" s="395">
        <v>0.8</v>
      </c>
      <c r="C193" s="303">
        <f>(86.3*KFC!$B$23*1.02*1.25+KFC!$C$23)*KFC!$C$5</f>
        <v>110.0325</v>
      </c>
      <c r="D193" s="300">
        <f>(88.5*KFC!$B$23*1.02*1.25+KFC!$C$23)*KFC!$C$5</f>
        <v>112.83749999999999</v>
      </c>
      <c r="E193" s="300">
        <f>(90.6*KFC!$B$23*1.02*1.25+KFC!$C$23)*KFC!$C$5</f>
        <v>115.51499999999999</v>
      </c>
      <c r="F193" s="300">
        <f>(92.8*KFC!$B$23*1.02*1.25+KFC!$C$23)*KFC!$C$5</f>
        <v>118.32</v>
      </c>
      <c r="G193" s="300">
        <f>(94.9*KFC!$B$23*1.02*1.25+KFC!$C$23)*KFC!$C$5</f>
        <v>120.9975</v>
      </c>
      <c r="H193" s="300">
        <f>(97.1*KFC!$B$23*1.02*1.25+KFC!$C$23)*KFC!$C$5</f>
        <v>123.80250000000001</v>
      </c>
      <c r="I193" s="300">
        <f>(99.2*KFC!$B$23*1.02*1.25+KFC!$C$23)*KFC!$C$5</f>
        <v>126.48000000000002</v>
      </c>
      <c r="J193" s="300">
        <f>(101.4*KFC!$B$23*1.02*1.25+KFC!$C$23)*KFC!$C$5</f>
        <v>129.28500000000003</v>
      </c>
      <c r="K193" s="300">
        <f>(103.6*KFC!$B$23*1.02*1.25+KFC!$C$23)*KFC!$C$5</f>
        <v>132.09</v>
      </c>
      <c r="L193" s="300">
        <f>(105.7*KFC!$B$23*1.02*1.25+KFC!$C$23)*KFC!$C$5</f>
        <v>134.76750000000001</v>
      </c>
      <c r="M193" s="300">
        <f>(107.9*KFC!$B$23*1.02*1.25+KFC!$C$23)*KFC!$C$5</f>
        <v>137.57250000000002</v>
      </c>
      <c r="N193" s="300">
        <f>(110*KFC!$B$23*1.02*1.25+KFC!$C$23)*KFC!$C$5</f>
        <v>140.25</v>
      </c>
      <c r="O193" s="300">
        <f>(112.2*KFC!$B$23*1.02*1.25+KFC!$C$23)*KFC!$C$5</f>
        <v>143.05500000000001</v>
      </c>
      <c r="P193" s="300">
        <f>(114.4*KFC!$B$23*1.02*1.25+KFC!$C$23)*KFC!$C$5</f>
        <v>145.86000000000001</v>
      </c>
      <c r="Q193" s="300">
        <f>(116.5*KFC!$B$23*1.02*1.25+KFC!$C$23)*KFC!$C$5</f>
        <v>148.53749999999999</v>
      </c>
      <c r="R193" s="300">
        <f>(118.7*KFC!$B$23*1.02*1.25+KFC!$C$23)*KFC!$C$5</f>
        <v>151.3425</v>
      </c>
      <c r="S193" s="300">
        <f>(120.8*KFC!$B$23*1.02*1.25+KFC!$C$23)*KFC!$C$5</f>
        <v>154.01999999999998</v>
      </c>
      <c r="T193" s="300">
        <f>(123*KFC!$B$23*1.02*1.25+KFC!$C$23)*KFC!$C$5</f>
        <v>156.82500000000002</v>
      </c>
      <c r="U193" s="300">
        <f>(125.1*KFC!$B$23*1.02*1.25+KFC!$C$23)*KFC!$C$5</f>
        <v>159.5025</v>
      </c>
      <c r="V193" s="300">
        <f>(127.3*KFC!$B$23*1.02*1.25+KFC!$C$23)*KFC!$C$5</f>
        <v>162.3075</v>
      </c>
      <c r="W193" s="300">
        <f>(129.5*KFC!$B$23*1.02*1.25+KFC!$C$23)*KFC!$C$5</f>
        <v>165.11250000000001</v>
      </c>
      <c r="X193" s="300">
        <f>(131.6*KFC!$B$23*1.02*1.25+KFC!$C$23)*KFC!$C$5</f>
        <v>167.79</v>
      </c>
      <c r="Y193" s="300">
        <f>(133.8*KFC!$B$23*1.02*1.25+KFC!$C$23)*KFC!$C$5</f>
        <v>170.59500000000003</v>
      </c>
      <c r="Z193" s="300">
        <f>(135.9*KFC!$B$23*1.02*1.25+KFC!$C$23)*KFC!$C$5</f>
        <v>173.27249999999998</v>
      </c>
      <c r="AA193" s="300">
        <f>(138.1*KFC!$B$23*1.02*1.25+KFC!$C$23)*KFC!$C$5</f>
        <v>176.07749999999999</v>
      </c>
      <c r="AB193" s="300">
        <f>(140.3*KFC!$B$23*1.02*1.25+KFC!$C$23)*KFC!$C$5</f>
        <v>178.88250000000002</v>
      </c>
      <c r="AC193" s="300">
        <f>(142.4*KFC!$B$23*1.02*1.25+KFC!$C$23)*KFC!$C$5</f>
        <v>181.56000000000003</v>
      </c>
      <c r="AD193" s="300">
        <f>(144.6*KFC!$B$23*1.02*1.25+KFC!$C$23)*KFC!$C$5</f>
        <v>184.36499999999998</v>
      </c>
      <c r="AE193" s="300">
        <f>(146.7*KFC!$B$23*1.02*1.25+KFC!$C$23)*KFC!$C$5</f>
        <v>187.04249999999999</v>
      </c>
      <c r="AF193" s="300">
        <f>(148.9*KFC!$B$23*1.02*1.25+KFC!$C$23)*KFC!$C$5</f>
        <v>189.84750000000003</v>
      </c>
      <c r="AG193" s="300">
        <f>(151.1*KFC!$B$23*1.02*1.25+KFC!$C$23)*KFC!$C$5</f>
        <v>192.65249999999997</v>
      </c>
      <c r="AH193" s="304">
        <f>(153.2*KFC!$B$23*1.02*1.25+KFC!$C$23)*KFC!$C$5</f>
        <v>195.32999999999998</v>
      </c>
    </row>
    <row r="194" spans="1:34">
      <c r="A194" s="1781"/>
      <c r="B194" s="395">
        <v>0.9</v>
      </c>
      <c r="C194" s="303">
        <f>(87.3*KFC!$B$23*1.02*1.25+KFC!$C$23)*KFC!$C$5</f>
        <v>111.30749999999999</v>
      </c>
      <c r="D194" s="300">
        <f>(89.7*KFC!$B$23*1.02*1.25+KFC!$C$23)*KFC!$C$5</f>
        <v>114.36750000000001</v>
      </c>
      <c r="E194" s="300">
        <f>(92*KFC!$B$23*1.02*1.25+KFC!$C$23)*KFC!$C$5</f>
        <v>117.30000000000001</v>
      </c>
      <c r="F194" s="300">
        <f>(94.3*KFC!$B$23*1.02*1.25+KFC!$C$23)*KFC!$C$5</f>
        <v>120.23249999999999</v>
      </c>
      <c r="G194" s="300">
        <f>(96.6*KFC!$B$23*1.02*1.25+KFC!$C$23)*KFC!$C$5</f>
        <v>123.16499999999999</v>
      </c>
      <c r="H194" s="300">
        <f>(99*KFC!$B$23*1.02*1.25+KFC!$C$23)*KFC!$C$5</f>
        <v>126.22500000000001</v>
      </c>
      <c r="I194" s="300">
        <f>(101.3*KFC!$B$23*1.02*1.25+KFC!$C$23)*KFC!$C$5</f>
        <v>129.1575</v>
      </c>
      <c r="J194" s="300">
        <f>(103.6*KFC!$B$23*1.02*1.25+KFC!$C$23)*KFC!$C$5</f>
        <v>132.09</v>
      </c>
      <c r="K194" s="300">
        <f>(105.9*KFC!$B$23*1.02*1.25+KFC!$C$23)*KFC!$C$5</f>
        <v>135.02250000000001</v>
      </c>
      <c r="L194" s="300">
        <f>(108.3*KFC!$B$23*1.02*1.25+KFC!$C$23)*KFC!$C$5</f>
        <v>138.08249999999998</v>
      </c>
      <c r="M194" s="300">
        <f>(110.6*KFC!$B$23*1.02*1.25+KFC!$C$23)*KFC!$C$5</f>
        <v>141.01499999999999</v>
      </c>
      <c r="N194" s="300">
        <f>(112*KFC!$B$23*1.02*1.25+KFC!$C$23)*KFC!$C$5</f>
        <v>142.80000000000001</v>
      </c>
      <c r="O194" s="300">
        <f>(115.3*KFC!$B$23*1.02*1.25+KFC!$C$23)*KFC!$C$5</f>
        <v>147.00749999999999</v>
      </c>
      <c r="P194" s="300">
        <f>(117.6*KFC!$B$23*1.02*1.25+KFC!$C$23)*KFC!$C$5</f>
        <v>149.94</v>
      </c>
      <c r="Q194" s="300">
        <f>(119.9*KFC!$B$23*1.02*1.25+KFC!$C$23)*KFC!$C$5</f>
        <v>152.8725</v>
      </c>
      <c r="R194" s="300">
        <f>(122.2*KFC!$B$23*1.02*1.25+KFC!$C$23)*KFC!$C$5</f>
        <v>155.80500000000001</v>
      </c>
      <c r="S194" s="300">
        <f>(124.6*KFC!$B$23*1.02*1.25+KFC!$C$23)*KFC!$C$5</f>
        <v>158.86500000000001</v>
      </c>
      <c r="T194" s="300">
        <f>(126.9*KFC!$B$23*1.02*1.25+KFC!$C$23)*KFC!$C$5</f>
        <v>161.79750000000001</v>
      </c>
      <c r="U194" s="300">
        <f>(129.2*KFC!$B$23*1.02*1.25+KFC!$C$23)*KFC!$C$5</f>
        <v>164.73</v>
      </c>
      <c r="V194" s="300">
        <f>(131.5*KFC!$B$23*1.02*1.25+KFC!$C$23)*KFC!$C$5</f>
        <v>167.66249999999999</v>
      </c>
      <c r="W194" s="300">
        <f>(133.9*KFC!$B$23*1.02*1.25+KFC!$C$23)*KFC!$C$5</f>
        <v>170.7225</v>
      </c>
      <c r="X194" s="300">
        <f>(136.2*KFC!$B$23*1.02*1.25+KFC!$C$23)*KFC!$C$5</f>
        <v>173.65499999999997</v>
      </c>
      <c r="Y194" s="300">
        <f>(138.5*KFC!$B$23*1.02*1.25+KFC!$C$23)*KFC!$C$5</f>
        <v>176.58750000000001</v>
      </c>
      <c r="Z194" s="300">
        <f>(140.8*KFC!$B$23*1.02*1.25+KFC!$C$23)*KFC!$C$5</f>
        <v>179.52</v>
      </c>
      <c r="AA194" s="300">
        <f>(143.2*KFC!$B$23*1.02*1.25+KFC!$C$23)*KFC!$C$5</f>
        <v>182.57999999999998</v>
      </c>
      <c r="AB194" s="300">
        <f>(145.5*KFC!$B$23*1.02*1.25+KFC!$C$23)*KFC!$C$5</f>
        <v>185.51249999999999</v>
      </c>
      <c r="AC194" s="300">
        <f>(147.8*KFC!$B$23*1.02*1.25+KFC!$C$23)*KFC!$C$5</f>
        <v>188.44499999999999</v>
      </c>
      <c r="AD194" s="300">
        <f>(150.1*KFC!$B$23*1.02*1.25+KFC!$C$23)*KFC!$C$5</f>
        <v>191.3775</v>
      </c>
      <c r="AE194" s="300">
        <f>(152.5*KFC!$B$23*1.02*1.25+KFC!$C$23)*KFC!$C$5</f>
        <v>194.4375</v>
      </c>
      <c r="AF194" s="300">
        <f>(154.8*KFC!$B$23*1.02*1.25+KFC!$C$23)*KFC!$C$5</f>
        <v>197.37</v>
      </c>
      <c r="AG194" s="300">
        <f>(157.1*KFC!$B$23*1.02*1.25+KFC!$C$23)*KFC!$C$5</f>
        <v>200.30249999999998</v>
      </c>
      <c r="AH194" s="304">
        <f>(159.4*KFC!$B$23*1.02*1.25+KFC!$C$23)*KFC!$C$5</f>
        <v>203.23500000000001</v>
      </c>
    </row>
    <row r="195" spans="1:34">
      <c r="A195" s="1781"/>
      <c r="B195" s="395">
        <v>1</v>
      </c>
      <c r="C195" s="303">
        <f>(88.4*KFC!$B$23*1.02*1.25+KFC!$C$23)*KFC!$C$5</f>
        <v>112.71000000000001</v>
      </c>
      <c r="D195" s="300">
        <f>(90.9*KFC!$B$23*1.02*1.25+KFC!$C$23)*KFC!$C$5</f>
        <v>115.89750000000001</v>
      </c>
      <c r="E195" s="300">
        <f>(93.4*KFC!$B$23*1.02*1.25+KFC!$C$23)*KFC!$C$5</f>
        <v>119.08500000000001</v>
      </c>
      <c r="F195" s="300">
        <f>(95.9*KFC!$B$23*1.02*1.25+KFC!$C$23)*KFC!$C$5</f>
        <v>122.27250000000001</v>
      </c>
      <c r="G195" s="300">
        <f>(98.4*KFC!$B$23*1.02*1.25+KFC!$C$23)*KFC!$C$5</f>
        <v>125.46000000000001</v>
      </c>
      <c r="H195" s="300">
        <f>(100.9*KFC!$B$23*1.02*1.25+KFC!$C$23)*KFC!$C$5</f>
        <v>128.64750000000001</v>
      </c>
      <c r="I195" s="300">
        <f>(103.3*KFC!$B$23*1.02*1.25+KFC!$C$23)*KFC!$C$5</f>
        <v>131.70750000000001</v>
      </c>
      <c r="J195" s="300">
        <f>(105.8*KFC!$B$23*1.02*1.25+KFC!$C$23)*KFC!$C$5</f>
        <v>134.89499999999998</v>
      </c>
      <c r="K195" s="300">
        <f>(108.3*KFC!$B$23*1.02*1.25+KFC!$C$23)*KFC!$C$5</f>
        <v>138.08249999999998</v>
      </c>
      <c r="L195" s="300">
        <f>(110.8*KFC!$B$23*1.02*1.25+KFC!$C$23)*KFC!$C$5</f>
        <v>141.27000000000001</v>
      </c>
      <c r="M195" s="300">
        <f>(113.3*KFC!$B$23*1.02*1.25+KFC!$C$23)*KFC!$C$5</f>
        <v>144.45750000000001</v>
      </c>
      <c r="N195" s="300">
        <f>(115.8*KFC!$B$23*1.02*1.25+KFC!$C$23)*KFC!$C$5</f>
        <v>147.64500000000001</v>
      </c>
      <c r="O195" s="300">
        <f>(118.3*KFC!$B$23*1.02*1.25+KFC!$C$23)*KFC!$C$5</f>
        <v>150.83249999999998</v>
      </c>
      <c r="P195" s="300">
        <f>(120.8*KFC!$B$23*1.02*1.25+KFC!$C$23)*KFC!$C$5</f>
        <v>154.01999999999998</v>
      </c>
      <c r="Q195" s="300">
        <f>(123.3*KFC!$B$23*1.02*1.25+KFC!$C$23)*KFC!$C$5</f>
        <v>157.20750000000001</v>
      </c>
      <c r="R195" s="300">
        <f>(125.8*KFC!$B$23*1.02*1.25+KFC!$C$23)*KFC!$C$5</f>
        <v>160.39500000000001</v>
      </c>
      <c r="S195" s="300">
        <f>(128.3*KFC!$B$23*1.02*1.25+KFC!$C$23)*KFC!$C$5</f>
        <v>163.58250000000001</v>
      </c>
      <c r="T195" s="300">
        <f>(130.8*KFC!$B$23*1.02*1.25+KFC!$C$23)*KFC!$C$5</f>
        <v>166.77000000000004</v>
      </c>
      <c r="U195" s="300">
        <f>(133.3*KFC!$B$23*1.02*1.25+KFC!$C$23)*KFC!$C$5</f>
        <v>169.95750000000001</v>
      </c>
      <c r="V195" s="300">
        <f>(135.7*KFC!$B$23*1.02*1.25+KFC!$C$23)*KFC!$C$5</f>
        <v>173.01749999999998</v>
      </c>
      <c r="W195" s="300">
        <f>(138.2*KFC!$B$23*1.02*1.25+KFC!$C$23)*KFC!$C$5</f>
        <v>176.20499999999998</v>
      </c>
      <c r="X195" s="300">
        <f>(140.7*KFC!$B$23*1.02*1.25+KFC!$C$23)*KFC!$C$5</f>
        <v>179.39249999999998</v>
      </c>
      <c r="Y195" s="300">
        <f>(143.2*KFC!$B$23*1.02*1.25+KFC!$C$23)*KFC!$C$5</f>
        <v>182.57999999999998</v>
      </c>
      <c r="Z195" s="300">
        <f>(145.7*KFC!$B$23*1.02*1.25+KFC!$C$23)*KFC!$C$5</f>
        <v>185.76750000000001</v>
      </c>
      <c r="AA195" s="300">
        <f>(148.2*KFC!$B$23*1.02*1.25+KFC!$C$23)*KFC!$C$5</f>
        <v>188.95499999999998</v>
      </c>
      <c r="AB195" s="300">
        <f>(150.7*KFC!$B$23*1.02*1.25+KFC!$C$23)*KFC!$C$5</f>
        <v>192.14249999999998</v>
      </c>
      <c r="AC195" s="300">
        <f>(153.2*KFC!$B$23*1.02*1.25+KFC!$C$23)*KFC!$C$5</f>
        <v>195.32999999999998</v>
      </c>
      <c r="AD195" s="300">
        <f>(155.7*KFC!$B$23*1.02*1.25+KFC!$C$23)*KFC!$C$5</f>
        <v>198.51749999999998</v>
      </c>
      <c r="AE195" s="300">
        <f>(158.2*KFC!$B$23*1.02*1.25+KFC!$C$23)*KFC!$C$5</f>
        <v>201.70500000000001</v>
      </c>
      <c r="AF195" s="300">
        <f>(160.7*KFC!$B$23*1.02*1.25+KFC!$C$23)*KFC!$C$5</f>
        <v>204.89249999999998</v>
      </c>
      <c r="AG195" s="300">
        <f>(163.2*KFC!$B$23*1.02*1.25+KFC!$C$23)*KFC!$C$5</f>
        <v>208.07999999999998</v>
      </c>
      <c r="AH195" s="304">
        <f>(165.7*KFC!$B$23*1.02*1.25+KFC!$C$23)*KFC!$C$5</f>
        <v>211.26749999999998</v>
      </c>
    </row>
    <row r="196" spans="1:34">
      <c r="A196" s="1781"/>
      <c r="B196" s="395">
        <v>1.1000000000000001</v>
      </c>
      <c r="C196" s="303">
        <f>(89.4*KFC!$B$23*1.02*1.25+KFC!$C$23)*KFC!$C$5</f>
        <v>113.985</v>
      </c>
      <c r="D196" s="300">
        <f>(92.1*KFC!$B$23*1.02*1.25+KFC!$C$23)*KFC!$C$5</f>
        <v>117.42749999999999</v>
      </c>
      <c r="E196" s="300">
        <f>(94.8*KFC!$B$23*1.02*1.25+KFC!$C$23)*KFC!$C$5</f>
        <v>120.87</v>
      </c>
      <c r="F196" s="300">
        <f>(97.4*KFC!$B$23*1.02*1.25+KFC!$C$23)*KFC!$C$5</f>
        <v>124.18500000000002</v>
      </c>
      <c r="G196" s="300">
        <f>(100.1*KFC!$B$23*1.02*1.25+KFC!$C$23)*KFC!$C$5</f>
        <v>127.62749999999998</v>
      </c>
      <c r="H196" s="300">
        <f>(102.7*KFC!$B$23*1.02*1.25+KFC!$C$23)*KFC!$C$5</f>
        <v>130.9425</v>
      </c>
      <c r="I196" s="300">
        <f>(105.4*KFC!$B$23*1.02*1.25+KFC!$C$23)*KFC!$C$5</f>
        <v>134.38500000000002</v>
      </c>
      <c r="J196" s="300">
        <f>(108.1*KFC!$B$23*1.02*1.25+KFC!$C$23)*KFC!$C$5</f>
        <v>137.82749999999999</v>
      </c>
      <c r="K196" s="300">
        <f>(110.7*KFC!$B$23*1.02*1.25+KFC!$C$23)*KFC!$C$5</f>
        <v>141.14250000000001</v>
      </c>
      <c r="L196" s="300">
        <f>(113.4*KFC!$B$23*1.02*1.25+KFC!$C$23)*KFC!$C$5</f>
        <v>144.58500000000001</v>
      </c>
      <c r="M196" s="300">
        <f>(116*KFC!$B$23*1.02*1.25+KFC!$C$23)*KFC!$C$5</f>
        <v>147.9</v>
      </c>
      <c r="N196" s="300">
        <f>(118.7*KFC!$B$23*1.02*1.25+KFC!$C$23)*KFC!$C$5</f>
        <v>151.3425</v>
      </c>
      <c r="O196" s="300">
        <f>(121.4*KFC!$B$23*1.02*1.25+KFC!$C$23)*KFC!$C$5</f>
        <v>154.785</v>
      </c>
      <c r="P196" s="300">
        <f>(124*KFC!$B$23*1.02*1.25+KFC!$C$23)*KFC!$C$5</f>
        <v>158.1</v>
      </c>
      <c r="Q196" s="300">
        <f>(126.7*KFC!$B$23*1.02*1.25+KFC!$C$23)*KFC!$C$5</f>
        <v>161.54250000000002</v>
      </c>
      <c r="R196" s="300">
        <f>(129.3*KFC!$B$23*1.02*1.25+KFC!$C$23)*KFC!$C$5</f>
        <v>164.85750000000002</v>
      </c>
      <c r="S196" s="300">
        <f>(132*KFC!$B$23*1.02*1.25+KFC!$C$23)*KFC!$C$5</f>
        <v>168.3</v>
      </c>
      <c r="T196" s="300">
        <f>(134.7*KFC!$B$23*1.02*1.25+KFC!$C$23)*KFC!$C$5</f>
        <v>171.74249999999998</v>
      </c>
      <c r="U196" s="300">
        <f>(137.3*KFC!$B$23*1.02*1.25+KFC!$C$23)*KFC!$C$5</f>
        <v>175.05750000000003</v>
      </c>
      <c r="V196" s="300">
        <f>(140*KFC!$B$23*1.02*1.25+KFC!$C$23)*KFC!$C$5</f>
        <v>178.5</v>
      </c>
      <c r="W196" s="300">
        <f>(142.6*KFC!$B$23*1.02*1.25+KFC!$C$23)*KFC!$C$5</f>
        <v>181.815</v>
      </c>
      <c r="X196" s="300">
        <f>(145.3*KFC!$B$23*1.02*1.25+KFC!$C$23)*KFC!$C$5</f>
        <v>185.25750000000002</v>
      </c>
      <c r="Y196" s="300">
        <f>(147.9*KFC!$B$23*1.02*1.25+KFC!$C$23)*KFC!$C$5</f>
        <v>188.57249999999999</v>
      </c>
      <c r="Z196" s="300">
        <f>(150.6*KFC!$B$23*1.02*1.25+KFC!$C$23)*KFC!$C$5</f>
        <v>192.01499999999999</v>
      </c>
      <c r="AA196" s="300">
        <f>(153.3*KFC!$B$23*1.02*1.25+KFC!$C$23)*KFC!$C$5</f>
        <v>195.45750000000001</v>
      </c>
      <c r="AB196" s="300">
        <f>(155.9*KFC!$B$23*1.02*1.25+KFC!$C$23)*KFC!$C$5</f>
        <v>198.77250000000001</v>
      </c>
      <c r="AC196" s="300">
        <f>(158.6*KFC!$B$23*1.02*1.25+KFC!$C$23)*KFC!$C$5</f>
        <v>202.21499999999997</v>
      </c>
      <c r="AD196" s="300">
        <f>(161.2*KFC!$B$23*1.02*1.25+KFC!$C$23)*KFC!$C$5</f>
        <v>205.52999999999997</v>
      </c>
      <c r="AE196" s="300">
        <f>(163.9*KFC!$B$23*1.02*1.25+KFC!$C$23)*KFC!$C$5</f>
        <v>208.9725</v>
      </c>
      <c r="AF196" s="300">
        <f>(166.6*KFC!$B$23*1.02*1.25+KFC!$C$23)*KFC!$C$5</f>
        <v>212.41499999999999</v>
      </c>
      <c r="AG196" s="300">
        <f>(169.2*KFC!$B$23*1.02*1.25+KFC!$C$23)*KFC!$C$5</f>
        <v>215.73000000000002</v>
      </c>
      <c r="AH196" s="304">
        <f>(171.9*KFC!$B$23*1.02*1.25+KFC!$C$23)*KFC!$C$5</f>
        <v>219.17250000000001</v>
      </c>
    </row>
    <row r="197" spans="1:34">
      <c r="A197" s="1781"/>
      <c r="B197" s="395">
        <v>1.2</v>
      </c>
      <c r="C197" s="303">
        <f>(90.5*KFC!$B$23*1.02*1.25+KFC!$C$23)*KFC!$C$5</f>
        <v>115.3875</v>
      </c>
      <c r="D197" s="300">
        <f>(93.3*KFC!$B$23*1.02*1.25+KFC!$C$23)*KFC!$C$5</f>
        <v>118.9575</v>
      </c>
      <c r="E197" s="300">
        <f>(96.1*KFC!$B$23*1.02*1.25+KFC!$C$23)*KFC!$C$5</f>
        <v>122.52749999999999</v>
      </c>
      <c r="F197" s="300">
        <f>(99*KFC!$B$23*1.02*1.25+KFC!$C$23)*KFC!$C$5</f>
        <v>126.22500000000001</v>
      </c>
      <c r="G197" s="300">
        <f>(101.8*KFC!$B$23*1.02*1.25+KFC!$C$23)*KFC!$C$5</f>
        <v>129.79499999999999</v>
      </c>
      <c r="H197" s="300">
        <f>(104.6*KFC!$B$23*1.02*1.25+KFC!$C$23)*KFC!$C$5</f>
        <v>133.36499999999998</v>
      </c>
      <c r="I197" s="300">
        <f>(107.4*KFC!$B$23*1.02*1.25+KFC!$C$23)*KFC!$C$5</f>
        <v>136.935</v>
      </c>
      <c r="J197" s="300">
        <f>(110.3*KFC!$B$23*1.02*1.25+KFC!$C$23)*KFC!$C$5</f>
        <v>140.63249999999999</v>
      </c>
      <c r="K197" s="300">
        <f>(113.7*KFC!$B$23*1.02*1.25+KFC!$C$23)*KFC!$C$5</f>
        <v>144.9675</v>
      </c>
      <c r="L197" s="300">
        <f>(115.9*KFC!$B$23*1.02*1.25+KFC!$C$23)*KFC!$C$5</f>
        <v>147.77250000000001</v>
      </c>
      <c r="M197" s="300">
        <f>(118.7*KFC!$B$23*1.02*1.25+KFC!$C$23)*KFC!$C$5</f>
        <v>151.3425</v>
      </c>
      <c r="N197" s="300">
        <f>(121.6*KFC!$B$23*1.02*1.25+KFC!$C$23)*KFC!$C$5</f>
        <v>155.04</v>
      </c>
      <c r="O197" s="300">
        <f>(124.4*KFC!$B$23*1.02*1.25+KFC!$C$23)*KFC!$C$5</f>
        <v>158.61000000000001</v>
      </c>
      <c r="P197" s="300">
        <f>(127.2*KFC!$B$23*1.02*1.25+KFC!$C$23)*KFC!$C$5</f>
        <v>162.18</v>
      </c>
      <c r="Q197" s="300">
        <f>(130.1*KFC!$B$23*1.02*1.25+KFC!$C$23)*KFC!$C$5</f>
        <v>165.8775</v>
      </c>
      <c r="R197" s="300">
        <f>(132.9*KFC!$B$23*1.02*1.25+KFC!$C$23)*KFC!$C$5</f>
        <v>169.44750000000002</v>
      </c>
      <c r="S197" s="300">
        <f>(135.7*KFC!$B$23*1.02*1.25+KFC!$C$23)*KFC!$C$5</f>
        <v>173.01749999999998</v>
      </c>
      <c r="T197" s="300">
        <f>(138.5*KFC!$B$23*1.02*1.25+KFC!$C$23)*KFC!$C$5</f>
        <v>176.58750000000001</v>
      </c>
      <c r="U197" s="300">
        <f>(141.4*KFC!$B$23*1.02*1.25+KFC!$C$23)*KFC!$C$5</f>
        <v>180.28500000000003</v>
      </c>
      <c r="V197" s="300">
        <f>(144.2*KFC!$B$23*1.02*1.25+KFC!$C$23)*KFC!$C$5</f>
        <v>183.85500000000002</v>
      </c>
      <c r="W197" s="300">
        <f>(147*KFC!$B$23*1.02*1.25+KFC!$C$23)*KFC!$C$5</f>
        <v>187.42500000000001</v>
      </c>
      <c r="X197" s="300">
        <f>(149.8*KFC!$B$23*1.02*1.25+KFC!$C$23)*KFC!$C$5</f>
        <v>190.99500000000003</v>
      </c>
      <c r="Y197" s="300">
        <f>(152.7*KFC!$B$23*1.02*1.25+KFC!$C$23)*KFC!$C$5</f>
        <v>194.6925</v>
      </c>
      <c r="Z197" s="300">
        <f>(155.5*KFC!$B$23*1.02*1.25+KFC!$C$23)*KFC!$C$5</f>
        <v>198.26250000000002</v>
      </c>
      <c r="AA197" s="300">
        <f>(158.3*KFC!$B$23*1.02*1.25+KFC!$C$23)*KFC!$C$5</f>
        <v>201.83250000000001</v>
      </c>
      <c r="AB197" s="300">
        <f>(161.2*KFC!$B$23*1.02*1.25+KFC!$C$23)*KFC!$C$5</f>
        <v>205.52999999999997</v>
      </c>
      <c r="AC197" s="300">
        <f>(167*KFC!$B$23*1.02*1.25+KFC!$C$23)*KFC!$C$5</f>
        <v>212.92500000000001</v>
      </c>
      <c r="AD197" s="300">
        <f>(166.8*KFC!$B$23*1.02*1.25+KFC!$C$23)*KFC!$C$5</f>
        <v>212.67000000000002</v>
      </c>
      <c r="AE197" s="300">
        <f>(169.6*KFC!$B$23*1.02*1.25+KFC!$C$23)*KFC!$C$5</f>
        <v>216.23999999999998</v>
      </c>
      <c r="AF197" s="300">
        <f>(172.5*KFC!$B$23*1.02*1.25+KFC!$C$23)*KFC!$C$5</f>
        <v>219.93750000000003</v>
      </c>
      <c r="AG197" s="300">
        <f>(175.3*KFC!$B$23*1.02*1.25+KFC!$C$23)*KFC!$C$5</f>
        <v>223.50750000000002</v>
      </c>
      <c r="AH197" s="304">
        <f>(178.1*KFC!$B$23*1.02*1.25+KFC!$C$23)*KFC!$C$5</f>
        <v>227.07750000000001</v>
      </c>
    </row>
    <row r="198" spans="1:34">
      <c r="A198" s="1781"/>
      <c r="B198" s="395">
        <v>1.3</v>
      </c>
      <c r="C198" s="303">
        <f>(91.5*KFC!$B$23*1.02*1.25+KFC!$C$23)*KFC!$C$5</f>
        <v>116.66249999999999</v>
      </c>
      <c r="D198" s="300">
        <f>(94.5*KFC!$B$23*1.02*1.25+KFC!$C$23)*KFC!$C$5</f>
        <v>120.4875</v>
      </c>
      <c r="E198" s="300">
        <f>(97.5*KFC!$B$23*1.02*1.25+KFC!$C$23)*KFC!$C$5</f>
        <v>124.3125</v>
      </c>
      <c r="F198" s="300">
        <f>(100.5*KFC!$B$23*1.02*1.25+KFC!$C$23)*KFC!$C$5</f>
        <v>128.13750000000002</v>
      </c>
      <c r="G198" s="300">
        <f>(103.5*KFC!$B$23*1.02*1.25+KFC!$C$23)*KFC!$C$5</f>
        <v>131.96250000000001</v>
      </c>
      <c r="H198" s="300">
        <f>(106.5*KFC!$B$23*1.02*1.25+KFC!$C$23)*KFC!$C$5</f>
        <v>135.78749999999999</v>
      </c>
      <c r="I198" s="300">
        <f>(109.5*KFC!$B$23*1.02*1.25+KFC!$C$23)*KFC!$C$5</f>
        <v>139.61250000000001</v>
      </c>
      <c r="J198" s="300">
        <f>(112.5*KFC!$B$23*1.02*1.25+KFC!$C$23)*KFC!$C$5</f>
        <v>143.4375</v>
      </c>
      <c r="K198" s="300">
        <f>(115.5*KFC!$B$23*1.02*1.25+KFC!$C$23)*KFC!$C$5</f>
        <v>147.26249999999999</v>
      </c>
      <c r="L198" s="300">
        <f>(118.5*KFC!$B$23*1.02*1.25+KFC!$C$23)*KFC!$C$5</f>
        <v>151.08750000000001</v>
      </c>
      <c r="M198" s="300">
        <f>(121.5*KFC!$B$23*1.02*1.25+KFC!$C$23)*KFC!$C$5</f>
        <v>154.91250000000002</v>
      </c>
      <c r="N198" s="300">
        <f>(124.5*KFC!$B$23*1.02*1.25+KFC!$C$23)*KFC!$C$5</f>
        <v>158.73750000000001</v>
      </c>
      <c r="O198" s="300">
        <f>(127.5*KFC!$B$23*1.02*1.25+KFC!$C$23)*KFC!$C$5</f>
        <v>162.5625</v>
      </c>
      <c r="P198" s="300">
        <f>(130.4*KFC!$B$23*1.02*1.25+KFC!$C$23)*KFC!$C$5</f>
        <v>166.26000000000002</v>
      </c>
      <c r="Q198" s="300">
        <f>(133.4*KFC!$B$23*1.02*1.25+KFC!$C$23)*KFC!$C$5</f>
        <v>170.08500000000001</v>
      </c>
      <c r="R198" s="300">
        <f>(136.4*KFC!$B$23*1.02*1.25+KFC!$C$23)*KFC!$C$5</f>
        <v>173.91000000000003</v>
      </c>
      <c r="S198" s="300">
        <f>(139.4*KFC!$B$23*1.02*1.25+KFC!$C$23)*KFC!$C$5</f>
        <v>177.73500000000001</v>
      </c>
      <c r="T198" s="300">
        <f>(142.4*KFC!$B$23*1.02*1.25+KFC!$C$23)*KFC!$C$5</f>
        <v>181.56000000000003</v>
      </c>
      <c r="U198" s="300">
        <f>(145.4*KFC!$B$23*1.02*1.25+KFC!$C$23)*KFC!$C$5</f>
        <v>185.38500000000002</v>
      </c>
      <c r="V198" s="300">
        <f>(148.4*KFC!$B$23*1.02*1.25+KFC!$C$23)*KFC!$C$5</f>
        <v>189.20999999999998</v>
      </c>
      <c r="W198" s="300">
        <f>(151.4*KFC!$B$23*1.02*1.25+KFC!$C$23)*KFC!$C$5</f>
        <v>193.035</v>
      </c>
      <c r="X198" s="300">
        <f>(154.4*KFC!$B$23*1.02*1.25+KFC!$C$23)*KFC!$C$5</f>
        <v>196.86</v>
      </c>
      <c r="Y198" s="300">
        <f>(157.4*KFC!$B$23*1.02*1.25+KFC!$C$23)*KFC!$C$5</f>
        <v>200.685</v>
      </c>
      <c r="Z198" s="300">
        <f>(160.4*KFC!$B$23*1.02*1.25+KFC!$C$23)*KFC!$C$5</f>
        <v>204.51</v>
      </c>
      <c r="AA198" s="300">
        <f>(163.4*KFC!$B$23*1.02*1.25+KFC!$C$23)*KFC!$C$5</f>
        <v>208.33500000000001</v>
      </c>
      <c r="AB198" s="300">
        <f>(166.4*KFC!$B$23*1.02*1.25+KFC!$C$23)*KFC!$C$5</f>
        <v>212.16000000000003</v>
      </c>
      <c r="AC198" s="300">
        <f>(169.4*KFC!$B$23*1.02*1.25+KFC!$C$23)*KFC!$C$5</f>
        <v>215.98500000000001</v>
      </c>
      <c r="AD198" s="300">
        <f>(172.4*KFC!$B$23*1.02*1.25+KFC!$C$23)*KFC!$C$5</f>
        <v>219.81</v>
      </c>
      <c r="AE198" s="300">
        <f>(175.4*KFC!$B$23*1.02*1.25+KFC!$C$23)*KFC!$C$5</f>
        <v>223.63500000000002</v>
      </c>
      <c r="AF198" s="300">
        <f>(178.4*KFC!$B$23*1.02*1.25+KFC!$C$23)*KFC!$C$5</f>
        <v>227.46000000000004</v>
      </c>
      <c r="AG198" s="300">
        <f>(181.3*KFC!$B$23*1.02*1.25+KFC!$C$23)*KFC!$C$5</f>
        <v>231.15750000000003</v>
      </c>
      <c r="AH198" s="304">
        <f>(184.3*KFC!$B$23*1.02*1.25+KFC!$C$23)*KFC!$C$5</f>
        <v>234.98250000000002</v>
      </c>
    </row>
    <row r="199" spans="1:34">
      <c r="A199" s="1781"/>
      <c r="B199" s="395">
        <v>1.4</v>
      </c>
      <c r="C199" s="303">
        <f>(92.6*KFC!$B$23*1.02*1.25+KFC!$C$23)*KFC!$C$5</f>
        <v>118.065</v>
      </c>
      <c r="D199" s="300">
        <f>(95.7*KFC!$B$23*1.02*1.25+KFC!$C$23)*KFC!$C$5</f>
        <v>122.01750000000001</v>
      </c>
      <c r="E199" s="300">
        <f>(98.9*KFC!$B$23*1.02*1.25+KFC!$C$23)*KFC!$C$5</f>
        <v>126.09750000000003</v>
      </c>
      <c r="F199" s="300">
        <f>(102.1*KFC!$B$23*1.02*1.25+KFC!$C$23)*KFC!$C$5</f>
        <v>130.17750000000001</v>
      </c>
      <c r="G199" s="300">
        <f>(105.2*KFC!$B$23*1.02*1.25+KFC!$C$23)*KFC!$C$5</f>
        <v>134.13</v>
      </c>
      <c r="H199" s="300">
        <f>(108.4*KFC!$B$23*1.02*1.25+KFC!$C$23)*KFC!$C$5</f>
        <v>138.21</v>
      </c>
      <c r="I199" s="300">
        <f>(111.5*KFC!$B$23*1.02*1.25+KFC!$C$23)*KFC!$C$5</f>
        <v>142.16249999999999</v>
      </c>
      <c r="J199" s="300">
        <f>(114.7*KFC!$B$23*1.02*1.25+KFC!$C$23)*KFC!$C$5</f>
        <v>146.24250000000001</v>
      </c>
      <c r="K199" s="300">
        <f>(117.9*KFC!$B$23*1.02*1.25+KFC!$C$23)*KFC!$C$5</f>
        <v>150.32250000000002</v>
      </c>
      <c r="L199" s="300">
        <f>(121*KFC!$B$23*1.02*1.25+KFC!$C$23)*KFC!$C$5</f>
        <v>154.27500000000001</v>
      </c>
      <c r="M199" s="300">
        <f>(124.2*KFC!$B$23*1.02*1.25+KFC!$C$23)*KFC!$C$5</f>
        <v>158.35500000000002</v>
      </c>
      <c r="N199" s="300">
        <f>(127.3*KFC!$B$23*1.02*1.25+KFC!$C$23)*KFC!$C$5</f>
        <v>162.3075</v>
      </c>
      <c r="O199" s="300">
        <f>(130.5*KFC!$B$23*1.02*1.25+KFC!$C$23)*KFC!$C$5</f>
        <v>166.38750000000002</v>
      </c>
      <c r="P199" s="300">
        <f>(133.7*KFC!$B$23*1.02*1.25+KFC!$C$23)*KFC!$C$5</f>
        <v>170.4675</v>
      </c>
      <c r="Q199" s="300">
        <f>(136.8*KFC!$B$23*1.02*1.25+KFC!$C$23)*KFC!$C$5</f>
        <v>174.42000000000002</v>
      </c>
      <c r="R199" s="300">
        <f>(140*KFC!$B$23*1.02*1.25+KFC!$C$23)*KFC!$C$5</f>
        <v>178.5</v>
      </c>
      <c r="S199" s="300">
        <f>(143.1*KFC!$B$23*1.02*1.25+KFC!$C$23)*KFC!$C$5</f>
        <v>182.45249999999999</v>
      </c>
      <c r="T199" s="300">
        <f>(146.3*KFC!$B$23*1.02*1.25+KFC!$C$23)*KFC!$C$5</f>
        <v>186.53250000000003</v>
      </c>
      <c r="U199" s="300">
        <f>(149.5*KFC!$B$23*1.02*1.25+KFC!$C$23)*KFC!$C$5</f>
        <v>190.61250000000001</v>
      </c>
      <c r="V199" s="300">
        <f>(152.6*KFC!$B$23*1.02*1.25+KFC!$C$23)*KFC!$C$5</f>
        <v>194.565</v>
      </c>
      <c r="W199" s="300">
        <f>(155.8*KFC!$B$23*1.02*1.25+KFC!$C$23)*KFC!$C$5</f>
        <v>198.64500000000004</v>
      </c>
      <c r="X199" s="300">
        <f>(159*KFC!$B$23*1.02*1.25+KFC!$C$23)*KFC!$C$5</f>
        <v>202.72500000000002</v>
      </c>
      <c r="Y199" s="300">
        <f>(162.1*KFC!$B$23*1.02*1.25+KFC!$C$23)*KFC!$C$5</f>
        <v>206.67749999999998</v>
      </c>
      <c r="Z199" s="300">
        <f>(165.3*KFC!$B$23*1.02*1.25+KFC!$C$23)*KFC!$C$5</f>
        <v>210.75750000000002</v>
      </c>
      <c r="AA199" s="300">
        <f>(168.4*KFC!$B$23*1.02*1.25+KFC!$C$23)*KFC!$C$5</f>
        <v>214.71</v>
      </c>
      <c r="AB199" s="300">
        <f>(171.6*KFC!$B$23*1.02*1.25+KFC!$C$23)*KFC!$C$5</f>
        <v>218.79000000000002</v>
      </c>
      <c r="AC199" s="300">
        <f>(174.8*KFC!$B$23*1.02*1.25+KFC!$C$23)*KFC!$C$5</f>
        <v>222.87000000000003</v>
      </c>
      <c r="AD199" s="300">
        <f>(177.9*KFC!$B$23*1.02*1.25+KFC!$C$23)*KFC!$C$5</f>
        <v>226.82249999999999</v>
      </c>
      <c r="AE199" s="300">
        <f>(181.1*KFC!$B$23*1.02*1.25+KFC!$C$23)*KFC!$C$5</f>
        <v>230.9025</v>
      </c>
      <c r="AF199" s="300">
        <f>(184.2*KFC!$B$23*1.02*1.25+KFC!$C$23)*KFC!$C$5</f>
        <v>234.85499999999999</v>
      </c>
      <c r="AG199" s="300">
        <f>(187.4*KFC!$B$23*1.02*1.25+KFC!$C$23)*KFC!$C$5</f>
        <v>238.935</v>
      </c>
      <c r="AH199" s="304">
        <f>(190.6*KFC!$B$23*1.02*1.25+KFC!$C$23)*KFC!$C$5</f>
        <v>243.01500000000001</v>
      </c>
    </row>
    <row r="200" spans="1:34">
      <c r="A200" s="1781"/>
      <c r="B200" s="395">
        <v>1.5</v>
      </c>
      <c r="C200" s="303">
        <f>(93.6*KFC!$B$23*1.02*1.25+KFC!$C$23)*KFC!$C$5</f>
        <v>119.33999999999999</v>
      </c>
      <c r="D200" s="300">
        <f>(96.9*KFC!$B$23*1.02*1.25+KFC!$C$23)*KFC!$C$5</f>
        <v>123.54750000000001</v>
      </c>
      <c r="E200" s="300">
        <f>(100.3*KFC!$B$23*1.02*1.25+KFC!$C$23)*KFC!$C$5</f>
        <v>127.88249999999999</v>
      </c>
      <c r="F200" s="300">
        <f>(103.6*KFC!$B$23*1.02*1.25+KFC!$C$23)*KFC!$C$5</f>
        <v>132.09</v>
      </c>
      <c r="G200" s="300">
        <f>(106.9*KFC!$B$23*1.02*1.25+KFC!$C$23)*KFC!$C$5</f>
        <v>136.29750000000001</v>
      </c>
      <c r="H200" s="300">
        <f>(110.3*KFC!$B$23*1.02*1.25+KFC!$C$23)*KFC!$C$5</f>
        <v>140.63249999999999</v>
      </c>
      <c r="I200" s="300">
        <f>(113.6*KFC!$B$23*1.02*1.25+KFC!$C$23)*KFC!$C$5</f>
        <v>144.84</v>
      </c>
      <c r="J200" s="300">
        <f>(116.9*KFC!$B$23*1.02*1.25+KFC!$C$23)*KFC!$C$5</f>
        <v>149.04750000000001</v>
      </c>
      <c r="K200" s="300">
        <f>(120.2*KFC!$B$23*1.02*1.25+KFC!$C$23)*KFC!$C$5</f>
        <v>153.255</v>
      </c>
      <c r="L200" s="300">
        <f>(123.6*KFC!$B$23*1.02*1.25+KFC!$C$23)*KFC!$C$5</f>
        <v>157.59</v>
      </c>
      <c r="M200" s="300">
        <f>(126.9*KFC!$B$23*1.02*1.25+KFC!$C$23)*KFC!$C$5</f>
        <v>161.79750000000001</v>
      </c>
      <c r="N200" s="300">
        <f>(130.2*KFC!$B$23*1.02*1.25+KFC!$C$23)*KFC!$C$5</f>
        <v>166.005</v>
      </c>
      <c r="O200" s="300">
        <f>(133.6*KFC!$B$23*1.02*1.25+KFC!$C$23)*KFC!$C$5</f>
        <v>170.33999999999997</v>
      </c>
      <c r="P200" s="300">
        <f>(136.9*KFC!$B$23*1.02*1.25+KFC!$C$23)*KFC!$C$5</f>
        <v>174.54750000000001</v>
      </c>
      <c r="Q200" s="300">
        <f>(140.2*KFC!$B$23*1.02*1.25+KFC!$C$23)*KFC!$C$5</f>
        <v>178.755</v>
      </c>
      <c r="R200" s="300">
        <f>(143.5*KFC!$B$23*1.02*1.25+KFC!$C$23)*KFC!$C$5</f>
        <v>182.96250000000001</v>
      </c>
      <c r="S200" s="300">
        <f>(146.9*KFC!$B$23*1.02*1.25+KFC!$C$23)*KFC!$C$5</f>
        <v>187.29750000000001</v>
      </c>
      <c r="T200" s="300">
        <f>(150.2*KFC!$B$23*1.02*1.25+KFC!$C$23)*KFC!$C$5</f>
        <v>191.50499999999997</v>
      </c>
      <c r="U200" s="300">
        <f>(153.5*KFC!$B$23*1.02*1.25+KFC!$C$23)*KFC!$C$5</f>
        <v>195.71249999999998</v>
      </c>
      <c r="V200" s="300">
        <f>(156.9*KFC!$B$23*1.02*1.25+KFC!$C$23)*KFC!$C$5</f>
        <v>200.04750000000001</v>
      </c>
      <c r="W200" s="300">
        <f>(160.2*KFC!$B$23*1.02*1.25+KFC!$C$23)*KFC!$C$5</f>
        <v>204.255</v>
      </c>
      <c r="X200" s="300">
        <f>(163.5*KFC!$B$23*1.02*1.25+KFC!$C$23)*KFC!$C$5</f>
        <v>208.46250000000001</v>
      </c>
      <c r="Y200" s="300">
        <f>(166.8*KFC!$B$23*1.02*1.25+KFC!$C$23)*KFC!$C$5</f>
        <v>212.67000000000002</v>
      </c>
      <c r="Z200" s="300">
        <f>(170.2*KFC!$B$23*1.02*1.25+KFC!$C$23)*KFC!$C$5</f>
        <v>217.005</v>
      </c>
      <c r="AA200" s="300">
        <f>(173.5*KFC!$B$23*1.02*1.25+KFC!$C$23)*KFC!$C$5</f>
        <v>221.21250000000001</v>
      </c>
      <c r="AB200" s="300">
        <f>(176.8*KFC!$B$23*1.02*1.25+KFC!$C$23)*KFC!$C$5</f>
        <v>225.42000000000002</v>
      </c>
      <c r="AC200" s="300">
        <f>(180.2*KFC!$B$23*1.02*1.25+KFC!$C$23)*KFC!$C$5</f>
        <v>229.755</v>
      </c>
      <c r="AD200" s="300">
        <f>(183.5*KFC!$B$23*1.02*1.25+KFC!$C$23)*KFC!$C$5</f>
        <v>233.96250000000003</v>
      </c>
      <c r="AE200" s="300">
        <f>(186.8*KFC!$B$23*1.02*1.25+KFC!$C$23)*KFC!$C$5</f>
        <v>238.17000000000002</v>
      </c>
      <c r="AF200" s="300">
        <f>(190.1*KFC!$B$23*1.02*1.25+KFC!$C$23)*KFC!$C$5</f>
        <v>242.3775</v>
      </c>
      <c r="AG200" s="300">
        <f>(193.5*KFC!$B$23*1.02*1.25+KFC!$C$23)*KFC!$C$5</f>
        <v>246.71250000000001</v>
      </c>
      <c r="AH200" s="304">
        <f>(196.8*KFC!$B$23*1.02*1.25+KFC!$C$23)*KFC!$C$5</f>
        <v>250.92000000000002</v>
      </c>
    </row>
    <row r="201" spans="1:34">
      <c r="A201" s="1781"/>
      <c r="B201" s="395">
        <v>1.6</v>
      </c>
      <c r="C201" s="303">
        <f>(94.7*KFC!$B$23*1.02*1.25+KFC!$C$23)*KFC!$C$5</f>
        <v>120.74250000000001</v>
      </c>
      <c r="D201" s="300">
        <f>(98.2*KFC!$B$23*1.02*1.25+KFC!$C$23)*KFC!$C$5</f>
        <v>125.205</v>
      </c>
      <c r="E201" s="300">
        <f>(101.7*KFC!$B$23*1.02*1.25+KFC!$C$23)*KFC!$C$5</f>
        <v>129.66750000000002</v>
      </c>
      <c r="F201" s="300">
        <f>(105.1*KFC!$B$23*1.02*1.25+KFC!$C$23)*KFC!$C$5</f>
        <v>134.0025</v>
      </c>
      <c r="G201" s="300">
        <f>(108.6*KFC!$B$23*1.02*1.25+KFC!$C$23)*KFC!$C$5</f>
        <v>138.46499999999997</v>
      </c>
      <c r="H201" s="300">
        <f>(112.1*KFC!$B$23*1.02*1.25+KFC!$C$23)*KFC!$C$5</f>
        <v>142.92750000000001</v>
      </c>
      <c r="I201" s="300">
        <f>(115.6*KFC!$B$23*1.02*1.25+KFC!$C$23)*KFC!$C$5</f>
        <v>147.38999999999999</v>
      </c>
      <c r="J201" s="300">
        <f>(119.1*KFC!$B$23*1.02*1.25+KFC!$C$23)*KFC!$C$5</f>
        <v>151.85249999999999</v>
      </c>
      <c r="K201" s="300">
        <f>(122.6*KFC!$B$23*1.02*1.25+KFC!$C$23)*KFC!$C$5</f>
        <v>156.315</v>
      </c>
      <c r="L201" s="300">
        <f>(126.1*KFC!$B$23*1.02*1.25+KFC!$C$23)*KFC!$C$5</f>
        <v>160.77749999999997</v>
      </c>
      <c r="M201" s="300">
        <f>(129.6*KFC!$B$23*1.02*1.25+KFC!$C$23)*KFC!$C$5</f>
        <v>165.24</v>
      </c>
      <c r="N201" s="300">
        <f>(133.1*KFC!$B$23*1.02*1.25+KFC!$C$23)*KFC!$C$5</f>
        <v>169.70249999999999</v>
      </c>
      <c r="O201" s="300">
        <f>(136.6*KFC!$B$23*1.02*1.25+KFC!$C$23)*KFC!$C$5</f>
        <v>174.16499999999999</v>
      </c>
      <c r="P201" s="300">
        <f>(140.1*KFC!$B$23*1.02*1.25+KFC!$C$23)*KFC!$C$5</f>
        <v>178.6275</v>
      </c>
      <c r="Q201" s="300">
        <f>(143.6*KFC!$B$23*1.02*1.25+KFC!$C$23)*KFC!$C$5</f>
        <v>183.09</v>
      </c>
      <c r="R201" s="300">
        <f>(147.1*KFC!$B$23*1.02*1.25+KFC!$C$23)*KFC!$C$5</f>
        <v>187.55250000000001</v>
      </c>
      <c r="S201" s="300">
        <f>(150.6*KFC!$B$23*1.02*1.25+KFC!$C$23)*KFC!$C$5</f>
        <v>192.01499999999999</v>
      </c>
      <c r="T201" s="300">
        <f>(154.1*KFC!$B$23*1.02*1.25+KFC!$C$23)*KFC!$C$5</f>
        <v>196.47749999999999</v>
      </c>
      <c r="U201" s="300">
        <f>(157.6*KFC!$B$23*1.02*1.25+KFC!$C$23)*KFC!$C$5</f>
        <v>200.94</v>
      </c>
      <c r="V201" s="300">
        <f>(161.1*KFC!$B$23*1.02*1.25+KFC!$C$23)*KFC!$C$5</f>
        <v>205.4025</v>
      </c>
      <c r="W201" s="300">
        <f>(164.6*KFC!$B$23*1.02*1.25+KFC!$C$23)*KFC!$C$5</f>
        <v>209.86500000000001</v>
      </c>
      <c r="X201" s="300">
        <f>(168.1*KFC!$B$23*1.02*1.25+KFC!$C$23)*KFC!$C$5</f>
        <v>214.32749999999999</v>
      </c>
      <c r="Y201" s="300">
        <f>(171.6*KFC!$B$23*1.02*1.25+KFC!$C$23)*KFC!$C$5</f>
        <v>218.79000000000002</v>
      </c>
      <c r="Z201" s="300">
        <f>(175.1*KFC!$B$23*1.02*1.25+KFC!$C$23)*KFC!$C$5</f>
        <v>223.2525</v>
      </c>
      <c r="AA201" s="300">
        <f>(178.6*KFC!$B$23*1.02*1.25+KFC!$C$23)*KFC!$C$5</f>
        <v>227.715</v>
      </c>
      <c r="AB201" s="300">
        <f>(182*KFC!$B$23*1.02*1.25+KFC!$C$23)*KFC!$C$5</f>
        <v>232.05</v>
      </c>
      <c r="AC201" s="300">
        <f>(185.5*KFC!$B$23*1.02*1.25+KFC!$C$23)*KFC!$C$5</f>
        <v>236.51250000000002</v>
      </c>
      <c r="AD201" s="300">
        <f>(189*KFC!$B$23*1.02*1.25+KFC!$C$23)*KFC!$C$5</f>
        <v>240.97499999999999</v>
      </c>
      <c r="AE201" s="300">
        <f>(192.5*KFC!$B$23*1.02*1.25+KFC!$C$23)*KFC!$C$5</f>
        <v>245.4375</v>
      </c>
      <c r="AF201" s="300">
        <f>(196*KFC!$B$23*1.02*1.25+KFC!$C$23)*KFC!$C$5</f>
        <v>249.90000000000003</v>
      </c>
      <c r="AG201" s="300">
        <f>(199.5*KFC!$B$23*1.02*1.25+KFC!$C$23)*KFC!$C$5</f>
        <v>254.36250000000001</v>
      </c>
      <c r="AH201" s="304">
        <f>(203*KFC!$B$23*1.02*1.25+KFC!$C$23)*KFC!$C$5</f>
        <v>258.82499999999999</v>
      </c>
    </row>
    <row r="202" spans="1:34">
      <c r="A202" s="1781"/>
      <c r="B202" s="395">
        <v>1.7</v>
      </c>
      <c r="C202" s="303">
        <f>(95.7*KFC!$B$23*1.02*1.25+KFC!$C$23)*KFC!$C$5</f>
        <v>122.01750000000001</v>
      </c>
      <c r="D202" s="300">
        <f>(99.4*KFC!$B$23*1.02*1.25+KFC!$C$23)*KFC!$C$5</f>
        <v>126.73500000000001</v>
      </c>
      <c r="E202" s="300">
        <f>(103*KFC!$B$23*1.02*1.25+KFC!$C$23)*KFC!$C$5</f>
        <v>131.32499999999999</v>
      </c>
      <c r="F202" s="300">
        <f>(106.7*KFC!$B$23*1.02*1.25+KFC!$C$23)*KFC!$C$5</f>
        <v>136.04250000000002</v>
      </c>
      <c r="G202" s="300">
        <f>(110.4*KFC!$B$23*1.02*1.25+KFC!$C$23)*KFC!$C$5</f>
        <v>140.76</v>
      </c>
      <c r="H202" s="300">
        <f>(114*KFC!$B$23*1.02*1.25+KFC!$C$23)*KFC!$C$5</f>
        <v>145.35</v>
      </c>
      <c r="I202" s="300">
        <f>(117.7*KFC!$B$23*1.02*1.25+KFC!$C$23)*KFC!$C$5</f>
        <v>150.0675</v>
      </c>
      <c r="J202" s="300">
        <f>(121.3*KFC!$B$23*1.02*1.25+KFC!$C$23)*KFC!$C$5</f>
        <v>154.6575</v>
      </c>
      <c r="K202" s="300">
        <f>(125*KFC!$B$23*1.02*1.25+KFC!$C$23)*KFC!$C$5</f>
        <v>159.375</v>
      </c>
      <c r="L202" s="300">
        <f>(128.7*KFC!$B$23*1.02*1.25+KFC!$C$23)*KFC!$C$5</f>
        <v>164.0925</v>
      </c>
      <c r="M202" s="300">
        <f>(132.3*KFC!$B$23*1.02*1.25+KFC!$C$23)*KFC!$C$5</f>
        <v>168.68250000000003</v>
      </c>
      <c r="N202" s="300">
        <f>(136*KFC!$B$23*1.02*1.25+KFC!$C$23)*KFC!$C$5</f>
        <v>173.4</v>
      </c>
      <c r="O202" s="300">
        <f>(139.7*KFC!$B$23*1.02*1.25+KFC!$C$23)*KFC!$C$5</f>
        <v>178.11750000000001</v>
      </c>
      <c r="P202" s="300">
        <f>(143.3*KFC!$B$23*1.02*1.25+KFC!$C$23)*KFC!$C$5</f>
        <v>182.70750000000004</v>
      </c>
      <c r="Q202" s="300">
        <f>(147*KFC!$B$23*1.02*1.25+KFC!$C$23)*KFC!$C$5</f>
        <v>187.42500000000001</v>
      </c>
      <c r="R202" s="300">
        <f>(150.6*KFC!$B$23*1.02*1.25+KFC!$C$23)*KFC!$C$5</f>
        <v>192.01499999999999</v>
      </c>
      <c r="S202" s="300">
        <f>(154.3*KFC!$B$23*1.02*1.25+KFC!$C$23)*KFC!$C$5</f>
        <v>196.73250000000002</v>
      </c>
      <c r="T202" s="300">
        <f>(158*KFC!$B$23*1.02*1.25+KFC!$C$23)*KFC!$C$5</f>
        <v>201.45</v>
      </c>
      <c r="U202" s="300">
        <f>(161.6*KFC!$B$23*1.02*1.25+KFC!$C$23)*KFC!$C$5</f>
        <v>206.04</v>
      </c>
      <c r="V202" s="300">
        <f>(165.3*KFC!$B$23*1.02*1.25+KFC!$C$23)*KFC!$C$5</f>
        <v>210.75750000000002</v>
      </c>
      <c r="W202" s="300">
        <f>(169*KFC!$B$23*1.02*1.25+KFC!$C$23)*KFC!$C$5</f>
        <v>215.47499999999999</v>
      </c>
      <c r="X202" s="300">
        <f>(172.6*KFC!$B$23*1.02*1.25+KFC!$C$23)*KFC!$C$5</f>
        <v>220.065</v>
      </c>
      <c r="Y202" s="300">
        <f>(176.3*KFC!$B$23*1.02*1.25+KFC!$C$23)*KFC!$C$5</f>
        <v>224.78250000000003</v>
      </c>
      <c r="Z202" s="300">
        <f>(179.9*KFC!$B$23*1.02*1.25+KFC!$C$23)*KFC!$C$5</f>
        <v>229.37250000000003</v>
      </c>
      <c r="AA202" s="300">
        <f>(183.6*KFC!$B$23*1.02*1.25+KFC!$C$23)*KFC!$C$5</f>
        <v>234.08999999999997</v>
      </c>
      <c r="AB202" s="300">
        <f>(187.3*KFC!$B$23*1.02*1.25+KFC!$C$23)*KFC!$C$5</f>
        <v>238.80750000000003</v>
      </c>
      <c r="AC202" s="300">
        <f>(190.9*KFC!$B$23*1.02*1.25+KFC!$C$23)*KFC!$C$5</f>
        <v>243.39750000000004</v>
      </c>
      <c r="AD202" s="300">
        <f>(194.6*KFC!$B$23*1.02*1.25+KFC!$C$23)*KFC!$C$5</f>
        <v>248.11499999999998</v>
      </c>
      <c r="AE202" s="300">
        <f>(198.3*KFC!$B$23*1.02*1.25+KFC!$C$23)*KFC!$C$5</f>
        <v>252.83250000000004</v>
      </c>
      <c r="AF202" s="300">
        <f>(201.9*KFC!$B$23*1.02*1.25+KFC!$C$23)*KFC!$C$5</f>
        <v>257.42250000000001</v>
      </c>
      <c r="AG202" s="300">
        <f>(205.6*KFC!$B$23*1.02*1.25+KFC!$C$23)*KFC!$C$5</f>
        <v>262.14</v>
      </c>
      <c r="AH202" s="304">
        <f>(209.2*KFC!$B$23*1.02*1.25+KFC!$C$23)*KFC!$C$5</f>
        <v>266.72999999999996</v>
      </c>
    </row>
    <row r="203" spans="1:34">
      <c r="A203" s="1781"/>
      <c r="B203" s="395">
        <v>1.8</v>
      </c>
      <c r="C203" s="303">
        <f>(96.8*KFC!$B$23*1.02*1.25+KFC!$C$23)*KFC!$C$5</f>
        <v>123.42</v>
      </c>
      <c r="D203" s="300">
        <f>(100.6*KFC!$B$23*1.02*1.25+KFC!$C$23)*KFC!$C$5</f>
        <v>128.26499999999999</v>
      </c>
      <c r="E203" s="300">
        <f>(104.4*KFC!$B$23*1.02*1.25+KFC!$C$23)*KFC!$C$5</f>
        <v>133.11000000000001</v>
      </c>
      <c r="F203" s="300">
        <f>(108.2*KFC!$B$23*1.02*1.25+KFC!$C$23)*KFC!$C$5</f>
        <v>137.95500000000001</v>
      </c>
      <c r="G203" s="300">
        <f>(112.1*KFC!$B$23*1.02*1.25+KFC!$C$23)*KFC!$C$5</f>
        <v>142.92750000000001</v>
      </c>
      <c r="H203" s="300">
        <f>(115.9*KFC!$B$23*1.02*1.25+KFC!$C$23)*KFC!$C$5</f>
        <v>147.77250000000001</v>
      </c>
      <c r="I203" s="300">
        <f>(119.7*KFC!$B$23*1.02*1.25+KFC!$C$23)*KFC!$C$5</f>
        <v>152.61750000000001</v>
      </c>
      <c r="J203" s="300">
        <f>(123.6*KFC!$B$23*1.02*1.25+KFC!$C$23)*KFC!$C$5</f>
        <v>157.59</v>
      </c>
      <c r="K203" s="300">
        <f>(127.4*KFC!$B$23*1.02*1.25+KFC!$C$23)*KFC!$C$5</f>
        <v>162.435</v>
      </c>
      <c r="L203" s="300">
        <f>(131.2*KFC!$B$23*1.02*1.25+KFC!$C$23)*KFC!$C$5</f>
        <v>167.27999999999997</v>
      </c>
      <c r="M203" s="300">
        <f>(135*KFC!$B$23*1.02*1.25+KFC!$C$23)*KFC!$C$5</f>
        <v>172.125</v>
      </c>
      <c r="N203" s="300">
        <f>(138.9*KFC!$B$23*1.02*1.25+KFC!$C$23)*KFC!$C$5</f>
        <v>177.0975</v>
      </c>
      <c r="O203" s="300">
        <f>(142.7*KFC!$B$23*1.02*1.25+KFC!$C$23)*KFC!$C$5</f>
        <v>181.9425</v>
      </c>
      <c r="P203" s="300">
        <f>(146.5*KFC!$B$23*1.02*1.25+KFC!$C$23)*KFC!$C$5</f>
        <v>186.78750000000002</v>
      </c>
      <c r="Q203" s="300">
        <f>(150.4*KFC!$B$23*1.02*1.25+KFC!$C$23)*KFC!$C$5</f>
        <v>191.76000000000002</v>
      </c>
      <c r="R203" s="300">
        <f>(154.2*KFC!$B$23*1.02*1.25+KFC!$C$23)*KFC!$C$5</f>
        <v>196.60499999999999</v>
      </c>
      <c r="S203" s="300">
        <f>(158*KFC!$B$23*1.02*1.25+KFC!$C$23)*KFC!$C$5</f>
        <v>201.45</v>
      </c>
      <c r="T203" s="300">
        <f>(161.9*KFC!$B$23*1.02*1.25+KFC!$C$23)*KFC!$C$5</f>
        <v>206.42250000000001</v>
      </c>
      <c r="U203" s="300">
        <f>(165.7*KFC!$B$23*1.02*1.25+KFC!$C$23)*KFC!$C$5</f>
        <v>211.26749999999998</v>
      </c>
      <c r="V203" s="300">
        <f>(169.5*KFC!$B$23*1.02*1.25+KFC!$C$23)*KFC!$C$5</f>
        <v>216.11250000000001</v>
      </c>
      <c r="W203" s="300">
        <f>(173.3*KFC!$B$23*1.02*1.25+KFC!$C$23)*KFC!$C$5</f>
        <v>220.95750000000004</v>
      </c>
      <c r="X203" s="300">
        <f>(177.2*KFC!$B$23*1.02*1.25+KFC!$C$23)*KFC!$C$5</f>
        <v>225.93</v>
      </c>
      <c r="Y203" s="300">
        <f>(181*KFC!$B$23*1.02*1.25+KFC!$C$23)*KFC!$C$5</f>
        <v>230.77500000000001</v>
      </c>
      <c r="Z203" s="300">
        <f>(184.8*KFC!$B$23*1.02*1.25+KFC!$C$23)*KFC!$C$5</f>
        <v>235.62</v>
      </c>
      <c r="AA203" s="300">
        <f>(188.7*KFC!$B$23*1.02*1.25+KFC!$C$23)*KFC!$C$5</f>
        <v>240.59249999999997</v>
      </c>
      <c r="AB203" s="300">
        <f>(192.5*KFC!$B$23*1.02*1.25+KFC!$C$23)*KFC!$C$5</f>
        <v>245.4375</v>
      </c>
      <c r="AC203" s="300">
        <f>(196.3*KFC!$B$23*1.02*1.25+KFC!$C$23)*KFC!$C$5</f>
        <v>250.28250000000003</v>
      </c>
      <c r="AD203" s="300">
        <f>(200.2*KFC!$B$23*1.02*1.25+KFC!$C$23)*KFC!$C$5</f>
        <v>255.25499999999997</v>
      </c>
      <c r="AE203" s="300">
        <f>(204*KFC!$B$23*1.02*1.25+KFC!$C$23)*KFC!$C$5</f>
        <v>260.10000000000002</v>
      </c>
      <c r="AF203" s="300">
        <f>(207.8*KFC!$B$23*1.02*1.25+KFC!$C$23)*KFC!$C$5</f>
        <v>264.94500000000005</v>
      </c>
      <c r="AG203" s="300">
        <f>(211.6*KFC!$B$23*1.02*1.25+KFC!$C$23)*KFC!$C$5</f>
        <v>269.78999999999996</v>
      </c>
      <c r="AH203" s="304">
        <f>(215.5*KFC!$B$23*1.02*1.25+KFC!$C$23)*KFC!$C$5</f>
        <v>274.76249999999999</v>
      </c>
    </row>
    <row r="204" spans="1:34">
      <c r="A204" s="1781"/>
      <c r="B204" s="395">
        <v>1.9</v>
      </c>
      <c r="C204" s="303">
        <f>(97.8*KFC!$B$23*1.02*1.25+KFC!$C$23)*KFC!$C$5</f>
        <v>124.69499999999999</v>
      </c>
      <c r="D204" s="300">
        <f>(101.8*KFC!$B$23*1.02*1.25+KFC!$C$23)*KFC!$C$5</f>
        <v>129.79499999999999</v>
      </c>
      <c r="E204" s="300">
        <f>(105.8*KFC!$B$23*1.02*1.25+KFC!$C$23)*KFC!$C$5</f>
        <v>134.89499999999998</v>
      </c>
      <c r="F204" s="300">
        <f>(109.8*KFC!$B$23*1.02*1.25+KFC!$C$23)*KFC!$C$5</f>
        <v>139.995</v>
      </c>
      <c r="G204" s="300">
        <f>(113.8*KFC!$B$23*1.02*1.25+KFC!$C$23)*KFC!$C$5</f>
        <v>145.095</v>
      </c>
      <c r="H204" s="300">
        <f>(117.8*KFC!$B$23*1.02*1.25+KFC!$C$23)*KFC!$C$5</f>
        <v>150.19499999999999</v>
      </c>
      <c r="I204" s="300">
        <f>(121.8*KFC!$B$23*1.02*1.25+KFC!$C$23)*KFC!$C$5</f>
        <v>155.29500000000002</v>
      </c>
      <c r="J204" s="300">
        <f>(125.8*KFC!$B$23*1.02*1.25+KFC!$C$23)*KFC!$C$5</f>
        <v>160.39500000000001</v>
      </c>
      <c r="K204" s="300">
        <f>(129.8*KFC!$B$23*1.02*1.25+KFC!$C$23)*KFC!$C$5</f>
        <v>165.495</v>
      </c>
      <c r="L204" s="300">
        <f>(133.8*KFC!$B$23*1.02*1.25+KFC!$C$23)*KFC!$C$5</f>
        <v>170.59500000000003</v>
      </c>
      <c r="M204" s="300">
        <f>(137.8*KFC!$B$23*1.02*1.25+KFC!$C$23)*KFC!$C$5</f>
        <v>175.69500000000002</v>
      </c>
      <c r="N204" s="300">
        <f>(141.8*KFC!$B$23*1.02*1.25+KFC!$C$23)*KFC!$C$5</f>
        <v>180.79500000000002</v>
      </c>
      <c r="O204" s="300">
        <f>(145.8*KFC!$B$23*1.02*1.25+KFC!$C$23)*KFC!$C$5</f>
        <v>185.89500000000001</v>
      </c>
      <c r="P204" s="300">
        <f>(149.8*KFC!$B$23*1.02*1.25+KFC!$C$23)*KFC!$C$5</f>
        <v>190.99500000000003</v>
      </c>
      <c r="Q204" s="300">
        <f>(153.8*KFC!$B$23*1.02*1.25+KFC!$C$23)*KFC!$C$5</f>
        <v>196.095</v>
      </c>
      <c r="R204" s="300">
        <f>(157.7*KFC!$B$23*1.02*1.25+KFC!$C$23)*KFC!$C$5</f>
        <v>201.0675</v>
      </c>
      <c r="S204" s="300">
        <f>(161.7*KFC!$B$23*1.02*1.25+KFC!$C$23)*KFC!$C$5</f>
        <v>206.16749999999999</v>
      </c>
      <c r="T204" s="300">
        <f>(165.7*KFC!$B$23*1.02*1.25+KFC!$C$23)*KFC!$C$5</f>
        <v>211.26749999999998</v>
      </c>
      <c r="U204" s="300">
        <f>(169.7*KFC!$B$23*1.02*1.25+KFC!$C$23)*KFC!$C$5</f>
        <v>216.36750000000001</v>
      </c>
      <c r="V204" s="300">
        <f>(173.7*KFC!$B$23*1.02*1.25+KFC!$C$23)*KFC!$C$5</f>
        <v>221.46749999999997</v>
      </c>
      <c r="W204" s="300">
        <f>(177.7*KFC!$B$23*1.02*1.25+KFC!$C$23)*KFC!$C$5</f>
        <v>226.5675</v>
      </c>
      <c r="X204" s="300">
        <f>(181.7*KFC!$B$23*1.02*1.25+KFC!$C$23)*KFC!$C$5</f>
        <v>231.66750000000002</v>
      </c>
      <c r="Y204" s="300">
        <f>(185.7*KFC!$B$23*1.02*1.25+KFC!$C$23)*KFC!$C$5</f>
        <v>236.76749999999998</v>
      </c>
      <c r="Z204" s="300">
        <f>(189.7*KFC!$B$23*1.02*1.25+KFC!$C$23)*KFC!$C$5</f>
        <v>241.86750000000001</v>
      </c>
      <c r="AA204" s="300">
        <f>(193.7*KFC!$B$23*1.02*1.25+KFC!$C$23)*KFC!$C$5</f>
        <v>246.96749999999997</v>
      </c>
      <c r="AB204" s="300">
        <f>(197.7*KFC!$B$23*1.02*1.25+KFC!$C$23)*KFC!$C$5</f>
        <v>252.0675</v>
      </c>
      <c r="AC204" s="300">
        <f>(201.7*KFC!$B$23*1.02*1.25+KFC!$C$23)*KFC!$C$5</f>
        <v>257.16749999999996</v>
      </c>
      <c r="AD204" s="300">
        <f>(205.7*KFC!$B$23*1.02*1.25+KFC!$C$23)*KFC!$C$5</f>
        <v>262.26749999999998</v>
      </c>
      <c r="AE204" s="300">
        <f>(209.7*KFC!$B$23*1.02*1.25+KFC!$C$23)*KFC!$C$5</f>
        <v>267.36750000000001</v>
      </c>
      <c r="AF204" s="300">
        <f>(213.7*KFC!$B$23*1.02*1.25+KFC!$C$23)*KFC!$C$5</f>
        <v>272.46749999999997</v>
      </c>
      <c r="AG204" s="300">
        <f>(217.7*KFC!$B$23*1.02*1.25+KFC!$C$23)*KFC!$C$5</f>
        <v>277.5675</v>
      </c>
      <c r="AH204" s="304">
        <f>(221.7*KFC!$B$23*1.02*1.25+KFC!$C$23)*KFC!$C$5</f>
        <v>282.66749999999996</v>
      </c>
    </row>
    <row r="205" spans="1:34">
      <c r="A205" s="1781"/>
      <c r="B205" s="395">
        <v>2</v>
      </c>
      <c r="C205" s="303">
        <f>(98.8*KFC!$B$23*1.02*1.25+KFC!$C$23)*KFC!$C$5</f>
        <v>125.97</v>
      </c>
      <c r="D205" s="300">
        <f>(103*KFC!$B$23*1.02*1.25+KFC!$C$23)*KFC!$C$5</f>
        <v>131.32499999999999</v>
      </c>
      <c r="E205" s="300">
        <f>(107.2*KFC!$B$23*1.02*1.25+KFC!$C$23)*KFC!$C$5</f>
        <v>136.68</v>
      </c>
      <c r="F205" s="300">
        <f>(111.3*KFC!$B$23*1.02*1.25+KFC!$C$23)*KFC!$C$5</f>
        <v>141.9075</v>
      </c>
      <c r="G205" s="300">
        <f>(115.5*KFC!$B$23*1.02*1.25+KFC!$C$23)*KFC!$C$5</f>
        <v>147.26249999999999</v>
      </c>
      <c r="H205" s="300">
        <f>(119.7*KFC!$B$23*1.02*1.25+KFC!$C$23)*KFC!$C$5</f>
        <v>152.61750000000001</v>
      </c>
      <c r="I205" s="300">
        <f>(123.8*KFC!$B$23*1.02*1.25+KFC!$C$23)*KFC!$C$5</f>
        <v>157.845</v>
      </c>
      <c r="J205" s="300">
        <f>(128*KFC!$B$23*1.02*1.25+KFC!$C$23)*KFC!$C$5</f>
        <v>163.19999999999999</v>
      </c>
      <c r="K205" s="300">
        <f>(132.2*KFC!$B$23*1.02*1.25+KFC!$C$23)*KFC!$C$5</f>
        <v>168.55500000000001</v>
      </c>
      <c r="L205" s="300">
        <f>(136.3*KFC!$B$23*1.02*1.25+KFC!$C$23)*KFC!$C$5</f>
        <v>173.78250000000003</v>
      </c>
      <c r="M205" s="300">
        <f>(140.5*KFC!$B$23*1.02*1.25+KFC!$C$23)*KFC!$C$5</f>
        <v>179.13749999999999</v>
      </c>
      <c r="N205" s="300">
        <f>(144.6*KFC!$B$23*1.02*1.25+KFC!$C$23)*KFC!$C$5</f>
        <v>184.36499999999998</v>
      </c>
      <c r="O205" s="300">
        <f>(148.8*KFC!$B$23*1.02*1.25+KFC!$C$23)*KFC!$C$5</f>
        <v>189.72000000000003</v>
      </c>
      <c r="P205" s="300">
        <f>(153*KFC!$B$23*1.02*1.25+KFC!$C$23)*KFC!$C$5</f>
        <v>195.07499999999999</v>
      </c>
      <c r="Q205" s="300">
        <f>(157.1*KFC!$B$23*1.02*1.25+KFC!$C$23)*KFC!$C$5</f>
        <v>200.30249999999998</v>
      </c>
      <c r="R205" s="300">
        <f>(161.3*KFC!$B$23*1.02*1.25+KFC!$C$23)*KFC!$C$5</f>
        <v>205.65750000000003</v>
      </c>
      <c r="S205" s="300">
        <f>(165.5*KFC!$B$23*1.02*1.25+KFC!$C$23)*KFC!$C$5</f>
        <v>211.01249999999999</v>
      </c>
      <c r="T205" s="300">
        <f>(169.6*KFC!$B$23*1.02*1.25+KFC!$C$23)*KFC!$C$5</f>
        <v>216.23999999999998</v>
      </c>
      <c r="U205" s="300">
        <f>(173.8*KFC!$B$23*1.02*1.25+KFC!$C$23)*KFC!$C$5</f>
        <v>221.59500000000003</v>
      </c>
      <c r="V205" s="300">
        <f>(178*KFC!$B$23*1.02*1.25+KFC!$C$23)*KFC!$C$5</f>
        <v>226.95</v>
      </c>
      <c r="W205" s="300">
        <f>(182.1*KFC!$B$23*1.02*1.25+KFC!$C$23)*KFC!$C$5</f>
        <v>232.17749999999998</v>
      </c>
      <c r="X205" s="300">
        <f>(186.3*KFC!$B$23*1.02*1.25+KFC!$C$23)*KFC!$C$5</f>
        <v>237.53250000000003</v>
      </c>
      <c r="Y205" s="300">
        <f>(190.4*KFC!$B$23*1.02*1.25+KFC!$C$23)*KFC!$C$5</f>
        <v>242.76</v>
      </c>
      <c r="Z205" s="300">
        <f>(194.6*KFC!$B$23*1.02*1.25+KFC!$C$23)*KFC!$C$5</f>
        <v>248.11499999999998</v>
      </c>
      <c r="AA205" s="300">
        <f>(198.8*KFC!$B$23*1.02*1.25+KFC!$C$23)*KFC!$C$5</f>
        <v>253.47000000000003</v>
      </c>
      <c r="AB205" s="300">
        <f>(202.9*KFC!$B$23*1.02*1.25+KFC!$C$23)*KFC!$C$5</f>
        <v>258.69749999999999</v>
      </c>
      <c r="AC205" s="300">
        <f>(207.1*KFC!$B$23*1.02*1.25+KFC!$C$23)*KFC!$C$5</f>
        <v>264.05250000000001</v>
      </c>
      <c r="AD205" s="300">
        <f>(211.3*KFC!$B$23*1.02*1.25+KFC!$C$23)*KFC!$C$5</f>
        <v>269.40750000000003</v>
      </c>
      <c r="AE205" s="300">
        <f>(215.4*KFC!$B$23*1.02*1.25+KFC!$C$23)*KFC!$C$5</f>
        <v>274.63499999999999</v>
      </c>
      <c r="AF205" s="300">
        <f>(219.6*KFC!$B$23*1.02*1.25+KFC!$C$23)*KFC!$C$5</f>
        <v>279.99</v>
      </c>
      <c r="AG205" s="300">
        <f>(223.8*KFC!$B$23*1.02*1.25+KFC!$C$23)*KFC!$C$5</f>
        <v>285.34500000000003</v>
      </c>
      <c r="AH205" s="304">
        <f>(227.9*KFC!$B$23*1.02*1.25+KFC!$C$23)*KFC!$C$5</f>
        <v>290.57249999999999</v>
      </c>
    </row>
    <row r="206" spans="1:34">
      <c r="A206" s="1781"/>
      <c r="B206" s="395">
        <v>2.1</v>
      </c>
      <c r="C206" s="303">
        <f>(99.9*KFC!$B$23*1.02*1.25+KFC!$C$23)*KFC!$C$5</f>
        <v>127.37250000000002</v>
      </c>
      <c r="D206" s="300">
        <f>(104.2*KFC!$B$23*1.02*1.25+KFC!$C$23)*KFC!$C$5</f>
        <v>132.85500000000002</v>
      </c>
      <c r="E206" s="300">
        <f>(108.5*KFC!$B$23*1.02*1.25+KFC!$C$23)*KFC!$C$5</f>
        <v>138.33750000000001</v>
      </c>
      <c r="F206" s="300">
        <f>(112.9*KFC!$B$23*1.02*1.25+KFC!$C$23)*KFC!$C$5</f>
        <v>143.94749999999999</v>
      </c>
      <c r="G206" s="300">
        <f>(117.2*KFC!$B$23*1.02*1.25+KFC!$C$23)*KFC!$C$5</f>
        <v>149.43</v>
      </c>
      <c r="H206" s="300">
        <f>(121.5*KFC!$B$23*1.02*1.25+KFC!$C$23)*KFC!$C$5</f>
        <v>154.91250000000002</v>
      </c>
      <c r="I206" s="300">
        <f>(125.9*KFC!$B$23*1.02*1.25+KFC!$C$23)*KFC!$C$5</f>
        <v>160.52250000000001</v>
      </c>
      <c r="J206" s="300">
        <f>(130.2*KFC!$B$23*1.02*1.25+KFC!$C$23)*KFC!$C$5</f>
        <v>166.005</v>
      </c>
      <c r="K206" s="300">
        <f>(134.5*KFC!$B$23*1.02*1.25+KFC!$C$23)*KFC!$C$5</f>
        <v>171.48750000000001</v>
      </c>
      <c r="L206" s="300">
        <f>(138.9*KFC!$B$23*1.02*1.25+KFC!$C$23)*KFC!$C$5</f>
        <v>177.0975</v>
      </c>
      <c r="M206" s="300">
        <f>(143.2*KFC!$B$23*1.02*1.25+KFC!$C$23)*KFC!$C$5</f>
        <v>182.57999999999998</v>
      </c>
      <c r="N206" s="300">
        <f>(147.5*KFC!$B$23*1.02*1.25+KFC!$C$23)*KFC!$C$5</f>
        <v>188.0625</v>
      </c>
      <c r="O206" s="300">
        <f>(151.9*KFC!$B$23*1.02*1.25+KFC!$C$23)*KFC!$C$5</f>
        <v>193.67250000000001</v>
      </c>
      <c r="P206" s="300">
        <f>(156.2*KFC!$B$23*1.02*1.25+KFC!$C$23)*KFC!$C$5</f>
        <v>199.15499999999997</v>
      </c>
      <c r="Q206" s="300">
        <f>(160.5*KFC!$B$23*1.02*1.25+KFC!$C$23)*KFC!$C$5</f>
        <v>204.63750000000002</v>
      </c>
      <c r="R206" s="300">
        <f>(164.9*KFC!$B$23*1.02*1.25+KFC!$C$23)*KFC!$C$5</f>
        <v>210.2475</v>
      </c>
      <c r="S206" s="300">
        <f>(169.2*KFC!$B$23*1.02*1.25+KFC!$C$23)*KFC!$C$5</f>
        <v>215.73000000000002</v>
      </c>
      <c r="T206" s="300">
        <f>(173.5*KFC!$B$23*1.02*1.25+KFC!$C$23)*KFC!$C$5</f>
        <v>221.21250000000001</v>
      </c>
      <c r="U206" s="300">
        <f>(177.8*KFC!$B$23*1.02*1.25+KFC!$C$23)*KFC!$C$5</f>
        <v>226.69500000000002</v>
      </c>
      <c r="V206" s="300">
        <f>(182.2*KFC!$B$23*1.02*1.25+KFC!$C$23)*KFC!$C$5</f>
        <v>232.30500000000001</v>
      </c>
      <c r="W206" s="300">
        <f>(186.5*KFC!$B$23*1.02*1.25+KFC!$C$23)*KFC!$C$5</f>
        <v>237.78749999999999</v>
      </c>
      <c r="X206" s="300">
        <f>(190.8*KFC!$B$23*1.02*1.25+KFC!$C$23)*KFC!$C$5</f>
        <v>243.27</v>
      </c>
      <c r="Y206" s="300">
        <f>(195.2*KFC!$B$23*1.02*1.25+KFC!$C$23)*KFC!$C$5</f>
        <v>248.88</v>
      </c>
      <c r="Z206" s="300">
        <f>(199.5*KFC!$B$23*1.02*1.25+KFC!$C$23)*KFC!$C$5</f>
        <v>254.36250000000001</v>
      </c>
      <c r="AA206" s="300">
        <f>(203.8*KFC!$B$23*1.02*1.25+KFC!$C$23)*KFC!$C$5</f>
        <v>259.84500000000003</v>
      </c>
      <c r="AB206" s="300">
        <f>(208.2*KFC!$B$23*1.02*1.25+KFC!$C$23)*KFC!$C$5</f>
        <v>265.45499999999998</v>
      </c>
      <c r="AC206" s="300">
        <f>(212.5*KFC!$B$23*1.02*1.25+KFC!$C$23)*KFC!$C$5</f>
        <v>270.9375</v>
      </c>
      <c r="AD206" s="300">
        <f>(216.8*KFC!$B$23*1.02*1.25+KFC!$C$23)*KFC!$C$5</f>
        <v>276.42</v>
      </c>
      <c r="AE206" s="300">
        <f>(221.2*KFC!$B$23*1.02*1.25+KFC!$C$23)*KFC!$C$5</f>
        <v>282.02999999999997</v>
      </c>
      <c r="AF206" s="300">
        <f>(225.5*KFC!$B$23*1.02*1.25+KFC!$C$23)*KFC!$C$5</f>
        <v>287.51249999999999</v>
      </c>
      <c r="AG206" s="300">
        <f>(229.8*KFC!$B$23*1.02*1.25+KFC!$C$23)*KFC!$C$5</f>
        <v>292.995</v>
      </c>
      <c r="AH206" s="304">
        <f>(234.1*KFC!$B$23*1.02*1.25+KFC!$C$23)*KFC!$C$5</f>
        <v>298.47750000000002</v>
      </c>
    </row>
    <row r="207" spans="1:34">
      <c r="A207" s="1781"/>
      <c r="B207" s="395">
        <v>2.2000000000000002</v>
      </c>
      <c r="C207" s="303">
        <f>(100.9*KFC!$B$23*1.02*1.25+KFC!$C$23)*KFC!$C$5</f>
        <v>128.64750000000001</v>
      </c>
      <c r="D207" s="300">
        <f>(105.4*KFC!$B$23*1.02*1.25+KFC!$C$23)*KFC!$C$5</f>
        <v>134.38500000000002</v>
      </c>
      <c r="E207" s="300">
        <f>(109.9*KFC!$B$23*1.02*1.25+KFC!$C$23)*KFC!$C$5</f>
        <v>140.1225</v>
      </c>
      <c r="F207" s="300">
        <f>(114.4*KFC!$B$23*1.02*1.25+KFC!$C$23)*KFC!$C$5</f>
        <v>145.86000000000001</v>
      </c>
      <c r="G207" s="300">
        <f>(118.9*KFC!$B$23*1.02*1.25+KFC!$C$23)*KFC!$C$5</f>
        <v>151.5975</v>
      </c>
      <c r="H207" s="300">
        <f>(123.4*KFC!$B$23*1.02*1.25+KFC!$C$23)*KFC!$C$5</f>
        <v>157.33500000000001</v>
      </c>
      <c r="I207" s="300">
        <f>(127.9*KFC!$B$23*1.02*1.25+KFC!$C$23)*KFC!$C$5</f>
        <v>163.07249999999999</v>
      </c>
      <c r="J207" s="300">
        <f>(132.4*KFC!$B$23*1.02*1.25+KFC!$C$23)*KFC!$C$5</f>
        <v>168.81</v>
      </c>
      <c r="K207" s="300">
        <f>(136.9*KFC!$B$23*1.02*1.25+KFC!$C$23)*KFC!$C$5</f>
        <v>174.54750000000001</v>
      </c>
      <c r="L207" s="300">
        <f>(141.4*KFC!$B$23*1.02*1.25+KFC!$C$23)*KFC!$C$5</f>
        <v>180.28500000000003</v>
      </c>
      <c r="M207" s="300">
        <f>(145.9*KFC!$B$23*1.02*1.25+KFC!$C$23)*KFC!$C$5</f>
        <v>186.02250000000001</v>
      </c>
      <c r="N207" s="300">
        <f>(150.4*KFC!$B$23*1.02*1.25+KFC!$C$23)*KFC!$C$5</f>
        <v>191.76000000000002</v>
      </c>
      <c r="O207" s="300">
        <f>(154.9*KFC!$B$23*1.02*1.25+KFC!$C$23)*KFC!$C$5</f>
        <v>197.49750000000003</v>
      </c>
      <c r="P207" s="300">
        <f>(159.4*KFC!$B$23*1.02*1.25+KFC!$C$23)*KFC!$C$5</f>
        <v>203.23500000000001</v>
      </c>
      <c r="Q207" s="300">
        <f>(163.9*KFC!$B$23*1.02*1.25+KFC!$C$23)*KFC!$C$5</f>
        <v>208.9725</v>
      </c>
      <c r="R207" s="300">
        <f>(168.4*KFC!$B$23*1.02*1.25+KFC!$C$23)*KFC!$C$5</f>
        <v>214.71</v>
      </c>
      <c r="S207" s="300">
        <f>(172.9*KFC!$B$23*1.02*1.25+KFC!$C$23)*KFC!$C$5</f>
        <v>220.44749999999999</v>
      </c>
      <c r="T207" s="300">
        <f>(177.4*KFC!$B$23*1.02*1.25+KFC!$C$23)*KFC!$C$5</f>
        <v>226.185</v>
      </c>
      <c r="U207" s="300">
        <f>(181.9*KFC!$B$23*1.02*1.25+KFC!$C$23)*KFC!$C$5</f>
        <v>231.92250000000001</v>
      </c>
      <c r="V207" s="300">
        <f>(186.4*KFC!$B$23*1.02*1.25+KFC!$C$23)*KFC!$C$5</f>
        <v>237.66000000000003</v>
      </c>
      <c r="W207" s="300">
        <f>(190.9*KFC!$B$23*1.02*1.25+KFC!$C$23)*KFC!$C$5</f>
        <v>243.39750000000004</v>
      </c>
      <c r="X207" s="300">
        <f>(195.4*KFC!$B$23*1.02*1.25+KFC!$C$23)*KFC!$C$5</f>
        <v>249.13500000000002</v>
      </c>
      <c r="Y207" s="300">
        <f>(199.9*KFC!$B$23*1.02*1.25+KFC!$C$23)*KFC!$C$5</f>
        <v>254.8725</v>
      </c>
      <c r="Z207" s="300">
        <f>(204.4*KFC!$B$23*1.02*1.25+KFC!$C$23)*KFC!$C$5</f>
        <v>260.61</v>
      </c>
      <c r="AA207" s="300">
        <f>(208.9*KFC!$B$23*1.02*1.25+KFC!$C$23)*KFC!$C$5</f>
        <v>266.34750000000003</v>
      </c>
      <c r="AB207" s="300">
        <f>(213.4*KFC!$B$23*1.02*1.25+KFC!$C$23)*KFC!$C$5</f>
        <v>272.08500000000004</v>
      </c>
      <c r="AC207" s="300">
        <f>(217.9*KFC!$B$23*1.02*1.25+KFC!$C$23)*KFC!$C$5</f>
        <v>277.82249999999999</v>
      </c>
      <c r="AD207" s="300">
        <f>(222.4*KFC!$B$23*1.02*1.25+KFC!$C$23)*KFC!$C$5</f>
        <v>283.56</v>
      </c>
      <c r="AE207" s="300">
        <f>(226.9*KFC!$B$23*1.02*1.25+KFC!$C$23)*KFC!$C$5</f>
        <v>289.29750000000001</v>
      </c>
      <c r="AF207" s="300">
        <f>(231.4*KFC!$B$23*1.02*1.25+KFC!$C$23)*KFC!$C$5</f>
        <v>295.03500000000003</v>
      </c>
      <c r="AG207" s="300">
        <f>(235.9*KFC!$B$23*1.02*1.25+KFC!$C$23)*KFC!$C$5</f>
        <v>300.77250000000004</v>
      </c>
      <c r="AH207" s="304">
        <f>(240.4*KFC!$B$23*1.02*1.25+KFC!$C$23)*KFC!$C$5</f>
        <v>306.51</v>
      </c>
    </row>
    <row r="208" spans="1:34">
      <c r="A208" s="1781"/>
      <c r="B208" s="395">
        <v>2.2999999999999998</v>
      </c>
      <c r="C208" s="303">
        <f>(102*KFC!$B$23*1.02*1.25+KFC!$C$23)*KFC!$C$5</f>
        <v>130.05000000000001</v>
      </c>
      <c r="D208" s="300">
        <f>(106.6*KFC!$B$23*1.02*1.25+KFC!$C$23)*KFC!$C$5</f>
        <v>135.91499999999999</v>
      </c>
      <c r="E208" s="300">
        <f>(111.3*KFC!$B$23*1.02*1.25+KFC!$C$23)*KFC!$C$5</f>
        <v>141.9075</v>
      </c>
      <c r="F208" s="300">
        <f>(116*KFC!$B$23*1.02*1.25+KFC!$C$23)*KFC!$C$5</f>
        <v>147.9</v>
      </c>
      <c r="G208" s="300">
        <f>(120.6*KFC!$B$23*1.02*1.25+KFC!$C$23)*KFC!$C$5</f>
        <v>153.76499999999999</v>
      </c>
      <c r="H208" s="300">
        <f>(125.3*KFC!$B$23*1.02*1.25+KFC!$C$23)*KFC!$C$5</f>
        <v>159.75749999999999</v>
      </c>
      <c r="I208" s="300">
        <f>(130*KFC!$B$23*1.02*1.25+KFC!$C$23)*KFC!$C$5</f>
        <v>165.75</v>
      </c>
      <c r="J208" s="300">
        <f>(134.6*KFC!$B$23*1.02*1.25+KFC!$C$23)*KFC!$C$5</f>
        <v>171.61500000000001</v>
      </c>
      <c r="K208" s="300">
        <f>(139.3*KFC!$B$23*1.02*1.25+KFC!$C$23)*KFC!$C$5</f>
        <v>177.60750000000002</v>
      </c>
      <c r="L208" s="300">
        <f>(144*KFC!$B$23*1.02*1.25+KFC!$C$23)*KFC!$C$5</f>
        <v>183.6</v>
      </c>
      <c r="M208" s="300">
        <f>(148.6*KFC!$B$23*1.02*1.25+KFC!$C$23)*KFC!$C$5</f>
        <v>189.465</v>
      </c>
      <c r="N208" s="300">
        <f>(153.3*KFC!$B$23*1.02*1.25+KFC!$C$23)*KFC!$C$5</f>
        <v>195.45750000000001</v>
      </c>
      <c r="O208" s="300">
        <f>(158*KFC!$B$23*1.02*1.25+KFC!$C$23)*KFC!$C$5</f>
        <v>201.45</v>
      </c>
      <c r="P208" s="300">
        <f>(162.6*KFC!$B$23*1.02*1.25+KFC!$C$23)*KFC!$C$5</f>
        <v>207.315</v>
      </c>
      <c r="Q208" s="300">
        <f>(167.3*KFC!$B$23*1.02*1.25+KFC!$C$23)*KFC!$C$5</f>
        <v>213.3075</v>
      </c>
      <c r="R208" s="300">
        <f>(172*KFC!$B$23*1.02*1.25+KFC!$C$23)*KFC!$C$5</f>
        <v>219.3</v>
      </c>
      <c r="S208" s="300">
        <f>(176.6*KFC!$B$23*1.02*1.25+KFC!$C$23)*KFC!$C$5</f>
        <v>225.16500000000002</v>
      </c>
      <c r="T208" s="300">
        <f>(181.3*KFC!$B$23*1.02*1.25+KFC!$C$23)*KFC!$C$5</f>
        <v>231.15750000000003</v>
      </c>
      <c r="U208" s="300">
        <f>(186*KFC!$B$23*1.02*1.25+KFC!$C$23)*KFC!$C$5</f>
        <v>237.15</v>
      </c>
      <c r="V208" s="300">
        <f>(190.6*KFC!$B$23*1.02*1.25+KFC!$C$23)*KFC!$C$5</f>
        <v>243.01500000000001</v>
      </c>
      <c r="W208" s="300">
        <f>(195.3*KFC!$B$23*1.02*1.25+KFC!$C$23)*KFC!$C$5</f>
        <v>249.00750000000002</v>
      </c>
      <c r="X208" s="300">
        <f>(199.9*KFC!$B$23*1.02*1.25+KFC!$C$23)*KFC!$C$5</f>
        <v>254.8725</v>
      </c>
      <c r="Y208" s="300">
        <f>(204.6*KFC!$B$23*1.02*1.25+KFC!$C$23)*KFC!$C$5</f>
        <v>260.86500000000001</v>
      </c>
      <c r="Z208" s="300">
        <f>(209.3*KFC!$B$23*1.02*1.25+KFC!$C$23)*KFC!$C$5</f>
        <v>266.85750000000002</v>
      </c>
      <c r="AA208" s="300">
        <f>(213.9*KFC!$B$23*1.02*1.25+KFC!$C$23)*KFC!$C$5</f>
        <v>272.72249999999997</v>
      </c>
      <c r="AB208" s="300">
        <f>(218.6*KFC!$B$23*1.02*1.25+KFC!$C$23)*KFC!$C$5</f>
        <v>278.71500000000003</v>
      </c>
      <c r="AC208" s="300">
        <f>(223.3*KFC!$B$23*1.02*1.25+KFC!$C$23)*KFC!$C$5</f>
        <v>284.70750000000004</v>
      </c>
      <c r="AD208" s="300">
        <f>(227.9*KFC!$B$23*1.02*1.25+KFC!$C$23)*KFC!$C$5</f>
        <v>290.57249999999999</v>
      </c>
      <c r="AE208" s="300">
        <f>(232.6*KFC!$B$23*1.02*1.25+KFC!$C$23)*KFC!$C$5</f>
        <v>296.565</v>
      </c>
      <c r="AF208" s="300">
        <f>(237.3*KFC!$B$23*1.02*1.25+KFC!$C$23)*KFC!$C$5</f>
        <v>302.5575</v>
      </c>
      <c r="AG208" s="300">
        <f>(241.9*KFC!$B$23*1.02*1.25+KFC!$C$23)*KFC!$C$5</f>
        <v>308.42250000000001</v>
      </c>
      <c r="AH208" s="304">
        <f>(246.6*KFC!$B$23*1.02*1.25+KFC!$C$23)*KFC!$C$5</f>
        <v>314.41500000000002</v>
      </c>
    </row>
    <row r="209" spans="1:34">
      <c r="A209" s="1781"/>
      <c r="B209" s="395">
        <v>2.4</v>
      </c>
      <c r="C209" s="303">
        <f>(103*KFC!$B$23*1.02*1.25+KFC!$C$23)*KFC!$C$5</f>
        <v>131.32499999999999</v>
      </c>
      <c r="D209" s="300">
        <f>(107.9*KFC!$B$23*1.02*1.25+KFC!$C$23)*KFC!$C$5</f>
        <v>137.57250000000002</v>
      </c>
      <c r="E209" s="300">
        <f>(112.7*KFC!$B$23*1.02*1.25+KFC!$C$23)*KFC!$C$5</f>
        <v>143.6925</v>
      </c>
      <c r="F209" s="300">
        <f>(117.5*KFC!$B$23*1.02*1.25+KFC!$C$23)*KFC!$C$5</f>
        <v>149.8125</v>
      </c>
      <c r="G209" s="300">
        <f>(122.4*KFC!$B$23*1.02*1.25+KFC!$C$23)*KFC!$C$5</f>
        <v>156.06</v>
      </c>
      <c r="H209" s="300">
        <f>(127.2*KFC!$B$23*1.02*1.25+KFC!$C$23)*KFC!$C$5</f>
        <v>162.18</v>
      </c>
      <c r="I209" s="300">
        <f>(132*KFC!$B$23*1.02*1.25+KFC!$C$23)*KFC!$C$5</f>
        <v>168.3</v>
      </c>
      <c r="J209" s="300">
        <f>(136.8*KFC!$B$23*1.02*1.25+KFC!$C$23)*KFC!$C$5</f>
        <v>174.42000000000002</v>
      </c>
      <c r="K209" s="300">
        <f>(141.1*KFC!$B$23*1.02*1.25+KFC!$C$23)*KFC!$C$5</f>
        <v>179.9025</v>
      </c>
      <c r="L209" s="300">
        <f>(146.5*KFC!$B$23*1.02*1.25+KFC!$C$23)*KFC!$C$5</f>
        <v>186.78750000000002</v>
      </c>
      <c r="M209" s="300">
        <f>(151.3*KFC!$B$23*1.02*1.25+KFC!$C$23)*KFC!$C$5</f>
        <v>192.90750000000003</v>
      </c>
      <c r="N209" s="300">
        <f>(156.2*KFC!$B$23*1.02*1.25+KFC!$C$23)*KFC!$C$5</f>
        <v>199.15499999999997</v>
      </c>
      <c r="O209" s="300">
        <f>(161*KFC!$B$23*1.02*1.25+KFC!$C$23)*KFC!$C$5</f>
        <v>205.27500000000001</v>
      </c>
      <c r="P209" s="300">
        <f>(165.8*KFC!$B$23*1.02*1.25+KFC!$C$23)*KFC!$C$5</f>
        <v>211.39500000000001</v>
      </c>
      <c r="Q209" s="300">
        <f>(170.7*KFC!$B$23*1.02*1.25+KFC!$C$23)*KFC!$C$5</f>
        <v>217.64250000000001</v>
      </c>
      <c r="R209" s="300">
        <f>(175.5*KFC!$B$23*1.02*1.25+KFC!$C$23)*KFC!$C$5</f>
        <v>223.76249999999999</v>
      </c>
      <c r="S209" s="300">
        <f>(180.3*KFC!$B$23*1.02*1.25+KFC!$C$23)*KFC!$C$5</f>
        <v>229.88249999999999</v>
      </c>
      <c r="T209" s="300">
        <f>(185.2*KFC!$B$23*1.02*1.25+KFC!$C$23)*KFC!$C$5</f>
        <v>236.13</v>
      </c>
      <c r="U209" s="300">
        <f>(190*KFC!$B$23*1.02*1.25+KFC!$C$23)*KFC!$C$5</f>
        <v>242.25</v>
      </c>
      <c r="V209" s="300">
        <f>(194.8*KFC!$B$23*1.02*1.25+KFC!$C$23)*KFC!$C$5</f>
        <v>248.37000000000003</v>
      </c>
      <c r="W209" s="300">
        <f>(199.7*KFC!$B$23*1.02*1.25+KFC!$C$23)*KFC!$C$5</f>
        <v>254.61749999999998</v>
      </c>
      <c r="X209" s="300">
        <f>(204.5*KFC!$B$23*1.02*1.25+KFC!$C$23)*KFC!$C$5</f>
        <v>260.73750000000001</v>
      </c>
      <c r="Y209" s="300">
        <f>(209.3*KFC!$B$23*1.02*1.25+KFC!$C$23)*KFC!$C$5</f>
        <v>266.85750000000002</v>
      </c>
      <c r="Z209" s="300">
        <f>(214.2*KFC!$B$23*1.02*1.25+KFC!$C$23)*KFC!$C$5</f>
        <v>273.10499999999996</v>
      </c>
      <c r="AA209" s="300">
        <f>(219*KFC!$B$23*1.02*1.25+KFC!$C$23)*KFC!$C$5</f>
        <v>279.22500000000002</v>
      </c>
      <c r="AB209" s="300">
        <f>(223.8*KFC!$B$23*1.02*1.25+KFC!$C$23)*KFC!$C$5</f>
        <v>285.34500000000003</v>
      </c>
      <c r="AC209" s="300">
        <f>(228.7*KFC!$B$23*1.02*1.25+KFC!$C$23)*KFC!$C$5</f>
        <v>291.59249999999997</v>
      </c>
      <c r="AD209" s="300">
        <f>(233.5*KFC!$B$23*1.02*1.25+KFC!$C$23)*KFC!$C$5</f>
        <v>297.71250000000003</v>
      </c>
      <c r="AE209" s="300">
        <f>(238.3*KFC!$B$23*1.02*1.25+KFC!$C$23)*KFC!$C$5</f>
        <v>303.83249999999998</v>
      </c>
      <c r="AF209" s="300">
        <f>(243.2*KFC!$B$23*1.02*1.25+KFC!$C$23)*KFC!$C$5</f>
        <v>310.08</v>
      </c>
      <c r="AG209" s="300">
        <f>(248*KFC!$B$23*1.02*1.25+KFC!$C$23)*KFC!$C$5</f>
        <v>316.2</v>
      </c>
      <c r="AH209" s="304">
        <f>(252.8*KFC!$B$23*1.02*1.25+KFC!$C$23)*KFC!$C$5</f>
        <v>322.32</v>
      </c>
    </row>
    <row r="210" spans="1:34">
      <c r="A210" s="1781"/>
      <c r="B210" s="395">
        <v>2.5</v>
      </c>
      <c r="C210" s="303">
        <f>(104.1*KFC!$B$23*1.02*1.25+KFC!$C$23)*KFC!$C$5</f>
        <v>132.72749999999999</v>
      </c>
      <c r="D210" s="300">
        <f>(109.1*KFC!$B$23*1.02*1.25+KFC!$C$23)*KFC!$C$5</f>
        <v>139.10249999999999</v>
      </c>
      <c r="E210" s="300">
        <f>(114.1*KFC!$B$23*1.02*1.25+KFC!$C$23)*KFC!$C$5</f>
        <v>145.47749999999999</v>
      </c>
      <c r="F210" s="300">
        <f>(119.1*KFC!$B$23*1.02*1.25+KFC!$C$23)*KFC!$C$5</f>
        <v>151.85249999999999</v>
      </c>
      <c r="G210" s="300">
        <f>(124.1*KFC!$B$23*1.02*1.25+KFC!$C$23)*KFC!$C$5</f>
        <v>158.22749999999999</v>
      </c>
      <c r="H210" s="300">
        <f>(129.1*KFC!$B$23*1.02*1.25+KFC!$C$23)*KFC!$C$5</f>
        <v>164.60249999999999</v>
      </c>
      <c r="I210" s="300">
        <f>(134.1*KFC!$B$23*1.02*1.25+KFC!$C$23)*KFC!$C$5</f>
        <v>170.97750000000002</v>
      </c>
      <c r="J210" s="300">
        <f>(139.1*KFC!$B$23*1.02*1.25+KFC!$C$23)*KFC!$C$5</f>
        <v>177.35250000000002</v>
      </c>
      <c r="K210" s="300">
        <f>(144.1*KFC!$B$23*1.02*1.25+KFC!$C$23)*KFC!$C$5</f>
        <v>183.72749999999999</v>
      </c>
      <c r="L210" s="300">
        <f>(149.1*KFC!$B$23*1.02*1.25+KFC!$C$23)*KFC!$C$5</f>
        <v>190.10249999999999</v>
      </c>
      <c r="M210" s="300">
        <f>(154.1*KFC!$B$23*1.02*1.25+KFC!$C$23)*KFC!$C$5</f>
        <v>196.47749999999999</v>
      </c>
      <c r="N210" s="300">
        <f>(159.1*KFC!$B$23*1.02*1.25+KFC!$C$23)*KFC!$C$5</f>
        <v>202.85250000000002</v>
      </c>
      <c r="O210" s="300">
        <f>(164.1*KFC!$B$23*1.02*1.25+KFC!$C$23)*KFC!$C$5</f>
        <v>209.22750000000002</v>
      </c>
      <c r="P210" s="300">
        <f>(169.1*KFC!$B$23*1.02*1.25+KFC!$C$23)*KFC!$C$5</f>
        <v>215.60249999999999</v>
      </c>
      <c r="Q210" s="300">
        <f>(174.1*KFC!$B$23*1.02*1.25+KFC!$C$23)*KFC!$C$5</f>
        <v>221.97749999999999</v>
      </c>
      <c r="R210" s="300">
        <f>(179.1*KFC!$B$23*1.02*1.25+KFC!$C$23)*KFC!$C$5</f>
        <v>228.35249999999999</v>
      </c>
      <c r="S210" s="300">
        <f>(184.1*KFC!$B$23*1.02*1.25+KFC!$C$23)*KFC!$C$5</f>
        <v>234.72750000000002</v>
      </c>
      <c r="T210" s="300">
        <f>(189.1*KFC!$B$23*1.02*1.25+KFC!$C$23)*KFC!$C$5</f>
        <v>241.10250000000002</v>
      </c>
      <c r="U210" s="300">
        <f>(194.1*KFC!$B$23*1.02*1.25+KFC!$C$23)*KFC!$C$5</f>
        <v>247.47749999999999</v>
      </c>
      <c r="V210" s="300">
        <f>(199.1*KFC!$B$23*1.02*1.25+KFC!$C$23)*KFC!$C$5</f>
        <v>253.85249999999999</v>
      </c>
      <c r="W210" s="300">
        <f>(204.1*KFC!$B$23*1.02*1.25+KFC!$C$23)*KFC!$C$5</f>
        <v>260.22749999999996</v>
      </c>
      <c r="X210" s="300">
        <f>(209.1*KFC!$B$23*1.02*1.25+KFC!$C$23)*KFC!$C$5</f>
        <v>266.60250000000002</v>
      </c>
      <c r="Y210" s="300">
        <f>(214.1*KFC!$B$23*1.02*1.25+KFC!$C$23)*KFC!$C$5</f>
        <v>272.97750000000002</v>
      </c>
      <c r="Z210" s="300">
        <f>(219.1*KFC!$B$23*1.02*1.25+KFC!$C$23)*KFC!$C$5</f>
        <v>279.35250000000002</v>
      </c>
      <c r="AA210" s="300">
        <f>(224.1*KFC!$B$23*1.02*1.25+KFC!$C$23)*KFC!$C$5</f>
        <v>285.72749999999996</v>
      </c>
      <c r="AB210" s="300">
        <f>(229.1*KFC!$B$23*1.02*1.25+KFC!$C$23)*KFC!$C$5</f>
        <v>292.10249999999996</v>
      </c>
      <c r="AC210" s="300">
        <f>(234.1*KFC!$B$23*1.02*1.25+KFC!$C$23)*KFC!$C$5</f>
        <v>298.47750000000002</v>
      </c>
      <c r="AD210" s="300">
        <f>(239.1*KFC!$B$23*1.02*1.25+KFC!$C$23)*KFC!$C$5</f>
        <v>304.85250000000002</v>
      </c>
      <c r="AE210" s="300">
        <f>(244.1*KFC!$B$23*1.02*1.25+KFC!$C$23)*KFC!$C$5</f>
        <v>311.22750000000002</v>
      </c>
      <c r="AF210" s="300">
        <f>(249.1*KFC!$B$23*1.02*1.25+KFC!$C$23)*KFC!$C$5</f>
        <v>317.60249999999996</v>
      </c>
      <c r="AG210" s="300">
        <f>(254.1*KFC!$B$23*1.02*1.25+KFC!$C$23)*KFC!$C$5</f>
        <v>323.97750000000002</v>
      </c>
      <c r="AH210" s="304">
        <f>(259.1*KFC!$B$23*1.02*1.25+KFC!$C$23)*KFC!$C$5</f>
        <v>330.35250000000008</v>
      </c>
    </row>
    <row r="211" spans="1:34">
      <c r="A211" s="1781"/>
      <c r="B211" s="395">
        <v>2.6</v>
      </c>
      <c r="C211" s="303">
        <f>(105.1*KFC!$B$23*1.02*1.25+KFC!$C$23)*KFC!$C$5</f>
        <v>134.0025</v>
      </c>
      <c r="D211" s="300">
        <f>(110.3*KFC!$B$23*1.02*1.25+KFC!$C$23)*KFC!$C$5</f>
        <v>140.63249999999999</v>
      </c>
      <c r="E211" s="300">
        <f>(115.4*KFC!$B$23*1.02*1.25+KFC!$C$23)*KFC!$C$5</f>
        <v>147.13500000000002</v>
      </c>
      <c r="F211" s="300">
        <f>(120.6*KFC!$B$23*1.02*1.25+KFC!$C$23)*KFC!$C$5</f>
        <v>153.76499999999999</v>
      </c>
      <c r="G211" s="300">
        <f>(125.8*KFC!$B$23*1.02*1.25+KFC!$C$23)*KFC!$C$5</f>
        <v>160.39500000000001</v>
      </c>
      <c r="H211" s="300">
        <f>(130.9*KFC!$B$23*1.02*1.25+KFC!$C$23)*KFC!$C$5</f>
        <v>166.89750000000001</v>
      </c>
      <c r="I211" s="300">
        <f>(136.1*KFC!$B$23*1.02*1.25+KFC!$C$23)*KFC!$C$5</f>
        <v>173.5275</v>
      </c>
      <c r="J211" s="300">
        <f>(141.3*KFC!$B$23*1.02*1.25+KFC!$C$23)*KFC!$C$5</f>
        <v>180.1575</v>
      </c>
      <c r="K211" s="300">
        <f>(146.4*KFC!$B$23*1.02*1.25+KFC!$C$23)*KFC!$C$5</f>
        <v>186.66</v>
      </c>
      <c r="L211" s="300">
        <f>(151.6*KFC!$B$23*1.02*1.25+KFC!$C$23)*KFC!$C$5</f>
        <v>193.29000000000002</v>
      </c>
      <c r="M211" s="300">
        <f>(156.8*KFC!$B$23*1.02*1.25+KFC!$C$23)*KFC!$C$5</f>
        <v>199.92000000000002</v>
      </c>
      <c r="N211" s="300">
        <f>(161.9*KFC!$B$23*1.02*1.25+KFC!$C$23)*KFC!$C$5</f>
        <v>206.42250000000001</v>
      </c>
      <c r="O211" s="300">
        <f>(167.1*KFC!$B$23*1.02*1.25+KFC!$C$23)*KFC!$C$5</f>
        <v>213.05250000000001</v>
      </c>
      <c r="P211" s="300">
        <f>(172.3*KFC!$B$23*1.02*1.25+KFC!$C$23)*KFC!$C$5</f>
        <v>219.6825</v>
      </c>
      <c r="Q211" s="300">
        <f>(177.4*KFC!$B$23*1.02*1.25+KFC!$C$23)*KFC!$C$5</f>
        <v>226.185</v>
      </c>
      <c r="R211" s="300">
        <f>(182.6*KFC!$B$23*1.02*1.25+KFC!$C$23)*KFC!$C$5</f>
        <v>232.815</v>
      </c>
      <c r="S211" s="300">
        <f>(187.8*KFC!$B$23*1.02*1.25+KFC!$C$23)*KFC!$C$5</f>
        <v>239.44500000000002</v>
      </c>
      <c r="T211" s="300">
        <f>(192.9*KFC!$B$23*1.02*1.25+KFC!$C$23)*KFC!$C$5</f>
        <v>245.94750000000002</v>
      </c>
      <c r="U211" s="300">
        <f>(198.1*KFC!$B$23*1.02*1.25+KFC!$C$23)*KFC!$C$5</f>
        <v>252.57750000000001</v>
      </c>
      <c r="V211" s="300">
        <f>(203.3*KFC!$B$23*1.02*1.25+KFC!$C$23)*KFC!$C$5</f>
        <v>259.20750000000004</v>
      </c>
      <c r="W211" s="300">
        <f>(208.4*KFC!$B$23*1.02*1.25+KFC!$C$23)*KFC!$C$5</f>
        <v>265.71000000000004</v>
      </c>
      <c r="X211" s="300">
        <f>(213.6*KFC!$B$23*1.02*1.25+KFC!$C$23)*KFC!$C$5</f>
        <v>272.33999999999997</v>
      </c>
      <c r="Y211" s="300">
        <f>(218.8*KFC!$B$23*1.02*1.25+KFC!$C$23)*KFC!$C$5</f>
        <v>278.97000000000003</v>
      </c>
      <c r="Z211" s="300">
        <f>(223.9*KFC!$B$23*1.02*1.25+KFC!$C$23)*KFC!$C$5</f>
        <v>285.47250000000003</v>
      </c>
      <c r="AA211" s="300">
        <f>(229.1*KFC!$B$23*1.02*1.25+KFC!$C$23)*KFC!$C$5</f>
        <v>292.10249999999996</v>
      </c>
      <c r="AB211" s="300">
        <f>(234.3*KFC!$B$23*1.02*1.25+KFC!$C$23)*KFC!$C$5</f>
        <v>298.73250000000002</v>
      </c>
      <c r="AC211" s="300">
        <f>(239.4*KFC!$B$23*1.02*1.25+KFC!$C$23)*KFC!$C$5</f>
        <v>305.23500000000001</v>
      </c>
      <c r="AD211" s="300">
        <f>(244.6*KFC!$B$23*1.02*1.25+KFC!$C$23)*KFC!$C$5</f>
        <v>311.86500000000001</v>
      </c>
      <c r="AE211" s="300">
        <f>(249.8*KFC!$B$23*1.02*1.25+KFC!$C$23)*KFC!$C$5</f>
        <v>318.495</v>
      </c>
      <c r="AF211" s="300">
        <f>(254.9*KFC!$B$23*1.02*1.25+KFC!$C$23)*KFC!$C$5</f>
        <v>324.9975</v>
      </c>
      <c r="AG211" s="300">
        <f>(260.1*KFC!$B$23*1.02*1.25+KFC!$C$23)*KFC!$C$5</f>
        <v>331.62750000000005</v>
      </c>
      <c r="AH211" s="304">
        <f>(265.3*KFC!$B$23*1.02*1.25+KFC!$C$23)*KFC!$C$5</f>
        <v>338.25749999999999</v>
      </c>
    </row>
    <row r="212" spans="1:34">
      <c r="A212" s="1781"/>
      <c r="B212" s="395">
        <v>2.7</v>
      </c>
      <c r="C212" s="303">
        <f>(106.2*KFC!$B$23*1.02*1.25+KFC!$C$23)*KFC!$C$5</f>
        <v>135.405</v>
      </c>
      <c r="D212" s="300">
        <f>(111.5*KFC!$B$23*1.02*1.25+KFC!$C$23)*KFC!$C$5</f>
        <v>142.16249999999999</v>
      </c>
      <c r="E212" s="300">
        <f>(116.8*KFC!$B$23*1.02*1.25+KFC!$C$23)*KFC!$C$5</f>
        <v>148.91999999999999</v>
      </c>
      <c r="F212" s="300">
        <f>(122.2*KFC!$B$23*1.02*1.25+KFC!$C$23)*KFC!$C$5</f>
        <v>155.80500000000001</v>
      </c>
      <c r="G212" s="300">
        <f>(127.5*KFC!$B$23*1.02*1.25+KFC!$C$23)*KFC!$C$5</f>
        <v>162.5625</v>
      </c>
      <c r="H212" s="300">
        <f>(132.8*KFC!$B$23*1.02*1.25+KFC!$C$23)*KFC!$C$5</f>
        <v>169.32000000000002</v>
      </c>
      <c r="I212" s="300">
        <f>(138.2*KFC!$B$23*1.02*1.25+KFC!$C$23)*KFC!$C$5</f>
        <v>176.20499999999998</v>
      </c>
      <c r="J212" s="300">
        <f>(143.5*KFC!$B$23*1.02*1.25+KFC!$C$23)*KFC!$C$5</f>
        <v>182.96250000000001</v>
      </c>
      <c r="K212" s="300">
        <f>(148.8*KFC!$B$23*1.02*1.25+KFC!$C$23)*KFC!$C$5</f>
        <v>189.72000000000003</v>
      </c>
      <c r="L212" s="300">
        <f>(154.2*KFC!$B$23*1.02*1.25+KFC!$C$23)*KFC!$C$5</f>
        <v>196.60499999999999</v>
      </c>
      <c r="M212" s="300">
        <f>(159.5*KFC!$B$23*1.02*1.25+KFC!$C$23)*KFC!$C$5</f>
        <v>203.36250000000001</v>
      </c>
      <c r="N212" s="300">
        <f>(164.8*KFC!$B$23*1.02*1.25+KFC!$C$23)*KFC!$C$5</f>
        <v>210.12</v>
      </c>
      <c r="O212" s="300">
        <f>(170.2*KFC!$B$23*1.02*1.25+KFC!$C$23)*KFC!$C$5</f>
        <v>217.005</v>
      </c>
      <c r="P212" s="300">
        <f>(175.5*KFC!$B$23*1.02*1.25+KFC!$C$23)*KFC!$C$5</f>
        <v>223.76249999999999</v>
      </c>
      <c r="Q212" s="300">
        <f>(180.8*KFC!$B$23*1.02*1.25+KFC!$C$23)*KFC!$C$5</f>
        <v>230.52000000000004</v>
      </c>
      <c r="R212" s="300">
        <f>(186.2*KFC!$B$23*1.02*1.25+KFC!$C$23)*KFC!$C$5</f>
        <v>237.40499999999997</v>
      </c>
      <c r="S212" s="300">
        <f>(191.5*KFC!$B$23*1.02*1.25+KFC!$C$23)*KFC!$C$5</f>
        <v>244.16250000000002</v>
      </c>
      <c r="T212" s="300">
        <f>(196.8*KFC!$B$23*1.02*1.25+KFC!$C$23)*KFC!$C$5</f>
        <v>250.92000000000002</v>
      </c>
      <c r="U212" s="300">
        <f>(202.2*KFC!$B$23*1.02*1.25+KFC!$C$23)*KFC!$C$5</f>
        <v>257.80500000000001</v>
      </c>
      <c r="V212" s="300">
        <f>(207.5*KFC!$B$23*1.02*1.25+KFC!$C$23)*KFC!$C$5</f>
        <v>264.5625</v>
      </c>
      <c r="W212" s="300">
        <f>(212.8*KFC!$B$23*1.02*1.25+KFC!$C$23)*KFC!$C$5</f>
        <v>271.32</v>
      </c>
      <c r="X212" s="300">
        <f>(218.2*KFC!$B$23*1.02*1.25+KFC!$C$23)*KFC!$C$5</f>
        <v>278.20499999999998</v>
      </c>
      <c r="Y212" s="300">
        <f>(223.5*KFC!$B$23*1.02*1.25+KFC!$C$23)*KFC!$C$5</f>
        <v>284.96249999999998</v>
      </c>
      <c r="Z212" s="300">
        <f>(228.8*KFC!$B$23*1.02*1.25+KFC!$C$23)*KFC!$C$5</f>
        <v>291.72000000000003</v>
      </c>
      <c r="AA212" s="300">
        <f>(234.2*KFC!$B$23*1.02*1.25+KFC!$C$23)*KFC!$C$5</f>
        <v>298.60499999999996</v>
      </c>
      <c r="AB212" s="300">
        <f>(239.5*KFC!$B$23*1.02*1.25+KFC!$C$23)*KFC!$C$5</f>
        <v>305.36250000000001</v>
      </c>
      <c r="AC212" s="300">
        <f>(244.8*KFC!$B$23*1.02*1.25+KFC!$C$23)*KFC!$C$5</f>
        <v>312.12</v>
      </c>
      <c r="AD212" s="300">
        <f>(250.2*KFC!$B$23*1.02*1.25+KFC!$C$23)*KFC!$C$5</f>
        <v>319.005</v>
      </c>
      <c r="AE212" s="300">
        <f>(255.5*KFC!$B$23*1.02*1.25+KFC!$C$23)*KFC!$C$5</f>
        <v>325.76250000000005</v>
      </c>
      <c r="AF212" s="300">
        <f>(260.8*KFC!$B$23*1.02*1.25+KFC!$C$23)*KFC!$C$5</f>
        <v>332.52000000000004</v>
      </c>
      <c r="AG212" s="300">
        <f>(266.2*KFC!$B$23*1.02*1.25+KFC!$C$23)*KFC!$C$5</f>
        <v>339.40499999999997</v>
      </c>
      <c r="AH212" s="304">
        <f>(271.5*KFC!$B$23*1.02*1.25+KFC!$C$23)*KFC!$C$5</f>
        <v>346.16250000000002</v>
      </c>
    </row>
    <row r="213" spans="1:34">
      <c r="A213" s="1781"/>
      <c r="B213" s="395">
        <v>2.8</v>
      </c>
      <c r="C213" s="303">
        <f>(107.2*KFC!$B$23*1.02*1.25+KFC!$C$23)*KFC!$C$5</f>
        <v>136.68</v>
      </c>
      <c r="D213" s="300">
        <f>(112.7*KFC!$B$23*1.02*1.25+KFC!$C$23)*KFC!$C$5</f>
        <v>143.6925</v>
      </c>
      <c r="E213" s="300">
        <f>(118.2*KFC!$B$23*1.02*1.25+KFC!$C$23)*KFC!$C$5</f>
        <v>150.70500000000001</v>
      </c>
      <c r="F213" s="300">
        <f>(123.7*KFC!$B$23*1.02*1.25+KFC!$C$23)*KFC!$C$5</f>
        <v>157.7175</v>
      </c>
      <c r="G213" s="300">
        <f>(129.2*KFC!$B$23*1.02*1.25+KFC!$C$23)*KFC!$C$5</f>
        <v>164.73</v>
      </c>
      <c r="H213" s="300">
        <f>(134.7*KFC!$B$23*1.02*1.25+KFC!$C$23)*KFC!$C$5</f>
        <v>171.74249999999998</v>
      </c>
      <c r="I213" s="300">
        <f>(140.2*KFC!$B$23*1.02*1.25+KFC!$C$23)*KFC!$C$5</f>
        <v>178.755</v>
      </c>
      <c r="J213" s="300">
        <f>(145.7*KFC!$B$23*1.02*1.25+KFC!$C$23)*KFC!$C$5</f>
        <v>185.76750000000001</v>
      </c>
      <c r="K213" s="300">
        <f>(151.2*KFC!$B$23*1.02*1.25+KFC!$C$23)*KFC!$C$5</f>
        <v>192.77999999999997</v>
      </c>
      <c r="L213" s="300">
        <f>(156.7*KFC!$B$23*1.02*1.25+KFC!$C$23)*KFC!$C$5</f>
        <v>199.79250000000002</v>
      </c>
      <c r="M213" s="300">
        <f>(162.2*KFC!$B$23*1.02*1.25+KFC!$C$23)*KFC!$C$5</f>
        <v>206.80499999999998</v>
      </c>
      <c r="N213" s="300">
        <f>(167.7*KFC!$B$23*1.02*1.25+KFC!$C$23)*KFC!$C$5</f>
        <v>213.8175</v>
      </c>
      <c r="O213" s="300">
        <f>(173.2*KFC!$B$23*1.02*1.25+KFC!$C$23)*KFC!$C$5</f>
        <v>220.82999999999998</v>
      </c>
      <c r="P213" s="300">
        <f>(178.7*KFC!$B$23*1.02*1.25+KFC!$C$23)*KFC!$C$5</f>
        <v>227.8425</v>
      </c>
      <c r="Q213" s="300">
        <f>(184.2*KFC!$B$23*1.02*1.25+KFC!$C$23)*KFC!$C$5</f>
        <v>234.85499999999999</v>
      </c>
      <c r="R213" s="300">
        <f>(189.7*KFC!$B$23*1.02*1.25+KFC!$C$23)*KFC!$C$5</f>
        <v>241.86750000000001</v>
      </c>
      <c r="S213" s="300">
        <f>(195.2*KFC!$B$23*1.02*1.25+KFC!$C$23)*KFC!$C$5</f>
        <v>248.88</v>
      </c>
      <c r="T213" s="300">
        <f>(200.7*KFC!$B$23*1.02*1.25+KFC!$C$23)*KFC!$C$5</f>
        <v>255.89249999999998</v>
      </c>
      <c r="U213" s="300">
        <f>(206.2*KFC!$B$23*1.02*1.25+KFC!$C$23)*KFC!$C$5</f>
        <v>262.90499999999997</v>
      </c>
      <c r="V213" s="300">
        <f>(211.7*KFC!$B$23*1.02*1.25+KFC!$C$23)*KFC!$C$5</f>
        <v>269.91750000000002</v>
      </c>
      <c r="W213" s="300">
        <f>(217.2*KFC!$B$23*1.02*1.25+KFC!$C$23)*KFC!$C$5</f>
        <v>276.92999999999995</v>
      </c>
      <c r="X213" s="300">
        <f>(222.7*KFC!$B$23*1.02*1.25+KFC!$C$23)*KFC!$C$5</f>
        <v>283.9425</v>
      </c>
      <c r="Y213" s="300">
        <f>(228.2*KFC!$B$23*1.02*1.25+KFC!$C$23)*KFC!$C$5</f>
        <v>290.95499999999998</v>
      </c>
      <c r="Z213" s="300">
        <f>(233.7*KFC!$B$23*1.02*1.25+KFC!$C$23)*KFC!$C$5</f>
        <v>297.96749999999997</v>
      </c>
      <c r="AA213" s="300">
        <f>(239.2*KFC!$B$23*1.02*1.25+KFC!$C$23)*KFC!$C$5</f>
        <v>304.97999999999996</v>
      </c>
      <c r="AB213" s="300">
        <f>(244.7*KFC!$B$23*1.02*1.25+KFC!$C$23)*KFC!$C$5</f>
        <v>311.99250000000001</v>
      </c>
      <c r="AC213" s="300">
        <f>(250.2*KFC!$B$23*1.02*1.25+KFC!$C$23)*KFC!$C$5</f>
        <v>319.005</v>
      </c>
      <c r="AD213" s="300">
        <f>(255.7*KFC!$B$23*1.02*1.25+KFC!$C$23)*KFC!$C$5</f>
        <v>326.01749999999993</v>
      </c>
      <c r="AE213" s="300">
        <f>(261.2*KFC!$B$23*1.02*1.25+KFC!$C$23)*KFC!$C$5</f>
        <v>333.03</v>
      </c>
      <c r="AF213" s="300">
        <f>(266.7*KFC!$B$23*1.02*1.25+KFC!$C$23)*KFC!$C$5</f>
        <v>340.04250000000002</v>
      </c>
      <c r="AG213" s="300">
        <f>(272.2*KFC!$B$23*1.02*1.25+KFC!$C$23)*KFC!$C$5</f>
        <v>347.05500000000001</v>
      </c>
      <c r="AH213" s="304">
        <f>(277.7*KFC!$B$23*1.02*1.25+KFC!$C$23)*KFC!$C$5</f>
        <v>354.0675</v>
      </c>
    </row>
    <row r="214" spans="1:34">
      <c r="A214" s="1781"/>
      <c r="B214" s="395">
        <v>2.9</v>
      </c>
      <c r="C214" s="303">
        <f>(108.2*KFC!$B$23*1.02*1.25+KFC!$C$23)*KFC!$C$5</f>
        <v>137.95500000000001</v>
      </c>
      <c r="D214" s="300">
        <f>(113.9*KFC!$B$23*1.02*1.25+KFC!$C$23)*KFC!$C$5</f>
        <v>145.22250000000003</v>
      </c>
      <c r="E214" s="300">
        <f>(119.6*KFC!$B$23*1.02*1.25+KFC!$C$23)*KFC!$C$5</f>
        <v>152.48999999999998</v>
      </c>
      <c r="F214" s="300">
        <f>(125.3*KFC!$B$23*1.02*1.25+KFC!$C$23)*KFC!$C$5</f>
        <v>159.75749999999999</v>
      </c>
      <c r="G214" s="300">
        <f>(130.9*KFC!$B$23*1.02*1.25+KFC!$C$23)*KFC!$C$5</f>
        <v>166.89750000000001</v>
      </c>
      <c r="H214" s="300">
        <f>(136.6*KFC!$B$23*1.02*1.25+KFC!$C$23)*KFC!$C$5</f>
        <v>174.16499999999999</v>
      </c>
      <c r="I214" s="300">
        <f>(142.3*KFC!$B$23*1.02*1.25+KFC!$C$23)*KFC!$C$5</f>
        <v>181.4325</v>
      </c>
      <c r="J214" s="300">
        <f>(147.9*KFC!$B$23*1.02*1.25+KFC!$C$23)*KFC!$C$5</f>
        <v>188.57249999999999</v>
      </c>
      <c r="K214" s="300">
        <f>(153.6*KFC!$B$23*1.02*1.25+KFC!$C$23)*KFC!$C$5</f>
        <v>195.84</v>
      </c>
      <c r="L214" s="300">
        <f>(159.3*KFC!$B$23*1.02*1.25+KFC!$C$23)*KFC!$C$5</f>
        <v>203.10750000000002</v>
      </c>
      <c r="M214" s="300">
        <f>(164.9*KFC!$B$23*1.02*1.25+KFC!$C$23)*KFC!$C$5</f>
        <v>210.2475</v>
      </c>
      <c r="N214" s="300">
        <f>(170.6*KFC!$B$23*1.02*1.25+KFC!$C$23)*KFC!$C$5</f>
        <v>217.51499999999999</v>
      </c>
      <c r="O214" s="300">
        <f>(176.3*KFC!$B$23*1.02*1.25+KFC!$C$23)*KFC!$C$5</f>
        <v>224.78250000000003</v>
      </c>
      <c r="P214" s="300">
        <f>(181.9*KFC!$B$23*1.02*1.25+KFC!$C$23)*KFC!$C$5</f>
        <v>231.92250000000001</v>
      </c>
      <c r="Q214" s="300">
        <f>(187.6*KFC!$B$23*1.02*1.25+KFC!$C$23)*KFC!$C$5</f>
        <v>239.19</v>
      </c>
      <c r="R214" s="300">
        <f>(193.3*KFC!$B$23*1.02*1.25+KFC!$C$23)*KFC!$C$5</f>
        <v>246.45750000000004</v>
      </c>
      <c r="S214" s="300">
        <f>(198.9*KFC!$B$23*1.02*1.25+KFC!$C$23)*KFC!$C$5</f>
        <v>253.59750000000003</v>
      </c>
      <c r="T214" s="300">
        <f>(204.6*KFC!$B$23*1.02*1.25+KFC!$C$23)*KFC!$C$5</f>
        <v>260.86500000000001</v>
      </c>
      <c r="U214" s="300">
        <f>(210.3*KFC!$B$23*1.02*1.25+KFC!$C$23)*KFC!$C$5</f>
        <v>268.13250000000005</v>
      </c>
      <c r="V214" s="300">
        <f>(215.9*KFC!$B$23*1.02*1.25+KFC!$C$23)*KFC!$C$5</f>
        <v>275.27250000000004</v>
      </c>
      <c r="W214" s="300">
        <f>(221.6*KFC!$B$23*1.02*1.25+KFC!$C$23)*KFC!$C$5</f>
        <v>282.54000000000002</v>
      </c>
      <c r="X214" s="300">
        <f>(227.3*KFC!$B$23*1.02*1.25+KFC!$C$23)*KFC!$C$5</f>
        <v>289.8075</v>
      </c>
      <c r="Y214" s="300">
        <f>(232.9*KFC!$B$23*1.02*1.25+KFC!$C$23)*KFC!$C$5</f>
        <v>296.94750000000005</v>
      </c>
      <c r="Z214" s="300">
        <f>(238.6*KFC!$B$23*1.02*1.25+KFC!$C$23)*KFC!$C$5</f>
        <v>304.21499999999997</v>
      </c>
      <c r="AA214" s="300">
        <f>(244.3*KFC!$B$23*1.02*1.25+KFC!$C$23)*KFC!$C$5</f>
        <v>311.48250000000002</v>
      </c>
      <c r="AB214" s="300">
        <f>(249.9*KFC!$B$23*1.02*1.25+KFC!$C$23)*KFC!$C$5</f>
        <v>318.6225</v>
      </c>
      <c r="AC214" s="300">
        <f>(255.6*KFC!$B$23*1.02*1.25+KFC!$C$23)*KFC!$C$5</f>
        <v>325.89</v>
      </c>
      <c r="AD214" s="300">
        <f>(261.3*KFC!$B$23*1.02*1.25+KFC!$C$23)*KFC!$C$5</f>
        <v>333.15750000000003</v>
      </c>
      <c r="AE214" s="300">
        <f>(267*KFC!$B$23*1.02*1.25+KFC!$C$23)*KFC!$C$5</f>
        <v>340.42500000000007</v>
      </c>
      <c r="AF214" s="300">
        <f>(272.6*KFC!$B$23*1.02*1.25+KFC!$C$23)*KFC!$C$5</f>
        <v>347.56500000000005</v>
      </c>
      <c r="AG214" s="300">
        <f>(278.3*KFC!$B$23*1.02*1.25+KFC!$C$23)*KFC!$C$5</f>
        <v>354.83250000000004</v>
      </c>
      <c r="AH214" s="304">
        <f>(284*KFC!$B$23*1.02*1.25+KFC!$C$23)*KFC!$C$5</f>
        <v>362.1</v>
      </c>
    </row>
    <row r="215" spans="1:34">
      <c r="A215" s="1781"/>
      <c r="B215" s="395">
        <v>3</v>
      </c>
      <c r="C215" s="303">
        <f>(109.3*KFC!$B$23*1.02*1.25+KFC!$C$23)*KFC!$C$5</f>
        <v>139.35750000000002</v>
      </c>
      <c r="D215" s="300">
        <f>(115.1*KFC!$B$23*1.02*1.25+KFC!$C$23)*KFC!$C$5</f>
        <v>146.7525</v>
      </c>
      <c r="E215" s="300">
        <f>(121*KFC!$B$23*1.02*1.25+KFC!$C$23)*KFC!$C$5</f>
        <v>154.27500000000001</v>
      </c>
      <c r="F215" s="300">
        <f>(126.8*KFC!$B$23*1.02*1.25+KFC!$C$23)*KFC!$C$5</f>
        <v>161.67000000000002</v>
      </c>
      <c r="G215" s="300">
        <f>(132.6*KFC!$B$23*1.02*1.25+KFC!$C$23)*KFC!$C$5</f>
        <v>169.065</v>
      </c>
      <c r="H215" s="300">
        <f>(138.5*KFC!$B$23*1.02*1.25+KFC!$C$23)*KFC!$C$5</f>
        <v>176.58750000000001</v>
      </c>
      <c r="I215" s="300">
        <f>(144.3*KFC!$B$23*1.02*1.25+KFC!$C$23)*KFC!$C$5</f>
        <v>183.98250000000002</v>
      </c>
      <c r="J215" s="300">
        <f>(150.1*KFC!$B$23*1.02*1.25+KFC!$C$23)*KFC!$C$5</f>
        <v>191.3775</v>
      </c>
      <c r="K215" s="300">
        <f>(156*KFC!$B$23*1.02*1.25+KFC!$C$23)*KFC!$C$5</f>
        <v>198.9</v>
      </c>
      <c r="L215" s="300">
        <f>(161.8*KFC!$B$23*1.02*1.25+KFC!$C$23)*KFC!$C$5</f>
        <v>206.29500000000002</v>
      </c>
      <c r="M215" s="300">
        <f>(167.6*KFC!$B$23*1.02*1.25+KFC!$C$23)*KFC!$C$5</f>
        <v>213.69</v>
      </c>
      <c r="N215" s="300">
        <f>(173.5*KFC!$B$23*1.02*1.25+KFC!$C$23)*KFC!$C$5</f>
        <v>221.21250000000001</v>
      </c>
      <c r="O215" s="300">
        <f>(179.3*KFC!$B$23*1.02*1.25+KFC!$C$23)*KFC!$C$5</f>
        <v>228.60750000000002</v>
      </c>
      <c r="P215" s="300">
        <f>(185.2*KFC!$B$23*1.02*1.25+KFC!$C$23)*KFC!$C$5</f>
        <v>236.13</v>
      </c>
      <c r="Q215" s="300">
        <f>(191*KFC!$B$23*1.02*1.25+KFC!$C$23)*KFC!$C$5</f>
        <v>243.52499999999998</v>
      </c>
      <c r="R215" s="300">
        <f>(196.8*KFC!$B$23*1.02*1.25+KFC!$C$23)*KFC!$C$5</f>
        <v>250.92000000000002</v>
      </c>
      <c r="S215" s="300">
        <f>(202.7*KFC!$B$23*1.02*1.25+KFC!$C$23)*KFC!$C$5</f>
        <v>258.4425</v>
      </c>
      <c r="T215" s="300">
        <f>(208.5*KFC!$B$23*1.02*1.25+KFC!$C$23)*KFC!$C$5</f>
        <v>265.83750000000003</v>
      </c>
      <c r="U215" s="300">
        <f>(214.3*KFC!$B$23*1.02*1.25+KFC!$C$23)*KFC!$C$5</f>
        <v>273.23250000000002</v>
      </c>
      <c r="V215" s="300">
        <f>(220.2*KFC!$B$23*1.02*1.25+KFC!$C$23)*KFC!$C$5</f>
        <v>280.755</v>
      </c>
      <c r="W215" s="300">
        <f>(226*KFC!$B$23*1.02*1.25+KFC!$C$23)*KFC!$C$5</f>
        <v>288.15000000000003</v>
      </c>
      <c r="X215" s="300">
        <f>(231.8*KFC!$B$23*1.02*1.25+KFC!$C$23)*KFC!$C$5</f>
        <v>295.54500000000002</v>
      </c>
      <c r="Y215" s="300">
        <f>(237.7*KFC!$B$23*1.02*1.25+KFC!$C$23)*KFC!$C$5</f>
        <v>303.0675</v>
      </c>
      <c r="Z215" s="300">
        <f>(243.5*KFC!$B$23*1.02*1.25+KFC!$C$23)*KFC!$C$5</f>
        <v>310.46249999999998</v>
      </c>
      <c r="AA215" s="300">
        <f>(249.3*KFC!$B$23*1.02*1.25+KFC!$C$23)*KFC!$C$5</f>
        <v>317.85750000000002</v>
      </c>
      <c r="AB215" s="300">
        <f>(255.2*KFC!$B$23*1.02*1.25+KFC!$C$23)*KFC!$C$5</f>
        <v>325.38</v>
      </c>
      <c r="AC215" s="300">
        <f>(261*KFC!$B$23*1.02*1.25+KFC!$C$23)*KFC!$C$5</f>
        <v>332.77500000000003</v>
      </c>
      <c r="AD215" s="300">
        <f>(266.8*KFC!$B$23*1.02*1.25+KFC!$C$23)*KFC!$C$5</f>
        <v>340.17</v>
      </c>
      <c r="AE215" s="300">
        <f>(272.7*KFC!$B$23*1.02*1.25+KFC!$C$23)*KFC!$C$5</f>
        <v>347.6925</v>
      </c>
      <c r="AF215" s="300">
        <f>(278.5*KFC!$B$23*1.02*1.25+KFC!$C$23)*KFC!$C$5</f>
        <v>355.08749999999998</v>
      </c>
      <c r="AG215" s="300">
        <f>(284.3*KFC!$B$23*1.02*1.25+KFC!$C$23)*KFC!$C$5</f>
        <v>362.48249999999996</v>
      </c>
      <c r="AH215" s="304">
        <f>(290.2*KFC!$B$23*1.02*1.25+KFC!$C$23)*KFC!$C$5</f>
        <v>370.005</v>
      </c>
    </row>
    <row r="216" spans="1:34">
      <c r="A216" s="1781"/>
      <c r="B216" s="395">
        <v>3.1</v>
      </c>
      <c r="C216" s="303">
        <f>(110.3*KFC!$B$23*1.02*1.25+KFC!$C$23)*KFC!$C$5</f>
        <v>140.63249999999999</v>
      </c>
      <c r="D216" s="300">
        <f>(116.3*KFC!$B$23*1.02*1.25+KFC!$C$23)*KFC!$C$5</f>
        <v>148.2825</v>
      </c>
      <c r="E216" s="300">
        <f>(122.3*KFC!$B$23*1.02*1.25+KFC!$C$23)*KFC!$C$5</f>
        <v>155.9325</v>
      </c>
      <c r="F216" s="300">
        <f>(128.3*KFC!$B$23*1.02*1.25+KFC!$C$23)*KFC!$C$5</f>
        <v>163.58250000000001</v>
      </c>
      <c r="G216" s="300">
        <f>(134.3*KFC!$B$23*1.02*1.25+KFC!$C$23)*KFC!$C$5</f>
        <v>171.23250000000002</v>
      </c>
      <c r="H216" s="300">
        <f>(140.2*KFC!$B$23*1.02*1.25+KFC!$C$23)*KFC!$C$5</f>
        <v>178.755</v>
      </c>
      <c r="I216" s="300">
        <f>(146.4*KFC!$B$23*1.02*1.25+KFC!$C$23)*KFC!$C$5</f>
        <v>186.66</v>
      </c>
      <c r="J216" s="300">
        <f>(152.4*KFC!$B$23*1.02*1.25+KFC!$C$23)*KFC!$C$5</f>
        <v>194.31</v>
      </c>
      <c r="K216" s="300">
        <f>(158.4*KFC!$B$23*1.02*1.25+KFC!$C$23)*KFC!$C$5</f>
        <v>201.96</v>
      </c>
      <c r="L216" s="300">
        <f>(164.4*KFC!$B$23*1.02*1.25+KFC!$C$23)*KFC!$C$5</f>
        <v>209.61</v>
      </c>
      <c r="M216" s="300">
        <f>(170.4*KFC!$B$23*1.02*1.25+KFC!$C$23)*KFC!$C$5</f>
        <v>217.26000000000002</v>
      </c>
      <c r="N216" s="300">
        <f>(176.4*KFC!$B$23*1.02*1.25+KFC!$C$23)*KFC!$C$5</f>
        <v>224.91</v>
      </c>
      <c r="O216" s="300">
        <f>(182.4*KFC!$B$23*1.02*1.25+KFC!$C$23)*KFC!$C$5</f>
        <v>232.56</v>
      </c>
      <c r="P216" s="300">
        <f>(188.4*KFC!$B$23*1.02*1.25+KFC!$C$23)*KFC!$C$5</f>
        <v>240.21</v>
      </c>
      <c r="Q216" s="300">
        <f>(194.4*KFC!$B$23*1.02*1.25+KFC!$C$23)*KFC!$C$5</f>
        <v>247.86</v>
      </c>
      <c r="R216" s="300">
        <f>(200.4*KFC!$B$23*1.02*1.25+KFC!$C$23)*KFC!$C$5</f>
        <v>255.51000000000002</v>
      </c>
      <c r="S216" s="300">
        <f>(206.4*KFC!$B$23*1.02*1.25+KFC!$C$23)*KFC!$C$5</f>
        <v>263.16000000000003</v>
      </c>
      <c r="T216" s="300">
        <f>(212.4*KFC!$B$23*1.02*1.25+KFC!$C$23)*KFC!$C$5</f>
        <v>270.81</v>
      </c>
      <c r="U216" s="300">
        <f>(218.4*KFC!$B$23*1.02*1.25+KFC!$C$23)*KFC!$C$5</f>
        <v>278.45999999999998</v>
      </c>
      <c r="V216" s="300">
        <f>(224.4*KFC!$B$23*1.02*1.25+KFC!$C$23)*KFC!$C$5</f>
        <v>286.11</v>
      </c>
      <c r="W216" s="300">
        <f>(230.4*KFC!$B$23*1.02*1.25+KFC!$C$23)*KFC!$C$5</f>
        <v>293.76</v>
      </c>
      <c r="X216" s="300">
        <f>(236.4*KFC!$B$23*1.02*1.25+KFC!$C$23)*KFC!$C$5</f>
        <v>301.41000000000003</v>
      </c>
      <c r="Y216" s="300">
        <f>(242.4*KFC!$B$23*1.02*1.25+KFC!$C$23)*KFC!$C$5</f>
        <v>309.06</v>
      </c>
      <c r="Z216" s="300">
        <f>(248.4*KFC!$B$23*1.02*1.25+KFC!$C$23)*KFC!$C$5</f>
        <v>316.71000000000004</v>
      </c>
      <c r="AA216" s="300">
        <f>(254.4*KFC!$B$23*1.02*1.25+KFC!$C$23)*KFC!$C$5</f>
        <v>324.36</v>
      </c>
      <c r="AB216" s="300">
        <f>(260.4*KFC!$B$23*1.02*1.25+KFC!$C$23)*KFC!$C$5</f>
        <v>332.01</v>
      </c>
      <c r="AC216" s="300">
        <f>(266.4*KFC!$B$23*1.02*1.25+KFC!$C$23)*KFC!$C$5</f>
        <v>339.66</v>
      </c>
      <c r="AD216" s="300">
        <f>(272.4*KFC!$B$23*1.02*1.25+KFC!$C$23)*KFC!$C$5</f>
        <v>347.30999999999995</v>
      </c>
      <c r="AE216" s="300">
        <f>(278.4*KFC!$B$23*1.02*1.25+KFC!$C$23)*KFC!$C$5</f>
        <v>354.95999999999992</v>
      </c>
      <c r="AF216" s="300">
        <f>(284.4*KFC!$B$23*1.02*1.25+KFC!$C$23)*KFC!$C$5</f>
        <v>362.60999999999996</v>
      </c>
      <c r="AG216" s="300">
        <f>(290.4*KFC!$B$23*1.02*1.25+KFC!$C$23)*KFC!$C$5</f>
        <v>370.26</v>
      </c>
      <c r="AH216" s="304">
        <f>(296.4*KFC!$B$23*1.02*1.25+KFC!$C$23)*KFC!$C$5</f>
        <v>377.90999999999997</v>
      </c>
    </row>
    <row r="217" spans="1:34">
      <c r="A217" s="1781"/>
      <c r="B217" s="395">
        <v>3.2</v>
      </c>
      <c r="C217" s="303">
        <f>(111.4*KFC!$B$23*1.02*1.25+KFC!$C$23)*KFC!$C$5</f>
        <v>142.03500000000003</v>
      </c>
      <c r="D217" s="300">
        <f>(117.6*KFC!$B$23*1.02*1.25+KFC!$C$23)*KFC!$C$5</f>
        <v>149.94</v>
      </c>
      <c r="E217" s="300">
        <f>(123.7*KFC!$B$23*1.02*1.25+KFC!$C$23)*KFC!$C$5</f>
        <v>157.7175</v>
      </c>
      <c r="F217" s="300">
        <f>(129.9*KFC!$B$23*1.02*1.25+KFC!$C$23)*KFC!$C$5</f>
        <v>165.62250000000003</v>
      </c>
      <c r="G217" s="300">
        <f>(136.1*KFC!$B$23*1.02*1.25+KFC!$C$23)*KFC!$C$5</f>
        <v>173.5275</v>
      </c>
      <c r="H217" s="300">
        <f>(142.2*KFC!$B$23*1.02*1.25+KFC!$C$23)*KFC!$C$5</f>
        <v>181.30499999999998</v>
      </c>
      <c r="I217" s="300">
        <f>(148.4*KFC!$B$23*1.02*1.25+KFC!$C$23)*KFC!$C$5</f>
        <v>189.20999999999998</v>
      </c>
      <c r="J217" s="300">
        <f>(154.6*KFC!$B$23*1.02*1.25+KFC!$C$23)*KFC!$C$5</f>
        <v>197.11500000000001</v>
      </c>
      <c r="K217" s="300">
        <f>(160.7*KFC!$B$23*1.02*1.25+KFC!$C$23)*KFC!$C$5</f>
        <v>204.89249999999998</v>
      </c>
      <c r="L217" s="300">
        <f>(166.9*KFC!$B$23*1.02*1.25+KFC!$C$23)*KFC!$C$5</f>
        <v>212.79750000000001</v>
      </c>
      <c r="M217" s="300">
        <f>(173.1*KFC!$B$23*1.02*1.25+KFC!$C$23)*KFC!$C$5</f>
        <v>220.70249999999999</v>
      </c>
      <c r="N217" s="300">
        <f>(179.2*KFC!$B$23*1.02*1.25+KFC!$C$23)*KFC!$C$5</f>
        <v>228.48</v>
      </c>
      <c r="O217" s="300">
        <f>(185.4*KFC!$B$23*1.02*1.25+KFC!$C$23)*KFC!$C$5</f>
        <v>236.38499999999999</v>
      </c>
      <c r="P217" s="300">
        <f>(191.6*KFC!$B$23*1.02*1.25+KFC!$C$23)*KFC!$C$5</f>
        <v>244.29</v>
      </c>
      <c r="Q217" s="300">
        <f>(197.8*KFC!$B$23*1.02*1.25+KFC!$C$23)*KFC!$C$5</f>
        <v>252.19500000000005</v>
      </c>
      <c r="R217" s="300">
        <f>(203.9*KFC!$B$23*1.02*1.25+KFC!$C$23)*KFC!$C$5</f>
        <v>259.97250000000003</v>
      </c>
      <c r="S217" s="300">
        <f>(210.1*KFC!$B$23*1.02*1.25+KFC!$C$23)*KFC!$C$5</f>
        <v>267.8775</v>
      </c>
      <c r="T217" s="300">
        <f>(216.3*KFC!$B$23*1.02*1.25+KFC!$C$23)*KFC!$C$5</f>
        <v>275.78250000000003</v>
      </c>
      <c r="U217" s="300">
        <f>(222.4*KFC!$B$23*1.02*1.25+KFC!$C$23)*KFC!$C$5</f>
        <v>283.56</v>
      </c>
      <c r="V217" s="300">
        <f>(228.6*KFC!$B$23*1.02*1.25+KFC!$C$23)*KFC!$C$5</f>
        <v>291.46499999999997</v>
      </c>
      <c r="W217" s="300">
        <f>(234.8*KFC!$B$23*1.02*1.25+KFC!$C$23)*KFC!$C$5</f>
        <v>299.37</v>
      </c>
      <c r="X217" s="300">
        <f>(240.9*KFC!$B$23*1.02*1.25+KFC!$C$23)*KFC!$C$5</f>
        <v>307.14750000000004</v>
      </c>
      <c r="Y217" s="300">
        <f>(247.1*KFC!$B$23*1.02*1.25+KFC!$C$23)*KFC!$C$5</f>
        <v>315.05250000000001</v>
      </c>
      <c r="Z217" s="300">
        <f>(253.3*KFC!$B$23*1.02*1.25+KFC!$C$23)*KFC!$C$5</f>
        <v>322.95750000000004</v>
      </c>
      <c r="AA217" s="300">
        <f>(259.5*KFC!$B$23*1.02*1.25+KFC!$C$23)*KFC!$C$5</f>
        <v>330.86250000000001</v>
      </c>
      <c r="AB217" s="300">
        <f>(265.6*KFC!$B$23*1.02*1.25+KFC!$C$23)*KFC!$C$5</f>
        <v>338.64000000000004</v>
      </c>
      <c r="AC217" s="300">
        <f>(271.8*KFC!$B$23*1.02*1.25+KFC!$C$23)*KFC!$C$5</f>
        <v>346.54499999999996</v>
      </c>
      <c r="AD217" s="300">
        <f>(278*KFC!$B$23*1.02*1.25+KFC!$C$23)*KFC!$C$5</f>
        <v>354.45</v>
      </c>
      <c r="AE217" s="300">
        <f>(284.1*KFC!$B$23*1.02*1.25+KFC!$C$23)*KFC!$C$5</f>
        <v>362.22750000000008</v>
      </c>
      <c r="AF217" s="300">
        <f>(290.3*KFC!$B$23*1.02*1.25+KFC!$C$23)*KFC!$C$5</f>
        <v>370.13249999999999</v>
      </c>
      <c r="AG217" s="300">
        <f>(296.5*KFC!$B$23*1.02*1.25+KFC!$C$23)*KFC!$C$5</f>
        <v>378.03750000000002</v>
      </c>
      <c r="AH217" s="304">
        <f>(302.6*KFC!$B$23*1.02*1.25+KFC!$C$23)*KFC!$C$5</f>
        <v>385.81500000000005</v>
      </c>
    </row>
    <row r="218" spans="1:34">
      <c r="A218" s="1781"/>
      <c r="B218" s="395">
        <v>3.3</v>
      </c>
      <c r="C218" s="303">
        <f>(112.4*KFC!$B$23*1.02*1.25+KFC!$C$23)*KFC!$C$5</f>
        <v>143.31</v>
      </c>
      <c r="D218" s="300">
        <f>(118.8*KFC!$B$23*1.02*1.25+KFC!$C$23)*KFC!$C$5</f>
        <v>151.47</v>
      </c>
      <c r="E218" s="300">
        <f>(125.1*KFC!$B$23*1.02*1.25+KFC!$C$23)*KFC!$C$5</f>
        <v>159.5025</v>
      </c>
      <c r="F218" s="300">
        <f>(131.4*KFC!$B$23*1.02*1.25+KFC!$C$23)*KFC!$C$5</f>
        <v>167.53500000000003</v>
      </c>
      <c r="G218" s="300">
        <f>(137.8*KFC!$B$23*1.02*1.25+KFC!$C$23)*KFC!$C$5</f>
        <v>175.69500000000002</v>
      </c>
      <c r="H218" s="300">
        <f>(144.1*KFC!$B$23*1.02*1.25+KFC!$C$23)*KFC!$C$5</f>
        <v>183.72749999999999</v>
      </c>
      <c r="I218" s="300">
        <f>(150.4*KFC!$B$23*1.02*1.25+KFC!$C$23)*KFC!$C$5</f>
        <v>191.76000000000002</v>
      </c>
      <c r="J218" s="300">
        <f>(156.8*KFC!$B$23*1.02*1.25+KFC!$C$23)*KFC!$C$5</f>
        <v>199.92000000000002</v>
      </c>
      <c r="K218" s="300">
        <f>(163.1*KFC!$B$23*1.02*1.25+KFC!$C$23)*KFC!$C$5</f>
        <v>207.95249999999999</v>
      </c>
      <c r="L218" s="300">
        <f>(169.5*KFC!$B$23*1.02*1.25+KFC!$C$23)*KFC!$C$5</f>
        <v>216.11250000000001</v>
      </c>
      <c r="M218" s="300">
        <f>(175.8*KFC!$B$23*1.02*1.25+KFC!$C$23)*KFC!$C$5</f>
        <v>224.14500000000001</v>
      </c>
      <c r="N218" s="300">
        <f>(182.1*KFC!$B$23*1.02*1.25+KFC!$C$23)*KFC!$C$5</f>
        <v>232.17749999999998</v>
      </c>
      <c r="O218" s="300">
        <f>(188.5*KFC!$B$23*1.02*1.25+KFC!$C$23)*KFC!$C$5</f>
        <v>240.33750000000001</v>
      </c>
      <c r="P218" s="300">
        <f>(194.8*KFC!$B$23*1.02*1.25+KFC!$C$23)*KFC!$C$5</f>
        <v>248.37000000000003</v>
      </c>
      <c r="Q218" s="300">
        <f>(201.1*KFC!$B$23*1.02*1.25+KFC!$C$23)*KFC!$C$5</f>
        <v>256.40249999999997</v>
      </c>
      <c r="R218" s="300">
        <f>(207.5*KFC!$B$23*1.02*1.25+KFC!$C$23)*KFC!$C$5</f>
        <v>264.5625</v>
      </c>
      <c r="S218" s="300">
        <f>(213.8*KFC!$B$23*1.02*1.25+KFC!$C$23)*KFC!$C$5</f>
        <v>272.59500000000003</v>
      </c>
      <c r="T218" s="300">
        <f>(220.2*KFC!$B$23*1.02*1.25+KFC!$C$23)*KFC!$C$5</f>
        <v>280.755</v>
      </c>
      <c r="U218" s="300">
        <f>(226.5*KFC!$B$23*1.02*1.25+KFC!$C$23)*KFC!$C$5</f>
        <v>288.78750000000002</v>
      </c>
      <c r="V218" s="300">
        <f>(232.8*KFC!$B$23*1.02*1.25+KFC!$C$23)*KFC!$C$5</f>
        <v>296.82000000000005</v>
      </c>
      <c r="W218" s="300">
        <f>(239.2*KFC!$B$23*1.02*1.25+KFC!$C$23)*KFC!$C$5</f>
        <v>304.97999999999996</v>
      </c>
      <c r="X218" s="300">
        <f>(245.5*KFC!$B$23*1.02*1.25+KFC!$C$23)*KFC!$C$5</f>
        <v>313.01249999999999</v>
      </c>
      <c r="Y218" s="300">
        <f>(251.8*KFC!$B$23*1.02*1.25+KFC!$C$23)*KFC!$C$5</f>
        <v>321.04500000000002</v>
      </c>
      <c r="Z218" s="300">
        <f>(258.2*KFC!$B$23*1.02*1.25+KFC!$C$23)*KFC!$C$5</f>
        <v>329.20499999999998</v>
      </c>
      <c r="AA218" s="300">
        <f>(264.5*KFC!$B$23*1.02*1.25+KFC!$C$23)*KFC!$C$5</f>
        <v>337.23750000000001</v>
      </c>
      <c r="AB218" s="300">
        <f>(270.8*KFC!$B$23*1.02*1.25+KFC!$C$23)*KFC!$C$5</f>
        <v>345.27</v>
      </c>
      <c r="AC218" s="300">
        <f>(277.2*KFC!$B$23*1.02*1.25+KFC!$C$23)*KFC!$C$5</f>
        <v>353.42999999999995</v>
      </c>
      <c r="AD218" s="300">
        <f>(283.5*KFC!$B$23*1.02*1.25+KFC!$C$23)*KFC!$C$5</f>
        <v>361.46250000000003</v>
      </c>
      <c r="AE218" s="300">
        <f>(289.9*KFC!$B$23*1.02*1.25+KFC!$C$23)*KFC!$C$5</f>
        <v>369.62249999999995</v>
      </c>
      <c r="AF218" s="300">
        <f>(296.2*KFC!$B$23*1.02*1.25+KFC!$C$23)*KFC!$C$5</f>
        <v>377.65499999999997</v>
      </c>
      <c r="AG218" s="300">
        <f>(302.5*KFC!$B$23*1.02*1.25+KFC!$C$23)*KFC!$C$5</f>
        <v>385.6875</v>
      </c>
      <c r="AH218" s="304">
        <f>(308.9*KFC!$B$23*1.02*1.25+KFC!$C$23)*KFC!$C$5</f>
        <v>393.84749999999997</v>
      </c>
    </row>
    <row r="219" spans="1:34">
      <c r="A219" s="1781"/>
      <c r="B219" s="395">
        <v>3.4</v>
      </c>
      <c r="C219" s="303">
        <f>(113.5*KFC!$B$23*1.02*1.25+KFC!$C$23)*KFC!$C$5</f>
        <v>144.71250000000001</v>
      </c>
      <c r="D219" s="300">
        <f>(120*KFC!$B$23*1.02*1.25+KFC!$C$23)*KFC!$C$5</f>
        <v>153</v>
      </c>
      <c r="E219" s="300">
        <f>(126.5*KFC!$B$23*1.02*1.25+KFC!$C$23)*KFC!$C$5</f>
        <v>161.28749999999999</v>
      </c>
      <c r="F219" s="300">
        <f>(133*KFC!$B$23*1.02*1.25+KFC!$C$23)*KFC!$C$5</f>
        <v>169.57499999999999</v>
      </c>
      <c r="G219" s="300">
        <f>(139.5*KFC!$B$23*1.02*1.25+KFC!$C$23)*KFC!$C$5</f>
        <v>177.86249999999998</v>
      </c>
      <c r="H219" s="300">
        <f>(146*KFC!$B$23*1.02*1.25+KFC!$C$23)*KFC!$C$5</f>
        <v>186.15000000000003</v>
      </c>
      <c r="I219" s="300">
        <f>(152.5*KFC!$B$23*1.02*1.25+KFC!$C$23)*KFC!$C$5</f>
        <v>194.4375</v>
      </c>
      <c r="J219" s="300">
        <f>(159*KFC!$B$23*1.02*1.25+KFC!$C$23)*KFC!$C$5</f>
        <v>202.72500000000002</v>
      </c>
      <c r="K219" s="300">
        <f>(165.5*KFC!$B$23*1.02*1.25+KFC!$C$23)*KFC!$C$5</f>
        <v>211.01249999999999</v>
      </c>
      <c r="L219" s="300">
        <f>(172*KFC!$B$23*1.02*1.25+KFC!$C$23)*KFC!$C$5</f>
        <v>219.3</v>
      </c>
      <c r="M219" s="300">
        <f>(178.5*KFC!$B$23*1.02*1.25+KFC!$C$23)*KFC!$C$5</f>
        <v>227.58749999999998</v>
      </c>
      <c r="N219" s="300">
        <f>(185*KFC!$B$23*1.02*1.25+KFC!$C$23)*KFC!$C$5</f>
        <v>235.87500000000003</v>
      </c>
      <c r="O219" s="300">
        <f>(191.5*KFC!$B$23*1.02*1.25+KFC!$C$23)*KFC!$C$5</f>
        <v>244.16250000000002</v>
      </c>
      <c r="P219" s="300">
        <f>(198*KFC!$B$23*1.02*1.25+KFC!$C$23)*KFC!$C$5</f>
        <v>252.45000000000002</v>
      </c>
      <c r="Q219" s="300">
        <f>(204.5*KFC!$B$23*1.02*1.25+KFC!$C$23)*KFC!$C$5</f>
        <v>260.73750000000001</v>
      </c>
      <c r="R219" s="300">
        <f>(211*KFC!$B$23*1.02*1.25+KFC!$C$23)*KFC!$C$5</f>
        <v>269.02499999999998</v>
      </c>
      <c r="S219" s="300">
        <f>(217.5*KFC!$B$23*1.02*1.25+KFC!$C$23)*KFC!$C$5</f>
        <v>277.3125</v>
      </c>
      <c r="T219" s="300">
        <f>(224*KFC!$B$23*1.02*1.25+KFC!$C$23)*KFC!$C$5</f>
        <v>285.60000000000002</v>
      </c>
      <c r="U219" s="300">
        <f>(230.5*KFC!$B$23*1.02*1.25+KFC!$C$23)*KFC!$C$5</f>
        <v>293.88750000000005</v>
      </c>
      <c r="V219" s="300">
        <f>(237*KFC!$B$23*1.02*1.25+KFC!$C$23)*KFC!$C$5</f>
        <v>302.17500000000001</v>
      </c>
      <c r="W219" s="300">
        <f>(243.5*KFC!$B$23*1.02*1.25+KFC!$C$23)*KFC!$C$5</f>
        <v>310.46249999999998</v>
      </c>
      <c r="X219" s="300">
        <f>(250.1*KFC!$B$23*1.02*1.25+KFC!$C$23)*KFC!$C$5</f>
        <v>318.8775</v>
      </c>
      <c r="Y219" s="300">
        <f>(256.6*KFC!$B$23*1.02*1.25+KFC!$C$23)*KFC!$C$5</f>
        <v>327.16500000000002</v>
      </c>
      <c r="Z219" s="300">
        <f>(263.1*KFC!$B$23*1.02*1.25+KFC!$C$23)*KFC!$C$5</f>
        <v>335.45250000000004</v>
      </c>
      <c r="AA219" s="300">
        <f>(269.6*KFC!$B$23*1.02*1.25+KFC!$C$23)*KFC!$C$5</f>
        <v>343.74</v>
      </c>
      <c r="AB219" s="300">
        <f>(276.1*KFC!$B$23*1.02*1.25+KFC!$C$23)*KFC!$C$5</f>
        <v>352.02750000000003</v>
      </c>
      <c r="AC219" s="300">
        <f>(282.6*KFC!$B$23*1.02*1.25+KFC!$C$23)*KFC!$C$5</f>
        <v>360.315</v>
      </c>
      <c r="AD219" s="300">
        <f>(289.1*KFC!$B$23*1.02*1.25+KFC!$C$23)*KFC!$C$5</f>
        <v>368.60250000000002</v>
      </c>
      <c r="AE219" s="300">
        <f>(295.6*KFC!$B$23*1.02*1.25+KFC!$C$23)*KFC!$C$5</f>
        <v>376.89</v>
      </c>
      <c r="AF219" s="300">
        <f>(302.1*KFC!$B$23*1.02*1.25+KFC!$C$23)*KFC!$C$5</f>
        <v>385.17750000000007</v>
      </c>
      <c r="AG219" s="300">
        <f>(308.6*KFC!$B$23*1.02*1.25+KFC!$C$23)*KFC!$C$5</f>
        <v>393.46500000000003</v>
      </c>
      <c r="AH219" s="304">
        <f>(315.1*KFC!$B$23*1.02*1.25+KFC!$C$23)*KFC!$C$5</f>
        <v>401.75250000000005</v>
      </c>
    </row>
    <row r="220" spans="1:34">
      <c r="A220" s="1781"/>
      <c r="B220" s="395">
        <v>3.5</v>
      </c>
      <c r="C220" s="303">
        <f>(114.5*KFC!$B$23*1.02*1.25+KFC!$C$23)*KFC!$C$5</f>
        <v>145.98750000000001</v>
      </c>
      <c r="D220" s="300">
        <f>(121.2*KFC!$B$23*1.02*1.25+KFC!$C$23)*KFC!$C$5</f>
        <v>154.53</v>
      </c>
      <c r="E220" s="300">
        <f>(127.9*KFC!$B$23*1.02*1.25+KFC!$C$23)*KFC!$C$5</f>
        <v>163.07249999999999</v>
      </c>
      <c r="F220" s="300">
        <f>(134.5*KFC!$B$23*1.02*1.25+KFC!$C$23)*KFC!$C$5</f>
        <v>171.48750000000001</v>
      </c>
      <c r="G220" s="300">
        <f>(141.2*KFC!$B$23*1.02*1.25+KFC!$C$23)*KFC!$C$5</f>
        <v>180.03</v>
      </c>
      <c r="H220" s="300">
        <f>(147.9*KFC!$B$23*1.02*1.25+KFC!$C$23)*KFC!$C$5</f>
        <v>188.57249999999999</v>
      </c>
      <c r="I220" s="300">
        <f>(154.5*KFC!$B$23*1.02*1.25+KFC!$C$23)*KFC!$C$5</f>
        <v>196.98750000000001</v>
      </c>
      <c r="J220" s="300">
        <f>(161.2*KFC!$B$23*1.02*1.25+KFC!$C$23)*KFC!$C$5</f>
        <v>205.52999999999997</v>
      </c>
      <c r="K220" s="300">
        <f>(167.9*KFC!$B$23*1.02*1.25+KFC!$C$23)*KFC!$C$5</f>
        <v>214.07250000000002</v>
      </c>
      <c r="L220" s="300">
        <f>(174.6*KFC!$B$23*1.02*1.25+KFC!$C$23)*KFC!$C$5</f>
        <v>222.61499999999998</v>
      </c>
      <c r="M220" s="300">
        <f>(181.2*KFC!$B$23*1.02*1.25+KFC!$C$23)*KFC!$C$5</f>
        <v>231.02999999999997</v>
      </c>
      <c r="N220" s="300">
        <f>(187.9*KFC!$B$23*1.02*1.25+KFC!$C$23)*KFC!$C$5</f>
        <v>239.57250000000002</v>
      </c>
      <c r="O220" s="300">
        <f>(194.6*KFC!$B$23*1.02*1.25+KFC!$C$23)*KFC!$C$5</f>
        <v>248.11499999999998</v>
      </c>
      <c r="P220" s="300">
        <f>(201.2*KFC!$B$23*1.02*1.25+KFC!$C$23)*KFC!$C$5</f>
        <v>256.52999999999997</v>
      </c>
      <c r="Q220" s="300">
        <f>(207.9*KFC!$B$23*1.02*1.25+KFC!$C$23)*KFC!$C$5</f>
        <v>265.07250000000005</v>
      </c>
      <c r="R220" s="300">
        <f>(214.6*KFC!$B$23*1.02*1.25+KFC!$C$23)*KFC!$C$5</f>
        <v>273.61500000000001</v>
      </c>
      <c r="S220" s="300">
        <f>(221.3*KFC!$B$23*1.02*1.25+KFC!$C$23)*KFC!$C$5</f>
        <v>282.15750000000003</v>
      </c>
      <c r="T220" s="300">
        <f>(227.9*KFC!$B$23*1.02*1.25+KFC!$C$23)*KFC!$C$5</f>
        <v>290.57249999999999</v>
      </c>
      <c r="U220" s="300">
        <f>(234.6*KFC!$B$23*1.02*1.25+KFC!$C$23)*KFC!$C$5</f>
        <v>299.11500000000001</v>
      </c>
      <c r="V220" s="300">
        <f>(241.3*KFC!$B$23*1.02*1.25+KFC!$C$23)*KFC!$C$5</f>
        <v>307.65750000000003</v>
      </c>
      <c r="W220" s="300">
        <f>(247.9*KFC!$B$23*1.02*1.25+KFC!$C$23)*KFC!$C$5</f>
        <v>316.07249999999999</v>
      </c>
      <c r="X220" s="300">
        <f>(254.6*KFC!$B$23*1.02*1.25+KFC!$C$23)*KFC!$C$5</f>
        <v>324.61500000000001</v>
      </c>
      <c r="Y220" s="300">
        <f>(261.3*KFC!$B$23*1.02*1.25+KFC!$C$23)*KFC!$C$5</f>
        <v>333.15750000000003</v>
      </c>
      <c r="Z220" s="300">
        <f>(267.9*KFC!$B$23*1.02*1.25+KFC!$C$23)*KFC!$C$5</f>
        <v>341.57249999999999</v>
      </c>
      <c r="AA220" s="300">
        <f>(274.6*KFC!$B$23*1.02*1.25+KFC!$C$23)*KFC!$C$5</f>
        <v>350.11500000000007</v>
      </c>
      <c r="AB220" s="300">
        <f>(281.3*KFC!$B$23*1.02*1.25+KFC!$C$23)*KFC!$C$5</f>
        <v>358.65750000000003</v>
      </c>
      <c r="AC220" s="300">
        <f>(288*KFC!$B$23*1.02*1.25+KFC!$C$23)*KFC!$C$5</f>
        <v>367.2</v>
      </c>
      <c r="AD220" s="300">
        <f>(294.6*KFC!$B$23*1.02*1.25+KFC!$C$23)*KFC!$C$5</f>
        <v>375.61500000000001</v>
      </c>
      <c r="AE220" s="300">
        <f>(301.3*KFC!$B$23*1.02*1.25+KFC!$C$23)*KFC!$C$5</f>
        <v>384.15750000000003</v>
      </c>
      <c r="AF220" s="300">
        <f>(308*KFC!$B$23*1.02*1.25+KFC!$C$23)*KFC!$C$5</f>
        <v>392.70000000000005</v>
      </c>
      <c r="AG220" s="300">
        <f>(314.6*KFC!$B$23*1.02*1.25+KFC!$C$23)*KFC!$C$5</f>
        <v>401.11500000000007</v>
      </c>
      <c r="AH220" s="304">
        <f>(321.3*KFC!$B$23*1.02*1.25+KFC!$C$23)*KFC!$C$5</f>
        <v>409.65750000000003</v>
      </c>
    </row>
    <row r="221" spans="1:34">
      <c r="A221" s="1781"/>
      <c r="B221" s="395">
        <v>3.6</v>
      </c>
      <c r="C221" s="303">
        <f>(115.6*KFC!$B$23*1.02*1.25+KFC!$C$23)*KFC!$C$5</f>
        <v>147.38999999999999</v>
      </c>
      <c r="D221" s="300">
        <f>(122.4*KFC!$B$23*1.02*1.25+KFC!$C$23)*KFC!$C$5</f>
        <v>156.06</v>
      </c>
      <c r="E221" s="300">
        <f>(129.2*KFC!$B$23*1.02*1.25+KFC!$C$23)*KFC!$C$5</f>
        <v>164.73</v>
      </c>
      <c r="F221" s="300">
        <f>(136.1*KFC!$B$23*1.02*1.25+KFC!$C$23)*KFC!$C$5</f>
        <v>173.5275</v>
      </c>
      <c r="G221" s="300">
        <f>(142.9*KFC!$B$23*1.02*1.25+KFC!$C$23)*KFC!$C$5</f>
        <v>182.19750000000002</v>
      </c>
      <c r="H221" s="300">
        <f>(149.8*KFC!$B$23*1.02*1.25+KFC!$C$23)*KFC!$C$5</f>
        <v>190.99500000000003</v>
      </c>
      <c r="I221" s="300">
        <f>(156.6*KFC!$B$23*1.02*1.25+KFC!$C$23)*KFC!$C$5</f>
        <v>199.66499999999999</v>
      </c>
      <c r="J221" s="300">
        <f>(163.4*KFC!$B$23*1.02*1.25+KFC!$C$23)*KFC!$C$5</f>
        <v>208.33500000000001</v>
      </c>
      <c r="K221" s="300">
        <f>(170.3*KFC!$B$23*1.02*1.25+KFC!$C$23)*KFC!$C$5</f>
        <v>217.13250000000002</v>
      </c>
      <c r="L221" s="300">
        <f>(177.1*KFC!$B$23*1.02*1.25+KFC!$C$23)*KFC!$C$5</f>
        <v>225.80250000000001</v>
      </c>
      <c r="M221" s="300">
        <f>(183.9*KFC!$B$23*1.02*1.25+KFC!$C$23)*KFC!$C$5</f>
        <v>234.4725</v>
      </c>
      <c r="N221" s="300">
        <f>(190.8*KFC!$B$23*1.02*1.25+KFC!$C$23)*KFC!$C$5</f>
        <v>243.27</v>
      </c>
      <c r="O221" s="300">
        <f>(197.6*KFC!$B$23*1.02*1.25+KFC!$C$23)*KFC!$C$5</f>
        <v>251.94</v>
      </c>
      <c r="P221" s="300">
        <f>(204.5*KFC!$B$23*1.02*1.25+KFC!$C$23)*KFC!$C$5</f>
        <v>260.73750000000001</v>
      </c>
      <c r="Q221" s="300">
        <f>(211.3*KFC!$B$23*1.02*1.25+KFC!$C$23)*KFC!$C$5</f>
        <v>269.40750000000003</v>
      </c>
      <c r="R221" s="300">
        <f>(218.1*KFC!$B$23*1.02*1.25+KFC!$C$23)*KFC!$C$5</f>
        <v>278.07749999999999</v>
      </c>
      <c r="S221" s="300">
        <f>(225*KFC!$B$23*1.02*1.25+KFC!$C$23)*KFC!$C$5</f>
        <v>286.875</v>
      </c>
      <c r="T221" s="300">
        <f>(231.8*KFC!$B$23*1.02*1.25+KFC!$C$23)*KFC!$C$5</f>
        <v>295.54500000000002</v>
      </c>
      <c r="U221" s="300">
        <f>(238.6*KFC!$B$23*1.02*1.25+KFC!$C$23)*KFC!$C$5</f>
        <v>304.21499999999997</v>
      </c>
      <c r="V221" s="300">
        <f>(245.5*KFC!$B$23*1.02*1.25+KFC!$C$23)*KFC!$C$5</f>
        <v>313.01249999999999</v>
      </c>
      <c r="W221" s="300">
        <f>(252.3*KFC!$B$23*1.02*1.25+KFC!$C$23)*KFC!$C$5</f>
        <v>321.6825</v>
      </c>
      <c r="X221" s="300">
        <f>(259.2*KFC!$B$23*1.02*1.25+KFC!$C$23)*KFC!$C$5</f>
        <v>330.48</v>
      </c>
      <c r="Y221" s="300">
        <f>(266*KFC!$B$23*1.02*1.25+KFC!$C$23)*KFC!$C$5</f>
        <v>339.15</v>
      </c>
      <c r="Z221" s="300">
        <f>(272.8*KFC!$B$23*1.02*1.25+KFC!$C$23)*KFC!$C$5</f>
        <v>347.82000000000005</v>
      </c>
      <c r="AA221" s="300">
        <f>(279.7*KFC!$B$23*1.02*1.25+KFC!$C$23)*KFC!$C$5</f>
        <v>356.61749999999995</v>
      </c>
      <c r="AB221" s="300">
        <f>(286.5*KFC!$B$23*1.02*1.25+KFC!$C$23)*KFC!$C$5</f>
        <v>365.28750000000002</v>
      </c>
      <c r="AC221" s="300">
        <f>(293.4*KFC!$B$23*1.02*1.25+KFC!$C$23)*KFC!$C$5</f>
        <v>374.08499999999998</v>
      </c>
      <c r="AD221" s="300">
        <f>(300.2*KFC!$B$23*1.02*1.25+KFC!$C$23)*KFC!$C$5</f>
        <v>382.755</v>
      </c>
      <c r="AE221" s="300">
        <f>(307*KFC!$B$23*1.02*1.25+KFC!$C$23)*KFC!$C$5</f>
        <v>391.42499999999995</v>
      </c>
      <c r="AF221" s="300">
        <f>(313.9*KFC!$B$23*1.02*1.25+KFC!$C$23)*KFC!$C$5</f>
        <v>400.22249999999997</v>
      </c>
      <c r="AG221" s="300">
        <f>(320.7*KFC!$B$23*1.02*1.25+KFC!$C$23)*KFC!$C$5</f>
        <v>408.89249999999998</v>
      </c>
      <c r="AH221" s="304">
        <f>(327.5*KFC!$B$23*1.02*1.25+KFC!$C$23)*KFC!$C$5</f>
        <v>417.5625</v>
      </c>
    </row>
    <row r="222" spans="1:34">
      <c r="A222" s="1781"/>
      <c r="B222" s="395">
        <v>3.7</v>
      </c>
      <c r="C222" s="303">
        <f>(116.6*KFC!$B$23*1.02*1.25+KFC!$C$23)*KFC!$C$5</f>
        <v>148.66499999999999</v>
      </c>
      <c r="D222" s="300">
        <f>(123.6*KFC!$B$23*1.02*1.25+KFC!$C$23)*KFC!$C$5</f>
        <v>157.59</v>
      </c>
      <c r="E222" s="300">
        <f>(130.6*KFC!$B$23*1.02*1.25+KFC!$C$23)*KFC!$C$5</f>
        <v>166.51499999999999</v>
      </c>
      <c r="F222" s="300">
        <f>(137.6*KFC!$B$23*1.02*1.25+KFC!$C$23)*KFC!$C$5</f>
        <v>175.44</v>
      </c>
      <c r="G222" s="300">
        <f>(144.6*KFC!$B$23*1.02*1.25+KFC!$C$23)*KFC!$C$5</f>
        <v>184.36499999999998</v>
      </c>
      <c r="H222" s="300">
        <f>(151.6*KFC!$B$23*1.02*1.25+KFC!$C$23)*KFC!$C$5</f>
        <v>193.29000000000002</v>
      </c>
      <c r="I222" s="300">
        <f>(158.6*KFC!$B$23*1.02*1.25+KFC!$C$23)*KFC!$C$5</f>
        <v>202.21499999999997</v>
      </c>
      <c r="J222" s="300">
        <f>(165.6*KFC!$B$23*1.02*1.25+KFC!$C$23)*KFC!$C$5</f>
        <v>211.14000000000001</v>
      </c>
      <c r="K222" s="300">
        <f>(172.6*KFC!$B$23*1.02*1.25+KFC!$C$23)*KFC!$C$5</f>
        <v>220.065</v>
      </c>
      <c r="L222" s="300">
        <f>(179.7*KFC!$B$23*1.02*1.25+KFC!$C$23)*KFC!$C$5</f>
        <v>229.11749999999998</v>
      </c>
      <c r="M222" s="300">
        <f>(186.7*KFC!$B$23*1.02*1.25+KFC!$C$23)*KFC!$C$5</f>
        <v>238.04249999999999</v>
      </c>
      <c r="N222" s="300">
        <f>(193.7*KFC!$B$23*1.02*1.25+KFC!$C$23)*KFC!$C$5</f>
        <v>246.96749999999997</v>
      </c>
      <c r="O222" s="300">
        <f>(200.7*KFC!$B$23*1.02*1.25+KFC!$C$23)*KFC!$C$5</f>
        <v>255.89249999999998</v>
      </c>
      <c r="P222" s="300">
        <f>(207.7*KFC!$B$23*1.02*1.25+KFC!$C$23)*KFC!$C$5</f>
        <v>264.8175</v>
      </c>
      <c r="Q222" s="300">
        <f>(214.7*KFC!$B$23*1.02*1.25+KFC!$C$23)*KFC!$C$5</f>
        <v>273.74250000000001</v>
      </c>
      <c r="R222" s="300">
        <f>(221.7*KFC!$B$23*1.02*1.25+KFC!$C$23)*KFC!$C$5</f>
        <v>282.66749999999996</v>
      </c>
      <c r="S222" s="300">
        <f>(228.7*KFC!$B$23*1.02*1.25+KFC!$C$23)*KFC!$C$5</f>
        <v>291.59249999999997</v>
      </c>
      <c r="T222" s="300">
        <f>(235.7*KFC!$B$23*1.02*1.25+KFC!$C$23)*KFC!$C$5</f>
        <v>300.51749999999998</v>
      </c>
      <c r="U222" s="300">
        <f>(242.7*KFC!$B$23*1.02*1.25+KFC!$C$23)*KFC!$C$5</f>
        <v>309.4425</v>
      </c>
      <c r="V222" s="300">
        <f>(249.7*KFC!$B$23*1.02*1.25+KFC!$C$23)*KFC!$C$5</f>
        <v>318.36750000000001</v>
      </c>
      <c r="W222" s="300">
        <f>(256.7*KFC!$B$23*1.02*1.25+KFC!$C$23)*KFC!$C$5</f>
        <v>327.29250000000002</v>
      </c>
      <c r="X222" s="300">
        <f>(263.7*KFC!$B$23*1.02*1.25+KFC!$C$23)*KFC!$C$5</f>
        <v>336.21749999999997</v>
      </c>
      <c r="Y222" s="300">
        <f>(270.7*KFC!$B$23*1.02*1.25+KFC!$C$23)*KFC!$C$5</f>
        <v>345.14249999999998</v>
      </c>
      <c r="Z222" s="300">
        <f>(277.7*KFC!$B$23*1.02*1.25+KFC!$C$23)*KFC!$C$5</f>
        <v>354.0675</v>
      </c>
      <c r="AA222" s="300">
        <f>(284.7*KFC!$B$23*1.02*1.25+KFC!$C$23)*KFC!$C$5</f>
        <v>362.99250000000001</v>
      </c>
      <c r="AB222" s="300">
        <f>(291.7*KFC!$B$23*1.02*1.25+KFC!$C$23)*KFC!$C$5</f>
        <v>371.91750000000002</v>
      </c>
      <c r="AC222" s="300">
        <f>(298.7*KFC!$B$23*1.02*1.25+KFC!$C$23)*KFC!$C$5</f>
        <v>380.84249999999997</v>
      </c>
      <c r="AD222" s="300">
        <f>(305.7*KFC!$B$23*1.02*1.25+KFC!$C$23)*KFC!$C$5</f>
        <v>389.76750000000004</v>
      </c>
      <c r="AE222" s="300">
        <f>(312.8*KFC!$B$23*1.02*1.25+KFC!$C$23)*KFC!$C$5</f>
        <v>398.82000000000005</v>
      </c>
      <c r="AF222" s="300">
        <f>(319.8*KFC!$B$23*1.02*1.25+KFC!$C$23)*KFC!$C$5</f>
        <v>407.745</v>
      </c>
      <c r="AG222" s="300">
        <f>(326.8*KFC!$B$23*1.02*1.25+KFC!$C$23)*KFC!$C$5</f>
        <v>416.67</v>
      </c>
      <c r="AH222" s="304">
        <f>(333.8*KFC!$B$23*1.02*1.25+KFC!$C$23)*KFC!$C$5</f>
        <v>425.59500000000003</v>
      </c>
    </row>
    <row r="223" spans="1:34">
      <c r="A223" s="1781"/>
      <c r="B223" s="395">
        <v>3.8</v>
      </c>
      <c r="C223" s="303">
        <f>(117.7*KFC!$B$23*1.02*1.25+KFC!$C$23)*KFC!$C$5</f>
        <v>150.0675</v>
      </c>
      <c r="D223" s="300">
        <f>(124.8*KFC!$B$23*1.02*1.25+KFC!$C$23)*KFC!$C$5</f>
        <v>159.12</v>
      </c>
      <c r="E223" s="300">
        <f>(132*KFC!$B$23*1.02*1.25+KFC!$C$23)*KFC!$C$5</f>
        <v>168.3</v>
      </c>
      <c r="F223" s="300">
        <f>(139.2*KFC!$B$23*1.02*1.25+KFC!$C$23)*KFC!$C$5</f>
        <v>177.47999999999996</v>
      </c>
      <c r="G223" s="300">
        <f>(146.3*KFC!$B$23*1.02*1.25+KFC!$C$23)*KFC!$C$5</f>
        <v>186.53250000000003</v>
      </c>
      <c r="H223" s="300">
        <f>(153.5*KFC!$B$23*1.02*1.25+KFC!$C$23)*KFC!$C$5</f>
        <v>195.71249999999998</v>
      </c>
      <c r="I223" s="300">
        <f>(160.7*KFC!$B$23*1.02*1.25+KFC!$C$23)*KFC!$C$5</f>
        <v>204.89249999999998</v>
      </c>
      <c r="J223" s="300">
        <f>(167.9*KFC!$B$23*1.02*1.25+KFC!$C$23)*KFC!$C$5</f>
        <v>214.07250000000002</v>
      </c>
      <c r="K223" s="300">
        <f>(175*KFC!$B$23*1.02*1.25+KFC!$C$23)*KFC!$C$5</f>
        <v>223.125</v>
      </c>
      <c r="L223" s="300">
        <f>(182.2*KFC!$B$23*1.02*1.25+KFC!$C$23)*KFC!$C$5</f>
        <v>232.30500000000001</v>
      </c>
      <c r="M223" s="300">
        <f>(189.4*KFC!$B$23*1.02*1.25+KFC!$C$23)*KFC!$C$5</f>
        <v>241.48500000000001</v>
      </c>
      <c r="N223" s="300">
        <f>(196.5*KFC!$B$23*1.02*1.25+KFC!$C$23)*KFC!$C$5</f>
        <v>250.53750000000002</v>
      </c>
      <c r="O223" s="300">
        <f>(203.7*KFC!$B$23*1.02*1.25+KFC!$C$23)*KFC!$C$5</f>
        <v>259.71749999999997</v>
      </c>
      <c r="P223" s="300">
        <f>(210.9*KFC!$B$23*1.02*1.25+KFC!$C$23)*KFC!$C$5</f>
        <v>268.89750000000004</v>
      </c>
      <c r="Q223" s="300">
        <f>(218.1*KFC!$B$23*1.02*1.25+KFC!$C$23)*KFC!$C$5</f>
        <v>278.07749999999999</v>
      </c>
      <c r="R223" s="300">
        <f>(225.2*KFC!$B$23*1.02*1.25+KFC!$C$23)*KFC!$C$5</f>
        <v>287.13</v>
      </c>
      <c r="S223" s="300">
        <f>(232.4*KFC!$B$23*1.02*1.25+KFC!$C$23)*KFC!$C$5</f>
        <v>296.31</v>
      </c>
      <c r="T223" s="300">
        <f>(239.6*KFC!$B$23*1.02*1.25+KFC!$C$23)*KFC!$C$5</f>
        <v>305.49</v>
      </c>
      <c r="U223" s="300">
        <f>(246.8*KFC!$B$23*1.02*1.25+KFC!$C$23)*KFC!$C$5</f>
        <v>314.67</v>
      </c>
      <c r="V223" s="300">
        <f>(253.9*KFC!$B$23*1.02*1.25+KFC!$C$23)*KFC!$C$5</f>
        <v>323.72250000000003</v>
      </c>
      <c r="W223" s="300">
        <f>(261.1*KFC!$B$23*1.02*1.25+KFC!$C$23)*KFC!$C$5</f>
        <v>332.90250000000003</v>
      </c>
      <c r="X223" s="300">
        <f>(268.3*KFC!$B$23*1.02*1.25+KFC!$C$23)*KFC!$C$5</f>
        <v>342.08249999999998</v>
      </c>
      <c r="Y223" s="300">
        <f>(275.4*KFC!$B$23*1.02*1.25+KFC!$C$23)*KFC!$C$5</f>
        <v>351.13499999999993</v>
      </c>
      <c r="Z223" s="300">
        <f>(282.6*KFC!$B$23*1.02*1.25+KFC!$C$23)*KFC!$C$5</f>
        <v>360.315</v>
      </c>
      <c r="AA223" s="300">
        <f>(289.8*KFC!$B$23*1.02*1.25+KFC!$C$23)*KFC!$C$5</f>
        <v>369.495</v>
      </c>
      <c r="AB223" s="300">
        <f>(297*KFC!$B$23*1.02*1.25+KFC!$C$23)*KFC!$C$5</f>
        <v>378.67500000000001</v>
      </c>
      <c r="AC223" s="300">
        <f>(304.1*KFC!$B$23*1.02*1.25+KFC!$C$23)*KFC!$C$5</f>
        <v>387.72750000000002</v>
      </c>
      <c r="AD223" s="300">
        <f>(311.3*KFC!$B$23*1.02*1.25+KFC!$C$23)*KFC!$C$5</f>
        <v>396.90750000000003</v>
      </c>
      <c r="AE223" s="300">
        <f>(318.5*KFC!$B$23*1.02*1.25+KFC!$C$23)*KFC!$C$5</f>
        <v>406.08749999999998</v>
      </c>
      <c r="AF223" s="300">
        <f>(325.6*KFC!$B$23*1.02*1.25+KFC!$C$23)*KFC!$C$5</f>
        <v>415.14000000000004</v>
      </c>
      <c r="AG223" s="300">
        <f>(332.8*KFC!$B$23*1.02*1.25+KFC!$C$23)*KFC!$C$5</f>
        <v>424.32000000000005</v>
      </c>
      <c r="AH223" s="304">
        <f>(340*KFC!$B$23*1.02*1.25+KFC!$C$23)*KFC!$C$5</f>
        <v>433.5</v>
      </c>
    </row>
    <row r="224" spans="1:34">
      <c r="A224" s="1781"/>
      <c r="B224" s="395">
        <v>3.9</v>
      </c>
      <c r="C224" s="303">
        <f>(118.7*KFC!$B$23*1.02*1.25+KFC!$C$23)*KFC!$C$5</f>
        <v>151.3425</v>
      </c>
      <c r="D224" s="300">
        <f>(126*KFC!$B$23*1.02*1.25+KFC!$C$23)*KFC!$C$5</f>
        <v>160.65</v>
      </c>
      <c r="E224" s="300">
        <f>(133.4*KFC!$B$23*1.02*1.25+KFC!$C$23)*KFC!$C$5</f>
        <v>170.08500000000001</v>
      </c>
      <c r="F224" s="300">
        <f>(140.7*KFC!$B$23*1.02*1.25+KFC!$C$23)*KFC!$C$5</f>
        <v>179.39249999999998</v>
      </c>
      <c r="G224" s="300">
        <f>(148.1*KFC!$B$23*1.02*1.25+KFC!$C$23)*KFC!$C$5</f>
        <v>188.82749999999999</v>
      </c>
      <c r="H224" s="300">
        <f>(155.4*KFC!$B$23*1.02*1.25+KFC!$C$23)*KFC!$C$5</f>
        <v>198.13500000000002</v>
      </c>
      <c r="I224" s="300">
        <f>(162.7*KFC!$B$23*1.02*1.25+KFC!$C$23)*KFC!$C$5</f>
        <v>207.44249999999997</v>
      </c>
      <c r="J224" s="300">
        <f>(170.1*KFC!$B$23*1.02*1.25+KFC!$C$23)*KFC!$C$5</f>
        <v>216.8775</v>
      </c>
      <c r="K224" s="300">
        <f>(177.4*KFC!$B$23*1.02*1.25+KFC!$C$23)*KFC!$C$5</f>
        <v>226.185</v>
      </c>
      <c r="L224" s="300">
        <f>(184.8*KFC!$B$23*1.02*1.25+KFC!$C$23)*KFC!$C$5</f>
        <v>235.62</v>
      </c>
      <c r="M224" s="300">
        <f>(192.1*KFC!$B$23*1.02*1.25+KFC!$C$23)*KFC!$C$5</f>
        <v>244.92750000000001</v>
      </c>
      <c r="N224" s="300">
        <f>(199.4*KFC!$B$23*1.02*1.25+KFC!$C$23)*KFC!$C$5</f>
        <v>254.23500000000001</v>
      </c>
      <c r="O224" s="300">
        <f>(206.8*KFC!$B$23*1.02*1.25+KFC!$C$23)*KFC!$C$5</f>
        <v>263.67</v>
      </c>
      <c r="P224" s="300">
        <f>(214.1*KFC!$B$23*1.02*1.25+KFC!$C$23)*KFC!$C$5</f>
        <v>272.97750000000002</v>
      </c>
      <c r="Q224" s="300">
        <f>(221.4*KFC!$B$23*1.02*1.25+KFC!$C$23)*KFC!$C$5</f>
        <v>282.28500000000003</v>
      </c>
      <c r="R224" s="300">
        <f>(228.8*KFC!$B$23*1.02*1.25+KFC!$C$23)*KFC!$C$5</f>
        <v>291.72000000000003</v>
      </c>
      <c r="S224" s="300">
        <f>(236.1*KFC!$B$23*1.02*1.25+KFC!$C$23)*KFC!$C$5</f>
        <v>301.02750000000003</v>
      </c>
      <c r="T224" s="300">
        <f>(243.5*KFC!$B$23*1.02*1.25+KFC!$C$23)*KFC!$C$5</f>
        <v>310.46249999999998</v>
      </c>
      <c r="U224" s="300">
        <f>(250.8*KFC!$B$23*1.02*1.25+KFC!$C$23)*KFC!$C$5</f>
        <v>319.77</v>
      </c>
      <c r="V224" s="300">
        <f>(258.1*KFC!$B$23*1.02*1.25+KFC!$C$23)*KFC!$C$5</f>
        <v>329.07749999999999</v>
      </c>
      <c r="W224" s="300">
        <f>(265.5*KFC!$B$23*1.02*1.25+KFC!$C$23)*KFC!$C$5</f>
        <v>338.51249999999999</v>
      </c>
      <c r="X224" s="300">
        <f>(272.8*KFC!$B$23*1.02*1.25+KFC!$C$23)*KFC!$C$5</f>
        <v>347.82000000000005</v>
      </c>
      <c r="Y224" s="300">
        <f>(280.2*KFC!$B$23*1.02*1.25+KFC!$C$23)*KFC!$C$5</f>
        <v>357.255</v>
      </c>
      <c r="Z224" s="300">
        <f>(287.5*KFC!$B$23*1.02*1.25+KFC!$C$23)*KFC!$C$5</f>
        <v>366.5625</v>
      </c>
      <c r="AA224" s="300">
        <f>(294.8*KFC!$B$23*1.02*1.25+KFC!$C$23)*KFC!$C$5</f>
        <v>375.87</v>
      </c>
      <c r="AB224" s="300">
        <f>(302.2*KFC!$B$23*1.02*1.25+KFC!$C$23)*KFC!$C$5</f>
        <v>385.30499999999995</v>
      </c>
      <c r="AC224" s="300">
        <f>(309.5*KFC!$B$23*1.02*1.25+KFC!$C$23)*KFC!$C$5</f>
        <v>394.61250000000001</v>
      </c>
      <c r="AD224" s="300">
        <f>(316.9*KFC!$B$23*1.02*1.25+KFC!$C$23)*KFC!$C$5</f>
        <v>404.04750000000001</v>
      </c>
      <c r="AE224" s="300">
        <f>(324.2*KFC!$B$23*1.02*1.25+KFC!$C$23)*KFC!$C$5</f>
        <v>413.35499999999996</v>
      </c>
      <c r="AF224" s="300">
        <f>(331.5*KFC!$B$23*1.02*1.25+KFC!$C$23)*KFC!$C$5</f>
        <v>422.66250000000002</v>
      </c>
      <c r="AG224" s="300">
        <f>(338.9*KFC!$B$23*1.02*1.25+KFC!$C$23)*KFC!$C$5</f>
        <v>432.09749999999997</v>
      </c>
      <c r="AH224" s="304">
        <f>(346.2*KFC!$B$23*1.02*1.25+KFC!$C$23)*KFC!$C$5</f>
        <v>441.40499999999997</v>
      </c>
    </row>
    <row r="225" spans="1:34">
      <c r="A225" s="1781"/>
      <c r="B225" s="395">
        <v>4</v>
      </c>
      <c r="C225" s="303">
        <f>(119.7*KFC!$B$23*1.02*1.25+KFC!$C$23)*KFC!$C$5</f>
        <v>152.61750000000001</v>
      </c>
      <c r="D225" s="300">
        <f>(127.2*KFC!$B$23*1.02*1.25+KFC!$C$23)*KFC!$C$5</f>
        <v>162.18</v>
      </c>
      <c r="E225" s="300">
        <f>(134.8*KFC!$B$23*1.02*1.25+KFC!$C$23)*KFC!$C$5</f>
        <v>171.87</v>
      </c>
      <c r="F225" s="300">
        <f>(142.3*KFC!$B$23*1.02*1.25+KFC!$C$23)*KFC!$C$5</f>
        <v>181.4325</v>
      </c>
      <c r="G225" s="300">
        <f>(149.8*KFC!$B$23*1.02*1.25+KFC!$C$23)*KFC!$C$5</f>
        <v>190.99500000000003</v>
      </c>
      <c r="H225" s="300">
        <f>(157.3*KFC!$B$23*1.02*1.25+KFC!$C$23)*KFC!$C$5</f>
        <v>200.55750000000003</v>
      </c>
      <c r="I225" s="300">
        <f>(164.8*KFC!$B$23*1.02*1.25+KFC!$C$23)*KFC!$C$5</f>
        <v>210.12</v>
      </c>
      <c r="J225" s="300">
        <f>(172.3*KFC!$B$23*1.02*1.25+KFC!$C$23)*KFC!$C$5</f>
        <v>219.6825</v>
      </c>
      <c r="K225" s="300">
        <f>(179.8*KFC!$B$23*1.02*1.25+KFC!$C$23)*KFC!$C$5</f>
        <v>229.245</v>
      </c>
      <c r="L225" s="300">
        <f>(187.3*KFC!$B$23*1.02*1.25+KFC!$C$23)*KFC!$C$5</f>
        <v>238.80750000000003</v>
      </c>
      <c r="M225" s="300">
        <f>(194.8*KFC!$B$23*1.02*1.25+KFC!$C$23)*KFC!$C$5</f>
        <v>248.37000000000003</v>
      </c>
      <c r="N225" s="300">
        <f>(202.3*KFC!$B$23*1.02*1.25+KFC!$C$23)*KFC!$C$5</f>
        <v>257.9325</v>
      </c>
      <c r="O225" s="300">
        <f>(209.8*KFC!$B$23*1.02*1.25+KFC!$C$23)*KFC!$C$5</f>
        <v>267.495</v>
      </c>
      <c r="P225" s="300">
        <f>(217.3*KFC!$B$23*1.02*1.25+KFC!$C$23)*KFC!$C$5</f>
        <v>277.0575</v>
      </c>
      <c r="Q225" s="300">
        <f>(224.8*KFC!$B$23*1.02*1.25+KFC!$C$23)*KFC!$C$5</f>
        <v>286.62</v>
      </c>
      <c r="R225" s="300">
        <f>(232.3*KFC!$B$23*1.02*1.25+KFC!$C$23)*KFC!$C$5</f>
        <v>296.1825</v>
      </c>
      <c r="S225" s="300">
        <f>(239.8*KFC!$B$23*1.02*1.25+KFC!$C$23)*KFC!$C$5</f>
        <v>305.745</v>
      </c>
      <c r="T225" s="300">
        <f>(247.4*KFC!$B$23*1.02*1.25+KFC!$C$23)*KFC!$C$5</f>
        <v>315.435</v>
      </c>
      <c r="U225" s="300">
        <f>(254.9*KFC!$B$23*1.02*1.25+KFC!$C$23)*KFC!$C$5</f>
        <v>324.9975</v>
      </c>
      <c r="V225" s="300">
        <f>(262.4*KFC!$B$23*1.02*1.25+KFC!$C$23)*KFC!$C$5</f>
        <v>334.55999999999995</v>
      </c>
      <c r="W225" s="300">
        <f>(269.9*KFC!$B$23*1.02*1.25+KFC!$C$23)*KFC!$C$5</f>
        <v>344.1225</v>
      </c>
      <c r="X225" s="300">
        <f>(277.4*KFC!$B$23*1.02*1.25+KFC!$C$23)*KFC!$C$5</f>
        <v>353.68499999999995</v>
      </c>
      <c r="Y225" s="300">
        <f>(284.9*KFC!$B$23*1.02*1.25+KFC!$C$23)*KFC!$C$5</f>
        <v>363.24749999999995</v>
      </c>
      <c r="Z225" s="300">
        <f>(292.4*KFC!$B$23*1.02*1.25+KFC!$C$23)*KFC!$C$5</f>
        <v>372.81</v>
      </c>
      <c r="AA225" s="300">
        <f>(299.9*KFC!$B$23*1.02*1.25+KFC!$C$23)*KFC!$C$5</f>
        <v>382.37249999999995</v>
      </c>
      <c r="AB225" s="300">
        <f>(307.4*KFC!$B$23*1.02*1.25+KFC!$C$23)*KFC!$C$5</f>
        <v>391.935</v>
      </c>
      <c r="AC225" s="300">
        <f>(314.9*KFC!$B$23*1.02*1.25+KFC!$C$23)*KFC!$C$5</f>
        <v>401.49749999999995</v>
      </c>
      <c r="AD225" s="300">
        <f>(322.4*KFC!$B$23*1.02*1.25+KFC!$C$23)*KFC!$C$5</f>
        <v>411.05999999999995</v>
      </c>
      <c r="AE225" s="300">
        <f>(329.9*KFC!$B$23*1.02*1.25+KFC!$C$23)*KFC!$C$5</f>
        <v>420.6225</v>
      </c>
      <c r="AF225" s="300">
        <f>(337.4*KFC!$B$23*1.02*1.25+KFC!$C$23)*KFC!$C$5</f>
        <v>430.18499999999995</v>
      </c>
      <c r="AG225" s="300">
        <f>(344.9*KFC!$B$23*1.02*1.25+KFC!$C$23)*KFC!$C$5</f>
        <v>439.7475</v>
      </c>
      <c r="AH225" s="304">
        <f>(352.4*KFC!$B$23*1.02*1.25+KFC!$C$23)*KFC!$C$5</f>
        <v>449.30999999999995</v>
      </c>
    </row>
    <row r="226" spans="1:34">
      <c r="A226" s="1781"/>
      <c r="B226" s="395">
        <v>4.0999999999999996</v>
      </c>
      <c r="C226" s="303">
        <f>(120.8*KFC!$B$23*1.02*1.25+KFC!$C$23)*KFC!$C$5</f>
        <v>154.01999999999998</v>
      </c>
      <c r="D226" s="300">
        <f>(128.5*KFC!$B$23*1.02*1.25+KFC!$C$23)*KFC!$C$5</f>
        <v>163.83749999999998</v>
      </c>
      <c r="E226" s="300">
        <f>(136.1*KFC!$B$23*1.02*1.25+KFC!$C$23)*KFC!$C$5</f>
        <v>173.5275</v>
      </c>
      <c r="F226" s="300">
        <f>(143.8*KFC!$B$23*1.02*1.25+KFC!$C$23)*KFC!$C$5</f>
        <v>183.34500000000003</v>
      </c>
      <c r="G226" s="300">
        <f>(151.5*KFC!$B$23*1.02*1.25+KFC!$C$23)*KFC!$C$5</f>
        <v>193.16249999999999</v>
      </c>
      <c r="H226" s="300">
        <f>(159.2*KFC!$B$23*1.02*1.25+KFC!$C$23)*KFC!$C$5</f>
        <v>202.98</v>
      </c>
      <c r="I226" s="300">
        <f>(166.8*KFC!$B$23*1.02*1.25+KFC!$C$23)*KFC!$C$5</f>
        <v>212.67000000000002</v>
      </c>
      <c r="J226" s="300">
        <f>(174.5*KFC!$B$23*1.02*1.25+KFC!$C$23)*KFC!$C$5</f>
        <v>222.48750000000001</v>
      </c>
      <c r="K226" s="300">
        <f>(182.2*KFC!$B$23*1.02*1.25+KFC!$C$23)*KFC!$C$5</f>
        <v>232.30500000000001</v>
      </c>
      <c r="L226" s="300">
        <f>(189.9*KFC!$B$23*1.02*1.25+KFC!$C$23)*KFC!$C$5</f>
        <v>242.1225</v>
      </c>
      <c r="M226" s="300">
        <f>(197.5*KFC!$B$23*1.02*1.25+KFC!$C$23)*KFC!$C$5</f>
        <v>251.81250000000003</v>
      </c>
      <c r="N226" s="300">
        <f>(205.2*KFC!$B$23*1.02*1.25+KFC!$C$23)*KFC!$C$5</f>
        <v>261.63</v>
      </c>
      <c r="O226" s="300">
        <f>(212.9*KFC!$B$23*1.02*1.25+KFC!$C$23)*KFC!$C$5</f>
        <v>271.44749999999999</v>
      </c>
      <c r="P226" s="300">
        <f>(220.5*KFC!$B$23*1.02*1.25+KFC!$C$23)*KFC!$C$5</f>
        <v>281.13749999999999</v>
      </c>
      <c r="Q226" s="300">
        <f>(228.2*KFC!$B$23*1.02*1.25+KFC!$C$23)*KFC!$C$5</f>
        <v>290.95499999999998</v>
      </c>
      <c r="R226" s="300">
        <f>(235.9*KFC!$B$23*1.02*1.25+KFC!$C$23)*KFC!$C$5</f>
        <v>300.77250000000004</v>
      </c>
      <c r="S226" s="300">
        <f>(243.6*KFC!$B$23*1.02*1.25+KFC!$C$23)*KFC!$C$5</f>
        <v>310.59000000000003</v>
      </c>
      <c r="T226" s="300">
        <f>(251.2*KFC!$B$23*1.02*1.25+KFC!$C$23)*KFC!$C$5</f>
        <v>320.27999999999997</v>
      </c>
      <c r="U226" s="300">
        <f>(258.9*KFC!$B$23*1.02*1.25+KFC!$C$23)*KFC!$C$5</f>
        <v>330.09749999999997</v>
      </c>
      <c r="V226" s="300">
        <f>(266.6*KFC!$B$23*1.02*1.25+KFC!$C$23)*KFC!$C$5</f>
        <v>339.91500000000002</v>
      </c>
      <c r="W226" s="300">
        <f>(274.3*KFC!$B$23*1.02*1.25+KFC!$C$23)*KFC!$C$5</f>
        <v>349.73250000000002</v>
      </c>
      <c r="X226" s="300">
        <f>(281.9*KFC!$B$23*1.02*1.25+KFC!$C$23)*KFC!$C$5</f>
        <v>359.42249999999996</v>
      </c>
      <c r="Y226" s="300">
        <f>(289.6*KFC!$B$23*1.02*1.25+KFC!$C$23)*KFC!$C$5</f>
        <v>369.24000000000007</v>
      </c>
      <c r="Z226" s="300">
        <f>(297.3*KFC!$B$23*1.02*1.25+KFC!$C$23)*KFC!$C$5</f>
        <v>379.05750000000006</v>
      </c>
      <c r="AA226" s="300">
        <f>(305*KFC!$B$23*1.02*1.25+KFC!$C$23)*KFC!$C$5</f>
        <v>388.875</v>
      </c>
      <c r="AB226" s="300">
        <f>(312.6*KFC!$B$23*1.02*1.25+KFC!$C$23)*KFC!$C$5</f>
        <v>398.56500000000005</v>
      </c>
      <c r="AC226" s="300">
        <f>(320.3*KFC!$B$23*1.02*1.25+KFC!$C$23)*KFC!$C$5</f>
        <v>408.38250000000005</v>
      </c>
      <c r="AD226" s="300">
        <f>(328*KFC!$B$23*1.02*1.25+KFC!$C$23)*KFC!$C$5</f>
        <v>418.2</v>
      </c>
      <c r="AE226" s="300">
        <f>(335.7*KFC!$B$23*1.02*1.25+KFC!$C$23)*KFC!$C$5</f>
        <v>428.01749999999998</v>
      </c>
      <c r="AF226" s="300">
        <f>(343.3*KFC!$B$23*1.02*1.25+KFC!$C$23)*KFC!$C$5</f>
        <v>437.70749999999998</v>
      </c>
      <c r="AG226" s="300">
        <f>(351*KFC!$B$23*1.02*1.25+KFC!$C$23)*KFC!$C$5</f>
        <v>447.52499999999998</v>
      </c>
      <c r="AH226" s="304">
        <f>(358.7*KFC!$B$23*1.02*1.25+KFC!$C$23)*KFC!$C$5</f>
        <v>457.34249999999997</v>
      </c>
    </row>
    <row r="227" spans="1:34">
      <c r="A227" s="1781"/>
      <c r="B227" s="395">
        <v>4.2</v>
      </c>
      <c r="C227" s="303">
        <f>(121.8*KFC!$B$23*1.02*1.25+KFC!$C$23)*KFC!$C$5</f>
        <v>155.29500000000002</v>
      </c>
      <c r="D227" s="300">
        <f>(129.7*KFC!$B$23*1.02*1.25+KFC!$C$23)*KFC!$C$5</f>
        <v>165.36749999999998</v>
      </c>
      <c r="E227" s="300">
        <f>(137.5*KFC!$B$23*1.02*1.25+KFC!$C$23)*KFC!$C$5</f>
        <v>175.3125</v>
      </c>
      <c r="F227" s="300">
        <f>(145.4*KFC!$B$23*1.02*1.25+KFC!$C$23)*KFC!$C$5</f>
        <v>185.38500000000002</v>
      </c>
      <c r="G227" s="300">
        <f>(153.2*KFC!$B$23*1.02*1.25+KFC!$C$23)*KFC!$C$5</f>
        <v>195.32999999999998</v>
      </c>
      <c r="H227" s="300">
        <f>(161*KFC!$B$23*1.02*1.25+KFC!$C$23)*KFC!$C$5</f>
        <v>205.27500000000001</v>
      </c>
      <c r="I227" s="300">
        <f>(168.9*KFC!$B$23*1.02*1.25+KFC!$C$23)*KFC!$C$5</f>
        <v>215.34750000000003</v>
      </c>
      <c r="J227" s="300">
        <f>(176.7*KFC!$B$23*1.02*1.25+KFC!$C$23)*KFC!$C$5</f>
        <v>225.29249999999996</v>
      </c>
      <c r="K227" s="300">
        <f>(184.6*KFC!$B$23*1.02*1.25+KFC!$C$23)*KFC!$C$5</f>
        <v>235.36500000000001</v>
      </c>
      <c r="L227" s="300">
        <f>(192.4*KFC!$B$23*1.02*1.25+KFC!$C$23)*KFC!$C$5</f>
        <v>245.31000000000003</v>
      </c>
      <c r="M227" s="300">
        <f>(200.2*KFC!$B$23*1.02*1.25+KFC!$C$23)*KFC!$C$5</f>
        <v>255.25499999999997</v>
      </c>
      <c r="N227" s="300">
        <f>(208.1*KFC!$B$23*1.02*1.25+KFC!$C$23)*KFC!$C$5</f>
        <v>265.32749999999999</v>
      </c>
      <c r="O227" s="300">
        <f>(215.9*KFC!$B$23*1.02*1.25+KFC!$C$23)*KFC!$C$5</f>
        <v>275.27250000000004</v>
      </c>
      <c r="P227" s="300">
        <f>(223.8*KFC!$B$23*1.02*1.25+KFC!$C$23)*KFC!$C$5</f>
        <v>285.34500000000003</v>
      </c>
      <c r="Q227" s="300">
        <f>(231.6*KFC!$B$23*1.02*1.25+KFC!$C$23)*KFC!$C$5</f>
        <v>295.29000000000002</v>
      </c>
      <c r="R227" s="300">
        <f>(239.4*KFC!$B$23*1.02*1.25+KFC!$C$23)*KFC!$C$5</f>
        <v>305.23500000000001</v>
      </c>
      <c r="S227" s="300">
        <f>(247.3*KFC!$B$23*1.02*1.25+KFC!$C$23)*KFC!$C$5</f>
        <v>315.3075</v>
      </c>
      <c r="T227" s="300">
        <f>(255.1*KFC!$B$23*1.02*1.25+KFC!$C$23)*KFC!$C$5</f>
        <v>325.2525</v>
      </c>
      <c r="U227" s="300">
        <f>(263*KFC!$B$23*1.02*1.25+KFC!$C$23)*KFC!$C$5</f>
        <v>335.32499999999999</v>
      </c>
      <c r="V227" s="300">
        <f>(270.8*KFC!$B$23*1.02*1.25+KFC!$C$23)*KFC!$C$5</f>
        <v>345.27</v>
      </c>
      <c r="W227" s="300">
        <f>(278.6*KFC!$B$23*1.02*1.25+KFC!$C$23)*KFC!$C$5</f>
        <v>355.21500000000003</v>
      </c>
      <c r="X227" s="300">
        <f>(286.5*KFC!$B$23*1.02*1.25+KFC!$C$23)*KFC!$C$5</f>
        <v>365.28750000000002</v>
      </c>
      <c r="Y227" s="300">
        <f>(294.3*KFC!$B$23*1.02*1.25+KFC!$C$23)*KFC!$C$5</f>
        <v>375.23250000000007</v>
      </c>
      <c r="Z227" s="300">
        <f>(302.2*KFC!$B$23*1.02*1.25+KFC!$C$23)*KFC!$C$5</f>
        <v>385.30499999999995</v>
      </c>
      <c r="AA227" s="300">
        <f>(310*KFC!$B$23*1.02*1.25+KFC!$C$23)*KFC!$C$5</f>
        <v>395.25</v>
      </c>
      <c r="AB227" s="300">
        <f>(317.9*KFC!$B$23*1.02*1.25+KFC!$C$23)*KFC!$C$5</f>
        <v>405.32249999999999</v>
      </c>
      <c r="AC227" s="300">
        <f>(325.7*KFC!$B$23*1.02*1.25+KFC!$C$23)*KFC!$C$5</f>
        <v>415.26749999999998</v>
      </c>
      <c r="AD227" s="300">
        <f>(333.5*KFC!$B$23*1.02*1.25+KFC!$C$23)*KFC!$C$5</f>
        <v>425.21250000000003</v>
      </c>
      <c r="AE227" s="300">
        <f>(341.4*KFC!$B$23*1.02*1.25+KFC!$C$23)*KFC!$C$5</f>
        <v>435.28500000000003</v>
      </c>
      <c r="AF227" s="300">
        <f>(349.2*KFC!$B$23*1.02*1.25+KFC!$C$23)*KFC!$C$5</f>
        <v>445.22999999999996</v>
      </c>
      <c r="AG227" s="300">
        <f>(357.1*KFC!$B$23*1.02*1.25+KFC!$C$23)*KFC!$C$5</f>
        <v>455.30250000000001</v>
      </c>
      <c r="AH227" s="304">
        <f>(364.9*KFC!$B$23*1.02*1.25+KFC!$C$23)*KFC!$C$5</f>
        <v>465.24749999999995</v>
      </c>
    </row>
    <row r="228" spans="1:34">
      <c r="A228" s="1781"/>
      <c r="B228" s="395">
        <v>4.3</v>
      </c>
      <c r="C228" s="303">
        <f>(122.9*KFC!$B$23*1.02*1.25+KFC!$C$23)*KFC!$C$5</f>
        <v>156.69749999999999</v>
      </c>
      <c r="D228" s="300">
        <f>(130.9*KFC!$B$23*1.02*1.25+KFC!$C$23)*KFC!$C$5</f>
        <v>166.89750000000001</v>
      </c>
      <c r="E228" s="300">
        <f>(138.9*KFC!$B$23*1.02*1.25+KFC!$C$23)*KFC!$C$5</f>
        <v>177.0975</v>
      </c>
      <c r="F228" s="300">
        <f>(146.9*KFC!$B$23*1.02*1.25+KFC!$C$23)*KFC!$C$5</f>
        <v>187.29750000000001</v>
      </c>
      <c r="G228" s="300">
        <f>(154.9*KFC!$B$23*1.02*1.25+KFC!$C$23)*KFC!$C$5</f>
        <v>197.49750000000003</v>
      </c>
      <c r="H228" s="300">
        <f>(162.9*KFC!$B$23*1.02*1.25+KFC!$C$23)*KFC!$C$5</f>
        <v>207.69750000000002</v>
      </c>
      <c r="I228" s="300">
        <f>(170.9*KFC!$B$23*1.02*1.25+KFC!$C$23)*KFC!$C$5</f>
        <v>217.89750000000001</v>
      </c>
      <c r="J228" s="300">
        <f>(178.9*KFC!$B$23*1.02*1.25+KFC!$C$23)*KFC!$C$5</f>
        <v>228.09750000000003</v>
      </c>
      <c r="K228" s="300">
        <f>(186.9*KFC!$B$23*1.02*1.25+KFC!$C$23)*KFC!$C$5</f>
        <v>238.29750000000001</v>
      </c>
      <c r="L228" s="300">
        <f>(194.9*KFC!$B$23*1.02*1.25+KFC!$C$23)*KFC!$C$5</f>
        <v>248.4975</v>
      </c>
      <c r="M228" s="300">
        <f>(203*KFC!$B$23*1.02*1.25+KFC!$C$23)*KFC!$C$5</f>
        <v>258.82499999999999</v>
      </c>
      <c r="N228" s="300">
        <f>(211*KFC!$B$23*1.02*1.25+KFC!$C$23)*KFC!$C$5</f>
        <v>269.02499999999998</v>
      </c>
      <c r="O228" s="300">
        <f>(219*KFC!$B$23*1.02*1.25+KFC!$C$23)*KFC!$C$5</f>
        <v>279.22500000000002</v>
      </c>
      <c r="P228" s="300">
        <f>(227*KFC!$B$23*1.02*1.25+KFC!$C$23)*KFC!$C$5</f>
        <v>289.42500000000001</v>
      </c>
      <c r="Q228" s="300">
        <f>(235*KFC!$B$23*1.02*1.25+KFC!$C$23)*KFC!$C$5</f>
        <v>299.625</v>
      </c>
      <c r="R228" s="300">
        <f>(243*KFC!$B$23*1.02*1.25+KFC!$C$23)*KFC!$C$5</f>
        <v>309.82500000000005</v>
      </c>
      <c r="S228" s="300">
        <f>(251*KFC!$B$23*1.02*1.25+KFC!$C$23)*KFC!$C$5</f>
        <v>320.02499999999998</v>
      </c>
      <c r="T228" s="300">
        <f>(259*KFC!$B$23*1.02*1.25+KFC!$C$23)*KFC!$C$5</f>
        <v>330.22500000000002</v>
      </c>
      <c r="U228" s="300">
        <f>(267*KFC!$B$23*1.02*1.25+KFC!$C$23)*KFC!$C$5</f>
        <v>340.42500000000007</v>
      </c>
      <c r="V228" s="300">
        <f>(275*KFC!$B$23*1.02*1.25+KFC!$C$23)*KFC!$C$5</f>
        <v>350.625</v>
      </c>
      <c r="W228" s="300">
        <f>(283*KFC!$B$23*1.02*1.25+KFC!$C$23)*KFC!$C$5</f>
        <v>360.82500000000005</v>
      </c>
      <c r="X228" s="300">
        <f>(291*KFC!$B$23*1.02*1.25+KFC!$C$23)*KFC!$C$5</f>
        <v>371.02499999999998</v>
      </c>
      <c r="Y228" s="300">
        <f>(299.1*KFC!$B$23*1.02*1.25+KFC!$C$23)*KFC!$C$5</f>
        <v>381.35250000000008</v>
      </c>
      <c r="Z228" s="300">
        <f>(307.1*KFC!$B$23*1.02*1.25+KFC!$C$23)*KFC!$C$5</f>
        <v>391.55250000000001</v>
      </c>
      <c r="AA228" s="300">
        <f>(315.1*KFC!$B$23*1.02*1.25+KFC!$C$23)*KFC!$C$5</f>
        <v>401.75250000000005</v>
      </c>
      <c r="AB228" s="300">
        <f>(323.1*KFC!$B$23*1.02*1.25+KFC!$C$23)*KFC!$C$5</f>
        <v>411.95249999999999</v>
      </c>
      <c r="AC228" s="300">
        <f>(331.1*KFC!$B$23*1.02*1.25+KFC!$C$23)*KFC!$C$5</f>
        <v>422.15250000000003</v>
      </c>
      <c r="AD228" s="300">
        <f>(339.1*KFC!$B$23*1.02*1.25+KFC!$C$23)*KFC!$C$5</f>
        <v>432.35250000000002</v>
      </c>
      <c r="AE228" s="300">
        <f>(347.1*KFC!$B$23*1.02*1.25+KFC!$C$23)*KFC!$C$5</f>
        <v>442.55250000000001</v>
      </c>
      <c r="AF228" s="300">
        <f>(355.1*KFC!$B$23*1.02*1.25+KFC!$C$23)*KFC!$C$5</f>
        <v>452.75250000000005</v>
      </c>
      <c r="AG228" s="300">
        <f>(363.1*KFC!$B$23*1.02*1.25+KFC!$C$23)*KFC!$C$5</f>
        <v>462.95250000000004</v>
      </c>
      <c r="AH228" s="304">
        <f>(371.1*KFC!$B$23*1.02*1.25+KFC!$C$23)*KFC!$C$5</f>
        <v>473.15250000000003</v>
      </c>
    </row>
    <row r="229" spans="1:34">
      <c r="A229" s="1781"/>
      <c r="B229" s="395">
        <v>4.4000000000000004</v>
      </c>
      <c r="C229" s="303">
        <f>(123.9*KFC!$B$23*1.02*1.25+KFC!$C$23)*KFC!$C$5</f>
        <v>157.97250000000003</v>
      </c>
      <c r="D229" s="300">
        <f>(132.1*KFC!$B$23*1.02*1.25+KFC!$C$23)*KFC!$C$5</f>
        <v>168.42749999999998</v>
      </c>
      <c r="E229" s="300">
        <f>(140.3*KFC!$B$23*1.02*1.25+KFC!$C$23)*KFC!$C$5</f>
        <v>178.88250000000002</v>
      </c>
      <c r="F229" s="300">
        <f>(148.4*KFC!$B$23*1.02*1.25+KFC!$C$23)*KFC!$C$5</f>
        <v>189.20999999999998</v>
      </c>
      <c r="G229" s="300">
        <f>(156.6*KFC!$B$23*1.02*1.25+KFC!$C$23)*KFC!$C$5</f>
        <v>199.66499999999999</v>
      </c>
      <c r="H229" s="300">
        <f>(164.8*KFC!$B$23*1.02*1.25+KFC!$C$23)*KFC!$C$5</f>
        <v>210.12</v>
      </c>
      <c r="I229" s="300">
        <f>(173*KFC!$B$23*1.02*1.25+KFC!$C$23)*KFC!$C$5</f>
        <v>220.57500000000002</v>
      </c>
      <c r="J229" s="300">
        <f>(181.1*KFC!$B$23*1.02*1.25+KFC!$C$23)*KFC!$C$5</f>
        <v>230.9025</v>
      </c>
      <c r="K229" s="300">
        <f>(189.3*KFC!$B$23*1.02*1.25+KFC!$C$23)*KFC!$C$5</f>
        <v>241.35750000000002</v>
      </c>
      <c r="L229" s="300">
        <f>(197.5*KFC!$B$23*1.02*1.25+KFC!$C$23)*KFC!$C$5</f>
        <v>251.81250000000003</v>
      </c>
      <c r="M229" s="300">
        <f>(205.7*KFC!$B$23*1.02*1.25+KFC!$C$23)*KFC!$C$5</f>
        <v>262.26749999999998</v>
      </c>
      <c r="N229" s="300">
        <f>(213.8*KFC!$B$23*1.02*1.25+KFC!$C$23)*KFC!$C$5</f>
        <v>272.59500000000003</v>
      </c>
      <c r="O229" s="300">
        <f>(222*KFC!$B$23*1.02*1.25+KFC!$C$23)*KFC!$C$5</f>
        <v>283.05</v>
      </c>
      <c r="P229" s="300">
        <f>(230.2*KFC!$B$23*1.02*1.25+KFC!$C$23)*KFC!$C$5</f>
        <v>293.505</v>
      </c>
      <c r="Q229" s="300">
        <f>(238.4*KFC!$B$23*1.02*1.25+KFC!$C$23)*KFC!$C$5</f>
        <v>303.96000000000004</v>
      </c>
      <c r="R229" s="300">
        <f>(246.5*KFC!$B$23*1.02*1.25+KFC!$C$23)*KFC!$C$5</f>
        <v>314.28750000000002</v>
      </c>
      <c r="S229" s="300">
        <f>(254.7*KFC!$B$23*1.02*1.25+KFC!$C$23)*KFC!$C$5</f>
        <v>324.74249999999995</v>
      </c>
      <c r="T229" s="300">
        <f>(262.9*KFC!$B$23*1.02*1.25+KFC!$C$23)*KFC!$C$5</f>
        <v>335.19749999999993</v>
      </c>
      <c r="U229" s="300">
        <f>(271.1*KFC!$B$23*1.02*1.25+KFC!$C$23)*KFC!$C$5</f>
        <v>345.65250000000003</v>
      </c>
      <c r="V229" s="300">
        <f>(279.2*KFC!$B$23*1.02*1.25+KFC!$C$23)*KFC!$C$5</f>
        <v>355.98</v>
      </c>
      <c r="W229" s="300">
        <f>(287.4*KFC!$B$23*1.02*1.25+KFC!$C$23)*KFC!$C$5</f>
        <v>366.43499999999995</v>
      </c>
      <c r="X229" s="300">
        <f>(295.6*KFC!$B$23*1.02*1.25+KFC!$C$23)*KFC!$C$5</f>
        <v>376.89</v>
      </c>
      <c r="Y229" s="300">
        <f>(303.8*KFC!$B$23*1.02*1.25+KFC!$C$23)*KFC!$C$5</f>
        <v>387.34500000000003</v>
      </c>
      <c r="Z229" s="300">
        <f>(312*KFC!$B$23*1.02*1.25+KFC!$C$23)*KFC!$C$5</f>
        <v>397.8</v>
      </c>
      <c r="AA229" s="300">
        <f>(320.1*KFC!$B$23*1.02*1.25+KFC!$C$23)*KFC!$C$5</f>
        <v>408.1275</v>
      </c>
      <c r="AB229" s="300">
        <f>(328.3*KFC!$B$23*1.02*1.25+KFC!$C$23)*KFC!$C$5</f>
        <v>418.58250000000004</v>
      </c>
      <c r="AC229" s="300">
        <f>(336.5*KFC!$B$23*1.02*1.25+KFC!$C$23)*KFC!$C$5</f>
        <v>429.03750000000002</v>
      </c>
      <c r="AD229" s="300">
        <f>(344.7*KFC!$B$23*1.02*1.25+KFC!$C$23)*KFC!$C$5</f>
        <v>439.49250000000001</v>
      </c>
      <c r="AE229" s="300">
        <f>(352.8*KFC!$B$23*1.02*1.25+KFC!$C$23)*KFC!$C$5</f>
        <v>449.82</v>
      </c>
      <c r="AF229" s="300">
        <f>(361*KFC!$B$23*1.02*1.25+KFC!$C$23)*KFC!$C$5</f>
        <v>460.27500000000003</v>
      </c>
      <c r="AG229" s="300">
        <f>(369.2*KFC!$B$23*1.02*1.25+KFC!$C$23)*KFC!$C$5</f>
        <v>470.73</v>
      </c>
      <c r="AH229" s="304">
        <f>(377.4*KFC!$B$23*1.02*1.25+KFC!$C$23)*KFC!$C$5</f>
        <v>481.18499999999995</v>
      </c>
    </row>
    <row r="230" spans="1:34">
      <c r="A230" s="1781"/>
      <c r="B230" s="395">
        <v>4.5</v>
      </c>
      <c r="C230" s="303">
        <f>(125*KFC!$B$23*1.02*1.25+KFC!$C$23)*KFC!$C$5</f>
        <v>159.375</v>
      </c>
      <c r="D230" s="300">
        <f>(133.3*KFC!$B$23*1.02*1.25+KFC!$C$23)*KFC!$C$5</f>
        <v>169.95750000000001</v>
      </c>
      <c r="E230" s="300">
        <f>(141.7*KFC!$B$23*1.02*1.25+KFC!$C$23)*KFC!$C$5</f>
        <v>180.66749999999999</v>
      </c>
      <c r="F230" s="300">
        <f>(150*KFC!$B$23*1.02*1.25+KFC!$C$23)*KFC!$C$5</f>
        <v>191.25</v>
      </c>
      <c r="G230" s="300">
        <f>(158.3*KFC!$B$23*1.02*1.25+KFC!$C$23)*KFC!$C$5</f>
        <v>201.83250000000001</v>
      </c>
      <c r="H230" s="300">
        <f>(166.7*KFC!$B$23*1.02*1.25+KFC!$C$23)*KFC!$C$5</f>
        <v>212.54249999999999</v>
      </c>
      <c r="I230" s="300">
        <f>(175*KFC!$B$23*1.02*1.25+KFC!$C$23)*KFC!$C$5</f>
        <v>223.125</v>
      </c>
      <c r="J230" s="300">
        <f>(183.4*KFC!$B$23*1.02*1.25+KFC!$C$23)*KFC!$C$5</f>
        <v>233.83500000000001</v>
      </c>
      <c r="K230" s="300">
        <f>(191.7*KFC!$B$23*1.02*1.25+KFC!$C$23)*KFC!$C$5</f>
        <v>244.41749999999999</v>
      </c>
      <c r="L230" s="300">
        <f>(200*KFC!$B$23*1.02*1.25+KFC!$C$23)*KFC!$C$5</f>
        <v>255</v>
      </c>
      <c r="M230" s="300">
        <f>(208.4*KFC!$B$23*1.02*1.25+KFC!$C$23)*KFC!$C$5</f>
        <v>265.71000000000004</v>
      </c>
      <c r="N230" s="300">
        <f>(216.7*KFC!$B$23*1.02*1.25+KFC!$C$23)*KFC!$C$5</f>
        <v>276.29250000000002</v>
      </c>
      <c r="O230" s="300">
        <f>(225.1*KFC!$B$23*1.02*1.25+KFC!$C$23)*KFC!$C$5</f>
        <v>287.0025</v>
      </c>
      <c r="P230" s="300">
        <f>(233.4*KFC!$B$23*1.02*1.25+KFC!$C$23)*KFC!$C$5</f>
        <v>297.58500000000004</v>
      </c>
      <c r="Q230" s="300">
        <f>(241.8*KFC!$B$23*1.02*1.25+KFC!$C$23)*KFC!$C$5</f>
        <v>308.29500000000002</v>
      </c>
      <c r="R230" s="300">
        <f>(250.1*KFC!$B$23*1.02*1.25+KFC!$C$23)*KFC!$C$5</f>
        <v>318.8775</v>
      </c>
      <c r="S230" s="300">
        <f>(258.4*KFC!$B$23*1.02*1.25+KFC!$C$23)*KFC!$C$5</f>
        <v>329.46</v>
      </c>
      <c r="T230" s="300">
        <f>(266.8*KFC!$B$23*1.02*1.25+KFC!$C$23)*KFC!$C$5</f>
        <v>340.17</v>
      </c>
      <c r="U230" s="300">
        <f>(275.1*KFC!$B$23*1.02*1.25+KFC!$C$23)*KFC!$C$5</f>
        <v>350.75250000000005</v>
      </c>
      <c r="V230" s="300">
        <f>(283.5*KFC!$B$23*1.02*1.25+KFC!$C$23)*KFC!$C$5</f>
        <v>361.46250000000003</v>
      </c>
      <c r="W230" s="300">
        <f>(291.8*KFC!$B$23*1.02*1.25+KFC!$C$23)*KFC!$C$5</f>
        <v>372.04500000000002</v>
      </c>
      <c r="X230" s="300">
        <f>(300.2*KFC!$B$23*1.02*1.25+KFC!$C$23)*KFC!$C$5</f>
        <v>382.755</v>
      </c>
      <c r="Y230" s="300">
        <f>(308.5*KFC!$B$23*1.02*1.25+KFC!$C$23)*KFC!$C$5</f>
        <v>393.33750000000003</v>
      </c>
      <c r="Z230" s="300">
        <f>(316.8*KFC!$B$23*1.02*1.25+KFC!$C$23)*KFC!$C$5</f>
        <v>403.92</v>
      </c>
      <c r="AA230" s="300">
        <f>(325.2*KFC!$B$23*1.02*1.25+KFC!$C$23)*KFC!$C$5</f>
        <v>414.63</v>
      </c>
      <c r="AB230" s="300">
        <f>(333.5*KFC!$B$23*1.02*1.25+KFC!$C$23)*KFC!$C$5</f>
        <v>425.21250000000003</v>
      </c>
      <c r="AC230" s="300">
        <f>(341.9*KFC!$B$23*1.02*1.25+KFC!$C$23)*KFC!$C$5</f>
        <v>435.92250000000001</v>
      </c>
      <c r="AD230" s="300">
        <f>(350.2*KFC!$B$23*1.02*1.25+KFC!$C$23)*KFC!$C$5</f>
        <v>446.505</v>
      </c>
      <c r="AE230" s="300">
        <f>(358.6*KFC!$B$23*1.02*1.25+KFC!$C$23)*KFC!$C$5</f>
        <v>457.21500000000003</v>
      </c>
      <c r="AF230" s="300">
        <f>(366.9*KFC!$B$23*1.02*1.25+KFC!$C$23)*KFC!$C$5</f>
        <v>467.79750000000001</v>
      </c>
      <c r="AG230" s="300">
        <f>(375.2*KFC!$B$23*1.02*1.25+KFC!$C$23)*KFC!$C$5</f>
        <v>478.38</v>
      </c>
      <c r="AH230" s="304">
        <f>(383.6*KFC!$B$23*1.02*1.25+KFC!$C$23)*KFC!$C$5</f>
        <v>489.09000000000003</v>
      </c>
    </row>
    <row r="231" spans="1:34">
      <c r="A231" s="1781"/>
      <c r="B231" s="395">
        <v>4.5999999999999996</v>
      </c>
      <c r="C231" s="303">
        <f>(126*KFC!$B$23*1.02*1.25+KFC!$C$23)*KFC!$C$5</f>
        <v>160.65</v>
      </c>
      <c r="D231" s="300">
        <f>(134.5*KFC!$B$23*1.02*1.25+KFC!$C$23)*KFC!$C$5</f>
        <v>171.48750000000001</v>
      </c>
      <c r="E231" s="300">
        <f>(143*KFC!$B$23*1.02*1.25+KFC!$C$23)*KFC!$C$5</f>
        <v>182.32500000000002</v>
      </c>
      <c r="F231" s="300">
        <f>(151.5*KFC!$B$23*1.02*1.25+KFC!$C$23)*KFC!$C$5</f>
        <v>193.16249999999999</v>
      </c>
      <c r="G231" s="300">
        <f>(160.1*KFC!$B$23*1.02*1.25+KFC!$C$23)*KFC!$C$5</f>
        <v>204.1275</v>
      </c>
      <c r="H231" s="300">
        <f>(168.6*KFC!$B$23*1.02*1.25+KFC!$C$23)*KFC!$C$5</f>
        <v>214.965</v>
      </c>
      <c r="I231" s="300">
        <f>(177.1*KFC!$B$23*1.02*1.25+KFC!$C$23)*KFC!$C$5</f>
        <v>225.80250000000001</v>
      </c>
      <c r="J231" s="300">
        <f>(185.6*KFC!$B$23*1.02*1.25+KFC!$C$23)*KFC!$C$5</f>
        <v>236.64</v>
      </c>
      <c r="K231" s="300">
        <f>(194.1*KFC!$B$23*1.02*1.25+KFC!$C$23)*KFC!$C$5</f>
        <v>247.47749999999999</v>
      </c>
      <c r="L231" s="300">
        <f>(202.6*KFC!$B$23*1.02*1.25+KFC!$C$23)*KFC!$C$5</f>
        <v>258.315</v>
      </c>
      <c r="M231" s="300">
        <f>(211.1*KFC!$B$23*1.02*1.25+KFC!$C$23)*KFC!$C$5</f>
        <v>269.15250000000003</v>
      </c>
      <c r="N231" s="300">
        <f>(219.6*KFC!$B$23*1.02*1.25+KFC!$C$23)*KFC!$C$5</f>
        <v>279.99</v>
      </c>
      <c r="O231" s="300">
        <f>(228.1*KFC!$B$23*1.02*1.25+KFC!$C$23)*KFC!$C$5</f>
        <v>290.82749999999999</v>
      </c>
      <c r="P231" s="300">
        <f>(236.6*KFC!$B$23*1.02*1.25+KFC!$C$23)*KFC!$C$5</f>
        <v>301.66499999999996</v>
      </c>
      <c r="Q231" s="300">
        <f>(245.1*KFC!$B$23*1.02*1.25+KFC!$C$23)*KFC!$C$5</f>
        <v>312.5025</v>
      </c>
      <c r="R231" s="300">
        <f>(253.7*KFC!$B$23*1.02*1.25+KFC!$C$23)*KFC!$C$5</f>
        <v>323.46749999999997</v>
      </c>
      <c r="S231" s="300">
        <f>(262.2*KFC!$B$23*1.02*1.25+KFC!$C$23)*KFC!$C$5</f>
        <v>334.30500000000001</v>
      </c>
      <c r="T231" s="300">
        <f>(270.7*KFC!$B$23*1.02*1.25+KFC!$C$23)*KFC!$C$5</f>
        <v>345.14249999999998</v>
      </c>
      <c r="U231" s="300">
        <f>(279.2*KFC!$B$23*1.02*1.25+KFC!$C$23)*KFC!$C$5</f>
        <v>355.98</v>
      </c>
      <c r="V231" s="300">
        <f>(287.7*KFC!$B$23*1.02*1.25+KFC!$C$23)*KFC!$C$5</f>
        <v>366.8175</v>
      </c>
      <c r="W231" s="300">
        <f>(296.2*KFC!$B$23*1.02*1.25+KFC!$C$23)*KFC!$C$5</f>
        <v>377.65499999999997</v>
      </c>
      <c r="X231" s="300">
        <f>(304.7*KFC!$B$23*1.02*1.25+KFC!$C$23)*KFC!$C$5</f>
        <v>388.49249999999995</v>
      </c>
      <c r="Y231" s="300">
        <f>(313.2*KFC!$B$23*1.02*1.25+KFC!$C$23)*KFC!$C$5</f>
        <v>399.33</v>
      </c>
      <c r="Z231" s="300">
        <f>(321.7*KFC!$B$23*1.02*1.25+KFC!$C$23)*KFC!$C$5</f>
        <v>410.16750000000002</v>
      </c>
      <c r="AA231" s="300">
        <f>(330.2*KFC!$B$23*1.02*1.25+KFC!$C$23)*KFC!$C$5</f>
        <v>421.005</v>
      </c>
      <c r="AB231" s="300">
        <f>(338.7*KFC!$B$23*1.02*1.25+KFC!$C$23)*KFC!$C$5</f>
        <v>431.84249999999997</v>
      </c>
      <c r="AC231" s="300">
        <f>(347.3*KFC!$B$23*1.02*1.25+KFC!$C$23)*KFC!$C$5</f>
        <v>442.80750000000006</v>
      </c>
      <c r="AD231" s="300">
        <f>(355.8*KFC!$B$23*1.02*1.25+KFC!$C$23)*KFC!$C$5</f>
        <v>453.64499999999998</v>
      </c>
      <c r="AE231" s="300">
        <f>(364.3*KFC!$B$23*1.02*1.25+KFC!$C$23)*KFC!$C$5</f>
        <v>464.48250000000002</v>
      </c>
      <c r="AF231" s="300">
        <f>(372.8*KFC!$B$23*1.02*1.25+KFC!$C$23)*KFC!$C$5</f>
        <v>475.32000000000005</v>
      </c>
      <c r="AG231" s="300">
        <f>(381.3*KFC!$B$23*1.02*1.25+KFC!$C$23)*KFC!$C$5</f>
        <v>486.15750000000003</v>
      </c>
      <c r="AH231" s="304">
        <f>(389.8*KFC!$B$23*1.02*1.25+KFC!$C$23)*KFC!$C$5</f>
        <v>496.995</v>
      </c>
    </row>
    <row r="232" spans="1:34">
      <c r="A232" s="1781"/>
      <c r="B232" s="395">
        <v>4.7</v>
      </c>
      <c r="C232" s="303">
        <f>(127.1*KFC!$B$23*1.02*1.25+KFC!$C$23)*KFC!$C$5</f>
        <v>162.05250000000001</v>
      </c>
      <c r="D232" s="300">
        <f>(135.7*KFC!$B$23*1.02*1.25+KFC!$C$23)*KFC!$C$5</f>
        <v>173.01749999999998</v>
      </c>
      <c r="E232" s="300">
        <f>(144.4*KFC!$B$23*1.02*1.25+KFC!$C$23)*KFC!$C$5</f>
        <v>184.11</v>
      </c>
      <c r="F232" s="300">
        <f>(153.1*KFC!$B$23*1.02*1.25+KFC!$C$23)*KFC!$C$5</f>
        <v>195.20250000000001</v>
      </c>
      <c r="G232" s="300">
        <f>(161.8*KFC!$B$23*1.02*1.25+KFC!$C$23)*KFC!$C$5</f>
        <v>206.29500000000002</v>
      </c>
      <c r="H232" s="300">
        <f>(170.4*KFC!$B$23*1.02*1.25+KFC!$C$23)*KFC!$C$5</f>
        <v>217.26000000000002</v>
      </c>
      <c r="I232" s="300">
        <f>(179.1*KFC!$B$23*1.02*1.25+KFC!$C$23)*KFC!$C$5</f>
        <v>228.35249999999999</v>
      </c>
      <c r="J232" s="300">
        <f>(187.8*KFC!$B$23*1.02*1.25+KFC!$C$23)*KFC!$C$5</f>
        <v>239.44500000000002</v>
      </c>
      <c r="K232" s="300">
        <f>(196.5*KFC!$B$23*1.02*1.25+KFC!$C$23)*KFC!$C$5</f>
        <v>250.53750000000002</v>
      </c>
      <c r="L232" s="300">
        <f>(205.1*KFC!$B$23*1.02*1.25+KFC!$C$23)*KFC!$C$5</f>
        <v>261.5025</v>
      </c>
      <c r="M232" s="300">
        <f>(213.8*KFC!$B$23*1.02*1.25+KFC!$C$23)*KFC!$C$5</f>
        <v>272.59500000000003</v>
      </c>
      <c r="N232" s="300">
        <f>(222.5*KFC!$B$23*1.02*1.25+KFC!$C$23)*KFC!$C$5</f>
        <v>283.6875</v>
      </c>
      <c r="O232" s="300">
        <f>(231.2*KFC!$B$23*1.02*1.25+KFC!$C$23)*KFC!$C$5</f>
        <v>294.77999999999997</v>
      </c>
      <c r="P232" s="300">
        <f>(239.9*KFC!$B$23*1.02*1.25+KFC!$C$23)*KFC!$C$5</f>
        <v>305.8725</v>
      </c>
      <c r="Q232" s="300">
        <f>(248.5*KFC!$B$23*1.02*1.25+KFC!$C$23)*KFC!$C$5</f>
        <v>316.83749999999998</v>
      </c>
      <c r="R232" s="300">
        <f>(257.2*KFC!$B$23*1.02*1.25+KFC!$C$23)*KFC!$C$5</f>
        <v>327.93</v>
      </c>
      <c r="S232" s="300">
        <f>(265.9*KFC!$B$23*1.02*1.25+KFC!$C$23)*KFC!$C$5</f>
        <v>339.02249999999992</v>
      </c>
      <c r="T232" s="300">
        <f>(274.6*KFC!$B$23*1.02*1.25+KFC!$C$23)*KFC!$C$5</f>
        <v>350.11500000000007</v>
      </c>
      <c r="U232" s="300">
        <f>(283.2*KFC!$B$23*1.02*1.25+KFC!$C$23)*KFC!$C$5</f>
        <v>361.08</v>
      </c>
      <c r="V232" s="300">
        <f>(291.9*KFC!$B$23*1.02*1.25+KFC!$C$23)*KFC!$C$5</f>
        <v>372.17250000000001</v>
      </c>
      <c r="W232" s="300">
        <f>(300.6*KFC!$B$23*1.02*1.25+KFC!$C$23)*KFC!$C$5</f>
        <v>383.26500000000004</v>
      </c>
      <c r="X232" s="300">
        <f>(309.3*KFC!$B$23*1.02*1.25+KFC!$C$23)*KFC!$C$5</f>
        <v>394.35749999999996</v>
      </c>
      <c r="Y232" s="300">
        <f>(317.9*KFC!$B$23*1.02*1.25+KFC!$C$23)*KFC!$C$5</f>
        <v>405.32249999999999</v>
      </c>
      <c r="Z232" s="300">
        <f>(326.6*KFC!$B$23*1.02*1.25+KFC!$C$23)*KFC!$C$5</f>
        <v>416.41500000000002</v>
      </c>
      <c r="AA232" s="300">
        <f>(335.3*KFC!$B$23*1.02*1.25+KFC!$C$23)*KFC!$C$5</f>
        <v>427.50750000000005</v>
      </c>
      <c r="AB232" s="300">
        <f>(344*KFC!$B$23*1.02*1.25+KFC!$C$23)*KFC!$C$5</f>
        <v>438.6</v>
      </c>
      <c r="AC232" s="300">
        <f>(352.6*KFC!$B$23*1.02*1.25+KFC!$C$23)*KFC!$C$5</f>
        <v>449.56500000000005</v>
      </c>
      <c r="AD232" s="300">
        <f>(361.3*KFC!$B$23*1.02*1.25+KFC!$C$23)*KFC!$C$5</f>
        <v>460.65750000000003</v>
      </c>
      <c r="AE232" s="300">
        <f>(370*KFC!$B$23*1.02*1.25+KFC!$C$23)*KFC!$C$5</f>
        <v>471.75000000000006</v>
      </c>
      <c r="AF232" s="300">
        <f>(378.7*KFC!$B$23*1.02*1.25+KFC!$C$23)*KFC!$C$5</f>
        <v>482.84249999999997</v>
      </c>
      <c r="AG232" s="300">
        <f>(387.4*KFC!$B$23*1.02*1.25+KFC!$C$23)*KFC!$C$5</f>
        <v>493.93499999999995</v>
      </c>
      <c r="AH232" s="304">
        <f>(396*KFC!$B$23*1.02*1.25+KFC!$C$23)*KFC!$C$5</f>
        <v>504.90000000000003</v>
      </c>
    </row>
    <row r="233" spans="1:34">
      <c r="A233" s="1781"/>
      <c r="B233" s="395">
        <v>4.8</v>
      </c>
      <c r="C233" s="303">
        <f>(128.1*KFC!$B$23*1.02*1.25+KFC!$C$23)*KFC!$C$5</f>
        <v>163.32750000000001</v>
      </c>
      <c r="D233" s="300">
        <f>(136.9*KFC!$B$23*1.02*1.25+KFC!$C$23)*KFC!$C$5</f>
        <v>174.54750000000001</v>
      </c>
      <c r="E233" s="300">
        <f>(145.8*KFC!$B$23*1.02*1.25+KFC!$C$23)*KFC!$C$5</f>
        <v>185.89500000000001</v>
      </c>
      <c r="F233" s="300">
        <f>(154.6*KFC!$B$23*1.02*1.25+KFC!$C$23)*KFC!$C$5</f>
        <v>197.11500000000001</v>
      </c>
      <c r="G233" s="300">
        <f>(163.5*KFC!$B$23*1.02*1.25+KFC!$C$23)*KFC!$C$5</f>
        <v>208.46250000000001</v>
      </c>
      <c r="H233" s="300">
        <f>(172.3*KFC!$B$23*1.02*1.25+KFC!$C$23)*KFC!$C$5</f>
        <v>219.6825</v>
      </c>
      <c r="I233" s="300">
        <f>(181.2*KFC!$B$23*1.02*1.25+KFC!$C$23)*KFC!$C$5</f>
        <v>231.02999999999997</v>
      </c>
      <c r="J233" s="300">
        <f>(190*KFC!$B$23*1.02*1.25+KFC!$C$23)*KFC!$C$5</f>
        <v>242.25</v>
      </c>
      <c r="K233" s="300">
        <f>(198.9*KFC!$B$23*1.02*1.25+KFC!$C$23)*KFC!$C$5</f>
        <v>253.59750000000003</v>
      </c>
      <c r="L233" s="300">
        <f>(207.7*KFC!$B$23*1.02*1.25+KFC!$C$23)*KFC!$C$5</f>
        <v>264.8175</v>
      </c>
      <c r="M233" s="300">
        <f>(216.5*KFC!$B$23*1.02*1.25+KFC!$C$23)*KFC!$C$5</f>
        <v>276.03750000000002</v>
      </c>
      <c r="N233" s="300">
        <f>(225.4*KFC!$B$23*1.02*1.25+KFC!$C$23)*KFC!$C$5</f>
        <v>287.38499999999999</v>
      </c>
      <c r="O233" s="300">
        <f>(234.2*KFC!$B$23*1.02*1.25+KFC!$C$23)*KFC!$C$5</f>
        <v>298.60499999999996</v>
      </c>
      <c r="P233" s="300">
        <f>(243.1*KFC!$B$23*1.02*1.25+KFC!$C$23)*KFC!$C$5</f>
        <v>309.95249999999999</v>
      </c>
      <c r="Q233" s="300">
        <f>(251.9*KFC!$B$23*1.02*1.25+KFC!$C$23)*KFC!$C$5</f>
        <v>321.17250000000001</v>
      </c>
      <c r="R233" s="300">
        <f>(260.8*KFC!$B$23*1.02*1.25+KFC!$C$23)*KFC!$C$5</f>
        <v>332.52000000000004</v>
      </c>
      <c r="S233" s="300">
        <f>(269.6*KFC!$B$23*1.02*1.25+KFC!$C$23)*KFC!$C$5</f>
        <v>343.74</v>
      </c>
      <c r="T233" s="300">
        <f>(278.4*KFC!$B$23*1.02*1.25+KFC!$C$23)*KFC!$C$5</f>
        <v>354.95999999999992</v>
      </c>
      <c r="U233" s="300">
        <f>(287.3*KFC!$B$23*1.02*1.25+KFC!$C$23)*KFC!$C$5</f>
        <v>366.3075</v>
      </c>
      <c r="V233" s="300">
        <f>(296.1*KFC!$B$23*1.02*1.25+KFC!$C$23)*KFC!$C$5</f>
        <v>377.52750000000003</v>
      </c>
      <c r="W233" s="300">
        <f>(305*KFC!$B$23*1.02*1.25+KFC!$C$23)*KFC!$C$5</f>
        <v>388.875</v>
      </c>
      <c r="X233" s="300">
        <f>(313.8*KFC!$B$23*1.02*1.25+KFC!$C$23)*KFC!$C$5</f>
        <v>400.09500000000003</v>
      </c>
      <c r="Y233" s="300">
        <f>(322.7*KFC!$B$23*1.02*1.25+KFC!$C$23)*KFC!$C$5</f>
        <v>411.4425</v>
      </c>
      <c r="Z233" s="300">
        <f>(331.5*KFC!$B$23*1.02*1.25+KFC!$C$23)*KFC!$C$5</f>
        <v>422.66250000000002</v>
      </c>
      <c r="AA233" s="300">
        <f>(340.4*KFC!$B$23*1.02*1.25+KFC!$C$23)*KFC!$C$5</f>
        <v>434.01</v>
      </c>
      <c r="AB233" s="300">
        <f>(349.2*KFC!$B$23*1.02*1.25+KFC!$C$23)*KFC!$C$5</f>
        <v>445.22999999999996</v>
      </c>
      <c r="AC233" s="300">
        <f>(358*KFC!$B$23*1.02*1.25+KFC!$C$23)*KFC!$C$5</f>
        <v>456.45000000000005</v>
      </c>
      <c r="AD233" s="300">
        <f>(366.9*KFC!$B$23*1.02*1.25+KFC!$C$23)*KFC!$C$5</f>
        <v>467.79750000000001</v>
      </c>
      <c r="AE233" s="300">
        <f>(375.7*KFC!$B$23*1.02*1.25+KFC!$C$23)*KFC!$C$5</f>
        <v>479.01749999999998</v>
      </c>
      <c r="AF233" s="300">
        <f>(384.6*KFC!$B$23*1.02*1.25+KFC!$C$23)*KFC!$C$5</f>
        <v>490.36500000000001</v>
      </c>
      <c r="AG233" s="300">
        <f>(393.4*KFC!$B$23*1.02*1.25+KFC!$C$23)*KFC!$C$5</f>
        <v>501.58499999999998</v>
      </c>
      <c r="AH233" s="304">
        <f>(402.3*KFC!$B$23*1.02*1.25+KFC!$C$23)*KFC!$C$5</f>
        <v>512.9325</v>
      </c>
    </row>
    <row r="234" spans="1:34">
      <c r="A234" s="1781"/>
      <c r="B234" s="395">
        <v>4.9000000000000004</v>
      </c>
      <c r="C234" s="303">
        <f>(129.1*KFC!$B$23*1.02*1.25+KFC!$C$23)*KFC!$C$5</f>
        <v>164.60249999999999</v>
      </c>
      <c r="D234" s="300">
        <f>(138.2*KFC!$B$23*1.02*1.25+KFC!$C$23)*KFC!$C$5</f>
        <v>176.20499999999998</v>
      </c>
      <c r="E234" s="300">
        <f>(147.2*KFC!$B$23*1.02*1.25+KFC!$C$23)*KFC!$C$5</f>
        <v>187.67999999999998</v>
      </c>
      <c r="F234" s="300">
        <f>(156.2*KFC!$B$23*1.02*1.25+KFC!$C$23)*KFC!$C$5</f>
        <v>199.15499999999997</v>
      </c>
      <c r="G234" s="300">
        <f>(165.2*KFC!$B$23*1.02*1.25+KFC!$C$23)*KFC!$C$5</f>
        <v>210.63</v>
      </c>
      <c r="H234" s="300">
        <f>(174.2*KFC!$B$23*1.02*1.25+KFC!$C$23)*KFC!$C$5</f>
        <v>222.10499999999999</v>
      </c>
      <c r="I234" s="300">
        <f>(183.2*KFC!$B$23*1.02*1.25+KFC!$C$23)*KFC!$C$5</f>
        <v>233.58</v>
      </c>
      <c r="J234" s="300">
        <f>(192.2*KFC!$B$23*1.02*1.25+KFC!$C$23)*KFC!$C$5</f>
        <v>245.05499999999998</v>
      </c>
      <c r="K234" s="300">
        <f>(201.2*KFC!$B$23*1.02*1.25+KFC!$C$23)*KFC!$C$5</f>
        <v>256.52999999999997</v>
      </c>
      <c r="L234" s="300">
        <f>(210.2*KFC!$B$23*1.02*1.25+KFC!$C$23)*KFC!$C$5</f>
        <v>268.005</v>
      </c>
      <c r="M234" s="300">
        <f>(219.3*KFC!$B$23*1.02*1.25+KFC!$C$23)*KFC!$C$5</f>
        <v>279.60750000000002</v>
      </c>
      <c r="N234" s="300">
        <f>(228.3*KFC!$B$23*1.02*1.25+KFC!$C$23)*KFC!$C$5</f>
        <v>291.08250000000004</v>
      </c>
      <c r="O234" s="300">
        <f>(237.3*KFC!$B$23*1.02*1.25+KFC!$C$23)*KFC!$C$5</f>
        <v>302.5575</v>
      </c>
      <c r="P234" s="300">
        <f>(246.3*KFC!$B$23*1.02*1.25+KFC!$C$23)*KFC!$C$5</f>
        <v>314.03250000000003</v>
      </c>
      <c r="Q234" s="300">
        <f>(255.3*KFC!$B$23*1.02*1.25+KFC!$C$23)*KFC!$C$5</f>
        <v>325.50749999999999</v>
      </c>
      <c r="R234" s="300">
        <f>(264.3*KFC!$B$23*1.02*1.25+KFC!$C$23)*KFC!$C$5</f>
        <v>336.98250000000002</v>
      </c>
      <c r="S234" s="300">
        <f>(273.3*KFC!$B$23*1.02*1.25+KFC!$C$23)*KFC!$C$5</f>
        <v>348.45750000000004</v>
      </c>
      <c r="T234" s="300">
        <f>(282.3*KFC!$B$23*1.02*1.25+KFC!$C$23)*KFC!$C$5</f>
        <v>359.9325</v>
      </c>
      <c r="U234" s="300">
        <f>(291.3*KFC!$B$23*1.02*1.25+KFC!$C$23)*KFC!$C$5</f>
        <v>371.40750000000003</v>
      </c>
      <c r="V234" s="300">
        <f>(300.4*KFC!$B$23*1.02*1.25+KFC!$C$23)*KFC!$C$5</f>
        <v>383.00999999999993</v>
      </c>
      <c r="W234" s="300">
        <f>(309.4*KFC!$B$23*1.02*1.25+KFC!$C$23)*KFC!$C$5</f>
        <v>394.48499999999996</v>
      </c>
      <c r="X234" s="300">
        <f>(318.4*KFC!$B$23*1.02*1.25+KFC!$C$23)*KFC!$C$5</f>
        <v>405.96</v>
      </c>
      <c r="Y234" s="300">
        <f>(327.4*KFC!$B$23*1.02*1.25+KFC!$C$23)*KFC!$C$5</f>
        <v>417.43499999999995</v>
      </c>
      <c r="Z234" s="300">
        <f>(336.4*KFC!$B$23*1.02*1.25+KFC!$C$23)*KFC!$C$5</f>
        <v>428.90999999999997</v>
      </c>
      <c r="AA234" s="300">
        <f>(345.4*KFC!$B$23*1.02*1.25+KFC!$C$23)*KFC!$C$5</f>
        <v>440.38499999999999</v>
      </c>
      <c r="AB234" s="300">
        <f>(354.4*KFC!$B$23*1.02*1.25+KFC!$C$23)*KFC!$C$5</f>
        <v>451.86</v>
      </c>
      <c r="AC234" s="300">
        <f>(363.4*KFC!$B$23*1.02*1.25+KFC!$C$23)*KFC!$C$5</f>
        <v>463.33500000000004</v>
      </c>
      <c r="AD234" s="300">
        <f>(372.4*KFC!$B$23*1.02*1.25+KFC!$C$23)*KFC!$C$5</f>
        <v>474.80999999999995</v>
      </c>
      <c r="AE234" s="300">
        <f>(381.4*KFC!$B$23*1.02*1.25+KFC!$C$23)*KFC!$C$5</f>
        <v>486.28499999999997</v>
      </c>
      <c r="AF234" s="300">
        <f>(390.5*KFC!$B$23*1.02*1.25+KFC!$C$23)*KFC!$C$5</f>
        <v>497.88749999999999</v>
      </c>
      <c r="AG234" s="300">
        <f>(399.5*KFC!$B$23*1.02*1.25+KFC!$C$23)*KFC!$C$5</f>
        <v>509.36250000000001</v>
      </c>
      <c r="AH234" s="304">
        <f>(408.5*KFC!$B$23*1.02*1.25+KFC!$C$23)*KFC!$C$5</f>
        <v>520.83749999999998</v>
      </c>
    </row>
    <row r="235" spans="1:34">
      <c r="A235" s="1781"/>
      <c r="B235" s="395">
        <v>5</v>
      </c>
      <c r="C235" s="303">
        <f>(130.2*KFC!$B$23*1.02*1.25+KFC!$C$23)*KFC!$C$5</f>
        <v>166.005</v>
      </c>
      <c r="D235" s="300">
        <f>(139.4*KFC!$B$23*1.02*1.25+KFC!$C$23)*KFC!$C$5</f>
        <v>177.73500000000001</v>
      </c>
      <c r="E235" s="300">
        <f>(148.5*KFC!$B$23*1.02*1.25+KFC!$C$23)*KFC!$C$5</f>
        <v>189.33750000000001</v>
      </c>
      <c r="F235" s="300">
        <f>(157.7*KFC!$B$23*1.02*1.25+KFC!$C$23)*KFC!$C$5</f>
        <v>201.0675</v>
      </c>
      <c r="G235" s="300">
        <f>(166.9*KFC!$B$23*1.02*1.25+KFC!$C$23)*KFC!$C$5</f>
        <v>212.79750000000001</v>
      </c>
      <c r="H235" s="300">
        <f>(176.1*KFC!$B$23*1.02*1.25+KFC!$C$23)*KFC!$C$5</f>
        <v>224.52749999999997</v>
      </c>
      <c r="I235" s="300">
        <f>(185.3*KFC!$B$23*1.02*1.25+KFC!$C$23)*KFC!$C$5</f>
        <v>236.25750000000005</v>
      </c>
      <c r="J235" s="300">
        <f>(194.4*KFC!$B$23*1.02*1.25+KFC!$C$23)*KFC!$C$5</f>
        <v>247.86</v>
      </c>
      <c r="K235" s="300">
        <f>(203.6*KFC!$B$23*1.02*1.25+KFC!$C$23)*KFC!$C$5</f>
        <v>259.58999999999997</v>
      </c>
      <c r="L235" s="300">
        <f>(212.8*KFC!$B$23*1.02*1.25+KFC!$C$23)*KFC!$C$5</f>
        <v>271.32</v>
      </c>
      <c r="M235" s="300">
        <f>(222*KFC!$B$23*1.02*1.25+KFC!$C$23)*KFC!$C$5</f>
        <v>283.05</v>
      </c>
      <c r="N235" s="300">
        <f>(231.2*KFC!$B$23*1.02*1.25+KFC!$C$23)*KFC!$C$5</f>
        <v>294.77999999999997</v>
      </c>
      <c r="O235" s="300">
        <f>(240.3*KFC!$B$23*1.02*1.25+KFC!$C$23)*KFC!$C$5</f>
        <v>306.38250000000005</v>
      </c>
      <c r="P235" s="300">
        <f>(249.5*KFC!$B$23*1.02*1.25+KFC!$C$23)*KFC!$C$5</f>
        <v>318.11250000000001</v>
      </c>
      <c r="Q235" s="300">
        <f>(258.7*KFC!$B$23*1.02*1.25+KFC!$C$23)*KFC!$C$5</f>
        <v>329.84249999999997</v>
      </c>
      <c r="R235" s="300">
        <f>(267.9*KFC!$B$23*1.02*1.25+KFC!$C$23)*KFC!$C$5</f>
        <v>341.57249999999999</v>
      </c>
      <c r="S235" s="300">
        <f>(277*KFC!$B$23*1.02*1.25+KFC!$C$23)*KFC!$C$5</f>
        <v>353.17500000000001</v>
      </c>
      <c r="T235" s="300">
        <f>(286.2*KFC!$B$23*1.02*1.25+KFC!$C$23)*KFC!$C$5</f>
        <v>364.90499999999997</v>
      </c>
      <c r="U235" s="300">
        <f>(295.4*KFC!$B$23*1.02*1.25+KFC!$C$23)*KFC!$C$5</f>
        <v>376.63499999999999</v>
      </c>
      <c r="V235" s="300">
        <f>(304.6*KFC!$B$23*1.02*1.25+KFC!$C$23)*KFC!$C$5</f>
        <v>388.36500000000001</v>
      </c>
      <c r="W235" s="300">
        <f>(313.8*KFC!$B$23*1.02*1.25+KFC!$C$23)*KFC!$C$5</f>
        <v>400.09500000000003</v>
      </c>
      <c r="X235" s="300">
        <f>(322.9*KFC!$B$23*1.02*1.25+KFC!$C$23)*KFC!$C$5</f>
        <v>411.69749999999999</v>
      </c>
      <c r="Y235" s="300">
        <f>(332.1*KFC!$B$23*1.02*1.25+KFC!$C$23)*KFC!$C$5</f>
        <v>423.42750000000001</v>
      </c>
      <c r="Z235" s="300">
        <f>(341.3*KFC!$B$23*1.02*1.25+KFC!$C$23)*KFC!$C$5</f>
        <v>435.15750000000003</v>
      </c>
      <c r="AA235" s="300">
        <f>(350.5*KFC!$B$23*1.02*1.25+KFC!$C$23)*KFC!$C$5</f>
        <v>446.88749999999999</v>
      </c>
      <c r="AB235" s="300">
        <f>(359.6*KFC!$B$23*1.02*1.25+KFC!$C$23)*KFC!$C$5</f>
        <v>458.49</v>
      </c>
      <c r="AC235" s="300">
        <f>(368.8*KFC!$B$23*1.02*1.25+KFC!$C$23)*KFC!$C$5</f>
        <v>470.22</v>
      </c>
      <c r="AD235" s="300">
        <f>(378*KFC!$B$23*1.02*1.25+KFC!$C$23)*KFC!$C$5</f>
        <v>481.95</v>
      </c>
      <c r="AE235" s="300">
        <f>(387.2*KFC!$B$23*1.02*1.25+KFC!$C$23)*KFC!$C$5</f>
        <v>493.68</v>
      </c>
      <c r="AF235" s="300">
        <f>(396.4*KFC!$B$23*1.02*1.25+KFC!$C$23)*KFC!$C$5</f>
        <v>505.40999999999997</v>
      </c>
      <c r="AG235" s="300">
        <f>(405.5*KFC!$B$23*1.02*1.25+KFC!$C$23)*KFC!$C$5</f>
        <v>517.01250000000005</v>
      </c>
      <c r="AH235" s="304">
        <f>(414.7*KFC!$B$23*1.02*1.25+KFC!$C$23)*KFC!$C$5</f>
        <v>528.74249999999995</v>
      </c>
    </row>
    <row r="236" spans="1:34">
      <c r="A236" s="1781"/>
      <c r="B236" s="395">
        <v>5.0999999999999996</v>
      </c>
      <c r="C236" s="303">
        <f>(131.2*KFC!$B$23*1.02*1.25+KFC!$C$23)*KFC!$C$5</f>
        <v>167.27999999999997</v>
      </c>
      <c r="D236" s="300">
        <f>(140.6*KFC!$B$23*1.02*1.25+KFC!$C$23)*KFC!$C$5</f>
        <v>179.26500000000001</v>
      </c>
      <c r="E236" s="300">
        <f>(149.9*KFC!$B$23*1.02*1.25+KFC!$C$23)*KFC!$C$5</f>
        <v>191.1225</v>
      </c>
      <c r="F236" s="300">
        <f>(159.3*KFC!$B$23*1.02*1.25+KFC!$C$23)*KFC!$C$5</f>
        <v>203.10750000000002</v>
      </c>
      <c r="G236" s="300">
        <f>(168.6*KFC!$B$23*1.02*1.25+KFC!$C$23)*KFC!$C$5</f>
        <v>214.965</v>
      </c>
      <c r="H236" s="300">
        <f>(178*KFC!$B$23*1.02*1.25+KFC!$C$23)*KFC!$C$5</f>
        <v>226.95</v>
      </c>
      <c r="I236" s="300">
        <f>(187.3*KFC!$B$23*1.02*1.25+KFC!$C$23)*KFC!$C$5</f>
        <v>238.80750000000003</v>
      </c>
      <c r="J236" s="300">
        <f>(196.7*KFC!$B$23*1.02*1.25+KFC!$C$23)*KFC!$C$5</f>
        <v>250.79249999999999</v>
      </c>
      <c r="K236" s="300">
        <f>(206*KFC!$B$23*1.02*1.25+KFC!$C$23)*KFC!$C$5</f>
        <v>262.64999999999998</v>
      </c>
      <c r="L236" s="300">
        <f>(215.3*KFC!$B$23*1.02*1.25+KFC!$C$23)*KFC!$C$5</f>
        <v>274.50750000000005</v>
      </c>
      <c r="M236" s="300">
        <f>(224.7*KFC!$B$23*1.02*1.25+KFC!$C$23)*KFC!$C$5</f>
        <v>286.49250000000001</v>
      </c>
      <c r="N236" s="300">
        <f>(234*KFC!$B$23*1.02*1.25+KFC!$C$23)*KFC!$C$5</f>
        <v>298.35000000000002</v>
      </c>
      <c r="O236" s="300">
        <f>(243.4*KFC!$B$23*1.02*1.25+KFC!$C$23)*KFC!$C$5</f>
        <v>310.33499999999998</v>
      </c>
      <c r="P236" s="300">
        <f>(252.7*KFC!$B$23*1.02*1.25+KFC!$C$23)*KFC!$C$5</f>
        <v>322.1925</v>
      </c>
      <c r="Q236" s="300">
        <f>(262.1*KFC!$B$23*1.02*1.25+KFC!$C$23)*KFC!$C$5</f>
        <v>334.17750000000007</v>
      </c>
      <c r="R236" s="300">
        <f>(271.4*KFC!$B$23*1.02*1.25+KFC!$C$23)*KFC!$C$5</f>
        <v>346.03499999999997</v>
      </c>
      <c r="S236" s="300">
        <f>(280.8*KFC!$B$23*1.02*1.25+KFC!$C$23)*KFC!$C$5</f>
        <v>358.02</v>
      </c>
      <c r="T236" s="300">
        <f>(290.1*KFC!$B$23*1.02*1.25+KFC!$C$23)*KFC!$C$5</f>
        <v>369.87750000000005</v>
      </c>
      <c r="U236" s="300">
        <f>(299.4*KFC!$B$23*1.02*1.25+KFC!$C$23)*KFC!$C$5</f>
        <v>381.73499999999996</v>
      </c>
      <c r="V236" s="300">
        <f>(308.8*KFC!$B$23*1.02*1.25+KFC!$C$23)*KFC!$C$5</f>
        <v>393.72</v>
      </c>
      <c r="W236" s="300">
        <f>(318.1*KFC!$B$23*1.02*1.25+KFC!$C$23)*KFC!$C$5</f>
        <v>405.57750000000004</v>
      </c>
      <c r="X236" s="300">
        <f>(327.5*KFC!$B$23*1.02*1.25+KFC!$C$23)*KFC!$C$5</f>
        <v>417.5625</v>
      </c>
      <c r="Y236" s="300">
        <f>(336.8*KFC!$B$23*1.02*1.25+KFC!$C$23)*KFC!$C$5</f>
        <v>429.42</v>
      </c>
      <c r="Z236" s="300">
        <f>(346.2*KFC!$B$23*1.02*1.25+KFC!$C$23)*KFC!$C$5</f>
        <v>441.40499999999997</v>
      </c>
      <c r="AA236" s="300">
        <f>(355.5*KFC!$B$23*1.02*1.25+KFC!$C$23)*KFC!$C$5</f>
        <v>453.26250000000005</v>
      </c>
      <c r="AB236" s="300">
        <f>(364.9*KFC!$B$23*1.02*1.25+KFC!$C$23)*KFC!$C$5</f>
        <v>465.24749999999995</v>
      </c>
      <c r="AC236" s="300">
        <f>(374.2*KFC!$B$23*1.02*1.25+KFC!$C$23)*KFC!$C$5</f>
        <v>477.10499999999996</v>
      </c>
      <c r="AD236" s="300">
        <f>(383.6*KFC!$B$23*1.02*1.25+KFC!$C$23)*KFC!$C$5</f>
        <v>489.09000000000003</v>
      </c>
      <c r="AE236" s="300">
        <f>(392.9*KFC!$B$23*1.02*1.25+KFC!$C$23)*KFC!$C$5</f>
        <v>500.94749999999999</v>
      </c>
      <c r="AF236" s="300">
        <f>(402.2*KFC!$B$23*1.02*1.25+KFC!$C$23)*KFC!$C$5</f>
        <v>512.80499999999995</v>
      </c>
      <c r="AG236" s="300">
        <f>(411.6*KFC!$B$23*1.02*1.25+KFC!$C$23)*KFC!$C$5</f>
        <v>524.79000000000008</v>
      </c>
      <c r="AH236" s="304">
        <f>(420.9*KFC!$B$23*1.02*1.25+KFC!$C$23)*KFC!$C$5</f>
        <v>536.64750000000004</v>
      </c>
    </row>
    <row r="237" spans="1:34">
      <c r="A237" s="1781"/>
      <c r="B237" s="395">
        <v>5.2</v>
      </c>
      <c r="C237" s="303">
        <f>(132.3*KFC!$B$23*1.02*1.25+KFC!$C$23)*KFC!$C$5</f>
        <v>168.68250000000003</v>
      </c>
      <c r="D237" s="300">
        <f>(141.8*KFC!$B$23*1.02*1.25+KFC!$C$23)*KFC!$C$5</f>
        <v>180.79500000000002</v>
      </c>
      <c r="E237" s="300">
        <f>(151.3*KFC!$B$23*1.02*1.25+KFC!$C$23)*KFC!$C$5</f>
        <v>192.90750000000003</v>
      </c>
      <c r="F237" s="300">
        <f>(160.8*KFC!$B$23*1.02*1.25+KFC!$C$23)*KFC!$C$5</f>
        <v>205.02000000000004</v>
      </c>
      <c r="G237" s="300">
        <f>(170.3*KFC!$B$23*1.02*1.25+KFC!$C$23)*KFC!$C$5</f>
        <v>217.13250000000002</v>
      </c>
      <c r="H237" s="300">
        <f>(179.8*KFC!$B$23*1.02*1.25+KFC!$C$23)*KFC!$C$5</f>
        <v>229.245</v>
      </c>
      <c r="I237" s="300">
        <f>(189.4*KFC!$B$23*1.02*1.25+KFC!$C$23)*KFC!$C$5</f>
        <v>241.48500000000001</v>
      </c>
      <c r="J237" s="300">
        <f>(198.9*KFC!$B$23*1.02*1.25+KFC!$C$23)*KFC!$C$5</f>
        <v>253.59750000000003</v>
      </c>
      <c r="K237" s="300">
        <f>(208.4*KFC!$B$23*1.02*1.25+KFC!$C$23)*KFC!$C$5</f>
        <v>265.71000000000004</v>
      </c>
      <c r="L237" s="300">
        <f>(217.9*KFC!$B$23*1.02*1.25+KFC!$C$23)*KFC!$C$5</f>
        <v>277.82249999999999</v>
      </c>
      <c r="M237" s="300">
        <f>(227.4*KFC!$B$23*1.02*1.25+KFC!$C$23)*KFC!$C$5</f>
        <v>289.935</v>
      </c>
      <c r="N237" s="300">
        <f>(236.9*KFC!$B$23*1.02*1.25+KFC!$C$23)*KFC!$C$5</f>
        <v>302.04750000000001</v>
      </c>
      <c r="O237" s="300">
        <f>(246.4*KFC!$B$23*1.02*1.25+KFC!$C$23)*KFC!$C$5</f>
        <v>314.16000000000003</v>
      </c>
      <c r="P237" s="300">
        <f>(255.9*KFC!$B$23*1.02*1.25+KFC!$C$23)*KFC!$C$5</f>
        <v>326.27250000000004</v>
      </c>
      <c r="Q237" s="300">
        <f>(265.5*KFC!$B$23*1.02*1.25+KFC!$C$23)*KFC!$C$5</f>
        <v>338.51249999999999</v>
      </c>
      <c r="R237" s="300">
        <f>(275*KFC!$B$23*1.02*1.25+KFC!$C$23)*KFC!$C$5</f>
        <v>350.625</v>
      </c>
      <c r="S237" s="300">
        <f>(284.5*KFC!$B$23*1.02*1.25+KFC!$C$23)*KFC!$C$5</f>
        <v>362.73750000000001</v>
      </c>
      <c r="T237" s="300">
        <f>(294*KFC!$B$23*1.02*1.25+KFC!$C$23)*KFC!$C$5</f>
        <v>374.85</v>
      </c>
      <c r="U237" s="300">
        <f>(303.5*KFC!$B$23*1.02*1.25+KFC!$C$23)*KFC!$C$5</f>
        <v>386.96249999999998</v>
      </c>
      <c r="V237" s="300">
        <f>(313*KFC!$B$23*1.02*1.25+KFC!$C$23)*KFC!$C$5</f>
        <v>399.07499999999999</v>
      </c>
      <c r="W237" s="300">
        <f>(322.5*KFC!$B$23*1.02*1.25+KFC!$C$23)*KFC!$C$5</f>
        <v>411.1875</v>
      </c>
      <c r="X237" s="300">
        <f>(332*KFC!$B$23*1.02*1.25+KFC!$C$23)*KFC!$C$5</f>
        <v>423.29999999999995</v>
      </c>
      <c r="Y237" s="300">
        <f>(341.6*KFC!$B$23*1.02*1.25+KFC!$C$23)*KFC!$C$5</f>
        <v>435.54</v>
      </c>
      <c r="Z237" s="300">
        <f>(351.1*KFC!$B$23*1.02*1.25+KFC!$C$23)*KFC!$C$5</f>
        <v>447.65250000000003</v>
      </c>
      <c r="AA237" s="300">
        <f>(360.6*KFC!$B$23*1.02*1.25+KFC!$C$23)*KFC!$C$5</f>
        <v>459.76499999999999</v>
      </c>
      <c r="AB237" s="300">
        <f>(370.1*KFC!$B$23*1.02*1.25+KFC!$C$23)*KFC!$C$5</f>
        <v>471.8775</v>
      </c>
      <c r="AC237" s="300">
        <f>(379.6*KFC!$B$23*1.02*1.25+KFC!$C$23)*KFC!$C$5</f>
        <v>483.99</v>
      </c>
      <c r="AD237" s="300">
        <f>(389.1*KFC!$B$23*1.02*1.25+KFC!$C$23)*KFC!$C$5</f>
        <v>496.10250000000002</v>
      </c>
      <c r="AE237" s="300">
        <f>(398.6*KFC!$B$23*1.02*1.25+KFC!$C$23)*KFC!$C$5</f>
        <v>508.21500000000003</v>
      </c>
      <c r="AF237" s="300">
        <f>(408.1*KFC!$B$23*1.02*1.25+KFC!$C$23)*KFC!$C$5</f>
        <v>520.3275000000001</v>
      </c>
      <c r="AG237" s="300">
        <f>(417.6*KFC!$B$23*1.02*1.25+KFC!$C$23)*KFC!$C$5</f>
        <v>532.44000000000005</v>
      </c>
      <c r="AH237" s="304">
        <f>(427.2*KFC!$B$23*1.02*1.25+KFC!$C$23)*KFC!$C$5</f>
        <v>544.67999999999995</v>
      </c>
    </row>
    <row r="238" spans="1:34">
      <c r="A238" s="1781"/>
      <c r="B238" s="395">
        <v>5.3</v>
      </c>
      <c r="C238" s="303">
        <f>(133.3*KFC!$B$23*1.02*1.25+KFC!$C$23)*KFC!$C$5</f>
        <v>169.95750000000001</v>
      </c>
      <c r="D238" s="300">
        <f>(143*KFC!$B$23*1.02*1.25+KFC!$C$23)*KFC!$C$5</f>
        <v>182.32500000000002</v>
      </c>
      <c r="E238" s="300">
        <f>(152.7*KFC!$B$23*1.02*1.25+KFC!$C$23)*KFC!$C$5</f>
        <v>194.6925</v>
      </c>
      <c r="F238" s="300">
        <f>(162.4*KFC!$B$23*1.02*1.25+KFC!$C$23)*KFC!$C$5</f>
        <v>207.06</v>
      </c>
      <c r="G238" s="300">
        <f>(172*KFC!$B$23*1.02*1.25+KFC!$C$23)*KFC!$C$5</f>
        <v>219.3</v>
      </c>
      <c r="H238" s="300">
        <f>(181.7*KFC!$B$23*1.02*1.25+KFC!$C$23)*KFC!$C$5</f>
        <v>231.66750000000002</v>
      </c>
      <c r="I238" s="300">
        <f>(191.4*KFC!$B$23*1.02*1.25+KFC!$C$23)*KFC!$C$5</f>
        <v>244.03500000000003</v>
      </c>
      <c r="J238" s="300">
        <f>(201.1*KFC!$B$23*1.02*1.25+KFC!$C$23)*KFC!$C$5</f>
        <v>256.40249999999997</v>
      </c>
      <c r="K238" s="300">
        <f>(210.8*KFC!$B$23*1.02*1.25+KFC!$C$23)*KFC!$C$5</f>
        <v>268.77000000000004</v>
      </c>
      <c r="L238" s="300">
        <f>(220.4*KFC!$B$23*1.02*1.25+KFC!$C$23)*KFC!$C$5</f>
        <v>281.01000000000005</v>
      </c>
      <c r="M238" s="300">
        <f>(230.1*KFC!$B$23*1.02*1.25+KFC!$C$23)*KFC!$C$5</f>
        <v>293.3775</v>
      </c>
      <c r="N238" s="300">
        <f>(239.8*KFC!$B$23*1.02*1.25+KFC!$C$23)*KFC!$C$5</f>
        <v>305.745</v>
      </c>
      <c r="O238" s="300">
        <f>(249.5*KFC!$B$23*1.02*1.25+KFC!$C$23)*KFC!$C$5</f>
        <v>318.11250000000001</v>
      </c>
      <c r="P238" s="300">
        <f>(259.2*KFC!$B$23*1.02*1.25+KFC!$C$23)*KFC!$C$5</f>
        <v>330.48</v>
      </c>
      <c r="Q238" s="300">
        <f>(268.8*KFC!$B$23*1.02*1.25+KFC!$C$23)*KFC!$C$5</f>
        <v>342.72</v>
      </c>
      <c r="R238" s="300">
        <f>(278.5*KFC!$B$23*1.02*1.25+KFC!$C$23)*KFC!$C$5</f>
        <v>355.08749999999998</v>
      </c>
      <c r="S238" s="300">
        <f>(288.2*KFC!$B$23*1.02*1.25+KFC!$C$23)*KFC!$C$5</f>
        <v>367.45499999999998</v>
      </c>
      <c r="T238" s="300">
        <f>(297.9*KFC!$B$23*1.02*1.25+KFC!$C$23)*KFC!$C$5</f>
        <v>379.82249999999999</v>
      </c>
      <c r="U238" s="300">
        <f>(307.6*KFC!$B$23*1.02*1.25+KFC!$C$23)*KFC!$C$5</f>
        <v>392.19</v>
      </c>
      <c r="V238" s="300">
        <f>(317.2*KFC!$B$23*1.02*1.25+KFC!$C$23)*KFC!$C$5</f>
        <v>404.42999999999995</v>
      </c>
      <c r="W238" s="300">
        <f>(326.9*KFC!$B$23*1.02*1.25+KFC!$C$23)*KFC!$C$5</f>
        <v>416.79750000000001</v>
      </c>
      <c r="X238" s="300">
        <f>(336.6*KFC!$B$23*1.02*1.25+KFC!$C$23)*KFC!$C$5</f>
        <v>429.16500000000008</v>
      </c>
      <c r="Y238" s="300">
        <f>(346.3*KFC!$B$23*1.02*1.25+KFC!$C$23)*KFC!$C$5</f>
        <v>441.53250000000003</v>
      </c>
      <c r="Z238" s="300">
        <f>(356*KFC!$B$23*1.02*1.25+KFC!$C$23)*KFC!$C$5</f>
        <v>453.9</v>
      </c>
      <c r="AA238" s="300">
        <f>(365.6*KFC!$B$23*1.02*1.25+KFC!$C$23)*KFC!$C$5</f>
        <v>466.14000000000004</v>
      </c>
      <c r="AB238" s="300">
        <f>(375.3*KFC!$B$23*1.02*1.25+KFC!$C$23)*KFC!$C$5</f>
        <v>478.50750000000005</v>
      </c>
      <c r="AC238" s="300">
        <f>(385*KFC!$B$23*1.02*1.25+KFC!$C$23)*KFC!$C$5</f>
        <v>490.875</v>
      </c>
      <c r="AD238" s="300">
        <f>(394.7*KFC!$B$23*1.02*1.25+KFC!$C$23)*KFC!$C$5</f>
        <v>503.24250000000001</v>
      </c>
      <c r="AE238" s="300">
        <f>(404.3*KFC!$B$23*1.02*1.25+KFC!$C$23)*KFC!$C$5</f>
        <v>515.48250000000007</v>
      </c>
      <c r="AF238" s="300">
        <f>(414*KFC!$B$23*1.02*1.25+KFC!$C$23)*KFC!$C$5</f>
        <v>527.85</v>
      </c>
      <c r="AG238" s="300">
        <f>(423.7*KFC!$B$23*1.02*1.25+KFC!$C$23)*KFC!$C$5</f>
        <v>540.21749999999997</v>
      </c>
      <c r="AH238" s="304">
        <f>(433.4*KFC!$B$23*1.02*1.25+KFC!$C$23)*KFC!$C$5</f>
        <v>552.58500000000004</v>
      </c>
    </row>
    <row r="239" spans="1:34">
      <c r="A239" s="1781"/>
      <c r="B239" s="395">
        <v>5.4</v>
      </c>
      <c r="C239" s="303">
        <f>(134.4*KFC!$B$23*1.02*1.25+KFC!$C$23)*KFC!$C$5</f>
        <v>171.36</v>
      </c>
      <c r="D239" s="300">
        <f>(144.2*KFC!$B$23*1.02*1.25+KFC!$C$23)*KFC!$C$5</f>
        <v>183.85500000000002</v>
      </c>
      <c r="E239" s="300">
        <f>(154.1*KFC!$B$23*1.02*1.25+KFC!$C$23)*KFC!$C$5</f>
        <v>196.47749999999999</v>
      </c>
      <c r="F239" s="300">
        <f>(163.9*KFC!$B$23*1.02*1.25+KFC!$C$23)*KFC!$C$5</f>
        <v>208.9725</v>
      </c>
      <c r="G239" s="300">
        <f>(173.8*KFC!$B$23*1.02*1.25+KFC!$C$23)*KFC!$C$5</f>
        <v>221.59500000000003</v>
      </c>
      <c r="H239" s="300">
        <f>(183.6*KFC!$B$23*1.02*1.25+KFC!$C$23)*KFC!$C$5</f>
        <v>234.08999999999997</v>
      </c>
      <c r="I239" s="300">
        <f>(193.5*KFC!$B$23*1.02*1.25+KFC!$C$23)*KFC!$C$5</f>
        <v>246.71250000000001</v>
      </c>
      <c r="J239" s="300">
        <f>(203.3*KFC!$B$23*1.02*1.25+KFC!$C$23)*KFC!$C$5</f>
        <v>259.20750000000004</v>
      </c>
      <c r="K239" s="300">
        <f>(213.1*KFC!$B$23*1.02*1.25+KFC!$C$23)*KFC!$C$5</f>
        <v>271.70249999999999</v>
      </c>
      <c r="L239" s="300">
        <f>(223*KFC!$B$23*1.02*1.25+KFC!$C$23)*KFC!$C$5</f>
        <v>284.32499999999999</v>
      </c>
      <c r="M239" s="300">
        <f>(232.8*KFC!$B$23*1.02*1.25+KFC!$C$23)*KFC!$C$5</f>
        <v>296.82000000000005</v>
      </c>
      <c r="N239" s="300">
        <f>(242.7*KFC!$B$23*1.02*1.25+KFC!$C$23)*KFC!$C$5</f>
        <v>309.4425</v>
      </c>
      <c r="O239" s="300">
        <f>(252.5*KFC!$B$23*1.02*1.25+KFC!$C$23)*KFC!$C$5</f>
        <v>321.9375</v>
      </c>
      <c r="P239" s="300">
        <f>(262.4*KFC!$B$23*1.02*1.25+KFC!$C$23)*KFC!$C$5</f>
        <v>334.55999999999995</v>
      </c>
      <c r="Q239" s="300">
        <f>(272.2*KFC!$B$23*1.02*1.25+KFC!$C$23)*KFC!$C$5</f>
        <v>347.05500000000001</v>
      </c>
      <c r="R239" s="300">
        <f>(282.1*KFC!$B$23*1.02*1.25+KFC!$C$23)*KFC!$C$5</f>
        <v>359.67750000000001</v>
      </c>
      <c r="S239" s="300">
        <f>(291.9*KFC!$B$23*1.02*1.25+KFC!$C$23)*KFC!$C$5</f>
        <v>372.17250000000001</v>
      </c>
      <c r="T239" s="300">
        <f>(301.8*KFC!$B$23*1.02*1.25+KFC!$C$23)*KFC!$C$5</f>
        <v>384.79500000000002</v>
      </c>
      <c r="U239" s="300">
        <f>(311.6*KFC!$B$23*1.02*1.25+KFC!$C$23)*KFC!$C$5</f>
        <v>397.29000000000008</v>
      </c>
      <c r="V239" s="300">
        <f>(321.5*KFC!$B$23*1.02*1.25+KFC!$C$23)*KFC!$C$5</f>
        <v>409.91250000000002</v>
      </c>
      <c r="W239" s="300">
        <f>(331.3*KFC!$B$23*1.02*1.25+KFC!$C$23)*KFC!$C$5</f>
        <v>422.40750000000003</v>
      </c>
      <c r="X239" s="300">
        <f>(341.1*KFC!$B$23*1.02*1.25+KFC!$C$23)*KFC!$C$5</f>
        <v>434.90250000000003</v>
      </c>
      <c r="Y239" s="300">
        <f>(351*KFC!$B$23*1.02*1.25+KFC!$C$23)*KFC!$C$5</f>
        <v>447.52499999999998</v>
      </c>
      <c r="Z239" s="300">
        <f>(360.8*KFC!$B$23*1.02*1.25+KFC!$C$23)*KFC!$C$5</f>
        <v>460.02000000000004</v>
      </c>
      <c r="AA239" s="300">
        <f>(370.7*KFC!$B$23*1.02*1.25+KFC!$C$23)*KFC!$C$5</f>
        <v>472.64249999999998</v>
      </c>
      <c r="AB239" s="300">
        <f>(380.5*KFC!$B$23*1.02*1.25+KFC!$C$23)*KFC!$C$5</f>
        <v>485.13750000000005</v>
      </c>
      <c r="AC239" s="300">
        <f>(390.4*KFC!$B$23*1.02*1.25+KFC!$C$23)*KFC!$C$5</f>
        <v>497.76</v>
      </c>
      <c r="AD239" s="300">
        <f>(400.2*KFC!$B$23*1.02*1.25+KFC!$C$23)*KFC!$C$5</f>
        <v>510.255</v>
      </c>
      <c r="AE239" s="300">
        <f>(410.1*KFC!$B$23*1.02*1.25+KFC!$C$23)*KFC!$C$5</f>
        <v>522.87750000000005</v>
      </c>
      <c r="AF239" s="300">
        <f>(419.9*KFC!$B$23*1.02*1.25+KFC!$C$23)*KFC!$C$5</f>
        <v>535.37249999999995</v>
      </c>
      <c r="AG239" s="300">
        <f>(429.8*KFC!$B$23*1.02*1.25+KFC!$C$23)*KFC!$C$5</f>
        <v>547.995</v>
      </c>
      <c r="AH239" s="304">
        <f>(439.6*KFC!$B$23*1.02*1.25+KFC!$C$23)*KFC!$C$5</f>
        <v>560.49</v>
      </c>
    </row>
    <row r="240" spans="1:34">
      <c r="A240" s="1781"/>
      <c r="B240" s="395">
        <v>5.5</v>
      </c>
      <c r="C240" s="303">
        <f>(135.4*KFC!$B$23*1.02*1.25+KFC!$C$23)*KFC!$C$5</f>
        <v>172.63499999999999</v>
      </c>
      <c r="D240" s="300">
        <f>(145.4*KFC!$B$23*1.02*1.25+KFC!$C$23)*KFC!$C$5</f>
        <v>185.38500000000002</v>
      </c>
      <c r="E240" s="300">
        <f>(155.4*KFC!$B$23*1.02*1.25+KFC!$C$23)*KFC!$C$5</f>
        <v>198.13500000000002</v>
      </c>
      <c r="F240" s="300">
        <f>(165.5*KFC!$B$23*1.02*1.25+KFC!$C$23)*KFC!$C$5</f>
        <v>211.01249999999999</v>
      </c>
      <c r="G240" s="300">
        <f>(175.5*KFC!$B$23*1.02*1.25+KFC!$C$23)*KFC!$C$5</f>
        <v>223.76249999999999</v>
      </c>
      <c r="H240" s="300">
        <f>(185.5*KFC!$B$23*1.02*1.25+KFC!$C$23)*KFC!$C$5</f>
        <v>236.51250000000002</v>
      </c>
      <c r="I240" s="300">
        <f>(195.5*KFC!$B$23*1.02*1.25+KFC!$C$23)*KFC!$C$5</f>
        <v>249.26249999999999</v>
      </c>
      <c r="J240" s="300">
        <f>(205.5*KFC!$B$23*1.02*1.25+KFC!$C$23)*KFC!$C$5</f>
        <v>262.01250000000005</v>
      </c>
      <c r="K240" s="300">
        <f>(215.5*KFC!$B$23*1.02*1.25+KFC!$C$23)*KFC!$C$5</f>
        <v>274.76249999999999</v>
      </c>
      <c r="L240" s="300">
        <f>(225.5*KFC!$B$23*1.02*1.25+KFC!$C$23)*KFC!$C$5</f>
        <v>287.51249999999999</v>
      </c>
      <c r="M240" s="300">
        <f>(235.6*KFC!$B$23*1.02*1.25+KFC!$C$23)*KFC!$C$5</f>
        <v>300.39</v>
      </c>
      <c r="N240" s="300">
        <f>(245.6*KFC!$B$23*1.02*1.25+KFC!$C$23)*KFC!$C$5</f>
        <v>313.14</v>
      </c>
      <c r="O240" s="300">
        <f>(255.6*KFC!$B$23*1.02*1.25+KFC!$C$23)*KFC!$C$5</f>
        <v>325.89</v>
      </c>
      <c r="P240" s="300">
        <f>(265.6*KFC!$B$23*1.02*1.25+KFC!$C$23)*KFC!$C$5</f>
        <v>338.64000000000004</v>
      </c>
      <c r="Q240" s="300">
        <f>(275.6*KFC!$B$23*1.02*1.25+KFC!$C$23)*KFC!$C$5</f>
        <v>351.39000000000004</v>
      </c>
      <c r="R240" s="300">
        <f>(285.6*KFC!$B$23*1.02*1.25+KFC!$C$23)*KFC!$C$5</f>
        <v>364.14</v>
      </c>
      <c r="S240" s="300">
        <f>(295.6*KFC!$B$23*1.02*1.25+KFC!$C$23)*KFC!$C$5</f>
        <v>376.89</v>
      </c>
      <c r="T240" s="300">
        <f>(305.6*KFC!$B$23*1.02*1.25+KFC!$C$23)*KFC!$C$5</f>
        <v>389.64000000000004</v>
      </c>
      <c r="U240" s="300">
        <f>(315.7*KFC!$B$23*1.02*1.25+KFC!$C$23)*KFC!$C$5</f>
        <v>402.51750000000004</v>
      </c>
      <c r="V240" s="300">
        <f>(325.7*KFC!$B$23*1.02*1.25+KFC!$C$23)*KFC!$C$5</f>
        <v>415.26749999999998</v>
      </c>
      <c r="W240" s="300">
        <f>(335.7*KFC!$B$23*1.02*1.25+KFC!$C$23)*KFC!$C$5</f>
        <v>428.01749999999998</v>
      </c>
      <c r="X240" s="300">
        <f>(345.7*KFC!$B$23*1.02*1.25+KFC!$C$23)*KFC!$C$5</f>
        <v>440.76749999999998</v>
      </c>
      <c r="Y240" s="300">
        <f>(355.7*KFC!$B$23*1.02*1.25+KFC!$C$23)*KFC!$C$5</f>
        <v>453.51750000000004</v>
      </c>
      <c r="Z240" s="300">
        <f>(365.7*KFC!$B$23*1.02*1.25+KFC!$C$23)*KFC!$C$5</f>
        <v>466.26750000000004</v>
      </c>
      <c r="AA240" s="300">
        <f>(375.7*KFC!$B$23*1.02*1.25+KFC!$C$23)*KFC!$C$5</f>
        <v>479.01749999999998</v>
      </c>
      <c r="AB240" s="300">
        <f>(385.8*KFC!$B$23*1.02*1.25+KFC!$C$23)*KFC!$C$5</f>
        <v>491.89500000000004</v>
      </c>
      <c r="AC240" s="300">
        <f>(395.8*KFC!$B$23*1.02*1.25+KFC!$C$23)*KFC!$C$5</f>
        <v>504.64499999999998</v>
      </c>
      <c r="AD240" s="300">
        <f>(405.8*KFC!$B$23*1.02*1.25+KFC!$C$23)*KFC!$C$5</f>
        <v>517.39499999999998</v>
      </c>
      <c r="AE240" s="300">
        <f>(415.8*KFC!$B$23*1.02*1.25+KFC!$C$23)*KFC!$C$5</f>
        <v>530.1450000000001</v>
      </c>
      <c r="AF240" s="300">
        <f>(425.8*KFC!$B$23*1.02*1.25+KFC!$C$23)*KFC!$C$5</f>
        <v>542.89499999999998</v>
      </c>
      <c r="AG240" s="300">
        <f>(435.8*KFC!$B$23*1.02*1.25+KFC!$C$23)*KFC!$C$5</f>
        <v>555.64499999999998</v>
      </c>
      <c r="AH240" s="304">
        <f>(445.8*KFC!$B$23*1.02*1.25+KFC!$C$23)*KFC!$C$5</f>
        <v>568.39499999999998</v>
      </c>
    </row>
    <row r="241" spans="1:34">
      <c r="A241" s="1781"/>
      <c r="B241" s="395">
        <v>5.6</v>
      </c>
      <c r="C241" s="303">
        <f>(136.5*KFC!$B$23*1.02*1.25+KFC!$C$23)*KFC!$C$5</f>
        <v>174.03749999999999</v>
      </c>
      <c r="D241" s="300">
        <f>(146.6*KFC!$B$23*1.02*1.25+KFC!$C$23)*KFC!$C$5</f>
        <v>186.91500000000002</v>
      </c>
      <c r="E241" s="300">
        <f>(156.8*KFC!$B$23*1.02*1.25+KFC!$C$23)*KFC!$C$5</f>
        <v>199.92000000000002</v>
      </c>
      <c r="F241" s="300">
        <f>(167*KFC!$B$23*1.02*1.25+KFC!$C$23)*KFC!$C$5</f>
        <v>212.92500000000001</v>
      </c>
      <c r="G241" s="300">
        <f>(177.2*KFC!$B$23*1.02*1.25+KFC!$C$23)*KFC!$C$5</f>
        <v>225.93</v>
      </c>
      <c r="H241" s="300">
        <f>(187.4*KFC!$B$23*1.02*1.25+KFC!$C$23)*KFC!$C$5</f>
        <v>238.935</v>
      </c>
      <c r="I241" s="300">
        <f>(197.5*KFC!$B$23*1.02*1.25+KFC!$C$23)*KFC!$C$5</f>
        <v>251.81250000000003</v>
      </c>
      <c r="J241" s="300">
        <f>(207.7*KFC!$B$23*1.02*1.25+KFC!$C$23)*KFC!$C$5</f>
        <v>264.8175</v>
      </c>
      <c r="K241" s="300">
        <f>(217.9*KFC!$B$23*1.02*1.25+KFC!$C$23)*KFC!$C$5</f>
        <v>277.82249999999999</v>
      </c>
      <c r="L241" s="300">
        <f>(228.1*KFC!$B$23*1.02*1.25+KFC!$C$23)*KFC!$C$5</f>
        <v>290.82749999999999</v>
      </c>
      <c r="M241" s="300">
        <f>(238.3*KFC!$B$23*1.02*1.25+KFC!$C$23)*KFC!$C$5</f>
        <v>303.83249999999998</v>
      </c>
      <c r="N241" s="300">
        <f>(248.5*KFC!$B$23*1.02*1.25+KFC!$C$23)*KFC!$C$5</f>
        <v>316.83749999999998</v>
      </c>
      <c r="O241" s="300">
        <f>(258.6*KFC!$B$23*1.02*1.25+KFC!$C$23)*KFC!$C$5</f>
        <v>329.71500000000003</v>
      </c>
      <c r="P241" s="300">
        <f>(268.8*KFC!$B$23*1.02*1.25+KFC!$C$23)*KFC!$C$5</f>
        <v>342.72</v>
      </c>
      <c r="Q241" s="300">
        <f>(279*KFC!$B$23*1.02*1.25+KFC!$C$23)*KFC!$C$5</f>
        <v>355.72499999999997</v>
      </c>
      <c r="R241" s="300">
        <f>(289.2*KFC!$B$23*1.02*1.25+KFC!$C$23)*KFC!$C$5</f>
        <v>368.72999999999996</v>
      </c>
      <c r="S241" s="300">
        <f>(299.4*KFC!$B$23*1.02*1.25+KFC!$C$23)*KFC!$C$5</f>
        <v>381.73499999999996</v>
      </c>
      <c r="T241" s="300">
        <f>(309.5*KFC!$B$23*1.02*1.25+KFC!$C$23)*KFC!$C$5</f>
        <v>394.61250000000001</v>
      </c>
      <c r="U241" s="300">
        <f>(319.7*KFC!$B$23*1.02*1.25+KFC!$C$23)*KFC!$C$5</f>
        <v>407.61750000000001</v>
      </c>
      <c r="V241" s="300">
        <f>(329.9*KFC!$B$23*1.02*1.25+KFC!$C$23)*KFC!$C$5</f>
        <v>420.6225</v>
      </c>
      <c r="W241" s="300">
        <f>(340.1*KFC!$B$23*1.02*1.25+KFC!$C$23)*KFC!$C$5</f>
        <v>433.62750000000005</v>
      </c>
      <c r="X241" s="300">
        <f>(350.3*KFC!$B$23*1.02*1.25+KFC!$C$23)*KFC!$C$5</f>
        <v>446.63250000000005</v>
      </c>
      <c r="Y241" s="300">
        <f>(360.4*KFC!$B$23*1.02*1.25+KFC!$C$23)*KFC!$C$5</f>
        <v>459.51</v>
      </c>
      <c r="Z241" s="300">
        <f>(370.6*KFC!$B$23*1.02*1.25+KFC!$C$23)*KFC!$C$5</f>
        <v>472.5150000000001</v>
      </c>
      <c r="AA241" s="300">
        <f>(380.8*KFC!$B$23*1.02*1.25+KFC!$C$23)*KFC!$C$5</f>
        <v>485.52</v>
      </c>
      <c r="AB241" s="300">
        <f>(391*KFC!$B$23*1.02*1.25+KFC!$C$23)*KFC!$C$5</f>
        <v>498.52499999999998</v>
      </c>
      <c r="AC241" s="300">
        <f>(401.2*KFC!$B$23*1.02*1.25+KFC!$C$23)*KFC!$C$5</f>
        <v>511.53</v>
      </c>
      <c r="AD241" s="300">
        <f>(411.3*KFC!$B$23*1.02*1.25+KFC!$C$23)*KFC!$C$5</f>
        <v>524.40750000000003</v>
      </c>
      <c r="AE241" s="300">
        <f>(421.5*KFC!$B$23*1.02*1.25+KFC!$C$23)*KFC!$C$5</f>
        <v>537.41250000000002</v>
      </c>
      <c r="AF241" s="300">
        <f>(431.7*KFC!$B$23*1.02*1.25+KFC!$C$23)*KFC!$C$5</f>
        <v>550.41750000000002</v>
      </c>
      <c r="AG241" s="300">
        <f>(441.9*KFC!$B$23*1.02*1.25+KFC!$C$23)*KFC!$C$5</f>
        <v>563.42250000000001</v>
      </c>
      <c r="AH241" s="304">
        <f>(452.1*KFC!$B$23*1.02*1.25+KFC!$C$23)*KFC!$C$5</f>
        <v>576.42750000000001</v>
      </c>
    </row>
    <row r="242" spans="1:34">
      <c r="A242" s="1781"/>
      <c r="B242" s="395">
        <v>5.7</v>
      </c>
      <c r="C242" s="303">
        <f>(137.5*KFC!$B$23*1.02*1.25+KFC!$C$23)*KFC!$C$5</f>
        <v>175.3125</v>
      </c>
      <c r="D242" s="300">
        <f>(147.9*KFC!$B$23*1.02*1.25+KFC!$C$23)*KFC!$C$5</f>
        <v>188.57249999999999</v>
      </c>
      <c r="E242" s="300">
        <f>(158.2*KFC!$B$23*1.02*1.25+KFC!$C$23)*KFC!$C$5</f>
        <v>201.70500000000001</v>
      </c>
      <c r="F242" s="300">
        <f>(168.6*KFC!$B$23*1.02*1.25+KFC!$C$23)*KFC!$C$5</f>
        <v>214.965</v>
      </c>
      <c r="G242" s="300">
        <f>(178.9*KFC!$B$23*1.02*1.25+KFC!$C$23)*KFC!$C$5</f>
        <v>228.09750000000003</v>
      </c>
      <c r="H242" s="300">
        <f>(189.2*KFC!$B$23*1.02*1.25+KFC!$C$23)*KFC!$C$5</f>
        <v>241.22999999999996</v>
      </c>
      <c r="I242" s="300">
        <f>(199.6*KFC!$B$23*1.02*1.25+KFC!$C$23)*KFC!$C$5</f>
        <v>254.48999999999998</v>
      </c>
      <c r="J242" s="300">
        <f>(209.9*KFC!$B$23*1.02*1.25+KFC!$C$23)*KFC!$C$5</f>
        <v>267.6225</v>
      </c>
      <c r="K242" s="300">
        <f>(220.3*KFC!$B$23*1.02*1.25+KFC!$C$23)*KFC!$C$5</f>
        <v>280.88250000000005</v>
      </c>
      <c r="L242" s="300">
        <f>(230.6*KFC!$B$23*1.02*1.25+KFC!$C$23)*KFC!$C$5</f>
        <v>294.01499999999999</v>
      </c>
      <c r="M242" s="300">
        <f>(241*KFC!$B$23*1.02*1.25+KFC!$C$23)*KFC!$C$5</f>
        <v>307.27499999999998</v>
      </c>
      <c r="N242" s="300">
        <f>(251.3*KFC!$B$23*1.02*1.25+KFC!$C$23)*KFC!$C$5</f>
        <v>320.40750000000003</v>
      </c>
      <c r="O242" s="300">
        <f>(261.7*KFC!$B$23*1.02*1.25+KFC!$C$23)*KFC!$C$5</f>
        <v>333.66749999999996</v>
      </c>
      <c r="P242" s="300">
        <f>(272*KFC!$B$23*1.02*1.25+KFC!$C$23)*KFC!$C$5</f>
        <v>346.8</v>
      </c>
      <c r="Q242" s="300">
        <f>(282.4*KFC!$B$23*1.02*1.25+KFC!$C$23)*KFC!$C$5</f>
        <v>360.06</v>
      </c>
      <c r="R242" s="300">
        <f>(292.7*KFC!$B$23*1.02*1.25+KFC!$C$23)*KFC!$C$5</f>
        <v>373.1925</v>
      </c>
      <c r="S242" s="300">
        <f>(303.1*KFC!$B$23*1.02*1.25+KFC!$C$23)*KFC!$C$5</f>
        <v>386.45250000000004</v>
      </c>
      <c r="T242" s="300">
        <f>(313.4*KFC!$B$23*1.02*1.25+KFC!$C$23)*KFC!$C$5</f>
        <v>399.58500000000004</v>
      </c>
      <c r="U242" s="300">
        <f>(323.8*KFC!$B$23*1.02*1.25+KFC!$C$23)*KFC!$C$5</f>
        <v>412.84500000000003</v>
      </c>
      <c r="V242" s="300">
        <f>(334.1*KFC!$B$23*1.02*1.25+KFC!$C$23)*KFC!$C$5</f>
        <v>425.97750000000008</v>
      </c>
      <c r="W242" s="300">
        <f>(344.5*KFC!$B$23*1.02*1.25+KFC!$C$23)*KFC!$C$5</f>
        <v>439.23749999999995</v>
      </c>
      <c r="X242" s="300">
        <f>(354.8*KFC!$B$23*1.02*1.25+KFC!$C$23)*KFC!$C$5</f>
        <v>452.37</v>
      </c>
      <c r="Y242" s="300">
        <f>(365.2*KFC!$B$23*1.02*1.25+KFC!$C$23)*KFC!$C$5</f>
        <v>465.63</v>
      </c>
      <c r="Z242" s="300">
        <f>(375.5*KFC!$B$23*1.02*1.25+KFC!$C$23)*KFC!$C$5</f>
        <v>478.76249999999999</v>
      </c>
      <c r="AA242" s="300">
        <f>(385.9*KFC!$B$23*1.02*1.25+KFC!$C$23)*KFC!$C$5</f>
        <v>492.02249999999998</v>
      </c>
      <c r="AB242" s="300">
        <f>(396.2*KFC!$B$23*1.02*1.25+KFC!$C$23)*KFC!$C$5</f>
        <v>505.15500000000003</v>
      </c>
      <c r="AC242" s="300">
        <f>(406.6*KFC!$B$23*1.02*1.25+KFC!$C$23)*KFC!$C$5</f>
        <v>518.41500000000008</v>
      </c>
      <c r="AD242" s="300">
        <f>(416.9*KFC!$B$23*1.02*1.25+KFC!$C$23)*KFC!$C$5</f>
        <v>531.54750000000001</v>
      </c>
      <c r="AE242" s="300">
        <f>(427.2*KFC!$B$23*1.02*1.25+KFC!$C$23)*KFC!$C$5</f>
        <v>544.67999999999995</v>
      </c>
      <c r="AF242" s="300">
        <f>(437.6*KFC!$B$23*1.02*1.25+KFC!$C$23)*KFC!$C$5</f>
        <v>557.94000000000005</v>
      </c>
      <c r="AG242" s="300">
        <f>(447.9*KFC!$B$23*1.02*1.25+KFC!$C$23)*KFC!$C$5</f>
        <v>571.07249999999999</v>
      </c>
      <c r="AH242" s="304">
        <f>(458.3*KFC!$B$23*1.02*1.25+KFC!$C$23)*KFC!$C$5</f>
        <v>584.33249999999998</v>
      </c>
    </row>
    <row r="243" spans="1:34">
      <c r="A243" s="1781"/>
      <c r="B243" s="395">
        <v>5.8</v>
      </c>
      <c r="C243" s="303">
        <f>(138.6*KFC!$B$23*1.02*1.25+KFC!$C$23)*KFC!$C$5</f>
        <v>176.71499999999997</v>
      </c>
      <c r="D243" s="300">
        <f>(149.1*KFC!$B$23*1.02*1.25+KFC!$C$23)*KFC!$C$5</f>
        <v>190.10249999999999</v>
      </c>
      <c r="E243" s="300">
        <f>(159.6*KFC!$B$23*1.02*1.25+KFC!$C$23)*KFC!$C$5</f>
        <v>203.49</v>
      </c>
      <c r="F243" s="300">
        <f>(170.1*KFC!$B$23*1.02*1.25+KFC!$C$23)*KFC!$C$5</f>
        <v>216.8775</v>
      </c>
      <c r="G243" s="300">
        <f>(180.6*KFC!$B$23*1.02*1.25+KFC!$C$23)*KFC!$C$5</f>
        <v>230.26499999999999</v>
      </c>
      <c r="H243" s="300">
        <f>(191.1*KFC!$B$23*1.02*1.25+KFC!$C$23)*KFC!$C$5</f>
        <v>243.6525</v>
      </c>
      <c r="I243" s="300">
        <f>(201.6*KFC!$B$23*1.02*1.25+KFC!$C$23)*KFC!$C$5</f>
        <v>257.04000000000002</v>
      </c>
      <c r="J243" s="300">
        <f>(212.2*KFC!$B$23*1.02*1.25+KFC!$C$23)*KFC!$C$5</f>
        <v>270.55500000000001</v>
      </c>
      <c r="K243" s="300">
        <f>(222.7*KFC!$B$23*1.02*1.25+KFC!$C$23)*KFC!$C$5</f>
        <v>283.9425</v>
      </c>
      <c r="L243" s="300">
        <f>(233.2*KFC!$B$23*1.02*1.25+KFC!$C$23)*KFC!$C$5</f>
        <v>297.33</v>
      </c>
      <c r="M243" s="300">
        <f>(243.7*KFC!$B$23*1.02*1.25+KFC!$C$23)*KFC!$C$5</f>
        <v>310.71749999999997</v>
      </c>
      <c r="N243" s="300">
        <f>(254.2*KFC!$B$23*1.02*1.25+KFC!$C$23)*KFC!$C$5</f>
        <v>324.10500000000002</v>
      </c>
      <c r="O243" s="300">
        <f>(264.7*KFC!$B$23*1.02*1.25+KFC!$C$23)*KFC!$C$5</f>
        <v>337.49249999999995</v>
      </c>
      <c r="P243" s="300">
        <f>(275.2*KFC!$B$23*1.02*1.25+KFC!$C$23)*KFC!$C$5</f>
        <v>350.88</v>
      </c>
      <c r="Q243" s="300">
        <f>(285.8*KFC!$B$23*1.02*1.25+KFC!$C$23)*KFC!$C$5</f>
        <v>364.39500000000004</v>
      </c>
      <c r="R243" s="300">
        <f>(296.3*KFC!$B$23*1.02*1.25+KFC!$C$23)*KFC!$C$5</f>
        <v>377.78250000000003</v>
      </c>
      <c r="S243" s="300">
        <f>(306.8*KFC!$B$23*1.02*1.25+KFC!$C$23)*KFC!$C$5</f>
        <v>391.17000000000007</v>
      </c>
      <c r="T243" s="300">
        <f>(317.3*KFC!$B$23*1.02*1.25+KFC!$C$23)*KFC!$C$5</f>
        <v>404.5575</v>
      </c>
      <c r="U243" s="300">
        <f>(327.8*KFC!$B$23*1.02*1.25+KFC!$C$23)*KFC!$C$5</f>
        <v>417.94499999999999</v>
      </c>
      <c r="V243" s="300">
        <f>(338.3*KFC!$B$23*1.02*1.25+KFC!$C$23)*KFC!$C$5</f>
        <v>431.33250000000004</v>
      </c>
      <c r="W243" s="300">
        <f>(348.9*KFC!$B$23*1.02*1.25+KFC!$C$23)*KFC!$C$5</f>
        <v>444.84749999999997</v>
      </c>
      <c r="X243" s="300">
        <f>(359.4*KFC!$B$23*1.02*1.25+KFC!$C$23)*KFC!$C$5</f>
        <v>458.23499999999996</v>
      </c>
      <c r="Y243" s="300">
        <f>(369.9*KFC!$B$23*1.02*1.25+KFC!$C$23)*KFC!$C$5</f>
        <v>471.6225</v>
      </c>
      <c r="Z243" s="300">
        <f>(380.4*KFC!$B$23*1.02*1.25+KFC!$C$23)*KFC!$C$5</f>
        <v>485.01</v>
      </c>
      <c r="AA243" s="300">
        <f>(390.9*KFC!$B$23*1.02*1.25+KFC!$C$23)*KFC!$C$5</f>
        <v>498.39749999999992</v>
      </c>
      <c r="AB243" s="300">
        <f>(401.4*KFC!$B$23*1.02*1.25+KFC!$C$23)*KFC!$C$5</f>
        <v>511.78499999999997</v>
      </c>
      <c r="AC243" s="300">
        <f>(411.9*KFC!$B$23*1.02*1.25+KFC!$C$23)*KFC!$C$5</f>
        <v>525.17250000000001</v>
      </c>
      <c r="AD243" s="300">
        <f>(422.5*KFC!$B$23*1.02*1.25+KFC!$C$23)*KFC!$C$5</f>
        <v>538.6875</v>
      </c>
      <c r="AE243" s="300">
        <f>(433*KFC!$B$23*1.02*1.25+KFC!$C$23)*KFC!$C$5</f>
        <v>552.07500000000005</v>
      </c>
      <c r="AF243" s="300">
        <f>(443.5*KFC!$B$23*1.02*1.25+KFC!$C$23)*KFC!$C$5</f>
        <v>565.46249999999998</v>
      </c>
      <c r="AG243" s="300">
        <f>(454*KFC!$B$23*1.02*1.25+KFC!$C$23)*KFC!$C$5</f>
        <v>578.85</v>
      </c>
      <c r="AH243" s="304">
        <f>(464.5*KFC!$B$23*1.02*1.25+KFC!$C$23)*KFC!$C$5</f>
        <v>592.23750000000007</v>
      </c>
    </row>
    <row r="244" spans="1:34">
      <c r="A244" s="1781"/>
      <c r="B244" s="395">
        <v>5.9</v>
      </c>
      <c r="C244" s="303">
        <f>(139.6*KFC!$B$23*1.02*1.25+KFC!$C$23)*KFC!$C$5</f>
        <v>177.99</v>
      </c>
      <c r="D244" s="300">
        <f>(150.3*KFC!$B$23*1.02*1.25+KFC!$C$23)*KFC!$C$5</f>
        <v>191.63250000000002</v>
      </c>
      <c r="E244" s="300">
        <f>(161*KFC!$B$23*1.02*1.25+KFC!$C$23)*KFC!$C$5</f>
        <v>205.27500000000001</v>
      </c>
      <c r="F244" s="300">
        <f>(171.6*KFC!$B$23*1.02*1.25+KFC!$C$23)*KFC!$C$5</f>
        <v>218.79000000000002</v>
      </c>
      <c r="G244" s="300">
        <f>(182.3*KFC!$B$23*1.02*1.25+KFC!$C$23)*KFC!$C$5</f>
        <v>232.43250000000003</v>
      </c>
      <c r="H244" s="300">
        <f>(193*KFC!$B$23*1.02*1.25+KFC!$C$23)*KFC!$C$5</f>
        <v>246.07500000000002</v>
      </c>
      <c r="I244" s="300">
        <f>(203.7*KFC!$B$23*1.02*1.25+KFC!$C$23)*KFC!$C$5</f>
        <v>259.71749999999997</v>
      </c>
      <c r="J244" s="300">
        <f>(214.4*KFC!$B$23*1.02*1.25+KFC!$C$23)*KFC!$C$5</f>
        <v>273.36</v>
      </c>
      <c r="K244" s="300">
        <f>(225.1*KFC!$B$23*1.02*1.25+KFC!$C$23)*KFC!$C$5</f>
        <v>287.0025</v>
      </c>
      <c r="L244" s="300">
        <f>(235.7*KFC!$B$23*1.02*1.25+KFC!$C$23)*KFC!$C$5</f>
        <v>300.51749999999998</v>
      </c>
      <c r="M244" s="300">
        <f>(246.4*KFC!$B$23*1.02*1.25+KFC!$C$23)*KFC!$C$5</f>
        <v>314.16000000000003</v>
      </c>
      <c r="N244" s="300">
        <f>(257.1*KFC!$B$23*1.02*1.25+KFC!$C$23)*KFC!$C$5</f>
        <v>327.80250000000001</v>
      </c>
      <c r="O244" s="300">
        <f>(267.8*KFC!$B$23*1.02*1.25+KFC!$C$23)*KFC!$C$5</f>
        <v>341.44499999999999</v>
      </c>
      <c r="P244" s="300">
        <f>(278.5*KFC!$B$23*1.02*1.25+KFC!$C$23)*KFC!$C$5</f>
        <v>355.08749999999998</v>
      </c>
      <c r="Q244" s="300">
        <f>(289.1*KFC!$B$23*1.02*1.25+KFC!$C$23)*KFC!$C$5</f>
        <v>368.60250000000002</v>
      </c>
      <c r="R244" s="300">
        <f>(299.8*KFC!$B$23*1.02*1.25+KFC!$C$23)*KFC!$C$5</f>
        <v>382.245</v>
      </c>
      <c r="S244" s="300">
        <f>(310.5*KFC!$B$23*1.02*1.25+KFC!$C$23)*KFC!$C$5</f>
        <v>395.88749999999999</v>
      </c>
      <c r="T244" s="300">
        <f>(321.2*KFC!$B$23*1.02*1.25+KFC!$C$23)*KFC!$C$5</f>
        <v>409.53</v>
      </c>
      <c r="U244" s="300">
        <f>(331.9*KFC!$B$23*1.02*1.25+KFC!$C$23)*KFC!$C$5</f>
        <v>423.17250000000001</v>
      </c>
      <c r="V244" s="300">
        <f>(342.6*KFC!$B$23*1.02*1.25+KFC!$C$23)*KFC!$C$5</f>
        <v>436.81500000000005</v>
      </c>
      <c r="W244" s="300">
        <f>(353.2*KFC!$B$23*1.02*1.25+KFC!$C$23)*KFC!$C$5</f>
        <v>450.33000000000004</v>
      </c>
      <c r="X244" s="300">
        <f>(363.9*KFC!$B$23*1.02*1.25+KFC!$C$23)*KFC!$C$5</f>
        <v>463.97249999999997</v>
      </c>
      <c r="Y244" s="300">
        <f>(374.6*KFC!$B$23*1.02*1.25+KFC!$C$23)*KFC!$C$5</f>
        <v>477.61500000000007</v>
      </c>
      <c r="Z244" s="300">
        <f>(385.3*KFC!$B$23*1.02*1.25+KFC!$C$23)*KFC!$C$5</f>
        <v>491.25750000000005</v>
      </c>
      <c r="AA244" s="300">
        <f>(396*KFC!$B$23*1.02*1.25+KFC!$C$23)*KFC!$C$5</f>
        <v>504.90000000000003</v>
      </c>
      <c r="AB244" s="300">
        <f>(406.7*KFC!$B$23*1.02*1.25+KFC!$C$23)*KFC!$C$5</f>
        <v>518.54250000000002</v>
      </c>
      <c r="AC244" s="300">
        <f>(417.3*KFC!$B$23*1.02*1.25+KFC!$C$23)*KFC!$C$5</f>
        <v>532.0575</v>
      </c>
      <c r="AD244" s="300">
        <f>(428*KFC!$B$23*1.02*1.25+KFC!$C$23)*KFC!$C$5</f>
        <v>545.70000000000005</v>
      </c>
      <c r="AE244" s="300">
        <f>(438.7*KFC!$B$23*1.02*1.25+KFC!$C$23)*KFC!$C$5</f>
        <v>559.34249999999997</v>
      </c>
      <c r="AF244" s="300">
        <f>(449.4*KFC!$B$23*1.02*1.25+KFC!$C$23)*KFC!$C$5</f>
        <v>572.98500000000001</v>
      </c>
      <c r="AG244" s="300">
        <f>(460.1*KFC!$B$23*1.02*1.25+KFC!$C$23)*KFC!$C$5</f>
        <v>586.62750000000005</v>
      </c>
      <c r="AH244" s="304">
        <f>(470.7*KFC!$B$23*1.02*1.25+KFC!$C$23)*KFC!$C$5</f>
        <v>600.14249999999993</v>
      </c>
    </row>
    <row r="245" spans="1:34" ht="13.8" thickBot="1">
      <c r="A245" s="1782"/>
      <c r="B245" s="396">
        <v>6</v>
      </c>
      <c r="C245" s="305">
        <f>(140.6*KFC!$B$23*1.02*1.25+KFC!$C$23)*KFC!$C$5</f>
        <v>179.26500000000001</v>
      </c>
      <c r="D245" s="306">
        <f>(151.5*KFC!$B$23*1.02*1.25+KFC!$C$23)*KFC!$C$5</f>
        <v>193.16249999999999</v>
      </c>
      <c r="E245" s="306">
        <f>(162.3*KFC!$B$23*1.02*1.25+KFC!$C$23)*KFC!$C$5</f>
        <v>206.93250000000003</v>
      </c>
      <c r="F245" s="306">
        <f>(173.2*KFC!$B$23*1.02*1.25+KFC!$C$23)*KFC!$C$5</f>
        <v>220.82999999999998</v>
      </c>
      <c r="G245" s="306">
        <f>(184*KFC!$B$23*1.02*1.25+KFC!$C$23)*KFC!$C$5</f>
        <v>234.60000000000002</v>
      </c>
      <c r="H245" s="306">
        <f>(194.9*KFC!$B$23*1.02*1.25+KFC!$C$23)*KFC!$C$5</f>
        <v>248.4975</v>
      </c>
      <c r="I245" s="306">
        <f>(205.7*KFC!$B$23*1.02*1.25+KFC!$C$23)*KFC!$C$5</f>
        <v>262.26749999999998</v>
      </c>
      <c r="J245" s="306">
        <f>(216.6*KFC!$B$23*1.02*1.25+KFC!$C$23)*KFC!$C$5</f>
        <v>276.16499999999996</v>
      </c>
      <c r="K245" s="306">
        <f>(227.4*KFC!$B$23*1.02*1.25+KFC!$C$23)*KFC!$C$5</f>
        <v>289.935</v>
      </c>
      <c r="L245" s="306">
        <f>(238.3*KFC!$B$23*1.02*1.25+KFC!$C$23)*KFC!$C$5</f>
        <v>303.83249999999998</v>
      </c>
      <c r="M245" s="306">
        <f>(249.1*KFC!$B$23*1.02*1.25+KFC!$C$23)*KFC!$C$5</f>
        <v>317.60249999999996</v>
      </c>
      <c r="N245" s="306">
        <f>(260*KFC!$B$23*1.02*1.25+KFC!$C$23)*KFC!$C$5</f>
        <v>331.5</v>
      </c>
      <c r="O245" s="306">
        <f>(270.8*KFC!$B$23*1.02*1.25+KFC!$C$23)*KFC!$C$5</f>
        <v>345.27</v>
      </c>
      <c r="P245" s="306">
        <f>(281.7*KFC!$B$23*1.02*1.25+KFC!$C$23)*KFC!$C$5</f>
        <v>359.16750000000002</v>
      </c>
      <c r="Q245" s="306">
        <f>(292.5*KFC!$B$23*1.02*1.25+KFC!$C$23)*KFC!$C$5</f>
        <v>372.9375</v>
      </c>
      <c r="R245" s="306">
        <f>(303.4*KFC!$B$23*1.02*1.25+KFC!$C$23)*KFC!$C$5</f>
        <v>386.83499999999992</v>
      </c>
      <c r="S245" s="306">
        <f>(314.2*KFC!$B$23*1.02*1.25+KFC!$C$23)*KFC!$C$5</f>
        <v>400.60499999999996</v>
      </c>
      <c r="T245" s="306">
        <f>(325.1*KFC!$B$23*1.02*1.25+KFC!$C$23)*KFC!$C$5</f>
        <v>414.50250000000005</v>
      </c>
      <c r="U245" s="306">
        <f>(335.9*KFC!$B$23*1.02*1.25+KFC!$C$23)*KFC!$C$5</f>
        <v>428.27249999999998</v>
      </c>
      <c r="V245" s="306">
        <f>(346.8*KFC!$B$23*1.02*1.25+KFC!$C$23)*KFC!$C$5</f>
        <v>442.16999999999996</v>
      </c>
      <c r="W245" s="306">
        <f>(357.6*KFC!$B$23*1.02*1.25+KFC!$C$23)*KFC!$C$5</f>
        <v>455.94</v>
      </c>
      <c r="X245" s="306">
        <f>(368.5*KFC!$B$23*1.02*1.25+KFC!$C$23)*KFC!$C$5</f>
        <v>469.83749999999998</v>
      </c>
      <c r="Y245" s="306">
        <f>(379.3*KFC!$B$23*1.02*1.25+KFC!$C$23)*KFC!$C$5</f>
        <v>483.60750000000002</v>
      </c>
      <c r="Z245" s="306">
        <f>(390.2*KFC!$B$23*1.02*1.25+KFC!$C$23)*KFC!$C$5</f>
        <v>497.505</v>
      </c>
      <c r="AA245" s="306">
        <f>(401*KFC!$B$23*1.02*1.25+KFC!$C$23)*KFC!$C$5</f>
        <v>511.27499999999998</v>
      </c>
      <c r="AB245" s="306">
        <f>(411.9*KFC!$B$23*1.02*1.25+KFC!$C$23)*KFC!$C$5</f>
        <v>525.17250000000001</v>
      </c>
      <c r="AC245" s="306">
        <f>(422.7*KFC!$B$23*1.02*1.25+KFC!$C$23)*KFC!$C$5</f>
        <v>538.9425</v>
      </c>
      <c r="AD245" s="306">
        <f>(433.6*KFC!$B$23*1.02*1.25+KFC!$C$23)*KFC!$C$5</f>
        <v>552.84</v>
      </c>
      <c r="AE245" s="306">
        <f>(444.4*KFC!$B$23*1.02*1.25+KFC!$C$23)*KFC!$C$5</f>
        <v>566.61</v>
      </c>
      <c r="AF245" s="306">
        <f>(455.3*KFC!$B$23*1.02*1.25+KFC!$C$23)*KFC!$C$5</f>
        <v>580.50750000000005</v>
      </c>
      <c r="AG245" s="306">
        <f>(466.1*KFC!$B$23*1.02*1.25+KFC!$C$23)*KFC!$C$5</f>
        <v>594.27750000000003</v>
      </c>
      <c r="AH245" s="307">
        <f>(477*KFC!$B$23*1.02*1.25+KFC!$C$23)*KFC!$C$5</f>
        <v>608.17500000000007</v>
      </c>
    </row>
    <row r="246" spans="1:34" ht="13.8" thickBot="1">
      <c r="A246" s="218"/>
      <c r="B246" s="218"/>
      <c r="C246" s="218"/>
      <c r="D246" s="218"/>
      <c r="E246" s="218"/>
      <c r="F246" s="218"/>
      <c r="G246" s="218"/>
      <c r="H246" s="218"/>
      <c r="I246" s="218"/>
      <c r="J246" s="218"/>
      <c r="K246" s="218"/>
      <c r="L246" s="218"/>
      <c r="M246" s="218"/>
      <c r="N246" s="218"/>
      <c r="O246" s="218"/>
      <c r="P246" s="218"/>
      <c r="Q246" s="218"/>
      <c r="R246" s="218"/>
      <c r="S246" s="218"/>
      <c r="T246" s="218"/>
      <c r="U246" s="218"/>
      <c r="V246" s="218"/>
      <c r="W246" s="218"/>
      <c r="X246" s="218"/>
      <c r="Y246" s="218"/>
      <c r="Z246" s="218"/>
      <c r="AA246" s="218"/>
      <c r="AB246" s="218"/>
      <c r="AC246" s="218"/>
      <c r="AD246" s="218"/>
      <c r="AE246" s="218"/>
      <c r="AF246" s="218"/>
      <c r="AG246" s="218"/>
      <c r="AH246" s="218"/>
    </row>
    <row r="247" spans="1:34" ht="13.8" thickBot="1">
      <c r="A247" s="200"/>
      <c r="B247" s="200"/>
      <c r="C247" s="200"/>
      <c r="D247" s="200"/>
      <c r="E247" s="200"/>
      <c r="F247" s="200"/>
      <c r="G247" s="200"/>
      <c r="H247" s="200"/>
      <c r="I247" s="200"/>
      <c r="J247" s="200"/>
      <c r="K247" s="200"/>
      <c r="L247" s="200"/>
      <c r="M247" s="200"/>
      <c r="N247" s="200"/>
      <c r="O247" s="200"/>
      <c r="P247" s="200"/>
      <c r="Q247" s="200"/>
      <c r="R247" s="200"/>
      <c r="S247" s="200"/>
      <c r="T247" s="200"/>
      <c r="U247" s="200"/>
      <c r="V247" s="200"/>
      <c r="W247" s="200"/>
      <c r="X247" s="200"/>
      <c r="Y247" s="200"/>
      <c r="Z247" s="200"/>
      <c r="AA247" s="200"/>
      <c r="AB247" s="200"/>
      <c r="AC247" s="200"/>
      <c r="AD247" s="200"/>
      <c r="AE247" s="200"/>
      <c r="AF247" s="200"/>
      <c r="AG247" s="200"/>
      <c r="AH247" s="200"/>
    </row>
    <row r="248" spans="1:34" ht="13.8" thickBot="1">
      <c r="A248" s="1413" t="s">
        <v>319</v>
      </c>
      <c r="B248" s="1601"/>
      <c r="C248" s="1534" t="s">
        <v>207</v>
      </c>
      <c r="D248" s="1535"/>
      <c r="E248" s="1535"/>
      <c r="F248" s="1535"/>
      <c r="G248" s="1535"/>
      <c r="H248" s="1535"/>
      <c r="I248" s="1535"/>
      <c r="J248" s="1535"/>
      <c r="K248" s="1535"/>
      <c r="L248" s="1535"/>
      <c r="M248" s="1535"/>
      <c r="N248" s="1535"/>
      <c r="O248" s="1535"/>
      <c r="P248" s="1535"/>
      <c r="Q248" s="1535"/>
      <c r="R248" s="1535"/>
      <c r="S248" s="1535"/>
      <c r="T248" s="1535"/>
      <c r="U248" s="1535"/>
      <c r="V248" s="1535"/>
      <c r="W248" s="1535"/>
      <c r="X248" s="1535"/>
      <c r="Y248" s="1535"/>
      <c r="Z248" s="1535"/>
      <c r="AA248" s="1535"/>
      <c r="AB248" s="1535"/>
      <c r="AC248" s="1535"/>
      <c r="AD248" s="1535"/>
      <c r="AE248" s="1535"/>
      <c r="AF248" s="1535"/>
      <c r="AG248" s="1535"/>
      <c r="AH248" s="1536"/>
    </row>
    <row r="249" spans="1:34" ht="13.8" thickBot="1">
      <c r="A249" s="1778"/>
      <c r="B249" s="1779"/>
      <c r="C249" s="341">
        <v>0.7</v>
      </c>
      <c r="D249" s="341">
        <v>0.8</v>
      </c>
      <c r="E249" s="341">
        <v>0.9</v>
      </c>
      <c r="F249" s="341">
        <v>1</v>
      </c>
      <c r="G249" s="341">
        <v>1.1000000000000001</v>
      </c>
      <c r="H249" s="341">
        <v>1.2</v>
      </c>
      <c r="I249" s="341">
        <v>1.3</v>
      </c>
      <c r="J249" s="341">
        <v>1.4</v>
      </c>
      <c r="K249" s="341">
        <v>1.5</v>
      </c>
      <c r="L249" s="341">
        <v>1.6</v>
      </c>
      <c r="M249" s="341">
        <v>1.7</v>
      </c>
      <c r="N249" s="341">
        <v>1.8</v>
      </c>
      <c r="O249" s="341">
        <v>1.9</v>
      </c>
      <c r="P249" s="341">
        <v>2</v>
      </c>
      <c r="Q249" s="341">
        <v>2.1</v>
      </c>
      <c r="R249" s="341">
        <v>2.2000000000000002</v>
      </c>
      <c r="S249" s="341">
        <v>2.2999999999999998</v>
      </c>
      <c r="T249" s="341">
        <v>2.4</v>
      </c>
      <c r="U249" s="341">
        <v>2.5</v>
      </c>
      <c r="V249" s="341">
        <v>2.6</v>
      </c>
      <c r="W249" s="341">
        <v>2.7</v>
      </c>
      <c r="X249" s="341">
        <v>2.8</v>
      </c>
      <c r="Y249" s="341">
        <v>2.9</v>
      </c>
      <c r="Z249" s="342">
        <v>3</v>
      </c>
      <c r="AA249" s="340">
        <v>3.1</v>
      </c>
      <c r="AB249" s="341">
        <v>3.2</v>
      </c>
      <c r="AC249" s="341">
        <v>3.3</v>
      </c>
      <c r="AD249" s="341">
        <v>3.4</v>
      </c>
      <c r="AE249" s="341">
        <v>3.5</v>
      </c>
      <c r="AF249" s="341">
        <v>3.6</v>
      </c>
      <c r="AG249" s="341">
        <v>3.7</v>
      </c>
      <c r="AH249" s="341">
        <v>3.8</v>
      </c>
    </row>
    <row r="250" spans="1:34">
      <c r="A250" s="1780" t="s">
        <v>3</v>
      </c>
      <c r="B250" s="394">
        <v>0.5</v>
      </c>
      <c r="C250" s="274">
        <f>(88.1*KFC!$B$23*1.02*1.3+KFC!$C$23)*KFC!$C$5</f>
        <v>116.8206</v>
      </c>
      <c r="D250" s="301">
        <f>(90.1*KFC!$B$23*1.02*1.3+KFC!$C$23)*KFC!$C$5</f>
        <v>119.4726</v>
      </c>
      <c r="E250" s="301">
        <f>(92.2*KFC!$B$23*1.02*1.3+KFC!$C$23)*KFC!$C$5</f>
        <v>122.25720000000001</v>
      </c>
      <c r="F250" s="301">
        <f>(94.3*KFC!$B$23*1.02*1.3+KFC!$C$23)*KFC!$C$5</f>
        <v>125.04179999999999</v>
      </c>
      <c r="G250" s="301">
        <f>(96.4*KFC!$B$23*1.02*1.3+KFC!$C$23)*KFC!$C$5</f>
        <v>127.82640000000001</v>
      </c>
      <c r="H250" s="301">
        <f>(98.5*KFC!$B$23*1.02*1.3+KFC!$C$23)*KFC!$C$5</f>
        <v>130.61099999999999</v>
      </c>
      <c r="I250" s="301">
        <f>(100.6*KFC!$B$23*1.02*1.3+KFC!$C$23)*KFC!$C$5</f>
        <v>133.3956</v>
      </c>
      <c r="J250" s="301">
        <f>(102.7*KFC!$B$23*1.02*1.3+KFC!$C$23)*KFC!$C$5</f>
        <v>136.18020000000001</v>
      </c>
      <c r="K250" s="301">
        <f>(104.8*KFC!$B$23*1.02*1.3+KFC!$C$23)*KFC!$C$5</f>
        <v>138.9648</v>
      </c>
      <c r="L250" s="301">
        <f>(106.9*KFC!$B$23*1.02*1.3+KFC!$C$23)*KFC!$C$5</f>
        <v>141.74940000000001</v>
      </c>
      <c r="M250" s="301">
        <f>(109*KFC!$B$23*1.02*1.3+KFC!$C$23)*KFC!$C$5</f>
        <v>144.53400000000002</v>
      </c>
      <c r="N250" s="301">
        <f>(111.1*KFC!$B$23*1.02*1.3+KFC!$C$23)*KFC!$C$5</f>
        <v>147.3186</v>
      </c>
      <c r="O250" s="301">
        <f>(113.1*KFC!$B$23*1.02*1.3+KFC!$C$23)*KFC!$C$5</f>
        <v>149.97059999999999</v>
      </c>
      <c r="P250" s="301">
        <f>(115.2*KFC!$B$23*1.02*1.3+KFC!$C$23)*KFC!$C$5</f>
        <v>152.7552</v>
      </c>
      <c r="Q250" s="301">
        <f>(117.3*KFC!$B$23*1.02*1.3+KFC!$C$23)*KFC!$C$5</f>
        <v>155.53980000000001</v>
      </c>
      <c r="R250" s="301">
        <f>(119.4*KFC!$B$23*1.02*1.3+KFC!$C$23)*KFC!$C$5</f>
        <v>158.32440000000003</v>
      </c>
      <c r="S250" s="301">
        <f>(121.5*KFC!$B$23*1.02*1.3+KFC!$C$23)*KFC!$C$5</f>
        <v>161.10900000000001</v>
      </c>
      <c r="T250" s="301">
        <f>(123.6*KFC!$B$23*1.02*1.3+KFC!$C$23)*KFC!$C$5</f>
        <v>163.89360000000002</v>
      </c>
      <c r="U250" s="301">
        <f>(125.7*KFC!$B$23*1.02*1.3+KFC!$C$23)*KFC!$C$5</f>
        <v>166.6782</v>
      </c>
      <c r="V250" s="301">
        <f>(127.8*KFC!$B$23*1.02*1.3+KFC!$C$23)*KFC!$C$5</f>
        <v>169.46279999999999</v>
      </c>
      <c r="W250" s="301">
        <f>(129.9*KFC!$B$23*1.02*1.3+KFC!$C$23)*KFC!$C$5</f>
        <v>172.24740000000003</v>
      </c>
      <c r="X250" s="301">
        <f>(132*KFC!$B$23*1.02*1.3+KFC!$C$23)*KFC!$C$5</f>
        <v>175.03200000000004</v>
      </c>
      <c r="Y250" s="301">
        <f>(134.1*KFC!$B$23*1.02*1.3+KFC!$C$23)*KFC!$C$5</f>
        <v>177.81660000000002</v>
      </c>
      <c r="Z250" s="301">
        <f>(136.1*KFC!$B$23*1.02*1.3+KFC!$C$23)*KFC!$C$5</f>
        <v>180.46860000000001</v>
      </c>
      <c r="AA250" s="301">
        <f>(138.1*KFC!$B$23*1.02*1.3+KFC!$C$23)*KFC!$C$5</f>
        <v>183.1206</v>
      </c>
      <c r="AB250" s="301">
        <f>(140.3*KFC!$B$23*1.02*1.3+KFC!$C$23)*KFC!$C$5</f>
        <v>186.03780000000003</v>
      </c>
      <c r="AC250" s="301">
        <f>(142.4*KFC!$B$23*1.02*1.3+KFC!$C$23)*KFC!$C$5</f>
        <v>188.82240000000004</v>
      </c>
      <c r="AD250" s="301">
        <f>(144.5*KFC!$B$23*1.02*1.3+KFC!$C$23)*KFC!$C$5</f>
        <v>191.60700000000003</v>
      </c>
      <c r="AE250" s="301">
        <f>(146.6*KFC!$B$23*1.02*1.3+KFC!$C$23)*KFC!$C$5</f>
        <v>194.39160000000001</v>
      </c>
      <c r="AF250" s="301">
        <f>(148.7*KFC!$B$23*1.02*1.3+KFC!$C$23)*KFC!$C$5</f>
        <v>197.17619999999997</v>
      </c>
      <c r="AG250" s="301">
        <f>(150.8*KFC!$B$23*1.02*1.3+KFC!$C$23)*KFC!$C$5</f>
        <v>199.96080000000001</v>
      </c>
      <c r="AH250" s="302">
        <f>(159.2*KFC!$B$23*1.02*1.3+KFC!$C$23)*KFC!$C$5</f>
        <v>211.0992</v>
      </c>
    </row>
    <row r="251" spans="1:34">
      <c r="A251" s="1781"/>
      <c r="B251" s="395">
        <v>0.6</v>
      </c>
      <c r="C251" s="303">
        <f>(89.6*KFC!$B$23*1.02*1.3+KFC!$C$23)*KFC!$C$5</f>
        <v>118.8096</v>
      </c>
      <c r="D251" s="300">
        <f>(91.9*KFC!$B$23*1.02*1.3+KFC!$C$23)*KFC!$C$5</f>
        <v>121.85940000000002</v>
      </c>
      <c r="E251" s="300">
        <f>(94.2*KFC!$B$23*1.02*1.3+KFC!$C$23)*KFC!$C$5</f>
        <v>124.90920000000001</v>
      </c>
      <c r="F251" s="300">
        <f>(96.5*KFC!$B$23*1.02*1.3+KFC!$C$23)*KFC!$C$5</f>
        <v>127.95900000000002</v>
      </c>
      <c r="G251" s="300">
        <f>(98.9*KFC!$B$23*1.02*1.3+KFC!$C$23)*KFC!$C$5</f>
        <v>131.14140000000003</v>
      </c>
      <c r="H251" s="300">
        <f>(101.2*KFC!$B$23*1.02*1.3+KFC!$C$23)*KFC!$C$5</f>
        <v>134.19120000000001</v>
      </c>
      <c r="I251" s="300">
        <f>(103.5*KFC!$B$23*1.02*1.3+KFC!$C$23)*KFC!$C$5</f>
        <v>137.24100000000001</v>
      </c>
      <c r="J251" s="300">
        <f>(105.8*KFC!$B$23*1.02*1.3+KFC!$C$23)*KFC!$C$5</f>
        <v>140.29079999999999</v>
      </c>
      <c r="K251" s="300">
        <f>(108.2*KFC!$B$23*1.02*1.3+KFC!$C$23)*KFC!$C$5</f>
        <v>143.47320000000002</v>
      </c>
      <c r="L251" s="300">
        <f>(110.5*KFC!$B$23*1.02*1.3+KFC!$C$23)*KFC!$C$5</f>
        <v>146.52300000000002</v>
      </c>
      <c r="M251" s="300">
        <f>(112.8*KFC!$B$23*1.02*1.3+KFC!$C$23)*KFC!$C$5</f>
        <v>149.5728</v>
      </c>
      <c r="N251" s="300">
        <f>(115.1*KFC!$B$23*1.02*1.3+KFC!$C$23)*KFC!$C$5</f>
        <v>152.62260000000001</v>
      </c>
      <c r="O251" s="300">
        <f>(117.5*KFC!$B$23*1.02*1.3+KFC!$C$23)*KFC!$C$5</f>
        <v>155.80500000000001</v>
      </c>
      <c r="P251" s="300">
        <f>(119.8*KFC!$B$23*1.02*1.3+KFC!$C$23)*KFC!$C$5</f>
        <v>158.85480000000001</v>
      </c>
      <c r="Q251" s="300">
        <f>(122.1*KFC!$B$23*1.02*1.3+KFC!$C$23)*KFC!$C$5</f>
        <v>161.90460000000002</v>
      </c>
      <c r="R251" s="300">
        <f>(124.5*KFC!$B$23*1.02*1.3+KFC!$C$23)*KFC!$C$5</f>
        <v>165.08700000000002</v>
      </c>
      <c r="S251" s="300">
        <f>(126.8*KFC!$B$23*1.02*1.3+KFC!$C$23)*KFC!$C$5</f>
        <v>168.13680000000002</v>
      </c>
      <c r="T251" s="300">
        <f>(129.1*KFC!$B$23*1.02*1.3+KFC!$C$23)*KFC!$C$5</f>
        <v>171.1866</v>
      </c>
      <c r="U251" s="300">
        <f>(131.4*KFC!$B$23*1.02*1.3+KFC!$C$23)*KFC!$C$5</f>
        <v>174.23640000000003</v>
      </c>
      <c r="V251" s="300">
        <f>(133.8*KFC!$B$23*1.02*1.3+KFC!$C$23)*KFC!$C$5</f>
        <v>177.41880000000003</v>
      </c>
      <c r="W251" s="300">
        <f>(136.1*KFC!$B$23*1.02*1.3+KFC!$C$23)*KFC!$C$5</f>
        <v>180.46860000000001</v>
      </c>
      <c r="X251" s="300">
        <f>(138.4*KFC!$B$23*1.02*1.3+KFC!$C$23)*KFC!$C$5</f>
        <v>183.51840000000001</v>
      </c>
      <c r="Y251" s="300">
        <f>(140.7*KFC!$B$23*1.02*1.3+KFC!$C$23)*KFC!$C$5</f>
        <v>186.56819999999999</v>
      </c>
      <c r="Z251" s="300">
        <f>(143.1*KFC!$B$23*1.02*1.3+KFC!$C$23)*KFC!$C$5</f>
        <v>189.75059999999999</v>
      </c>
      <c r="AA251" s="300">
        <f>(145.4*KFC!$B$23*1.02*1.3+KFC!$C$23)*KFC!$C$5</f>
        <v>192.80040000000002</v>
      </c>
      <c r="AB251" s="300">
        <f>(147.7*KFC!$B$23*1.02*1.3+KFC!$C$23)*KFC!$C$5</f>
        <v>195.8502</v>
      </c>
      <c r="AC251" s="300">
        <f>(150*KFC!$B$23*1.02*1.3+KFC!$C$23)*KFC!$C$5</f>
        <v>198.9</v>
      </c>
      <c r="AD251" s="300">
        <f>(152.4*KFC!$B$23*1.02*1.3+KFC!$C$23)*KFC!$C$5</f>
        <v>202.08240000000001</v>
      </c>
      <c r="AE251" s="300">
        <f>(154.7*KFC!$B$23*1.02*1.3+KFC!$C$23)*KFC!$C$5</f>
        <v>205.13219999999998</v>
      </c>
      <c r="AF251" s="300">
        <f>(157*KFC!$B$23*1.02*1.3+KFC!$C$23)*KFC!$C$5</f>
        <v>208.18200000000002</v>
      </c>
      <c r="AG251" s="300">
        <f>(159.3*KFC!$B$23*1.02*1.3+KFC!$C$23)*KFC!$C$5</f>
        <v>211.23180000000002</v>
      </c>
      <c r="AH251" s="304">
        <f>(161.7*KFC!$B$23*1.02*1.3+KFC!$C$23)*KFC!$C$5</f>
        <v>214.41419999999999</v>
      </c>
    </row>
    <row r="252" spans="1:34">
      <c r="A252" s="1781"/>
      <c r="B252" s="395">
        <v>0.7</v>
      </c>
      <c r="C252" s="303">
        <f>(91.1*KFC!$B$23*1.02*1.3+KFC!$C$23)*KFC!$C$5</f>
        <v>120.79859999999999</v>
      </c>
      <c r="D252" s="300">
        <f>(93.6*KFC!$B$23*1.02*1.3+KFC!$C$23)*KFC!$C$5</f>
        <v>124.11359999999999</v>
      </c>
      <c r="E252" s="300">
        <f>(96.2*KFC!$B$23*1.02*1.3+KFC!$C$23)*KFC!$C$5</f>
        <v>127.56120000000001</v>
      </c>
      <c r="F252" s="300">
        <f>(98.8*KFC!$B$23*1.02*1.3+KFC!$C$23)*KFC!$C$5</f>
        <v>131.00880000000001</v>
      </c>
      <c r="G252" s="300">
        <f>(101.3*KFC!$B$23*1.02*1.3+KFC!$C$23)*KFC!$C$5</f>
        <v>134.32380000000001</v>
      </c>
      <c r="H252" s="300">
        <f>(103.9*KFC!$B$23*1.02*1.3+KFC!$C$23)*KFC!$C$5</f>
        <v>137.77140000000003</v>
      </c>
      <c r="I252" s="300">
        <f>(106.4*KFC!$B$23*1.02*1.3+KFC!$C$23)*KFC!$C$5</f>
        <v>141.08640000000003</v>
      </c>
      <c r="J252" s="300">
        <f>(109*KFC!$B$23*1.02*1.3+KFC!$C$23)*KFC!$C$5</f>
        <v>144.53400000000002</v>
      </c>
      <c r="K252" s="300">
        <f>(111.6*KFC!$B$23*1.02*1.3+KFC!$C$23)*KFC!$C$5</f>
        <v>147.98159999999999</v>
      </c>
      <c r="L252" s="300">
        <f>(114.1*KFC!$B$23*1.02*1.3+KFC!$C$23)*KFC!$C$5</f>
        <v>151.29659999999998</v>
      </c>
      <c r="M252" s="300">
        <f>(116.7*KFC!$B$23*1.02*1.3+KFC!$C$23)*KFC!$C$5</f>
        <v>154.74420000000001</v>
      </c>
      <c r="N252" s="300">
        <f>(119.2*KFC!$B$23*1.02*1.3+KFC!$C$23)*KFC!$C$5</f>
        <v>158.0592</v>
      </c>
      <c r="O252" s="300">
        <f>(121.8*KFC!$B$23*1.02*1.3+KFC!$C$23)*KFC!$C$5</f>
        <v>161.5068</v>
      </c>
      <c r="P252" s="300">
        <f>(124.4*KFC!$B$23*1.02*1.3+KFC!$C$23)*KFC!$C$5</f>
        <v>164.95440000000002</v>
      </c>
      <c r="Q252" s="300">
        <f>(126.9*KFC!$B$23*1.02*1.3+KFC!$C$23)*KFC!$C$5</f>
        <v>168.26940000000002</v>
      </c>
      <c r="R252" s="300">
        <f>(129.5*KFC!$B$23*1.02*1.3+KFC!$C$23)*KFC!$C$5</f>
        <v>171.71700000000001</v>
      </c>
      <c r="S252" s="300">
        <f>(132*KFC!$B$23*1.02*1.3+KFC!$C$23)*KFC!$C$5</f>
        <v>175.03200000000004</v>
      </c>
      <c r="T252" s="300">
        <f>(134.6*KFC!$B$23*1.02*1.3+KFC!$C$23)*KFC!$C$5</f>
        <v>178.4796</v>
      </c>
      <c r="U252" s="300">
        <f>(137.2*KFC!$B$23*1.02*1.3+KFC!$C$23)*KFC!$C$5</f>
        <v>181.9272</v>
      </c>
      <c r="V252" s="300">
        <f>(139.7*KFC!$B$23*1.02*1.3+KFC!$C$23)*KFC!$C$5</f>
        <v>185.2422</v>
      </c>
      <c r="W252" s="300">
        <f>(142.3*KFC!$B$23*1.02*1.3+KFC!$C$23)*KFC!$C$5</f>
        <v>188.68980000000002</v>
      </c>
      <c r="X252" s="300">
        <f>(144.8*KFC!$B$23*1.02*1.3+KFC!$C$23)*KFC!$C$5</f>
        <v>192.00480000000005</v>
      </c>
      <c r="Y252" s="300">
        <f>(147.4*KFC!$B$23*1.02*1.3+KFC!$C$23)*KFC!$C$5</f>
        <v>195.45240000000001</v>
      </c>
      <c r="Z252" s="300">
        <f>(150*KFC!$B$23*1.02*1.3+KFC!$C$23)*KFC!$C$5</f>
        <v>198.9</v>
      </c>
      <c r="AA252" s="300">
        <f>(152.5*KFC!$B$23*1.02*1.3+KFC!$C$23)*KFC!$C$5</f>
        <v>202.21500000000003</v>
      </c>
      <c r="AB252" s="300">
        <f>(155.1*KFC!$B$23*1.02*1.3+KFC!$C$23)*KFC!$C$5</f>
        <v>205.6626</v>
      </c>
      <c r="AC252" s="300">
        <f>(157.6*KFC!$B$23*1.02*1.3+KFC!$C$23)*KFC!$C$5</f>
        <v>208.97760000000002</v>
      </c>
      <c r="AD252" s="300">
        <f>(160.2*KFC!$B$23*1.02*1.3+KFC!$C$23)*KFC!$C$5</f>
        <v>212.42519999999999</v>
      </c>
      <c r="AE252" s="300">
        <f>(162.8*KFC!$B$23*1.02*1.3+KFC!$C$23)*KFC!$C$5</f>
        <v>215.87280000000001</v>
      </c>
      <c r="AF252" s="300">
        <f>(165.3*KFC!$B$23*1.02*1.3+KFC!$C$23)*KFC!$C$5</f>
        <v>219.18780000000004</v>
      </c>
      <c r="AG252" s="300">
        <f>(167.9*KFC!$B$23*1.02*1.3+KFC!$C$23)*KFC!$C$5</f>
        <v>222.63540000000003</v>
      </c>
      <c r="AH252" s="304">
        <f>(170.4*KFC!$B$23*1.02*1.3+KFC!$C$23)*KFC!$C$5</f>
        <v>225.95040000000003</v>
      </c>
    </row>
    <row r="253" spans="1:34">
      <c r="A253" s="1781"/>
      <c r="B253" s="395">
        <v>0.8</v>
      </c>
      <c r="C253" s="303">
        <f>(92.6*KFC!$B$23*1.02*1.3+KFC!$C$23)*KFC!$C$5</f>
        <v>122.7876</v>
      </c>
      <c r="D253" s="300">
        <f>(95.4*KFC!$B$23*1.02*1.3+KFC!$C$23)*KFC!$C$5</f>
        <v>126.50040000000001</v>
      </c>
      <c r="E253" s="300">
        <f>(98.2*KFC!$B$23*1.02*1.3+KFC!$C$23)*KFC!$C$5</f>
        <v>130.2132</v>
      </c>
      <c r="F253" s="300">
        <f>(101*KFC!$B$23*1.02*1.3+KFC!$C$23)*KFC!$C$5</f>
        <v>133.92599999999999</v>
      </c>
      <c r="G253" s="300">
        <f>(103.8*KFC!$B$23*1.02*1.3+KFC!$C$23)*KFC!$C$5</f>
        <v>137.6388</v>
      </c>
      <c r="H253" s="300">
        <f>(106.6*KFC!$B$23*1.02*1.3+KFC!$C$23)*KFC!$C$5</f>
        <v>141.35159999999999</v>
      </c>
      <c r="I253" s="300">
        <f>(109.4*KFC!$B$23*1.02*1.3+KFC!$C$23)*KFC!$C$5</f>
        <v>145.06440000000001</v>
      </c>
      <c r="J253" s="300">
        <f>(112.2*KFC!$B$23*1.02*1.3+KFC!$C$23)*KFC!$C$5</f>
        <v>148.77720000000002</v>
      </c>
      <c r="K253" s="300">
        <f>(114.9*KFC!$B$23*1.02*1.3+KFC!$C$23)*KFC!$C$5</f>
        <v>152.35740000000001</v>
      </c>
      <c r="L253" s="300">
        <f>(117.7*KFC!$B$23*1.02*1.3+KFC!$C$23)*KFC!$C$5</f>
        <v>156.0702</v>
      </c>
      <c r="M253" s="300">
        <f>(120.5*KFC!$B$23*1.02*1.3+KFC!$C$23)*KFC!$C$5</f>
        <v>159.78299999999999</v>
      </c>
      <c r="N253" s="300">
        <f>(123.3*KFC!$B$23*1.02*1.3+KFC!$C$23)*KFC!$C$5</f>
        <v>163.4958</v>
      </c>
      <c r="O253" s="300">
        <f>(126.1*KFC!$B$23*1.02*1.3+KFC!$C$23)*KFC!$C$5</f>
        <v>167.20859999999999</v>
      </c>
      <c r="P253" s="300">
        <f>(128.9*KFC!$B$23*1.02*1.3+KFC!$C$23)*KFC!$C$5</f>
        <v>170.92140000000001</v>
      </c>
      <c r="Q253" s="300">
        <f>(131.7*KFC!$B$23*1.02*1.3+KFC!$C$23)*KFC!$C$5</f>
        <v>174.63420000000002</v>
      </c>
      <c r="R253" s="300">
        <f>(134.5*KFC!$B$23*1.02*1.3+KFC!$C$23)*KFC!$C$5</f>
        <v>178.34700000000001</v>
      </c>
      <c r="S253" s="300">
        <f>(137.3*KFC!$B$23*1.02*1.3+KFC!$C$23)*KFC!$C$5</f>
        <v>182.05980000000002</v>
      </c>
      <c r="T253" s="300">
        <f>(140.1*KFC!$B$23*1.02*1.3+KFC!$C$23)*KFC!$C$5</f>
        <v>185.77259999999998</v>
      </c>
      <c r="U253" s="300">
        <f>(142.9*KFC!$B$23*1.02*1.3+KFC!$C$23)*KFC!$C$5</f>
        <v>189.48540000000003</v>
      </c>
      <c r="V253" s="300">
        <f>(145.7*KFC!$B$23*1.02*1.3+KFC!$C$23)*KFC!$C$5</f>
        <v>193.19820000000001</v>
      </c>
      <c r="W253" s="300">
        <f>(148.5*KFC!$B$23*1.02*1.3+KFC!$C$23)*KFC!$C$5</f>
        <v>196.911</v>
      </c>
      <c r="X253" s="300">
        <f>(151.3*KFC!$B$23*1.02*1.3+KFC!$C$23)*KFC!$C$5</f>
        <v>200.62380000000005</v>
      </c>
      <c r="Y253" s="300">
        <f>(154.1*KFC!$B$23*1.02*1.3+KFC!$C$23)*KFC!$C$5</f>
        <v>204.3366</v>
      </c>
      <c r="Z253" s="300">
        <f>(156.9*KFC!$B$23*1.02*1.3+KFC!$C$23)*KFC!$C$5</f>
        <v>208.04940000000002</v>
      </c>
      <c r="AA253" s="300">
        <f>(159.7*KFC!$B$23*1.02*1.3+KFC!$C$23)*KFC!$C$5</f>
        <v>211.76220000000001</v>
      </c>
      <c r="AB253" s="300">
        <f>(162.5*KFC!$B$23*1.02*1.3+KFC!$C$23)*KFC!$C$5</f>
        <v>215.47499999999999</v>
      </c>
      <c r="AC253" s="300">
        <f>(165.3*KFC!$B$23*1.02*1.3+KFC!$C$23)*KFC!$C$5</f>
        <v>219.18780000000004</v>
      </c>
      <c r="AD253" s="300">
        <f>(168*KFC!$B$23*1.02*1.3+KFC!$C$23)*KFC!$C$5</f>
        <v>222.76800000000003</v>
      </c>
      <c r="AE253" s="300">
        <f>(170.8*KFC!$B$23*1.02*1.3+KFC!$C$23)*KFC!$C$5</f>
        <v>226.48080000000002</v>
      </c>
      <c r="AF253" s="300">
        <f>(173.6*KFC!$B$23*1.02*1.3+KFC!$C$23)*KFC!$C$5</f>
        <v>230.1936</v>
      </c>
      <c r="AG253" s="300">
        <f>(176.4*KFC!$B$23*1.02*1.3+KFC!$C$23)*KFC!$C$5</f>
        <v>233.90639999999999</v>
      </c>
      <c r="AH253" s="304">
        <f>(179.2*KFC!$B$23*1.02*1.3+KFC!$C$23)*KFC!$C$5</f>
        <v>237.61920000000001</v>
      </c>
    </row>
    <row r="254" spans="1:34">
      <c r="A254" s="1781"/>
      <c r="B254" s="395">
        <v>0.9</v>
      </c>
      <c r="C254" s="303">
        <f>(94.1*KFC!$B$23*1.02*1.3+KFC!$C$23)*KFC!$C$5</f>
        <v>124.7766</v>
      </c>
      <c r="D254" s="300">
        <f>(97.1*KFC!$B$23*1.02*1.3+KFC!$C$23)*KFC!$C$5</f>
        <v>128.75460000000001</v>
      </c>
      <c r="E254" s="300">
        <f>(100.2*KFC!$B$23*1.02*1.3+KFC!$C$23)*KFC!$C$5</f>
        <v>132.86520000000002</v>
      </c>
      <c r="F254" s="300">
        <f>(103.2*KFC!$B$23*1.02*1.3+KFC!$C$23)*KFC!$C$5</f>
        <v>136.84320000000002</v>
      </c>
      <c r="G254" s="300">
        <f>(106.2*KFC!$B$23*1.02*1.3+KFC!$C$23)*KFC!$C$5</f>
        <v>140.8212</v>
      </c>
      <c r="H254" s="300">
        <f>(109.3*KFC!$B$23*1.02*1.3+KFC!$C$23)*KFC!$C$5</f>
        <v>144.93180000000001</v>
      </c>
      <c r="I254" s="300">
        <f>(112.3*KFC!$B$23*1.02*1.3+KFC!$C$23)*KFC!$C$5</f>
        <v>148.90979999999999</v>
      </c>
      <c r="J254" s="300">
        <f>(115.3*KFC!$B$23*1.02*1.3+KFC!$C$23)*KFC!$C$5</f>
        <v>152.8878</v>
      </c>
      <c r="K254" s="300">
        <f>(118.3*KFC!$B$23*1.02*1.3+KFC!$C$23)*KFC!$C$5</f>
        <v>156.86580000000001</v>
      </c>
      <c r="L254" s="300">
        <f>(121.4*KFC!$B$23*1.02*1.3+KFC!$C$23)*KFC!$C$5</f>
        <v>160.97640000000001</v>
      </c>
      <c r="M254" s="300">
        <f>(124.4*KFC!$B$23*1.02*1.3+KFC!$C$23)*KFC!$C$5</f>
        <v>164.95440000000002</v>
      </c>
      <c r="N254" s="300">
        <f>(127.4*KFC!$B$23*1.02*1.3+KFC!$C$23)*KFC!$C$5</f>
        <v>168.93240000000003</v>
      </c>
      <c r="O254" s="300">
        <f>(130.5*KFC!$B$23*1.02*1.3+KFC!$C$23)*KFC!$C$5</f>
        <v>173.04300000000003</v>
      </c>
      <c r="P254" s="300">
        <f>(133.5*KFC!$B$23*1.02*1.3+KFC!$C$23)*KFC!$C$5</f>
        <v>177.02100000000002</v>
      </c>
      <c r="Q254" s="300">
        <f>(136.5*KFC!$B$23*1.02*1.3+KFC!$C$23)*KFC!$C$5</f>
        <v>180.999</v>
      </c>
      <c r="R254" s="300">
        <f>(139.5*KFC!$B$23*1.02*1.3+KFC!$C$23)*KFC!$C$5</f>
        <v>184.977</v>
      </c>
      <c r="S254" s="300">
        <f>(142.6*KFC!$B$23*1.02*1.3+KFC!$C$23)*KFC!$C$5</f>
        <v>189.08760000000001</v>
      </c>
      <c r="T254" s="300">
        <f>(145.6*KFC!$B$23*1.02*1.3+KFC!$C$23)*KFC!$C$5</f>
        <v>193.06560000000002</v>
      </c>
      <c r="U254" s="300">
        <f>(148.6*KFC!$B$23*1.02*1.3+KFC!$C$23)*KFC!$C$5</f>
        <v>197.0436</v>
      </c>
      <c r="V254" s="300">
        <f>(151.7*KFC!$B$23*1.02*1.3+KFC!$C$23)*KFC!$C$5</f>
        <v>201.15419999999997</v>
      </c>
      <c r="W254" s="300">
        <f>(154.7*KFC!$B$23*1.02*1.3+KFC!$C$23)*KFC!$C$5</f>
        <v>205.13219999999998</v>
      </c>
      <c r="X254" s="300">
        <f>(157.7*KFC!$B$23*1.02*1.3+KFC!$C$23)*KFC!$C$5</f>
        <v>209.11019999999999</v>
      </c>
      <c r="Y254" s="300">
        <f>(160.7*KFC!$B$23*1.02*1.3+KFC!$C$23)*KFC!$C$5</f>
        <v>213.0882</v>
      </c>
      <c r="Z254" s="300">
        <f>(163.8*KFC!$B$23*1.02*1.3+KFC!$C$23)*KFC!$C$5</f>
        <v>217.19880000000003</v>
      </c>
      <c r="AA254" s="300">
        <f>(166.8*KFC!$B$23*1.02*1.3+KFC!$C$23)*KFC!$C$5</f>
        <v>221.17680000000004</v>
      </c>
      <c r="AB254" s="300">
        <f>(169.8*KFC!$B$23*1.02*1.3+KFC!$C$23)*KFC!$C$5</f>
        <v>225.15480000000005</v>
      </c>
      <c r="AC254" s="300">
        <f>(172.9*KFC!$B$23*1.02*1.3+KFC!$C$23)*KFC!$C$5</f>
        <v>229.2654</v>
      </c>
      <c r="AD254" s="300">
        <f>(175.9*KFC!$B$23*1.02*1.3+KFC!$C$23)*KFC!$C$5</f>
        <v>233.24340000000001</v>
      </c>
      <c r="AE254" s="300">
        <f>(178.9*KFC!$B$23*1.02*1.3+KFC!$C$23)*KFC!$C$5</f>
        <v>237.22140000000002</v>
      </c>
      <c r="AF254" s="300">
        <f>(182*KFC!$B$23*1.02*1.3+KFC!$C$23)*KFC!$C$5</f>
        <v>241.33200000000002</v>
      </c>
      <c r="AG254" s="300">
        <f>(185*KFC!$B$23*1.02*1.3+KFC!$C$23)*KFC!$C$5</f>
        <v>245.31000000000003</v>
      </c>
      <c r="AH254" s="304">
        <f>(188*KFC!$B$23*1.02*1.3+KFC!$C$23)*KFC!$C$5</f>
        <v>249.28799999999998</v>
      </c>
    </row>
    <row r="255" spans="1:34">
      <c r="A255" s="1781"/>
      <c r="B255" s="395">
        <v>1</v>
      </c>
      <c r="C255" s="303">
        <f>(95.6*KFC!$B$23*1.02*1.3+KFC!$C$23)*KFC!$C$5</f>
        <v>126.76560000000001</v>
      </c>
      <c r="D255" s="300">
        <f>(98.9*KFC!$B$23*1.02*1.3+KFC!$C$23)*KFC!$C$5</f>
        <v>131.14140000000003</v>
      </c>
      <c r="E255" s="300">
        <f>(102.1*KFC!$B$23*1.02*1.3+KFC!$C$23)*KFC!$C$5</f>
        <v>135.38460000000001</v>
      </c>
      <c r="F255" s="300">
        <f>(105.4*KFC!$B$23*1.02*1.3+KFC!$C$23)*KFC!$C$5</f>
        <v>139.7604</v>
      </c>
      <c r="G255" s="300">
        <f>(108.7*KFC!$B$23*1.02*1.3+KFC!$C$23)*KFC!$C$5</f>
        <v>144.13620000000003</v>
      </c>
      <c r="H255" s="300">
        <f>(111.9*KFC!$B$23*1.02*1.3+KFC!$C$23)*KFC!$C$5</f>
        <v>148.3794</v>
      </c>
      <c r="I255" s="300">
        <f>(115.2*KFC!$B$23*1.02*1.3+KFC!$C$23)*KFC!$C$5</f>
        <v>152.7552</v>
      </c>
      <c r="J255" s="300">
        <f>(118.5*KFC!$B$23*1.02*1.3+KFC!$C$23)*KFC!$C$5</f>
        <v>157.131</v>
      </c>
      <c r="K255" s="300">
        <f>(121.7*KFC!$B$23*1.02*1.3+KFC!$C$23)*KFC!$C$5</f>
        <v>161.3742</v>
      </c>
      <c r="L255" s="300">
        <f>(125*KFC!$B$23*1.02*1.3+KFC!$C$23)*KFC!$C$5</f>
        <v>165.75</v>
      </c>
      <c r="M255" s="300">
        <f>(128.3*KFC!$B$23*1.02*1.3+KFC!$C$23)*KFC!$C$5</f>
        <v>170.12580000000003</v>
      </c>
      <c r="N255" s="300">
        <f>(131.5*KFC!$B$23*1.02*1.3+KFC!$C$23)*KFC!$C$5</f>
        <v>174.369</v>
      </c>
      <c r="O255" s="300">
        <f>(134.8*KFC!$B$23*1.02*1.3+KFC!$C$23)*KFC!$C$5</f>
        <v>178.74480000000003</v>
      </c>
      <c r="P255" s="300">
        <f>(138*KFC!$B$23*1.02*1.3+KFC!$C$23)*KFC!$C$5</f>
        <v>182.988</v>
      </c>
      <c r="Q255" s="300">
        <f>(141.3*KFC!$B$23*1.02*1.3+KFC!$C$23)*KFC!$C$5</f>
        <v>187.36380000000003</v>
      </c>
      <c r="R255" s="300">
        <f>(144.6*KFC!$B$23*1.02*1.3+KFC!$C$23)*KFC!$C$5</f>
        <v>191.7396</v>
      </c>
      <c r="S255" s="300">
        <f>(147.8*KFC!$B$23*1.02*1.3+KFC!$C$23)*KFC!$C$5</f>
        <v>195.9828</v>
      </c>
      <c r="T255" s="300">
        <f>(151.1*KFC!$B$23*1.02*1.3+KFC!$C$23)*KFC!$C$5</f>
        <v>200.3586</v>
      </c>
      <c r="U255" s="300">
        <f>(154.4*KFC!$B$23*1.02*1.3+KFC!$C$23)*KFC!$C$5</f>
        <v>204.73439999999999</v>
      </c>
      <c r="V255" s="300">
        <f>(157.6*KFC!$B$23*1.02*1.3+KFC!$C$23)*KFC!$C$5</f>
        <v>208.97760000000002</v>
      </c>
      <c r="W255" s="300">
        <f>(160.9*KFC!$B$23*1.02*1.3+KFC!$C$23)*KFC!$C$5</f>
        <v>213.35339999999999</v>
      </c>
      <c r="X255" s="300">
        <f>(164.2*KFC!$B$23*1.02*1.3+KFC!$C$23)*KFC!$C$5</f>
        <v>217.72919999999999</v>
      </c>
      <c r="Y255" s="300">
        <f>(167.4*KFC!$B$23*1.02*1.3+KFC!$C$23)*KFC!$C$5</f>
        <v>221.97240000000002</v>
      </c>
      <c r="Z255" s="300">
        <f>(170.7*KFC!$B$23*1.02*1.3+KFC!$C$23)*KFC!$C$5</f>
        <v>226.34820000000002</v>
      </c>
      <c r="AA255" s="300">
        <f>(173.9*KFC!$B$23*1.02*1.3+KFC!$C$23)*KFC!$C$5</f>
        <v>230.59140000000002</v>
      </c>
      <c r="AB255" s="300">
        <f>(177.2*KFC!$B$23*1.02*1.3+KFC!$C$23)*KFC!$C$5</f>
        <v>234.96720000000002</v>
      </c>
      <c r="AC255" s="300">
        <f>(180.5*KFC!$B$23*1.02*1.3+KFC!$C$23)*KFC!$C$5</f>
        <v>239.34300000000002</v>
      </c>
      <c r="AD255" s="300">
        <f>(183.7*KFC!$B$23*1.02*1.3+KFC!$C$23)*KFC!$C$5</f>
        <v>243.58619999999999</v>
      </c>
      <c r="AE255" s="300">
        <f>(187*KFC!$B$23*1.02*1.3+KFC!$C$23)*KFC!$C$5</f>
        <v>247.96200000000002</v>
      </c>
      <c r="AF255" s="300">
        <f>(190.3*KFC!$B$23*1.02*1.3+KFC!$C$23)*KFC!$C$5</f>
        <v>252.33780000000004</v>
      </c>
      <c r="AG255" s="300">
        <f>(193.5*KFC!$B$23*1.02*1.3+KFC!$C$23)*KFC!$C$5</f>
        <v>256.58100000000002</v>
      </c>
      <c r="AH255" s="304">
        <f>(196.8*KFC!$B$23*1.02*1.3+KFC!$C$23)*KFC!$C$5</f>
        <v>260.95680000000004</v>
      </c>
    </row>
    <row r="256" spans="1:34">
      <c r="A256" s="1781"/>
      <c r="B256" s="395">
        <v>1.1000000000000001</v>
      </c>
      <c r="C256" s="303">
        <f>(97.1*KFC!$B$23*1.02*1.3+KFC!$C$23)*KFC!$C$5</f>
        <v>128.75460000000001</v>
      </c>
      <c r="D256" s="300">
        <f>(100.6*KFC!$B$23*1.02*1.3+KFC!$C$23)*KFC!$C$5</f>
        <v>133.3956</v>
      </c>
      <c r="E256" s="300">
        <f>(104.1*KFC!$B$23*1.02*1.3+KFC!$C$23)*KFC!$C$5</f>
        <v>138.03660000000002</v>
      </c>
      <c r="F256" s="300">
        <f>(107.6*KFC!$B$23*1.02*1.3+KFC!$C$23)*KFC!$C$5</f>
        <v>142.67760000000001</v>
      </c>
      <c r="G256" s="300">
        <f>(111.1*KFC!$B$23*1.02*1.3+KFC!$C$23)*KFC!$C$5</f>
        <v>147.3186</v>
      </c>
      <c r="H256" s="300">
        <f>(114.6*KFC!$B$23*1.02*1.3+KFC!$C$23)*KFC!$C$5</f>
        <v>151.95959999999999</v>
      </c>
      <c r="I256" s="300">
        <f>(118.1*KFC!$B$23*1.02*1.3+KFC!$C$23)*KFC!$C$5</f>
        <v>156.60060000000001</v>
      </c>
      <c r="J256" s="300">
        <f>(121.6*KFC!$B$23*1.02*1.3+KFC!$C$23)*KFC!$C$5</f>
        <v>161.24160000000001</v>
      </c>
      <c r="K256" s="300">
        <f>(125.1*KFC!$B$23*1.02*1.3+KFC!$C$23)*KFC!$C$5</f>
        <v>165.8826</v>
      </c>
      <c r="L256" s="300">
        <f>(128.6*KFC!$B$23*1.02*1.3+KFC!$C$23)*KFC!$C$5</f>
        <v>170.52360000000002</v>
      </c>
      <c r="M256" s="300">
        <f>(132.1*KFC!$B$23*1.02*1.3+KFC!$C$23)*KFC!$C$5</f>
        <v>175.16460000000001</v>
      </c>
      <c r="N256" s="300">
        <f>(135.6*KFC!$B$23*1.02*1.3+KFC!$C$23)*KFC!$C$5</f>
        <v>179.8056</v>
      </c>
      <c r="O256" s="300">
        <f>(139.1*KFC!$B$23*1.02*1.3+KFC!$C$23)*KFC!$C$5</f>
        <v>184.44660000000002</v>
      </c>
      <c r="P256" s="300">
        <f>(142.6*KFC!$B$23*1.02*1.3+KFC!$C$23)*KFC!$C$5</f>
        <v>189.08760000000001</v>
      </c>
      <c r="Q256" s="300">
        <f>(146.1*KFC!$B$23*1.02*1.3+KFC!$C$23)*KFC!$C$5</f>
        <v>193.7286</v>
      </c>
      <c r="R256" s="300">
        <f>(149.6*KFC!$B$23*1.02*1.3+KFC!$C$23)*KFC!$C$5</f>
        <v>198.36959999999999</v>
      </c>
      <c r="S256" s="300">
        <f>(153.1*KFC!$B$23*1.02*1.3+KFC!$C$23)*KFC!$C$5</f>
        <v>203.01060000000001</v>
      </c>
      <c r="T256" s="300">
        <f>(156.6*KFC!$B$23*1.02*1.3+KFC!$C$23)*KFC!$C$5</f>
        <v>207.6516</v>
      </c>
      <c r="U256" s="300">
        <f>(160.1*KFC!$B$23*1.02*1.3+KFC!$C$23)*KFC!$C$5</f>
        <v>212.29259999999999</v>
      </c>
      <c r="V256" s="300">
        <f>(163.6*KFC!$B$23*1.02*1.3+KFC!$C$23)*KFC!$C$5</f>
        <v>216.93359999999998</v>
      </c>
      <c r="W256" s="300">
        <f>(167.1*KFC!$B$23*1.02*1.3+KFC!$C$23)*KFC!$C$5</f>
        <v>221.5746</v>
      </c>
      <c r="X256" s="300">
        <f>(170.6*KFC!$B$23*1.02*1.3+KFC!$C$23)*KFC!$C$5</f>
        <v>226.21559999999999</v>
      </c>
      <c r="Y256" s="300">
        <f>(174.1*KFC!$B$23*1.02*1.3+KFC!$C$23)*KFC!$C$5</f>
        <v>230.85659999999999</v>
      </c>
      <c r="Z256" s="300">
        <f>(177.6*KFC!$B$23*1.02*1.3+KFC!$C$23)*KFC!$C$5</f>
        <v>235.49759999999998</v>
      </c>
      <c r="AA256" s="300">
        <f>(181.1*KFC!$B$23*1.02*1.3+KFC!$C$23)*KFC!$C$5</f>
        <v>240.13860000000003</v>
      </c>
      <c r="AB256" s="300">
        <f>(184.6*KFC!$B$23*1.02*1.3+KFC!$C$23)*KFC!$C$5</f>
        <v>244.77960000000002</v>
      </c>
      <c r="AC256" s="300">
        <f>(188.1*KFC!$B$23*1.02*1.3+KFC!$C$23)*KFC!$C$5</f>
        <v>249.42060000000001</v>
      </c>
      <c r="AD256" s="300">
        <f>(191.6*KFC!$B$23*1.02*1.3+KFC!$C$23)*KFC!$C$5</f>
        <v>254.0616</v>
      </c>
      <c r="AE256" s="300">
        <f>(195.1*KFC!$B$23*1.02*1.3+KFC!$C$23)*KFC!$C$5</f>
        <v>258.70260000000002</v>
      </c>
      <c r="AF256" s="300">
        <f>(198.6*KFC!$B$23*1.02*1.3+KFC!$C$23)*KFC!$C$5</f>
        <v>263.34360000000004</v>
      </c>
      <c r="AG256" s="300">
        <f>(202.1*KFC!$B$23*1.02*1.3+KFC!$C$23)*KFC!$C$5</f>
        <v>267.9846</v>
      </c>
      <c r="AH256" s="304">
        <f>(205.6*KFC!$B$23*1.02*1.3+KFC!$C$23)*KFC!$C$5</f>
        <v>272.62560000000002</v>
      </c>
    </row>
    <row r="257" spans="1:34">
      <c r="A257" s="1781"/>
      <c r="B257" s="395">
        <v>1.2</v>
      </c>
      <c r="C257" s="303">
        <f>(98.6*KFC!$B$23*1.02*1.3+KFC!$C$23)*KFC!$C$5</f>
        <v>130.74360000000001</v>
      </c>
      <c r="D257" s="300">
        <f>(102.4*KFC!$B$23*1.02*1.3+KFC!$C$23)*KFC!$C$5</f>
        <v>135.78240000000002</v>
      </c>
      <c r="E257" s="300">
        <f>(106.1*KFC!$B$23*1.02*1.3+KFC!$C$23)*KFC!$C$5</f>
        <v>140.68860000000001</v>
      </c>
      <c r="F257" s="300">
        <f>(109.8*KFC!$B$23*1.02*1.3+KFC!$C$23)*KFC!$C$5</f>
        <v>145.59479999999999</v>
      </c>
      <c r="G257" s="300">
        <f>(113.6*KFC!$B$23*1.02*1.3+KFC!$C$23)*KFC!$C$5</f>
        <v>150.6336</v>
      </c>
      <c r="H257" s="300">
        <f>(117.3*KFC!$B$23*1.02*1.3+KFC!$C$23)*KFC!$C$5</f>
        <v>155.53980000000001</v>
      </c>
      <c r="I257" s="300">
        <f>(121*KFC!$B$23*1.02*1.3+KFC!$C$23)*KFC!$C$5</f>
        <v>160.446</v>
      </c>
      <c r="J257" s="300">
        <f>(124.8*KFC!$B$23*1.02*1.3+KFC!$C$23)*KFC!$C$5</f>
        <v>165.48480000000001</v>
      </c>
      <c r="K257" s="300">
        <f>(128.5*KFC!$B$23*1.02*1.3+KFC!$C$23)*KFC!$C$5</f>
        <v>170.39099999999999</v>
      </c>
      <c r="L257" s="300">
        <f>(132.2*KFC!$B$23*1.02*1.3+KFC!$C$23)*KFC!$C$5</f>
        <v>175.2972</v>
      </c>
      <c r="M257" s="300">
        <f>(136*KFC!$B$23*1.02*1.3+KFC!$C$23)*KFC!$C$5</f>
        <v>180.33600000000001</v>
      </c>
      <c r="N257" s="300">
        <f>(139.7*KFC!$B$23*1.02*1.3+KFC!$C$23)*KFC!$C$5</f>
        <v>185.2422</v>
      </c>
      <c r="O257" s="300">
        <f>(143.4*KFC!$B$23*1.02*1.3+KFC!$C$23)*KFC!$C$5</f>
        <v>190.14840000000001</v>
      </c>
      <c r="P257" s="300">
        <f>(147.2*KFC!$B$23*1.02*1.3+KFC!$C$23)*KFC!$C$5</f>
        <v>195.18719999999999</v>
      </c>
      <c r="Q257" s="300">
        <f>(150.9*KFC!$B$23*1.02*1.3+KFC!$C$23)*KFC!$C$5</f>
        <v>200.0934</v>
      </c>
      <c r="R257" s="300">
        <f>(154.6*KFC!$B$23*1.02*1.3+KFC!$C$23)*KFC!$C$5</f>
        <v>204.99960000000002</v>
      </c>
      <c r="S257" s="300">
        <f>(158.4*KFC!$B$23*1.02*1.3+KFC!$C$23)*KFC!$C$5</f>
        <v>210.03840000000002</v>
      </c>
      <c r="T257" s="300">
        <f>(162.1*KFC!$B$23*1.02*1.3+KFC!$C$23)*KFC!$C$5</f>
        <v>214.94459999999998</v>
      </c>
      <c r="U257" s="300">
        <f>(165.8*KFC!$B$23*1.02*1.3+KFC!$C$23)*KFC!$C$5</f>
        <v>219.85080000000002</v>
      </c>
      <c r="V257" s="300">
        <f>(169.6*KFC!$B$23*1.02*1.3+KFC!$C$23)*KFC!$C$5</f>
        <v>224.8896</v>
      </c>
      <c r="W257" s="300">
        <f>(173.3*KFC!$B$23*1.02*1.3+KFC!$C$23)*KFC!$C$5</f>
        <v>229.79580000000004</v>
      </c>
      <c r="X257" s="300">
        <f>(177*KFC!$B$23*1.02*1.3+KFC!$C$23)*KFC!$C$5</f>
        <v>234.702</v>
      </c>
      <c r="Y257" s="300">
        <f>(180.8*KFC!$B$23*1.02*1.3+KFC!$C$23)*KFC!$C$5</f>
        <v>239.74080000000004</v>
      </c>
      <c r="Z257" s="300">
        <f>(184.5*KFC!$B$23*1.02*1.3+KFC!$C$23)*KFC!$C$5</f>
        <v>244.64699999999999</v>
      </c>
      <c r="AA257" s="300">
        <f>(188.2*KFC!$B$23*1.02*1.3+KFC!$C$23)*KFC!$C$5</f>
        <v>249.5532</v>
      </c>
      <c r="AB257" s="300">
        <f>(192*KFC!$B$23*1.02*1.3+KFC!$C$23)*KFC!$C$5</f>
        <v>254.59200000000001</v>
      </c>
      <c r="AC257" s="300">
        <f>(195.7*KFC!$B$23*1.02*1.3+KFC!$C$23)*KFC!$C$5</f>
        <v>259.4982</v>
      </c>
      <c r="AD257" s="300">
        <f>(199.4*KFC!$B$23*1.02*1.3+KFC!$C$23)*KFC!$C$5</f>
        <v>264.40440000000001</v>
      </c>
      <c r="AE257" s="300">
        <f>(203.2*KFC!$B$23*1.02*1.3+KFC!$C$23)*KFC!$C$5</f>
        <v>269.44319999999999</v>
      </c>
      <c r="AF257" s="300">
        <f>(206.9*KFC!$B$23*1.02*1.3+KFC!$C$23)*KFC!$C$5</f>
        <v>274.3494</v>
      </c>
      <c r="AG257" s="300">
        <f>(210.6*KFC!$B$23*1.02*1.3+KFC!$C$23)*KFC!$C$5</f>
        <v>279.25560000000002</v>
      </c>
      <c r="AH257" s="304">
        <f>(214.4*KFC!$B$23*1.02*1.3+KFC!$C$23)*KFC!$C$5</f>
        <v>284.29440000000005</v>
      </c>
    </row>
    <row r="258" spans="1:34">
      <c r="A258" s="1781"/>
      <c r="B258" s="395">
        <v>1.3</v>
      </c>
      <c r="C258" s="303">
        <f>(100.2*KFC!$B$23*1.02*1.3+KFC!$C$23)*KFC!$C$5</f>
        <v>132.86520000000002</v>
      </c>
      <c r="D258" s="300">
        <f>(104.1*KFC!$B$23*1.02*1.3+KFC!$C$23)*KFC!$C$5</f>
        <v>138.03660000000002</v>
      </c>
      <c r="E258" s="300">
        <f>(108.1*KFC!$B$23*1.02*1.3+KFC!$C$23)*KFC!$C$5</f>
        <v>143.34059999999999</v>
      </c>
      <c r="F258" s="300">
        <f>(112.1*KFC!$B$23*1.02*1.3+KFC!$C$23)*KFC!$C$5</f>
        <v>148.6446</v>
      </c>
      <c r="G258" s="300">
        <f>(116*KFC!$B$23*1.02*1.3+KFC!$C$23)*KFC!$C$5</f>
        <v>153.816</v>
      </c>
      <c r="H258" s="300">
        <f>(120*KFC!$B$23*1.02*1.3+KFC!$C$23)*KFC!$C$5</f>
        <v>159.12</v>
      </c>
      <c r="I258" s="300">
        <f>(124*KFC!$B$23*1.02*1.3+KFC!$C$23)*KFC!$C$5</f>
        <v>164.42400000000001</v>
      </c>
      <c r="J258" s="300">
        <f>(127.9*KFC!$B$23*1.02*1.3+KFC!$C$23)*KFC!$C$5</f>
        <v>169.59540000000001</v>
      </c>
      <c r="K258" s="300">
        <f>(131.9*KFC!$B$23*1.02*1.3+KFC!$C$23)*KFC!$C$5</f>
        <v>174.89940000000001</v>
      </c>
      <c r="L258" s="300">
        <f>(135.9*KFC!$B$23*1.02*1.3+KFC!$C$23)*KFC!$C$5</f>
        <v>180.20339999999999</v>
      </c>
      <c r="M258" s="300">
        <f>(139.8*KFC!$B$23*1.02*1.3+KFC!$C$23)*KFC!$C$5</f>
        <v>185.37480000000002</v>
      </c>
      <c r="N258" s="300">
        <f>(143.8*KFC!$B$23*1.02*1.3+KFC!$C$23)*KFC!$C$5</f>
        <v>190.67880000000002</v>
      </c>
      <c r="O258" s="300">
        <f>(147.8*KFC!$B$23*1.02*1.3+KFC!$C$23)*KFC!$C$5</f>
        <v>195.9828</v>
      </c>
      <c r="P258" s="300">
        <f>(151.7*KFC!$B$23*1.02*1.3+KFC!$C$23)*KFC!$C$5</f>
        <v>201.15419999999997</v>
      </c>
      <c r="Q258" s="300">
        <f>(155.7*KFC!$B$23*1.02*1.3+KFC!$C$23)*KFC!$C$5</f>
        <v>206.45820000000001</v>
      </c>
      <c r="R258" s="300">
        <f>(159.7*KFC!$B$23*1.02*1.3+KFC!$C$23)*KFC!$C$5</f>
        <v>211.76220000000001</v>
      </c>
      <c r="S258" s="300">
        <f>(163.6*KFC!$B$23*1.02*1.3+KFC!$C$23)*KFC!$C$5</f>
        <v>216.93359999999998</v>
      </c>
      <c r="T258" s="300">
        <f>(167.6*KFC!$B$23*1.02*1.3+KFC!$C$23)*KFC!$C$5</f>
        <v>222.23760000000001</v>
      </c>
      <c r="U258" s="300">
        <f>(171.6*KFC!$B$23*1.02*1.3+KFC!$C$23)*KFC!$C$5</f>
        <v>227.54160000000002</v>
      </c>
      <c r="V258" s="300">
        <f>(175.5*KFC!$B$23*1.02*1.3+KFC!$C$23)*KFC!$C$5</f>
        <v>232.71299999999999</v>
      </c>
      <c r="W258" s="300">
        <f>(179.5*KFC!$B$23*1.02*1.3+KFC!$C$23)*KFC!$C$5</f>
        <v>238.01700000000002</v>
      </c>
      <c r="X258" s="300">
        <f>(183.5*KFC!$B$23*1.02*1.3+KFC!$C$23)*KFC!$C$5</f>
        <v>243.32100000000003</v>
      </c>
      <c r="Y258" s="300">
        <f>(187.4*KFC!$B$23*1.02*1.3+KFC!$C$23)*KFC!$C$5</f>
        <v>248.4924</v>
      </c>
      <c r="Z258" s="300">
        <f>(191.4*KFC!$B$23*1.02*1.3+KFC!$C$23)*KFC!$C$5</f>
        <v>253.79640000000003</v>
      </c>
      <c r="AA258" s="300">
        <f>(195.4*KFC!$B$23*1.02*1.3+KFC!$C$23)*KFC!$C$5</f>
        <v>259.10040000000004</v>
      </c>
      <c r="AB258" s="300">
        <f>(199.3*KFC!$B$23*1.02*1.3+KFC!$C$23)*KFC!$C$5</f>
        <v>264.27179999999998</v>
      </c>
      <c r="AC258" s="300">
        <f>(203.3*KFC!$B$23*1.02*1.3+KFC!$C$23)*KFC!$C$5</f>
        <v>269.57580000000002</v>
      </c>
      <c r="AD258" s="300">
        <f>(207.3*KFC!$B$23*1.02*1.3+KFC!$C$23)*KFC!$C$5</f>
        <v>274.87980000000005</v>
      </c>
      <c r="AE258" s="300">
        <f>(211.2*KFC!$B$23*1.02*1.3+KFC!$C$23)*KFC!$C$5</f>
        <v>280.05119999999999</v>
      </c>
      <c r="AF258" s="300">
        <f>(215.2*KFC!$B$23*1.02*1.3+KFC!$C$23)*KFC!$C$5</f>
        <v>285.35520000000002</v>
      </c>
      <c r="AG258" s="300">
        <f>(219.2*KFC!$B$23*1.02*1.3+KFC!$C$23)*KFC!$C$5</f>
        <v>290.6592</v>
      </c>
      <c r="AH258" s="304">
        <f>(223.1*KFC!$B$23*1.02*1.3+KFC!$C$23)*KFC!$C$5</f>
        <v>295.8306</v>
      </c>
    </row>
    <row r="259" spans="1:34">
      <c r="A259" s="1781"/>
      <c r="B259" s="395">
        <v>1.4</v>
      </c>
      <c r="C259" s="303">
        <f>(101.7*KFC!$B$23*1.02*1.3+KFC!$C$23)*KFC!$C$5</f>
        <v>134.85420000000002</v>
      </c>
      <c r="D259" s="300">
        <f>(105.9*KFC!$B$23*1.02*1.3+KFC!$C$23)*KFC!$C$5</f>
        <v>140.42340000000002</v>
      </c>
      <c r="E259" s="300">
        <f>(110.1*KFC!$B$23*1.02*1.3+KFC!$C$23)*KFC!$C$5</f>
        <v>145.99259999999998</v>
      </c>
      <c r="F259" s="300">
        <f>(114.3*KFC!$B$23*1.02*1.3+KFC!$C$23)*KFC!$C$5</f>
        <v>151.56180000000001</v>
      </c>
      <c r="G259" s="300">
        <f>(118.5*KFC!$B$23*1.02*1.3+KFC!$C$23)*KFC!$C$5</f>
        <v>157.131</v>
      </c>
      <c r="H259" s="300">
        <f>(122.7*KFC!$B$23*1.02*1.3+KFC!$C$23)*KFC!$C$5</f>
        <v>162.70020000000002</v>
      </c>
      <c r="I259" s="300">
        <f>(126.9*KFC!$B$23*1.02*1.3+KFC!$C$23)*KFC!$C$5</f>
        <v>168.26940000000002</v>
      </c>
      <c r="J259" s="300">
        <f>(131.1*KFC!$B$23*1.02*1.3+KFC!$C$23)*KFC!$C$5</f>
        <v>173.83860000000001</v>
      </c>
      <c r="K259" s="300">
        <f>(135.3*KFC!$B$23*1.02*1.3+KFC!$C$23)*KFC!$C$5</f>
        <v>179.40780000000001</v>
      </c>
      <c r="L259" s="300">
        <f>(139.5*KFC!$B$23*1.02*1.3+KFC!$C$23)*KFC!$C$5</f>
        <v>184.977</v>
      </c>
      <c r="M259" s="300">
        <f>(143.7*KFC!$B$23*1.02*1.3+KFC!$C$23)*KFC!$C$5</f>
        <v>190.5462</v>
      </c>
      <c r="N259" s="300">
        <f>(147.9*KFC!$B$23*1.02*1.3+KFC!$C$23)*KFC!$C$5</f>
        <v>196.11540000000002</v>
      </c>
      <c r="O259" s="300">
        <f>(152.1*KFC!$B$23*1.02*1.3+KFC!$C$23)*KFC!$C$5</f>
        <v>201.68459999999999</v>
      </c>
      <c r="P259" s="300">
        <f>(156.3*KFC!$B$23*1.02*1.3+KFC!$C$23)*KFC!$C$5</f>
        <v>207.25380000000004</v>
      </c>
      <c r="Q259" s="300">
        <f>(160.5*KFC!$B$23*1.02*1.3+KFC!$C$23)*KFC!$C$5</f>
        <v>212.82300000000001</v>
      </c>
      <c r="R259" s="300">
        <f>(164.7*KFC!$B$23*1.02*1.3+KFC!$C$23)*KFC!$C$5</f>
        <v>218.3922</v>
      </c>
      <c r="S259" s="300">
        <f>(168.9*KFC!$B$23*1.02*1.3+KFC!$C$23)*KFC!$C$5</f>
        <v>223.96140000000003</v>
      </c>
      <c r="T259" s="300">
        <f>(173.1*KFC!$B$23*1.02*1.3+KFC!$C$23)*KFC!$C$5</f>
        <v>229.53059999999999</v>
      </c>
      <c r="U259" s="300">
        <f>(177.3*KFC!$B$23*1.02*1.3+KFC!$C$23)*KFC!$C$5</f>
        <v>235.09980000000002</v>
      </c>
      <c r="V259" s="300">
        <f>(181.5*KFC!$B$23*1.02*1.3+KFC!$C$23)*KFC!$C$5</f>
        <v>240.66900000000001</v>
      </c>
      <c r="W259" s="300">
        <f>(185.7*KFC!$B$23*1.02*1.3+KFC!$C$23)*KFC!$C$5</f>
        <v>246.23819999999998</v>
      </c>
      <c r="X259" s="300">
        <f>(189.9*KFC!$B$23*1.02*1.3+KFC!$C$23)*KFC!$C$5</f>
        <v>251.80740000000003</v>
      </c>
      <c r="Y259" s="300">
        <f>(194.1*KFC!$B$23*1.02*1.3+KFC!$C$23)*KFC!$C$5</f>
        <v>257.3766</v>
      </c>
      <c r="Z259" s="300">
        <f>(198.3*KFC!$B$23*1.02*1.3+KFC!$C$23)*KFC!$C$5</f>
        <v>262.94580000000002</v>
      </c>
      <c r="AA259" s="300">
        <f>(202.5*KFC!$B$23*1.02*1.3+KFC!$C$23)*KFC!$C$5</f>
        <v>268.51500000000004</v>
      </c>
      <c r="AB259" s="300">
        <f>(206.7*KFC!$B$23*1.02*1.3+KFC!$C$23)*KFC!$C$5</f>
        <v>274.08420000000001</v>
      </c>
      <c r="AC259" s="300">
        <f>(210.9*KFC!$B$23*1.02*1.3+KFC!$C$23)*KFC!$C$5</f>
        <v>279.65340000000003</v>
      </c>
      <c r="AD259" s="300">
        <f>(215.1*KFC!$B$23*1.02*1.3+KFC!$C$23)*KFC!$C$5</f>
        <v>285.2226</v>
      </c>
      <c r="AE259" s="300">
        <f>(219.3*KFC!$B$23*1.02*1.3+KFC!$C$23)*KFC!$C$5</f>
        <v>290.79180000000002</v>
      </c>
      <c r="AF259" s="300">
        <f>(223.5*KFC!$B$23*1.02*1.3+KFC!$C$23)*KFC!$C$5</f>
        <v>296.36099999999999</v>
      </c>
      <c r="AG259" s="300">
        <f>(227.7*KFC!$B$23*1.02*1.3+KFC!$C$23)*KFC!$C$5</f>
        <v>301.93020000000001</v>
      </c>
      <c r="AH259" s="304">
        <f>(231.9*KFC!$B$23*1.02*1.3+KFC!$C$23)*KFC!$C$5</f>
        <v>307.49940000000004</v>
      </c>
    </row>
    <row r="260" spans="1:34">
      <c r="A260" s="1781"/>
      <c r="B260" s="395">
        <v>1.5</v>
      </c>
      <c r="C260" s="303">
        <f>(103.2*KFC!$B$23*1.02*1.3+KFC!$C$23)*KFC!$C$5</f>
        <v>136.84320000000002</v>
      </c>
      <c r="D260" s="300">
        <f>(107.6*KFC!$B$23*1.02*1.3+KFC!$C$23)*KFC!$C$5</f>
        <v>142.67760000000001</v>
      </c>
      <c r="E260" s="300">
        <f>(112*KFC!$B$23*1.02*1.3+KFC!$C$23)*KFC!$C$5</f>
        <v>148.51200000000003</v>
      </c>
      <c r="F260" s="300">
        <f>(116.5*KFC!$B$23*1.02*1.3+KFC!$C$23)*KFC!$C$5</f>
        <v>154.47900000000001</v>
      </c>
      <c r="G260" s="300">
        <f>(120.9*KFC!$B$23*1.02*1.3+KFC!$C$23)*KFC!$C$5</f>
        <v>160.31340000000003</v>
      </c>
      <c r="H260" s="300">
        <f>(125.4*KFC!$B$23*1.02*1.3+KFC!$C$23)*KFC!$C$5</f>
        <v>166.28040000000001</v>
      </c>
      <c r="I260" s="300">
        <f>(129.8*KFC!$B$23*1.02*1.3+KFC!$C$23)*KFC!$C$5</f>
        <v>172.11480000000003</v>
      </c>
      <c r="J260" s="300">
        <f>(134.2*KFC!$B$23*1.02*1.3+KFC!$C$23)*KFC!$C$5</f>
        <v>177.94919999999999</v>
      </c>
      <c r="K260" s="300">
        <f>(138.7*KFC!$B$23*1.02*1.3+KFC!$C$23)*KFC!$C$5</f>
        <v>183.9162</v>
      </c>
      <c r="L260" s="300">
        <f>(143.1*KFC!$B$23*1.02*1.3+KFC!$C$23)*KFC!$C$5</f>
        <v>189.75059999999999</v>
      </c>
      <c r="M260" s="300">
        <f>(147.5*KFC!$B$23*1.02*1.3+KFC!$C$23)*KFC!$C$5</f>
        <v>195.58499999999998</v>
      </c>
      <c r="N260" s="300">
        <f>(152*KFC!$B$23*1.02*1.3+KFC!$C$23)*KFC!$C$5</f>
        <v>201.55199999999999</v>
      </c>
      <c r="O260" s="300">
        <f>(156.4*KFC!$B$23*1.02*1.3+KFC!$C$23)*KFC!$C$5</f>
        <v>207.38640000000004</v>
      </c>
      <c r="P260" s="300">
        <f>(160.9*KFC!$B$23*1.02*1.3+KFC!$C$23)*KFC!$C$5</f>
        <v>213.35339999999999</v>
      </c>
      <c r="Q260" s="300">
        <f>(165.3*KFC!$B$23*1.02*1.3+KFC!$C$23)*KFC!$C$5</f>
        <v>219.18780000000004</v>
      </c>
      <c r="R260" s="300">
        <f>(169.7*KFC!$B$23*1.02*1.3+KFC!$C$23)*KFC!$C$5</f>
        <v>225.0222</v>
      </c>
      <c r="S260" s="300">
        <f>(174.2*KFC!$B$23*1.02*1.3+KFC!$C$23)*KFC!$C$5</f>
        <v>230.98920000000001</v>
      </c>
      <c r="T260" s="300">
        <f>(178.6*KFC!$B$23*1.02*1.3+KFC!$C$23)*KFC!$C$5</f>
        <v>236.8236</v>
      </c>
      <c r="U260" s="300">
        <f>(183*KFC!$B$23*1.02*1.3+KFC!$C$23)*KFC!$C$5</f>
        <v>242.65800000000002</v>
      </c>
      <c r="V260" s="300">
        <f>(187.5*KFC!$B$23*1.02*1.3+KFC!$C$23)*KFC!$C$5</f>
        <v>248.625</v>
      </c>
      <c r="W260" s="300">
        <f>(191.9*KFC!$B$23*1.02*1.3+KFC!$C$23)*KFC!$C$5</f>
        <v>254.45940000000002</v>
      </c>
      <c r="X260" s="300">
        <f>(196.3*KFC!$B$23*1.02*1.3+KFC!$C$23)*KFC!$C$5</f>
        <v>260.29380000000003</v>
      </c>
      <c r="Y260" s="300">
        <f>(200.8*KFC!$B$23*1.02*1.3+KFC!$C$23)*KFC!$C$5</f>
        <v>266.26080000000002</v>
      </c>
      <c r="Z260" s="300">
        <f>(205.2*KFC!$B$23*1.02*1.3+KFC!$C$23)*KFC!$C$5</f>
        <v>272.09520000000003</v>
      </c>
      <c r="AA260" s="300">
        <f>(209.7*KFC!$B$23*1.02*1.3+KFC!$C$23)*KFC!$C$5</f>
        <v>278.06220000000002</v>
      </c>
      <c r="AB260" s="300">
        <f>(214.1*KFC!$B$23*1.02*1.3+KFC!$C$23)*KFC!$C$5</f>
        <v>283.89660000000003</v>
      </c>
      <c r="AC260" s="300">
        <f>(218.5*KFC!$B$23*1.02*1.3+KFC!$C$23)*KFC!$C$5</f>
        <v>289.73099999999999</v>
      </c>
      <c r="AD260" s="300">
        <f>(223*KFC!$B$23*1.02*1.3+KFC!$C$23)*KFC!$C$5</f>
        <v>295.69800000000004</v>
      </c>
      <c r="AE260" s="300">
        <f>(227.4*KFC!$B$23*1.02*1.3+KFC!$C$23)*KFC!$C$5</f>
        <v>301.5324</v>
      </c>
      <c r="AF260" s="300">
        <f>(231.8*KFC!$B$23*1.02*1.3+KFC!$C$23)*KFC!$C$5</f>
        <v>307.36680000000001</v>
      </c>
      <c r="AG260" s="300">
        <f>(236.3*KFC!$B$23*1.02*1.3+KFC!$C$23)*KFC!$C$5</f>
        <v>313.3338</v>
      </c>
      <c r="AH260" s="304">
        <f>(240.7*KFC!$B$23*1.02*1.3+KFC!$C$23)*KFC!$C$5</f>
        <v>319.16820000000001</v>
      </c>
    </row>
    <row r="261" spans="1:34">
      <c r="A261" s="1781"/>
      <c r="B261" s="395">
        <v>1.6</v>
      </c>
      <c r="C261" s="303">
        <f>(104.7*KFC!$B$23*1.02*1.3+KFC!$C$23)*KFC!$C$5</f>
        <v>138.83220000000003</v>
      </c>
      <c r="D261" s="300">
        <f>(109.4*KFC!$B$23*1.02*1.3+KFC!$C$23)*KFC!$C$5</f>
        <v>145.06440000000001</v>
      </c>
      <c r="E261" s="300">
        <f>(114*KFC!$B$23*1.02*1.3+KFC!$C$23)*KFC!$C$5</f>
        <v>151.16400000000002</v>
      </c>
      <c r="F261" s="300">
        <f>(118.7*KFC!$B$23*1.02*1.3+KFC!$C$23)*KFC!$C$5</f>
        <v>157.39619999999999</v>
      </c>
      <c r="G261" s="300">
        <f>(123.4*KFC!$B$23*1.02*1.3+KFC!$C$23)*KFC!$C$5</f>
        <v>163.62840000000003</v>
      </c>
      <c r="H261" s="300">
        <f>(128*KFC!$B$23*1.02*1.3+KFC!$C$23)*KFC!$C$5</f>
        <v>169.72800000000001</v>
      </c>
      <c r="I261" s="300">
        <f>(132.7*KFC!$B$23*1.02*1.3+KFC!$C$23)*KFC!$C$5</f>
        <v>175.96019999999999</v>
      </c>
      <c r="J261" s="300">
        <f>(137.4*KFC!$B$23*1.02*1.3+KFC!$C$23)*KFC!$C$5</f>
        <v>182.19239999999999</v>
      </c>
      <c r="K261" s="300">
        <f>(142.1*KFC!$B$23*1.02*1.3+KFC!$C$23)*KFC!$C$5</f>
        <v>188.42460000000003</v>
      </c>
      <c r="L261" s="300">
        <f>(146.7*KFC!$B$23*1.02*1.3+KFC!$C$23)*KFC!$C$5</f>
        <v>194.52419999999998</v>
      </c>
      <c r="M261" s="300">
        <f>(151.4*KFC!$B$23*1.02*1.3+KFC!$C$23)*KFC!$C$5</f>
        <v>200.75640000000001</v>
      </c>
      <c r="N261" s="300">
        <f>(156.1*KFC!$B$23*1.02*1.3+KFC!$C$23)*KFC!$C$5</f>
        <v>206.98860000000002</v>
      </c>
      <c r="O261" s="300">
        <f>(160.7*KFC!$B$23*1.02*1.3+KFC!$C$23)*KFC!$C$5</f>
        <v>213.0882</v>
      </c>
      <c r="P261" s="300">
        <f>(165.4*KFC!$B$23*1.02*1.3+KFC!$C$23)*KFC!$C$5</f>
        <v>219.32040000000001</v>
      </c>
      <c r="Q261" s="300">
        <f>(170.1*KFC!$B$23*1.02*1.3+KFC!$C$23)*KFC!$C$5</f>
        <v>225.55260000000001</v>
      </c>
      <c r="R261" s="300">
        <f>(174.8*KFC!$B$23*1.02*1.3+KFC!$C$23)*KFC!$C$5</f>
        <v>231.78480000000005</v>
      </c>
      <c r="S261" s="300">
        <f>(179.4*KFC!$B$23*1.02*1.3+KFC!$C$23)*KFC!$C$5</f>
        <v>237.8844</v>
      </c>
      <c r="T261" s="300">
        <f>(184.1*KFC!$B$23*1.02*1.3+KFC!$C$23)*KFC!$C$5</f>
        <v>244.11660000000003</v>
      </c>
      <c r="U261" s="300">
        <f>(188.8*KFC!$B$23*1.02*1.3+KFC!$C$23)*KFC!$C$5</f>
        <v>250.34880000000004</v>
      </c>
      <c r="V261" s="300">
        <f>(193.4*KFC!$B$23*1.02*1.3+KFC!$C$23)*KFC!$C$5</f>
        <v>256.44839999999999</v>
      </c>
      <c r="W261" s="300">
        <f>(198.1*KFC!$B$23*1.02*1.3+KFC!$C$23)*KFC!$C$5</f>
        <v>262.68060000000003</v>
      </c>
      <c r="X261" s="300">
        <f>(202.8*KFC!$B$23*1.02*1.3+KFC!$C$23)*KFC!$C$5</f>
        <v>268.91280000000006</v>
      </c>
      <c r="Y261" s="300">
        <f>(207.5*KFC!$B$23*1.02*1.3+KFC!$C$23)*KFC!$C$5</f>
        <v>275.14500000000004</v>
      </c>
      <c r="Z261" s="300">
        <f>(212.1*KFC!$B$23*1.02*1.3+KFC!$C$23)*KFC!$C$5</f>
        <v>281.24459999999999</v>
      </c>
      <c r="AA261" s="300">
        <f>(216.8*KFC!$B$23*1.02*1.3+KFC!$C$23)*KFC!$C$5</f>
        <v>287.47680000000003</v>
      </c>
      <c r="AB261" s="300">
        <f>(221.5*KFC!$B$23*1.02*1.3+KFC!$C$23)*KFC!$C$5</f>
        <v>293.709</v>
      </c>
      <c r="AC261" s="300">
        <f>(226.1*KFC!$B$23*1.02*1.3+KFC!$C$23)*KFC!$C$5</f>
        <v>299.80860000000001</v>
      </c>
      <c r="AD261" s="300">
        <f>(230.8*KFC!$B$23*1.02*1.3+KFC!$C$23)*KFC!$C$5</f>
        <v>306.04080000000005</v>
      </c>
      <c r="AE261" s="300">
        <f>(235.5*KFC!$B$23*1.02*1.3+KFC!$C$23)*KFC!$C$5</f>
        <v>312.27300000000002</v>
      </c>
      <c r="AF261" s="300">
        <f>(240.1*KFC!$B$23*1.02*1.3+KFC!$C$23)*KFC!$C$5</f>
        <v>318.37259999999998</v>
      </c>
      <c r="AG261" s="300">
        <f>(244.8*KFC!$B$23*1.02*1.3+KFC!$C$23)*KFC!$C$5</f>
        <v>324.60480000000007</v>
      </c>
      <c r="AH261" s="304">
        <f>(249.5*KFC!$B$23*1.02*1.3+KFC!$C$23)*KFC!$C$5</f>
        <v>330.83700000000005</v>
      </c>
    </row>
    <row r="262" spans="1:34">
      <c r="A262" s="1781"/>
      <c r="B262" s="395">
        <v>1.7</v>
      </c>
      <c r="C262" s="303">
        <f>(106.2*KFC!$B$23*1.02*1.3+KFC!$C$23)*KFC!$C$5</f>
        <v>140.8212</v>
      </c>
      <c r="D262" s="300">
        <f>(111.1*KFC!$B$23*1.02*1.3+KFC!$C$23)*KFC!$C$5</f>
        <v>147.3186</v>
      </c>
      <c r="E262" s="300">
        <f>(116*KFC!$B$23*1.02*1.3+KFC!$C$23)*KFC!$C$5</f>
        <v>153.816</v>
      </c>
      <c r="F262" s="300">
        <f>(120.9*KFC!$B$23*1.02*1.3+KFC!$C$23)*KFC!$C$5</f>
        <v>160.31340000000003</v>
      </c>
      <c r="G262" s="300">
        <f>(125.8*KFC!$B$23*1.02*1.3+KFC!$C$23)*KFC!$C$5</f>
        <v>166.8108</v>
      </c>
      <c r="H262" s="300">
        <f>(130.7*KFC!$B$23*1.02*1.3+KFC!$C$23)*KFC!$C$5</f>
        <v>173.3082</v>
      </c>
      <c r="I262" s="300">
        <f>(135.6*KFC!$B$23*1.02*1.3+KFC!$C$23)*KFC!$C$5</f>
        <v>179.8056</v>
      </c>
      <c r="J262" s="300">
        <f>(140.5*KFC!$B$23*1.02*1.3+KFC!$C$23)*KFC!$C$5</f>
        <v>186.303</v>
      </c>
      <c r="K262" s="300">
        <f>(145.4*KFC!$B$23*1.02*1.3+KFC!$C$23)*KFC!$C$5</f>
        <v>192.80040000000002</v>
      </c>
      <c r="L262" s="300">
        <f>(150.4*KFC!$B$23*1.02*1.3+KFC!$C$23)*KFC!$C$5</f>
        <v>199.43040000000002</v>
      </c>
      <c r="M262" s="300">
        <f>(155.3*KFC!$B$23*1.02*1.3+KFC!$C$23)*KFC!$C$5</f>
        <v>205.92780000000002</v>
      </c>
      <c r="N262" s="300">
        <f>(160.2*KFC!$B$23*1.02*1.3+KFC!$C$23)*KFC!$C$5</f>
        <v>212.42519999999999</v>
      </c>
      <c r="O262" s="300">
        <f>(165.1*KFC!$B$23*1.02*1.3+KFC!$C$23)*KFC!$C$5</f>
        <v>218.92259999999999</v>
      </c>
      <c r="P262" s="300">
        <f>(170*KFC!$B$23*1.02*1.3+KFC!$C$23)*KFC!$C$5</f>
        <v>225.42000000000002</v>
      </c>
      <c r="Q262" s="300">
        <f>(174.9*KFC!$B$23*1.02*1.3+KFC!$C$23)*KFC!$C$5</f>
        <v>231.91740000000001</v>
      </c>
      <c r="R262" s="300">
        <f>(179.8*KFC!$B$23*1.02*1.3+KFC!$C$23)*KFC!$C$5</f>
        <v>238.41480000000001</v>
      </c>
      <c r="S262" s="300">
        <f>(184.7*KFC!$B$23*1.02*1.3+KFC!$C$23)*KFC!$C$5</f>
        <v>244.91220000000001</v>
      </c>
      <c r="T262" s="300">
        <f>(189.6*KFC!$B$23*1.02*1.3+KFC!$C$23)*KFC!$C$5</f>
        <v>251.40960000000001</v>
      </c>
      <c r="U262" s="300">
        <f>(194.5*KFC!$B$23*1.02*1.3+KFC!$C$23)*KFC!$C$5</f>
        <v>257.90700000000004</v>
      </c>
      <c r="V262" s="300">
        <f>(199.4*KFC!$B$23*1.02*1.3+KFC!$C$23)*KFC!$C$5</f>
        <v>264.40440000000001</v>
      </c>
      <c r="W262" s="300">
        <f>(204.3*KFC!$B$23*1.02*1.3+KFC!$C$23)*KFC!$C$5</f>
        <v>270.90180000000004</v>
      </c>
      <c r="X262" s="300">
        <f>(209.2*KFC!$B$23*1.02*1.3+KFC!$C$23)*KFC!$C$5</f>
        <v>277.39920000000001</v>
      </c>
      <c r="Y262" s="300">
        <f>(214.1*KFC!$B$23*1.02*1.3+KFC!$C$23)*KFC!$C$5</f>
        <v>283.89660000000003</v>
      </c>
      <c r="Z262" s="300">
        <f>(219*KFC!$B$23*1.02*1.3+KFC!$C$23)*KFC!$C$5</f>
        <v>290.39400000000001</v>
      </c>
      <c r="AA262" s="300">
        <f>(223.9*KFC!$B$23*1.02*1.3+KFC!$C$23)*KFC!$C$5</f>
        <v>296.89140000000003</v>
      </c>
      <c r="AB262" s="300">
        <f>(228.8*KFC!$B$23*1.02*1.3+KFC!$C$23)*KFC!$C$5</f>
        <v>303.3888</v>
      </c>
      <c r="AC262" s="300">
        <f>(233.7*KFC!$B$23*1.02*1.3+KFC!$C$23)*KFC!$C$5</f>
        <v>309.88620000000003</v>
      </c>
      <c r="AD262" s="300">
        <f>(238.7*KFC!$B$23*1.02*1.3+KFC!$C$23)*KFC!$C$5</f>
        <v>316.51619999999997</v>
      </c>
      <c r="AE262" s="300">
        <f>(243.6*KFC!$B$23*1.02*1.3+KFC!$C$23)*KFC!$C$5</f>
        <v>323.0136</v>
      </c>
      <c r="AF262" s="300">
        <f>(248.5*KFC!$B$23*1.02*1.3+KFC!$C$23)*KFC!$C$5</f>
        <v>329.51100000000002</v>
      </c>
      <c r="AG262" s="300">
        <f>(253.4*KFC!$B$23*1.02*1.3+KFC!$C$23)*KFC!$C$5</f>
        <v>336.00840000000005</v>
      </c>
      <c r="AH262" s="304">
        <f>(258.3*KFC!$B$23*1.02*1.3+KFC!$C$23)*KFC!$C$5</f>
        <v>342.50580000000002</v>
      </c>
    </row>
    <row r="263" spans="1:34">
      <c r="A263" s="1781"/>
      <c r="B263" s="395">
        <v>1.8</v>
      </c>
      <c r="C263" s="303">
        <f>(107.7*KFC!$B$23*1.02*1.3+KFC!$C$23)*KFC!$C$5</f>
        <v>142.81020000000001</v>
      </c>
      <c r="D263" s="300">
        <f>(112.9*KFC!$B$23*1.02*1.3+KFC!$C$23)*KFC!$C$5</f>
        <v>149.7054</v>
      </c>
      <c r="E263" s="300">
        <f>(118*KFC!$B$23*1.02*1.3+KFC!$C$23)*KFC!$C$5</f>
        <v>156.46800000000002</v>
      </c>
      <c r="F263" s="300">
        <f>(123.1*KFC!$B$23*1.02*1.3+KFC!$C$23)*KFC!$C$5</f>
        <v>163.23060000000001</v>
      </c>
      <c r="G263" s="300">
        <f>(128.3*KFC!$B$23*1.02*1.3+KFC!$C$23)*KFC!$C$5</f>
        <v>170.12580000000003</v>
      </c>
      <c r="H263" s="300">
        <f>(133.4*KFC!$B$23*1.02*1.3+KFC!$C$23)*KFC!$C$5</f>
        <v>176.88840000000002</v>
      </c>
      <c r="I263" s="300">
        <f>(138.6*KFC!$B$23*1.02*1.3+KFC!$C$23)*KFC!$C$5</f>
        <v>183.78359999999998</v>
      </c>
      <c r="J263" s="300">
        <f>(143.7*KFC!$B$23*1.02*1.3+KFC!$C$23)*KFC!$C$5</f>
        <v>190.5462</v>
      </c>
      <c r="K263" s="300">
        <f>(148.8*KFC!$B$23*1.02*1.3+KFC!$C$23)*KFC!$C$5</f>
        <v>197.30880000000002</v>
      </c>
      <c r="L263" s="300">
        <f>(154*KFC!$B$23*1.02*1.3+KFC!$C$23)*KFC!$C$5</f>
        <v>204.20400000000004</v>
      </c>
      <c r="M263" s="300">
        <f>(159.1*KFC!$B$23*1.02*1.3+KFC!$C$23)*KFC!$C$5</f>
        <v>210.96660000000003</v>
      </c>
      <c r="N263" s="300">
        <f>(164.3*KFC!$B$23*1.02*1.3+KFC!$C$23)*KFC!$C$5</f>
        <v>217.86180000000002</v>
      </c>
      <c r="O263" s="300">
        <f>(169.4*KFC!$B$23*1.02*1.3+KFC!$C$23)*KFC!$C$5</f>
        <v>224.62440000000001</v>
      </c>
      <c r="P263" s="300">
        <f>(174.5*KFC!$B$23*1.02*1.3+KFC!$C$23)*KFC!$C$5</f>
        <v>231.38700000000003</v>
      </c>
      <c r="Q263" s="300">
        <f>(179.7*KFC!$B$23*1.02*1.3+KFC!$C$23)*KFC!$C$5</f>
        <v>238.28219999999999</v>
      </c>
      <c r="R263" s="300">
        <f>(184.8*KFC!$B$23*1.02*1.3+KFC!$C$23)*KFC!$C$5</f>
        <v>245.04480000000001</v>
      </c>
      <c r="S263" s="300">
        <f>(190*KFC!$B$23*1.02*1.3+KFC!$C$23)*KFC!$C$5</f>
        <v>251.94000000000003</v>
      </c>
      <c r="T263" s="300">
        <f>(195.1*KFC!$B$23*1.02*1.3+KFC!$C$23)*KFC!$C$5</f>
        <v>258.70260000000002</v>
      </c>
      <c r="U263" s="300">
        <f>(200.2*KFC!$B$23*1.02*1.3+KFC!$C$23)*KFC!$C$5</f>
        <v>265.46519999999998</v>
      </c>
      <c r="V263" s="300">
        <f>(205.4*KFC!$B$23*1.02*1.3+KFC!$C$23)*KFC!$C$5</f>
        <v>272.36040000000003</v>
      </c>
      <c r="W263" s="300">
        <f>(210.5*KFC!$B$23*1.02*1.3+KFC!$C$23)*KFC!$C$5</f>
        <v>279.12300000000005</v>
      </c>
      <c r="X263" s="300">
        <f>(215.7*KFC!$B$23*1.02*1.3+KFC!$C$23)*KFC!$C$5</f>
        <v>286.01819999999998</v>
      </c>
      <c r="Y263" s="300">
        <f>(220.8*KFC!$B$23*1.02*1.3+KFC!$C$23)*KFC!$C$5</f>
        <v>292.7808</v>
      </c>
      <c r="Z263" s="300">
        <f>(225.9*KFC!$B$23*1.02*1.3+KFC!$C$23)*KFC!$C$5</f>
        <v>299.54340000000002</v>
      </c>
      <c r="AA263" s="300">
        <f>(231.1*KFC!$B$23*1.02*1.3+KFC!$C$23)*KFC!$C$5</f>
        <v>306.43860000000001</v>
      </c>
      <c r="AB263" s="300">
        <f>(236.2*KFC!$B$23*1.02*1.3+KFC!$C$23)*KFC!$C$5</f>
        <v>313.20120000000003</v>
      </c>
      <c r="AC263" s="300">
        <f>(241.4*KFC!$B$23*1.02*1.3+KFC!$C$23)*KFC!$C$5</f>
        <v>320.09640000000002</v>
      </c>
      <c r="AD263" s="300">
        <f>(246.5*KFC!$B$23*1.02*1.3+KFC!$C$23)*KFC!$C$5</f>
        <v>326.85900000000004</v>
      </c>
      <c r="AE263" s="300">
        <f>(251.6*KFC!$B$23*1.02*1.3+KFC!$C$23)*KFC!$C$5</f>
        <v>333.6216</v>
      </c>
      <c r="AF263" s="300">
        <f>(256.8*KFC!$B$23*1.02*1.3+KFC!$C$23)*KFC!$C$5</f>
        <v>340.51680000000005</v>
      </c>
      <c r="AG263" s="300">
        <f>(261.9*KFC!$B$23*1.02*1.3+KFC!$C$23)*KFC!$C$5</f>
        <v>347.27940000000001</v>
      </c>
      <c r="AH263" s="304">
        <f>(267.1*KFC!$B$23*1.02*1.3+KFC!$C$23)*KFC!$C$5</f>
        <v>354.1746</v>
      </c>
    </row>
    <row r="264" spans="1:34">
      <c r="A264" s="1781"/>
      <c r="B264" s="395">
        <v>1.9</v>
      </c>
      <c r="C264" s="303">
        <f>(109.2*KFC!$B$23*1.02*1.3+KFC!$C$23)*KFC!$C$5</f>
        <v>144.79920000000001</v>
      </c>
      <c r="D264" s="300">
        <f>(114.6*KFC!$B$23*1.02*1.3+KFC!$C$23)*KFC!$C$5</f>
        <v>151.95959999999999</v>
      </c>
      <c r="E264" s="300">
        <f>(120*KFC!$B$23*1.02*1.3+KFC!$C$23)*KFC!$C$5</f>
        <v>159.12</v>
      </c>
      <c r="F264" s="300">
        <f>(125.3*KFC!$B$23*1.02*1.3+KFC!$C$23)*KFC!$C$5</f>
        <v>166.14779999999999</v>
      </c>
      <c r="G264" s="300">
        <f>(130.7*KFC!$B$23*1.02*1.3+KFC!$C$23)*KFC!$C$5</f>
        <v>173.3082</v>
      </c>
      <c r="H264" s="300">
        <f>(136.1*KFC!$B$23*1.02*1.3+KFC!$C$23)*KFC!$C$5</f>
        <v>180.46860000000001</v>
      </c>
      <c r="I264" s="300">
        <f>(141.5*KFC!$B$23*1.02*1.3+KFC!$C$23)*KFC!$C$5</f>
        <v>187.62900000000002</v>
      </c>
      <c r="J264" s="300">
        <f>(146.8*KFC!$B$23*1.02*1.3+KFC!$C$23)*KFC!$C$5</f>
        <v>194.65680000000003</v>
      </c>
      <c r="K264" s="300">
        <f>(152.2*KFC!$B$23*1.02*1.3+KFC!$C$23)*KFC!$C$5</f>
        <v>201.81720000000001</v>
      </c>
      <c r="L264" s="300">
        <f>(157.6*KFC!$B$23*1.02*1.3+KFC!$C$23)*KFC!$C$5</f>
        <v>208.97760000000002</v>
      </c>
      <c r="M264" s="300">
        <f>(163*KFC!$B$23*1.02*1.3+KFC!$C$23)*KFC!$C$5</f>
        <v>216.13800000000001</v>
      </c>
      <c r="N264" s="300">
        <f>(168.3*KFC!$B$23*1.02*1.3+KFC!$C$23)*KFC!$C$5</f>
        <v>223.16580000000005</v>
      </c>
      <c r="O264" s="300">
        <f>(173.7*KFC!$B$23*1.02*1.3+KFC!$C$23)*KFC!$C$5</f>
        <v>230.32619999999997</v>
      </c>
      <c r="P264" s="300">
        <f>(179.1*KFC!$B$23*1.02*1.3+KFC!$C$23)*KFC!$C$5</f>
        <v>237.48659999999998</v>
      </c>
      <c r="Q264" s="300">
        <f>(184.5*KFC!$B$23*1.02*1.3+KFC!$C$23)*KFC!$C$5</f>
        <v>244.64699999999999</v>
      </c>
      <c r="R264" s="300">
        <f>(189.8*KFC!$B$23*1.02*1.3+KFC!$C$23)*KFC!$C$5</f>
        <v>251.6748</v>
      </c>
      <c r="S264" s="300">
        <f>(195.2*KFC!$B$23*1.02*1.3+KFC!$C$23)*KFC!$C$5</f>
        <v>258.83519999999999</v>
      </c>
      <c r="T264" s="300">
        <f>(200.6*KFC!$B$23*1.02*1.3+KFC!$C$23)*KFC!$C$5</f>
        <v>265.99560000000002</v>
      </c>
      <c r="U264" s="300">
        <f>(206*KFC!$B$23*1.02*1.3+KFC!$C$23)*KFC!$C$5</f>
        <v>273.15600000000001</v>
      </c>
      <c r="V264" s="300">
        <f>(211.3*KFC!$B$23*1.02*1.3+KFC!$C$23)*KFC!$C$5</f>
        <v>280.18380000000002</v>
      </c>
      <c r="W264" s="300">
        <f>(216.7*KFC!$B$23*1.02*1.3+KFC!$C$23)*KFC!$C$5</f>
        <v>287.3442</v>
      </c>
      <c r="X264" s="300">
        <f>(222.1*KFC!$B$23*1.02*1.3+KFC!$C$23)*KFC!$C$5</f>
        <v>294.50460000000004</v>
      </c>
      <c r="Y264" s="300">
        <f>(227.5*KFC!$B$23*1.02*1.3+KFC!$C$23)*KFC!$C$5</f>
        <v>301.66500000000002</v>
      </c>
      <c r="Z264" s="300">
        <f>(232.8*KFC!$B$23*1.02*1.3+KFC!$C$23)*KFC!$C$5</f>
        <v>308.69280000000003</v>
      </c>
      <c r="AA264" s="300">
        <f>(238.2*KFC!$B$23*1.02*1.3+KFC!$C$23)*KFC!$C$5</f>
        <v>315.85320000000002</v>
      </c>
      <c r="AB264" s="300">
        <f>(243.6*KFC!$B$23*1.02*1.3+KFC!$C$23)*KFC!$C$5</f>
        <v>323.0136</v>
      </c>
      <c r="AC264" s="300">
        <f>(249*KFC!$B$23*1.02*1.3+KFC!$C$23)*KFC!$C$5</f>
        <v>330.17400000000004</v>
      </c>
      <c r="AD264" s="300">
        <f>(254.3*KFC!$B$23*1.02*1.3+KFC!$C$23)*KFC!$C$5</f>
        <v>337.20180000000005</v>
      </c>
      <c r="AE264" s="300">
        <f>(259.7*KFC!$B$23*1.02*1.3+KFC!$C$23)*KFC!$C$5</f>
        <v>344.36220000000003</v>
      </c>
      <c r="AF264" s="300">
        <f>(265.1*KFC!$B$23*1.02*1.3+KFC!$C$23)*KFC!$C$5</f>
        <v>351.52260000000007</v>
      </c>
      <c r="AG264" s="300">
        <f>(270.5*KFC!$B$23*1.02*1.3+KFC!$C$23)*KFC!$C$5</f>
        <v>358.68300000000005</v>
      </c>
      <c r="AH264" s="304">
        <f>(275.8*KFC!$B$23*1.02*1.3+KFC!$C$23)*KFC!$C$5</f>
        <v>365.71080000000006</v>
      </c>
    </row>
    <row r="265" spans="1:34">
      <c r="A265" s="1781"/>
      <c r="B265" s="395">
        <v>2</v>
      </c>
      <c r="C265" s="303">
        <f>(110.7*KFC!$B$23*1.02*1.3+KFC!$C$23)*KFC!$C$5</f>
        <v>146.78820000000002</v>
      </c>
      <c r="D265" s="300">
        <f>(116.3*KFC!$B$23*1.02*1.3+KFC!$C$23)*KFC!$C$5</f>
        <v>154.21380000000002</v>
      </c>
      <c r="E265" s="300">
        <f>(122*KFC!$B$23*1.02*1.3+KFC!$C$23)*KFC!$C$5</f>
        <v>161.77199999999999</v>
      </c>
      <c r="F265" s="300">
        <f>(127.6*KFC!$B$23*1.02*1.3+KFC!$C$23)*KFC!$C$5</f>
        <v>169.19759999999999</v>
      </c>
      <c r="G265" s="300">
        <f>(133.2*KFC!$B$23*1.02*1.3+KFC!$C$23)*KFC!$C$5</f>
        <v>176.62320000000003</v>
      </c>
      <c r="H265" s="300">
        <f>(138.8*KFC!$B$23*1.02*1.3+KFC!$C$23)*KFC!$C$5</f>
        <v>184.04880000000003</v>
      </c>
      <c r="I265" s="300">
        <f>(144.4*KFC!$B$23*1.02*1.3+KFC!$C$23)*KFC!$C$5</f>
        <v>191.47440000000003</v>
      </c>
      <c r="J265" s="300">
        <f>(150*KFC!$B$23*1.02*1.3+KFC!$C$23)*KFC!$C$5</f>
        <v>198.9</v>
      </c>
      <c r="K265" s="300">
        <f>(155.6*KFC!$B$23*1.02*1.3+KFC!$C$23)*KFC!$C$5</f>
        <v>206.32559999999998</v>
      </c>
      <c r="L265" s="300">
        <f>(161.2*KFC!$B$23*1.02*1.3+KFC!$C$23)*KFC!$C$5</f>
        <v>213.75119999999998</v>
      </c>
      <c r="M265" s="300">
        <f>(166.8*KFC!$B$23*1.02*1.3+KFC!$C$23)*KFC!$C$5</f>
        <v>221.17680000000004</v>
      </c>
      <c r="N265" s="300">
        <f>(172.4*KFC!$B$23*1.02*1.3+KFC!$C$23)*KFC!$C$5</f>
        <v>228.60240000000002</v>
      </c>
      <c r="O265" s="300">
        <f>(178*KFC!$B$23*1.02*1.3+KFC!$C$23)*KFC!$C$5</f>
        <v>236.02800000000002</v>
      </c>
      <c r="P265" s="300">
        <f>(183.7*KFC!$B$23*1.02*1.3+KFC!$C$23)*KFC!$C$5</f>
        <v>243.58619999999999</v>
      </c>
      <c r="Q265" s="300">
        <f>(189.3*KFC!$B$23*1.02*1.3+KFC!$C$23)*KFC!$C$5</f>
        <v>251.01180000000002</v>
      </c>
      <c r="R265" s="300">
        <f>(194.9*KFC!$B$23*1.02*1.3+KFC!$C$23)*KFC!$C$5</f>
        <v>258.43740000000003</v>
      </c>
      <c r="S265" s="300">
        <f>(200.5*KFC!$B$23*1.02*1.3+KFC!$C$23)*KFC!$C$5</f>
        <v>265.863</v>
      </c>
      <c r="T265" s="300">
        <f>(206.1*KFC!$B$23*1.02*1.3+KFC!$C$23)*KFC!$C$5</f>
        <v>273.28860000000003</v>
      </c>
      <c r="U265" s="300">
        <f>(211.7*KFC!$B$23*1.02*1.3+KFC!$C$23)*KFC!$C$5</f>
        <v>280.71420000000001</v>
      </c>
      <c r="V265" s="300">
        <f>(217.3*KFC!$B$23*1.02*1.3+KFC!$C$23)*KFC!$C$5</f>
        <v>288.13980000000004</v>
      </c>
      <c r="W265" s="300">
        <f>(222.9*KFC!$B$23*1.02*1.3+KFC!$C$23)*KFC!$C$5</f>
        <v>295.56540000000001</v>
      </c>
      <c r="X265" s="300">
        <f>(228.5*KFC!$B$23*1.02*1.3+KFC!$C$23)*KFC!$C$5</f>
        <v>302.99099999999999</v>
      </c>
      <c r="Y265" s="300">
        <f>(234.1*KFC!$B$23*1.02*1.3+KFC!$C$23)*KFC!$C$5</f>
        <v>310.41660000000002</v>
      </c>
      <c r="Z265" s="300">
        <f>(239.8*KFC!$B$23*1.02*1.3+KFC!$C$23)*KFC!$C$5</f>
        <v>317.97480000000002</v>
      </c>
      <c r="AA265" s="300">
        <f>(245.4*KFC!$B$23*1.02*1.3+KFC!$C$23)*KFC!$C$5</f>
        <v>325.40040000000005</v>
      </c>
      <c r="AB265" s="300">
        <f>(251*KFC!$B$23*1.02*1.3+KFC!$C$23)*KFC!$C$5</f>
        <v>332.82599999999996</v>
      </c>
      <c r="AC265" s="300">
        <f>(256.6*KFC!$B$23*1.02*1.3+KFC!$C$23)*KFC!$C$5</f>
        <v>340.25160000000005</v>
      </c>
      <c r="AD265" s="300">
        <f>(262.2*KFC!$B$23*1.02*1.3+KFC!$C$23)*KFC!$C$5</f>
        <v>347.67720000000003</v>
      </c>
      <c r="AE265" s="300">
        <f>(267.8*KFC!$B$23*1.02*1.3+KFC!$C$23)*KFC!$C$5</f>
        <v>355.1028</v>
      </c>
      <c r="AF265" s="300">
        <f>(273.4*KFC!$B$23*1.02*1.3+KFC!$C$23)*KFC!$C$5</f>
        <v>362.52840000000003</v>
      </c>
      <c r="AG265" s="300">
        <f>(279*KFC!$B$23*1.02*1.3+KFC!$C$23)*KFC!$C$5</f>
        <v>369.95400000000001</v>
      </c>
      <c r="AH265" s="304">
        <f>(284.6*KFC!$B$23*1.02*1.3+KFC!$C$23)*KFC!$C$5</f>
        <v>377.37960000000004</v>
      </c>
    </row>
    <row r="266" spans="1:34">
      <c r="A266" s="1781"/>
      <c r="B266" s="395">
        <v>2.1</v>
      </c>
      <c r="C266" s="303">
        <f>(112.2*KFC!$B$23*1.02*1.3+KFC!$C$23)*KFC!$C$5</f>
        <v>148.77720000000002</v>
      </c>
      <c r="D266" s="300">
        <f>(118.1*KFC!$B$23*1.02*1.3+KFC!$C$23)*KFC!$C$5</f>
        <v>156.60060000000001</v>
      </c>
      <c r="E266" s="300">
        <f>(123.9*KFC!$B$23*1.02*1.3+KFC!$C$23)*KFC!$C$5</f>
        <v>164.29140000000001</v>
      </c>
      <c r="F266" s="300">
        <f>(129.8*KFC!$B$23*1.02*1.3+KFC!$C$23)*KFC!$C$5</f>
        <v>172.11480000000003</v>
      </c>
      <c r="G266" s="300">
        <f>(135.6*KFC!$B$23*1.02*1.3+KFC!$C$23)*KFC!$C$5</f>
        <v>179.8056</v>
      </c>
      <c r="H266" s="300">
        <f>(141.5*KFC!$B$23*1.02*1.3+KFC!$C$23)*KFC!$C$5</f>
        <v>187.62900000000002</v>
      </c>
      <c r="I266" s="300">
        <f>(147.3*KFC!$B$23*1.02*1.3+KFC!$C$23)*KFC!$C$5</f>
        <v>195.31980000000001</v>
      </c>
      <c r="J266" s="300">
        <f>(153.2*KFC!$B$23*1.02*1.3+KFC!$C$23)*KFC!$C$5</f>
        <v>203.14319999999998</v>
      </c>
      <c r="K266" s="300">
        <f>(159*KFC!$B$23*1.02*1.3+KFC!$C$23)*KFC!$C$5</f>
        <v>210.834</v>
      </c>
      <c r="L266" s="300">
        <f>(164.8*KFC!$B$23*1.02*1.3+KFC!$C$23)*KFC!$C$5</f>
        <v>218.5248</v>
      </c>
      <c r="M266" s="300">
        <f>(170.7*KFC!$B$23*1.02*1.3+KFC!$C$23)*KFC!$C$5</f>
        <v>226.34820000000002</v>
      </c>
      <c r="N266" s="300">
        <f>(176.5*KFC!$B$23*1.02*1.3+KFC!$C$23)*KFC!$C$5</f>
        <v>234.03900000000002</v>
      </c>
      <c r="O266" s="300">
        <f>(182.4*KFC!$B$23*1.02*1.3+KFC!$C$23)*KFC!$C$5</f>
        <v>241.86240000000001</v>
      </c>
      <c r="P266" s="300">
        <f>(188.2*KFC!$B$23*1.02*1.3+KFC!$C$23)*KFC!$C$5</f>
        <v>249.5532</v>
      </c>
      <c r="Q266" s="300">
        <f>(194.1*KFC!$B$23*1.02*1.3+KFC!$C$23)*KFC!$C$5</f>
        <v>257.3766</v>
      </c>
      <c r="R266" s="300">
        <f>(199.9*KFC!$B$23*1.02*1.3+KFC!$C$23)*KFC!$C$5</f>
        <v>265.06740000000002</v>
      </c>
      <c r="S266" s="300">
        <f>(205.8*KFC!$B$23*1.02*1.3+KFC!$C$23)*KFC!$C$5</f>
        <v>272.89080000000007</v>
      </c>
      <c r="T266" s="300">
        <f>(211.6*KFC!$B$23*1.02*1.3+KFC!$C$23)*KFC!$C$5</f>
        <v>280.58159999999998</v>
      </c>
      <c r="U266" s="300">
        <f>(217.4*KFC!$B$23*1.02*1.3+KFC!$C$23)*KFC!$C$5</f>
        <v>288.27240000000006</v>
      </c>
      <c r="V266" s="300">
        <f>(223.3*KFC!$B$23*1.02*1.3+KFC!$C$23)*KFC!$C$5</f>
        <v>296.09580000000005</v>
      </c>
      <c r="W266" s="300">
        <f>(229.1*KFC!$B$23*1.02*1.3+KFC!$C$23)*KFC!$C$5</f>
        <v>303.78660000000002</v>
      </c>
      <c r="X266" s="300">
        <f>(235*KFC!$B$23*1.02*1.3+KFC!$C$23)*KFC!$C$5</f>
        <v>311.61</v>
      </c>
      <c r="Y266" s="300">
        <f>(240.8*KFC!$B$23*1.02*1.3+KFC!$C$23)*KFC!$C$5</f>
        <v>319.30080000000004</v>
      </c>
      <c r="Z266" s="300">
        <f>(246.7*KFC!$B$23*1.02*1.3+KFC!$C$23)*KFC!$C$5</f>
        <v>327.12419999999997</v>
      </c>
      <c r="AA266" s="300">
        <f>(252.5*KFC!$B$23*1.02*1.3+KFC!$C$23)*KFC!$C$5</f>
        <v>334.81500000000005</v>
      </c>
      <c r="AB266" s="300">
        <f>(258.3*KFC!$B$23*1.02*1.3+KFC!$C$23)*KFC!$C$5</f>
        <v>342.50580000000002</v>
      </c>
      <c r="AC266" s="300">
        <f>(264.2*KFC!$B$23*1.02*1.3+KFC!$C$23)*KFC!$C$5</f>
        <v>350.32920000000001</v>
      </c>
      <c r="AD266" s="300">
        <f>(270*KFC!$B$23*1.02*1.3+KFC!$C$23)*KFC!$C$5</f>
        <v>358.02</v>
      </c>
      <c r="AE266" s="300">
        <f>(275.9*KFC!$B$23*1.02*1.3+KFC!$C$23)*KFC!$C$5</f>
        <v>365.84340000000003</v>
      </c>
      <c r="AF266" s="300">
        <f>(281.7*KFC!$B$23*1.02*1.3+KFC!$C$23)*KFC!$C$5</f>
        <v>373.5342</v>
      </c>
      <c r="AG266" s="300">
        <f>(287.6*KFC!$B$23*1.02*1.3+KFC!$C$23)*KFC!$C$5</f>
        <v>381.35760000000005</v>
      </c>
      <c r="AH266" s="304">
        <f>(293.4*KFC!$B$23*1.02*1.3+KFC!$C$23)*KFC!$C$5</f>
        <v>389.04839999999996</v>
      </c>
    </row>
    <row r="267" spans="1:34">
      <c r="A267" s="1781"/>
      <c r="B267" s="395">
        <v>2.2000000000000002</v>
      </c>
      <c r="C267" s="303">
        <f>(113.8*KFC!$B$23*1.02*1.3+KFC!$C$23)*KFC!$C$5</f>
        <v>150.89879999999999</v>
      </c>
      <c r="D267" s="300">
        <f>(119.8*KFC!$B$23*1.02*1.3+KFC!$C$23)*KFC!$C$5</f>
        <v>158.85480000000001</v>
      </c>
      <c r="E267" s="300">
        <f>(125.9*KFC!$B$23*1.02*1.3+KFC!$C$23)*KFC!$C$5</f>
        <v>166.94340000000003</v>
      </c>
      <c r="F267" s="300">
        <f>(132*KFC!$B$23*1.02*1.3+KFC!$C$23)*KFC!$C$5</f>
        <v>175.03200000000004</v>
      </c>
      <c r="G267" s="300">
        <f>(138.1*KFC!$B$23*1.02*1.3+KFC!$C$23)*KFC!$C$5</f>
        <v>183.1206</v>
      </c>
      <c r="H267" s="300">
        <f>(144.2*KFC!$B$23*1.02*1.3+KFC!$C$23)*KFC!$C$5</f>
        <v>191.20920000000001</v>
      </c>
      <c r="I267" s="300">
        <f>(150.2*KFC!$B$23*1.02*1.3+KFC!$C$23)*KFC!$C$5</f>
        <v>199.16519999999997</v>
      </c>
      <c r="J267" s="300">
        <f>(156.3*KFC!$B$23*1.02*1.3+KFC!$C$23)*KFC!$C$5</f>
        <v>207.25380000000004</v>
      </c>
      <c r="K267" s="300">
        <f>(162.4*KFC!$B$23*1.02*1.3+KFC!$C$23)*KFC!$C$5</f>
        <v>215.3424</v>
      </c>
      <c r="L267" s="300">
        <f>(168.5*KFC!$B$23*1.02*1.3+KFC!$C$23)*KFC!$C$5</f>
        <v>223.43100000000001</v>
      </c>
      <c r="M267" s="300">
        <f>(174.5*KFC!$B$23*1.02*1.3+KFC!$C$23)*KFC!$C$5</f>
        <v>231.38700000000003</v>
      </c>
      <c r="N267" s="300">
        <f>(180.6*KFC!$B$23*1.02*1.3+KFC!$C$23)*KFC!$C$5</f>
        <v>239.47559999999999</v>
      </c>
      <c r="O267" s="300">
        <f>(186.7*KFC!$B$23*1.02*1.3+KFC!$C$23)*KFC!$C$5</f>
        <v>247.5642</v>
      </c>
      <c r="P267" s="300">
        <f>(192.8*KFC!$B$23*1.02*1.3+KFC!$C$23)*KFC!$C$5</f>
        <v>255.65280000000001</v>
      </c>
      <c r="Q267" s="300">
        <f>(198.9*KFC!$B$23*1.02*1.3+KFC!$C$23)*KFC!$C$5</f>
        <v>263.74140000000006</v>
      </c>
      <c r="R267" s="300">
        <f>(204.9*KFC!$B$23*1.02*1.3+KFC!$C$23)*KFC!$C$5</f>
        <v>271.69740000000002</v>
      </c>
      <c r="S267" s="300">
        <f>(211*KFC!$B$23*1.02*1.3+KFC!$C$23)*KFC!$C$5</f>
        <v>279.786</v>
      </c>
      <c r="T267" s="300">
        <f>(217.1*KFC!$B$23*1.02*1.3+KFC!$C$23)*KFC!$C$5</f>
        <v>287.87460000000004</v>
      </c>
      <c r="U267" s="300">
        <f>(223.2*KFC!$B$23*1.02*1.3+KFC!$C$23)*KFC!$C$5</f>
        <v>295.96319999999997</v>
      </c>
      <c r="V267" s="300">
        <f>(229.3*KFC!$B$23*1.02*1.3+KFC!$C$23)*KFC!$C$5</f>
        <v>304.05180000000001</v>
      </c>
      <c r="W267" s="300">
        <f>(235.3*KFC!$B$23*1.02*1.3+KFC!$C$23)*KFC!$C$5</f>
        <v>312.00780000000003</v>
      </c>
      <c r="X267" s="300">
        <f>(241.4*KFC!$B$23*1.02*1.3+KFC!$C$23)*KFC!$C$5</f>
        <v>320.09640000000002</v>
      </c>
      <c r="Y267" s="300">
        <f>(247.5*KFC!$B$23*1.02*1.3+KFC!$C$23)*KFC!$C$5</f>
        <v>328.18500000000006</v>
      </c>
      <c r="Z267" s="300">
        <f>(253.6*KFC!$B$23*1.02*1.3+KFC!$C$23)*KFC!$C$5</f>
        <v>336.27360000000004</v>
      </c>
      <c r="AA267" s="300">
        <f>(259.6*KFC!$B$23*1.02*1.3+KFC!$C$23)*KFC!$C$5</f>
        <v>344.22960000000006</v>
      </c>
      <c r="AB267" s="300">
        <f>(265.7*KFC!$B$23*1.02*1.3+KFC!$C$23)*KFC!$C$5</f>
        <v>352.31820000000005</v>
      </c>
      <c r="AC267" s="300">
        <f>(271.8*KFC!$B$23*1.02*1.3+KFC!$C$23)*KFC!$C$5</f>
        <v>360.40679999999998</v>
      </c>
      <c r="AD267" s="300">
        <f>(277.9*KFC!$B$23*1.02*1.3+KFC!$C$23)*KFC!$C$5</f>
        <v>368.49539999999996</v>
      </c>
      <c r="AE267" s="300">
        <f>(284*KFC!$B$23*1.02*1.3+KFC!$C$23)*KFC!$C$5</f>
        <v>376.584</v>
      </c>
      <c r="AF267" s="300">
        <f>(290*KFC!$B$23*1.02*1.3+KFC!$C$23)*KFC!$C$5</f>
        <v>384.54</v>
      </c>
      <c r="AG267" s="300">
        <f>(296.1*KFC!$B$23*1.02*1.3+KFC!$C$23)*KFC!$C$5</f>
        <v>392.62860000000006</v>
      </c>
      <c r="AH267" s="304">
        <f>(302.2*KFC!$B$23*1.02*1.3+KFC!$C$23)*KFC!$C$5</f>
        <v>400.71719999999999</v>
      </c>
    </row>
    <row r="268" spans="1:34">
      <c r="A268" s="1781"/>
      <c r="B268" s="395">
        <v>2.2999999999999998</v>
      </c>
      <c r="C268" s="303">
        <f>(115.3*KFC!$B$23*1.02*1.3+KFC!$C$23)*KFC!$C$5</f>
        <v>152.8878</v>
      </c>
      <c r="D268" s="300">
        <f>(121.6*KFC!$B$23*1.02*1.3+KFC!$C$23)*KFC!$C$5</f>
        <v>161.24160000000001</v>
      </c>
      <c r="E268" s="300">
        <f>(127.9*KFC!$B$23*1.02*1.3+KFC!$C$23)*KFC!$C$5</f>
        <v>169.59540000000001</v>
      </c>
      <c r="F268" s="300">
        <f>(134.2*KFC!$B$23*1.02*1.3+KFC!$C$23)*KFC!$C$5</f>
        <v>177.94919999999999</v>
      </c>
      <c r="G268" s="300">
        <f>(140.5*KFC!$B$23*1.02*1.3+KFC!$C$23)*KFC!$C$5</f>
        <v>186.303</v>
      </c>
      <c r="H268" s="300">
        <f>(146.8*KFC!$B$23*1.02*1.3+KFC!$C$23)*KFC!$C$5</f>
        <v>194.65680000000003</v>
      </c>
      <c r="I268" s="300">
        <f>(153.2*KFC!$B$23*1.02*1.3+KFC!$C$23)*KFC!$C$5</f>
        <v>203.14319999999998</v>
      </c>
      <c r="J268" s="300">
        <f>(159.5*KFC!$B$23*1.02*1.3+KFC!$C$23)*KFC!$C$5</f>
        <v>211.49700000000001</v>
      </c>
      <c r="K268" s="300">
        <f>(165.8*KFC!$B$23*1.02*1.3+KFC!$C$23)*KFC!$C$5</f>
        <v>219.85080000000002</v>
      </c>
      <c r="L268" s="300">
        <f>(172.1*KFC!$B$23*1.02*1.3+KFC!$C$23)*KFC!$C$5</f>
        <v>228.2046</v>
      </c>
      <c r="M268" s="300">
        <f>(178.4*KFC!$B$23*1.02*1.3+KFC!$C$23)*KFC!$C$5</f>
        <v>236.55840000000003</v>
      </c>
      <c r="N268" s="300">
        <f>(184.7*KFC!$B$23*1.02*1.3+KFC!$C$23)*KFC!$C$5</f>
        <v>244.91220000000001</v>
      </c>
      <c r="O268" s="300">
        <f>(191*KFC!$B$23*1.02*1.3+KFC!$C$23)*KFC!$C$5</f>
        <v>253.26599999999999</v>
      </c>
      <c r="P268" s="300">
        <f>(197.3*KFC!$B$23*1.02*1.3+KFC!$C$23)*KFC!$C$5</f>
        <v>261.6198</v>
      </c>
      <c r="Q268" s="300">
        <f>(203.7*KFC!$B$23*1.02*1.3+KFC!$C$23)*KFC!$C$5</f>
        <v>270.1062</v>
      </c>
      <c r="R268" s="300">
        <f>(210*KFC!$B$23*1.02*1.3+KFC!$C$23)*KFC!$C$5</f>
        <v>278.46000000000004</v>
      </c>
      <c r="S268" s="300">
        <f>(216.3*KFC!$B$23*1.02*1.3+KFC!$C$23)*KFC!$C$5</f>
        <v>286.81380000000001</v>
      </c>
      <c r="T268" s="300">
        <f>(222.6*KFC!$B$23*1.02*1.3+KFC!$C$23)*KFC!$C$5</f>
        <v>295.16759999999999</v>
      </c>
      <c r="U268" s="300">
        <f>(228.9*KFC!$B$23*1.02*1.3+KFC!$C$23)*KFC!$C$5</f>
        <v>303.52140000000003</v>
      </c>
      <c r="V268" s="300">
        <f>(235.2*KFC!$B$23*1.02*1.3+KFC!$C$23)*KFC!$C$5</f>
        <v>311.87520000000001</v>
      </c>
      <c r="W268" s="300">
        <f>(241.5*KFC!$B$23*1.02*1.3+KFC!$C$23)*KFC!$C$5</f>
        <v>320.22900000000004</v>
      </c>
      <c r="X268" s="300">
        <f>(247.8*KFC!$B$23*1.02*1.3+KFC!$C$23)*KFC!$C$5</f>
        <v>328.58280000000002</v>
      </c>
      <c r="Y268" s="300">
        <f>(254.2*KFC!$B$23*1.02*1.3+KFC!$C$23)*KFC!$C$5</f>
        <v>337.06920000000002</v>
      </c>
      <c r="Z268" s="300">
        <f>(260.5*KFC!$B$23*1.02*1.3+KFC!$C$23)*KFC!$C$5</f>
        <v>345.423</v>
      </c>
      <c r="AA268" s="300">
        <f>(266.8*KFC!$B$23*1.02*1.3+KFC!$C$23)*KFC!$C$5</f>
        <v>353.77680000000004</v>
      </c>
      <c r="AB268" s="300">
        <f>(273.1*KFC!$B$23*1.02*1.3+KFC!$C$23)*KFC!$C$5</f>
        <v>362.13060000000002</v>
      </c>
      <c r="AC268" s="300">
        <f>(279.4*KFC!$B$23*1.02*1.3+KFC!$C$23)*KFC!$C$5</f>
        <v>370.48439999999999</v>
      </c>
      <c r="AD268" s="300">
        <f>(285.7*KFC!$B$23*1.02*1.3+KFC!$C$23)*KFC!$C$5</f>
        <v>378.83819999999997</v>
      </c>
      <c r="AE268" s="300">
        <f>(292*KFC!$B$23*1.02*1.3+KFC!$C$23)*KFC!$C$5</f>
        <v>387.19200000000006</v>
      </c>
      <c r="AF268" s="300">
        <f>(298.3*KFC!$B$23*1.02*1.3+KFC!$C$23)*KFC!$C$5</f>
        <v>395.54580000000004</v>
      </c>
      <c r="AG268" s="300">
        <f>(304.7*KFC!$B$23*1.02*1.3+KFC!$C$23)*KFC!$C$5</f>
        <v>404.03219999999999</v>
      </c>
      <c r="AH268" s="304">
        <f>(311*KFC!$B$23*1.02*1.3+KFC!$C$23)*KFC!$C$5</f>
        <v>412.38600000000002</v>
      </c>
    </row>
    <row r="269" spans="1:34">
      <c r="A269" s="1781"/>
      <c r="B269" s="395">
        <v>2.4</v>
      </c>
      <c r="C269" s="303">
        <f>(116.8*KFC!$B$23*1.02*1.3+KFC!$C$23)*KFC!$C$5</f>
        <v>154.8768</v>
      </c>
      <c r="D269" s="300">
        <f>(123.3*KFC!$B$23*1.02*1.3+KFC!$C$23)*KFC!$C$5</f>
        <v>163.4958</v>
      </c>
      <c r="E269" s="300">
        <f>(129.9*KFC!$B$23*1.02*1.3+KFC!$C$23)*KFC!$C$5</f>
        <v>172.24740000000003</v>
      </c>
      <c r="F269" s="300">
        <f>(136.4*KFC!$B$23*1.02*1.3+KFC!$C$23)*KFC!$C$5</f>
        <v>180.86640000000003</v>
      </c>
      <c r="G269" s="300">
        <f>(143*KFC!$B$23*1.02*1.3+KFC!$C$23)*KFC!$C$5</f>
        <v>189.61800000000002</v>
      </c>
      <c r="H269" s="300">
        <f>(149.5*KFC!$B$23*1.02*1.3+KFC!$C$23)*KFC!$C$5</f>
        <v>198.23700000000002</v>
      </c>
      <c r="I269" s="300">
        <f>(156.1*KFC!$B$23*1.02*1.3+KFC!$C$23)*KFC!$C$5</f>
        <v>206.98860000000002</v>
      </c>
      <c r="J269" s="300">
        <f>(162.6*KFC!$B$23*1.02*1.3+KFC!$C$23)*KFC!$C$5</f>
        <v>215.60760000000002</v>
      </c>
      <c r="K269" s="300">
        <f>(169.2*KFC!$B$23*1.02*1.3+KFC!$C$23)*KFC!$C$5</f>
        <v>224.35920000000002</v>
      </c>
      <c r="L269" s="300">
        <f>(175.7*KFC!$B$23*1.02*1.3+KFC!$C$23)*KFC!$C$5</f>
        <v>232.97820000000002</v>
      </c>
      <c r="M269" s="300">
        <f>(182.3*KFC!$B$23*1.02*1.3+KFC!$C$23)*KFC!$C$5</f>
        <v>241.72980000000004</v>
      </c>
      <c r="N269" s="300">
        <f>(188.8*KFC!$B$23*1.02*1.3+KFC!$C$23)*KFC!$C$5</f>
        <v>250.34880000000004</v>
      </c>
      <c r="O269" s="300">
        <f>(195.4*KFC!$B$23*1.02*1.3+KFC!$C$23)*KFC!$C$5</f>
        <v>259.10040000000004</v>
      </c>
      <c r="P269" s="300">
        <f>(201.9*KFC!$B$23*1.02*1.3+KFC!$C$23)*KFC!$C$5</f>
        <v>267.71940000000001</v>
      </c>
      <c r="Q269" s="300">
        <f>(208.5*KFC!$B$23*1.02*1.3+KFC!$C$23)*KFC!$C$5</f>
        <v>276.471</v>
      </c>
      <c r="R269" s="300">
        <f>(215*KFC!$B$23*1.02*1.3+KFC!$C$23)*KFC!$C$5</f>
        <v>285.09000000000003</v>
      </c>
      <c r="S269" s="300">
        <f>(221.5*KFC!$B$23*1.02*1.3+KFC!$C$23)*KFC!$C$5</f>
        <v>293.709</v>
      </c>
      <c r="T269" s="300">
        <f>(228.1*KFC!$B$23*1.02*1.3+KFC!$C$23)*KFC!$C$5</f>
        <v>302.4606</v>
      </c>
      <c r="U269" s="300">
        <f>(234.6*KFC!$B$23*1.02*1.3+KFC!$C$23)*KFC!$C$5</f>
        <v>311.07960000000003</v>
      </c>
      <c r="V269" s="300">
        <f>(241.2*KFC!$B$23*1.02*1.3+KFC!$C$23)*KFC!$C$5</f>
        <v>319.83120000000002</v>
      </c>
      <c r="W269" s="300">
        <f>(247.7*KFC!$B$23*1.02*1.3+KFC!$C$23)*KFC!$C$5</f>
        <v>328.4502</v>
      </c>
      <c r="X269" s="300">
        <f>(254.3*KFC!$B$23*1.02*1.3+KFC!$C$23)*KFC!$C$5</f>
        <v>337.20180000000005</v>
      </c>
      <c r="Y269" s="300">
        <f>(260.8*KFC!$B$23*1.02*1.3+KFC!$C$23)*KFC!$C$5</f>
        <v>345.82080000000002</v>
      </c>
      <c r="Z269" s="300">
        <f>(267.4*KFC!$B$23*1.02*1.3+KFC!$C$23)*KFC!$C$5</f>
        <v>354.57240000000002</v>
      </c>
      <c r="AA269" s="300">
        <f>(273.9*KFC!$B$23*1.02*1.3+KFC!$C$23)*KFC!$C$5</f>
        <v>363.19139999999999</v>
      </c>
      <c r="AB269" s="300">
        <f>(280.5*KFC!$B$23*1.02*1.3+KFC!$C$23)*KFC!$C$5</f>
        <v>371.94300000000004</v>
      </c>
      <c r="AC269" s="300">
        <f>(287*KFC!$B$23*1.02*1.3+KFC!$C$23)*KFC!$C$5</f>
        <v>380.56200000000001</v>
      </c>
      <c r="AD269" s="300">
        <f>(293.6*KFC!$B$23*1.02*1.3+KFC!$C$23)*KFC!$C$5</f>
        <v>389.31360000000006</v>
      </c>
      <c r="AE269" s="300">
        <f>(300.1*KFC!$B$23*1.02*1.3+KFC!$C$23)*KFC!$C$5</f>
        <v>397.93260000000004</v>
      </c>
      <c r="AF269" s="300">
        <f>(306.7*KFC!$B$23*1.02*1.3+KFC!$C$23)*KFC!$C$5</f>
        <v>406.68420000000003</v>
      </c>
      <c r="AG269" s="300">
        <f>(313.2*KFC!$B$23*1.02*1.3+KFC!$C$23)*KFC!$C$5</f>
        <v>415.3032</v>
      </c>
      <c r="AH269" s="304">
        <f>(319.8*KFC!$B$23*1.02*1.3+KFC!$C$23)*KFC!$C$5</f>
        <v>424.05480000000006</v>
      </c>
    </row>
    <row r="270" spans="1:34">
      <c r="A270" s="1781"/>
      <c r="B270" s="395">
        <v>2.5</v>
      </c>
      <c r="C270" s="303">
        <f>(118.3*KFC!$B$23*1.02*1.3+KFC!$C$23)*KFC!$C$5</f>
        <v>156.86580000000001</v>
      </c>
      <c r="D270" s="300">
        <f>(125.1*KFC!$B$23*1.02*1.3+KFC!$C$23)*KFC!$C$5</f>
        <v>165.8826</v>
      </c>
      <c r="E270" s="300">
        <f>(131.9*KFC!$B$23*1.02*1.3+KFC!$C$23)*KFC!$C$5</f>
        <v>174.89940000000001</v>
      </c>
      <c r="F270" s="300">
        <f>(138.6*KFC!$B$23*1.02*1.3+KFC!$C$23)*KFC!$C$5</f>
        <v>183.78359999999998</v>
      </c>
      <c r="G270" s="300">
        <f>(145.4*KFC!$B$23*1.02*1.3+KFC!$C$23)*KFC!$C$5</f>
        <v>192.80040000000002</v>
      </c>
      <c r="H270" s="300">
        <f>(152.2*KFC!$B$23*1.02*1.3+KFC!$C$23)*KFC!$C$5</f>
        <v>201.81720000000001</v>
      </c>
      <c r="I270" s="300">
        <f>(159*KFC!$B$23*1.02*1.3+KFC!$C$23)*KFC!$C$5</f>
        <v>210.834</v>
      </c>
      <c r="J270" s="300">
        <f>(165.8*KFC!$B$23*1.02*1.3+KFC!$C$23)*KFC!$C$5</f>
        <v>219.85080000000002</v>
      </c>
      <c r="K270" s="300">
        <f>(172.6*KFC!$B$23*1.02*1.3+KFC!$C$23)*KFC!$C$5</f>
        <v>228.86760000000001</v>
      </c>
      <c r="L270" s="300">
        <f>(179.3*KFC!$B$23*1.02*1.3+KFC!$C$23)*KFC!$C$5</f>
        <v>237.75180000000003</v>
      </c>
      <c r="M270" s="300">
        <f>(186.1*KFC!$B$23*1.02*1.3+KFC!$C$23)*KFC!$C$5</f>
        <v>246.76860000000002</v>
      </c>
      <c r="N270" s="300">
        <f>(192.9*KFC!$B$23*1.02*1.3+KFC!$C$23)*KFC!$C$5</f>
        <v>255.78540000000001</v>
      </c>
      <c r="O270" s="300">
        <f>(199.7*KFC!$B$23*1.02*1.3+KFC!$C$23)*KFC!$C$5</f>
        <v>264.80219999999997</v>
      </c>
      <c r="P270" s="300">
        <f>(206.5*KFC!$B$23*1.02*1.3+KFC!$C$23)*KFC!$C$5</f>
        <v>273.81900000000002</v>
      </c>
      <c r="Q270" s="300">
        <f>(213.2*KFC!$B$23*1.02*1.3+KFC!$C$23)*KFC!$C$5</f>
        <v>282.70319999999998</v>
      </c>
      <c r="R270" s="300">
        <f>(220*KFC!$B$23*1.02*1.3+KFC!$C$23)*KFC!$C$5</f>
        <v>291.72000000000003</v>
      </c>
      <c r="S270" s="300">
        <f>(226.8*KFC!$B$23*1.02*1.3+KFC!$C$23)*KFC!$C$5</f>
        <v>300.73680000000002</v>
      </c>
      <c r="T270" s="300">
        <f>(233.6*KFC!$B$23*1.02*1.3+KFC!$C$23)*KFC!$C$5</f>
        <v>309.75360000000001</v>
      </c>
      <c r="U270" s="300">
        <f>(240.4*KFC!$B$23*1.02*1.3+KFC!$C$23)*KFC!$C$5</f>
        <v>318.7704</v>
      </c>
      <c r="V270" s="300">
        <f>(247.2*KFC!$B$23*1.02*1.3+KFC!$C$23)*KFC!$C$5</f>
        <v>327.78720000000004</v>
      </c>
      <c r="W270" s="300">
        <f>(253.9*KFC!$B$23*1.02*1.3+KFC!$C$23)*KFC!$C$5</f>
        <v>336.67140000000001</v>
      </c>
      <c r="X270" s="300">
        <f>(260.7*KFC!$B$23*1.02*1.3+KFC!$C$23)*KFC!$C$5</f>
        <v>345.68819999999999</v>
      </c>
      <c r="Y270" s="300">
        <f>(267.5*KFC!$B$23*1.02*1.3+KFC!$C$23)*KFC!$C$5</f>
        <v>354.70500000000004</v>
      </c>
      <c r="Z270" s="300">
        <f>(274.3*KFC!$B$23*1.02*1.3+KFC!$C$23)*KFC!$C$5</f>
        <v>363.72180000000003</v>
      </c>
      <c r="AA270" s="300">
        <f>(281.1*KFC!$B$23*1.02*1.3+KFC!$C$23)*KFC!$C$5</f>
        <v>372.73860000000008</v>
      </c>
      <c r="AB270" s="300">
        <f>(287.8*KFC!$B$23*1.02*1.3+KFC!$C$23)*KFC!$C$5</f>
        <v>381.62280000000004</v>
      </c>
      <c r="AC270" s="300">
        <f>(294.6*KFC!$B$23*1.02*1.3+KFC!$C$23)*KFC!$C$5</f>
        <v>390.63960000000003</v>
      </c>
      <c r="AD270" s="300">
        <f>(301.4*KFC!$B$23*1.02*1.3+KFC!$C$23)*KFC!$C$5</f>
        <v>399.65640000000002</v>
      </c>
      <c r="AE270" s="300">
        <f>(308.2*KFC!$B$23*1.02*1.3+KFC!$C$23)*KFC!$C$5</f>
        <v>408.67320000000001</v>
      </c>
      <c r="AF270" s="300">
        <f>(315*KFC!$B$23*1.02*1.3+KFC!$C$23)*KFC!$C$5</f>
        <v>417.69000000000005</v>
      </c>
      <c r="AG270" s="300">
        <f>(321.8*KFC!$B$23*1.02*1.3+KFC!$C$23)*KFC!$C$5</f>
        <v>426.70679999999999</v>
      </c>
      <c r="AH270" s="304">
        <f>(328.5*KFC!$B$23*1.02*1.3+KFC!$C$23)*KFC!$C$5</f>
        <v>435.59100000000001</v>
      </c>
    </row>
    <row r="271" spans="1:34">
      <c r="A271" s="1781"/>
      <c r="B271" s="395">
        <v>2.6</v>
      </c>
      <c r="C271" s="303">
        <f>(119.8*KFC!$B$23*1.02*1.3+KFC!$C$23)*KFC!$C$5</f>
        <v>158.85480000000001</v>
      </c>
      <c r="D271" s="300">
        <f>(126.8*KFC!$B$23*1.02*1.3+KFC!$C$23)*KFC!$C$5</f>
        <v>168.13680000000002</v>
      </c>
      <c r="E271" s="300">
        <f>(133.8*KFC!$B$23*1.02*1.3+KFC!$C$23)*KFC!$C$5</f>
        <v>177.41880000000003</v>
      </c>
      <c r="F271" s="300">
        <f>(140.9*KFC!$B$23*1.02*1.3+KFC!$C$23)*KFC!$C$5</f>
        <v>186.83340000000004</v>
      </c>
      <c r="G271" s="300">
        <f>(147.9*KFC!$B$23*1.02*1.3+KFC!$C$23)*KFC!$C$5</f>
        <v>196.11540000000002</v>
      </c>
      <c r="H271" s="300">
        <f>(154.9*KFC!$B$23*1.02*1.3+KFC!$C$23)*KFC!$C$5</f>
        <v>205.39740000000003</v>
      </c>
      <c r="I271" s="300">
        <f>(161.9*KFC!$B$23*1.02*1.3+KFC!$C$23)*KFC!$C$5</f>
        <v>214.67940000000002</v>
      </c>
      <c r="J271" s="300">
        <f>(168.9*KFC!$B$23*1.02*1.3+KFC!$C$23)*KFC!$C$5</f>
        <v>223.96140000000003</v>
      </c>
      <c r="K271" s="300">
        <f>(175.9*KFC!$B$23*1.02*1.3+KFC!$C$23)*KFC!$C$5</f>
        <v>233.24340000000001</v>
      </c>
      <c r="L271" s="300">
        <f>(183*KFC!$B$23*1.02*1.3+KFC!$C$23)*KFC!$C$5</f>
        <v>242.65800000000002</v>
      </c>
      <c r="M271" s="300">
        <f>(190*KFC!$B$23*1.02*1.3+KFC!$C$23)*KFC!$C$5</f>
        <v>251.94000000000003</v>
      </c>
      <c r="N271" s="300">
        <f>(197*KFC!$B$23*1.02*1.3+KFC!$C$23)*KFC!$C$5</f>
        <v>261.22199999999998</v>
      </c>
      <c r="O271" s="300">
        <f>(204*KFC!$B$23*1.02*1.3+KFC!$C$23)*KFC!$C$5</f>
        <v>270.50400000000002</v>
      </c>
      <c r="P271" s="300">
        <f>(211*KFC!$B$23*1.02*1.3+KFC!$C$23)*KFC!$C$5</f>
        <v>279.786</v>
      </c>
      <c r="Q271" s="300">
        <f>(218*KFC!$B$23*1.02*1.3+KFC!$C$23)*KFC!$C$5</f>
        <v>289.06800000000004</v>
      </c>
      <c r="R271" s="300">
        <f>(225.1*KFC!$B$23*1.02*1.3+KFC!$C$23)*KFC!$C$5</f>
        <v>298.48259999999999</v>
      </c>
      <c r="S271" s="300">
        <f>(232.1*KFC!$B$23*1.02*1.3+KFC!$C$23)*KFC!$C$5</f>
        <v>307.76459999999997</v>
      </c>
      <c r="T271" s="300">
        <f>(239.1*KFC!$B$23*1.02*1.3+KFC!$C$23)*KFC!$C$5</f>
        <v>317.04660000000001</v>
      </c>
      <c r="U271" s="300">
        <f>(246.1*KFC!$B$23*1.02*1.3+KFC!$C$23)*KFC!$C$5</f>
        <v>326.32859999999999</v>
      </c>
      <c r="V271" s="300">
        <f>(253.1*KFC!$B$23*1.02*1.3+KFC!$C$23)*KFC!$C$5</f>
        <v>335.61059999999998</v>
      </c>
      <c r="W271" s="300">
        <f>(260.1*KFC!$B$23*1.02*1.3+KFC!$C$23)*KFC!$C$5</f>
        <v>344.89260000000002</v>
      </c>
      <c r="X271" s="300">
        <f>(267.2*KFC!$B$23*1.02*1.3+KFC!$C$23)*KFC!$C$5</f>
        <v>354.30719999999997</v>
      </c>
      <c r="Y271" s="300">
        <f>(274.2*KFC!$B$23*1.02*1.3+KFC!$C$23)*KFC!$C$5</f>
        <v>363.58919999999995</v>
      </c>
      <c r="Z271" s="300">
        <f>(281.2*KFC!$B$23*1.02*1.3+KFC!$C$23)*KFC!$C$5</f>
        <v>372.87120000000004</v>
      </c>
      <c r="AA271" s="300">
        <f>(288.2*KFC!$B$23*1.02*1.3+KFC!$C$23)*KFC!$C$5</f>
        <v>382.15320000000003</v>
      </c>
      <c r="AB271" s="300">
        <f>(295.2*KFC!$B$23*1.02*1.3+KFC!$C$23)*KFC!$C$5</f>
        <v>391.43520000000001</v>
      </c>
      <c r="AC271" s="300">
        <f>(302.2*KFC!$B$23*1.02*1.3+KFC!$C$23)*KFC!$C$5</f>
        <v>400.71719999999999</v>
      </c>
      <c r="AD271" s="300">
        <f>(309.3*KFC!$B$23*1.02*1.3+KFC!$C$23)*KFC!$C$5</f>
        <v>410.1318</v>
      </c>
      <c r="AE271" s="300">
        <f>(316.3*KFC!$B$23*1.02*1.3+KFC!$C$23)*KFC!$C$5</f>
        <v>419.41380000000004</v>
      </c>
      <c r="AF271" s="300">
        <f>(323.3*KFC!$B$23*1.02*1.3+KFC!$C$23)*KFC!$C$5</f>
        <v>428.69580000000002</v>
      </c>
      <c r="AG271" s="300">
        <f>(330.3*KFC!$B$23*1.02*1.3+KFC!$C$23)*KFC!$C$5</f>
        <v>437.9778</v>
      </c>
      <c r="AH271" s="304">
        <f>(337.3*KFC!$B$23*1.02*1.3+KFC!$C$23)*KFC!$C$5</f>
        <v>447.25979999999998</v>
      </c>
    </row>
    <row r="272" spans="1:34">
      <c r="A272" s="1781"/>
      <c r="B272" s="395">
        <v>2.7</v>
      </c>
      <c r="C272" s="303">
        <f>(121.3*KFC!$B$23*1.02*1.3+KFC!$C$23)*KFC!$C$5</f>
        <v>160.84380000000002</v>
      </c>
      <c r="D272" s="300">
        <f>(128.6*KFC!$B$23*1.02*1.3+KFC!$C$23)*KFC!$C$5</f>
        <v>170.52360000000002</v>
      </c>
      <c r="E272" s="300">
        <f>(135.8*KFC!$B$23*1.02*1.3+KFC!$C$23)*KFC!$C$5</f>
        <v>180.07080000000002</v>
      </c>
      <c r="F272" s="300">
        <f>(143.1*KFC!$B$23*1.02*1.3+KFC!$C$23)*KFC!$C$5</f>
        <v>189.75059999999999</v>
      </c>
      <c r="G272" s="300">
        <f>(150.3*KFC!$B$23*1.02*1.3+KFC!$C$23)*KFC!$C$5</f>
        <v>199.29780000000002</v>
      </c>
      <c r="H272" s="300">
        <f>(157.6*KFC!$B$23*1.02*1.3+KFC!$C$23)*KFC!$C$5</f>
        <v>208.97760000000002</v>
      </c>
      <c r="I272" s="300">
        <f>(164.8*KFC!$B$23*1.02*1.3+KFC!$C$23)*KFC!$C$5</f>
        <v>218.5248</v>
      </c>
      <c r="J272" s="300">
        <f>(172.1*KFC!$B$23*1.02*1.3+KFC!$C$23)*KFC!$C$5</f>
        <v>228.2046</v>
      </c>
      <c r="K272" s="300">
        <f>(179.3*KFC!$B$23*1.02*1.3+KFC!$C$23)*KFC!$C$5</f>
        <v>237.75180000000003</v>
      </c>
      <c r="L272" s="300">
        <f>(186.6*KFC!$B$23*1.02*1.3+KFC!$C$23)*KFC!$C$5</f>
        <v>247.4316</v>
      </c>
      <c r="M272" s="300">
        <f>(193.8*KFC!$B$23*1.02*1.3+KFC!$C$23)*KFC!$C$5</f>
        <v>256.97880000000004</v>
      </c>
      <c r="N272" s="300">
        <f>(201.1*KFC!$B$23*1.02*1.3+KFC!$C$23)*KFC!$C$5</f>
        <v>266.65859999999998</v>
      </c>
      <c r="O272" s="300">
        <f>(208.3*KFC!$B$23*1.02*1.3+KFC!$C$23)*KFC!$C$5</f>
        <v>276.20580000000001</v>
      </c>
      <c r="P272" s="300">
        <f>(215.6*KFC!$B$23*1.02*1.3+KFC!$C$23)*KFC!$C$5</f>
        <v>285.88560000000001</v>
      </c>
      <c r="Q272" s="300">
        <f>(222.8*KFC!$B$23*1.02*1.3+KFC!$C$23)*KFC!$C$5</f>
        <v>295.43280000000004</v>
      </c>
      <c r="R272" s="300">
        <f>(230.1*KFC!$B$23*1.02*1.3+KFC!$C$23)*KFC!$C$5</f>
        <v>305.11259999999999</v>
      </c>
      <c r="S272" s="300">
        <f>(237.3*KFC!$B$23*1.02*1.3+KFC!$C$23)*KFC!$C$5</f>
        <v>314.65980000000002</v>
      </c>
      <c r="T272" s="300">
        <f>(244.6*KFC!$B$23*1.02*1.3+KFC!$C$23)*KFC!$C$5</f>
        <v>324.33960000000002</v>
      </c>
      <c r="U272" s="300">
        <f>(251.8*KFC!$B$23*1.02*1.3+KFC!$C$23)*KFC!$C$5</f>
        <v>333.88680000000005</v>
      </c>
      <c r="V272" s="300">
        <f>(259.1*KFC!$B$23*1.02*1.3+KFC!$C$23)*KFC!$C$5</f>
        <v>343.56660000000005</v>
      </c>
      <c r="W272" s="300">
        <f>(266.3*KFC!$B$23*1.02*1.3+KFC!$C$23)*KFC!$C$5</f>
        <v>353.11380000000008</v>
      </c>
      <c r="X272" s="300">
        <f>(273.6*KFC!$B$23*1.02*1.3+KFC!$C$23)*KFC!$C$5</f>
        <v>362.79360000000003</v>
      </c>
      <c r="Y272" s="300">
        <f>(280.8*KFC!$B$23*1.02*1.3+KFC!$C$23)*KFC!$C$5</f>
        <v>372.3408</v>
      </c>
      <c r="Z272" s="300">
        <f>(288.1*KFC!$B$23*1.02*1.3+KFC!$C$23)*KFC!$C$5</f>
        <v>382.02060000000006</v>
      </c>
      <c r="AA272" s="300">
        <f>(295.4*KFC!$B$23*1.02*1.3+KFC!$C$23)*KFC!$C$5</f>
        <v>391.7004</v>
      </c>
      <c r="AB272" s="300">
        <f>(302.6*KFC!$B$23*1.02*1.3+KFC!$C$23)*KFC!$C$5</f>
        <v>401.24760000000009</v>
      </c>
      <c r="AC272" s="300">
        <f>(309.9*KFC!$B$23*1.02*1.3+KFC!$C$23)*KFC!$C$5</f>
        <v>410.92739999999998</v>
      </c>
      <c r="AD272" s="300">
        <f>(317.1*KFC!$B$23*1.02*1.3+KFC!$C$23)*KFC!$C$5</f>
        <v>420.47460000000001</v>
      </c>
      <c r="AE272" s="300">
        <f>(324.4*KFC!$B$23*1.02*1.3+KFC!$C$23)*KFC!$C$5</f>
        <v>430.15440000000001</v>
      </c>
      <c r="AF272" s="300">
        <f>(331.6*KFC!$B$23*1.02*1.3+KFC!$C$23)*KFC!$C$5</f>
        <v>439.70160000000004</v>
      </c>
      <c r="AG272" s="300">
        <f>(338.9*KFC!$B$23*1.02*1.3+KFC!$C$23)*KFC!$C$5</f>
        <v>449.38139999999999</v>
      </c>
      <c r="AH272" s="304">
        <f>(346.1*KFC!$B$23*1.02*1.3+KFC!$C$23)*KFC!$C$5</f>
        <v>458.92860000000007</v>
      </c>
    </row>
    <row r="273" spans="1:34">
      <c r="A273" s="1781"/>
      <c r="B273" s="395">
        <v>2.8</v>
      </c>
      <c r="C273" s="303">
        <f>(122.8*KFC!$B$23*1.02*1.3+KFC!$C$23)*KFC!$C$5</f>
        <v>162.83279999999999</v>
      </c>
      <c r="D273" s="300">
        <f>(130.3*KFC!$B$23*1.02*1.3+KFC!$C$23)*KFC!$C$5</f>
        <v>172.77780000000001</v>
      </c>
      <c r="E273" s="300">
        <f>(137.8*KFC!$B$23*1.02*1.3+KFC!$C$23)*KFC!$C$5</f>
        <v>182.72280000000003</v>
      </c>
      <c r="F273" s="300">
        <f>(145.3*KFC!$B$23*1.02*1.3+KFC!$C$23)*KFC!$C$5</f>
        <v>192.66780000000003</v>
      </c>
      <c r="G273" s="300">
        <f>(152.8*KFC!$B$23*1.02*1.3+KFC!$C$23)*KFC!$C$5</f>
        <v>202.61280000000005</v>
      </c>
      <c r="H273" s="300">
        <f>(160.3*KFC!$B$23*1.02*1.3+KFC!$C$23)*KFC!$C$5</f>
        <v>212.55780000000004</v>
      </c>
      <c r="I273" s="300">
        <f>(167.7*KFC!$B$23*1.02*1.3+KFC!$C$23)*KFC!$C$5</f>
        <v>222.37020000000001</v>
      </c>
      <c r="J273" s="300">
        <f>(175.2*KFC!$B$23*1.02*1.3+KFC!$C$23)*KFC!$C$5</f>
        <v>232.31519999999998</v>
      </c>
      <c r="K273" s="300">
        <f>(182.7*KFC!$B$23*1.02*1.3+KFC!$C$23)*KFC!$C$5</f>
        <v>242.2602</v>
      </c>
      <c r="L273" s="300">
        <f>(190.2*KFC!$B$23*1.02*1.3+KFC!$C$23)*KFC!$C$5</f>
        <v>252.20519999999999</v>
      </c>
      <c r="M273" s="300">
        <f>(197.7*KFC!$B$23*1.02*1.3+KFC!$C$23)*KFC!$C$5</f>
        <v>262.15019999999998</v>
      </c>
      <c r="N273" s="300">
        <f>(205.2*KFC!$B$23*1.02*1.3+KFC!$C$23)*KFC!$C$5</f>
        <v>272.09520000000003</v>
      </c>
      <c r="O273" s="300">
        <f>(212.7*KFC!$B$23*1.02*1.3+KFC!$C$23)*KFC!$C$5</f>
        <v>282.04019999999997</v>
      </c>
      <c r="P273" s="300">
        <f>(220.1*KFC!$B$23*1.02*1.3+KFC!$C$23)*KFC!$C$5</f>
        <v>291.8526</v>
      </c>
      <c r="Q273" s="300">
        <f>(227.6*KFC!$B$23*1.02*1.3+KFC!$C$23)*KFC!$C$5</f>
        <v>301.79759999999999</v>
      </c>
      <c r="R273" s="300">
        <f>(235.1*KFC!$B$23*1.02*1.3+KFC!$C$23)*KFC!$C$5</f>
        <v>311.74259999999998</v>
      </c>
      <c r="S273" s="300">
        <f>(242.6*KFC!$B$23*1.02*1.3+KFC!$C$23)*KFC!$C$5</f>
        <v>321.68760000000003</v>
      </c>
      <c r="T273" s="300">
        <f>(250.1*KFC!$B$23*1.02*1.3+KFC!$C$23)*KFC!$C$5</f>
        <v>331.63260000000002</v>
      </c>
      <c r="U273" s="300">
        <f>(257.6*KFC!$B$23*1.02*1.3+KFC!$C$23)*KFC!$C$5</f>
        <v>341.57760000000002</v>
      </c>
      <c r="V273" s="300">
        <f>(265.1*KFC!$B$23*1.02*1.3+KFC!$C$23)*KFC!$C$5</f>
        <v>351.52260000000007</v>
      </c>
      <c r="W273" s="300">
        <f>(272.5*KFC!$B$23*1.02*1.3+KFC!$C$23)*KFC!$C$5</f>
        <v>361.33499999999998</v>
      </c>
      <c r="X273" s="300">
        <f>(280*KFC!$B$23*1.02*1.3+KFC!$C$23)*KFC!$C$5</f>
        <v>371.28000000000003</v>
      </c>
      <c r="Y273" s="300">
        <f>(287.5*KFC!$B$23*1.02*1.3+KFC!$C$23)*KFC!$C$5</f>
        <v>381.22500000000002</v>
      </c>
      <c r="Z273" s="300">
        <f>(295*KFC!$B$23*1.02*1.3+KFC!$C$23)*KFC!$C$5</f>
        <v>391.16999999999996</v>
      </c>
      <c r="AA273" s="300">
        <f>(302.5*KFC!$B$23*1.02*1.3+KFC!$C$23)*KFC!$C$5</f>
        <v>401.11500000000001</v>
      </c>
      <c r="AB273" s="300">
        <f>(310*KFC!$B$23*1.02*1.3+KFC!$C$23)*KFC!$C$5</f>
        <v>411.06</v>
      </c>
      <c r="AC273" s="300">
        <f>(317.5*KFC!$B$23*1.02*1.3+KFC!$C$23)*KFC!$C$5</f>
        <v>421.00500000000005</v>
      </c>
      <c r="AD273" s="300">
        <f>(324.9*KFC!$B$23*1.02*1.3+KFC!$C$23)*KFC!$C$5</f>
        <v>430.81739999999996</v>
      </c>
      <c r="AE273" s="300">
        <f>(332.4*KFC!$B$23*1.02*1.3+KFC!$C$23)*KFC!$C$5</f>
        <v>440.76240000000001</v>
      </c>
      <c r="AF273" s="300">
        <f>(339.9*KFC!$B$23*1.02*1.3+KFC!$C$23)*KFC!$C$5</f>
        <v>450.70740000000001</v>
      </c>
      <c r="AG273" s="300">
        <f>(347.4*KFC!$B$23*1.02*1.3+KFC!$C$23)*KFC!$C$5</f>
        <v>460.65239999999994</v>
      </c>
      <c r="AH273" s="304">
        <f>(354.9*KFC!$B$23*1.02*1.3+KFC!$C$23)*KFC!$C$5</f>
        <v>470.59739999999999</v>
      </c>
    </row>
    <row r="274" spans="1:34">
      <c r="A274" s="1781"/>
      <c r="B274" s="395">
        <v>2.9</v>
      </c>
      <c r="C274" s="303">
        <f>(124.3*KFC!$B$23*1.02*1.3+KFC!$C$23)*KFC!$C$5</f>
        <v>164.8218</v>
      </c>
      <c r="D274" s="300">
        <f>(132.1*KFC!$B$23*1.02*1.3+KFC!$C$23)*KFC!$C$5</f>
        <v>175.16460000000001</v>
      </c>
      <c r="E274" s="300">
        <f>(139.8*KFC!$B$23*1.02*1.3+KFC!$C$23)*KFC!$C$5</f>
        <v>185.37480000000002</v>
      </c>
      <c r="F274" s="300">
        <f>(147.5*KFC!$B$23*1.02*1.3+KFC!$C$23)*KFC!$C$5</f>
        <v>195.58499999999998</v>
      </c>
      <c r="G274" s="300">
        <f>(155.2*KFC!$B$23*1.02*1.3+KFC!$C$23)*KFC!$C$5</f>
        <v>205.79520000000002</v>
      </c>
      <c r="H274" s="300">
        <f>(162.9*KFC!$B$23*1.02*1.3+KFC!$C$23)*KFC!$C$5</f>
        <v>216.00540000000004</v>
      </c>
      <c r="I274" s="300">
        <f>(170.7*KFC!$B$23*1.02*1.3+KFC!$C$23)*KFC!$C$5</f>
        <v>226.34820000000002</v>
      </c>
      <c r="J274" s="300">
        <f>(178.4*KFC!$B$23*1.02*1.3+KFC!$C$23)*KFC!$C$5</f>
        <v>236.55840000000003</v>
      </c>
      <c r="K274" s="300">
        <f>(186.1*KFC!$B$23*1.02*1.3+KFC!$C$23)*KFC!$C$5</f>
        <v>246.76860000000002</v>
      </c>
      <c r="L274" s="300">
        <f>(193.8*KFC!$B$23*1.02*1.3+KFC!$C$23)*KFC!$C$5</f>
        <v>256.97880000000004</v>
      </c>
      <c r="M274" s="300">
        <f>(201.5*KFC!$B$23*1.02*1.3+KFC!$C$23)*KFC!$C$5</f>
        <v>267.18900000000002</v>
      </c>
      <c r="N274" s="300">
        <f>(209.3*KFC!$B$23*1.02*1.3+KFC!$C$23)*KFC!$C$5</f>
        <v>277.53180000000003</v>
      </c>
      <c r="O274" s="300">
        <f>(217*KFC!$B$23*1.02*1.3+KFC!$C$23)*KFC!$C$5</f>
        <v>287.74200000000002</v>
      </c>
      <c r="P274" s="300">
        <f>(224.7*KFC!$B$23*1.02*1.3+KFC!$C$23)*KFC!$C$5</f>
        <v>297.9522</v>
      </c>
      <c r="Q274" s="300">
        <f>(232.4*KFC!$B$23*1.02*1.3+KFC!$C$23)*KFC!$C$5</f>
        <v>308.16239999999999</v>
      </c>
      <c r="R274" s="300">
        <f>(240.2*KFC!$B$23*1.02*1.3+KFC!$C$23)*KFC!$C$5</f>
        <v>318.5052</v>
      </c>
      <c r="S274" s="300">
        <f>(247.9*KFC!$B$23*1.02*1.3+KFC!$C$23)*KFC!$C$5</f>
        <v>328.71539999999999</v>
      </c>
      <c r="T274" s="300">
        <f>(255.6*KFC!$B$23*1.02*1.3+KFC!$C$23)*KFC!$C$5</f>
        <v>338.92559999999997</v>
      </c>
      <c r="U274" s="300">
        <f>(263.3*KFC!$B$23*1.02*1.3+KFC!$C$23)*KFC!$C$5</f>
        <v>349.13580000000007</v>
      </c>
      <c r="V274" s="300">
        <f>(271*KFC!$B$23*1.02*1.3+KFC!$C$23)*KFC!$C$5</f>
        <v>359.34600000000006</v>
      </c>
      <c r="W274" s="300">
        <f>(278.8*KFC!$B$23*1.02*1.3+KFC!$C$23)*KFC!$C$5</f>
        <v>369.68880000000007</v>
      </c>
      <c r="X274" s="300">
        <f>(286.5*KFC!$B$23*1.02*1.3+KFC!$C$23)*KFC!$C$5</f>
        <v>379.89900000000006</v>
      </c>
      <c r="Y274" s="300">
        <f>(294.2*KFC!$B$23*1.02*1.3+KFC!$C$23)*KFC!$C$5</f>
        <v>390.10920000000004</v>
      </c>
      <c r="Z274" s="300">
        <f>(301.9*KFC!$B$23*1.02*1.3+KFC!$C$23)*KFC!$C$5</f>
        <v>400.31939999999997</v>
      </c>
      <c r="AA274" s="300">
        <f>(309.6*KFC!$B$23*1.02*1.3+KFC!$C$23)*KFC!$C$5</f>
        <v>410.52960000000007</v>
      </c>
      <c r="AB274" s="300">
        <f>(317.4*KFC!$B$23*1.02*1.3+KFC!$C$23)*KFC!$C$5</f>
        <v>420.87240000000003</v>
      </c>
      <c r="AC274" s="300">
        <f>(325.1*KFC!$B$23*1.02*1.3+KFC!$C$23)*KFC!$C$5</f>
        <v>431.08260000000007</v>
      </c>
      <c r="AD274" s="300">
        <f>(332.8*KFC!$B$23*1.02*1.3+KFC!$C$23)*KFC!$C$5</f>
        <v>441.29280000000006</v>
      </c>
      <c r="AE274" s="300">
        <f>(340.5*KFC!$B$23*1.02*1.3+KFC!$C$23)*KFC!$C$5</f>
        <v>451.50300000000004</v>
      </c>
      <c r="AF274" s="300">
        <f>(348.2*KFC!$B$23*1.02*1.3+KFC!$C$23)*KFC!$C$5</f>
        <v>461.71319999999997</v>
      </c>
      <c r="AG274" s="300">
        <f>(356*KFC!$B$23*1.02*1.3+KFC!$C$23)*KFC!$C$5</f>
        <v>472.05600000000004</v>
      </c>
      <c r="AH274" s="304">
        <f>(363.7*KFC!$B$23*1.02*1.3+KFC!$C$23)*KFC!$C$5</f>
        <v>482.26620000000003</v>
      </c>
    </row>
    <row r="275" spans="1:34">
      <c r="A275" s="1781"/>
      <c r="B275" s="395">
        <v>3</v>
      </c>
      <c r="C275" s="303">
        <f>(125.9*KFC!$B$23*1.02*1.3+KFC!$C$23)*KFC!$C$5</f>
        <v>166.94340000000003</v>
      </c>
      <c r="D275" s="300">
        <f>(133.8*KFC!$B$23*1.02*1.3+KFC!$C$23)*KFC!$C$5</f>
        <v>177.41880000000003</v>
      </c>
      <c r="E275" s="300">
        <f>(141.8*KFC!$B$23*1.02*1.3+KFC!$C$23)*KFC!$C$5</f>
        <v>188.02680000000004</v>
      </c>
      <c r="F275" s="300">
        <f>(149.7*KFC!$B$23*1.02*1.3+KFC!$C$23)*KFC!$C$5</f>
        <v>198.50219999999999</v>
      </c>
      <c r="G275" s="300">
        <f>(157.7*KFC!$B$23*1.02*1.3+KFC!$C$23)*KFC!$C$5</f>
        <v>209.11019999999999</v>
      </c>
      <c r="H275" s="300">
        <f>(165.6*KFC!$B$23*1.02*1.3+KFC!$C$23)*KFC!$C$5</f>
        <v>219.58560000000003</v>
      </c>
      <c r="I275" s="300">
        <f>(173.6*KFC!$B$23*1.02*1.3+KFC!$C$23)*KFC!$C$5</f>
        <v>230.1936</v>
      </c>
      <c r="J275" s="300">
        <f>(181.5*KFC!$B$23*1.02*1.3+KFC!$C$23)*KFC!$C$5</f>
        <v>240.66900000000001</v>
      </c>
      <c r="K275" s="300">
        <f>(189.5*KFC!$B$23*1.02*1.3+KFC!$C$23)*KFC!$C$5</f>
        <v>251.27699999999999</v>
      </c>
      <c r="L275" s="300">
        <f>(197.5*KFC!$B$23*1.02*1.3+KFC!$C$23)*KFC!$C$5</f>
        <v>261.88500000000005</v>
      </c>
      <c r="M275" s="300">
        <f>(205.4*KFC!$B$23*1.02*1.3+KFC!$C$23)*KFC!$C$5</f>
        <v>272.36040000000003</v>
      </c>
      <c r="N275" s="300">
        <f>(213.4*KFC!$B$23*1.02*1.3+KFC!$C$23)*KFC!$C$5</f>
        <v>282.96840000000003</v>
      </c>
      <c r="O275" s="300">
        <f>(221.3*KFC!$B$23*1.02*1.3+KFC!$C$23)*KFC!$C$5</f>
        <v>293.44380000000007</v>
      </c>
      <c r="P275" s="300">
        <f>(229.3*KFC!$B$23*1.02*1.3+KFC!$C$23)*KFC!$C$5</f>
        <v>304.05180000000001</v>
      </c>
      <c r="Q275" s="300">
        <f>(237.2*KFC!$B$23*1.02*1.3+KFC!$C$23)*KFC!$C$5</f>
        <v>314.52719999999999</v>
      </c>
      <c r="R275" s="300">
        <f>(245.2*KFC!$B$23*1.02*1.3+KFC!$C$23)*KFC!$C$5</f>
        <v>325.1352</v>
      </c>
      <c r="S275" s="300">
        <f>(253.1*KFC!$B$23*1.02*1.3+KFC!$C$23)*KFC!$C$5</f>
        <v>335.61059999999998</v>
      </c>
      <c r="T275" s="300">
        <f>(261.1*KFC!$B$23*1.02*1.3+KFC!$C$23)*KFC!$C$5</f>
        <v>346.21860000000004</v>
      </c>
      <c r="U275" s="300">
        <f>(269*KFC!$B$23*1.02*1.3+KFC!$C$23)*KFC!$C$5</f>
        <v>356.69400000000002</v>
      </c>
      <c r="V275" s="300">
        <f>(277*KFC!$B$23*1.02*1.3+KFC!$C$23)*KFC!$C$5</f>
        <v>367.30200000000002</v>
      </c>
      <c r="W275" s="300">
        <f>(285*KFC!$B$23*1.02*1.3+KFC!$C$23)*KFC!$C$5</f>
        <v>377.91</v>
      </c>
      <c r="X275" s="300">
        <f>(292.9*KFC!$B$23*1.02*1.3+KFC!$C$23)*KFC!$C$5</f>
        <v>388.3854</v>
      </c>
      <c r="Y275" s="300">
        <f>(300.9*KFC!$B$23*1.02*1.3+KFC!$C$23)*KFC!$C$5</f>
        <v>398.99340000000001</v>
      </c>
      <c r="Z275" s="300">
        <f>(308.8*KFC!$B$23*1.02*1.3+KFC!$C$23)*KFC!$C$5</f>
        <v>409.46879999999999</v>
      </c>
      <c r="AA275" s="300">
        <f>(316.8*KFC!$B$23*1.02*1.3+KFC!$C$23)*KFC!$C$5</f>
        <v>420.07680000000005</v>
      </c>
      <c r="AB275" s="300">
        <f>(324.7*KFC!$B$23*1.02*1.3+KFC!$C$23)*KFC!$C$5</f>
        <v>430.55220000000003</v>
      </c>
      <c r="AC275" s="300">
        <f>(332.7*KFC!$B$23*1.02*1.3+KFC!$C$23)*KFC!$C$5</f>
        <v>441.16019999999997</v>
      </c>
      <c r="AD275" s="300">
        <f>(340.6*KFC!$B$23*1.02*1.3+KFC!$C$23)*KFC!$C$5</f>
        <v>451.63560000000007</v>
      </c>
      <c r="AE275" s="300">
        <f>(348.6*KFC!$B$23*1.02*1.3+KFC!$C$23)*KFC!$C$5</f>
        <v>462.24360000000001</v>
      </c>
      <c r="AF275" s="300">
        <f>(356.5*KFC!$B$23*1.02*1.3+KFC!$C$23)*KFC!$C$5</f>
        <v>472.71899999999999</v>
      </c>
      <c r="AG275" s="300">
        <f>(364.5*KFC!$B$23*1.02*1.3+KFC!$C$23)*KFC!$C$5</f>
        <v>483.32700000000006</v>
      </c>
      <c r="AH275" s="304">
        <f>(372.5*KFC!$B$23*1.02*1.3+KFC!$C$23)*KFC!$C$5</f>
        <v>493.935</v>
      </c>
    </row>
    <row r="276" spans="1:34">
      <c r="A276" s="1781"/>
      <c r="B276" s="395">
        <v>3.1</v>
      </c>
      <c r="C276" s="303">
        <f>(127.4*KFC!$B$23*1.02*1.3+KFC!$C$23)*KFC!$C$5</f>
        <v>168.93240000000003</v>
      </c>
      <c r="D276" s="300">
        <f>(135.6*KFC!$B$23*1.02*1.3+KFC!$C$23)*KFC!$C$5</f>
        <v>179.8056</v>
      </c>
      <c r="E276" s="300">
        <f>(143.7*KFC!$B$23*1.02*1.3+KFC!$C$23)*KFC!$C$5</f>
        <v>190.5462</v>
      </c>
      <c r="F276" s="300">
        <f>(151.9*KFC!$B$23*1.02*1.3+KFC!$C$23)*KFC!$C$5</f>
        <v>201.41940000000002</v>
      </c>
      <c r="G276" s="300">
        <f>(160.1*KFC!$B$23*1.02*1.3+KFC!$C$23)*KFC!$C$5</f>
        <v>212.29259999999999</v>
      </c>
      <c r="H276" s="300">
        <f>(168.3*KFC!$B$23*1.02*1.3+KFC!$C$23)*KFC!$C$5</f>
        <v>223.16580000000005</v>
      </c>
      <c r="I276" s="300">
        <f>(176.5*KFC!$B$23*1.02*1.3+KFC!$C$23)*KFC!$C$5</f>
        <v>234.03900000000002</v>
      </c>
      <c r="J276" s="300">
        <f>(184.7*KFC!$B$23*1.02*1.3+KFC!$C$23)*KFC!$C$5</f>
        <v>244.91220000000001</v>
      </c>
      <c r="K276" s="300">
        <f>(192.9*KFC!$B$23*1.02*1.3+KFC!$C$23)*KFC!$C$5</f>
        <v>255.78540000000001</v>
      </c>
      <c r="L276" s="300">
        <f>(201.1*KFC!$B$23*1.02*1.3+KFC!$C$23)*KFC!$C$5</f>
        <v>266.65859999999998</v>
      </c>
      <c r="M276" s="300">
        <f>(209.3*KFC!$B$23*1.02*1.3+KFC!$C$23)*KFC!$C$5</f>
        <v>277.53180000000003</v>
      </c>
      <c r="N276" s="300">
        <f>(217.5*KFC!$B$23*1.02*1.3+KFC!$C$23)*KFC!$C$5</f>
        <v>288.40500000000003</v>
      </c>
      <c r="O276" s="300">
        <f>(225.6*KFC!$B$23*1.02*1.3+KFC!$C$23)*KFC!$C$5</f>
        <v>299.1456</v>
      </c>
      <c r="P276" s="300">
        <f>(233.8*KFC!$B$23*1.02*1.3+KFC!$C$23)*KFC!$C$5</f>
        <v>310.01880000000006</v>
      </c>
      <c r="Q276" s="300">
        <f>(242*KFC!$B$23*1.02*1.3+KFC!$C$23)*KFC!$C$5</f>
        <v>320.892</v>
      </c>
      <c r="R276" s="300">
        <f>(250.2*KFC!$B$23*1.02*1.3+KFC!$C$23)*KFC!$C$5</f>
        <v>331.76519999999999</v>
      </c>
      <c r="S276" s="300">
        <f>(258.4*KFC!$B$23*1.02*1.3+KFC!$C$23)*KFC!$C$5</f>
        <v>342.63839999999999</v>
      </c>
      <c r="T276" s="300">
        <f>(266.6*KFC!$B$23*1.02*1.3+KFC!$C$23)*KFC!$C$5</f>
        <v>353.51160000000004</v>
      </c>
      <c r="U276" s="300">
        <f>(274.8*KFC!$B$23*1.02*1.3+KFC!$C$23)*KFC!$C$5</f>
        <v>364.38479999999998</v>
      </c>
      <c r="V276" s="300">
        <f>(283*KFC!$B$23*1.02*1.3+KFC!$C$23)*KFC!$C$5</f>
        <v>375.25800000000004</v>
      </c>
      <c r="W276" s="300">
        <f>(291.2*KFC!$B$23*1.02*1.3+KFC!$C$23)*KFC!$C$5</f>
        <v>386.13120000000004</v>
      </c>
      <c r="X276" s="300">
        <f>(299.3*KFC!$B$23*1.02*1.3+KFC!$C$23)*KFC!$C$5</f>
        <v>396.87180000000001</v>
      </c>
      <c r="Y276" s="300">
        <f>(307.5*KFC!$B$23*1.02*1.3+KFC!$C$23)*KFC!$C$5</f>
        <v>407.745</v>
      </c>
      <c r="Z276" s="300">
        <f>(315.7*KFC!$B$23*1.02*1.3+KFC!$C$23)*KFC!$C$5</f>
        <v>418.6182</v>
      </c>
      <c r="AA276" s="300">
        <f>(323.9*KFC!$B$23*1.02*1.3+KFC!$C$23)*KFC!$C$5</f>
        <v>429.4914</v>
      </c>
      <c r="AB276" s="300">
        <f>(332.1*KFC!$B$23*1.02*1.3+KFC!$C$23)*KFC!$C$5</f>
        <v>440.36460000000005</v>
      </c>
      <c r="AC276" s="300">
        <f>(340.3*KFC!$B$23*1.02*1.3+KFC!$C$23)*KFC!$C$5</f>
        <v>451.23779999999999</v>
      </c>
      <c r="AD276" s="300">
        <f>(348.5*KFC!$B$23*1.02*1.3+KFC!$C$23)*KFC!$C$5</f>
        <v>462.11100000000005</v>
      </c>
      <c r="AE276" s="300">
        <f>(356.7*KFC!$B$23*1.02*1.3+KFC!$C$23)*KFC!$C$5</f>
        <v>472.98420000000004</v>
      </c>
      <c r="AF276" s="300">
        <f>(364.9*KFC!$B$23*1.02*1.3+KFC!$C$23)*KFC!$C$5</f>
        <v>483.85739999999998</v>
      </c>
      <c r="AG276" s="300">
        <f>(373.1*KFC!$B$23*1.02*1.3+KFC!$C$23)*KFC!$C$5</f>
        <v>494.73060000000004</v>
      </c>
      <c r="AH276" s="304">
        <f>(381.2*KFC!$B$23*1.02*1.3+KFC!$C$23)*KFC!$C$5</f>
        <v>505.47120000000001</v>
      </c>
    </row>
    <row r="277" spans="1:34">
      <c r="A277" s="1781"/>
      <c r="B277" s="395">
        <v>3.2</v>
      </c>
      <c r="C277" s="303">
        <f>(128.9*KFC!$B$23*1.02*1.3+KFC!$C$23)*KFC!$C$5</f>
        <v>170.92140000000001</v>
      </c>
      <c r="D277" s="300">
        <f>(137.3*KFC!$B$23*1.02*1.3+KFC!$C$23)*KFC!$C$5</f>
        <v>182.05980000000002</v>
      </c>
      <c r="E277" s="300">
        <f>(145.7*KFC!$B$23*1.02*1.3+KFC!$C$23)*KFC!$C$5</f>
        <v>193.19820000000001</v>
      </c>
      <c r="F277" s="300">
        <f>(154.2*KFC!$B$23*1.02*1.3+KFC!$C$23)*KFC!$C$5</f>
        <v>204.4692</v>
      </c>
      <c r="G277" s="300">
        <f>(162.6*KFC!$B$23*1.02*1.3+KFC!$C$23)*KFC!$C$5</f>
        <v>215.60760000000002</v>
      </c>
      <c r="H277" s="300">
        <f>(171*KFC!$B$23*1.02*1.3+KFC!$C$23)*KFC!$C$5</f>
        <v>226.74600000000004</v>
      </c>
      <c r="I277" s="300">
        <f>(179.4*KFC!$B$23*1.02*1.3+KFC!$C$23)*KFC!$C$5</f>
        <v>237.8844</v>
      </c>
      <c r="J277" s="300">
        <f>(187.8*KFC!$B$23*1.02*1.3+KFC!$C$23)*KFC!$C$5</f>
        <v>249.02280000000002</v>
      </c>
      <c r="K277" s="300">
        <f>(196.3*KFC!$B$23*1.02*1.3+KFC!$C$23)*KFC!$C$5</f>
        <v>260.29380000000003</v>
      </c>
      <c r="L277" s="300">
        <f>(204.7*KFC!$B$23*1.02*1.3+KFC!$C$23)*KFC!$C$5</f>
        <v>271.43219999999997</v>
      </c>
      <c r="M277" s="300">
        <f>(213.1*KFC!$B$23*1.02*1.3+KFC!$C$23)*KFC!$C$5</f>
        <v>282.57060000000001</v>
      </c>
      <c r="N277" s="300">
        <f>(221.5*KFC!$B$23*1.02*1.3+KFC!$C$23)*KFC!$C$5</f>
        <v>293.709</v>
      </c>
      <c r="O277" s="300">
        <f>(230*KFC!$B$23*1.02*1.3+KFC!$C$23)*KFC!$C$5</f>
        <v>304.98</v>
      </c>
      <c r="P277" s="300">
        <f>(238.4*KFC!$B$23*1.02*1.3+KFC!$C$23)*KFC!$C$5</f>
        <v>316.11840000000001</v>
      </c>
      <c r="Q277" s="300">
        <f>(246.8*KFC!$B$23*1.02*1.3+KFC!$C$23)*KFC!$C$5</f>
        <v>327.25680000000006</v>
      </c>
      <c r="R277" s="300">
        <f>(255.2*KFC!$B$23*1.02*1.3+KFC!$C$23)*KFC!$C$5</f>
        <v>338.39519999999999</v>
      </c>
      <c r="S277" s="300">
        <f>(263.7*KFC!$B$23*1.02*1.3+KFC!$C$23)*KFC!$C$5</f>
        <v>349.6662</v>
      </c>
      <c r="T277" s="300">
        <f>(272.1*KFC!$B$23*1.02*1.3+KFC!$C$23)*KFC!$C$5</f>
        <v>360.80460000000005</v>
      </c>
      <c r="U277" s="300">
        <f>(280.5*KFC!$B$23*1.02*1.3+KFC!$C$23)*KFC!$C$5</f>
        <v>371.94300000000004</v>
      </c>
      <c r="V277" s="300">
        <f>(288.9*KFC!$B$23*1.02*1.3+KFC!$C$23)*KFC!$C$5</f>
        <v>383.08140000000003</v>
      </c>
      <c r="W277" s="300">
        <f>(297.4*KFC!$B$23*1.02*1.3+KFC!$C$23)*KFC!$C$5</f>
        <v>394.35239999999993</v>
      </c>
      <c r="X277" s="300">
        <f>(305.8*KFC!$B$23*1.02*1.3+KFC!$C$23)*KFC!$C$5</f>
        <v>405.49080000000004</v>
      </c>
      <c r="Y277" s="300">
        <f>(314.2*KFC!$B$23*1.02*1.3+KFC!$C$23)*KFC!$C$5</f>
        <v>416.62919999999997</v>
      </c>
      <c r="Z277" s="300">
        <f>(322.6*KFC!$B$23*1.02*1.3+KFC!$C$23)*KFC!$C$5</f>
        <v>427.76760000000002</v>
      </c>
      <c r="AA277" s="300">
        <f>(331.1*KFC!$B$23*1.02*1.3+KFC!$C$23)*KFC!$C$5</f>
        <v>439.03860000000009</v>
      </c>
      <c r="AB277" s="300">
        <f>(339.5*KFC!$B$23*1.02*1.3+KFC!$C$23)*KFC!$C$5</f>
        <v>450.17700000000002</v>
      </c>
      <c r="AC277" s="300">
        <f>(347.9*KFC!$B$23*1.02*1.3+KFC!$C$23)*KFC!$C$5</f>
        <v>461.31540000000001</v>
      </c>
      <c r="AD277" s="300">
        <f>(356.3*KFC!$B$23*1.02*1.3+KFC!$C$23)*KFC!$C$5</f>
        <v>472.45380000000006</v>
      </c>
      <c r="AE277" s="300">
        <f>(364.8*KFC!$B$23*1.02*1.3+KFC!$C$23)*KFC!$C$5</f>
        <v>483.72480000000002</v>
      </c>
      <c r="AF277" s="300">
        <f>(373.2*KFC!$B$23*1.02*1.3+KFC!$C$23)*KFC!$C$5</f>
        <v>494.86320000000001</v>
      </c>
      <c r="AG277" s="300">
        <f>(381.6*KFC!$B$23*1.02*1.3+KFC!$C$23)*KFC!$C$5</f>
        <v>506.00160000000005</v>
      </c>
      <c r="AH277" s="304">
        <f>(390*KFC!$B$23*1.02*1.3+KFC!$C$23)*KFC!$C$5</f>
        <v>517.14</v>
      </c>
    </row>
    <row r="278" spans="1:34">
      <c r="A278" s="1781"/>
      <c r="B278" s="395">
        <v>3.3</v>
      </c>
      <c r="C278" s="303">
        <f>(130.4*KFC!$B$23*1.02*1.3+KFC!$C$23)*KFC!$C$5</f>
        <v>172.91040000000001</v>
      </c>
      <c r="D278" s="300">
        <f>(139.1*KFC!$B$23*1.02*1.3+KFC!$C$23)*KFC!$C$5</f>
        <v>184.44660000000002</v>
      </c>
      <c r="E278" s="300">
        <f>(147.7*KFC!$B$23*1.02*1.3+KFC!$C$23)*KFC!$C$5</f>
        <v>195.8502</v>
      </c>
      <c r="F278" s="300">
        <f>(156.4*KFC!$B$23*1.02*1.3+KFC!$C$23)*KFC!$C$5</f>
        <v>207.38640000000004</v>
      </c>
      <c r="G278" s="300">
        <f>(165*KFC!$B$23*1.02*1.3+KFC!$C$23)*KFC!$C$5</f>
        <v>218.79000000000002</v>
      </c>
      <c r="H278" s="300">
        <f>(173.7*KFC!$B$23*1.02*1.3+KFC!$C$23)*KFC!$C$5</f>
        <v>230.32619999999997</v>
      </c>
      <c r="I278" s="300">
        <f>(182.3*KFC!$B$23*1.02*1.3+KFC!$C$23)*KFC!$C$5</f>
        <v>241.72980000000004</v>
      </c>
      <c r="J278" s="300">
        <f>(191*KFC!$B$23*1.02*1.3+KFC!$C$23)*KFC!$C$5</f>
        <v>253.26599999999999</v>
      </c>
      <c r="K278" s="300">
        <f>(199.7*KFC!$B$23*1.02*1.3+KFC!$C$23)*KFC!$C$5</f>
        <v>264.80219999999997</v>
      </c>
      <c r="L278" s="300">
        <f>(208.3*KFC!$B$23*1.02*1.3+KFC!$C$23)*KFC!$C$5</f>
        <v>276.20580000000001</v>
      </c>
      <c r="M278" s="300">
        <f>(217*KFC!$B$23*1.02*1.3+KFC!$C$23)*KFC!$C$5</f>
        <v>287.74200000000002</v>
      </c>
      <c r="N278" s="300">
        <f>(225.6*KFC!$B$23*1.02*1.3+KFC!$C$23)*KFC!$C$5</f>
        <v>299.1456</v>
      </c>
      <c r="O278" s="300">
        <f>(234.3*KFC!$B$23*1.02*1.3+KFC!$C$23)*KFC!$C$5</f>
        <v>310.68180000000001</v>
      </c>
      <c r="P278" s="300">
        <f>(243*KFC!$B$23*1.02*1.3+KFC!$C$23)*KFC!$C$5</f>
        <v>322.21800000000002</v>
      </c>
      <c r="Q278" s="300">
        <f>(251.6*KFC!$B$23*1.02*1.3+KFC!$C$23)*KFC!$C$5</f>
        <v>333.6216</v>
      </c>
      <c r="R278" s="300">
        <f>(260.33*KFC!$B$23*1.02*1.3+KFC!$C$23)*KFC!$C$5</f>
        <v>345.19757999999996</v>
      </c>
      <c r="S278" s="300">
        <f>(268.9*KFC!$B$23*1.02*1.3+KFC!$C$23)*KFC!$C$5</f>
        <v>356.56139999999999</v>
      </c>
      <c r="T278" s="300">
        <f>(277.6*KFC!$B$23*1.02*1.3+KFC!$C$23)*KFC!$C$5</f>
        <v>368.09760000000006</v>
      </c>
      <c r="U278" s="300">
        <f>(286.2*KFC!$B$23*1.02*1.3+KFC!$C$23)*KFC!$C$5</f>
        <v>379.50119999999998</v>
      </c>
      <c r="V278" s="300">
        <f>(294.9*KFC!$B$23*1.02*1.3+KFC!$C$23)*KFC!$C$5</f>
        <v>391.03739999999999</v>
      </c>
      <c r="W278" s="300">
        <f>(303.6*KFC!$B$23*1.02*1.3+KFC!$C$23)*KFC!$C$5</f>
        <v>402.57360000000006</v>
      </c>
      <c r="X278" s="300">
        <f>(312.2*KFC!$B$23*1.02*1.3+KFC!$C$23)*KFC!$C$5</f>
        <v>413.97720000000004</v>
      </c>
      <c r="Y278" s="300">
        <f>(320.9*KFC!$B$23*1.02*1.3+KFC!$C$23)*KFC!$C$5</f>
        <v>425.51339999999999</v>
      </c>
      <c r="Z278" s="300">
        <f>(329.5*KFC!$B$23*1.02*1.3+KFC!$C$23)*KFC!$C$5</f>
        <v>436.91700000000003</v>
      </c>
      <c r="AA278" s="300">
        <f>(338.2*KFC!$B$23*1.02*1.3+KFC!$C$23)*KFC!$C$5</f>
        <v>448.45320000000004</v>
      </c>
      <c r="AB278" s="300">
        <f>(346.9*KFC!$B$23*1.02*1.3+KFC!$C$23)*KFC!$C$5</f>
        <v>459.98939999999999</v>
      </c>
      <c r="AC278" s="300">
        <f>(355.5*KFC!$B$23*1.02*1.3+KFC!$C$23)*KFC!$C$5</f>
        <v>471.39300000000003</v>
      </c>
      <c r="AD278" s="300">
        <f>(364.2*KFC!$B$23*1.02*1.3+KFC!$C$23)*KFC!$C$5</f>
        <v>482.92919999999998</v>
      </c>
      <c r="AE278" s="300">
        <f>(372.8*KFC!$B$23*1.02*1.3+KFC!$C$23)*KFC!$C$5</f>
        <v>494.33280000000008</v>
      </c>
      <c r="AF278" s="300">
        <f>(381.5*KFC!$B$23*1.02*1.3+KFC!$C$23)*KFC!$C$5</f>
        <v>505.86900000000003</v>
      </c>
      <c r="AG278" s="300">
        <f>(390.2*KFC!$B$23*1.02*1.3+KFC!$C$23)*KFC!$C$5</f>
        <v>517.40520000000004</v>
      </c>
      <c r="AH278" s="304">
        <f>(398.8*KFC!$B$23*1.02*1.3+KFC!$C$23)*KFC!$C$5</f>
        <v>528.80880000000002</v>
      </c>
    </row>
    <row r="279" spans="1:34">
      <c r="A279" s="1781"/>
      <c r="B279" s="395">
        <v>3.4</v>
      </c>
      <c r="C279" s="303">
        <f>(131.9*KFC!$B$23*1.02*1.3+KFC!$C$23)*KFC!$C$5</f>
        <v>174.89940000000001</v>
      </c>
      <c r="D279" s="300">
        <f>(140.8*KFC!$B$23*1.02*1.3+KFC!$C$23)*KFC!$C$5</f>
        <v>186.70080000000002</v>
      </c>
      <c r="E279" s="300">
        <f>(149.7*KFC!$B$23*1.02*1.3+KFC!$C$23)*KFC!$C$5</f>
        <v>198.50219999999999</v>
      </c>
      <c r="F279" s="300">
        <f>(158.6*KFC!$B$23*1.02*1.3+KFC!$C$23)*KFC!$C$5</f>
        <v>210.30359999999999</v>
      </c>
      <c r="G279" s="300">
        <f>(167.5*KFC!$B$23*1.02*1.3+KFC!$C$23)*KFC!$C$5</f>
        <v>222.10499999999999</v>
      </c>
      <c r="H279" s="300">
        <f>(176.4*KFC!$B$23*1.02*1.3+KFC!$C$23)*KFC!$C$5</f>
        <v>233.90639999999999</v>
      </c>
      <c r="I279" s="300">
        <f>(185.3*KFC!$B$23*1.02*1.3+KFC!$C$23)*KFC!$C$5</f>
        <v>245.70780000000005</v>
      </c>
      <c r="J279" s="300">
        <f>(194.2*KFC!$B$23*1.02*1.3+KFC!$C$23)*KFC!$C$5</f>
        <v>257.50920000000002</v>
      </c>
      <c r="K279" s="300">
        <f>(203.1*KFC!$B$23*1.02*1.3+KFC!$C$23)*KFC!$C$5</f>
        <v>269.31060000000002</v>
      </c>
      <c r="L279" s="300">
        <f>(211.9*KFC!$B$23*1.02*1.3+KFC!$C$23)*KFC!$C$5</f>
        <v>280.9794</v>
      </c>
      <c r="M279" s="300">
        <f>(220.8*KFC!$B$23*1.02*1.3+KFC!$C$23)*KFC!$C$5</f>
        <v>292.7808</v>
      </c>
      <c r="N279" s="300">
        <f>(229.7*KFC!$B$23*1.02*1.3+KFC!$C$23)*KFC!$C$5</f>
        <v>304.5822</v>
      </c>
      <c r="O279" s="300">
        <f>(238.6*KFC!$B$23*1.02*1.3+KFC!$C$23)*KFC!$C$5</f>
        <v>316.3836</v>
      </c>
      <c r="P279" s="300">
        <f>(247.5*KFC!$B$23*1.02*1.3+KFC!$C$23)*KFC!$C$5</f>
        <v>328.18500000000006</v>
      </c>
      <c r="Q279" s="300">
        <f>(256.4*KFC!$B$23*1.02*1.3+KFC!$C$23)*KFC!$C$5</f>
        <v>339.98639999999995</v>
      </c>
      <c r="R279" s="300">
        <f>(265.3*KFC!$B$23*1.02*1.3+KFC!$C$23)*KFC!$C$5</f>
        <v>351.7878</v>
      </c>
      <c r="S279" s="300">
        <f>(274.2*KFC!$B$23*1.02*1.3+KFC!$C$23)*KFC!$C$5</f>
        <v>363.58919999999995</v>
      </c>
      <c r="T279" s="300">
        <f>(283.1*KFC!$B$23*1.02*1.3+KFC!$C$23)*KFC!$C$5</f>
        <v>375.39060000000001</v>
      </c>
      <c r="U279" s="300">
        <f>(292*KFC!$B$23*1.02*1.3+KFC!$C$23)*KFC!$C$5</f>
        <v>387.19200000000006</v>
      </c>
      <c r="V279" s="300">
        <f>(300.9*KFC!$B$23*1.02*1.3+KFC!$C$23)*KFC!$C$5</f>
        <v>398.99340000000001</v>
      </c>
      <c r="W279" s="300">
        <f>(309.8*KFC!$B$23*1.02*1.3+KFC!$C$23)*KFC!$C$5</f>
        <v>410.79480000000007</v>
      </c>
      <c r="X279" s="300">
        <f>(318.7*KFC!$B$23*1.02*1.3+KFC!$C$23)*KFC!$C$5</f>
        <v>422.59620000000001</v>
      </c>
      <c r="Y279" s="300">
        <f>(327.6*KFC!$B$23*1.02*1.3+KFC!$C$23)*KFC!$C$5</f>
        <v>434.39760000000007</v>
      </c>
      <c r="Z279" s="300">
        <f>(336.4*KFC!$B$23*1.02*1.3+KFC!$C$23)*KFC!$C$5</f>
        <v>446.06639999999999</v>
      </c>
      <c r="AA279" s="300">
        <f>(345.3*KFC!$B$23*1.02*1.3+KFC!$C$23)*KFC!$C$5</f>
        <v>457.86780000000005</v>
      </c>
      <c r="AB279" s="300">
        <f>(354.2*KFC!$B$23*1.02*1.3+KFC!$C$23)*KFC!$C$5</f>
        <v>469.66919999999999</v>
      </c>
      <c r="AC279" s="300">
        <f>(363.1*KFC!$B$23*1.02*1.3+KFC!$C$23)*KFC!$C$5</f>
        <v>481.47060000000005</v>
      </c>
      <c r="AD279" s="300">
        <f>(372*KFC!$B$23*1.02*1.3+KFC!$C$23)*KFC!$C$5</f>
        <v>493.27199999999999</v>
      </c>
      <c r="AE279" s="300">
        <f>(380.9*KFC!$B$23*1.02*1.3+KFC!$C$23)*KFC!$C$5</f>
        <v>505.07339999999999</v>
      </c>
      <c r="AF279" s="300">
        <f>(389.8*KFC!$B$23*1.02*1.3+KFC!$C$23)*KFC!$C$5</f>
        <v>516.87480000000005</v>
      </c>
      <c r="AG279" s="300">
        <f>(398.7*KFC!$B$23*1.02*1.3+KFC!$C$23)*KFC!$C$5</f>
        <v>528.67619999999999</v>
      </c>
      <c r="AH279" s="304">
        <f>(407.6*KFC!$B$23*1.02*1.3+KFC!$C$23)*KFC!$C$5</f>
        <v>540.47760000000005</v>
      </c>
    </row>
    <row r="280" spans="1:34">
      <c r="A280" s="1781"/>
      <c r="B280" s="395">
        <v>3.5</v>
      </c>
      <c r="C280" s="303">
        <f>(133.4*KFC!$B$23*1.02*1.3+KFC!$C$23)*KFC!$C$5</f>
        <v>176.88840000000002</v>
      </c>
      <c r="D280" s="300">
        <f>(142.5*KFC!$B$23*1.02*1.3+KFC!$C$23)*KFC!$C$5</f>
        <v>188.95500000000001</v>
      </c>
      <c r="E280" s="300">
        <f>(151.7*KFC!$B$23*1.02*1.3+KFC!$C$23)*KFC!$C$5</f>
        <v>201.15419999999997</v>
      </c>
      <c r="F280" s="300">
        <f>(160.8*KFC!$B$23*1.02*1.3+KFC!$C$23)*KFC!$C$5</f>
        <v>213.22080000000003</v>
      </c>
      <c r="G280" s="300">
        <f>(169.9*KFC!$B$23*1.02*1.3+KFC!$C$23)*KFC!$C$5</f>
        <v>225.28740000000002</v>
      </c>
      <c r="H280" s="300">
        <f>(179.1*KFC!$B$23*1.02*1.3+KFC!$C$23)*KFC!$C$5</f>
        <v>237.48659999999998</v>
      </c>
      <c r="I280" s="300">
        <f>(188.2*KFC!$B$23*1.02*1.3+KFC!$C$23)*KFC!$C$5</f>
        <v>249.5532</v>
      </c>
      <c r="J280" s="300">
        <f>(197.3*KFC!$B$23*1.02*1.3+KFC!$C$23)*KFC!$C$5</f>
        <v>261.6198</v>
      </c>
      <c r="K280" s="300">
        <f>(206.4*KFC!$B$23*1.02*1.3+KFC!$C$23)*KFC!$C$5</f>
        <v>273.68640000000005</v>
      </c>
      <c r="L280" s="300">
        <f>(215.6*KFC!$B$23*1.02*1.3+KFC!$C$23)*KFC!$C$5</f>
        <v>285.88560000000001</v>
      </c>
      <c r="M280" s="300">
        <f>(224.7*KFC!$B$23*1.02*1.3+KFC!$C$23)*KFC!$C$5</f>
        <v>297.9522</v>
      </c>
      <c r="N280" s="300">
        <f>(233.8*KFC!$B$23*1.02*1.3+KFC!$C$23)*KFC!$C$5</f>
        <v>310.01880000000006</v>
      </c>
      <c r="O280" s="300">
        <f>(243*KFC!$B$23*1.02*1.3+KFC!$C$23)*KFC!$C$5</f>
        <v>322.21800000000002</v>
      </c>
      <c r="P280" s="300">
        <f>(252.1*KFC!$B$23*1.02*1.3+KFC!$C$23)*KFC!$C$5</f>
        <v>334.28460000000001</v>
      </c>
      <c r="Q280" s="300">
        <f>(261.2*KFC!$B$23*1.02*1.3+KFC!$C$23)*KFC!$C$5</f>
        <v>346.35120000000001</v>
      </c>
      <c r="R280" s="300">
        <f>(270.3*KFC!$B$23*1.02*1.3+KFC!$C$23)*KFC!$C$5</f>
        <v>358.41780000000006</v>
      </c>
      <c r="S280" s="300">
        <f>(279.5*KFC!$B$23*1.02*1.3+KFC!$C$23)*KFC!$C$5</f>
        <v>370.61700000000008</v>
      </c>
      <c r="T280" s="300">
        <f>(288.6*KFC!$B$23*1.02*1.3+KFC!$C$23)*KFC!$C$5</f>
        <v>382.68360000000001</v>
      </c>
      <c r="U280" s="300">
        <f>(297.7*KFC!$B$23*1.02*1.3+KFC!$C$23)*KFC!$C$5</f>
        <v>394.75020000000001</v>
      </c>
      <c r="V280" s="300">
        <f>(306.8*KFC!$B$23*1.02*1.3+KFC!$C$23)*KFC!$C$5</f>
        <v>406.81680000000006</v>
      </c>
      <c r="W280" s="300">
        <f>(316*KFC!$B$23*1.02*1.3+KFC!$C$23)*KFC!$C$5</f>
        <v>419.01600000000002</v>
      </c>
      <c r="X280" s="300">
        <f>(325.1*KFC!$B$23*1.02*1.3+KFC!$C$23)*KFC!$C$5</f>
        <v>431.08260000000007</v>
      </c>
      <c r="Y280" s="300">
        <f>(334.2*KFC!$B$23*1.02*1.3+KFC!$C$23)*KFC!$C$5</f>
        <v>443.14920000000001</v>
      </c>
      <c r="Z280" s="300">
        <f>(343.4*KFC!$B$23*1.02*1.3+KFC!$C$23)*KFC!$C$5</f>
        <v>455.34839999999997</v>
      </c>
      <c r="AA280" s="300">
        <f>(352.5*KFC!$B$23*1.02*1.3+KFC!$C$23)*KFC!$C$5</f>
        <v>467.41500000000002</v>
      </c>
      <c r="AB280" s="300">
        <f>(361.6*KFC!$B$23*1.02*1.3+KFC!$C$23)*KFC!$C$5</f>
        <v>479.48160000000007</v>
      </c>
      <c r="AC280" s="300">
        <f>(370.7*KFC!$B$23*1.02*1.3+KFC!$C$23)*KFC!$C$5</f>
        <v>491.54820000000001</v>
      </c>
      <c r="AD280" s="300">
        <f>(379.9*KFC!$B$23*1.02*1.3+KFC!$C$23)*KFC!$C$5</f>
        <v>503.74740000000003</v>
      </c>
      <c r="AE280" s="300">
        <f>(389*KFC!$B$23*1.02*1.3+KFC!$C$23)*KFC!$C$5</f>
        <v>515.81400000000008</v>
      </c>
      <c r="AF280" s="300">
        <f>(398.1*KFC!$B$23*1.02*1.3+KFC!$C$23)*KFC!$C$5</f>
        <v>527.88060000000007</v>
      </c>
      <c r="AG280" s="300">
        <f>(407.2*KFC!$B$23*1.02*1.3+KFC!$C$23)*KFC!$C$5</f>
        <v>539.94720000000007</v>
      </c>
      <c r="AH280" s="304">
        <f>(416.4*KFC!$B$23*1.02*1.3+KFC!$C$23)*KFC!$C$5</f>
        <v>552.14640000000009</v>
      </c>
    </row>
    <row r="281" spans="1:34">
      <c r="A281" s="1781"/>
      <c r="B281" s="395">
        <v>3.6</v>
      </c>
      <c r="C281" s="303">
        <f>(134.9*KFC!$B$23*1.02*1.3+KFC!$C$23)*KFC!$C$5</f>
        <v>178.87740000000002</v>
      </c>
      <c r="D281" s="300">
        <f>(144.3*KFC!$B$23*1.02*1.3+KFC!$C$23)*KFC!$C$5</f>
        <v>191.34180000000001</v>
      </c>
      <c r="E281" s="300">
        <f>(153.7*KFC!$B$23*1.02*1.3+KFC!$C$23)*KFC!$C$5</f>
        <v>203.80620000000002</v>
      </c>
      <c r="F281" s="300">
        <f>(163*KFC!$B$23*1.02*1.3+KFC!$C$23)*KFC!$C$5</f>
        <v>216.13800000000001</v>
      </c>
      <c r="G281" s="300">
        <f>(172.4*KFC!$B$23*1.02*1.3+KFC!$C$23)*KFC!$C$5</f>
        <v>228.60240000000002</v>
      </c>
      <c r="H281" s="300">
        <f>(181.7*KFC!$B$23*1.02*1.3+KFC!$C$23)*KFC!$C$5</f>
        <v>240.9342</v>
      </c>
      <c r="I281" s="300">
        <f>(191.1*KFC!$B$23*1.02*1.3+KFC!$C$23)*KFC!$C$5</f>
        <v>253.39860000000002</v>
      </c>
      <c r="J281" s="300">
        <f>(200.5*KFC!$B$23*1.02*1.3+KFC!$C$23)*KFC!$C$5</f>
        <v>265.863</v>
      </c>
      <c r="K281" s="300">
        <f>(209.8*KFC!$B$23*1.02*1.3+KFC!$C$23)*KFC!$C$5</f>
        <v>278.19480000000004</v>
      </c>
      <c r="L281" s="300">
        <f>(219.2*KFC!$B$23*1.02*1.3+KFC!$C$23)*KFC!$C$5</f>
        <v>290.6592</v>
      </c>
      <c r="M281" s="300">
        <f>(228.6*KFC!$B$23*1.02*1.3+KFC!$C$23)*KFC!$C$5</f>
        <v>303.12360000000001</v>
      </c>
      <c r="N281" s="300">
        <f>(237.9*KFC!$B$23*1.02*1.3+KFC!$C$23)*KFC!$C$5</f>
        <v>315.45540000000005</v>
      </c>
      <c r="O281" s="300">
        <f>(247.3*KFC!$B$23*1.02*1.3+KFC!$C$23)*KFC!$C$5</f>
        <v>327.91980000000001</v>
      </c>
      <c r="P281" s="300">
        <f>(256.6*KFC!$B$23*1.02*1.3+KFC!$C$23)*KFC!$C$5</f>
        <v>340.25160000000005</v>
      </c>
      <c r="Q281" s="300">
        <f>(266*KFC!$B$23*1.02*1.3+KFC!$C$23)*KFC!$C$5</f>
        <v>352.71600000000001</v>
      </c>
      <c r="R281" s="300">
        <f>(275.4*KFC!$B$23*1.02*1.3+KFC!$C$23)*KFC!$C$5</f>
        <v>365.18039999999996</v>
      </c>
      <c r="S281" s="300">
        <f>(284.7*KFC!$B$23*1.02*1.3+KFC!$C$23)*KFC!$C$5</f>
        <v>377.51220000000001</v>
      </c>
      <c r="T281" s="300">
        <f>(294.1*KFC!$B$23*1.02*1.3+KFC!$C$23)*KFC!$C$5</f>
        <v>389.97660000000008</v>
      </c>
      <c r="U281" s="300">
        <f>(303.5*KFC!$B$23*1.02*1.3+KFC!$C$23)*KFC!$C$5</f>
        <v>402.44100000000003</v>
      </c>
      <c r="V281" s="300">
        <f>(312.8*KFC!$B$23*1.02*1.3+KFC!$C$23)*KFC!$C$5</f>
        <v>414.77280000000007</v>
      </c>
      <c r="W281" s="300">
        <f>(322.2*KFC!$B$23*1.02*1.3+KFC!$C$23)*KFC!$C$5</f>
        <v>427.23720000000003</v>
      </c>
      <c r="X281" s="300">
        <f>(331.5*KFC!$B$23*1.02*1.3+KFC!$C$23)*KFC!$C$5</f>
        <v>439.56900000000002</v>
      </c>
      <c r="Y281" s="300">
        <f>(340.9*KFC!$B$23*1.02*1.3+KFC!$C$23)*KFC!$C$5</f>
        <v>452.03339999999997</v>
      </c>
      <c r="Z281" s="300">
        <f>(350.3*KFC!$B$23*1.02*1.3+KFC!$C$23)*KFC!$C$5</f>
        <v>464.49780000000004</v>
      </c>
      <c r="AA281" s="300">
        <f>(359.6*KFC!$B$23*1.02*1.3+KFC!$C$23)*KFC!$C$5</f>
        <v>476.82960000000003</v>
      </c>
      <c r="AB281" s="300">
        <f>(369*KFC!$B$23*1.02*1.3+KFC!$C$23)*KFC!$C$5</f>
        <v>489.29399999999998</v>
      </c>
      <c r="AC281" s="300">
        <f>(378.3*KFC!$B$23*1.02*1.3+KFC!$C$23)*KFC!$C$5</f>
        <v>501.62580000000008</v>
      </c>
      <c r="AD281" s="300">
        <f>(387.7*KFC!$B$23*1.02*1.3+KFC!$C$23)*KFC!$C$5</f>
        <v>514.09019999999998</v>
      </c>
      <c r="AE281" s="300">
        <f>(397.1*KFC!$B$23*1.02*1.3+KFC!$C$23)*KFC!$C$5</f>
        <v>526.55460000000005</v>
      </c>
      <c r="AF281" s="300">
        <f>(406.4*KFC!$B$23*1.02*1.3+KFC!$C$23)*KFC!$C$5</f>
        <v>538.88639999999998</v>
      </c>
      <c r="AG281" s="300">
        <f>(415.8*KFC!$B$23*1.02*1.3+KFC!$C$23)*KFC!$C$5</f>
        <v>551.35080000000005</v>
      </c>
      <c r="AH281" s="304">
        <f>(425.2*KFC!$B$23*1.02*1.3+KFC!$C$23)*KFC!$C$5</f>
        <v>563.8152</v>
      </c>
    </row>
    <row r="282" spans="1:34">
      <c r="A282" s="1781"/>
      <c r="B282" s="395">
        <v>3.7</v>
      </c>
      <c r="C282" s="303">
        <f>(136.4*KFC!$B$23*1.02*1.3+KFC!$C$23)*KFC!$C$5</f>
        <v>180.86640000000003</v>
      </c>
      <c r="D282" s="300">
        <f>(146*KFC!$B$23*1.02*1.3+KFC!$C$23)*KFC!$C$5</f>
        <v>193.59600000000003</v>
      </c>
      <c r="E282" s="300">
        <f>(155.6*KFC!$B$23*1.02*1.3+KFC!$C$23)*KFC!$C$5</f>
        <v>206.32559999999998</v>
      </c>
      <c r="F282" s="300">
        <f>(165.2*KFC!$B$23*1.02*1.3+KFC!$C$23)*KFC!$C$5</f>
        <v>219.05519999999999</v>
      </c>
      <c r="G282" s="300">
        <f>(174.8*KFC!$B$23*1.02*1.3+KFC!$C$23)*KFC!$C$5</f>
        <v>231.78480000000005</v>
      </c>
      <c r="H282" s="300">
        <f>(184.4*KFC!$B$23*1.02*1.3+KFC!$C$23)*KFC!$C$5</f>
        <v>244.51440000000002</v>
      </c>
      <c r="I282" s="300">
        <f>(194*KFC!$B$23*1.02*1.3+KFC!$C$23)*KFC!$C$5</f>
        <v>257.24400000000003</v>
      </c>
      <c r="J282" s="300">
        <f>(203.6*KFC!$B$23*1.02*1.3+KFC!$C$23)*KFC!$C$5</f>
        <v>269.97360000000003</v>
      </c>
      <c r="K282" s="300">
        <f>(213.2*KFC!$B$23*1.02*1.3+KFC!$C$23)*KFC!$C$5</f>
        <v>282.70319999999998</v>
      </c>
      <c r="L282" s="300">
        <f>(222.8*KFC!$B$23*1.02*1.3+KFC!$C$23)*KFC!$C$5</f>
        <v>295.43280000000004</v>
      </c>
      <c r="M282" s="300">
        <f>(232.4*KFC!$B$23*1.02*1.3+KFC!$C$23)*KFC!$C$5</f>
        <v>308.16239999999999</v>
      </c>
      <c r="N282" s="300">
        <f>(242*KFC!$B$23*1.02*1.3+KFC!$C$23)*KFC!$C$5</f>
        <v>320.892</v>
      </c>
      <c r="O282" s="300">
        <f>(251.6*KFC!$B$23*1.02*1.3+KFC!$C$23)*KFC!$C$5</f>
        <v>333.6216</v>
      </c>
      <c r="P282" s="300">
        <f>(261.2*KFC!$B$23*1.02*1.3+KFC!$C$23)*KFC!$C$5</f>
        <v>346.35120000000001</v>
      </c>
      <c r="Q282" s="300">
        <f>(270.8*KFC!$B$23*1.02*1.3+KFC!$C$23)*KFC!$C$5</f>
        <v>359.08080000000001</v>
      </c>
      <c r="R282" s="300">
        <f>(280.4*KFC!$B$23*1.02*1.3+KFC!$C$23)*KFC!$C$5</f>
        <v>371.81040000000002</v>
      </c>
      <c r="S282" s="300">
        <f>(290*KFC!$B$23*1.02*1.3+KFC!$C$23)*KFC!$C$5</f>
        <v>384.54</v>
      </c>
      <c r="T282" s="300">
        <f>(299.6*KFC!$B$23*1.02*1.3+KFC!$C$23)*KFC!$C$5</f>
        <v>397.26960000000008</v>
      </c>
      <c r="U282" s="300">
        <f>(309.2*KFC!$B$23*1.02*1.3+KFC!$C$23)*KFC!$C$5</f>
        <v>409.99920000000003</v>
      </c>
      <c r="V282" s="300">
        <f>(318.8*KFC!$B$23*1.02*1.3+KFC!$C$23)*KFC!$C$5</f>
        <v>422.72880000000009</v>
      </c>
      <c r="W282" s="300">
        <f>(328.4*KFC!$B$23*1.02*1.3+KFC!$C$23)*KFC!$C$5</f>
        <v>435.45839999999998</v>
      </c>
      <c r="X282" s="300">
        <f>(338*KFC!$B$23*1.02*1.3+KFC!$C$23)*KFC!$C$5</f>
        <v>448.18799999999999</v>
      </c>
      <c r="Y282" s="300">
        <f>(347.6*KFC!$B$23*1.02*1.3+KFC!$C$23)*KFC!$C$5</f>
        <v>460.91760000000005</v>
      </c>
      <c r="Z282" s="300">
        <f>(357.2*KFC!$B$23*1.02*1.3+KFC!$C$23)*KFC!$C$5</f>
        <v>473.6472</v>
      </c>
      <c r="AA282" s="300">
        <f>(366.8*KFC!$B$23*1.02*1.3+KFC!$C$23)*KFC!$C$5</f>
        <v>486.37680000000006</v>
      </c>
      <c r="AB282" s="300">
        <f>(376.4*KFC!$B$23*1.02*1.3+KFC!$C$23)*KFC!$C$5</f>
        <v>499.10640000000001</v>
      </c>
      <c r="AC282" s="300">
        <f>(386*KFC!$B$23*1.02*1.3+KFC!$C$23)*KFC!$C$5</f>
        <v>511.83600000000007</v>
      </c>
      <c r="AD282" s="300">
        <f>(395.6*KFC!$B$23*1.02*1.3+KFC!$C$23)*KFC!$C$5</f>
        <v>524.56560000000013</v>
      </c>
      <c r="AE282" s="300">
        <f>(405.1*KFC!$B$23*1.02*1.3+KFC!$C$23)*KFC!$C$5</f>
        <v>537.16260000000011</v>
      </c>
      <c r="AF282" s="300">
        <f>(414.7*KFC!$B$23*1.02*1.3+KFC!$C$23)*KFC!$C$5</f>
        <v>549.8922</v>
      </c>
      <c r="AG282" s="300">
        <f>(424.3*KFC!$B$23*1.02*1.3+KFC!$C$23)*KFC!$C$5</f>
        <v>562.62180000000001</v>
      </c>
      <c r="AH282" s="304">
        <f>(433.9*KFC!$B$23*1.02*1.3+KFC!$C$23)*KFC!$C$5</f>
        <v>575.35140000000001</v>
      </c>
    </row>
    <row r="283" spans="1:34">
      <c r="A283" s="1781"/>
      <c r="B283" s="395">
        <v>3.8</v>
      </c>
      <c r="C283" s="303">
        <f>(138*KFC!$B$23*1.02*1.3+KFC!$C$23)*KFC!$C$5</f>
        <v>182.988</v>
      </c>
      <c r="D283" s="300">
        <f>(147.8*KFC!$B$23*1.02*1.3+KFC!$C$23)*KFC!$C$5</f>
        <v>195.9828</v>
      </c>
      <c r="E283" s="300">
        <f>(157.6*KFC!$B$23*1.02*1.3+KFC!$C$23)*KFC!$C$5</f>
        <v>208.97760000000002</v>
      </c>
      <c r="F283" s="300">
        <f>(167.4*KFC!$B$23*1.02*1.3+KFC!$C$23)*KFC!$C$5</f>
        <v>221.97240000000002</v>
      </c>
      <c r="G283" s="300">
        <f>(177.3*KFC!$B$23*1.02*1.3+KFC!$C$23)*KFC!$C$5</f>
        <v>235.09980000000002</v>
      </c>
      <c r="H283" s="300">
        <f>(187.1*KFC!$B$23*1.02*1.3+KFC!$C$23)*KFC!$C$5</f>
        <v>248.09459999999999</v>
      </c>
      <c r="I283" s="300">
        <f>(196.9*KFC!$B$23*1.02*1.3+KFC!$C$23)*KFC!$C$5</f>
        <v>261.08940000000001</v>
      </c>
      <c r="J283" s="300">
        <f>(206.8*KFC!$B$23*1.02*1.3+KFC!$C$23)*KFC!$C$5</f>
        <v>274.21680000000003</v>
      </c>
      <c r="K283" s="300">
        <f>(216.6*KFC!$B$23*1.02*1.3+KFC!$C$23)*KFC!$C$5</f>
        <v>287.21159999999998</v>
      </c>
      <c r="L283" s="300">
        <f>(226.4*KFC!$B$23*1.02*1.3+KFC!$C$23)*KFC!$C$5</f>
        <v>300.20640000000003</v>
      </c>
      <c r="M283" s="300">
        <f>(236.3*KFC!$B$23*1.02*1.3+KFC!$C$23)*KFC!$C$5</f>
        <v>313.3338</v>
      </c>
      <c r="N283" s="300">
        <f>(246.1*KFC!$B$23*1.02*1.3+KFC!$C$23)*KFC!$C$5</f>
        <v>326.32859999999999</v>
      </c>
      <c r="O283" s="300">
        <f>(255.9*KFC!$B$23*1.02*1.3+KFC!$C$23)*KFC!$C$5</f>
        <v>339.32340000000005</v>
      </c>
      <c r="P283" s="300">
        <f>(265.8*KFC!$B$23*1.02*1.3+KFC!$C$23)*KFC!$C$5</f>
        <v>352.45080000000007</v>
      </c>
      <c r="Q283" s="300">
        <f>(275.6*KFC!$B$23*1.02*1.3+KFC!$C$23)*KFC!$C$5</f>
        <v>365.44560000000007</v>
      </c>
      <c r="R283" s="300">
        <f>(285.4*KFC!$B$23*1.02*1.3+KFC!$C$23)*KFC!$C$5</f>
        <v>378.44040000000001</v>
      </c>
      <c r="S283" s="300">
        <f>(295.3*KFC!$B$23*1.02*1.3+KFC!$C$23)*KFC!$C$5</f>
        <v>391.56780000000003</v>
      </c>
      <c r="T283" s="300">
        <f>(305.1*KFC!$B$23*1.02*1.3+KFC!$C$23)*KFC!$C$5</f>
        <v>404.56260000000009</v>
      </c>
      <c r="U283" s="300">
        <f>(314.9*KFC!$B$23*1.02*1.3+KFC!$C$23)*KFC!$C$5</f>
        <v>417.55739999999997</v>
      </c>
      <c r="V283" s="300">
        <f>(324.7*KFC!$B$23*1.02*1.3+KFC!$C$23)*KFC!$C$5</f>
        <v>430.55220000000003</v>
      </c>
      <c r="W283" s="300">
        <f>(334.6*KFC!$B$23*1.02*1.3+KFC!$C$23)*KFC!$C$5</f>
        <v>443.67960000000005</v>
      </c>
      <c r="X283" s="300">
        <f>(344.4*KFC!$B$23*1.02*1.3+KFC!$C$23)*KFC!$C$5</f>
        <v>456.67440000000005</v>
      </c>
      <c r="Y283" s="300">
        <f>(354.2*KFC!$B$23*1.02*1.3+KFC!$C$23)*KFC!$C$5</f>
        <v>469.66919999999999</v>
      </c>
      <c r="Z283" s="300">
        <f>(364.1*KFC!$B$23*1.02*1.3+KFC!$C$23)*KFC!$C$5</f>
        <v>482.79660000000001</v>
      </c>
      <c r="AA283" s="300">
        <f>(373.9*KFC!$B$23*1.02*1.3+KFC!$C$23)*KFC!$C$5</f>
        <v>495.79140000000001</v>
      </c>
      <c r="AB283" s="300">
        <f>(383.7*KFC!$B$23*1.02*1.3+KFC!$C$23)*KFC!$C$5</f>
        <v>508.78620000000006</v>
      </c>
      <c r="AC283" s="300">
        <f>(393.6*KFC!$B$23*1.02*1.3+KFC!$C$23)*KFC!$C$5</f>
        <v>521.91360000000009</v>
      </c>
      <c r="AD283" s="300">
        <f>(403.4*KFC!$B$23*1.02*1.3+KFC!$C$23)*KFC!$C$5</f>
        <v>534.90839999999992</v>
      </c>
      <c r="AE283" s="300">
        <f>(413.2*KFC!$B$23*1.02*1.3+KFC!$C$23)*KFC!$C$5</f>
        <v>547.90319999999997</v>
      </c>
      <c r="AF283" s="300">
        <f>(423.1*KFC!$B$23*1.02*1.3+KFC!$C$23)*KFC!$C$5</f>
        <v>561.03060000000005</v>
      </c>
      <c r="AG283" s="300">
        <f>(432.9*KFC!$B$23*1.02*1.3+KFC!$C$23)*KFC!$C$5</f>
        <v>574.02539999999999</v>
      </c>
      <c r="AH283" s="304">
        <f>(442.7*KFC!$B$23*1.02*1.3+KFC!$C$23)*KFC!$C$5</f>
        <v>587.02019999999993</v>
      </c>
    </row>
    <row r="284" spans="1:34">
      <c r="A284" s="1781"/>
      <c r="B284" s="395">
        <v>3.9</v>
      </c>
      <c r="C284" s="303">
        <f>(139.5*KFC!$B$23*1.02*1.3+KFC!$C$23)*KFC!$C$5</f>
        <v>184.977</v>
      </c>
      <c r="D284" s="300">
        <f>(149.5*KFC!$B$23*1.02*1.3+KFC!$C$23)*KFC!$C$5</f>
        <v>198.23700000000002</v>
      </c>
      <c r="E284" s="300">
        <f>(159.6*KFC!$B$23*1.02*1.3+KFC!$C$23)*KFC!$C$5</f>
        <v>211.62960000000001</v>
      </c>
      <c r="F284" s="300">
        <f>(169.7*KFC!$B$23*1.02*1.3+KFC!$C$23)*KFC!$C$5</f>
        <v>225.0222</v>
      </c>
      <c r="G284" s="300">
        <f>(179.7*KFC!$B$23*1.02*1.3+KFC!$C$23)*KFC!$C$5</f>
        <v>238.28219999999999</v>
      </c>
      <c r="H284" s="300">
        <f>(189.8*KFC!$B$23*1.02*1.3+KFC!$C$23)*KFC!$C$5</f>
        <v>251.6748</v>
      </c>
      <c r="I284" s="300">
        <f>(199.9*KFC!$B$23*1.02*1.3+KFC!$C$23)*KFC!$C$5</f>
        <v>265.06740000000002</v>
      </c>
      <c r="J284" s="300">
        <f>(209.9*KFC!$B$23*1.02*1.3+KFC!$C$23)*KFC!$C$5</f>
        <v>278.32740000000001</v>
      </c>
      <c r="K284" s="300">
        <f>(220*KFC!$B$23*1.02*1.3+KFC!$C$23)*KFC!$C$5</f>
        <v>291.72000000000003</v>
      </c>
      <c r="L284" s="300">
        <f>(230.1*KFC!$B$23*1.02*1.3+KFC!$C$23)*KFC!$C$5</f>
        <v>305.11259999999999</v>
      </c>
      <c r="M284" s="300">
        <f>(240.1*KFC!$B$23*1.02*1.3+KFC!$C$23)*KFC!$C$5</f>
        <v>318.37259999999998</v>
      </c>
      <c r="N284" s="300">
        <f>(250.2*KFC!$B$23*1.02*1.3+KFC!$C$23)*KFC!$C$5</f>
        <v>331.76519999999999</v>
      </c>
      <c r="O284" s="300">
        <f>(260.3*KFC!$B$23*1.02*1.3+KFC!$C$23)*KFC!$C$5</f>
        <v>345.15780000000007</v>
      </c>
      <c r="P284" s="300">
        <f>(270.3*KFC!$B$23*1.02*1.3+KFC!$C$23)*KFC!$C$5</f>
        <v>358.41780000000006</v>
      </c>
      <c r="Q284" s="300">
        <f>(280.4*KFC!$B$23*1.02*1.3+KFC!$C$23)*KFC!$C$5</f>
        <v>371.81040000000002</v>
      </c>
      <c r="R284" s="300">
        <f>(290.5*KFC!$B$23*1.02*1.3+KFC!$C$23)*KFC!$C$5</f>
        <v>385.20300000000003</v>
      </c>
      <c r="S284" s="300">
        <f>(300.5*KFC!$B$23*1.02*1.3+KFC!$C$23)*KFC!$C$5</f>
        <v>398.46300000000002</v>
      </c>
      <c r="T284" s="300">
        <f>(310.6*KFC!$B$23*1.02*1.3+KFC!$C$23)*KFC!$C$5</f>
        <v>411.85560000000004</v>
      </c>
      <c r="U284" s="300">
        <f>(320.7*KFC!$B$23*1.02*1.3+KFC!$C$23)*KFC!$C$5</f>
        <v>425.2482</v>
      </c>
      <c r="V284" s="300">
        <f>(330.7*KFC!$B$23*1.02*1.3+KFC!$C$23)*KFC!$C$5</f>
        <v>438.50820000000004</v>
      </c>
      <c r="W284" s="300">
        <f>(340.8*KFC!$B$23*1.02*1.3+KFC!$C$23)*KFC!$C$5</f>
        <v>451.90080000000006</v>
      </c>
      <c r="X284" s="300">
        <f>(350.9*KFC!$B$23*1.02*1.3+KFC!$C$23)*KFC!$C$5</f>
        <v>465.29340000000002</v>
      </c>
      <c r="Y284" s="300">
        <f>(360.9*KFC!$B$23*1.02*1.3+KFC!$C$23)*KFC!$C$5</f>
        <v>478.55340000000001</v>
      </c>
      <c r="Z284" s="300">
        <f>(371*KFC!$B$23*1.02*1.3+KFC!$C$23)*KFC!$C$5</f>
        <v>491.94600000000003</v>
      </c>
      <c r="AA284" s="300">
        <f>(381*KFC!$B$23*1.02*1.3+KFC!$C$23)*KFC!$C$5</f>
        <v>505.20600000000002</v>
      </c>
      <c r="AB284" s="300">
        <f>(391.1*KFC!$B$23*1.02*1.3+KFC!$C$23)*KFC!$C$5</f>
        <v>518.59860000000003</v>
      </c>
      <c r="AC284" s="300">
        <f>(401.2*KFC!$B$23*1.02*1.3+KFC!$C$23)*KFC!$C$5</f>
        <v>531.99120000000005</v>
      </c>
      <c r="AD284" s="300">
        <f>(411.2*KFC!$B$23*1.02*1.3+KFC!$C$23)*KFC!$C$5</f>
        <v>545.25120000000004</v>
      </c>
      <c r="AE284" s="300">
        <f>(421.3*KFC!$B$23*1.02*1.3+KFC!$C$23)*KFC!$C$5</f>
        <v>558.64380000000006</v>
      </c>
      <c r="AF284" s="300">
        <f>(431.4*KFC!$B$23*1.02*1.3+KFC!$C$23)*KFC!$C$5</f>
        <v>572.03639999999996</v>
      </c>
      <c r="AG284" s="300">
        <f>(441.4*KFC!$B$23*1.02*1.3+KFC!$C$23)*KFC!$C$5</f>
        <v>585.29640000000006</v>
      </c>
      <c r="AH284" s="304">
        <f>(451.5*KFC!$B$23*1.02*1.3+KFC!$C$23)*KFC!$C$5</f>
        <v>598.68900000000008</v>
      </c>
    </row>
    <row r="285" spans="1:34">
      <c r="A285" s="1781"/>
      <c r="B285" s="395">
        <v>4</v>
      </c>
      <c r="C285" s="303">
        <f>(141*KFC!$B$23*1.02*1.3+KFC!$C$23)*KFC!$C$5</f>
        <v>186.96600000000001</v>
      </c>
      <c r="D285" s="300">
        <f>(151.3*KFC!$B$23*1.02*1.3+KFC!$C$23)*KFC!$C$5</f>
        <v>200.62380000000005</v>
      </c>
      <c r="E285" s="300">
        <f>(161.6*KFC!$B$23*1.02*1.3+KFC!$C$23)*KFC!$C$5</f>
        <v>214.2816</v>
      </c>
      <c r="F285" s="300">
        <f>(171.9*KFC!$B$23*1.02*1.3+KFC!$C$23)*KFC!$C$5</f>
        <v>227.93940000000003</v>
      </c>
      <c r="G285" s="300">
        <f>(182.2*KFC!$B$23*1.02*1.3+KFC!$C$23)*KFC!$C$5</f>
        <v>241.59719999999999</v>
      </c>
      <c r="H285" s="300">
        <f>(192.5*KFC!$B$23*1.02*1.3+KFC!$C$23)*KFC!$C$5</f>
        <v>255.255</v>
      </c>
      <c r="I285" s="300">
        <f>(202.8*KFC!$B$23*1.02*1.3+KFC!$C$23)*KFC!$C$5</f>
        <v>268.91280000000006</v>
      </c>
      <c r="J285" s="300">
        <f>(213.1*KFC!$B$23*1.02*1.3+KFC!$C$23)*KFC!$C$5</f>
        <v>282.57060000000001</v>
      </c>
      <c r="K285" s="300">
        <f>(223.4*KFC!$B$23*1.02*1.3+KFC!$C$23)*KFC!$C$5</f>
        <v>296.22840000000002</v>
      </c>
      <c r="L285" s="300">
        <f>(233.7*KFC!$B$23*1.02*1.3+KFC!$C$23)*KFC!$C$5</f>
        <v>309.88620000000003</v>
      </c>
      <c r="M285" s="300">
        <f>(244*KFC!$B$23*1.02*1.3+KFC!$C$23)*KFC!$C$5</f>
        <v>323.54399999999998</v>
      </c>
      <c r="N285" s="300">
        <f>(254.3*KFC!$B$23*1.02*1.3+KFC!$C$23)*KFC!$C$5</f>
        <v>337.20180000000005</v>
      </c>
      <c r="O285" s="300">
        <f>(264.6*KFC!$B$23*1.02*1.3+KFC!$C$23)*KFC!$C$5</f>
        <v>350.85960000000006</v>
      </c>
      <c r="P285" s="300">
        <f>(274.9*KFC!$B$23*1.02*1.3+KFC!$C$23)*KFC!$C$5</f>
        <v>364.51739999999995</v>
      </c>
      <c r="Q285" s="300">
        <f>(285.2*KFC!$B$23*1.02*1.3+KFC!$C$23)*KFC!$C$5</f>
        <v>378.17520000000002</v>
      </c>
      <c r="R285" s="300">
        <f>(295.5*KFC!$B$23*1.02*1.3+KFC!$C$23)*KFC!$C$5</f>
        <v>391.83300000000003</v>
      </c>
      <c r="S285" s="300">
        <f>(305.8*KFC!$B$23*1.02*1.3+KFC!$C$23)*KFC!$C$5</f>
        <v>405.49080000000004</v>
      </c>
      <c r="T285" s="300">
        <f>(316.1*KFC!$B$23*1.02*1.3+KFC!$C$23)*KFC!$C$5</f>
        <v>419.14860000000004</v>
      </c>
      <c r="U285" s="300">
        <f>(326.4*KFC!$B$23*1.02*1.3+KFC!$C$23)*KFC!$C$5</f>
        <v>432.8064</v>
      </c>
      <c r="V285" s="300">
        <f>(336.7*KFC!$B$23*1.02*1.3+KFC!$C$23)*KFC!$C$5</f>
        <v>446.46419999999995</v>
      </c>
      <c r="W285" s="300">
        <f>(347*KFC!$B$23*1.02*1.3+KFC!$C$23)*KFC!$C$5</f>
        <v>460.12200000000001</v>
      </c>
      <c r="X285" s="300">
        <f>(357.3*KFC!$B$23*1.02*1.3+KFC!$C$23)*KFC!$C$5</f>
        <v>473.77980000000002</v>
      </c>
      <c r="Y285" s="300">
        <f>(367.6*KFC!$B$23*1.02*1.3+KFC!$C$23)*KFC!$C$5</f>
        <v>487.43760000000009</v>
      </c>
      <c r="Z285" s="300">
        <f>(377.9*KFC!$B$23*1.02*1.3+KFC!$C$23)*KFC!$C$5</f>
        <v>501.09539999999998</v>
      </c>
      <c r="AA285" s="300">
        <f>(388.2*KFC!$B$23*1.02*1.3+KFC!$C$23)*KFC!$C$5</f>
        <v>514.75319999999999</v>
      </c>
      <c r="AB285" s="300">
        <f>(398.5*KFC!$B$23*1.02*1.3+KFC!$C$23)*KFC!$C$5</f>
        <v>528.41100000000006</v>
      </c>
      <c r="AC285" s="300">
        <f>(408.8*KFC!$B$23*1.02*1.3+KFC!$C$23)*KFC!$C$5</f>
        <v>542.06880000000001</v>
      </c>
      <c r="AD285" s="300">
        <f>(419.1*KFC!$B$23*1.02*1.3+KFC!$C$23)*KFC!$C$5</f>
        <v>555.72660000000008</v>
      </c>
      <c r="AE285" s="300">
        <f>(429.4*KFC!$B$23*1.02*1.3+KFC!$C$23)*KFC!$C$5</f>
        <v>569.38440000000003</v>
      </c>
      <c r="AF285" s="300">
        <f>(439.7*KFC!$B$23*1.02*1.3+KFC!$C$23)*KFC!$C$5</f>
        <v>583.04219999999998</v>
      </c>
      <c r="AG285" s="300">
        <f>(450*KFC!$B$23*1.02*1.3+KFC!$C$23)*KFC!$C$5</f>
        <v>596.70000000000005</v>
      </c>
      <c r="AH285" s="304">
        <f>(460.3*KFC!$B$23*1.02*1.3+KFC!$C$23)*KFC!$C$5</f>
        <v>610.35780000000011</v>
      </c>
    </row>
    <row r="286" spans="1:34">
      <c r="A286" s="1781"/>
      <c r="B286" s="395">
        <v>4.0999999999999996</v>
      </c>
      <c r="C286" s="303">
        <f>(142.5*KFC!$B$23*1.02*1.3+KFC!$C$23)*KFC!$C$5</f>
        <v>188.95500000000001</v>
      </c>
      <c r="D286" s="300">
        <f>(153*KFC!$B$23*1.02*1.3+KFC!$C$23)*KFC!$C$5</f>
        <v>202.87800000000001</v>
      </c>
      <c r="E286" s="300">
        <f>(163.6*KFC!$B$23*1.02*1.3+KFC!$C$23)*KFC!$C$5</f>
        <v>216.93359999999998</v>
      </c>
      <c r="F286" s="300">
        <f>(174.1*KFC!$B$23*1.02*1.3+KFC!$C$23)*KFC!$C$5</f>
        <v>230.85659999999999</v>
      </c>
      <c r="G286" s="300">
        <f>(184.6*KFC!$B$23*1.02*1.3+KFC!$C$23)*KFC!$C$5</f>
        <v>244.77960000000002</v>
      </c>
      <c r="H286" s="300">
        <f>(195.2*KFC!$B$23*1.02*1.3+KFC!$C$23)*KFC!$C$5</f>
        <v>258.83519999999999</v>
      </c>
      <c r="I286" s="300">
        <f>(205.7*KFC!$B$23*1.02*1.3+KFC!$C$23)*KFC!$C$5</f>
        <v>272.75819999999999</v>
      </c>
      <c r="J286" s="300">
        <f>(216.2*KFC!$B$23*1.02*1.3+KFC!$C$23)*KFC!$C$5</f>
        <v>286.68119999999999</v>
      </c>
      <c r="K286" s="300">
        <f>(226.8*KFC!$B$23*1.02*1.3+KFC!$C$23)*KFC!$C$5</f>
        <v>300.73680000000002</v>
      </c>
      <c r="L286" s="300">
        <f>(237.3*KFC!$B$23*1.02*1.3+KFC!$C$23)*KFC!$C$5</f>
        <v>314.65980000000002</v>
      </c>
      <c r="M286" s="300">
        <f>(247.8*KFC!$B$23*1.02*1.3+KFC!$C$23)*KFC!$C$5</f>
        <v>328.58280000000002</v>
      </c>
      <c r="N286" s="300">
        <f>(258.4*KFC!$B$23*1.02*1.3+KFC!$C$23)*KFC!$C$5</f>
        <v>342.63839999999999</v>
      </c>
      <c r="O286" s="300">
        <f>(268.9*KFC!$B$23*1.02*1.3+KFC!$C$23)*KFC!$C$5</f>
        <v>356.56139999999999</v>
      </c>
      <c r="P286" s="300">
        <f>(279.4*KFC!$B$23*1.02*1.3+KFC!$C$23)*KFC!$C$5</f>
        <v>370.48439999999999</v>
      </c>
      <c r="Q286" s="300">
        <f>(290*KFC!$B$23*1.02*1.3+KFC!$C$23)*KFC!$C$5</f>
        <v>384.54</v>
      </c>
      <c r="R286" s="300">
        <f>(300.5*KFC!$B$23*1.02*1.3+KFC!$C$23)*KFC!$C$5</f>
        <v>398.46300000000002</v>
      </c>
      <c r="S286" s="300">
        <f>(311.1*KFC!$B$23*1.02*1.3+KFC!$C$23)*KFC!$C$5</f>
        <v>412.51859999999999</v>
      </c>
      <c r="T286" s="300">
        <f>(321.6*KFC!$B$23*1.02*1.3+KFC!$C$23)*KFC!$C$5</f>
        <v>426.44160000000005</v>
      </c>
      <c r="U286" s="300">
        <f>(332.1*KFC!$B$23*1.02*1.3+KFC!$C$23)*KFC!$C$5</f>
        <v>440.36460000000005</v>
      </c>
      <c r="V286" s="300">
        <f>(342.7*KFC!$B$23*1.02*1.3+KFC!$C$23)*KFC!$C$5</f>
        <v>454.42019999999997</v>
      </c>
      <c r="W286" s="300">
        <f>(353.2*KFC!$B$23*1.02*1.3+KFC!$C$23)*KFC!$C$5</f>
        <v>468.34320000000002</v>
      </c>
      <c r="X286" s="300">
        <f>(363.7*KFC!$B$23*1.02*1.3+KFC!$C$23)*KFC!$C$5</f>
        <v>482.26620000000003</v>
      </c>
      <c r="Y286" s="300">
        <f>(374.3*KFC!$B$23*1.02*1.3+KFC!$C$23)*KFC!$C$5</f>
        <v>496.3218</v>
      </c>
      <c r="Z286" s="300">
        <f>(384.8*KFC!$B$23*1.02*1.3+KFC!$C$23)*KFC!$C$5</f>
        <v>510.24480000000005</v>
      </c>
      <c r="AA286" s="300">
        <f>(395.3*KFC!$B$23*1.02*1.3+KFC!$C$23)*KFC!$C$5</f>
        <v>524.16780000000006</v>
      </c>
      <c r="AB286" s="300">
        <f>(405.9*KFC!$B$23*1.02*1.3+KFC!$C$23)*KFC!$C$5</f>
        <v>538.22339999999997</v>
      </c>
      <c r="AC286" s="300">
        <f>(416.4*KFC!$B$23*1.02*1.3+KFC!$C$23)*KFC!$C$5</f>
        <v>552.14640000000009</v>
      </c>
      <c r="AD286" s="300">
        <f>(426.9*KFC!$B$23*1.02*1.3+KFC!$C$23)*KFC!$C$5</f>
        <v>566.06939999999997</v>
      </c>
      <c r="AE286" s="300">
        <f>(437.5*KFC!$B$23*1.02*1.3+KFC!$C$23)*KFC!$C$5</f>
        <v>580.125</v>
      </c>
      <c r="AF286" s="300">
        <f>(448*KFC!$B$23*1.02*1.3+KFC!$C$23)*KFC!$C$5</f>
        <v>594.04800000000012</v>
      </c>
      <c r="AG286" s="300">
        <f>(458.5*KFC!$B$23*1.02*1.3+KFC!$C$23)*KFC!$C$5</f>
        <v>607.971</v>
      </c>
      <c r="AH286" s="304">
        <f>(469.1*KFC!$B$23*1.02*1.3+KFC!$C$23)*KFC!$C$5</f>
        <v>622.02660000000003</v>
      </c>
    </row>
    <row r="287" spans="1:34">
      <c r="A287" s="1781"/>
      <c r="B287" s="395">
        <v>4.2</v>
      </c>
      <c r="C287" s="303">
        <f>(144*KFC!$B$23*1.02*1.3+KFC!$C$23)*KFC!$C$5</f>
        <v>190.94399999999999</v>
      </c>
      <c r="D287" s="300">
        <f>(154.8*KFC!$B$23*1.02*1.3+KFC!$C$23)*KFC!$C$5</f>
        <v>205.26480000000004</v>
      </c>
      <c r="E287" s="300">
        <f>(165.5*KFC!$B$23*1.02*1.3+KFC!$C$23)*KFC!$C$5</f>
        <v>219.453</v>
      </c>
      <c r="F287" s="300">
        <f>(176.3*KFC!$B$23*1.02*1.3+KFC!$C$23)*KFC!$C$5</f>
        <v>233.77380000000002</v>
      </c>
      <c r="G287" s="300">
        <f>(187.1*KFC!$B$23*1.02*1.3+KFC!$C$23)*KFC!$C$5</f>
        <v>248.09459999999999</v>
      </c>
      <c r="H287" s="300">
        <f>(197.9*KFC!$B$23*1.02*1.3+KFC!$C$23)*KFC!$C$5</f>
        <v>262.41540000000003</v>
      </c>
      <c r="I287" s="300">
        <f>(208.6*KFC!$B$23*1.02*1.3+KFC!$C$23)*KFC!$C$5</f>
        <v>276.60359999999997</v>
      </c>
      <c r="J287" s="300">
        <f>(219.4*KFC!$B$23*1.02*1.3+KFC!$C$23)*KFC!$C$5</f>
        <v>290.92440000000005</v>
      </c>
      <c r="K287" s="300">
        <f>(230.2*KFC!$B$23*1.02*1.3+KFC!$C$23)*KFC!$C$5</f>
        <v>305.24520000000001</v>
      </c>
      <c r="L287" s="300">
        <f>(240.9*KFC!$B$23*1.02*1.3+KFC!$C$23)*KFC!$C$5</f>
        <v>319.43340000000001</v>
      </c>
      <c r="M287" s="300">
        <f>(251.7*KFC!$B$23*1.02*1.3+KFC!$C$23)*KFC!$C$5</f>
        <v>333.75419999999997</v>
      </c>
      <c r="N287" s="300">
        <f>(262.5*KFC!$B$23*1.02*1.3+KFC!$C$23)*KFC!$C$5</f>
        <v>348.07499999999999</v>
      </c>
      <c r="O287" s="300">
        <f>(273.2*KFC!$B$23*1.02*1.3+KFC!$C$23)*KFC!$C$5</f>
        <v>362.26319999999998</v>
      </c>
      <c r="P287" s="300">
        <f>(284*KFC!$B$23*1.02*1.3+KFC!$C$23)*KFC!$C$5</f>
        <v>376.584</v>
      </c>
      <c r="Q287" s="300">
        <f>(294.8*KFC!$B$23*1.02*1.3+KFC!$C$23)*KFC!$C$5</f>
        <v>390.90480000000002</v>
      </c>
      <c r="R287" s="300">
        <f>(305.5*KFC!$B$23*1.02*1.3+KFC!$C$23)*KFC!$C$5</f>
        <v>405.09300000000002</v>
      </c>
      <c r="S287" s="300">
        <f>(316.3*KFC!$B$23*1.02*1.3+KFC!$C$23)*KFC!$C$5</f>
        <v>419.41380000000004</v>
      </c>
      <c r="T287" s="300">
        <f>(327.1*KFC!$B$23*1.02*1.3+KFC!$C$23)*KFC!$C$5</f>
        <v>433.73460000000006</v>
      </c>
      <c r="U287" s="300">
        <f>(337.9*KFC!$B$23*1.02*1.3+KFC!$C$23)*KFC!$C$5</f>
        <v>448.05539999999996</v>
      </c>
      <c r="V287" s="300">
        <f>(348.6*KFC!$B$23*1.02*1.3+KFC!$C$23)*KFC!$C$5</f>
        <v>462.24360000000001</v>
      </c>
      <c r="W287" s="300">
        <f>(359.4*KFC!$B$23*1.02*1.3+KFC!$C$23)*KFC!$C$5</f>
        <v>476.56439999999998</v>
      </c>
      <c r="X287" s="300">
        <f>(370.2*KFC!$B$23*1.02*1.3+KFC!$C$23)*KFC!$C$5</f>
        <v>490.8852</v>
      </c>
      <c r="Y287" s="300">
        <f>(380.9*KFC!$B$23*1.02*1.3+KFC!$C$23)*KFC!$C$5</f>
        <v>505.07339999999999</v>
      </c>
      <c r="Z287" s="300">
        <f>(391.7*KFC!$B$23*1.02*1.3+KFC!$C$23)*KFC!$C$5</f>
        <v>519.39419999999996</v>
      </c>
      <c r="AA287" s="300">
        <f>(402.5*KFC!$B$23*1.02*1.3+KFC!$C$23)*KFC!$C$5</f>
        <v>533.71500000000003</v>
      </c>
      <c r="AB287" s="300">
        <f>(413.2*KFC!$B$23*1.02*1.3+KFC!$C$23)*KFC!$C$5</f>
        <v>547.90319999999997</v>
      </c>
      <c r="AC287" s="300">
        <f>(424*KFC!$B$23*1.02*1.3+KFC!$C$23)*KFC!$C$5</f>
        <v>562.22400000000005</v>
      </c>
      <c r="AD287" s="300">
        <f>(434.8*KFC!$B$23*1.02*1.3+KFC!$C$23)*KFC!$C$5</f>
        <v>576.54480000000012</v>
      </c>
      <c r="AE287" s="300">
        <f>(445.6*KFC!$B$23*1.02*1.3+KFC!$C$23)*KFC!$C$5</f>
        <v>590.86560000000009</v>
      </c>
      <c r="AF287" s="300">
        <f>(456.3*KFC!$B$23*1.02*1.3+KFC!$C$23)*KFC!$C$5</f>
        <v>605.05380000000002</v>
      </c>
      <c r="AG287" s="300">
        <f>(467.1*KFC!$B$23*1.02*1.3+KFC!$C$23)*KFC!$C$5</f>
        <v>619.37459999999999</v>
      </c>
      <c r="AH287" s="304">
        <f>(477.9*KFC!$B$23*1.02*1.3+KFC!$C$23)*KFC!$C$5</f>
        <v>633.69539999999995</v>
      </c>
    </row>
    <row r="288" spans="1:34">
      <c r="A288" s="1781"/>
      <c r="B288" s="395">
        <v>4.3</v>
      </c>
      <c r="C288" s="303">
        <f>(145.5*KFC!$B$23*1.02*1.3+KFC!$C$23)*KFC!$C$5</f>
        <v>192.93299999999999</v>
      </c>
      <c r="D288" s="300">
        <f>(156.5*KFC!$B$23*1.02*1.3+KFC!$C$23)*KFC!$C$5</f>
        <v>207.51900000000001</v>
      </c>
      <c r="E288" s="300">
        <f>(167.5*KFC!$B$23*1.02*1.3+KFC!$C$23)*KFC!$C$5</f>
        <v>222.10499999999999</v>
      </c>
      <c r="F288" s="300">
        <f>(178.5*KFC!$B$23*1.02*1.3+KFC!$C$23)*KFC!$C$5</f>
        <v>236.691</v>
      </c>
      <c r="G288" s="300">
        <f>(189.5*KFC!$B$23*1.02*1.3+KFC!$C$23)*KFC!$C$5</f>
        <v>251.27699999999999</v>
      </c>
      <c r="H288" s="300">
        <f>(200.5*KFC!$B$23*1.02*1.3+KFC!$C$23)*KFC!$C$5</f>
        <v>265.863</v>
      </c>
      <c r="I288" s="300">
        <f>(211.5*KFC!$B$23*1.02*1.3+KFC!$C$23)*KFC!$C$5</f>
        <v>280.44900000000001</v>
      </c>
      <c r="J288" s="300">
        <f>(222.5*KFC!$B$23*1.02*1.3+KFC!$C$23)*KFC!$C$5</f>
        <v>295.03500000000003</v>
      </c>
      <c r="K288" s="300">
        <f>(233.5*KFC!$B$23*1.02*1.3+KFC!$C$23)*KFC!$C$5</f>
        <v>309.62100000000004</v>
      </c>
      <c r="L288" s="300">
        <f>(244.6*KFC!$B$23*1.02*1.3+KFC!$C$23)*KFC!$C$5</f>
        <v>324.33960000000002</v>
      </c>
      <c r="M288" s="300">
        <f>(255.6*KFC!$B$23*1.02*1.3+KFC!$C$23)*KFC!$C$5</f>
        <v>338.92559999999997</v>
      </c>
      <c r="N288" s="300">
        <f>(266.6*KFC!$B$23*1.02*1.3+KFC!$C$23)*KFC!$C$5</f>
        <v>353.51160000000004</v>
      </c>
      <c r="O288" s="300">
        <f>(277.6*KFC!$B$23*1.02*1.3+KFC!$C$23)*KFC!$C$5</f>
        <v>368.09760000000006</v>
      </c>
      <c r="P288" s="300">
        <f>(288.6*KFC!$B$23*1.02*1.3+KFC!$C$23)*KFC!$C$5</f>
        <v>382.68360000000001</v>
      </c>
      <c r="Q288" s="300">
        <f>(299.6*KFC!$B$23*1.02*1.3+KFC!$C$23)*KFC!$C$5</f>
        <v>397.26960000000008</v>
      </c>
      <c r="R288" s="300">
        <f>(310.6*KFC!$B$23*1.02*1.3+KFC!$C$23)*KFC!$C$5</f>
        <v>411.85560000000004</v>
      </c>
      <c r="S288" s="300">
        <f>(321.6*KFC!$B$23*1.02*1.3+KFC!$C$23)*KFC!$C$5</f>
        <v>426.44160000000005</v>
      </c>
      <c r="T288" s="300">
        <f>(332.6*KFC!$B$23*1.02*1.3+KFC!$C$23)*KFC!$C$5</f>
        <v>441.02760000000001</v>
      </c>
      <c r="U288" s="300">
        <f>(343.6*KFC!$B$23*1.02*1.3+KFC!$C$23)*KFC!$C$5</f>
        <v>455.61360000000008</v>
      </c>
      <c r="V288" s="300">
        <f>(354.6*KFC!$B$23*1.02*1.3+KFC!$C$23)*KFC!$C$5</f>
        <v>470.19960000000003</v>
      </c>
      <c r="W288" s="300">
        <f>(365.6*KFC!$B$23*1.02*1.3+KFC!$C$23)*KFC!$C$5</f>
        <v>484.78560000000004</v>
      </c>
      <c r="X288" s="300">
        <f>(376.6*KFC!$B$23*1.02*1.3+KFC!$C$23)*KFC!$C$5</f>
        <v>499.3716</v>
      </c>
      <c r="Y288" s="300">
        <f>(387.6*KFC!$B$23*1.02*1.3+KFC!$C$23)*KFC!$C$5</f>
        <v>513.95760000000007</v>
      </c>
      <c r="Z288" s="300">
        <f>(398.6*KFC!$B$23*1.02*1.3+KFC!$C$23)*KFC!$C$5</f>
        <v>528.54359999999997</v>
      </c>
      <c r="AA288" s="300">
        <f>(409.6*KFC!$B$23*1.02*1.3+KFC!$C$23)*KFC!$C$5</f>
        <v>543.1296000000001</v>
      </c>
      <c r="AB288" s="300">
        <f>(420.6*KFC!$B$23*1.02*1.3+KFC!$C$23)*KFC!$C$5</f>
        <v>557.71560000000011</v>
      </c>
      <c r="AC288" s="300">
        <f>(431.6*KFC!$B$23*1.02*1.3+KFC!$C$23)*KFC!$C$5</f>
        <v>572.30160000000001</v>
      </c>
      <c r="AD288" s="300">
        <f>(442.6*KFC!$B$23*1.02*1.3+KFC!$C$23)*KFC!$C$5</f>
        <v>586.88760000000013</v>
      </c>
      <c r="AE288" s="300">
        <f>(453.6*KFC!$B$23*1.02*1.3+KFC!$C$23)*KFC!$C$5</f>
        <v>601.47360000000003</v>
      </c>
      <c r="AF288" s="300">
        <f>(464.6*KFC!$B$23*1.02*1.3+KFC!$C$23)*KFC!$C$5</f>
        <v>616.05960000000005</v>
      </c>
      <c r="AG288" s="300">
        <f>(475.6*KFC!$B$23*1.02*1.3+KFC!$C$23)*KFC!$C$5</f>
        <v>630.64560000000006</v>
      </c>
      <c r="AH288" s="304">
        <f>(486.6*KFC!$B$23*1.02*1.3+KFC!$C$23)*KFC!$C$5</f>
        <v>645.23160000000007</v>
      </c>
    </row>
    <row r="289" spans="1:34">
      <c r="A289" s="1781"/>
      <c r="B289" s="395">
        <v>4.4000000000000004</v>
      </c>
      <c r="C289" s="303">
        <f>(147*KFC!$B$23*1.02*1.3+KFC!$C$23)*KFC!$C$5</f>
        <v>194.922</v>
      </c>
      <c r="D289" s="300">
        <f>(158.3*KFC!$B$23*1.02*1.3+KFC!$C$23)*KFC!$C$5</f>
        <v>209.90580000000003</v>
      </c>
      <c r="E289" s="300">
        <f>(169.5*KFC!$B$23*1.02*1.3+KFC!$C$23)*KFC!$C$5</f>
        <v>224.75700000000003</v>
      </c>
      <c r="F289" s="300">
        <f>(180.7*KFC!$B$23*1.02*1.3+KFC!$C$23)*KFC!$C$5</f>
        <v>239.60820000000001</v>
      </c>
      <c r="G289" s="300">
        <f>(192*KFC!$B$23*1.02*1.3+KFC!$C$23)*KFC!$C$5</f>
        <v>254.59200000000001</v>
      </c>
      <c r="H289" s="300">
        <f>(203.2*KFC!$B$23*1.02*1.3+KFC!$C$23)*KFC!$C$5</f>
        <v>269.44319999999999</v>
      </c>
      <c r="I289" s="300">
        <f>(214.5*KFC!$B$23*1.02*1.3+KFC!$C$23)*KFC!$C$5</f>
        <v>284.42700000000002</v>
      </c>
      <c r="J289" s="300">
        <f>(225.7*KFC!$B$23*1.02*1.3+KFC!$C$23)*KFC!$C$5</f>
        <v>299.27820000000003</v>
      </c>
      <c r="K289" s="300">
        <f>(236.9*KFC!$B$23*1.02*1.3+KFC!$C$23)*KFC!$C$5</f>
        <v>314.12940000000003</v>
      </c>
      <c r="L289" s="300">
        <f>(248.2*KFC!$B$23*1.02*1.3+KFC!$C$23)*KFC!$C$5</f>
        <v>329.11320000000001</v>
      </c>
      <c r="M289" s="300">
        <f>(259.4*KFC!$B$23*1.02*1.3+KFC!$C$23)*KFC!$C$5</f>
        <v>343.96439999999996</v>
      </c>
      <c r="N289" s="300">
        <f>(270.7*KFC!$B$23*1.02*1.3+KFC!$C$23)*KFC!$C$5</f>
        <v>358.94819999999999</v>
      </c>
      <c r="O289" s="300">
        <f>(281.9*KFC!$B$23*1.02*1.3+KFC!$C$23)*KFC!$C$5</f>
        <v>373.79939999999993</v>
      </c>
      <c r="P289" s="300">
        <f>(293.1*KFC!$B$23*1.02*1.3+KFC!$C$23)*KFC!$C$5</f>
        <v>388.65060000000005</v>
      </c>
      <c r="Q289" s="300">
        <f>(304.4*KFC!$B$23*1.02*1.3+KFC!$C$23)*KFC!$C$5</f>
        <v>403.63440000000003</v>
      </c>
      <c r="R289" s="300">
        <f>(315.6*KFC!$B$23*1.02*1.3+KFC!$C$23)*KFC!$C$5</f>
        <v>418.48560000000003</v>
      </c>
      <c r="S289" s="300">
        <f>(326.8*KFC!$B$23*1.02*1.3+KFC!$C$23)*KFC!$C$5</f>
        <v>433.33680000000004</v>
      </c>
      <c r="T289" s="300">
        <f>(338.1*KFC!$B$23*1.02*1.3+KFC!$C$23)*KFC!$C$5</f>
        <v>448.32060000000007</v>
      </c>
      <c r="U289" s="300">
        <f>(349.3*KFC!$B$23*1.02*1.3+KFC!$C$23)*KFC!$C$5</f>
        <v>463.17180000000002</v>
      </c>
      <c r="V289" s="300">
        <f>(360.6*KFC!$B$23*1.02*1.3+KFC!$C$23)*KFC!$C$5</f>
        <v>478.15560000000005</v>
      </c>
      <c r="W289" s="300">
        <f>(371.8*KFC!$B$23*1.02*1.3+KFC!$C$23)*KFC!$C$5</f>
        <v>493.0068</v>
      </c>
      <c r="X289" s="300">
        <f>(383*KFC!$B$23*1.02*1.3+KFC!$C$23)*KFC!$C$5</f>
        <v>507.85800000000006</v>
      </c>
      <c r="Y289" s="300">
        <f>(394.3*KFC!$B$23*1.02*1.3+KFC!$C$23)*KFC!$C$5</f>
        <v>522.84180000000003</v>
      </c>
      <c r="Z289" s="300">
        <f>(405.5*KFC!$B$23*1.02*1.3+KFC!$C$23)*KFC!$C$5</f>
        <v>537.69299999999998</v>
      </c>
      <c r="AA289" s="300">
        <f>(416.8*KFC!$B$23*1.02*1.3+KFC!$C$23)*KFC!$C$5</f>
        <v>552.67680000000007</v>
      </c>
      <c r="AB289" s="300">
        <f>(428*KFC!$B$23*1.02*1.3+KFC!$C$23)*KFC!$C$5</f>
        <v>567.52800000000002</v>
      </c>
      <c r="AC289" s="300">
        <f>(439.2*KFC!$B$23*1.02*1.3+KFC!$C$23)*KFC!$C$5</f>
        <v>582.37919999999997</v>
      </c>
      <c r="AD289" s="300">
        <f>(450.5*KFC!$B$23*1.02*1.3+KFC!$C$23)*KFC!$C$5</f>
        <v>597.36300000000006</v>
      </c>
      <c r="AE289" s="300">
        <f>(461.7*KFC!$B$23*1.02*1.3+KFC!$C$23)*KFC!$C$5</f>
        <v>612.21420000000001</v>
      </c>
      <c r="AF289" s="300">
        <f>(472.9*KFC!$B$23*1.02*1.3+KFC!$C$23)*KFC!$C$5</f>
        <v>627.06540000000007</v>
      </c>
      <c r="AG289" s="300">
        <f>(484.2*KFC!$B$23*1.02*1.3+KFC!$C$23)*KFC!$C$5</f>
        <v>642.04920000000004</v>
      </c>
      <c r="AH289" s="304">
        <f>(495.4*KFC!$B$23*1.02*1.3+KFC!$C$23)*KFC!$C$5</f>
        <v>656.90039999999999</v>
      </c>
    </row>
    <row r="290" spans="1:34">
      <c r="A290" s="1781"/>
      <c r="B290" s="395">
        <v>4.5</v>
      </c>
      <c r="C290" s="303">
        <f>(148.5*KFC!$B$23*1.02*1.3+KFC!$C$23)*KFC!$C$5</f>
        <v>196.911</v>
      </c>
      <c r="D290" s="300">
        <f>(160*KFC!$B$23*1.02*1.3+KFC!$C$23)*KFC!$C$5</f>
        <v>212.16</v>
      </c>
      <c r="E290" s="300">
        <f>(171.5*KFC!$B$23*1.02*1.3+KFC!$C$23)*KFC!$C$5</f>
        <v>227.40900000000002</v>
      </c>
      <c r="F290" s="300">
        <f>(183*KFC!$B$23*1.02*1.3+KFC!$C$23)*KFC!$C$5</f>
        <v>242.65800000000002</v>
      </c>
      <c r="G290" s="300">
        <f>(194.4*KFC!$B$23*1.02*1.3+KFC!$C$23)*KFC!$C$5</f>
        <v>257.77440000000001</v>
      </c>
      <c r="H290" s="300">
        <f>(205.9*KFC!$B$23*1.02*1.3+KFC!$C$23)*KFC!$C$5</f>
        <v>273.02340000000004</v>
      </c>
      <c r="I290" s="300">
        <f>(217.4*KFC!$B$23*1.02*1.3+KFC!$C$23)*KFC!$C$5</f>
        <v>288.27240000000006</v>
      </c>
      <c r="J290" s="300">
        <f>(228.9*KFC!$B$23*1.02*1.3+KFC!$C$23)*KFC!$C$5</f>
        <v>303.52140000000003</v>
      </c>
      <c r="K290" s="300">
        <f>(240.3*KFC!$B$23*1.02*1.3+KFC!$C$23)*KFC!$C$5</f>
        <v>318.63780000000003</v>
      </c>
      <c r="L290" s="300">
        <f>(251.8*KFC!$B$23*1.02*1.3+KFC!$C$23)*KFC!$C$5</f>
        <v>333.88680000000005</v>
      </c>
      <c r="M290" s="300">
        <f>(263.3*KFC!$B$23*1.02*1.3+KFC!$C$23)*KFC!$C$5</f>
        <v>349.13580000000007</v>
      </c>
      <c r="N290" s="300">
        <f>(274.7*KFC!$B$23*1.02*1.3+KFC!$C$23)*KFC!$C$5</f>
        <v>364.25220000000002</v>
      </c>
      <c r="O290" s="300">
        <f>(286.2*KFC!$B$23*1.02*1.3+KFC!$C$23)*KFC!$C$5</f>
        <v>379.50119999999998</v>
      </c>
      <c r="P290" s="300">
        <f>(297.7*KFC!$B$23*1.02*1.3+KFC!$C$23)*KFC!$C$5</f>
        <v>394.75020000000001</v>
      </c>
      <c r="Q290" s="300">
        <f>(309.2*KFC!$B$23*1.02*1.3+KFC!$C$23)*KFC!$C$5</f>
        <v>409.99920000000003</v>
      </c>
      <c r="R290" s="300">
        <f>(320.6*KFC!$B$23*1.02*1.3+KFC!$C$23)*KFC!$C$5</f>
        <v>425.11560000000009</v>
      </c>
      <c r="S290" s="300">
        <f>(332.1*KFC!$B$23*1.02*1.3+KFC!$C$23)*KFC!$C$5</f>
        <v>440.36460000000005</v>
      </c>
      <c r="T290" s="300">
        <f>(343.6*KFC!$B$23*1.02*1.3+KFC!$C$23)*KFC!$C$5</f>
        <v>455.61360000000008</v>
      </c>
      <c r="U290" s="300">
        <f>(355.1*KFC!$B$23*1.02*1.3+KFC!$C$23)*KFC!$C$5</f>
        <v>470.8626000000001</v>
      </c>
      <c r="V290" s="300">
        <f>(366.5*KFC!$B$23*1.02*1.3+KFC!$C$23)*KFC!$C$5</f>
        <v>485.97899999999998</v>
      </c>
      <c r="W290" s="300">
        <f>(378*KFC!$B$23*1.02*1.3+KFC!$C$23)*KFC!$C$5</f>
        <v>501.22800000000001</v>
      </c>
      <c r="X290" s="300">
        <f>(389.5*KFC!$B$23*1.02*1.3+KFC!$C$23)*KFC!$C$5</f>
        <v>516.47700000000009</v>
      </c>
      <c r="Y290" s="300">
        <f>(401*KFC!$B$23*1.02*1.3+KFC!$C$23)*KFC!$C$5</f>
        <v>531.726</v>
      </c>
      <c r="Z290" s="300">
        <f>(412.4*KFC!$B$23*1.02*1.3+KFC!$C$23)*KFC!$C$5</f>
        <v>546.8424</v>
      </c>
      <c r="AA290" s="300">
        <f>(423.9*KFC!$B$23*1.02*1.3+KFC!$C$23)*KFC!$C$5</f>
        <v>562.09140000000002</v>
      </c>
      <c r="AB290" s="300">
        <f>(435.4*KFC!$B$23*1.02*1.3+KFC!$C$23)*KFC!$C$5</f>
        <v>577.34040000000005</v>
      </c>
      <c r="AC290" s="300">
        <f>(446.8*KFC!$B$23*1.02*1.3+KFC!$C$23)*KFC!$C$5</f>
        <v>592.45680000000004</v>
      </c>
      <c r="AD290" s="300">
        <f>(458.3*KFC!$B$23*1.02*1.3+KFC!$C$23)*KFC!$C$5</f>
        <v>607.70580000000007</v>
      </c>
      <c r="AE290" s="300">
        <f>(469.8*KFC!$B$23*1.02*1.3+KFC!$C$23)*KFC!$C$5</f>
        <v>622.95480000000009</v>
      </c>
      <c r="AF290" s="300">
        <f>(481.3*KFC!$B$23*1.02*1.3+KFC!$C$23)*KFC!$C$5</f>
        <v>638.20380000000011</v>
      </c>
      <c r="AG290" s="300">
        <f>(492.7*KFC!$B$23*1.02*1.3+KFC!$C$23)*KFC!$C$5</f>
        <v>653.3202</v>
      </c>
      <c r="AH290" s="304">
        <f>(504.2*KFC!$B$23*1.02*1.3+KFC!$C$23)*KFC!$C$5</f>
        <v>668.56920000000002</v>
      </c>
    </row>
    <row r="291" spans="1:34">
      <c r="A291" s="1781"/>
      <c r="B291" s="395">
        <v>4.5999999999999996</v>
      </c>
      <c r="C291" s="303">
        <f>(150.1*KFC!$B$23*1.02*1.3+KFC!$C$23)*KFC!$C$5</f>
        <v>199.0326</v>
      </c>
      <c r="D291" s="300">
        <f>(161.8*KFC!$B$23*1.02*1.3+KFC!$C$23)*KFC!$C$5</f>
        <v>214.54680000000002</v>
      </c>
      <c r="E291" s="300">
        <f>(173.5*KFC!$B$23*1.02*1.3+KFC!$C$23)*KFC!$C$5</f>
        <v>230.06100000000001</v>
      </c>
      <c r="F291" s="300">
        <f>(185.2*KFC!$B$23*1.02*1.3+KFC!$C$23)*KFC!$C$5</f>
        <v>245.5752</v>
      </c>
      <c r="G291" s="300">
        <f>(196.9*KFC!$B$23*1.02*1.3+KFC!$C$23)*KFC!$C$5</f>
        <v>261.08940000000001</v>
      </c>
      <c r="H291" s="300">
        <f>(208.6*KFC!$B$23*1.02*1.3+KFC!$C$23)*KFC!$C$5</f>
        <v>276.60359999999997</v>
      </c>
      <c r="I291" s="300">
        <f>(220.3*KFC!$B$23*1.02*1.3+KFC!$C$23)*KFC!$C$5</f>
        <v>292.11780000000005</v>
      </c>
      <c r="J291" s="300">
        <f>(232*KFC!$B$23*1.02*1.3+KFC!$C$23)*KFC!$C$5</f>
        <v>307.63200000000001</v>
      </c>
      <c r="K291" s="300">
        <f>(243.7*KFC!$B$23*1.02*1.3+KFC!$C$23)*KFC!$C$5</f>
        <v>323.14619999999996</v>
      </c>
      <c r="L291" s="300">
        <f>(255.4*KFC!$B$23*1.02*1.3+KFC!$C$23)*KFC!$C$5</f>
        <v>338.66040000000004</v>
      </c>
      <c r="M291" s="300">
        <f>(267.1*KFC!$B$23*1.02*1.3+KFC!$C$23)*KFC!$C$5</f>
        <v>354.1746</v>
      </c>
      <c r="N291" s="300">
        <f>(278.8*KFC!$B$23*1.02*1.3+KFC!$C$23)*KFC!$C$5</f>
        <v>369.68880000000007</v>
      </c>
      <c r="O291" s="300">
        <f>(290.5*KFC!$B$23*1.02*1.3+KFC!$C$23)*KFC!$C$5</f>
        <v>385.20300000000003</v>
      </c>
      <c r="P291" s="300">
        <f>(302.3*KFC!$B$23*1.02*1.3+KFC!$C$23)*KFC!$C$5</f>
        <v>400.84980000000002</v>
      </c>
      <c r="Q291" s="300">
        <f>(314*KFC!$B$23*1.02*1.3+KFC!$C$23)*KFC!$C$5</f>
        <v>416.36400000000003</v>
      </c>
      <c r="R291" s="300">
        <f>(325.7*KFC!$B$23*1.02*1.3+KFC!$C$23)*KFC!$C$5</f>
        <v>431.87819999999999</v>
      </c>
      <c r="S291" s="300">
        <f>(337.4*KFC!$B$23*1.02*1.3+KFC!$C$23)*KFC!$C$5</f>
        <v>447.39239999999995</v>
      </c>
      <c r="T291" s="300">
        <f>(349.1*KFC!$B$23*1.02*1.3+KFC!$C$23)*KFC!$C$5</f>
        <v>462.90660000000008</v>
      </c>
      <c r="U291" s="300">
        <f>(360.8*KFC!$B$23*1.02*1.3+KFC!$C$23)*KFC!$C$5</f>
        <v>478.42080000000004</v>
      </c>
      <c r="V291" s="300">
        <f>(372.5*KFC!$B$23*1.02*1.3+KFC!$C$23)*KFC!$C$5</f>
        <v>493.935</v>
      </c>
      <c r="W291" s="300">
        <f>(384.2*KFC!$B$23*1.02*1.3+KFC!$C$23)*KFC!$C$5</f>
        <v>509.44920000000002</v>
      </c>
      <c r="X291" s="300">
        <f>(395.9*KFC!$B$23*1.02*1.3+KFC!$C$23)*KFC!$C$5</f>
        <v>524.96339999999998</v>
      </c>
      <c r="Y291" s="300">
        <f>(407.6*KFC!$B$23*1.02*1.3+KFC!$C$23)*KFC!$C$5</f>
        <v>540.47760000000005</v>
      </c>
      <c r="Z291" s="300">
        <f>(419.3*KFC!$B$23*1.02*1.3+KFC!$C$23)*KFC!$C$5</f>
        <v>555.99180000000001</v>
      </c>
      <c r="AA291" s="300">
        <f>(431*KFC!$B$23*1.02*1.3+KFC!$C$23)*KFC!$C$5</f>
        <v>571.50599999999997</v>
      </c>
      <c r="AB291" s="300">
        <f>(442.7*KFC!$B$23*1.02*1.3+KFC!$C$23)*KFC!$C$5</f>
        <v>587.02019999999993</v>
      </c>
      <c r="AC291" s="300">
        <f>(454.5*KFC!$B$23*1.02*1.3+KFC!$C$23)*KFC!$C$5</f>
        <v>602.66700000000003</v>
      </c>
      <c r="AD291" s="300">
        <f>(466.2*KFC!$B$23*1.02*1.3+KFC!$C$23)*KFC!$C$5</f>
        <v>618.18119999999999</v>
      </c>
      <c r="AE291" s="300">
        <f>(477.9*KFC!$B$23*1.02*1.3+KFC!$C$23)*KFC!$C$5</f>
        <v>633.69539999999995</v>
      </c>
      <c r="AF291" s="300">
        <f>(489.6*KFC!$B$23*1.02*1.3+KFC!$C$23)*KFC!$C$5</f>
        <v>649.20960000000014</v>
      </c>
      <c r="AG291" s="300">
        <f>(501.3*KFC!$B$23*1.02*1.3+KFC!$C$23)*KFC!$C$5</f>
        <v>664.7238000000001</v>
      </c>
      <c r="AH291" s="304">
        <f>(513*KFC!$B$23*1.02*1.3+KFC!$C$23)*KFC!$C$5</f>
        <v>680.23800000000006</v>
      </c>
    </row>
    <row r="292" spans="1:34">
      <c r="A292" s="1781"/>
      <c r="B292" s="395">
        <v>4.7</v>
      </c>
      <c r="C292" s="303">
        <f>(151.6*KFC!$B$23*1.02*1.3+KFC!$C$23)*KFC!$C$5</f>
        <v>201.02160000000001</v>
      </c>
      <c r="D292" s="300">
        <f>(163.5*KFC!$B$23*1.02*1.3+KFC!$C$23)*KFC!$C$5</f>
        <v>216.80100000000002</v>
      </c>
      <c r="E292" s="300">
        <f>(175.4*KFC!$B$23*1.02*1.3+KFC!$C$23)*KFC!$C$5</f>
        <v>232.58040000000003</v>
      </c>
      <c r="F292" s="300">
        <f>(187.4*KFC!$B$23*1.02*1.3+KFC!$C$23)*KFC!$C$5</f>
        <v>248.4924</v>
      </c>
      <c r="G292" s="300">
        <f>(199.3*KFC!$B$23*1.02*1.3+KFC!$C$23)*KFC!$C$5</f>
        <v>264.27179999999998</v>
      </c>
      <c r="H292" s="300">
        <f>(211.3*KFC!$B$23*1.02*1.3+KFC!$C$23)*KFC!$C$5</f>
        <v>280.18380000000002</v>
      </c>
      <c r="I292" s="300">
        <f>(223.2*KFC!$B$23*1.02*1.3+KFC!$C$23)*KFC!$C$5</f>
        <v>295.96319999999997</v>
      </c>
      <c r="J292" s="300">
        <f>(235.2*KFC!$B$23*1.02*1.3+KFC!$C$23)*KFC!$C$5</f>
        <v>311.87520000000001</v>
      </c>
      <c r="K292" s="300">
        <f>(247.1*KFC!$B$23*1.02*1.3+KFC!$C$23)*KFC!$C$5</f>
        <v>327.65460000000002</v>
      </c>
      <c r="L292" s="300">
        <f>(259*KFC!$B$23*1.02*1.3+KFC!$C$23)*KFC!$C$5</f>
        <v>343.43400000000003</v>
      </c>
      <c r="M292" s="300">
        <f>(271*KFC!$B$23*1.02*1.3+KFC!$C$23)*KFC!$C$5</f>
        <v>359.34600000000006</v>
      </c>
      <c r="N292" s="300">
        <f>(282.9*KFC!$B$23*1.02*1.3+KFC!$C$23)*KFC!$C$5</f>
        <v>375.12540000000001</v>
      </c>
      <c r="O292" s="300">
        <f>(294.9*KFC!$B$23*1.02*1.3+KFC!$C$23)*KFC!$C$5</f>
        <v>391.03739999999999</v>
      </c>
      <c r="P292" s="300">
        <f>(306.8*KFC!$B$23*1.02*1.3+KFC!$C$23)*KFC!$C$5</f>
        <v>406.81680000000006</v>
      </c>
      <c r="Q292" s="300">
        <f>(318.8*KFC!$B$23*1.02*1.3+KFC!$C$23)*KFC!$C$5</f>
        <v>422.72880000000009</v>
      </c>
      <c r="R292" s="300">
        <f>(330.7*KFC!$B$23*1.02*1.3+KFC!$C$23)*KFC!$C$5</f>
        <v>438.50820000000004</v>
      </c>
      <c r="S292" s="300">
        <f>(342.6*KFC!$B$23*1.02*1.3+KFC!$C$23)*KFC!$C$5</f>
        <v>454.28760000000011</v>
      </c>
      <c r="T292" s="300">
        <f>(354.6*KFC!$B$23*1.02*1.3+KFC!$C$23)*KFC!$C$5</f>
        <v>470.19960000000003</v>
      </c>
      <c r="U292" s="300">
        <f>(366.5*KFC!$B$23*1.02*1.3+KFC!$C$23)*KFC!$C$5</f>
        <v>485.97899999999998</v>
      </c>
      <c r="V292" s="300">
        <f>(378.5*KFC!$B$23*1.02*1.3+KFC!$C$23)*KFC!$C$5</f>
        <v>501.89100000000002</v>
      </c>
      <c r="W292" s="300">
        <f>(390.4*KFC!$B$23*1.02*1.3+KFC!$C$23)*KFC!$C$5</f>
        <v>517.67039999999997</v>
      </c>
      <c r="X292" s="300">
        <f>(402.4*KFC!$B$23*1.02*1.3+KFC!$C$23)*KFC!$C$5</f>
        <v>533.58240000000001</v>
      </c>
      <c r="Y292" s="300">
        <f>(414.3*KFC!$B$23*1.02*1.3+KFC!$C$23)*KFC!$C$5</f>
        <v>549.36180000000002</v>
      </c>
      <c r="Z292" s="300">
        <f>(426.2*KFC!$B$23*1.02*1.3+KFC!$C$23)*KFC!$C$5</f>
        <v>565.14120000000003</v>
      </c>
      <c r="AA292" s="300">
        <f>(438.2*KFC!$B$23*1.02*1.3+KFC!$C$23)*KFC!$C$5</f>
        <v>581.05320000000006</v>
      </c>
      <c r="AB292" s="300">
        <f>(450.1*KFC!$B$23*1.02*1.3+KFC!$C$23)*KFC!$C$5</f>
        <v>596.83260000000007</v>
      </c>
      <c r="AC292" s="300">
        <f>(462.1*KFC!$B$23*1.02*1.3+KFC!$C$23)*KFC!$C$5</f>
        <v>612.7446000000001</v>
      </c>
      <c r="AD292" s="300">
        <f>(474*KFC!$B$23*1.02*1.3+KFC!$C$23)*KFC!$C$5</f>
        <v>628.524</v>
      </c>
      <c r="AE292" s="300">
        <f>(485.9*KFC!$B$23*1.02*1.3+KFC!$C$23)*KFC!$C$5</f>
        <v>644.30340000000001</v>
      </c>
      <c r="AF292" s="300">
        <f>(497.9*KFC!$B$23*1.02*1.3+KFC!$C$23)*KFC!$C$5</f>
        <v>660.21540000000005</v>
      </c>
      <c r="AG292" s="300">
        <f>(509.8*KFC!$B$23*1.02*1.3+KFC!$C$23)*KFC!$C$5</f>
        <v>675.99480000000005</v>
      </c>
      <c r="AH292" s="304">
        <f>(521.8*KFC!$B$23*1.02*1.3+KFC!$C$23)*KFC!$C$5</f>
        <v>691.90679999999998</v>
      </c>
    </row>
    <row r="293" spans="1:34">
      <c r="A293" s="1781"/>
      <c r="B293" s="395">
        <v>4.8</v>
      </c>
      <c r="C293" s="303">
        <f>(153.1*KFC!$B$23*1.02*1.3+KFC!$C$23)*KFC!$C$5</f>
        <v>203.01060000000001</v>
      </c>
      <c r="D293" s="300">
        <f>(165.3*KFC!$B$23*1.02*1.3+KFC!$C$23)*KFC!$C$5</f>
        <v>219.18780000000004</v>
      </c>
      <c r="E293" s="300">
        <f>(177.4*KFC!$B$23*1.02*1.3+KFC!$C$23)*KFC!$C$5</f>
        <v>235.23240000000001</v>
      </c>
      <c r="F293" s="300">
        <f>(189.6*KFC!$B$23*1.02*1.3+KFC!$C$23)*KFC!$C$5</f>
        <v>251.40960000000001</v>
      </c>
      <c r="G293" s="300">
        <f>(201.8*KFC!$B$23*1.02*1.3+KFC!$C$23)*KFC!$C$5</f>
        <v>267.58680000000004</v>
      </c>
      <c r="H293" s="300">
        <f>(214*KFC!$B$23*1.02*1.3+KFC!$C$23)*KFC!$C$5</f>
        <v>283.76400000000001</v>
      </c>
      <c r="I293" s="300">
        <f>(226.1*KFC!$B$23*1.02*1.3+KFC!$C$23)*KFC!$C$5</f>
        <v>299.80860000000001</v>
      </c>
      <c r="J293" s="300">
        <f>(238.3*KFC!$B$23*1.02*1.3+KFC!$C$23)*KFC!$C$5</f>
        <v>315.98580000000004</v>
      </c>
      <c r="K293" s="300">
        <f>(250.5*KFC!$B$23*1.02*1.3+KFC!$C$23)*KFC!$C$5</f>
        <v>332.16300000000001</v>
      </c>
      <c r="L293" s="300">
        <f>(262.7*KFC!$B$23*1.02*1.3+KFC!$C$23)*KFC!$C$5</f>
        <v>348.34020000000004</v>
      </c>
      <c r="M293" s="300">
        <f>(274.8*KFC!$B$23*1.02*1.3+KFC!$C$23)*KFC!$C$5</f>
        <v>364.38479999999998</v>
      </c>
      <c r="N293" s="300">
        <f>(287*KFC!$B$23*1.02*1.3+KFC!$C$23)*KFC!$C$5</f>
        <v>380.56200000000001</v>
      </c>
      <c r="O293" s="300">
        <f>(299.1*KFC!$B$23*1.02*1.3+KFC!$C$23)*KFC!$C$5</f>
        <v>396.60660000000007</v>
      </c>
      <c r="P293" s="300">
        <f>(311.4*KFC!$B$23*1.02*1.3+KFC!$C$23)*KFC!$C$5</f>
        <v>412.91640000000001</v>
      </c>
      <c r="Q293" s="300">
        <f>(323.6*KFC!$B$23*1.02*1.3+KFC!$C$23)*KFC!$C$5</f>
        <v>429.09360000000004</v>
      </c>
      <c r="R293" s="300">
        <f>(335.7*KFC!$B$23*1.02*1.3+KFC!$C$23)*KFC!$C$5</f>
        <v>445.13819999999998</v>
      </c>
      <c r="S293" s="300">
        <f>(347.9*KFC!$B$23*1.02*1.3+KFC!$C$23)*KFC!$C$5</f>
        <v>461.31540000000001</v>
      </c>
      <c r="T293" s="300">
        <f>(360.1*KFC!$B$23*1.02*1.3+KFC!$C$23)*KFC!$C$5</f>
        <v>477.49260000000004</v>
      </c>
      <c r="U293" s="300">
        <f>(372.3*KFC!$B$23*1.02*1.3+KFC!$C$23)*KFC!$C$5</f>
        <v>493.66980000000007</v>
      </c>
      <c r="V293" s="300">
        <f>(384.4*KFC!$B$23*1.02*1.3+KFC!$C$23)*KFC!$C$5</f>
        <v>509.71439999999996</v>
      </c>
      <c r="W293" s="300">
        <f>(396.6*KFC!$B$23*1.02*1.3+KFC!$C$23)*KFC!$C$5</f>
        <v>525.89160000000004</v>
      </c>
      <c r="X293" s="300">
        <f>(408.8*KFC!$B$23*1.02*1.3+KFC!$C$23)*KFC!$C$5</f>
        <v>542.06880000000001</v>
      </c>
      <c r="Y293" s="300">
        <f>(421*KFC!$B$23*1.02*1.3+KFC!$C$23)*KFC!$C$5</f>
        <v>558.24600000000009</v>
      </c>
      <c r="Z293" s="300">
        <f>(433.1*KFC!$B$23*1.02*1.3+KFC!$C$23)*KFC!$C$5</f>
        <v>574.29060000000004</v>
      </c>
      <c r="AA293" s="300">
        <f>(445.3*KFC!$B$23*1.02*1.3+KFC!$C$23)*KFC!$C$5</f>
        <v>590.46780000000001</v>
      </c>
      <c r="AB293" s="300">
        <f>(457.5*KFC!$B$23*1.02*1.3+KFC!$C$23)*KFC!$C$5</f>
        <v>606.6450000000001</v>
      </c>
      <c r="AC293" s="300">
        <f>(469.7*KFC!$B$23*1.02*1.3+KFC!$C$23)*KFC!$C$5</f>
        <v>622.82220000000007</v>
      </c>
      <c r="AD293" s="300">
        <f>(481.9*KFC!$B$23*1.02*1.3+KFC!$C$23)*KFC!$C$5</f>
        <v>638.99940000000004</v>
      </c>
      <c r="AE293" s="300">
        <f>(494*KFC!$B$23*1.02*1.3+KFC!$C$23)*KFC!$C$5</f>
        <v>655.04399999999998</v>
      </c>
      <c r="AF293" s="300">
        <f>(506.2*KFC!$B$23*1.02*1.3+KFC!$C$23)*KFC!$C$5</f>
        <v>671.22119999999995</v>
      </c>
      <c r="AG293" s="300">
        <f>(518.4*KFC!$B$23*1.02*1.3+KFC!$C$23)*KFC!$C$5</f>
        <v>687.39840000000004</v>
      </c>
      <c r="AH293" s="304">
        <f>(530.6*KFC!$B$23*1.02*1.3+KFC!$C$23)*KFC!$C$5</f>
        <v>703.57560000000001</v>
      </c>
    </row>
    <row r="294" spans="1:34">
      <c r="A294" s="1781"/>
      <c r="B294" s="395">
        <v>4.9000000000000004</v>
      </c>
      <c r="C294" s="303">
        <f>(154.6*KFC!$B$23*1.02*1.3+KFC!$C$23)*KFC!$C$5</f>
        <v>204.99960000000002</v>
      </c>
      <c r="D294" s="300">
        <f>(167*KFC!$B$23*1.02*1.3+KFC!$C$23)*KFC!$C$5</f>
        <v>221.44200000000001</v>
      </c>
      <c r="E294" s="300">
        <f>(179.4*KFC!$B$23*1.02*1.3+KFC!$C$23)*KFC!$C$5</f>
        <v>237.8844</v>
      </c>
      <c r="F294" s="300">
        <f>(191.8*KFC!$B$23*1.02*1.3+KFC!$C$23)*KFC!$C$5</f>
        <v>254.32680000000005</v>
      </c>
      <c r="G294" s="300">
        <f>(204.2*KFC!$B$23*1.02*1.3+KFC!$C$23)*KFC!$C$5</f>
        <v>270.76920000000001</v>
      </c>
      <c r="H294" s="300">
        <f>(216.6*KFC!$B$23*1.02*1.3+KFC!$C$23)*KFC!$C$5</f>
        <v>287.21159999999998</v>
      </c>
      <c r="I294" s="300">
        <f>(229.1*KFC!$B$23*1.02*1.3+KFC!$C$23)*KFC!$C$5</f>
        <v>303.78660000000002</v>
      </c>
      <c r="J294" s="300">
        <f>(241.5*KFC!$B$23*1.02*1.3+KFC!$C$23)*KFC!$C$5</f>
        <v>320.22900000000004</v>
      </c>
      <c r="K294" s="300">
        <f>(253.9*KFC!$B$23*1.02*1.3+KFC!$C$23)*KFC!$C$5</f>
        <v>336.67140000000001</v>
      </c>
      <c r="L294" s="300">
        <f>(266.3*KFC!$B$23*1.02*1.3+KFC!$C$23)*KFC!$C$5</f>
        <v>353.11380000000008</v>
      </c>
      <c r="M294" s="300">
        <f>(278.7*KFC!$B$23*1.02*1.3+KFC!$C$23)*KFC!$C$5</f>
        <v>369.55619999999999</v>
      </c>
      <c r="N294" s="300">
        <f>(291.1*KFC!$B$23*1.02*1.3+KFC!$C$23)*KFC!$C$5</f>
        <v>385.99860000000007</v>
      </c>
      <c r="O294" s="300">
        <f>(303.5*KFC!$B$23*1.02*1.3+KFC!$C$23)*KFC!$C$5</f>
        <v>402.44100000000003</v>
      </c>
      <c r="P294" s="300">
        <f>(315.9*KFC!$B$23*1.02*1.3+KFC!$C$23)*KFC!$C$5</f>
        <v>418.88339999999994</v>
      </c>
      <c r="Q294" s="300">
        <f>(328.3*KFC!$B$23*1.02*1.3+KFC!$C$23)*KFC!$C$5</f>
        <v>435.32580000000007</v>
      </c>
      <c r="R294" s="300">
        <f>(340.8*KFC!$B$23*1.02*1.3+KFC!$C$23)*KFC!$C$5</f>
        <v>451.90080000000006</v>
      </c>
      <c r="S294" s="300">
        <f>(353.2*KFC!$B$23*1.02*1.3+KFC!$C$23)*KFC!$C$5</f>
        <v>468.34320000000002</v>
      </c>
      <c r="T294" s="300">
        <f>(365.6*KFC!$B$23*1.02*1.3+KFC!$C$23)*KFC!$C$5</f>
        <v>484.78560000000004</v>
      </c>
      <c r="U294" s="300">
        <f>(378*KFC!$B$23*1.02*1.3+KFC!$C$23)*KFC!$C$5</f>
        <v>501.22800000000001</v>
      </c>
      <c r="V294" s="300">
        <f>(390.4*KFC!$B$23*1.02*1.3+KFC!$C$23)*KFC!$C$5</f>
        <v>517.67039999999997</v>
      </c>
      <c r="W294" s="300">
        <f>(402.8*KFC!$B$23*1.02*1.3+KFC!$C$23)*KFC!$C$5</f>
        <v>534.11279999999999</v>
      </c>
      <c r="X294" s="300">
        <f>(415.2*KFC!$B$23*1.02*1.3+KFC!$C$23)*KFC!$C$5</f>
        <v>550.55520000000001</v>
      </c>
      <c r="Y294" s="300">
        <f>(427.6*KFC!$B$23*1.02*1.3+KFC!$C$23)*KFC!$C$5</f>
        <v>566.99760000000003</v>
      </c>
      <c r="Z294" s="300">
        <f>(440.1*KFC!$B$23*1.02*1.3+KFC!$C$23)*KFC!$C$5</f>
        <v>583.57260000000008</v>
      </c>
      <c r="AA294" s="300">
        <f>(452.5*KFC!$B$23*1.02*1.3+KFC!$C$23)*KFC!$C$5</f>
        <v>600.01499999999999</v>
      </c>
      <c r="AB294" s="300">
        <f>(464.9*KFC!$B$23*1.02*1.3+KFC!$C$23)*KFC!$C$5</f>
        <v>616.45740000000001</v>
      </c>
      <c r="AC294" s="300">
        <f>(477.3*KFC!$B$23*1.02*1.3+KFC!$C$23)*KFC!$C$5</f>
        <v>632.89980000000003</v>
      </c>
      <c r="AD294" s="300">
        <f>(489.7*KFC!$B$23*1.02*1.3+KFC!$C$23)*KFC!$C$5</f>
        <v>649.34219999999993</v>
      </c>
      <c r="AE294" s="300">
        <f>(502.1*KFC!$B$23*1.02*1.3+KFC!$C$23)*KFC!$C$5</f>
        <v>665.78460000000007</v>
      </c>
      <c r="AF294" s="300">
        <f>(514.5*KFC!$B$23*1.02*1.3+KFC!$C$23)*KFC!$C$5</f>
        <v>682.22699999999998</v>
      </c>
      <c r="AG294" s="300">
        <f>(526.9*KFC!$B$23*1.02*1.3+KFC!$C$23)*KFC!$C$5</f>
        <v>698.6694</v>
      </c>
      <c r="AH294" s="304">
        <f>(539.3*KFC!$B$23*1.02*1.3+KFC!$C$23)*KFC!$C$5</f>
        <v>715.11180000000002</v>
      </c>
    </row>
    <row r="295" spans="1:34">
      <c r="A295" s="1781"/>
      <c r="B295" s="395">
        <v>5</v>
      </c>
      <c r="C295" s="303">
        <f>(156.1*KFC!$B$23*1.02*1.3+KFC!$C$23)*KFC!$C$5</f>
        <v>206.98860000000002</v>
      </c>
      <c r="D295" s="300">
        <f>(168.7*KFC!$B$23*1.02*1.3+KFC!$C$23)*KFC!$C$5</f>
        <v>223.69619999999998</v>
      </c>
      <c r="E295" s="300">
        <f>(181.4*KFC!$B$23*1.02*1.3+KFC!$C$23)*KFC!$C$5</f>
        <v>240.53640000000004</v>
      </c>
      <c r="F295" s="300">
        <f>(194*KFC!$B$23*1.02*1.3+KFC!$C$23)*KFC!$C$5</f>
        <v>257.24400000000003</v>
      </c>
      <c r="G295" s="300">
        <f>(206.7*KFC!$B$23*1.02*1.3+KFC!$C$23)*KFC!$C$5</f>
        <v>274.08420000000001</v>
      </c>
      <c r="H295" s="300">
        <f>(219.3*KFC!$B$23*1.02*1.3+KFC!$C$23)*KFC!$C$5</f>
        <v>290.79180000000002</v>
      </c>
      <c r="I295" s="300">
        <f>(232*KFC!$B$23*1.02*1.3+KFC!$C$23)*KFC!$C$5</f>
        <v>307.63200000000001</v>
      </c>
      <c r="J295" s="300">
        <f>(244.6*KFC!$B$23*1.02*1.3+KFC!$C$23)*KFC!$C$5</f>
        <v>324.33960000000002</v>
      </c>
      <c r="K295" s="300">
        <f>(257.3*KFC!$B$23*1.02*1.3+KFC!$C$23)*KFC!$C$5</f>
        <v>341.17980000000006</v>
      </c>
      <c r="L295" s="300">
        <f>(269.9*KFC!$B$23*1.02*1.3+KFC!$C$23)*KFC!$C$5</f>
        <v>357.88740000000001</v>
      </c>
      <c r="M295" s="300">
        <f>(282.6*KFC!$B$23*1.02*1.3+KFC!$C$23)*KFC!$C$5</f>
        <v>374.72760000000005</v>
      </c>
      <c r="N295" s="300">
        <f>(295.2*KFC!$B$23*1.02*1.3+KFC!$C$23)*KFC!$C$5</f>
        <v>391.43520000000001</v>
      </c>
      <c r="O295" s="300">
        <f>(307.9*KFC!$B$23*1.02*1.3+KFC!$C$23)*KFC!$C$5</f>
        <v>408.27539999999999</v>
      </c>
      <c r="P295" s="300">
        <f>(320.5*KFC!$B$23*1.02*1.3+KFC!$C$23)*KFC!$C$5</f>
        <v>424.98300000000006</v>
      </c>
      <c r="Q295" s="300">
        <f>(333.1*KFC!$B$23*1.02*1.3+KFC!$C$23)*KFC!$C$5</f>
        <v>441.69060000000007</v>
      </c>
      <c r="R295" s="300">
        <f>(345.8*KFC!$B$23*1.02*1.3+KFC!$C$23)*KFC!$C$5</f>
        <v>458.5308</v>
      </c>
      <c r="S295" s="300">
        <f>(358.4*KFC!$B$23*1.02*1.3+KFC!$C$23)*KFC!$C$5</f>
        <v>475.23840000000001</v>
      </c>
      <c r="T295" s="300">
        <f>(371.1*KFC!$B$23*1.02*1.3+KFC!$C$23)*KFC!$C$5</f>
        <v>492.07860000000005</v>
      </c>
      <c r="U295" s="300">
        <f>(383.7*KFC!$B$23*1.02*1.3+KFC!$C$23)*KFC!$C$5</f>
        <v>508.78620000000006</v>
      </c>
      <c r="V295" s="300">
        <f>(396.4*KFC!$B$23*1.02*1.3+KFC!$C$23)*KFC!$C$5</f>
        <v>525.62639999999999</v>
      </c>
      <c r="W295" s="300">
        <f>(409*KFC!$B$23*1.02*1.3+KFC!$C$23)*KFC!$C$5</f>
        <v>542.33400000000006</v>
      </c>
      <c r="X295" s="300">
        <f>(421.7*KFC!$B$23*1.02*1.3+KFC!$C$23)*KFC!$C$5</f>
        <v>559.17420000000004</v>
      </c>
      <c r="Y295" s="300">
        <f>(434.3*KFC!$B$23*1.02*1.3+KFC!$C$23)*KFC!$C$5</f>
        <v>575.88180000000011</v>
      </c>
      <c r="Z295" s="300">
        <f>(447*KFC!$B$23*1.02*1.3+KFC!$C$23)*KFC!$C$5</f>
        <v>592.72199999999998</v>
      </c>
      <c r="AA295" s="300">
        <f>(459.6*KFC!$B$23*1.02*1.3+KFC!$C$23)*KFC!$C$5</f>
        <v>609.42960000000005</v>
      </c>
      <c r="AB295" s="300">
        <f>(472.3*KFC!$B$23*1.02*1.3+KFC!$C$23)*KFC!$C$5</f>
        <v>626.26980000000003</v>
      </c>
      <c r="AC295" s="300">
        <f>(484.9*KFC!$B$23*1.02*1.3+KFC!$C$23)*KFC!$C$5</f>
        <v>642.97739999999999</v>
      </c>
      <c r="AD295" s="300">
        <f>(497.5*KFC!$B$23*1.02*1.3+KFC!$C$23)*KFC!$C$5</f>
        <v>659.68500000000006</v>
      </c>
      <c r="AE295" s="300">
        <f>(510.2*KFC!$B$23*1.02*1.3+KFC!$C$23)*KFC!$C$5</f>
        <v>676.52520000000004</v>
      </c>
      <c r="AF295" s="300">
        <f>(522.8*KFC!$B$23*1.02*1.3+KFC!$C$23)*KFC!$C$5</f>
        <v>693.2328</v>
      </c>
      <c r="AG295" s="300">
        <f>(535.5*KFC!$B$23*1.02*1.3+KFC!$C$23)*KFC!$C$5</f>
        <v>710.07300000000009</v>
      </c>
      <c r="AH295" s="304">
        <f>(548.1*KFC!$B$23*1.02*1.3+KFC!$C$23)*KFC!$C$5</f>
        <v>726.78060000000005</v>
      </c>
    </row>
    <row r="296" spans="1:34">
      <c r="A296" s="1781"/>
      <c r="B296" s="395">
        <v>5.0999999999999996</v>
      </c>
      <c r="C296" s="303">
        <f>(157.6*KFC!$B$23*1.02*1.3+KFC!$C$23)*KFC!$C$5</f>
        <v>208.97760000000002</v>
      </c>
      <c r="D296" s="300">
        <f>(170.5*KFC!$B$23*1.02*1.3+KFC!$C$23)*KFC!$C$5</f>
        <v>226.083</v>
      </c>
      <c r="E296" s="300">
        <f>(183.4*KFC!$B$23*1.02*1.3+KFC!$C$23)*KFC!$C$5</f>
        <v>243.18840000000003</v>
      </c>
      <c r="F296" s="300">
        <f>(196.3*KFC!$B$23*1.02*1.3+KFC!$C$23)*KFC!$C$5</f>
        <v>260.29380000000003</v>
      </c>
      <c r="G296" s="300">
        <f>(209.1*KFC!$B$23*1.02*1.3+KFC!$C$23)*KFC!$C$5</f>
        <v>277.26660000000004</v>
      </c>
      <c r="H296" s="300">
        <f>(222*KFC!$B$23*1.02*1.3+KFC!$C$23)*KFC!$C$5</f>
        <v>294.37200000000001</v>
      </c>
      <c r="I296" s="300">
        <f>(234.9*KFC!$B$23*1.02*1.3+KFC!$C$23)*KFC!$C$5</f>
        <v>311.47740000000005</v>
      </c>
      <c r="J296" s="300">
        <f>(247.8*KFC!$B$23*1.02*1.3+KFC!$C$23)*KFC!$C$5</f>
        <v>328.58280000000002</v>
      </c>
      <c r="K296" s="300">
        <f>(260.7*KFC!$B$23*1.02*1.3+KFC!$C$23)*KFC!$C$5</f>
        <v>345.68819999999999</v>
      </c>
      <c r="L296" s="300">
        <f>(273.5*KFC!$B$23*1.02*1.3+KFC!$C$23)*KFC!$C$5</f>
        <v>362.66100000000006</v>
      </c>
      <c r="M296" s="300">
        <f>(286.4*KFC!$B$23*1.02*1.3+KFC!$C$23)*KFC!$C$5</f>
        <v>379.76639999999998</v>
      </c>
      <c r="N296" s="300">
        <f>(299.3*KFC!$B$23*1.02*1.3+KFC!$C$23)*KFC!$C$5</f>
        <v>396.87180000000001</v>
      </c>
      <c r="O296" s="300">
        <f>(312.2*KFC!$B$23*1.02*1.3+KFC!$C$23)*KFC!$C$5</f>
        <v>413.97720000000004</v>
      </c>
      <c r="P296" s="300">
        <f>(325.1*KFC!$B$23*1.02*1.3+KFC!$C$23)*KFC!$C$5</f>
        <v>431.08260000000007</v>
      </c>
      <c r="Q296" s="300">
        <f>(337.9*KFC!$B$23*1.02*1.3+KFC!$C$23)*KFC!$C$5</f>
        <v>448.05539999999996</v>
      </c>
      <c r="R296" s="300">
        <f>(350.8*KFC!$B$23*1.02*1.3+KFC!$C$23)*KFC!$C$5</f>
        <v>465.16080000000005</v>
      </c>
      <c r="S296" s="300">
        <f>(363.7*KFC!$B$23*1.02*1.3+KFC!$C$23)*KFC!$C$5</f>
        <v>482.26620000000003</v>
      </c>
      <c r="T296" s="300">
        <f>(376.6*KFC!$B$23*1.02*1.3+KFC!$C$23)*KFC!$C$5</f>
        <v>499.3716</v>
      </c>
      <c r="U296" s="300">
        <f>(389.5*KFC!$B$23*1.02*1.3+KFC!$C$23)*KFC!$C$5</f>
        <v>516.47700000000009</v>
      </c>
      <c r="V296" s="300">
        <f>(402.3*KFC!$B$23*1.02*1.3+KFC!$C$23)*KFC!$C$5</f>
        <v>533.44979999999998</v>
      </c>
      <c r="W296" s="300">
        <f>(415.2*KFC!$B$23*1.02*1.3+KFC!$C$23)*KFC!$C$5</f>
        <v>550.55520000000001</v>
      </c>
      <c r="X296" s="300">
        <f>(428.1*KFC!$B$23*1.02*1.3+KFC!$C$23)*KFC!$C$5</f>
        <v>567.66060000000004</v>
      </c>
      <c r="Y296" s="300">
        <f>(441*KFC!$B$23*1.02*1.3+KFC!$C$23)*KFC!$C$5</f>
        <v>584.76599999999996</v>
      </c>
      <c r="Z296" s="300">
        <f>(453.9*KFC!$B$23*1.02*1.3+KFC!$C$23)*KFC!$C$5</f>
        <v>601.87139999999999</v>
      </c>
      <c r="AA296" s="300">
        <f>(466.7*KFC!$B$23*1.02*1.3+KFC!$C$23)*KFC!$C$5</f>
        <v>618.8442</v>
      </c>
      <c r="AB296" s="300">
        <f>(479.6*KFC!$B$23*1.02*1.3+KFC!$C$23)*KFC!$C$5</f>
        <v>635.94960000000003</v>
      </c>
      <c r="AC296" s="300">
        <f>(492.5*KFC!$B$23*1.02*1.3+KFC!$C$23)*KFC!$C$5</f>
        <v>653.05500000000006</v>
      </c>
      <c r="AD296" s="300">
        <f>(505.4*KFC!$B$23*1.02*1.3+KFC!$C$23)*KFC!$C$5</f>
        <v>670.1604000000001</v>
      </c>
      <c r="AE296" s="300">
        <f>(518.3*KFC!$B$23*1.02*1.3+KFC!$C$23)*KFC!$C$5</f>
        <v>687.2657999999999</v>
      </c>
      <c r="AF296" s="300">
        <f>(531.1*KFC!$B$23*1.02*1.3+KFC!$C$23)*KFC!$C$5</f>
        <v>704.23860000000002</v>
      </c>
      <c r="AG296" s="300">
        <f>(544*KFC!$B$23*1.02*1.3+KFC!$C$23)*KFC!$C$5</f>
        <v>721.34400000000005</v>
      </c>
      <c r="AH296" s="304">
        <f>(556.9*KFC!$B$23*1.02*1.3+KFC!$C$23)*KFC!$C$5</f>
        <v>738.44940000000008</v>
      </c>
    </row>
    <row r="297" spans="1:34">
      <c r="A297" s="1781"/>
      <c r="B297" s="395">
        <v>5.2</v>
      </c>
      <c r="C297" s="303">
        <f>(159.1*KFC!$B$23*1.02*1.3+KFC!$C$23)*KFC!$C$5</f>
        <v>210.96660000000003</v>
      </c>
      <c r="D297" s="300">
        <f>(172.2*KFC!$B$23*1.02*1.3+KFC!$C$23)*KFC!$C$5</f>
        <v>228.33720000000002</v>
      </c>
      <c r="E297" s="300">
        <f>(185.4*KFC!$B$23*1.02*1.3+KFC!$C$23)*KFC!$C$5</f>
        <v>245.84040000000002</v>
      </c>
      <c r="F297" s="300">
        <f>(198.5*KFC!$B$23*1.02*1.3+KFC!$C$23)*KFC!$C$5</f>
        <v>263.21100000000001</v>
      </c>
      <c r="G297" s="300">
        <f>(211.6*KFC!$B$23*1.02*1.3+KFC!$C$23)*KFC!$C$5</f>
        <v>280.58159999999998</v>
      </c>
      <c r="H297" s="300">
        <f>(224.7*KFC!$B$23*1.02*1.3+KFC!$C$23)*KFC!$C$5</f>
        <v>297.9522</v>
      </c>
      <c r="I297" s="300">
        <f>(237.8*KFC!$B$23*1.02*1.3+KFC!$C$23)*KFC!$C$5</f>
        <v>315.32280000000003</v>
      </c>
      <c r="J297" s="300">
        <f>(250.9*KFC!$B$23*1.02*1.3+KFC!$C$23)*KFC!$C$5</f>
        <v>332.6934</v>
      </c>
      <c r="K297" s="300">
        <f>(264*KFC!$B$23*1.02*1.3+KFC!$C$23)*KFC!$C$5</f>
        <v>350.06400000000008</v>
      </c>
      <c r="L297" s="300">
        <f>(277.2*KFC!$B$23*1.02*1.3+KFC!$C$23)*KFC!$C$5</f>
        <v>367.56719999999996</v>
      </c>
      <c r="M297" s="300">
        <f>(290.3*KFC!$B$23*1.02*1.3+KFC!$C$23)*KFC!$C$5</f>
        <v>384.93779999999998</v>
      </c>
      <c r="N297" s="300">
        <f>(303.4*KFC!$B$23*1.02*1.3+KFC!$C$23)*KFC!$C$5</f>
        <v>402.30839999999995</v>
      </c>
      <c r="O297" s="300">
        <f>(316.5*KFC!$B$23*1.02*1.3+KFC!$C$23)*KFC!$C$5</f>
        <v>419.67899999999997</v>
      </c>
      <c r="P297" s="300">
        <f>(329.6*KFC!$B$23*1.02*1.3+KFC!$C$23)*KFC!$C$5</f>
        <v>437.0496</v>
      </c>
      <c r="Q297" s="300">
        <f>(342.7*KFC!$B$23*1.02*1.3+KFC!$C$23)*KFC!$C$5</f>
        <v>454.42019999999997</v>
      </c>
      <c r="R297" s="300">
        <f>(355.9*KFC!$B$23*1.02*1.3+KFC!$C$23)*KFC!$C$5</f>
        <v>471.92339999999996</v>
      </c>
      <c r="S297" s="300">
        <f>(369*KFC!$B$23*1.02*1.3+KFC!$C$23)*KFC!$C$5</f>
        <v>489.29399999999998</v>
      </c>
      <c r="T297" s="300">
        <f>(382.1*KFC!$B$23*1.02*1.3+KFC!$C$23)*KFC!$C$5</f>
        <v>506.66460000000006</v>
      </c>
      <c r="U297" s="300">
        <f>(395.2*KFC!$B$23*1.02*1.3+KFC!$C$23)*KFC!$C$5</f>
        <v>524.03520000000003</v>
      </c>
      <c r="V297" s="300">
        <f>(408.3*KFC!$B$23*1.02*1.3+KFC!$C$23)*KFC!$C$5</f>
        <v>541.4058</v>
      </c>
      <c r="W297" s="300">
        <f>(421.4*KFC!$B$23*1.02*1.3+KFC!$C$23)*KFC!$C$5</f>
        <v>558.77639999999997</v>
      </c>
      <c r="X297" s="300">
        <f>(434.5*KFC!$B$23*1.02*1.3+KFC!$C$23)*KFC!$C$5</f>
        <v>576.14700000000005</v>
      </c>
      <c r="Y297" s="300">
        <f>(447.7*KFC!$B$23*1.02*1.3+KFC!$C$23)*KFC!$C$5</f>
        <v>593.65020000000004</v>
      </c>
      <c r="Z297" s="300">
        <f>(460.8*KFC!$B$23*1.02*1.3+KFC!$C$23)*KFC!$C$5</f>
        <v>611.02080000000001</v>
      </c>
      <c r="AA297" s="300">
        <f>(473.9*KFC!$B$23*1.02*1.3+KFC!$C$23)*KFC!$C$5</f>
        <v>628.39139999999998</v>
      </c>
      <c r="AB297" s="300">
        <f>(487*KFC!$B$23*1.02*1.3+KFC!$C$23)*KFC!$C$5</f>
        <v>645.76200000000006</v>
      </c>
      <c r="AC297" s="300">
        <f>(500.1*KFC!$B$23*1.02*1.3+KFC!$C$23)*KFC!$C$5</f>
        <v>663.13260000000002</v>
      </c>
      <c r="AD297" s="300">
        <f>(513.2*KFC!$B$23*1.02*1.3+KFC!$C$23)*KFC!$C$5</f>
        <v>680.50320000000011</v>
      </c>
      <c r="AE297" s="300">
        <f>(526.3*KFC!$B$23*1.02*1.3+KFC!$C$23)*KFC!$C$5</f>
        <v>697.87379999999996</v>
      </c>
      <c r="AF297" s="300">
        <f>(539.5*KFC!$B$23*1.02*1.3+KFC!$C$23)*KFC!$C$5</f>
        <v>715.37699999999995</v>
      </c>
      <c r="AG297" s="300">
        <f>(552.6*KFC!$B$23*1.02*1.3+KFC!$C$23)*KFC!$C$5</f>
        <v>732.74760000000003</v>
      </c>
      <c r="AH297" s="304">
        <f>(565.7*KFC!$B$23*1.02*1.3+KFC!$C$23)*KFC!$C$5</f>
        <v>750.1182</v>
      </c>
    </row>
    <row r="298" spans="1:34">
      <c r="A298" s="1781"/>
      <c r="B298" s="395">
        <v>5.3</v>
      </c>
      <c r="C298" s="303">
        <f>(160.6*KFC!$B$23*1.02*1.3+KFC!$C$23)*KFC!$C$5</f>
        <v>212.95559999999998</v>
      </c>
      <c r="D298" s="300">
        <f>(174*KFC!$B$23*1.02*1.3+KFC!$C$23)*KFC!$C$5</f>
        <v>230.72399999999999</v>
      </c>
      <c r="E298" s="300">
        <f>(187.3*KFC!$B$23*1.02*1.3+KFC!$C$23)*KFC!$C$5</f>
        <v>248.35980000000004</v>
      </c>
      <c r="F298" s="300">
        <f>(200.7*KFC!$B$23*1.02*1.3+KFC!$C$23)*KFC!$C$5</f>
        <v>266.12819999999999</v>
      </c>
      <c r="G298" s="300">
        <f>(214*KFC!$B$23*1.02*1.3+KFC!$C$23)*KFC!$C$5</f>
        <v>283.76400000000001</v>
      </c>
      <c r="H298" s="300">
        <f>(227.4*KFC!$B$23*1.02*1.3+KFC!$C$23)*KFC!$C$5</f>
        <v>301.5324</v>
      </c>
      <c r="I298" s="300">
        <f>(240.7*KFC!$B$23*1.02*1.3+KFC!$C$23)*KFC!$C$5</f>
        <v>319.16820000000001</v>
      </c>
      <c r="J298" s="300">
        <f>(254.1*KFC!$B$23*1.02*1.3+KFC!$C$23)*KFC!$C$5</f>
        <v>336.93660000000006</v>
      </c>
      <c r="K298" s="300">
        <f>(267.4*KFC!$B$23*1.02*1.3+KFC!$C$23)*KFC!$C$5</f>
        <v>354.57240000000002</v>
      </c>
      <c r="L298" s="300">
        <f>(280.8*KFC!$B$23*1.02*1.3+KFC!$C$23)*KFC!$C$5</f>
        <v>372.3408</v>
      </c>
      <c r="M298" s="300">
        <f>(294.1*KFC!$B$23*1.02*1.3+KFC!$C$23)*KFC!$C$5</f>
        <v>389.97660000000008</v>
      </c>
      <c r="N298" s="300">
        <f>(307.5*KFC!$B$23*1.02*1.3+KFC!$C$23)*KFC!$C$5</f>
        <v>407.745</v>
      </c>
      <c r="O298" s="300">
        <f>(320.8*KFC!$B$23*1.02*1.3+KFC!$C$23)*KFC!$C$5</f>
        <v>425.38080000000002</v>
      </c>
      <c r="P298" s="300">
        <f>(334.2*KFC!$B$23*1.02*1.3+KFC!$C$23)*KFC!$C$5</f>
        <v>443.14920000000001</v>
      </c>
      <c r="Q298" s="300">
        <f>(347.5*KFC!$B$23*1.02*1.3+KFC!$C$23)*KFC!$C$5</f>
        <v>460.78500000000003</v>
      </c>
      <c r="R298" s="300">
        <f>(360.9*KFC!$B$23*1.02*1.3+KFC!$C$23)*KFC!$C$5</f>
        <v>478.55340000000001</v>
      </c>
      <c r="S298" s="300">
        <f>(374.2*KFC!$B$23*1.02*1.3+KFC!$C$23)*KFC!$C$5</f>
        <v>496.18919999999997</v>
      </c>
      <c r="T298" s="300">
        <f>(387.6*KFC!$B$23*1.02*1.3+KFC!$C$23)*KFC!$C$5</f>
        <v>513.95760000000007</v>
      </c>
      <c r="U298" s="300">
        <f>(400.9*KFC!$B$23*1.02*1.3+KFC!$C$23)*KFC!$C$5</f>
        <v>531.59339999999997</v>
      </c>
      <c r="V298" s="300">
        <f>(414.3*KFC!$B$23*1.02*1.3+KFC!$C$23)*KFC!$C$5</f>
        <v>549.36180000000002</v>
      </c>
      <c r="W298" s="300">
        <f>(427.6*KFC!$B$23*1.02*1.3+KFC!$C$23)*KFC!$C$5</f>
        <v>566.99760000000003</v>
      </c>
      <c r="X298" s="300">
        <f>(441*KFC!$B$23*1.02*1.3+KFC!$C$23)*KFC!$C$5</f>
        <v>584.76599999999996</v>
      </c>
      <c r="Y298" s="300">
        <f>(454.3*KFC!$B$23*1.02*1.3+KFC!$C$23)*KFC!$C$5</f>
        <v>602.40180000000009</v>
      </c>
      <c r="Z298" s="300">
        <f>(467.7*KFC!$B$23*1.02*1.3+KFC!$C$23)*KFC!$C$5</f>
        <v>620.17020000000002</v>
      </c>
      <c r="AA298" s="300">
        <f>(481*KFC!$B$23*1.02*1.3+KFC!$C$23)*KFC!$C$5</f>
        <v>637.80600000000004</v>
      </c>
      <c r="AB298" s="300">
        <f>(494.4*KFC!$B$23*1.02*1.3+KFC!$C$23)*KFC!$C$5</f>
        <v>655.57440000000008</v>
      </c>
      <c r="AC298" s="300">
        <f>(507.7*KFC!$B$23*1.02*1.3+KFC!$C$23)*KFC!$C$5</f>
        <v>673.2102000000001</v>
      </c>
      <c r="AD298" s="300">
        <f>(521.1*KFC!$B$23*1.02*1.3+KFC!$C$23)*KFC!$C$5</f>
        <v>690.97860000000014</v>
      </c>
      <c r="AE298" s="300">
        <f>(534.4*KFC!$B$23*1.02*1.3+KFC!$C$23)*KFC!$C$5</f>
        <v>708.61439999999993</v>
      </c>
      <c r="AF298" s="300">
        <f>(547.8*KFC!$B$23*1.02*1.3+KFC!$C$23)*KFC!$C$5</f>
        <v>726.38279999999997</v>
      </c>
      <c r="AG298" s="300">
        <f>(561.1*KFC!$B$23*1.02*1.3+KFC!$C$23)*KFC!$C$5</f>
        <v>744.01859999999999</v>
      </c>
      <c r="AH298" s="304">
        <f>(574.5*KFC!$B$23*1.02*1.3+KFC!$C$23)*KFC!$C$5</f>
        <v>761.78700000000003</v>
      </c>
    </row>
    <row r="299" spans="1:34">
      <c r="A299" s="1781"/>
      <c r="B299" s="395">
        <v>5.4</v>
      </c>
      <c r="C299" s="303">
        <f>(162.1*KFC!$B$23*1.02*1.3+KFC!$C$23)*KFC!$C$5</f>
        <v>214.94459999999998</v>
      </c>
      <c r="D299" s="300">
        <f>(175.7*KFC!$B$23*1.02*1.3+KFC!$C$23)*KFC!$C$5</f>
        <v>232.97820000000002</v>
      </c>
      <c r="E299" s="300">
        <f>(189.3*KFC!$B$23*1.02*1.3+KFC!$C$23)*KFC!$C$5</f>
        <v>251.01180000000002</v>
      </c>
      <c r="F299" s="300">
        <f>(202.9*KFC!$B$23*1.02*1.3+KFC!$C$23)*KFC!$C$5</f>
        <v>269.04540000000003</v>
      </c>
      <c r="G299" s="300">
        <f>(216.5*KFC!$B$23*1.02*1.3+KFC!$C$23)*KFC!$C$5</f>
        <v>287.07900000000001</v>
      </c>
      <c r="H299" s="300">
        <f>(230.1*KFC!$B$23*1.02*1.3+KFC!$C$23)*KFC!$C$5</f>
        <v>305.11259999999999</v>
      </c>
      <c r="I299" s="300">
        <f>(243.7*KFC!$B$23*1.02*1.3+KFC!$C$23)*KFC!$C$5</f>
        <v>323.14619999999996</v>
      </c>
      <c r="J299" s="300">
        <f>(257.2*KFC!$B$23*1.02*1.3+KFC!$C$23)*KFC!$C$5</f>
        <v>341.04720000000003</v>
      </c>
      <c r="K299" s="300">
        <f>(270.8*KFC!$B$23*1.02*1.3+KFC!$C$23)*KFC!$C$5</f>
        <v>359.08080000000001</v>
      </c>
      <c r="L299" s="300">
        <f>(284.4*KFC!$B$23*1.02*1.3+KFC!$C$23)*KFC!$C$5</f>
        <v>377.11439999999999</v>
      </c>
      <c r="M299" s="300">
        <f>(298*KFC!$B$23*1.02*1.3+KFC!$C$23)*KFC!$C$5</f>
        <v>395.14799999999997</v>
      </c>
      <c r="N299" s="300">
        <f>(311.6*KFC!$B$23*1.02*1.3+KFC!$C$23)*KFC!$C$5</f>
        <v>413.18160000000006</v>
      </c>
      <c r="O299" s="300">
        <f>(325.2*KFC!$B$23*1.02*1.3+KFC!$C$23)*KFC!$C$5</f>
        <v>431.21520000000004</v>
      </c>
      <c r="P299" s="300">
        <f>(338.7*KFC!$B$23*1.02*1.3+KFC!$C$23)*KFC!$C$5</f>
        <v>449.11619999999999</v>
      </c>
      <c r="Q299" s="300">
        <f>(352.3*KFC!$B$23*1.02*1.3+KFC!$C$23)*KFC!$C$5</f>
        <v>467.14980000000003</v>
      </c>
      <c r="R299" s="300">
        <f>(365.9*KFC!$B$23*1.02*1.3+KFC!$C$23)*KFC!$C$5</f>
        <v>485.18339999999995</v>
      </c>
      <c r="S299" s="300">
        <f>(379.5*KFC!$B$23*1.02*1.3+KFC!$C$23)*KFC!$C$5</f>
        <v>503.21700000000004</v>
      </c>
      <c r="T299" s="300">
        <f>(393.1*KFC!$B$23*1.02*1.3+KFC!$C$23)*KFC!$C$5</f>
        <v>521.25060000000008</v>
      </c>
      <c r="U299" s="300">
        <f>(406.7*KFC!$B$23*1.02*1.3+KFC!$C$23)*KFC!$C$5</f>
        <v>539.28420000000006</v>
      </c>
      <c r="V299" s="300">
        <f>(420.2*KFC!$B$23*1.02*1.3+KFC!$C$23)*KFC!$C$5</f>
        <v>557.18520000000001</v>
      </c>
      <c r="W299" s="300">
        <f>(433.8*KFC!$B$23*1.02*1.3+KFC!$C$23)*KFC!$C$5</f>
        <v>575.21879999999999</v>
      </c>
      <c r="X299" s="300">
        <f>(447.4*KFC!$B$23*1.02*1.3+KFC!$C$23)*KFC!$C$5</f>
        <v>593.25239999999997</v>
      </c>
      <c r="Y299" s="300">
        <f>(461*KFC!$B$23*1.02*1.3+KFC!$C$23)*KFC!$C$5</f>
        <v>611.28600000000006</v>
      </c>
      <c r="Z299" s="300">
        <f>(474.6*KFC!$B$23*1.02*1.3+KFC!$C$23)*KFC!$C$5</f>
        <v>629.31960000000004</v>
      </c>
      <c r="AA299" s="300">
        <f>(488.2*KFC!$B$23*1.02*1.3+KFC!$C$23)*KFC!$C$5</f>
        <v>647.35320000000002</v>
      </c>
      <c r="AB299" s="300">
        <f>(501.8*KFC!$B$23*1.02*1.3+KFC!$C$23)*KFC!$C$5</f>
        <v>665.38679999999999</v>
      </c>
      <c r="AC299" s="300">
        <f>(515.3*KFC!$B$23*1.02*1.3+KFC!$C$23)*KFC!$C$5</f>
        <v>683.28780000000006</v>
      </c>
      <c r="AD299" s="300">
        <f>(528.9*KFC!$B$23*1.02*1.3+KFC!$C$23)*KFC!$C$5</f>
        <v>701.32139999999993</v>
      </c>
      <c r="AE299" s="300">
        <f>(542.5*KFC!$B$23*1.02*1.3+KFC!$C$23)*KFC!$C$5</f>
        <v>719.35500000000002</v>
      </c>
      <c r="AF299" s="300">
        <f>(556.1*KFC!$B$23*1.02*1.3+KFC!$C$23)*KFC!$C$5</f>
        <v>737.3886</v>
      </c>
      <c r="AG299" s="300">
        <f>(569.7*KFC!$B$23*1.02*1.3+KFC!$C$23)*KFC!$C$5</f>
        <v>755.42220000000009</v>
      </c>
      <c r="AH299" s="304">
        <f>(583.3*KFC!$B$23*1.02*1.3+KFC!$C$23)*KFC!$C$5</f>
        <v>773.45580000000007</v>
      </c>
    </row>
    <row r="300" spans="1:34">
      <c r="A300" s="1781"/>
      <c r="B300" s="395">
        <v>5.5</v>
      </c>
      <c r="C300" s="303">
        <f>(163.7*KFC!$B$23*1.02*1.3+KFC!$C$23)*KFC!$C$5</f>
        <v>217.06619999999998</v>
      </c>
      <c r="D300" s="300">
        <f>(177.5*KFC!$B$23*1.02*1.3+KFC!$C$23)*KFC!$C$5</f>
        <v>235.36500000000001</v>
      </c>
      <c r="E300" s="300">
        <f>(191.3*KFC!$B$23*1.02*1.3+KFC!$C$23)*KFC!$C$5</f>
        <v>253.66380000000001</v>
      </c>
      <c r="F300" s="300">
        <f>(205.1*KFC!$B$23*1.02*1.3+KFC!$C$23)*KFC!$C$5</f>
        <v>271.96260000000001</v>
      </c>
      <c r="G300" s="300">
        <f>(218.9*KFC!$B$23*1.02*1.3+KFC!$C$23)*KFC!$C$5</f>
        <v>290.26140000000004</v>
      </c>
      <c r="H300" s="300">
        <f>(232.8*KFC!$B$23*1.02*1.3+KFC!$C$23)*KFC!$C$5</f>
        <v>308.69280000000003</v>
      </c>
      <c r="I300" s="300">
        <f>(246.6*KFC!$B$23*1.02*1.3+KFC!$C$23)*KFC!$C$5</f>
        <v>326.99160000000001</v>
      </c>
      <c r="J300" s="300">
        <f>(260.4*KFC!$B$23*1.02*1.3+KFC!$C$23)*KFC!$C$5</f>
        <v>345.29040000000003</v>
      </c>
      <c r="K300" s="300">
        <f>(274.2*KFC!$B$23*1.02*1.3+KFC!$C$23)*KFC!$C$5</f>
        <v>363.58919999999995</v>
      </c>
      <c r="L300" s="300">
        <f>(288*KFC!$B$23*1.02*1.3+KFC!$C$23)*KFC!$C$5</f>
        <v>381.88799999999998</v>
      </c>
      <c r="M300" s="300">
        <f>(301.8*KFC!$B$23*1.02*1.3+KFC!$C$23)*KFC!$C$5</f>
        <v>400.18680000000001</v>
      </c>
      <c r="N300" s="300">
        <f>(315.7*KFC!$B$23*1.02*1.3+KFC!$C$23)*KFC!$C$5</f>
        <v>418.6182</v>
      </c>
      <c r="O300" s="300">
        <f>(329.5*KFC!$B$23*1.02*1.3+KFC!$C$23)*KFC!$C$5</f>
        <v>436.91700000000003</v>
      </c>
      <c r="P300" s="300">
        <f>(343.3*KFC!$B$23*1.02*1.3+KFC!$C$23)*KFC!$C$5</f>
        <v>455.2158</v>
      </c>
      <c r="Q300" s="300">
        <f>(357.1*KFC!$B$23*1.02*1.3+KFC!$C$23)*KFC!$C$5</f>
        <v>473.51460000000003</v>
      </c>
      <c r="R300" s="300">
        <f>(370.9*KFC!$B$23*1.02*1.3+KFC!$C$23)*KFC!$C$5</f>
        <v>491.8134</v>
      </c>
      <c r="S300" s="300">
        <f>(384.8*KFC!$B$23*1.02*1.3+KFC!$C$23)*KFC!$C$5</f>
        <v>510.24480000000005</v>
      </c>
      <c r="T300" s="300">
        <f>(398.6*KFC!$B$23*1.02*1.3+KFC!$C$23)*KFC!$C$5</f>
        <v>528.54359999999997</v>
      </c>
      <c r="U300" s="300">
        <f>(412.4*KFC!$B$23*1.02*1.3+KFC!$C$23)*KFC!$C$5</f>
        <v>546.8424</v>
      </c>
      <c r="V300" s="300">
        <f>(426.2*KFC!$B$23*1.02*1.3+KFC!$C$23)*KFC!$C$5</f>
        <v>565.14120000000003</v>
      </c>
      <c r="W300" s="300">
        <f>(440*KFC!$B$23*1.02*1.3+KFC!$C$23)*KFC!$C$5</f>
        <v>583.44000000000005</v>
      </c>
      <c r="X300" s="300">
        <f>(453.9*KFC!$B$23*1.02*1.3+KFC!$C$23)*KFC!$C$5</f>
        <v>601.87139999999999</v>
      </c>
      <c r="Y300" s="300">
        <f>(467.7*KFC!$B$23*1.02*1.3+KFC!$C$23)*KFC!$C$5</f>
        <v>620.17020000000002</v>
      </c>
      <c r="Z300" s="300">
        <f>(481.5*KFC!$B$23*1.02*1.3+KFC!$C$23)*KFC!$C$5</f>
        <v>638.46900000000005</v>
      </c>
      <c r="AA300" s="300">
        <f>(495.3*KFC!$B$23*1.02*1.3+KFC!$C$23)*KFC!$C$5</f>
        <v>656.76780000000008</v>
      </c>
      <c r="AB300" s="300">
        <f>(509.1*KFC!$B$23*1.02*1.3+KFC!$C$23)*KFC!$C$5</f>
        <v>675.06660000000011</v>
      </c>
      <c r="AC300" s="300">
        <f>(522.9*KFC!$B$23*1.02*1.3+KFC!$C$23)*KFC!$C$5</f>
        <v>693.36539999999991</v>
      </c>
      <c r="AD300" s="300">
        <f>(536.8*KFC!$B$23*1.02*1.3+KFC!$C$23)*KFC!$C$5</f>
        <v>711.79679999999996</v>
      </c>
      <c r="AE300" s="300">
        <f>(550.6*KFC!$B$23*1.02*1.3+KFC!$C$23)*KFC!$C$5</f>
        <v>730.0956000000001</v>
      </c>
      <c r="AF300" s="300">
        <f>(564.4*KFC!$B$23*1.02*1.3+KFC!$C$23)*KFC!$C$5</f>
        <v>748.39440000000002</v>
      </c>
      <c r="AG300" s="300">
        <f>(578.2*KFC!$B$23*1.02*1.3+KFC!$C$23)*KFC!$C$5</f>
        <v>766.69320000000005</v>
      </c>
      <c r="AH300" s="304">
        <f>(592*KFC!$B$23*1.02*1.3+KFC!$C$23)*KFC!$C$5</f>
        <v>784.99200000000008</v>
      </c>
    </row>
    <row r="301" spans="1:34">
      <c r="A301" s="1781"/>
      <c r="B301" s="395">
        <v>5.6</v>
      </c>
      <c r="C301" s="303">
        <f>(165.2*KFC!$B$23*1.02*1.3+KFC!$C$23)*KFC!$C$5</f>
        <v>219.05519999999999</v>
      </c>
      <c r="D301" s="300">
        <f>(179.2*KFC!$B$23*1.02*1.3+KFC!$C$23)*KFC!$C$5</f>
        <v>237.61920000000001</v>
      </c>
      <c r="E301" s="300">
        <f>(193.3*KFC!$B$23*1.02*1.3+KFC!$C$23)*KFC!$C$5</f>
        <v>256.31580000000002</v>
      </c>
      <c r="F301" s="300">
        <f>(207.3*KFC!$B$23*1.02*1.3+KFC!$C$23)*KFC!$C$5</f>
        <v>274.87980000000005</v>
      </c>
      <c r="G301" s="300">
        <f>(221.4*KFC!$B$23*1.02*1.3+KFC!$C$23)*KFC!$C$5</f>
        <v>293.57640000000004</v>
      </c>
      <c r="H301" s="300">
        <f>(235.4*KFC!$B$23*1.02*1.3+KFC!$C$23)*KFC!$C$5</f>
        <v>312.1404</v>
      </c>
      <c r="I301" s="300">
        <f>(249.5*KFC!$B$23*1.02*1.3+KFC!$C$23)*KFC!$C$5</f>
        <v>330.83700000000005</v>
      </c>
      <c r="J301" s="300">
        <f>(263.5*KFC!$B$23*1.02*1.3+KFC!$C$23)*KFC!$C$5</f>
        <v>349.40100000000001</v>
      </c>
      <c r="K301" s="300">
        <f>(277.6*KFC!$B$23*1.02*1.3+KFC!$C$23)*KFC!$C$5</f>
        <v>368.09760000000006</v>
      </c>
      <c r="L301" s="300">
        <f>(291.7*KFC!$B$23*1.02*1.3+KFC!$C$23)*KFC!$C$5</f>
        <v>386.79419999999999</v>
      </c>
      <c r="M301" s="300">
        <f>(305.7*KFC!$B$23*1.02*1.3+KFC!$C$23)*KFC!$C$5</f>
        <v>405.35820000000007</v>
      </c>
      <c r="N301" s="300">
        <f>(319.8*KFC!$B$23*1.02*1.3+KFC!$C$23)*KFC!$C$5</f>
        <v>424.05480000000006</v>
      </c>
      <c r="O301" s="300">
        <f>(333.8*KFC!$B$23*1.02*1.3+KFC!$C$23)*KFC!$C$5</f>
        <v>442.61880000000002</v>
      </c>
      <c r="P301" s="300">
        <f>(347.9*KFC!$B$23*1.02*1.3+KFC!$C$23)*KFC!$C$5</f>
        <v>461.31540000000001</v>
      </c>
      <c r="Q301" s="300">
        <f>(361.9*KFC!$B$23*1.02*1.3+KFC!$C$23)*KFC!$C$5</f>
        <v>479.87939999999998</v>
      </c>
      <c r="R301" s="300">
        <f>(376*KFC!$B$23*1.02*1.3+KFC!$C$23)*KFC!$C$5</f>
        <v>498.57599999999996</v>
      </c>
      <c r="S301" s="300">
        <f>(390*KFC!$B$23*1.02*1.3+KFC!$C$23)*KFC!$C$5</f>
        <v>517.14</v>
      </c>
      <c r="T301" s="300">
        <f>(404.1*KFC!$B$23*1.02*1.3+KFC!$C$23)*KFC!$C$5</f>
        <v>535.83660000000009</v>
      </c>
      <c r="U301" s="300">
        <f>(418.1*KFC!$B$23*1.02*1.3+KFC!$C$23)*KFC!$C$5</f>
        <v>554.40060000000005</v>
      </c>
      <c r="V301" s="300">
        <f>(432.2*KFC!$B$23*1.02*1.3+KFC!$C$23)*KFC!$C$5</f>
        <v>573.09720000000004</v>
      </c>
      <c r="W301" s="300">
        <f>(446.2*KFC!$B$23*1.02*1.3+KFC!$C$23)*KFC!$C$5</f>
        <v>591.66120000000001</v>
      </c>
      <c r="X301" s="300">
        <f>(460.3*KFC!$B$23*1.02*1.3+KFC!$C$23)*KFC!$C$5</f>
        <v>610.35780000000011</v>
      </c>
      <c r="Y301" s="300">
        <f>(474.3*KFC!$B$23*1.02*1.3+KFC!$C$23)*KFC!$C$5</f>
        <v>628.92180000000008</v>
      </c>
      <c r="Z301" s="300">
        <f>(488.4*KFC!$B$23*1.02*1.3+KFC!$C$23)*KFC!$C$5</f>
        <v>647.61840000000007</v>
      </c>
      <c r="AA301" s="300">
        <f>(502.5*KFC!$B$23*1.02*1.3+KFC!$C$23)*KFC!$C$5</f>
        <v>666.31499999999994</v>
      </c>
      <c r="AB301" s="300">
        <f>(516.5*KFC!$B$23*1.02*1.3+KFC!$C$23)*KFC!$C$5</f>
        <v>684.87900000000013</v>
      </c>
      <c r="AC301" s="300">
        <f>(530.6*KFC!$B$23*1.02*1.3+KFC!$C$23)*KFC!$C$5</f>
        <v>703.57560000000001</v>
      </c>
      <c r="AD301" s="300">
        <f>(544.6*KFC!$B$23*1.02*1.3+KFC!$C$23)*KFC!$C$5</f>
        <v>722.13960000000009</v>
      </c>
      <c r="AE301" s="300">
        <f>(558.7*KFC!$B$23*1.02*1.3+KFC!$C$23)*KFC!$C$5</f>
        <v>740.83620000000008</v>
      </c>
      <c r="AF301" s="300">
        <f>(572.7*KFC!$B$23*1.02*1.3+KFC!$C$23)*KFC!$C$5</f>
        <v>759.40020000000015</v>
      </c>
      <c r="AG301" s="300">
        <f>(586.8*KFC!$B$23*1.02*1.3+KFC!$C$23)*KFC!$C$5</f>
        <v>778.09679999999992</v>
      </c>
      <c r="AH301" s="304">
        <f>(600.8*KFC!$B$23*1.02*1.3+KFC!$C$23)*KFC!$C$5</f>
        <v>796.66079999999988</v>
      </c>
    </row>
    <row r="302" spans="1:34">
      <c r="A302" s="1781"/>
      <c r="B302" s="395">
        <v>5.7</v>
      </c>
      <c r="C302" s="303">
        <f>(166.7*KFC!$B$23*1.02*1.3+KFC!$C$23)*KFC!$C$5</f>
        <v>221.04419999999999</v>
      </c>
      <c r="D302" s="300">
        <f>(181*KFC!$B$23*1.02*1.3+KFC!$C$23)*KFC!$C$5</f>
        <v>240.006</v>
      </c>
      <c r="E302" s="300">
        <f>(195.3*KFC!$B$23*1.02*1.3+KFC!$C$23)*KFC!$C$5</f>
        <v>258.96780000000001</v>
      </c>
      <c r="F302" s="300">
        <f>(209.5*KFC!$B$23*1.02*1.3+KFC!$C$23)*KFC!$C$5</f>
        <v>277.79700000000003</v>
      </c>
      <c r="G302" s="300">
        <f>(223.8*KFC!$B$23*1.02*1.3+KFC!$C$23)*KFC!$C$5</f>
        <v>296.75880000000001</v>
      </c>
      <c r="H302" s="300">
        <f>(238.1*KFC!$B$23*1.02*1.3+KFC!$C$23)*KFC!$C$5</f>
        <v>315.72059999999999</v>
      </c>
      <c r="I302" s="300">
        <f>(252.4*KFC!$B$23*1.02*1.3+KFC!$C$23)*KFC!$C$5</f>
        <v>334.68240000000009</v>
      </c>
      <c r="J302" s="300">
        <f>(266.7*KFC!$B$23*1.02*1.3+KFC!$C$23)*KFC!$C$5</f>
        <v>353.64420000000001</v>
      </c>
      <c r="K302" s="300">
        <f>(281*KFC!$B$23*1.02*1.3+KFC!$C$23)*KFC!$C$5</f>
        <v>372.60599999999999</v>
      </c>
      <c r="L302" s="300">
        <f>(295.3*KFC!$B$23*1.02*1.3+KFC!$C$23)*KFC!$C$5</f>
        <v>391.56780000000003</v>
      </c>
      <c r="M302" s="300">
        <f>(309.6*KFC!$B$23*1.02*1.3+KFC!$C$23)*KFC!$C$5</f>
        <v>410.52960000000007</v>
      </c>
      <c r="N302" s="300">
        <f>(323.9*KFC!$B$23*1.02*1.3+KFC!$C$23)*KFC!$C$5</f>
        <v>429.4914</v>
      </c>
      <c r="O302" s="300">
        <f>(338.1*KFC!$B$23*1.02*1.3+KFC!$C$23)*KFC!$C$5</f>
        <v>448.32060000000007</v>
      </c>
      <c r="P302" s="300">
        <f>(352.4*KFC!$B$23*1.02*1.3+KFC!$C$23)*KFC!$C$5</f>
        <v>467.2824</v>
      </c>
      <c r="Q302" s="300">
        <f>(366.7*KFC!$B$23*1.02*1.3+KFC!$C$23)*KFC!$C$5</f>
        <v>486.24419999999998</v>
      </c>
      <c r="R302" s="300">
        <f>(381*KFC!$B$23*1.02*1.3+KFC!$C$23)*KFC!$C$5</f>
        <v>505.20600000000002</v>
      </c>
      <c r="S302" s="300">
        <f>(395.3*KFC!$B$23*1.02*1.3+KFC!$C$23)*KFC!$C$5</f>
        <v>524.16780000000006</v>
      </c>
      <c r="T302" s="300">
        <f>(409.6*KFC!$B$23*1.02*1.3+KFC!$C$23)*KFC!$C$5</f>
        <v>543.1296000000001</v>
      </c>
      <c r="U302" s="300">
        <f>(423.9*KFC!$B$23*1.02*1.3+KFC!$C$23)*KFC!$C$5</f>
        <v>562.09140000000002</v>
      </c>
      <c r="V302" s="300">
        <f>(438.2*KFC!$B$23*1.02*1.3+KFC!$C$23)*KFC!$C$5</f>
        <v>581.05320000000006</v>
      </c>
      <c r="W302" s="300">
        <f>(452.4*KFC!$B$23*1.02*1.3+KFC!$C$23)*KFC!$C$5</f>
        <v>599.88239999999996</v>
      </c>
      <c r="X302" s="300">
        <f>(466.7*KFC!$B$23*1.02*1.3+KFC!$C$23)*KFC!$C$5</f>
        <v>618.8442</v>
      </c>
      <c r="Y302" s="300">
        <f>(481*KFC!$B$23*1.02*1.3+KFC!$C$23)*KFC!$C$5</f>
        <v>637.80600000000004</v>
      </c>
      <c r="Z302" s="300">
        <f>(495.3*KFC!$B$23*1.02*1.3+KFC!$C$23)*KFC!$C$5</f>
        <v>656.76780000000008</v>
      </c>
      <c r="AA302" s="300">
        <f>(509.6*KFC!$B$23*1.02*1.3+KFC!$C$23)*KFC!$C$5</f>
        <v>675.72960000000012</v>
      </c>
      <c r="AB302" s="300">
        <f>(523.9*KFC!$B$23*1.02*1.3+KFC!$C$23)*KFC!$C$5</f>
        <v>694.69140000000004</v>
      </c>
      <c r="AC302" s="300">
        <f>(538.2*KFC!$B$23*1.02*1.3+KFC!$C$23)*KFC!$C$5</f>
        <v>713.65320000000008</v>
      </c>
      <c r="AD302" s="300">
        <f>(552.5*KFC!$B$23*1.02*1.3+KFC!$C$23)*KFC!$C$5</f>
        <v>732.61500000000001</v>
      </c>
      <c r="AE302" s="300">
        <f>(566.7*KFC!$B$23*1.02*1.3+KFC!$C$23)*KFC!$C$5</f>
        <v>751.44420000000014</v>
      </c>
      <c r="AF302" s="300">
        <f>(581*KFC!$B$23*1.02*1.3+KFC!$C$23)*KFC!$C$5</f>
        <v>770.40600000000006</v>
      </c>
      <c r="AG302" s="300">
        <f>(595.3*KFC!$B$23*1.02*1.3+KFC!$C$23)*KFC!$C$5</f>
        <v>789.3678000000001</v>
      </c>
      <c r="AH302" s="304">
        <f>(609.6*KFC!$B$23*1.02*1.3+KFC!$C$23)*KFC!$C$5</f>
        <v>808.32960000000003</v>
      </c>
    </row>
    <row r="303" spans="1:34">
      <c r="A303" s="1781"/>
      <c r="B303" s="395">
        <v>5.8</v>
      </c>
      <c r="C303" s="303">
        <f>(168.2*KFC!$B$23*1.02*1.3+KFC!$C$23)*KFC!$C$5</f>
        <v>223.03319999999999</v>
      </c>
      <c r="D303" s="300">
        <f>(182.7*KFC!$B$23*1.02*1.3+KFC!$C$23)*KFC!$C$5</f>
        <v>242.2602</v>
      </c>
      <c r="E303" s="300">
        <f>(197.2*KFC!$B$23*1.02*1.3+KFC!$C$23)*KFC!$C$5</f>
        <v>261.48720000000003</v>
      </c>
      <c r="F303" s="300">
        <f>(211.8*KFC!$B$23*1.02*1.3+KFC!$C$23)*KFC!$C$5</f>
        <v>280.84680000000003</v>
      </c>
      <c r="G303" s="300">
        <f>(226.3*KFC!$B$23*1.02*1.3+KFC!$C$23)*KFC!$C$5</f>
        <v>300.07380000000006</v>
      </c>
      <c r="H303" s="300">
        <f>(240.8*KFC!$B$23*1.02*1.3+KFC!$C$23)*KFC!$C$5</f>
        <v>319.30080000000004</v>
      </c>
      <c r="I303" s="300">
        <f>(255.3*KFC!$B$23*1.02*1.3+KFC!$C$23)*KFC!$C$5</f>
        <v>338.52780000000001</v>
      </c>
      <c r="J303" s="300">
        <f>(269.9*KFC!$B$23*1.02*1.3+KFC!$C$23)*KFC!$C$5</f>
        <v>357.88740000000001</v>
      </c>
      <c r="K303" s="300">
        <f>(284.4*KFC!$B$23*1.02*1.3+KFC!$C$23)*KFC!$C$5</f>
        <v>377.11439999999999</v>
      </c>
      <c r="L303" s="300">
        <f>(298.9*KFC!$B$23*1.02*1.3+KFC!$C$23)*KFC!$C$5</f>
        <v>396.34140000000002</v>
      </c>
      <c r="M303" s="300">
        <f>(313.4*KFC!$B$23*1.02*1.3+KFC!$C$23)*KFC!$C$5</f>
        <v>415.5684</v>
      </c>
      <c r="N303" s="300">
        <f>(327.9*KFC!$B$23*1.02*1.3+KFC!$C$23)*KFC!$C$5</f>
        <v>434.79539999999997</v>
      </c>
      <c r="O303" s="300">
        <f>(342.5*KFC!$B$23*1.02*1.3+KFC!$C$23)*KFC!$C$5</f>
        <v>454.15500000000003</v>
      </c>
      <c r="P303" s="300">
        <f>(357*KFC!$B$23*1.02*1.3+KFC!$C$23)*KFC!$C$5</f>
        <v>473.38200000000001</v>
      </c>
      <c r="Q303" s="300">
        <f>(371.5*KFC!$B$23*1.02*1.3+KFC!$C$23)*KFC!$C$5</f>
        <v>492.60900000000004</v>
      </c>
      <c r="R303" s="300">
        <f>(386*KFC!$B$23*1.02*1.3+KFC!$C$23)*KFC!$C$5</f>
        <v>511.83600000000007</v>
      </c>
      <c r="S303" s="300">
        <f>(400.6*KFC!$B$23*1.02*1.3+KFC!$C$23)*KFC!$C$5</f>
        <v>531.19560000000001</v>
      </c>
      <c r="T303" s="300">
        <f>(415.1*KFC!$B$23*1.02*1.3+KFC!$C$23)*KFC!$C$5</f>
        <v>550.4226000000001</v>
      </c>
      <c r="U303" s="300">
        <v>429.6</v>
      </c>
      <c r="V303" s="300">
        <f>(444.1*KFC!$B$23*1.02*1.3+KFC!$C$23)*KFC!$C$5</f>
        <v>588.87660000000005</v>
      </c>
      <c r="W303" s="300">
        <f>(458.6*KFC!$B$23*1.02*1.3+KFC!$C$23)*KFC!$C$5</f>
        <v>608.10360000000003</v>
      </c>
      <c r="X303" s="300">
        <f>(473.2*KFC!$B$23*1.02*1.3+KFC!$C$23)*KFC!$C$5</f>
        <v>627.46320000000003</v>
      </c>
      <c r="Y303" s="300">
        <f>(487.7*KFC!$B$23*1.02*1.3+KFC!$C$23)*KFC!$C$5</f>
        <v>646.6902</v>
      </c>
      <c r="Z303" s="300">
        <f>(502.2*KFC!$B$23*1.02*1.3+KFC!$C$23)*KFC!$C$5</f>
        <v>665.91720000000009</v>
      </c>
      <c r="AA303" s="300">
        <f>(516.7*KFC!$B$23*1.02*1.3+KFC!$C$23)*KFC!$C$5</f>
        <v>685.14420000000018</v>
      </c>
      <c r="AB303" s="300">
        <f>(531.3*KFC!$B$23*1.02*1.3+KFC!$C$23)*KFC!$C$5</f>
        <v>704.50379999999996</v>
      </c>
      <c r="AC303" s="300">
        <f>(545.8*KFC!$B$23*1.02*1.3+KFC!$C$23)*KFC!$C$5</f>
        <v>723.73080000000004</v>
      </c>
      <c r="AD303" s="300">
        <f>(560.3*KFC!$B$23*1.02*1.3+KFC!$C$23)*KFC!$C$5</f>
        <v>742.95780000000002</v>
      </c>
      <c r="AE303" s="300">
        <f>(574.8*KFC!$B$23*1.02*1.3+KFC!$C$23)*KFC!$C$5</f>
        <v>762.1848</v>
      </c>
      <c r="AF303" s="300">
        <f>(589.3*KFC!$B$23*1.02*1.3+KFC!$C$23)*KFC!$C$5</f>
        <v>781.41180000000008</v>
      </c>
      <c r="AG303" s="300">
        <f>(603.9*KFC!$B$23*1.02*1.3+KFC!$C$23)*KFC!$C$5</f>
        <v>800.77139999999997</v>
      </c>
      <c r="AH303" s="304">
        <f>(618.4*KFC!$B$23*1.02*1.3+KFC!$C$23)*KFC!$C$5</f>
        <v>819.99840000000006</v>
      </c>
    </row>
    <row r="304" spans="1:34">
      <c r="A304" s="1781"/>
      <c r="B304" s="395">
        <v>5.9</v>
      </c>
      <c r="C304" s="303">
        <f>(169.7*KFC!$B$23*1.02*1.3+KFC!$C$23)*KFC!$C$5</f>
        <v>225.0222</v>
      </c>
      <c r="D304" s="300">
        <f>(184.5*KFC!$B$23*1.02*1.3+KFC!$C$23)*KFC!$C$5</f>
        <v>244.64699999999999</v>
      </c>
      <c r="E304" s="300">
        <f>(199.2*KFC!$B$23*1.02*1.3+KFC!$C$23)*KFC!$C$5</f>
        <v>264.13920000000002</v>
      </c>
      <c r="F304" s="300">
        <f>(214*KFC!$B$23*1.02*1.3+KFC!$C$23)*KFC!$C$5</f>
        <v>283.76400000000001</v>
      </c>
      <c r="G304" s="300">
        <f>(228.7*KFC!$B$23*1.02*1.3+KFC!$C$23)*KFC!$C$5</f>
        <v>303.25620000000004</v>
      </c>
      <c r="H304" s="300">
        <f>(243.5*KFC!$B$23*1.02*1.3+KFC!$C$23)*KFC!$C$5</f>
        <v>322.88100000000003</v>
      </c>
      <c r="I304" s="300">
        <f>(258.3*KFC!$B$23*1.02*1.3+KFC!$C$23)*KFC!$C$5</f>
        <v>342.50580000000002</v>
      </c>
      <c r="J304" s="300">
        <f>(273*KFC!$B$23*1.02*1.3+KFC!$C$23)*KFC!$C$5</f>
        <v>361.99799999999999</v>
      </c>
      <c r="K304" s="300">
        <f>(287.8*KFC!$B$23*1.02*1.3+KFC!$C$23)*KFC!$C$5</f>
        <v>381.62280000000004</v>
      </c>
      <c r="L304" s="300">
        <f>(302.5*KFC!$B$23*1.02*1.3+KFC!$C$23)*KFC!$C$5</f>
        <v>401.11500000000001</v>
      </c>
      <c r="M304" s="300">
        <f>(317.3*KFC!$B$23*1.02*1.3+KFC!$C$23)*KFC!$C$5</f>
        <v>420.73980000000006</v>
      </c>
      <c r="N304" s="300">
        <f>(332*KFC!$B$23*1.02*1.3+KFC!$C$23)*KFC!$C$5</f>
        <v>440.23199999999997</v>
      </c>
      <c r="O304" s="300">
        <f>(346.8*KFC!$B$23*1.02*1.3+KFC!$C$23)*KFC!$C$5</f>
        <v>459.85680000000002</v>
      </c>
      <c r="P304" s="300">
        <f>(361.5*KFC!$B$23*1.02*1.3+KFC!$C$23)*KFC!$C$5</f>
        <v>479.34900000000005</v>
      </c>
      <c r="Q304" s="300">
        <f>(376.3*KFC!$B$23*1.02*1.3+KFC!$C$23)*KFC!$C$5</f>
        <v>498.97380000000004</v>
      </c>
      <c r="R304" s="300">
        <f>(391.1*KFC!$B$23*1.02*1.3+KFC!$C$23)*KFC!$C$5</f>
        <v>518.59860000000003</v>
      </c>
      <c r="S304" s="300">
        <f>(405.8*KFC!$B$23*1.02*1.3+KFC!$C$23)*KFC!$C$5</f>
        <v>538.09080000000006</v>
      </c>
      <c r="T304" s="300">
        <f>(420.6*KFC!$B$23*1.02*1.3+KFC!$C$23)*KFC!$C$5</f>
        <v>557.71560000000011</v>
      </c>
      <c r="U304" s="300">
        <f>(435.3*KFC!$B$23*1.02*1.3+KFC!$C$23)*KFC!$C$5</f>
        <v>577.20780000000002</v>
      </c>
      <c r="V304" s="300">
        <f>(450.1*KFC!$B$23*1.02*1.3+KFC!$C$23)*KFC!$C$5</f>
        <v>596.83260000000007</v>
      </c>
      <c r="W304" s="300">
        <f>(464.8*KFC!$B$23*1.02*1.3+KFC!$C$23)*KFC!$C$5</f>
        <v>616.32479999999998</v>
      </c>
      <c r="X304" s="300">
        <f>(479.6*KFC!$B$23*1.02*1.3+KFC!$C$23)*KFC!$C$5</f>
        <v>635.94960000000003</v>
      </c>
      <c r="Y304" s="300">
        <f>(494.4*KFC!$B$23*1.02*1.3+KFC!$C$23)*KFC!$C$5</f>
        <v>655.57440000000008</v>
      </c>
      <c r="Z304" s="300">
        <f>(509.1*KFC!$B$23*1.02*1.3+KFC!$C$23)*KFC!$C$5</f>
        <v>675.06660000000011</v>
      </c>
      <c r="AA304" s="300">
        <f>(523.9*KFC!$B$23*1.02*1.3+KFC!$C$23)*KFC!$C$5</f>
        <v>694.69140000000004</v>
      </c>
      <c r="AB304" s="300">
        <f>(538.6*KFC!$B$23*1.02*1.3+KFC!$C$23)*KFC!$C$5</f>
        <v>714.18360000000007</v>
      </c>
      <c r="AC304" s="300">
        <f>(553.4*KFC!$B$23*1.02*1.3+KFC!$C$23)*KFC!$C$5</f>
        <v>733.80840000000001</v>
      </c>
      <c r="AD304" s="300">
        <f>(568.1*KFC!$B$23*1.02*1.3+KFC!$C$23)*KFC!$C$5</f>
        <v>753.30060000000003</v>
      </c>
      <c r="AE304" s="300">
        <f>(582.9*KFC!$B$23*1.02*1.3+KFC!$C$23)*KFC!$C$5</f>
        <v>772.92539999999997</v>
      </c>
      <c r="AF304" s="300">
        <f>(597.7*KFC!$B$23*1.02*1.3+KFC!$C$23)*KFC!$C$5</f>
        <v>792.55020000000013</v>
      </c>
      <c r="AG304" s="300">
        <f>(612.4*KFC!$B$23*1.02*1.3+KFC!$C$23)*KFC!$C$5</f>
        <v>812.04240000000004</v>
      </c>
      <c r="AH304" s="304">
        <f>(627.2*KFC!$B$23*1.02*1.3+KFC!$C$23)*KFC!$C$5</f>
        <v>831.66720000000009</v>
      </c>
    </row>
    <row r="305" spans="1:34" ht="13.8" thickBot="1">
      <c r="A305" s="1782"/>
      <c r="B305" s="396">
        <v>6</v>
      </c>
      <c r="C305" s="305">
        <f>(171.2*KFC!$B$23*1.02*1.3+KFC!$C$23)*KFC!$C$5</f>
        <v>227.0112</v>
      </c>
      <c r="D305" s="306">
        <f>(186.2*KFC!$B$23*1.02*1.3+KFC!$C$23)*KFC!$C$5</f>
        <v>246.90119999999999</v>
      </c>
      <c r="E305" s="306">
        <f>(201.2*KFC!$B$23*1.02*1.3+KFC!$C$23)*KFC!$C$5</f>
        <v>266.7912</v>
      </c>
      <c r="F305" s="306">
        <f>(216.2*KFC!$B$23*1.02*1.3+KFC!$C$23)*KFC!$C$5</f>
        <v>286.68119999999999</v>
      </c>
      <c r="G305" s="306">
        <f>(231.2*KFC!$B$23*1.02*1.3+KFC!$C$23)*KFC!$C$5</f>
        <v>306.57119999999998</v>
      </c>
      <c r="H305" s="306">
        <f>(246.2*KFC!$B$23*1.02*1.3+KFC!$C$23)*KFC!$C$5</f>
        <v>326.46120000000002</v>
      </c>
      <c r="I305" s="306">
        <f>(261.2*KFC!$B$23*1.02*1.3+KFC!$C$23)*KFC!$C$5</f>
        <v>346.35120000000001</v>
      </c>
      <c r="J305" s="306">
        <f>(276.2*KFC!$B$23*1.02*1.3+KFC!$C$23)*KFC!$C$5</f>
        <v>366.24119999999999</v>
      </c>
      <c r="K305" s="306">
        <f>(291.2*KFC!$B$23*1.02*1.3+KFC!$C$23)*KFC!$C$5</f>
        <v>386.13120000000004</v>
      </c>
      <c r="L305" s="306">
        <f>(306.1*KFC!$B$23*1.02*1.3+KFC!$C$23)*KFC!$C$5</f>
        <v>405.88860000000005</v>
      </c>
      <c r="M305" s="306">
        <f>(321.1*KFC!$B$23*1.02*1.3+KFC!$C$23)*KFC!$C$5</f>
        <v>425.7786000000001</v>
      </c>
      <c r="N305" s="306">
        <f>(336.1*KFC!$B$23*1.02*1.3+KFC!$C$23)*KFC!$C$5</f>
        <v>445.66860000000003</v>
      </c>
      <c r="O305" s="306">
        <f>(351.1*KFC!$B$23*1.02*1.3+KFC!$C$23)*KFC!$C$5</f>
        <v>465.55860000000001</v>
      </c>
      <c r="P305" s="306">
        <f>(366.1*KFC!$B$23*1.02*1.3+KFC!$C$23)*KFC!$C$5</f>
        <v>485.44860000000006</v>
      </c>
      <c r="Q305" s="306">
        <f>(381.1*KFC!$B$23*1.02*1.3+KFC!$C$23)*KFC!$C$5</f>
        <v>505.33860000000004</v>
      </c>
      <c r="R305" s="306">
        <f>(396.1*KFC!$B$23*1.02*1.3+KFC!$C$23)*KFC!$C$5</f>
        <v>525.22860000000003</v>
      </c>
      <c r="S305" s="306">
        <f>(411.1*KFC!$B$23*1.02*1.3+KFC!$C$23)*KFC!$C$5</f>
        <v>545.11860000000001</v>
      </c>
      <c r="T305" s="306">
        <f>(426.1*KFC!$B$23*1.02*1.3+KFC!$C$23)*KFC!$C$5</f>
        <v>565.0086</v>
      </c>
      <c r="U305" s="306">
        <f>(441.1*KFC!$B$23*1.02*1.3+KFC!$C$23)*KFC!$C$5</f>
        <v>584.8986000000001</v>
      </c>
      <c r="V305" s="306">
        <f>(456.1*KFC!$B$23*1.02*1.3+KFC!$C$23)*KFC!$C$5</f>
        <v>604.78860000000009</v>
      </c>
      <c r="W305" s="306">
        <f>(471.1*KFC!$B$23*1.02*1.3+KFC!$C$23)*KFC!$C$5</f>
        <v>624.67860000000007</v>
      </c>
      <c r="X305" s="306">
        <f>(486*KFC!$B$23*1.02*1.3+KFC!$C$23)*KFC!$C$5</f>
        <v>644.43600000000004</v>
      </c>
      <c r="Y305" s="306">
        <f>(501*KFC!$B$23*1.02*1.3+KFC!$C$23)*KFC!$C$5</f>
        <v>664.32600000000002</v>
      </c>
      <c r="Z305" s="306">
        <f>(516*KFC!$B$23*1.02*1.3+KFC!$C$23)*KFC!$C$5</f>
        <v>684.21600000000012</v>
      </c>
      <c r="AA305" s="306">
        <f>(531*KFC!$B$23*1.02*1.3+KFC!$C$23)*KFC!$C$5</f>
        <v>704.10599999999999</v>
      </c>
      <c r="AB305" s="306">
        <f>(546*KFC!$B$23*1.02*1.3+KFC!$C$23)*KFC!$C$5</f>
        <v>723.99599999999998</v>
      </c>
      <c r="AC305" s="306">
        <f>(561*KFC!$B$23*1.02*1.3+KFC!$C$23)*KFC!$C$5</f>
        <v>743.88600000000008</v>
      </c>
      <c r="AD305" s="306">
        <f>(576*KFC!$B$23*1.02*1.3+KFC!$C$23)*KFC!$C$5</f>
        <v>763.77599999999995</v>
      </c>
      <c r="AE305" s="306">
        <f>(591*KFC!$B$23*1.02*1.3+KFC!$C$23)*KFC!$C$5</f>
        <v>783.66600000000005</v>
      </c>
      <c r="AF305" s="306">
        <f>(606*KFC!$B$23*1.02*1.3+KFC!$C$23)*KFC!$C$5</f>
        <v>803.55600000000004</v>
      </c>
      <c r="AG305" s="306">
        <f>(621*KFC!$B$23*1.02*1.3+KFC!$C$23)*KFC!$C$5</f>
        <v>823.44600000000003</v>
      </c>
      <c r="AH305" s="307">
        <f>(636*KFC!$B$23*1.02*1.3+KFC!$C$23)*KFC!$C$5</f>
        <v>843.33600000000001</v>
      </c>
    </row>
    <row r="306" spans="1:34" ht="13.8" thickBot="1">
      <c r="A306" s="218"/>
      <c r="B306" s="218"/>
      <c r="C306" s="218"/>
      <c r="D306" s="218"/>
      <c r="E306" s="218"/>
      <c r="F306" s="218"/>
      <c r="G306" s="218"/>
      <c r="H306" s="218"/>
      <c r="I306" s="218"/>
      <c r="J306" s="218"/>
      <c r="K306" s="218"/>
      <c r="L306" s="218"/>
      <c r="M306" s="218"/>
      <c r="N306" s="218"/>
      <c r="O306" s="218"/>
      <c r="P306" s="218"/>
      <c r="Q306" s="218"/>
      <c r="R306" s="218"/>
      <c r="S306" s="218"/>
      <c r="T306" s="218"/>
      <c r="U306" s="218"/>
      <c r="V306" s="218"/>
      <c r="W306" s="218"/>
      <c r="X306" s="218"/>
      <c r="Y306" s="218"/>
      <c r="Z306" s="218"/>
      <c r="AA306" s="218"/>
      <c r="AB306" s="218"/>
      <c r="AC306" s="218"/>
      <c r="AD306" s="218"/>
      <c r="AE306" s="218"/>
      <c r="AF306" s="218"/>
      <c r="AG306" s="218"/>
      <c r="AH306" s="218"/>
    </row>
    <row r="307" spans="1:34" ht="13.8" thickBot="1">
      <c r="A307" s="200"/>
      <c r="B307" s="200"/>
      <c r="C307" s="200"/>
      <c r="D307" s="200"/>
      <c r="E307" s="200"/>
      <c r="F307" s="200"/>
      <c r="G307" s="200"/>
      <c r="H307" s="200"/>
      <c r="I307" s="200"/>
      <c r="J307" s="200"/>
      <c r="K307" s="200"/>
      <c r="L307" s="200"/>
      <c r="M307" s="200"/>
      <c r="N307" s="200"/>
      <c r="O307" s="200"/>
      <c r="P307" s="200"/>
      <c r="Q307" s="200"/>
      <c r="R307" s="200"/>
      <c r="S307" s="200"/>
      <c r="T307" s="200"/>
      <c r="U307" s="200"/>
      <c r="V307" s="200"/>
      <c r="W307" s="200"/>
      <c r="X307" s="200"/>
      <c r="Y307" s="200"/>
      <c r="Z307" s="200"/>
      <c r="AA307" s="200"/>
      <c r="AB307" s="200"/>
      <c r="AC307" s="200"/>
      <c r="AD307" s="200"/>
      <c r="AE307" s="200"/>
      <c r="AF307" s="200"/>
      <c r="AG307" s="200"/>
      <c r="AH307" s="200"/>
    </row>
    <row r="308" spans="1:34" ht="13.8" thickBot="1">
      <c r="A308" s="1413" t="s">
        <v>320</v>
      </c>
      <c r="B308" s="1601"/>
      <c r="C308" s="1534" t="s">
        <v>207</v>
      </c>
      <c r="D308" s="1535"/>
      <c r="E308" s="1535"/>
      <c r="F308" s="1535"/>
      <c r="G308" s="1535"/>
      <c r="H308" s="1535"/>
      <c r="I308" s="1535"/>
      <c r="J308" s="1535"/>
      <c r="K308" s="1535"/>
      <c r="L308" s="1535"/>
      <c r="M308" s="1535"/>
      <c r="N308" s="1535"/>
      <c r="O308" s="1535"/>
      <c r="P308" s="1535"/>
      <c r="Q308" s="1535"/>
      <c r="R308" s="1535"/>
      <c r="S308" s="1535"/>
      <c r="T308" s="1535"/>
      <c r="U308" s="1535"/>
      <c r="V308" s="1535"/>
      <c r="W308" s="1535"/>
      <c r="X308" s="1535"/>
      <c r="Y308" s="1535"/>
      <c r="Z308" s="1535"/>
      <c r="AA308" s="1535"/>
      <c r="AB308" s="1535"/>
      <c r="AC308" s="1535"/>
      <c r="AD308" s="1535"/>
      <c r="AE308" s="1535"/>
      <c r="AF308" s="1535"/>
      <c r="AG308" s="1535"/>
      <c r="AH308" s="1536"/>
    </row>
    <row r="309" spans="1:34" ht="13.8" thickBot="1">
      <c r="A309" s="1778"/>
      <c r="B309" s="1779"/>
      <c r="C309" s="341">
        <v>0.7</v>
      </c>
      <c r="D309" s="341">
        <v>0.8</v>
      </c>
      <c r="E309" s="341">
        <v>0.9</v>
      </c>
      <c r="F309" s="341">
        <v>1</v>
      </c>
      <c r="G309" s="341">
        <v>1.1000000000000001</v>
      </c>
      <c r="H309" s="341">
        <v>1.2</v>
      </c>
      <c r="I309" s="341">
        <v>1.3</v>
      </c>
      <c r="J309" s="341">
        <v>1.4</v>
      </c>
      <c r="K309" s="341">
        <v>1.5</v>
      </c>
      <c r="L309" s="341">
        <v>1.6</v>
      </c>
      <c r="M309" s="341">
        <v>1.7</v>
      </c>
      <c r="N309" s="341">
        <v>1.8</v>
      </c>
      <c r="O309" s="341">
        <v>1.9</v>
      </c>
      <c r="P309" s="341">
        <v>2</v>
      </c>
      <c r="Q309" s="341">
        <v>2.1</v>
      </c>
      <c r="R309" s="341">
        <v>2.2000000000000002</v>
      </c>
      <c r="S309" s="341">
        <v>2.2999999999999998</v>
      </c>
      <c r="T309" s="341">
        <v>2.4</v>
      </c>
      <c r="U309" s="341">
        <v>2.5</v>
      </c>
      <c r="V309" s="341">
        <v>2.6</v>
      </c>
      <c r="W309" s="341">
        <v>2.7</v>
      </c>
      <c r="X309" s="341">
        <v>2.8</v>
      </c>
      <c r="Y309" s="341">
        <v>2.9</v>
      </c>
      <c r="Z309" s="342">
        <v>3</v>
      </c>
      <c r="AA309" s="340">
        <v>3.1</v>
      </c>
      <c r="AB309" s="341">
        <v>3.2</v>
      </c>
      <c r="AC309" s="341">
        <v>3.3</v>
      </c>
      <c r="AD309" s="341">
        <v>3.4</v>
      </c>
      <c r="AE309" s="341">
        <v>3.5</v>
      </c>
      <c r="AF309" s="341">
        <v>3.6</v>
      </c>
      <c r="AG309" s="341">
        <v>3.7</v>
      </c>
      <c r="AH309" s="341">
        <v>3.8</v>
      </c>
    </row>
    <row r="310" spans="1:34">
      <c r="A310" s="1780" t="s">
        <v>3</v>
      </c>
      <c r="B310" s="394">
        <v>0.5</v>
      </c>
      <c r="C310" s="274">
        <f>(92.9*KFC!$B$23*1.02*1.3+KFC!$C$23)*KFC!$C$5</f>
        <v>123.18540000000002</v>
      </c>
      <c r="D310" s="301">
        <f>(95.5*KFC!$B$23*1.02*1.3+KFC!$C$23)*KFC!$C$5</f>
        <v>126.633</v>
      </c>
      <c r="E310" s="301">
        <f>(98*KFC!$B$23*1.02*1.3+KFC!$C$23)*KFC!$C$5</f>
        <v>129.94800000000001</v>
      </c>
      <c r="F310" s="301">
        <f>(100.5*KFC!$B$23*1.02*1.3+KFC!$C$23)*KFC!$C$5</f>
        <v>133.26300000000001</v>
      </c>
      <c r="G310" s="301">
        <f>(103*KFC!$B$23*1.02*1.3+KFC!$C$23)*KFC!$C$5</f>
        <v>136.578</v>
      </c>
      <c r="H310" s="301">
        <f>(105.6*KFC!$B$23*1.02*1.3+KFC!$C$23)*KFC!$C$5</f>
        <v>140.0256</v>
      </c>
      <c r="I310" s="301">
        <f>(108.1*KFC!$B$23*1.02*1.3+KFC!$C$23)*KFC!$C$5</f>
        <v>143.34059999999999</v>
      </c>
      <c r="J310" s="301">
        <f>(110.6*KFC!$B$23*1.02*1.3+KFC!$C$23)*KFC!$C$5</f>
        <v>146.65559999999999</v>
      </c>
      <c r="K310" s="301">
        <f>(113.1*KFC!$B$23*1.02*1.3+KFC!$C$23)*KFC!$C$5</f>
        <v>149.97059999999999</v>
      </c>
      <c r="L310" s="300">
        <f>(115.7*KFC!$B$23*1.02*1.3+KFC!$C$23)*KFC!$C$5</f>
        <v>153.41820000000001</v>
      </c>
      <c r="M310" s="301">
        <f>(118.2*KFC!$B$23*1.02*1.3+KFC!$C$23)*KFC!$C$5</f>
        <v>156.73320000000001</v>
      </c>
      <c r="N310" s="301">
        <f>(120.7*KFC!$B$23*1.02*1.3+KFC!$C$23)*KFC!$C$5</f>
        <v>160.04820000000001</v>
      </c>
      <c r="O310" s="301">
        <f>(123.2*KFC!$B$23*1.02*1.3+KFC!$C$23)*KFC!$C$5</f>
        <v>163.36320000000001</v>
      </c>
      <c r="P310" s="301">
        <f>(125.8*KFC!$B$23*1.02*1.3+KFC!$C$23)*KFC!$C$5</f>
        <v>166.8108</v>
      </c>
      <c r="Q310" s="301">
        <f>(128.3*KFC!$B$23*1.02*1.3+KFC!$C$23)*KFC!$C$5</f>
        <v>170.12580000000003</v>
      </c>
      <c r="R310" s="301">
        <f>(130.8*KFC!$B$23*1.02*1.3+KFC!$C$23)*KFC!$C$5</f>
        <v>173.44080000000005</v>
      </c>
      <c r="S310" s="301">
        <f>(133.3*KFC!$B$23*1.02*1.3+KFC!$C$23)*KFC!$C$5</f>
        <v>176.75580000000002</v>
      </c>
      <c r="T310" s="301">
        <f>(135.9*KFC!$B$23*1.02*1.3+KFC!$C$23)*KFC!$C$5</f>
        <v>180.20339999999999</v>
      </c>
      <c r="U310" s="301">
        <f>(138.4*KFC!$B$23*1.02*1.3+KFC!$C$23)*KFC!$C$5</f>
        <v>183.51840000000001</v>
      </c>
      <c r="V310" s="301">
        <f>(140.9*KFC!$B$23*1.02*1.3+KFC!$C$23)*KFC!$C$5</f>
        <v>186.83340000000004</v>
      </c>
      <c r="W310" s="301">
        <f>(143.4*KFC!$B$23*1.02*1.3+KFC!$C$23)*KFC!$C$5</f>
        <v>190.14840000000001</v>
      </c>
      <c r="X310" s="301">
        <f>(146*KFC!$B$23*1.02*1.3+KFC!$C$23)*KFC!$C$5</f>
        <v>193.59600000000003</v>
      </c>
      <c r="Y310" s="301">
        <f>(148.5*KFC!$B$23*1.02*1.3+KFC!$C$23)*KFC!$C$5</f>
        <v>196.911</v>
      </c>
      <c r="Z310" s="301">
        <f>(151*KFC!$B$23*1.02*1.3+KFC!$C$23)*KFC!$C$5</f>
        <v>200.22600000000003</v>
      </c>
      <c r="AA310" s="301">
        <f>(153.5*KFC!$B$23*1.02*1.3+KFC!$C$23)*KFC!$C$5</f>
        <v>203.541</v>
      </c>
      <c r="AB310" s="301">
        <f>(156.1*KFC!$B$23*1.02*1.3+KFC!$C$23)*KFC!$C$5</f>
        <v>206.98860000000002</v>
      </c>
      <c r="AC310" s="301">
        <f>(158.6*KFC!$B$23*1.02*1.3+KFC!$C$23)*KFC!$C$5</f>
        <v>210.30359999999999</v>
      </c>
      <c r="AD310" s="301">
        <f>(161.1*KFC!$B$23*1.02*1.3+KFC!$C$23)*KFC!$C$5</f>
        <v>213.61860000000001</v>
      </c>
      <c r="AE310" s="301">
        <f>(163.6*KFC!$B$23*1.02*1.3+KFC!$C$23)*KFC!$C$5</f>
        <v>216.93359999999998</v>
      </c>
      <c r="AF310" s="301">
        <f>(166.2*KFC!$B$23*1.02*1.3+KFC!$C$23)*KFC!$C$5</f>
        <v>220.38120000000001</v>
      </c>
      <c r="AG310" s="301">
        <f>(168.7*KFC!$B$23*1.02*1.3+KFC!$C$23)*KFC!$C$5</f>
        <v>223.69619999999998</v>
      </c>
      <c r="AH310" s="302">
        <f>(171.2*KFC!$B$23*1.02*1.3+KFC!$C$23)*KFC!$C$5</f>
        <v>227.0112</v>
      </c>
    </row>
    <row r="311" spans="1:34">
      <c r="A311" s="1781"/>
      <c r="B311" s="395">
        <v>0.6</v>
      </c>
      <c r="C311" s="303">
        <f>(95.1*KFC!$B$23*1.02*1.3+KFC!$C$23)*KFC!$C$5</f>
        <v>126.1026</v>
      </c>
      <c r="D311" s="300">
        <f>(98*KFC!$B$23*1.02*1.3+KFC!$C$23)*KFC!$C$5</f>
        <v>129.94800000000001</v>
      </c>
      <c r="E311" s="300">
        <f>(100.9*KFC!$B$23*1.02*1.3+KFC!$C$23)*KFC!$C$5</f>
        <v>133.79340000000002</v>
      </c>
      <c r="F311" s="300">
        <f>(103.7*KFC!$B$23*1.02*1.3+KFC!$C$23)*KFC!$C$5</f>
        <v>137.50620000000001</v>
      </c>
      <c r="G311" s="300">
        <f>(106.6*KFC!$B$23*1.02*1.3+KFC!$C$23)*KFC!$C$5</f>
        <v>141.35159999999999</v>
      </c>
      <c r="H311" s="300">
        <f>(109.4*KFC!$B$23*1.02*1.3+KFC!$C$23)*KFC!$C$5</f>
        <v>145.06440000000001</v>
      </c>
      <c r="I311" s="300">
        <f>(112.3*KFC!$B$23*1.02*1.3+KFC!$C$23)*KFC!$C$5</f>
        <v>148.90979999999999</v>
      </c>
      <c r="J311" s="300">
        <f>(115.1*KFC!$B$23*1.02*1.3+KFC!$C$23)*KFC!$C$5</f>
        <v>152.62260000000001</v>
      </c>
      <c r="K311" s="300">
        <f>(118*KFC!$B$23*1.02*1.3+KFC!$C$23)*KFC!$C$5</f>
        <v>156.46800000000002</v>
      </c>
      <c r="L311" s="300">
        <f>(120.8*KFC!$B$23*1.02*1.3+KFC!$C$23)*KFC!$C$5</f>
        <v>160.1808</v>
      </c>
      <c r="M311" s="300">
        <f>(123.7*KFC!$B$23*1.02*1.3+KFC!$C$23)*KFC!$C$5</f>
        <v>164.02620000000002</v>
      </c>
      <c r="N311" s="300">
        <f>(126.6*KFC!$B$23*1.02*1.3+KFC!$C$23)*KFC!$C$5</f>
        <v>167.8716</v>
      </c>
      <c r="O311" s="300">
        <f>(129.4*KFC!$B$23*1.02*1.3+KFC!$C$23)*KFC!$C$5</f>
        <v>171.58440000000002</v>
      </c>
      <c r="P311" s="300">
        <f>(132.3*KFC!$B$23*1.02*1.3+KFC!$C$23)*KFC!$C$5</f>
        <v>175.42980000000003</v>
      </c>
      <c r="Q311" s="300">
        <f>(135.1*KFC!$B$23*1.02*1.3+KFC!$C$23)*KFC!$C$5</f>
        <v>179.14259999999999</v>
      </c>
      <c r="R311" s="300">
        <f>(138*KFC!$B$23*1.02*1.3+KFC!$C$23)*KFC!$C$5</f>
        <v>182.988</v>
      </c>
      <c r="S311" s="300">
        <f>(140.8*KFC!$B$23*1.02*1.3+KFC!$C$23)*KFC!$C$5</f>
        <v>186.70080000000002</v>
      </c>
      <c r="T311" s="300">
        <f>(143.7*KFC!$B$23*1.02*1.3+KFC!$C$23)*KFC!$C$5</f>
        <v>190.5462</v>
      </c>
      <c r="U311" s="300">
        <f>(146.5*KFC!$B$23*1.02*1.3+KFC!$C$23)*KFC!$C$5</f>
        <v>194.25900000000001</v>
      </c>
      <c r="V311" s="300">
        <f>(149.4*KFC!$B$23*1.02*1.3+KFC!$C$23)*KFC!$C$5</f>
        <v>198.10440000000003</v>
      </c>
      <c r="W311" s="300">
        <f>(152.3*KFC!$B$23*1.02*1.3+KFC!$C$23)*KFC!$C$5</f>
        <v>201.94980000000001</v>
      </c>
      <c r="X311" s="300">
        <f>(155.1*KFC!$B$23*1.02*1.3+KFC!$C$23)*KFC!$C$5</f>
        <v>205.6626</v>
      </c>
      <c r="Y311" s="300">
        <f>(158*KFC!$B$23*1.02*1.3+KFC!$C$23)*KFC!$C$5</f>
        <v>209.50800000000001</v>
      </c>
      <c r="Z311" s="300">
        <f>(160.8*KFC!$B$23*1.02*1.3+KFC!$C$23)*KFC!$C$5</f>
        <v>213.22080000000003</v>
      </c>
      <c r="AA311" s="300">
        <f>(163.7*KFC!$B$23*1.02*1.3+KFC!$C$23)*KFC!$C$5</f>
        <v>217.06619999999998</v>
      </c>
      <c r="AB311" s="300">
        <f>(166.5*KFC!$B$23*1.02*1.3+KFC!$C$23)*KFC!$C$5</f>
        <v>220.77900000000002</v>
      </c>
      <c r="AC311" s="300">
        <f>(169.4*KFC!$B$23*1.02*1.3+KFC!$C$23)*KFC!$C$5</f>
        <v>224.62440000000001</v>
      </c>
      <c r="AD311" s="300">
        <f>(172.3*KFC!$B$23*1.02*1.3+KFC!$C$23)*KFC!$C$5</f>
        <v>228.46980000000002</v>
      </c>
      <c r="AE311" s="300">
        <f>(175.1*KFC!$B$23*1.02*1.3+KFC!$C$23)*KFC!$C$5</f>
        <v>232.18260000000001</v>
      </c>
      <c r="AF311" s="300">
        <f>(178*KFC!$B$23*1.02*1.3+KFC!$C$23)*KFC!$C$5</f>
        <v>236.02800000000002</v>
      </c>
      <c r="AG311" s="300">
        <f>(180.8*KFC!$B$23*1.02*1.3+KFC!$C$23)*KFC!$C$5</f>
        <v>239.74080000000004</v>
      </c>
      <c r="AH311" s="304">
        <f>(183.7*KFC!$B$23*1.02*1.3+KFC!$C$23)*KFC!$C$5</f>
        <v>243.58619999999999</v>
      </c>
    </row>
    <row r="312" spans="1:34">
      <c r="A312" s="1781"/>
      <c r="B312" s="395">
        <v>0.7</v>
      </c>
      <c r="C312" s="303">
        <f>(97.4*KFC!$B$23*1.02*1.3+KFC!$C$23)*KFC!$C$5</f>
        <v>129.15240000000003</v>
      </c>
      <c r="D312" s="300">
        <f>(100.5*KFC!$B$23*1.02*1.3+KFC!$C$23)*KFC!$C$5</f>
        <v>133.26300000000001</v>
      </c>
      <c r="E312" s="300">
        <f>(103.7*KFC!$B$23*1.02*1.3+KFC!$C$23)*KFC!$C$5</f>
        <v>137.50620000000001</v>
      </c>
      <c r="F312" s="300">
        <f>(106.9*KFC!$B$23*1.02*1.3+KFC!$C$23)*KFC!$C$5</f>
        <v>141.74940000000001</v>
      </c>
      <c r="G312" s="300">
        <f>(110.1*KFC!$B$23*1.02*1.3+KFC!$C$23)*KFC!$C$5</f>
        <v>145.99259999999998</v>
      </c>
      <c r="H312" s="300">
        <f>(113.3*KFC!$B$23*1.02*1.3+KFC!$C$23)*KFC!$C$5</f>
        <v>150.23580000000001</v>
      </c>
      <c r="I312" s="300">
        <f>(116.5*KFC!$B$23*1.02*1.3+KFC!$C$23)*KFC!$C$5</f>
        <v>154.47900000000001</v>
      </c>
      <c r="J312" s="300">
        <f>(119.7*KFC!$B$23*1.02*1.3+KFC!$C$23)*KFC!$C$5</f>
        <v>158.72220000000002</v>
      </c>
      <c r="K312" s="300">
        <f>(122.8*KFC!$B$23*1.02*1.3+KFC!$C$23)*KFC!$C$5</f>
        <v>162.83279999999999</v>
      </c>
      <c r="L312" s="300">
        <f>(126*KFC!$B$23*1.02*1.3+KFC!$C$23)*KFC!$C$5</f>
        <v>167.07600000000002</v>
      </c>
      <c r="M312" s="300">
        <f>(129.2*KFC!$B$23*1.02*1.3+KFC!$C$23)*KFC!$C$5</f>
        <v>171.3192</v>
      </c>
      <c r="N312" s="300">
        <f>(132.4*KFC!$B$23*1.02*1.3+KFC!$C$23)*KFC!$C$5</f>
        <v>175.5624</v>
      </c>
      <c r="O312" s="300">
        <f>(135.6*KFC!$B$23*1.02*1.3+KFC!$C$23)*KFC!$C$5</f>
        <v>179.8056</v>
      </c>
      <c r="P312" s="300">
        <f>(138.8*KFC!$B$23*1.02*1.3+KFC!$C$23)*KFC!$C$5</f>
        <v>184.04880000000003</v>
      </c>
      <c r="Q312" s="300">
        <f>(142*KFC!$B$23*1.02*1.3+KFC!$C$23)*KFC!$C$5</f>
        <v>188.292</v>
      </c>
      <c r="R312" s="300">
        <f>(145.1*KFC!$B$23*1.02*1.3+KFC!$C$23)*KFC!$C$5</f>
        <v>192.40260000000001</v>
      </c>
      <c r="S312" s="300">
        <f>(148.3*KFC!$B$23*1.02*1.3+KFC!$C$23)*KFC!$C$5</f>
        <v>196.64580000000004</v>
      </c>
      <c r="T312" s="300">
        <f>(151.5*KFC!$B$23*1.02*1.3+KFC!$C$23)*KFC!$C$5</f>
        <v>200.88900000000001</v>
      </c>
      <c r="U312" s="300">
        <f>(154.7*KFC!$B$23*1.02*1.3+KFC!$C$23)*KFC!$C$5</f>
        <v>205.13219999999998</v>
      </c>
      <c r="V312" s="300">
        <f>(157.9*KFC!$B$23*1.02*1.3+KFC!$C$23)*KFC!$C$5</f>
        <v>209.37540000000004</v>
      </c>
      <c r="W312" s="300">
        <f>(161.1*KFC!$B$23*1.02*1.3+KFC!$C$23)*KFC!$C$5</f>
        <v>213.61860000000001</v>
      </c>
      <c r="X312" s="300">
        <f>(164.3*KFC!$B$23*1.02*1.3+KFC!$C$23)*KFC!$C$5</f>
        <v>217.86180000000002</v>
      </c>
      <c r="Y312" s="300">
        <f>(167.4*KFC!$B$23*1.02*1.3+KFC!$C$23)*KFC!$C$5</f>
        <v>221.97240000000002</v>
      </c>
      <c r="Z312" s="300">
        <f>(170.6*KFC!$B$23*1.02*1.3+KFC!$C$23)*KFC!$C$5</f>
        <v>226.21559999999999</v>
      </c>
      <c r="AA312" s="300">
        <f>(173.8*KFC!$B$23*1.02*1.3+KFC!$C$23)*KFC!$C$5</f>
        <v>230.45880000000002</v>
      </c>
      <c r="AB312" s="300">
        <f>(177*KFC!$B$23*1.02*1.3+KFC!$C$23)*KFC!$C$5</f>
        <v>234.702</v>
      </c>
      <c r="AC312" s="300">
        <f>(180.2*KFC!$B$23*1.02*1.3+KFC!$C$23)*KFC!$C$5</f>
        <v>238.9452</v>
      </c>
      <c r="AD312" s="300">
        <f>(183.4*KFC!$B$23*1.02*1.3+KFC!$C$23)*KFC!$C$5</f>
        <v>243.18840000000003</v>
      </c>
      <c r="AE312" s="300">
        <f>(186.6*KFC!$B$23*1.02*1.3+KFC!$C$23)*KFC!$C$5</f>
        <v>247.4316</v>
      </c>
      <c r="AF312" s="300">
        <f>(189.8*KFC!$B$23*1.02*1.3+KFC!$C$23)*KFC!$C$5</f>
        <v>251.6748</v>
      </c>
      <c r="AG312" s="300">
        <f>(192.9*KFC!$B$23*1.02*1.3+KFC!$C$23)*KFC!$C$5</f>
        <v>255.78540000000001</v>
      </c>
      <c r="AH312" s="304">
        <f>(196.1*KFC!$B$23*1.02*1.3+KFC!$C$23)*KFC!$C$5</f>
        <v>260.02859999999998</v>
      </c>
    </row>
    <row r="313" spans="1:34">
      <c r="A313" s="1781"/>
      <c r="B313" s="395">
        <v>0.8</v>
      </c>
      <c r="C313" s="303">
        <f>(99.6*KFC!$B$23*1.02*1.3+KFC!$C$23)*KFC!$C$5</f>
        <v>132.06960000000001</v>
      </c>
      <c r="D313" s="300">
        <f>(103.1*KFC!$B$23*1.02*1.3+KFC!$C$23)*KFC!$C$5</f>
        <v>136.7106</v>
      </c>
      <c r="E313" s="300">
        <f>(106.6*KFC!$B$23*1.02*1.3+KFC!$C$23)*KFC!$C$5</f>
        <v>141.35159999999999</v>
      </c>
      <c r="F313" s="300">
        <f>(110.1*KFC!$B$23*1.02*1.3+KFC!$C$23)*KFC!$C$5</f>
        <v>145.99259999999998</v>
      </c>
      <c r="G313" s="300">
        <f>(113.6*KFC!$B$23*1.02*1.3+KFC!$C$23)*KFC!$C$5</f>
        <v>150.6336</v>
      </c>
      <c r="H313" s="300">
        <f>(117.1*KFC!$B$23*1.02*1.3+KFC!$C$23)*KFC!$C$5</f>
        <v>155.27459999999999</v>
      </c>
      <c r="I313" s="300">
        <f>(120.7*KFC!$B$23*1.02*1.3+KFC!$C$23)*KFC!$C$5</f>
        <v>160.04820000000001</v>
      </c>
      <c r="J313" s="300">
        <f>(124.2*KFC!$B$23*1.02*1.3+KFC!$C$23)*KFC!$C$5</f>
        <v>164.68920000000003</v>
      </c>
      <c r="K313" s="300">
        <f>(127.7*KFC!$B$23*1.02*1.3+KFC!$C$23)*KFC!$C$5</f>
        <v>169.33020000000002</v>
      </c>
      <c r="L313" s="300">
        <f>(131.2*KFC!$B$23*1.02*1.3+KFC!$C$23)*KFC!$C$5</f>
        <v>173.97119999999998</v>
      </c>
      <c r="M313" s="300">
        <f>(134.7*KFC!$B$23*1.02*1.3+KFC!$C$23)*KFC!$C$5</f>
        <v>178.61219999999997</v>
      </c>
      <c r="N313" s="300">
        <f>(138.2*KFC!$B$23*1.02*1.3+KFC!$C$23)*KFC!$C$5</f>
        <v>183.25319999999999</v>
      </c>
      <c r="O313" s="300">
        <f>(141.8*KFC!$B$23*1.02*1.3+KFC!$C$23)*KFC!$C$5</f>
        <v>188.02680000000004</v>
      </c>
      <c r="P313" s="300">
        <f>(145.3*KFC!$B$23*1.02*1.3+KFC!$C$23)*KFC!$C$5</f>
        <v>192.66780000000003</v>
      </c>
      <c r="Q313" s="300">
        <f>(148.8*KFC!$B$23*1.02*1.3+KFC!$C$23)*KFC!$C$5</f>
        <v>197.30880000000002</v>
      </c>
      <c r="R313" s="300">
        <f>(152.3*KFC!$B$23*1.02*1.3+KFC!$C$23)*KFC!$C$5</f>
        <v>201.94980000000001</v>
      </c>
      <c r="S313" s="300">
        <f>(155.8*KFC!$B$23*1.02*1.3+KFC!$C$23)*KFC!$C$5</f>
        <v>206.59080000000003</v>
      </c>
      <c r="T313" s="300">
        <f>(159.3*KFC!$B$23*1.02*1.3+KFC!$C$23)*KFC!$C$5</f>
        <v>211.23180000000002</v>
      </c>
      <c r="U313" s="300">
        <f>(162.9*KFC!$B$23*1.02*1.3+KFC!$C$23)*KFC!$C$5</f>
        <v>216.00540000000004</v>
      </c>
      <c r="V313" s="300">
        <f>(166.4*KFC!$B$23*1.02*1.3+KFC!$C$23)*KFC!$C$5</f>
        <v>220.64640000000003</v>
      </c>
      <c r="W313" s="300">
        <f>(169.9*KFC!$B$23*1.02*1.3+KFC!$C$23)*KFC!$C$5</f>
        <v>225.28740000000002</v>
      </c>
      <c r="X313" s="300">
        <f>(173.4*KFC!$B$23*1.02*1.3+KFC!$C$23)*KFC!$C$5</f>
        <v>229.92840000000001</v>
      </c>
      <c r="Y313" s="300">
        <f>(176.9*KFC!$B$23*1.02*1.3+KFC!$C$23)*KFC!$C$5</f>
        <v>234.56940000000003</v>
      </c>
      <c r="Z313" s="300">
        <f>(180.4*KFC!$B$23*1.02*1.3+KFC!$C$23)*KFC!$C$5</f>
        <v>239.21040000000002</v>
      </c>
      <c r="AA313" s="300">
        <f>(184*KFC!$B$23*1.02*1.3+KFC!$C$23)*KFC!$C$5</f>
        <v>243.98400000000001</v>
      </c>
      <c r="AB313" s="300">
        <f>(187.5*KFC!$B$23*1.02*1.3+KFC!$C$23)*KFC!$C$5</f>
        <v>248.625</v>
      </c>
      <c r="AC313" s="300">
        <f>(191*KFC!$B$23*1.02*1.3+KFC!$C$23)*KFC!$C$5</f>
        <v>253.26599999999999</v>
      </c>
      <c r="AD313" s="300">
        <f>(194.5*KFC!$B$23*1.02*1.3+KFC!$C$23)*KFC!$C$5</f>
        <v>257.90700000000004</v>
      </c>
      <c r="AE313" s="300">
        <f>(198*KFC!$B$23*1.02*1.3+KFC!$C$23)*KFC!$C$5</f>
        <v>262.548</v>
      </c>
      <c r="AF313" s="300">
        <f>(201.5*KFC!$B$23*1.02*1.3+KFC!$C$23)*KFC!$C$5</f>
        <v>267.18900000000002</v>
      </c>
      <c r="AG313" s="300">
        <f>(205.1*KFC!$B$23*1.02*1.3+KFC!$C$23)*KFC!$C$5</f>
        <v>271.96260000000001</v>
      </c>
      <c r="AH313" s="304">
        <f>(208.6*KFC!$B$23*1.02*1.3+KFC!$C$23)*KFC!$C$5</f>
        <v>276.60359999999997</v>
      </c>
    </row>
    <row r="314" spans="1:34">
      <c r="A314" s="1781"/>
      <c r="B314" s="395">
        <v>0.9</v>
      </c>
      <c r="C314" s="303">
        <f>(101.8*KFC!$B$23*1.02*1.3+KFC!$C$23)*KFC!$C$5</f>
        <v>134.98680000000002</v>
      </c>
      <c r="D314" s="300">
        <f>(105.6*KFC!$B$23*1.02*1.3+KFC!$C$23)*KFC!$C$5</f>
        <v>140.0256</v>
      </c>
      <c r="E314" s="300">
        <f>(109.4*KFC!$B$23*1.02*1.3+KFC!$C$23)*KFC!$C$5</f>
        <v>145.06440000000001</v>
      </c>
      <c r="F314" s="300">
        <f>(113.3*KFC!$B$23*1.02*1.3+KFC!$C$23)*KFC!$C$5</f>
        <v>150.23580000000001</v>
      </c>
      <c r="G314" s="300">
        <f>(117.1*KFC!$B$23*1.02*1.3+KFC!$C$23)*KFC!$C$5</f>
        <v>155.27459999999999</v>
      </c>
      <c r="H314" s="300">
        <f>(121*KFC!$B$23*1.02*1.3+KFC!$C$23)*KFC!$C$5</f>
        <v>160.446</v>
      </c>
      <c r="I314" s="300">
        <f>(124.8*KFC!$B$23*1.02*1.3+KFC!$C$23)*KFC!$C$5</f>
        <v>165.48480000000001</v>
      </c>
      <c r="J314" s="300">
        <f>(128.7*KFC!$B$23*1.02*1.3+KFC!$C$23)*KFC!$C$5</f>
        <v>170.65620000000001</v>
      </c>
      <c r="K314" s="300">
        <f>(132.5*KFC!$B$23*1.02*1.3+KFC!$C$23)*KFC!$C$5</f>
        <v>175.69500000000002</v>
      </c>
      <c r="L314" s="300">
        <f>(136.4*KFC!$B$23*1.02*1.3+KFC!$C$23)*KFC!$C$5</f>
        <v>180.86640000000003</v>
      </c>
      <c r="M314" s="300">
        <f>(140.2*KFC!$B$23*1.02*1.3+KFC!$C$23)*KFC!$C$5</f>
        <v>185.90520000000001</v>
      </c>
      <c r="N314" s="300">
        <f>(144.1*KFC!$B$23*1.02*1.3+KFC!$C$23)*KFC!$C$5</f>
        <v>191.07660000000001</v>
      </c>
      <c r="O314" s="300">
        <f>(147.9*KFC!$B$23*1.02*1.3+KFC!$C$23)*KFC!$C$5</f>
        <v>196.11540000000002</v>
      </c>
      <c r="P314" s="300">
        <f>(151.8*KFC!$B$23*1.02*1.3+KFC!$C$23)*KFC!$C$5</f>
        <v>201.28680000000003</v>
      </c>
      <c r="Q314" s="300">
        <f>(155.6*KFC!$B$23*1.02*1.3+KFC!$C$23)*KFC!$C$5</f>
        <v>206.32559999999998</v>
      </c>
      <c r="R314" s="300">
        <f>(159.5*KFC!$B$23*1.02*1.3+KFC!$C$23)*KFC!$C$5</f>
        <v>211.49700000000001</v>
      </c>
      <c r="S314" s="300">
        <f>(163.3*KFC!$B$23*1.02*1.3+KFC!$C$23)*KFC!$C$5</f>
        <v>216.53580000000002</v>
      </c>
      <c r="T314" s="300">
        <f>(167.2*KFC!$B$23*1.02*1.3+KFC!$C$23)*KFC!$C$5</f>
        <v>221.70719999999997</v>
      </c>
      <c r="U314" s="300">
        <f>(171*KFC!$B$23*1.02*1.3+KFC!$C$23)*KFC!$C$5</f>
        <v>226.74600000000004</v>
      </c>
      <c r="V314" s="300">
        <f>(174.9*KFC!$B$23*1.02*1.3+KFC!$C$23)*KFC!$C$5</f>
        <v>231.91740000000001</v>
      </c>
      <c r="W314" s="300">
        <f>(178.7*KFC!$B$23*1.02*1.3+KFC!$C$23)*KFC!$C$5</f>
        <v>236.9562</v>
      </c>
      <c r="X314" s="300">
        <f>(182.6*KFC!$B$23*1.02*1.3+KFC!$C$23)*KFC!$C$5</f>
        <v>242.12760000000003</v>
      </c>
      <c r="Y314" s="300">
        <f>(186.4*KFC!$B$23*1.02*1.3+KFC!$C$23)*KFC!$C$5</f>
        <v>247.16640000000004</v>
      </c>
      <c r="Z314" s="300">
        <f>(190.2*KFC!$B$23*1.02*1.3+KFC!$C$23)*KFC!$C$5</f>
        <v>252.20519999999999</v>
      </c>
      <c r="AA314" s="300">
        <f>(194.1*KFC!$B$23*1.02*1.3+KFC!$C$23)*KFC!$C$5</f>
        <v>257.3766</v>
      </c>
      <c r="AB314" s="300">
        <f>(197.9*KFC!$B$23*1.02*1.3+KFC!$C$23)*KFC!$C$5</f>
        <v>262.41540000000003</v>
      </c>
      <c r="AC314" s="300">
        <f>(201.8*KFC!$B$23*1.02*1.3+KFC!$C$23)*KFC!$C$5</f>
        <v>267.58680000000004</v>
      </c>
      <c r="AD314" s="300">
        <f>(205.6*KFC!$B$23*1.02*1.3+KFC!$C$23)*KFC!$C$5</f>
        <v>272.62560000000002</v>
      </c>
      <c r="AE314" s="300">
        <f>(209.5*KFC!$B$23*1.02*1.3+KFC!$C$23)*KFC!$C$5</f>
        <v>277.79700000000003</v>
      </c>
      <c r="AF314" s="300">
        <f>(213.3*KFC!$B$23*1.02*1.3+KFC!$C$23)*KFC!$C$5</f>
        <v>282.83580000000001</v>
      </c>
      <c r="AG314" s="300">
        <f>(217.2*KFC!$B$23*1.02*1.3+KFC!$C$23)*KFC!$C$5</f>
        <v>288.00720000000001</v>
      </c>
      <c r="AH314" s="304">
        <f>(221*KFC!$B$23*1.02*1.3+KFC!$C$23)*KFC!$C$5</f>
        <v>293.04600000000005</v>
      </c>
    </row>
    <row r="315" spans="1:34">
      <c r="A315" s="1781"/>
      <c r="B315" s="395">
        <v>1</v>
      </c>
      <c r="C315" s="303">
        <f>(104*KFC!$B$23*1.02*1.3+KFC!$C$23)*KFC!$C$5</f>
        <v>137.904</v>
      </c>
      <c r="D315" s="300">
        <f>(108.1*KFC!$B$23*1.02*1.3+KFC!$C$23)*KFC!$C$5</f>
        <v>143.34059999999999</v>
      </c>
      <c r="E315" s="300">
        <f>(112.3*KFC!$B$23*1.02*1.3+KFC!$C$23)*KFC!$C$5</f>
        <v>148.90979999999999</v>
      </c>
      <c r="F315" s="300">
        <f>(116.5*KFC!$B$23*1.02*1.3+KFC!$C$23)*KFC!$C$5</f>
        <v>154.47900000000001</v>
      </c>
      <c r="G315" s="300">
        <f>(120.7*KFC!$B$23*1.02*1.3+KFC!$C$23)*KFC!$C$5</f>
        <v>160.04820000000001</v>
      </c>
      <c r="H315" s="300">
        <f>(124.8*KFC!$B$23*1.02*1.3+KFC!$C$23)*KFC!$C$5</f>
        <v>165.48480000000001</v>
      </c>
      <c r="I315" s="300">
        <f>(129*KFC!$B$23*1.02*1.3+KFC!$C$23)*KFC!$C$5</f>
        <v>171.05400000000003</v>
      </c>
      <c r="J315" s="300">
        <f>(133.2*KFC!$B$23*1.02*1.3+KFC!$C$23)*KFC!$C$5</f>
        <v>176.62320000000003</v>
      </c>
      <c r="K315" s="300">
        <f>(137.4*KFC!$B$23*1.02*1.3+KFC!$C$23)*KFC!$C$5</f>
        <v>182.19239999999999</v>
      </c>
      <c r="L315" s="300">
        <f>(141.6*KFC!$B$23*1.02*1.3+KFC!$C$23)*KFC!$C$5</f>
        <v>187.76159999999999</v>
      </c>
      <c r="M315" s="300">
        <f>(145.7*KFC!$B$23*1.02*1.3+KFC!$C$23)*KFC!$C$5</f>
        <v>193.19820000000001</v>
      </c>
      <c r="N315" s="300">
        <f>(149.9*KFC!$B$23*1.02*1.3+KFC!$C$23)*KFC!$C$5</f>
        <v>198.76740000000001</v>
      </c>
      <c r="O315" s="300">
        <f>(154.1*KFC!$B$23*1.02*1.3+KFC!$C$23)*KFC!$C$5</f>
        <v>204.3366</v>
      </c>
      <c r="P315" s="300">
        <f>(158.3*KFC!$B$23*1.02*1.3+KFC!$C$23)*KFC!$C$5</f>
        <v>209.90580000000003</v>
      </c>
      <c r="Q315" s="300">
        <f>(162.5*KFC!$B$23*1.02*1.3+KFC!$C$23)*KFC!$C$5</f>
        <v>215.47499999999999</v>
      </c>
      <c r="R315" s="300">
        <f>(166.6*KFC!$B$23*1.02*1.3+KFC!$C$23)*KFC!$C$5</f>
        <v>220.91159999999999</v>
      </c>
      <c r="S315" s="300">
        <f>(170.8*KFC!$B$23*1.02*1.3+KFC!$C$23)*KFC!$C$5</f>
        <v>226.48080000000002</v>
      </c>
      <c r="T315" s="300">
        <f>(175*KFC!$B$23*1.02*1.3+KFC!$C$23)*KFC!$C$5</f>
        <v>232.05</v>
      </c>
      <c r="U315" s="300">
        <f>(179.2*KFC!$B$23*1.02*1.3+KFC!$C$23)*KFC!$C$5</f>
        <v>237.61920000000001</v>
      </c>
      <c r="V315" s="300">
        <f>(183.3*KFC!$B$23*1.02*1.3+KFC!$C$23)*KFC!$C$5</f>
        <v>243.0558</v>
      </c>
      <c r="W315" s="300">
        <f>(187.5*KFC!$B$23*1.02*1.3+KFC!$C$23)*KFC!$C$5</f>
        <v>248.625</v>
      </c>
      <c r="X315" s="300">
        <f>(191.7*KFC!$B$23*1.02*1.3+KFC!$C$23)*KFC!$C$5</f>
        <v>254.1942</v>
      </c>
      <c r="Y315" s="300">
        <f>(195.9*KFC!$B$23*1.02*1.3+KFC!$C$23)*KFC!$C$5</f>
        <v>259.76340000000005</v>
      </c>
      <c r="Z315" s="300">
        <f>(200.1*KFC!$B$23*1.02*1.3+KFC!$C$23)*KFC!$C$5</f>
        <v>265.33260000000001</v>
      </c>
      <c r="AA315" s="300">
        <f>(204.2*KFC!$B$23*1.02*1.3+KFC!$C$23)*KFC!$C$5</f>
        <v>270.76920000000001</v>
      </c>
      <c r="AB315" s="300">
        <f>(208.4*KFC!$B$23*1.02*1.3+KFC!$C$23)*KFC!$C$5</f>
        <v>276.33840000000004</v>
      </c>
      <c r="AC315" s="300">
        <f>(212.6*KFC!$B$23*1.02*1.3+KFC!$C$23)*KFC!$C$5</f>
        <v>281.9076</v>
      </c>
      <c r="AD315" s="300">
        <f>(216.8*KFC!$B$23*1.02*1.3+KFC!$C$23)*KFC!$C$5</f>
        <v>287.47680000000003</v>
      </c>
      <c r="AE315" s="300">
        <f>(220.9*KFC!$B$23*1.02*1.3+KFC!$C$23)*KFC!$C$5</f>
        <v>292.91340000000002</v>
      </c>
      <c r="AF315" s="300">
        <f>(225.1*KFC!$B$23*1.02*1.3+KFC!$C$23)*KFC!$C$5</f>
        <v>298.48259999999999</v>
      </c>
      <c r="AG315" s="300">
        <f>(229.3*KFC!$B$23*1.02*1.3+KFC!$C$23)*KFC!$C$5</f>
        <v>304.05180000000001</v>
      </c>
      <c r="AH315" s="304">
        <f>(233.5*KFC!$B$23*1.02*1.3+KFC!$C$23)*KFC!$C$5</f>
        <v>309.62100000000004</v>
      </c>
    </row>
    <row r="316" spans="1:34">
      <c r="A316" s="1781"/>
      <c r="B316" s="395">
        <v>1.1000000000000001</v>
      </c>
      <c r="C316" s="303">
        <f>(106.2*KFC!$B$23*1.02*1.3+KFC!$C$23)*KFC!$C$5</f>
        <v>140.8212</v>
      </c>
      <c r="D316" s="300">
        <f>(110.7*KFC!$B$23*1.02*1.3+KFC!$C$23)*KFC!$C$5</f>
        <v>146.78820000000002</v>
      </c>
      <c r="E316" s="300">
        <f>(115.2*KFC!$B$23*1.02*1.3+KFC!$C$23)*KFC!$C$5</f>
        <v>152.7552</v>
      </c>
      <c r="F316" s="300">
        <f>(119.7*KFC!$B$23*1.02*1.3+KFC!$C$23)*KFC!$C$5</f>
        <v>158.72220000000002</v>
      </c>
      <c r="G316" s="300">
        <f>(124.2*KFC!$B$23*1.02*1.3+KFC!$C$23)*KFC!$C$5</f>
        <v>164.68920000000003</v>
      </c>
      <c r="H316" s="300">
        <f>(128.7*KFC!$B$23*1.02*1.3+KFC!$C$23)*KFC!$C$5</f>
        <v>170.65620000000001</v>
      </c>
      <c r="I316" s="300">
        <f>(133.2*KFC!$B$23*1.02*1.3+KFC!$C$23)*KFC!$C$5</f>
        <v>176.62320000000003</v>
      </c>
      <c r="J316" s="300">
        <f>(137.7*KFC!$B$23*1.02*1.3+KFC!$C$23)*KFC!$C$5</f>
        <v>182.59019999999998</v>
      </c>
      <c r="K316" s="300">
        <f>(142.2*KFC!$B$23*1.02*1.3+KFC!$C$23)*KFC!$C$5</f>
        <v>188.55719999999999</v>
      </c>
      <c r="L316" s="300">
        <f>(146.7*KFC!$B$23*1.02*1.3+KFC!$C$23)*KFC!$C$5</f>
        <v>194.52419999999998</v>
      </c>
      <c r="M316" s="300">
        <f>(151.2*KFC!$B$23*1.02*1.3+KFC!$C$23)*KFC!$C$5</f>
        <v>200.49119999999999</v>
      </c>
      <c r="N316" s="300">
        <f>(155.8*KFC!$B$23*1.02*1.3+KFC!$C$23)*KFC!$C$5</f>
        <v>206.59080000000003</v>
      </c>
      <c r="O316" s="300">
        <f>(160.3*KFC!$B$23*1.02*1.3+KFC!$C$23)*KFC!$C$5</f>
        <v>212.55780000000004</v>
      </c>
      <c r="P316" s="300">
        <f>(164.8*KFC!$B$23*1.02*1.3+KFC!$C$23)*KFC!$C$5</f>
        <v>218.5248</v>
      </c>
      <c r="Q316" s="300">
        <f>(169.3*KFC!$B$23*1.02*1.3+KFC!$C$23)*KFC!$C$5</f>
        <v>224.49180000000001</v>
      </c>
      <c r="R316" s="300">
        <f>(173.8*KFC!$B$23*1.02*1.3+KFC!$C$23)*KFC!$C$5</f>
        <v>230.45880000000002</v>
      </c>
      <c r="S316" s="300">
        <f>(178.3*KFC!$B$23*1.02*1.3+KFC!$C$23)*KFC!$C$5</f>
        <v>236.42580000000004</v>
      </c>
      <c r="T316" s="300">
        <f>(182.8*KFC!$B$23*1.02*1.3+KFC!$C$23)*KFC!$C$5</f>
        <v>242.39280000000002</v>
      </c>
      <c r="U316" s="300">
        <f>(187.3*KFC!$B$23*1.02*1.3+KFC!$C$23)*KFC!$C$5</f>
        <v>248.35980000000004</v>
      </c>
      <c r="V316" s="300">
        <f>(191.8*KFC!$B$23*1.02*1.3+KFC!$C$23)*KFC!$C$5</f>
        <v>254.32680000000005</v>
      </c>
      <c r="W316" s="300">
        <f>(196.3*KFC!$B$23*1.02*1.3+KFC!$C$23)*KFC!$C$5</f>
        <v>260.29380000000003</v>
      </c>
      <c r="X316" s="300">
        <f>(200.8*KFC!$B$23*1.02*1.3+KFC!$C$23)*KFC!$C$5</f>
        <v>266.26080000000002</v>
      </c>
      <c r="Y316" s="300">
        <f>(205.4*KFC!$B$23*1.02*1.3+KFC!$C$23)*KFC!$C$5</f>
        <v>272.36040000000003</v>
      </c>
      <c r="Z316" s="300">
        <f>(209.9*KFC!$B$23*1.02*1.3+KFC!$C$23)*KFC!$C$5</f>
        <v>278.32740000000001</v>
      </c>
      <c r="AA316" s="300">
        <f>(214.4*KFC!$B$23*1.02*1.3+KFC!$C$23)*KFC!$C$5</f>
        <v>284.29440000000005</v>
      </c>
      <c r="AB316" s="300">
        <f>(218.9*KFC!$B$23*1.02*1.3+KFC!$C$23)*KFC!$C$5</f>
        <v>290.26140000000004</v>
      </c>
      <c r="AC316" s="300">
        <f>(223.4*KFC!$B$23*1.02*1.3+KFC!$C$23)*KFC!$C$5</f>
        <v>296.22840000000002</v>
      </c>
      <c r="AD316" s="300">
        <f>(227.9*KFC!$B$23*1.02*1.3+KFC!$C$23)*KFC!$C$5</f>
        <v>302.19540000000001</v>
      </c>
      <c r="AE316" s="300">
        <f>(232.4*KFC!$B$23*1.02*1.3+KFC!$C$23)*KFC!$C$5</f>
        <v>308.16239999999999</v>
      </c>
      <c r="AF316" s="300">
        <f>(236.9*KFC!$B$23*1.02*1.3+KFC!$C$23)*KFC!$C$5</f>
        <v>314.12940000000003</v>
      </c>
      <c r="AG316" s="300">
        <f>(241.4*KFC!$B$23*1.02*1.3+KFC!$C$23)*KFC!$C$5</f>
        <v>320.09640000000002</v>
      </c>
      <c r="AH316" s="304">
        <f>(245.9*KFC!$B$23*1.02*1.3+KFC!$C$23)*KFC!$C$5</f>
        <v>326.0634</v>
      </c>
    </row>
    <row r="317" spans="1:34">
      <c r="A317" s="1781"/>
      <c r="B317" s="395">
        <v>1.2</v>
      </c>
      <c r="C317" s="303">
        <f>(108.4*KFC!$B$23*1.02*1.3+KFC!$C$23)*KFC!$C$5</f>
        <v>143.73840000000001</v>
      </c>
      <c r="D317" s="300">
        <f>(113.2*KFC!$B$23*1.02*1.3+KFC!$C$23)*KFC!$C$5</f>
        <v>150.10320000000002</v>
      </c>
      <c r="E317" s="300">
        <f>(118*KFC!$B$23*1.02*1.3+KFC!$C$23)*KFC!$C$5</f>
        <v>156.46800000000002</v>
      </c>
      <c r="F317" s="300">
        <f>(122.9*KFC!$B$23*1.02*1.3+KFC!$C$23)*KFC!$C$5</f>
        <v>162.96540000000002</v>
      </c>
      <c r="G317" s="300">
        <f>(127.7*KFC!$B$23*1.02*1.3+KFC!$C$23)*KFC!$C$5</f>
        <v>169.33020000000002</v>
      </c>
      <c r="H317" s="300">
        <f>(132.6*KFC!$B$23*1.02*1.3+KFC!$C$23)*KFC!$C$5</f>
        <v>175.82760000000002</v>
      </c>
      <c r="I317" s="300">
        <f>(137.4*KFC!$B$23*1.02*1.3+KFC!$C$23)*KFC!$C$5</f>
        <v>182.19239999999999</v>
      </c>
      <c r="J317" s="300">
        <f>(142.2*KFC!$B$23*1.02*1.3+KFC!$C$23)*KFC!$C$5</f>
        <v>188.55719999999999</v>
      </c>
      <c r="K317" s="300">
        <f>(147.1*KFC!$B$23*1.02*1.3+KFC!$C$23)*KFC!$C$5</f>
        <v>195.05460000000002</v>
      </c>
      <c r="L317" s="300">
        <f>(151.9*KFC!$B$23*1.02*1.3+KFC!$C$23)*KFC!$C$5</f>
        <v>201.41940000000002</v>
      </c>
      <c r="M317" s="300">
        <f>(156.8*KFC!$B$23*1.02*1.3+KFC!$C$23)*KFC!$C$5</f>
        <v>207.91680000000002</v>
      </c>
      <c r="N317" s="300">
        <f>(161.6*KFC!$B$23*1.02*1.3+KFC!$C$23)*KFC!$C$5</f>
        <v>214.2816</v>
      </c>
      <c r="O317" s="300">
        <f>(166.4*KFC!$B$23*1.02*1.3+KFC!$C$23)*KFC!$C$5</f>
        <v>220.64640000000003</v>
      </c>
      <c r="P317" s="300">
        <f>(171.3*KFC!$B$23*1.02*1.3+KFC!$C$23)*KFC!$C$5</f>
        <v>227.14380000000006</v>
      </c>
      <c r="Q317" s="300">
        <f>(176.1*KFC!$B$23*1.02*1.3+KFC!$C$23)*KFC!$C$5</f>
        <v>233.5086</v>
      </c>
      <c r="R317" s="300">
        <f>(181*KFC!$B$23*1.02*1.3+KFC!$C$23)*KFC!$C$5</f>
        <v>240.006</v>
      </c>
      <c r="S317" s="300">
        <f>(185.8*KFC!$B$23*1.02*1.3+KFC!$C$23)*KFC!$C$5</f>
        <v>246.37080000000003</v>
      </c>
      <c r="T317" s="300">
        <f>(190.6*KFC!$B$23*1.02*1.3+KFC!$C$23)*KFC!$C$5</f>
        <v>252.73560000000001</v>
      </c>
      <c r="U317" s="300">
        <f>(195.5*KFC!$B$23*1.02*1.3+KFC!$C$23)*KFC!$C$5</f>
        <v>259.233</v>
      </c>
      <c r="V317" s="300">
        <f>(200.3*KFC!$B$23*1.02*1.3+KFC!$C$23)*KFC!$C$5</f>
        <v>265.59780000000001</v>
      </c>
      <c r="W317" s="300">
        <f>(205.2*KFC!$B$23*1.02*1.3+KFC!$C$23)*KFC!$C$5</f>
        <v>272.09520000000003</v>
      </c>
      <c r="X317" s="300">
        <f>(210*KFC!$B$23*1.02*1.3+KFC!$C$23)*KFC!$C$5</f>
        <v>278.46000000000004</v>
      </c>
      <c r="Y317" s="300">
        <f>(214.8*KFC!$B$23*1.02*1.3+KFC!$C$23)*KFC!$C$5</f>
        <v>284.82480000000004</v>
      </c>
      <c r="Z317" s="300">
        <f>(219.7*KFC!$B$23*1.02*1.3+KFC!$C$23)*KFC!$C$5</f>
        <v>291.32220000000001</v>
      </c>
      <c r="AA317" s="300">
        <f>(224.5*KFC!$B$23*1.02*1.3+KFC!$C$23)*KFC!$C$5</f>
        <v>297.68700000000001</v>
      </c>
      <c r="AB317" s="300">
        <f>(229.3*KFC!$B$23*1.02*1.3+KFC!$C$23)*KFC!$C$5</f>
        <v>304.05180000000001</v>
      </c>
      <c r="AC317" s="300">
        <f>(234.2*KFC!$B$23*1.02*1.3+KFC!$C$23)*KFC!$C$5</f>
        <v>310.54919999999998</v>
      </c>
      <c r="AD317" s="300">
        <f>(239*KFC!$B$23*1.02*1.3+KFC!$C$23)*KFC!$C$5</f>
        <v>316.91399999999999</v>
      </c>
      <c r="AE317" s="300">
        <f>(243.9*KFC!$B$23*1.02*1.3+KFC!$C$23)*KFC!$C$5</f>
        <v>323.41140000000001</v>
      </c>
      <c r="AF317" s="300">
        <f>(248.7*KFC!$B$23*1.02*1.3+KFC!$C$23)*KFC!$C$5</f>
        <v>329.77620000000002</v>
      </c>
      <c r="AG317" s="300">
        <f>(253.5*KFC!$B$23*1.02*1.3+KFC!$C$23)*KFC!$C$5</f>
        <v>336.14100000000002</v>
      </c>
      <c r="AH317" s="304">
        <f>(258.4*KFC!$B$23*1.02*1.3+KFC!$C$23)*KFC!$C$5</f>
        <v>342.63839999999999</v>
      </c>
    </row>
    <row r="318" spans="1:34">
      <c r="A318" s="1781"/>
      <c r="B318" s="395">
        <v>1.3</v>
      </c>
      <c r="C318" s="303">
        <f>(110.6*KFC!$B$23*1.02*1.3+KFC!$C$23)*KFC!$C$5</f>
        <v>146.65559999999999</v>
      </c>
      <c r="D318" s="300">
        <f>(115.7*KFC!$B$23*1.02*1.3+KFC!$C$23)*KFC!$C$5</f>
        <v>153.41820000000001</v>
      </c>
      <c r="E318" s="300">
        <f>(120.9*KFC!$B$23*1.02*1.3+KFC!$C$23)*KFC!$C$5</f>
        <v>160.31340000000003</v>
      </c>
      <c r="F318" s="300">
        <f>(126.1*KFC!$B$23*1.02*1.3+KFC!$C$23)*KFC!$C$5</f>
        <v>167.20859999999999</v>
      </c>
      <c r="G318" s="300">
        <f>(131.2*KFC!$B$23*1.02*1.3+KFC!$C$23)*KFC!$C$5</f>
        <v>173.97119999999998</v>
      </c>
      <c r="H318" s="300">
        <f>(136.4*KFC!$B$23*1.02*1.3+KFC!$C$23)*KFC!$C$5</f>
        <v>180.86640000000003</v>
      </c>
      <c r="I318" s="300">
        <f>(141.6*KFC!$B$23*1.02*1.3+KFC!$C$23)*KFC!$C$5</f>
        <v>187.76159999999999</v>
      </c>
      <c r="J318" s="300">
        <f>(146.8*KFC!$B$23*1.02*1.3+KFC!$C$23)*KFC!$C$5</f>
        <v>194.65680000000003</v>
      </c>
      <c r="K318" s="300">
        <f>(151.9*KFC!$B$23*1.02*1.3+KFC!$C$23)*KFC!$C$5</f>
        <v>201.41940000000002</v>
      </c>
      <c r="L318" s="300">
        <f>(157.1*KFC!$B$23*1.02*1.3+KFC!$C$23)*KFC!$C$5</f>
        <v>208.31459999999998</v>
      </c>
      <c r="M318" s="300">
        <f>(162.3*KFC!$B$23*1.02*1.3+KFC!$C$23)*KFC!$C$5</f>
        <v>215.20980000000003</v>
      </c>
      <c r="N318" s="300">
        <f>(167.4*KFC!$B$23*1.02*1.3+KFC!$C$23)*KFC!$C$5</f>
        <v>221.97240000000002</v>
      </c>
      <c r="O318" s="300">
        <f>(172.6*KFC!$B$23*1.02*1.3+KFC!$C$23)*KFC!$C$5</f>
        <v>228.86760000000001</v>
      </c>
      <c r="P318" s="300">
        <f>(177.8*KFC!$B$23*1.02*1.3+KFC!$C$23)*KFC!$C$5</f>
        <v>235.76280000000003</v>
      </c>
      <c r="Q318" s="300">
        <f>(182.9*KFC!$B$23*1.02*1.3+KFC!$C$23)*KFC!$C$5</f>
        <v>242.52540000000005</v>
      </c>
      <c r="R318" s="300">
        <f>(188.1*KFC!$B$23*1.02*1.3+KFC!$C$23)*KFC!$C$5</f>
        <v>249.42060000000001</v>
      </c>
      <c r="S318" s="300">
        <f>(193.3*KFC!$B$23*1.02*1.3+KFC!$C$23)*KFC!$C$5</f>
        <v>256.31580000000002</v>
      </c>
      <c r="T318" s="300">
        <f>(198.5*KFC!$B$23*1.02*1.3+KFC!$C$23)*KFC!$C$5</f>
        <v>263.21100000000001</v>
      </c>
      <c r="U318" s="300">
        <f>(203.6*KFC!$B$23*1.02*1.3+KFC!$C$23)*KFC!$C$5</f>
        <v>269.97360000000003</v>
      </c>
      <c r="V318" s="300">
        <f>(208.8*KFC!$B$23*1.02*1.3+KFC!$C$23)*KFC!$C$5</f>
        <v>276.86880000000002</v>
      </c>
      <c r="W318" s="300">
        <f>(214*KFC!$B$23*1.02*1.3+KFC!$C$23)*KFC!$C$5</f>
        <v>283.76400000000001</v>
      </c>
      <c r="X318" s="300">
        <f>(219.1*KFC!$B$23*1.02*1.3+KFC!$C$23)*KFC!$C$5</f>
        <v>290.52660000000003</v>
      </c>
      <c r="Y318" s="300">
        <f>(224.3*KFC!$B$23*1.02*1.3+KFC!$C$23)*KFC!$C$5</f>
        <v>297.42180000000002</v>
      </c>
      <c r="Z318" s="300">
        <f>(229.5*KFC!$B$23*1.02*1.3+KFC!$C$23)*KFC!$C$5</f>
        <v>304.31700000000001</v>
      </c>
      <c r="AA318" s="300">
        <f>(234.6*KFC!$B$23*1.02*1.3+KFC!$C$23)*KFC!$C$5</f>
        <v>311.07960000000003</v>
      </c>
      <c r="AB318" s="300">
        <f>(239.8*KFC!$B$23*1.02*1.3+KFC!$C$23)*KFC!$C$5</f>
        <v>317.97480000000002</v>
      </c>
      <c r="AC318" s="300">
        <f>(245*KFC!$B$23*1.02*1.3+KFC!$C$23)*KFC!$C$5</f>
        <v>324.87</v>
      </c>
      <c r="AD318" s="300">
        <f>(250.2*KFC!$B$23*1.02*1.3+KFC!$C$23)*KFC!$C$5</f>
        <v>331.76519999999999</v>
      </c>
      <c r="AE318" s="300">
        <f>(255.3*KFC!$B$23*1.02*1.3+KFC!$C$23)*KFC!$C$5</f>
        <v>338.52780000000001</v>
      </c>
      <c r="AF318" s="300">
        <f>(260.5*KFC!$B$23*1.02*1.3+KFC!$C$23)*KFC!$C$5</f>
        <v>345.423</v>
      </c>
      <c r="AG318" s="300">
        <f>(265.7*KFC!$B$23*1.02*1.3+KFC!$C$23)*KFC!$C$5</f>
        <v>352.31820000000005</v>
      </c>
      <c r="AH318" s="304">
        <f>(270.8*KFC!$B$23*1.02*1.3+KFC!$C$23)*KFC!$C$5</f>
        <v>359.08080000000001</v>
      </c>
    </row>
    <row r="319" spans="1:34">
      <c r="A319" s="1781"/>
      <c r="B319" s="395">
        <v>1.4</v>
      </c>
      <c r="C319" s="303">
        <f>(112.8*KFC!$B$23*1.02*1.3+KFC!$C$23)*KFC!$C$5</f>
        <v>149.5728</v>
      </c>
      <c r="D319" s="300">
        <f>(118.3*KFC!$B$23*1.02*1.3+KFC!$C$23)*KFC!$C$5</f>
        <v>156.86580000000001</v>
      </c>
      <c r="E319" s="300">
        <f>(123.8*KFC!$B$23*1.02*1.3+KFC!$C$23)*KFC!$C$5</f>
        <v>164.15880000000001</v>
      </c>
      <c r="F319" s="300">
        <f>(129.3*KFC!$B$23*1.02*1.3+KFC!$C$23)*KFC!$C$5</f>
        <v>171.45180000000005</v>
      </c>
      <c r="G319" s="300">
        <f>(134.8*KFC!$B$23*1.02*1.3+KFC!$C$23)*KFC!$C$5</f>
        <v>178.74480000000003</v>
      </c>
      <c r="H319" s="300">
        <f>(140.3*KFC!$B$23*1.02*1.3+KFC!$C$23)*KFC!$C$5</f>
        <v>186.03780000000003</v>
      </c>
      <c r="I319" s="300">
        <f>(145.8*KFC!$B$23*1.02*1.3+KFC!$C$23)*KFC!$C$5</f>
        <v>193.33080000000001</v>
      </c>
      <c r="J319" s="300">
        <f>(151.3*KFC!$B$23*1.02*1.3+KFC!$C$23)*KFC!$C$5</f>
        <v>200.62380000000005</v>
      </c>
      <c r="K319" s="300">
        <f>(156.8*KFC!$B$23*1.02*1.3+KFC!$C$23)*KFC!$C$5</f>
        <v>207.91680000000002</v>
      </c>
      <c r="L319" s="300">
        <f>(162.3*KFC!$B$23*1.02*1.3+KFC!$C$23)*KFC!$C$5</f>
        <v>215.20980000000003</v>
      </c>
      <c r="M319" s="300">
        <f>(167.8*KFC!$B$23*1.02*1.3+KFC!$C$23)*KFC!$C$5</f>
        <v>222.50280000000001</v>
      </c>
      <c r="N319" s="300">
        <f>(173.3*KFC!$B$23*1.02*1.3+KFC!$C$23)*KFC!$C$5</f>
        <v>229.79580000000004</v>
      </c>
      <c r="O319" s="300">
        <f>(178.8*KFC!$B$23*1.02*1.3+KFC!$C$23)*KFC!$C$5</f>
        <v>237.08880000000002</v>
      </c>
      <c r="P319" s="300">
        <f>(184.3*KFC!$B$23*1.02*1.3+KFC!$C$23)*KFC!$C$5</f>
        <v>244.38180000000003</v>
      </c>
      <c r="Q319" s="300">
        <f>(189.8*KFC!$B$23*1.02*1.3+KFC!$C$23)*KFC!$C$5</f>
        <v>251.6748</v>
      </c>
      <c r="R319" s="300">
        <f>(195.3*KFC!$B$23*1.02*1.3+KFC!$C$23)*KFC!$C$5</f>
        <v>258.96780000000001</v>
      </c>
      <c r="S319" s="300">
        <f>(200.8*KFC!$B$23*1.02*1.3+KFC!$C$23)*KFC!$C$5</f>
        <v>266.26080000000002</v>
      </c>
      <c r="T319" s="300">
        <f>(206.3*KFC!$B$23*1.02*1.3+KFC!$C$23)*KFC!$C$5</f>
        <v>273.55380000000002</v>
      </c>
      <c r="U319" s="300">
        <f>(211.8*KFC!$B$23*1.02*1.3+KFC!$C$23)*KFC!$C$5</f>
        <v>280.84680000000003</v>
      </c>
      <c r="V319" s="300">
        <f>(217.3*KFC!$B$23*1.02*1.3+KFC!$C$23)*KFC!$C$5</f>
        <v>288.13980000000004</v>
      </c>
      <c r="W319" s="300">
        <f>(222.8*KFC!$B$23*1.02*1.3+KFC!$C$23)*KFC!$C$5</f>
        <v>295.43280000000004</v>
      </c>
      <c r="X319" s="300">
        <f>(228.3*KFC!$B$23*1.02*1.3+KFC!$C$23)*KFC!$C$5</f>
        <v>302.72580000000005</v>
      </c>
      <c r="Y319" s="300">
        <f>(233.8*KFC!$B$23*1.02*1.3+KFC!$C$23)*KFC!$C$5</f>
        <v>310.01880000000006</v>
      </c>
      <c r="Z319" s="300">
        <f>(239.3*KFC!$B$23*1.02*1.3+KFC!$C$23)*KFC!$C$5</f>
        <v>317.31180000000001</v>
      </c>
      <c r="AA319" s="300">
        <f>(244.8*KFC!$B$23*1.02*1.3+KFC!$C$23)*KFC!$C$5</f>
        <v>324.60480000000007</v>
      </c>
      <c r="AB319" s="300">
        <f>(250.3*KFC!$B$23*1.02*1.3+KFC!$C$23)*KFC!$C$5</f>
        <v>331.89780000000002</v>
      </c>
      <c r="AC319" s="300">
        <f>(255.8*KFC!$B$23*1.02*1.3+KFC!$C$23)*KFC!$C$5</f>
        <v>339.19080000000002</v>
      </c>
      <c r="AD319" s="300">
        <f>(261.3*KFC!$B$23*1.02*1.3+KFC!$C$23)*KFC!$C$5</f>
        <v>346.48380000000003</v>
      </c>
      <c r="AE319" s="300">
        <f>(266.8*KFC!$B$23*1.02*1.3+KFC!$C$23)*KFC!$C$5</f>
        <v>353.77680000000004</v>
      </c>
      <c r="AF319" s="300">
        <f>(272.3*KFC!$B$23*1.02*1.3+KFC!$C$23)*KFC!$C$5</f>
        <v>361.06980000000004</v>
      </c>
      <c r="AG319" s="300">
        <f>(277.8*KFC!$B$23*1.02*1.3+KFC!$C$23)*KFC!$C$5</f>
        <v>368.36279999999999</v>
      </c>
      <c r="AH319" s="304">
        <f>(283.3*KFC!$B$23*1.02*1.3+KFC!$C$23)*KFC!$C$5</f>
        <v>375.6558</v>
      </c>
    </row>
    <row r="320" spans="1:34">
      <c r="A320" s="1781"/>
      <c r="B320" s="395">
        <v>1.5</v>
      </c>
      <c r="C320" s="303">
        <f>(115*KFC!$B$23*1.02*1.3+KFC!$C$23)*KFC!$C$5</f>
        <v>152.49</v>
      </c>
      <c r="D320" s="300">
        <f>(120.8*KFC!$B$23*1.02*1.3+KFC!$C$23)*KFC!$C$5</f>
        <v>160.1808</v>
      </c>
      <c r="E320" s="300">
        <f>(126.6*KFC!$B$23*1.02*1.3+KFC!$C$23)*KFC!$C$5</f>
        <v>167.8716</v>
      </c>
      <c r="F320" s="300">
        <f>(132.5*KFC!$B$23*1.02*1.3+KFC!$C$23)*KFC!$C$5</f>
        <v>175.69500000000002</v>
      </c>
      <c r="G320" s="300">
        <f>(138.3*KFC!$B$23*1.02*1.3+KFC!$C$23)*KFC!$C$5</f>
        <v>183.38580000000002</v>
      </c>
      <c r="H320" s="300">
        <f>(144.1*KFC!$B$23*1.02*1.3+KFC!$C$23)*KFC!$C$5</f>
        <v>191.07660000000001</v>
      </c>
      <c r="I320" s="300">
        <f>(150*KFC!$B$23*1.02*1.3+KFC!$C$23)*KFC!$C$5</f>
        <v>198.9</v>
      </c>
      <c r="J320" s="300">
        <f>(155.8*KFC!$B$23*1.02*1.3+KFC!$C$23)*KFC!$C$5</f>
        <v>206.59080000000003</v>
      </c>
      <c r="K320" s="300">
        <f>(161.6*KFC!$B$23*1.02*1.3+KFC!$C$23)*KFC!$C$5</f>
        <v>214.2816</v>
      </c>
      <c r="L320" s="300">
        <f>(167.4*KFC!$B$23*1.02*1.3+KFC!$C$23)*KFC!$C$5</f>
        <v>221.97240000000002</v>
      </c>
      <c r="M320" s="300">
        <f>(173.3*KFC!$B$23*1.02*1.3+KFC!$C$23)*KFC!$C$5</f>
        <v>229.79580000000004</v>
      </c>
      <c r="N320" s="300">
        <f>(179.1*KFC!$B$23*1.02*1.3+KFC!$C$23)*KFC!$C$5</f>
        <v>237.48659999999998</v>
      </c>
      <c r="O320" s="300">
        <f>(184.9*KFC!$B$23*1.02*1.3+KFC!$C$23)*KFC!$C$5</f>
        <v>245.17740000000003</v>
      </c>
      <c r="P320" s="300">
        <f>(190.8*KFC!$B$23*1.02*1.3+KFC!$C$23)*KFC!$C$5</f>
        <v>253.00080000000003</v>
      </c>
      <c r="Q320" s="300">
        <f>(196.6*KFC!$B$23*1.02*1.3+KFC!$C$23)*KFC!$C$5</f>
        <v>260.69160000000005</v>
      </c>
      <c r="R320" s="300">
        <f>(202.4*KFC!$B$23*1.02*1.3+KFC!$C$23)*KFC!$C$5</f>
        <v>268.38240000000002</v>
      </c>
      <c r="S320" s="300">
        <f>(208.3*KFC!$B$23*1.02*1.3+KFC!$C$23)*KFC!$C$5</f>
        <v>276.20580000000001</v>
      </c>
      <c r="T320" s="300">
        <f>(214.1*KFC!$B$23*1.02*1.3+KFC!$C$23)*KFC!$C$5</f>
        <v>283.89660000000003</v>
      </c>
      <c r="U320" s="300">
        <f>(219.9*KFC!$B$23*1.02*1.3+KFC!$C$23)*KFC!$C$5</f>
        <v>291.5874</v>
      </c>
      <c r="V320" s="300">
        <f>(225.8*KFC!$B$23*1.02*1.3+KFC!$C$23)*KFC!$C$5</f>
        <v>299.41079999999999</v>
      </c>
      <c r="W320" s="300">
        <f>(231.6*KFC!$B$23*1.02*1.3+KFC!$C$23)*KFC!$C$5</f>
        <v>307.10160000000002</v>
      </c>
      <c r="X320" s="300">
        <f>(237.4*KFC!$B$23*1.02*1.3+KFC!$C$23)*KFC!$C$5</f>
        <v>314.79239999999999</v>
      </c>
      <c r="Y320" s="300">
        <f>(243.3*KFC!$B$23*1.02*1.3+KFC!$C$23)*KFC!$C$5</f>
        <v>322.61580000000004</v>
      </c>
      <c r="Z320" s="300">
        <f>(249.1*KFC!$B$23*1.02*1.3+KFC!$C$23)*KFC!$C$5</f>
        <v>330.3066</v>
      </c>
      <c r="AA320" s="300">
        <f>(254.9*KFC!$B$23*1.02*1.3+KFC!$C$23)*KFC!$C$5</f>
        <v>337.99740000000003</v>
      </c>
      <c r="AB320" s="300">
        <f>(260.8*KFC!$B$23*1.02*1.3+KFC!$C$23)*KFC!$C$5</f>
        <v>345.82080000000002</v>
      </c>
      <c r="AC320" s="300">
        <f>(266.6*KFC!$B$23*1.02*1.3+KFC!$C$23)*KFC!$C$5</f>
        <v>353.51160000000004</v>
      </c>
      <c r="AD320" s="300">
        <f>(272.4*KFC!$B$23*1.02*1.3+KFC!$C$23)*KFC!$C$5</f>
        <v>361.20239999999995</v>
      </c>
      <c r="AE320" s="300">
        <f>(278.2*KFC!$B$23*1.02*1.3+KFC!$C$23)*KFC!$C$5</f>
        <v>368.89320000000004</v>
      </c>
      <c r="AF320" s="300">
        <f>(284.1*KFC!$B$23*1.02*1.3+KFC!$C$23)*KFC!$C$5</f>
        <v>376.71660000000008</v>
      </c>
      <c r="AG320" s="300">
        <f>(289.9*KFC!$B$23*1.02*1.3+KFC!$C$23)*KFC!$C$5</f>
        <v>384.4074</v>
      </c>
      <c r="AH320" s="304">
        <f>(295.7*KFC!$B$23*1.02*1.3+KFC!$C$23)*KFC!$C$5</f>
        <v>392.09819999999996</v>
      </c>
    </row>
    <row r="321" spans="1:34">
      <c r="A321" s="1781"/>
      <c r="B321" s="395">
        <v>1.6</v>
      </c>
      <c r="C321" s="303">
        <f>(117.2*KFC!$B$23*1.02*1.3+KFC!$C$23)*KFC!$C$5</f>
        <v>155.40720000000002</v>
      </c>
      <c r="D321" s="300">
        <f>(123.3*KFC!$B$23*1.02*1.3+KFC!$C$23)*KFC!$C$5</f>
        <v>163.4958</v>
      </c>
      <c r="E321" s="300">
        <f>(129.5*KFC!$B$23*1.02*1.3+KFC!$C$23)*KFC!$C$5</f>
        <v>171.71700000000001</v>
      </c>
      <c r="F321" s="300">
        <f>(135.7*KFC!$B$23*1.02*1.3+KFC!$C$23)*KFC!$C$5</f>
        <v>179.93819999999999</v>
      </c>
      <c r="G321" s="300">
        <f>(141.8*KFC!$B$23*1.02*1.3+KFC!$C$23)*KFC!$C$5</f>
        <v>188.02680000000004</v>
      </c>
      <c r="H321" s="300">
        <f>(148*KFC!$B$23*1.02*1.3+KFC!$C$23)*KFC!$C$5</f>
        <v>196.24800000000002</v>
      </c>
      <c r="I321" s="300">
        <f>(154.1*KFC!$B$23*1.02*1.3+KFC!$C$23)*KFC!$C$5</f>
        <v>204.3366</v>
      </c>
      <c r="J321" s="300">
        <f>(160.3*KFC!$B$23*1.02*1.3+KFC!$C$23)*KFC!$C$5</f>
        <v>212.55780000000004</v>
      </c>
      <c r="K321" s="300">
        <f>(166.5*KFC!$B$23*1.02*1.3+KFC!$C$23)*KFC!$C$5</f>
        <v>220.77900000000002</v>
      </c>
      <c r="L321" s="300">
        <f>(172.6*KFC!$B$23*1.02*1.3+KFC!$C$23)*KFC!$C$5</f>
        <v>228.86760000000001</v>
      </c>
      <c r="M321" s="300">
        <f>(178.8*KFC!$B$23*1.02*1.3+KFC!$C$23)*KFC!$C$5</f>
        <v>237.08880000000002</v>
      </c>
      <c r="N321" s="300">
        <f>(184.9*KFC!$B$23*1.02*1.3+KFC!$C$23)*KFC!$C$5</f>
        <v>245.17740000000003</v>
      </c>
      <c r="O321" s="300">
        <f>(191.1*KFC!$B$23*1.02*1.3+KFC!$C$23)*KFC!$C$5</f>
        <v>253.39860000000002</v>
      </c>
      <c r="P321" s="300">
        <f>(197.3*KFC!$B$23*1.02*1.3+KFC!$C$23)*KFC!$C$5</f>
        <v>261.6198</v>
      </c>
      <c r="Q321" s="300">
        <f>(203.4*KFC!$B$23*1.02*1.3+KFC!$C$23)*KFC!$C$5</f>
        <v>269.70840000000004</v>
      </c>
      <c r="R321" s="300">
        <f>(209.6*KFC!$B$23*1.02*1.3+KFC!$C$23)*KFC!$C$5</f>
        <v>277.92959999999999</v>
      </c>
      <c r="S321" s="300">
        <f>(215.8*KFC!$B$23*1.02*1.3+KFC!$C$23)*KFC!$C$5</f>
        <v>286.1508</v>
      </c>
      <c r="T321" s="300">
        <f>(221.9*KFC!$B$23*1.02*1.3+KFC!$C$23)*KFC!$C$5</f>
        <v>294.23940000000005</v>
      </c>
      <c r="U321" s="300">
        <f>(228.1*KFC!$B$23*1.02*1.3+KFC!$C$23)*KFC!$C$5</f>
        <v>302.4606</v>
      </c>
      <c r="V321" s="300">
        <f>(234.2*KFC!$B$23*1.02*1.3+KFC!$C$23)*KFC!$C$5</f>
        <v>310.54919999999998</v>
      </c>
      <c r="W321" s="300">
        <f>(240.4*KFC!$B$23*1.02*1.3+KFC!$C$23)*KFC!$C$5</f>
        <v>318.7704</v>
      </c>
      <c r="X321" s="300">
        <f>(246.6*KFC!$B$23*1.02*1.3+KFC!$C$23)*KFC!$C$5</f>
        <v>326.99160000000001</v>
      </c>
      <c r="Y321" s="300">
        <f>(252.7*KFC!$B$23*1.02*1.3+KFC!$C$23)*KFC!$C$5</f>
        <v>335.08020000000005</v>
      </c>
      <c r="Z321" s="300">
        <f>(258.9*KFC!$B$23*1.02*1.3+KFC!$C$23)*KFC!$C$5</f>
        <v>343.3014</v>
      </c>
      <c r="AA321" s="300">
        <f>(265.1*KFC!$B$23*1.02*1.3+KFC!$C$23)*KFC!$C$5</f>
        <v>351.52260000000007</v>
      </c>
      <c r="AB321" s="300">
        <f>(271.2*KFC!$B$23*1.02*1.3+KFC!$C$23)*KFC!$C$5</f>
        <v>359.6112</v>
      </c>
      <c r="AC321" s="300">
        <f>(277.4*KFC!$B$23*1.02*1.3+KFC!$C$23)*KFC!$C$5</f>
        <v>367.83240000000001</v>
      </c>
      <c r="AD321" s="300">
        <f>(283.5*KFC!$B$23*1.02*1.3+KFC!$C$23)*KFC!$C$5</f>
        <v>375.92100000000005</v>
      </c>
      <c r="AE321" s="300">
        <f>(289.7*KFC!$B$23*1.02*1.3+KFC!$C$23)*KFC!$C$5</f>
        <v>384.1422</v>
      </c>
      <c r="AF321" s="300">
        <f>(295.9*KFC!$B$23*1.02*1.3+KFC!$C$23)*KFC!$C$5</f>
        <v>392.36340000000001</v>
      </c>
      <c r="AG321" s="300">
        <f>(302*KFC!$B$23*1.02*1.3+KFC!$C$23)*KFC!$C$5</f>
        <v>400.45200000000006</v>
      </c>
      <c r="AH321" s="304">
        <f>(308.2*KFC!$B$23*1.02*1.3+KFC!$C$23)*KFC!$C$5</f>
        <v>408.67320000000001</v>
      </c>
    </row>
    <row r="322" spans="1:34">
      <c r="A322" s="1781"/>
      <c r="B322" s="395">
        <v>1.7</v>
      </c>
      <c r="C322" s="303">
        <f>(119.4*KFC!$B$23*1.02*1.3+KFC!$C$23)*KFC!$C$5</f>
        <v>158.32440000000003</v>
      </c>
      <c r="D322" s="300">
        <f>(125.9*KFC!$B$23*1.02*1.3+KFC!$C$23)*KFC!$C$5</f>
        <v>166.94340000000003</v>
      </c>
      <c r="E322" s="300">
        <f>(132.4*KFC!$B$23*1.02*1.3+KFC!$C$23)*KFC!$C$5</f>
        <v>175.5624</v>
      </c>
      <c r="F322" s="300">
        <f>(138.8*KFC!$B$23*1.02*1.3+KFC!$C$23)*KFC!$C$5</f>
        <v>184.04880000000003</v>
      </c>
      <c r="G322" s="300">
        <f>(145.3*KFC!$B$23*1.02*1.3+KFC!$C$23)*KFC!$C$5</f>
        <v>192.66780000000003</v>
      </c>
      <c r="H322" s="300">
        <f>(151.8*KFC!$B$23*1.02*1.3+KFC!$C$23)*KFC!$C$5</f>
        <v>201.28680000000003</v>
      </c>
      <c r="I322" s="300">
        <f>(158.3*KFC!$B$23*1.02*1.3+KFC!$C$23)*KFC!$C$5</f>
        <v>209.90580000000003</v>
      </c>
      <c r="J322" s="300">
        <f>(164.8*KFC!$B$23*1.02*1.3+KFC!$C$23)*KFC!$C$5</f>
        <v>218.5248</v>
      </c>
      <c r="K322" s="300">
        <f>(171.3*KFC!$B$23*1.02*1.3+KFC!$C$23)*KFC!$C$5</f>
        <v>227.14380000000006</v>
      </c>
      <c r="L322" s="300">
        <f>(177.8*KFC!$B$23*1.02*1.3+KFC!$C$23)*KFC!$C$5</f>
        <v>235.76280000000003</v>
      </c>
      <c r="M322" s="300">
        <f>(184.3*KFC!$B$23*1.02*1.3+KFC!$C$23)*KFC!$C$5</f>
        <v>244.38180000000003</v>
      </c>
      <c r="N322" s="300">
        <f>(190.8*KFC!$B$23*1.02*1.3+KFC!$C$23)*KFC!$C$5</f>
        <v>253.00080000000003</v>
      </c>
      <c r="O322" s="300">
        <f>(197.3*KFC!$B$23*1.02*1.3+KFC!$C$23)*KFC!$C$5</f>
        <v>261.6198</v>
      </c>
      <c r="P322" s="300">
        <f>(203.8*KFC!$B$23*1.02*1.3+KFC!$C$23)*KFC!$C$5</f>
        <v>270.23880000000003</v>
      </c>
      <c r="Q322" s="300">
        <f>(210.3*KFC!$B$23*1.02*1.3+KFC!$C$23)*KFC!$C$5</f>
        <v>278.85780000000005</v>
      </c>
      <c r="R322" s="300">
        <f>(216.8*KFC!$B$23*1.02*1.3+KFC!$C$23)*KFC!$C$5</f>
        <v>287.47680000000003</v>
      </c>
      <c r="S322" s="300">
        <f>(223.3*KFC!$B$23*1.02*1.3+KFC!$C$23)*KFC!$C$5</f>
        <v>296.09580000000005</v>
      </c>
      <c r="T322" s="300">
        <f>(229.7*KFC!$B$23*1.02*1.3+KFC!$C$23)*KFC!$C$5</f>
        <v>304.5822</v>
      </c>
      <c r="U322" s="300">
        <f>(236.2*KFC!$B$23*1.02*1.3+KFC!$C$23)*KFC!$C$5</f>
        <v>313.20120000000003</v>
      </c>
      <c r="V322" s="300">
        <f>(242.7*KFC!$B$23*1.02*1.3+KFC!$C$23)*KFC!$C$5</f>
        <v>321.8202</v>
      </c>
      <c r="W322" s="300">
        <f>(249.2*KFC!$B$23*1.02*1.3+KFC!$C$23)*KFC!$C$5</f>
        <v>330.43920000000003</v>
      </c>
      <c r="X322" s="300">
        <f>(255.7*KFC!$B$23*1.02*1.3+KFC!$C$23)*KFC!$C$5</f>
        <v>339.05819999999994</v>
      </c>
      <c r="Y322" s="300">
        <f>(262.2*KFC!$B$23*1.02*1.3+KFC!$C$23)*KFC!$C$5</f>
        <v>347.67720000000003</v>
      </c>
      <c r="Z322" s="300">
        <f>(268.7*KFC!$B$23*1.02*1.3+KFC!$C$23)*KFC!$C$5</f>
        <v>356.29620000000006</v>
      </c>
      <c r="AA322" s="300">
        <f>(275.2*KFC!$B$23*1.02*1.3+KFC!$C$23)*KFC!$C$5</f>
        <v>364.91520000000003</v>
      </c>
      <c r="AB322" s="300">
        <f>(281.7*KFC!$B$23*1.02*1.3+KFC!$C$23)*KFC!$C$5</f>
        <v>373.5342</v>
      </c>
      <c r="AC322" s="300">
        <f>(288.2*KFC!$B$23*1.02*1.3+KFC!$C$23)*KFC!$C$5</f>
        <v>382.15320000000003</v>
      </c>
      <c r="AD322" s="300">
        <f>(294.7*KFC!$B$23*1.02*1.3+KFC!$C$23)*KFC!$C$5</f>
        <v>390.7722</v>
      </c>
      <c r="AE322" s="300">
        <f>(301.2*KFC!$B$23*1.02*1.3+KFC!$C$23)*KFC!$C$5</f>
        <v>399.39120000000003</v>
      </c>
      <c r="AF322" s="300">
        <f>(307.7*KFC!$B$23*1.02*1.3+KFC!$C$23)*KFC!$C$5</f>
        <v>408.0102</v>
      </c>
      <c r="AG322" s="300">
        <f>(314.2*KFC!$B$23*1.02*1.3+KFC!$C$23)*KFC!$C$5</f>
        <v>416.62919999999997</v>
      </c>
      <c r="AH322" s="304">
        <f>(320.6*KFC!$B$23*1.02*1.3+KFC!$C$23)*KFC!$C$5</f>
        <v>425.11560000000009</v>
      </c>
    </row>
    <row r="323" spans="1:34">
      <c r="A323" s="1781"/>
      <c r="B323" s="395">
        <v>1.8</v>
      </c>
      <c r="C323" s="303">
        <f>(121.6*KFC!$B$23*1.02*1.3+KFC!$C$23)*KFC!$C$5</f>
        <v>161.24160000000001</v>
      </c>
      <c r="D323" s="300">
        <f>(128.4*KFC!$B$23*1.02*1.3+KFC!$C$23)*KFC!$C$5</f>
        <v>170.25840000000002</v>
      </c>
      <c r="E323" s="300">
        <f>(135.2*KFC!$B$23*1.02*1.3+KFC!$C$23)*KFC!$C$5</f>
        <v>179.27520000000001</v>
      </c>
      <c r="F323" s="300">
        <f>(142*KFC!$B$23*1.02*1.3+KFC!$C$23)*KFC!$C$5</f>
        <v>188.292</v>
      </c>
      <c r="G323" s="300">
        <f>(148.9*KFC!$B$23*1.02*1.3+KFC!$C$23)*KFC!$C$5</f>
        <v>197.44140000000002</v>
      </c>
      <c r="H323" s="300">
        <f>(155.7*KFC!$B$23*1.02*1.3+KFC!$C$23)*KFC!$C$5</f>
        <v>206.45820000000001</v>
      </c>
      <c r="I323" s="300">
        <f>(162.5*KFC!$B$23*1.02*1.3+KFC!$C$23)*KFC!$C$5</f>
        <v>215.47499999999999</v>
      </c>
      <c r="J323" s="300">
        <f>(169.3*KFC!$B$23*1.02*1.3+KFC!$C$23)*KFC!$C$5</f>
        <v>224.49180000000001</v>
      </c>
      <c r="K323" s="300">
        <f>(176.2*KFC!$B$23*1.02*1.3+KFC!$C$23)*KFC!$C$5</f>
        <v>233.6412</v>
      </c>
      <c r="L323" s="300">
        <f>(183*KFC!$B$23*1.02*1.3+KFC!$C$23)*KFC!$C$5</f>
        <v>242.65800000000002</v>
      </c>
      <c r="M323" s="300">
        <f>(189.8*KFC!$B$23*1.02*1.3+KFC!$C$23)*KFC!$C$5</f>
        <v>251.6748</v>
      </c>
      <c r="N323" s="300">
        <f>(196.6*KFC!$B$23*1.02*1.3+KFC!$C$23)*KFC!$C$5</f>
        <v>260.69160000000005</v>
      </c>
      <c r="O323" s="300">
        <f>(203.5*KFC!$B$23*1.02*1.3+KFC!$C$23)*KFC!$C$5</f>
        <v>269.84100000000001</v>
      </c>
      <c r="P323" s="300">
        <f>(210.3*KFC!$B$23*1.02*1.3+KFC!$C$23)*KFC!$C$5</f>
        <v>278.85780000000005</v>
      </c>
      <c r="Q323" s="300">
        <f>(217.1*KFC!$B$23*1.02*1.3+KFC!$C$23)*KFC!$C$5</f>
        <v>287.87460000000004</v>
      </c>
      <c r="R323" s="300">
        <f>(223.9*KFC!$B$23*1.02*1.3+KFC!$C$23)*KFC!$C$5</f>
        <v>296.89140000000003</v>
      </c>
      <c r="S323" s="300">
        <f>(230.7*KFC!$B$23*1.02*1.3+KFC!$C$23)*KFC!$C$5</f>
        <v>305.90820000000002</v>
      </c>
      <c r="T323" s="300">
        <f>(237.6*KFC!$B$23*1.02*1.3+KFC!$C$23)*KFC!$C$5</f>
        <v>315.05760000000004</v>
      </c>
      <c r="U323" s="300">
        <f>(244.4*KFC!$B$23*1.02*1.3+KFC!$C$23)*KFC!$C$5</f>
        <v>324.07440000000003</v>
      </c>
      <c r="V323" s="300">
        <f>(251.2*KFC!$B$23*1.02*1.3+KFC!$C$23)*KFC!$C$5</f>
        <v>333.09120000000001</v>
      </c>
      <c r="W323" s="300">
        <f>(258*KFC!$B$23*1.02*1.3+KFC!$C$23)*KFC!$C$5</f>
        <v>342.10800000000006</v>
      </c>
      <c r="X323" s="300">
        <f>(264.9*KFC!$B$23*1.02*1.3+KFC!$C$23)*KFC!$C$5</f>
        <v>351.25739999999996</v>
      </c>
      <c r="Y323" s="300">
        <f>(271.7*KFC!$B$23*1.02*1.3+KFC!$C$23)*KFC!$C$5</f>
        <v>360.27420000000001</v>
      </c>
      <c r="Z323" s="300">
        <f>(278.5*KFC!$B$23*1.02*1.3+KFC!$C$23)*KFC!$C$5</f>
        <v>369.291</v>
      </c>
      <c r="AA323" s="300">
        <f>(285.3*KFC!$B$23*1.02*1.3+KFC!$C$23)*KFC!$C$5</f>
        <v>378.30780000000004</v>
      </c>
      <c r="AB323" s="300">
        <f>(292.2*KFC!$B$23*1.02*1.3+KFC!$C$23)*KFC!$C$5</f>
        <v>387.4572</v>
      </c>
      <c r="AC323" s="300">
        <f>(299*KFC!$B$23*1.02*1.3+KFC!$C$23)*KFC!$C$5</f>
        <v>396.47400000000005</v>
      </c>
      <c r="AD323" s="300">
        <f>(305.8*KFC!$B$23*1.02*1.3+KFC!$C$23)*KFC!$C$5</f>
        <v>405.49080000000004</v>
      </c>
      <c r="AE323" s="300">
        <f>(312.6*KFC!$B$23*1.02*1.3+KFC!$C$23)*KFC!$C$5</f>
        <v>414.50760000000008</v>
      </c>
      <c r="AF323" s="300">
        <f>(319.5*KFC!$B$23*1.02*1.3+KFC!$C$23)*KFC!$C$5</f>
        <v>423.65699999999998</v>
      </c>
      <c r="AG323" s="300">
        <f>(326.3*KFC!$B$23*1.02*1.3+KFC!$C$23)*KFC!$C$5</f>
        <v>432.67380000000003</v>
      </c>
      <c r="AH323" s="304">
        <f>(333.1*KFC!$B$23*1.02*1.3+KFC!$C$23)*KFC!$C$5</f>
        <v>441.69060000000007</v>
      </c>
    </row>
    <row r="324" spans="1:34">
      <c r="A324" s="1781"/>
      <c r="B324" s="395">
        <v>1.9</v>
      </c>
      <c r="C324" s="303">
        <f>(123.8*KFC!$B$23*1.02*1.3+KFC!$C$23)*KFC!$C$5</f>
        <v>164.15880000000001</v>
      </c>
      <c r="D324" s="300">
        <f>(130.9*KFC!$B$23*1.02*1.3+KFC!$C$23)*KFC!$C$5</f>
        <v>173.57340000000002</v>
      </c>
      <c r="E324" s="300">
        <f>(138.1*KFC!$B$23*1.02*1.3+KFC!$C$23)*KFC!$C$5</f>
        <v>183.1206</v>
      </c>
      <c r="F324" s="300">
        <f>(145.2*KFC!$B$23*1.02*1.3+KFC!$C$23)*KFC!$C$5</f>
        <v>192.53519999999997</v>
      </c>
      <c r="G324" s="300">
        <f>(152.4*KFC!$B$23*1.02*1.3+KFC!$C$23)*KFC!$C$5</f>
        <v>202.08240000000001</v>
      </c>
      <c r="H324" s="300">
        <f>(159.5*KFC!$B$23*1.02*1.3+KFC!$C$23)*KFC!$C$5</f>
        <v>211.49700000000001</v>
      </c>
      <c r="I324" s="300">
        <f>(166.7*KFC!$B$23*1.02*1.3+KFC!$C$23)*KFC!$C$5</f>
        <v>221.04419999999999</v>
      </c>
      <c r="J324" s="300">
        <f>(173.8*KFC!$B$23*1.02*1.3+KFC!$C$23)*KFC!$C$5</f>
        <v>230.45880000000002</v>
      </c>
      <c r="K324" s="300">
        <f>(181*KFC!$B$23*1.02*1.3+KFC!$C$23)*KFC!$C$5</f>
        <v>240.006</v>
      </c>
      <c r="L324" s="300">
        <f>(188.2*KFC!$B$23*1.02*1.3+KFC!$C$23)*KFC!$C$5</f>
        <v>249.5532</v>
      </c>
      <c r="M324" s="300">
        <f>(195.3*KFC!$B$23*1.02*1.3+KFC!$C$23)*KFC!$C$5</f>
        <v>258.96780000000001</v>
      </c>
      <c r="N324" s="300">
        <f>(202.5*KFC!$B$23*1.02*1.3+KFC!$C$23)*KFC!$C$5</f>
        <v>268.51500000000004</v>
      </c>
      <c r="O324" s="300">
        <f>(209.6*KFC!$B$23*1.02*1.3+KFC!$C$23)*KFC!$C$5</f>
        <v>277.92959999999999</v>
      </c>
      <c r="P324" s="300">
        <f>(216.8*KFC!$B$23*1.02*1.3+KFC!$C$23)*KFC!$C$5</f>
        <v>287.47680000000003</v>
      </c>
      <c r="Q324" s="300">
        <f>(223.9*KFC!$B$23*1.02*1.3+KFC!$C$23)*KFC!$C$5</f>
        <v>296.89140000000003</v>
      </c>
      <c r="R324" s="300">
        <f>(231.1*KFC!$B$23*1.02*1.3+KFC!$C$23)*KFC!$C$5</f>
        <v>306.43860000000001</v>
      </c>
      <c r="S324" s="300">
        <f>(238.2*KFC!$B$23*1.02*1.3+KFC!$C$23)*KFC!$C$5</f>
        <v>315.85320000000002</v>
      </c>
      <c r="T324" s="300">
        <f>(245.4*KFC!$B$23*1.02*1.3+KFC!$C$23)*KFC!$C$5</f>
        <v>325.40040000000005</v>
      </c>
      <c r="U324" s="300">
        <f>(252.5*KFC!$B$23*1.02*1.3+KFC!$C$23)*KFC!$C$5</f>
        <v>334.81500000000005</v>
      </c>
      <c r="V324" s="300">
        <f>(259.7*KFC!$B$23*1.02*1.3+KFC!$C$23)*KFC!$C$5</f>
        <v>344.36220000000003</v>
      </c>
      <c r="W324" s="300">
        <f>(266.9*KFC!$B$23*1.02*1.3+KFC!$C$23)*KFC!$C$5</f>
        <v>353.90940000000001</v>
      </c>
      <c r="X324" s="300">
        <f>(274*KFC!$B$23*1.02*1.3+KFC!$C$23)*KFC!$C$5</f>
        <v>363.32400000000001</v>
      </c>
      <c r="Y324" s="300">
        <f>(281.2*KFC!$B$23*1.02*1.3+KFC!$C$23)*KFC!$C$5</f>
        <v>372.87120000000004</v>
      </c>
      <c r="Z324" s="300">
        <f>(288.3*KFC!$B$23*1.02*1.3+KFC!$C$23)*KFC!$C$5</f>
        <v>382.28580000000005</v>
      </c>
      <c r="AA324" s="300">
        <f>(295.5*KFC!$B$23*1.02*1.3+KFC!$C$23)*KFC!$C$5</f>
        <v>391.83300000000003</v>
      </c>
      <c r="AB324" s="300">
        <f>(302.6*KFC!$B$23*1.02*1.3+KFC!$C$23)*KFC!$C$5</f>
        <v>401.24760000000009</v>
      </c>
      <c r="AC324" s="300">
        <f>(309.8*KFC!$B$23*1.02*1.3+KFC!$C$23)*KFC!$C$5</f>
        <v>410.79480000000007</v>
      </c>
      <c r="AD324" s="300">
        <f>(316.9*KFC!$B$23*1.02*1.3+KFC!$C$23)*KFC!$C$5</f>
        <v>420.20940000000002</v>
      </c>
      <c r="AE324" s="300">
        <f>(324.1*KFC!$B$23*1.02*1.3+KFC!$C$23)*KFC!$C$5</f>
        <v>429.75660000000011</v>
      </c>
      <c r="AF324" s="300">
        <f>(331.2*KFC!$B$23*1.02*1.3+KFC!$C$23)*KFC!$C$5</f>
        <v>439.17120000000006</v>
      </c>
      <c r="AG324" s="300">
        <f>(338.4*KFC!$B$23*1.02*1.3+KFC!$C$23)*KFC!$C$5</f>
        <v>448.71840000000003</v>
      </c>
      <c r="AH324" s="304">
        <f>(345.6*KFC!$B$23*1.02*1.3+KFC!$C$23)*KFC!$C$5</f>
        <v>458.26560000000006</v>
      </c>
    </row>
    <row r="325" spans="1:34">
      <c r="A325" s="1781"/>
      <c r="B325" s="395">
        <v>2</v>
      </c>
      <c r="C325" s="303">
        <f>(126*KFC!$B$23*1.02*1.3+KFC!$C$23)*KFC!$C$5</f>
        <v>167.07600000000002</v>
      </c>
      <c r="D325" s="300">
        <f>(133.5*KFC!$B$23*1.02*1.3+KFC!$C$23)*KFC!$C$5</f>
        <v>177.02100000000002</v>
      </c>
      <c r="E325" s="300">
        <f>(140.9*KFC!$B$23*1.02*1.3+KFC!$C$23)*KFC!$C$5</f>
        <v>186.83340000000004</v>
      </c>
      <c r="F325" s="300">
        <f>(148.4*KFC!$B$23*1.02*1.3+KFC!$C$23)*KFC!$C$5</f>
        <v>196.7784</v>
      </c>
      <c r="G325" s="300">
        <f>(155.9*KFC!$B$23*1.02*1.3+KFC!$C$23)*KFC!$C$5</f>
        <v>206.7234</v>
      </c>
      <c r="H325" s="300">
        <f>(163.4*KFC!$B$23*1.02*1.3+KFC!$C$23)*KFC!$C$5</f>
        <v>216.66840000000002</v>
      </c>
      <c r="I325" s="300">
        <f>(170.9*KFC!$B$23*1.02*1.3+KFC!$C$23)*KFC!$C$5</f>
        <v>226.61340000000001</v>
      </c>
      <c r="J325" s="300">
        <f>(178.4*KFC!$B$23*1.02*1.3+KFC!$C$23)*KFC!$C$5</f>
        <v>236.55840000000003</v>
      </c>
      <c r="K325" s="300">
        <f>(185.8*KFC!$B$23*1.02*1.3+KFC!$C$23)*KFC!$C$5</f>
        <v>246.37080000000003</v>
      </c>
      <c r="L325" s="300">
        <f>(193.3*KFC!$B$23*1.02*1.3+KFC!$C$23)*KFC!$C$5</f>
        <v>256.31580000000002</v>
      </c>
      <c r="M325" s="300">
        <f>(200.8*KFC!$B$23*1.02*1.3+KFC!$C$23)*KFC!$C$5</f>
        <v>266.26080000000002</v>
      </c>
      <c r="N325" s="300">
        <f>(208.3*KFC!$B$23*1.02*1.3+KFC!$C$23)*KFC!$C$5</f>
        <v>276.20580000000001</v>
      </c>
      <c r="O325" s="300">
        <f>(215.8*KFC!$B$23*1.02*1.3+KFC!$C$23)*KFC!$C$5</f>
        <v>286.1508</v>
      </c>
      <c r="P325" s="300">
        <f>(223.3*KFC!$B$23*1.02*1.3+KFC!$C$23)*KFC!$C$5</f>
        <v>296.09580000000005</v>
      </c>
      <c r="Q325" s="300">
        <f>(230.8*KFC!$B$23*1.02*1.3+KFC!$C$23)*KFC!$C$5</f>
        <v>306.04080000000005</v>
      </c>
      <c r="R325" s="300">
        <f>(238.2*KFC!$B$23*1.02*1.3+KFC!$C$23)*KFC!$C$5</f>
        <v>315.85320000000002</v>
      </c>
      <c r="S325" s="300">
        <f>(245.7*KFC!$B$23*1.02*1.3+KFC!$C$23)*KFC!$C$5</f>
        <v>325.79820000000001</v>
      </c>
      <c r="T325" s="300">
        <f>(253.2*KFC!$B$23*1.02*1.3+KFC!$C$23)*KFC!$C$5</f>
        <v>335.7432</v>
      </c>
      <c r="U325" s="300">
        <f>(260.7*KFC!$B$23*1.02*1.3+KFC!$C$23)*KFC!$C$5</f>
        <v>345.68819999999999</v>
      </c>
      <c r="V325" s="300">
        <f>(268.2*KFC!$B$23*1.02*1.3+KFC!$C$23)*KFC!$C$5</f>
        <v>355.63320000000004</v>
      </c>
      <c r="W325" s="300">
        <f>(275.7*KFC!$B$23*1.02*1.3+KFC!$C$23)*KFC!$C$5</f>
        <v>365.57820000000004</v>
      </c>
      <c r="X325" s="300">
        <f>(283.2*KFC!$B$23*1.02*1.3+KFC!$C$23)*KFC!$C$5</f>
        <v>375.52319999999997</v>
      </c>
      <c r="Y325" s="300">
        <f>(290.6*KFC!$B$23*1.02*1.3+KFC!$C$23)*KFC!$C$5</f>
        <v>385.33560000000006</v>
      </c>
      <c r="Z325" s="300">
        <f>(298.1*KFC!$B$23*1.02*1.3+KFC!$C$23)*KFC!$C$5</f>
        <v>395.28060000000005</v>
      </c>
      <c r="AA325" s="300">
        <f>(305.6*KFC!$B$23*1.02*1.3+KFC!$C$23)*KFC!$C$5</f>
        <v>405.2256000000001</v>
      </c>
      <c r="AB325" s="300">
        <f>(313.1*KFC!$B$23*1.02*1.3+KFC!$C$23)*KFC!$C$5</f>
        <v>415.17060000000004</v>
      </c>
      <c r="AC325" s="300">
        <f>(320.6*KFC!$B$23*1.02*1.3+KFC!$C$23)*KFC!$C$5</f>
        <v>425.11560000000009</v>
      </c>
      <c r="AD325" s="300">
        <f>(328.1*KFC!$B$23*1.02*1.3+KFC!$C$23)*KFC!$C$5</f>
        <v>435.06060000000008</v>
      </c>
      <c r="AE325" s="300">
        <f>(335.6*KFC!$B$23*1.02*1.3+KFC!$C$23)*KFC!$C$5</f>
        <v>445.00560000000002</v>
      </c>
      <c r="AF325" s="300">
        <f>(343*KFC!$B$23*1.02*1.3+KFC!$C$23)*KFC!$C$5</f>
        <v>454.81800000000004</v>
      </c>
      <c r="AG325" s="300">
        <f>(350.5*KFC!$B$23*1.02*1.3+KFC!$C$23)*KFC!$C$5</f>
        <v>464.76299999999998</v>
      </c>
      <c r="AH325" s="304">
        <f>(358*KFC!$B$23*1.02*1.3+KFC!$C$23)*KFC!$C$5</f>
        <v>474.70800000000003</v>
      </c>
    </row>
    <row r="326" spans="1:34">
      <c r="A326" s="1781"/>
      <c r="B326" s="395">
        <v>2.1</v>
      </c>
      <c r="C326" s="303">
        <f>(128.2*KFC!$B$23*1.02*1.3+KFC!$C$23)*KFC!$C$5</f>
        <v>169.99319999999997</v>
      </c>
      <c r="D326" s="300">
        <f>(136*KFC!$B$23*1.02*1.3+KFC!$C$23)*KFC!$C$5</f>
        <v>180.33600000000001</v>
      </c>
      <c r="E326" s="300">
        <f>(143.8*KFC!$B$23*1.02*1.3+KFC!$C$23)*KFC!$C$5</f>
        <v>190.67880000000002</v>
      </c>
      <c r="F326" s="300">
        <f>(151.6*KFC!$B$23*1.02*1.3+KFC!$C$23)*KFC!$C$5</f>
        <v>201.02160000000001</v>
      </c>
      <c r="G326" s="300">
        <f>(159.4*KFC!$B$23*1.02*1.3+KFC!$C$23)*KFC!$C$5</f>
        <v>211.36440000000005</v>
      </c>
      <c r="H326" s="300">
        <f>(167.2*KFC!$B$23*1.02*1.3+KFC!$C$23)*KFC!$C$5</f>
        <v>221.70719999999997</v>
      </c>
      <c r="I326" s="300">
        <f>(175.1*KFC!$B$23*1.02*1.3+KFC!$C$23)*KFC!$C$5</f>
        <v>232.18260000000001</v>
      </c>
      <c r="J326" s="300">
        <f>(182.9*KFC!$B$23*1.02*1.3+KFC!$C$23)*KFC!$C$5</f>
        <v>242.52540000000005</v>
      </c>
      <c r="K326" s="300">
        <f>(190.7*KFC!$B$23*1.02*1.3+KFC!$C$23)*KFC!$C$5</f>
        <v>252.86819999999997</v>
      </c>
      <c r="L326" s="300">
        <f>(198.5*KFC!$B$23*1.02*1.3+KFC!$C$23)*KFC!$C$5</f>
        <v>263.21100000000001</v>
      </c>
      <c r="M326" s="300">
        <f>(206.3*KFC!$B$23*1.02*1.3+KFC!$C$23)*KFC!$C$5</f>
        <v>273.55380000000002</v>
      </c>
      <c r="N326" s="300">
        <f>(214.1*KFC!$B$23*1.02*1.3+KFC!$C$23)*KFC!$C$5</f>
        <v>283.89660000000003</v>
      </c>
      <c r="O326" s="300">
        <f>(222*KFC!$B$23*1.02*1.3+KFC!$C$23)*KFC!$C$5</f>
        <v>294.37200000000001</v>
      </c>
      <c r="P326" s="300">
        <f>(229.8*KFC!$B$23*1.02*1.3+KFC!$C$23)*KFC!$C$5</f>
        <v>304.71480000000003</v>
      </c>
      <c r="Q326" s="300">
        <f>(237.6*KFC!$B$23*1.02*1.3+KFC!$C$23)*KFC!$C$5</f>
        <v>315.05760000000004</v>
      </c>
      <c r="R326" s="300">
        <f>(245.4*KFC!$B$23*1.02*1.3+KFC!$C$23)*KFC!$C$5</f>
        <v>325.40040000000005</v>
      </c>
      <c r="S326" s="300">
        <f>(253.2*KFC!$B$23*1.02*1.3+KFC!$C$23)*KFC!$C$5</f>
        <v>335.7432</v>
      </c>
      <c r="T326" s="300">
        <f>(261*KFC!$B$23*1.02*1.3+KFC!$C$23)*KFC!$C$5</f>
        <v>346.08600000000007</v>
      </c>
      <c r="U326" s="300">
        <f>(268.9*KFC!$B$23*1.02*1.3+KFC!$C$23)*KFC!$C$5</f>
        <v>356.56139999999999</v>
      </c>
      <c r="V326" s="300">
        <f>(276.7*KFC!$B$23*1.02*1.3+KFC!$C$23)*KFC!$C$5</f>
        <v>366.9042</v>
      </c>
      <c r="W326" s="300">
        <f>(284.5*KFC!$B$23*1.02*1.3+KFC!$C$23)*KFC!$C$5</f>
        <v>377.24700000000001</v>
      </c>
      <c r="X326" s="300">
        <f>(292.3*KFC!$B$23*1.02*1.3+KFC!$C$23)*KFC!$C$5</f>
        <v>387.58980000000003</v>
      </c>
      <c r="Y326" s="300">
        <f>(300.1*KFC!$B$23*1.02*1.3+KFC!$C$23)*KFC!$C$5</f>
        <v>397.93260000000004</v>
      </c>
      <c r="Z326" s="300">
        <f>(307.9*KFC!$B$23*1.02*1.3+KFC!$C$23)*KFC!$C$5</f>
        <v>408.27539999999999</v>
      </c>
      <c r="AA326" s="300">
        <f>(315.7*KFC!$B$23*1.02*1.3+KFC!$C$23)*KFC!$C$5</f>
        <v>418.6182</v>
      </c>
      <c r="AB326" s="300">
        <f>(323.6*KFC!$B$23*1.02*1.3+KFC!$C$23)*KFC!$C$5</f>
        <v>429.09360000000004</v>
      </c>
      <c r="AC326" s="300">
        <f>(331.4*KFC!$B$23*1.02*1.3+KFC!$C$23)*KFC!$C$5</f>
        <v>439.43639999999999</v>
      </c>
      <c r="AD326" s="300">
        <f>(339.2*KFC!$B$23*1.02*1.3+KFC!$C$23)*KFC!$C$5</f>
        <v>449.7792</v>
      </c>
      <c r="AE326" s="300">
        <f>(347*KFC!$B$23*1.02*1.3+KFC!$C$23)*KFC!$C$5</f>
        <v>460.12200000000001</v>
      </c>
      <c r="AF326" s="300">
        <f>(354.8*KFC!$B$23*1.02*1.3+KFC!$C$23)*KFC!$C$5</f>
        <v>470.46480000000003</v>
      </c>
      <c r="AG326" s="300">
        <f>(362.6*KFC!$B$23*1.02*1.3+KFC!$C$23)*KFC!$C$5</f>
        <v>480.80760000000004</v>
      </c>
      <c r="AH326" s="304">
        <f>(370.5*KFC!$B$23*1.02*1.3+KFC!$C$23)*KFC!$C$5</f>
        <v>491.28300000000007</v>
      </c>
    </row>
    <row r="327" spans="1:34">
      <c r="A327" s="1781"/>
      <c r="B327" s="395">
        <v>2.2000000000000002</v>
      </c>
      <c r="C327" s="303">
        <f>(130.4*KFC!$B$23*1.02*1.3+KFC!$C$23)*KFC!$C$5</f>
        <v>172.91040000000001</v>
      </c>
      <c r="D327" s="300">
        <f>(138.5*KFC!$B$23*1.02*1.3+KFC!$C$23)*KFC!$C$5</f>
        <v>183.65100000000001</v>
      </c>
      <c r="E327" s="300">
        <f>(146.7*KFC!$B$23*1.02*1.3+KFC!$C$23)*KFC!$C$5</f>
        <v>194.52419999999998</v>
      </c>
      <c r="F327" s="300">
        <f>(154.8*KFC!$B$23*1.02*1.3+KFC!$C$23)*KFC!$C$5</f>
        <v>205.26480000000004</v>
      </c>
      <c r="G327" s="300">
        <f>(163*KFC!$B$23*1.02*1.3+KFC!$C$23)*KFC!$C$5</f>
        <v>216.13800000000001</v>
      </c>
      <c r="H327" s="300">
        <f>(171.1*KFC!$B$23*1.02*1.3+KFC!$C$23)*KFC!$C$5</f>
        <v>226.87860000000001</v>
      </c>
      <c r="I327" s="300">
        <f>(179.3*KFC!$B$23*1.02*1.3+KFC!$C$23)*KFC!$C$5</f>
        <v>237.75180000000003</v>
      </c>
      <c r="J327" s="300">
        <f>(187.4*KFC!$B$23*1.02*1.3+KFC!$C$23)*KFC!$C$5</f>
        <v>248.4924</v>
      </c>
      <c r="K327" s="300">
        <f>(195.5*KFC!$B$23*1.02*1.3+KFC!$C$23)*KFC!$C$5</f>
        <v>259.233</v>
      </c>
      <c r="L327" s="300">
        <f>(203.7*KFC!$B$23*1.02*1.3+KFC!$C$23)*KFC!$C$5</f>
        <v>270.1062</v>
      </c>
      <c r="M327" s="300">
        <f>(211.8*KFC!$B$23*1.02*1.3+KFC!$C$23)*KFC!$C$5</f>
        <v>280.84680000000003</v>
      </c>
      <c r="N327" s="300">
        <f>(220*KFC!$B$23*1.02*1.3+KFC!$C$23)*KFC!$C$5</f>
        <v>291.72000000000003</v>
      </c>
      <c r="O327" s="300">
        <f>(228.1*KFC!$B$23*1.02*1.3+KFC!$C$23)*KFC!$C$5</f>
        <v>302.4606</v>
      </c>
      <c r="P327" s="300">
        <f>(236.3*KFC!$B$23*1.02*1.3+KFC!$C$23)*KFC!$C$5</f>
        <v>313.3338</v>
      </c>
      <c r="Q327" s="300">
        <f>(244.4*KFC!$B$23*1.02*1.3+KFC!$C$23)*KFC!$C$5</f>
        <v>324.07440000000003</v>
      </c>
      <c r="R327" s="300">
        <f>(252.6*KFC!$B$23*1.02*1.3+KFC!$C$23)*KFC!$C$5</f>
        <v>334.94760000000002</v>
      </c>
      <c r="S327" s="300">
        <f>(260.7*KFC!$B$23*1.02*1.3+KFC!$C$23)*KFC!$C$5</f>
        <v>345.68819999999999</v>
      </c>
      <c r="T327" s="300">
        <f>(268.9*KFC!$B$23*1.02*1.3+KFC!$C$23)*KFC!$C$5</f>
        <v>356.56139999999999</v>
      </c>
      <c r="U327" s="300">
        <f>(277*KFC!$B$23*1.02*1.3+KFC!$C$23)*KFC!$C$5</f>
        <v>367.30200000000002</v>
      </c>
      <c r="V327" s="300">
        <f>(285.2*KFC!$B$23*1.02*1.3+KFC!$C$23)*KFC!$C$5</f>
        <v>378.17520000000002</v>
      </c>
      <c r="W327" s="300">
        <f>(293.3*KFC!$B$23*1.02*1.3+KFC!$C$23)*KFC!$C$5</f>
        <v>388.91579999999999</v>
      </c>
      <c r="X327" s="300">
        <f>(301.4*KFC!$B$23*1.02*1.3+KFC!$C$23)*KFC!$C$5</f>
        <v>399.65640000000002</v>
      </c>
      <c r="Y327" s="300">
        <f>(309.6*KFC!$B$23*1.02*1.3+KFC!$C$23)*KFC!$C$5</f>
        <v>410.52960000000007</v>
      </c>
      <c r="Z327" s="300">
        <f>(317.7*KFC!$B$23*1.02*1.3+KFC!$C$23)*KFC!$C$5</f>
        <v>421.27019999999999</v>
      </c>
      <c r="AA327" s="300">
        <f>(325.9*KFC!$B$23*1.02*1.3+KFC!$C$23)*KFC!$C$5</f>
        <v>432.14340000000004</v>
      </c>
      <c r="AB327" s="300">
        <f>(334*KFC!$B$23*1.02*1.3+KFC!$C$23)*KFC!$C$5</f>
        <v>442.88400000000001</v>
      </c>
      <c r="AC327" s="300">
        <f>(342.2*KFC!$B$23*1.02*1.3+KFC!$C$23)*KFC!$C$5</f>
        <v>453.75720000000001</v>
      </c>
      <c r="AD327" s="300">
        <f>(350.3*KFC!$B$23*1.02*1.3+KFC!$C$23)*KFC!$C$5</f>
        <v>464.49780000000004</v>
      </c>
      <c r="AE327" s="300">
        <f>(358.5*KFC!$B$23*1.02*1.3+KFC!$C$23)*KFC!$C$5</f>
        <v>475.37100000000004</v>
      </c>
      <c r="AF327" s="300">
        <f>(366.6*KFC!$B$23*1.02*1.3+KFC!$C$23)*KFC!$C$5</f>
        <v>486.11160000000001</v>
      </c>
      <c r="AG327" s="300">
        <f>(374.8*KFC!$B$23*1.02*1.3+KFC!$C$23)*KFC!$C$5</f>
        <v>496.98480000000001</v>
      </c>
      <c r="AH327" s="304">
        <f>(382.9*KFC!$B$23*1.02*1.3+KFC!$C$23)*KFC!$C$5</f>
        <v>507.72540000000004</v>
      </c>
    </row>
    <row r="328" spans="1:34">
      <c r="A328" s="1781"/>
      <c r="B328" s="395">
        <v>2.2999999999999998</v>
      </c>
      <c r="C328" s="303">
        <f>(132.6*KFC!$B$23*1.02*1.3+KFC!$C$23)*KFC!$C$5</f>
        <v>175.82760000000002</v>
      </c>
      <c r="D328" s="300">
        <f>(141.1*KFC!$B$23*1.02*1.3+KFC!$C$23)*KFC!$C$5</f>
        <v>187.0986</v>
      </c>
      <c r="E328" s="300">
        <f>(149.5*KFC!$B$23*1.02*1.3+KFC!$C$23)*KFC!$C$5</f>
        <v>198.23700000000002</v>
      </c>
      <c r="F328" s="300">
        <f>(158*KFC!$B$23*1.02*1.3+KFC!$C$23)*KFC!$C$5</f>
        <v>209.50800000000001</v>
      </c>
      <c r="G328" s="300">
        <f>(166.5*KFC!$B$23*1.02*1.3+KFC!$C$23)*KFC!$C$5</f>
        <v>220.77900000000002</v>
      </c>
      <c r="H328" s="300">
        <f>(175*KFC!$B$23*1.02*1.3+KFC!$C$23)*KFC!$C$5</f>
        <v>232.05</v>
      </c>
      <c r="I328" s="300">
        <f>(183.4*KFC!$B$23*1.02*1.3+KFC!$C$23)*KFC!$C$5</f>
        <v>243.18840000000003</v>
      </c>
      <c r="J328" s="300">
        <f>(191.9*KFC!$B$23*1.02*1.3+KFC!$C$23)*KFC!$C$5</f>
        <v>254.45940000000002</v>
      </c>
      <c r="K328" s="300">
        <f>(200.4*KFC!$B$23*1.02*1.3+KFC!$C$23)*KFC!$C$5</f>
        <v>265.73040000000003</v>
      </c>
      <c r="L328" s="300">
        <f>(208.9*KFC!$B$23*1.02*1.3+KFC!$C$23)*KFC!$C$5</f>
        <v>277.00139999999999</v>
      </c>
      <c r="M328" s="300">
        <f>(217.3*KFC!$B$23*1.02*1.3+KFC!$C$23)*KFC!$C$5</f>
        <v>288.13980000000004</v>
      </c>
      <c r="N328" s="300">
        <f>(225.8*KFC!$B$23*1.02*1.3+KFC!$C$23)*KFC!$C$5</f>
        <v>299.41079999999999</v>
      </c>
      <c r="O328" s="300">
        <f>(234.3*KFC!$B$23*1.02*1.3+KFC!$C$23)*KFC!$C$5</f>
        <v>310.68180000000001</v>
      </c>
      <c r="P328" s="300">
        <f>(242.8*KFC!$B$23*1.02*1.3+KFC!$C$23)*KFC!$C$5</f>
        <v>321.95280000000002</v>
      </c>
      <c r="Q328" s="300">
        <f>(251.3*KFC!$B$23*1.02*1.3+KFC!$C$23)*KFC!$C$5</f>
        <v>333.22380000000004</v>
      </c>
      <c r="R328" s="300">
        <f>(259.7*KFC!$B$23*1.02*1.3+KFC!$C$23)*KFC!$C$5</f>
        <v>344.36220000000003</v>
      </c>
      <c r="S328" s="300">
        <f>(268.2*KFC!$B$23*1.02*1.3+KFC!$C$23)*KFC!$C$5</f>
        <v>355.63320000000004</v>
      </c>
      <c r="T328" s="300">
        <f>(276.7*KFC!$B$23*1.02*1.3+KFC!$C$23)*KFC!$C$5</f>
        <v>366.9042</v>
      </c>
      <c r="U328" s="300">
        <f>(285.2*KFC!$B$23*1.02*1.3+KFC!$C$23)*KFC!$C$5</f>
        <v>378.17520000000002</v>
      </c>
      <c r="V328" s="300">
        <f>(293.6*KFC!$B$23*1.02*1.3+KFC!$C$23)*KFC!$C$5</f>
        <v>389.31360000000006</v>
      </c>
      <c r="W328" s="300">
        <f>(302.1*KFC!$B$23*1.02*1.3+KFC!$C$23)*KFC!$C$5</f>
        <v>400.58460000000008</v>
      </c>
      <c r="X328" s="300">
        <f>(310.6*KFC!$B$23*1.02*1.3+KFC!$C$23)*KFC!$C$5</f>
        <v>411.85560000000004</v>
      </c>
      <c r="Y328" s="300">
        <f>(319.1*KFC!$B$23*1.02*1.3+KFC!$C$23)*KFC!$C$5</f>
        <v>423.12660000000005</v>
      </c>
      <c r="Z328" s="300">
        <f>(327.5*KFC!$B$23*1.02*1.3+KFC!$C$23)*KFC!$C$5</f>
        <v>434.26500000000004</v>
      </c>
      <c r="AA328" s="300">
        <f>(336*KFC!$B$23*1.02*1.3+KFC!$C$23)*KFC!$C$5</f>
        <v>445.53600000000006</v>
      </c>
      <c r="AB328" s="300">
        <f>(344.5*KFC!$B$23*1.02*1.3+KFC!$C$23)*KFC!$C$5</f>
        <v>456.80700000000002</v>
      </c>
      <c r="AC328" s="300">
        <f>(353*KFC!$B$23*1.02*1.3+KFC!$C$23)*KFC!$C$5</f>
        <v>468.07800000000003</v>
      </c>
      <c r="AD328" s="300">
        <f>(361.5*KFC!$B$23*1.02*1.3+KFC!$C$23)*KFC!$C$5</f>
        <v>479.34900000000005</v>
      </c>
      <c r="AE328" s="300">
        <f>(369.9*KFC!$B$23*1.02*1.3+KFC!$C$23)*KFC!$C$5</f>
        <v>490.48740000000004</v>
      </c>
      <c r="AF328" s="300">
        <f>(378.4*KFC!$B$23*1.02*1.3+KFC!$C$23)*KFC!$C$5</f>
        <v>501.75839999999999</v>
      </c>
      <c r="AG328" s="300">
        <f>(386.9*KFC!$B$23*1.02*1.3+KFC!$C$23)*KFC!$C$5</f>
        <v>513.02940000000001</v>
      </c>
      <c r="AH328" s="304">
        <f>(395.4*KFC!$B$23*1.02*1.3+KFC!$C$23)*KFC!$C$5</f>
        <v>524.30039999999997</v>
      </c>
    </row>
    <row r="329" spans="1:34">
      <c r="A329" s="1781"/>
      <c r="B329" s="395">
        <v>2.4</v>
      </c>
      <c r="C329" s="303">
        <f>(134.8*KFC!$B$23*1.02*1.3+KFC!$C$23)*KFC!$C$5</f>
        <v>178.74480000000003</v>
      </c>
      <c r="D329" s="300">
        <f>(143.6*KFC!$B$23*1.02*1.3+KFC!$C$23)*KFC!$C$5</f>
        <v>190.41360000000003</v>
      </c>
      <c r="E329" s="300">
        <f>(152.4*KFC!$B$23*1.02*1.3+KFC!$C$23)*KFC!$C$5</f>
        <v>202.08240000000001</v>
      </c>
      <c r="F329" s="300">
        <f>(161.2*KFC!$B$23*1.02*1.3+KFC!$C$23)*KFC!$C$5</f>
        <v>213.75119999999998</v>
      </c>
      <c r="G329" s="300">
        <f>(170*KFC!$B$23*1.02*1.3+KFC!$C$23)*KFC!$C$5</f>
        <v>225.42000000000002</v>
      </c>
      <c r="H329" s="300">
        <f>(178.8*KFC!$B$23*1.02*1.3+KFC!$C$23)*KFC!$C$5</f>
        <v>237.08880000000002</v>
      </c>
      <c r="I329" s="300">
        <f>(187.6*KFC!$B$23*1.02*1.3+KFC!$C$23)*KFC!$C$5</f>
        <v>248.75760000000002</v>
      </c>
      <c r="J329" s="300">
        <f>(196.4*KFC!$B$23*1.02*1.3+KFC!$C$23)*KFC!$C$5</f>
        <v>260.4264</v>
      </c>
      <c r="K329" s="300">
        <f>(205.2*KFC!$B$23*1.02*1.3+KFC!$C$23)*KFC!$C$5</f>
        <v>272.09520000000003</v>
      </c>
      <c r="L329" s="300">
        <f>(214*KFC!$B$23*1.02*1.3+KFC!$C$23)*KFC!$C$5</f>
        <v>283.76400000000001</v>
      </c>
      <c r="M329" s="300">
        <f>(222.9*KFC!$B$23*1.02*1.3+KFC!$C$23)*KFC!$C$5</f>
        <v>295.56540000000001</v>
      </c>
      <c r="N329" s="300">
        <f>(231.7*KFC!$B$23*1.02*1.3+KFC!$C$23)*KFC!$C$5</f>
        <v>307.23419999999999</v>
      </c>
      <c r="O329" s="300">
        <f>(240.5*KFC!$B$23*1.02*1.3+KFC!$C$23)*KFC!$C$5</f>
        <v>318.90300000000002</v>
      </c>
      <c r="P329" s="300">
        <f>(249.3*KFC!$B$23*1.02*1.3+KFC!$C$23)*KFC!$C$5</f>
        <v>330.57180000000005</v>
      </c>
      <c r="Q329" s="300">
        <f>(258.1*KFC!$B$23*1.02*1.3+KFC!$C$23)*KFC!$C$5</f>
        <v>342.24060000000003</v>
      </c>
      <c r="R329" s="300">
        <f>(266.9*KFC!$B$23*1.02*1.3+KFC!$C$23)*KFC!$C$5</f>
        <v>353.90940000000001</v>
      </c>
      <c r="S329" s="300">
        <f>(275.7*KFC!$B$23*1.02*1.3+KFC!$C$23)*KFC!$C$5</f>
        <v>365.57820000000004</v>
      </c>
      <c r="T329" s="300">
        <f>(284.5*KFC!$B$23*1.02*1.3+KFC!$C$23)*KFC!$C$5</f>
        <v>377.24700000000001</v>
      </c>
      <c r="U329" s="300">
        <f>(293.3*KFC!$B$23*1.02*1.3+KFC!$C$23)*KFC!$C$5</f>
        <v>388.91579999999999</v>
      </c>
      <c r="V329" s="300">
        <f>(302.1*KFC!$B$23*1.02*1.3+KFC!$C$23)*KFC!$C$5</f>
        <v>400.58460000000008</v>
      </c>
      <c r="W329" s="300">
        <f>(310.9*KFC!$B$23*1.02*1.3+KFC!$C$23)*KFC!$C$5</f>
        <v>412.2534</v>
      </c>
      <c r="X329" s="300">
        <f>(319.7*KFC!$B$23*1.02*1.3+KFC!$C$23)*KFC!$C$5</f>
        <v>423.92220000000003</v>
      </c>
      <c r="Y329" s="300">
        <f>(328.5*KFC!$B$23*1.02*1.3+KFC!$C$23)*KFC!$C$5</f>
        <v>435.59100000000001</v>
      </c>
      <c r="Z329" s="300">
        <f>(337.4*KFC!$B$23*1.02*1.3+KFC!$C$23)*KFC!$C$5</f>
        <v>447.39239999999995</v>
      </c>
      <c r="AA329" s="300">
        <f>(346.2*KFC!$B$23*1.02*1.3+KFC!$C$23)*KFC!$C$5</f>
        <v>459.06119999999999</v>
      </c>
      <c r="AB329" s="300">
        <f>(355*KFC!$B$23*1.02*1.3+KFC!$C$23)*KFC!$C$5</f>
        <v>470.73</v>
      </c>
      <c r="AC329" s="300">
        <f>(363.8*KFC!$B$23*1.02*1.3+KFC!$C$23)*KFC!$C$5</f>
        <v>482.39880000000005</v>
      </c>
      <c r="AD329" s="300">
        <f>(372.6*KFC!$B$23*1.02*1.3+KFC!$C$23)*KFC!$C$5</f>
        <v>494.06760000000003</v>
      </c>
      <c r="AE329" s="300">
        <f>(381.4*KFC!$B$23*1.02*1.3+KFC!$C$23)*KFC!$C$5</f>
        <v>505.73639999999995</v>
      </c>
      <c r="AF329" s="300">
        <f>(390.2*KFC!$B$23*1.02*1.3+KFC!$C$23)*KFC!$C$5</f>
        <v>517.40520000000004</v>
      </c>
      <c r="AG329" s="300">
        <f>(399*KFC!$B$23*1.02*1.3+KFC!$C$23)*KFC!$C$5</f>
        <v>529.07400000000007</v>
      </c>
      <c r="AH329" s="304">
        <f>(407.8*KFC!$B$23*1.02*1.3+KFC!$C$23)*KFC!$C$5</f>
        <v>540.74279999999999</v>
      </c>
    </row>
    <row r="330" spans="1:34">
      <c r="A330" s="1781"/>
      <c r="B330" s="395">
        <v>2.5</v>
      </c>
      <c r="C330" s="303">
        <f>(137*KFC!$B$23*1.02*1.3+KFC!$C$23)*KFC!$C$5</f>
        <v>181.66200000000001</v>
      </c>
      <c r="D330" s="300">
        <f>(146.1*KFC!$B$23*1.02*1.3+KFC!$C$23)*KFC!$C$5</f>
        <v>193.7286</v>
      </c>
      <c r="E330" s="300">
        <f>(155.3*KFC!$B$23*1.02*1.3+KFC!$C$23)*KFC!$C$5</f>
        <v>205.92780000000002</v>
      </c>
      <c r="F330" s="300">
        <f>(164.4*KFC!$B$23*1.02*1.3+KFC!$C$23)*KFC!$C$5</f>
        <v>217.99440000000004</v>
      </c>
      <c r="G330" s="300">
        <f>(173.5*KFC!$B$23*1.02*1.3+KFC!$C$23)*KFC!$C$5</f>
        <v>230.06100000000001</v>
      </c>
      <c r="H330" s="300">
        <f>(182.7*KFC!$B$23*1.02*1.3+KFC!$C$23)*KFC!$C$5</f>
        <v>242.2602</v>
      </c>
      <c r="I330" s="300">
        <f>(191.8*KFC!$B$23*1.02*1.3+KFC!$C$23)*KFC!$C$5</f>
        <v>254.32680000000005</v>
      </c>
      <c r="J330" s="300">
        <f>(200.9*KFC!$B$23*1.02*1.3+KFC!$C$23)*KFC!$C$5</f>
        <v>266.39340000000004</v>
      </c>
      <c r="K330" s="300">
        <f>(210.1*KFC!$B$23*1.02*1.3+KFC!$C$23)*KFC!$C$5</f>
        <v>278.5926</v>
      </c>
      <c r="L330" s="300">
        <f>(219.2*KFC!$B$23*1.02*1.3+KFC!$C$23)*KFC!$C$5</f>
        <v>290.6592</v>
      </c>
      <c r="M330" s="300">
        <f>(228.4*KFC!$B$23*1.02*1.3+KFC!$C$23)*KFC!$C$5</f>
        <v>302.85840000000002</v>
      </c>
      <c r="N330" s="300">
        <f>(237.5*KFC!$B$23*1.02*1.3+KFC!$C$23)*KFC!$C$5</f>
        <v>314.92500000000001</v>
      </c>
      <c r="O330" s="300">
        <f>(246.6*KFC!$B$23*1.02*1.3+KFC!$C$23)*KFC!$C$5</f>
        <v>326.99160000000001</v>
      </c>
      <c r="P330" s="300">
        <f>(255.8*KFC!$B$23*1.02*1.3+KFC!$C$23)*KFC!$C$5</f>
        <v>339.19080000000002</v>
      </c>
      <c r="Q330" s="300">
        <f>(264.9*KFC!$B$23*1.02*1.3+KFC!$C$23)*KFC!$C$5</f>
        <v>351.25739999999996</v>
      </c>
      <c r="R330" s="300">
        <f>(274.1*KFC!$B$23*1.02*1.3+KFC!$C$23)*KFC!$C$5</f>
        <v>363.45660000000009</v>
      </c>
      <c r="S330" s="300">
        <f>(283.2*KFC!$B$23*1.02*1.3+KFC!$C$23)*KFC!$C$5</f>
        <v>375.52319999999997</v>
      </c>
      <c r="T330" s="300">
        <f>(292.3*KFC!$B$23*1.02*1.3+KFC!$C$23)*KFC!$C$5</f>
        <v>387.58980000000003</v>
      </c>
      <c r="U330" s="300">
        <f>(301.5*KFC!$B$23*1.02*1.3+KFC!$C$23)*KFC!$C$5</f>
        <v>399.78900000000004</v>
      </c>
      <c r="V330" s="300">
        <f>(310.6*KFC!$B$23*1.02*1.3+KFC!$C$23)*KFC!$C$5</f>
        <v>411.85560000000004</v>
      </c>
      <c r="W330" s="300">
        <f>(319.7*KFC!$B$23*1.02*1.3+KFC!$C$23)*KFC!$C$5</f>
        <v>423.92220000000003</v>
      </c>
      <c r="X330" s="300">
        <f>(328.9*KFC!$B$23*1.02*1.3+KFC!$C$23)*KFC!$C$5</f>
        <v>436.12140000000005</v>
      </c>
      <c r="Y330" s="300">
        <f>(338*KFC!$B$23*1.02*1.3+KFC!$C$23)*KFC!$C$5</f>
        <v>448.18799999999999</v>
      </c>
      <c r="Z330" s="300">
        <f>(347.2*KFC!$B$23*1.02*1.3+KFC!$C$23)*KFC!$C$5</f>
        <v>460.38720000000001</v>
      </c>
      <c r="AA330" s="300">
        <f>(356.3*KFC!$B$23*1.02*1.3+KFC!$C$23)*KFC!$C$5</f>
        <v>472.45380000000006</v>
      </c>
      <c r="AB330" s="300">
        <f>(365.4*KFC!$B$23*1.02*1.3+KFC!$C$23)*KFC!$C$5</f>
        <v>484.5204</v>
      </c>
      <c r="AC330" s="300">
        <f>(374.8*KFC!$B$23*1.02*1.3+KFC!$C$23)*KFC!$C$5</f>
        <v>496.98480000000001</v>
      </c>
      <c r="AD330" s="300">
        <f>(383.7*KFC!$B$23*1.02*1.3+KFC!$C$23)*KFC!$C$5</f>
        <v>508.78620000000006</v>
      </c>
      <c r="AE330" s="300">
        <f>(392.9*KFC!$B$23*1.02*1.3+KFC!$C$23)*KFC!$C$5</f>
        <v>520.98540000000003</v>
      </c>
      <c r="AF330" s="300">
        <f>(402*KFC!$B$23*1.02*1.3+KFC!$C$23)*KFC!$C$5</f>
        <v>533.05200000000002</v>
      </c>
      <c r="AG330" s="300">
        <f>(411.1*KFC!$B$23*1.02*1.3+KFC!$C$23)*KFC!$C$5</f>
        <v>545.11860000000001</v>
      </c>
      <c r="AH330" s="304">
        <f>(420.3*KFC!$B$23*1.02*1.3+KFC!$C$23)*KFC!$C$5</f>
        <v>557.31780000000003</v>
      </c>
    </row>
    <row r="331" spans="1:34">
      <c r="A331" s="1781"/>
      <c r="B331" s="395">
        <v>2.6</v>
      </c>
      <c r="C331" s="303">
        <f>(139.2*KFC!$B$23*1.02*1.3+KFC!$C$23)*KFC!$C$5</f>
        <v>184.57919999999999</v>
      </c>
      <c r="D331" s="300">
        <f>(148.6*KFC!$B$23*1.02*1.3+KFC!$C$23)*KFC!$C$5</f>
        <v>197.0436</v>
      </c>
      <c r="E331" s="300">
        <f>(158.1*KFC!$B$23*1.02*1.3+KFC!$C$23)*KFC!$C$5</f>
        <v>209.64060000000001</v>
      </c>
      <c r="F331" s="300">
        <f>(167.6*KFC!$B$23*1.02*1.3+KFC!$C$23)*KFC!$C$5</f>
        <v>222.23760000000001</v>
      </c>
      <c r="G331" s="300">
        <f>(177.1*KFC!$B$23*1.02*1.3+KFC!$C$23)*KFC!$C$5</f>
        <v>234.83459999999999</v>
      </c>
      <c r="H331" s="300">
        <f>(186.5*KFC!$B$23*1.02*1.3+KFC!$C$23)*KFC!$C$5</f>
        <v>247.29900000000001</v>
      </c>
      <c r="I331" s="300">
        <f>(196*KFC!$B$23*1.02*1.3+KFC!$C$23)*KFC!$C$5</f>
        <v>259.89600000000002</v>
      </c>
      <c r="J331" s="300">
        <f>(205.5*KFC!$B$23*1.02*1.3+KFC!$C$23)*KFC!$C$5</f>
        <v>272.49300000000005</v>
      </c>
      <c r="K331" s="300">
        <f>(214.9*KFC!$B$23*1.02*1.3+KFC!$C$23)*KFC!$C$5</f>
        <v>284.95740000000001</v>
      </c>
      <c r="L331" s="300">
        <f>(224.4*KFC!$B$23*1.02*1.3+KFC!$C$23)*KFC!$C$5</f>
        <v>297.55440000000004</v>
      </c>
      <c r="M331" s="300">
        <f>(233.9*KFC!$B$23*1.02*1.3+KFC!$C$23)*KFC!$C$5</f>
        <v>310.15140000000002</v>
      </c>
      <c r="N331" s="300">
        <f>(243.3*KFC!$B$23*1.02*1.3+KFC!$C$23)*KFC!$C$5</f>
        <v>322.61580000000004</v>
      </c>
      <c r="O331" s="300">
        <f>(252.8*KFC!$B$23*1.02*1.3+KFC!$C$23)*KFC!$C$5</f>
        <v>335.21280000000002</v>
      </c>
      <c r="P331" s="300">
        <f>(262.3*KFC!$B$23*1.02*1.3+KFC!$C$23)*KFC!$C$5</f>
        <v>347.8098</v>
      </c>
      <c r="Q331" s="300">
        <f>(271.7*KFC!$B$23*1.02*1.3+KFC!$C$23)*KFC!$C$5</f>
        <v>360.27420000000001</v>
      </c>
      <c r="R331" s="300">
        <f>(281.2*KFC!$B$23*1.02*1.3+KFC!$C$23)*KFC!$C$5</f>
        <v>372.87120000000004</v>
      </c>
      <c r="S331" s="300">
        <f>(290.7*KFC!$B$23*1.02*1.3+KFC!$C$23)*KFC!$C$5</f>
        <v>385.46820000000002</v>
      </c>
      <c r="T331" s="300">
        <f>(300.2*KFC!$B$23*1.02*1.3+KFC!$C$23)*KFC!$C$5</f>
        <v>398.0652</v>
      </c>
      <c r="U331" s="300">
        <f>(309.6*KFC!$B$23*1.02*1.3+KFC!$C$23)*KFC!$C$5</f>
        <v>410.52960000000007</v>
      </c>
      <c r="V331" s="300">
        <f>(319.1*KFC!$B$23*1.02*1.3+KFC!$C$23)*KFC!$C$5</f>
        <v>423.12660000000005</v>
      </c>
      <c r="W331" s="300">
        <f>(328.6*KFC!$B$23*1.02*1.3+KFC!$C$23)*KFC!$C$5</f>
        <v>435.72360000000003</v>
      </c>
      <c r="X331" s="300">
        <f>(338*KFC!$B$23*1.02*1.3+KFC!$C$23)*KFC!$C$5</f>
        <v>448.18799999999999</v>
      </c>
      <c r="Y331" s="300">
        <f>(347.5*KFC!$B$23*1.02*1.3+KFC!$C$23)*KFC!$C$5</f>
        <v>460.78500000000003</v>
      </c>
      <c r="Z331" s="300">
        <f>(357*KFC!$B$23*1.02*1.3+KFC!$C$23)*KFC!$C$5</f>
        <v>473.38200000000001</v>
      </c>
      <c r="AA331" s="300">
        <f>(366.4*KFC!$B$23*1.02*1.3+KFC!$C$23)*KFC!$C$5</f>
        <v>485.84640000000002</v>
      </c>
      <c r="AB331" s="300">
        <f>(375.9*KFC!$B$23*1.02*1.3+KFC!$C$23)*KFC!$C$5</f>
        <v>498.4434</v>
      </c>
      <c r="AC331" s="300">
        <f>(385.4*KFC!$B$23*1.02*1.3+KFC!$C$23)*KFC!$C$5</f>
        <v>511.04040000000003</v>
      </c>
      <c r="AD331" s="300">
        <f>(394.8*KFC!$B$23*1.02*1.3+KFC!$C$23)*KFC!$C$5</f>
        <v>523.50480000000005</v>
      </c>
      <c r="AE331" s="300">
        <f>(404.3*KFC!$B$23*1.02*1.3+KFC!$C$23)*KFC!$C$5</f>
        <v>536.10180000000003</v>
      </c>
      <c r="AF331" s="300">
        <f>(413.8*KFC!$B$23*1.02*1.3+KFC!$C$23)*KFC!$C$5</f>
        <v>548.69880000000001</v>
      </c>
      <c r="AG331" s="300">
        <f>(423.3*KFC!$B$23*1.02*1.3+KFC!$C$23)*KFC!$C$5</f>
        <v>561.2958000000001</v>
      </c>
      <c r="AH331" s="304">
        <f>(432.7*KFC!$B$23*1.02*1.3+KFC!$C$23)*KFC!$C$5</f>
        <v>573.76020000000005</v>
      </c>
    </row>
    <row r="332" spans="1:34">
      <c r="A332" s="1781"/>
      <c r="B332" s="395">
        <v>2.7</v>
      </c>
      <c r="C332" s="303">
        <f>(141.4*KFC!$B$23*1.02*1.3+KFC!$C$23)*KFC!$C$5</f>
        <v>187.49640000000002</v>
      </c>
      <c r="D332" s="300">
        <f>(151.2*KFC!$B$23*1.02*1.3+KFC!$C$23)*KFC!$C$5</f>
        <v>200.49119999999999</v>
      </c>
      <c r="E332" s="300">
        <f>(161*KFC!$B$23*1.02*1.3+KFC!$C$23)*KFC!$C$5</f>
        <v>213.48600000000002</v>
      </c>
      <c r="F332" s="300">
        <f>(170.8*KFC!$B$23*1.02*1.3+KFC!$C$23)*KFC!$C$5</f>
        <v>226.48080000000002</v>
      </c>
      <c r="G332" s="300">
        <f>(180.6*KFC!$B$23*1.02*1.3+KFC!$C$23)*KFC!$C$5</f>
        <v>239.47559999999999</v>
      </c>
      <c r="H332" s="300">
        <f>(190.4*KFC!$B$23*1.02*1.3+KFC!$C$23)*KFC!$C$5</f>
        <v>252.47040000000001</v>
      </c>
      <c r="I332" s="300">
        <f>(200.2*KFC!$B$23*1.02*1.3+KFC!$C$23)*KFC!$C$5</f>
        <v>265.46519999999998</v>
      </c>
      <c r="J332" s="300">
        <f>(210*KFC!$B$23*1.02*1.3+KFC!$C$23)*KFC!$C$5</f>
        <v>278.46000000000004</v>
      </c>
      <c r="K332" s="300">
        <f>(219.8*KFC!$B$23*1.02*1.3+KFC!$C$23)*KFC!$C$5</f>
        <v>291.45480000000003</v>
      </c>
      <c r="L332" s="300">
        <f>(229.6*KFC!$B$23*1.02*1.3+KFC!$C$23)*KFC!$C$5</f>
        <v>304.44960000000003</v>
      </c>
      <c r="M332" s="300">
        <f>(239.4*KFC!$B$23*1.02*1.3+KFC!$C$23)*KFC!$C$5</f>
        <v>317.44440000000003</v>
      </c>
      <c r="N332" s="300">
        <f>(249.2*KFC!$B$23*1.02*1.3+KFC!$C$23)*KFC!$C$5</f>
        <v>330.43920000000003</v>
      </c>
      <c r="O332" s="300">
        <f>(259*KFC!$B$23*1.02*1.3+KFC!$C$23)*KFC!$C$5</f>
        <v>343.43400000000003</v>
      </c>
      <c r="P332" s="300">
        <f>(268.8*KFC!$B$23*1.02*1.3+KFC!$C$23)*KFC!$C$5</f>
        <v>356.42880000000008</v>
      </c>
      <c r="Q332" s="300">
        <f>(278.6*KFC!$B$23*1.02*1.3+KFC!$C$23)*KFC!$C$5</f>
        <v>369.42360000000002</v>
      </c>
      <c r="R332" s="300">
        <f>(288.4*KFC!$B$23*1.02*1.3+KFC!$C$23)*KFC!$C$5</f>
        <v>382.41840000000002</v>
      </c>
      <c r="S332" s="300">
        <f>(298.2*KFC!$B$23*1.02*1.3+KFC!$C$23)*KFC!$C$5</f>
        <v>395.41320000000002</v>
      </c>
      <c r="T332" s="300">
        <f>(308*KFC!$B$23*1.02*1.3+KFC!$C$23)*KFC!$C$5</f>
        <v>408.40800000000007</v>
      </c>
      <c r="U332" s="300">
        <f>(317.8*KFC!$B$23*1.02*1.3+KFC!$C$23)*KFC!$C$5</f>
        <v>421.40280000000001</v>
      </c>
      <c r="V332" s="300">
        <f>(327.6*KFC!$B$23*1.02*1.3+KFC!$C$23)*KFC!$C$5</f>
        <v>434.39760000000007</v>
      </c>
      <c r="W332" s="300">
        <f>(337.4*KFC!$B$23*1.02*1.3+KFC!$C$23)*KFC!$C$5</f>
        <v>447.39239999999995</v>
      </c>
      <c r="X332" s="300">
        <f>(347.2*KFC!$B$23*1.02*1.3+KFC!$C$23)*KFC!$C$5</f>
        <v>460.38720000000001</v>
      </c>
      <c r="Y332" s="300">
        <f>(357*KFC!$B$23*1.02*1.3+KFC!$C$23)*KFC!$C$5</f>
        <v>473.38200000000001</v>
      </c>
      <c r="Z332" s="300">
        <f>(366.8*KFC!$B$23*1.02*1.3+KFC!$C$23)*KFC!$C$5</f>
        <v>486.37680000000006</v>
      </c>
      <c r="AA332" s="300">
        <f>(376.6*KFC!$B$23*1.02*1.3+KFC!$C$23)*KFC!$C$5</f>
        <v>499.3716</v>
      </c>
      <c r="AB332" s="300">
        <f>(386.4*KFC!$B$23*1.02*1.3+KFC!$C$23)*KFC!$C$5</f>
        <v>512.3664</v>
      </c>
      <c r="AC332" s="300">
        <f>(396.2*KFC!$B$23*1.02*1.3+KFC!$C$23)*KFC!$C$5</f>
        <v>525.36120000000005</v>
      </c>
      <c r="AD332" s="300">
        <f>(406*KFC!$B$23*1.02*1.3+KFC!$C$23)*KFC!$C$5</f>
        <v>538.35599999999999</v>
      </c>
      <c r="AE332" s="300">
        <f>(415.8*KFC!$B$23*1.02*1.3+KFC!$C$23)*KFC!$C$5</f>
        <v>551.35080000000005</v>
      </c>
      <c r="AF332" s="300">
        <f>(425.6*KFC!$B$23*1.02*1.3+KFC!$C$23)*KFC!$C$5</f>
        <v>564.3456000000001</v>
      </c>
      <c r="AG332" s="300">
        <f>(435.4*KFC!$B$23*1.02*1.3+KFC!$C$23)*KFC!$C$5</f>
        <v>577.34040000000005</v>
      </c>
      <c r="AH332" s="304">
        <f>(445.2*KFC!$B$23*1.02*1.3+KFC!$C$23)*KFC!$C$5</f>
        <v>590.33519999999999</v>
      </c>
    </row>
    <row r="333" spans="1:34">
      <c r="A333" s="1781"/>
      <c r="B333" s="395">
        <v>2.8</v>
      </c>
      <c r="C333" s="303">
        <f>(143.6*KFC!$B$23*1.02*1.3+KFC!$C$23)*KFC!$C$5</f>
        <v>190.41360000000003</v>
      </c>
      <c r="D333" s="300">
        <f>(153.7*KFC!$B$23*1.02*1.3+KFC!$C$23)*KFC!$C$5</f>
        <v>203.80620000000002</v>
      </c>
      <c r="E333" s="300">
        <f>(163.8*KFC!$B$23*1.02*1.3+KFC!$C$23)*KFC!$C$5</f>
        <v>217.19880000000003</v>
      </c>
      <c r="F333" s="300">
        <f>(174*KFC!$B$23*1.02*1.3+KFC!$C$23)*KFC!$C$5</f>
        <v>230.72399999999999</v>
      </c>
      <c r="G333" s="300">
        <f>(184.1*KFC!$B$23*1.02*1.3+KFC!$C$23)*KFC!$C$5</f>
        <v>244.11660000000003</v>
      </c>
      <c r="H333" s="300">
        <f>(194.2*KFC!$B$23*1.02*1.3+KFC!$C$23)*KFC!$C$5</f>
        <v>257.50920000000002</v>
      </c>
      <c r="I333" s="300">
        <f>(204.4*KFC!$B$23*1.02*1.3+KFC!$C$23)*KFC!$C$5</f>
        <v>271.03440000000001</v>
      </c>
      <c r="J333" s="300">
        <f>(214.5*KFC!$B$23*1.02*1.3+KFC!$C$23)*KFC!$C$5</f>
        <v>284.42700000000002</v>
      </c>
      <c r="K333" s="300">
        <f>(224.6*KFC!$B$23*1.02*1.3+KFC!$C$23)*KFC!$C$5</f>
        <v>297.81959999999998</v>
      </c>
      <c r="L333" s="300">
        <f>(234.8*KFC!$B$23*1.02*1.3+KFC!$C$23)*KFC!$C$5</f>
        <v>311.34480000000002</v>
      </c>
      <c r="M333" s="300">
        <f>(244.9*KFC!$B$23*1.02*1.3+KFC!$C$23)*KFC!$C$5</f>
        <v>324.73740000000004</v>
      </c>
      <c r="N333" s="300">
        <f>(255*KFC!$B$23*1.02*1.3+KFC!$C$23)*KFC!$C$5</f>
        <v>338.13000000000005</v>
      </c>
      <c r="O333" s="300">
        <f>(265.1*KFC!$B$23*1.02*1.3+KFC!$C$23)*KFC!$C$5</f>
        <v>351.52260000000007</v>
      </c>
      <c r="P333" s="300">
        <f>(275.3*KFC!$B$23*1.02*1.3+KFC!$C$23)*KFC!$C$5</f>
        <v>365.04780000000005</v>
      </c>
      <c r="Q333" s="300">
        <f>(285.4*KFC!$B$23*1.02*1.3+KFC!$C$23)*KFC!$C$5</f>
        <v>378.44040000000001</v>
      </c>
      <c r="R333" s="300">
        <f>(295.5*KFC!$B$23*1.02*1.3+KFC!$C$23)*KFC!$C$5</f>
        <v>391.83300000000003</v>
      </c>
      <c r="S333" s="300">
        <f>(305.7*KFC!$B$23*1.02*1.3+KFC!$C$23)*KFC!$C$5</f>
        <v>405.35820000000007</v>
      </c>
      <c r="T333" s="300">
        <f>(315.8*KFC!$B$23*1.02*1.3+KFC!$C$23)*KFC!$C$5</f>
        <v>418.75080000000008</v>
      </c>
      <c r="U333" s="300">
        <f>(325.9*KFC!$B$23*1.02*1.3+KFC!$C$23)*KFC!$C$5</f>
        <v>432.14340000000004</v>
      </c>
      <c r="V333" s="300">
        <f>(336.1*KFC!$B$23*1.02*1.3+KFC!$C$23)*KFC!$C$5</f>
        <v>445.66860000000003</v>
      </c>
      <c r="W333" s="300">
        <f>(346.2*KFC!$B$23*1.02*1.3+KFC!$C$23)*KFC!$C$5</f>
        <v>459.06119999999999</v>
      </c>
      <c r="X333" s="300">
        <f>(356.3*KFC!$B$23*1.02*1.3+KFC!$C$23)*KFC!$C$5</f>
        <v>472.45380000000006</v>
      </c>
      <c r="Y333" s="300">
        <f>(366.5*KFC!$B$23*1.02*1.3+KFC!$C$23)*KFC!$C$5</f>
        <v>485.97899999999998</v>
      </c>
      <c r="Z333" s="300">
        <f>(376.6*KFC!$B$23*1.02*1.3+KFC!$C$23)*KFC!$C$5</f>
        <v>499.3716</v>
      </c>
      <c r="AA333" s="300">
        <f>(386.7*KFC!$B$23*1.02*1.3+KFC!$C$23)*KFC!$C$5</f>
        <v>512.76419999999996</v>
      </c>
      <c r="AB333" s="300">
        <f>(396.8*KFC!$B$23*1.02*1.3+KFC!$C$23)*KFC!$C$5</f>
        <v>526.15680000000009</v>
      </c>
      <c r="AC333" s="300">
        <f>(407*KFC!$B$23*1.02*1.3+KFC!$C$23)*KFC!$C$5</f>
        <v>539.68200000000002</v>
      </c>
      <c r="AD333" s="300">
        <f>(417.1*KFC!$B$23*1.02*1.3+KFC!$C$23)*KFC!$C$5</f>
        <v>553.07460000000003</v>
      </c>
      <c r="AE333" s="300">
        <f>(427.2*KFC!$B$23*1.02*1.3+KFC!$C$23)*KFC!$C$5</f>
        <v>566.46719999999993</v>
      </c>
      <c r="AF333" s="300">
        <f>(437.4*KFC!$B$23*1.02*1.3+KFC!$C$23)*KFC!$C$5</f>
        <v>579.99239999999998</v>
      </c>
      <c r="AG333" s="300">
        <f>(447.5*KFC!$B$23*1.02*1.3+KFC!$C$23)*KFC!$C$5</f>
        <v>593.38499999999999</v>
      </c>
      <c r="AH333" s="304">
        <f>(457.6*KFC!$B$23*1.02*1.3+KFC!$C$23)*KFC!$C$5</f>
        <v>606.77760000000001</v>
      </c>
    </row>
    <row r="334" spans="1:34">
      <c r="A334" s="1781"/>
      <c r="B334" s="395">
        <v>2.9</v>
      </c>
      <c r="C334" s="303">
        <f>(145.8*KFC!$B$23*1.02*1.3+KFC!$C$23)*KFC!$C$5</f>
        <v>193.33080000000001</v>
      </c>
      <c r="D334" s="300">
        <f>(156.2*KFC!$B$23*1.02*1.3+KFC!$C$23)*KFC!$C$5</f>
        <v>207.12119999999999</v>
      </c>
      <c r="E334" s="300">
        <f>(166.7*KFC!$B$23*1.02*1.3+KFC!$C$23)*KFC!$C$5</f>
        <v>221.04419999999999</v>
      </c>
      <c r="F334" s="300">
        <f>(177.2*KFC!$B$23*1.02*1.3+KFC!$C$23)*KFC!$C$5</f>
        <v>234.96720000000002</v>
      </c>
      <c r="G334" s="300">
        <f>(187.6*KFC!$B$23*1.02*1.3+KFC!$C$23)*KFC!$C$5</f>
        <v>248.75760000000002</v>
      </c>
      <c r="H334" s="300">
        <f>(198.1*KFC!$B$23*1.02*1.3+KFC!$C$23)*KFC!$C$5</f>
        <v>262.68060000000003</v>
      </c>
      <c r="I334" s="300">
        <f>(208.5*KFC!$B$23*1.02*1.3+KFC!$C$23)*KFC!$C$5</f>
        <v>276.471</v>
      </c>
      <c r="J334" s="300">
        <f>(219*KFC!$B$23*1.02*1.3+KFC!$C$23)*KFC!$C$5</f>
        <v>290.39400000000001</v>
      </c>
      <c r="K334" s="300">
        <f>(229.5*KFC!$B$23*1.02*1.3+KFC!$C$23)*KFC!$C$5</f>
        <v>304.31700000000001</v>
      </c>
      <c r="L334" s="300">
        <f>(239.9*KFC!$B$23*1.02*1.3+KFC!$C$23)*KFC!$C$5</f>
        <v>318.10740000000004</v>
      </c>
      <c r="M334" s="300">
        <f>(250.4*KFC!$B$23*1.02*1.3+KFC!$C$23)*KFC!$C$5</f>
        <v>332.03040000000004</v>
      </c>
      <c r="N334" s="300">
        <f>(260.9*KFC!$B$23*1.02*1.3+KFC!$C$23)*KFC!$C$5</f>
        <v>345.95339999999999</v>
      </c>
      <c r="O334" s="300">
        <f>(271.3*KFC!$B$23*1.02*1.3+KFC!$C$23)*KFC!$C$5</f>
        <v>359.74380000000002</v>
      </c>
      <c r="P334" s="300">
        <f>(281.8*KFC!$B$23*1.02*1.3+KFC!$C$23)*KFC!$C$5</f>
        <v>373.66680000000008</v>
      </c>
      <c r="Q334" s="300">
        <f>(292.2*KFC!$B$23*1.02*1.3+KFC!$C$23)*KFC!$C$5</f>
        <v>387.4572</v>
      </c>
      <c r="R334" s="300">
        <f>(302.7*KFC!$B$23*1.02*1.3+KFC!$C$23)*KFC!$C$5</f>
        <v>401.38020000000006</v>
      </c>
      <c r="S334" s="300">
        <f>(313.2*KFC!$B$23*1.02*1.3+KFC!$C$23)*KFC!$C$5</f>
        <v>415.3032</v>
      </c>
      <c r="T334" s="300">
        <f>(323.6*KFC!$B$23*1.02*1.3+KFC!$C$23)*KFC!$C$5</f>
        <v>429.09360000000004</v>
      </c>
      <c r="U334" s="300">
        <f>(334.1*KFC!$B$23*1.02*1.3+KFC!$C$23)*KFC!$C$5</f>
        <v>443.01660000000004</v>
      </c>
      <c r="V334" s="300">
        <f>(344.5*KFC!$B$23*1.02*1.3+KFC!$C$23)*KFC!$C$5</f>
        <v>456.80700000000002</v>
      </c>
      <c r="W334" s="300">
        <f>(355*KFC!$B$23*1.02*1.3+KFC!$C$23)*KFC!$C$5</f>
        <v>470.73</v>
      </c>
      <c r="X334" s="300">
        <f>(365.5*KFC!$B$23*1.02*1.3+KFC!$C$23)*KFC!$C$5</f>
        <v>484.65300000000002</v>
      </c>
      <c r="Y334" s="300">
        <f>(375.9*KFC!$B$23*1.02*1.3+KFC!$C$23)*KFC!$C$5</f>
        <v>498.4434</v>
      </c>
      <c r="Z334" s="300">
        <f>(386.4*KFC!$B$23*1.02*1.3+KFC!$C$23)*KFC!$C$5</f>
        <v>512.3664</v>
      </c>
      <c r="AA334" s="300">
        <f>(396.8*KFC!$B$23*1.02*1.3+KFC!$C$23)*KFC!$C$5</f>
        <v>526.15680000000009</v>
      </c>
      <c r="AB334" s="300">
        <f>(407.3*KFC!$B$23*1.02*1.3+KFC!$C$23)*KFC!$C$5</f>
        <v>540.07980000000009</v>
      </c>
      <c r="AC334" s="300">
        <f>(417.8*KFC!$B$23*1.02*1.3+KFC!$C$23)*KFC!$C$5</f>
        <v>554.00279999999998</v>
      </c>
      <c r="AD334" s="300">
        <f>(428.2*KFC!$B$23*1.02*1.3+KFC!$C$23)*KFC!$C$5</f>
        <v>567.79320000000007</v>
      </c>
      <c r="AE334" s="300">
        <f>(438.7*KFC!$B$23*1.02*1.3+KFC!$C$23)*KFC!$C$5</f>
        <v>581.71619999999996</v>
      </c>
      <c r="AF334" s="300">
        <f>(449.2*KFC!$B$23*1.02*1.3+KFC!$C$23)*KFC!$C$5</f>
        <v>595.63919999999996</v>
      </c>
      <c r="AG334" s="300">
        <f>(459.6*KFC!$B$23*1.02*1.3+KFC!$C$23)*KFC!$C$5</f>
        <v>609.42960000000005</v>
      </c>
      <c r="AH334" s="304">
        <f>(470.1*KFC!$B$23*1.02*1.3+KFC!$C$23)*KFC!$C$5</f>
        <v>623.35260000000005</v>
      </c>
    </row>
    <row r="335" spans="1:34">
      <c r="A335" s="1781"/>
      <c r="B335" s="395">
        <v>3</v>
      </c>
      <c r="C335" s="303">
        <f>(148*KFC!$B$23*1.02*1.3+KFC!$C$23)*KFC!$C$5</f>
        <v>196.24800000000002</v>
      </c>
      <c r="D335" s="300">
        <f>(158.8*KFC!$B$23*1.02*1.3+KFC!$C$23)*KFC!$C$5</f>
        <v>210.56880000000004</v>
      </c>
      <c r="E335" s="300">
        <f>(169.6*KFC!$B$23*1.02*1.3+KFC!$C$23)*KFC!$C$5</f>
        <v>224.8896</v>
      </c>
      <c r="F335" s="300">
        <f>(180.4*KFC!$B$23*1.02*1.3+KFC!$C$23)*KFC!$C$5</f>
        <v>239.21040000000002</v>
      </c>
      <c r="G335" s="300">
        <f>(191.2*KFC!$B$23*1.02*1.3+KFC!$C$23)*KFC!$C$5</f>
        <v>253.53120000000001</v>
      </c>
      <c r="H335" s="300">
        <f>(201.9*KFC!$B$23*1.02*1.3+KFC!$C$23)*KFC!$C$5</f>
        <v>267.71940000000001</v>
      </c>
      <c r="I335" s="300">
        <f>(212.7*KFC!$B$23*1.02*1.3+KFC!$C$23)*KFC!$C$5</f>
        <v>282.04019999999997</v>
      </c>
      <c r="J335" s="300">
        <f>(223.5*KFC!$B$23*1.02*1.3+KFC!$C$23)*KFC!$C$5</f>
        <v>296.36099999999999</v>
      </c>
      <c r="K335" s="300">
        <f>(234.3*KFC!$B$23*1.02*1.3+KFC!$C$23)*KFC!$C$5</f>
        <v>310.68180000000001</v>
      </c>
      <c r="L335" s="300">
        <f>(245.1*KFC!$B$23*1.02*1.3+KFC!$C$23)*KFC!$C$5</f>
        <v>325.00260000000003</v>
      </c>
      <c r="M335" s="300">
        <f>(255.9*KFC!$B$23*1.02*1.3+KFC!$C$23)*KFC!$C$5</f>
        <v>339.32340000000005</v>
      </c>
      <c r="N335" s="300">
        <f>(266.7*KFC!$B$23*1.02*1.3+KFC!$C$23)*KFC!$C$5</f>
        <v>353.64420000000001</v>
      </c>
      <c r="O335" s="300">
        <f>(277.5*KFC!$B$23*1.02*1.3+KFC!$C$23)*KFC!$C$5</f>
        <v>367.96500000000003</v>
      </c>
      <c r="P335" s="300">
        <f>(288.3*KFC!$B$23*1.02*1.3+KFC!$C$23)*KFC!$C$5</f>
        <v>382.28580000000005</v>
      </c>
      <c r="Q335" s="300">
        <f>(299.1*KFC!$B$23*1.02*1.3+KFC!$C$23)*KFC!$C$5</f>
        <v>396.60660000000007</v>
      </c>
      <c r="R335" s="300">
        <f>(309.9*KFC!$B$23*1.02*1.3+KFC!$C$23)*KFC!$C$5</f>
        <v>410.92739999999998</v>
      </c>
      <c r="S335" s="300">
        <f>(320.7*KFC!$B$23*1.02*1.3+KFC!$C$23)*KFC!$C$5</f>
        <v>425.2482</v>
      </c>
      <c r="T335" s="300">
        <f>(331.4*KFC!$B$23*1.02*1.3+KFC!$C$23)*KFC!$C$5</f>
        <v>439.43639999999999</v>
      </c>
      <c r="U335" s="300">
        <f>(342.2*KFC!$B$23*1.02*1.3+KFC!$C$23)*KFC!$C$5</f>
        <v>453.75720000000001</v>
      </c>
      <c r="V335" s="300">
        <f>(353*KFC!$B$23*1.02*1.3+KFC!$C$23)*KFC!$C$5</f>
        <v>468.07800000000003</v>
      </c>
      <c r="W335" s="300">
        <f>(363.8*KFC!$B$23*1.02*1.3+KFC!$C$23)*KFC!$C$5</f>
        <v>482.39880000000005</v>
      </c>
      <c r="X335" s="300">
        <f>(374.6*KFC!$B$23*1.02*1.3+KFC!$C$23)*KFC!$C$5</f>
        <v>496.71960000000007</v>
      </c>
      <c r="Y335" s="300">
        <f>(385.4*KFC!$B$23*1.02*1.3+KFC!$C$23)*KFC!$C$5</f>
        <v>511.04040000000003</v>
      </c>
      <c r="Z335" s="300">
        <f>(396.2*KFC!$B$23*1.02*1.3+KFC!$C$23)*KFC!$C$5</f>
        <v>525.36120000000005</v>
      </c>
      <c r="AA335" s="300">
        <f>(407*KFC!$B$23*1.02*1.3+KFC!$C$23)*KFC!$C$5</f>
        <v>539.68200000000002</v>
      </c>
      <c r="AB335" s="300">
        <f>(417.8*KFC!$B$23*1.02*1.3+KFC!$C$23)*KFC!$C$5</f>
        <v>554.00279999999998</v>
      </c>
      <c r="AC335" s="300">
        <f>(428.6*KFC!$B$23*1.02*1.3+KFC!$C$23)*KFC!$C$5</f>
        <v>568.32360000000006</v>
      </c>
      <c r="AD335" s="300">
        <f>(439.4*KFC!$B$23*1.02*1.3+KFC!$C$23)*KFC!$C$5</f>
        <v>582.64440000000002</v>
      </c>
      <c r="AE335" s="300">
        <f>(450.2*KFC!$B$23*1.02*1.3+KFC!$C$23)*KFC!$C$5</f>
        <v>596.96519999999998</v>
      </c>
      <c r="AF335" s="300">
        <f>(460.9*KFC!$B$23*1.02*1.3+KFC!$C$23)*KFC!$C$5</f>
        <v>611.15340000000003</v>
      </c>
      <c r="AG335" s="300">
        <f>(471.7*KFC!$B$23*1.02*1.3+KFC!$C$23)*KFC!$C$5</f>
        <v>625.4742</v>
      </c>
      <c r="AH335" s="304">
        <f>(482.5*KFC!$B$23*1.02*1.3+KFC!$C$23)*KFC!$C$5</f>
        <v>639.79500000000007</v>
      </c>
    </row>
    <row r="336" spans="1:34">
      <c r="A336" s="1781"/>
      <c r="B336" s="395">
        <v>3.1</v>
      </c>
      <c r="C336" s="303">
        <f>(150.2*KFC!$B$23*1.02*1.3+KFC!$C$23)*KFC!$C$5</f>
        <v>199.16519999999997</v>
      </c>
      <c r="D336" s="300">
        <f>(161.3*KFC!$B$23*1.02*1.3+KFC!$C$23)*KFC!$C$5</f>
        <v>213.88380000000001</v>
      </c>
      <c r="E336" s="300">
        <f>(172.4*KFC!$B$23*1.02*1.3+KFC!$C$23)*KFC!$C$5</f>
        <v>228.60240000000002</v>
      </c>
      <c r="F336" s="300">
        <f>(183.6*KFC!$B$23*1.02*1.3+KFC!$C$23)*KFC!$C$5</f>
        <v>243.45359999999999</v>
      </c>
      <c r="G336" s="300">
        <f>(194.7*KFC!$B$23*1.02*1.3+KFC!$C$23)*KFC!$C$5</f>
        <v>258.17219999999998</v>
      </c>
      <c r="H336" s="300">
        <f>(205.8*KFC!$B$23*1.02*1.3+KFC!$C$23)*KFC!$C$5</f>
        <v>272.89080000000007</v>
      </c>
      <c r="I336" s="300">
        <f>(216.9*KFC!$B$23*1.02*1.3+KFC!$C$23)*KFC!$C$5</f>
        <v>287.60939999999999</v>
      </c>
      <c r="J336" s="300">
        <f>(228*KFC!$B$23*1.02*1.3+KFC!$C$23)*KFC!$C$5</f>
        <v>302.32800000000003</v>
      </c>
      <c r="K336" s="300">
        <f>(239.2*KFC!$B$23*1.02*1.3+KFC!$C$23)*KFC!$C$5</f>
        <v>317.17919999999998</v>
      </c>
      <c r="L336" s="300">
        <f>(250.3*KFC!$B$23*1.02*1.3+KFC!$C$23)*KFC!$C$5</f>
        <v>331.89780000000002</v>
      </c>
      <c r="M336" s="300">
        <f>(261.4*KFC!$B$23*1.02*1.3+KFC!$C$23)*KFC!$C$5</f>
        <v>346.6164</v>
      </c>
      <c r="N336" s="300">
        <f>(272.5*KFC!$B$23*1.02*1.3+KFC!$C$23)*KFC!$C$5</f>
        <v>361.33499999999998</v>
      </c>
      <c r="O336" s="300">
        <f>(283.7*KFC!$B$23*1.02*1.3+KFC!$C$23)*KFC!$C$5</f>
        <v>376.18619999999999</v>
      </c>
      <c r="P336" s="300">
        <f>(294.8*KFC!$B$23*1.02*1.3+KFC!$C$23)*KFC!$C$5</f>
        <v>390.90480000000002</v>
      </c>
      <c r="Q336" s="300">
        <f>(305.9*KFC!$B$23*1.02*1.3+KFC!$C$23)*KFC!$C$5</f>
        <v>405.6234</v>
      </c>
      <c r="R336" s="300">
        <f>(317*KFC!$B$23*1.02*1.3+KFC!$C$23)*KFC!$C$5</f>
        <v>420.34200000000004</v>
      </c>
      <c r="S336" s="300">
        <f>(328.1*KFC!$B$23*1.02*1.3+KFC!$C$23)*KFC!$C$5</f>
        <v>435.06060000000008</v>
      </c>
      <c r="T336" s="300">
        <f>(339.3*KFC!$B$23*1.02*1.3+KFC!$C$23)*KFC!$C$5</f>
        <v>449.91180000000003</v>
      </c>
      <c r="U336" s="300">
        <f>(350.4*KFC!$B$23*1.02*1.3+KFC!$C$23)*KFC!$C$5</f>
        <v>464.63039999999995</v>
      </c>
      <c r="V336" s="300">
        <f>(361.5*KFC!$B$23*1.02*1.3+KFC!$C$23)*KFC!$C$5</f>
        <v>479.34900000000005</v>
      </c>
      <c r="W336" s="300">
        <f>(372.6*KFC!$B$23*1.02*1.3+KFC!$C$23)*KFC!$C$5</f>
        <v>494.06760000000003</v>
      </c>
      <c r="X336" s="300">
        <f>(383.8*KFC!$B$23*1.02*1.3+KFC!$C$23)*KFC!$C$5</f>
        <v>508.91880000000003</v>
      </c>
      <c r="Y336" s="300">
        <f>(394.9*KFC!$B$23*1.02*1.3+KFC!$C$23)*KFC!$C$5</f>
        <v>523.63740000000007</v>
      </c>
      <c r="Z336" s="300">
        <f>(406*KFC!$B$23*1.02*1.3+KFC!$C$23)*KFC!$C$5</f>
        <v>538.35599999999999</v>
      </c>
      <c r="AA336" s="300">
        <f>(417.1*KFC!$B$23*1.02*1.3+KFC!$C$23)*KFC!$C$5</f>
        <v>553.07460000000003</v>
      </c>
      <c r="AB336" s="300">
        <f>(428.2*KFC!$B$23*1.02*1.3+KFC!$C$23)*KFC!$C$5</f>
        <v>567.79320000000007</v>
      </c>
      <c r="AC336" s="300">
        <f>(439.4*KFC!$B$23*1.02*1.3+KFC!$C$23)*KFC!$C$5</f>
        <v>582.64440000000002</v>
      </c>
      <c r="AD336" s="300">
        <f>(450.5*KFC!$B$23*1.02*1.3+KFC!$C$23)*KFC!$C$5</f>
        <v>597.36300000000006</v>
      </c>
      <c r="AE336" s="300">
        <f>(461.6*KFC!$B$23*1.02*1.3+KFC!$C$23)*KFC!$C$5</f>
        <v>612.08160000000009</v>
      </c>
      <c r="AF336" s="300">
        <f>(472.7*KFC!$B$23*1.02*1.3+KFC!$C$23)*KFC!$C$5</f>
        <v>626.80020000000002</v>
      </c>
      <c r="AG336" s="300">
        <f>(483.9*KFC!$B$23*1.02*1.3+KFC!$C$23)*KFC!$C$5</f>
        <v>641.65139999999997</v>
      </c>
      <c r="AH336" s="304">
        <f>(495*KFC!$B$23*1.02*1.3+KFC!$C$23)*KFC!$C$5</f>
        <v>656.37000000000012</v>
      </c>
    </row>
    <row r="337" spans="1:34">
      <c r="A337" s="1781"/>
      <c r="B337" s="395">
        <v>3.2</v>
      </c>
      <c r="C337" s="303">
        <f>(152.4*KFC!$B$23*1.02*1.3+KFC!$C$23)*KFC!$C$5</f>
        <v>202.08240000000001</v>
      </c>
      <c r="D337" s="300">
        <f>(163.8*KFC!$B$23*1.02*1.3+KFC!$C$23)*KFC!$C$5</f>
        <v>217.19880000000003</v>
      </c>
      <c r="E337" s="300">
        <f>(175.3*KFC!$B$23*1.02*1.3+KFC!$C$23)*KFC!$C$5</f>
        <v>232.44780000000003</v>
      </c>
      <c r="F337" s="300">
        <f>(186.7*KFC!$B$23*1.02*1.3+KFC!$C$23)*KFC!$C$5</f>
        <v>247.5642</v>
      </c>
      <c r="G337" s="300">
        <f>(198.2*KFC!$B$23*1.02*1.3+KFC!$C$23)*KFC!$C$5</f>
        <v>262.81319999999999</v>
      </c>
      <c r="H337" s="300">
        <f>(209.7*KFC!$B$23*1.02*1.3+KFC!$C$23)*KFC!$C$5</f>
        <v>278.06220000000002</v>
      </c>
      <c r="I337" s="300">
        <f>(221.1*KFC!$B$23*1.02*1.3+KFC!$C$23)*KFC!$C$5</f>
        <v>293.17860000000002</v>
      </c>
      <c r="J337" s="300">
        <f>(232.6*KFC!$B$23*1.02*1.3+KFC!$C$23)*KFC!$C$5</f>
        <v>308.42760000000004</v>
      </c>
      <c r="K337" s="300">
        <f>(244*KFC!$B$23*1.02*1.3+KFC!$C$23)*KFC!$C$5</f>
        <v>323.54399999999998</v>
      </c>
      <c r="L337" s="300">
        <f>(255.5*KFC!$B$23*1.02*1.3+KFC!$C$23)*KFC!$C$5</f>
        <v>338.79300000000001</v>
      </c>
      <c r="M337" s="300">
        <f>(266.9*KFC!$B$23*1.02*1.3+KFC!$C$23)*KFC!$C$5</f>
        <v>353.90940000000001</v>
      </c>
      <c r="N337" s="300">
        <f>(278.4*KFC!$B$23*1.02*1.3+KFC!$C$23)*KFC!$C$5</f>
        <v>369.15839999999997</v>
      </c>
      <c r="O337" s="300">
        <f>(289.8*KFC!$B$23*1.02*1.3+KFC!$C$23)*KFC!$C$5</f>
        <v>384.27480000000003</v>
      </c>
      <c r="P337" s="300">
        <f>(301.3*KFC!$B$23*1.02*1.3+KFC!$C$23)*KFC!$C$5</f>
        <v>399.52380000000005</v>
      </c>
      <c r="Q337" s="300">
        <f>(312.7*KFC!$B$23*1.02*1.3+KFC!$C$23)*KFC!$C$5</f>
        <v>414.64020000000005</v>
      </c>
      <c r="R337" s="300">
        <f>(324.2*KFC!$B$23*1.02*1.3+KFC!$C$23)*KFC!$C$5</f>
        <v>429.88919999999996</v>
      </c>
      <c r="S337" s="300">
        <f>(335.6*KFC!$B$23*1.02*1.3+KFC!$C$23)*KFC!$C$5</f>
        <v>445.00560000000002</v>
      </c>
      <c r="T337" s="300">
        <f>(347.1*KFC!$B$23*1.02*1.3+KFC!$C$23)*KFC!$C$5</f>
        <v>460.25460000000004</v>
      </c>
      <c r="U337" s="300">
        <f>(358.5*KFC!$B$23*1.02*1.3+KFC!$C$23)*KFC!$C$5</f>
        <v>475.37100000000004</v>
      </c>
      <c r="V337" s="300">
        <f>(370*KFC!$B$23*1.02*1.3+KFC!$C$23)*KFC!$C$5</f>
        <v>490.62000000000006</v>
      </c>
      <c r="W337" s="300">
        <f>(381.4*KFC!$B$23*1.02*1.3+KFC!$C$23)*KFC!$C$5</f>
        <v>505.73639999999995</v>
      </c>
      <c r="X337" s="300">
        <f>(392.9*KFC!$B$23*1.02*1.3+KFC!$C$23)*KFC!$C$5</f>
        <v>520.98540000000003</v>
      </c>
      <c r="Y337" s="300">
        <f>(404.4*KFC!$B$23*1.02*1.3+KFC!$C$23)*KFC!$C$5</f>
        <v>536.23440000000005</v>
      </c>
      <c r="Z337" s="300">
        <f>(415.8*KFC!$B$23*1.02*1.3+KFC!$C$23)*KFC!$C$5</f>
        <v>551.35080000000005</v>
      </c>
      <c r="AA337" s="300">
        <f>(427.3*KFC!$B$23*1.02*1.3+KFC!$C$23)*KFC!$C$5</f>
        <v>566.59980000000007</v>
      </c>
      <c r="AB337" s="300">
        <f>(438.7*KFC!$B$23*1.02*1.3+KFC!$C$23)*KFC!$C$5</f>
        <v>581.71619999999996</v>
      </c>
      <c r="AC337" s="300">
        <f>(450.2*KFC!$B$23*1.02*1.3+KFC!$C$23)*KFC!$C$5</f>
        <v>596.96519999999998</v>
      </c>
      <c r="AD337" s="300">
        <f>(461.6*KFC!$B$23*1.02*1.3+KFC!$C$23)*KFC!$C$5</f>
        <v>612.08160000000009</v>
      </c>
      <c r="AE337" s="300">
        <f>(473.1*KFC!$B$23*1.02*1.3+KFC!$C$23)*KFC!$C$5</f>
        <v>627.3306</v>
      </c>
      <c r="AF337" s="300">
        <f>(484.5*KFC!$B$23*1.02*1.3+KFC!$C$23)*KFC!$C$5</f>
        <v>642.447</v>
      </c>
      <c r="AG337" s="300">
        <f>(496*KFC!$B$23*1.02*1.3+KFC!$C$23)*KFC!$C$5</f>
        <v>657.69600000000003</v>
      </c>
      <c r="AH337" s="304">
        <f>(507.4*KFC!$B$23*1.02*1.3+KFC!$C$23)*KFC!$C$5</f>
        <v>672.81240000000003</v>
      </c>
    </row>
    <row r="338" spans="1:34">
      <c r="A338" s="1781"/>
      <c r="B338" s="395">
        <v>3.3</v>
      </c>
      <c r="C338" s="303">
        <f>(154.6*KFC!$B$23*1.02*1.3+KFC!$C$23)*KFC!$C$5</f>
        <v>204.99960000000002</v>
      </c>
      <c r="D338" s="300">
        <f>(166.4*KFC!$B$23*1.02*1.3+KFC!$C$23)*KFC!$C$5</f>
        <v>220.64640000000003</v>
      </c>
      <c r="E338" s="300">
        <f>(178.2*KFC!$B$23*1.02*1.3+KFC!$C$23)*KFC!$C$5</f>
        <v>236.29319999999998</v>
      </c>
      <c r="F338" s="300">
        <f>(189.9*KFC!$B$23*1.02*1.3+KFC!$C$23)*KFC!$C$5</f>
        <v>251.80740000000003</v>
      </c>
      <c r="G338" s="300">
        <f>(201.7*KFC!$B$23*1.02*1.3+KFC!$C$23)*KFC!$C$5</f>
        <v>267.45419999999996</v>
      </c>
      <c r="H338" s="300">
        <f>(213.5*KFC!$B$23*1.02*1.3+KFC!$C$23)*KFC!$C$5</f>
        <v>283.101</v>
      </c>
      <c r="I338" s="300">
        <f>(225.3*KFC!$B$23*1.02*1.3+KFC!$C$23)*KFC!$C$5</f>
        <v>298.74780000000004</v>
      </c>
      <c r="J338" s="300">
        <f>(237.1*KFC!$B$23*1.02*1.3+KFC!$C$23)*KFC!$C$5</f>
        <v>314.39459999999997</v>
      </c>
      <c r="K338" s="300">
        <f>(248.9*KFC!$B$23*1.02*1.3+KFC!$C$23)*KFC!$C$5</f>
        <v>330.04140000000001</v>
      </c>
      <c r="L338" s="300">
        <f>(260.6*KFC!$B$23*1.02*1.3+KFC!$C$23)*KFC!$C$5</f>
        <v>345.55560000000003</v>
      </c>
      <c r="M338" s="300">
        <f>(272.4*KFC!$B$23*1.02*1.3+KFC!$C$23)*KFC!$C$5</f>
        <v>361.20239999999995</v>
      </c>
      <c r="N338" s="300">
        <f>(284.2*KFC!$B$23*1.02*1.3+KFC!$C$23)*KFC!$C$5</f>
        <v>376.84920000000005</v>
      </c>
      <c r="O338" s="300">
        <f>(296*KFC!$B$23*1.02*1.3+KFC!$C$23)*KFC!$C$5</f>
        <v>392.49600000000004</v>
      </c>
      <c r="P338" s="300">
        <f>(307.8*KFC!$B$23*1.02*1.3+KFC!$C$23)*KFC!$C$5</f>
        <v>408.14280000000002</v>
      </c>
      <c r="Q338" s="300">
        <f>(319.6*KFC!$B$23*1.02*1.3+KFC!$C$23)*KFC!$C$5</f>
        <v>423.78960000000006</v>
      </c>
      <c r="R338" s="300">
        <f>(331.3*KFC!$B$23*1.02*1.3+KFC!$C$23)*KFC!$C$5</f>
        <v>439.30380000000008</v>
      </c>
      <c r="S338" s="300">
        <f>(343.1*KFC!$B$23*1.02*1.3+KFC!$C$23)*KFC!$C$5</f>
        <v>454.95060000000007</v>
      </c>
      <c r="T338" s="300">
        <f>(354.9*KFC!$B$23*1.02*1.3+KFC!$C$23)*KFC!$C$5</f>
        <v>470.59739999999999</v>
      </c>
      <c r="U338" s="300">
        <f>(366.7*KFC!$B$23*1.02*1.3+KFC!$C$23)*KFC!$C$5</f>
        <v>486.24419999999998</v>
      </c>
      <c r="V338" s="300">
        <f>(378.5*KFC!$B$23*1.02*1.3+KFC!$C$23)*KFC!$C$5</f>
        <v>501.89100000000002</v>
      </c>
      <c r="W338" s="300">
        <f>(390.3*KFC!$B$23*1.02*1.3+KFC!$C$23)*KFC!$C$5</f>
        <v>517.53780000000006</v>
      </c>
      <c r="X338" s="300">
        <f>(402*KFC!$B$23*1.02*1.3+KFC!$C$23)*KFC!$C$5</f>
        <v>533.05200000000002</v>
      </c>
      <c r="Y338" s="300">
        <f>(413.8*KFC!$B$23*1.02*1.3+KFC!$C$23)*KFC!$C$5</f>
        <v>548.69880000000001</v>
      </c>
      <c r="Z338" s="300">
        <f>(425.6*KFC!$B$23*1.02*1.3+KFC!$C$23)*KFC!$C$5</f>
        <v>564.3456000000001</v>
      </c>
      <c r="AA338" s="300">
        <f>(437.4*KFC!$B$23*1.02*1.3+KFC!$C$23)*KFC!$C$5</f>
        <v>579.99239999999998</v>
      </c>
      <c r="AB338" s="300">
        <f>(449.2*KFC!$B$23*1.02*1.3+KFC!$C$23)*KFC!$C$5</f>
        <v>595.63919999999996</v>
      </c>
      <c r="AC338" s="300">
        <f>(461*KFC!$B$23*1.02*1.3+KFC!$C$23)*KFC!$C$5</f>
        <v>611.28600000000006</v>
      </c>
      <c r="AD338" s="300">
        <f>(472.8*KFC!$B$23*1.02*1.3+KFC!$C$23)*KFC!$C$5</f>
        <v>626.93280000000004</v>
      </c>
      <c r="AE338" s="300">
        <f>(484.5*KFC!$B$23*1.02*1.3+KFC!$C$23)*KFC!$C$5</f>
        <v>642.447</v>
      </c>
      <c r="AF338" s="300">
        <f>(496.3*KFC!$B$23*1.02*1.3+KFC!$C$23)*KFC!$C$5</f>
        <v>658.09379999999999</v>
      </c>
      <c r="AG338" s="300">
        <f>(508.1*KFC!$B$23*1.02*1.3+KFC!$C$23)*KFC!$C$5</f>
        <v>673.74060000000009</v>
      </c>
      <c r="AH338" s="304">
        <f>(519.9*KFC!$B$23*1.02*1.3+KFC!$C$23)*KFC!$C$5</f>
        <v>689.38740000000007</v>
      </c>
    </row>
    <row r="339" spans="1:34">
      <c r="A339" s="1781"/>
      <c r="B339" s="395">
        <v>3.4</v>
      </c>
      <c r="C339" s="303">
        <f>(156.8*KFC!$B$23*1.02*1.3+KFC!$C$23)*KFC!$C$5</f>
        <v>207.91680000000002</v>
      </c>
      <c r="D339" s="300">
        <f>(168.9*KFC!$B$23*1.02*1.3+KFC!$C$23)*KFC!$C$5</f>
        <v>223.96140000000003</v>
      </c>
      <c r="E339" s="300">
        <f>(181*KFC!$B$23*1.02*1.3+KFC!$C$23)*KFC!$C$5</f>
        <v>240.006</v>
      </c>
      <c r="F339" s="300">
        <f>(193.1*KFC!$B$23*1.02*1.3+KFC!$C$23)*KFC!$C$5</f>
        <v>256.05059999999997</v>
      </c>
      <c r="G339" s="300">
        <f>(205.2*KFC!$B$23*1.02*1.3+KFC!$C$23)*KFC!$C$5</f>
        <v>272.09520000000003</v>
      </c>
      <c r="H339" s="300">
        <f>(217.4*KFC!$B$23*1.02*1.3+KFC!$C$23)*KFC!$C$5</f>
        <v>288.27240000000006</v>
      </c>
      <c r="I339" s="300">
        <f>(229.5*KFC!$B$23*1.02*1.3+KFC!$C$23)*KFC!$C$5</f>
        <v>304.31700000000001</v>
      </c>
      <c r="J339" s="300">
        <f>(241.6*KFC!$B$23*1.02*1.3+KFC!$C$23)*KFC!$C$5</f>
        <v>320.36160000000001</v>
      </c>
      <c r="K339" s="300">
        <f>(253.7*KFC!$B$23*1.02*1.3+KFC!$C$23)*KFC!$C$5</f>
        <v>336.40620000000001</v>
      </c>
      <c r="L339" s="300">
        <f>(265.8*KFC!$B$23*1.02*1.3+KFC!$C$23)*KFC!$C$5</f>
        <v>352.45080000000007</v>
      </c>
      <c r="M339" s="300">
        <f>(277.9*KFC!$B$23*1.02*1.3+KFC!$C$23)*KFC!$C$5</f>
        <v>368.49539999999996</v>
      </c>
      <c r="N339" s="300">
        <f>(290*KFC!$B$23*1.02*1.3+KFC!$C$23)*KFC!$C$5</f>
        <v>384.54</v>
      </c>
      <c r="O339" s="300">
        <f>(302.2*KFC!$B$23*1.02*1.3+KFC!$C$23)*KFC!$C$5</f>
        <v>400.71719999999999</v>
      </c>
      <c r="P339" s="300">
        <f>(314.3*KFC!$B$23*1.02*1.3+KFC!$C$23)*KFC!$C$5</f>
        <v>416.76180000000005</v>
      </c>
      <c r="Q339" s="300">
        <f>(326.4*KFC!$B$23*1.02*1.3+KFC!$C$23)*KFC!$C$5</f>
        <v>432.8064</v>
      </c>
      <c r="R339" s="300">
        <f>(338.5*KFC!$B$23*1.02*1.3+KFC!$C$23)*KFC!$C$5</f>
        <v>448.851</v>
      </c>
      <c r="S339" s="300">
        <f>(350.6*KFC!$B$23*1.02*1.3+KFC!$C$23)*KFC!$C$5</f>
        <v>464.89560000000006</v>
      </c>
      <c r="T339" s="300">
        <f>(362.7*KFC!$B$23*1.02*1.3+KFC!$C$23)*KFC!$C$5</f>
        <v>480.9402</v>
      </c>
      <c r="U339" s="300">
        <f>(374.8*KFC!$B$23*1.02*1.3+KFC!$C$23)*KFC!$C$5</f>
        <v>496.98480000000001</v>
      </c>
      <c r="V339" s="300">
        <f>(387*KFC!$B$23*1.02*1.3+KFC!$C$23)*KFC!$C$5</f>
        <v>513.16200000000003</v>
      </c>
      <c r="W339" s="300">
        <f>(399.1*KFC!$B$23*1.02*1.3+KFC!$C$23)*KFC!$C$5</f>
        <v>529.20660000000009</v>
      </c>
      <c r="X339" s="300">
        <f>(411.2*KFC!$B$23*1.02*1.3+KFC!$C$23)*KFC!$C$5</f>
        <v>545.25120000000004</v>
      </c>
      <c r="Y339" s="300">
        <f>(423.3*KFC!$B$23*1.02*1.3+KFC!$C$23)*KFC!$C$5</f>
        <v>561.2958000000001</v>
      </c>
      <c r="Z339" s="300">
        <f>(435.4*KFC!$B$23*1.02*1.3+KFC!$C$23)*KFC!$C$5</f>
        <v>577.34040000000005</v>
      </c>
      <c r="AA339" s="300">
        <f>(447.5*KFC!$B$23*1.02*1.3+KFC!$C$23)*KFC!$C$5</f>
        <v>593.38499999999999</v>
      </c>
      <c r="AB339" s="300">
        <f>(459.7*KFC!$B$23*1.02*1.3+KFC!$C$23)*KFC!$C$5</f>
        <v>609.56220000000008</v>
      </c>
      <c r="AC339" s="300">
        <f>(471.8*KFC!$B$23*1.02*1.3+KFC!$C$23)*KFC!$C$5</f>
        <v>625.60680000000013</v>
      </c>
      <c r="AD339" s="300">
        <f>(483.9*KFC!$B$23*1.02*1.3+KFC!$C$23)*KFC!$C$5</f>
        <v>641.65139999999997</v>
      </c>
      <c r="AE339" s="300">
        <f>(496*KFC!$B$23*1.02*1.3+KFC!$C$23)*KFC!$C$5</f>
        <v>657.69600000000003</v>
      </c>
      <c r="AF339" s="300">
        <f>(508.1*KFC!$B$23*1.02*1.3+KFC!$C$23)*KFC!$C$5</f>
        <v>673.74060000000009</v>
      </c>
      <c r="AG339" s="300">
        <f>(520.2*KFC!$B$23*1.02*1.3+KFC!$C$23)*KFC!$C$5</f>
        <v>689.78520000000003</v>
      </c>
      <c r="AH339" s="304">
        <f>(532.3*KFC!$B$23*1.02*1.3+KFC!$C$23)*KFC!$C$5</f>
        <v>705.82979999999986</v>
      </c>
    </row>
    <row r="340" spans="1:34">
      <c r="A340" s="1781"/>
      <c r="B340" s="395">
        <v>3.5</v>
      </c>
      <c r="C340" s="303">
        <f>(159*KFC!$B$23*1.02*1.3+KFC!$C$23)*KFC!$C$5</f>
        <v>210.834</v>
      </c>
      <c r="D340" s="300">
        <f>(171.4*KFC!$B$23*1.02*1.3+KFC!$C$23)*KFC!$C$5</f>
        <v>227.27640000000002</v>
      </c>
      <c r="E340" s="300">
        <f>(183.9*KFC!$B$23*1.02*1.3+KFC!$C$23)*KFC!$C$5</f>
        <v>243.85140000000001</v>
      </c>
      <c r="F340" s="300">
        <f>(196.3*KFC!$B$23*1.02*1.3+KFC!$C$23)*KFC!$C$5</f>
        <v>260.29380000000003</v>
      </c>
      <c r="G340" s="300">
        <f>(208.8*KFC!$B$23*1.02*1.3+KFC!$C$23)*KFC!$C$5</f>
        <v>276.86880000000002</v>
      </c>
      <c r="H340" s="300">
        <f>(221.2*KFC!$B$23*1.02*1.3+KFC!$C$23)*KFC!$C$5</f>
        <v>293.31119999999999</v>
      </c>
      <c r="I340" s="300">
        <f>(233.7*KFC!$B$23*1.02*1.3+KFC!$C$23)*KFC!$C$5</f>
        <v>309.88620000000003</v>
      </c>
      <c r="J340" s="300">
        <f>(246.1*KFC!$B$23*1.02*1.3+KFC!$C$23)*KFC!$C$5</f>
        <v>326.32859999999999</v>
      </c>
      <c r="K340" s="300">
        <f>(258.6*KFC!$B$23*1.02*1.3+KFC!$C$23)*KFC!$C$5</f>
        <v>342.9036000000001</v>
      </c>
      <c r="L340" s="300">
        <f>(271*KFC!$B$23*1.02*1.3+KFC!$C$23)*KFC!$C$5</f>
        <v>359.34600000000006</v>
      </c>
      <c r="M340" s="300">
        <f>(283.4*KFC!$B$23*1.02*1.3+KFC!$C$23)*KFC!$C$5</f>
        <v>375.78839999999997</v>
      </c>
      <c r="N340" s="300">
        <f>(295.9*KFC!$B$23*1.02*1.3+KFC!$C$23)*KFC!$C$5</f>
        <v>392.36340000000001</v>
      </c>
      <c r="O340" s="300">
        <f>(308.3*KFC!$B$23*1.02*1.3+KFC!$C$23)*KFC!$C$5</f>
        <v>408.80580000000003</v>
      </c>
      <c r="P340" s="300">
        <f>(320.8*KFC!$B$23*1.02*1.3+KFC!$C$23)*KFC!$C$5</f>
        <v>425.38080000000002</v>
      </c>
      <c r="Q340" s="300">
        <f>(333.2*KFC!$B$23*1.02*1.3+KFC!$C$23)*KFC!$C$5</f>
        <v>441.82319999999999</v>
      </c>
      <c r="R340" s="300">
        <f>(345.7*KFC!$B$23*1.02*1.3+KFC!$C$23)*KFC!$C$5</f>
        <v>458.39819999999997</v>
      </c>
      <c r="S340" s="300">
        <f>(358.1*KFC!$B$23*1.02*1.3+KFC!$C$23)*KFC!$C$5</f>
        <v>474.84060000000011</v>
      </c>
      <c r="T340" s="300">
        <f>(370.6*KFC!$B$23*1.02*1.3+KFC!$C$23)*KFC!$C$5</f>
        <v>491.4156000000001</v>
      </c>
      <c r="U340" s="300">
        <f>(383*KFC!$B$23*1.02*1.3+KFC!$C$23)*KFC!$C$5</f>
        <v>507.85800000000006</v>
      </c>
      <c r="V340" s="300">
        <f>(395.4*KFC!$B$23*1.02*1.3+KFC!$C$23)*KFC!$C$5</f>
        <v>524.30039999999997</v>
      </c>
      <c r="W340" s="300">
        <f>(407.9*KFC!$B$23*1.02*1.3+KFC!$C$23)*KFC!$C$5</f>
        <v>540.87540000000001</v>
      </c>
      <c r="X340" s="300">
        <f>(420.3*KFC!$B$23*1.02*1.3+KFC!$C$23)*KFC!$C$5</f>
        <v>557.31780000000003</v>
      </c>
      <c r="Y340" s="300">
        <f>(432.8*KFC!$B$23*1.02*1.3+KFC!$C$23)*KFC!$C$5</f>
        <v>573.89280000000008</v>
      </c>
      <c r="Z340" s="300">
        <f>(445.2*KFC!$B$23*1.02*1.3+KFC!$C$23)*KFC!$C$5</f>
        <v>590.33519999999999</v>
      </c>
      <c r="AA340" s="300">
        <f>(457.7*KFC!$B$23*1.02*1.3+KFC!$C$23)*KFC!$C$5</f>
        <v>606.91020000000003</v>
      </c>
      <c r="AB340" s="300">
        <f>(470.1*KFC!$B$23*1.02*1.3+KFC!$C$23)*KFC!$C$5</f>
        <v>623.35260000000005</v>
      </c>
      <c r="AC340" s="300">
        <f>(482.6*KFC!$B$23*1.02*1.3+KFC!$C$23)*KFC!$C$5</f>
        <v>639.92759999999998</v>
      </c>
      <c r="AD340" s="300">
        <f>(495*KFC!$B$23*1.02*1.3+KFC!$C$23)*KFC!$C$5</f>
        <v>656.37000000000012</v>
      </c>
      <c r="AE340" s="300">
        <f>(507.5*KFC!$B$23*1.02*1.3+KFC!$C$23)*KFC!$C$5</f>
        <v>672.94500000000005</v>
      </c>
      <c r="AF340" s="300">
        <f>(519.9*KFC!$B$23*1.02*1.3+KFC!$C$23)*KFC!$C$5</f>
        <v>689.38740000000007</v>
      </c>
      <c r="AG340" s="300">
        <f>(532.3*KFC!$B$23*1.02*1.3+KFC!$C$23)*KFC!$C$5</f>
        <v>705.82979999999986</v>
      </c>
      <c r="AH340" s="304">
        <f>(544.8*KFC!$B$23*1.02*1.3+KFC!$C$23)*KFC!$C$5</f>
        <v>722.40479999999991</v>
      </c>
    </row>
    <row r="341" spans="1:34">
      <c r="A341" s="1781"/>
      <c r="B341" s="395">
        <v>3.6</v>
      </c>
      <c r="C341" s="303">
        <f>(161.2*KFC!$B$23*1.02*1.3+KFC!$C$23)*KFC!$C$5</f>
        <v>213.75119999999998</v>
      </c>
      <c r="D341" s="300">
        <f>(174*KFC!$B$23*1.02*1.3+KFC!$C$23)*KFC!$C$5</f>
        <v>230.72399999999999</v>
      </c>
      <c r="E341" s="300">
        <f>(186.7*KFC!$B$23*1.02*1.3+KFC!$C$23)*KFC!$C$5</f>
        <v>247.5642</v>
      </c>
      <c r="F341" s="300">
        <f>(199.5*KFC!$B$23*1.02*1.3+KFC!$C$23)*KFC!$C$5</f>
        <v>264.53700000000003</v>
      </c>
      <c r="G341" s="300">
        <f>(212.3*KFC!$B$23*1.02*1.3+KFC!$C$23)*KFC!$C$5</f>
        <v>281.50980000000004</v>
      </c>
      <c r="H341" s="300">
        <f>(225.1*KFC!$B$23*1.02*1.3+KFC!$C$23)*KFC!$C$5</f>
        <v>298.48259999999999</v>
      </c>
      <c r="I341" s="300">
        <f>(237.8*KFC!$B$23*1.02*1.3+KFC!$C$23)*KFC!$C$5</f>
        <v>315.32280000000003</v>
      </c>
      <c r="J341" s="300">
        <f>(250.6*KFC!$B$23*1.02*1.3+KFC!$C$23)*KFC!$C$5</f>
        <v>332.29559999999998</v>
      </c>
      <c r="K341" s="300">
        <f>(263.4*KFC!$B$23*1.02*1.3+KFC!$C$23)*KFC!$C$5</f>
        <v>349.26840000000004</v>
      </c>
      <c r="L341" s="300">
        <f>(276.2*KFC!$B$23*1.02*1.3+KFC!$C$23)*KFC!$C$5</f>
        <v>366.24119999999999</v>
      </c>
      <c r="M341" s="300">
        <f>(289*KFC!$B$23*1.02*1.3+KFC!$C$23)*KFC!$C$5</f>
        <v>383.21400000000006</v>
      </c>
      <c r="N341" s="300">
        <f>(301.7*KFC!$B$23*1.02*1.3+KFC!$C$23)*KFC!$C$5</f>
        <v>400.05419999999998</v>
      </c>
      <c r="O341" s="300">
        <f>(314.5*KFC!$B$23*1.02*1.3+KFC!$C$23)*KFC!$C$5</f>
        <v>417.02700000000004</v>
      </c>
      <c r="P341" s="300">
        <f>(327.3*KFC!$B$23*1.02*1.3+KFC!$C$23)*KFC!$C$5</f>
        <v>433.99979999999999</v>
      </c>
      <c r="Q341" s="300">
        <f>(340.1*KFC!$B$23*1.02*1.3+KFC!$C$23)*KFC!$C$5</f>
        <v>450.97260000000006</v>
      </c>
      <c r="R341" s="300">
        <f>(352.8*KFC!$B$23*1.02*1.3+KFC!$C$23)*KFC!$C$5</f>
        <v>467.81279999999998</v>
      </c>
      <c r="S341" s="300">
        <f>(365.6*KFC!$B$23*1.02*1.3+KFC!$C$23)*KFC!$C$5</f>
        <v>484.78560000000004</v>
      </c>
      <c r="T341" s="300">
        <f>(378.4*KFC!$B$23*1.02*1.3+KFC!$C$23)*KFC!$C$5</f>
        <v>501.75839999999999</v>
      </c>
      <c r="U341" s="300">
        <f>(391.2*KFC!$B$23*1.02*1.3+KFC!$C$23)*KFC!$C$5</f>
        <v>518.73120000000006</v>
      </c>
      <c r="V341" s="300">
        <f>(403.9*KFC!$B$23*1.02*1.3+KFC!$C$23)*KFC!$C$5</f>
        <v>535.57140000000004</v>
      </c>
      <c r="W341" s="300">
        <f>(416.7*KFC!$B$23*1.02*1.3+KFC!$C$23)*KFC!$C$5</f>
        <v>552.54420000000005</v>
      </c>
      <c r="X341" s="300">
        <f>(429.5*KFC!$B$23*1.02*1.3+KFC!$C$23)*KFC!$C$5</f>
        <v>569.51700000000005</v>
      </c>
      <c r="Y341" s="300">
        <f>(442.3*KFC!$B$23*1.02*1.3+KFC!$C$23)*KFC!$C$5</f>
        <v>586.48980000000006</v>
      </c>
      <c r="Z341" s="300">
        <f>(455*KFC!$B$23*1.02*1.3+KFC!$C$23)*KFC!$C$5</f>
        <v>603.33000000000004</v>
      </c>
      <c r="AA341" s="300">
        <f>(467.8*KFC!$B$23*1.02*1.3+KFC!$C$23)*KFC!$C$5</f>
        <v>620.30280000000005</v>
      </c>
      <c r="AB341" s="300">
        <f>(480.6*KFC!$B$23*1.02*1.3+KFC!$C$23)*KFC!$C$5</f>
        <v>637.27560000000005</v>
      </c>
      <c r="AC341" s="300">
        <f>(493.4*KFC!$B$23*1.02*1.3+KFC!$C$23)*KFC!$C$5</f>
        <v>654.24839999999995</v>
      </c>
      <c r="AD341" s="300">
        <f>(506.1*KFC!$B$23*1.02*1.3+KFC!$C$23)*KFC!$C$5</f>
        <v>671.08860000000004</v>
      </c>
      <c r="AE341" s="300">
        <f>(518.9*KFC!$B$23*1.02*1.3+KFC!$C$23)*KFC!$C$5</f>
        <v>688.06140000000005</v>
      </c>
      <c r="AF341" s="300">
        <f>(531.7*KFC!$B$23*1.02*1.3+KFC!$C$23)*KFC!$C$5</f>
        <v>705.03420000000006</v>
      </c>
      <c r="AG341" s="300">
        <f>(544.5*KFC!$B$23*1.02*1.3+KFC!$C$23)*KFC!$C$5</f>
        <v>722.00700000000006</v>
      </c>
      <c r="AH341" s="304">
        <f>(557.2*KFC!$B$23*1.02*1.3+KFC!$C$23)*KFC!$C$5</f>
        <v>738.84720000000004</v>
      </c>
    </row>
    <row r="342" spans="1:34">
      <c r="A342" s="1781"/>
      <c r="B342" s="395">
        <v>3.7</v>
      </c>
      <c r="C342" s="303">
        <f>(163.4*KFC!$B$23*1.02*1.3+KFC!$C$23)*KFC!$C$5</f>
        <v>216.66840000000002</v>
      </c>
      <c r="D342" s="300">
        <f>(176.5*KFC!$B$23*1.02*1.3+KFC!$C$23)*KFC!$C$5</f>
        <v>234.03900000000002</v>
      </c>
      <c r="E342" s="300">
        <f>(189.6*KFC!$B$23*1.02*1.3+KFC!$C$23)*KFC!$C$5</f>
        <v>251.40960000000001</v>
      </c>
      <c r="F342" s="300">
        <f>(202.7*KFC!$B$23*1.02*1.3+KFC!$C$23)*KFC!$C$5</f>
        <v>268.78019999999998</v>
      </c>
      <c r="G342" s="300">
        <f>(215.8*KFC!$B$23*1.02*1.3+KFC!$C$23)*KFC!$C$5</f>
        <v>286.1508</v>
      </c>
      <c r="H342" s="300">
        <f>(228.9*KFC!$B$23*1.02*1.3+KFC!$C$23)*KFC!$C$5</f>
        <v>303.52140000000003</v>
      </c>
      <c r="I342" s="300">
        <f>(242*KFC!$B$23*1.02*1.3+KFC!$C$23)*KFC!$C$5</f>
        <v>320.892</v>
      </c>
      <c r="J342" s="300">
        <f>(255.1*KFC!$B$23*1.02*1.3+KFC!$C$23)*KFC!$C$5</f>
        <v>338.26260000000002</v>
      </c>
      <c r="K342" s="300">
        <f>(268.2*KFC!$B$23*1.02*1.3+KFC!$C$23)*KFC!$C$5</f>
        <v>355.63320000000004</v>
      </c>
      <c r="L342" s="300">
        <f>(281.4*KFC!$B$23*1.02*1.3+KFC!$C$23)*KFC!$C$5</f>
        <v>373.13639999999998</v>
      </c>
      <c r="M342" s="300">
        <f>(294.5*KFC!$B$23*1.02*1.3+KFC!$C$23)*KFC!$C$5</f>
        <v>390.50700000000001</v>
      </c>
      <c r="N342" s="300">
        <f>(307.6*KFC!$B$23*1.02*1.3+KFC!$C$23)*KFC!$C$5</f>
        <v>407.87760000000003</v>
      </c>
      <c r="O342" s="300">
        <f>(320.7*KFC!$B$23*1.02*1.3+KFC!$C$23)*KFC!$C$5</f>
        <v>425.2482</v>
      </c>
      <c r="P342" s="300">
        <f>(333.8*KFC!$B$23*1.02*1.3+KFC!$C$23)*KFC!$C$5</f>
        <v>442.61880000000002</v>
      </c>
      <c r="Q342" s="300">
        <f>(346.9*KFC!$B$23*1.02*1.3+KFC!$C$23)*KFC!$C$5</f>
        <v>459.98939999999999</v>
      </c>
      <c r="R342" s="300">
        <f>(360*KFC!$B$23*1.02*1.3+KFC!$C$23)*KFC!$C$5</f>
        <v>477.36</v>
      </c>
      <c r="S342" s="300">
        <f>(373.1*KFC!$B$23*1.02*1.3+KFC!$C$23)*KFC!$C$5</f>
        <v>494.73060000000004</v>
      </c>
      <c r="T342" s="300">
        <f>(386.2*KFC!$B$23*1.02*1.3+KFC!$C$23)*KFC!$C$5</f>
        <v>512.10119999999995</v>
      </c>
      <c r="U342" s="300">
        <f>(399.3*KFC!$B$23*1.02*1.3+KFC!$C$23)*KFC!$C$5</f>
        <v>529.47180000000003</v>
      </c>
      <c r="V342" s="300">
        <f>(412.4*KFC!$B$23*1.02*1.3+KFC!$C$23)*KFC!$C$5</f>
        <v>546.8424</v>
      </c>
      <c r="W342" s="300">
        <f>(425.5*KFC!$B$23*1.02*1.3+KFC!$C$23)*KFC!$C$5</f>
        <v>564.21299999999997</v>
      </c>
      <c r="X342" s="300">
        <f>(438.6*KFC!$B$23*1.02*1.3+KFC!$C$23)*KFC!$C$5</f>
        <v>581.58360000000005</v>
      </c>
      <c r="Y342" s="300">
        <f>(451.7*KFC!$B$23*1.02*1.3+KFC!$C$23)*KFC!$C$5</f>
        <v>598.95420000000001</v>
      </c>
      <c r="Z342" s="300">
        <f>(464.8*KFC!$B$23*1.02*1.3+KFC!$C$23)*KFC!$C$5</f>
        <v>616.32479999999998</v>
      </c>
      <c r="AA342" s="300">
        <f>(477.9*KFC!$B$23*1.02*1.3+KFC!$C$23)*KFC!$C$5</f>
        <v>633.69539999999995</v>
      </c>
      <c r="AB342" s="300">
        <f>(491.1*KFC!$B$23*1.02*1.3+KFC!$C$23)*KFC!$C$5</f>
        <v>651.19860000000006</v>
      </c>
      <c r="AC342" s="300">
        <f>(504.2*KFC!$B$23*1.02*1.3+KFC!$C$23)*KFC!$C$5</f>
        <v>668.56920000000002</v>
      </c>
      <c r="AD342" s="300">
        <f>(517.3*KFC!$B$23*1.02*1.3+KFC!$C$23)*KFC!$C$5</f>
        <v>685.93979999999999</v>
      </c>
      <c r="AE342" s="300">
        <f>(530.4*KFC!$B$23*1.02*1.3+KFC!$C$23)*KFC!$C$5</f>
        <v>703.31040000000007</v>
      </c>
      <c r="AF342" s="300">
        <f>(543.5*KFC!$B$23*1.02*1.3+KFC!$C$23)*KFC!$C$5</f>
        <v>720.68100000000004</v>
      </c>
      <c r="AG342" s="300">
        <f>(556.6*KFC!$B$23*1.02*1.3+KFC!$C$23)*KFC!$C$5</f>
        <v>738.05160000000012</v>
      </c>
      <c r="AH342" s="304">
        <f>(569.7*KFC!$B$23*1.02*1.3+KFC!$C$23)*KFC!$C$5</f>
        <v>755.42220000000009</v>
      </c>
    </row>
    <row r="343" spans="1:34">
      <c r="A343" s="1781"/>
      <c r="B343" s="395">
        <v>3.8</v>
      </c>
      <c r="C343" s="303">
        <f>(165.6*KFC!$B$23*1.02*1.3+KFC!$C$23)*KFC!$C$5</f>
        <v>219.58560000000003</v>
      </c>
      <c r="D343" s="300">
        <f>(179*KFC!$B$23*1.02*1.3+KFC!$C$23)*KFC!$C$5</f>
        <v>237.35400000000001</v>
      </c>
      <c r="E343" s="300">
        <f>(192.5*KFC!$B$23*1.02*1.3+KFC!$C$23)*KFC!$C$5</f>
        <v>255.255</v>
      </c>
      <c r="F343" s="300">
        <f>(205.9*KFC!$B$23*1.02*1.3+KFC!$C$23)*KFC!$C$5</f>
        <v>273.02340000000004</v>
      </c>
      <c r="G343" s="300">
        <f>(219.3*KFC!$B$23*1.02*1.3+KFC!$C$23)*KFC!$C$5</f>
        <v>290.79180000000002</v>
      </c>
      <c r="H343" s="300">
        <f>(232.8*KFC!$B$23*1.02*1.3+KFC!$C$23)*KFC!$C$5</f>
        <v>308.69280000000003</v>
      </c>
      <c r="I343" s="300">
        <f>(246.2*KFC!$B$23*1.02*1.3+KFC!$C$23)*KFC!$C$5</f>
        <v>326.46120000000002</v>
      </c>
      <c r="J343" s="300">
        <f>(259.7*KFC!$B$23*1.02*1.3+KFC!$C$23)*KFC!$C$5</f>
        <v>344.36220000000003</v>
      </c>
      <c r="K343" s="300">
        <f>(273.1*KFC!$B$23*1.02*1.3+KFC!$C$23)*KFC!$C$5</f>
        <v>362.13060000000002</v>
      </c>
      <c r="L343" s="300">
        <f>(286.5*KFC!$B$23*1.02*1.3+KFC!$C$23)*KFC!$C$5</f>
        <v>379.89900000000006</v>
      </c>
      <c r="M343" s="300">
        <f>(300*KFC!$B$23*1.02*1.3+KFC!$C$23)*KFC!$C$5</f>
        <v>397.8</v>
      </c>
      <c r="N343" s="300">
        <f>(313.4*KFC!$B$23*1.02*1.3+KFC!$C$23)*KFC!$C$5</f>
        <v>415.5684</v>
      </c>
      <c r="O343" s="300">
        <f>(326.8*KFC!$B$23*1.02*1.3+KFC!$C$23)*KFC!$C$5</f>
        <v>433.33680000000004</v>
      </c>
      <c r="P343" s="300">
        <f>(340.3*KFC!$B$23*1.02*1.3+KFC!$C$23)*KFC!$C$5</f>
        <v>451.23779999999999</v>
      </c>
      <c r="Q343" s="300">
        <f>(353.7*KFC!$B$23*1.02*1.3+KFC!$C$23)*KFC!$C$5</f>
        <v>469.00620000000004</v>
      </c>
      <c r="R343" s="300">
        <f>(367.2*KFC!$B$23*1.02*1.3+KFC!$C$23)*KFC!$C$5</f>
        <v>486.90719999999999</v>
      </c>
      <c r="S343" s="300">
        <f>(380.6*KFC!$B$23*1.02*1.3+KFC!$C$23)*KFC!$C$5</f>
        <v>504.67560000000009</v>
      </c>
      <c r="T343" s="300">
        <f>(394*KFC!$B$23*1.02*1.3+KFC!$C$23)*KFC!$C$5</f>
        <v>522.44399999999996</v>
      </c>
      <c r="U343" s="300">
        <f>(407.5*KFC!$B$23*1.02*1.3+KFC!$C$23)*KFC!$C$5</f>
        <v>540.34500000000003</v>
      </c>
      <c r="V343" s="300">
        <f>(420.9*KFC!$B$23*1.02*1.3+KFC!$C$23)*KFC!$C$5</f>
        <v>558.11339999999996</v>
      </c>
      <c r="W343" s="300">
        <f>(434.3*KFC!$B$23*1.02*1.3+KFC!$C$23)*KFC!$C$5</f>
        <v>575.88180000000011</v>
      </c>
      <c r="X343" s="300">
        <f>(447.8*KFC!$B$23*1.02*1.3+KFC!$C$23)*KFC!$C$5</f>
        <v>593.78280000000007</v>
      </c>
      <c r="Y343" s="300">
        <f>(461.2*KFC!$B$23*1.02*1.3+KFC!$C$23)*KFC!$C$5</f>
        <v>611.55119999999999</v>
      </c>
      <c r="Z343" s="300">
        <f>(474.7*KFC!$B$23*1.02*1.3+KFC!$C$23)*KFC!$C$5</f>
        <v>629.45220000000006</v>
      </c>
      <c r="AA343" s="300">
        <f>(488.1*KFC!$B$23*1.02*1.3+KFC!$C$23)*KFC!$C$5</f>
        <v>647.2206000000001</v>
      </c>
      <c r="AB343" s="300">
        <f>(501.5*KFC!$B$23*1.02*1.3+KFC!$C$23)*KFC!$C$5</f>
        <v>664.98900000000003</v>
      </c>
      <c r="AC343" s="300">
        <f>(515*KFC!$B$23*1.02*1.3+KFC!$C$23)*KFC!$C$5</f>
        <v>682.89</v>
      </c>
      <c r="AD343" s="300">
        <f>(528.4*KFC!$B$23*1.02*1.3+KFC!$C$23)*KFC!$C$5</f>
        <v>700.65840000000003</v>
      </c>
      <c r="AE343" s="300">
        <f>(541.8*KFC!$B$23*1.02*1.3+KFC!$C$23)*KFC!$C$5</f>
        <v>718.42679999999996</v>
      </c>
      <c r="AF343" s="300">
        <f>(555.3*KFC!$B$23*1.02*1.3+KFC!$C$23)*KFC!$C$5</f>
        <v>736.32779999999991</v>
      </c>
      <c r="AG343" s="300">
        <f>(568.7*KFC!$B$23*1.02*1.3+KFC!$C$23)*KFC!$C$5</f>
        <v>754.09620000000007</v>
      </c>
      <c r="AH343" s="304">
        <f>(582.1*KFC!$B$23*1.02*1.3+KFC!$C$23)*KFC!$C$5</f>
        <v>771.86460000000011</v>
      </c>
    </row>
    <row r="344" spans="1:34">
      <c r="A344" s="1781"/>
      <c r="B344" s="395">
        <v>3.9</v>
      </c>
      <c r="C344" s="303">
        <f>(167.8*KFC!$B$23*1.02*1.3+KFC!$C$23)*KFC!$C$5</f>
        <v>222.50280000000001</v>
      </c>
      <c r="D344" s="300">
        <f>(181.6*KFC!$B$23*1.02*1.3+KFC!$C$23)*KFC!$C$5</f>
        <v>240.80160000000001</v>
      </c>
      <c r="E344" s="300">
        <f>(195.3*KFC!$B$23*1.02*1.3+KFC!$C$23)*KFC!$C$5</f>
        <v>258.96780000000001</v>
      </c>
      <c r="F344" s="300">
        <f>(209.1*KFC!$B$23*1.02*1.3+KFC!$C$23)*KFC!$C$5</f>
        <v>277.26660000000004</v>
      </c>
      <c r="G344" s="300">
        <f>(222.9*KFC!$B$23*1.02*1.3+KFC!$C$23)*KFC!$C$5</f>
        <v>295.56540000000001</v>
      </c>
      <c r="H344" s="300">
        <f>(236.6*KFC!$B$23*1.02*1.3+KFC!$C$23)*KFC!$C$5</f>
        <v>313.73160000000001</v>
      </c>
      <c r="I344" s="300">
        <f>(250.4*KFC!$B$23*1.02*1.3+KFC!$C$23)*KFC!$C$5</f>
        <v>332.03040000000004</v>
      </c>
      <c r="J344" s="300">
        <f>(264.2*KFC!$B$23*1.02*1.3+KFC!$C$23)*KFC!$C$5</f>
        <v>350.32920000000001</v>
      </c>
      <c r="K344" s="300">
        <f>(277.9*KFC!$B$23*1.02*1.3+KFC!$C$23)*KFC!$C$5</f>
        <v>368.49539999999996</v>
      </c>
      <c r="L344" s="300">
        <f>(291.7*KFC!$B$23*1.02*1.3+KFC!$C$23)*KFC!$C$5</f>
        <v>386.79419999999999</v>
      </c>
      <c r="M344" s="300">
        <f>(305.5*KFC!$B$23*1.02*1.3+KFC!$C$23)*KFC!$C$5</f>
        <v>405.09300000000002</v>
      </c>
      <c r="N344" s="300">
        <f>(319.2*KFC!$B$23*1.02*1.3+KFC!$C$23)*KFC!$C$5</f>
        <v>423.25920000000002</v>
      </c>
      <c r="O344" s="300">
        <f>(333*KFC!$B$23*1.02*1.3+KFC!$C$23)*KFC!$C$5</f>
        <v>441.55800000000005</v>
      </c>
      <c r="P344" s="300">
        <f>(346.8*KFC!$B$23*1.02*1.3+KFC!$C$23)*KFC!$C$5</f>
        <v>459.85680000000002</v>
      </c>
      <c r="Q344" s="300">
        <f>(360.5*KFC!$B$23*1.02*1.3+KFC!$C$23)*KFC!$C$5</f>
        <v>478.02299999999997</v>
      </c>
      <c r="R344" s="300">
        <f>(374.3*KFC!$B$23*1.02*1.3+KFC!$C$23)*KFC!$C$5</f>
        <v>496.3218</v>
      </c>
      <c r="S344" s="300">
        <f>(388.1*KFC!$B$23*1.02*1.3+KFC!$C$23)*KFC!$C$5</f>
        <v>514.62060000000008</v>
      </c>
      <c r="T344" s="300">
        <f>(401.8*KFC!$B$23*1.02*1.3+KFC!$C$23)*KFC!$C$5</f>
        <v>532.78680000000008</v>
      </c>
      <c r="U344" s="300">
        <f>(415.6*KFC!$B$23*1.02*1.3+KFC!$C$23)*KFC!$C$5</f>
        <v>551.08560000000011</v>
      </c>
      <c r="V344" s="300">
        <f>(429.4*KFC!$B$23*1.02*1.3+KFC!$C$23)*KFC!$C$5</f>
        <v>569.38440000000003</v>
      </c>
      <c r="W344" s="300">
        <f>(443.2*KFC!$B$23*1.02*1.3+KFC!$C$23)*KFC!$C$5</f>
        <v>587.68320000000006</v>
      </c>
      <c r="X344" s="300">
        <f>(456.9*KFC!$B$23*1.02*1.3+KFC!$C$23)*KFC!$C$5</f>
        <v>605.84940000000006</v>
      </c>
      <c r="Y344" s="300">
        <f>(470.7*KFC!$B$23*1.02*1.3+KFC!$C$23)*KFC!$C$5</f>
        <v>624.14819999999997</v>
      </c>
      <c r="Z344" s="300">
        <f>(484.5*KFC!$B$23*1.02*1.3+KFC!$C$23)*KFC!$C$5</f>
        <v>642.447</v>
      </c>
      <c r="AA344" s="300">
        <f>(498.2*KFC!$B$23*1.02*1.3+KFC!$C$23)*KFC!$C$5</f>
        <v>660.61320000000001</v>
      </c>
      <c r="AB344" s="300">
        <f>(512*KFC!$B$23*1.02*1.3+KFC!$C$23)*KFC!$C$5</f>
        <v>678.91200000000003</v>
      </c>
      <c r="AC344" s="300">
        <f>(525.8*KFC!$B$23*1.02*1.3+KFC!$C$23)*KFC!$C$5</f>
        <v>697.21079999999995</v>
      </c>
      <c r="AD344" s="300">
        <f>(539.5*KFC!$B$23*1.02*1.3+KFC!$C$23)*KFC!$C$5</f>
        <v>715.37699999999995</v>
      </c>
      <c r="AE344" s="300">
        <f>(553.3*KFC!$B$23*1.02*1.3+KFC!$C$23)*KFC!$C$5</f>
        <v>733.67579999999998</v>
      </c>
      <c r="AF344" s="300">
        <f>(567.1*KFC!$B$23*1.02*1.3+KFC!$C$23)*KFC!$C$5</f>
        <v>751.97460000000001</v>
      </c>
      <c r="AG344" s="300">
        <f>(580.8*KFC!$B$23*1.02*1.3+KFC!$C$23)*KFC!$C$5</f>
        <v>770.1407999999999</v>
      </c>
      <c r="AH344" s="304">
        <f>(594.6*KFC!$B$23*1.02*1.3+KFC!$C$23)*KFC!$C$5</f>
        <v>788.43960000000015</v>
      </c>
    </row>
    <row r="345" spans="1:34">
      <c r="A345" s="1781"/>
      <c r="B345" s="395">
        <v>4</v>
      </c>
      <c r="C345" s="303">
        <f>(170*KFC!$B$23*1.02*1.3+KFC!$C$23)*KFC!$C$5</f>
        <v>225.42000000000002</v>
      </c>
      <c r="D345" s="300">
        <f>(184.1*KFC!$B$23*1.02*1.3+KFC!$C$23)*KFC!$C$5</f>
        <v>244.11660000000003</v>
      </c>
      <c r="E345" s="300">
        <f>(198.2*KFC!$B$23*1.02*1.3+KFC!$C$23)*KFC!$C$5</f>
        <v>262.81319999999999</v>
      </c>
      <c r="F345" s="300">
        <f>(212.3*KFC!$B$23*1.02*1.3+KFC!$C$23)*KFC!$C$5</f>
        <v>281.50980000000004</v>
      </c>
      <c r="G345" s="300">
        <f>(226.4*KFC!$B$23*1.02*1.3+KFC!$C$23)*KFC!$C$5</f>
        <v>300.20640000000003</v>
      </c>
      <c r="H345" s="300">
        <f>(240.5*KFC!$B$23*1.02*1.3+KFC!$C$23)*KFC!$C$5</f>
        <v>318.90300000000002</v>
      </c>
      <c r="I345" s="300">
        <f>(254.6*KFC!$B$23*1.02*1.3+KFC!$C$23)*KFC!$C$5</f>
        <v>337.59960000000001</v>
      </c>
      <c r="J345" s="300">
        <f>(268.7*KFC!$B$23*1.02*1.3+KFC!$C$23)*KFC!$C$5</f>
        <v>356.29620000000006</v>
      </c>
      <c r="K345" s="300">
        <f>(282.8*KFC!$B$23*1.02*1.3+KFC!$C$23)*KFC!$C$5</f>
        <v>374.99280000000005</v>
      </c>
      <c r="L345" s="300">
        <f>(296.9*KFC!$B$23*1.02*1.3+KFC!$C$23)*KFC!$C$5</f>
        <v>393.68939999999998</v>
      </c>
      <c r="M345" s="300">
        <f>(311*KFC!$B$23*1.02*1.3+KFC!$C$23)*KFC!$C$5</f>
        <v>412.38600000000002</v>
      </c>
      <c r="N345" s="300">
        <f>(325.1*KFC!$B$23*1.02*1.3+KFC!$C$23)*KFC!$C$5</f>
        <v>431.08260000000007</v>
      </c>
      <c r="O345" s="300">
        <f>(339.2*KFC!$B$23*1.02*1.3+KFC!$C$23)*KFC!$C$5</f>
        <v>449.7792</v>
      </c>
      <c r="P345" s="300">
        <f>(353.3*KFC!$B$23*1.02*1.3+KFC!$C$23)*KFC!$C$5</f>
        <v>468.47580000000005</v>
      </c>
      <c r="Q345" s="300">
        <f>(367.4*KFC!$B$23*1.02*1.3+KFC!$C$23)*KFC!$C$5</f>
        <v>487.17239999999998</v>
      </c>
      <c r="R345" s="300">
        <f>(381.5*KFC!$B$23*1.02*1.3+KFC!$C$23)*KFC!$C$5</f>
        <v>505.86900000000003</v>
      </c>
      <c r="S345" s="300">
        <f>(395.6*KFC!$B$23*1.02*1.3+KFC!$C$23)*KFC!$C$5</f>
        <v>524.56560000000013</v>
      </c>
      <c r="T345" s="300">
        <f>(409.7*KFC!$B$23*1.02*1.3+KFC!$C$23)*KFC!$C$5</f>
        <v>543.26220000000001</v>
      </c>
      <c r="U345" s="300">
        <f>(423.8*KFC!$B$23*1.02*1.3+KFC!$C$23)*KFC!$C$5</f>
        <v>561.9588</v>
      </c>
      <c r="V345" s="300">
        <f>(437.9*KFC!$B$23*1.02*1.3+KFC!$C$23)*KFC!$C$5</f>
        <v>580.65539999999999</v>
      </c>
      <c r="W345" s="300">
        <f>(452*KFC!$B$23*1.02*1.3+KFC!$C$23)*KFC!$C$5</f>
        <v>599.35200000000009</v>
      </c>
      <c r="X345" s="300">
        <f>(466.1*KFC!$B$23*1.02*1.3+KFC!$C$23)*KFC!$C$5</f>
        <v>618.04860000000008</v>
      </c>
      <c r="Y345" s="300">
        <f>(480.2*KFC!$B$23*1.02*1.3+KFC!$C$23)*KFC!$C$5</f>
        <v>636.74519999999995</v>
      </c>
      <c r="Z345" s="300">
        <f>(494.3*KFC!$B$23*1.02*1.3+KFC!$C$23)*KFC!$C$5</f>
        <v>655.44180000000006</v>
      </c>
      <c r="AA345" s="300">
        <f>(508.4*KFC!$B$23*1.02*1.3+KFC!$C$23)*KFC!$C$5</f>
        <v>674.13840000000005</v>
      </c>
      <c r="AB345" s="300">
        <f>(522.5*KFC!$B$23*1.02*1.3+KFC!$C$23)*KFC!$C$5</f>
        <v>692.83500000000004</v>
      </c>
      <c r="AC345" s="300">
        <f>(536.6*KFC!$B$23*1.02*1.3+KFC!$C$23)*KFC!$C$5</f>
        <v>711.53160000000003</v>
      </c>
      <c r="AD345" s="300">
        <f>(550.7*KFC!$B$23*1.02*1.3+KFC!$C$23)*KFC!$C$5</f>
        <v>730.22820000000013</v>
      </c>
      <c r="AE345" s="300">
        <f>(564.8*KFC!$B$23*1.02*1.3+KFC!$C$23)*KFC!$C$5</f>
        <v>748.9248</v>
      </c>
      <c r="AF345" s="300">
        <f>(578.9*KFC!$B$23*1.02*1.3+KFC!$C$23)*KFC!$C$5</f>
        <v>767.62139999999999</v>
      </c>
      <c r="AG345" s="300">
        <f>(593*KFC!$B$23*1.02*1.3+KFC!$C$23)*KFC!$C$5</f>
        <v>786.3180000000001</v>
      </c>
      <c r="AH345" s="304">
        <f>(607.1*KFC!$B$23*1.02*1.3+KFC!$C$23)*KFC!$C$5</f>
        <v>805.01460000000009</v>
      </c>
    </row>
    <row r="346" spans="1:34">
      <c r="A346" s="1781"/>
      <c r="B346" s="395">
        <v>4.0999999999999996</v>
      </c>
      <c r="C346" s="303">
        <f>(172.2*KFC!$B$23*1.02*1.3+KFC!$C$23)*KFC!$C$5</f>
        <v>228.33720000000002</v>
      </c>
      <c r="D346" s="300">
        <f>(186.6*KFC!$B$23*1.02*1.3+KFC!$C$23)*KFC!$C$5</f>
        <v>247.4316</v>
      </c>
      <c r="E346" s="300">
        <f>(201.1*KFC!$B$23*1.02*1.3+KFC!$C$23)*KFC!$C$5</f>
        <v>266.65859999999998</v>
      </c>
      <c r="F346" s="300">
        <f>(215.5*KFC!$B$23*1.02*1.3+KFC!$C$23)*KFC!$C$5</f>
        <v>285.75299999999999</v>
      </c>
      <c r="G346" s="300">
        <f>(229.9*KFC!$B$23*1.02*1.3+KFC!$C$23)*KFC!$C$5</f>
        <v>304.84740000000005</v>
      </c>
      <c r="H346" s="300">
        <f>(244.3*KFC!$B$23*1.02*1.3+KFC!$C$23)*KFC!$C$5</f>
        <v>323.9418</v>
      </c>
      <c r="I346" s="300">
        <f>(258.8*KFC!$B$23*1.02*1.3+KFC!$C$23)*KFC!$C$5</f>
        <v>343.16880000000003</v>
      </c>
      <c r="J346" s="300">
        <f>(273.2*KFC!$B$23*1.02*1.3+KFC!$C$23)*KFC!$C$5</f>
        <v>362.26319999999998</v>
      </c>
      <c r="K346" s="300">
        <f>(287.6*KFC!$B$23*1.02*1.3+KFC!$C$23)*KFC!$C$5</f>
        <v>381.35760000000005</v>
      </c>
      <c r="L346" s="300">
        <f>(302.1*KFC!$B$23*1.02*1.3+KFC!$C$23)*KFC!$C$5</f>
        <v>400.58460000000008</v>
      </c>
      <c r="M346" s="300">
        <f>(316.5*KFC!$B$23*1.02*1.3+KFC!$C$23)*KFC!$C$5</f>
        <v>419.67899999999997</v>
      </c>
      <c r="N346" s="300">
        <f>(330.9*KFC!$B$23*1.02*1.3+KFC!$C$23)*KFC!$C$5</f>
        <v>438.77339999999998</v>
      </c>
      <c r="O346" s="300">
        <f>(345.3*KFC!$B$23*1.02*1.3+KFC!$C$23)*KFC!$C$5</f>
        <v>457.86780000000005</v>
      </c>
      <c r="P346" s="300">
        <f>(359.8*KFC!$B$23*1.02*1.3+KFC!$C$23)*KFC!$C$5</f>
        <v>477.09480000000008</v>
      </c>
      <c r="Q346" s="300">
        <f>(374.2*KFC!$B$23*1.02*1.3+KFC!$C$23)*KFC!$C$5</f>
        <v>496.18919999999997</v>
      </c>
      <c r="R346" s="300">
        <f>(388.6*KFC!$B$23*1.02*1.3+KFC!$C$23)*KFC!$C$5</f>
        <v>515.28360000000009</v>
      </c>
      <c r="S346" s="300">
        <f>(403.1*KFC!$B$23*1.02*1.3+KFC!$C$23)*KFC!$C$5</f>
        <v>534.51060000000007</v>
      </c>
      <c r="T346" s="300">
        <f>(417.5*KFC!$B$23*1.02*1.3+KFC!$C$23)*KFC!$C$5</f>
        <v>553.60500000000002</v>
      </c>
      <c r="U346" s="300">
        <f>(431.9*KFC!$B$23*1.02*1.3+KFC!$C$23)*KFC!$C$5</f>
        <v>572.69940000000008</v>
      </c>
      <c r="V346" s="300">
        <f>(446.4*KFC!$B$23*1.02*1.3+KFC!$C$23)*KFC!$C$5</f>
        <v>591.92639999999994</v>
      </c>
      <c r="W346" s="300">
        <f>(460.8*KFC!$B$23*1.02*1.3+KFC!$C$23)*KFC!$C$5</f>
        <v>611.02080000000001</v>
      </c>
      <c r="X346" s="300">
        <f>(475.2*KFC!$B$23*1.02*1.3+KFC!$C$23)*KFC!$C$5</f>
        <v>630.11520000000007</v>
      </c>
      <c r="Y346" s="300">
        <f>(489.6*KFC!$B$23*1.02*1.3+KFC!$C$23)*KFC!$C$5</f>
        <v>649.20960000000014</v>
      </c>
      <c r="Z346" s="300">
        <f>(504.1*KFC!$B$23*1.02*1.3+KFC!$C$23)*KFC!$C$5</f>
        <v>668.4366</v>
      </c>
      <c r="AA346" s="300">
        <f>(518.5*KFC!$B$23*1.02*1.3+KFC!$C$23)*KFC!$C$5</f>
        <v>687.53100000000006</v>
      </c>
      <c r="AB346" s="300">
        <f>(532.9*KFC!$B$23*1.02*1.3+KFC!$C$23)*KFC!$C$5</f>
        <v>706.62540000000001</v>
      </c>
      <c r="AC346" s="300">
        <f>(547.4*KFC!$B$23*1.02*1.3+KFC!$C$23)*KFC!$C$5</f>
        <v>725.85239999999999</v>
      </c>
      <c r="AD346" s="300">
        <f>(561.8*KFC!$B$23*1.02*1.3+KFC!$C$23)*KFC!$C$5</f>
        <v>744.94679999999994</v>
      </c>
      <c r="AE346" s="300">
        <f>(576.2*KFC!$B$23*1.02*1.3+KFC!$C$23)*KFC!$C$5</f>
        <v>764.04120000000012</v>
      </c>
      <c r="AF346" s="300">
        <f>(590.6*KFC!$B$23*1.02*1.3+KFC!$C$23)*KFC!$C$5</f>
        <v>783.13560000000007</v>
      </c>
      <c r="AG346" s="300">
        <f>(605.1*KFC!$B$23*1.02*1.3+KFC!$C$23)*KFC!$C$5</f>
        <v>802.36260000000004</v>
      </c>
      <c r="AH346" s="304">
        <f>(619.5*KFC!$B$23*1.02*1.3+KFC!$C$23)*KFC!$C$5</f>
        <v>821.45699999999999</v>
      </c>
    </row>
    <row r="347" spans="1:34">
      <c r="A347" s="1781"/>
      <c r="B347" s="395">
        <v>4.2</v>
      </c>
      <c r="C347" s="303">
        <f>(174.4*KFC!$B$23*1.02*1.3+KFC!$C$23)*KFC!$C$5</f>
        <v>231.2544</v>
      </c>
      <c r="D347" s="300">
        <f>(189.2*KFC!$B$23*1.02*1.3+KFC!$C$23)*KFC!$C$5</f>
        <v>250.8792</v>
      </c>
      <c r="E347" s="300">
        <f>(203.9*KFC!$B$23*1.02*1.3+KFC!$C$23)*KFC!$C$5</f>
        <v>270.37139999999999</v>
      </c>
      <c r="F347" s="300">
        <f>(218.7*KFC!$B$23*1.02*1.3+KFC!$C$23)*KFC!$C$5</f>
        <v>289.99619999999999</v>
      </c>
      <c r="G347" s="300">
        <f>(233.4*KFC!$B$23*1.02*1.3+KFC!$C$23)*KFC!$C$5</f>
        <v>309.48840000000001</v>
      </c>
      <c r="H347" s="300">
        <f>(248.2*KFC!$B$23*1.02*1.3+KFC!$C$23)*KFC!$C$5</f>
        <v>329.11320000000001</v>
      </c>
      <c r="I347" s="300">
        <f>(263*KFC!$B$23*1.02*1.3+KFC!$C$23)*KFC!$C$5</f>
        <v>348.738</v>
      </c>
      <c r="J347" s="300">
        <f>(277.7*KFC!$B$23*1.02*1.3+KFC!$C$23)*KFC!$C$5</f>
        <v>368.23020000000002</v>
      </c>
      <c r="K347" s="300">
        <f>(292.5*KFC!$B$23*1.02*1.3+KFC!$C$23)*KFC!$C$5</f>
        <v>387.85500000000002</v>
      </c>
      <c r="L347" s="300">
        <f>(307.2*KFC!$B$23*1.02*1.3+KFC!$C$23)*KFC!$C$5</f>
        <v>407.34719999999999</v>
      </c>
      <c r="M347" s="300">
        <f>(322*KFC!$B$23*1.02*1.3+KFC!$C$23)*KFC!$C$5</f>
        <v>426.97200000000004</v>
      </c>
      <c r="N347" s="300">
        <f>(336.8*KFC!$B$23*1.02*1.3+KFC!$C$23)*KFC!$C$5</f>
        <v>446.59680000000003</v>
      </c>
      <c r="O347" s="300">
        <f>(351.5*KFC!$B$23*1.02*1.3+KFC!$C$23)*KFC!$C$5</f>
        <v>466.08900000000006</v>
      </c>
      <c r="P347" s="300">
        <f>(366.3*KFC!$B$23*1.02*1.3+KFC!$C$23)*KFC!$C$5</f>
        <v>485.71380000000005</v>
      </c>
      <c r="Q347" s="300">
        <f>(381*KFC!$B$23*1.02*1.3+KFC!$C$23)*KFC!$C$5</f>
        <v>505.20600000000002</v>
      </c>
      <c r="R347" s="300">
        <f>(395.8*KFC!$B$23*1.02*1.3+KFC!$C$23)*KFC!$C$5</f>
        <v>524.83080000000007</v>
      </c>
      <c r="S347" s="300">
        <f>(410.6*KFC!$B$23*1.02*1.3+KFC!$C$23)*KFC!$C$5</f>
        <v>544.4556</v>
      </c>
      <c r="T347" s="300">
        <f>(425.3*KFC!$B$23*1.02*1.3+KFC!$C$23)*KFC!$C$5</f>
        <v>563.94780000000003</v>
      </c>
      <c r="U347" s="300">
        <f>(440.1*KFC!$B$23*1.02*1.3+KFC!$C$23)*KFC!$C$5</f>
        <v>583.57260000000008</v>
      </c>
      <c r="V347" s="300">
        <f>(454.8*KFC!$B$23*1.02*1.3+KFC!$C$23)*KFC!$C$5</f>
        <v>603.06479999999999</v>
      </c>
      <c r="W347" s="300">
        <f>(469.6*KFC!$B$23*1.02*1.3+KFC!$C$23)*KFC!$C$5</f>
        <v>622.68960000000004</v>
      </c>
      <c r="X347" s="300">
        <f>(484.4*KFC!$B$23*1.02*1.3+KFC!$C$23)*KFC!$C$5</f>
        <v>642.31439999999998</v>
      </c>
      <c r="Y347" s="300">
        <f>(499.1*KFC!$B$23*1.02*1.3+KFC!$C$23)*KFC!$C$5</f>
        <v>661.80660000000012</v>
      </c>
      <c r="Z347" s="300">
        <f>(513.9*KFC!$B$23*1.02*1.3+KFC!$C$23)*KFC!$C$5</f>
        <v>681.43140000000005</v>
      </c>
      <c r="AA347" s="300">
        <f>(528.6*KFC!$B$23*1.02*1.3+KFC!$C$23)*KFC!$C$5</f>
        <v>700.92360000000008</v>
      </c>
      <c r="AB347" s="300">
        <f>(543.4*KFC!$B$23*1.02*1.3+KFC!$C$23)*KFC!$C$5</f>
        <v>720.54840000000002</v>
      </c>
      <c r="AC347" s="300">
        <f>(558.2*KFC!$B$23*1.02*1.3+KFC!$C$23)*KFC!$C$5</f>
        <v>740.17320000000007</v>
      </c>
      <c r="AD347" s="300">
        <f>(572.9*KFC!$B$23*1.02*1.3+KFC!$C$23)*KFC!$C$5</f>
        <v>759.66539999999998</v>
      </c>
      <c r="AE347" s="300">
        <f>(587.7*KFC!$B$23*1.02*1.3+KFC!$C$23)*KFC!$C$5</f>
        <v>779.29020000000014</v>
      </c>
      <c r="AF347" s="300">
        <f>(602.4*KFC!$B$23*1.02*1.3+KFC!$C$23)*KFC!$C$5</f>
        <v>798.78240000000005</v>
      </c>
      <c r="AG347" s="300">
        <f>(617.2*KFC!$B$23*1.02*1.3+KFC!$C$23)*KFC!$C$5</f>
        <v>818.4072000000001</v>
      </c>
      <c r="AH347" s="304">
        <f>(632*KFC!$B$23*1.02*1.3+KFC!$C$23)*KFC!$C$5</f>
        <v>838.03200000000004</v>
      </c>
    </row>
    <row r="348" spans="1:34">
      <c r="A348" s="1781"/>
      <c r="B348" s="395">
        <v>4.3</v>
      </c>
      <c r="C348" s="303">
        <f>(176.6*KFC!$B$23*1.02*1.3+KFC!$C$23)*KFC!$C$5</f>
        <v>234.17160000000001</v>
      </c>
      <c r="D348" s="300">
        <f>(191.7*KFC!$B$23*1.02*1.3+KFC!$C$23)*KFC!$C$5</f>
        <v>254.1942</v>
      </c>
      <c r="E348" s="300">
        <f>(206.8*KFC!$B$23*1.02*1.3+KFC!$C$23)*KFC!$C$5</f>
        <v>274.21680000000003</v>
      </c>
      <c r="F348" s="300">
        <f>(221.9*KFC!$B$23*1.02*1.3+KFC!$C$23)*KFC!$C$5</f>
        <v>294.23940000000005</v>
      </c>
      <c r="G348" s="300">
        <f>(237*KFC!$B$23*1.02*1.3+KFC!$C$23)*KFC!$C$5</f>
        <v>314.262</v>
      </c>
      <c r="H348" s="300">
        <f>(252.1*KFC!$B$23*1.02*1.3+KFC!$C$23)*KFC!$C$5</f>
        <v>334.28460000000001</v>
      </c>
      <c r="I348" s="300">
        <f>(267.1*KFC!$B$23*1.02*1.3+KFC!$C$23)*KFC!$C$5</f>
        <v>354.1746</v>
      </c>
      <c r="J348" s="300">
        <f>(282.2*KFC!$B$23*1.02*1.3+KFC!$C$23)*KFC!$C$5</f>
        <v>374.19720000000001</v>
      </c>
      <c r="K348" s="300">
        <f>(297.3*KFC!$B$23*1.02*1.3+KFC!$C$23)*KFC!$C$5</f>
        <v>394.21980000000008</v>
      </c>
      <c r="L348" s="300">
        <f>(312.4*KFC!$B$23*1.02*1.3+KFC!$C$23)*KFC!$C$5</f>
        <v>414.24239999999998</v>
      </c>
      <c r="M348" s="300">
        <f>(327.5*KFC!$B$23*1.02*1.3+KFC!$C$23)*KFC!$C$5</f>
        <v>434.26500000000004</v>
      </c>
      <c r="N348" s="300">
        <f>(342.6*KFC!$B$23*1.02*1.3+KFC!$C$23)*KFC!$C$5</f>
        <v>454.28760000000011</v>
      </c>
      <c r="O348" s="300">
        <f>(357.7*KFC!$B$23*1.02*1.3+KFC!$C$23)*KFC!$C$5</f>
        <v>474.31020000000001</v>
      </c>
      <c r="P348" s="300">
        <f>(372.8*KFC!$B$23*1.02*1.3+KFC!$C$23)*KFC!$C$5</f>
        <v>494.33280000000008</v>
      </c>
      <c r="Q348" s="300">
        <f>(387.9*KFC!$B$23*1.02*1.3+KFC!$C$23)*KFC!$C$5</f>
        <v>514.35539999999992</v>
      </c>
      <c r="R348" s="300">
        <f>(403*KFC!$B$23*1.02*1.3+KFC!$C$23)*KFC!$C$5</f>
        <v>534.37800000000004</v>
      </c>
      <c r="S348" s="300">
        <f>(418.1*KFC!$B$23*1.02*1.3+KFC!$C$23)*KFC!$C$5</f>
        <v>554.40060000000005</v>
      </c>
      <c r="T348" s="300">
        <f>(433.1*KFC!$B$23*1.02*1.3+KFC!$C$23)*KFC!$C$5</f>
        <v>574.29060000000004</v>
      </c>
      <c r="U348" s="300">
        <f>(448.2*KFC!$B$23*1.02*1.3+KFC!$C$23)*KFC!$C$5</f>
        <v>594.31320000000005</v>
      </c>
      <c r="V348" s="300">
        <f>(463.3*KFC!$B$23*1.02*1.3+KFC!$C$23)*KFC!$C$5</f>
        <v>614.33580000000006</v>
      </c>
      <c r="W348" s="300">
        <f>(478.4*KFC!$B$23*1.02*1.3+KFC!$C$23)*KFC!$C$5</f>
        <v>634.35839999999996</v>
      </c>
      <c r="X348" s="300">
        <f>(493.5*KFC!$B$23*1.02*1.3+KFC!$C$23)*KFC!$C$5</f>
        <v>654.38099999999997</v>
      </c>
      <c r="Y348" s="300">
        <f>(508.6*KFC!$B$23*1.02*1.3+KFC!$C$23)*KFC!$C$5</f>
        <v>674.4036000000001</v>
      </c>
      <c r="Z348" s="300">
        <f>(523.7*KFC!$B$23*1.02*1.3+KFC!$C$23)*KFC!$C$5</f>
        <v>694.42620000000011</v>
      </c>
      <c r="AA348" s="300">
        <f>(538.8*KFC!$B$23*1.02*1.3+KFC!$C$23)*KFC!$C$5</f>
        <v>714.44879999999989</v>
      </c>
      <c r="AB348" s="300">
        <f>(553.9*KFC!$B$23*1.02*1.3+KFC!$C$23)*KFC!$C$5</f>
        <v>734.47140000000002</v>
      </c>
      <c r="AC348" s="300">
        <f>(569*KFC!$B$23*1.02*1.3+KFC!$C$23)*KFC!$C$5</f>
        <v>754.49400000000003</v>
      </c>
      <c r="AD348" s="300">
        <f>(584*KFC!$B$23*1.02*1.3+KFC!$C$23)*KFC!$C$5</f>
        <v>774.38400000000013</v>
      </c>
      <c r="AE348" s="300">
        <f>(599.1*KFC!$B$23*1.02*1.3+KFC!$C$23)*KFC!$C$5</f>
        <v>794.40660000000003</v>
      </c>
      <c r="AF348" s="300">
        <f>(614.2*KFC!$B$23*1.02*1.3+KFC!$C$23)*KFC!$C$5</f>
        <v>814.42920000000004</v>
      </c>
      <c r="AG348" s="300">
        <f>(629.3*KFC!$B$23*1.02*1.3+KFC!$C$23)*KFC!$C$5</f>
        <v>834.45179999999993</v>
      </c>
      <c r="AH348" s="304">
        <f>(644.4*KFC!$B$23*1.02*1.3+KFC!$C$23)*KFC!$C$5</f>
        <v>854.47440000000006</v>
      </c>
    </row>
    <row r="349" spans="1:34">
      <c r="A349" s="1781"/>
      <c r="B349" s="395">
        <v>4.4000000000000004</v>
      </c>
      <c r="C349" s="303">
        <f>(178.8*KFC!$B$23*1.02*1.3+KFC!$C$23)*KFC!$C$5</f>
        <v>237.08880000000002</v>
      </c>
      <c r="D349" s="300">
        <f>(194.2*KFC!$B$23*1.02*1.3+KFC!$C$23)*KFC!$C$5</f>
        <v>257.50920000000002</v>
      </c>
      <c r="E349" s="300">
        <f>(209.6*KFC!$B$23*1.02*1.3+KFC!$C$23)*KFC!$C$5</f>
        <v>277.92959999999999</v>
      </c>
      <c r="F349" s="300">
        <f>(225.1*KFC!$B$23*1.02*1.3+KFC!$C$23)*KFC!$C$5</f>
        <v>298.48259999999999</v>
      </c>
      <c r="G349" s="300">
        <f>(240.5*KFC!$B$23*1.02*1.3+KFC!$C$23)*KFC!$C$5</f>
        <v>318.90300000000002</v>
      </c>
      <c r="H349" s="300">
        <f>(255.9*KFC!$B$23*1.02*1.3+KFC!$C$23)*KFC!$C$5</f>
        <v>339.32340000000005</v>
      </c>
      <c r="I349" s="300">
        <f>(271.3*KFC!$B$23*1.02*1.3+KFC!$C$23)*KFC!$C$5</f>
        <v>359.74380000000002</v>
      </c>
      <c r="J349" s="300">
        <f>(286.8*KFC!$B$23*1.02*1.3+KFC!$C$23)*KFC!$C$5</f>
        <v>380.29680000000002</v>
      </c>
      <c r="K349" s="300">
        <f>(302.2*KFC!$B$23*1.02*1.3+KFC!$C$23)*KFC!$C$5</f>
        <v>400.71719999999999</v>
      </c>
      <c r="L349" s="300">
        <f>(317.6*KFC!$B$23*1.02*1.3+KFC!$C$23)*KFC!$C$5</f>
        <v>421.13760000000008</v>
      </c>
      <c r="M349" s="300">
        <f>(333*KFC!$B$23*1.02*1.3+KFC!$C$23)*KFC!$C$5</f>
        <v>441.55800000000005</v>
      </c>
      <c r="N349" s="300">
        <f>(348.4*KFC!$B$23*1.02*1.3+KFC!$C$23)*KFC!$C$5</f>
        <v>461.97840000000002</v>
      </c>
      <c r="O349" s="300">
        <f>(363.9*KFC!$B$23*1.02*1.3+KFC!$C$23)*KFC!$C$5</f>
        <v>482.53140000000002</v>
      </c>
      <c r="P349" s="300">
        <f>(379.3*KFC!$B$23*1.02*1.3+KFC!$C$23)*KFC!$C$5</f>
        <v>502.95180000000005</v>
      </c>
      <c r="Q349" s="300">
        <f>(394.7*KFC!$B$23*1.02*1.3+KFC!$C$23)*KFC!$C$5</f>
        <v>523.37220000000002</v>
      </c>
      <c r="R349" s="300">
        <f>(410.1*KFC!$B$23*1.02*1.3+KFC!$C$23)*KFC!$C$5</f>
        <v>543.79259999999999</v>
      </c>
      <c r="S349" s="300">
        <f>(425.5*KFC!$B$23*1.02*1.3+KFC!$C$23)*KFC!$C$5</f>
        <v>564.21299999999997</v>
      </c>
      <c r="T349" s="300">
        <f>(441*KFC!$B$23*1.02*1.3+KFC!$C$23)*KFC!$C$5</f>
        <v>584.76599999999996</v>
      </c>
      <c r="U349" s="300">
        <f>(456.4*KFC!$B$23*1.02*1.3+KFC!$C$23)*KFC!$C$5</f>
        <v>605.18639999999994</v>
      </c>
      <c r="V349" s="300">
        <f>(471.8*KFC!$B$23*1.02*1.3+KFC!$C$23)*KFC!$C$5</f>
        <v>625.60680000000013</v>
      </c>
      <c r="W349" s="300">
        <f>(487.2*KFC!$B$23*1.02*1.3+KFC!$C$23)*KFC!$C$5</f>
        <v>646.02719999999999</v>
      </c>
      <c r="X349" s="300">
        <f>(502.6*KFC!$B$23*1.02*1.3+KFC!$C$23)*KFC!$C$5</f>
        <v>666.44760000000008</v>
      </c>
      <c r="Y349" s="300">
        <f>(518.1*KFC!$B$23*1.02*1.3+KFC!$C$23)*KFC!$C$5</f>
        <v>687.00059999999996</v>
      </c>
      <c r="Z349" s="300">
        <f>(533.5*KFC!$B$23*1.02*1.3+KFC!$C$23)*KFC!$C$5</f>
        <v>707.42099999999994</v>
      </c>
      <c r="AA349" s="300">
        <f>(548.9*KFC!$B$23*1.02*1.3+KFC!$C$23)*KFC!$C$5</f>
        <v>727.84140000000014</v>
      </c>
      <c r="AB349" s="300">
        <f>(564.3*KFC!$B$23*1.02*1.3+KFC!$C$23)*KFC!$C$5</f>
        <v>748.26179999999999</v>
      </c>
      <c r="AC349" s="300">
        <f>(579.8*KFC!$B$23*1.02*1.3+KFC!$C$23)*KFC!$C$5</f>
        <v>768.81479999999999</v>
      </c>
      <c r="AD349" s="300">
        <f>(595.2*KFC!$B$23*1.02*1.3+KFC!$C$23)*KFC!$C$5</f>
        <v>789.23520000000008</v>
      </c>
      <c r="AE349" s="300">
        <f>(610.6*KFC!$B$23*1.02*1.3+KFC!$C$23)*KFC!$C$5</f>
        <v>809.65560000000005</v>
      </c>
      <c r="AF349" s="300">
        <f>(626*KFC!$B$23*1.02*1.3+KFC!$C$23)*KFC!$C$5</f>
        <v>830.07600000000002</v>
      </c>
      <c r="AG349" s="300">
        <f>(641.4*KFC!$B$23*1.02*1.3+KFC!$C$23)*KFC!$C$5</f>
        <v>850.49639999999999</v>
      </c>
      <c r="AH349" s="304">
        <f>(656.9*KFC!$B$23*1.02*1.3+KFC!$C$23)*KFC!$C$5</f>
        <v>871.04939999999999</v>
      </c>
    </row>
    <row r="350" spans="1:34">
      <c r="A350" s="1781"/>
      <c r="B350" s="395">
        <v>4.5</v>
      </c>
      <c r="C350" s="303">
        <f>(181*KFC!$B$23*1.02*1.3+KFC!$C$23)*KFC!$C$5</f>
        <v>240.006</v>
      </c>
      <c r="D350" s="300">
        <f>(196.8*KFC!$B$23*1.02*1.3+KFC!$C$23)*KFC!$C$5</f>
        <v>260.95680000000004</v>
      </c>
      <c r="E350" s="300">
        <f>(212.5*KFC!$B$23*1.02*1.3+KFC!$C$23)*KFC!$C$5</f>
        <v>281.77500000000003</v>
      </c>
      <c r="F350" s="300">
        <f>(228.3*KFC!$B$23*1.02*1.3+KFC!$C$23)*KFC!$C$5</f>
        <v>302.72580000000005</v>
      </c>
      <c r="G350" s="300">
        <f>(244*KFC!$B$23*1.02*1.3+KFC!$C$23)*KFC!$C$5</f>
        <v>323.54399999999998</v>
      </c>
      <c r="H350" s="300">
        <f>(259.8*KFC!$B$23*1.02*1.3+KFC!$C$23)*KFC!$C$5</f>
        <v>344.49480000000005</v>
      </c>
      <c r="I350" s="300">
        <f>(275.5*KFC!$B$23*1.02*1.3+KFC!$C$23)*KFC!$C$5</f>
        <v>365.31299999999999</v>
      </c>
      <c r="J350" s="300">
        <f>(291.3*KFC!$B$23*1.02*1.3+KFC!$C$23)*KFC!$C$5</f>
        <v>386.26380000000006</v>
      </c>
      <c r="K350" s="300">
        <f>(307*KFC!$B$23*1.02*1.3+KFC!$C$23)*KFC!$C$5</f>
        <v>407.08199999999999</v>
      </c>
      <c r="L350" s="300">
        <f>(322.8*KFC!$B$23*1.02*1.3+KFC!$C$23)*KFC!$C$5</f>
        <v>428.03280000000007</v>
      </c>
      <c r="M350" s="300">
        <f>(338.5*KFC!$B$23*1.02*1.3+KFC!$C$23)*KFC!$C$5</f>
        <v>448.851</v>
      </c>
      <c r="N350" s="300">
        <f>(354.3*KFC!$B$23*1.02*1.3+KFC!$C$23)*KFC!$C$5</f>
        <v>469.80180000000007</v>
      </c>
      <c r="O350" s="300">
        <f>(370*KFC!$B$23*1.02*1.3+KFC!$C$23)*KFC!$C$5</f>
        <v>490.62000000000006</v>
      </c>
      <c r="P350" s="300">
        <f>(385.8*KFC!$B$23*1.02*1.3+KFC!$C$23)*KFC!$C$5</f>
        <v>511.57080000000002</v>
      </c>
      <c r="Q350" s="300">
        <f>(401.5*KFC!$B$23*1.02*1.3+KFC!$C$23)*KFC!$C$5</f>
        <v>532.38900000000001</v>
      </c>
      <c r="R350" s="300">
        <f>(417.3*KFC!$B$23*1.02*1.3+KFC!$C$23)*KFC!$C$5</f>
        <v>553.33980000000008</v>
      </c>
      <c r="S350" s="300">
        <f>(433*KFC!$B$23*1.02*1.3+KFC!$C$23)*KFC!$C$5</f>
        <v>574.15800000000002</v>
      </c>
      <c r="T350" s="300">
        <f>(448.8*KFC!$B$23*1.02*1.3+KFC!$C$23)*KFC!$C$5</f>
        <v>595.10880000000009</v>
      </c>
      <c r="U350" s="300">
        <f>(464.5*KFC!$B$23*1.02*1.3+KFC!$C$23)*KFC!$C$5</f>
        <v>615.92700000000002</v>
      </c>
      <c r="V350" s="300">
        <f>(480.3*KFC!$B$23*1.02*1.3+KFC!$C$23)*KFC!$C$5</f>
        <v>636.87779999999998</v>
      </c>
      <c r="W350" s="300">
        <f>(496*KFC!$B$23*1.02*1.3+KFC!$C$23)*KFC!$C$5</f>
        <v>657.69600000000003</v>
      </c>
      <c r="X350" s="300">
        <f>(511.8*KFC!$B$23*1.02*1.3+KFC!$C$23)*KFC!$C$5</f>
        <v>678.6468000000001</v>
      </c>
      <c r="Y350" s="300">
        <f>(527.5*KFC!$B$23*1.02*1.3+KFC!$C$23)*KFC!$C$5</f>
        <v>699.46499999999992</v>
      </c>
      <c r="Z350" s="300">
        <f>(543.3*KFC!$B$23*1.02*1.3+KFC!$C$23)*KFC!$C$5</f>
        <v>720.41579999999999</v>
      </c>
      <c r="AA350" s="300">
        <f>(559.1*KFC!$B$23*1.02*1.3+KFC!$C$23)*KFC!$C$5</f>
        <v>741.36660000000006</v>
      </c>
      <c r="AB350" s="300">
        <f>(574.8*KFC!$B$23*1.02*1.3+KFC!$C$23)*KFC!$C$5</f>
        <v>762.1848</v>
      </c>
      <c r="AC350" s="300">
        <f>(590.6*KFC!$B$23*1.02*1.3+KFC!$C$23)*KFC!$C$5</f>
        <v>783.13560000000007</v>
      </c>
      <c r="AD350" s="300">
        <f>(606.3*KFC!$B$23*1.02*1.3+KFC!$C$23)*KFC!$C$5</f>
        <v>803.95379999999989</v>
      </c>
      <c r="AE350" s="300">
        <f>(622.1*KFC!$B$23*1.02*1.3+KFC!$C$23)*KFC!$C$5</f>
        <v>824.90460000000007</v>
      </c>
      <c r="AF350" s="300">
        <f>(637.8*KFC!$B$23*1.02*1.3+KFC!$C$23)*KFC!$C$5</f>
        <v>845.72279999999989</v>
      </c>
      <c r="AG350" s="300">
        <f>(653.6*KFC!$B$23*1.02*1.3+KFC!$C$23)*KFC!$C$5</f>
        <v>866.67360000000008</v>
      </c>
      <c r="AH350" s="304">
        <f>(669.3*KFC!$B$23*1.02*1.3+KFC!$C$23)*KFC!$C$5</f>
        <v>887.4917999999999</v>
      </c>
    </row>
    <row r="351" spans="1:34">
      <c r="A351" s="1781"/>
      <c r="B351" s="395">
        <v>4.5999999999999996</v>
      </c>
      <c r="C351" s="303">
        <f>(183.2*KFC!$B$23*1.02*1.3+KFC!$C$23)*KFC!$C$5</f>
        <v>242.92320000000001</v>
      </c>
      <c r="D351" s="300">
        <f>(199.3*KFC!$B$23*1.02*1.3+KFC!$C$23)*KFC!$C$5</f>
        <v>264.27179999999998</v>
      </c>
      <c r="E351" s="300">
        <f>(215.4*KFC!$B$23*1.02*1.3+KFC!$C$23)*KFC!$C$5</f>
        <v>285.62040000000002</v>
      </c>
      <c r="F351" s="300">
        <f>(231.5*KFC!$B$23*1.02*1.3+KFC!$C$23)*KFC!$C$5</f>
        <v>306.96899999999999</v>
      </c>
      <c r="G351" s="300">
        <f>(247.5*KFC!$B$23*1.02*1.3+KFC!$C$23)*KFC!$C$5</f>
        <v>328.18500000000006</v>
      </c>
      <c r="H351" s="300">
        <f>(263.6*KFC!$B$23*1.02*1.3+KFC!$C$23)*KFC!$C$5</f>
        <v>349.53360000000004</v>
      </c>
      <c r="I351" s="300">
        <f>(279.7*KFC!$B$23*1.02*1.3+KFC!$C$23)*KFC!$C$5</f>
        <v>370.88220000000001</v>
      </c>
      <c r="J351" s="300">
        <f>(295.8*KFC!$B$23*1.02*1.3+KFC!$C$23)*KFC!$C$5</f>
        <v>392.23080000000004</v>
      </c>
      <c r="K351" s="300">
        <f>(311.9*KFC!$B$23*1.02*1.3+KFC!$C$23)*KFC!$C$5</f>
        <v>413.57939999999996</v>
      </c>
      <c r="L351" s="300">
        <f>(327.9*KFC!$B$23*1.02*1.3+KFC!$C$23)*KFC!$C$5</f>
        <v>434.79539999999997</v>
      </c>
      <c r="M351" s="300">
        <f>(344*KFC!$B$23*1.02*1.3+KFC!$C$23)*KFC!$C$5</f>
        <v>456.14400000000001</v>
      </c>
      <c r="N351" s="300">
        <f>(360.1*KFC!$B$23*1.02*1.3+KFC!$C$23)*KFC!$C$5</f>
        <v>477.49260000000004</v>
      </c>
      <c r="O351" s="300">
        <f>(376.2*KFC!$B$23*1.02*1.3+KFC!$C$23)*KFC!$C$5</f>
        <v>498.84120000000001</v>
      </c>
      <c r="P351" s="300">
        <f>(392.3*KFC!$B$23*1.02*1.3+KFC!$C$23)*KFC!$C$5</f>
        <v>520.18979999999999</v>
      </c>
      <c r="Q351" s="300">
        <f>(408.4*KFC!$B$23*1.02*1.3+KFC!$C$23)*KFC!$C$5</f>
        <v>541.53840000000002</v>
      </c>
      <c r="R351" s="300">
        <f>(424.4*KFC!$B$23*1.02*1.3+KFC!$C$23)*KFC!$C$5</f>
        <v>562.75440000000003</v>
      </c>
      <c r="S351" s="300">
        <f>(440.5*KFC!$B$23*1.02*1.3+KFC!$C$23)*KFC!$C$5</f>
        <v>584.10300000000007</v>
      </c>
      <c r="T351" s="300">
        <f>(456.6*KFC!$B$23*1.02*1.3+KFC!$C$23)*KFC!$C$5</f>
        <v>605.4516000000001</v>
      </c>
      <c r="U351" s="300">
        <f>(472.7*KFC!$B$23*1.02*1.3+KFC!$C$23)*KFC!$C$5</f>
        <v>626.80020000000002</v>
      </c>
      <c r="V351" s="300">
        <f>(488.8*KFC!$B$23*1.02*1.3+KFC!$C$23)*KFC!$C$5</f>
        <v>648.14880000000005</v>
      </c>
      <c r="W351" s="300">
        <f>(504.9*KFC!$B$23*1.02*1.3+KFC!$C$23)*KFC!$C$5</f>
        <v>669.49739999999997</v>
      </c>
      <c r="X351" s="300">
        <f>(520.9*KFC!$B$23*1.02*1.3+KFC!$C$23)*KFC!$C$5</f>
        <v>690.71339999999998</v>
      </c>
      <c r="Y351" s="300">
        <f>(537*KFC!$B$23*1.02*1.3+KFC!$C$23)*KFC!$C$5</f>
        <v>712.06200000000001</v>
      </c>
      <c r="Z351" s="300">
        <f>(553.1*KFC!$B$23*1.02*1.3+KFC!$C$23)*KFC!$C$5</f>
        <v>733.41060000000004</v>
      </c>
      <c r="AA351" s="300">
        <f>(569.2*KFC!$B$23*1.02*1.3+KFC!$C$23)*KFC!$C$5</f>
        <v>754.75920000000008</v>
      </c>
      <c r="AB351" s="300">
        <f>(585.3*KFC!$B$23*1.02*1.3+KFC!$C$23)*KFC!$C$5</f>
        <v>776.1078</v>
      </c>
      <c r="AC351" s="300">
        <f>(601.4*KFC!$B$23*1.02*1.3+KFC!$C$23)*KFC!$C$5</f>
        <v>797.45640000000003</v>
      </c>
      <c r="AD351" s="300">
        <f>(617.4*KFC!$B$23*1.02*1.3+KFC!$C$23)*KFC!$C$5</f>
        <v>818.67239999999993</v>
      </c>
      <c r="AE351" s="300">
        <f>(633.5*KFC!$B$23*1.02*1.3+KFC!$C$23)*KFC!$C$5</f>
        <v>840.02099999999996</v>
      </c>
      <c r="AF351" s="300">
        <f>(649.6*KFC!$B$23*1.02*1.3+KFC!$C$23)*KFC!$C$5</f>
        <v>861.36959999999999</v>
      </c>
      <c r="AG351" s="300">
        <f>(665.7*KFC!$B$23*1.02*1.3+KFC!$C$23)*KFC!$C$5</f>
        <v>882.71820000000002</v>
      </c>
      <c r="AH351" s="304">
        <f>(681.8*KFC!$B$23*1.02*1.3+KFC!$C$23)*KFC!$C$5</f>
        <v>904.06679999999994</v>
      </c>
    </row>
    <row r="352" spans="1:34">
      <c r="A352" s="1781"/>
      <c r="B352" s="395">
        <v>4.7</v>
      </c>
      <c r="C352" s="303">
        <f>(185.4*KFC!$B$23*1.02*1.3+KFC!$C$23)*KFC!$C$5</f>
        <v>245.84040000000002</v>
      </c>
      <c r="D352" s="300">
        <f>(201.8*KFC!$B$23*1.02*1.3+KFC!$C$23)*KFC!$C$5</f>
        <v>267.58680000000004</v>
      </c>
      <c r="E352" s="300">
        <f>(218.2*KFC!$B$23*1.02*1.3+KFC!$C$23)*KFC!$C$5</f>
        <v>289.33319999999998</v>
      </c>
      <c r="F352" s="300">
        <f>(234.6*KFC!$B$23*1.02*1.3+KFC!$C$23)*KFC!$C$5</f>
        <v>311.07960000000003</v>
      </c>
      <c r="G352" s="300">
        <f>(251.1*KFC!$B$23*1.02*1.3+KFC!$C$23)*KFC!$C$5</f>
        <v>332.95860000000005</v>
      </c>
      <c r="H352" s="300">
        <f>(267.5*KFC!$B$23*1.02*1.3+KFC!$C$23)*KFC!$C$5</f>
        <v>354.70500000000004</v>
      </c>
      <c r="I352" s="300">
        <f>(283.9*KFC!$B$23*1.02*1.3+KFC!$C$23)*KFC!$C$5</f>
        <v>376.45139999999998</v>
      </c>
      <c r="J352" s="300">
        <f>(300.3*KFC!$B$23*1.02*1.3+KFC!$C$23)*KFC!$C$5</f>
        <v>398.19780000000009</v>
      </c>
      <c r="K352" s="300">
        <f>(316.7*KFC!$B$23*1.02*1.3+KFC!$C$23)*KFC!$C$5</f>
        <v>419.94420000000002</v>
      </c>
      <c r="L352" s="300">
        <f>(333.1*KFC!$B$23*1.02*1.3+KFC!$C$23)*KFC!$C$5</f>
        <v>441.69060000000007</v>
      </c>
      <c r="M352" s="300">
        <f>(349.5*KFC!$B$23*1.02*1.3+KFC!$C$23)*KFC!$C$5</f>
        <v>463.43700000000001</v>
      </c>
      <c r="N352" s="300">
        <f>(366*KFC!$B$23*1.02*1.3+KFC!$C$23)*KFC!$C$5</f>
        <v>485.31600000000003</v>
      </c>
      <c r="O352" s="300">
        <f>(382.4*KFC!$B$23*1.02*1.3+KFC!$C$23)*KFC!$C$5</f>
        <v>507.06240000000003</v>
      </c>
      <c r="P352" s="300">
        <f>(398.8*KFC!$B$23*1.02*1.3+KFC!$C$23)*KFC!$C$5</f>
        <v>528.80880000000002</v>
      </c>
      <c r="Q352" s="300">
        <f>(415.2*KFC!$B$23*1.02*1.3+KFC!$C$23)*KFC!$C$5</f>
        <v>550.55520000000001</v>
      </c>
      <c r="R352" s="300">
        <f>(431.6*KFC!$B$23*1.02*1.3+KFC!$C$23)*KFC!$C$5</f>
        <v>572.30160000000001</v>
      </c>
      <c r="S352" s="300">
        <f>(448*KFC!$B$23*1.02*1.3+KFC!$C$23)*KFC!$C$5</f>
        <v>594.04800000000012</v>
      </c>
      <c r="T352" s="300">
        <f>(464.4*KFC!$B$23*1.02*1.3+KFC!$C$23)*KFC!$C$5</f>
        <v>615.7944</v>
      </c>
      <c r="U352" s="300">
        <f>(480.8*KFC!$B$23*1.02*1.3+KFC!$C$23)*KFC!$C$5</f>
        <v>637.54079999999999</v>
      </c>
      <c r="V352" s="300">
        <f>(497.3*KFC!$B$23*1.02*1.3+KFC!$C$23)*KFC!$C$5</f>
        <v>659.41980000000012</v>
      </c>
      <c r="W352" s="300">
        <f>(513.7*KFC!$B$23*1.02*1.3+KFC!$C$23)*KFC!$C$5</f>
        <v>681.16620000000012</v>
      </c>
      <c r="X352" s="300">
        <f>(530.1*KFC!$B$23*1.02*1.3+KFC!$C$23)*KFC!$C$5</f>
        <v>702.9126</v>
      </c>
      <c r="Y352" s="300">
        <f>(546.5*KFC!$B$23*1.02*1.3+KFC!$C$23)*KFC!$C$5</f>
        <v>724.65900000000011</v>
      </c>
      <c r="Z352" s="300">
        <f>(562.9*KFC!$B$23*1.02*1.3+KFC!$C$23)*KFC!$C$5</f>
        <v>746.4054000000001</v>
      </c>
      <c r="AA352" s="300">
        <f>(579.3*KFC!$B$23*1.02*1.3+KFC!$C$23)*KFC!$C$5</f>
        <v>768.15179999999998</v>
      </c>
      <c r="AB352" s="300">
        <f>(595.7*KFC!$B$23*1.02*1.3+KFC!$C$23)*KFC!$C$5</f>
        <v>789.89820000000009</v>
      </c>
      <c r="AC352" s="300">
        <f>(612.2*KFC!$B$23*1.02*1.3+KFC!$C$23)*KFC!$C$5</f>
        <v>811.77720000000011</v>
      </c>
      <c r="AD352" s="300">
        <f>(628.6*KFC!$B$23*1.02*1.3+KFC!$C$23)*KFC!$C$5</f>
        <v>833.5236000000001</v>
      </c>
      <c r="AE352" s="300">
        <f>(645*KFC!$B$23*1.02*1.3+KFC!$C$23)*KFC!$C$5</f>
        <v>855.27</v>
      </c>
      <c r="AF352" s="300">
        <f>(661.4*KFC!$B$23*1.02*1.3+KFC!$C$23)*KFC!$C$5</f>
        <v>877.01640000000009</v>
      </c>
      <c r="AG352" s="300">
        <f>(677.8*KFC!$B$23*1.02*1.3+KFC!$C$23)*KFC!$C$5</f>
        <v>898.76279999999997</v>
      </c>
      <c r="AH352" s="304">
        <f>(694.2*KFC!$B$23*1.02*1.3+KFC!$C$23)*KFC!$C$5</f>
        <v>920.50920000000008</v>
      </c>
    </row>
    <row r="353" spans="1:34">
      <c r="A353" s="1781"/>
      <c r="B353" s="395">
        <v>4.8</v>
      </c>
      <c r="C353" s="303">
        <f>(187.6*KFC!$B$23*1.02*1.3+KFC!$C$23)*KFC!$C$5</f>
        <v>248.75760000000002</v>
      </c>
      <c r="D353" s="300">
        <f>(204.4*KFC!$B$23*1.02*1.3+KFC!$C$23)*KFC!$C$5</f>
        <v>271.03440000000001</v>
      </c>
      <c r="E353" s="300">
        <f>(221.1*KFC!$B$23*1.02*1.3+KFC!$C$23)*KFC!$C$5</f>
        <v>293.17860000000002</v>
      </c>
      <c r="F353" s="300">
        <f>(237.8*KFC!$B$23*1.02*1.3+KFC!$C$23)*KFC!$C$5</f>
        <v>315.32280000000003</v>
      </c>
      <c r="G353" s="300">
        <f>(254.6*KFC!$B$23*1.02*1.3+KFC!$C$23)*KFC!$C$5</f>
        <v>337.59960000000001</v>
      </c>
      <c r="H353" s="300">
        <f>(271.3*KFC!$B$23*1.02*1.3+KFC!$C$23)*KFC!$C$5</f>
        <v>359.74380000000002</v>
      </c>
      <c r="I353" s="300">
        <f>(288.1*KFC!$B$23*1.02*1.3+KFC!$C$23)*KFC!$C$5</f>
        <v>382.02060000000006</v>
      </c>
      <c r="J353" s="300">
        <f>(304.8*KFC!$B$23*1.02*1.3+KFC!$C$23)*KFC!$C$5</f>
        <v>404.16480000000001</v>
      </c>
      <c r="K353" s="300">
        <f>(321.6*KFC!$B$23*1.02*1.3+KFC!$C$23)*KFC!$C$5</f>
        <v>426.44160000000005</v>
      </c>
      <c r="L353" s="300">
        <f>(338.3*KFC!$B$23*1.02*1.3+KFC!$C$23)*KFC!$C$5</f>
        <v>448.58580000000006</v>
      </c>
      <c r="M353" s="300">
        <f>(355*KFC!$B$23*1.02*1.3+KFC!$C$23)*KFC!$C$5</f>
        <v>470.73</v>
      </c>
      <c r="N353" s="300">
        <f>(371.8*KFC!$B$23*1.02*1.3+KFC!$C$23)*KFC!$C$5</f>
        <v>493.0068</v>
      </c>
      <c r="O353" s="300">
        <f>(388.5*KFC!$B$23*1.02*1.3+KFC!$C$23)*KFC!$C$5</f>
        <v>515.15099999999995</v>
      </c>
      <c r="P353" s="300">
        <f>(405.3*KFC!$B$23*1.02*1.3+KFC!$C$23)*KFC!$C$5</f>
        <v>537.42780000000005</v>
      </c>
      <c r="Q353" s="300">
        <f>(422*KFC!$B$23*1.02*1.3+KFC!$C$23)*KFC!$C$5</f>
        <v>559.572</v>
      </c>
      <c r="R353" s="300">
        <f>(438.8*KFC!$B$23*1.02*1.3+KFC!$C$23)*KFC!$C$5</f>
        <v>581.8488000000001</v>
      </c>
      <c r="S353" s="300">
        <f>(455.5*KFC!$B$23*1.02*1.3+KFC!$C$23)*KFC!$C$5</f>
        <v>603.99300000000005</v>
      </c>
      <c r="T353" s="300">
        <f>(472.3*KFC!$B$23*1.02*1.3+KFC!$C$23)*KFC!$C$5</f>
        <v>626.26980000000003</v>
      </c>
      <c r="U353" s="300">
        <f>(489*KFC!$B$23*1.02*1.3+KFC!$C$23)*KFC!$C$5</f>
        <v>648.4140000000001</v>
      </c>
      <c r="V353" s="300">
        <f>(505.7*KFC!$B$23*1.02*1.3+KFC!$C$23)*KFC!$C$5</f>
        <v>670.55819999999994</v>
      </c>
      <c r="W353" s="300">
        <f>(522.5*KFC!$B$23*1.02*1.3+KFC!$C$23)*KFC!$C$5</f>
        <v>692.83500000000004</v>
      </c>
      <c r="X353" s="300">
        <f>(539.2*KFC!$B$23*1.02*1.3+KFC!$C$23)*KFC!$C$5</f>
        <v>714.97920000000011</v>
      </c>
      <c r="Y353" s="300">
        <f>(556*KFC!$B$23*1.02*1.3+KFC!$C$23)*KFC!$C$5</f>
        <v>737.25600000000009</v>
      </c>
      <c r="Z353" s="300">
        <f>(572.7*KFC!$B$23*1.02*1.3+KFC!$C$23)*KFC!$C$5</f>
        <v>759.40020000000015</v>
      </c>
      <c r="AA353" s="300">
        <f>(589.5*KFC!$B$23*1.02*1.3+KFC!$C$23)*KFC!$C$5</f>
        <v>781.67700000000002</v>
      </c>
      <c r="AB353" s="300">
        <f>(606.2*KFC!$B$23*1.02*1.3+KFC!$C$23)*KFC!$C$5</f>
        <v>803.82120000000009</v>
      </c>
      <c r="AC353" s="300">
        <f>(623*KFC!$B$23*1.02*1.3+KFC!$C$23)*KFC!$C$5</f>
        <v>826.09800000000007</v>
      </c>
      <c r="AD353" s="300">
        <f>(639.7*KFC!$B$23*1.02*1.3+KFC!$C$23)*KFC!$C$5</f>
        <v>848.24220000000003</v>
      </c>
      <c r="AE353" s="300">
        <f>(656.4*KFC!$B$23*1.02*1.3+KFC!$C$23)*KFC!$C$5</f>
        <v>870.38640000000009</v>
      </c>
      <c r="AF353" s="300">
        <f>(673.2*KFC!$B$23*1.02*1.3+KFC!$C$23)*KFC!$C$5</f>
        <v>892.66320000000019</v>
      </c>
      <c r="AG353" s="300">
        <f>(689.9*KFC!$B$23*1.02*1.3+KFC!$C$23)*KFC!$C$5</f>
        <v>914.80740000000003</v>
      </c>
      <c r="AH353" s="304">
        <f>(706.7*KFC!$B$23*1.02*1.3+KFC!$C$23)*KFC!$C$5</f>
        <v>937.08420000000012</v>
      </c>
    </row>
    <row r="354" spans="1:34">
      <c r="A354" s="1781"/>
      <c r="B354" s="395">
        <v>4.9000000000000004</v>
      </c>
      <c r="C354" s="303">
        <f>(189.8*KFC!$B$23*1.02*1.3+KFC!$C$23)*KFC!$C$5</f>
        <v>251.6748</v>
      </c>
      <c r="D354" s="300">
        <f>(206.9*KFC!$B$23*1.02*1.3+KFC!$C$23)*KFC!$C$5</f>
        <v>274.3494</v>
      </c>
      <c r="E354" s="300">
        <f>(224*KFC!$B$23*1.02*1.3+KFC!$C$23)*KFC!$C$5</f>
        <v>297.02400000000006</v>
      </c>
      <c r="F354" s="300">
        <f>(241*KFC!$B$23*1.02*1.3+KFC!$C$23)*KFC!$C$5</f>
        <v>319.56599999999997</v>
      </c>
      <c r="G354" s="300">
        <f>(258.1*KFC!$B$23*1.02*1.3+KFC!$C$23)*KFC!$C$5</f>
        <v>342.24060000000003</v>
      </c>
      <c r="H354" s="300">
        <f>(275.2*KFC!$B$23*1.02*1.3+KFC!$C$23)*KFC!$C$5</f>
        <v>364.91520000000003</v>
      </c>
      <c r="I354" s="300">
        <f>(292.3*KFC!$B$23*1.02*1.3+KFC!$C$23)*KFC!$C$5</f>
        <v>387.58980000000003</v>
      </c>
      <c r="J354" s="300">
        <f>(309.3*KFC!$B$23*1.02*1.3+KFC!$C$23)*KFC!$C$5</f>
        <v>410.1318</v>
      </c>
      <c r="K354" s="300">
        <f>(326.4*KFC!$B$23*1.02*1.3+KFC!$C$23)*KFC!$C$5</f>
        <v>432.8064</v>
      </c>
      <c r="L354" s="300">
        <f>(343.5*KFC!$B$23*1.02*1.3+KFC!$C$23)*KFC!$C$5</f>
        <v>455.48099999999999</v>
      </c>
      <c r="M354" s="300">
        <f>(360.6*KFC!$B$23*1.02*1.3+KFC!$C$23)*KFC!$C$5</f>
        <v>478.15560000000005</v>
      </c>
      <c r="N354" s="300">
        <f>(377.6*KFC!$B$23*1.02*1.3+KFC!$C$23)*KFC!$C$5</f>
        <v>500.69760000000008</v>
      </c>
      <c r="O354" s="300">
        <f>(394.7*KFC!$B$23*1.02*1.3+KFC!$C$23)*KFC!$C$5</f>
        <v>523.37220000000002</v>
      </c>
      <c r="P354" s="300">
        <f>(411.8*KFC!$B$23*1.02*1.3+KFC!$C$23)*KFC!$C$5</f>
        <v>546.04680000000008</v>
      </c>
      <c r="Q354" s="300">
        <f>(428.9*KFC!$B$23*1.02*1.3+KFC!$C$23)*KFC!$C$5</f>
        <v>568.72140000000002</v>
      </c>
      <c r="R354" s="300">
        <f>(445.9*KFC!$B$23*1.02*1.3+KFC!$C$23)*KFC!$C$5</f>
        <v>591.26340000000005</v>
      </c>
      <c r="S354" s="300">
        <f>(463*KFC!$B$23*1.02*1.3+KFC!$C$23)*KFC!$C$5</f>
        <v>613.93799999999999</v>
      </c>
      <c r="T354" s="300">
        <f>(480.1*KFC!$B$23*1.02*1.3+KFC!$C$23)*KFC!$C$5</f>
        <v>636.61260000000004</v>
      </c>
      <c r="U354" s="300">
        <f>(497.2*KFC!$B$23*1.02*1.3+KFC!$C$23)*KFC!$C$5</f>
        <v>659.28719999999998</v>
      </c>
      <c r="V354" s="300">
        <f>(514.2*KFC!$B$23*1.02*1.3+KFC!$C$23)*KFC!$C$5</f>
        <v>681.82920000000013</v>
      </c>
      <c r="W354" s="300">
        <f>(531.3*KFC!$B$23*1.02*1.3+KFC!$C$23)*KFC!$C$5</f>
        <v>704.50379999999996</v>
      </c>
      <c r="X354" s="300">
        <f>(548.4*KFC!$B$23*1.02*1.3+KFC!$C$23)*KFC!$C$5</f>
        <v>727.1783999999999</v>
      </c>
      <c r="Y354" s="300">
        <f>(565.5*KFC!$B$23*1.02*1.3+KFC!$C$23)*KFC!$C$5</f>
        <v>749.85300000000007</v>
      </c>
      <c r="Z354" s="300">
        <f>(582.5*KFC!$B$23*1.02*1.3+KFC!$C$23)*KFC!$C$5</f>
        <v>772.39499999999998</v>
      </c>
      <c r="AA354" s="300">
        <f>(599.6*KFC!$B$23*1.02*1.3+KFC!$C$23)*KFC!$C$5</f>
        <v>795.06960000000004</v>
      </c>
      <c r="AB354" s="300">
        <f>(616.7*KFC!$B$23*1.02*1.3+KFC!$C$23)*KFC!$C$5</f>
        <v>817.74420000000021</v>
      </c>
      <c r="AC354" s="300">
        <f>(633.8*KFC!$B$23*1.02*1.3+KFC!$C$23)*KFC!$C$5</f>
        <v>840.41880000000003</v>
      </c>
      <c r="AD354" s="300">
        <f>(650.8*KFC!$B$23*1.02*1.3+KFC!$C$23)*KFC!$C$5</f>
        <v>862.96079999999995</v>
      </c>
      <c r="AE354" s="300">
        <f>(667.9*KFC!$B$23*1.02*1.3+KFC!$C$23)*KFC!$C$5</f>
        <v>885.63540000000012</v>
      </c>
      <c r="AF354" s="300">
        <f>(685*KFC!$B$23*1.02*1.3+KFC!$C$23)*KFC!$C$5</f>
        <v>908.31000000000006</v>
      </c>
      <c r="AG354" s="300">
        <f>(702*KFC!$B$23*1.02*1.3+KFC!$C$23)*KFC!$C$5</f>
        <v>930.85199999999998</v>
      </c>
      <c r="AH354" s="304">
        <f>(719.1*KFC!$B$23*1.02*1.3+KFC!$C$23)*KFC!$C$5</f>
        <v>953.52660000000014</v>
      </c>
    </row>
    <row r="355" spans="1:34">
      <c r="A355" s="1781"/>
      <c r="B355" s="395">
        <v>5</v>
      </c>
      <c r="C355" s="303">
        <f>(192*KFC!$B$23*1.02*1.3+KFC!$C$23)*KFC!$C$5</f>
        <v>254.59200000000001</v>
      </c>
      <c r="D355" s="300">
        <f>(209.4*KFC!$B$23*1.02*1.3+KFC!$C$23)*KFC!$C$5</f>
        <v>277.66440000000006</v>
      </c>
      <c r="E355" s="300">
        <f>(226.8*KFC!$B$23*1.02*1.3+KFC!$C$23)*KFC!$C$5</f>
        <v>300.73680000000002</v>
      </c>
      <c r="F355" s="300">
        <f>(244.2*KFC!$B$23*1.02*1.3+KFC!$C$23)*KFC!$C$5</f>
        <v>323.80920000000003</v>
      </c>
      <c r="G355" s="300">
        <f>(261.6*KFC!$B$23*1.02*1.3+KFC!$C$23)*KFC!$C$5</f>
        <v>346.88160000000011</v>
      </c>
      <c r="H355" s="300">
        <f>(279*KFC!$B$23*1.02*1.3+KFC!$C$23)*KFC!$C$5</f>
        <v>369.95400000000001</v>
      </c>
      <c r="I355" s="300">
        <f>(296.4*KFC!$B$23*1.02*1.3+KFC!$C$23)*KFC!$C$5</f>
        <v>393.02639999999997</v>
      </c>
      <c r="J355" s="300">
        <f>(313.8*KFC!$B$23*1.02*1.3+KFC!$C$23)*KFC!$C$5</f>
        <v>416.09880000000004</v>
      </c>
      <c r="K355" s="300">
        <f>(331.3*KFC!$B$23*1.02*1.3+KFC!$C$23)*KFC!$C$5</f>
        <v>439.30380000000008</v>
      </c>
      <c r="L355" s="300">
        <f>(348.7*KFC!$B$23*1.02*1.3+KFC!$C$23)*KFC!$C$5</f>
        <v>462.37619999999998</v>
      </c>
      <c r="M355" s="300">
        <f>(366.1*KFC!$B$23*1.02*1.3+KFC!$C$23)*KFC!$C$5</f>
        <v>485.44860000000006</v>
      </c>
      <c r="N355" s="300">
        <f>(383.5*KFC!$B$23*1.02*1.3+KFC!$C$23)*KFC!$C$5</f>
        <v>508.52100000000002</v>
      </c>
      <c r="O355" s="300">
        <f>(400.9*KFC!$B$23*1.02*1.3+KFC!$C$23)*KFC!$C$5</f>
        <v>531.59339999999997</v>
      </c>
      <c r="P355" s="300">
        <f>(418.3*KFC!$B$23*1.02*1.3+KFC!$C$23)*KFC!$C$5</f>
        <v>554.66579999999999</v>
      </c>
      <c r="Q355" s="300">
        <f>(435.7*KFC!$B$23*1.02*1.3+KFC!$C$23)*KFC!$C$5</f>
        <v>577.73820000000001</v>
      </c>
      <c r="R355" s="300">
        <f>(453.1*KFC!$B$23*1.02*1.3+KFC!$C$23)*KFC!$C$5</f>
        <v>600.81060000000002</v>
      </c>
      <c r="S355" s="300">
        <f>(470.5*KFC!$B$23*1.02*1.3+KFC!$C$23)*KFC!$C$5</f>
        <v>623.88300000000004</v>
      </c>
      <c r="T355" s="300">
        <f>(487.9*KFC!$B$23*1.02*1.3+KFC!$C$23)*KFC!$C$5</f>
        <v>646.95539999999994</v>
      </c>
      <c r="U355" s="300">
        <f>(505.3*KFC!$B$23*1.02*1.3+KFC!$C$23)*KFC!$C$5</f>
        <v>670.02780000000007</v>
      </c>
      <c r="V355" s="300">
        <f>(522.7*KFC!$B$23*1.02*1.3+KFC!$C$23)*KFC!$C$5</f>
        <v>693.1002000000002</v>
      </c>
      <c r="W355" s="300">
        <f>(540.1*KFC!$B$23*1.02*1.3+KFC!$C$23)*KFC!$C$5</f>
        <v>716.1726000000001</v>
      </c>
      <c r="X355" s="300">
        <f>(557.5*KFC!$B$23*1.02*1.3+KFC!$C$23)*KFC!$C$5</f>
        <v>739.245</v>
      </c>
      <c r="Y355" s="300">
        <f>(574.9*KFC!$B$23*1.02*1.3+KFC!$C$23)*KFC!$C$5</f>
        <v>762.31740000000002</v>
      </c>
      <c r="Z355" s="300">
        <f>(592.3*KFC!$B$23*1.02*1.3+KFC!$C$23)*KFC!$C$5</f>
        <v>785.38979999999992</v>
      </c>
      <c r="AA355" s="300">
        <f>(609.7*KFC!$B$23*1.02*1.3+KFC!$C$23)*KFC!$C$5</f>
        <v>808.46220000000005</v>
      </c>
      <c r="AB355" s="300">
        <f>(627.1*KFC!$B$23*1.02*1.3+KFC!$C$23)*KFC!$C$5</f>
        <v>831.53460000000007</v>
      </c>
      <c r="AC355" s="300">
        <f>(644.5*KFC!$B$23*1.02*1.3+KFC!$C$23)*KFC!$C$5</f>
        <v>854.60699999999997</v>
      </c>
      <c r="AD355" s="300">
        <f>(662*KFC!$B$23*1.02*1.3+KFC!$C$23)*KFC!$C$5</f>
        <v>877.81200000000001</v>
      </c>
      <c r="AE355" s="300">
        <f>(679.4*KFC!$B$23*1.02*1.3+KFC!$C$23)*KFC!$C$5</f>
        <v>900.88439999999991</v>
      </c>
      <c r="AF355" s="300">
        <f>(696.8*KFC!$B$23*1.02*1.3+KFC!$C$23)*KFC!$C$5</f>
        <v>923.95680000000004</v>
      </c>
      <c r="AG355" s="300">
        <f>(714.2*KFC!$B$23*1.02*1.3+KFC!$C$23)*KFC!$C$5</f>
        <v>947.02920000000006</v>
      </c>
      <c r="AH355" s="304">
        <f>(731.6*KFC!$B$23*1.02*1.3+KFC!$C$23)*KFC!$C$5</f>
        <v>970.10160000000019</v>
      </c>
    </row>
    <row r="356" spans="1:34">
      <c r="A356" s="1781"/>
      <c r="B356" s="395">
        <v>5.0999999999999996</v>
      </c>
      <c r="C356" s="303">
        <f>(194.2*KFC!$B$23*1.02*1.3+KFC!$C$23)*KFC!$C$5</f>
        <v>257.50920000000002</v>
      </c>
      <c r="D356" s="300">
        <f>(211.9*KFC!$B$23*1.02*1.3+KFC!$C$23)*KFC!$C$5</f>
        <v>280.9794</v>
      </c>
      <c r="E356" s="300">
        <f>(229.7*KFC!$B$23*1.02*1.3+KFC!$C$23)*KFC!$C$5</f>
        <v>304.5822</v>
      </c>
      <c r="F356" s="300">
        <f>(247.4*KFC!$B$23*1.02*1.3+KFC!$C$23)*KFC!$C$5</f>
        <v>328.05240000000003</v>
      </c>
      <c r="G356" s="300">
        <f>(265.2*KFC!$B$23*1.02*1.3+KFC!$C$23)*KFC!$C$5</f>
        <v>351.65520000000004</v>
      </c>
      <c r="H356" s="300">
        <f>(282.9*KFC!$B$23*1.02*1.3+KFC!$C$23)*KFC!$C$5</f>
        <v>375.12540000000001</v>
      </c>
      <c r="I356" s="300">
        <f>(300.6*KFC!$B$23*1.02*1.3+KFC!$C$23)*KFC!$C$5</f>
        <v>398.59560000000005</v>
      </c>
      <c r="J356" s="300">
        <f>(318.4*KFC!$B$23*1.02*1.3+KFC!$C$23)*KFC!$C$5</f>
        <v>422.19839999999999</v>
      </c>
      <c r="K356" s="300">
        <f>(336.1*KFC!$B$23*1.02*1.3+KFC!$C$23)*KFC!$C$5</f>
        <v>445.66860000000003</v>
      </c>
      <c r="L356" s="300">
        <f>(353.8*KFC!$B$23*1.02*1.3+KFC!$C$23)*KFC!$C$5</f>
        <v>469.13880000000006</v>
      </c>
      <c r="M356" s="300">
        <f>(371.6*KFC!$B$23*1.02*1.3+KFC!$C$23)*KFC!$C$5</f>
        <v>492.74160000000006</v>
      </c>
      <c r="N356" s="300">
        <f>(389.3*KFC!$B$23*1.02*1.3+KFC!$C$23)*KFC!$C$5</f>
        <v>516.21180000000004</v>
      </c>
      <c r="O356" s="300">
        <f>(407*KFC!$B$23*1.02*1.3+KFC!$C$23)*KFC!$C$5</f>
        <v>539.68200000000002</v>
      </c>
      <c r="P356" s="300">
        <f>(424.8*KFC!$B$23*1.02*1.3+KFC!$C$23)*KFC!$C$5</f>
        <v>563.28480000000002</v>
      </c>
      <c r="Q356" s="300">
        <f>(442.5*KFC!$B$23*1.02*1.3+KFC!$C$23)*KFC!$C$5</f>
        <v>586.755</v>
      </c>
      <c r="R356" s="300">
        <f>(460.3*KFC!$B$23*1.02*1.3+KFC!$C$23)*KFC!$C$5</f>
        <v>610.35780000000011</v>
      </c>
      <c r="S356" s="300">
        <f>(478*KFC!$B$23*1.02*1.3+KFC!$C$23)*KFC!$C$5</f>
        <v>633.82799999999997</v>
      </c>
      <c r="T356" s="300">
        <f>(495.7*KFC!$B$23*1.02*1.3+KFC!$C$23)*KFC!$C$5</f>
        <v>657.29819999999995</v>
      </c>
      <c r="U356" s="300">
        <f>(513.5*KFC!$B$23*1.02*1.3+KFC!$C$23)*KFC!$C$5</f>
        <v>680.90099999999995</v>
      </c>
      <c r="V356" s="300">
        <f>(531.2*KFC!$B$23*1.02*1.3+KFC!$C$23)*KFC!$C$5</f>
        <v>704.37120000000016</v>
      </c>
      <c r="W356" s="300">
        <f>(548.9*KFC!$B$23*1.02*1.3+KFC!$C$23)*KFC!$C$5</f>
        <v>727.84140000000014</v>
      </c>
      <c r="X356" s="300">
        <f>(566.7*KFC!$B$23*1.02*1.3+KFC!$C$23)*KFC!$C$5</f>
        <v>751.44420000000014</v>
      </c>
      <c r="Y356" s="300">
        <f>(584.4*KFC!$B$23*1.02*1.3+KFC!$C$23)*KFC!$C$5</f>
        <v>774.9144</v>
      </c>
      <c r="Z356" s="300">
        <f>(602.1*KFC!$B$23*1.02*1.3+KFC!$C$23)*KFC!$C$5</f>
        <v>798.38460000000009</v>
      </c>
      <c r="AA356" s="300">
        <f>(619.9*KFC!$B$23*1.02*1.3+KFC!$C$23)*KFC!$C$5</f>
        <v>821.98739999999998</v>
      </c>
      <c r="AB356" s="300">
        <f>(637.6*KFC!$B$23*1.02*1.3+KFC!$C$23)*KFC!$C$5</f>
        <v>845.45760000000018</v>
      </c>
      <c r="AC356" s="300">
        <f>(655.3*KFC!$B$23*1.02*1.3+KFC!$C$23)*KFC!$C$5</f>
        <v>868.92779999999993</v>
      </c>
      <c r="AD356" s="300">
        <f>(673.1*KFC!$B$23*1.02*1.3+KFC!$C$23)*KFC!$C$5</f>
        <v>892.53060000000005</v>
      </c>
      <c r="AE356" s="300">
        <f>(690.8*KFC!$B$23*1.02*1.3+KFC!$C$23)*KFC!$C$5</f>
        <v>916.00080000000003</v>
      </c>
      <c r="AF356" s="300">
        <f>(708.6*KFC!$B$23*1.02*1.3+KFC!$C$23)*KFC!$C$5</f>
        <v>939.60360000000014</v>
      </c>
      <c r="AG356" s="300">
        <f>(726.3*KFC!$B$23*1.02*1.3+KFC!$C$23)*KFC!$C$5</f>
        <v>963.07380000000001</v>
      </c>
      <c r="AH356" s="304">
        <f>(744*KFC!$B$23*1.02*1.3+KFC!$C$23)*KFC!$C$5</f>
        <v>986.54399999999998</v>
      </c>
    </row>
    <row r="357" spans="1:34">
      <c r="A357" s="1781"/>
      <c r="B357" s="395">
        <v>5.2</v>
      </c>
      <c r="C357" s="303">
        <f>(196.4*KFC!$B$23*1.02*1.3+KFC!$C$23)*KFC!$C$5</f>
        <v>260.4264</v>
      </c>
      <c r="D357" s="300">
        <f>(214.5*KFC!$B$23*1.02*1.3+KFC!$C$23)*KFC!$C$5</f>
        <v>284.42700000000002</v>
      </c>
      <c r="E357" s="300">
        <f>(232.5*KFC!$B$23*1.02*1.3+KFC!$C$23)*KFC!$C$5</f>
        <v>308.29500000000002</v>
      </c>
      <c r="F357" s="300">
        <f>(250.6*KFC!$B$23*1.02*1.3+KFC!$C$23)*KFC!$C$5</f>
        <v>332.29559999999998</v>
      </c>
      <c r="G357" s="300">
        <f>(268.7*KFC!$B$23*1.02*1.3+KFC!$C$23)*KFC!$C$5</f>
        <v>356.29620000000006</v>
      </c>
      <c r="H357" s="300">
        <f>(286.7*KFC!$B$23*1.02*1.3+KFC!$C$23)*KFC!$C$5</f>
        <v>380.16419999999999</v>
      </c>
      <c r="I357" s="300">
        <f>(304.8*KFC!$B$23*1.02*1.3+KFC!$C$23)*KFC!$C$5</f>
        <v>404.16480000000001</v>
      </c>
      <c r="J357" s="300">
        <f>(322.9*KFC!$B$23*1.02*1.3+KFC!$C$23)*KFC!$C$5</f>
        <v>428.16540000000003</v>
      </c>
      <c r="K357" s="300">
        <f>(340.9*KFC!$B$23*1.02*1.3+KFC!$C$23)*KFC!$C$5</f>
        <v>452.03339999999997</v>
      </c>
      <c r="L357" s="300">
        <f>(359*KFC!$B$23*1.02*1.3+KFC!$C$23)*KFC!$C$5</f>
        <v>476.03400000000005</v>
      </c>
      <c r="M357" s="300">
        <f>(377.1*KFC!$B$23*1.02*1.3+KFC!$C$23)*KFC!$C$5</f>
        <v>500.03460000000007</v>
      </c>
      <c r="N357" s="300">
        <f>(395.1*KFC!$B$23*1.02*1.3+KFC!$C$23)*KFC!$C$5</f>
        <v>523.90260000000001</v>
      </c>
      <c r="O357" s="300">
        <f>(413.2*KFC!$B$23*1.02*1.3+KFC!$C$23)*KFC!$C$5</f>
        <v>547.90319999999997</v>
      </c>
      <c r="P357" s="300">
        <f>(431.3*KFC!$B$23*1.02*1.3+KFC!$C$23)*KFC!$C$5</f>
        <v>571.90380000000005</v>
      </c>
      <c r="Q357" s="300">
        <f>(449.3*KFC!$B$23*1.02*1.3+KFC!$C$23)*KFC!$C$5</f>
        <v>595.77179999999998</v>
      </c>
      <c r="R357" s="300">
        <f>(467.4*KFC!$B$23*1.02*1.3+KFC!$C$23)*KFC!$C$5</f>
        <v>619.77240000000006</v>
      </c>
      <c r="S357" s="300">
        <f>(485.5*KFC!$B$23*1.02*1.3+KFC!$C$23)*KFC!$C$5</f>
        <v>643.77300000000002</v>
      </c>
      <c r="T357" s="300">
        <f>(503.5*KFC!$B$23*1.02*1.3+KFC!$C$23)*KFC!$C$5</f>
        <v>667.64100000000008</v>
      </c>
      <c r="U357" s="300">
        <f>(521.6*KFC!$B$23*1.02*1.3+KFC!$C$23)*KFC!$C$5</f>
        <v>691.64160000000004</v>
      </c>
      <c r="V357" s="300">
        <f>(539.7*KFC!$B$23*1.02*1.3+KFC!$C$23)*KFC!$C$5</f>
        <v>715.64220000000012</v>
      </c>
      <c r="W357" s="300">
        <f>(557.7*KFC!$B$23*1.02*1.3+KFC!$C$23)*KFC!$C$5</f>
        <v>739.51020000000005</v>
      </c>
      <c r="X357" s="300">
        <f>(575.8*KFC!$B$23*1.02*1.3+KFC!$C$23)*KFC!$C$5</f>
        <v>763.5107999999999</v>
      </c>
      <c r="Y357" s="300">
        <f>(593.9*KFC!$B$23*1.02*1.3+KFC!$C$23)*KFC!$C$5</f>
        <v>787.51140000000009</v>
      </c>
      <c r="Z357" s="300">
        <f>(611.9*KFC!$B$23*1.02*1.3+KFC!$C$23)*KFC!$C$5</f>
        <v>811.37940000000003</v>
      </c>
      <c r="AA357" s="300">
        <f>(630*KFC!$B$23*1.02*1.3+KFC!$C$23)*KFC!$C$5</f>
        <v>835.38000000000011</v>
      </c>
      <c r="AB357" s="300">
        <f>(648.1*KFC!$B$23*1.02*1.3+KFC!$C$23)*KFC!$C$5</f>
        <v>859.38060000000007</v>
      </c>
      <c r="AC357" s="300">
        <f>(666.1*KFC!$B$23*1.02*1.3+KFC!$C$23)*KFC!$C$5</f>
        <v>883.24860000000001</v>
      </c>
      <c r="AD357" s="300">
        <f>(684.2*KFC!$B$23*1.02*1.3+KFC!$C$23)*KFC!$C$5</f>
        <v>907.24920000000009</v>
      </c>
      <c r="AE357" s="300">
        <f>(702.3*KFC!$B$23*1.02*1.3+KFC!$C$23)*KFC!$C$5</f>
        <v>931.24980000000005</v>
      </c>
      <c r="AF357" s="300">
        <f>(720.3*KFC!$B$23*1.02*1.3+KFC!$C$23)*KFC!$C$5</f>
        <v>955.1178000000001</v>
      </c>
      <c r="AG357" s="300">
        <f>(738.4*KFC!$B$23*1.02*1.3+KFC!$C$23)*KFC!$C$5</f>
        <v>979.11840000000007</v>
      </c>
      <c r="AH357" s="304">
        <f>(756.5*KFC!$B$23*1.02*1.3+KFC!$C$23)*KFC!$C$5</f>
        <v>1003.119</v>
      </c>
    </row>
    <row r="358" spans="1:34">
      <c r="A358" s="1781"/>
      <c r="B358" s="395">
        <v>5.3</v>
      </c>
      <c r="C358" s="303">
        <f>(198.6*KFC!$B$23*1.02*1.3+KFC!$C$23)*KFC!$C$5</f>
        <v>263.34360000000004</v>
      </c>
      <c r="D358" s="300">
        <f>(217*KFC!$B$23*1.02*1.3+KFC!$C$23)*KFC!$C$5</f>
        <v>287.74200000000002</v>
      </c>
      <c r="E358" s="300">
        <f>(235.4*KFC!$B$23*1.02*1.3+KFC!$C$23)*KFC!$C$5</f>
        <v>312.1404</v>
      </c>
      <c r="F358" s="300">
        <f>(253.8*KFC!$B$23*1.02*1.3+KFC!$C$23)*KFC!$C$5</f>
        <v>336.53880000000004</v>
      </c>
      <c r="G358" s="300">
        <f>(272.2*KFC!$B$23*1.02*1.3+KFC!$C$23)*KFC!$C$5</f>
        <v>360.93720000000002</v>
      </c>
      <c r="H358" s="300">
        <f>(290.6*KFC!$B$23*1.02*1.3+KFC!$C$23)*KFC!$C$5</f>
        <v>385.33560000000006</v>
      </c>
      <c r="I358" s="300">
        <f>(309*KFC!$B$23*1.02*1.3+KFC!$C$23)*KFC!$C$5</f>
        <v>409.73400000000004</v>
      </c>
      <c r="J358" s="300">
        <f>(327.4*KFC!$B$23*1.02*1.3+KFC!$C$23)*KFC!$C$5</f>
        <v>434.13239999999996</v>
      </c>
      <c r="K358" s="300">
        <f>(345.8*KFC!$B$23*1.02*1.3+KFC!$C$23)*KFC!$C$5</f>
        <v>458.5308</v>
      </c>
      <c r="L358" s="300">
        <f>(364.2*KFC!$B$23*1.02*1.3+KFC!$C$23)*KFC!$C$5</f>
        <v>482.92919999999998</v>
      </c>
      <c r="M358" s="300">
        <f>(382.6*KFC!$B$23*1.02*1.3+KFC!$C$23)*KFC!$C$5</f>
        <v>507.32760000000002</v>
      </c>
      <c r="N358" s="300">
        <f>(401*KFC!$B$23*1.02*1.3+KFC!$C$23)*KFC!$C$5</f>
        <v>531.726</v>
      </c>
      <c r="O358" s="300">
        <f>(419.4*KFC!$B$23*1.02*1.3+KFC!$C$23)*KFC!$C$5</f>
        <v>556.12440000000004</v>
      </c>
      <c r="P358" s="300">
        <f>(437.8*KFC!$B$23*1.02*1.3+KFC!$C$23)*KFC!$C$5</f>
        <v>580.52280000000007</v>
      </c>
      <c r="Q358" s="300">
        <f>(456.2*KFC!$B$23*1.02*1.3+KFC!$C$23)*KFC!$C$5</f>
        <v>604.9212</v>
      </c>
      <c r="R358" s="300">
        <f>(474.6*KFC!$B$23*1.02*1.3+KFC!$C$23)*KFC!$C$5</f>
        <v>629.31960000000004</v>
      </c>
      <c r="S358" s="300">
        <f>(493*KFC!$B$23*1.02*1.3+KFC!$C$23)*KFC!$C$5</f>
        <v>653.71800000000007</v>
      </c>
      <c r="T358" s="300">
        <f>(511.4*KFC!$B$23*1.02*1.3+KFC!$C$23)*KFC!$C$5</f>
        <v>678.11639999999989</v>
      </c>
      <c r="U358" s="300">
        <f>(529.8*KFC!$B$23*1.02*1.3+KFC!$C$23)*KFC!$C$5</f>
        <v>702.51479999999992</v>
      </c>
      <c r="V358" s="300">
        <f>(548.2*KFC!$B$23*1.02*1.3+KFC!$C$23)*KFC!$C$5</f>
        <v>726.91320000000019</v>
      </c>
      <c r="W358" s="300">
        <f>(566.6*KFC!$B$23*1.02*1.3+KFC!$C$23)*KFC!$C$5</f>
        <v>751.3116</v>
      </c>
      <c r="X358" s="300">
        <f>(585*KFC!$B$23*1.02*1.3+KFC!$C$23)*KFC!$C$5</f>
        <v>775.71</v>
      </c>
      <c r="Y358" s="300">
        <f>(603.4*KFC!$B$23*1.02*1.3+KFC!$C$23)*KFC!$C$5</f>
        <v>800.10839999999996</v>
      </c>
      <c r="Z358" s="300">
        <f>(621.8*KFC!$B$23*1.02*1.3+KFC!$C$23)*KFC!$C$5</f>
        <v>824.5068</v>
      </c>
      <c r="AA358" s="300">
        <f>(640.2*KFC!$B$23*1.02*1.3+KFC!$C$23)*KFC!$C$5</f>
        <v>848.90520000000004</v>
      </c>
      <c r="AB358" s="300">
        <f>(658.5*KFC!$B$23*1.02*1.3+KFC!$C$23)*KFC!$C$5</f>
        <v>873.17099999999994</v>
      </c>
      <c r="AC358" s="300">
        <f>(676.9*KFC!$B$23*1.02*1.3+KFC!$C$23)*KFC!$C$5</f>
        <v>897.56939999999997</v>
      </c>
      <c r="AD358" s="300">
        <f>(695.3*KFC!$B$23*1.02*1.3+KFC!$C$23)*KFC!$C$5</f>
        <v>921.96780000000001</v>
      </c>
      <c r="AE358" s="300">
        <f>(713.7*KFC!$B$23*1.02*1.3+KFC!$C$23)*KFC!$C$5</f>
        <v>946.36620000000005</v>
      </c>
      <c r="AF358" s="300">
        <f>(732.1*KFC!$B$23*1.02*1.3+KFC!$C$23)*KFC!$C$5</f>
        <v>970.76460000000009</v>
      </c>
      <c r="AG358" s="300">
        <f>(750.5*KFC!$B$23*1.02*1.3+KFC!$C$23)*KFC!$C$5</f>
        <v>995.16300000000001</v>
      </c>
      <c r="AH358" s="304">
        <f>(768.9*KFC!$B$23*1.02*1.3+KFC!$C$23)*KFC!$C$5</f>
        <v>1019.5614</v>
      </c>
    </row>
    <row r="359" spans="1:34">
      <c r="A359" s="1781"/>
      <c r="B359" s="395">
        <v>5.4</v>
      </c>
      <c r="C359" s="303">
        <f>(200.8*KFC!$B$23*1.02*1.3+KFC!$C$23)*KFC!$C$5</f>
        <v>266.26080000000002</v>
      </c>
      <c r="D359" s="300">
        <f>(219.5*KFC!$B$23*1.02*1.3+KFC!$C$23)*KFC!$C$5</f>
        <v>291.05700000000002</v>
      </c>
      <c r="E359" s="300">
        <f>(238.3*KFC!$B$23*1.02*1.3+KFC!$C$23)*KFC!$C$5</f>
        <v>315.98580000000004</v>
      </c>
      <c r="F359" s="300">
        <f>(257*KFC!$B$23*1.02*1.3+KFC!$C$23)*KFC!$C$5</f>
        <v>340.78199999999998</v>
      </c>
      <c r="G359" s="300">
        <f>(275.7*KFC!$B$23*1.02*1.3+KFC!$C$23)*KFC!$C$5</f>
        <v>365.57820000000004</v>
      </c>
      <c r="H359" s="300">
        <f>(294.5*KFC!$B$23*1.02*1.3+KFC!$C$23)*KFC!$C$5</f>
        <v>390.50700000000001</v>
      </c>
      <c r="I359" s="300">
        <f>(313.2*KFC!$B$23*1.02*1.3+KFC!$C$23)*KFC!$C$5</f>
        <v>415.3032</v>
      </c>
      <c r="J359" s="300">
        <f>(331.9*KFC!$B$23*1.02*1.3+KFC!$C$23)*KFC!$C$5</f>
        <v>440.0994</v>
      </c>
      <c r="K359" s="300">
        <f>(350.6*KFC!$B$23*1.02*1.3+KFC!$C$23)*KFC!$C$5</f>
        <v>464.89560000000006</v>
      </c>
      <c r="L359" s="300">
        <f>(369.4*KFC!$B$23*1.02*1.3+KFC!$C$23)*KFC!$C$5</f>
        <v>489.82440000000003</v>
      </c>
      <c r="M359" s="300">
        <f>(388.1*KFC!$B$23*1.02*1.3+KFC!$C$23)*KFC!$C$5</f>
        <v>514.62060000000008</v>
      </c>
      <c r="N359" s="300">
        <f>(406.8*KFC!$B$23*1.02*1.3+KFC!$C$23)*KFC!$C$5</f>
        <v>539.41680000000008</v>
      </c>
      <c r="O359" s="300">
        <f>(425.6*KFC!$B$23*1.02*1.3+KFC!$C$23)*KFC!$C$5</f>
        <v>564.3456000000001</v>
      </c>
      <c r="P359" s="300">
        <f>(444.3*KFC!$B$23*1.02*1.3+KFC!$C$23)*KFC!$C$5</f>
        <v>589.1418000000001</v>
      </c>
      <c r="Q359" s="300">
        <f>(463*KFC!$B$23*1.02*1.3+KFC!$C$23)*KFC!$C$5</f>
        <v>613.93799999999999</v>
      </c>
      <c r="R359" s="300">
        <f>(481.7*KFC!$B$23*1.02*1.3+KFC!$C$23)*KFC!$C$5</f>
        <v>638.73419999999999</v>
      </c>
      <c r="S359" s="300">
        <f>(500.5*KFC!$B$23*1.02*1.3+KFC!$C$23)*KFC!$C$5</f>
        <v>663.66300000000001</v>
      </c>
      <c r="T359" s="300">
        <f>(519.2*KFC!$B$23*1.02*1.3+KFC!$C$23)*KFC!$C$5</f>
        <v>688.45920000000012</v>
      </c>
      <c r="U359" s="300">
        <f>(537.9*KFC!$B$23*1.02*1.3+KFC!$C$23)*KFC!$C$5</f>
        <v>713.25540000000001</v>
      </c>
      <c r="V359" s="300">
        <f>(556.6*KFC!$B$23*1.02*1.3+KFC!$C$23)*KFC!$C$5</f>
        <v>738.05160000000012</v>
      </c>
      <c r="W359" s="300">
        <f>(575.4*KFC!$B$23*1.02*1.3+KFC!$C$23)*KFC!$C$5</f>
        <v>762.98040000000003</v>
      </c>
      <c r="X359" s="300">
        <f>(594.1*KFC!$B$23*1.02*1.3+KFC!$C$23)*KFC!$C$5</f>
        <v>787.77660000000014</v>
      </c>
      <c r="Y359" s="300">
        <f>(612.8*KFC!$B$23*1.02*1.3+KFC!$C$23)*KFC!$C$5</f>
        <v>812.57279999999992</v>
      </c>
      <c r="Z359" s="300">
        <f>(631.6*KFC!$B$23*1.02*1.3+KFC!$C$23)*KFC!$C$5</f>
        <v>837.50160000000017</v>
      </c>
      <c r="AA359" s="300">
        <f>(650.3*KFC!$B$23*1.02*1.3+KFC!$C$23)*KFC!$C$5</f>
        <v>862.29779999999994</v>
      </c>
      <c r="AB359" s="300">
        <f>(669*KFC!$B$23*1.02*1.3+KFC!$C$23)*KFC!$C$5</f>
        <v>887.09400000000005</v>
      </c>
      <c r="AC359" s="300">
        <f>(687.7*KFC!$B$23*1.02*1.3+KFC!$C$23)*KFC!$C$5</f>
        <v>911.89020000000016</v>
      </c>
      <c r="AD359" s="300">
        <f>(706.5*KFC!$B$23*1.02*1.3+KFC!$C$23)*KFC!$C$5</f>
        <v>936.81900000000007</v>
      </c>
      <c r="AE359" s="300">
        <f>(725.2*KFC!$B$23*1.02*1.3+KFC!$C$23)*KFC!$C$5</f>
        <v>961.61520000000007</v>
      </c>
      <c r="AF359" s="300">
        <f>(743.9*KFC!$B$23*1.02*1.3+KFC!$C$23)*KFC!$C$5</f>
        <v>986.41140000000007</v>
      </c>
      <c r="AG359" s="300">
        <f>(762.7*KFC!$B$23*1.02*1.3+KFC!$C$23)*KFC!$C$5</f>
        <v>1011.3402000000001</v>
      </c>
      <c r="AH359" s="304">
        <f>(781.4*KFC!$B$23*1.02*1.3+KFC!$C$23)*KFC!$C$5</f>
        <v>1036.1364000000001</v>
      </c>
    </row>
    <row r="360" spans="1:34">
      <c r="A360" s="1781"/>
      <c r="B360" s="395">
        <v>5.5</v>
      </c>
      <c r="C360" s="303">
        <f>(203*KFC!$B$23*1.02*1.3+KFC!$C$23)*KFC!$C$5</f>
        <v>269.178</v>
      </c>
      <c r="D360" s="300">
        <f>(222.1*KFC!$B$23*1.02*1.3+KFC!$C$23)*KFC!$C$5</f>
        <v>294.50460000000004</v>
      </c>
      <c r="E360" s="300">
        <f>(241.1*KFC!$B$23*1.02*1.3+KFC!$C$23)*KFC!$C$5</f>
        <v>319.6986</v>
      </c>
      <c r="F360" s="300">
        <f>(260.2*KFC!$B$23*1.02*1.3+KFC!$C$23)*KFC!$C$5</f>
        <v>345.02519999999998</v>
      </c>
      <c r="G360" s="300">
        <f>(279.3*KFC!$B$23*1.02*1.3+KFC!$C$23)*KFC!$C$5</f>
        <v>370.35180000000003</v>
      </c>
      <c r="H360" s="300">
        <f>(298.3*KFC!$B$23*1.02*1.3+KFC!$C$23)*KFC!$C$5</f>
        <v>395.54580000000004</v>
      </c>
      <c r="I360" s="300">
        <f>(317.4*KFC!$B$23*1.02*1.3+KFC!$C$23)*KFC!$C$5</f>
        <v>420.87240000000003</v>
      </c>
      <c r="J360" s="300">
        <f>(336.4*KFC!$B$23*1.02*1.3+KFC!$C$23)*KFC!$C$5</f>
        <v>446.06639999999999</v>
      </c>
      <c r="K360" s="300">
        <f>(355.5*KFC!$B$23*1.02*1.3+KFC!$C$23)*KFC!$C$5</f>
        <v>471.39300000000003</v>
      </c>
      <c r="L360" s="300">
        <f>(374.5*KFC!$B$23*1.02*1.3+KFC!$C$23)*KFC!$C$5</f>
        <v>496.58700000000005</v>
      </c>
      <c r="M360" s="300">
        <f>(393.6*KFC!$B$23*1.02*1.3+KFC!$C$23)*KFC!$C$5</f>
        <v>521.91360000000009</v>
      </c>
      <c r="N360" s="300">
        <f>(412.7*KFC!$B$23*1.02*1.3+KFC!$C$23)*KFC!$C$5</f>
        <v>547.24020000000007</v>
      </c>
      <c r="O360" s="300">
        <f>(431.7*KFC!$B$23*1.02*1.3+KFC!$C$23)*KFC!$C$5</f>
        <v>572.43420000000003</v>
      </c>
      <c r="P360" s="300">
        <f>(450.8*KFC!$B$23*1.02*1.3+KFC!$C$23)*KFC!$C$5</f>
        <v>597.76080000000002</v>
      </c>
      <c r="Q360" s="300">
        <f>(469.8*KFC!$B$23*1.02*1.3+KFC!$C$23)*KFC!$C$5</f>
        <v>622.95480000000009</v>
      </c>
      <c r="R360" s="300">
        <f>(488.9*KFC!$B$23*1.02*1.3+KFC!$C$23)*KFC!$C$5</f>
        <v>648.28139999999996</v>
      </c>
      <c r="S360" s="300">
        <f>(508*KFC!$B$23*1.02*1.3+KFC!$C$23)*KFC!$C$5</f>
        <v>673.60799999999995</v>
      </c>
      <c r="T360" s="300">
        <f>(527*KFC!$B$23*1.02*1.3+KFC!$C$23)*KFC!$C$5</f>
        <v>698.80200000000002</v>
      </c>
      <c r="U360" s="300">
        <f>(546.1*KFC!$B$23*1.02*1.3+KFC!$C$23)*KFC!$C$5</f>
        <v>724.12860000000012</v>
      </c>
      <c r="V360" s="300">
        <f>(565.1*KFC!$B$23*1.02*1.3+KFC!$C$23)*KFC!$C$5</f>
        <v>749.32260000000008</v>
      </c>
      <c r="W360" s="300">
        <f>(584.2*KFC!$B$23*1.02*1.3+KFC!$C$23)*KFC!$C$5</f>
        <v>774.64920000000006</v>
      </c>
      <c r="X360" s="300">
        <f>(603.3*KFC!$B$23*1.02*1.3+KFC!$C$23)*KFC!$C$5</f>
        <v>799.97580000000005</v>
      </c>
      <c r="Y360" s="300">
        <f>(622.3*KFC!$B$23*1.02*1.3+KFC!$C$23)*KFC!$C$5</f>
        <v>825.16980000000001</v>
      </c>
      <c r="Z360" s="300">
        <f>(641.4*KFC!$B$23*1.02*1.3+KFC!$C$23)*KFC!$C$5</f>
        <v>850.49639999999999</v>
      </c>
      <c r="AA360" s="300">
        <f>(660.4*KFC!$B$23*1.02*1.3+KFC!$C$23)*KFC!$C$5</f>
        <v>875.69039999999995</v>
      </c>
      <c r="AB360" s="300">
        <f>(679.5*KFC!$B$23*1.02*1.3+KFC!$C$23)*KFC!$C$5</f>
        <v>901.01700000000005</v>
      </c>
      <c r="AC360" s="300">
        <f>(698.5*KFC!$B$23*1.02*1.3+KFC!$C$23)*KFC!$C$5</f>
        <v>926.21100000000001</v>
      </c>
      <c r="AD360" s="300">
        <f>(717.6*KFC!$B$23*1.02*1.3+KFC!$C$23)*KFC!$C$5</f>
        <v>951.5376</v>
      </c>
      <c r="AE360" s="300">
        <f>(736.7*KFC!$B$23*1.02*1.3+KFC!$C$23)*KFC!$C$5</f>
        <v>976.8642000000001</v>
      </c>
      <c r="AF360" s="300">
        <f>(755.7*KFC!$B$23*1.02*1.3+KFC!$C$23)*KFC!$C$5</f>
        <v>1002.0582000000002</v>
      </c>
      <c r="AG360" s="300">
        <f>(774.8*KFC!$B$23*1.02*1.3+KFC!$C$23)*KFC!$C$5</f>
        <v>1027.3848</v>
      </c>
      <c r="AH360" s="304">
        <f>(793.8*KFC!$B$23*1.02*1.3+KFC!$C$23)*KFC!$C$5</f>
        <v>1052.5788</v>
      </c>
    </row>
    <row r="361" spans="1:34">
      <c r="A361" s="1781"/>
      <c r="B361" s="395">
        <v>5.6</v>
      </c>
      <c r="C361" s="303">
        <f>(205.2*KFC!$B$23*1.02*1.3+KFC!$C$23)*KFC!$C$5</f>
        <v>272.09520000000003</v>
      </c>
      <c r="D361" s="300">
        <f>(224.6*KFC!$B$23*1.02*1.3+KFC!$C$23)*KFC!$C$5</f>
        <v>297.81959999999998</v>
      </c>
      <c r="E361" s="300">
        <f>(244*KFC!$B$23*1.02*1.3+KFC!$C$23)*KFC!$C$5</f>
        <v>323.54399999999998</v>
      </c>
      <c r="F361" s="300">
        <f>(263.4*KFC!$B$23*1.02*1.3+KFC!$C$23)*KFC!$C$5</f>
        <v>349.26840000000004</v>
      </c>
      <c r="G361" s="300">
        <f>(282.8*KFC!$B$23*1.02*1.3+KFC!$C$23)*KFC!$C$5</f>
        <v>374.99280000000005</v>
      </c>
      <c r="H361" s="300">
        <f>(302.2*KFC!$B$23*1.02*1.3+KFC!$C$23)*KFC!$C$5</f>
        <v>400.71719999999999</v>
      </c>
      <c r="I361" s="300">
        <f>(321.6*KFC!$B$23*1.02*1.3+KFC!$C$23)*KFC!$C$5</f>
        <v>426.44160000000005</v>
      </c>
      <c r="J361" s="300">
        <f>(340.9*KFC!$B$23*1.02*1.3+KFC!$C$23)*KFC!$C$5</f>
        <v>452.03339999999997</v>
      </c>
      <c r="K361" s="300">
        <f>(360.3*KFC!$B$23*1.02*1.3+KFC!$C$23)*KFC!$C$5</f>
        <v>477.75780000000003</v>
      </c>
      <c r="L361" s="300">
        <f>(379.7*KFC!$B$23*1.02*1.3+KFC!$C$23)*KFC!$C$5</f>
        <v>503.48219999999998</v>
      </c>
      <c r="M361" s="300">
        <f>(399.1*KFC!$B$23*1.02*1.3+KFC!$C$23)*KFC!$C$5</f>
        <v>529.20660000000009</v>
      </c>
      <c r="N361" s="300">
        <f>(418.5*KFC!$B$23*1.02*1.3+KFC!$C$23)*KFC!$C$5</f>
        <v>554.93100000000004</v>
      </c>
      <c r="O361" s="300">
        <f>(437.9*KFC!$B$23*1.02*1.3+KFC!$C$23)*KFC!$C$5</f>
        <v>580.65539999999999</v>
      </c>
      <c r="P361" s="300">
        <f>(457.3*KFC!$B$23*1.02*1.3+KFC!$C$23)*KFC!$C$5</f>
        <v>606.37980000000005</v>
      </c>
      <c r="Q361" s="300">
        <f>(476.7*KFC!$B$23*1.02*1.3+KFC!$C$23)*KFC!$C$5</f>
        <v>632.10419999999999</v>
      </c>
      <c r="R361" s="300">
        <f>(496.1*KFC!$B$23*1.02*1.3+KFC!$C$23)*KFC!$C$5</f>
        <v>657.82860000000005</v>
      </c>
      <c r="S361" s="300">
        <f>(515.4*KFC!$B$23*1.02*1.3+KFC!$C$23)*KFC!$C$5</f>
        <v>683.42039999999997</v>
      </c>
      <c r="T361" s="300">
        <f>(534.8*KFC!$B$23*1.02*1.3+KFC!$C$23)*KFC!$C$5</f>
        <v>709.14480000000003</v>
      </c>
      <c r="U361" s="300">
        <f>(554.2*KFC!$B$23*1.02*1.3+KFC!$C$23)*KFC!$C$5</f>
        <v>734.86920000000021</v>
      </c>
      <c r="V361" s="300">
        <f>(573.6*KFC!$B$23*1.02*1.3+KFC!$C$23)*KFC!$C$5</f>
        <v>760.59360000000004</v>
      </c>
      <c r="W361" s="300">
        <f>(593*KFC!$B$23*1.02*1.3+KFC!$C$23)*KFC!$C$5</f>
        <v>786.3180000000001</v>
      </c>
      <c r="X361" s="300">
        <f>(612.4*KFC!$B$23*1.02*1.3+KFC!$C$23)*KFC!$C$5</f>
        <v>812.04240000000004</v>
      </c>
      <c r="Y361" s="300">
        <f>(631.8*KFC!$B$23*1.02*1.3+KFC!$C$23)*KFC!$C$5</f>
        <v>837.76679999999988</v>
      </c>
      <c r="Z361" s="300">
        <f>(651.2*KFC!$B$23*1.02*1.3+KFC!$C$23)*KFC!$C$5</f>
        <v>863.49120000000005</v>
      </c>
      <c r="AA361" s="300">
        <f>(670.6*KFC!$B$23*1.02*1.3+KFC!$C$23)*KFC!$C$5</f>
        <v>889.21560000000011</v>
      </c>
      <c r="AB361" s="300">
        <f>(690*KFC!$B$23*1.02*1.3+KFC!$C$23)*KFC!$C$5</f>
        <v>914.94000000000017</v>
      </c>
      <c r="AC361" s="300">
        <f>(709.3*KFC!$B$23*1.02*1.3+KFC!$C$23)*KFC!$C$5</f>
        <v>940.53179999999998</v>
      </c>
      <c r="AD361" s="300">
        <f>(728.7*KFC!$B$23*1.02*1.3+KFC!$C$23)*KFC!$C$5</f>
        <v>966.25620000000015</v>
      </c>
      <c r="AE361" s="300">
        <f>(748.1*KFC!$B$23*1.02*1.3+KFC!$C$23)*KFC!$C$5</f>
        <v>991.98060000000009</v>
      </c>
      <c r="AF361" s="300">
        <f>(767.5*KFC!$B$23*1.02*1.3+KFC!$C$23)*KFC!$C$5</f>
        <v>1017.705</v>
      </c>
      <c r="AG361" s="300">
        <f>(786.9*KFC!$B$23*1.02*1.3+KFC!$C$23)*KFC!$C$5</f>
        <v>1043.4294</v>
      </c>
      <c r="AH361" s="304">
        <f>(806.3*KFC!$B$23*1.02*1.3+KFC!$C$23)*KFC!$C$5</f>
        <v>1069.1538</v>
      </c>
    </row>
    <row r="362" spans="1:34">
      <c r="A362" s="1781"/>
      <c r="B362" s="395">
        <v>5.7</v>
      </c>
      <c r="C362" s="303">
        <f>(207.4*KFC!$B$23*1.02*1.3+KFC!$C$23)*KFC!$C$5</f>
        <v>275.01240000000001</v>
      </c>
      <c r="D362" s="300">
        <f>(227.1*KFC!$B$23*1.02*1.3+KFC!$C$23)*KFC!$C$5</f>
        <v>301.13459999999998</v>
      </c>
      <c r="E362" s="300">
        <f>(246.9*KFC!$B$23*1.02*1.3+KFC!$C$23)*KFC!$C$5</f>
        <v>327.38940000000002</v>
      </c>
      <c r="F362" s="300">
        <f>(266.6*KFC!$B$23*1.02*1.3+KFC!$C$23)*KFC!$C$5</f>
        <v>353.51160000000004</v>
      </c>
      <c r="G362" s="300">
        <f>(286.3*KFC!$B$23*1.02*1.3+KFC!$C$23)*KFC!$C$5</f>
        <v>379.63380000000001</v>
      </c>
      <c r="H362" s="300">
        <f>(306*KFC!$B$23*1.02*1.3+KFC!$C$23)*KFC!$C$5</f>
        <v>405.75600000000003</v>
      </c>
      <c r="I362" s="300">
        <f>(325.7*KFC!$B$23*1.02*1.3+KFC!$C$23)*KFC!$C$5</f>
        <v>431.87819999999999</v>
      </c>
      <c r="J362" s="300">
        <f>(345.5*KFC!$B$23*1.02*1.3+KFC!$C$23)*KFC!$C$5</f>
        <v>458.13300000000004</v>
      </c>
      <c r="K362" s="300">
        <f>(365.2*KFC!$B$23*1.02*1.3+KFC!$C$23)*KFC!$C$5</f>
        <v>484.25520000000006</v>
      </c>
      <c r="L362" s="300">
        <f>(384.9*KFC!$B$23*1.02*1.3+KFC!$C$23)*KFC!$C$5</f>
        <v>510.37739999999997</v>
      </c>
      <c r="M362" s="300">
        <f>(404.6*KFC!$B$23*1.02*1.3+KFC!$C$23)*KFC!$C$5</f>
        <v>536.49959999999999</v>
      </c>
      <c r="N362" s="300">
        <f>(424.3*KFC!$B$23*1.02*1.3+KFC!$C$23)*KFC!$C$5</f>
        <v>562.62180000000001</v>
      </c>
      <c r="O362" s="300">
        <f>(444.1*KFC!$B$23*1.02*1.3+KFC!$C$23)*KFC!$C$5</f>
        <v>588.87660000000005</v>
      </c>
      <c r="P362" s="300">
        <f>(463.8*KFC!$B$23*1.02*1.3+KFC!$C$23)*KFC!$C$5</f>
        <v>614.99880000000007</v>
      </c>
      <c r="Q362" s="300">
        <f>(483.5*KFC!$B$23*1.02*1.3+KFC!$C$23)*KFC!$C$5</f>
        <v>641.12100000000009</v>
      </c>
      <c r="R362" s="300">
        <f>(503.2*KFC!$B$23*1.02*1.3+KFC!$C$23)*KFC!$C$5</f>
        <v>667.2432</v>
      </c>
      <c r="S362" s="300">
        <f>(522.9*KFC!$B$23*1.02*1.3+KFC!$C$23)*KFC!$C$5</f>
        <v>693.36539999999991</v>
      </c>
      <c r="T362" s="300">
        <f>(542.7*KFC!$B$23*1.02*1.3+KFC!$C$23)*KFC!$C$5</f>
        <v>719.62020000000018</v>
      </c>
      <c r="U362" s="300">
        <f>(562.4*KFC!$B$23*1.02*1.3+KFC!$C$23)*KFC!$C$5</f>
        <v>745.74240000000009</v>
      </c>
      <c r="V362" s="300">
        <f>(582.1*KFC!$B$23*1.02*1.3+KFC!$C$23)*KFC!$C$5</f>
        <v>771.86460000000011</v>
      </c>
      <c r="W362" s="300">
        <f>(601.8*KFC!$B$23*1.02*1.3+KFC!$C$23)*KFC!$C$5</f>
        <v>797.98680000000002</v>
      </c>
      <c r="X362" s="300">
        <f>(621.5*KFC!$B$23*1.02*1.3+KFC!$C$23)*KFC!$C$5</f>
        <v>824.10900000000015</v>
      </c>
      <c r="Y362" s="300">
        <f>(641.3*KFC!$B$23*1.02*1.3+KFC!$C$23)*KFC!$C$5</f>
        <v>850.36379999999997</v>
      </c>
      <c r="Z362" s="300">
        <f>(661*KFC!$B$23*1.02*1.3+KFC!$C$23)*KFC!$C$5</f>
        <v>876.4860000000001</v>
      </c>
      <c r="AA362" s="300">
        <f>(680.7*KFC!$B$23*1.02*1.3+KFC!$C$23)*KFC!$C$5</f>
        <v>902.60820000000012</v>
      </c>
      <c r="AB362" s="300">
        <f>(700.4*KFC!$B$23*1.02*1.3+KFC!$C$23)*KFC!$C$5</f>
        <v>928.73040000000003</v>
      </c>
      <c r="AC362" s="300">
        <f>(720.1*KFC!$B$23*1.02*1.3+KFC!$C$23)*KFC!$C$5</f>
        <v>954.85260000000017</v>
      </c>
      <c r="AD362" s="300">
        <f>(739.9*KFC!$B$23*1.02*1.3+KFC!$C$23)*KFC!$C$5</f>
        <v>981.10739999999998</v>
      </c>
      <c r="AE362" s="300">
        <f>(759.6*KFC!$B$23*1.02*1.3+KFC!$C$23)*KFC!$C$5</f>
        <v>1007.2296000000001</v>
      </c>
      <c r="AF362" s="300">
        <f>(779.3*KFC!$B$23*1.02*1.3+KFC!$C$23)*KFC!$C$5</f>
        <v>1033.3517999999999</v>
      </c>
      <c r="AG362" s="300">
        <f>(799*KFC!$B$23*1.02*1.3+KFC!$C$23)*KFC!$C$5</f>
        <v>1059.4740000000002</v>
      </c>
      <c r="AH362" s="304">
        <f>(818.7*KFC!$B$23*1.02*1.3+KFC!$C$23)*KFC!$C$5</f>
        <v>1085.5962000000002</v>
      </c>
    </row>
    <row r="363" spans="1:34">
      <c r="A363" s="1781"/>
      <c r="B363" s="395">
        <v>5.8</v>
      </c>
      <c r="C363" s="303">
        <f>(209.6*KFC!$B$23*1.02*1.3+KFC!$C$23)*KFC!$C$5</f>
        <v>277.92959999999999</v>
      </c>
      <c r="D363" s="300">
        <f>(229.7*KFC!$B$23*1.02*1.3+KFC!$C$23)*KFC!$C$5</f>
        <v>304.5822</v>
      </c>
      <c r="E363" s="300">
        <f>(249.7*KFC!$B$23*1.02*1.3+KFC!$C$23)*KFC!$C$5</f>
        <v>331.10219999999998</v>
      </c>
      <c r="F363" s="300">
        <f>(269.8*KFC!$B$23*1.02*1.3+KFC!$C$23)*KFC!$C$5</f>
        <v>357.75480000000005</v>
      </c>
      <c r="G363" s="300">
        <f>(289.8*KFC!$B$23*1.02*1.3+KFC!$C$23)*KFC!$C$5</f>
        <v>384.27480000000003</v>
      </c>
      <c r="H363" s="300">
        <f>(309.9*KFC!$B$23*1.02*1.3+KFC!$C$23)*KFC!$C$5</f>
        <v>410.92739999999998</v>
      </c>
      <c r="I363" s="300">
        <f>(329.9*KFC!$B$23*1.02*1.3+KFC!$C$23)*KFC!$C$5</f>
        <v>437.44740000000002</v>
      </c>
      <c r="J363" s="300">
        <f>(350*KFC!$B$23*1.02*1.3+KFC!$C$23)*KFC!$C$5</f>
        <v>464.1</v>
      </c>
      <c r="K363" s="300">
        <f>(370*KFC!$B$23*1.02*1.3+KFC!$C$23)*KFC!$C$5</f>
        <v>490.62000000000006</v>
      </c>
      <c r="L363" s="300">
        <f>(390.1*KFC!$B$23*1.02*1.3+KFC!$C$23)*KFC!$C$5</f>
        <v>517.27260000000012</v>
      </c>
      <c r="M363" s="300">
        <f>(410.1*KFC!$B$23*1.02*1.3+KFC!$C$23)*KFC!$C$5</f>
        <v>543.79259999999999</v>
      </c>
      <c r="N363" s="300">
        <f>(430.2*KFC!$B$23*1.02*1.3+KFC!$C$23)*KFC!$C$5</f>
        <v>570.4452</v>
      </c>
      <c r="O363" s="300">
        <f>(450.2*KFC!$B$23*1.02*1.3+KFC!$C$23)*KFC!$C$5</f>
        <v>596.96519999999998</v>
      </c>
      <c r="P363" s="300">
        <v>470.3</v>
      </c>
      <c r="Q363" s="300">
        <f>(490.3*KFC!$B$23*1.02*1.3+KFC!$C$23)*KFC!$C$5</f>
        <v>650.13779999999997</v>
      </c>
      <c r="R363" s="300">
        <f>(510.4*KFC!$B$23*1.02*1.3+KFC!$C$23)*KFC!$C$5</f>
        <v>676.79039999999998</v>
      </c>
      <c r="S363" s="300">
        <f>(530.4*KFC!$B$23*1.02*1.3+KFC!$C$23)*KFC!$C$5</f>
        <v>703.31040000000007</v>
      </c>
      <c r="T363" s="300">
        <f>(550.5*KFC!$B$23*1.02*1.3+KFC!$C$23)*KFC!$C$5</f>
        <v>729.96299999999997</v>
      </c>
      <c r="U363" s="300">
        <f>(570.5*KFC!$B$23*1.02*1.3+KFC!$C$23)*KFC!$C$5</f>
        <v>756.48299999999995</v>
      </c>
      <c r="V363" s="300">
        <f>(610.6*KFC!$B$23*1.02*1.3+KFC!$C$23)*KFC!$C$5</f>
        <v>809.65560000000005</v>
      </c>
      <c r="W363" s="300">
        <f>(610.6*KFC!$B$23*1.02*1.3+KFC!$C$23)*KFC!$C$5</f>
        <v>809.65560000000005</v>
      </c>
      <c r="X363" s="300">
        <f>(630.7*KFC!$B$23*1.02*1.3+KFC!$C$23)*KFC!$C$5</f>
        <v>836.30820000000017</v>
      </c>
      <c r="Y363" s="300">
        <f>(650.7*KFC!$B$23*1.02*1.3+KFC!$C$23)*KFC!$C$5</f>
        <v>862.82820000000015</v>
      </c>
      <c r="Z363" s="300">
        <f>(670.8*KFC!$B$23*1.02*1.3+KFC!$C$23)*KFC!$C$5</f>
        <v>889.48080000000004</v>
      </c>
      <c r="AA363" s="300">
        <f>(690.8*KFC!$B$23*1.02*1.3+KFC!$C$23)*KFC!$C$5</f>
        <v>916.00080000000003</v>
      </c>
      <c r="AB363" s="300">
        <f>(710.9*KFC!$B$23*1.02*1.3+KFC!$C$23)*KFC!$C$5</f>
        <v>942.65339999999992</v>
      </c>
      <c r="AC363" s="300">
        <f>(730.9*KFC!$B$23*1.02*1.3+KFC!$C$23)*KFC!$C$5</f>
        <v>969.17340000000002</v>
      </c>
      <c r="AD363" s="300">
        <f>(751*KFC!$B$23*1.02*1.3+KFC!$C$23)*KFC!$C$5</f>
        <v>995.82600000000002</v>
      </c>
      <c r="AE363" s="300">
        <f>(771*KFC!$B$23*1.02*1.3+KFC!$C$23)*KFC!$C$5</f>
        <v>1022.346</v>
      </c>
      <c r="AF363" s="300">
        <f>(791.1*KFC!$B$23*1.02*1.3+KFC!$C$23)*KFC!$C$5</f>
        <v>1048.9986000000001</v>
      </c>
      <c r="AG363" s="300">
        <f>(811.1*KFC!$B$23*1.02*1.3+KFC!$C$23)*KFC!$C$5</f>
        <v>1075.5186000000001</v>
      </c>
      <c r="AH363" s="304">
        <f>(831.2*KFC!$B$23*1.02*1.3+KFC!$C$23)*KFC!$C$5</f>
        <v>1102.1712000000002</v>
      </c>
    </row>
    <row r="364" spans="1:34">
      <c r="A364" s="1781"/>
      <c r="B364" s="395">
        <v>5.9</v>
      </c>
      <c r="C364" s="303">
        <f>(211.8*KFC!$B$23*1.02*1.3+KFC!$C$23)*KFC!$C$5</f>
        <v>280.84680000000003</v>
      </c>
      <c r="D364" s="300">
        <f>(232.2*KFC!$B$23*1.02*1.3+KFC!$C$23)*KFC!$C$5</f>
        <v>307.8972</v>
      </c>
      <c r="E364" s="300">
        <f>(252.6*KFC!$B$23*1.02*1.3+KFC!$C$23)*KFC!$C$5</f>
        <v>334.94760000000002</v>
      </c>
      <c r="F364" s="300">
        <f>(273*KFC!$B$23*1.02*1.3+KFC!$C$23)*KFC!$C$5</f>
        <v>361.99799999999999</v>
      </c>
      <c r="G364" s="300">
        <f>(293.3*KFC!$B$23*1.02*1.3+KFC!$C$23)*KFC!$C$5</f>
        <v>388.91579999999999</v>
      </c>
      <c r="H364" s="300">
        <f>(313.7*KFC!$B$23*1.02*1.3+KFC!$C$23)*KFC!$C$5</f>
        <v>415.96620000000001</v>
      </c>
      <c r="I364" s="300">
        <f>(334.1*KFC!$B$23*1.02*1.3+KFC!$C$23)*KFC!$C$5</f>
        <v>443.01660000000004</v>
      </c>
      <c r="J364" s="300">
        <f>(354.5*KFC!$B$23*1.02*1.3+KFC!$C$23)*KFC!$C$5</f>
        <v>470.06700000000006</v>
      </c>
      <c r="K364" s="300">
        <f>(374.9*KFC!$B$23*1.02*1.3+KFC!$C$23)*KFC!$C$5</f>
        <v>497.11739999999998</v>
      </c>
      <c r="L364" s="300">
        <f>(395.3*KFC!$B$23*1.02*1.3+KFC!$C$23)*KFC!$C$5</f>
        <v>524.16780000000006</v>
      </c>
      <c r="M364" s="300">
        <f>(415.6*KFC!$B$23*1.02*1.3+KFC!$C$23)*KFC!$C$5</f>
        <v>551.08560000000011</v>
      </c>
      <c r="N364" s="300">
        <f>(136*KFC!$B$23*1.02*1.3+KFC!$C$23)*KFC!$C$5</f>
        <v>180.33600000000001</v>
      </c>
      <c r="O364" s="300">
        <f>(456.4*KFC!$B$23*1.02*1.3+KFC!$C$23)*KFC!$C$5</f>
        <v>605.18639999999994</v>
      </c>
      <c r="P364" s="300">
        <f>(476.8*KFC!$B$23*1.02*1.3+KFC!$C$23)*KFC!$C$5</f>
        <v>632.23680000000002</v>
      </c>
      <c r="Q364" s="300">
        <f>(497.2*KFC!$B$23*1.02*1.3+KFC!$C$23)*KFC!$C$5</f>
        <v>659.28719999999998</v>
      </c>
      <c r="R364" s="300">
        <f>(517.5*KFC!$B$23*1.02*1.3+KFC!$C$23)*KFC!$C$5</f>
        <v>686.20500000000004</v>
      </c>
      <c r="S364" s="300">
        <f>(537.9*KFC!$B$23*1.02*1.3+KFC!$C$23)*KFC!$C$5</f>
        <v>713.25540000000001</v>
      </c>
      <c r="T364" s="300">
        <f>(558.3*KFC!$B$23*1.02*1.3+KFC!$C$23)*KFC!$C$5</f>
        <v>740.30580000000009</v>
      </c>
      <c r="U364" s="300">
        <f>(578.7*KFC!$B$23*1.02*1.3+KFC!$C$23)*KFC!$C$5</f>
        <v>767.35620000000006</v>
      </c>
      <c r="V364" s="300">
        <f>(619.5*KFC!$B$23*1.02*1.3+KFC!$C$23)*KFC!$C$5</f>
        <v>821.45699999999999</v>
      </c>
      <c r="W364" s="300">
        <f>(619.5*KFC!$B$23*1.02*1.3+KFC!$C$23)*KFC!$C$5</f>
        <v>821.45699999999999</v>
      </c>
      <c r="X364" s="300">
        <f>(639.8*KFC!$B$23*1.02*1.3+KFC!$C$23)*KFC!$C$5</f>
        <v>848.37480000000005</v>
      </c>
      <c r="Y364" s="300">
        <f>(680.6*KFC!$B$23*1.02*1.3+KFC!$C$23)*KFC!$C$5</f>
        <v>902.47559999999999</v>
      </c>
      <c r="Z364" s="300">
        <f>(680.6*KFC!$B$23*1.02*1.3+KFC!$C$23)*KFC!$C$5</f>
        <v>902.47559999999999</v>
      </c>
      <c r="AA364" s="300">
        <f>(701*KFC!$B$23*1.02*1.3+KFC!$C$23)*KFC!$C$5</f>
        <v>929.52599999999995</v>
      </c>
      <c r="AB364" s="300">
        <f>(721.4*KFC!$B$23*1.02*1.3+KFC!$C$23)*KFC!$C$5</f>
        <v>956.57640000000004</v>
      </c>
      <c r="AC364" s="300">
        <f>(741.7*KFC!$B$23*1.02*1.3+KFC!$C$23)*KFC!$C$5</f>
        <v>983.49420000000021</v>
      </c>
      <c r="AD364" s="300">
        <f>(762.1*KFC!$B$23*1.02*1.3+KFC!$C$23)*KFC!$C$5</f>
        <v>1010.5446000000001</v>
      </c>
      <c r="AE364" s="300">
        <f>(782.5*KFC!$B$23*1.02*1.3+KFC!$C$23)*KFC!$C$5</f>
        <v>1037.595</v>
      </c>
      <c r="AF364" s="300">
        <f>(802.9*KFC!$B$23*1.02*1.3+KFC!$C$23)*KFC!$C$5</f>
        <v>1064.6454000000001</v>
      </c>
      <c r="AG364" s="300">
        <f>(823.3*KFC!$B$23*1.02*1.3+KFC!$C$23)*KFC!$C$5</f>
        <v>1091.6958</v>
      </c>
      <c r="AH364" s="304">
        <f>(843.6*KFC!$B$23*1.02*1.3+KFC!$C$23)*KFC!$C$5</f>
        <v>1118.6136000000001</v>
      </c>
    </row>
    <row r="365" spans="1:34" ht="13.8" thickBot="1">
      <c r="A365" s="1782"/>
      <c r="B365" s="396">
        <v>6</v>
      </c>
      <c r="C365" s="305">
        <f>(214*KFC!$B$23*1.02*1.3+KFC!$C$23)*KFC!$C$5</f>
        <v>283.76400000000001</v>
      </c>
      <c r="D365" s="306">
        <f>(234.7*KFC!$B$23*1.02*1.3+KFC!$C$23)*KFC!$C$5</f>
        <v>311.2122</v>
      </c>
      <c r="E365" s="306">
        <f>(255.4*KFC!$B$23*1.02*1.3+KFC!$C$23)*KFC!$C$5</f>
        <v>338.66040000000004</v>
      </c>
      <c r="F365" s="306">
        <f>(276.2*KFC!$B$23*1.02*1.3+KFC!$C$23)*KFC!$C$5</f>
        <v>366.24119999999999</v>
      </c>
      <c r="G365" s="306">
        <f>(296.9*KFC!$B$23*1.02*1.3+KFC!$C$23)*KFC!$C$5</f>
        <v>393.68939999999998</v>
      </c>
      <c r="H365" s="306">
        <f>(317.6*KFC!$B$23*1.02*1.3+KFC!$C$23)*KFC!$C$5</f>
        <v>421.13760000000008</v>
      </c>
      <c r="I365" s="306">
        <f>(338.3*KFC!$B$23*1.02*1.3+KFC!$C$23)*KFC!$C$5</f>
        <v>448.58580000000006</v>
      </c>
      <c r="J365" s="306">
        <f>(359*KFC!$B$23*1.02*1.3+KFC!$C$23)*KFC!$C$5</f>
        <v>476.03400000000005</v>
      </c>
      <c r="K365" s="306">
        <f>(379.7*KFC!$B$23*1.02*1.3+KFC!$C$23)*KFC!$C$5</f>
        <v>503.48219999999998</v>
      </c>
      <c r="L365" s="306">
        <f>(400.4*KFC!$B$23*1.02*1.3+KFC!$C$23)*KFC!$C$5</f>
        <v>530.93039999999996</v>
      </c>
      <c r="M365" s="306">
        <f>(421.1*KFC!$B$23*1.02*1.3+KFC!$C$23)*KFC!$C$5</f>
        <v>558.37860000000012</v>
      </c>
      <c r="N365" s="306">
        <f>(441.9*KFC!$B$23*1.02*1.3+KFC!$C$23)*KFC!$C$5</f>
        <v>585.95940000000007</v>
      </c>
      <c r="O365" s="306">
        <f>(462.6*KFC!$B$23*1.02*1.3+KFC!$C$23)*KFC!$C$5</f>
        <v>613.40760000000012</v>
      </c>
      <c r="P365" s="306">
        <f>(483.3*KFC!$B$23*1.02*1.3+KFC!$C$23)*KFC!$C$5</f>
        <v>640.85580000000004</v>
      </c>
      <c r="Q365" s="306">
        <f>(504*KFC!$B$23*1.02*1.3+KFC!$C$23)*KFC!$C$5</f>
        <v>668.30400000000009</v>
      </c>
      <c r="R365" s="306">
        <f>(524.7*KFC!$B$23*1.02*1.3+KFC!$C$23)*KFC!$C$5</f>
        <v>695.75220000000013</v>
      </c>
      <c r="S365" s="306">
        <f>(545.4*KFC!$B$23*1.02*1.3+KFC!$C$23)*KFC!$C$5</f>
        <v>723.20040000000006</v>
      </c>
      <c r="T365" s="306">
        <f>(566.1*KFC!$B$23*1.02*1.3+KFC!$C$23)*KFC!$C$5</f>
        <v>750.6486000000001</v>
      </c>
      <c r="U365" s="306">
        <f>(586.8*KFC!$B$23*1.02*1.3+KFC!$C$23)*KFC!$C$5</f>
        <v>778.09679999999992</v>
      </c>
      <c r="V365" s="306">
        <f>(607.6*KFC!$B$23*1.02*1.3+KFC!$C$23)*KFC!$C$5</f>
        <v>805.6776000000001</v>
      </c>
      <c r="W365" s="306">
        <f>(628.3*KFC!$B$23*1.02*1.3+KFC!$C$23)*KFC!$C$5</f>
        <v>833.12580000000003</v>
      </c>
      <c r="X365" s="306">
        <f>(649*KFC!$B$23*1.02*1.3+KFC!$C$23)*KFC!$C$5</f>
        <v>860.57400000000007</v>
      </c>
      <c r="Y365" s="306">
        <f>(669.7*KFC!$B$23*1.02*1.3+KFC!$C$23)*KFC!$C$5</f>
        <v>888.02220000000011</v>
      </c>
      <c r="Z365" s="306">
        <f>(690.4*KFC!$B$23*1.02*1.3+KFC!$C$23)*KFC!$C$5</f>
        <v>915.47040000000004</v>
      </c>
      <c r="AA365" s="306">
        <f>(711.1*KFC!$B$23*1.02*1.3+KFC!$C$23)*KFC!$C$5</f>
        <v>942.91860000000008</v>
      </c>
      <c r="AB365" s="306">
        <f>(731.8*KFC!$B$23*1.02*1.3+KFC!$C$23)*KFC!$C$5</f>
        <v>970.3667999999999</v>
      </c>
      <c r="AC365" s="306">
        <f>(752.5*KFC!$B$23*1.02*1.3+KFC!$C$23)*KFC!$C$5</f>
        <v>997.81500000000017</v>
      </c>
      <c r="AD365" s="306">
        <f>(773.3*KFC!$B$23*1.02*1.3+KFC!$C$23)*KFC!$C$5</f>
        <v>1025.3958</v>
      </c>
      <c r="AE365" s="306">
        <f>(794*KFC!$B$23*1.02*1.3+KFC!$C$23)*KFC!$C$5</f>
        <v>1052.8440000000001</v>
      </c>
      <c r="AF365" s="306">
        <f>(814.7*KFC!$B$23*1.02*1.3+KFC!$C$23)*KFC!$C$5</f>
        <v>1080.2922000000001</v>
      </c>
      <c r="AG365" s="306">
        <f>(835.4*KFC!$B$23*1.02*1.3+KFC!$C$23)*KFC!$C$5</f>
        <v>1107.7403999999999</v>
      </c>
      <c r="AH365" s="307">
        <f>(856.1*KFC!$B$23*1.02*1.3+KFC!$C$23)*KFC!$C$5</f>
        <v>1135.1886000000002</v>
      </c>
    </row>
    <row r="366" spans="1:34" ht="13.8" thickBot="1">
      <c r="A366" s="349" t="s">
        <v>303</v>
      </c>
      <c r="B366" s="218"/>
      <c r="C366" s="218"/>
      <c r="D366" s="218"/>
      <c r="E366" s="218"/>
      <c r="F366" s="218"/>
      <c r="G366" s="218"/>
      <c r="H366" s="218"/>
      <c r="I366" s="218"/>
      <c r="J366" s="218"/>
      <c r="K366" s="218"/>
      <c r="L366" s="218"/>
      <c r="M366" s="218"/>
      <c r="N366" s="218"/>
      <c r="O366" s="218"/>
      <c r="P366" s="218"/>
      <c r="Q366" s="218"/>
      <c r="R366" s="218"/>
      <c r="S366" s="218"/>
      <c r="T366" s="218"/>
      <c r="U366" s="218"/>
      <c r="V366" s="218"/>
      <c r="W366" s="218"/>
      <c r="X366" s="218"/>
      <c r="Y366" s="218"/>
      <c r="Z366" s="218"/>
      <c r="AA366" s="218"/>
      <c r="AB366" s="218"/>
      <c r="AC366" s="218"/>
      <c r="AD366" s="218"/>
      <c r="AE366" s="218"/>
      <c r="AF366" s="218"/>
      <c r="AG366" s="218"/>
      <c r="AH366" s="218"/>
    </row>
    <row r="367" spans="1:34" ht="13.8" thickBot="1">
      <c r="A367" s="441" t="s">
        <v>688</v>
      </c>
      <c r="B367" s="161"/>
      <c r="C367" s="161"/>
      <c r="D367" s="161"/>
      <c r="E367" s="161"/>
      <c r="F367" s="161"/>
      <c r="G367" s="161"/>
      <c r="H367" s="161"/>
      <c r="L367" s="464">
        <f>(7*1.02*KFC!$B$23*1.02*1.3+KFC!$C$23)*KFC!$C$5</f>
        <v>9.4676400000000012</v>
      </c>
      <c r="M367" s="463" t="s">
        <v>687</v>
      </c>
      <c r="N367" s="161"/>
      <c r="O367" s="161"/>
      <c r="P367" s="161"/>
      <c r="Q367" s="161"/>
      <c r="R367" s="161"/>
      <c r="S367" s="161"/>
      <c r="T367" s="161"/>
      <c r="U367" s="161"/>
      <c r="V367" s="161"/>
      <c r="W367" s="161"/>
      <c r="X367" s="161"/>
      <c r="Y367" s="161"/>
      <c r="Z367" s="161"/>
      <c r="AA367" s="161"/>
      <c r="AB367" s="161"/>
      <c r="AC367" s="161"/>
      <c r="AD367" s="161"/>
      <c r="AE367" s="161"/>
      <c r="AF367" s="161"/>
      <c r="AG367" s="161"/>
      <c r="AH367" s="161"/>
    </row>
    <row r="368" spans="1:34" ht="13.8" thickBot="1">
      <c r="A368" s="441" t="s">
        <v>974</v>
      </c>
      <c r="B368" s="161"/>
      <c r="C368" s="161"/>
      <c r="D368" s="161"/>
      <c r="E368" s="161"/>
      <c r="F368" s="161"/>
      <c r="G368" s="161"/>
      <c r="H368" s="161"/>
      <c r="I368" s="161"/>
      <c r="J368" s="161"/>
      <c r="K368" s="161"/>
      <c r="L368" s="161"/>
      <c r="M368" s="161"/>
      <c r="N368" s="161"/>
      <c r="O368" s="161"/>
      <c r="P368" s="161"/>
      <c r="Q368" s="161"/>
      <c r="R368" s="161"/>
      <c r="S368" s="161"/>
      <c r="T368" s="161"/>
      <c r="U368" s="161"/>
      <c r="V368" s="161"/>
      <c r="W368" s="161"/>
      <c r="X368" s="161"/>
      <c r="Y368" s="161"/>
      <c r="Z368" s="161"/>
      <c r="AA368" s="161"/>
      <c r="AB368" s="161"/>
      <c r="AC368" s="161"/>
      <c r="AD368" s="161"/>
      <c r="AE368" s="161"/>
      <c r="AF368" s="161"/>
      <c r="AG368" s="161"/>
      <c r="AH368" s="161"/>
    </row>
    <row r="369" spans="1:34" ht="13.8" thickBot="1">
      <c r="A369" s="441" t="s">
        <v>477</v>
      </c>
      <c r="B369" s="161"/>
      <c r="C369" s="161"/>
      <c r="D369" s="161"/>
      <c r="E369" s="161"/>
      <c r="F369" s="161"/>
      <c r="G369" s="161"/>
      <c r="H369" s="161"/>
      <c r="I369" s="161"/>
      <c r="J369" s="161"/>
      <c r="K369" s="161"/>
      <c r="L369" s="161"/>
      <c r="M369" s="161"/>
      <c r="N369" s="161"/>
      <c r="O369" s="161"/>
      <c r="P369" s="161"/>
      <c r="Q369" s="161"/>
      <c r="R369" s="161"/>
      <c r="S369" s="161"/>
      <c r="T369" s="161"/>
      <c r="U369" s="161"/>
      <c r="V369" s="161"/>
      <c r="W369" s="161"/>
      <c r="X369" s="161"/>
      <c r="Y369" s="161"/>
      <c r="Z369" s="161"/>
      <c r="AA369" s="161"/>
      <c r="AB369" s="161"/>
      <c r="AC369" s="161"/>
      <c r="AD369" s="161"/>
      <c r="AE369" s="161"/>
      <c r="AF369" s="161"/>
      <c r="AG369" s="161"/>
      <c r="AH369" s="161"/>
    </row>
    <row r="370" spans="1:34" ht="13.8" thickBot="1">
      <c r="A370" s="185" t="s">
        <v>808</v>
      </c>
      <c r="B370" s="161"/>
      <c r="C370" s="161"/>
      <c r="D370" s="161"/>
      <c r="E370" s="161"/>
      <c r="F370" s="161"/>
      <c r="G370" s="161"/>
      <c r="H370" s="161"/>
      <c r="I370" s="161"/>
      <c r="J370" s="161"/>
      <c r="K370" s="161"/>
      <c r="L370" s="161"/>
      <c r="M370" s="161"/>
      <c r="N370" s="352"/>
      <c r="O370" s="161"/>
      <c r="P370" s="161"/>
      <c r="Q370" s="161"/>
      <c r="R370" s="161"/>
      <c r="S370" s="161"/>
      <c r="T370" s="161"/>
      <c r="U370" s="161"/>
      <c r="V370" s="161"/>
      <c r="W370" s="161"/>
      <c r="X370" s="161"/>
      <c r="Y370" s="161"/>
      <c r="Z370" s="161"/>
      <c r="AA370" s="161"/>
      <c r="AB370" s="161"/>
      <c r="AC370" s="161"/>
      <c r="AD370" s="161"/>
      <c r="AE370" s="161"/>
      <c r="AF370" s="161"/>
      <c r="AG370" s="161"/>
      <c r="AH370" s="161"/>
    </row>
    <row r="371" spans="1:34" ht="13.8" thickBot="1">
      <c r="A371" s="441" t="s">
        <v>806</v>
      </c>
      <c r="B371" s="441"/>
      <c r="C371" s="441"/>
      <c r="D371" s="441"/>
      <c r="E371" s="441"/>
      <c r="F371" s="441"/>
      <c r="G371" s="441"/>
      <c r="H371" s="441"/>
      <c r="I371" s="441"/>
      <c r="J371" s="441"/>
      <c r="K371" s="441"/>
      <c r="L371" s="441"/>
      <c r="M371" s="520"/>
      <c r="N371" s="490">
        <f>(2.53*KFC!$B$20+KFC!$C$20)*KFC!$C$5</f>
        <v>2.5299999999999998</v>
      </c>
      <c r="O371" s="497" t="s">
        <v>744</v>
      </c>
      <c r="Q371" s="185"/>
      <c r="R371" s="161"/>
      <c r="S371" s="161"/>
      <c r="T371" s="161"/>
      <c r="U371" s="161"/>
      <c r="V371" s="161"/>
      <c r="W371" s="161"/>
      <c r="X371" s="161"/>
      <c r="Y371" s="161"/>
      <c r="Z371" s="161"/>
      <c r="AA371" s="161"/>
      <c r="AB371" s="161"/>
      <c r="AC371" s="161"/>
      <c r="AD371" s="161"/>
      <c r="AE371" s="161"/>
      <c r="AF371" s="161"/>
      <c r="AG371" s="161"/>
      <c r="AH371" s="161"/>
    </row>
    <row r="372" spans="1:34" ht="22.95" customHeight="1" thickBot="1">
      <c r="A372" s="1783" t="s">
        <v>692</v>
      </c>
      <c r="B372" s="1783"/>
      <c r="C372" s="1783"/>
      <c r="D372" s="1783"/>
      <c r="E372" s="1783"/>
      <c r="F372" s="1783"/>
      <c r="G372" s="1783"/>
      <c r="H372" s="1783"/>
      <c r="I372" s="1783"/>
      <c r="J372" s="1783"/>
      <c r="K372" s="1783"/>
      <c r="L372" s="1783"/>
      <c r="M372" s="1783"/>
      <c r="N372" s="1643"/>
      <c r="O372" s="1783"/>
      <c r="P372" s="1783"/>
      <c r="Q372" s="1783"/>
      <c r="R372" s="1783"/>
      <c r="S372" s="1783"/>
      <c r="T372" s="1783"/>
      <c r="U372" s="1783"/>
      <c r="V372" s="1783"/>
      <c r="W372" s="1783"/>
      <c r="X372" s="1783"/>
      <c r="Y372" s="1783"/>
      <c r="Z372" s="1783"/>
      <c r="AA372" s="1783"/>
      <c r="AB372" s="1783"/>
      <c r="AC372" s="1783"/>
      <c r="AD372" s="161"/>
      <c r="AE372" s="161"/>
      <c r="AF372" s="161"/>
      <c r="AG372" s="161"/>
      <c r="AH372" s="161"/>
    </row>
    <row r="373" spans="1:34" ht="22.95" customHeight="1" thickBot="1">
      <c r="A373" s="1644" t="s">
        <v>693</v>
      </c>
      <c r="B373" s="1644"/>
      <c r="C373" s="1644"/>
      <c r="D373" s="1644"/>
      <c r="E373" s="1644"/>
      <c r="F373" s="1644"/>
      <c r="G373" s="1644"/>
      <c r="H373" s="1644"/>
      <c r="I373" s="1644"/>
      <c r="J373" s="1644"/>
      <c r="K373" s="1644"/>
      <c r="L373" s="1644"/>
      <c r="M373" s="1644"/>
      <c r="N373" s="1644"/>
      <c r="O373" s="1644"/>
      <c r="P373" s="1644"/>
      <c r="Q373" s="1644"/>
      <c r="R373" s="1644"/>
      <c r="S373" s="1644"/>
      <c r="T373" s="1644"/>
      <c r="U373" s="1644"/>
      <c r="V373" s="1644"/>
      <c r="W373" s="1644"/>
      <c r="X373" s="1644"/>
      <c r="Y373" s="1644"/>
      <c r="Z373" s="1644"/>
      <c r="AA373" s="1644"/>
      <c r="AB373" s="1644"/>
      <c r="AC373" s="1644"/>
      <c r="AD373" s="161"/>
      <c r="AE373" s="161"/>
      <c r="AF373" s="161"/>
      <c r="AG373" s="161"/>
      <c r="AH373" s="161"/>
    </row>
    <row r="374" spans="1:34" ht="28.95" customHeight="1" thickBot="1">
      <c r="A374" s="1"/>
      <c r="B374" s="1"/>
      <c r="C374" s="1"/>
      <c r="D374" s="1"/>
      <c r="E374" s="1"/>
      <c r="F374" s="1"/>
      <c r="G374" s="1"/>
      <c r="H374" s="1638" t="s">
        <v>88</v>
      </c>
      <c r="I374" s="1639"/>
      <c r="J374" s="1640"/>
      <c r="K374" s="1114" t="s">
        <v>87</v>
      </c>
      <c r="L374" s="1006"/>
      <c r="M374" s="1006"/>
      <c r="N374" s="1006"/>
      <c r="O374" s="1006"/>
      <c r="P374" s="1006"/>
      <c r="Q374" s="1006"/>
      <c r="R374" s="1006"/>
      <c r="S374" s="1115"/>
      <c r="T374" s="1641" t="s">
        <v>24</v>
      </c>
      <c r="U374" s="1642"/>
      <c r="V374" s="1"/>
      <c r="W374" s="1"/>
      <c r="X374" s="1"/>
      <c r="Y374" s="1"/>
      <c r="Z374" s="1"/>
      <c r="AA374" s="1"/>
      <c r="AB374" s="1"/>
      <c r="AC374" s="1"/>
      <c r="AD374" s="161"/>
      <c r="AE374" s="161"/>
      <c r="AF374" s="161"/>
      <c r="AG374" s="161"/>
      <c r="AH374" s="161"/>
    </row>
    <row r="375" spans="1:34" ht="27.6" customHeight="1" thickBot="1">
      <c r="A375" s="1"/>
      <c r="B375" s="1"/>
      <c r="C375" s="1"/>
      <c r="D375" s="1"/>
      <c r="E375" s="1"/>
      <c r="F375" s="1"/>
      <c r="G375" s="1"/>
      <c r="H375" s="1198" t="s">
        <v>488</v>
      </c>
      <c r="I375" s="1199"/>
      <c r="J375" s="1199"/>
      <c r="K375" s="1199"/>
      <c r="L375" s="1199"/>
      <c r="M375" s="1199"/>
      <c r="N375" s="1199"/>
      <c r="O375" s="1199"/>
      <c r="P375" s="1199"/>
      <c r="Q375" s="1199"/>
      <c r="R375" s="1199"/>
      <c r="S375" s="1199"/>
      <c r="T375" s="1199"/>
      <c r="U375" s="1200"/>
      <c r="V375" s="1"/>
      <c r="W375" s="1"/>
      <c r="X375" s="1"/>
      <c r="Y375" s="1"/>
      <c r="Z375" s="1"/>
      <c r="AA375" s="1"/>
      <c r="AB375" s="1"/>
      <c r="AC375" s="1"/>
      <c r="AD375" s="161"/>
      <c r="AE375" s="161"/>
      <c r="AF375" s="161"/>
      <c r="AG375" s="161"/>
      <c r="AH375" s="161"/>
    </row>
    <row r="376" spans="1:34" ht="15.75" customHeight="1" thickBot="1">
      <c r="A376" s="1"/>
      <c r="B376" s="1"/>
      <c r="C376" s="1"/>
      <c r="D376" s="1"/>
      <c r="E376" s="1"/>
      <c r="F376" s="1"/>
      <c r="G376" s="1"/>
      <c r="H376" s="1653" t="s">
        <v>695</v>
      </c>
      <c r="I376" s="1654"/>
      <c r="J376" s="1654"/>
      <c r="K376" s="1117" t="s">
        <v>704</v>
      </c>
      <c r="L376" s="1117"/>
      <c r="M376" s="1117"/>
      <c r="N376" s="1117"/>
      <c r="O376" s="1117"/>
      <c r="P376" s="1117"/>
      <c r="Q376" s="1117"/>
      <c r="R376" s="1117"/>
      <c r="S376" s="1117"/>
      <c r="T376" s="1655">
        <f>(348.1*KFC!$B$41+KFC!$C$41)*KFC!$C$5</f>
        <v>348.1</v>
      </c>
      <c r="U376" s="1656"/>
      <c r="V376" s="1"/>
      <c r="W376" s="1"/>
      <c r="X376" s="1"/>
      <c r="Y376" s="1"/>
      <c r="Z376" s="1"/>
      <c r="AA376" s="1"/>
      <c r="AB376" s="1"/>
      <c r="AC376" s="1"/>
      <c r="AD376" s="161"/>
      <c r="AE376" s="161"/>
      <c r="AF376" s="161"/>
      <c r="AG376" s="161"/>
      <c r="AH376" s="161"/>
    </row>
    <row r="377" spans="1:34" ht="15.75" customHeight="1" thickBot="1">
      <c r="A377" s="1"/>
      <c r="B377" s="1"/>
      <c r="C377" s="1"/>
      <c r="D377" s="1"/>
      <c r="E377" s="1"/>
      <c r="F377" s="1"/>
      <c r="G377" s="1"/>
      <c r="H377" s="1035"/>
      <c r="I377" s="1218"/>
      <c r="J377" s="1218"/>
      <c r="K377" s="1647" t="s">
        <v>852</v>
      </c>
      <c r="L377" s="1118"/>
      <c r="M377" s="1118"/>
      <c r="N377" s="1118"/>
      <c r="O377" s="1118"/>
      <c r="P377" s="1118"/>
      <c r="Q377" s="1118"/>
      <c r="R377" s="1118"/>
      <c r="S377" s="1118"/>
      <c r="T377" s="1293"/>
      <c r="U377" s="1294"/>
      <c r="V377" s="1"/>
      <c r="W377" s="1"/>
      <c r="X377" s="1"/>
      <c r="Y377" s="1"/>
      <c r="Z377" s="1"/>
      <c r="AA377" s="1"/>
      <c r="AB377" s="1"/>
      <c r="AC377" s="1"/>
      <c r="AD377" s="161"/>
      <c r="AE377" s="161"/>
      <c r="AF377" s="161"/>
      <c r="AG377" s="161"/>
      <c r="AH377" s="161"/>
    </row>
    <row r="378" spans="1:34" ht="15.75" customHeight="1" thickBot="1">
      <c r="A378" s="1"/>
      <c r="B378" s="1"/>
      <c r="C378" s="1"/>
      <c r="D378" s="1"/>
      <c r="E378" s="1"/>
      <c r="F378" s="1"/>
      <c r="G378" s="1"/>
      <c r="H378" s="1035" t="s">
        <v>698</v>
      </c>
      <c r="I378" s="1218"/>
      <c r="J378" s="1218"/>
      <c r="K378" s="1118" t="s">
        <v>705</v>
      </c>
      <c r="L378" s="1118"/>
      <c r="M378" s="1118"/>
      <c r="N378" s="1118"/>
      <c r="O378" s="1118"/>
      <c r="P378" s="1118"/>
      <c r="Q378" s="1118"/>
      <c r="R378" s="1118"/>
      <c r="S378" s="1118"/>
      <c r="T378" s="1293">
        <f>(493.7*KFC!$B$41+KFC!$C$41)*KFC!$C$5</f>
        <v>493.7</v>
      </c>
      <c r="U378" s="1294"/>
      <c r="V378" s="1"/>
      <c r="W378" s="1"/>
      <c r="X378" s="1"/>
      <c r="Y378" s="1"/>
      <c r="Z378" s="1"/>
      <c r="AA378" s="1"/>
      <c r="AB378" s="1"/>
      <c r="AC378" s="1"/>
      <c r="AD378" s="161"/>
      <c r="AE378" s="161"/>
      <c r="AF378" s="161"/>
      <c r="AG378" s="161"/>
      <c r="AH378" s="161"/>
    </row>
    <row r="379" spans="1:34" ht="15.75" customHeight="1" thickBot="1">
      <c r="A379" s="1"/>
      <c r="B379" s="1"/>
      <c r="C379" s="1"/>
      <c r="D379" s="1"/>
      <c r="E379" s="1"/>
      <c r="F379" s="1"/>
      <c r="G379" s="1"/>
      <c r="H379" s="1035"/>
      <c r="I379" s="1218"/>
      <c r="J379" s="1218"/>
      <c r="K379" s="1647" t="s">
        <v>853</v>
      </c>
      <c r="L379" s="1118"/>
      <c r="M379" s="1118"/>
      <c r="N379" s="1118"/>
      <c r="O379" s="1118"/>
      <c r="P379" s="1118"/>
      <c r="Q379" s="1118"/>
      <c r="R379" s="1118"/>
      <c r="S379" s="1118"/>
      <c r="T379" s="1293"/>
      <c r="U379" s="1294"/>
      <c r="V379" s="1"/>
      <c r="W379" s="1"/>
      <c r="X379" s="1"/>
      <c r="Y379" s="1"/>
      <c r="Z379" s="1"/>
      <c r="AA379" s="1"/>
      <c r="AB379" s="1"/>
      <c r="AC379" s="1"/>
      <c r="AD379" s="161"/>
      <c r="AE379" s="161"/>
      <c r="AF379" s="161"/>
      <c r="AG379" s="161"/>
      <c r="AH379" s="161"/>
    </row>
    <row r="380" spans="1:34" ht="32.4" customHeight="1" thickBot="1">
      <c r="A380" s="1"/>
      <c r="B380" s="1"/>
      <c r="C380" s="1"/>
      <c r="D380" s="1"/>
      <c r="E380" s="1"/>
      <c r="F380" s="1"/>
      <c r="G380" s="1"/>
      <c r="H380" s="1035" t="s">
        <v>691</v>
      </c>
      <c r="I380" s="1218"/>
      <c r="J380" s="1218"/>
      <c r="K380" s="1650" t="s">
        <v>663</v>
      </c>
      <c r="L380" s="1650"/>
      <c r="M380" s="1650"/>
      <c r="N380" s="1650"/>
      <c r="O380" s="1650"/>
      <c r="P380" s="1650"/>
      <c r="Q380" s="1650"/>
      <c r="R380" s="1650"/>
      <c r="S380" s="1650"/>
      <c r="T380" s="1293">
        <f>(154.43*KFC!$B$41*1.45+KFC!$C$41)*KFC!$C$5</f>
        <v>223.92349999999999</v>
      </c>
      <c r="U380" s="1294"/>
      <c r="V380" s="1"/>
      <c r="W380" s="1"/>
      <c r="X380" s="1"/>
      <c r="Y380" s="1"/>
      <c r="Z380" s="1"/>
      <c r="AA380" s="1"/>
      <c r="AB380" s="1"/>
      <c r="AC380" s="1"/>
      <c r="AD380" s="161"/>
      <c r="AE380" s="161"/>
      <c r="AF380" s="161"/>
      <c r="AG380" s="161"/>
      <c r="AH380" s="161"/>
    </row>
    <row r="381" spans="1:34" ht="21.75" customHeight="1" thickBot="1">
      <c r="A381" s="1"/>
      <c r="B381" s="1"/>
      <c r="C381" s="1"/>
      <c r="D381" s="1"/>
      <c r="E381" s="1"/>
      <c r="F381" s="1"/>
      <c r="G381" s="1"/>
      <c r="H381" s="1648"/>
      <c r="I381" s="1649"/>
      <c r="J381" s="1649"/>
      <c r="K381" s="1647" t="s">
        <v>854</v>
      </c>
      <c r="L381" s="1650"/>
      <c r="M381" s="1650"/>
      <c r="N381" s="1650"/>
      <c r="O381" s="1650"/>
      <c r="P381" s="1650"/>
      <c r="Q381" s="1650"/>
      <c r="R381" s="1650"/>
      <c r="S381" s="1650"/>
      <c r="T381" s="1651"/>
      <c r="U381" s="1652"/>
      <c r="V381" s="1"/>
      <c r="W381" s="1"/>
      <c r="X381" s="1"/>
      <c r="Y381" s="1"/>
      <c r="Z381" s="1"/>
      <c r="AA381" s="1"/>
      <c r="AB381" s="1"/>
      <c r="AC381" s="1"/>
      <c r="AD381" s="161"/>
      <c r="AE381" s="161"/>
      <c r="AF381" s="161"/>
      <c r="AG381" s="161"/>
      <c r="AH381" s="161"/>
    </row>
    <row r="382" spans="1:34" ht="32.4" customHeight="1" thickBot="1">
      <c r="A382" s="1"/>
      <c r="B382" s="1"/>
      <c r="C382" s="1"/>
      <c r="D382" s="1"/>
      <c r="E382" s="1"/>
      <c r="F382" s="1"/>
      <c r="G382" s="1"/>
      <c r="H382" s="1035" t="s">
        <v>691</v>
      </c>
      <c r="I382" s="1218"/>
      <c r="J382" s="1218"/>
      <c r="K382" s="1650" t="s">
        <v>664</v>
      </c>
      <c r="L382" s="1650"/>
      <c r="M382" s="1650"/>
      <c r="N382" s="1650"/>
      <c r="O382" s="1650"/>
      <c r="P382" s="1650"/>
      <c r="Q382" s="1650"/>
      <c r="R382" s="1650"/>
      <c r="S382" s="1650"/>
      <c r="T382" s="1293">
        <f>(227.85*KFC!$B$41*1.45+KFC!$C$41)*KFC!$C$5</f>
        <v>330.38249999999999</v>
      </c>
      <c r="U382" s="1294"/>
      <c r="V382" s="1"/>
      <c r="W382" s="1"/>
      <c r="X382" s="1"/>
      <c r="Y382" s="1"/>
      <c r="Z382" s="1"/>
      <c r="AA382" s="1"/>
      <c r="AB382" s="1"/>
      <c r="AC382" s="1"/>
      <c r="AD382" s="161"/>
      <c r="AE382" s="161"/>
      <c r="AF382" s="161"/>
      <c r="AG382" s="161"/>
      <c r="AH382" s="161"/>
    </row>
    <row r="383" spans="1:34" ht="32.4" customHeight="1" thickBot="1">
      <c r="A383" s="1"/>
      <c r="B383" s="1"/>
      <c r="C383" s="1"/>
      <c r="D383" s="1"/>
      <c r="E383" s="1"/>
      <c r="F383" s="1"/>
      <c r="G383" s="1"/>
      <c r="H383" s="1035" t="s">
        <v>691</v>
      </c>
      <c r="I383" s="1218"/>
      <c r="J383" s="1218"/>
      <c r="K383" s="1650" t="s">
        <v>665</v>
      </c>
      <c r="L383" s="1650"/>
      <c r="M383" s="1650"/>
      <c r="N383" s="1650"/>
      <c r="O383" s="1650"/>
      <c r="P383" s="1650"/>
      <c r="Q383" s="1650"/>
      <c r="R383" s="1650"/>
      <c r="S383" s="1650"/>
      <c r="T383" s="1293">
        <f>(265.82*KFC!$B$41*1.45+KFC!$C$41)*KFC!$C$5</f>
        <v>385.43899999999996</v>
      </c>
      <c r="U383" s="1294"/>
      <c r="V383" s="1"/>
      <c r="W383" s="1"/>
      <c r="X383" s="1"/>
      <c r="Y383" s="1"/>
      <c r="Z383" s="1"/>
      <c r="AA383" s="1"/>
      <c r="AB383" s="1"/>
      <c r="AC383" s="1"/>
      <c r="AD383" s="161"/>
      <c r="AE383" s="161"/>
      <c r="AF383" s="161"/>
      <c r="AG383" s="161"/>
      <c r="AH383" s="161"/>
    </row>
    <row r="384" spans="1:34" ht="21.75" customHeight="1" thickBot="1">
      <c r="A384" s="1"/>
      <c r="B384" s="1"/>
      <c r="C384" s="1"/>
      <c r="D384" s="1"/>
      <c r="E384" s="1"/>
      <c r="F384" s="1"/>
      <c r="G384" s="1"/>
      <c r="H384" s="1648"/>
      <c r="I384" s="1649"/>
      <c r="J384" s="1649"/>
      <c r="K384" s="1647" t="s">
        <v>873</v>
      </c>
      <c r="L384" s="1650"/>
      <c r="M384" s="1650"/>
      <c r="N384" s="1650"/>
      <c r="O384" s="1650"/>
      <c r="P384" s="1650"/>
      <c r="Q384" s="1650"/>
      <c r="R384" s="1650"/>
      <c r="S384" s="1650"/>
      <c r="T384" s="1651"/>
      <c r="U384" s="1652"/>
      <c r="V384" s="1"/>
      <c r="W384" s="1"/>
      <c r="X384" s="1"/>
      <c r="Y384" s="1"/>
      <c r="Z384" s="1"/>
      <c r="AA384" s="1"/>
      <c r="AB384" s="1"/>
      <c r="AC384" s="1"/>
      <c r="AD384" s="161"/>
      <c r="AE384" s="161"/>
      <c r="AF384" s="161"/>
      <c r="AG384" s="161"/>
      <c r="AH384" s="161"/>
    </row>
    <row r="385" spans="1:34" ht="15.75" customHeight="1" thickBot="1">
      <c r="A385" s="1"/>
      <c r="B385" s="1"/>
      <c r="C385" s="1"/>
      <c r="D385" s="1"/>
      <c r="E385" s="1"/>
      <c r="F385" s="1"/>
      <c r="G385" s="1"/>
      <c r="H385" s="1035" t="s">
        <v>903</v>
      </c>
      <c r="I385" s="1218"/>
      <c r="J385" s="1218"/>
      <c r="K385" s="1118" t="s">
        <v>1039</v>
      </c>
      <c r="L385" s="1118"/>
      <c r="M385" s="1118"/>
      <c r="N385" s="1118"/>
      <c r="O385" s="1118"/>
      <c r="P385" s="1118"/>
      <c r="Q385" s="1118"/>
      <c r="R385" s="1118"/>
      <c r="S385" s="1118"/>
      <c r="T385" s="1293">
        <f>(120.3*KFC!$B$41+KFC!$C$41)*KFC!$C$5</f>
        <v>120.3</v>
      </c>
      <c r="U385" s="1294"/>
      <c r="V385" s="1"/>
      <c r="W385" s="1"/>
      <c r="X385" s="1"/>
      <c r="Y385" s="1"/>
      <c r="Z385" s="1"/>
      <c r="AA385" s="1"/>
      <c r="AB385" s="1"/>
      <c r="AC385" s="1"/>
      <c r="AD385" s="161"/>
      <c r="AE385" s="161"/>
      <c r="AF385" s="161"/>
      <c r="AG385" s="161"/>
      <c r="AH385" s="161"/>
    </row>
    <row r="386" spans="1:34" ht="15.75" customHeight="1" thickBot="1">
      <c r="A386" s="1"/>
      <c r="B386" s="1"/>
      <c r="C386" s="1"/>
      <c r="D386" s="1"/>
      <c r="E386" s="1"/>
      <c r="F386" s="1"/>
      <c r="G386" s="1"/>
      <c r="H386" s="1035"/>
      <c r="I386" s="1218"/>
      <c r="J386" s="1218"/>
      <c r="K386" s="1647" t="s">
        <v>855</v>
      </c>
      <c r="L386" s="1118"/>
      <c r="M386" s="1118"/>
      <c r="N386" s="1118"/>
      <c r="O386" s="1118"/>
      <c r="P386" s="1118"/>
      <c r="Q386" s="1118"/>
      <c r="R386" s="1118"/>
      <c r="S386" s="1118"/>
      <c r="T386" s="1293"/>
      <c r="U386" s="1294"/>
      <c r="V386" s="1"/>
      <c r="W386" s="1"/>
      <c r="X386" s="1"/>
      <c r="Y386" s="1"/>
      <c r="Z386" s="1"/>
      <c r="AA386" s="1"/>
      <c r="AB386" s="1"/>
      <c r="AC386" s="1"/>
      <c r="AD386" s="161"/>
      <c r="AE386" s="161"/>
      <c r="AF386" s="161"/>
      <c r="AG386" s="161"/>
      <c r="AH386" s="161"/>
    </row>
    <row r="387" spans="1:34" ht="28.2" customHeight="1" thickBot="1">
      <c r="A387" s="1"/>
      <c r="B387" s="1"/>
      <c r="C387" s="1"/>
      <c r="D387" s="1"/>
      <c r="E387" s="1"/>
      <c r="F387" s="1"/>
      <c r="G387" s="1"/>
      <c r="H387" s="1035" t="s">
        <v>903</v>
      </c>
      <c r="I387" s="1218"/>
      <c r="J387" s="1218"/>
      <c r="K387" s="1118" t="s">
        <v>1008</v>
      </c>
      <c r="L387" s="1118"/>
      <c r="M387" s="1118"/>
      <c r="N387" s="1118"/>
      <c r="O387" s="1118"/>
      <c r="P387" s="1118"/>
      <c r="Q387" s="1118"/>
      <c r="R387" s="1118"/>
      <c r="S387" s="1118"/>
      <c r="T387" s="1293">
        <f>(132.9*KFC!$B$41+KFC!$C$41)*KFC!$C$5</f>
        <v>132.9</v>
      </c>
      <c r="U387" s="1294"/>
      <c r="V387" s="1"/>
      <c r="W387" s="1"/>
      <c r="X387" s="1"/>
      <c r="Y387" s="1"/>
      <c r="Z387" s="1"/>
      <c r="AA387" s="1"/>
      <c r="AB387" s="1"/>
      <c r="AC387" s="1"/>
      <c r="AD387" s="161"/>
      <c r="AE387" s="161"/>
      <c r="AF387" s="161"/>
      <c r="AG387" s="161"/>
      <c r="AH387" s="161"/>
    </row>
    <row r="388" spans="1:34" ht="29.4" customHeight="1" thickBot="1">
      <c r="A388" s="1"/>
      <c r="B388" s="1"/>
      <c r="C388" s="1"/>
      <c r="D388" s="1"/>
      <c r="E388" s="1"/>
      <c r="F388" s="1"/>
      <c r="G388" s="1"/>
      <c r="H388" s="1035"/>
      <c r="I388" s="1218"/>
      <c r="J388" s="1218"/>
      <c r="K388" s="1647" t="s">
        <v>856</v>
      </c>
      <c r="L388" s="1118"/>
      <c r="M388" s="1118"/>
      <c r="N388" s="1118"/>
      <c r="O388" s="1118"/>
      <c r="P388" s="1118"/>
      <c r="Q388" s="1118"/>
      <c r="R388" s="1118"/>
      <c r="S388" s="1118"/>
      <c r="T388" s="1293"/>
      <c r="U388" s="1294"/>
      <c r="V388" s="1"/>
      <c r="W388" s="1"/>
      <c r="X388" s="1"/>
      <c r="Y388" s="1"/>
      <c r="Z388" s="1"/>
      <c r="AA388" s="1"/>
      <c r="AB388" s="1"/>
      <c r="AC388" s="1"/>
      <c r="AD388" s="161"/>
      <c r="AE388" s="161"/>
      <c r="AF388" s="161"/>
      <c r="AG388" s="161"/>
      <c r="AH388" s="161"/>
    </row>
    <row r="389" spans="1:34" ht="15.6" customHeight="1" thickBot="1">
      <c r="A389" s="1"/>
      <c r="B389" s="1"/>
      <c r="C389" s="1"/>
      <c r="D389" s="1"/>
      <c r="E389" s="1"/>
      <c r="F389" s="1"/>
      <c r="G389" s="1"/>
      <c r="H389" s="1526" t="s">
        <v>904</v>
      </c>
      <c r="I389" s="1252"/>
      <c r="J389" s="1253"/>
      <c r="K389" s="1650" t="s">
        <v>1003</v>
      </c>
      <c r="L389" s="1650"/>
      <c r="M389" s="1650"/>
      <c r="N389" s="1650"/>
      <c r="O389" s="1650"/>
      <c r="P389" s="1650"/>
      <c r="Q389" s="1650"/>
      <c r="R389" s="1650"/>
      <c r="S389" s="1650"/>
      <c r="T389" s="1657">
        <f>(177*KFC!$B$41+KFC!$C$41)*KFC!$C$5</f>
        <v>177</v>
      </c>
      <c r="U389" s="1658"/>
      <c r="V389" s="1"/>
      <c r="W389" s="1"/>
      <c r="X389" s="1"/>
      <c r="Y389" s="1"/>
      <c r="Z389" s="1"/>
      <c r="AA389" s="1"/>
      <c r="AB389" s="1"/>
      <c r="AC389" s="1"/>
      <c r="AD389" s="161"/>
      <c r="AE389" s="161"/>
      <c r="AF389" s="161"/>
      <c r="AG389" s="161"/>
      <c r="AH389" s="161"/>
    </row>
    <row r="390" spans="1:34" ht="15.6" customHeight="1" thickBot="1">
      <c r="A390" s="1"/>
      <c r="B390" s="1"/>
      <c r="C390" s="1"/>
      <c r="D390" s="1"/>
      <c r="E390" s="1"/>
      <c r="F390" s="1"/>
      <c r="G390" s="1"/>
      <c r="H390" s="1663"/>
      <c r="I390" s="1255"/>
      <c r="J390" s="1256"/>
      <c r="K390" s="1784" t="s">
        <v>1002</v>
      </c>
      <c r="L390" s="1785"/>
      <c r="M390" s="1785"/>
      <c r="N390" s="1785"/>
      <c r="O390" s="1785"/>
      <c r="P390" s="1785"/>
      <c r="Q390" s="1785"/>
      <c r="R390" s="1785"/>
      <c r="S390" s="1786"/>
      <c r="T390" s="1659"/>
      <c r="U390" s="1660"/>
      <c r="V390" s="1"/>
      <c r="W390" s="1"/>
      <c r="X390" s="1"/>
      <c r="Y390" s="1"/>
      <c r="Z390" s="1"/>
      <c r="AA390" s="1"/>
      <c r="AB390" s="1"/>
      <c r="AC390" s="1"/>
      <c r="AD390" s="161"/>
      <c r="AE390" s="161"/>
      <c r="AF390" s="161"/>
      <c r="AG390" s="161"/>
      <c r="AH390" s="161"/>
    </row>
    <row r="391" spans="1:34" ht="30.6" customHeight="1" thickBot="1">
      <c r="A391" s="1"/>
      <c r="B391" s="1"/>
      <c r="C391" s="1"/>
      <c r="D391" s="1"/>
      <c r="E391" s="1"/>
      <c r="F391" s="1"/>
      <c r="G391" s="1"/>
      <c r="H391" s="1035" t="s">
        <v>904</v>
      </c>
      <c r="I391" s="1218"/>
      <c r="J391" s="1218"/>
      <c r="K391" s="1650" t="s">
        <v>912</v>
      </c>
      <c r="L391" s="1650"/>
      <c r="M391" s="1650"/>
      <c r="N391" s="1650"/>
      <c r="O391" s="1650"/>
      <c r="P391" s="1650"/>
      <c r="Q391" s="1650"/>
      <c r="R391" s="1650"/>
      <c r="S391" s="1650"/>
      <c r="T391" s="1293">
        <f>(120.3*KFC!$B$41+KFC!$C$41)*KFC!$C$5</f>
        <v>120.3</v>
      </c>
      <c r="U391" s="1294"/>
      <c r="V391" s="1"/>
      <c r="W391" s="1"/>
      <c r="X391" s="1"/>
      <c r="Y391" s="1"/>
      <c r="Z391" s="1"/>
      <c r="AA391" s="1"/>
      <c r="AB391" s="1"/>
      <c r="AC391" s="1"/>
      <c r="AD391" s="161"/>
      <c r="AE391" s="161"/>
      <c r="AF391" s="161"/>
      <c r="AG391" s="161"/>
      <c r="AH391" s="161"/>
    </row>
    <row r="392" spans="1:34" ht="30.6" customHeight="1" thickBot="1">
      <c r="A392" s="1"/>
      <c r="B392" s="1"/>
      <c r="C392" s="1"/>
      <c r="D392" s="1"/>
      <c r="E392" s="1"/>
      <c r="F392" s="1"/>
      <c r="G392" s="1"/>
      <c r="H392" s="1035" t="s">
        <v>904</v>
      </c>
      <c r="I392" s="1218"/>
      <c r="J392" s="1218"/>
      <c r="K392" s="1650" t="s">
        <v>913</v>
      </c>
      <c r="L392" s="1650"/>
      <c r="M392" s="1650"/>
      <c r="N392" s="1650"/>
      <c r="O392" s="1650"/>
      <c r="P392" s="1650"/>
      <c r="Q392" s="1650"/>
      <c r="R392" s="1650"/>
      <c r="S392" s="1650"/>
      <c r="T392" s="1293">
        <f>(126.6*KFC!$B$41+KFC!$C$41)*KFC!$C$5</f>
        <v>126.6</v>
      </c>
      <c r="U392" s="1294"/>
      <c r="V392" s="1"/>
      <c r="W392" s="1"/>
      <c r="X392" s="1"/>
      <c r="Y392" s="1"/>
      <c r="Z392" s="1"/>
      <c r="AA392" s="1"/>
      <c r="AB392" s="1"/>
      <c r="AC392" s="1"/>
      <c r="AD392" s="161"/>
      <c r="AE392" s="161"/>
      <c r="AF392" s="161"/>
      <c r="AG392" s="161"/>
      <c r="AH392" s="161"/>
    </row>
    <row r="393" spans="1:34" ht="30.6" customHeight="1" thickBot="1">
      <c r="A393" s="1"/>
      <c r="B393" s="1"/>
      <c r="C393" s="1"/>
      <c r="D393" s="1"/>
      <c r="E393" s="1"/>
      <c r="F393" s="1"/>
      <c r="G393" s="1"/>
      <c r="H393" s="1035" t="s">
        <v>904</v>
      </c>
      <c r="I393" s="1218"/>
      <c r="J393" s="1218"/>
      <c r="K393" s="1650" t="s">
        <v>914</v>
      </c>
      <c r="L393" s="1650"/>
      <c r="M393" s="1650"/>
      <c r="N393" s="1650"/>
      <c r="O393" s="1650"/>
      <c r="P393" s="1650"/>
      <c r="Q393" s="1650"/>
      <c r="R393" s="1650"/>
      <c r="S393" s="1650"/>
      <c r="T393" s="1293">
        <f>(126.3*KFC!$B$41+KFC!$C$41)*KFC!$C$5</f>
        <v>126.3</v>
      </c>
      <c r="U393" s="1294"/>
      <c r="V393" s="1"/>
      <c r="W393" s="1"/>
      <c r="X393" s="1"/>
      <c r="Y393" s="1"/>
      <c r="Z393" s="1"/>
      <c r="AA393" s="1"/>
      <c r="AB393" s="1"/>
      <c r="AC393" s="1"/>
      <c r="AD393" s="161"/>
      <c r="AE393" s="161"/>
      <c r="AF393" s="161"/>
      <c r="AG393" s="161"/>
      <c r="AH393" s="161"/>
    </row>
    <row r="394" spans="1:34" ht="30" customHeight="1" thickBot="1">
      <c r="A394" s="1"/>
      <c r="B394" s="1"/>
      <c r="C394" s="1"/>
      <c r="D394" s="1"/>
      <c r="E394" s="1"/>
      <c r="F394" s="1"/>
      <c r="G394" s="1"/>
      <c r="H394" s="1035" t="s">
        <v>904</v>
      </c>
      <c r="I394" s="1218"/>
      <c r="J394" s="1218"/>
      <c r="K394" s="1650" t="s">
        <v>905</v>
      </c>
      <c r="L394" s="1650"/>
      <c r="M394" s="1650"/>
      <c r="N394" s="1650"/>
      <c r="O394" s="1650"/>
      <c r="P394" s="1650"/>
      <c r="Q394" s="1650"/>
      <c r="R394" s="1650"/>
      <c r="S394" s="1650"/>
      <c r="T394" s="1293">
        <f>(173.42*KFC!$B$41+KFC!$C$41)*KFC!$C$5</f>
        <v>173.42</v>
      </c>
      <c r="U394" s="1294"/>
      <c r="V394" s="1"/>
      <c r="W394" s="1"/>
      <c r="X394" s="1"/>
      <c r="Y394" s="1"/>
      <c r="Z394" s="1"/>
      <c r="AA394" s="1"/>
      <c r="AB394" s="1"/>
      <c r="AC394" s="1"/>
      <c r="AD394" s="161"/>
      <c r="AE394" s="161"/>
      <c r="AF394" s="161"/>
      <c r="AG394" s="161"/>
      <c r="AH394" s="161"/>
    </row>
    <row r="395" spans="1:34" ht="30" customHeight="1" thickBot="1">
      <c r="A395" s="1"/>
      <c r="B395" s="1"/>
      <c r="C395" s="1"/>
      <c r="D395" s="1"/>
      <c r="E395" s="1"/>
      <c r="F395" s="1"/>
      <c r="G395" s="1"/>
      <c r="H395" s="1036" t="s">
        <v>904</v>
      </c>
      <c r="I395" s="1564"/>
      <c r="J395" s="1564"/>
      <c r="K395" s="1556" t="s">
        <v>924</v>
      </c>
      <c r="L395" s="1556"/>
      <c r="M395" s="1556"/>
      <c r="N395" s="1556"/>
      <c r="O395" s="1556"/>
      <c r="P395" s="1556"/>
      <c r="Q395" s="1556"/>
      <c r="R395" s="1556"/>
      <c r="S395" s="1556"/>
      <c r="T395" s="1295">
        <f>(194.8*KFC!$B$41+KFC!$C$41)*KFC!$C$5</f>
        <v>194.8</v>
      </c>
      <c r="U395" s="1296"/>
      <c r="V395" s="1"/>
      <c r="W395" s="1"/>
      <c r="X395" s="1"/>
      <c r="Y395" s="1"/>
      <c r="Z395" s="1"/>
      <c r="AA395" s="1"/>
      <c r="AB395" s="1"/>
      <c r="AC395" s="1"/>
      <c r="AD395" s="161"/>
      <c r="AE395" s="161"/>
      <c r="AF395" s="161"/>
      <c r="AG395" s="161"/>
      <c r="AH395" s="161"/>
    </row>
    <row r="396" spans="1:34" ht="13.8" thickBot="1">
      <c r="A396" s="398"/>
      <c r="B396" s="398"/>
      <c r="C396" s="398"/>
      <c r="D396" s="398"/>
      <c r="E396" s="398"/>
      <c r="F396" s="398"/>
      <c r="G396" s="398"/>
      <c r="H396" s="398"/>
      <c r="I396" s="398"/>
      <c r="J396" s="398"/>
      <c r="K396" s="398"/>
      <c r="L396" s="398"/>
      <c r="M396" s="398"/>
      <c r="N396" s="399"/>
      <c r="O396" s="326"/>
      <c r="P396" s="326"/>
      <c r="Q396" s="326"/>
      <c r="R396" s="326"/>
      <c r="S396" s="326"/>
      <c r="T396" s="326"/>
      <c r="U396" s="326"/>
      <c r="V396" s="326"/>
      <c r="W396" s="326"/>
      <c r="X396" s="326"/>
      <c r="Y396" s="326"/>
      <c r="Z396" s="326"/>
      <c r="AA396" s="326"/>
      <c r="AB396" s="326"/>
      <c r="AC396" s="465"/>
      <c r="AD396" s="161"/>
      <c r="AE396" s="161"/>
      <c r="AF396" s="161"/>
      <c r="AG396" s="161"/>
      <c r="AH396" s="161"/>
    </row>
    <row r="397" spans="1:34" ht="13.8" thickBot="1">
      <c r="A397" s="58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61"/>
      <c r="AE397" s="161"/>
      <c r="AF397" s="161"/>
      <c r="AG397" s="161"/>
      <c r="AH397" s="161"/>
    </row>
    <row r="398" spans="1:34" ht="30" customHeight="1" thickBot="1">
      <c r="A398" s="1"/>
      <c r="B398" s="1"/>
      <c r="C398" s="1"/>
      <c r="D398" s="1"/>
      <c r="E398" s="1"/>
      <c r="F398" s="1"/>
      <c r="G398" s="1"/>
      <c r="H398" s="1664" t="s">
        <v>694</v>
      </c>
      <c r="I398" s="1664"/>
      <c r="J398" s="1664"/>
      <c r="K398" s="1664"/>
      <c r="L398" s="1664"/>
      <c r="M398" s="1664"/>
      <c r="N398" s="1664"/>
      <c r="O398" s="1664"/>
      <c r="P398" s="1664"/>
      <c r="Q398" s="1664"/>
      <c r="R398" s="1664"/>
      <c r="S398" s="1664"/>
      <c r="T398" s="1664"/>
      <c r="U398" s="1664"/>
      <c r="V398" s="1664"/>
      <c r="W398" s="1664"/>
      <c r="X398" s="1664"/>
      <c r="Y398" s="1"/>
      <c r="Z398" s="1"/>
      <c r="AA398" s="1"/>
      <c r="AB398" s="1"/>
      <c r="AC398" s="1"/>
      <c r="AD398" s="161"/>
      <c r="AE398" s="161"/>
      <c r="AF398" s="161"/>
      <c r="AG398" s="161"/>
      <c r="AH398" s="161"/>
    </row>
    <row r="399" spans="1:34" ht="31.95" customHeight="1" thickBot="1">
      <c r="A399" s="1"/>
      <c r="B399" s="1"/>
      <c r="C399" s="1"/>
      <c r="D399" s="1"/>
      <c r="E399" s="1"/>
      <c r="F399" s="1"/>
      <c r="G399" s="1"/>
      <c r="H399" s="1665" t="s">
        <v>88</v>
      </c>
      <c r="I399" s="1666"/>
      <c r="J399" s="1666"/>
      <c r="K399" s="1051" t="s">
        <v>87</v>
      </c>
      <c r="L399" s="1052"/>
      <c r="M399" s="1052"/>
      <c r="N399" s="1052"/>
      <c r="O399" s="1052"/>
      <c r="P399" s="1052"/>
      <c r="Q399" s="1052"/>
      <c r="R399" s="1052"/>
      <c r="S399" s="1052"/>
      <c r="T399" s="1053"/>
      <c r="U399" s="1049" t="s">
        <v>24</v>
      </c>
      <c r="V399" s="1667"/>
      <c r="W399" s="1667"/>
      <c r="X399" s="1050"/>
      <c r="Y399" s="1"/>
      <c r="Z399" s="1"/>
      <c r="AA399" s="1"/>
      <c r="AB399" s="1"/>
      <c r="AC399" s="1"/>
      <c r="AD399" s="161"/>
      <c r="AE399" s="161"/>
      <c r="AF399" s="161"/>
      <c r="AG399" s="161"/>
      <c r="AH399" s="161"/>
    </row>
    <row r="400" spans="1:34" ht="23.1" customHeight="1" thickBot="1">
      <c r="A400" s="1"/>
      <c r="B400" s="1"/>
      <c r="C400" s="1"/>
      <c r="D400" s="1"/>
      <c r="E400" s="1"/>
      <c r="F400" s="1"/>
      <c r="G400" s="1"/>
      <c r="H400" s="1668" t="s">
        <v>689</v>
      </c>
      <c r="I400" s="1669"/>
      <c r="J400" s="1669"/>
      <c r="K400" s="1192" t="s">
        <v>644</v>
      </c>
      <c r="L400" s="1193"/>
      <c r="M400" s="1193"/>
      <c r="N400" s="1193"/>
      <c r="O400" s="1193"/>
      <c r="P400" s="1193"/>
      <c r="Q400" s="1193"/>
      <c r="R400" s="1193"/>
      <c r="S400" s="1193"/>
      <c r="T400" s="1194"/>
      <c r="U400" s="1672">
        <f>(44.31*KFC!$B$41*1.6+KFC!$C$41)*KFC!$C$5</f>
        <v>70.896000000000001</v>
      </c>
      <c r="V400" s="1673"/>
      <c r="W400" s="1673"/>
      <c r="X400" s="1674"/>
      <c r="Y400" s="1"/>
      <c r="Z400" s="1"/>
      <c r="AA400" s="1"/>
      <c r="AB400" s="1"/>
      <c r="AC400" s="1"/>
      <c r="AD400" s="161"/>
      <c r="AE400" s="161"/>
      <c r="AF400" s="161"/>
      <c r="AG400" s="161"/>
      <c r="AH400" s="161"/>
    </row>
    <row r="401" spans="1:34" ht="23.1" customHeight="1" thickBot="1">
      <c r="A401" s="1"/>
      <c r="B401" s="1"/>
      <c r="C401" s="1"/>
      <c r="D401" s="1"/>
      <c r="E401" s="1"/>
      <c r="F401" s="1"/>
      <c r="G401" s="1"/>
      <c r="H401" s="1670"/>
      <c r="I401" s="1671"/>
      <c r="J401" s="1671"/>
      <c r="K401" s="1388" t="s">
        <v>858</v>
      </c>
      <c r="L401" s="1678"/>
      <c r="M401" s="1678"/>
      <c r="N401" s="1678"/>
      <c r="O401" s="1678"/>
      <c r="P401" s="1678"/>
      <c r="Q401" s="1678"/>
      <c r="R401" s="1678"/>
      <c r="S401" s="1678"/>
      <c r="T401" s="1679"/>
      <c r="U401" s="1675"/>
      <c r="V401" s="1676"/>
      <c r="W401" s="1676"/>
      <c r="X401" s="1677"/>
      <c r="Y401" s="1"/>
      <c r="Z401" s="1"/>
      <c r="AA401" s="1"/>
      <c r="AB401" s="1"/>
      <c r="AC401" s="1"/>
      <c r="AD401" s="161"/>
      <c r="AE401" s="161"/>
      <c r="AF401" s="161"/>
      <c r="AG401" s="161"/>
      <c r="AH401" s="161"/>
    </row>
    <row r="402" spans="1:34" ht="23.1" customHeight="1" thickBot="1">
      <c r="A402" s="1"/>
      <c r="B402" s="1"/>
      <c r="C402" s="1"/>
      <c r="D402" s="1"/>
      <c r="E402" s="1"/>
      <c r="F402" s="1"/>
      <c r="G402" s="1"/>
      <c r="H402" s="1680" t="s">
        <v>689</v>
      </c>
      <c r="I402" s="1681"/>
      <c r="J402" s="1681"/>
      <c r="K402" s="1170" t="s">
        <v>645</v>
      </c>
      <c r="L402" s="1171"/>
      <c r="M402" s="1171"/>
      <c r="N402" s="1171"/>
      <c r="O402" s="1171"/>
      <c r="P402" s="1171"/>
      <c r="Q402" s="1171"/>
      <c r="R402" s="1171"/>
      <c r="S402" s="1171"/>
      <c r="T402" s="1172"/>
      <c r="U402" s="1657">
        <f>(75.95*KFC!$B$41*1.6+KFC!$C$41)*KFC!$C$5</f>
        <v>121.52000000000001</v>
      </c>
      <c r="V402" s="1682"/>
      <c r="W402" s="1682"/>
      <c r="X402" s="1658"/>
      <c r="Y402" s="1"/>
      <c r="Z402" s="1"/>
      <c r="AA402" s="1"/>
      <c r="AB402" s="1"/>
      <c r="AC402" s="1"/>
      <c r="AD402" s="161"/>
      <c r="AE402" s="161"/>
      <c r="AF402" s="161"/>
      <c r="AG402" s="161"/>
      <c r="AH402" s="161"/>
    </row>
    <row r="403" spans="1:34" ht="23.1" customHeight="1" thickBot="1">
      <c r="A403" s="1"/>
      <c r="B403" s="1"/>
      <c r="C403" s="1"/>
      <c r="D403" s="1"/>
      <c r="E403" s="1"/>
      <c r="F403" s="1"/>
      <c r="G403" s="1"/>
      <c r="H403" s="1670"/>
      <c r="I403" s="1671"/>
      <c r="J403" s="1671"/>
      <c r="K403" s="1388" t="s">
        <v>859</v>
      </c>
      <c r="L403" s="1678"/>
      <c r="M403" s="1678"/>
      <c r="N403" s="1678"/>
      <c r="O403" s="1678"/>
      <c r="P403" s="1678"/>
      <c r="Q403" s="1678"/>
      <c r="R403" s="1678"/>
      <c r="S403" s="1678"/>
      <c r="T403" s="1679"/>
      <c r="U403" s="1675"/>
      <c r="V403" s="1676"/>
      <c r="W403" s="1676"/>
      <c r="X403" s="1677"/>
      <c r="Y403" s="1"/>
      <c r="Z403" s="1"/>
      <c r="AA403" s="1"/>
      <c r="AB403" s="1"/>
      <c r="AC403" s="1"/>
      <c r="AD403" s="161"/>
      <c r="AE403" s="161"/>
      <c r="AF403" s="161"/>
      <c r="AG403" s="161"/>
      <c r="AH403" s="161"/>
    </row>
    <row r="404" spans="1:34" ht="23.1" customHeight="1" thickBot="1">
      <c r="A404" s="1"/>
      <c r="B404" s="1"/>
      <c r="C404" s="1"/>
      <c r="D404" s="1"/>
      <c r="E404" s="1"/>
      <c r="F404" s="1"/>
      <c r="G404" s="1"/>
      <c r="H404" s="1680" t="s">
        <v>695</v>
      </c>
      <c r="I404" s="1681"/>
      <c r="J404" s="1681"/>
      <c r="K404" s="1170" t="s">
        <v>91</v>
      </c>
      <c r="L404" s="1171"/>
      <c r="M404" s="1171"/>
      <c r="N404" s="1171"/>
      <c r="O404" s="1171"/>
      <c r="P404" s="1171"/>
      <c r="Q404" s="1171"/>
      <c r="R404" s="1171"/>
      <c r="S404" s="1171"/>
      <c r="T404" s="1172"/>
      <c r="U404" s="1657">
        <f>(181.52*KFC!$B$41*1.6+KFC!$C$41)*KFC!$C$5</f>
        <v>290.43200000000002</v>
      </c>
      <c r="V404" s="1682"/>
      <c r="W404" s="1682"/>
      <c r="X404" s="1658"/>
      <c r="Y404" s="1"/>
      <c r="Z404" s="1"/>
      <c r="AA404" s="1"/>
      <c r="AB404" s="1"/>
      <c r="AC404" s="1"/>
      <c r="AD404" s="161"/>
      <c r="AE404" s="161"/>
      <c r="AF404" s="161"/>
      <c r="AG404" s="161"/>
      <c r="AH404" s="161"/>
    </row>
    <row r="405" spans="1:34" ht="23.1" customHeight="1" thickBot="1">
      <c r="A405" s="1"/>
      <c r="B405" s="1"/>
      <c r="C405" s="1"/>
      <c r="D405" s="1"/>
      <c r="E405" s="1"/>
      <c r="F405" s="1"/>
      <c r="G405" s="1"/>
      <c r="H405" s="1670"/>
      <c r="I405" s="1671"/>
      <c r="J405" s="1671"/>
      <c r="K405" s="1388" t="s">
        <v>860</v>
      </c>
      <c r="L405" s="1678"/>
      <c r="M405" s="1678"/>
      <c r="N405" s="1678"/>
      <c r="O405" s="1678"/>
      <c r="P405" s="1678"/>
      <c r="Q405" s="1678"/>
      <c r="R405" s="1678"/>
      <c r="S405" s="1678"/>
      <c r="T405" s="1679"/>
      <c r="U405" s="1683"/>
      <c r="V405" s="1684"/>
      <c r="W405" s="1684"/>
      <c r="X405" s="1685"/>
      <c r="Y405" s="1"/>
      <c r="Z405" s="1"/>
      <c r="AA405" s="1"/>
      <c r="AB405" s="1"/>
      <c r="AC405" s="1"/>
      <c r="AD405" s="161"/>
      <c r="AE405" s="161"/>
      <c r="AF405" s="161"/>
      <c r="AG405" s="161"/>
      <c r="AH405" s="161"/>
    </row>
    <row r="406" spans="1:34" ht="23.1" customHeight="1" thickBot="1">
      <c r="A406" s="1"/>
      <c r="B406" s="1"/>
      <c r="C406" s="1"/>
      <c r="D406" s="1"/>
      <c r="E406" s="1"/>
      <c r="F406" s="1"/>
      <c r="G406" s="1"/>
      <c r="H406" s="1680" t="s">
        <v>696</v>
      </c>
      <c r="I406" s="1681"/>
      <c r="J406" s="1681"/>
      <c r="K406" s="1170" t="s">
        <v>819</v>
      </c>
      <c r="L406" s="1171"/>
      <c r="M406" s="1171"/>
      <c r="N406" s="1171"/>
      <c r="O406" s="1171"/>
      <c r="P406" s="1171"/>
      <c r="Q406" s="1171"/>
      <c r="R406" s="1171"/>
      <c r="S406" s="1171"/>
      <c r="T406" s="1171"/>
      <c r="U406" s="1657">
        <f>(95.07*KFC!$B$41*1.6+KFC!$C$41)*KFC!$C$5</f>
        <v>152.11199999999999</v>
      </c>
      <c r="V406" s="1682"/>
      <c r="W406" s="1682"/>
      <c r="X406" s="1658"/>
      <c r="Y406" s="1"/>
      <c r="Z406" s="1"/>
      <c r="AA406" s="1"/>
      <c r="AB406" s="1"/>
      <c r="AC406" s="1"/>
      <c r="AD406" s="161"/>
      <c r="AE406" s="161"/>
      <c r="AF406" s="161"/>
      <c r="AG406" s="161"/>
      <c r="AH406" s="161"/>
    </row>
    <row r="407" spans="1:34" ht="23.1" customHeight="1" thickBot="1">
      <c r="A407" s="1"/>
      <c r="B407" s="1"/>
      <c r="C407" s="1"/>
      <c r="D407" s="1"/>
      <c r="E407" s="1"/>
      <c r="F407" s="1"/>
      <c r="G407" s="1"/>
      <c r="H407" s="1670"/>
      <c r="I407" s="1671"/>
      <c r="J407" s="1671"/>
      <c r="K407" s="1388" t="s">
        <v>861</v>
      </c>
      <c r="L407" s="1678"/>
      <c r="M407" s="1678"/>
      <c r="N407" s="1678"/>
      <c r="O407" s="1678"/>
      <c r="P407" s="1678"/>
      <c r="Q407" s="1678"/>
      <c r="R407" s="1678"/>
      <c r="S407" s="1678"/>
      <c r="T407" s="1678"/>
      <c r="U407" s="559"/>
      <c r="V407" s="560"/>
      <c r="W407" s="560"/>
      <c r="X407" s="561"/>
      <c r="Y407" s="1"/>
      <c r="Z407" s="1"/>
      <c r="AA407" s="1"/>
      <c r="AB407" s="1"/>
      <c r="AC407" s="1"/>
      <c r="AD407" s="161"/>
      <c r="AE407" s="161"/>
      <c r="AF407" s="161"/>
      <c r="AG407" s="161"/>
      <c r="AH407" s="161"/>
    </row>
    <row r="408" spans="1:34" ht="23.1" customHeight="1" thickBot="1">
      <c r="A408" s="1"/>
      <c r="B408" s="1"/>
      <c r="C408" s="1"/>
      <c r="D408" s="1"/>
      <c r="E408" s="1"/>
      <c r="F408" s="1"/>
      <c r="G408" s="1"/>
      <c r="H408" s="1680" t="s">
        <v>690</v>
      </c>
      <c r="I408" s="1681"/>
      <c r="J408" s="1681"/>
      <c r="K408" s="1170" t="s">
        <v>820</v>
      </c>
      <c r="L408" s="1171"/>
      <c r="M408" s="1171"/>
      <c r="N408" s="1171"/>
      <c r="O408" s="1171"/>
      <c r="P408" s="1171"/>
      <c r="Q408" s="1171"/>
      <c r="R408" s="1171"/>
      <c r="S408" s="1171"/>
      <c r="T408" s="1172"/>
      <c r="U408" s="1657">
        <f>(113.93*KFC!$B$41*1.6+KFC!$C$41)*KFC!$C$5</f>
        <v>182.28800000000001</v>
      </c>
      <c r="V408" s="1682"/>
      <c r="W408" s="1682"/>
      <c r="X408" s="1658"/>
      <c r="Y408" s="1"/>
      <c r="Z408" s="1"/>
      <c r="AA408" s="1"/>
      <c r="AB408" s="1"/>
      <c r="AC408" s="1"/>
      <c r="AD408" s="161"/>
      <c r="AE408" s="161"/>
      <c r="AF408" s="161"/>
      <c r="AG408" s="161"/>
      <c r="AH408" s="161"/>
    </row>
    <row r="409" spans="1:34" ht="23.1" customHeight="1" thickBot="1">
      <c r="A409" s="1"/>
      <c r="B409" s="1"/>
      <c r="C409" s="1"/>
      <c r="D409" s="1"/>
      <c r="E409" s="1"/>
      <c r="F409" s="1"/>
      <c r="G409" s="1"/>
      <c r="H409" s="1670"/>
      <c r="I409" s="1671"/>
      <c r="J409" s="1671"/>
      <c r="K409" s="1388" t="s">
        <v>862</v>
      </c>
      <c r="L409" s="1678"/>
      <c r="M409" s="1678"/>
      <c r="N409" s="1678"/>
      <c r="O409" s="1678"/>
      <c r="P409" s="1678"/>
      <c r="Q409" s="1678"/>
      <c r="R409" s="1678"/>
      <c r="S409" s="1678"/>
      <c r="T409" s="1679"/>
      <c r="U409" s="1675"/>
      <c r="V409" s="1676"/>
      <c r="W409" s="1676"/>
      <c r="X409" s="1677"/>
      <c r="Y409" s="1"/>
      <c r="Z409" s="1"/>
      <c r="AA409" s="1"/>
      <c r="AB409" s="1"/>
      <c r="AC409" s="1"/>
      <c r="AD409" s="161"/>
      <c r="AE409" s="161"/>
      <c r="AF409" s="161"/>
      <c r="AG409" s="161"/>
      <c r="AH409" s="161"/>
    </row>
    <row r="410" spans="1:34" ht="23.1" customHeight="1" thickBot="1">
      <c r="A410" s="1"/>
      <c r="B410" s="1"/>
      <c r="C410" s="1"/>
      <c r="D410" s="1"/>
      <c r="E410" s="1"/>
      <c r="F410" s="1"/>
      <c r="G410" s="1"/>
      <c r="H410" s="1680" t="s">
        <v>697</v>
      </c>
      <c r="I410" s="1681"/>
      <c r="J410" s="1681"/>
      <c r="K410" s="1170" t="s">
        <v>92</v>
      </c>
      <c r="L410" s="1171"/>
      <c r="M410" s="1171"/>
      <c r="N410" s="1171"/>
      <c r="O410" s="1171"/>
      <c r="P410" s="1171"/>
      <c r="Q410" s="1171"/>
      <c r="R410" s="1171"/>
      <c r="S410" s="1171"/>
      <c r="T410" s="1172"/>
      <c r="U410" s="1657">
        <f>(38.74*KFC!$B$41*1.6+KFC!$C$41)*KFC!$C$5</f>
        <v>61.984000000000009</v>
      </c>
      <c r="V410" s="1682"/>
      <c r="W410" s="1682"/>
      <c r="X410" s="1658"/>
      <c r="Y410" s="1"/>
      <c r="Z410" s="1"/>
      <c r="AA410" s="1"/>
      <c r="AB410" s="1"/>
      <c r="AC410" s="1"/>
      <c r="AD410" s="161"/>
      <c r="AE410" s="161"/>
      <c r="AF410" s="161"/>
      <c r="AG410" s="161"/>
      <c r="AH410" s="161"/>
    </row>
    <row r="411" spans="1:34" ht="23.1" customHeight="1" thickBot="1">
      <c r="A411" s="1"/>
      <c r="B411" s="1"/>
      <c r="C411" s="1"/>
      <c r="D411" s="1"/>
      <c r="E411" s="1"/>
      <c r="F411" s="1"/>
      <c r="G411" s="1"/>
      <c r="H411" s="1670"/>
      <c r="I411" s="1671"/>
      <c r="J411" s="1671"/>
      <c r="K411" s="1017" t="s">
        <v>863</v>
      </c>
      <c r="L411" s="1403"/>
      <c r="M411" s="1403"/>
      <c r="N411" s="1403"/>
      <c r="O411" s="1403"/>
      <c r="P411" s="1403"/>
      <c r="Q411" s="1403"/>
      <c r="R411" s="1403"/>
      <c r="S411" s="1403"/>
      <c r="T411" s="1404"/>
      <c r="U411" s="1675"/>
      <c r="V411" s="1676"/>
      <c r="W411" s="1676"/>
      <c r="X411" s="1677"/>
      <c r="Y411" s="1"/>
      <c r="Z411" s="1"/>
      <c r="AA411" s="1"/>
      <c r="AB411" s="1"/>
      <c r="AC411" s="1"/>
      <c r="AD411" s="161"/>
      <c r="AE411" s="161"/>
      <c r="AF411" s="161"/>
      <c r="AG411" s="161"/>
      <c r="AH411" s="161"/>
    </row>
    <row r="412" spans="1:34" ht="30" customHeight="1" thickBot="1">
      <c r="A412" s="1"/>
      <c r="B412" s="1"/>
      <c r="C412" s="1"/>
      <c r="D412" s="1"/>
      <c r="E412" s="1"/>
      <c r="F412" s="1"/>
      <c r="G412" s="1"/>
      <c r="H412" s="1686" t="s">
        <v>696</v>
      </c>
      <c r="I412" s="1687"/>
      <c r="J412" s="1687"/>
      <c r="K412" s="1008" t="s">
        <v>93</v>
      </c>
      <c r="L412" s="1008"/>
      <c r="M412" s="1008"/>
      <c r="N412" s="1008"/>
      <c r="O412" s="1008"/>
      <c r="P412" s="1008"/>
      <c r="Q412" s="1008"/>
      <c r="R412" s="1008"/>
      <c r="S412" s="1008"/>
      <c r="T412" s="1008"/>
      <c r="U412" s="1293">
        <f>(143.17*KFC!$B$41*1.6+KFC!$C$41)*KFC!$C$5</f>
        <v>229.072</v>
      </c>
      <c r="V412" s="1293"/>
      <c r="W412" s="1293"/>
      <c r="X412" s="1294"/>
      <c r="Y412" s="1"/>
      <c r="Z412" s="1"/>
      <c r="AA412" s="1"/>
      <c r="AB412" s="1"/>
      <c r="AC412" s="1"/>
      <c r="AD412" s="161"/>
      <c r="AE412" s="161"/>
      <c r="AF412" s="161"/>
      <c r="AG412" s="161"/>
      <c r="AH412" s="161"/>
    </row>
    <row r="413" spans="1:34" ht="30" customHeight="1" thickBot="1">
      <c r="A413" s="1"/>
      <c r="B413" s="1"/>
      <c r="C413" s="1"/>
      <c r="D413" s="1"/>
      <c r="E413" s="1"/>
      <c r="F413" s="1"/>
      <c r="G413" s="1"/>
      <c r="H413" s="1686" t="s">
        <v>697</v>
      </c>
      <c r="I413" s="1687"/>
      <c r="J413" s="1687"/>
      <c r="K413" s="1003" t="s">
        <v>649</v>
      </c>
      <c r="L413" s="1003"/>
      <c r="M413" s="1003"/>
      <c r="N413" s="1003"/>
      <c r="O413" s="1003"/>
      <c r="P413" s="1003"/>
      <c r="Q413" s="1003"/>
      <c r="R413" s="1003"/>
      <c r="S413" s="1003"/>
      <c r="T413" s="1003"/>
      <c r="U413" s="1293">
        <f>(21.52*KFC!$B$41*1.6+KFC!$C$41)*KFC!$C$5</f>
        <v>34.432000000000002</v>
      </c>
      <c r="V413" s="1293"/>
      <c r="W413" s="1293"/>
      <c r="X413" s="1294"/>
      <c r="Y413" s="1"/>
      <c r="Z413" s="1"/>
      <c r="AA413" s="1"/>
      <c r="AB413" s="1"/>
      <c r="AC413" s="1"/>
      <c r="AD413" s="161"/>
      <c r="AE413" s="161"/>
      <c r="AF413" s="161"/>
      <c r="AG413" s="161"/>
      <c r="AH413" s="161"/>
    </row>
    <row r="414" spans="1:34" ht="30" customHeight="1" thickBot="1">
      <c r="A414" s="1"/>
      <c r="B414" s="1"/>
      <c r="C414" s="1"/>
      <c r="D414" s="1"/>
      <c r="E414" s="1"/>
      <c r="F414" s="1"/>
      <c r="G414" s="1"/>
      <c r="H414" s="1686" t="s">
        <v>695</v>
      </c>
      <c r="I414" s="1687"/>
      <c r="J414" s="1687"/>
      <c r="K414" s="1003" t="s">
        <v>650</v>
      </c>
      <c r="L414" s="1003"/>
      <c r="M414" s="1003"/>
      <c r="N414" s="1003"/>
      <c r="O414" s="1003"/>
      <c r="P414" s="1003"/>
      <c r="Q414" s="1003"/>
      <c r="R414" s="1003"/>
      <c r="S414" s="1003"/>
      <c r="T414" s="1003"/>
      <c r="U414" s="1293">
        <f>(1.9*KFC!$B$41*1.6+KFC!$C$41)*KFC!$C$5</f>
        <v>3.04</v>
      </c>
      <c r="V414" s="1293"/>
      <c r="W414" s="1293"/>
      <c r="X414" s="1294"/>
      <c r="Y414" s="1"/>
      <c r="Z414" s="1"/>
      <c r="AA414" s="1"/>
      <c r="AB414" s="1"/>
      <c r="AC414" s="1"/>
      <c r="AD414" s="161"/>
      <c r="AE414" s="161"/>
      <c r="AF414" s="161"/>
      <c r="AG414" s="161"/>
      <c r="AH414" s="161"/>
    </row>
    <row r="415" spans="1:34" ht="30" customHeight="1" thickBot="1">
      <c r="A415" s="1"/>
      <c r="B415" s="1"/>
      <c r="C415" s="1"/>
      <c r="D415" s="1"/>
      <c r="E415" s="1"/>
      <c r="F415" s="1"/>
      <c r="G415" s="1"/>
      <c r="H415" s="1686" t="s">
        <v>690</v>
      </c>
      <c r="I415" s="1687"/>
      <c r="J415" s="1687"/>
      <c r="K415" s="1003" t="s">
        <v>651</v>
      </c>
      <c r="L415" s="1003"/>
      <c r="M415" s="1003"/>
      <c r="N415" s="1003"/>
      <c r="O415" s="1003"/>
      <c r="P415" s="1003"/>
      <c r="Q415" s="1003"/>
      <c r="R415" s="1003"/>
      <c r="S415" s="1003"/>
      <c r="T415" s="1003"/>
      <c r="U415" s="1293">
        <f>(4.43*KFC!$B$41*1.6+KFC!$C$41)*KFC!$C$5</f>
        <v>7.0880000000000001</v>
      </c>
      <c r="V415" s="1293"/>
      <c r="W415" s="1293"/>
      <c r="X415" s="1294"/>
      <c r="Y415" s="1"/>
      <c r="Z415" s="1"/>
      <c r="AA415" s="1"/>
      <c r="AB415" s="1"/>
      <c r="AC415" s="1"/>
      <c r="AD415" s="161"/>
      <c r="AE415" s="161"/>
      <c r="AF415" s="161"/>
      <c r="AG415" s="161"/>
      <c r="AH415" s="161"/>
    </row>
    <row r="416" spans="1:34" ht="30" customHeight="1" thickBot="1">
      <c r="A416" s="1"/>
      <c r="B416" s="1"/>
      <c r="C416" s="1"/>
      <c r="D416" s="1"/>
      <c r="E416" s="1"/>
      <c r="F416" s="1"/>
      <c r="G416" s="1"/>
      <c r="H416" s="1686" t="s">
        <v>696</v>
      </c>
      <c r="I416" s="1687"/>
      <c r="J416" s="1687"/>
      <c r="K416" s="1003" t="s">
        <v>816</v>
      </c>
      <c r="L416" s="1003"/>
      <c r="M416" s="1003"/>
      <c r="N416" s="1003"/>
      <c r="O416" s="1003"/>
      <c r="P416" s="1003"/>
      <c r="Q416" s="1003"/>
      <c r="R416" s="1003"/>
      <c r="S416" s="1003"/>
      <c r="T416" s="1003"/>
      <c r="U416" s="1293">
        <f>(17.85*KFC!$B$41*1.6+KFC!$C$41)*KFC!$C$5</f>
        <v>28.560000000000002</v>
      </c>
      <c r="V416" s="1293"/>
      <c r="W416" s="1293"/>
      <c r="X416" s="1294"/>
      <c r="Y416" s="1"/>
      <c r="Z416" s="1"/>
      <c r="AA416" s="1"/>
      <c r="AB416" s="1"/>
      <c r="AC416" s="1"/>
      <c r="AD416" s="161"/>
      <c r="AE416" s="161"/>
      <c r="AF416" s="161"/>
      <c r="AG416" s="161"/>
      <c r="AH416" s="161"/>
    </row>
    <row r="417" spans="1:34" ht="30" customHeight="1" thickBot="1">
      <c r="A417" s="1"/>
      <c r="B417" s="1"/>
      <c r="C417" s="1"/>
      <c r="D417" s="1"/>
      <c r="E417" s="1"/>
      <c r="F417" s="1"/>
      <c r="G417" s="1"/>
      <c r="H417" s="1686" t="s">
        <v>890</v>
      </c>
      <c r="I417" s="1687"/>
      <c r="J417" s="1687"/>
      <c r="K417" s="1003" t="s">
        <v>643</v>
      </c>
      <c r="L417" s="1003"/>
      <c r="M417" s="1003"/>
      <c r="N417" s="1003"/>
      <c r="O417" s="1003"/>
      <c r="P417" s="1003"/>
      <c r="Q417" s="1003"/>
      <c r="R417" s="1003"/>
      <c r="S417" s="1003"/>
      <c r="T417" s="1003"/>
      <c r="U417" s="1293">
        <f>(17.73*KFC!$B$41+KFC!$C$41)*KFC!$C$5</f>
        <v>17.73</v>
      </c>
      <c r="V417" s="1293"/>
      <c r="W417" s="1293"/>
      <c r="X417" s="1294"/>
      <c r="Y417" s="1"/>
      <c r="Z417" s="1"/>
      <c r="AA417" s="1"/>
      <c r="AB417" s="1"/>
      <c r="AC417" s="1"/>
      <c r="AD417" s="161"/>
      <c r="AE417" s="161"/>
      <c r="AF417" s="161"/>
      <c r="AG417" s="161"/>
      <c r="AH417" s="161"/>
    </row>
    <row r="418" spans="1:34" ht="23.1" customHeight="1" thickBot="1">
      <c r="A418" s="1"/>
      <c r="B418" s="1"/>
      <c r="C418" s="1"/>
      <c r="D418" s="1"/>
      <c r="E418" s="1"/>
      <c r="F418" s="1"/>
      <c r="G418" s="1"/>
      <c r="H418" s="1680" t="s">
        <v>891</v>
      </c>
      <c r="I418" s="1681"/>
      <c r="J418" s="1688"/>
      <c r="K418" s="1408" t="s">
        <v>458</v>
      </c>
      <c r="L418" s="1408"/>
      <c r="M418" s="1408"/>
      <c r="N418" s="1408"/>
      <c r="O418" s="1408"/>
      <c r="P418" s="1408"/>
      <c r="Q418" s="1408"/>
      <c r="R418" s="1408"/>
      <c r="S418" s="1408"/>
      <c r="T418" s="1408"/>
      <c r="U418" s="1657">
        <f>(31.65*KFC!$B$41+KFC!$C$41)*KFC!$C$5</f>
        <v>31.65</v>
      </c>
      <c r="V418" s="1682"/>
      <c r="W418" s="1682"/>
      <c r="X418" s="1658"/>
      <c r="Y418" s="1"/>
      <c r="Z418" s="1"/>
      <c r="AA418" s="1"/>
      <c r="AB418" s="1"/>
      <c r="AC418" s="1"/>
      <c r="AD418" s="161"/>
      <c r="AE418" s="161"/>
      <c r="AF418" s="161"/>
      <c r="AG418" s="161"/>
      <c r="AH418" s="161"/>
    </row>
    <row r="419" spans="1:34" ht="23.1" customHeight="1" thickBot="1">
      <c r="A419" s="1"/>
      <c r="B419" s="1"/>
      <c r="C419" s="1"/>
      <c r="D419" s="1"/>
      <c r="E419" s="1"/>
      <c r="F419" s="1"/>
      <c r="G419" s="1"/>
      <c r="H419" s="1689"/>
      <c r="I419" s="1690"/>
      <c r="J419" s="1691"/>
      <c r="K419" s="1047" t="s">
        <v>870</v>
      </c>
      <c r="L419" s="1047"/>
      <c r="M419" s="1047"/>
      <c r="N419" s="1047"/>
      <c r="O419" s="1047"/>
      <c r="P419" s="1047"/>
      <c r="Q419" s="1047"/>
      <c r="R419" s="1047"/>
      <c r="S419" s="1047"/>
      <c r="T419" s="1047"/>
      <c r="U419" s="1692"/>
      <c r="V419" s="1551"/>
      <c r="W419" s="1551"/>
      <c r="X419" s="1693"/>
      <c r="Y419" s="1"/>
      <c r="Z419" s="1"/>
      <c r="AA419" s="1"/>
      <c r="AB419" s="1"/>
      <c r="AC419" s="1"/>
      <c r="AD419" s="161"/>
      <c r="AE419" s="161"/>
      <c r="AF419" s="161"/>
      <c r="AG419" s="161"/>
      <c r="AH419" s="161"/>
    </row>
    <row r="420" spans="1:34" ht="23.1" customHeight="1" thickBot="1">
      <c r="A420" s="1"/>
      <c r="B420" s="1"/>
      <c r="C420" s="1"/>
      <c r="D420" s="1"/>
      <c r="E420" s="1"/>
      <c r="F420" s="1"/>
      <c r="G420" s="1"/>
      <c r="H420" s="1680" t="s">
        <v>892</v>
      </c>
      <c r="I420" s="1681"/>
      <c r="J420" s="1688"/>
      <c r="K420" s="1408" t="s">
        <v>459</v>
      </c>
      <c r="L420" s="1408"/>
      <c r="M420" s="1408"/>
      <c r="N420" s="1408"/>
      <c r="O420" s="1408"/>
      <c r="P420" s="1408"/>
      <c r="Q420" s="1408"/>
      <c r="R420" s="1408"/>
      <c r="S420" s="1408"/>
      <c r="T420" s="1408"/>
      <c r="U420" s="1657">
        <f>(40.51*KFC!$B$41+KFC!$C$41)*KFC!$C$5</f>
        <v>40.51</v>
      </c>
      <c r="V420" s="1682"/>
      <c r="W420" s="1682"/>
      <c r="X420" s="1658"/>
      <c r="Y420" s="1"/>
      <c r="Z420" s="1"/>
      <c r="AA420" s="1"/>
      <c r="AB420" s="1"/>
      <c r="AC420" s="1"/>
      <c r="AD420" s="161"/>
      <c r="AE420" s="161"/>
      <c r="AF420" s="161"/>
      <c r="AG420" s="161"/>
      <c r="AH420" s="161"/>
    </row>
    <row r="421" spans="1:34" ht="23.1" customHeight="1" thickBot="1">
      <c r="A421" s="1"/>
      <c r="B421" s="1"/>
      <c r="C421" s="1"/>
      <c r="D421" s="1"/>
      <c r="E421" s="1"/>
      <c r="F421" s="1"/>
      <c r="G421" s="1"/>
      <c r="H421" s="1689"/>
      <c r="I421" s="1690"/>
      <c r="J421" s="1691"/>
      <c r="K421" s="1694" t="s">
        <v>864</v>
      </c>
      <c r="L421" s="1694"/>
      <c r="M421" s="1694"/>
      <c r="N421" s="1694"/>
      <c r="O421" s="1694"/>
      <c r="P421" s="1694"/>
      <c r="Q421" s="1694"/>
      <c r="R421" s="1694"/>
      <c r="S421" s="1694"/>
      <c r="T421" s="1694"/>
      <c r="U421" s="1692"/>
      <c r="V421" s="1551"/>
      <c r="W421" s="1551"/>
      <c r="X421" s="1693"/>
      <c r="Y421" s="1"/>
      <c r="Z421" s="1"/>
      <c r="AA421" s="1"/>
      <c r="AB421" s="1"/>
      <c r="AC421" s="1"/>
      <c r="AD421" s="161"/>
      <c r="AE421" s="161"/>
      <c r="AF421" s="161"/>
      <c r="AG421" s="161"/>
      <c r="AH421" s="161"/>
    </row>
    <row r="422" spans="1:34" ht="23.1" customHeight="1" thickBot="1">
      <c r="A422" s="1"/>
      <c r="B422" s="1"/>
      <c r="C422" s="1"/>
      <c r="D422" s="1"/>
      <c r="E422" s="1"/>
      <c r="F422" s="1"/>
      <c r="G422" s="1"/>
      <c r="H422" s="1680" t="s">
        <v>893</v>
      </c>
      <c r="I422" s="1681"/>
      <c r="J422" s="1688"/>
      <c r="K422" s="1695" t="s">
        <v>460</v>
      </c>
      <c r="L422" s="1695"/>
      <c r="M422" s="1695"/>
      <c r="N422" s="1695"/>
      <c r="O422" s="1695"/>
      <c r="P422" s="1695"/>
      <c r="Q422" s="1695"/>
      <c r="R422" s="1695"/>
      <c r="S422" s="1695"/>
      <c r="T422" s="1695"/>
      <c r="U422" s="1293">
        <f>(31.65*KFC!$B$41+KFC!$C$41)*KFC!$C$5</f>
        <v>31.65</v>
      </c>
      <c r="V422" s="1293"/>
      <c r="W422" s="1293"/>
      <c r="X422" s="1294"/>
      <c r="Y422" s="1"/>
      <c r="Z422" s="1"/>
      <c r="AA422" s="1"/>
      <c r="AB422" s="1"/>
      <c r="AC422" s="1"/>
      <c r="AD422" s="161"/>
      <c r="AE422" s="161"/>
      <c r="AF422" s="161"/>
      <c r="AG422" s="161"/>
      <c r="AH422" s="161"/>
    </row>
    <row r="423" spans="1:34" ht="23.1" customHeight="1" thickBot="1">
      <c r="A423" s="1"/>
      <c r="B423" s="1"/>
      <c r="C423" s="1"/>
      <c r="D423" s="1"/>
      <c r="E423" s="1"/>
      <c r="F423" s="1"/>
      <c r="G423" s="1"/>
      <c r="H423" s="1689"/>
      <c r="I423" s="1690"/>
      <c r="J423" s="1691"/>
      <c r="K423" s="1047" t="s">
        <v>867</v>
      </c>
      <c r="L423" s="1047"/>
      <c r="M423" s="1047"/>
      <c r="N423" s="1047"/>
      <c r="O423" s="1047"/>
      <c r="P423" s="1047"/>
      <c r="Q423" s="1047"/>
      <c r="R423" s="1047"/>
      <c r="S423" s="1047"/>
      <c r="T423" s="1047"/>
      <c r="U423" s="1293"/>
      <c r="V423" s="1293"/>
      <c r="W423" s="1293"/>
      <c r="X423" s="1294"/>
      <c r="Y423" s="1"/>
      <c r="Z423" s="1"/>
      <c r="AA423" s="1"/>
      <c r="AB423" s="1"/>
      <c r="AC423" s="1"/>
      <c r="AD423" s="161"/>
      <c r="AE423" s="161"/>
      <c r="AF423" s="161"/>
      <c r="AG423" s="161"/>
      <c r="AH423" s="161"/>
    </row>
    <row r="424" spans="1:34" ht="23.1" customHeight="1" thickBot="1">
      <c r="A424" s="1"/>
      <c r="B424" s="1"/>
      <c r="C424" s="1"/>
      <c r="D424" s="1"/>
      <c r="E424" s="1"/>
      <c r="F424" s="1"/>
      <c r="G424" s="1"/>
      <c r="H424" s="1680" t="s">
        <v>892</v>
      </c>
      <c r="I424" s="1681"/>
      <c r="J424" s="1688"/>
      <c r="K424" s="1408" t="s">
        <v>485</v>
      </c>
      <c r="L424" s="1408"/>
      <c r="M424" s="1408"/>
      <c r="N424" s="1408"/>
      <c r="O424" s="1408"/>
      <c r="P424" s="1408"/>
      <c r="Q424" s="1408"/>
      <c r="R424" s="1408"/>
      <c r="S424" s="1408"/>
      <c r="T424" s="1408"/>
      <c r="U424" s="1293">
        <f>(40.51*KFC!$B$41+KFC!$C$41)*KFC!$C$5</f>
        <v>40.51</v>
      </c>
      <c r="V424" s="1293"/>
      <c r="W424" s="1293"/>
      <c r="X424" s="1294"/>
      <c r="Y424" s="1"/>
      <c r="Z424" s="1"/>
      <c r="AA424" s="1"/>
      <c r="AB424" s="1"/>
      <c r="AC424" s="1"/>
      <c r="AD424" s="161"/>
      <c r="AE424" s="161"/>
      <c r="AF424" s="161"/>
      <c r="AG424" s="161"/>
      <c r="AH424" s="161"/>
    </row>
    <row r="425" spans="1:34" ht="23.1" customHeight="1" thickBot="1">
      <c r="A425" s="1"/>
      <c r="B425" s="1"/>
      <c r="C425" s="1"/>
      <c r="D425" s="1"/>
      <c r="E425" s="1"/>
      <c r="F425" s="1"/>
      <c r="G425" s="1"/>
      <c r="H425" s="1689"/>
      <c r="I425" s="1690"/>
      <c r="J425" s="1691"/>
      <c r="K425" s="1047" t="s">
        <v>868</v>
      </c>
      <c r="L425" s="1047"/>
      <c r="M425" s="1047"/>
      <c r="N425" s="1047"/>
      <c r="O425" s="1047"/>
      <c r="P425" s="1047"/>
      <c r="Q425" s="1047"/>
      <c r="R425" s="1047"/>
      <c r="S425" s="1047"/>
      <c r="T425" s="1047"/>
      <c r="U425" s="1293"/>
      <c r="V425" s="1293"/>
      <c r="W425" s="1293"/>
      <c r="X425" s="1294"/>
      <c r="Y425" s="1"/>
      <c r="Z425" s="1"/>
      <c r="AA425" s="1"/>
      <c r="AB425" s="1"/>
      <c r="AC425" s="1"/>
      <c r="AD425" s="161"/>
      <c r="AE425" s="161"/>
      <c r="AF425" s="161"/>
      <c r="AG425" s="161"/>
      <c r="AH425" s="161"/>
    </row>
    <row r="426" spans="1:34" ht="30" customHeight="1" thickBot="1">
      <c r="A426" s="1"/>
      <c r="B426" s="1"/>
      <c r="C426" s="1"/>
      <c r="D426" s="1"/>
      <c r="E426" s="1"/>
      <c r="F426" s="1"/>
      <c r="G426" s="1"/>
      <c r="H426" s="1686" t="s">
        <v>892</v>
      </c>
      <c r="I426" s="1687"/>
      <c r="J426" s="1687"/>
      <c r="K426" s="1003" t="s">
        <v>652</v>
      </c>
      <c r="L426" s="1003"/>
      <c r="M426" s="1003"/>
      <c r="N426" s="1003"/>
      <c r="O426" s="1003"/>
      <c r="P426" s="1003"/>
      <c r="Q426" s="1003"/>
      <c r="R426" s="1003"/>
      <c r="S426" s="1003"/>
      <c r="T426" s="1003"/>
      <c r="U426" s="1293">
        <f>(50.64*KFC!$B$41+KFC!$C$41)*KFC!$C$5</f>
        <v>50.64</v>
      </c>
      <c r="V426" s="1293"/>
      <c r="W426" s="1293"/>
      <c r="X426" s="1294"/>
      <c r="Y426" s="1"/>
      <c r="Z426" s="1"/>
      <c r="AA426" s="1"/>
      <c r="AB426" s="1"/>
      <c r="AC426" s="1"/>
      <c r="AD426" s="161"/>
      <c r="AE426" s="161"/>
      <c r="AF426" s="161"/>
      <c r="AG426" s="161"/>
      <c r="AH426" s="161"/>
    </row>
    <row r="427" spans="1:34" ht="23.1" customHeight="1" thickBot="1">
      <c r="A427" s="1"/>
      <c r="B427" s="1"/>
      <c r="C427" s="1"/>
      <c r="D427" s="1"/>
      <c r="E427" s="1"/>
      <c r="F427" s="1"/>
      <c r="G427" s="1"/>
      <c r="H427" s="1680" t="s">
        <v>893</v>
      </c>
      <c r="I427" s="1681"/>
      <c r="J427" s="1688"/>
      <c r="K427" s="1408" t="s">
        <v>653</v>
      </c>
      <c r="L427" s="1408"/>
      <c r="M427" s="1408"/>
      <c r="N427" s="1408"/>
      <c r="O427" s="1408"/>
      <c r="P427" s="1408"/>
      <c r="Q427" s="1408"/>
      <c r="R427" s="1408"/>
      <c r="S427" s="1408"/>
      <c r="T427" s="1408"/>
      <c r="U427" s="1293">
        <f>(7.6*KFC!$B$41+KFC!$C$41)*KFC!$C$5</f>
        <v>7.6</v>
      </c>
      <c r="V427" s="1293"/>
      <c r="W427" s="1293"/>
      <c r="X427" s="1294"/>
      <c r="Y427" s="1"/>
      <c r="Z427" s="1"/>
      <c r="AA427" s="1"/>
      <c r="AB427" s="1"/>
      <c r="AC427" s="1"/>
      <c r="AD427" s="161"/>
      <c r="AE427" s="161"/>
      <c r="AF427" s="161"/>
      <c r="AG427" s="161"/>
      <c r="AH427" s="161"/>
    </row>
    <row r="428" spans="1:34" ht="23.1" customHeight="1" thickBot="1">
      <c r="A428" s="1"/>
      <c r="B428" s="1"/>
      <c r="C428" s="1"/>
      <c r="D428" s="1"/>
      <c r="E428" s="1"/>
      <c r="F428" s="1"/>
      <c r="G428" s="1"/>
      <c r="H428" s="1689"/>
      <c r="I428" s="1690"/>
      <c r="J428" s="1691"/>
      <c r="K428" s="1047" t="s">
        <v>869</v>
      </c>
      <c r="L428" s="1047"/>
      <c r="M428" s="1047"/>
      <c r="N428" s="1047"/>
      <c r="O428" s="1047"/>
      <c r="P428" s="1047"/>
      <c r="Q428" s="1047"/>
      <c r="R428" s="1047"/>
      <c r="S428" s="1047"/>
      <c r="T428" s="1047"/>
      <c r="U428" s="1293"/>
      <c r="V428" s="1293"/>
      <c r="W428" s="1293"/>
      <c r="X428" s="1294"/>
      <c r="Y428" s="1"/>
      <c r="Z428" s="1"/>
      <c r="AA428" s="1"/>
      <c r="AB428" s="1"/>
      <c r="AC428" s="1"/>
      <c r="AD428" s="161"/>
      <c r="AE428" s="161"/>
      <c r="AF428" s="161"/>
      <c r="AG428" s="161"/>
      <c r="AH428" s="161"/>
    </row>
    <row r="429" spans="1:34" ht="30" customHeight="1" thickBot="1">
      <c r="A429" s="1"/>
      <c r="B429" s="1"/>
      <c r="C429" s="1"/>
      <c r="D429" s="1"/>
      <c r="E429" s="1"/>
      <c r="F429" s="1"/>
      <c r="G429" s="1"/>
      <c r="H429" s="1686" t="s">
        <v>894</v>
      </c>
      <c r="I429" s="1687"/>
      <c r="J429" s="1687"/>
      <c r="K429" s="1003" t="s">
        <v>654</v>
      </c>
      <c r="L429" s="1003"/>
      <c r="M429" s="1003"/>
      <c r="N429" s="1003"/>
      <c r="O429" s="1003"/>
      <c r="P429" s="1003"/>
      <c r="Q429" s="1003"/>
      <c r="R429" s="1003"/>
      <c r="S429" s="1003"/>
      <c r="T429" s="1003"/>
      <c r="U429" s="1293">
        <f>(2.54*KFC!$B$41+KFC!$C$41)*KFC!$C$5</f>
        <v>2.54</v>
      </c>
      <c r="V429" s="1293"/>
      <c r="W429" s="1293"/>
      <c r="X429" s="1294"/>
      <c r="Y429" s="1"/>
      <c r="Z429" s="1"/>
      <c r="AA429" s="1"/>
      <c r="AB429" s="1"/>
      <c r="AC429" s="1"/>
      <c r="AD429" s="161"/>
      <c r="AE429" s="161"/>
      <c r="AF429" s="161"/>
      <c r="AG429" s="161"/>
      <c r="AH429" s="161"/>
    </row>
    <row r="430" spans="1:34" ht="30" customHeight="1" thickBot="1">
      <c r="A430" s="1"/>
      <c r="B430" s="1"/>
      <c r="C430" s="1"/>
      <c r="D430" s="1"/>
      <c r="E430" s="1"/>
      <c r="F430" s="1"/>
      <c r="G430" s="1"/>
      <c r="H430" s="1701" t="s">
        <v>891</v>
      </c>
      <c r="I430" s="1702"/>
      <c r="J430" s="1702"/>
      <c r="K430" s="1170" t="s">
        <v>655</v>
      </c>
      <c r="L430" s="1171"/>
      <c r="M430" s="1171"/>
      <c r="N430" s="1171"/>
      <c r="O430" s="1171"/>
      <c r="P430" s="1171"/>
      <c r="Q430" s="1171"/>
      <c r="R430" s="1171"/>
      <c r="S430" s="1171"/>
      <c r="T430" s="1172"/>
      <c r="U430" s="1704">
        <f>(37.98*KFC!$B$41+KFC!$C$41)*KFC!$C$5</f>
        <v>37.979999999999997</v>
      </c>
      <c r="V430" s="1704"/>
      <c r="W430" s="1704"/>
      <c r="X430" s="1397"/>
      <c r="Y430" s="1"/>
      <c r="Z430" s="1"/>
      <c r="AA430" s="1"/>
      <c r="AB430" s="1"/>
      <c r="AC430" s="1"/>
      <c r="AD430" s="161"/>
      <c r="AE430" s="161"/>
      <c r="AF430" s="161"/>
      <c r="AG430" s="161"/>
      <c r="AH430" s="161"/>
    </row>
    <row r="431" spans="1:34" ht="30" customHeight="1" thickBot="1">
      <c r="A431" s="1"/>
      <c r="B431" s="1"/>
      <c r="C431" s="1"/>
      <c r="D431" s="1"/>
      <c r="E431" s="1"/>
      <c r="F431" s="1"/>
      <c r="G431" s="1"/>
      <c r="H431" s="1705" t="s">
        <v>895</v>
      </c>
      <c r="I431" s="1706"/>
      <c r="J431" s="1706"/>
      <c r="K431" s="1192" t="s">
        <v>896</v>
      </c>
      <c r="L431" s="1193"/>
      <c r="M431" s="1193"/>
      <c r="N431" s="1193"/>
      <c r="O431" s="1193"/>
      <c r="P431" s="1193"/>
      <c r="Q431" s="1193"/>
      <c r="R431" s="1193"/>
      <c r="S431" s="1193"/>
      <c r="T431" s="1194"/>
      <c r="U431" s="1655">
        <f>(31.65*KFC!$B$41+KFC!$C$41)*KFC!$C$5</f>
        <v>31.65</v>
      </c>
      <c r="V431" s="1655"/>
      <c r="W431" s="1655"/>
      <c r="X431" s="1656"/>
      <c r="Y431" s="1"/>
      <c r="Z431" s="1"/>
      <c r="AA431" s="1"/>
      <c r="AB431" s="1"/>
      <c r="AC431" s="1"/>
      <c r="AD431" s="161"/>
      <c r="AE431" s="161"/>
      <c r="AF431" s="161"/>
      <c r="AG431" s="161"/>
      <c r="AH431" s="161"/>
    </row>
    <row r="432" spans="1:34" ht="30" customHeight="1" thickBot="1">
      <c r="A432" s="1"/>
      <c r="B432" s="1"/>
      <c r="C432" s="1"/>
      <c r="D432" s="1"/>
      <c r="E432" s="1"/>
      <c r="F432" s="1"/>
      <c r="G432" s="1"/>
      <c r="H432" s="1701" t="s">
        <v>895</v>
      </c>
      <c r="I432" s="1702"/>
      <c r="J432" s="1702"/>
      <c r="K432" s="1170" t="s">
        <v>897</v>
      </c>
      <c r="L432" s="1171"/>
      <c r="M432" s="1171"/>
      <c r="N432" s="1171"/>
      <c r="O432" s="1171"/>
      <c r="P432" s="1171"/>
      <c r="Q432" s="1171"/>
      <c r="R432" s="1171"/>
      <c r="S432" s="1171"/>
      <c r="T432" s="1172"/>
      <c r="U432" s="1293">
        <f>(37.98*KFC!$B$41+KFC!$C$41)*KFC!$C$5</f>
        <v>37.979999999999997</v>
      </c>
      <c r="V432" s="1293"/>
      <c r="W432" s="1293"/>
      <c r="X432" s="1294"/>
      <c r="Y432" s="1"/>
      <c r="Z432" s="1"/>
      <c r="AA432" s="1"/>
      <c r="AB432" s="1"/>
      <c r="AC432" s="1"/>
      <c r="AD432" s="161"/>
      <c r="AE432" s="161"/>
      <c r="AF432" s="161"/>
      <c r="AG432" s="161"/>
      <c r="AH432" s="161"/>
    </row>
    <row r="433" spans="1:34" ht="30" customHeight="1" thickBot="1">
      <c r="A433" s="1"/>
      <c r="B433" s="1"/>
      <c r="C433" s="1"/>
      <c r="D433" s="1"/>
      <c r="E433" s="1"/>
      <c r="F433" s="1"/>
      <c r="G433" s="1"/>
      <c r="H433" s="1701" t="s">
        <v>895</v>
      </c>
      <c r="I433" s="1702"/>
      <c r="J433" s="1702"/>
      <c r="K433" s="1170" t="s">
        <v>898</v>
      </c>
      <c r="L433" s="1171"/>
      <c r="M433" s="1171"/>
      <c r="N433" s="1171"/>
      <c r="O433" s="1171"/>
      <c r="P433" s="1171"/>
      <c r="Q433" s="1171"/>
      <c r="R433" s="1171"/>
      <c r="S433" s="1171"/>
      <c r="T433" s="1172"/>
      <c r="U433" s="1293">
        <f>(44.31*KFC!$B$41+KFC!$C$41)*KFC!$C$5</f>
        <v>44.31</v>
      </c>
      <c r="V433" s="1293"/>
      <c r="W433" s="1293"/>
      <c r="X433" s="1294"/>
      <c r="Y433" s="1"/>
      <c r="Z433" s="1"/>
      <c r="AA433" s="1"/>
      <c r="AB433" s="1"/>
      <c r="AC433" s="1"/>
      <c r="AD433" s="161"/>
      <c r="AE433" s="161"/>
      <c r="AF433" s="161"/>
      <c r="AG433" s="161"/>
      <c r="AH433" s="161"/>
    </row>
    <row r="434" spans="1:34" s="462" customFormat="1" ht="30" customHeight="1" thickBot="1">
      <c r="H434" s="1772" t="s">
        <v>895</v>
      </c>
      <c r="I434" s="1773"/>
      <c r="J434" s="1773"/>
      <c r="K434" s="1156" t="s">
        <v>899</v>
      </c>
      <c r="L434" s="1157"/>
      <c r="M434" s="1157"/>
      <c r="N434" s="1157"/>
      <c r="O434" s="1157"/>
      <c r="P434" s="1157"/>
      <c r="Q434" s="1157"/>
      <c r="R434" s="1157"/>
      <c r="S434" s="1157"/>
      <c r="T434" s="1158"/>
      <c r="U434" s="1293">
        <f>(31.65*KFC!$B$41+KFC!$C$41)*KFC!$C$5</f>
        <v>31.65</v>
      </c>
      <c r="V434" s="1293"/>
      <c r="W434" s="1293"/>
      <c r="X434" s="1294"/>
      <c r="AD434" s="562"/>
      <c r="AE434" s="562"/>
      <c r="AF434" s="562"/>
      <c r="AG434" s="562"/>
      <c r="AH434" s="562"/>
    </row>
    <row r="435" spans="1:34" s="462" customFormat="1" ht="30" customHeight="1">
      <c r="H435" s="1772" t="s">
        <v>895</v>
      </c>
      <c r="I435" s="1773"/>
      <c r="J435" s="1773"/>
      <c r="K435" s="1156" t="s">
        <v>900</v>
      </c>
      <c r="L435" s="1157"/>
      <c r="M435" s="1157"/>
      <c r="N435" s="1157"/>
      <c r="O435" s="1157"/>
      <c r="P435" s="1157"/>
      <c r="Q435" s="1157"/>
      <c r="R435" s="1157"/>
      <c r="S435" s="1157"/>
      <c r="T435" s="1158"/>
      <c r="U435" s="1293">
        <f>(37.98*KFC!$B$41+KFC!$C$41)*KFC!$C$5</f>
        <v>37.979999999999997</v>
      </c>
      <c r="V435" s="1293"/>
      <c r="W435" s="1293"/>
      <c r="X435" s="1294"/>
    </row>
    <row r="436" spans="1:34" s="462" customFormat="1" ht="30" customHeight="1">
      <c r="H436" s="1772" t="s">
        <v>895</v>
      </c>
      <c r="I436" s="1773"/>
      <c r="J436" s="1773"/>
      <c r="K436" s="1156" t="s">
        <v>901</v>
      </c>
      <c r="L436" s="1157"/>
      <c r="M436" s="1157"/>
      <c r="N436" s="1157"/>
      <c r="O436" s="1157"/>
      <c r="P436" s="1157"/>
      <c r="Q436" s="1157"/>
      <c r="R436" s="1157"/>
      <c r="S436" s="1157"/>
      <c r="T436" s="1158"/>
      <c r="U436" s="1293">
        <f>(75.95*KFC!$B$41+KFC!$C$41)*KFC!$C$5</f>
        <v>75.95</v>
      </c>
      <c r="V436" s="1293"/>
      <c r="W436" s="1293"/>
      <c r="X436" s="1294"/>
    </row>
    <row r="437" spans="1:34" s="462" customFormat="1" ht="30" customHeight="1">
      <c r="H437" s="1772" t="s">
        <v>895</v>
      </c>
      <c r="I437" s="1773"/>
      <c r="J437" s="1773"/>
      <c r="K437" s="1156" t="s">
        <v>1054</v>
      </c>
      <c r="L437" s="1157"/>
      <c r="M437" s="1157"/>
      <c r="N437" s="1157"/>
      <c r="O437" s="1157"/>
      <c r="P437" s="1157"/>
      <c r="Q437" s="1157"/>
      <c r="R437" s="1157"/>
      <c r="S437" s="1157"/>
      <c r="T437" s="1158"/>
      <c r="U437" s="1293">
        <f>(76*KFC!$B$41+KFC!$C$41)*KFC!$C$5</f>
        <v>76</v>
      </c>
      <c r="V437" s="1293"/>
      <c r="W437" s="1293"/>
      <c r="X437" s="1294"/>
    </row>
    <row r="438" spans="1:34" s="462" customFormat="1" ht="30" customHeight="1" thickBot="1">
      <c r="H438" s="1774" t="s">
        <v>895</v>
      </c>
      <c r="I438" s="1775"/>
      <c r="J438" s="1775"/>
      <c r="K438" s="1202" t="s">
        <v>902</v>
      </c>
      <c r="L438" s="1203"/>
      <c r="M438" s="1203"/>
      <c r="N438" s="1203"/>
      <c r="O438" s="1203"/>
      <c r="P438" s="1203"/>
      <c r="Q438" s="1203"/>
      <c r="R438" s="1203"/>
      <c r="S438" s="1203"/>
      <c r="T438" s="1204"/>
      <c r="U438" s="1295">
        <f>(25.32*KFC!$B$41+KFC!$C$41)*KFC!$C$5</f>
        <v>25.32</v>
      </c>
      <c r="V438" s="1295"/>
      <c r="W438" s="1295"/>
      <c r="X438" s="1296"/>
    </row>
    <row r="439" spans="1:34"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</row>
    <row r="440" spans="1:34"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</row>
    <row r="441" spans="1:34">
      <c r="B441" s="1"/>
      <c r="C441" s="1"/>
      <c r="D441" s="1"/>
      <c r="E441" s="1"/>
      <c r="F441" s="1"/>
      <c r="G441" s="1"/>
      <c r="H441" s="1"/>
      <c r="I441" s="719"/>
      <c r="J441" s="719"/>
      <c r="K441" s="719"/>
      <c r="L441" s="719"/>
      <c r="M441" s="719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</row>
    <row r="442" spans="1:34">
      <c r="B442" s="1"/>
      <c r="C442" s="1"/>
      <c r="D442" s="1"/>
      <c r="E442" s="1"/>
      <c r="F442" s="1"/>
      <c r="G442" s="1"/>
      <c r="H442" s="1"/>
      <c r="I442" s="719"/>
      <c r="J442" s="719"/>
      <c r="K442" s="719"/>
      <c r="L442" s="719"/>
      <c r="M442" s="719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</row>
    <row r="443" spans="1:34" ht="13.8">
      <c r="B443" s="1"/>
      <c r="C443" s="1"/>
      <c r="D443" s="1"/>
      <c r="E443" s="1"/>
      <c r="F443" s="1"/>
      <c r="G443" s="1"/>
      <c r="H443" s="1"/>
      <c r="I443" s="870"/>
      <c r="J443" s="870"/>
      <c r="K443" s="870"/>
      <c r="L443" s="870"/>
      <c r="M443" s="719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</row>
    <row r="444" spans="1:34" ht="13.8">
      <c r="B444" s="1"/>
      <c r="C444" s="1"/>
      <c r="D444" s="1"/>
      <c r="E444" s="1"/>
      <c r="F444" s="1"/>
      <c r="G444" s="1"/>
      <c r="H444" s="1"/>
      <c r="I444" s="870"/>
      <c r="J444" s="870"/>
      <c r="K444" s="870"/>
      <c r="L444" s="870"/>
      <c r="M444" s="719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</row>
    <row r="445" spans="1:34" ht="13.8">
      <c r="B445" s="1"/>
      <c r="C445" s="1"/>
      <c r="D445" s="1"/>
      <c r="E445" s="1"/>
      <c r="F445" s="1"/>
      <c r="G445" s="1"/>
      <c r="H445" s="1"/>
      <c r="I445" s="870"/>
      <c r="J445" s="870"/>
      <c r="K445" s="870"/>
      <c r="L445" s="870"/>
      <c r="M445" s="719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</row>
    <row r="446" spans="1:34"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</row>
    <row r="447" spans="1:34" ht="15.6">
      <c r="B447" s="1"/>
      <c r="C447" s="1"/>
      <c r="D447" s="1"/>
      <c r="E447" s="1"/>
      <c r="F447" s="1"/>
      <c r="G447" s="1"/>
      <c r="H447" s="1"/>
      <c r="I447" s="1004" t="s">
        <v>1190</v>
      </c>
      <c r="J447" s="1004"/>
      <c r="K447" s="1004"/>
      <c r="L447" s="1004"/>
      <c r="M447" s="1004"/>
      <c r="N447" s="1004"/>
      <c r="O447" s="1004"/>
      <c r="P447" s="1004"/>
      <c r="Q447" s="1004"/>
      <c r="R447" s="1004"/>
      <c r="S447" s="1004"/>
      <c r="T447" s="1004"/>
      <c r="U447" s="1004"/>
      <c r="V447" s="1004"/>
      <c r="W447" s="1004"/>
      <c r="X447" s="1004"/>
      <c r="Y447" s="1004"/>
      <c r="Z447" s="1"/>
      <c r="AA447" s="1"/>
      <c r="AB447" s="1"/>
    </row>
    <row r="448" spans="1:34" ht="13.8" thickBot="1"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</row>
    <row r="449" spans="2:28" ht="27" thickBot="1">
      <c r="B449" s="1"/>
      <c r="C449" s="1"/>
      <c r="D449" s="1"/>
      <c r="E449" s="1"/>
      <c r="F449" s="1"/>
      <c r="G449" s="1"/>
      <c r="H449" s="1"/>
      <c r="I449" s="1727" t="s">
        <v>87</v>
      </c>
      <c r="J449" s="1409"/>
      <c r="K449" s="1409"/>
      <c r="L449" s="1409"/>
      <c r="M449" s="1409"/>
      <c r="N449" s="1409"/>
      <c r="O449" s="1409"/>
      <c r="P449" s="1409"/>
      <c r="Q449" s="1409"/>
      <c r="R449" s="1409"/>
      <c r="S449" s="1409"/>
      <c r="T449" s="1409"/>
      <c r="U449" s="1409"/>
      <c r="V449" s="839" t="s">
        <v>1191</v>
      </c>
      <c r="W449" s="1092" t="s">
        <v>1194</v>
      </c>
      <c r="X449" s="1092"/>
      <c r="Y449" s="1093"/>
      <c r="Z449" s="1"/>
      <c r="AA449" s="1"/>
      <c r="AB449" s="1"/>
    </row>
    <row r="450" spans="2:28" ht="13.8">
      <c r="B450" s="1"/>
      <c r="C450" s="1"/>
      <c r="D450" s="1"/>
      <c r="E450" s="1"/>
      <c r="F450" s="1"/>
      <c r="G450" s="1"/>
      <c r="H450" s="1"/>
      <c r="I450" s="1725" t="s">
        <v>1180</v>
      </c>
      <c r="J450" s="1726"/>
      <c r="K450" s="1726"/>
      <c r="L450" s="1726"/>
      <c r="M450" s="1726"/>
      <c r="N450" s="1726"/>
      <c r="O450" s="1726"/>
      <c r="P450" s="1726"/>
      <c r="Q450" s="1726"/>
      <c r="R450" s="1726"/>
      <c r="S450" s="1726"/>
      <c r="T450" s="1726"/>
      <c r="U450" s="1726"/>
      <c r="V450" s="873" t="s">
        <v>526</v>
      </c>
      <c r="W450" s="1655">
        <f>(206.72*KFC!$B$41+KFC!$C$41)</f>
        <v>206.72</v>
      </c>
      <c r="X450" s="1655"/>
      <c r="Y450" s="1656"/>
      <c r="Z450" s="1"/>
      <c r="AA450" s="1"/>
      <c r="AB450" s="1"/>
    </row>
    <row r="451" spans="2:28" ht="13.8">
      <c r="B451" s="1"/>
      <c r="C451" s="1"/>
      <c r="D451" s="1"/>
      <c r="E451" s="1"/>
      <c r="F451" s="1"/>
      <c r="G451" s="1"/>
      <c r="H451" s="1"/>
      <c r="I451" s="1215" t="s">
        <v>1181</v>
      </c>
      <c r="J451" s="1003"/>
      <c r="K451" s="1003"/>
      <c r="L451" s="1003"/>
      <c r="M451" s="1003"/>
      <c r="N451" s="1003"/>
      <c r="O451" s="1003"/>
      <c r="P451" s="1003"/>
      <c r="Q451" s="1003"/>
      <c r="R451" s="1003"/>
      <c r="S451" s="1003"/>
      <c r="T451" s="1003"/>
      <c r="U451" s="1003"/>
      <c r="V451" s="869" t="s">
        <v>526</v>
      </c>
      <c r="W451" s="1293">
        <f>(226.92*KFC!$B$41+KFC!$C$41)</f>
        <v>226.92</v>
      </c>
      <c r="X451" s="1293"/>
      <c r="Y451" s="1294"/>
      <c r="Z451" s="1"/>
      <c r="AA451" s="1"/>
      <c r="AB451" s="1"/>
    </row>
    <row r="452" spans="2:28" ht="13.8">
      <c r="B452" s="1"/>
      <c r="C452" s="1"/>
      <c r="D452" s="1"/>
      <c r="E452" s="1"/>
      <c r="F452" s="1"/>
      <c r="G452" s="1"/>
      <c r="H452" s="1"/>
      <c r="I452" s="1215" t="s">
        <v>1182</v>
      </c>
      <c r="J452" s="1003"/>
      <c r="K452" s="1003"/>
      <c r="L452" s="1003"/>
      <c r="M452" s="1003"/>
      <c r="N452" s="1003"/>
      <c r="O452" s="1003"/>
      <c r="P452" s="1003"/>
      <c r="Q452" s="1003"/>
      <c r="R452" s="1003"/>
      <c r="S452" s="1003"/>
      <c r="T452" s="1003"/>
      <c r="U452" s="1003"/>
      <c r="V452" s="869" t="s">
        <v>526</v>
      </c>
      <c r="W452" s="1293">
        <f>(624.88*KFC!$B$41+KFC!$C$41)</f>
        <v>624.88</v>
      </c>
      <c r="X452" s="1293"/>
      <c r="Y452" s="1294"/>
      <c r="Z452" s="1"/>
      <c r="AA452" s="1"/>
      <c r="AB452" s="1"/>
    </row>
    <row r="453" spans="2:28" ht="13.8">
      <c r="B453" s="1"/>
      <c r="C453" s="1"/>
      <c r="D453" s="1"/>
      <c r="E453" s="1"/>
      <c r="F453" s="1"/>
      <c r="G453" s="1"/>
      <c r="H453" s="1"/>
      <c r="I453" s="1215" t="s">
        <v>1183</v>
      </c>
      <c r="J453" s="1003"/>
      <c r="K453" s="1003"/>
      <c r="L453" s="1003"/>
      <c r="M453" s="1003"/>
      <c r="N453" s="1003"/>
      <c r="O453" s="1003"/>
      <c r="P453" s="1003"/>
      <c r="Q453" s="1003"/>
      <c r="R453" s="1003"/>
      <c r="S453" s="1003"/>
      <c r="T453" s="1003"/>
      <c r="U453" s="1003"/>
      <c r="V453" s="869" t="s">
        <v>526</v>
      </c>
      <c r="W453" s="1293">
        <f>(687.38*KFC!$B$41+KFC!$C$41)</f>
        <v>687.38</v>
      </c>
      <c r="X453" s="1293"/>
      <c r="Y453" s="1294"/>
      <c r="Z453" s="1"/>
      <c r="AA453" s="1"/>
      <c r="AB453" s="1"/>
    </row>
    <row r="454" spans="2:28" ht="13.8">
      <c r="B454" s="1"/>
      <c r="C454" s="1"/>
      <c r="D454" s="1"/>
      <c r="E454" s="1"/>
      <c r="F454" s="1"/>
      <c r="G454" s="1"/>
      <c r="H454" s="1"/>
      <c r="I454" s="1215" t="s">
        <v>1184</v>
      </c>
      <c r="J454" s="1003"/>
      <c r="K454" s="1003"/>
      <c r="L454" s="1003"/>
      <c r="M454" s="1003"/>
      <c r="N454" s="1003"/>
      <c r="O454" s="1003"/>
      <c r="P454" s="1003"/>
      <c r="Q454" s="1003"/>
      <c r="R454" s="1003"/>
      <c r="S454" s="1003"/>
      <c r="T454" s="1003"/>
      <c r="U454" s="1003"/>
      <c r="V454" s="869" t="s">
        <v>1192</v>
      </c>
      <c r="W454" s="1293">
        <f>(97.05*KFC!$B$41+KFC!$C$41)</f>
        <v>97.05</v>
      </c>
      <c r="X454" s="1293"/>
      <c r="Y454" s="1294"/>
      <c r="Z454" s="1"/>
      <c r="AA454" s="1"/>
      <c r="AB454" s="1"/>
    </row>
    <row r="455" spans="2:28" ht="13.8">
      <c r="B455" s="1"/>
      <c r="C455" s="1"/>
      <c r="D455" s="1"/>
      <c r="E455" s="1"/>
      <c r="F455" s="1"/>
      <c r="G455" s="1"/>
      <c r="H455" s="1"/>
      <c r="I455" s="1215" t="s">
        <v>1185</v>
      </c>
      <c r="J455" s="1003"/>
      <c r="K455" s="1003"/>
      <c r="L455" s="1003"/>
      <c r="M455" s="1003"/>
      <c r="N455" s="1003"/>
      <c r="O455" s="1003"/>
      <c r="P455" s="1003"/>
      <c r="Q455" s="1003"/>
      <c r="R455" s="1003"/>
      <c r="S455" s="1003"/>
      <c r="T455" s="1003"/>
      <c r="U455" s="1003"/>
      <c r="V455" s="869" t="s">
        <v>1192</v>
      </c>
      <c r="W455" s="1293">
        <f>(125.45*KFC!$B$41+KFC!$C$41)</f>
        <v>125.45</v>
      </c>
      <c r="X455" s="1293"/>
      <c r="Y455" s="1294"/>
      <c r="Z455" s="1"/>
      <c r="AA455" s="1"/>
      <c r="AB455" s="1"/>
    </row>
    <row r="456" spans="2:28" ht="13.8">
      <c r="B456" s="1"/>
      <c r="C456" s="1"/>
      <c r="D456" s="1"/>
      <c r="E456" s="1"/>
      <c r="F456" s="1"/>
      <c r="G456" s="1"/>
      <c r="H456" s="1"/>
      <c r="I456" s="1215" t="s">
        <v>1186</v>
      </c>
      <c r="J456" s="1003"/>
      <c r="K456" s="1003"/>
      <c r="L456" s="1003"/>
      <c r="M456" s="1003"/>
      <c r="N456" s="1003"/>
      <c r="O456" s="1003"/>
      <c r="P456" s="1003"/>
      <c r="Q456" s="1003"/>
      <c r="R456" s="1003"/>
      <c r="S456" s="1003"/>
      <c r="T456" s="1003"/>
      <c r="U456" s="1003"/>
      <c r="V456" s="869" t="s">
        <v>1192</v>
      </c>
      <c r="W456" s="1293">
        <f>(222.81*KFC!$B$41+KFC!$C$41)</f>
        <v>222.81</v>
      </c>
      <c r="X456" s="1293"/>
      <c r="Y456" s="1294"/>
      <c r="Z456" s="1"/>
      <c r="AA456" s="1"/>
      <c r="AB456" s="1"/>
    </row>
    <row r="457" spans="2:28" ht="13.8">
      <c r="B457" s="1"/>
      <c r="C457" s="1"/>
      <c r="D457" s="1"/>
      <c r="E457" s="1"/>
      <c r="F457" s="1"/>
      <c r="G457" s="1"/>
      <c r="H457" s="1"/>
      <c r="I457" s="1215" t="s">
        <v>1187</v>
      </c>
      <c r="J457" s="1003"/>
      <c r="K457" s="1003"/>
      <c r="L457" s="1003"/>
      <c r="M457" s="1003"/>
      <c r="N457" s="1003"/>
      <c r="O457" s="1003"/>
      <c r="P457" s="1003"/>
      <c r="Q457" s="1003"/>
      <c r="R457" s="1003"/>
      <c r="S457" s="1003"/>
      <c r="T457" s="1003"/>
      <c r="U457" s="1003"/>
      <c r="V457" s="869" t="s">
        <v>526</v>
      </c>
      <c r="W457" s="1293">
        <f>(269.6*KFC!$B$41+KFC!$C$41)</f>
        <v>269.60000000000002</v>
      </c>
      <c r="X457" s="1293"/>
      <c r="Y457" s="1294"/>
      <c r="Z457" s="1"/>
      <c r="AA457" s="1"/>
      <c r="AB457" s="1"/>
    </row>
    <row r="458" spans="2:28" ht="13.8">
      <c r="B458" s="1"/>
      <c r="C458" s="1"/>
      <c r="D458" s="1"/>
      <c r="E458" s="1"/>
      <c r="F458" s="1"/>
      <c r="G458" s="1"/>
      <c r="H458" s="1"/>
      <c r="I458" s="1215" t="s">
        <v>1193</v>
      </c>
      <c r="J458" s="1003"/>
      <c r="K458" s="1003"/>
      <c r="L458" s="1003"/>
      <c r="M458" s="1003"/>
      <c r="N458" s="1003"/>
      <c r="O458" s="1003"/>
      <c r="P458" s="1003"/>
      <c r="Q458" s="1003"/>
      <c r="R458" s="1003"/>
      <c r="S458" s="1003"/>
      <c r="T458" s="1003"/>
      <c r="U458" s="1003"/>
      <c r="V458" s="869" t="s">
        <v>526</v>
      </c>
      <c r="W458" s="1293">
        <f>(402.86*KFC!$B$41+KFC!$C$41)</f>
        <v>402.86</v>
      </c>
      <c r="X458" s="1293"/>
      <c r="Y458" s="1294"/>
      <c r="Z458" s="1"/>
      <c r="AA458" s="1"/>
      <c r="AB458" s="1"/>
    </row>
    <row r="459" spans="2:28" ht="13.8">
      <c r="B459" s="1"/>
      <c r="C459" s="1"/>
      <c r="D459" s="1"/>
      <c r="E459" s="1"/>
      <c r="F459" s="1"/>
      <c r="G459" s="1"/>
      <c r="H459" s="1"/>
      <c r="I459" s="1215" t="s">
        <v>1188</v>
      </c>
      <c r="J459" s="1003"/>
      <c r="K459" s="1003"/>
      <c r="L459" s="1003"/>
      <c r="M459" s="1003"/>
      <c r="N459" s="1003"/>
      <c r="O459" s="1003"/>
      <c r="P459" s="1003"/>
      <c r="Q459" s="1003"/>
      <c r="R459" s="1003"/>
      <c r="S459" s="1003"/>
      <c r="T459" s="1003"/>
      <c r="U459" s="1003"/>
      <c r="V459" s="869" t="s">
        <v>526</v>
      </c>
      <c r="W459" s="1293">
        <f>(132.48*KFC!$B$41+KFC!$C$41)</f>
        <v>132.47999999999999</v>
      </c>
      <c r="X459" s="1293"/>
      <c r="Y459" s="1294"/>
      <c r="Z459" s="1"/>
      <c r="AA459" s="1"/>
      <c r="AB459" s="1"/>
    </row>
    <row r="460" spans="2:28" ht="14.4" thickBot="1">
      <c r="B460" s="1"/>
      <c r="C460" s="1"/>
      <c r="D460" s="1"/>
      <c r="E460" s="1"/>
      <c r="F460" s="1"/>
      <c r="G460" s="1"/>
      <c r="H460" s="1"/>
      <c r="I460" s="1213" t="s">
        <v>1189</v>
      </c>
      <c r="J460" s="1214"/>
      <c r="K460" s="1214"/>
      <c r="L460" s="1214"/>
      <c r="M460" s="1214"/>
      <c r="N460" s="1214"/>
      <c r="O460" s="1214"/>
      <c r="P460" s="1214"/>
      <c r="Q460" s="1214"/>
      <c r="R460" s="1214"/>
      <c r="S460" s="1214"/>
      <c r="T460" s="1214"/>
      <c r="U460" s="1214"/>
      <c r="V460" s="872" t="s">
        <v>526</v>
      </c>
      <c r="W460" s="1295">
        <f>(121.32*KFC!$B$41+KFC!$C$41)</f>
        <v>121.32</v>
      </c>
      <c r="X460" s="1295"/>
      <c r="Y460" s="1296"/>
      <c r="Z460" s="1"/>
      <c r="AA460" s="1"/>
      <c r="AB460" s="1"/>
    </row>
  </sheetData>
  <mergeCells count="202">
    <mergeCell ref="I458:U458"/>
    <mergeCell ref="W458:Y458"/>
    <mergeCell ref="I459:U459"/>
    <mergeCell ref="W459:Y459"/>
    <mergeCell ref="I460:U460"/>
    <mergeCell ref="W460:Y460"/>
    <mergeCell ref="I455:U455"/>
    <mergeCell ref="W455:Y455"/>
    <mergeCell ref="I456:U456"/>
    <mergeCell ref="W456:Y456"/>
    <mergeCell ref="I457:U457"/>
    <mergeCell ref="W457:Y457"/>
    <mergeCell ref="I452:U452"/>
    <mergeCell ref="W452:Y452"/>
    <mergeCell ref="I453:U453"/>
    <mergeCell ref="W453:Y453"/>
    <mergeCell ref="I454:U454"/>
    <mergeCell ref="W454:Y454"/>
    <mergeCell ref="I447:Y447"/>
    <mergeCell ref="I449:U449"/>
    <mergeCell ref="W449:Y449"/>
    <mergeCell ref="I450:U450"/>
    <mergeCell ref="W450:Y450"/>
    <mergeCell ref="I451:U451"/>
    <mergeCell ref="W451:Y451"/>
    <mergeCell ref="K407:T407"/>
    <mergeCell ref="K409:T409"/>
    <mergeCell ref="H389:J390"/>
    <mergeCell ref="H408:J409"/>
    <mergeCell ref="H410:J411"/>
    <mergeCell ref="K403:T403"/>
    <mergeCell ref="U408:X409"/>
    <mergeCell ref="K400:T400"/>
    <mergeCell ref="U400:X401"/>
    <mergeCell ref="U402:X403"/>
    <mergeCell ref="U404:X405"/>
    <mergeCell ref="K411:T411"/>
    <mergeCell ref="U406:X406"/>
    <mergeCell ref="K404:T404"/>
    <mergeCell ref="K389:S389"/>
    <mergeCell ref="T387:U388"/>
    <mergeCell ref="K387:S387"/>
    <mergeCell ref="H392:J392"/>
    <mergeCell ref="H391:J391"/>
    <mergeCell ref="H385:J386"/>
    <mergeCell ref="K390:S390"/>
    <mergeCell ref="U399:X399"/>
    <mergeCell ref="T389:U390"/>
    <mergeCell ref="H399:J399"/>
    <mergeCell ref="H398:X398"/>
    <mergeCell ref="H395:J395"/>
    <mergeCell ref="K394:S394"/>
    <mergeCell ref="T394:U394"/>
    <mergeCell ref="K393:S393"/>
    <mergeCell ref="T395:U395"/>
    <mergeCell ref="K395:S395"/>
    <mergeCell ref="T393:U393"/>
    <mergeCell ref="K399:T399"/>
    <mergeCell ref="K388:S388"/>
    <mergeCell ref="H387:J388"/>
    <mergeCell ref="K385:S385"/>
    <mergeCell ref="T385:U386"/>
    <mergeCell ref="K386:S386"/>
    <mergeCell ref="U416:X416"/>
    <mergeCell ref="U415:X415"/>
    <mergeCell ref="H400:J401"/>
    <mergeCell ref="H402:J403"/>
    <mergeCell ref="H404:J405"/>
    <mergeCell ref="H406:J407"/>
    <mergeCell ref="K408:T408"/>
    <mergeCell ref="K406:T406"/>
    <mergeCell ref="K405:T405"/>
    <mergeCell ref="K412:T412"/>
    <mergeCell ref="H414:J414"/>
    <mergeCell ref="K414:T414"/>
    <mergeCell ref="H415:J415"/>
    <mergeCell ref="H412:J412"/>
    <mergeCell ref="K415:T415"/>
    <mergeCell ref="U412:X412"/>
    <mergeCell ref="U414:X414"/>
    <mergeCell ref="H413:J413"/>
    <mergeCell ref="K413:T413"/>
    <mergeCell ref="U413:X413"/>
    <mergeCell ref="K402:T402"/>
    <mergeCell ref="K410:T410"/>
    <mergeCell ref="K401:T401"/>
    <mergeCell ref="U410:X411"/>
    <mergeCell ref="H432:J432"/>
    <mergeCell ref="K422:T422"/>
    <mergeCell ref="K431:T431"/>
    <mergeCell ref="K432:T432"/>
    <mergeCell ref="K428:T428"/>
    <mergeCell ref="H431:J431"/>
    <mergeCell ref="H426:J426"/>
    <mergeCell ref="H424:J425"/>
    <mergeCell ref="K426:T426"/>
    <mergeCell ref="K424:T424"/>
    <mergeCell ref="U424:X425"/>
    <mergeCell ref="U422:X423"/>
    <mergeCell ref="H430:J430"/>
    <mergeCell ref="K429:T429"/>
    <mergeCell ref="K425:T425"/>
    <mergeCell ref="K430:T430"/>
    <mergeCell ref="U430:X430"/>
    <mergeCell ref="K427:T427"/>
    <mergeCell ref="K423:T423"/>
    <mergeCell ref="H422:J423"/>
    <mergeCell ref="K381:S381"/>
    <mergeCell ref="K383:S383"/>
    <mergeCell ref="H380:J381"/>
    <mergeCell ref="T380:U381"/>
    <mergeCell ref="K384:S384"/>
    <mergeCell ref="H383:J384"/>
    <mergeCell ref="K380:S380"/>
    <mergeCell ref="H382:J382"/>
    <mergeCell ref="K382:S382"/>
    <mergeCell ref="T382:U382"/>
    <mergeCell ref="T383:U384"/>
    <mergeCell ref="A373:AC373"/>
    <mergeCell ref="T376:U377"/>
    <mergeCell ref="H374:J374"/>
    <mergeCell ref="K374:S374"/>
    <mergeCell ref="T374:U374"/>
    <mergeCell ref="H375:U375"/>
    <mergeCell ref="K377:S377"/>
    <mergeCell ref="H378:J379"/>
    <mergeCell ref="K378:S378"/>
    <mergeCell ref="T378:U379"/>
    <mergeCell ref="K379:S379"/>
    <mergeCell ref="H376:J377"/>
    <mergeCell ref="K376:S376"/>
    <mergeCell ref="A372:AC372"/>
    <mergeCell ref="A128:B129"/>
    <mergeCell ref="A5:AH5"/>
    <mergeCell ref="C128:AH128"/>
    <mergeCell ref="G7:AH7"/>
    <mergeCell ref="G8:AH8"/>
    <mergeCell ref="A9:B10"/>
    <mergeCell ref="C9:AH9"/>
    <mergeCell ref="A11:A66"/>
    <mergeCell ref="A6:AH6"/>
    <mergeCell ref="A250:A305"/>
    <mergeCell ref="A308:B309"/>
    <mergeCell ref="C308:AH308"/>
    <mergeCell ref="A310:A365"/>
    <mergeCell ref="A3:AH3"/>
    <mergeCell ref="A4:AH4"/>
    <mergeCell ref="A68:B69"/>
    <mergeCell ref="C68:AH68"/>
    <mergeCell ref="A70:A125"/>
    <mergeCell ref="A7:F7"/>
    <mergeCell ref="A8:F8"/>
    <mergeCell ref="T392:U392"/>
    <mergeCell ref="H434:J434"/>
    <mergeCell ref="K434:T434"/>
    <mergeCell ref="U434:X434"/>
    <mergeCell ref="U426:X426"/>
    <mergeCell ref="H427:J428"/>
    <mergeCell ref="U427:X428"/>
    <mergeCell ref="H429:J429"/>
    <mergeCell ref="U429:X429"/>
    <mergeCell ref="H433:J433"/>
    <mergeCell ref="K433:T433"/>
    <mergeCell ref="A130:A185"/>
    <mergeCell ref="A188:B189"/>
    <mergeCell ref="C188:AH188"/>
    <mergeCell ref="A190:A245"/>
    <mergeCell ref="A248:B249"/>
    <mergeCell ref="C248:AH248"/>
    <mergeCell ref="H436:J436"/>
    <mergeCell ref="K436:T436"/>
    <mergeCell ref="U436:X436"/>
    <mergeCell ref="H438:J438"/>
    <mergeCell ref="K438:T438"/>
    <mergeCell ref="U438:X438"/>
    <mergeCell ref="H437:J437"/>
    <mergeCell ref="K437:T437"/>
    <mergeCell ref="U437:X437"/>
    <mergeCell ref="U435:X435"/>
    <mergeCell ref="U433:X433"/>
    <mergeCell ref="H393:J393"/>
    <mergeCell ref="K391:S391"/>
    <mergeCell ref="K392:S392"/>
    <mergeCell ref="H394:J394"/>
    <mergeCell ref="U432:X432"/>
    <mergeCell ref="H435:J435"/>
    <mergeCell ref="K435:T435"/>
    <mergeCell ref="T391:U391"/>
    <mergeCell ref="U420:X421"/>
    <mergeCell ref="K421:T421"/>
    <mergeCell ref="H416:J416"/>
    <mergeCell ref="K416:T416"/>
    <mergeCell ref="K419:T419"/>
    <mergeCell ref="U418:X419"/>
    <mergeCell ref="H420:J421"/>
    <mergeCell ref="U417:X417"/>
    <mergeCell ref="H418:J419"/>
    <mergeCell ref="K418:T418"/>
    <mergeCell ref="K420:T420"/>
    <mergeCell ref="K417:T417"/>
    <mergeCell ref="H417:J417"/>
    <mergeCell ref="U431:X431"/>
  </mergeCells>
  <hyperlinks>
    <hyperlink ref="G8" r:id="rId1" xr:uid="{90BB0A91-84C3-416A-822D-410FE07A8768}"/>
    <hyperlink ref="G7" r:id="rId2" xr:uid="{D41DD3EF-59D3-4A2B-B892-2F2FF82AC461}"/>
    <hyperlink ref="K377" r:id="rId3" xr:uid="{5E6C3367-8ED7-4332-98CE-7A1BC448B993}"/>
    <hyperlink ref="K379" r:id="rId4" xr:uid="{F1020F27-50AD-4769-A80B-C28A6BCA5B19}"/>
    <hyperlink ref="K386" r:id="rId5" xr:uid="{320A8D6B-0DD9-4ACD-803E-D41F0CB0B6B6}"/>
    <hyperlink ref="K381" r:id="rId6" xr:uid="{0381E167-01DF-426B-9D22-6D66C6DDB55A}"/>
    <hyperlink ref="K384" r:id="rId7" xr:uid="{AADE1F4D-646D-4C99-B85D-7E640F88021F}"/>
    <hyperlink ref="K425" r:id="rId8" xr:uid="{358F3911-45D7-45F0-B08A-491C66113D58}"/>
    <hyperlink ref="K423" r:id="rId9" xr:uid="{2B9E41DA-90BF-45AC-9D7D-7777B0E0D834}"/>
    <hyperlink ref="K428" r:id="rId10" xr:uid="{7B03CA2E-39C1-4428-A5DB-4306AB4C0F21}"/>
    <hyperlink ref="K421" r:id="rId11" xr:uid="{4E2D3570-C268-4FD8-B6EE-A1AFB65E2E32}"/>
    <hyperlink ref="K419" r:id="rId12" xr:uid="{BF0EFB66-5C99-4E01-A8F6-D93489BE5F7C}"/>
    <hyperlink ref="K401" r:id="rId13" xr:uid="{E4D2FD7C-6102-448F-8B3C-3E6FC0BBB136}"/>
    <hyperlink ref="K403" r:id="rId14" xr:uid="{969D73DA-06B1-4B75-91A8-F31CE48DDBE5}"/>
    <hyperlink ref="K405" r:id="rId15" xr:uid="{C1754F20-E899-45A2-80E7-F211CF48B08F}"/>
    <hyperlink ref="K407" r:id="rId16" xr:uid="{33695FA6-1E97-4597-AE2D-50B9A122833C}"/>
    <hyperlink ref="K409" r:id="rId17" xr:uid="{B49D66D1-8EAE-48BC-B949-FA395A7FF620}"/>
    <hyperlink ref="K411" r:id="rId18" xr:uid="{D8832FC1-D22F-436B-9967-9D1167CCA427}"/>
    <hyperlink ref="K388" r:id="rId19" xr:uid="{4F0B8778-234E-4978-B195-20F7BB42D4CE}"/>
    <hyperlink ref="K390" r:id="rId20" xr:uid="{3A5333F8-E78D-4C0D-9769-950B0303BE1A}"/>
  </hyperlinks>
  <pageMargins left="0.70866141732283472" right="0.70866141732283472" top="0.74803149606299213" bottom="0.74803149606299213" header="0.31496062992125984" footer="0.31496062992125984"/>
  <pageSetup paperSize="9" scale="55" fitToHeight="0" orientation="landscape" r:id="rId21"/>
  <rowBreaks count="6" manualBreakCount="6">
    <brk id="125" max="16383" man="1"/>
    <brk id="187" max="16383" man="1"/>
    <brk id="247" max="16383" man="1"/>
    <brk id="307" max="16383" man="1"/>
    <brk id="371" max="16383" man="1"/>
    <brk id="397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5F2A39-73D6-4495-985F-CDD61E7702C3}">
  <dimension ref="A1:W142"/>
  <sheetViews>
    <sheetView view="pageBreakPreview" zoomScaleNormal="100" zoomScaleSheetLayoutView="100" workbookViewId="0">
      <selection sqref="A1:IV4"/>
    </sheetView>
  </sheetViews>
  <sheetFormatPr defaultRowHeight="13.2"/>
  <cols>
    <col min="1" max="1" width="7.44140625" customWidth="1"/>
    <col min="2" max="2" width="4.5546875" bestFit="1" customWidth="1"/>
    <col min="3" max="15" width="7.6640625" customWidth="1"/>
  </cols>
  <sheetData>
    <row r="1" spans="1:23">
      <c r="A1" s="58"/>
      <c r="B1" s="58"/>
      <c r="C1" s="58"/>
      <c r="D1" s="10"/>
      <c r="E1" s="52"/>
      <c r="F1" s="10"/>
      <c r="G1" s="10"/>
      <c r="H1" s="10"/>
      <c r="I1" s="1"/>
      <c r="J1" s="1"/>
      <c r="K1" s="1"/>
      <c r="L1" s="1"/>
      <c r="M1" s="1"/>
      <c r="N1" s="1"/>
      <c r="O1" s="1"/>
    </row>
    <row r="2" spans="1:23" ht="15.6">
      <c r="A2" s="1222" t="s">
        <v>757</v>
      </c>
      <c r="B2" s="1222"/>
      <c r="C2" s="1222"/>
      <c r="D2" s="1222"/>
      <c r="E2" s="1222"/>
      <c r="F2" s="1222"/>
      <c r="G2" s="1222"/>
      <c r="H2" s="1222"/>
      <c r="I2" s="1222"/>
      <c r="J2" s="1222"/>
      <c r="K2" s="1222"/>
      <c r="L2" s="1222"/>
      <c r="M2" s="1222"/>
      <c r="N2" s="1222"/>
      <c r="O2" s="1222"/>
    </row>
    <row r="3" spans="1:23">
      <c r="A3" s="1789" t="s">
        <v>760</v>
      </c>
      <c r="B3" s="1789"/>
      <c r="C3" s="1789"/>
      <c r="D3" s="1789"/>
      <c r="E3" s="1789"/>
      <c r="F3" s="1789"/>
      <c r="G3" s="1789"/>
      <c r="H3" s="1789"/>
      <c r="I3" s="1789"/>
      <c r="J3" s="1789"/>
      <c r="K3" s="1789"/>
      <c r="L3" s="1789"/>
      <c r="M3" s="1789"/>
      <c r="N3" s="1789"/>
      <c r="O3" s="1789"/>
    </row>
    <row r="4" spans="1:23" s="1" customFormat="1" ht="22.5" customHeight="1">
      <c r="A4" s="1089" t="s">
        <v>593</v>
      </c>
      <c r="B4" s="1390"/>
      <c r="C4" s="1390"/>
      <c r="D4" s="1390"/>
      <c r="E4" s="1406" t="s">
        <v>874</v>
      </c>
      <c r="F4" s="1390"/>
      <c r="G4" s="1390"/>
      <c r="H4" s="1390"/>
      <c r="I4" s="1390"/>
      <c r="J4" s="1390"/>
      <c r="K4" s="1390"/>
      <c r="L4" s="1390"/>
      <c r="M4" s="1390"/>
      <c r="N4" s="1390"/>
      <c r="O4" s="1390"/>
      <c r="P4" s="1390"/>
      <c r="Q4" s="1390"/>
      <c r="R4" s="1390"/>
      <c r="S4" s="1390"/>
      <c r="T4" s="1390"/>
      <c r="U4" s="1390"/>
      <c r="V4" s="1390"/>
      <c r="W4" s="1390"/>
    </row>
    <row r="5" spans="1:23" ht="13.8" thickBot="1">
      <c r="A5" s="1089" t="s">
        <v>611</v>
      </c>
      <c r="B5" s="1089"/>
      <c r="C5" s="1089"/>
      <c r="D5" s="1089"/>
      <c r="E5" s="1406" t="s">
        <v>613</v>
      </c>
      <c r="F5" s="1545"/>
      <c r="G5" s="1545"/>
      <c r="H5" s="1545"/>
      <c r="I5" s="1545"/>
      <c r="J5" s="1545"/>
      <c r="K5" s="1545"/>
      <c r="L5" s="1545"/>
      <c r="M5" s="1545"/>
      <c r="N5" s="1545"/>
      <c r="O5" s="1545"/>
    </row>
    <row r="6" spans="1:23" ht="13.8" thickBot="1">
      <c r="A6" s="1413" t="s">
        <v>462</v>
      </c>
      <c r="B6" s="1601"/>
      <c r="C6" s="1787" t="s">
        <v>207</v>
      </c>
      <c r="D6" s="1788"/>
      <c r="E6" s="1788"/>
      <c r="F6" s="1788"/>
      <c r="G6" s="1788"/>
      <c r="H6" s="1788"/>
      <c r="I6" s="1788"/>
      <c r="J6" s="1788"/>
      <c r="K6" s="1788"/>
      <c r="L6" s="1788"/>
      <c r="M6" s="1788"/>
      <c r="N6" s="1788"/>
      <c r="O6" s="1788"/>
    </row>
    <row r="7" spans="1:23" ht="13.8" thickBot="1">
      <c r="A7" s="1778"/>
      <c r="B7" s="1779"/>
      <c r="C7" s="340">
        <v>0.6</v>
      </c>
      <c r="D7" s="341">
        <v>0.7</v>
      </c>
      <c r="E7" s="341">
        <v>0.8</v>
      </c>
      <c r="F7" s="341">
        <v>0.9</v>
      </c>
      <c r="G7" s="341">
        <v>1</v>
      </c>
      <c r="H7" s="341">
        <v>1.1000000000000001</v>
      </c>
      <c r="I7" s="341">
        <v>1.2</v>
      </c>
      <c r="J7" s="341">
        <v>1.3</v>
      </c>
      <c r="K7" s="341">
        <v>1.4</v>
      </c>
      <c r="L7" s="341">
        <v>1.5</v>
      </c>
      <c r="M7" s="341">
        <v>1.6</v>
      </c>
      <c r="N7" s="341">
        <v>1.7</v>
      </c>
      <c r="O7" s="341">
        <v>1.8</v>
      </c>
    </row>
    <row r="8" spans="1:23">
      <c r="A8" s="1780" t="s">
        <v>3</v>
      </c>
      <c r="B8" s="391">
        <v>0.4</v>
      </c>
      <c r="C8" s="274">
        <f t="shared" ref="C8:O8" si="0">C30-C30*10/100</f>
        <v>30.095999999999997</v>
      </c>
      <c r="D8" s="301">
        <f t="shared" si="0"/>
        <v>30.987000000000005</v>
      </c>
      <c r="E8" s="301">
        <f t="shared" si="0"/>
        <v>31.977</v>
      </c>
      <c r="F8" s="301">
        <f t="shared" si="0"/>
        <v>32.868000000000002</v>
      </c>
      <c r="G8" s="301">
        <f t="shared" si="0"/>
        <v>33.858000000000004</v>
      </c>
      <c r="H8" s="301">
        <f t="shared" si="0"/>
        <v>34.749000000000009</v>
      </c>
      <c r="I8" s="301">
        <f t="shared" si="0"/>
        <v>35.739000000000004</v>
      </c>
      <c r="J8" s="301">
        <f t="shared" si="0"/>
        <v>36.630000000000003</v>
      </c>
      <c r="K8" s="301">
        <f t="shared" si="0"/>
        <v>37.620000000000005</v>
      </c>
      <c r="L8" s="301">
        <f t="shared" si="0"/>
        <v>38.510999999999996</v>
      </c>
      <c r="M8" s="301">
        <f t="shared" si="0"/>
        <v>39.501000000000005</v>
      </c>
      <c r="N8" s="301">
        <f t="shared" si="0"/>
        <v>40.392000000000003</v>
      </c>
      <c r="O8" s="301">
        <f t="shared" si="0"/>
        <v>41.382000000000005</v>
      </c>
    </row>
    <row r="9" spans="1:23">
      <c r="A9" s="1781"/>
      <c r="B9" s="392">
        <v>0.5</v>
      </c>
      <c r="C9" s="303">
        <f t="shared" ref="C9:O9" si="1">C31-C31*10/100</f>
        <v>30.69</v>
      </c>
      <c r="D9" s="300">
        <f t="shared" si="1"/>
        <v>31.680000000000003</v>
      </c>
      <c r="E9" s="300">
        <f t="shared" si="1"/>
        <v>32.67</v>
      </c>
      <c r="F9" s="300">
        <f t="shared" si="1"/>
        <v>33.660000000000004</v>
      </c>
      <c r="G9" s="300">
        <f t="shared" si="1"/>
        <v>34.65</v>
      </c>
      <c r="H9" s="300">
        <f t="shared" si="1"/>
        <v>35.64</v>
      </c>
      <c r="I9" s="300">
        <f t="shared" si="1"/>
        <v>36.531000000000006</v>
      </c>
      <c r="J9" s="300">
        <f t="shared" si="1"/>
        <v>37.521000000000001</v>
      </c>
      <c r="K9" s="300">
        <f t="shared" si="1"/>
        <v>38.510999999999996</v>
      </c>
      <c r="L9" s="300">
        <f t="shared" si="1"/>
        <v>39.501000000000005</v>
      </c>
      <c r="M9" s="300">
        <f t="shared" si="1"/>
        <v>40.491</v>
      </c>
      <c r="N9" s="300">
        <f t="shared" si="1"/>
        <v>41.481000000000002</v>
      </c>
      <c r="O9" s="300">
        <f t="shared" si="1"/>
        <v>42.471000000000004</v>
      </c>
    </row>
    <row r="10" spans="1:23">
      <c r="A10" s="1781"/>
      <c r="B10" s="392">
        <v>0.6</v>
      </c>
      <c r="C10" s="303">
        <f t="shared" ref="C10:O10" si="2">C32-C32*10/100</f>
        <v>31.284000000000006</v>
      </c>
      <c r="D10" s="300">
        <f t="shared" si="2"/>
        <v>32.373000000000005</v>
      </c>
      <c r="E10" s="300">
        <f t="shared" si="2"/>
        <v>33.363000000000007</v>
      </c>
      <c r="F10" s="300">
        <f t="shared" si="2"/>
        <v>34.353000000000009</v>
      </c>
      <c r="G10" s="300">
        <f t="shared" si="2"/>
        <v>35.442</v>
      </c>
      <c r="H10" s="300">
        <f t="shared" si="2"/>
        <v>36.431999999999995</v>
      </c>
      <c r="I10" s="300">
        <f t="shared" si="2"/>
        <v>37.421999999999997</v>
      </c>
      <c r="J10" s="300">
        <f t="shared" si="2"/>
        <v>38.411999999999999</v>
      </c>
      <c r="K10" s="300">
        <f t="shared" si="2"/>
        <v>39.501000000000005</v>
      </c>
      <c r="L10" s="300">
        <f t="shared" si="2"/>
        <v>40.491</v>
      </c>
      <c r="M10" s="300">
        <f t="shared" si="2"/>
        <v>41.481000000000002</v>
      </c>
      <c r="N10" s="300">
        <f t="shared" si="2"/>
        <v>42.570000000000007</v>
      </c>
      <c r="O10" s="300">
        <f t="shared" si="2"/>
        <v>43.659000000000006</v>
      </c>
    </row>
    <row r="11" spans="1:23">
      <c r="A11" s="1781"/>
      <c r="B11" s="392">
        <v>0.7</v>
      </c>
      <c r="C11" s="303">
        <f t="shared" ref="C11:O11" si="3">C33-C33*10/100</f>
        <v>31.977</v>
      </c>
      <c r="D11" s="300">
        <f t="shared" si="3"/>
        <v>32.966999999999999</v>
      </c>
      <c r="E11" s="300">
        <f t="shared" si="3"/>
        <v>34.056000000000004</v>
      </c>
      <c r="F11" s="300">
        <f t="shared" si="3"/>
        <v>35.145000000000003</v>
      </c>
      <c r="G11" s="300">
        <f t="shared" si="3"/>
        <v>36.234000000000009</v>
      </c>
      <c r="H11" s="300">
        <f t="shared" si="3"/>
        <v>37.224000000000004</v>
      </c>
      <c r="I11" s="300">
        <f t="shared" si="3"/>
        <v>38.313000000000009</v>
      </c>
      <c r="J11" s="300">
        <f t="shared" si="3"/>
        <v>39.402000000000001</v>
      </c>
      <c r="K11" s="300">
        <f t="shared" si="3"/>
        <v>40.392000000000003</v>
      </c>
      <c r="L11" s="300">
        <f t="shared" si="3"/>
        <v>41.481000000000002</v>
      </c>
      <c r="M11" s="300">
        <f t="shared" si="3"/>
        <v>42.570000000000007</v>
      </c>
      <c r="N11" s="300">
        <f t="shared" si="3"/>
        <v>43.56</v>
      </c>
      <c r="O11" s="300">
        <f t="shared" si="3"/>
        <v>44.649000000000008</v>
      </c>
    </row>
    <row r="12" spans="1:23">
      <c r="A12" s="1781"/>
      <c r="B12" s="392">
        <v>0.8</v>
      </c>
      <c r="C12" s="303">
        <f t="shared" ref="C12:O12" si="4">C34-C34*10/100</f>
        <v>32.571000000000005</v>
      </c>
      <c r="D12" s="300">
        <f t="shared" si="4"/>
        <v>33.660000000000004</v>
      </c>
      <c r="E12" s="300">
        <f t="shared" si="4"/>
        <v>34.749000000000009</v>
      </c>
      <c r="F12" s="300">
        <f t="shared" si="4"/>
        <v>35.838000000000008</v>
      </c>
      <c r="G12" s="300">
        <f t="shared" si="4"/>
        <v>36.927</v>
      </c>
      <c r="H12" s="300">
        <f t="shared" si="4"/>
        <v>38.115000000000002</v>
      </c>
      <c r="I12" s="300">
        <f t="shared" si="4"/>
        <v>39.204000000000001</v>
      </c>
      <c r="J12" s="300">
        <f t="shared" si="4"/>
        <v>40.293000000000006</v>
      </c>
      <c r="K12" s="300">
        <f t="shared" si="4"/>
        <v>41.382000000000005</v>
      </c>
      <c r="L12" s="300">
        <f t="shared" si="4"/>
        <v>42.471000000000004</v>
      </c>
      <c r="M12" s="300">
        <f t="shared" si="4"/>
        <v>43.56</v>
      </c>
      <c r="N12" s="300">
        <f t="shared" si="4"/>
        <v>44.649000000000008</v>
      </c>
      <c r="O12" s="300">
        <f t="shared" si="4"/>
        <v>45.738000000000007</v>
      </c>
    </row>
    <row r="13" spans="1:23">
      <c r="A13" s="1781"/>
      <c r="B13" s="392">
        <v>0.9</v>
      </c>
      <c r="C13" s="303">
        <f t="shared" ref="C13:O13" si="5">C35-C35*10/100</f>
        <v>33.164999999999999</v>
      </c>
      <c r="D13" s="300">
        <f t="shared" si="5"/>
        <v>34.353000000000009</v>
      </c>
      <c r="E13" s="300">
        <f t="shared" si="5"/>
        <v>35.442</v>
      </c>
      <c r="F13" s="300">
        <f t="shared" si="5"/>
        <v>36.630000000000003</v>
      </c>
      <c r="G13" s="300">
        <f t="shared" si="5"/>
        <v>37.719000000000001</v>
      </c>
      <c r="H13" s="300">
        <f t="shared" si="5"/>
        <v>38.906999999999996</v>
      </c>
      <c r="I13" s="300">
        <f t="shared" si="5"/>
        <v>39.996000000000002</v>
      </c>
      <c r="J13" s="300">
        <f t="shared" si="5"/>
        <v>41.184000000000005</v>
      </c>
      <c r="K13" s="300">
        <f t="shared" si="5"/>
        <v>42.273000000000003</v>
      </c>
      <c r="L13" s="300">
        <f t="shared" si="5"/>
        <v>43.460999999999999</v>
      </c>
      <c r="M13" s="300">
        <f t="shared" si="5"/>
        <v>44.550000000000004</v>
      </c>
      <c r="N13" s="300">
        <f t="shared" si="5"/>
        <v>45.738000000000007</v>
      </c>
      <c r="O13" s="300">
        <f t="shared" si="5"/>
        <v>46.826999999999998</v>
      </c>
    </row>
    <row r="14" spans="1:23">
      <c r="A14" s="1781"/>
      <c r="B14" s="392">
        <v>1</v>
      </c>
      <c r="C14" s="303">
        <f t="shared" ref="C14:O14" si="6">C36-C36*10/100</f>
        <v>33.858000000000004</v>
      </c>
      <c r="D14" s="300">
        <f t="shared" si="6"/>
        <v>35.046000000000006</v>
      </c>
      <c r="E14" s="300">
        <f t="shared" si="6"/>
        <v>36.234000000000009</v>
      </c>
      <c r="F14" s="300">
        <f t="shared" si="6"/>
        <v>37.323000000000008</v>
      </c>
      <c r="G14" s="300">
        <f t="shared" si="6"/>
        <v>38.510999999999996</v>
      </c>
      <c r="H14" s="300">
        <f t="shared" si="6"/>
        <v>39.699000000000005</v>
      </c>
      <c r="I14" s="300">
        <f t="shared" si="6"/>
        <v>40.887</v>
      </c>
      <c r="J14" s="300">
        <f t="shared" si="6"/>
        <v>42.075000000000003</v>
      </c>
      <c r="K14" s="300">
        <f t="shared" si="6"/>
        <v>43.263000000000005</v>
      </c>
      <c r="L14" s="300">
        <f t="shared" si="6"/>
        <v>44.451000000000001</v>
      </c>
      <c r="M14" s="300">
        <f t="shared" si="6"/>
        <v>45.63900000000001</v>
      </c>
      <c r="N14" s="300">
        <f t="shared" si="6"/>
        <v>46.728000000000009</v>
      </c>
      <c r="O14" s="300">
        <f t="shared" si="6"/>
        <v>48.015000000000001</v>
      </c>
    </row>
    <row r="15" spans="1:23">
      <c r="A15" s="1781"/>
      <c r="B15" s="392">
        <v>1.1000000000000001</v>
      </c>
      <c r="C15" s="303">
        <f t="shared" ref="C15:O15" si="7">C37-C37*10/100</f>
        <v>34.451999999999998</v>
      </c>
      <c r="D15" s="300">
        <f t="shared" si="7"/>
        <v>35.64</v>
      </c>
      <c r="E15" s="300">
        <f t="shared" si="7"/>
        <v>36.927</v>
      </c>
      <c r="F15" s="300">
        <f t="shared" si="7"/>
        <v>38.115000000000002</v>
      </c>
      <c r="G15" s="300">
        <f t="shared" si="7"/>
        <v>39.303000000000011</v>
      </c>
      <c r="H15" s="300">
        <f t="shared" si="7"/>
        <v>40.491</v>
      </c>
      <c r="I15" s="300">
        <f t="shared" si="7"/>
        <v>41.778000000000006</v>
      </c>
      <c r="J15" s="300">
        <f t="shared" si="7"/>
        <v>42.966000000000001</v>
      </c>
      <c r="K15" s="300">
        <f t="shared" si="7"/>
        <v>44.154000000000003</v>
      </c>
      <c r="L15" s="300">
        <f t="shared" si="7"/>
        <v>45.341999999999999</v>
      </c>
      <c r="M15" s="300">
        <f t="shared" si="7"/>
        <v>46.629000000000005</v>
      </c>
      <c r="N15" s="300">
        <f t="shared" si="7"/>
        <v>47.817</v>
      </c>
      <c r="O15" s="300">
        <f t="shared" si="7"/>
        <v>49.005000000000003</v>
      </c>
    </row>
    <row r="16" spans="1:23">
      <c r="A16" s="1781"/>
      <c r="B16" s="392">
        <v>1.2</v>
      </c>
      <c r="C16" s="303">
        <f t="shared" ref="C16:O16" si="8">C38-C38*10/100</f>
        <v>35.046000000000006</v>
      </c>
      <c r="D16" s="300">
        <f t="shared" si="8"/>
        <v>36.333000000000006</v>
      </c>
      <c r="E16" s="300">
        <f t="shared" si="8"/>
        <v>37.620000000000005</v>
      </c>
      <c r="F16" s="300">
        <f t="shared" si="8"/>
        <v>38.808000000000007</v>
      </c>
      <c r="G16" s="300">
        <f t="shared" si="8"/>
        <v>40.095000000000006</v>
      </c>
      <c r="H16" s="300">
        <f t="shared" si="8"/>
        <v>41.382000000000005</v>
      </c>
      <c r="I16" s="300">
        <f t="shared" si="8"/>
        <v>42.570000000000007</v>
      </c>
      <c r="J16" s="300">
        <f t="shared" si="8"/>
        <v>43.856999999999999</v>
      </c>
      <c r="K16" s="300">
        <f t="shared" si="8"/>
        <v>45.144000000000005</v>
      </c>
      <c r="L16" s="300">
        <f t="shared" si="8"/>
        <v>46.332000000000001</v>
      </c>
      <c r="M16" s="300">
        <f t="shared" si="8"/>
        <v>47.619</v>
      </c>
      <c r="N16" s="300">
        <f t="shared" si="8"/>
        <v>48.906000000000006</v>
      </c>
      <c r="O16" s="300">
        <f t="shared" si="8"/>
        <v>50.094000000000001</v>
      </c>
    </row>
    <row r="17" spans="1:15">
      <c r="A17" s="1781"/>
      <c r="B17" s="392">
        <v>1.3</v>
      </c>
      <c r="C17" s="303">
        <f t="shared" ref="C17:O17" si="9">C39-C39*10/100</f>
        <v>35.739000000000004</v>
      </c>
      <c r="D17" s="300">
        <f t="shared" si="9"/>
        <v>37.026000000000003</v>
      </c>
      <c r="E17" s="300">
        <f t="shared" si="9"/>
        <v>38.313000000000009</v>
      </c>
      <c r="F17" s="300">
        <f t="shared" si="9"/>
        <v>39.6</v>
      </c>
      <c r="G17" s="300">
        <f t="shared" si="9"/>
        <v>40.887</v>
      </c>
      <c r="H17" s="300">
        <f t="shared" si="9"/>
        <v>42.174000000000007</v>
      </c>
      <c r="I17" s="300">
        <f t="shared" si="9"/>
        <v>43.460999999999999</v>
      </c>
      <c r="J17" s="300">
        <f t="shared" si="9"/>
        <v>44.748000000000005</v>
      </c>
      <c r="K17" s="300">
        <f t="shared" si="9"/>
        <v>46.035000000000004</v>
      </c>
      <c r="L17" s="300">
        <f t="shared" si="9"/>
        <v>47.322000000000003</v>
      </c>
      <c r="M17" s="300">
        <f t="shared" si="9"/>
        <v>48.609000000000009</v>
      </c>
      <c r="N17" s="300">
        <f t="shared" si="9"/>
        <v>49.896000000000001</v>
      </c>
      <c r="O17" s="300">
        <f t="shared" si="9"/>
        <v>51.282000000000004</v>
      </c>
    </row>
    <row r="18" spans="1:15">
      <c r="A18" s="1781"/>
      <c r="B18" s="392">
        <v>1.4</v>
      </c>
      <c r="C18" s="303">
        <f t="shared" ref="C18:O18" si="10">C40-C40*10/100</f>
        <v>36.333000000000006</v>
      </c>
      <c r="D18" s="300">
        <f t="shared" si="10"/>
        <v>37.719000000000001</v>
      </c>
      <c r="E18" s="300">
        <f t="shared" si="10"/>
        <v>39.006</v>
      </c>
      <c r="F18" s="300">
        <f t="shared" si="10"/>
        <v>40.293000000000006</v>
      </c>
      <c r="G18" s="300">
        <f t="shared" si="10"/>
        <v>41.679000000000002</v>
      </c>
      <c r="H18" s="300">
        <f t="shared" si="10"/>
        <v>42.966000000000001</v>
      </c>
      <c r="I18" s="300">
        <f t="shared" si="10"/>
        <v>44.352000000000004</v>
      </c>
      <c r="J18" s="300">
        <f t="shared" si="10"/>
        <v>45.63900000000001</v>
      </c>
      <c r="K18" s="300">
        <f t="shared" si="10"/>
        <v>47.025000000000006</v>
      </c>
      <c r="L18" s="300">
        <f t="shared" si="10"/>
        <v>48.311999999999998</v>
      </c>
      <c r="M18" s="300">
        <f t="shared" si="10"/>
        <v>49.698000000000008</v>
      </c>
      <c r="N18" s="300">
        <f t="shared" si="10"/>
        <v>50.985000000000007</v>
      </c>
      <c r="O18" s="300">
        <f t="shared" si="10"/>
        <v>52.371000000000002</v>
      </c>
    </row>
    <row r="19" spans="1:15">
      <c r="A19" s="1781"/>
      <c r="B19" s="392">
        <v>1.5</v>
      </c>
      <c r="C19" s="303">
        <f t="shared" ref="C19:O19" si="11">C41-C41*10/100</f>
        <v>36.927</v>
      </c>
      <c r="D19" s="300">
        <f t="shared" si="11"/>
        <v>38.313000000000009</v>
      </c>
      <c r="E19" s="300">
        <f t="shared" si="11"/>
        <v>39.699000000000005</v>
      </c>
      <c r="F19" s="300">
        <f t="shared" si="11"/>
        <v>41.085000000000008</v>
      </c>
      <c r="G19" s="300">
        <f t="shared" si="11"/>
        <v>42.471000000000004</v>
      </c>
      <c r="H19" s="300">
        <f t="shared" si="11"/>
        <v>43.856999999999999</v>
      </c>
      <c r="I19" s="300">
        <f t="shared" si="11"/>
        <v>45.144000000000005</v>
      </c>
      <c r="J19" s="300">
        <f t="shared" si="11"/>
        <v>46.53</v>
      </c>
      <c r="K19" s="300">
        <f t="shared" si="11"/>
        <v>47.916000000000004</v>
      </c>
      <c r="L19" s="300">
        <f t="shared" si="11"/>
        <v>49.302</v>
      </c>
      <c r="M19" s="300">
        <f t="shared" si="11"/>
        <v>50.688000000000009</v>
      </c>
      <c r="N19" s="300">
        <f t="shared" si="11"/>
        <v>52.074000000000005</v>
      </c>
      <c r="O19" s="300">
        <f t="shared" si="11"/>
        <v>53.361000000000004</v>
      </c>
    </row>
    <row r="20" spans="1:15">
      <c r="A20" s="1781"/>
      <c r="B20" s="392">
        <v>1.6</v>
      </c>
      <c r="C20" s="303">
        <f t="shared" ref="C20:O20" si="12">C42-C42*10/100</f>
        <v>37.620000000000005</v>
      </c>
      <c r="D20" s="300">
        <f t="shared" si="12"/>
        <v>39.006</v>
      </c>
      <c r="E20" s="300">
        <f t="shared" si="12"/>
        <v>40.392000000000003</v>
      </c>
      <c r="F20" s="300">
        <f t="shared" si="12"/>
        <v>41.877000000000002</v>
      </c>
      <c r="G20" s="300">
        <f t="shared" si="12"/>
        <v>43.263000000000005</v>
      </c>
      <c r="H20" s="300">
        <f t="shared" si="12"/>
        <v>44.649000000000008</v>
      </c>
      <c r="I20" s="300">
        <f t="shared" si="12"/>
        <v>46.035000000000004</v>
      </c>
      <c r="J20" s="300">
        <f t="shared" si="12"/>
        <v>47.421000000000006</v>
      </c>
      <c r="K20" s="300">
        <f t="shared" si="12"/>
        <v>48.906000000000006</v>
      </c>
      <c r="L20" s="300">
        <f t="shared" si="12"/>
        <v>50.292000000000002</v>
      </c>
      <c r="M20" s="300">
        <f t="shared" si="12"/>
        <v>51.678000000000011</v>
      </c>
      <c r="N20" s="300">
        <f t="shared" si="12"/>
        <v>53.064000000000007</v>
      </c>
      <c r="O20" s="300">
        <f t="shared" si="12"/>
        <v>54.549000000000007</v>
      </c>
    </row>
    <row r="21" spans="1:15">
      <c r="A21" s="1781"/>
      <c r="B21" s="392">
        <v>1.7</v>
      </c>
      <c r="C21" s="303">
        <f t="shared" ref="C21:O21" si="13">C43-C43*10/100</f>
        <v>38.214000000000006</v>
      </c>
      <c r="D21" s="300">
        <f t="shared" si="13"/>
        <v>39.699000000000005</v>
      </c>
      <c r="E21" s="300">
        <f t="shared" si="13"/>
        <v>41.085000000000008</v>
      </c>
      <c r="F21" s="300">
        <f t="shared" si="13"/>
        <v>42.570000000000007</v>
      </c>
      <c r="G21" s="300">
        <f t="shared" si="13"/>
        <v>44.055000000000007</v>
      </c>
      <c r="H21" s="300">
        <f t="shared" si="13"/>
        <v>45.441000000000003</v>
      </c>
      <c r="I21" s="300">
        <f t="shared" si="13"/>
        <v>46.926000000000002</v>
      </c>
      <c r="J21" s="300">
        <f t="shared" si="13"/>
        <v>48.311999999999998</v>
      </c>
      <c r="K21" s="300">
        <f t="shared" si="13"/>
        <v>49.796999999999997</v>
      </c>
      <c r="L21" s="300">
        <f t="shared" si="13"/>
        <v>51.282000000000004</v>
      </c>
      <c r="M21" s="300">
        <f t="shared" si="13"/>
        <v>52.668000000000006</v>
      </c>
      <c r="N21" s="300">
        <f t="shared" si="13"/>
        <v>54.153000000000006</v>
      </c>
      <c r="O21" s="300">
        <f t="shared" si="13"/>
        <v>55.638000000000005</v>
      </c>
    </row>
    <row r="22" spans="1:15">
      <c r="A22" s="1781"/>
      <c r="B22" s="392">
        <v>1.8</v>
      </c>
      <c r="C22" s="303">
        <f t="shared" ref="C22:O22" si="14">C44-C44*10/100</f>
        <v>38.808000000000007</v>
      </c>
      <c r="D22" s="300">
        <f t="shared" si="14"/>
        <v>40.293000000000006</v>
      </c>
      <c r="E22" s="300">
        <f t="shared" si="14"/>
        <v>41.877000000000002</v>
      </c>
      <c r="F22" s="300">
        <f t="shared" si="14"/>
        <v>43.263000000000005</v>
      </c>
      <c r="G22" s="300">
        <f t="shared" si="14"/>
        <v>44.847000000000001</v>
      </c>
      <c r="H22" s="300">
        <f t="shared" si="14"/>
        <v>46.332000000000001</v>
      </c>
      <c r="I22" s="300">
        <f t="shared" si="14"/>
        <v>47.817</v>
      </c>
      <c r="J22" s="300">
        <f t="shared" si="14"/>
        <v>49.302</v>
      </c>
      <c r="K22" s="300">
        <f t="shared" si="14"/>
        <v>50.786999999999999</v>
      </c>
      <c r="L22" s="300">
        <f t="shared" si="14"/>
        <v>52.271999999999998</v>
      </c>
      <c r="M22" s="300">
        <f t="shared" si="14"/>
        <v>53.757000000000005</v>
      </c>
      <c r="N22" s="300">
        <f t="shared" si="14"/>
        <v>55.242000000000004</v>
      </c>
      <c r="O22" s="300">
        <f t="shared" si="14"/>
        <v>56.727000000000004</v>
      </c>
    </row>
    <row r="23" spans="1:15">
      <c r="A23" s="1781"/>
      <c r="B23" s="392">
        <v>1.9</v>
      </c>
      <c r="C23" s="303">
        <f t="shared" ref="C23:O23" si="15">C45-C45*10/100</f>
        <v>39.501000000000005</v>
      </c>
      <c r="D23" s="300">
        <f t="shared" si="15"/>
        <v>40.985999999999997</v>
      </c>
      <c r="E23" s="300">
        <f t="shared" si="15"/>
        <v>42.570000000000007</v>
      </c>
      <c r="F23" s="300">
        <f t="shared" si="15"/>
        <v>44.055000000000007</v>
      </c>
      <c r="G23" s="300">
        <f t="shared" si="15"/>
        <v>45.63900000000001</v>
      </c>
      <c r="H23" s="300">
        <f t="shared" si="15"/>
        <v>47.124000000000009</v>
      </c>
      <c r="I23" s="300">
        <f t="shared" si="15"/>
        <v>48.609000000000009</v>
      </c>
      <c r="J23" s="300">
        <f t="shared" si="15"/>
        <v>50.193000000000012</v>
      </c>
      <c r="K23" s="300">
        <f t="shared" si="15"/>
        <v>51.678000000000011</v>
      </c>
      <c r="L23" s="300">
        <f t="shared" si="15"/>
        <v>53.262</v>
      </c>
      <c r="M23" s="300">
        <f t="shared" si="15"/>
        <v>54.747</v>
      </c>
      <c r="N23" s="300">
        <f t="shared" si="15"/>
        <v>56.231999999999999</v>
      </c>
      <c r="O23" s="300">
        <f t="shared" si="15"/>
        <v>57.81600000000001</v>
      </c>
    </row>
    <row r="24" spans="1:15">
      <c r="A24" s="1781"/>
      <c r="B24" s="392">
        <v>2</v>
      </c>
      <c r="C24" s="303">
        <f t="shared" ref="C24:O24" si="16">C46-C46*10/100</f>
        <v>40.095000000000006</v>
      </c>
      <c r="D24" s="300">
        <f t="shared" si="16"/>
        <v>41.679000000000002</v>
      </c>
      <c r="E24" s="300">
        <f t="shared" si="16"/>
        <v>43.263000000000005</v>
      </c>
      <c r="F24" s="300">
        <f t="shared" si="16"/>
        <v>44.847000000000001</v>
      </c>
      <c r="G24" s="300">
        <f t="shared" si="16"/>
        <v>46.332000000000001</v>
      </c>
      <c r="H24" s="300">
        <f t="shared" si="16"/>
        <v>47.916000000000004</v>
      </c>
      <c r="I24" s="300">
        <f t="shared" si="16"/>
        <v>49.500000000000007</v>
      </c>
      <c r="J24" s="300">
        <f t="shared" si="16"/>
        <v>51.084000000000003</v>
      </c>
      <c r="K24" s="300">
        <f t="shared" si="16"/>
        <v>52.668000000000006</v>
      </c>
      <c r="L24" s="300">
        <f t="shared" si="16"/>
        <v>54.153000000000006</v>
      </c>
      <c r="M24" s="300">
        <f t="shared" si="16"/>
        <v>55.737000000000002</v>
      </c>
      <c r="N24" s="300">
        <f t="shared" si="16"/>
        <v>57.321000000000005</v>
      </c>
      <c r="O24" s="300">
        <f t="shared" si="16"/>
        <v>58.905000000000001</v>
      </c>
    </row>
    <row r="25" spans="1:15">
      <c r="A25" s="1781"/>
      <c r="B25" s="392">
        <v>2.1</v>
      </c>
      <c r="C25" s="303">
        <f t="shared" ref="C25:O25" si="17">C47-C47*10/100</f>
        <v>40.689000000000007</v>
      </c>
      <c r="D25" s="300">
        <f t="shared" si="17"/>
        <v>42.372</v>
      </c>
      <c r="E25" s="300">
        <f t="shared" si="17"/>
        <v>43.956000000000003</v>
      </c>
      <c r="F25" s="300">
        <f t="shared" si="17"/>
        <v>45.54</v>
      </c>
      <c r="G25" s="300">
        <f t="shared" si="17"/>
        <v>47.124000000000009</v>
      </c>
      <c r="H25" s="300">
        <f t="shared" si="17"/>
        <v>48.807000000000002</v>
      </c>
      <c r="I25" s="300">
        <f t="shared" si="17"/>
        <v>50.391000000000005</v>
      </c>
      <c r="J25" s="300">
        <f t="shared" si="17"/>
        <v>51.975000000000009</v>
      </c>
      <c r="K25" s="300">
        <f t="shared" si="17"/>
        <v>53.559000000000005</v>
      </c>
      <c r="L25" s="300">
        <f t="shared" si="17"/>
        <v>55.143000000000008</v>
      </c>
      <c r="M25" s="300">
        <f t="shared" si="17"/>
        <v>56.826000000000001</v>
      </c>
      <c r="N25" s="300">
        <f t="shared" si="17"/>
        <v>58.410000000000004</v>
      </c>
      <c r="O25" s="300">
        <f t="shared" si="17"/>
        <v>59.994000000000007</v>
      </c>
    </row>
    <row r="26" spans="1:15">
      <c r="A26" s="1781"/>
      <c r="B26" s="392">
        <v>2.2000000000000002</v>
      </c>
      <c r="C26" s="303">
        <f t="shared" ref="C26:O26" si="18">C48-C48*10/100</f>
        <v>41.382000000000005</v>
      </c>
      <c r="D26" s="300">
        <f t="shared" si="18"/>
        <v>42.966000000000001</v>
      </c>
      <c r="E26" s="300">
        <f t="shared" si="18"/>
        <v>44.649000000000008</v>
      </c>
      <c r="F26" s="300">
        <f t="shared" si="18"/>
        <v>46.332000000000001</v>
      </c>
      <c r="G26" s="300">
        <f t="shared" si="18"/>
        <v>47.916000000000004</v>
      </c>
      <c r="H26" s="300">
        <f t="shared" si="18"/>
        <v>49.599000000000004</v>
      </c>
      <c r="I26" s="300">
        <f t="shared" si="18"/>
        <v>51.183000000000007</v>
      </c>
      <c r="J26" s="300">
        <f t="shared" si="18"/>
        <v>52.866</v>
      </c>
      <c r="K26" s="300">
        <f t="shared" si="18"/>
        <v>54.549000000000007</v>
      </c>
      <c r="L26" s="300">
        <f t="shared" si="18"/>
        <v>56.13300000000001</v>
      </c>
      <c r="M26" s="300">
        <f t="shared" si="18"/>
        <v>57.81600000000001</v>
      </c>
      <c r="N26" s="300">
        <f t="shared" si="18"/>
        <v>59.499000000000009</v>
      </c>
      <c r="O26" s="300">
        <f t="shared" si="18"/>
        <v>61.182000000000002</v>
      </c>
    </row>
    <row r="27" spans="1:15" ht="13.8" thickBot="1">
      <c r="A27" s="385"/>
      <c r="B27" s="385"/>
      <c r="C27" s="385"/>
      <c r="D27" s="385"/>
      <c r="E27" s="385"/>
      <c r="F27" s="385"/>
      <c r="G27" s="385"/>
      <c r="H27" s="385"/>
      <c r="I27" s="385"/>
      <c r="J27" s="385"/>
      <c r="K27" s="385"/>
      <c r="L27" s="385"/>
      <c r="M27" s="385"/>
      <c r="N27" s="385"/>
      <c r="O27" s="385"/>
    </row>
    <row r="28" spans="1:15" ht="13.95" customHeight="1" thickBot="1">
      <c r="A28" s="1413" t="s">
        <v>314</v>
      </c>
      <c r="B28" s="1601"/>
      <c r="C28" s="1787" t="s">
        <v>207</v>
      </c>
      <c r="D28" s="1788"/>
      <c r="E28" s="1788"/>
      <c r="F28" s="1788"/>
      <c r="G28" s="1788"/>
      <c r="H28" s="1788"/>
      <c r="I28" s="1788"/>
      <c r="J28" s="1788"/>
      <c r="K28" s="1788"/>
      <c r="L28" s="1788"/>
      <c r="M28" s="1788"/>
      <c r="N28" s="1788"/>
      <c r="O28" s="1788"/>
    </row>
    <row r="29" spans="1:15" ht="13.8" thickBot="1">
      <c r="A29" s="1778"/>
      <c r="B29" s="1779"/>
      <c r="C29" s="340">
        <v>0.6</v>
      </c>
      <c r="D29" s="341">
        <v>0.7</v>
      </c>
      <c r="E29" s="341">
        <v>0.8</v>
      </c>
      <c r="F29" s="341">
        <v>0.9</v>
      </c>
      <c r="G29" s="341">
        <v>1</v>
      </c>
      <c r="H29" s="341">
        <v>1.1000000000000001</v>
      </c>
      <c r="I29" s="341">
        <v>1.2</v>
      </c>
      <c r="J29" s="341">
        <v>1.3</v>
      </c>
      <c r="K29" s="341">
        <v>1.4</v>
      </c>
      <c r="L29" s="341">
        <v>1.5</v>
      </c>
      <c r="M29" s="341">
        <v>1.6</v>
      </c>
      <c r="N29" s="341">
        <v>1.7</v>
      </c>
      <c r="O29" s="341">
        <v>1.8</v>
      </c>
    </row>
    <row r="30" spans="1:15" ht="13.2" customHeight="1">
      <c r="A30" s="1780" t="s">
        <v>3</v>
      </c>
      <c r="B30" s="391">
        <v>0.4</v>
      </c>
      <c r="C30" s="274">
        <f>(30.4*KFC!$B$24*1.1+KFC!$C$24)*KFC!$C$5</f>
        <v>33.44</v>
      </c>
      <c r="D30" s="301">
        <f>(31.3*KFC!$B$24*1.1+KFC!$C$24)*KFC!$C$5</f>
        <v>34.430000000000007</v>
      </c>
      <c r="E30" s="301">
        <f>(32.3*KFC!$B$24*1.1+KFC!$C$24)*KFC!$C$5</f>
        <v>35.53</v>
      </c>
      <c r="F30" s="301">
        <f>(33.2*KFC!$B$24*1.1+KFC!$C$24)*KFC!$C$5</f>
        <v>36.520000000000003</v>
      </c>
      <c r="G30" s="301">
        <f>(34.2*KFC!$B$24*1.1+KFC!$C$24)*KFC!$C$5</f>
        <v>37.620000000000005</v>
      </c>
      <c r="H30" s="301">
        <f>(35.1*KFC!$B$24*1.1+KFC!$C$24)*KFC!$C$5</f>
        <v>38.610000000000007</v>
      </c>
      <c r="I30" s="301">
        <f>(36.1*KFC!$B$24*1.1+KFC!$C$24)*KFC!$C$5</f>
        <v>39.710000000000008</v>
      </c>
      <c r="J30" s="301">
        <f>(37*KFC!$B$24*1.1+KFC!$C$24)*KFC!$C$5</f>
        <v>40.700000000000003</v>
      </c>
      <c r="K30" s="301">
        <f>(38*KFC!$B$24*1.1+KFC!$C$24)*KFC!$C$5</f>
        <v>41.800000000000004</v>
      </c>
      <c r="L30" s="301">
        <f>(38.9*KFC!$B$24*1.1+KFC!$C$24)*KFC!$C$5</f>
        <v>42.79</v>
      </c>
      <c r="M30" s="301">
        <f>(39.9*KFC!$B$24*1.1+KFC!$C$24)*KFC!$C$5</f>
        <v>43.89</v>
      </c>
      <c r="N30" s="301">
        <f>(40.8*KFC!$B$24*1.1+KFC!$C$24)*KFC!$C$5</f>
        <v>44.88</v>
      </c>
      <c r="O30" s="301">
        <f>(41.8*KFC!$B$24*1.1+KFC!$C$24)*KFC!$C$5</f>
        <v>45.980000000000004</v>
      </c>
    </row>
    <row r="31" spans="1:15">
      <c r="A31" s="1781"/>
      <c r="B31" s="392">
        <v>0.5</v>
      </c>
      <c r="C31" s="303">
        <f>(31*KFC!$B$24*1.1+KFC!$C$24)*KFC!$C$5</f>
        <v>34.1</v>
      </c>
      <c r="D31" s="300">
        <f>(32*KFC!$B$24*1.1+KFC!$C$24)*KFC!$C$5</f>
        <v>35.200000000000003</v>
      </c>
      <c r="E31" s="300">
        <f>(33*KFC!$B$24*1.1+KFC!$C$24)*KFC!$C$5</f>
        <v>36.300000000000004</v>
      </c>
      <c r="F31" s="300">
        <f>(34*KFC!$B$24*1.1+KFC!$C$24)*KFC!$C$5</f>
        <v>37.400000000000006</v>
      </c>
      <c r="G31" s="300">
        <f>(35*KFC!$B$24*1.1+KFC!$C$24)*KFC!$C$5</f>
        <v>38.5</v>
      </c>
      <c r="H31" s="300">
        <f>(36*KFC!$B$24*1.1+KFC!$C$24)*KFC!$C$5</f>
        <v>39.6</v>
      </c>
      <c r="I31" s="300">
        <f>(36.9*KFC!$B$24*1.1+KFC!$C$24)*KFC!$C$5</f>
        <v>40.590000000000003</v>
      </c>
      <c r="J31" s="300">
        <f>(37.9*KFC!$B$24*1.1+KFC!$C$24)*KFC!$C$5</f>
        <v>41.690000000000005</v>
      </c>
      <c r="K31" s="300">
        <f>(38.9*KFC!$B$24*1.1+KFC!$C$24)*KFC!$C$5</f>
        <v>42.79</v>
      </c>
      <c r="L31" s="300">
        <f>(39.9*KFC!$B$24*1.1+KFC!$C$24)*KFC!$C$5</f>
        <v>43.89</v>
      </c>
      <c r="M31" s="300">
        <f>(40.9*KFC!$B$24*1.1+KFC!$C$24)*KFC!$C$5</f>
        <v>44.99</v>
      </c>
      <c r="N31" s="300">
        <f>(41.9*KFC!$B$24*1.1+KFC!$C$24)*KFC!$C$5</f>
        <v>46.09</v>
      </c>
      <c r="O31" s="300">
        <f>(42.9*KFC!$B$24*1.1+KFC!$C$24)*KFC!$C$5</f>
        <v>47.190000000000005</v>
      </c>
    </row>
    <row r="32" spans="1:15">
      <c r="A32" s="1781"/>
      <c r="B32" s="392">
        <v>0.6</v>
      </c>
      <c r="C32" s="303">
        <f>(31.6*KFC!$B$24*1.1+KFC!$C$24)*KFC!$C$5</f>
        <v>34.760000000000005</v>
      </c>
      <c r="D32" s="300">
        <f>(32.7*KFC!$B$24*1.1+KFC!$C$24)*KFC!$C$5</f>
        <v>35.970000000000006</v>
      </c>
      <c r="E32" s="300">
        <f>(33.7*KFC!$B$24*1.1+KFC!$C$24)*KFC!$C$5</f>
        <v>37.070000000000007</v>
      </c>
      <c r="F32" s="300">
        <f>(34.7*KFC!$B$24*1.1+KFC!$C$24)*KFC!$C$5</f>
        <v>38.170000000000009</v>
      </c>
      <c r="G32" s="300">
        <f>(35.8*KFC!$B$24*1.1+KFC!$C$24)*KFC!$C$5</f>
        <v>39.380000000000003</v>
      </c>
      <c r="H32" s="300">
        <f>(36.8*KFC!$B$24*1.1+KFC!$C$24)*KFC!$C$5</f>
        <v>40.479999999999997</v>
      </c>
      <c r="I32" s="300">
        <f>(37.8*KFC!$B$24*1.1+KFC!$C$24)*KFC!$C$5</f>
        <v>41.58</v>
      </c>
      <c r="J32" s="300">
        <f>(38.8*KFC!$B$24*1.1+KFC!$C$24)*KFC!$C$5</f>
        <v>42.68</v>
      </c>
      <c r="K32" s="300">
        <f>(39.9*KFC!$B$24*1.1+KFC!$C$24)*KFC!$C$5</f>
        <v>43.89</v>
      </c>
      <c r="L32" s="300">
        <f>(40.9*KFC!$B$24*1.1+KFC!$C$24)*KFC!$C$5</f>
        <v>44.99</v>
      </c>
      <c r="M32" s="300">
        <f>(41.9*KFC!$B$24*1.1+KFC!$C$24)*KFC!$C$5</f>
        <v>46.09</v>
      </c>
      <c r="N32" s="300">
        <f>(43*KFC!$B$24*1.1+KFC!$C$24)*KFC!$C$5</f>
        <v>47.300000000000004</v>
      </c>
      <c r="O32" s="300">
        <f>(44.1*KFC!$B$24*1.1+KFC!$C$24)*KFC!$C$5</f>
        <v>48.510000000000005</v>
      </c>
    </row>
    <row r="33" spans="1:15">
      <c r="A33" s="1781"/>
      <c r="B33" s="392">
        <v>0.7</v>
      </c>
      <c r="C33" s="303">
        <f>(32.3*KFC!$B$24*1.1+KFC!$C$24)*KFC!$C$5</f>
        <v>35.53</v>
      </c>
      <c r="D33" s="300">
        <f>(33.3*KFC!$B$24*1.1+KFC!$C$24)*KFC!$C$5</f>
        <v>36.630000000000003</v>
      </c>
      <c r="E33" s="300">
        <f>(34.4*KFC!$B$24*1.1+KFC!$C$24)*KFC!$C$5</f>
        <v>37.840000000000003</v>
      </c>
      <c r="F33" s="300">
        <f>(35.5*KFC!$B$24*1.1+KFC!$C$24)*KFC!$C$5</f>
        <v>39.050000000000004</v>
      </c>
      <c r="G33" s="300">
        <f>(36.6*KFC!$B$24*1.1+KFC!$C$24)*KFC!$C$5</f>
        <v>40.260000000000005</v>
      </c>
      <c r="H33" s="300">
        <f>(37.6*KFC!$B$24*1.1+KFC!$C$24)*KFC!$C$5</f>
        <v>41.360000000000007</v>
      </c>
      <c r="I33" s="300">
        <f>(38.7*KFC!$B$24*1.1+KFC!$C$24)*KFC!$C$5</f>
        <v>42.570000000000007</v>
      </c>
      <c r="J33" s="300">
        <f>(39.8*KFC!$B$24*1.1+KFC!$C$24)*KFC!$C$5</f>
        <v>43.78</v>
      </c>
      <c r="K33" s="300">
        <f>(40.8*KFC!$B$24*1.1+KFC!$C$24)*KFC!$C$5</f>
        <v>44.88</v>
      </c>
      <c r="L33" s="300">
        <f>(41.9*KFC!$B$24*1.1+KFC!$C$24)*KFC!$C$5</f>
        <v>46.09</v>
      </c>
      <c r="M33" s="300">
        <f>(43*KFC!$B$24*1.1+KFC!$C$24)*KFC!$C$5</f>
        <v>47.300000000000004</v>
      </c>
      <c r="N33" s="300">
        <f>(44*KFC!$B$24*1.1+KFC!$C$24)*KFC!$C$5</f>
        <v>48.400000000000006</v>
      </c>
      <c r="O33" s="300">
        <f>(45.1*KFC!$B$24*1.1+KFC!$C$24)*KFC!$C$5</f>
        <v>49.610000000000007</v>
      </c>
    </row>
    <row r="34" spans="1:15">
      <c r="A34" s="1781"/>
      <c r="B34" s="392">
        <v>0.8</v>
      </c>
      <c r="C34" s="303">
        <f>(32.9*KFC!$B$24*1.1+KFC!$C$24)*KFC!$C$5</f>
        <v>36.190000000000005</v>
      </c>
      <c r="D34" s="300">
        <f>(34*KFC!$B$24*1.1+KFC!$C$24)*KFC!$C$5</f>
        <v>37.400000000000006</v>
      </c>
      <c r="E34" s="300">
        <f>(35.1*KFC!$B$24*1.1+KFC!$C$24)*KFC!$C$5</f>
        <v>38.610000000000007</v>
      </c>
      <c r="F34" s="300">
        <f>(36.2*KFC!$B$24*1.1+KFC!$C$24)*KFC!$C$5</f>
        <v>39.820000000000007</v>
      </c>
      <c r="G34" s="300">
        <f>(37.3*KFC!$B$24*1.1+KFC!$C$24)*KFC!$C$5</f>
        <v>41.03</v>
      </c>
      <c r="H34" s="300">
        <f>(38.5*KFC!$B$24*1.1+KFC!$C$24)*KFC!$C$5</f>
        <v>42.35</v>
      </c>
      <c r="I34" s="300">
        <f>(39.6*KFC!$B$24*1.1+KFC!$C$24)*KFC!$C$5</f>
        <v>43.56</v>
      </c>
      <c r="J34" s="300">
        <f>(40.7*KFC!$B$24*1.1+KFC!$C$24)*KFC!$C$5</f>
        <v>44.77000000000001</v>
      </c>
      <c r="K34" s="300">
        <f>(41.8*KFC!$B$24*1.1+KFC!$C$24)*KFC!$C$5</f>
        <v>45.980000000000004</v>
      </c>
      <c r="L34" s="300">
        <f>(42.9*KFC!$B$24*1.1+KFC!$C$24)*KFC!$C$5</f>
        <v>47.190000000000005</v>
      </c>
      <c r="M34" s="300">
        <f>(44*KFC!$B$24*1.1+KFC!$C$24)*KFC!$C$5</f>
        <v>48.400000000000006</v>
      </c>
      <c r="N34" s="300">
        <f>(45.1*KFC!$B$24*1.1+KFC!$C$24)*KFC!$C$5</f>
        <v>49.610000000000007</v>
      </c>
      <c r="O34" s="300">
        <f>(46.2*KFC!$B$24*1.1+KFC!$C$24)*KFC!$C$5</f>
        <v>50.820000000000007</v>
      </c>
    </row>
    <row r="35" spans="1:15">
      <c r="A35" s="1781"/>
      <c r="B35" s="392">
        <v>0.9</v>
      </c>
      <c r="C35" s="303">
        <f>(33.5*KFC!$B$24*1.1+KFC!$C$24)*KFC!$C$5</f>
        <v>36.85</v>
      </c>
      <c r="D35" s="300">
        <f>(34.7*KFC!$B$24*1.1+KFC!$C$24)*KFC!$C$5</f>
        <v>38.170000000000009</v>
      </c>
      <c r="E35" s="300">
        <f>(35.8*KFC!$B$24*1.1+KFC!$C$24)*KFC!$C$5</f>
        <v>39.380000000000003</v>
      </c>
      <c r="F35" s="300">
        <f>(37*KFC!$B$24*1.1+KFC!$C$24)*KFC!$C$5</f>
        <v>40.700000000000003</v>
      </c>
      <c r="G35" s="300">
        <f>(38.1*KFC!$B$24*1.1+KFC!$C$24)*KFC!$C$5</f>
        <v>41.910000000000004</v>
      </c>
      <c r="H35" s="300">
        <f>(39.3*KFC!$B$24*1.1+KFC!$C$24)*KFC!$C$5</f>
        <v>43.23</v>
      </c>
      <c r="I35" s="300">
        <f>(40.4*KFC!$B$24*1.1+KFC!$C$24)*KFC!$C$5</f>
        <v>44.440000000000005</v>
      </c>
      <c r="J35" s="300">
        <f>(41.6*KFC!$B$24*1.1+KFC!$C$24)*KFC!$C$5</f>
        <v>45.760000000000005</v>
      </c>
      <c r="K35" s="300">
        <f>(42.7*KFC!$B$24*1.1+KFC!$C$24)*KFC!$C$5</f>
        <v>46.970000000000006</v>
      </c>
      <c r="L35" s="300">
        <f>(43.9*KFC!$B$24*1.1+KFC!$C$24)*KFC!$C$5</f>
        <v>48.29</v>
      </c>
      <c r="M35" s="300">
        <f>(45*KFC!$B$24*1.1+KFC!$C$24)*KFC!$C$5</f>
        <v>49.500000000000007</v>
      </c>
      <c r="N35" s="300">
        <f>(46.2*KFC!$B$24*1.1+KFC!$C$24)*KFC!$C$5</f>
        <v>50.820000000000007</v>
      </c>
      <c r="O35" s="300">
        <f>(47.3*KFC!$B$24*1.1+KFC!$C$24)*KFC!$C$5</f>
        <v>52.03</v>
      </c>
    </row>
    <row r="36" spans="1:15">
      <c r="A36" s="1781"/>
      <c r="B36" s="392">
        <v>1</v>
      </c>
      <c r="C36" s="303">
        <f>(34.2*KFC!$B$24*1.1+KFC!$C$24)*KFC!$C$5</f>
        <v>37.620000000000005</v>
      </c>
      <c r="D36" s="300">
        <f>(35.4*KFC!$B$24*1.1+KFC!$C$24)*KFC!$C$5</f>
        <v>38.940000000000005</v>
      </c>
      <c r="E36" s="300">
        <f>(36.6*KFC!$B$24*1.1+KFC!$C$24)*KFC!$C$5</f>
        <v>40.260000000000005</v>
      </c>
      <c r="F36" s="300">
        <f>(37.7*KFC!$B$24*1.1+KFC!$C$24)*KFC!$C$5</f>
        <v>41.470000000000006</v>
      </c>
      <c r="G36" s="300">
        <f>(38.9*KFC!$B$24*1.1+KFC!$C$24)*KFC!$C$5</f>
        <v>42.79</v>
      </c>
      <c r="H36" s="300">
        <f>(40.1*KFC!$B$24*1.1+KFC!$C$24)*KFC!$C$5</f>
        <v>44.110000000000007</v>
      </c>
      <c r="I36" s="300">
        <f>(41.3*KFC!$B$24*1.1+KFC!$C$24)*KFC!$C$5</f>
        <v>45.43</v>
      </c>
      <c r="J36" s="300">
        <f>(42.5*KFC!$B$24*1.1+KFC!$C$24)*KFC!$C$5</f>
        <v>46.750000000000007</v>
      </c>
      <c r="K36" s="300">
        <f>(43.7*KFC!$B$24*1.1+KFC!$C$24)*KFC!$C$5</f>
        <v>48.070000000000007</v>
      </c>
      <c r="L36" s="300">
        <f>(44.9*KFC!$B$24*1.1+KFC!$C$24)*KFC!$C$5</f>
        <v>49.39</v>
      </c>
      <c r="M36" s="300">
        <f>(46.1*KFC!$B$24*1.1+KFC!$C$24)*KFC!$C$5</f>
        <v>50.710000000000008</v>
      </c>
      <c r="N36" s="300">
        <f>(47.2*KFC!$B$24*1.1+KFC!$C$24)*KFC!$C$5</f>
        <v>51.920000000000009</v>
      </c>
      <c r="O36" s="300">
        <f>(48.5*KFC!$B$24*1.1+KFC!$C$24)*KFC!$C$5</f>
        <v>53.35</v>
      </c>
    </row>
    <row r="37" spans="1:15">
      <c r="A37" s="1781"/>
      <c r="B37" s="392">
        <v>1.1000000000000001</v>
      </c>
      <c r="C37" s="303">
        <f>(34.8*KFC!$B$24*1.1+KFC!$C$24)*KFC!$C$5</f>
        <v>38.28</v>
      </c>
      <c r="D37" s="300">
        <f>(36*KFC!$B$24*1.1+KFC!$C$24)*KFC!$C$5</f>
        <v>39.6</v>
      </c>
      <c r="E37" s="300">
        <f>(37.3*KFC!$B$24*1.1+KFC!$C$24)*KFC!$C$5</f>
        <v>41.03</v>
      </c>
      <c r="F37" s="300">
        <f>(38.5*KFC!$B$24*1.1+KFC!$C$24)*KFC!$C$5</f>
        <v>42.35</v>
      </c>
      <c r="G37" s="300">
        <f>(39.7*KFC!$B$24*1.1+KFC!$C$24)*KFC!$C$5</f>
        <v>43.670000000000009</v>
      </c>
      <c r="H37" s="300">
        <f>(40.9*KFC!$B$24*1.1+KFC!$C$24)*KFC!$C$5</f>
        <v>44.99</v>
      </c>
      <c r="I37" s="300">
        <f>(42.2*KFC!$B$24*1.1+KFC!$C$24)*KFC!$C$5</f>
        <v>46.420000000000009</v>
      </c>
      <c r="J37" s="300">
        <f>(43.4*KFC!$B$24*1.1+KFC!$C$24)*KFC!$C$5</f>
        <v>47.74</v>
      </c>
      <c r="K37" s="300">
        <f>(44.6*KFC!$B$24*1.1+KFC!$C$24)*KFC!$C$5</f>
        <v>49.06</v>
      </c>
      <c r="L37" s="300">
        <f>(45.8*KFC!$B$24*1.1+KFC!$C$24)*KFC!$C$5</f>
        <v>50.38</v>
      </c>
      <c r="M37" s="300">
        <f>(47.1*KFC!$B$24*1.1+KFC!$C$24)*KFC!$C$5</f>
        <v>51.81</v>
      </c>
      <c r="N37" s="300">
        <f>(48.3*KFC!$B$24*1.1+KFC!$C$24)*KFC!$C$5</f>
        <v>53.13</v>
      </c>
      <c r="O37" s="300">
        <f>(49.5*KFC!$B$24*1.1+KFC!$C$24)*KFC!$C$5</f>
        <v>54.45</v>
      </c>
    </row>
    <row r="38" spans="1:15">
      <c r="A38" s="1781"/>
      <c r="B38" s="392">
        <v>1.2</v>
      </c>
      <c r="C38" s="303">
        <f>(35.4*KFC!$B$24*1.1+KFC!$C$24)*KFC!$C$5</f>
        <v>38.940000000000005</v>
      </c>
      <c r="D38" s="300">
        <f>(36.7*KFC!$B$24*1.1+KFC!$C$24)*KFC!$C$5</f>
        <v>40.370000000000005</v>
      </c>
      <c r="E38" s="300">
        <f>(38*KFC!$B$24*1.1+KFC!$C$24)*KFC!$C$5</f>
        <v>41.800000000000004</v>
      </c>
      <c r="F38" s="300">
        <f>(39.2*KFC!$B$24*1.1+KFC!$C$24)*KFC!$C$5</f>
        <v>43.120000000000005</v>
      </c>
      <c r="G38" s="300">
        <f>(40.5*KFC!$B$24*1.1+KFC!$C$24)*KFC!$C$5</f>
        <v>44.550000000000004</v>
      </c>
      <c r="H38" s="300">
        <f>(41.8*KFC!$B$24*1.1+KFC!$C$24)*KFC!$C$5</f>
        <v>45.980000000000004</v>
      </c>
      <c r="I38" s="300">
        <f>(43*KFC!$B$24*1.1+KFC!$C$24)*KFC!$C$5</f>
        <v>47.300000000000004</v>
      </c>
      <c r="J38" s="300">
        <f>(44.3*KFC!$B$24*1.1+KFC!$C$24)*KFC!$C$5</f>
        <v>48.730000000000004</v>
      </c>
      <c r="K38" s="300">
        <f>(45.6*KFC!$B$24*1.1+KFC!$C$24)*KFC!$C$5</f>
        <v>50.160000000000004</v>
      </c>
      <c r="L38" s="300">
        <f>(46.8*KFC!$B$24*1.1+KFC!$C$24)*KFC!$C$5</f>
        <v>51.480000000000004</v>
      </c>
      <c r="M38" s="300">
        <f>(48.1*KFC!$B$24*1.1+KFC!$C$24)*KFC!$C$5</f>
        <v>52.910000000000004</v>
      </c>
      <c r="N38" s="300">
        <f>(49.4*KFC!$B$24*1.1+KFC!$C$24)*KFC!$C$5</f>
        <v>54.34</v>
      </c>
      <c r="O38" s="300">
        <f>(50.6*KFC!$B$24*1.1+KFC!$C$24)*KFC!$C$5</f>
        <v>55.660000000000004</v>
      </c>
    </row>
    <row r="39" spans="1:15">
      <c r="A39" s="1781"/>
      <c r="B39" s="392">
        <v>1.3</v>
      </c>
      <c r="C39" s="303">
        <f>(36.1*KFC!$B$24*1.1+KFC!$C$24)*KFC!$C$5</f>
        <v>39.710000000000008</v>
      </c>
      <c r="D39" s="300">
        <f>(37.4*KFC!$B$24*1.1+KFC!$C$24)*KFC!$C$5</f>
        <v>41.14</v>
      </c>
      <c r="E39" s="300">
        <f>(38.7*KFC!$B$24*1.1+KFC!$C$24)*KFC!$C$5</f>
        <v>42.570000000000007</v>
      </c>
      <c r="F39" s="300">
        <f>(40*KFC!$B$24*1.1+KFC!$C$24)*KFC!$C$5</f>
        <v>44</v>
      </c>
      <c r="G39" s="300">
        <f>(41.3*KFC!$B$24*1.1+KFC!$C$24)*KFC!$C$5</f>
        <v>45.43</v>
      </c>
      <c r="H39" s="300">
        <f>(42.6*KFC!$B$24*1.1+KFC!$C$24)*KFC!$C$5</f>
        <v>46.860000000000007</v>
      </c>
      <c r="I39" s="300">
        <f>(43.9*KFC!$B$24*1.1+KFC!$C$24)*KFC!$C$5</f>
        <v>48.29</v>
      </c>
      <c r="J39" s="300">
        <f>(45.2*KFC!$B$24*1.1+KFC!$C$24)*KFC!$C$5</f>
        <v>49.720000000000006</v>
      </c>
      <c r="K39" s="300">
        <f>(46.5*KFC!$B$24*1.1+KFC!$C$24)*KFC!$C$5</f>
        <v>51.150000000000006</v>
      </c>
      <c r="L39" s="300">
        <f>(47.8*KFC!$B$24*1.1+KFC!$C$24)*KFC!$C$5</f>
        <v>52.58</v>
      </c>
      <c r="M39" s="300">
        <f>(49.1*KFC!$B$24*1.1+KFC!$C$24)*KFC!$C$5</f>
        <v>54.010000000000005</v>
      </c>
      <c r="N39" s="300">
        <f>(50.4*KFC!$B$24*1.1+KFC!$C$24)*KFC!$C$5</f>
        <v>55.440000000000005</v>
      </c>
      <c r="O39" s="300">
        <f>(51.8*KFC!$B$24*1.1+KFC!$C$24)*KFC!$C$5</f>
        <v>56.980000000000004</v>
      </c>
    </row>
    <row r="40" spans="1:15">
      <c r="A40" s="1781"/>
      <c r="B40" s="392">
        <v>1.4</v>
      </c>
      <c r="C40" s="303">
        <f>(36.7*KFC!$B$24*1.1+KFC!$C$24)*KFC!$C$5</f>
        <v>40.370000000000005</v>
      </c>
      <c r="D40" s="300">
        <f>(38.1*KFC!$B$24*1.1+KFC!$C$24)*KFC!$C$5</f>
        <v>41.910000000000004</v>
      </c>
      <c r="E40" s="300">
        <f>(39.4*KFC!$B$24*1.1+KFC!$C$24)*KFC!$C$5</f>
        <v>43.34</v>
      </c>
      <c r="F40" s="300">
        <f>(40.7*KFC!$B$24*1.1+KFC!$C$24)*KFC!$C$5</f>
        <v>44.77000000000001</v>
      </c>
      <c r="G40" s="300">
        <f>(42.1*KFC!$B$24*1.1+KFC!$C$24)*KFC!$C$5</f>
        <v>46.31</v>
      </c>
      <c r="H40" s="300">
        <f>(43.4*KFC!$B$24*1.1+KFC!$C$24)*KFC!$C$5</f>
        <v>47.74</v>
      </c>
      <c r="I40" s="300">
        <f>(44.8*KFC!$B$24*1.1+KFC!$C$24)*KFC!$C$5</f>
        <v>49.28</v>
      </c>
      <c r="J40" s="300">
        <f>(46.1*KFC!$B$24*1.1+KFC!$C$24)*KFC!$C$5</f>
        <v>50.710000000000008</v>
      </c>
      <c r="K40" s="300">
        <f>(47.5*KFC!$B$24*1.1+KFC!$C$24)*KFC!$C$5</f>
        <v>52.250000000000007</v>
      </c>
      <c r="L40" s="300">
        <f>(48.8*KFC!$B$24*1.1+KFC!$C$24)*KFC!$C$5</f>
        <v>53.68</v>
      </c>
      <c r="M40" s="300">
        <f>(50.2*KFC!$B$24*1.1+KFC!$C$24)*KFC!$C$5</f>
        <v>55.220000000000006</v>
      </c>
      <c r="N40" s="300">
        <f>(51.5*KFC!$B$24*1.1+KFC!$C$24)*KFC!$C$5</f>
        <v>56.650000000000006</v>
      </c>
      <c r="O40" s="300">
        <f>(52.9*KFC!$B$24*1.1+KFC!$C$24)*KFC!$C$5</f>
        <v>58.190000000000005</v>
      </c>
    </row>
    <row r="41" spans="1:15">
      <c r="A41" s="1781"/>
      <c r="B41" s="392">
        <v>1.5</v>
      </c>
      <c r="C41" s="303">
        <f>(37.3*KFC!$B$24*1.1+KFC!$C$24)*KFC!$C$5</f>
        <v>41.03</v>
      </c>
      <c r="D41" s="300">
        <f>(38.7*KFC!$B$24*1.1+KFC!$C$24)*KFC!$C$5</f>
        <v>42.570000000000007</v>
      </c>
      <c r="E41" s="300">
        <f>(40.1*KFC!$B$24*1.1+KFC!$C$24)*KFC!$C$5</f>
        <v>44.110000000000007</v>
      </c>
      <c r="F41" s="300">
        <f>(41.5*KFC!$B$24*1.1+KFC!$C$24)*KFC!$C$5</f>
        <v>45.650000000000006</v>
      </c>
      <c r="G41" s="300">
        <f>(42.9*KFC!$B$24*1.1+KFC!$C$24)*KFC!$C$5</f>
        <v>47.190000000000005</v>
      </c>
      <c r="H41" s="300">
        <f>(44.3*KFC!$B$24*1.1+KFC!$C$24)*KFC!$C$5</f>
        <v>48.730000000000004</v>
      </c>
      <c r="I41" s="300">
        <f>(45.6*KFC!$B$24*1.1+KFC!$C$24)*KFC!$C$5</f>
        <v>50.160000000000004</v>
      </c>
      <c r="J41" s="300">
        <f>(47*KFC!$B$24*1.1+KFC!$C$24)*KFC!$C$5</f>
        <v>51.7</v>
      </c>
      <c r="K41" s="300">
        <f>(48.4*KFC!$B$24*1.1+KFC!$C$24)*KFC!$C$5</f>
        <v>53.24</v>
      </c>
      <c r="L41" s="300">
        <f>(49.8*KFC!$B$24*1.1+KFC!$C$24)*KFC!$C$5</f>
        <v>54.78</v>
      </c>
      <c r="M41" s="300">
        <f>(51.2*KFC!$B$24*1.1+KFC!$C$24)*KFC!$C$5</f>
        <v>56.320000000000007</v>
      </c>
      <c r="N41" s="300">
        <f>(52.6*KFC!$B$24*1.1+KFC!$C$24)*KFC!$C$5</f>
        <v>57.860000000000007</v>
      </c>
      <c r="O41" s="300">
        <f>(53.9*KFC!$B$24*1.1+KFC!$C$24)*KFC!$C$5</f>
        <v>59.290000000000006</v>
      </c>
    </row>
    <row r="42" spans="1:15">
      <c r="A42" s="1781"/>
      <c r="B42" s="392">
        <v>1.6</v>
      </c>
      <c r="C42" s="467">
        <f>(38*KFC!$B$24*1.1+KFC!$C$24)*KFC!$C$5</f>
        <v>41.800000000000004</v>
      </c>
      <c r="D42" s="468">
        <f>(39.4*KFC!$B$24*1.1+KFC!$C$24)*KFC!$C$5</f>
        <v>43.34</v>
      </c>
      <c r="E42" s="468">
        <f>(40.8*KFC!$B$24*1.1+KFC!$C$24)*KFC!$C$5</f>
        <v>44.88</v>
      </c>
      <c r="F42" s="468">
        <f>(42.3*KFC!$B$24*1.1+KFC!$C$24)*KFC!$C$5</f>
        <v>46.53</v>
      </c>
      <c r="G42" s="468">
        <f>(43.7*KFC!$B$24*1.1+KFC!$C$24)*KFC!$C$5</f>
        <v>48.070000000000007</v>
      </c>
      <c r="H42" s="468">
        <f>(45.1*KFC!$B$24*1.1+KFC!$C$24)*KFC!$C$5</f>
        <v>49.610000000000007</v>
      </c>
      <c r="I42" s="468">
        <f>(46.5*KFC!$B$24*1.1+KFC!$C$24)*KFC!$C$5</f>
        <v>51.150000000000006</v>
      </c>
      <c r="J42" s="468">
        <f>(47.9*KFC!$B$24*1.1+KFC!$C$24)*KFC!$C$5</f>
        <v>52.690000000000005</v>
      </c>
      <c r="K42" s="468">
        <f>(49.4*KFC!$B$24*1.1+KFC!$C$24)*KFC!$C$5</f>
        <v>54.34</v>
      </c>
      <c r="L42" s="468">
        <f>(50.8*KFC!$B$24*1.1+KFC!$C$24)*KFC!$C$5</f>
        <v>55.88</v>
      </c>
      <c r="M42" s="468">
        <f>(52.2*KFC!$B$24*1.1+KFC!$C$24)*KFC!$C$5</f>
        <v>57.420000000000009</v>
      </c>
      <c r="N42" s="468">
        <f>(53.6*KFC!$B$24*1.1+KFC!$C$24)*KFC!$C$5</f>
        <v>58.960000000000008</v>
      </c>
      <c r="O42" s="468">
        <f>(55.1*KFC!$B$24*1.1+KFC!$C$24)*KFC!$C$5</f>
        <v>60.610000000000007</v>
      </c>
    </row>
    <row r="43" spans="1:15">
      <c r="A43" s="1781"/>
      <c r="B43" s="392">
        <v>1.7</v>
      </c>
      <c r="C43" s="303">
        <f>(38.6*KFC!$B$24*1.1+KFC!$C$24)*KFC!$C$5</f>
        <v>42.460000000000008</v>
      </c>
      <c r="D43" s="300">
        <f>(40.1*KFC!$B$24*1.1+KFC!$C$24)*KFC!$C$5</f>
        <v>44.110000000000007</v>
      </c>
      <c r="E43" s="300">
        <f>(41.5*KFC!$B$24*1.1+KFC!$C$24)*KFC!$C$5</f>
        <v>45.650000000000006</v>
      </c>
      <c r="F43" s="300">
        <f>(43*KFC!$B$24*1.1+KFC!$C$24)*KFC!$C$5</f>
        <v>47.300000000000004</v>
      </c>
      <c r="G43" s="300">
        <f>(44.5*KFC!$B$24*1.1+KFC!$C$24)*KFC!$C$5</f>
        <v>48.95</v>
      </c>
      <c r="H43" s="300">
        <f>(45.9*KFC!$B$24*1.1+KFC!$C$24)*KFC!$C$5</f>
        <v>50.49</v>
      </c>
      <c r="I43" s="300">
        <f>(47.4*KFC!$B$24*1.1+KFC!$C$24)*KFC!$C$5</f>
        <v>52.14</v>
      </c>
      <c r="J43" s="300">
        <f>(48.8*KFC!$B$24*1.1+KFC!$C$24)*KFC!$C$5</f>
        <v>53.68</v>
      </c>
      <c r="K43" s="300">
        <f>(50.3*KFC!$B$24*1.1+KFC!$C$24)*KFC!$C$5</f>
        <v>55.33</v>
      </c>
      <c r="L43" s="300">
        <f>(51.8*KFC!$B$24*1.1+KFC!$C$24)*KFC!$C$5</f>
        <v>56.980000000000004</v>
      </c>
      <c r="M43" s="300">
        <f>(53.2*KFC!$B$24*1.1+KFC!$C$24)*KFC!$C$5</f>
        <v>58.52000000000001</v>
      </c>
      <c r="N43" s="300">
        <f>(54.7*KFC!$B$24*1.1+KFC!$C$24)*KFC!$C$5</f>
        <v>60.170000000000009</v>
      </c>
      <c r="O43" s="300">
        <f>(56.2*KFC!$B$24*1.1+KFC!$C$24)*KFC!$C$5</f>
        <v>61.820000000000007</v>
      </c>
    </row>
    <row r="44" spans="1:15">
      <c r="A44" s="1781"/>
      <c r="B44" s="392">
        <v>1.8</v>
      </c>
      <c r="C44" s="303">
        <f>(39.2*KFC!$B$24*1.1+KFC!$C$24)*KFC!$C$5</f>
        <v>43.120000000000005</v>
      </c>
      <c r="D44" s="300">
        <f>(40.7*KFC!$B$24*1.1+KFC!$C$24)*KFC!$C$5</f>
        <v>44.77000000000001</v>
      </c>
      <c r="E44" s="300">
        <f>(42.3*KFC!$B$24*1.1+KFC!$C$24)*KFC!$C$5</f>
        <v>46.53</v>
      </c>
      <c r="F44" s="300">
        <f>(43.7*KFC!$B$24*1.1+KFC!$C$24)*KFC!$C$5</f>
        <v>48.070000000000007</v>
      </c>
      <c r="G44" s="300">
        <f>(45.3*KFC!$B$24*1.1+KFC!$C$24)*KFC!$C$5</f>
        <v>49.83</v>
      </c>
      <c r="H44" s="300">
        <f>(46.8*KFC!$B$24*1.1+KFC!$C$24)*KFC!$C$5</f>
        <v>51.480000000000004</v>
      </c>
      <c r="I44" s="300">
        <f>(48.3*KFC!$B$24*1.1+KFC!$C$24)*KFC!$C$5</f>
        <v>53.13</v>
      </c>
      <c r="J44" s="300">
        <f>(49.8*KFC!$B$24*1.1+KFC!$C$24)*KFC!$C$5</f>
        <v>54.78</v>
      </c>
      <c r="K44" s="300">
        <f>(51.3*KFC!$B$24*1.1+KFC!$C$24)*KFC!$C$5</f>
        <v>56.43</v>
      </c>
      <c r="L44" s="300">
        <f>(52.8*KFC!$B$24*1.1+KFC!$C$24)*KFC!$C$5</f>
        <v>58.08</v>
      </c>
      <c r="M44" s="300">
        <f>(54.3*KFC!$B$24*1.1+KFC!$C$24)*KFC!$C$5</f>
        <v>59.730000000000004</v>
      </c>
      <c r="N44" s="300">
        <f>(55.8*KFC!$B$24*1.1+KFC!$C$24)*KFC!$C$5</f>
        <v>61.38</v>
      </c>
      <c r="O44" s="300">
        <f>(57.3*KFC!$B$24*1.1+KFC!$C$24)*KFC!$C$5</f>
        <v>63.03</v>
      </c>
    </row>
    <row r="45" spans="1:15">
      <c r="A45" s="1781"/>
      <c r="B45" s="392">
        <v>1.9</v>
      </c>
      <c r="C45" s="303">
        <f>(39.9*KFC!$B$24*1.1+KFC!$C$24)*KFC!$C$5</f>
        <v>43.89</v>
      </c>
      <c r="D45" s="300">
        <f>(41.4*KFC!$B$24*1.1+KFC!$C$24)*KFC!$C$5</f>
        <v>45.54</v>
      </c>
      <c r="E45" s="300">
        <f>(43*KFC!$B$24*1.1+KFC!$C$24)*KFC!$C$5</f>
        <v>47.300000000000004</v>
      </c>
      <c r="F45" s="300">
        <f>(44.5*KFC!$B$24*1.1+KFC!$C$24)*KFC!$C$5</f>
        <v>48.95</v>
      </c>
      <c r="G45" s="300">
        <f>(46.1*KFC!$B$24*1.1+KFC!$C$24)*KFC!$C$5</f>
        <v>50.710000000000008</v>
      </c>
      <c r="H45" s="300">
        <f>(47.6*KFC!$B$24*1.1+KFC!$C$24)*KFC!$C$5</f>
        <v>52.360000000000007</v>
      </c>
      <c r="I45" s="300">
        <f>(49.1*KFC!$B$24*1.1+KFC!$C$24)*KFC!$C$5</f>
        <v>54.010000000000005</v>
      </c>
      <c r="J45" s="300">
        <f>(50.7*KFC!$B$24*1.1+KFC!$C$24)*KFC!$C$5</f>
        <v>55.77000000000001</v>
      </c>
      <c r="K45" s="300">
        <f>(52.2*KFC!$B$24*1.1+KFC!$C$24)*KFC!$C$5</f>
        <v>57.420000000000009</v>
      </c>
      <c r="L45" s="300">
        <f>(53.8*KFC!$B$24*1.1+KFC!$C$24)*KFC!$C$5</f>
        <v>59.18</v>
      </c>
      <c r="M45" s="300">
        <f>(55.3*KFC!$B$24*1.1+KFC!$C$24)*KFC!$C$5</f>
        <v>60.83</v>
      </c>
      <c r="N45" s="300">
        <f>(56.8*KFC!$B$24*1.1+KFC!$C$24)*KFC!$C$5</f>
        <v>62.480000000000004</v>
      </c>
      <c r="O45" s="300">
        <f>(58.4*KFC!$B$24*1.1+KFC!$C$24)*KFC!$C$5</f>
        <v>64.240000000000009</v>
      </c>
    </row>
    <row r="46" spans="1:15">
      <c r="A46" s="1781"/>
      <c r="B46" s="392">
        <v>2</v>
      </c>
      <c r="C46" s="303">
        <f>(40.5*KFC!$B$24*1.1+KFC!$C$24)*KFC!$C$5</f>
        <v>44.550000000000004</v>
      </c>
      <c r="D46" s="300">
        <f>(42.1*KFC!$B$24*1.1+KFC!$C$24)*KFC!$C$5</f>
        <v>46.31</v>
      </c>
      <c r="E46" s="300">
        <f>(43.7*KFC!$B$24*1.1+KFC!$C$24)*KFC!$C$5</f>
        <v>48.070000000000007</v>
      </c>
      <c r="F46" s="300">
        <f>(45.3*KFC!$B$24*1.1+KFC!$C$24)*KFC!$C$5</f>
        <v>49.83</v>
      </c>
      <c r="G46" s="300">
        <f>(46.8*KFC!$B$24*1.1+KFC!$C$24)*KFC!$C$5</f>
        <v>51.480000000000004</v>
      </c>
      <c r="H46" s="300">
        <f>(48.4*KFC!$B$24*1.1+KFC!$C$24)*KFC!$C$5</f>
        <v>53.24</v>
      </c>
      <c r="I46" s="300">
        <f>(50*KFC!$B$24*1.1+KFC!$C$24)*KFC!$C$5</f>
        <v>55.000000000000007</v>
      </c>
      <c r="J46" s="300">
        <f>(51.6*KFC!$B$24*1.1+KFC!$C$24)*KFC!$C$5</f>
        <v>56.760000000000005</v>
      </c>
      <c r="K46" s="300">
        <f>(53.2*KFC!$B$24*1.1+KFC!$C$24)*KFC!$C$5</f>
        <v>58.52000000000001</v>
      </c>
      <c r="L46" s="300">
        <f>(54.7*KFC!$B$24*1.1+KFC!$C$24)*KFC!$C$5</f>
        <v>60.170000000000009</v>
      </c>
      <c r="M46" s="300">
        <f>(56.3*KFC!$B$24*1.1+KFC!$C$24)*KFC!$C$5</f>
        <v>61.93</v>
      </c>
      <c r="N46" s="300">
        <f>(57.9*KFC!$B$24*1.1+KFC!$C$24)*KFC!$C$5</f>
        <v>63.690000000000005</v>
      </c>
      <c r="O46" s="300">
        <f>(59.5*KFC!$B$24*1.1+KFC!$C$24)*KFC!$C$5</f>
        <v>65.45</v>
      </c>
    </row>
    <row r="47" spans="1:15">
      <c r="A47" s="1781"/>
      <c r="B47" s="392">
        <v>2.1</v>
      </c>
      <c r="C47" s="303">
        <f>(41.1*KFC!$B$24*1.1+KFC!$C$24)*KFC!$C$5</f>
        <v>45.210000000000008</v>
      </c>
      <c r="D47" s="300">
        <f>(42.8*KFC!$B$24*1.1+KFC!$C$24)*KFC!$C$5</f>
        <v>47.08</v>
      </c>
      <c r="E47" s="300">
        <f>(44.4*KFC!$B$24*1.1+KFC!$C$24)*KFC!$C$5</f>
        <v>48.84</v>
      </c>
      <c r="F47" s="300">
        <f>(46*KFC!$B$24*1.1+KFC!$C$24)*KFC!$C$5</f>
        <v>50.6</v>
      </c>
      <c r="G47" s="300">
        <f>(47.6*KFC!$B$24*1.1+KFC!$C$24)*KFC!$C$5</f>
        <v>52.360000000000007</v>
      </c>
      <c r="H47" s="300">
        <f>(49.3*KFC!$B$24*1.1+KFC!$C$24)*KFC!$C$5</f>
        <v>54.230000000000004</v>
      </c>
      <c r="I47" s="300">
        <f>(50.9*KFC!$B$24*1.1+KFC!$C$24)*KFC!$C$5</f>
        <v>55.99</v>
      </c>
      <c r="J47" s="300">
        <f>(52.5*KFC!$B$24*1.1+KFC!$C$24)*KFC!$C$5</f>
        <v>57.750000000000007</v>
      </c>
      <c r="K47" s="300">
        <f>(54.1*KFC!$B$24*1.1+KFC!$C$24)*KFC!$C$5</f>
        <v>59.510000000000005</v>
      </c>
      <c r="L47" s="300">
        <f>(55.7*KFC!$B$24*1.1+KFC!$C$24)*KFC!$C$5</f>
        <v>61.27000000000001</v>
      </c>
      <c r="M47" s="300">
        <f>(57.4*KFC!$B$24*1.1+KFC!$C$24)*KFC!$C$5</f>
        <v>63.14</v>
      </c>
      <c r="N47" s="300">
        <f>(59*KFC!$B$24*1.1+KFC!$C$24)*KFC!$C$5</f>
        <v>64.900000000000006</v>
      </c>
      <c r="O47" s="300">
        <f>(60.6*KFC!$B$24*1.1+KFC!$C$24)*KFC!$C$5</f>
        <v>66.660000000000011</v>
      </c>
    </row>
    <row r="48" spans="1:15" ht="13.8" thickBot="1">
      <c r="A48" s="1781"/>
      <c r="B48" s="392">
        <v>2.2000000000000002</v>
      </c>
      <c r="C48" s="303">
        <f>(41.8*KFC!$B$24*1.1+KFC!$C$24)*KFC!$C$5</f>
        <v>45.980000000000004</v>
      </c>
      <c r="D48" s="300">
        <f>(43.4*KFC!$B$24*1.1+KFC!$C$24)*KFC!$C$5</f>
        <v>47.74</v>
      </c>
      <c r="E48" s="300">
        <f>(45.1*KFC!$B$24*1.1+KFC!$C$24)*KFC!$C$5</f>
        <v>49.610000000000007</v>
      </c>
      <c r="F48" s="300">
        <f>(46.8*KFC!$B$24*1.1+KFC!$C$24)*KFC!$C$5</f>
        <v>51.480000000000004</v>
      </c>
      <c r="G48" s="300">
        <f>(48.4*KFC!$B$24*1.1+KFC!$C$24)*KFC!$C$5</f>
        <v>53.24</v>
      </c>
      <c r="H48" s="300">
        <f>(50.1*KFC!$B$24*1.1+KFC!$C$24)*KFC!$C$5</f>
        <v>55.110000000000007</v>
      </c>
      <c r="I48" s="300">
        <f>(51.7*KFC!$B$24*1.1+KFC!$C$24)*KFC!$C$5</f>
        <v>56.870000000000005</v>
      </c>
      <c r="J48" s="300">
        <f>(53.4*KFC!$B$24*1.1+KFC!$C$24)*KFC!$C$5</f>
        <v>58.74</v>
      </c>
      <c r="K48" s="300">
        <f>(55.1*KFC!$B$24*1.1+KFC!$C$24)*KFC!$C$5</f>
        <v>60.610000000000007</v>
      </c>
      <c r="L48" s="300">
        <f>(56.7*KFC!$B$24*1.1+KFC!$C$24)*KFC!$C$5</f>
        <v>62.370000000000012</v>
      </c>
      <c r="M48" s="300">
        <f>(58.4*KFC!$B$24*1.1+KFC!$C$24)*KFC!$C$5</f>
        <v>64.240000000000009</v>
      </c>
      <c r="N48" s="300">
        <f>(60.1*KFC!$B$24*1.1+KFC!$C$24)*KFC!$C$5</f>
        <v>66.110000000000014</v>
      </c>
      <c r="O48" s="300">
        <f>(61.8*KFC!$B$24*1.1+KFC!$C$24)*KFC!$C$5</f>
        <v>67.98</v>
      </c>
    </row>
    <row r="49" spans="1:15" ht="13.8" thickBot="1">
      <c r="A49" s="283"/>
      <c r="B49" s="284"/>
      <c r="C49" s="496"/>
      <c r="D49" s="496"/>
      <c r="E49" s="496"/>
      <c r="F49" s="496"/>
      <c r="G49" s="496"/>
      <c r="H49" s="496"/>
      <c r="I49" s="496"/>
      <c r="J49" s="496"/>
      <c r="K49" s="496"/>
      <c r="L49" s="496"/>
      <c r="M49" s="496"/>
      <c r="N49" s="496"/>
      <c r="O49" s="496"/>
    </row>
    <row r="50" spans="1:15" ht="13.95" customHeight="1" thickBot="1">
      <c r="A50" s="1413" t="s">
        <v>315</v>
      </c>
      <c r="B50" s="1601"/>
      <c r="C50" s="1787" t="s">
        <v>207</v>
      </c>
      <c r="D50" s="1788"/>
      <c r="E50" s="1788"/>
      <c r="F50" s="1788"/>
      <c r="G50" s="1788"/>
      <c r="H50" s="1788"/>
      <c r="I50" s="1788"/>
      <c r="J50" s="1788"/>
      <c r="K50" s="1788"/>
      <c r="L50" s="1788"/>
      <c r="M50" s="1788"/>
      <c r="N50" s="1788"/>
      <c r="O50" s="1788"/>
    </row>
    <row r="51" spans="1:15" ht="13.8" thickBot="1">
      <c r="A51" s="1778"/>
      <c r="B51" s="1779"/>
      <c r="C51" s="340">
        <v>0.6</v>
      </c>
      <c r="D51" s="341">
        <v>0.7</v>
      </c>
      <c r="E51" s="341">
        <v>0.8</v>
      </c>
      <c r="F51" s="341">
        <v>0.9</v>
      </c>
      <c r="G51" s="341">
        <v>1</v>
      </c>
      <c r="H51" s="341">
        <v>1.1000000000000001</v>
      </c>
      <c r="I51" s="341">
        <v>1.2</v>
      </c>
      <c r="J51" s="341">
        <v>1.3</v>
      </c>
      <c r="K51" s="341">
        <v>1.4</v>
      </c>
      <c r="L51" s="341">
        <v>1.5</v>
      </c>
      <c r="M51" s="341">
        <v>1.6</v>
      </c>
      <c r="N51" s="341">
        <v>1.7</v>
      </c>
      <c r="O51" s="341">
        <v>1.8</v>
      </c>
    </row>
    <row r="52" spans="1:15" ht="13.2" customHeight="1">
      <c r="A52" s="1780" t="s">
        <v>3</v>
      </c>
      <c r="B52" s="391">
        <v>0.4</v>
      </c>
      <c r="C52" s="274">
        <f>(31.6*KFC!$B$24*1.1+KFC!$C$24)*KFC!$C$5</f>
        <v>34.760000000000005</v>
      </c>
      <c r="D52" s="301">
        <f>(32.8*KFC!$B$24*1.1+KFC!$C$24)*KFC!$C$5</f>
        <v>36.08</v>
      </c>
      <c r="E52" s="301">
        <f>(34*KFC!$B$24*1.1+KFC!$C$24)*KFC!$C$5</f>
        <v>37.400000000000006</v>
      </c>
      <c r="F52" s="301">
        <f>(35.2*KFC!$B$24*1.1+KFC!$C$24)*KFC!$C$5</f>
        <v>38.720000000000006</v>
      </c>
      <c r="G52" s="301">
        <f>(36.4*KFC!$B$24*1.1+KFC!$C$24)*KFC!$C$5</f>
        <v>40.04</v>
      </c>
      <c r="H52" s="301">
        <f>(37.6*KFC!$B$24*1.1+KFC!$C$24)*KFC!$C$5</f>
        <v>41.360000000000007</v>
      </c>
      <c r="I52" s="301">
        <f>(38.8*KFC!$B$24*1.1+KFC!$C$24)*KFC!$C$5</f>
        <v>42.68</v>
      </c>
      <c r="J52" s="301">
        <f>(39.9*KFC!$B$24*1.1+KFC!$C$24)*KFC!$C$5</f>
        <v>43.89</v>
      </c>
      <c r="K52" s="301">
        <f>(41.1*KFC!$B$24*1.1+KFC!$C$24)*KFC!$C$5</f>
        <v>45.210000000000008</v>
      </c>
      <c r="L52" s="301">
        <f>(42.3*KFC!$B$24*1.1+KFC!$C$24)*KFC!$C$5</f>
        <v>46.53</v>
      </c>
      <c r="M52" s="300">
        <f>(43.5*KFC!$B$24*1.1+KFC!$C$24)*KFC!$C$5</f>
        <v>47.85</v>
      </c>
      <c r="N52" s="301">
        <f>(44.7*KFC!$B$24*1.1+KFC!$C$24)*KFC!$C$5</f>
        <v>49.170000000000009</v>
      </c>
      <c r="O52" s="301">
        <f>(45.9*KFC!$B$24*1.1+KFC!$C$24)*KFC!$C$5</f>
        <v>50.49</v>
      </c>
    </row>
    <row r="53" spans="1:15">
      <c r="A53" s="1781"/>
      <c r="B53" s="392">
        <v>0.5</v>
      </c>
      <c r="C53" s="303">
        <f>(32.5*KFC!$B$24*1.1+KFC!$C$24)*KFC!$C$5</f>
        <v>35.75</v>
      </c>
      <c r="D53" s="300">
        <f>(33.8*KFC!$B$24*1.1+KFC!$C$24)*KFC!$C$5</f>
        <v>37.18</v>
      </c>
      <c r="E53" s="300">
        <f>(35.1*KFC!$B$24*1.1+KFC!$C$24)*KFC!$C$5</f>
        <v>38.610000000000007</v>
      </c>
      <c r="F53" s="300">
        <f>(36.4*KFC!$B$24*1.1+KFC!$C$24)*KFC!$C$5</f>
        <v>40.04</v>
      </c>
      <c r="G53" s="300">
        <f>(37.8*KFC!$B$24*1.1+KFC!$C$24)*KFC!$C$5</f>
        <v>41.58</v>
      </c>
      <c r="H53" s="300">
        <f>(39.1*KFC!$B$24*1.1+KFC!$C$24)*KFC!$C$5</f>
        <v>43.010000000000005</v>
      </c>
      <c r="I53" s="300">
        <f>(40.4*KFC!$B$24*1.1+KFC!$C$24)*KFC!$C$5</f>
        <v>44.440000000000005</v>
      </c>
      <c r="J53" s="300">
        <f>(41.7*KFC!$B$24*1.1+KFC!$C$24)*KFC!$C$5</f>
        <v>45.870000000000005</v>
      </c>
      <c r="K53" s="300">
        <f>(43*KFC!$B$24*1.1+KFC!$C$24)*KFC!$C$5</f>
        <v>47.300000000000004</v>
      </c>
      <c r="L53" s="300">
        <f>(44.3*KFC!$B$24*1.1+KFC!$C$24)*KFC!$C$5</f>
        <v>48.730000000000004</v>
      </c>
      <c r="M53" s="300">
        <f>(45.6*KFC!$B$24*1.1+KFC!$C$24)*KFC!$C$5</f>
        <v>50.160000000000004</v>
      </c>
      <c r="N53" s="300">
        <f>(46.9*KFC!$B$24*1.1+KFC!$C$24)*KFC!$C$5</f>
        <v>51.59</v>
      </c>
      <c r="O53" s="300">
        <f>(48.2*KFC!$B$24*1.1+KFC!$C$24)*KFC!$C$5</f>
        <v>53.02000000000001</v>
      </c>
    </row>
    <row r="54" spans="1:15">
      <c r="A54" s="1781"/>
      <c r="B54" s="392">
        <v>0.6</v>
      </c>
      <c r="C54" s="303">
        <f>(33.4*KFC!$B$24*1.1+KFC!$C$24)*KFC!$C$5</f>
        <v>36.74</v>
      </c>
      <c r="D54" s="300">
        <f>(34.8*KFC!$B$24*1.1+KFC!$C$24)*KFC!$C$5</f>
        <v>38.28</v>
      </c>
      <c r="E54" s="300">
        <f>(36.3*KFC!$B$24*1.1+KFC!$C$24)*KFC!$C$5</f>
        <v>39.93</v>
      </c>
      <c r="F54" s="300">
        <f>(37.7*KFC!$B$24*1.1+KFC!$C$24)*KFC!$C$5</f>
        <v>41.470000000000006</v>
      </c>
      <c r="G54" s="300">
        <f>(39.1*KFC!$B$24*1.1+KFC!$C$24)*KFC!$C$5</f>
        <v>43.010000000000005</v>
      </c>
      <c r="H54" s="300">
        <f>(40.6*KFC!$B$24*1.1+KFC!$C$24)*KFC!$C$5</f>
        <v>44.660000000000004</v>
      </c>
      <c r="I54" s="300">
        <f>(42*KFC!$B$24*1.1+KFC!$C$24)*KFC!$C$5</f>
        <v>46.2</v>
      </c>
      <c r="J54" s="300">
        <f>(43.4*KFC!$B$24*1.1+KFC!$C$24)*KFC!$C$5</f>
        <v>47.74</v>
      </c>
      <c r="K54" s="300">
        <f>(44.9*KFC!$B$24*1.1+KFC!$C$24)*KFC!$C$5</f>
        <v>49.39</v>
      </c>
      <c r="L54" s="300">
        <f>(46.3*KFC!$B$24*1.1+KFC!$C$24)*KFC!$C$5</f>
        <v>50.93</v>
      </c>
      <c r="M54" s="300">
        <f>(47.8*KFC!$B$24*1.1+KFC!$C$24)*KFC!$C$5</f>
        <v>52.58</v>
      </c>
      <c r="N54" s="300">
        <f>(49.2*KFC!$B$24*1.1+KFC!$C$24)*KFC!$C$5</f>
        <v>54.120000000000005</v>
      </c>
      <c r="O54" s="300">
        <f>(50.6*KFC!$B$24*1.1+KFC!$C$24)*KFC!$C$5</f>
        <v>55.660000000000004</v>
      </c>
    </row>
    <row r="55" spans="1:15">
      <c r="A55" s="1781"/>
      <c r="B55" s="392">
        <v>0.7</v>
      </c>
      <c r="C55" s="303">
        <f>(34.2*KFC!$B$24*1.1+KFC!$C$24)*KFC!$C$5</f>
        <v>37.620000000000005</v>
      </c>
      <c r="D55" s="300">
        <f>(35.8*KFC!$B$24*1.1+KFC!$C$24)*KFC!$C$5</f>
        <v>39.380000000000003</v>
      </c>
      <c r="E55" s="300">
        <f>(37.4*KFC!$B$24*1.1+KFC!$C$24)*KFC!$C$5</f>
        <v>41.14</v>
      </c>
      <c r="F55" s="300">
        <f>(38.9*KFC!$B$24*1.1+KFC!$C$24)*KFC!$C$5</f>
        <v>42.79</v>
      </c>
      <c r="G55" s="300">
        <f>(40.5*KFC!$B$24*1.1+KFC!$C$24)*KFC!$C$5</f>
        <v>44.550000000000004</v>
      </c>
      <c r="H55" s="300">
        <f>(42.1*KFC!$B$24*1.1+KFC!$C$24)*KFC!$C$5</f>
        <v>46.31</v>
      </c>
      <c r="I55" s="300">
        <f>(43.6*KFC!$B$24*1.1+KFC!$C$24)*KFC!$C$5</f>
        <v>47.960000000000008</v>
      </c>
      <c r="J55" s="300">
        <f>(45.2*KFC!$B$24*1.1+KFC!$C$24)*KFC!$C$5</f>
        <v>49.720000000000006</v>
      </c>
      <c r="K55" s="300">
        <f>(46.7*KFC!$B$24*1.1+KFC!$C$24)*KFC!$C$5</f>
        <v>51.370000000000005</v>
      </c>
      <c r="L55" s="300">
        <f>(48.3*KFC!$B$24*1.1+KFC!$C$24)*KFC!$C$5</f>
        <v>53.13</v>
      </c>
      <c r="M55" s="300">
        <f>(49.9*KFC!$B$24*1.1+KFC!$C$24)*KFC!$C$5</f>
        <v>54.89</v>
      </c>
      <c r="N55" s="300">
        <f>(51.4*KFC!$B$24*1.1+KFC!$C$24)*KFC!$C$5</f>
        <v>56.540000000000006</v>
      </c>
      <c r="O55" s="300">
        <f>(53*KFC!$B$24*1.1+KFC!$C$24)*KFC!$C$5</f>
        <v>58.300000000000004</v>
      </c>
    </row>
    <row r="56" spans="1:15">
      <c r="A56" s="1781"/>
      <c r="B56" s="392">
        <v>0.8</v>
      </c>
      <c r="C56" s="303">
        <f>(35.1*KFC!$B$24*1.1+KFC!$C$24)*KFC!$C$5</f>
        <v>38.610000000000007</v>
      </c>
      <c r="D56" s="300">
        <f>(36.8*KFC!$B$24*1.1+KFC!$C$24)*KFC!$C$5</f>
        <v>40.479999999999997</v>
      </c>
      <c r="E56" s="300">
        <f>(38.5*KFC!$B$24*1.1+KFC!$C$24)*KFC!$C$5</f>
        <v>42.35</v>
      </c>
      <c r="F56" s="300">
        <f>(40.2*KFC!$B$24*1.1+KFC!$C$24)*KFC!$C$5</f>
        <v>44.220000000000006</v>
      </c>
      <c r="G56" s="300">
        <f>(41.9*KFC!$B$24*1.1+KFC!$C$24)*KFC!$C$5</f>
        <v>46.09</v>
      </c>
      <c r="H56" s="300">
        <f>(43.5*KFC!$B$24*1.1+KFC!$C$24)*KFC!$C$5</f>
        <v>47.85</v>
      </c>
      <c r="I56" s="300">
        <f>(45.2*KFC!$B$24*1.1+KFC!$C$24)*KFC!$C$5</f>
        <v>49.720000000000006</v>
      </c>
      <c r="J56" s="300">
        <f>(46.9*KFC!$B$24*1.1+KFC!$C$24)*KFC!$C$5</f>
        <v>51.59</v>
      </c>
      <c r="K56" s="300">
        <f>(48.6*KFC!$B$24*1.1+KFC!$C$24)*KFC!$C$5</f>
        <v>53.460000000000008</v>
      </c>
      <c r="L56" s="300">
        <f>(50.3*KFC!$B$24*1.1+KFC!$C$24)*KFC!$C$5</f>
        <v>55.33</v>
      </c>
      <c r="M56" s="300">
        <f>(52*KFC!$B$24*1.1+KFC!$C$24)*KFC!$C$5</f>
        <v>57.2</v>
      </c>
      <c r="N56" s="300">
        <f>(53.7*KFC!$B$24*1.1+KFC!$C$24)*KFC!$C$5</f>
        <v>59.070000000000007</v>
      </c>
      <c r="O56" s="300">
        <f>(55.4*KFC!$B$24*1.1+KFC!$C$24)*KFC!$C$5</f>
        <v>60.940000000000005</v>
      </c>
    </row>
    <row r="57" spans="1:15">
      <c r="A57" s="1781"/>
      <c r="B57" s="392">
        <v>0.9</v>
      </c>
      <c r="C57" s="303">
        <f>(36*KFC!$B$24*1.1+KFC!$C$24)*KFC!$C$5</f>
        <v>39.6</v>
      </c>
      <c r="D57" s="300">
        <f>(37.8*KFC!$B$24*1.1+KFC!$C$24)*KFC!$C$5</f>
        <v>41.58</v>
      </c>
      <c r="E57" s="300">
        <f>(39.6*KFC!$B$24*1.1+KFC!$C$24)*KFC!$C$5</f>
        <v>43.56</v>
      </c>
      <c r="F57" s="300">
        <f>(41.4*KFC!$B$24*1.1+KFC!$C$24)*KFC!$C$5</f>
        <v>45.54</v>
      </c>
      <c r="G57" s="300">
        <f>(43.2*KFC!$B$24*1.1+KFC!$C$24)*KFC!$C$5</f>
        <v>47.52000000000001</v>
      </c>
      <c r="H57" s="300">
        <f>(45*KFC!$B$24*1.1+KFC!$C$24)*KFC!$C$5</f>
        <v>49.500000000000007</v>
      </c>
      <c r="I57" s="300">
        <f>(46.9*KFC!$B$24*1.1+KFC!$C$24)*KFC!$C$5</f>
        <v>51.59</v>
      </c>
      <c r="J57" s="300">
        <f>(48.7*KFC!$B$24*1.1+KFC!$C$24)*KFC!$C$5</f>
        <v>53.570000000000007</v>
      </c>
      <c r="K57" s="300">
        <f>(50.5*KFC!$B$24*1.1+KFC!$C$24)*KFC!$C$5</f>
        <v>55.550000000000004</v>
      </c>
      <c r="L57" s="300">
        <f>(52.3*KFC!$B$24*1.1+KFC!$C$24)*KFC!$C$5</f>
        <v>57.53</v>
      </c>
      <c r="M57" s="300">
        <f>(54.1*KFC!$B$24*1.1+KFC!$C$24)*KFC!$C$5</f>
        <v>59.510000000000005</v>
      </c>
      <c r="N57" s="300">
        <f>(55.9*KFC!$B$24*1.1+KFC!$C$24)*KFC!$C$5</f>
        <v>61.49</v>
      </c>
      <c r="O57" s="300">
        <f>(57.7*KFC!$B$24*1.1+KFC!$C$24)*KFC!$C$5</f>
        <v>63.470000000000006</v>
      </c>
    </row>
    <row r="58" spans="1:15">
      <c r="A58" s="1781"/>
      <c r="B58" s="392">
        <v>1</v>
      </c>
      <c r="C58" s="303">
        <f>(36.8*KFC!$B$24*1.1+KFC!$C$24)*KFC!$C$5</f>
        <v>40.479999999999997</v>
      </c>
      <c r="D58" s="300">
        <f>(38.8*KFC!$B$24*1.1+KFC!$C$24)*KFC!$C$5</f>
        <v>42.68</v>
      </c>
      <c r="E58" s="300">
        <f>(40.7*KFC!$B$24*1.1+KFC!$C$24)*KFC!$C$5</f>
        <v>44.77000000000001</v>
      </c>
      <c r="F58" s="300">
        <f>(42.6*KFC!$B$24*1.1+KFC!$C$24)*KFC!$C$5</f>
        <v>46.860000000000007</v>
      </c>
      <c r="G58" s="300">
        <f>(44.6*KFC!$B$24*1.1+KFC!$C$24)*KFC!$C$5</f>
        <v>49.06</v>
      </c>
      <c r="H58" s="300">
        <f>(46.5*KFC!$B$24*1.1+KFC!$C$24)*KFC!$C$5</f>
        <v>51.150000000000006</v>
      </c>
      <c r="I58" s="300">
        <f>(48.5*KFC!$B$24*1.1+KFC!$C$24)*KFC!$C$5</f>
        <v>53.35</v>
      </c>
      <c r="J58" s="300">
        <f>(50.4*KFC!$B$24*1.1+KFC!$C$24)*KFC!$C$5</f>
        <v>55.440000000000005</v>
      </c>
      <c r="K58" s="300">
        <f>(52.4*KFC!$B$24*1.1+KFC!$C$24)*KFC!$C$5</f>
        <v>57.64</v>
      </c>
      <c r="L58" s="300">
        <f>(54.3*KFC!$B$24*1.1+KFC!$C$24)*KFC!$C$5</f>
        <v>59.730000000000004</v>
      </c>
      <c r="M58" s="300">
        <f>(56.2*KFC!$B$24*1.1+KFC!$C$24)*KFC!$C$5</f>
        <v>61.820000000000007</v>
      </c>
      <c r="N58" s="300">
        <f>(58.2*KFC!$B$24*1.1+KFC!$C$24)*KFC!$C$5</f>
        <v>64.02000000000001</v>
      </c>
      <c r="O58" s="300">
        <f>(60.1*KFC!$B$24*1.1+KFC!$C$24)*KFC!$C$5</f>
        <v>66.110000000000014</v>
      </c>
    </row>
    <row r="59" spans="1:15">
      <c r="A59" s="1781"/>
      <c r="B59" s="392">
        <v>1.1000000000000001</v>
      </c>
      <c r="C59" s="303">
        <f>(37.7*KFC!$B$24*1.1+KFC!$C$24)*KFC!$C$5</f>
        <v>41.470000000000006</v>
      </c>
      <c r="D59" s="300">
        <f>(39.8*KFC!$B$24*1.1+KFC!$C$24)*KFC!$C$5</f>
        <v>43.78</v>
      </c>
      <c r="E59" s="300">
        <f>(41.8*KFC!$B$24*1.1+KFC!$C$24)*KFC!$C$5</f>
        <v>45.980000000000004</v>
      </c>
      <c r="F59" s="300">
        <f>(43.9*KFC!$B$24*1.1+KFC!$C$24)*KFC!$C$5</f>
        <v>48.29</v>
      </c>
      <c r="G59" s="300">
        <f>(46*KFC!$B$24*1.1+KFC!$C$24)*KFC!$C$5</f>
        <v>50.6</v>
      </c>
      <c r="H59" s="300">
        <f>(48*KFC!$B$24*1.1+KFC!$C$24)*KFC!$C$5</f>
        <v>52.800000000000004</v>
      </c>
      <c r="I59" s="300">
        <f>(50.1*KFC!$B$24*1.1+KFC!$C$24)*KFC!$C$5</f>
        <v>55.110000000000007</v>
      </c>
      <c r="J59" s="300">
        <f>(52.2*KFC!$B$24*1.1+KFC!$C$24)*KFC!$C$5</f>
        <v>57.420000000000009</v>
      </c>
      <c r="K59" s="300">
        <f>(54.2*KFC!$B$24*1.1+KFC!$C$24)*KFC!$C$5</f>
        <v>59.620000000000005</v>
      </c>
      <c r="L59" s="300">
        <f>(56.3*KFC!$B$24*1.1+KFC!$C$24)*KFC!$C$5</f>
        <v>61.93</v>
      </c>
      <c r="M59" s="300">
        <f>(58.4*KFC!$B$24*1.1+KFC!$C$24)*KFC!$C$5</f>
        <v>64.240000000000009</v>
      </c>
      <c r="N59" s="300">
        <f>(60.4*KFC!$B$24*1.1+KFC!$C$24)*KFC!$C$5</f>
        <v>66.44</v>
      </c>
      <c r="O59" s="300">
        <f>(62.5*KFC!$B$24*1.1+KFC!$C$24)*KFC!$C$5</f>
        <v>68.75</v>
      </c>
    </row>
    <row r="60" spans="1:15">
      <c r="A60" s="1781"/>
      <c r="B60" s="392">
        <v>1.2</v>
      </c>
      <c r="C60" s="303">
        <f>(38.5*KFC!$B$24*1.1+KFC!$C$24)*KFC!$C$5</f>
        <v>42.35</v>
      </c>
      <c r="D60" s="300">
        <f>(40.7*KFC!$B$24*1.1+KFC!$C$24)*KFC!$C$5</f>
        <v>44.77000000000001</v>
      </c>
      <c r="E60" s="300">
        <f>(42.9*KFC!$B$24*1.1+KFC!$C$24)*KFC!$C$5</f>
        <v>47.190000000000005</v>
      </c>
      <c r="F60" s="300">
        <f>(45.1*KFC!$B$24*1.1+KFC!$C$24)*KFC!$C$5</f>
        <v>49.610000000000007</v>
      </c>
      <c r="G60" s="300">
        <f>(47.3*KFC!$B$24*1.1+KFC!$C$24)*KFC!$C$5</f>
        <v>52.03</v>
      </c>
      <c r="H60" s="300">
        <f>(49.5*KFC!$B$24*1.1+KFC!$C$24)*KFC!$C$5</f>
        <v>54.45</v>
      </c>
      <c r="I60" s="300">
        <f>(51.7*KFC!$B$24*1.1+KFC!$C$24)*KFC!$C$5</f>
        <v>56.870000000000005</v>
      </c>
      <c r="J60" s="300">
        <f>(53.9*KFC!$B$24*1.1+KFC!$C$24)*KFC!$C$5</f>
        <v>59.290000000000006</v>
      </c>
      <c r="K60" s="300">
        <f>(56.1*KFC!$B$24*1.1+KFC!$C$24)*KFC!$C$5</f>
        <v>61.710000000000008</v>
      </c>
      <c r="L60" s="300">
        <f>(58.3*KFC!$B$24*1.1+KFC!$C$24)*KFC!$C$5</f>
        <v>64.13</v>
      </c>
      <c r="M60" s="300">
        <f>(60.5*KFC!$B$24*1.1+KFC!$C$24)*KFC!$C$5</f>
        <v>66.550000000000011</v>
      </c>
      <c r="N60" s="300">
        <f>(62.7*KFC!$B$24*1.1+KFC!$C$24)*KFC!$C$5</f>
        <v>68.970000000000013</v>
      </c>
      <c r="O60" s="300">
        <f>(64.9*KFC!$B$24*1.1+KFC!$C$24)*KFC!$C$5</f>
        <v>71.390000000000015</v>
      </c>
    </row>
    <row r="61" spans="1:15">
      <c r="A61" s="1781"/>
      <c r="B61" s="392">
        <v>1.3</v>
      </c>
      <c r="C61" s="303">
        <f>(39.4*KFC!$B$24*1.1+KFC!$C$24)*KFC!$C$5</f>
        <v>43.34</v>
      </c>
      <c r="D61" s="300">
        <f>(41.7*KFC!$B$24*1.1+KFC!$C$24)*KFC!$C$5</f>
        <v>45.870000000000005</v>
      </c>
      <c r="E61" s="300">
        <f>(44.1*KFC!$B$24*1.1+KFC!$C$24)*KFC!$C$5</f>
        <v>48.510000000000005</v>
      </c>
      <c r="F61" s="300">
        <f>(46.4*KFC!$B$24*1.1+KFC!$C$24)*KFC!$C$5</f>
        <v>51.04</v>
      </c>
      <c r="G61" s="300">
        <f>(48.7*KFC!$B$24*1.1+KFC!$C$24)*KFC!$C$5</f>
        <v>53.570000000000007</v>
      </c>
      <c r="H61" s="300">
        <f>(51*KFC!$B$24*1.1+KFC!$C$24)*KFC!$C$5</f>
        <v>56.1</v>
      </c>
      <c r="I61" s="300">
        <f>(53.3*KFC!$B$24*1.1+KFC!$C$24)*KFC!$C$5</f>
        <v>58.63</v>
      </c>
      <c r="J61" s="300">
        <f>(55.6*KFC!$B$24*1.1+KFC!$C$24)*KFC!$C$5</f>
        <v>61.160000000000004</v>
      </c>
      <c r="K61" s="300">
        <f>(58*KFC!$B$24*1.1+KFC!$C$24)*KFC!$C$5</f>
        <v>63.800000000000004</v>
      </c>
      <c r="L61" s="300">
        <f>(60.3*KFC!$B$24*1.1+KFC!$C$24)*KFC!$C$5</f>
        <v>66.33</v>
      </c>
      <c r="M61" s="300">
        <f>(62.6*KFC!$B$24*1.1+KFC!$C$24)*KFC!$C$5</f>
        <v>68.860000000000014</v>
      </c>
      <c r="N61" s="300">
        <f>(64.9*KFC!$B$24*1.1+KFC!$C$24)*KFC!$C$5</f>
        <v>71.390000000000015</v>
      </c>
      <c r="O61" s="300">
        <f>(67.2*KFC!$B$24*1.1+KFC!$C$24)*KFC!$C$5</f>
        <v>73.920000000000016</v>
      </c>
    </row>
    <row r="62" spans="1:15">
      <c r="A62" s="1781"/>
      <c r="B62" s="392">
        <v>1.4</v>
      </c>
      <c r="C62" s="303">
        <f>(40.3*KFC!$B$24*1.1+KFC!$C$24)*KFC!$C$5</f>
        <v>44.33</v>
      </c>
      <c r="D62" s="300">
        <f>(42.7*KFC!$B$24*1.1+KFC!$C$24)*KFC!$C$5</f>
        <v>46.970000000000006</v>
      </c>
      <c r="E62" s="300">
        <f>(45.2*KFC!$B$24*1.1+KFC!$C$24)*KFC!$C$5</f>
        <v>49.720000000000006</v>
      </c>
      <c r="F62" s="300">
        <f>(47.6*KFC!$B$24*1.1+KFC!$C$24)*KFC!$C$5</f>
        <v>52.360000000000007</v>
      </c>
      <c r="G62" s="300">
        <f>(50.1*KFC!$B$24*1.1+KFC!$C$24)*KFC!$C$5</f>
        <v>55.110000000000007</v>
      </c>
      <c r="H62" s="300">
        <f>(52.5*KFC!$B$24*1.1+KFC!$C$24)*KFC!$C$5</f>
        <v>57.750000000000007</v>
      </c>
      <c r="I62" s="300">
        <f>(54.9*KFC!$B$24*1.1+KFC!$C$24)*KFC!$C$5</f>
        <v>60.39</v>
      </c>
      <c r="J62" s="300">
        <f>(57.4*KFC!$B$24*1.1+KFC!$C$24)*KFC!$C$5</f>
        <v>63.14</v>
      </c>
      <c r="K62" s="300">
        <f>(59.8*KFC!$B$24*1.1+KFC!$C$24)*KFC!$C$5</f>
        <v>65.78</v>
      </c>
      <c r="L62" s="300">
        <f>(62.3*KFC!$B$24*1.1+KFC!$C$24)*KFC!$C$5</f>
        <v>68.53</v>
      </c>
      <c r="M62" s="300">
        <f>(64.7*KFC!$B$24*1.1+KFC!$C$24)*KFC!$C$5</f>
        <v>71.170000000000016</v>
      </c>
      <c r="N62" s="300">
        <f>(67.2*KFC!$B$24*1.1+KFC!$C$24)*KFC!$C$5</f>
        <v>73.920000000000016</v>
      </c>
      <c r="O62" s="300">
        <f>(69.6*KFC!$B$24*1.1+KFC!$C$24)*KFC!$C$5</f>
        <v>76.56</v>
      </c>
    </row>
    <row r="63" spans="1:15">
      <c r="A63" s="1781"/>
      <c r="B63" s="392">
        <v>1.5</v>
      </c>
      <c r="C63" s="303">
        <f>(41.1*KFC!$B$24*1.1+KFC!$C$24)*KFC!$C$5</f>
        <v>45.210000000000008</v>
      </c>
      <c r="D63" s="300">
        <f>(43.7*KFC!$B$24*1.1+KFC!$C$24)*KFC!$C$5</f>
        <v>48.070000000000007</v>
      </c>
      <c r="E63" s="300">
        <f>(46.3*KFC!$B$24*1.1+KFC!$C$24)*KFC!$C$5</f>
        <v>50.93</v>
      </c>
      <c r="F63" s="300">
        <f>(48.8*KFC!$B$24*1.1+KFC!$C$24)*KFC!$C$5</f>
        <v>53.68</v>
      </c>
      <c r="G63" s="300">
        <f>(51.4*KFC!$B$24*1.1+KFC!$C$24)*KFC!$C$5</f>
        <v>56.540000000000006</v>
      </c>
      <c r="H63" s="300">
        <f>(54*KFC!$B$24*1.1+KFC!$C$24)*KFC!$C$5</f>
        <v>59.400000000000006</v>
      </c>
      <c r="I63" s="300">
        <f>(56.6*KFC!$B$24*1.1+KFC!$C$24)*KFC!$C$5</f>
        <v>62.260000000000005</v>
      </c>
      <c r="J63" s="300">
        <f>(59.1*KFC!$B$24*1.1+KFC!$C$24)*KFC!$C$5</f>
        <v>65.010000000000005</v>
      </c>
      <c r="K63" s="300">
        <f>(61.7*KFC!$B$24*1.1+KFC!$C$24)*KFC!$C$5</f>
        <v>67.87</v>
      </c>
      <c r="L63" s="300">
        <f>(64.3*KFC!$B$24*1.1+KFC!$C$24)*KFC!$C$5</f>
        <v>70.73</v>
      </c>
      <c r="M63" s="300">
        <f>(66.8*KFC!$B$24*1.1+KFC!$C$24)*KFC!$C$5</f>
        <v>73.48</v>
      </c>
      <c r="N63" s="300">
        <f>(69.4*KFC!$B$24*1.1+KFC!$C$24)*KFC!$C$5</f>
        <v>76.340000000000018</v>
      </c>
      <c r="O63" s="300">
        <f>(72*KFC!$B$24*1.1+KFC!$C$24)*KFC!$C$5</f>
        <v>79.2</v>
      </c>
    </row>
    <row r="64" spans="1:15">
      <c r="A64" s="1781"/>
      <c r="B64" s="392">
        <v>1.6</v>
      </c>
      <c r="C64" s="303">
        <f>(42*KFC!$B$24*1.1+KFC!$C$24)*KFC!$C$5</f>
        <v>46.2</v>
      </c>
      <c r="D64" s="300">
        <f>(44.7*KFC!$B$24*1.1+KFC!$C$24)*KFC!$C$5</f>
        <v>49.170000000000009</v>
      </c>
      <c r="E64" s="300">
        <f>(47.4*KFC!$B$24*1.1+KFC!$C$24)*KFC!$C$5</f>
        <v>52.14</v>
      </c>
      <c r="F64" s="300">
        <f>(50.1*KFC!$B$24*1.1+KFC!$C$24)*KFC!$C$5</f>
        <v>55.110000000000007</v>
      </c>
      <c r="G64" s="300">
        <f>(52.8*KFC!$B$24*1.1+KFC!$C$24)*KFC!$C$5</f>
        <v>58.08</v>
      </c>
      <c r="H64" s="300">
        <f>(55.5*KFC!$B$24*1.1+KFC!$C$24)*KFC!$C$5</f>
        <v>61.050000000000004</v>
      </c>
      <c r="I64" s="300">
        <f>(58.2*KFC!$B$24*1.1+KFC!$C$24)*KFC!$C$5</f>
        <v>64.02000000000001</v>
      </c>
      <c r="J64" s="300">
        <f>(60.9*KFC!$B$24*1.1+KFC!$C$24)*KFC!$C$5</f>
        <v>66.990000000000009</v>
      </c>
      <c r="K64" s="300">
        <f>(63.6*KFC!$B$24*1.1+KFC!$C$24)*KFC!$C$5</f>
        <v>69.960000000000008</v>
      </c>
      <c r="L64" s="300">
        <f>(66.3*KFC!$B$24*1.1+KFC!$C$24)*KFC!$C$5</f>
        <v>72.930000000000007</v>
      </c>
      <c r="M64" s="300">
        <f>(69*KFC!$B$24*1.1+KFC!$C$24)*KFC!$C$5</f>
        <v>75.900000000000006</v>
      </c>
      <c r="N64" s="300">
        <f>(71.7*KFC!$B$24*1.1+KFC!$C$24)*KFC!$C$5</f>
        <v>78.87</v>
      </c>
      <c r="O64" s="300">
        <f>(74.4*KFC!$B$24*1.1+KFC!$C$24)*KFC!$C$5</f>
        <v>81.840000000000018</v>
      </c>
    </row>
    <row r="65" spans="1:15">
      <c r="A65" s="1781"/>
      <c r="B65" s="392">
        <v>1.7</v>
      </c>
      <c r="C65" s="303">
        <f>(42.9*KFC!$B$24*1.1+KFC!$C$24)*KFC!$C$5</f>
        <v>47.190000000000005</v>
      </c>
      <c r="D65" s="300">
        <f>(45.7*KFC!$B$24*1.1+KFC!$C$24)*KFC!$C$5</f>
        <v>50.27000000000001</v>
      </c>
      <c r="E65" s="300">
        <f>(48.5*KFC!$B$24*1.1+KFC!$C$24)*KFC!$C$5</f>
        <v>53.35</v>
      </c>
      <c r="F65" s="300">
        <f>(51.3*KFC!$B$24*1.1+KFC!$C$24)*KFC!$C$5</f>
        <v>56.43</v>
      </c>
      <c r="G65" s="300">
        <f>(54.2*KFC!$B$24*1.1+KFC!$C$24)*KFC!$C$5</f>
        <v>59.620000000000005</v>
      </c>
      <c r="H65" s="300">
        <f>(57*KFC!$B$24*1.1+KFC!$C$24)*KFC!$C$5</f>
        <v>62.7</v>
      </c>
      <c r="I65" s="300">
        <f>(59.8*KFC!$B$24*1.1+KFC!$C$24)*KFC!$C$5</f>
        <v>65.78</v>
      </c>
      <c r="J65" s="300">
        <f>(62.6*KFC!$B$24*1.1+KFC!$C$24)*KFC!$C$5</f>
        <v>68.860000000000014</v>
      </c>
      <c r="K65" s="300">
        <f>(65.4*KFC!$B$24*1.1+KFC!$C$24)*KFC!$C$5</f>
        <v>71.940000000000012</v>
      </c>
      <c r="L65" s="300">
        <f>(68.3*KFC!$B$24*1.1+KFC!$C$24)*KFC!$C$5</f>
        <v>75.13000000000001</v>
      </c>
      <c r="M65" s="300">
        <f>(71.1*KFC!$B$24*1.1+KFC!$C$24)*KFC!$C$5</f>
        <v>78.209999999999994</v>
      </c>
      <c r="N65" s="300">
        <f>(73.9*KFC!$B$24*1.1+KFC!$C$24)*KFC!$C$5</f>
        <v>81.290000000000006</v>
      </c>
      <c r="O65" s="300">
        <f>(76.7*KFC!$B$24*1.1+KFC!$C$24)*KFC!$C$5</f>
        <v>84.37</v>
      </c>
    </row>
    <row r="66" spans="1:15">
      <c r="A66" s="1781"/>
      <c r="B66" s="392">
        <v>1.8</v>
      </c>
      <c r="C66" s="467">
        <f>(43.7*KFC!$B$24*1.1+KFC!$C$24)*KFC!$C$5</f>
        <v>48.070000000000007</v>
      </c>
      <c r="D66" s="468">
        <f>(46.7*KFC!$B$24*1.1+KFC!$C$24)*KFC!$C$5</f>
        <v>51.370000000000005</v>
      </c>
      <c r="E66" s="468">
        <f>(49.6*KFC!$B$24*1.1+KFC!$C$24)*KFC!$C$5</f>
        <v>54.560000000000009</v>
      </c>
      <c r="F66" s="468">
        <f>(52.6*KFC!$B$24*1.1+KFC!$C$24)*KFC!$C$5</f>
        <v>57.860000000000007</v>
      </c>
      <c r="G66" s="468">
        <f>(55.5*KFC!$B$24*1.1+KFC!$C$24)*KFC!$C$5</f>
        <v>61.050000000000004</v>
      </c>
      <c r="H66" s="468">
        <f>(58.5*KFC!$B$24*1.1+KFC!$C$24)*KFC!$C$5</f>
        <v>64.350000000000009</v>
      </c>
      <c r="I66" s="468">
        <f>(61.4*KFC!$B$24*1.1+KFC!$C$24)*KFC!$C$5</f>
        <v>67.540000000000006</v>
      </c>
      <c r="J66" s="468">
        <f>(64.4*KFC!$B$24*1.1+KFC!$C$24)*KFC!$C$5</f>
        <v>70.840000000000018</v>
      </c>
      <c r="K66" s="468">
        <f>(67.3*KFC!$B$24*1.1+KFC!$C$24)*KFC!$C$5</f>
        <v>74.03</v>
      </c>
      <c r="L66" s="468">
        <f>(70.3*KFC!$B$24*1.1+KFC!$C$24)*KFC!$C$5</f>
        <v>77.33</v>
      </c>
      <c r="M66" s="468">
        <f>(73.2*KFC!$B$24*1.1+KFC!$C$24)*KFC!$C$5</f>
        <v>80.52000000000001</v>
      </c>
      <c r="N66" s="468">
        <f>(76.2*KFC!$B$24*1.1+KFC!$C$24)*KFC!$C$5</f>
        <v>83.820000000000007</v>
      </c>
      <c r="O66" s="468">
        <f>(79.1*KFC!$B$24*1.1+KFC!$C$24)*KFC!$C$5</f>
        <v>87.01</v>
      </c>
    </row>
    <row r="67" spans="1:15">
      <c r="A67" s="1781"/>
      <c r="B67" s="392">
        <v>1.9</v>
      </c>
      <c r="C67" s="303">
        <f>(44.6*KFC!$B$24*1.1+KFC!$C$24)*KFC!$C$5</f>
        <v>49.06</v>
      </c>
      <c r="D67" s="300">
        <f>(47.7*KFC!$B$24*1.1+KFC!$C$24)*KFC!$C$5</f>
        <v>52.470000000000006</v>
      </c>
      <c r="E67" s="300">
        <f>(50.7*KFC!$B$24*1.1+KFC!$C$24)*KFC!$C$5</f>
        <v>55.77000000000001</v>
      </c>
      <c r="F67" s="300">
        <f>(53.8*KFC!$B$24*1.1+KFC!$C$24)*KFC!$C$5</f>
        <v>59.18</v>
      </c>
      <c r="G67" s="300">
        <f>(56.9*KFC!$B$24*1.1+KFC!$C$24)*KFC!$C$5</f>
        <v>62.59</v>
      </c>
      <c r="H67" s="300">
        <f>(60*KFC!$B$24*1.1+KFC!$C$24)*KFC!$C$5</f>
        <v>66</v>
      </c>
      <c r="I67" s="300">
        <f>(63*KFC!$B$24*1.1+KFC!$C$24)*KFC!$C$5</f>
        <v>69.300000000000011</v>
      </c>
      <c r="J67" s="300">
        <f>(66.1*KFC!$B$24*1.1+KFC!$C$24)*KFC!$C$5</f>
        <v>72.709999999999994</v>
      </c>
      <c r="K67" s="300">
        <f>(69.2*KFC!$B$24*1.1+KFC!$C$24)*KFC!$C$5</f>
        <v>76.12</v>
      </c>
      <c r="L67" s="300">
        <f>(72.3*KFC!$B$24*1.1+KFC!$C$24)*KFC!$C$5</f>
        <v>79.53</v>
      </c>
      <c r="M67" s="300">
        <f>(75.3*KFC!$B$24*1.1+KFC!$C$24)*KFC!$C$5</f>
        <v>82.83</v>
      </c>
      <c r="N67" s="300">
        <f>(78.4*KFC!$B$24*1.1+KFC!$C$24)*KFC!$C$5</f>
        <v>86.240000000000009</v>
      </c>
      <c r="O67" s="300">
        <f>(81.5*KFC!$B$24*1.1+KFC!$C$24)*KFC!$C$5</f>
        <v>89.65</v>
      </c>
    </row>
    <row r="68" spans="1:15">
      <c r="A68" s="1781"/>
      <c r="B68" s="392">
        <v>2</v>
      </c>
      <c r="C68" s="303">
        <f>(45.5*KFC!$B$24*1.1+KFC!$C$24)*KFC!$C$5</f>
        <v>50.050000000000004</v>
      </c>
      <c r="D68" s="300">
        <f>(48.7*KFC!$B$24*1.1+KFC!$C$24)*KFC!$C$5</f>
        <v>53.570000000000007</v>
      </c>
      <c r="E68" s="300">
        <f>(51.9*KFC!$B$24*1.1+KFC!$C$24)*KFC!$C$5</f>
        <v>57.09</v>
      </c>
      <c r="F68" s="300">
        <f>(55.1*KFC!$B$24*1.1+KFC!$C$24)*KFC!$C$5</f>
        <v>60.610000000000007</v>
      </c>
      <c r="G68" s="300">
        <f>(58.3*KFC!$B$24*1.1+KFC!$C$24)*KFC!$C$5</f>
        <v>64.13</v>
      </c>
      <c r="H68" s="300">
        <f>(61.5*KFC!$B$24*1.1+KFC!$C$24)*KFC!$C$5</f>
        <v>67.650000000000006</v>
      </c>
      <c r="I68" s="300">
        <f>(64.7*KFC!$B$24*1.1+KFC!$C$24)*KFC!$C$5</f>
        <v>71.170000000000016</v>
      </c>
      <c r="J68" s="300">
        <f>(67.9*KFC!$B$24*1.1+KFC!$C$24)*KFC!$C$5</f>
        <v>74.690000000000012</v>
      </c>
      <c r="K68" s="300">
        <f>(71.1*KFC!$B$24*1.1+KFC!$C$24)*KFC!$C$5</f>
        <v>78.209999999999994</v>
      </c>
      <c r="L68" s="300">
        <f>(74.3*KFC!$B$24*1.1+KFC!$C$24)*KFC!$C$5</f>
        <v>81.73</v>
      </c>
      <c r="M68" s="300">
        <f>(77.5*KFC!$B$24*1.1+KFC!$C$24)*KFC!$C$5</f>
        <v>85.25</v>
      </c>
      <c r="N68" s="300">
        <f>(80.7*KFC!$B$24*1.1+KFC!$C$24)*KFC!$C$5</f>
        <v>88.77000000000001</v>
      </c>
      <c r="O68" s="300">
        <f>(83.9*KFC!$B$24*1.1+KFC!$C$24)*KFC!$C$5</f>
        <v>92.29000000000002</v>
      </c>
    </row>
    <row r="69" spans="1:15">
      <c r="A69" s="1781"/>
      <c r="B69" s="392">
        <v>2.1</v>
      </c>
      <c r="C69" s="303">
        <f>(46.3*KFC!$B$24*1.1+KFC!$C$24)*KFC!$C$5</f>
        <v>50.93</v>
      </c>
      <c r="D69" s="300">
        <f>(49.6*KFC!$B$24*1.1+KFC!$C$24)*KFC!$C$5</f>
        <v>54.560000000000009</v>
      </c>
      <c r="E69" s="300">
        <f>(53*KFC!$B$24*1.1+KFC!$C$24)*KFC!$C$5</f>
        <v>58.300000000000004</v>
      </c>
      <c r="F69" s="300">
        <f>(56.3*KFC!$B$24*1.1+KFC!$C$24)*KFC!$C$5</f>
        <v>61.93</v>
      </c>
      <c r="G69" s="300">
        <f>(59.6*KFC!$B$24*1.1+KFC!$C$24)*KFC!$C$5</f>
        <v>65.56</v>
      </c>
      <c r="H69" s="300">
        <f>(62.9*KFC!$B$24*1.1+KFC!$C$24)*KFC!$C$5</f>
        <v>69.19</v>
      </c>
      <c r="I69" s="300">
        <f>(66.3*KFC!$B$24*1.1+KFC!$C$24)*KFC!$C$5</f>
        <v>72.930000000000007</v>
      </c>
      <c r="J69" s="300">
        <f>(69.6*KFC!$B$24*1.1+KFC!$C$24)*KFC!$C$5</f>
        <v>76.56</v>
      </c>
      <c r="K69" s="300">
        <f>(72.9*KFC!$B$24*1.1+KFC!$C$24)*KFC!$C$5</f>
        <v>80.190000000000012</v>
      </c>
      <c r="L69" s="300">
        <f>(76.3*KFC!$B$24*1.1+KFC!$C$24)*KFC!$C$5</f>
        <v>83.93</v>
      </c>
      <c r="M69" s="300">
        <f>(79.6*KFC!$B$24*1.1+KFC!$C$24)*KFC!$C$5</f>
        <v>87.56</v>
      </c>
      <c r="N69" s="300">
        <f>(82.9*KFC!$B$24*1.1+KFC!$C$24)*KFC!$C$5</f>
        <v>91.190000000000012</v>
      </c>
      <c r="O69" s="300">
        <f>(86.2*KFC!$B$24*1.1+KFC!$C$24)*KFC!$C$5</f>
        <v>94.820000000000007</v>
      </c>
    </row>
    <row r="70" spans="1:15" ht="13.8" thickBot="1">
      <c r="A70" s="1781"/>
      <c r="B70" s="392">
        <v>2.2000000000000002</v>
      </c>
      <c r="C70" s="303">
        <f>(47.2*KFC!$B$24*1.1+KFC!$C$24)*KFC!$C$5</f>
        <v>51.920000000000009</v>
      </c>
      <c r="D70" s="300">
        <f>(50.6*KFC!$B$24*1.1+KFC!$C$24)*KFC!$C$5</f>
        <v>55.660000000000004</v>
      </c>
      <c r="E70" s="300">
        <f>(54.1*KFC!$B$24*1.1+KFC!$C$24)*KFC!$C$5</f>
        <v>59.510000000000005</v>
      </c>
      <c r="F70" s="300">
        <f>(57.5*KFC!$B$24*1.1+KFC!$C$24)*KFC!$C$5</f>
        <v>63.250000000000007</v>
      </c>
      <c r="G70" s="300">
        <f>(61*KFC!$B$24*1.1+KFC!$C$24)*KFC!$C$5</f>
        <v>67.100000000000009</v>
      </c>
      <c r="H70" s="300">
        <f>(64.4*KFC!$B$24*1.1+KFC!$C$24)*KFC!$C$5</f>
        <v>70.840000000000018</v>
      </c>
      <c r="I70" s="300">
        <f>(67.9*KFC!$B$24*1.1+KFC!$C$24)*KFC!$C$5</f>
        <v>74.690000000000012</v>
      </c>
      <c r="J70" s="300">
        <f>(71.3*KFC!$B$24*1.1+KFC!$C$24)*KFC!$C$5</f>
        <v>78.430000000000007</v>
      </c>
      <c r="K70" s="300">
        <f>(74.8*KFC!$B$24*1.1+KFC!$C$24)*KFC!$C$5</f>
        <v>82.28</v>
      </c>
      <c r="L70" s="300">
        <f>(78.3*KFC!$B$24*1.1+KFC!$C$24)*KFC!$C$5</f>
        <v>86.13000000000001</v>
      </c>
      <c r="M70" s="300">
        <f>(81.7*KFC!$B$24*1.1+KFC!$C$24)*KFC!$C$5</f>
        <v>89.87</v>
      </c>
      <c r="N70" s="300">
        <f>(85.2*KFC!$B$24*1.1+KFC!$C$24)*KFC!$C$5</f>
        <v>93.720000000000013</v>
      </c>
      <c r="O70" s="300">
        <f>(88.6*KFC!$B$24*1.1+KFC!$C$24)*KFC!$C$5</f>
        <v>97.460000000000008</v>
      </c>
    </row>
    <row r="71" spans="1:15" ht="13.8" thickBot="1">
      <c r="A71" s="283"/>
      <c r="B71" s="284"/>
      <c r="C71" s="282"/>
      <c r="D71" s="282"/>
      <c r="E71" s="282"/>
      <c r="F71" s="282"/>
      <c r="G71" s="282"/>
      <c r="H71" s="282"/>
      <c r="I71" s="282"/>
      <c r="J71" s="282"/>
      <c r="K71" s="282"/>
      <c r="L71" s="282"/>
      <c r="M71" s="282"/>
      <c r="N71" s="282"/>
      <c r="O71" s="282"/>
    </row>
    <row r="72" spans="1:15" ht="13.95" customHeight="1" thickBot="1">
      <c r="A72" s="1413" t="s">
        <v>318</v>
      </c>
      <c r="B72" s="1601"/>
      <c r="C72" s="1787" t="s">
        <v>207</v>
      </c>
      <c r="D72" s="1788"/>
      <c r="E72" s="1788"/>
      <c r="F72" s="1788"/>
      <c r="G72" s="1788"/>
      <c r="H72" s="1788"/>
      <c r="I72" s="1788"/>
      <c r="J72" s="1788"/>
      <c r="K72" s="1788"/>
      <c r="L72" s="1788"/>
      <c r="M72" s="1788"/>
      <c r="N72" s="1788"/>
      <c r="O72" s="1788"/>
    </row>
    <row r="73" spans="1:15" ht="13.8" thickBot="1">
      <c r="A73" s="1778"/>
      <c r="B73" s="1779"/>
      <c r="C73" s="340">
        <v>0.6</v>
      </c>
      <c r="D73" s="341">
        <v>0.7</v>
      </c>
      <c r="E73" s="341">
        <v>0.8</v>
      </c>
      <c r="F73" s="341">
        <v>0.9</v>
      </c>
      <c r="G73" s="341">
        <v>1</v>
      </c>
      <c r="H73" s="341">
        <v>1.1000000000000001</v>
      </c>
      <c r="I73" s="341">
        <v>1.2</v>
      </c>
      <c r="J73" s="341">
        <v>1.3</v>
      </c>
      <c r="K73" s="341">
        <v>1.4</v>
      </c>
      <c r="L73" s="341">
        <v>1.5</v>
      </c>
      <c r="M73" s="341">
        <v>1.6</v>
      </c>
      <c r="N73" s="341">
        <v>1.7</v>
      </c>
      <c r="O73" s="341">
        <v>1.8</v>
      </c>
    </row>
    <row r="74" spans="1:15" ht="13.2" customHeight="1">
      <c r="A74" s="1780" t="s">
        <v>3</v>
      </c>
      <c r="B74" s="391">
        <v>0.4</v>
      </c>
      <c r="C74" s="274">
        <f>(36.7*KFC!$B$24*1.1+KFC!$C$24)*KFC!$C$5</f>
        <v>40.370000000000005</v>
      </c>
      <c r="D74" s="301">
        <f>(38*KFC!$B$24*1.1+KFC!$C$24)*KFC!$C$5</f>
        <v>41.800000000000004</v>
      </c>
      <c r="E74" s="301">
        <f>(39.2*KFC!$B$24*1.1+KFC!$C$24)*KFC!$C$5</f>
        <v>43.120000000000005</v>
      </c>
      <c r="F74" s="301">
        <f>(40.5*KFC!$B$24*1.1+KFC!$C$24)*KFC!$C$5</f>
        <v>44.550000000000004</v>
      </c>
      <c r="G74" s="301">
        <f>(41.8*KFC!$B$24*1.1+KFC!$C$24)*KFC!$C$5</f>
        <v>45.980000000000004</v>
      </c>
      <c r="H74" s="301">
        <f>(43*KFC!$B$24*1.1+KFC!$C$24)*KFC!$C$5</f>
        <v>47.300000000000004</v>
      </c>
      <c r="I74" s="301">
        <f>(44.3*KFC!$B$24*1.1+KFC!$C$24)*KFC!$C$5</f>
        <v>48.730000000000004</v>
      </c>
      <c r="J74" s="301">
        <f>(45.6*KFC!$B$24*1.1+KFC!$C$24)*KFC!$C$5</f>
        <v>50.160000000000004</v>
      </c>
      <c r="K74" s="301">
        <f>(46.8*KFC!$B$24*1.1+KFC!$C$24)*KFC!$C$5</f>
        <v>51.480000000000004</v>
      </c>
      <c r="L74" s="301">
        <f>(48.1*KFC!$B$24*1.1+KFC!$C$24)*KFC!$C$5</f>
        <v>52.910000000000004</v>
      </c>
      <c r="M74" s="301">
        <f>(49.4*KFC!$B$24*1.1+KFC!$C$24)*KFC!$C$5</f>
        <v>54.34</v>
      </c>
      <c r="N74" s="301">
        <f>(50.6*KFC!$B$24*1.1+KFC!$C$24)*KFC!$C$5</f>
        <v>55.660000000000004</v>
      </c>
      <c r="O74" s="301">
        <f>(51.9*KFC!$B$24*1.1+KFC!$C$24)*KFC!$C$5</f>
        <v>57.09</v>
      </c>
    </row>
    <row r="75" spans="1:15">
      <c r="A75" s="1781"/>
      <c r="B75" s="392">
        <v>0.5</v>
      </c>
      <c r="C75" s="303">
        <f>(37.8*KFC!$B$24*1.1+KFC!$C$24)*KFC!$C$5</f>
        <v>41.58</v>
      </c>
      <c r="D75" s="300">
        <f>(39.3*KFC!$B$24*1.1+KFC!$C$24)*KFC!$C$5</f>
        <v>43.23</v>
      </c>
      <c r="E75" s="300">
        <f>(40.7*KFC!$B$24*1.1+KFC!$C$24)*KFC!$C$5</f>
        <v>44.77000000000001</v>
      </c>
      <c r="F75" s="300">
        <f>(42.2*KFC!$B$24*1.1+KFC!$C$24)*KFC!$C$5</f>
        <v>46.420000000000009</v>
      </c>
      <c r="G75" s="300">
        <f>(43.6*KFC!$B$24*1.1+KFC!$C$24)*KFC!$C$5</f>
        <v>47.960000000000008</v>
      </c>
      <c r="H75" s="300">
        <f>(45.1*KFC!$B$24*1.1+KFC!$C$24)*KFC!$C$5</f>
        <v>49.610000000000007</v>
      </c>
      <c r="I75" s="300">
        <f>(46.5*KFC!$B$24*1.1+KFC!$C$24)*KFC!$C$5</f>
        <v>51.150000000000006</v>
      </c>
      <c r="J75" s="300">
        <f>(47.9*KFC!$B$24*1.1+KFC!$C$24)*KFC!$C$5</f>
        <v>52.690000000000005</v>
      </c>
      <c r="K75" s="300">
        <f>(49.4*KFC!$B$24*1.1+KFC!$C$24)*KFC!$C$5</f>
        <v>54.34</v>
      </c>
      <c r="L75" s="300">
        <f>(50.8*KFC!$B$24*1.1+KFC!$C$24)*KFC!$C$5</f>
        <v>55.88</v>
      </c>
      <c r="M75" s="300">
        <f>(52.3*KFC!$B$24*1.1+KFC!$C$24)*KFC!$C$5</f>
        <v>57.53</v>
      </c>
      <c r="N75" s="300">
        <f>(53.7*KFC!$B$24*1.1+KFC!$C$24)*KFC!$C$5</f>
        <v>59.070000000000007</v>
      </c>
      <c r="O75" s="300">
        <f>(55.2*KFC!$B$24*1.1+KFC!$C$24)*KFC!$C$5</f>
        <v>60.720000000000006</v>
      </c>
    </row>
    <row r="76" spans="1:15">
      <c r="A76" s="1781"/>
      <c r="B76" s="392">
        <v>0.6</v>
      </c>
      <c r="C76" s="303">
        <f>(38.9*KFC!$B$24*1.1+KFC!$C$24)*KFC!$C$5</f>
        <v>42.79</v>
      </c>
      <c r="D76" s="300">
        <f>(40.5*KFC!$B$24*1.1+KFC!$C$24)*KFC!$C$5</f>
        <v>44.550000000000004</v>
      </c>
      <c r="E76" s="300">
        <f>(42.2*KFC!$B$24*1.1+KFC!$C$24)*KFC!$C$5</f>
        <v>46.420000000000009</v>
      </c>
      <c r="F76" s="300">
        <f>(43.8*KFC!$B$24*1.1+KFC!$C$24)*KFC!$C$5</f>
        <v>48.18</v>
      </c>
      <c r="G76" s="300">
        <f>(45.4*KFC!$B$24*1.1+KFC!$C$24)*KFC!$C$5</f>
        <v>49.940000000000005</v>
      </c>
      <c r="H76" s="300">
        <f>(47.1*KFC!$B$24*1.1+KFC!$C$24)*KFC!$C$5</f>
        <v>51.81</v>
      </c>
      <c r="I76" s="300">
        <f>(48.7*KFC!$B$24*1.1+KFC!$C$24)*KFC!$C$5</f>
        <v>53.570000000000007</v>
      </c>
      <c r="J76" s="300">
        <f>(50.3*KFC!$B$24*1.1+KFC!$C$24)*KFC!$C$5</f>
        <v>55.33</v>
      </c>
      <c r="K76" s="300">
        <f>(52*KFC!$B$24*1.1+KFC!$C$24)*KFC!$C$5</f>
        <v>57.2</v>
      </c>
      <c r="L76" s="300">
        <f>(53.6*KFC!$B$24*1.1+KFC!$C$24)*KFC!$C$5</f>
        <v>58.960000000000008</v>
      </c>
      <c r="M76" s="300">
        <f>(55.2*KFC!$B$24*1.1+KFC!$C$24)*KFC!$C$5</f>
        <v>60.720000000000006</v>
      </c>
      <c r="N76" s="300">
        <f>(56.8*KFC!$B$24*1.1+KFC!$C$24)*KFC!$C$5</f>
        <v>62.480000000000004</v>
      </c>
      <c r="O76" s="300">
        <f>(58.5*KFC!$B$24*1.1+KFC!$C$24)*KFC!$C$5</f>
        <v>64.350000000000009</v>
      </c>
    </row>
    <row r="77" spans="1:15">
      <c r="A77" s="1781"/>
      <c r="B77" s="392">
        <v>0.7</v>
      </c>
      <c r="C77" s="303">
        <f>(40*KFC!$B$24*1.1+KFC!$C$24)*KFC!$C$5</f>
        <v>44</v>
      </c>
      <c r="D77" s="300">
        <f>(41.8*KFC!$B$24*1.1+KFC!$C$24)*KFC!$C$5</f>
        <v>45.980000000000004</v>
      </c>
      <c r="E77" s="300">
        <f>(43.6*KFC!$B$24*1.1+KFC!$C$24)*KFC!$C$5</f>
        <v>47.960000000000008</v>
      </c>
      <c r="F77" s="300">
        <f>(45.4*KFC!$B$24*1.1+KFC!$C$24)*KFC!$C$5</f>
        <v>49.940000000000005</v>
      </c>
      <c r="G77" s="300">
        <f>(47.3*KFC!$B$24*1.1+KFC!$C$24)*KFC!$C$5</f>
        <v>52.03</v>
      </c>
      <c r="H77" s="300">
        <f>(49.1*KFC!$B$24*1.1+KFC!$C$24)*KFC!$C$5</f>
        <v>54.010000000000005</v>
      </c>
      <c r="I77" s="300">
        <f>(50.9*KFC!$B$24*1.1+KFC!$C$24)*KFC!$C$5</f>
        <v>55.99</v>
      </c>
      <c r="J77" s="300">
        <f>(52.7*KFC!$B$24*1.1+KFC!$C$24)*KFC!$C$5</f>
        <v>57.970000000000006</v>
      </c>
      <c r="K77" s="300">
        <f>(54.5*KFC!$B$24*1.1+KFC!$C$24)*KFC!$C$5</f>
        <v>59.95</v>
      </c>
      <c r="L77" s="300">
        <f>(56.3*KFC!$B$24*1.1+KFC!$C$24)*KFC!$C$5</f>
        <v>61.93</v>
      </c>
      <c r="M77" s="300">
        <f>(58.2*KFC!$B$24*1.1+KFC!$C$24)*KFC!$C$5</f>
        <v>64.02000000000001</v>
      </c>
      <c r="N77" s="300">
        <f>(60*KFC!$B$24*1.1+KFC!$C$24)*KFC!$C$5</f>
        <v>66</v>
      </c>
      <c r="O77" s="300">
        <f>(61.8*KFC!$B$24*1.1+KFC!$C$24)*KFC!$C$5</f>
        <v>67.98</v>
      </c>
    </row>
    <row r="78" spans="1:15">
      <c r="A78" s="1781"/>
      <c r="B78" s="392">
        <v>0.8</v>
      </c>
      <c r="C78" s="303">
        <f>(41.1*KFC!$B$24*1.1+KFC!$C$24)*KFC!$C$5</f>
        <v>45.210000000000008</v>
      </c>
      <c r="D78" s="300">
        <f>(43.1*KFC!$B$24*1.1+KFC!$C$24)*KFC!$C$5</f>
        <v>47.410000000000004</v>
      </c>
      <c r="E78" s="300">
        <f>(45.1*KFC!$B$24*1.1+KFC!$C$24)*KFC!$C$5</f>
        <v>49.610000000000007</v>
      </c>
      <c r="F78" s="300">
        <f>(47.1*KFC!$B$24*1.1+KFC!$C$24)*KFC!$C$5</f>
        <v>51.81</v>
      </c>
      <c r="G78" s="300">
        <f>(49.1*KFC!$B$24*1.1+KFC!$C$24)*KFC!$C$5</f>
        <v>54.010000000000005</v>
      </c>
      <c r="H78" s="300">
        <f>(51.1*KFC!$B$24*1.1+KFC!$C$24)*KFC!$C$5</f>
        <v>56.210000000000008</v>
      </c>
      <c r="I78" s="300">
        <f>(53.1*KFC!$B$24*1.1+KFC!$C$24)*KFC!$C$5</f>
        <v>58.410000000000004</v>
      </c>
      <c r="J78" s="300">
        <f>(55.1*KFC!$B$24*1.1+KFC!$C$24)*KFC!$C$5</f>
        <v>60.610000000000007</v>
      </c>
      <c r="K78" s="300">
        <f>(57.1*KFC!$B$24*1.1+KFC!$C$24)*KFC!$C$5</f>
        <v>62.810000000000009</v>
      </c>
      <c r="L78" s="300">
        <f>(59.1*KFC!$B$24*1.1+KFC!$C$24)*KFC!$C$5</f>
        <v>65.010000000000005</v>
      </c>
      <c r="M78" s="300">
        <f>(61.1*KFC!$B$24*1.1+KFC!$C$24)*KFC!$C$5</f>
        <v>67.210000000000008</v>
      </c>
      <c r="N78" s="300">
        <f>(63.1*KFC!$B$24*1.1+KFC!$C$24)*KFC!$C$5</f>
        <v>69.410000000000011</v>
      </c>
      <c r="O78" s="300">
        <f>(65.1*KFC!$B$24*1.1+KFC!$C$24)*KFC!$C$5</f>
        <v>71.61</v>
      </c>
    </row>
    <row r="79" spans="1:15">
      <c r="A79" s="1781"/>
      <c r="B79" s="392">
        <v>0.9</v>
      </c>
      <c r="C79" s="303">
        <f>(42.2*KFC!$B$24*1.1+KFC!$C$24)*KFC!$C$5</f>
        <v>46.420000000000009</v>
      </c>
      <c r="D79" s="300">
        <f>(44.4*KFC!$B$24*1.1+KFC!$C$24)*KFC!$C$5</f>
        <v>48.84</v>
      </c>
      <c r="E79" s="300">
        <f>(46.5*KFC!$B$24*1.1+KFC!$C$24)*KFC!$C$5</f>
        <v>51.150000000000006</v>
      </c>
      <c r="F79" s="300">
        <f>(48.7*KFC!$B$24*1.1+KFC!$C$24)*KFC!$C$5</f>
        <v>53.570000000000007</v>
      </c>
      <c r="G79" s="300">
        <f>(50.9*KFC!$B$24*1.1+KFC!$C$24)*KFC!$C$5</f>
        <v>55.99</v>
      </c>
      <c r="H79" s="300">
        <f>(53.1*KFC!$B$24*1.1+KFC!$C$24)*KFC!$C$5</f>
        <v>58.410000000000004</v>
      </c>
      <c r="I79" s="300">
        <f>(55.3*KFC!$B$24*1.1+KFC!$C$24)*KFC!$C$5</f>
        <v>60.83</v>
      </c>
      <c r="J79" s="300">
        <f>(57.5*KFC!$B$24*1.1+KFC!$C$24)*KFC!$C$5</f>
        <v>63.250000000000007</v>
      </c>
      <c r="K79" s="300">
        <f>(59.6*KFC!$B$24*1.1+KFC!$C$24)*KFC!$C$5</f>
        <v>65.56</v>
      </c>
      <c r="L79" s="300">
        <f>(61.8*KFC!$B$24*1.1+KFC!$C$24)*KFC!$C$5</f>
        <v>67.98</v>
      </c>
      <c r="M79" s="300">
        <f>(64*KFC!$B$24*1.1+KFC!$C$24)*KFC!$C$5</f>
        <v>70.400000000000006</v>
      </c>
      <c r="N79" s="300">
        <f>(66.2*KFC!$B$24*1.1+KFC!$C$24)*KFC!$C$5</f>
        <v>72.820000000000007</v>
      </c>
      <c r="O79" s="300">
        <f>(68.4*KFC!$B$24*1.1+KFC!$C$24)*KFC!$C$5</f>
        <v>75.240000000000009</v>
      </c>
    </row>
    <row r="80" spans="1:15">
      <c r="A80" s="1781"/>
      <c r="B80" s="392">
        <v>1</v>
      </c>
      <c r="C80" s="303">
        <f>(43.3*KFC!$B$24*1.1+KFC!$C$24)*KFC!$C$5</f>
        <v>47.63</v>
      </c>
      <c r="D80" s="300">
        <f>(45.6*KFC!$B$24*1.1+KFC!$C$24)*KFC!$C$5</f>
        <v>50.160000000000004</v>
      </c>
      <c r="E80" s="300">
        <f>(48*KFC!$B$24*1.1+KFC!$C$24)*KFC!$C$5</f>
        <v>52.800000000000004</v>
      </c>
      <c r="F80" s="300">
        <f>(50.4*KFC!$B$24*1.1+KFC!$C$24)*KFC!$C$5</f>
        <v>55.440000000000005</v>
      </c>
      <c r="G80" s="300">
        <f>(52.7*KFC!$B$24*1.1+KFC!$C$24)*KFC!$C$5</f>
        <v>57.970000000000006</v>
      </c>
      <c r="H80" s="300">
        <f>(55.1*KFC!$B$24*1.1+KFC!$C$24)*KFC!$C$5</f>
        <v>60.610000000000007</v>
      </c>
      <c r="I80" s="300">
        <f>(57.5*KFC!$B$24*1.1+KFC!$C$24)*KFC!$C$5</f>
        <v>63.250000000000007</v>
      </c>
      <c r="J80" s="300">
        <f>(59.8*KFC!$B$24*1.1+KFC!$C$24)*KFC!$C$5</f>
        <v>65.78</v>
      </c>
      <c r="K80" s="300">
        <f>(62.2*KFC!$B$24*1.1+KFC!$C$24)*KFC!$C$5</f>
        <v>68.42</v>
      </c>
      <c r="L80" s="300">
        <f>(64.6*KFC!$B$24*1.1+KFC!$C$24)*KFC!$C$5</f>
        <v>71.06</v>
      </c>
      <c r="M80" s="300">
        <f>(66.9*KFC!$B$24*1.1+KFC!$C$24)*KFC!$C$5</f>
        <v>73.590000000000018</v>
      </c>
      <c r="N80" s="300">
        <f>(69.3*KFC!$B$24*1.1+KFC!$C$24)*KFC!$C$5</f>
        <v>76.23</v>
      </c>
      <c r="O80" s="300">
        <f>(71.6*KFC!$B$24*1.1+KFC!$C$24)*KFC!$C$5</f>
        <v>78.760000000000005</v>
      </c>
    </row>
    <row r="81" spans="1:15">
      <c r="A81" s="1781"/>
      <c r="B81" s="392">
        <v>1.1000000000000001</v>
      </c>
      <c r="C81" s="303">
        <f>(44.4*KFC!$B$24*1.1+KFC!$C$24)*KFC!$C$5</f>
        <v>48.84</v>
      </c>
      <c r="D81" s="300">
        <f>(46.9*KFC!$B$24*1.1+KFC!$C$24)*KFC!$C$5</f>
        <v>51.59</v>
      </c>
      <c r="E81" s="300">
        <f>(49.5*KFC!$B$24*1.1+KFC!$C$24)*KFC!$C$5</f>
        <v>54.45</v>
      </c>
      <c r="F81" s="300">
        <f>(52*KFC!$B$24*1.1+KFC!$C$24)*KFC!$C$5</f>
        <v>57.2</v>
      </c>
      <c r="G81" s="300">
        <f>(54.6*KFC!$B$24*1.1+KFC!$C$24)*KFC!$C$5</f>
        <v>60.060000000000009</v>
      </c>
      <c r="H81" s="300">
        <f>(57.1*KFC!$B$24*1.1+KFC!$C$24)*KFC!$C$5</f>
        <v>62.810000000000009</v>
      </c>
      <c r="I81" s="300">
        <f>(59.7*KFC!$B$24*1.1+KFC!$C$24)*KFC!$C$5</f>
        <v>65.67</v>
      </c>
      <c r="J81" s="300">
        <f>(62.2*KFC!$B$24*1.1+KFC!$C$24)*KFC!$C$5</f>
        <v>68.42</v>
      </c>
      <c r="K81" s="300">
        <f>(64.8*KFC!$B$24*1.1+KFC!$C$24)*KFC!$C$5</f>
        <v>71.28</v>
      </c>
      <c r="L81" s="300">
        <f>(67.3*KFC!$B$24*1.1+KFC!$C$24)*KFC!$C$5</f>
        <v>74.03</v>
      </c>
      <c r="M81" s="300">
        <f>(69.9*KFC!$B$24*1.1+KFC!$C$24)*KFC!$C$5</f>
        <v>76.890000000000015</v>
      </c>
      <c r="N81" s="300">
        <f>(72.4*KFC!$B$24*1.1+KFC!$C$24)*KFC!$C$5</f>
        <v>79.640000000000015</v>
      </c>
      <c r="O81" s="300">
        <f>(74.9*KFC!$B$24*1.1+KFC!$C$24)*KFC!$C$5</f>
        <v>82.390000000000015</v>
      </c>
    </row>
    <row r="82" spans="1:15">
      <c r="A82" s="1781"/>
      <c r="B82" s="392">
        <v>1.2</v>
      </c>
      <c r="C82" s="303">
        <f>(45.5*KFC!$B$24*1.1+KFC!$C$24)*KFC!$C$5</f>
        <v>50.050000000000004</v>
      </c>
      <c r="D82" s="300">
        <f>(48.2*KFC!$B$24*1.1+KFC!$C$24)*KFC!$C$5</f>
        <v>53.02000000000001</v>
      </c>
      <c r="E82" s="300">
        <f>(50.9*KFC!$B$24*1.1+KFC!$C$24)*KFC!$C$5</f>
        <v>55.99</v>
      </c>
      <c r="F82" s="300">
        <f>(53.7*KFC!$B$24*1.1+KFC!$C$24)*KFC!$C$5</f>
        <v>59.070000000000007</v>
      </c>
      <c r="G82" s="300">
        <f>(56.4*KFC!$B$24*1.1+KFC!$C$24)*KFC!$C$5</f>
        <v>62.040000000000006</v>
      </c>
      <c r="H82" s="300">
        <f>(59.1*KFC!$B$24*1.1+KFC!$C$24)*KFC!$C$5</f>
        <v>65.010000000000005</v>
      </c>
      <c r="I82" s="300">
        <f>(61.8*KFC!$B$24*1.1+KFC!$C$24)*KFC!$C$5</f>
        <v>67.98</v>
      </c>
      <c r="J82" s="300">
        <f>(64.6*KFC!$B$24*1.1+KFC!$C$24)*KFC!$C$5</f>
        <v>71.06</v>
      </c>
      <c r="K82" s="300">
        <f>(67.3*KFC!$B$24*1.1+KFC!$C$24)*KFC!$C$5</f>
        <v>74.03</v>
      </c>
      <c r="L82" s="300">
        <f>(70.1*KFC!$B$24*1.1+KFC!$C$24)*KFC!$C$5</f>
        <v>77.11</v>
      </c>
      <c r="M82" s="300">
        <f>(72.8*KFC!$B$24*1.1+KFC!$C$24)*KFC!$C$5</f>
        <v>80.08</v>
      </c>
      <c r="N82" s="300">
        <f>(75.5*KFC!$B$24*1.1+KFC!$C$24)*KFC!$C$5</f>
        <v>83.050000000000011</v>
      </c>
      <c r="O82" s="300">
        <f>(78.2*KFC!$B$24*1.1+KFC!$C$24)*KFC!$C$5</f>
        <v>86.02000000000001</v>
      </c>
    </row>
    <row r="83" spans="1:15">
      <c r="A83" s="1781"/>
      <c r="B83" s="392">
        <v>1.3</v>
      </c>
      <c r="C83" s="303">
        <f>(46.5*KFC!$B$24*1.1+KFC!$C$24)*KFC!$C$5</f>
        <v>51.150000000000006</v>
      </c>
      <c r="D83" s="300">
        <f>(49.5*KFC!$B$24*1.1+KFC!$C$24)*KFC!$C$5</f>
        <v>54.45</v>
      </c>
      <c r="E83" s="300">
        <f>(52.4*KFC!$B$24*1.1+KFC!$C$24)*KFC!$C$5</f>
        <v>57.64</v>
      </c>
      <c r="F83" s="300">
        <f>(55.3*KFC!$B$24*1.1+KFC!$C$24)*KFC!$C$5</f>
        <v>60.83</v>
      </c>
      <c r="G83" s="300">
        <f>(58.2*KFC!$B$24*1.1+KFC!$C$24)*KFC!$C$5</f>
        <v>64.02000000000001</v>
      </c>
      <c r="H83" s="300">
        <f>(61.1*KFC!$B$24*1.1+KFC!$C$24)*KFC!$C$5</f>
        <v>67.210000000000008</v>
      </c>
      <c r="I83" s="300">
        <f>(64.1*KFC!$B$24*1.1+KFC!$C$24)*KFC!$C$5</f>
        <v>70.510000000000005</v>
      </c>
      <c r="J83" s="300">
        <f>(67*KFC!$B$24*1.1+KFC!$C$24)*KFC!$C$5</f>
        <v>73.7</v>
      </c>
      <c r="K83" s="300">
        <f>(69.9*KFC!$B$24*1.1+KFC!$C$24)*KFC!$C$5</f>
        <v>76.890000000000015</v>
      </c>
      <c r="L83" s="300">
        <f>(72.8*KFC!$B$24*1.1+KFC!$C$24)*KFC!$C$5</f>
        <v>80.08</v>
      </c>
      <c r="M83" s="300">
        <f>(75.7*KFC!$B$24*1.1+KFC!$C$24)*KFC!$C$5</f>
        <v>83.27000000000001</v>
      </c>
      <c r="N83" s="300">
        <f>(78.6*KFC!$B$24*1.1+KFC!$C$24)*KFC!$C$5</f>
        <v>86.46</v>
      </c>
      <c r="O83" s="300">
        <f>(81.5*KFC!$B$24*1.1+KFC!$C$24)*KFC!$C$5</f>
        <v>89.65</v>
      </c>
    </row>
    <row r="84" spans="1:15">
      <c r="A84" s="1781"/>
      <c r="B84" s="392">
        <v>1.4</v>
      </c>
      <c r="C84" s="303">
        <f>(47.6*KFC!$B$24*1.1+KFC!$C$24)*KFC!$C$5</f>
        <v>52.360000000000007</v>
      </c>
      <c r="D84" s="300">
        <f>(50.7*KFC!$B$24*1.1+KFC!$C$24)*KFC!$C$5</f>
        <v>55.77000000000001</v>
      </c>
      <c r="E84" s="300">
        <f>(53.8*KFC!$B$24*1.1+KFC!$C$24)*KFC!$C$5</f>
        <v>59.18</v>
      </c>
      <c r="F84" s="300">
        <f>(56.9*KFC!$B$24*1.1+KFC!$C$24)*KFC!$C$5</f>
        <v>62.59</v>
      </c>
      <c r="G84" s="300">
        <f>(60*KFC!$B$24*1.1+KFC!$C$24)*KFC!$C$5</f>
        <v>66</v>
      </c>
      <c r="H84" s="300">
        <f>(63.1*KFC!$B$24*1.1+KFC!$C$24)*KFC!$C$5</f>
        <v>69.410000000000011</v>
      </c>
      <c r="I84" s="300">
        <f>(66.2*KFC!$B$24*1.1+KFC!$C$24)*KFC!$C$5</f>
        <v>72.820000000000007</v>
      </c>
      <c r="J84" s="300">
        <f>(69.3*KFC!$B$24*1.1+KFC!$C$24)*KFC!$C$5</f>
        <v>76.23</v>
      </c>
      <c r="K84" s="300">
        <f>(72.4*KFC!$B$24*1.1+KFC!$C$24)*KFC!$C$5</f>
        <v>79.640000000000015</v>
      </c>
      <c r="L84" s="300">
        <f>(75.5*KFC!$B$24*1.1+KFC!$C$24)*KFC!$C$5</f>
        <v>83.050000000000011</v>
      </c>
      <c r="M84" s="300">
        <f>(78.6*KFC!$B$24*1.1+KFC!$C$24)*KFC!$C$5</f>
        <v>86.46</v>
      </c>
      <c r="N84" s="300">
        <f>(81.7*KFC!$B$24*1.1+KFC!$C$24)*KFC!$C$5</f>
        <v>89.87</v>
      </c>
      <c r="O84" s="300">
        <f>(84.8*KFC!$B$24*1.1+KFC!$C$24)*KFC!$C$5</f>
        <v>93.28</v>
      </c>
    </row>
    <row r="85" spans="1:15">
      <c r="A85" s="1781"/>
      <c r="B85" s="392">
        <v>1.5</v>
      </c>
      <c r="C85" s="303">
        <f>(48.7*KFC!$B$24*1.1+KFC!$C$24)*KFC!$C$5</f>
        <v>53.570000000000007</v>
      </c>
      <c r="D85" s="300">
        <f>(52*KFC!$B$24*1.1+KFC!$C$24)*KFC!$C$5</f>
        <v>57.2</v>
      </c>
      <c r="E85" s="300">
        <f>(55.3*KFC!$B$24*1.1+KFC!$C$24)*KFC!$C$5</f>
        <v>60.83</v>
      </c>
      <c r="F85" s="300">
        <f>(58.6*KFC!$B$24*1.1+KFC!$C$24)*KFC!$C$5</f>
        <v>64.460000000000008</v>
      </c>
      <c r="G85" s="300">
        <f>(61.9*KFC!$B$24*1.1+KFC!$C$24)*KFC!$C$5</f>
        <v>68.09</v>
      </c>
      <c r="H85" s="300">
        <f>(65.2*KFC!$B$24*1.1+KFC!$C$24)*KFC!$C$5</f>
        <v>71.720000000000013</v>
      </c>
      <c r="I85" s="300">
        <f>(68.4*KFC!$B$24*1.1+KFC!$C$24)*KFC!$C$5</f>
        <v>75.240000000000009</v>
      </c>
      <c r="J85" s="300">
        <f>(71.7*KFC!$B$24*1.1+KFC!$C$24)*KFC!$C$5</f>
        <v>78.87</v>
      </c>
      <c r="K85" s="300">
        <f>(75*KFC!$B$24*1.1+KFC!$C$24)*KFC!$C$5</f>
        <v>82.5</v>
      </c>
      <c r="L85" s="300">
        <f>(78.3*KFC!$B$24*1.1+KFC!$C$24)*KFC!$C$5</f>
        <v>86.13000000000001</v>
      </c>
      <c r="M85" s="300">
        <f>(81.6*KFC!$B$24*1.1+KFC!$C$24)*KFC!$C$5</f>
        <v>89.76</v>
      </c>
      <c r="N85" s="300">
        <f>(84.8*KFC!$B$24*1.1+KFC!$C$24)*KFC!$C$5</f>
        <v>93.28</v>
      </c>
      <c r="O85" s="300">
        <f>(88.1*KFC!$B$24*1.1+KFC!$C$24)*KFC!$C$5</f>
        <v>96.91</v>
      </c>
    </row>
    <row r="86" spans="1:15">
      <c r="A86" s="1781"/>
      <c r="B86" s="392">
        <v>1.6</v>
      </c>
      <c r="C86" s="303">
        <f>(49.8*KFC!$B$24*1.1+KFC!$C$24)*KFC!$C$5</f>
        <v>54.78</v>
      </c>
      <c r="D86" s="300">
        <f>(53.3*KFC!$B$24*1.1+KFC!$C$24)*KFC!$C$5</f>
        <v>58.63</v>
      </c>
      <c r="E86" s="300">
        <f>(56.8*KFC!$B$24*1.1+KFC!$C$24)*KFC!$C$5</f>
        <v>62.480000000000004</v>
      </c>
      <c r="F86" s="300">
        <f>(60.2*KFC!$B$24*1.1+KFC!$C$24)*KFC!$C$5</f>
        <v>66.220000000000013</v>
      </c>
      <c r="G86" s="300">
        <f>(63.7*KFC!$B$24*1.1+KFC!$C$24)*KFC!$C$5</f>
        <v>70.070000000000007</v>
      </c>
      <c r="H86" s="300">
        <f>(67.2*KFC!$B$24*1.1+KFC!$C$24)*KFC!$C$5</f>
        <v>73.920000000000016</v>
      </c>
      <c r="I86" s="300">
        <f>(70.6*KFC!$B$24*1.1+KFC!$C$24)*KFC!$C$5</f>
        <v>77.66</v>
      </c>
      <c r="J86" s="300">
        <f>(74.1*KFC!$B$24*1.1+KFC!$C$24)*KFC!$C$5</f>
        <v>81.510000000000005</v>
      </c>
      <c r="K86" s="300">
        <f>(77.6*KFC!$B$24*1.1+KFC!$C$24)*KFC!$C$5</f>
        <v>85.36</v>
      </c>
      <c r="L86" s="300">
        <f>(81*KFC!$B$24*1.1+KFC!$C$24)*KFC!$C$5</f>
        <v>89.100000000000009</v>
      </c>
      <c r="M86" s="300">
        <f>(84.5*KFC!$B$24*1.1+KFC!$C$24)*KFC!$C$5</f>
        <v>92.95</v>
      </c>
      <c r="N86" s="300">
        <f>(88*KFC!$B$24*1.1+KFC!$C$24)*KFC!$C$5</f>
        <v>96.800000000000011</v>
      </c>
      <c r="O86" s="300">
        <f>(91.4*KFC!$B$24*1.1+KFC!$C$24)*KFC!$C$5</f>
        <v>100.54000000000002</v>
      </c>
    </row>
    <row r="87" spans="1:15">
      <c r="A87" s="1781"/>
      <c r="B87" s="392">
        <v>1.7</v>
      </c>
      <c r="C87" s="303">
        <f>(50.9*KFC!$B$24*1.1+KFC!$C$24)*KFC!$C$5</f>
        <v>55.99</v>
      </c>
      <c r="D87" s="300">
        <f>(54.6*KFC!$B$24*1.1+KFC!$C$24)*KFC!$C$5</f>
        <v>60.060000000000009</v>
      </c>
      <c r="E87" s="300">
        <f>(58.2*KFC!$B$24*1.1+KFC!$C$24)*KFC!$C$5</f>
        <v>64.02000000000001</v>
      </c>
      <c r="F87" s="300">
        <f>(61.9*KFC!$B$24*1.1+KFC!$C$24)*KFC!$C$5</f>
        <v>68.09</v>
      </c>
      <c r="G87" s="300">
        <f>(65.5*KFC!$B$24*1.1+KFC!$C$24)*KFC!$C$5</f>
        <v>72.050000000000011</v>
      </c>
      <c r="H87" s="300">
        <f>(69.2*KFC!$B$24*1.1+KFC!$C$24)*KFC!$C$5</f>
        <v>76.12</v>
      </c>
      <c r="I87" s="300">
        <f>(72.8*KFC!$B$24*1.1+KFC!$C$24)*KFC!$C$5</f>
        <v>80.08</v>
      </c>
      <c r="J87" s="300">
        <f>(76.5*KFC!$B$24*1.1+KFC!$C$24)*KFC!$C$5</f>
        <v>84.15</v>
      </c>
      <c r="K87" s="300">
        <f>(80.1*KFC!$B$24*1.1+KFC!$C$24)*KFC!$C$5</f>
        <v>88.11</v>
      </c>
      <c r="L87" s="300">
        <f>(83.8*KFC!$B$24*1.1+KFC!$C$24)*KFC!$C$5</f>
        <v>92.18</v>
      </c>
      <c r="M87" s="300">
        <f>(87.4*KFC!$B$24*1.1+KFC!$C$24)*KFC!$C$5</f>
        <v>96.140000000000015</v>
      </c>
      <c r="N87" s="300">
        <f>(91.1*KFC!$B$24*1.1+KFC!$C$24)*KFC!$C$5</f>
        <v>100.21000000000001</v>
      </c>
      <c r="O87" s="300">
        <f>(94.7*KFC!$B$24*1.1+KFC!$C$24)*KFC!$C$5</f>
        <v>104.17000000000002</v>
      </c>
    </row>
    <row r="88" spans="1:15">
      <c r="A88" s="1781"/>
      <c r="B88" s="392">
        <v>1.8</v>
      </c>
      <c r="C88" s="467">
        <f>(52*KFC!$B$24*1.1+KFC!$C$24)*KFC!$C$5</f>
        <v>57.2</v>
      </c>
      <c r="D88" s="468">
        <f>(55.8*KFC!$B$24*1.1+KFC!$C$24)*KFC!$C$5</f>
        <v>61.38</v>
      </c>
      <c r="E88" s="468">
        <f>(59.7*KFC!$B$24*1.1+KFC!$C$24)*KFC!$C$5</f>
        <v>65.67</v>
      </c>
      <c r="F88" s="468">
        <f>(63.5*KFC!$B$24*1.1+KFC!$C$24)*KFC!$C$5</f>
        <v>69.850000000000009</v>
      </c>
      <c r="G88" s="468">
        <f>(67.3*KFC!$B$24*1.1+KFC!$C$24)*KFC!$C$5</f>
        <v>74.03</v>
      </c>
      <c r="H88" s="468">
        <f>(71.2*KFC!$B$24*1.1+KFC!$C$24)*KFC!$C$5</f>
        <v>78.320000000000007</v>
      </c>
      <c r="I88" s="468">
        <f>(75*KFC!$B$24*1.1+KFC!$C$24)*KFC!$C$5</f>
        <v>82.5</v>
      </c>
      <c r="J88" s="468">
        <f>(78.8*KFC!$B$24*1.1+KFC!$C$24)*KFC!$C$5</f>
        <v>86.68</v>
      </c>
      <c r="K88" s="468">
        <f>(82.7*KFC!$B$24*1.1+KFC!$C$24)*KFC!$C$5</f>
        <v>90.970000000000013</v>
      </c>
      <c r="L88" s="468">
        <f>(86.5*KFC!$B$24*1.1+KFC!$C$24)*KFC!$C$5</f>
        <v>95.15</v>
      </c>
      <c r="M88" s="468">
        <f>(90.4*KFC!$B$24*1.1+KFC!$C$24)*KFC!$C$5</f>
        <v>99.440000000000012</v>
      </c>
      <c r="N88" s="468">
        <f>(94.2*KFC!$B$24*1.1+KFC!$C$24)*KFC!$C$5</f>
        <v>103.62</v>
      </c>
      <c r="O88" s="468">
        <f>(98*KFC!$B$24*1.1+KFC!$C$24)*KFC!$C$5</f>
        <v>107.80000000000001</v>
      </c>
    </row>
    <row r="89" spans="1:15">
      <c r="A89" s="1781"/>
      <c r="B89" s="392">
        <v>1.9</v>
      </c>
      <c r="C89" s="303">
        <f>(53.1*KFC!$B$24*1.1+KFC!$C$24)*KFC!$C$5</f>
        <v>58.410000000000004</v>
      </c>
      <c r="D89" s="300">
        <f>(57.1*KFC!$B$24*1.1+KFC!$C$24)*KFC!$C$5</f>
        <v>62.810000000000009</v>
      </c>
      <c r="E89" s="300">
        <f>(61.1*KFC!$B$24*1.1+KFC!$C$24)*KFC!$C$5</f>
        <v>67.210000000000008</v>
      </c>
      <c r="F89" s="300">
        <f>(65.2*KFC!$B$24*1.1+KFC!$C$24)*KFC!$C$5</f>
        <v>71.720000000000013</v>
      </c>
      <c r="G89" s="300">
        <f>(69.2*KFC!$B$24*1.1+KFC!$C$24)*KFC!$C$5</f>
        <v>76.12</v>
      </c>
      <c r="H89" s="300">
        <f>(73.2*KFC!$B$24*1.1+KFC!$C$24)*KFC!$C$5</f>
        <v>80.52000000000001</v>
      </c>
      <c r="I89" s="300">
        <f>(77.2*KFC!$B$24*1.1+KFC!$C$24)*KFC!$C$5</f>
        <v>84.920000000000016</v>
      </c>
      <c r="J89" s="300">
        <f>(81.2*KFC!$B$24*1.1+KFC!$C$24)*KFC!$C$5</f>
        <v>89.320000000000007</v>
      </c>
      <c r="K89" s="300">
        <f>(85.2*KFC!$B$24*1.1+KFC!$C$24)*KFC!$C$5</f>
        <v>93.720000000000013</v>
      </c>
      <c r="L89" s="300">
        <f>(89.3*KFC!$B$24*1.1+KFC!$C$24)*KFC!$C$5</f>
        <v>98.23</v>
      </c>
      <c r="M89" s="300">
        <f>(93.3*KFC!$B$24*1.1+KFC!$C$24)*KFC!$C$5</f>
        <v>102.63000000000001</v>
      </c>
      <c r="N89" s="300">
        <f>(97.3*KFC!$B$24*1.1+KFC!$C$24)*KFC!$C$5</f>
        <v>107.03</v>
      </c>
      <c r="O89" s="300">
        <f>(101.3*KFC!$B$24*1.1+KFC!$C$24)*KFC!$C$5</f>
        <v>111.43</v>
      </c>
    </row>
    <row r="90" spans="1:15">
      <c r="A90" s="1781"/>
      <c r="B90" s="392">
        <v>2</v>
      </c>
      <c r="C90" s="303">
        <f>(54.2*KFC!$B$24*1.1+KFC!$C$24)*KFC!$C$5</f>
        <v>59.620000000000005</v>
      </c>
      <c r="D90" s="300">
        <f>(58.4*KFC!$B$24*1.1+KFC!$C$24)*KFC!$C$5</f>
        <v>64.240000000000009</v>
      </c>
      <c r="E90" s="300">
        <f>(62.6*KFC!$B$24*1.1+KFC!$C$24)*KFC!$C$5</f>
        <v>68.860000000000014</v>
      </c>
      <c r="F90" s="300">
        <f>(66.8*KFC!$B$24*1.1+KFC!$C$24)*KFC!$C$5</f>
        <v>73.48</v>
      </c>
      <c r="G90" s="300">
        <f>(71*KFC!$B$24*1.1+KFC!$C$24)*KFC!$C$5</f>
        <v>78.100000000000009</v>
      </c>
      <c r="H90" s="300">
        <f>(75.2*KFC!$B$24*1.1+KFC!$C$24)*KFC!$C$5</f>
        <v>82.720000000000013</v>
      </c>
      <c r="I90" s="300">
        <f>(79.4*KFC!$B$24*1.1+KFC!$C$24)*KFC!$C$5</f>
        <v>87.340000000000018</v>
      </c>
      <c r="J90" s="300">
        <f>(83.6*KFC!$B$24*1.1+KFC!$C$24)*KFC!$C$5</f>
        <v>91.960000000000008</v>
      </c>
      <c r="K90" s="300">
        <f>(87.8*KFC!$B$24*1.1+KFC!$C$24)*KFC!$C$5</f>
        <v>96.58</v>
      </c>
      <c r="L90" s="300">
        <f>(92*KFC!$B$24*1.1+KFC!$C$24)*KFC!$C$5</f>
        <v>101.2</v>
      </c>
      <c r="M90" s="300">
        <f>(96.2*KFC!$B$24*1.1+KFC!$C$24)*KFC!$C$5</f>
        <v>105.82000000000001</v>
      </c>
      <c r="N90" s="300">
        <f>(100.4*KFC!$B$24*1.1+KFC!$C$24)*KFC!$C$5</f>
        <v>110.44000000000001</v>
      </c>
      <c r="O90" s="300">
        <f>(104.6*KFC!$B$24*1.1+KFC!$C$24)*KFC!$C$5</f>
        <v>115.06</v>
      </c>
    </row>
    <row r="91" spans="1:15">
      <c r="A91" s="1781"/>
      <c r="B91" s="392">
        <v>2.1</v>
      </c>
      <c r="C91" s="303">
        <f>(55.3*KFC!$B$24*1.1+KFC!$C$24)*KFC!$C$5</f>
        <v>60.83</v>
      </c>
      <c r="D91" s="300">
        <f>(59.7*KFC!$B$24*1.1+KFC!$C$24)*KFC!$C$5</f>
        <v>65.67</v>
      </c>
      <c r="E91" s="300">
        <f>(64.1*KFC!$B$24*1.1+KFC!$C$24)*KFC!$C$5</f>
        <v>70.510000000000005</v>
      </c>
      <c r="F91" s="300">
        <f>(68.4*KFC!$B$24*1.1+KFC!$C$24)*KFC!$C$5</f>
        <v>75.240000000000009</v>
      </c>
      <c r="G91" s="300">
        <f>(72.8*KFC!$B$24*1.1+KFC!$C$24)*KFC!$C$5</f>
        <v>80.08</v>
      </c>
      <c r="H91" s="300">
        <f>(77.2*KFC!$B$24*1.1+KFC!$C$24)*KFC!$C$5</f>
        <v>84.920000000000016</v>
      </c>
      <c r="I91" s="300">
        <f>(81.6*KFC!$B$24*1.1+KFC!$C$24)*KFC!$C$5</f>
        <v>89.76</v>
      </c>
      <c r="J91" s="300">
        <f>(86*KFC!$B$24*1.1+KFC!$C$24)*KFC!$C$5</f>
        <v>94.600000000000009</v>
      </c>
      <c r="K91" s="300">
        <f>(90.4*KFC!$B$24*1.1+KFC!$C$24)*KFC!$C$5</f>
        <v>99.440000000000012</v>
      </c>
      <c r="L91" s="300">
        <f>(94.7*KFC!$B$24*1.1+KFC!$C$24)*KFC!$C$5</f>
        <v>104.17000000000002</v>
      </c>
      <c r="M91" s="300">
        <f>(99.1*KFC!$B$24*1.1+KFC!$C$24)*KFC!$C$5</f>
        <v>109.01</v>
      </c>
      <c r="N91" s="300">
        <f>(103.5*KFC!$B$24*1.1+KFC!$C$24)*KFC!$C$5</f>
        <v>113.85000000000001</v>
      </c>
      <c r="O91" s="300">
        <f>(107.8*KFC!$B$24*1.1+KFC!$C$24)*KFC!$C$5</f>
        <v>118.58000000000001</v>
      </c>
    </row>
    <row r="92" spans="1:15" ht="13.8" thickBot="1">
      <c r="A92" s="1781"/>
      <c r="B92" s="392">
        <v>2.2000000000000002</v>
      </c>
      <c r="C92" s="303">
        <f>(56.4*KFC!$B$24*1.1+KFC!$C$24)*KFC!$C$5</f>
        <v>62.040000000000006</v>
      </c>
      <c r="D92" s="300">
        <f>(60.9*KFC!$B$24*1.1+KFC!$C$24)*KFC!$C$5</f>
        <v>66.990000000000009</v>
      </c>
      <c r="E92" s="300">
        <f>(65.5*KFC!$B$24*1.1+KFC!$C$24)*KFC!$C$5</f>
        <v>72.050000000000011</v>
      </c>
      <c r="F92" s="300">
        <f>(70.1*KFC!$B$24*1.1+KFC!$C$24)*KFC!$C$5</f>
        <v>77.11</v>
      </c>
      <c r="G92" s="300">
        <f>(74.7*KFC!$B$24*1.1+KFC!$C$24)*KFC!$C$5</f>
        <v>82.170000000000016</v>
      </c>
      <c r="H92" s="300">
        <f>(79.2*KFC!$B$24*1.1+KFC!$C$24)*KFC!$C$5</f>
        <v>87.12</v>
      </c>
      <c r="I92" s="300">
        <f>(83.8*KFC!$B$24*1.1+KFC!$C$24)*KFC!$C$5</f>
        <v>92.18</v>
      </c>
      <c r="J92" s="300">
        <f>(88.4*KFC!$B$24*1.1+KFC!$C$24)*KFC!$C$5</f>
        <v>97.240000000000009</v>
      </c>
      <c r="K92" s="300">
        <f>(92.9*KFC!$B$24*1.1+KFC!$C$24)*KFC!$C$5</f>
        <v>102.19000000000001</v>
      </c>
      <c r="L92" s="300">
        <f>(97.5*KFC!$B$24*1.1+KFC!$C$24)*KFC!$C$5</f>
        <v>107.25000000000001</v>
      </c>
      <c r="M92" s="300">
        <f>(102.1*KFC!$B$24*1.1+KFC!$C$24)*KFC!$C$5</f>
        <v>112.31</v>
      </c>
      <c r="N92" s="300">
        <f>(106.6*KFC!$B$24*1.1+KFC!$C$24)*KFC!$C$5</f>
        <v>117.26</v>
      </c>
      <c r="O92" s="300">
        <f>(111.1*KFC!$B$24*1.1+KFC!$C$24)*KFC!$C$5</f>
        <v>122.21000000000001</v>
      </c>
    </row>
    <row r="93" spans="1:15" ht="13.8" thickBot="1">
      <c r="A93" s="283"/>
      <c r="B93" s="284"/>
      <c r="C93" s="282"/>
      <c r="D93" s="282"/>
      <c r="E93" s="282"/>
      <c r="F93" s="282"/>
      <c r="G93" s="282"/>
      <c r="H93" s="282"/>
      <c r="I93" s="282"/>
      <c r="J93" s="282"/>
      <c r="K93" s="282"/>
      <c r="L93" s="282"/>
      <c r="M93" s="282"/>
      <c r="N93" s="282"/>
      <c r="O93" s="282"/>
    </row>
    <row r="94" spans="1:15" ht="13.95" customHeight="1" thickBot="1">
      <c r="A94" s="1413" t="s">
        <v>319</v>
      </c>
      <c r="B94" s="1601"/>
      <c r="C94" s="1787" t="s">
        <v>207</v>
      </c>
      <c r="D94" s="1788"/>
      <c r="E94" s="1788"/>
      <c r="F94" s="1788"/>
      <c r="G94" s="1788"/>
      <c r="H94" s="1788"/>
      <c r="I94" s="1788"/>
      <c r="J94" s="1788"/>
      <c r="K94" s="1788"/>
      <c r="L94" s="1788"/>
      <c r="M94" s="1788"/>
      <c r="N94" s="1788"/>
      <c r="O94" s="1788"/>
    </row>
    <row r="95" spans="1:15" ht="13.8" thickBot="1">
      <c r="A95" s="1778"/>
      <c r="B95" s="1779"/>
      <c r="C95" s="340">
        <v>0.6</v>
      </c>
      <c r="D95" s="341">
        <v>0.7</v>
      </c>
      <c r="E95" s="341">
        <v>0.8</v>
      </c>
      <c r="F95" s="341">
        <v>0.9</v>
      </c>
      <c r="G95" s="341">
        <v>1</v>
      </c>
      <c r="H95" s="341">
        <v>1.1000000000000001</v>
      </c>
      <c r="I95" s="341">
        <v>1.2</v>
      </c>
      <c r="J95" s="341">
        <v>1.3</v>
      </c>
      <c r="K95" s="341">
        <v>1.4</v>
      </c>
      <c r="L95" s="341">
        <v>1.5</v>
      </c>
      <c r="M95" s="341">
        <v>1.6</v>
      </c>
      <c r="N95" s="341">
        <v>1.7</v>
      </c>
      <c r="O95" s="341">
        <v>1.8</v>
      </c>
    </row>
    <row r="96" spans="1:15" ht="13.2" customHeight="1">
      <c r="A96" s="1780" t="s">
        <v>3</v>
      </c>
      <c r="B96" s="391">
        <v>0.4</v>
      </c>
      <c r="C96" s="274">
        <f>(39.2*KFC!$B$24*1.1+KFC!$C$24)*KFC!$C$5</f>
        <v>43.120000000000005</v>
      </c>
      <c r="D96" s="301">
        <f>(40.7*KFC!$B$24*1.1+KFC!$C$24)*KFC!$C$5</f>
        <v>44.77000000000001</v>
      </c>
      <c r="E96" s="301">
        <f>(42.3*KFC!$B$24*1.1+KFC!$C$24)*KFC!$C$5</f>
        <v>46.53</v>
      </c>
      <c r="F96" s="301">
        <f>(43.7*KFC!$B$24*1.1+KFC!$C$24)*KFC!$C$5</f>
        <v>48.070000000000007</v>
      </c>
      <c r="G96" s="301">
        <f>(45.3*KFC!$B$24*1.1+KFC!$C$24)*KFC!$C$5</f>
        <v>49.83</v>
      </c>
      <c r="H96" s="301">
        <f>(46.8*KFC!$B$24*1.1+KFC!$C$24)*KFC!$C$5</f>
        <v>51.480000000000004</v>
      </c>
      <c r="I96" s="301">
        <f>(48.3*KFC!$B$24*1.1+KFC!$C$24)*KFC!$C$5</f>
        <v>53.13</v>
      </c>
      <c r="J96" s="301">
        <f>(49.8*KFC!$B$24*1.1+KFC!$C$24)*KFC!$C$5</f>
        <v>54.78</v>
      </c>
      <c r="K96" s="301">
        <f>(51.3*KFC!$B$24*1.1+KFC!$C$24)*KFC!$C$5</f>
        <v>56.43</v>
      </c>
      <c r="L96" s="301">
        <f>(52.8*KFC!$B$24*1.1+KFC!$C$24)*KFC!$C$5</f>
        <v>58.08</v>
      </c>
      <c r="M96" s="301">
        <f>(54.3*KFC!$B$24*1.1+KFC!$C$24)*KFC!$C$5</f>
        <v>59.730000000000004</v>
      </c>
      <c r="N96" s="301">
        <f>(55.8*KFC!$B$24*1.1+KFC!$C$24)*KFC!$C$5</f>
        <v>61.38</v>
      </c>
      <c r="O96" s="301">
        <f>(57.3*KFC!$B$24*1.1+KFC!$C$24)*KFC!$C$5</f>
        <v>63.03</v>
      </c>
    </row>
    <row r="97" spans="1:15">
      <c r="A97" s="1781"/>
      <c r="B97" s="392">
        <v>0.5</v>
      </c>
      <c r="C97" s="303">
        <f>(40.6*KFC!$B$24*1.1+KFC!$C$24)*KFC!$C$5</f>
        <v>44.660000000000004</v>
      </c>
      <c r="D97" s="300">
        <f>(42.4*KFC!$B$24*1.1+KFC!$C$24)*KFC!$C$5</f>
        <v>46.64</v>
      </c>
      <c r="E97" s="300">
        <f>(44.1*KFC!$B$24*1.1+KFC!$C$24)*KFC!$C$5</f>
        <v>48.510000000000005</v>
      </c>
      <c r="F97" s="300">
        <f>(45.9*KFC!$B$24*1.1+KFC!$C$24)*KFC!$C$5</f>
        <v>50.49</v>
      </c>
      <c r="G97" s="300">
        <f>(47.7*KFC!$B$24*1.1+KFC!$C$24)*KFC!$C$5</f>
        <v>52.470000000000006</v>
      </c>
      <c r="H97" s="300">
        <f>(49.4*KFC!$B$24*1.1+KFC!$C$24)*KFC!$C$5</f>
        <v>54.34</v>
      </c>
      <c r="I97" s="300">
        <f>(51.2*KFC!$B$24*1.1+KFC!$C$24)*KFC!$C$5</f>
        <v>56.320000000000007</v>
      </c>
      <c r="J97" s="300">
        <f>(52.9*KFC!$B$24*1.1+KFC!$C$24)*KFC!$C$5</f>
        <v>58.190000000000005</v>
      </c>
      <c r="K97" s="300">
        <f>(54.7*KFC!$B$24*1.1+KFC!$C$24)*KFC!$C$5</f>
        <v>60.170000000000009</v>
      </c>
      <c r="L97" s="300">
        <f>(56.4*KFC!$B$24*1.1+KFC!$C$24)*KFC!$C$5</f>
        <v>62.040000000000006</v>
      </c>
      <c r="M97" s="300">
        <f>(58.2*KFC!$B$24*1.1+KFC!$C$24)*KFC!$C$5</f>
        <v>64.02000000000001</v>
      </c>
      <c r="N97" s="300">
        <f>(60*KFC!$B$24*1.1+KFC!$C$24)*KFC!$C$5</f>
        <v>66</v>
      </c>
      <c r="O97" s="300">
        <f>(61.8*KFC!$B$24*1.1+KFC!$C$24)*KFC!$C$5</f>
        <v>67.98</v>
      </c>
    </row>
    <row r="98" spans="1:15">
      <c r="A98" s="1781"/>
      <c r="B98" s="392">
        <v>0.6</v>
      </c>
      <c r="C98" s="303">
        <f>(42*KFC!$B$24*1.1+KFC!$C$24)*KFC!$C$5</f>
        <v>46.2</v>
      </c>
      <c r="D98" s="300">
        <f>(44*KFC!$B$24*1.1+KFC!$C$24)*KFC!$C$5</f>
        <v>48.400000000000006</v>
      </c>
      <c r="E98" s="300">
        <f>(46*KFC!$B$24*1.1+KFC!$C$24)*KFC!$C$5</f>
        <v>50.6</v>
      </c>
      <c r="F98" s="300">
        <f>(48*KFC!$B$24*1.1+KFC!$C$24)*KFC!$C$5</f>
        <v>52.800000000000004</v>
      </c>
      <c r="G98" s="300">
        <f>(50.1*KFC!$B$24*1.1+KFC!$C$24)*KFC!$C$5</f>
        <v>55.110000000000007</v>
      </c>
      <c r="H98" s="300">
        <f>(52.1*KFC!$B$24*1.1+KFC!$C$24)*KFC!$C$5</f>
        <v>57.310000000000009</v>
      </c>
      <c r="I98" s="300">
        <f>(54.1*KFC!$B$24*1.1+KFC!$C$24)*KFC!$C$5</f>
        <v>59.510000000000005</v>
      </c>
      <c r="J98" s="300">
        <f>(56.1*KFC!$B$24*1.1+KFC!$C$24)*KFC!$C$5</f>
        <v>61.710000000000008</v>
      </c>
      <c r="K98" s="300">
        <f>(58.1*KFC!$B$24*1.1+KFC!$C$24)*KFC!$C$5</f>
        <v>63.910000000000004</v>
      </c>
      <c r="L98" s="300">
        <f>(60.1*KFC!$B$24*1.1+KFC!$C$24)*KFC!$C$5</f>
        <v>66.110000000000014</v>
      </c>
      <c r="M98" s="300">
        <f>(62.1*KFC!$B$24*1.1+KFC!$C$24)*KFC!$C$5</f>
        <v>68.31</v>
      </c>
      <c r="N98" s="300">
        <f>(64.2*KFC!$B$24*1.1+KFC!$C$24)*KFC!$C$5</f>
        <v>70.62</v>
      </c>
      <c r="O98" s="300">
        <f>(66.2*KFC!$B$24*1.1+KFC!$C$24)*KFC!$C$5</f>
        <v>72.820000000000007</v>
      </c>
    </row>
    <row r="99" spans="1:15">
      <c r="A99" s="1781"/>
      <c r="B99" s="392">
        <v>0.7</v>
      </c>
      <c r="C99" s="303">
        <f>(43.4*KFC!$B$24*1.1+KFC!$C$24)*KFC!$C$5</f>
        <v>47.74</v>
      </c>
      <c r="D99" s="300">
        <f>(45.7*KFC!$B$24*1.1+KFC!$C$24)*KFC!$C$5</f>
        <v>50.27000000000001</v>
      </c>
      <c r="E99" s="300">
        <f>(47.9*KFC!$B$24*1.1+KFC!$C$24)*KFC!$C$5</f>
        <v>52.690000000000005</v>
      </c>
      <c r="F99" s="300">
        <f>(50.2*KFC!$B$24*1.1+KFC!$C$24)*KFC!$C$5</f>
        <v>55.220000000000006</v>
      </c>
      <c r="G99" s="300">
        <f>(52.5*KFC!$B$24*1.1+KFC!$C$24)*KFC!$C$5</f>
        <v>57.750000000000007</v>
      </c>
      <c r="H99" s="300">
        <f>(54.7*KFC!$B$24*1.1+KFC!$C$24)*KFC!$C$5</f>
        <v>60.170000000000009</v>
      </c>
      <c r="I99" s="300">
        <f>(57*KFC!$B$24*1.1+KFC!$C$24)*KFC!$C$5</f>
        <v>62.7</v>
      </c>
      <c r="J99" s="300">
        <f>(59.3*KFC!$B$24*1.1+KFC!$C$24)*KFC!$C$5</f>
        <v>65.23</v>
      </c>
      <c r="K99" s="300">
        <f>(61.5*KFC!$B$24*1.1+KFC!$C$24)*KFC!$C$5</f>
        <v>67.650000000000006</v>
      </c>
      <c r="L99" s="300">
        <f>(63.8*KFC!$B$24*1.1+KFC!$C$24)*KFC!$C$5</f>
        <v>70.180000000000007</v>
      </c>
      <c r="M99" s="300">
        <f>(66.1*KFC!$B$24*1.1+KFC!$C$24)*KFC!$C$5</f>
        <v>72.709999999999994</v>
      </c>
      <c r="N99" s="300">
        <f>(68.3*KFC!$B$24*1.1+KFC!$C$24)*KFC!$C$5</f>
        <v>75.13000000000001</v>
      </c>
      <c r="O99" s="300">
        <f>(70.6*KFC!$B$24*1.1+KFC!$C$24)*KFC!$C$5</f>
        <v>77.66</v>
      </c>
    </row>
    <row r="100" spans="1:15">
      <c r="A100" s="1781"/>
      <c r="B100" s="392">
        <v>0.8</v>
      </c>
      <c r="C100" s="303">
        <f>(44.8*KFC!$B$24*1.1+KFC!$C$24)*KFC!$C$5</f>
        <v>49.28</v>
      </c>
      <c r="D100" s="300">
        <f>(47.3*KFC!$B$24*1.1+KFC!$C$24)*KFC!$C$5</f>
        <v>52.03</v>
      </c>
      <c r="E100" s="300">
        <f>(49.8*KFC!$B$24*1.1+KFC!$C$24)*KFC!$C$5</f>
        <v>54.78</v>
      </c>
      <c r="F100" s="300">
        <f>(52.3*KFC!$B$24*1.1+KFC!$C$24)*KFC!$C$5</f>
        <v>57.53</v>
      </c>
      <c r="G100" s="300">
        <f>(54.9*KFC!$B$24*1.1+KFC!$C$24)*KFC!$C$5</f>
        <v>60.39</v>
      </c>
      <c r="H100" s="300">
        <f>(57.4*KFC!$B$24*1.1+KFC!$C$24)*KFC!$C$5</f>
        <v>63.14</v>
      </c>
      <c r="I100" s="300">
        <f>(59.9*KFC!$B$24*1.1+KFC!$C$24)*KFC!$C$5</f>
        <v>65.89</v>
      </c>
      <c r="J100" s="300">
        <f>(62.4*KFC!$B$24*1.1+KFC!$C$24)*KFC!$C$5</f>
        <v>68.64</v>
      </c>
      <c r="K100" s="300">
        <f>(65*KFC!$B$24*1.1+KFC!$C$24)*KFC!$C$5</f>
        <v>71.5</v>
      </c>
      <c r="L100" s="300">
        <f>(67.5*KFC!$B$24*1.1+KFC!$C$24)*KFC!$C$5</f>
        <v>74.25</v>
      </c>
      <c r="M100" s="300">
        <f>(70*KFC!$B$24*1.1+KFC!$C$24)*KFC!$C$5</f>
        <v>77</v>
      </c>
      <c r="N100" s="300">
        <f>(72.5*KFC!$B$24*1.1+KFC!$C$24)*KFC!$C$5</f>
        <v>79.75</v>
      </c>
      <c r="O100" s="300">
        <f>(75.1*KFC!$B$24*1.1+KFC!$C$24)*KFC!$C$5</f>
        <v>82.61</v>
      </c>
    </row>
    <row r="101" spans="1:15">
      <c r="A101" s="1781"/>
      <c r="B101" s="392">
        <v>0.9</v>
      </c>
      <c r="C101" s="303">
        <f>(46.1*KFC!$B$24*1.1+KFC!$C$24)*KFC!$C$5</f>
        <v>50.710000000000008</v>
      </c>
      <c r="D101" s="300">
        <f>(48.9*KFC!$B$24*1.1+KFC!$C$24)*KFC!$C$5</f>
        <v>53.790000000000006</v>
      </c>
      <c r="E101" s="300">
        <f>(51.7*KFC!$B$24*1.1+KFC!$C$24)*KFC!$C$5</f>
        <v>56.870000000000005</v>
      </c>
      <c r="F101" s="300">
        <f>(54.5*KFC!$B$24*1.1+KFC!$C$24)*KFC!$C$5</f>
        <v>59.95</v>
      </c>
      <c r="G101" s="300">
        <f>(57.3*KFC!$B$24*1.1+KFC!$C$24)*KFC!$C$5</f>
        <v>63.03</v>
      </c>
      <c r="H101" s="300">
        <f>(60*KFC!$B$24*1.1+KFC!$C$24)*KFC!$C$5</f>
        <v>66</v>
      </c>
      <c r="I101" s="300">
        <f>(62.8*KFC!$B$24*1.1+KFC!$C$24)*KFC!$C$5</f>
        <v>69.08</v>
      </c>
      <c r="J101" s="300">
        <f>(65.6*KFC!$B$24*1.1+KFC!$C$24)*KFC!$C$5</f>
        <v>72.16</v>
      </c>
      <c r="K101" s="300">
        <f>(68.4*KFC!$B$24*1.1+KFC!$C$24)*KFC!$C$5</f>
        <v>75.240000000000009</v>
      </c>
      <c r="L101" s="300">
        <f>(71.2*KFC!$B$24*1.1+KFC!$C$24)*KFC!$C$5</f>
        <v>78.320000000000007</v>
      </c>
      <c r="M101" s="300">
        <f>(73.9*KFC!$B$24*1.1+KFC!$C$24)*KFC!$C$5</f>
        <v>81.290000000000006</v>
      </c>
      <c r="N101" s="300">
        <f>(76.7*KFC!$B$24*1.1+KFC!$C$24)*KFC!$C$5</f>
        <v>84.37</v>
      </c>
      <c r="O101" s="300">
        <f>(79.5*KFC!$B$24*1.1+KFC!$C$24)*KFC!$C$5</f>
        <v>87.45</v>
      </c>
    </row>
    <row r="102" spans="1:15">
      <c r="A102" s="1781"/>
      <c r="B102" s="392">
        <v>1</v>
      </c>
      <c r="C102" s="303">
        <f>(47.5*KFC!$B$24*1.1+KFC!$C$24)*KFC!$C$5</f>
        <v>52.250000000000007</v>
      </c>
      <c r="D102" s="300">
        <f>(50.6*KFC!$B$24*1.1+KFC!$C$24)*KFC!$C$5</f>
        <v>55.660000000000004</v>
      </c>
      <c r="E102" s="300">
        <f>(53.6*KFC!$B$24*1.1+KFC!$C$24)*KFC!$C$5</f>
        <v>58.960000000000008</v>
      </c>
      <c r="F102" s="300">
        <f>(56.6*KFC!$B$24*1.1+KFC!$C$24)*KFC!$C$5</f>
        <v>62.260000000000005</v>
      </c>
      <c r="G102" s="300">
        <f>(59.7*KFC!$B$24*1.1+KFC!$C$24)*KFC!$C$5</f>
        <v>65.67</v>
      </c>
      <c r="H102" s="300">
        <f>(62.7*KFC!$B$24*1.1+KFC!$C$24)*KFC!$C$5</f>
        <v>68.970000000000013</v>
      </c>
      <c r="I102" s="300">
        <f>(65.7*KFC!$B$24*1.1+KFC!$C$24)*KFC!$C$5</f>
        <v>72.27000000000001</v>
      </c>
      <c r="J102" s="300">
        <f>(68.8*KFC!$B$24*1.1+KFC!$C$24)*KFC!$C$5</f>
        <v>75.680000000000007</v>
      </c>
      <c r="K102" s="300">
        <f>(71.8*KFC!$B$24*1.1+KFC!$C$24)*KFC!$C$5</f>
        <v>78.98</v>
      </c>
      <c r="L102" s="300">
        <f>(74.8*KFC!$B$24*1.1+KFC!$C$24)*KFC!$C$5</f>
        <v>82.28</v>
      </c>
      <c r="M102" s="300">
        <f>(77.9*KFC!$B$24*1.1+KFC!$C$24)*KFC!$C$5</f>
        <v>85.690000000000012</v>
      </c>
      <c r="N102" s="300">
        <f>(80.9*KFC!$B$24*1.1+KFC!$C$24)*KFC!$C$5</f>
        <v>88.990000000000009</v>
      </c>
      <c r="O102" s="300">
        <f>(83.9*KFC!$B$24*1.1+KFC!$C$24)*KFC!$C$5</f>
        <v>92.29000000000002</v>
      </c>
    </row>
    <row r="103" spans="1:15">
      <c r="A103" s="1781"/>
      <c r="B103" s="392">
        <v>1.1000000000000001</v>
      </c>
      <c r="C103" s="303">
        <f>(48.9*KFC!$B$24*1.1+KFC!$C$24)*KFC!$C$5</f>
        <v>53.790000000000006</v>
      </c>
      <c r="D103" s="300">
        <f>(52.2*KFC!$B$24*1.1+KFC!$C$24)*KFC!$C$5</f>
        <v>57.420000000000009</v>
      </c>
      <c r="E103" s="300">
        <f>(55.5*KFC!$B$24*1.1+KFC!$C$24)*KFC!$C$5</f>
        <v>61.050000000000004</v>
      </c>
      <c r="F103" s="300">
        <f>(58.8*KFC!$B$24*1.1+KFC!$C$24)*KFC!$C$5</f>
        <v>64.680000000000007</v>
      </c>
      <c r="G103" s="300">
        <f>(62.1*KFC!$B$24*1.1+KFC!$C$24)*KFC!$C$5</f>
        <v>68.31</v>
      </c>
      <c r="H103" s="300">
        <f>(65.4*KFC!$B$24*1.1+KFC!$C$24)*KFC!$C$5</f>
        <v>71.940000000000012</v>
      </c>
      <c r="I103" s="300">
        <f>(68.6*KFC!$B$24*1.1+KFC!$C$24)*KFC!$C$5</f>
        <v>75.459999999999994</v>
      </c>
      <c r="J103" s="300">
        <f>(71.9*KFC!$B$24*1.1+KFC!$C$24)*KFC!$C$5</f>
        <v>79.090000000000018</v>
      </c>
      <c r="K103" s="300">
        <f>(75.2*KFC!$B$24*1.1+KFC!$C$24)*KFC!$C$5</f>
        <v>82.720000000000013</v>
      </c>
      <c r="L103" s="300">
        <f>(78.5*KFC!$B$24*1.1+KFC!$C$24)*KFC!$C$5</f>
        <v>86.350000000000009</v>
      </c>
      <c r="M103" s="300">
        <f>(81.8*KFC!$B$24*1.1+KFC!$C$24)*KFC!$C$5</f>
        <v>89.98</v>
      </c>
      <c r="N103" s="300">
        <f>(85.1*KFC!$B$24*1.1+KFC!$C$24)*KFC!$C$5</f>
        <v>93.61</v>
      </c>
      <c r="O103" s="300">
        <f>(88.4*KFC!$B$24*1.1+KFC!$C$24)*KFC!$C$5</f>
        <v>97.240000000000009</v>
      </c>
    </row>
    <row r="104" spans="1:15">
      <c r="A104" s="1781"/>
      <c r="B104" s="392">
        <v>1.2</v>
      </c>
      <c r="C104" s="303">
        <f>(50.3*KFC!$B$24*1.1+KFC!$C$24)*KFC!$C$5</f>
        <v>55.33</v>
      </c>
      <c r="D104" s="300">
        <f>(53.8*KFC!$B$24*1.1+KFC!$C$24)*KFC!$C$5</f>
        <v>59.18</v>
      </c>
      <c r="E104" s="300">
        <f>(57.4*KFC!$B$24*1.1+KFC!$C$24)*KFC!$C$5</f>
        <v>63.14</v>
      </c>
      <c r="F104" s="300">
        <f>(60.9*KFC!$B$24*1.1+KFC!$C$24)*KFC!$C$5</f>
        <v>66.990000000000009</v>
      </c>
      <c r="G104" s="300">
        <f>(64.5*KFC!$B$24*1.1+KFC!$C$24)*KFC!$C$5</f>
        <v>70.95</v>
      </c>
      <c r="H104" s="300">
        <f>(68*KFC!$B$24*1.1+KFC!$C$24)*KFC!$C$5</f>
        <v>74.800000000000011</v>
      </c>
      <c r="I104" s="300">
        <f>(71.6*KFC!$B$24*1.1+KFC!$C$24)*KFC!$C$5</f>
        <v>78.760000000000005</v>
      </c>
      <c r="J104" s="300">
        <f>(75.1*KFC!$B$24*1.1+KFC!$C$24)*KFC!$C$5</f>
        <v>82.61</v>
      </c>
      <c r="K104" s="300">
        <f>(78.7*KFC!$B$24*1.1+KFC!$C$24)*KFC!$C$5</f>
        <v>86.570000000000007</v>
      </c>
      <c r="L104" s="300">
        <f>(82.2*KFC!$B$24*1.1+KFC!$C$24)*KFC!$C$5</f>
        <v>90.420000000000016</v>
      </c>
      <c r="M104" s="300">
        <f>(85.7*KFC!$B$24*1.1+KFC!$C$24)*KFC!$C$5</f>
        <v>94.27000000000001</v>
      </c>
      <c r="N104" s="300">
        <f>(89.3*KFC!$B$24*1.1+KFC!$C$24)*KFC!$C$5</f>
        <v>98.23</v>
      </c>
      <c r="O104" s="300">
        <f>(92.8*KFC!$B$24*1.1+KFC!$C$24)*KFC!$C$5</f>
        <v>102.08</v>
      </c>
    </row>
    <row r="105" spans="1:15">
      <c r="A105" s="1781"/>
      <c r="B105" s="392">
        <v>1.3</v>
      </c>
      <c r="C105" s="303">
        <f>(51.7*KFC!$B$24*1.1+KFC!$C$24)*KFC!$C$5</f>
        <v>56.870000000000005</v>
      </c>
      <c r="D105" s="300">
        <f>(55.5*KFC!$B$24*1.1+KFC!$C$24)*KFC!$C$5</f>
        <v>61.050000000000004</v>
      </c>
      <c r="E105" s="300">
        <f>(59.3*KFC!$B$24*1.1+KFC!$C$24)*KFC!$C$5</f>
        <v>65.23</v>
      </c>
      <c r="F105" s="300">
        <f>(63.1*KFC!$B$24*1.1+KFC!$C$24)*KFC!$C$5</f>
        <v>69.410000000000011</v>
      </c>
      <c r="G105" s="300">
        <f>(66.9*KFC!$B$24*1.1+KFC!$C$24)*KFC!$C$5</f>
        <v>73.590000000000018</v>
      </c>
      <c r="H105" s="300">
        <f>(70.7*KFC!$B$24*1.1+KFC!$C$24)*KFC!$C$5</f>
        <v>77.77000000000001</v>
      </c>
      <c r="I105" s="300">
        <f>(74.5*KFC!$B$24*1.1+KFC!$C$24)*KFC!$C$5</f>
        <v>81.95</v>
      </c>
      <c r="J105" s="300">
        <f>(78.3*KFC!$B$24*1.1+KFC!$C$24)*KFC!$C$5</f>
        <v>86.13000000000001</v>
      </c>
      <c r="K105" s="300">
        <f>(82.1*KFC!$B$24*1.1+KFC!$C$24)*KFC!$C$5</f>
        <v>90.31</v>
      </c>
      <c r="L105" s="300">
        <f>(85.9*KFC!$B$24*1.1+KFC!$C$24)*KFC!$C$5</f>
        <v>94.490000000000009</v>
      </c>
      <c r="M105" s="300">
        <f>(89.7*KFC!$B$24*1.1+KFC!$C$24)*KFC!$C$5</f>
        <v>98.670000000000016</v>
      </c>
      <c r="N105" s="300">
        <f>(93.5*KFC!$B$24*1.1+KFC!$C$24)*KFC!$C$5</f>
        <v>102.85000000000001</v>
      </c>
      <c r="O105" s="300">
        <f>(97.3*KFC!$B$24*1.1+KFC!$C$24)*KFC!$C$5</f>
        <v>107.03</v>
      </c>
    </row>
    <row r="106" spans="1:15">
      <c r="A106" s="1781"/>
      <c r="B106" s="392">
        <v>1.4</v>
      </c>
      <c r="C106" s="303">
        <f>(53.1*KFC!$B$24*1.1+KFC!$C$24)*KFC!$C$5</f>
        <v>58.410000000000004</v>
      </c>
      <c r="D106" s="300">
        <f>(57.1*KFC!$B$24*1.1+KFC!$C$24)*KFC!$C$5</f>
        <v>62.810000000000009</v>
      </c>
      <c r="E106" s="300">
        <f>(61.2*KFC!$B$24*1.1+KFC!$C$24)*KFC!$C$5</f>
        <v>67.320000000000007</v>
      </c>
      <c r="F106" s="300">
        <f>(65.2*KFC!$B$24*1.1+KFC!$C$24)*KFC!$C$5</f>
        <v>71.720000000000013</v>
      </c>
      <c r="G106" s="300">
        <f>(69.3*KFC!$B$24*1.1+KFC!$C$24)*KFC!$C$5</f>
        <v>76.23</v>
      </c>
      <c r="H106" s="300">
        <f>(73.3*KFC!$B$24*1.1+KFC!$C$24)*KFC!$C$5</f>
        <v>80.63000000000001</v>
      </c>
      <c r="I106" s="300">
        <f>(77.4*KFC!$B$24*1.1+KFC!$C$24)*KFC!$C$5</f>
        <v>85.140000000000015</v>
      </c>
      <c r="J106" s="300">
        <f>(81.4*KFC!$B$24*1.1+KFC!$C$24)*KFC!$C$5</f>
        <v>89.54000000000002</v>
      </c>
      <c r="K106" s="300">
        <f>(85.5*KFC!$B$24*1.1+KFC!$C$24)*KFC!$C$5</f>
        <v>94.050000000000011</v>
      </c>
      <c r="L106" s="300">
        <f>(89.6*KFC!$B$24*1.1+KFC!$C$24)*KFC!$C$5</f>
        <v>98.56</v>
      </c>
      <c r="M106" s="300">
        <f>(93.6*KFC!$B$24*1.1+KFC!$C$24)*KFC!$C$5</f>
        <v>102.96000000000001</v>
      </c>
      <c r="N106" s="300">
        <f>(97.7*KFC!$B$24*1.1+KFC!$C$24)*KFC!$C$5</f>
        <v>107.47000000000001</v>
      </c>
      <c r="O106" s="300">
        <f>(101.8*KFC!$B$24*1.1+KFC!$C$24)*KFC!$C$5</f>
        <v>111.98</v>
      </c>
    </row>
    <row r="107" spans="1:15">
      <c r="A107" s="1781"/>
      <c r="B107" s="392">
        <v>1.5</v>
      </c>
      <c r="C107" s="303">
        <f>(54.4*KFC!$B$24*1.1+KFC!$C$24)*KFC!$C$5</f>
        <v>59.84</v>
      </c>
      <c r="D107" s="300">
        <f>(58.7*KFC!$B$24*1.1+KFC!$C$24)*KFC!$C$5</f>
        <v>64.570000000000007</v>
      </c>
      <c r="E107" s="300">
        <f>(63.1*KFC!$B$24*1.1+KFC!$C$24)*KFC!$C$5</f>
        <v>69.410000000000011</v>
      </c>
      <c r="F107" s="300">
        <f>(67.4*KFC!$B$24*1.1+KFC!$C$24)*KFC!$C$5</f>
        <v>74.140000000000015</v>
      </c>
      <c r="G107" s="300">
        <f>(71.7*KFC!$B$24*1.1+KFC!$C$24)*KFC!$C$5</f>
        <v>78.87</v>
      </c>
      <c r="H107" s="300">
        <f>(76*KFC!$B$24*1.1+KFC!$C$24)*KFC!$C$5</f>
        <v>83.600000000000009</v>
      </c>
      <c r="I107" s="300">
        <f>(80.3*KFC!$B$24*1.1+KFC!$C$24)*KFC!$C$5</f>
        <v>88.33</v>
      </c>
      <c r="J107" s="300">
        <f>(84.6*KFC!$B$24*1.1+KFC!$C$24)*KFC!$C$5</f>
        <v>93.06</v>
      </c>
      <c r="K107" s="300">
        <f>(88.9*KFC!$B$24*1.1+KFC!$C$24)*KFC!$C$5</f>
        <v>97.79000000000002</v>
      </c>
      <c r="L107" s="300">
        <f>(93.2*KFC!$B$24*1.1+KFC!$C$24)*KFC!$C$5</f>
        <v>102.52000000000001</v>
      </c>
      <c r="M107" s="300">
        <f>(97.5*KFC!$B$24*1.1+KFC!$C$24)*KFC!$C$5</f>
        <v>107.25000000000001</v>
      </c>
      <c r="N107" s="300">
        <f>(101.9*KFC!$B$24*1.1+KFC!$C$24)*KFC!$C$5</f>
        <v>112.09000000000002</v>
      </c>
      <c r="O107" s="300">
        <f>(106.2*KFC!$B$24*1.1+KFC!$C$24)*KFC!$C$5</f>
        <v>116.82000000000001</v>
      </c>
    </row>
    <row r="108" spans="1:15">
      <c r="A108" s="1781"/>
      <c r="B108" s="392">
        <v>1.6</v>
      </c>
      <c r="C108" s="303">
        <f>(55.8*KFC!$B$24*1.1+KFC!$C$24)*KFC!$C$5</f>
        <v>61.38</v>
      </c>
      <c r="D108" s="300">
        <f>(60.4*KFC!$B$24*1.1+KFC!$C$24)*KFC!$C$5</f>
        <v>66.44</v>
      </c>
      <c r="E108" s="300">
        <f>(64.9*KFC!$B$24*1.1+KFC!$C$24)*KFC!$C$5</f>
        <v>71.390000000000015</v>
      </c>
      <c r="F108" s="300">
        <f>(69.5*KFC!$B$24*1.1+KFC!$C$24)*KFC!$C$5</f>
        <v>76.45</v>
      </c>
      <c r="G108" s="300">
        <f>(74.1*KFC!$B$24*1.1+KFC!$C$24)*KFC!$C$5</f>
        <v>81.510000000000005</v>
      </c>
      <c r="H108" s="300">
        <f>(78.6*KFC!$B$24*1.1+KFC!$C$24)*KFC!$C$5</f>
        <v>86.46</v>
      </c>
      <c r="I108" s="300">
        <f>(83.2*KFC!$B$24*1.1+KFC!$C$24)*KFC!$C$5</f>
        <v>91.52000000000001</v>
      </c>
      <c r="J108" s="300">
        <f>(87.8*KFC!$B$24*1.1+KFC!$C$24)*KFC!$C$5</f>
        <v>96.58</v>
      </c>
      <c r="K108" s="300">
        <f>(92.3*KFC!$B$24*1.1+KFC!$C$24)*KFC!$C$5</f>
        <v>101.53</v>
      </c>
      <c r="L108" s="300">
        <f>(96.9*KFC!$B$24*1.1+KFC!$C$24)*KFC!$C$5</f>
        <v>106.59000000000002</v>
      </c>
      <c r="M108" s="300">
        <f>(101.5*KFC!$B$24*1.1+KFC!$C$24)*KFC!$C$5</f>
        <v>111.65</v>
      </c>
      <c r="N108" s="300">
        <f>(106.1*KFC!$B$24*1.1+KFC!$C$24)*KFC!$C$5</f>
        <v>116.71000000000001</v>
      </c>
      <c r="O108" s="300">
        <f>(110.6*KFC!$B$24*1.1+KFC!$C$24)*KFC!$C$5</f>
        <v>121.66</v>
      </c>
    </row>
    <row r="109" spans="1:15">
      <c r="A109" s="1781"/>
      <c r="B109" s="392">
        <v>1.7</v>
      </c>
      <c r="C109" s="303">
        <f>(57.2*KFC!$B$24*1.1+KFC!$C$24)*KFC!$C$5</f>
        <v>62.920000000000009</v>
      </c>
      <c r="D109" s="300">
        <f>(62*KFC!$B$24*1.1+KFC!$C$24)*KFC!$C$5</f>
        <v>68.2</v>
      </c>
      <c r="E109" s="300">
        <f>(66.8*KFC!$B$24*1.1+KFC!$C$24)*KFC!$C$5</f>
        <v>73.48</v>
      </c>
      <c r="F109" s="300">
        <f>(71.7*KFC!$B$24*1.1+KFC!$C$24)*KFC!$C$5</f>
        <v>78.87</v>
      </c>
      <c r="G109" s="300">
        <f>(76.5*KFC!$B$24*1.1+KFC!$C$24)*KFC!$C$5</f>
        <v>84.15</v>
      </c>
      <c r="H109" s="300">
        <f>(81.3*KFC!$B$24*1.1+KFC!$C$24)*KFC!$C$5</f>
        <v>89.43</v>
      </c>
      <c r="I109" s="300">
        <f>(86.1*KFC!$B$24*1.1+KFC!$C$24)*KFC!$C$5</f>
        <v>94.710000000000008</v>
      </c>
      <c r="J109" s="300">
        <f>(90.9*KFC!$B$24*1.1+KFC!$C$24)*KFC!$C$5</f>
        <v>99.990000000000009</v>
      </c>
      <c r="K109" s="300">
        <f>(95.8*KFC!$B$24*1.1+KFC!$C$24)*KFC!$C$5</f>
        <v>105.38000000000001</v>
      </c>
      <c r="L109" s="300">
        <f>(100.6*KFC!$B$24*1.1+KFC!$C$24)*KFC!$C$5</f>
        <v>110.66</v>
      </c>
      <c r="M109" s="300">
        <f>(105.4*KFC!$B$24*1.1+KFC!$C$24)*KFC!$C$5</f>
        <v>115.94000000000001</v>
      </c>
      <c r="N109" s="300">
        <f>(110.2*KFC!$B$24*1.1+KFC!$C$24)*KFC!$C$5</f>
        <v>121.22000000000001</v>
      </c>
      <c r="O109" s="300">
        <f>(115.1*KFC!$B$24*1.1+KFC!$C$24)*KFC!$C$5</f>
        <v>126.61</v>
      </c>
    </row>
    <row r="110" spans="1:15">
      <c r="A110" s="1781"/>
      <c r="B110" s="392">
        <v>1.8</v>
      </c>
      <c r="C110" s="303">
        <f>(58.6*KFC!$B$24*1.1+KFC!$C$24)*KFC!$C$5</f>
        <v>64.460000000000008</v>
      </c>
      <c r="D110" s="300">
        <f>(63.6*KFC!$B$24*1.1+KFC!$C$24)*KFC!$C$5</f>
        <v>69.960000000000008</v>
      </c>
      <c r="E110" s="300">
        <f>(68.7*KFC!$B$24*1.1+KFC!$C$24)*KFC!$C$5</f>
        <v>75.570000000000007</v>
      </c>
      <c r="F110" s="300">
        <f>(73.8*KFC!$B$24*1.1+KFC!$C$24)*KFC!$C$5</f>
        <v>81.180000000000007</v>
      </c>
      <c r="G110" s="300">
        <f>(78.9*KFC!$B$24*1.1+KFC!$C$24)*KFC!$C$5</f>
        <v>86.79</v>
      </c>
      <c r="H110" s="300">
        <f>(84*KFC!$B$24*1.1+KFC!$C$24)*KFC!$C$5</f>
        <v>92.4</v>
      </c>
      <c r="I110" s="300">
        <f>(89*KFC!$B$24*1.1+KFC!$C$24)*KFC!$C$5</f>
        <v>97.9</v>
      </c>
      <c r="J110" s="300">
        <f>(94.1*KFC!$B$24*1.1+KFC!$C$24)*KFC!$C$5</f>
        <v>103.51</v>
      </c>
      <c r="K110" s="300">
        <f>(99.2*KFC!$B$24*1.1+KFC!$C$24)*KFC!$C$5</f>
        <v>109.12000000000002</v>
      </c>
      <c r="L110" s="300">
        <f>(104.3*KFC!$B$24*1.1+KFC!$C$24)*KFC!$C$5</f>
        <v>114.73</v>
      </c>
      <c r="M110" s="300">
        <f>(109.4*KFC!$B$24*1.1+KFC!$C$24)*KFC!$C$5</f>
        <v>120.34000000000002</v>
      </c>
      <c r="N110" s="300">
        <f>(114.4*KFC!$B$24*1.1+KFC!$C$24)*KFC!$C$5</f>
        <v>125.84000000000002</v>
      </c>
      <c r="O110" s="300">
        <f>(119.5*KFC!$B$24*1.1+KFC!$C$24)*KFC!$C$5</f>
        <v>131.45000000000002</v>
      </c>
    </row>
    <row r="111" spans="1:15">
      <c r="A111" s="1781"/>
      <c r="B111" s="392">
        <v>1.9</v>
      </c>
      <c r="C111" s="303">
        <f>(59.9*KFC!$B$24*1.1+KFC!$C$24)*KFC!$C$5</f>
        <v>65.89</v>
      </c>
      <c r="D111" s="300">
        <f>(65.3*KFC!$B$24*1.1+KFC!$C$24)*KFC!$C$5</f>
        <v>71.83</v>
      </c>
      <c r="E111" s="300">
        <f>(70.6*KFC!$B$24*1.1+KFC!$C$24)*KFC!$C$5</f>
        <v>77.66</v>
      </c>
      <c r="F111" s="300">
        <f>(75.9*KFC!$B$24*1.1+KFC!$C$24)*KFC!$C$5</f>
        <v>83.490000000000009</v>
      </c>
      <c r="G111" s="300">
        <f>(81.3*KFC!$B$24*1.1+KFC!$C$24)*KFC!$C$5</f>
        <v>89.43</v>
      </c>
      <c r="H111" s="300">
        <f>(86.6*KFC!$B$24*1.1+KFC!$C$24)*KFC!$C$5</f>
        <v>95.26</v>
      </c>
      <c r="I111" s="300">
        <f>(91.9*KFC!$B$24*1.1+KFC!$C$24)*KFC!$C$5</f>
        <v>101.09000000000002</v>
      </c>
      <c r="J111" s="300">
        <f>(97.3*KFC!$B$24*1.1+KFC!$C$24)*KFC!$C$5</f>
        <v>107.03</v>
      </c>
      <c r="K111" s="300">
        <f>(102.6*KFC!$B$24*1.1+KFC!$C$24)*KFC!$C$5</f>
        <v>112.86</v>
      </c>
      <c r="L111" s="300">
        <f>(107.9*KFC!$B$24*1.1+KFC!$C$24)*KFC!$C$5</f>
        <v>118.69000000000001</v>
      </c>
      <c r="M111" s="300">
        <f>(113.3*KFC!$B$24*1.1+KFC!$C$24)*KFC!$C$5</f>
        <v>124.63000000000001</v>
      </c>
      <c r="N111" s="300">
        <f>(118.6*KFC!$B$24*1.1+KFC!$C$24)*KFC!$C$5</f>
        <v>130.46</v>
      </c>
      <c r="O111" s="300">
        <f>(123.9*KFC!$B$24*1.1+KFC!$C$24)*KFC!$C$5</f>
        <v>136.29000000000002</v>
      </c>
    </row>
    <row r="112" spans="1:15">
      <c r="A112" s="1781"/>
      <c r="B112" s="392">
        <v>2</v>
      </c>
      <c r="C112" s="467">
        <f>(61.3*KFC!$B$24*1.1+KFC!$C$24)*KFC!$C$5</f>
        <v>67.430000000000007</v>
      </c>
      <c r="D112" s="468">
        <f>(66.9*KFC!$B$24*1.1+KFC!$C$24)*KFC!$C$5</f>
        <v>73.590000000000018</v>
      </c>
      <c r="E112" s="468">
        <f>(75.2*KFC!$B$24*1.1+KFC!$C$24)*KFC!$C$5</f>
        <v>82.720000000000013</v>
      </c>
      <c r="F112" s="468">
        <f>(78.1*KFC!$B$24*1.1+KFC!$C$24)*KFC!$C$5</f>
        <v>85.91</v>
      </c>
      <c r="G112" s="468">
        <f>(83.7*KFC!$B$24*1.1+KFC!$C$24)*KFC!$C$5</f>
        <v>92.070000000000007</v>
      </c>
      <c r="H112" s="468">
        <f>(89.3*KFC!$B$24*1.1+KFC!$C$24)*KFC!$C$5</f>
        <v>98.23</v>
      </c>
      <c r="I112" s="468">
        <f>(94.9*KFC!$B$24*1.1+KFC!$C$24)*KFC!$C$5</f>
        <v>104.39000000000001</v>
      </c>
      <c r="J112" s="468">
        <f>(100.5*KFC!$B$24*1.1+KFC!$C$24)*KFC!$C$5</f>
        <v>110.55000000000001</v>
      </c>
      <c r="K112" s="468">
        <f>(106*KFC!$B$24*1.1+KFC!$C$24)*KFC!$C$5</f>
        <v>116.60000000000001</v>
      </c>
      <c r="L112" s="468">
        <f>(111.6*KFC!$B$24*1.1+KFC!$C$24)*KFC!$C$5</f>
        <v>122.76</v>
      </c>
      <c r="M112" s="468">
        <f>(117.2*KFC!$B$24*1.1+KFC!$C$24)*KFC!$C$5</f>
        <v>128.92000000000002</v>
      </c>
      <c r="N112" s="468">
        <f>(122.8*KFC!$B$24*1.1+KFC!$C$24)*KFC!$C$5</f>
        <v>135.08000000000001</v>
      </c>
      <c r="O112" s="468">
        <f>(128.4*KFC!$B$24*1.1+KFC!$C$24)*KFC!$C$5</f>
        <v>141.24</v>
      </c>
    </row>
    <row r="113" spans="1:15">
      <c r="A113" s="1781"/>
      <c r="B113" s="392">
        <v>2.1</v>
      </c>
      <c r="C113" s="303">
        <f>(62.7*KFC!$B$24*1.1+KFC!$C$24)*KFC!$C$5</f>
        <v>68.970000000000013</v>
      </c>
      <c r="D113" s="300">
        <f>(68.6*KFC!$B$24*1.1+KFC!$C$24)*KFC!$C$5</f>
        <v>75.459999999999994</v>
      </c>
      <c r="E113" s="300">
        <f>(74.4*KFC!$B$24*1.1+KFC!$C$24)*KFC!$C$5</f>
        <v>81.840000000000018</v>
      </c>
      <c r="F113" s="300">
        <f>(80.2*KFC!$B$24*1.1+KFC!$C$24)*KFC!$C$5</f>
        <v>88.220000000000013</v>
      </c>
      <c r="G113" s="300">
        <f>(86.1*KFC!$B$24*1.1+KFC!$C$24)*KFC!$C$5</f>
        <v>94.710000000000008</v>
      </c>
      <c r="H113" s="300">
        <f>(91.9*KFC!$B$24*1.1+KFC!$C$24)*KFC!$C$5</f>
        <v>101.09000000000002</v>
      </c>
      <c r="I113" s="300">
        <f>(97.8*KFC!$B$24*1.1+KFC!$C$24)*KFC!$C$5</f>
        <v>107.58000000000001</v>
      </c>
      <c r="J113" s="300">
        <f>(103.6*KFC!$B$24*1.1+KFC!$C$24)*KFC!$C$5</f>
        <v>113.96000000000001</v>
      </c>
      <c r="K113" s="300">
        <f>(109.5*KFC!$B$24*1.1+KFC!$C$24)*KFC!$C$5</f>
        <v>120.45</v>
      </c>
      <c r="L113" s="300">
        <f>(115.3*KFC!$B$24*1.1+KFC!$C$24)*KFC!$C$5</f>
        <v>126.83000000000001</v>
      </c>
      <c r="M113" s="300">
        <f>(121.2*KFC!$B$24*1.1+KFC!$C$24)*KFC!$C$5</f>
        <v>133.32000000000002</v>
      </c>
      <c r="N113" s="300">
        <f>(127*KFC!$B$24*1.1+KFC!$C$24)*KFC!$C$5</f>
        <v>139.70000000000002</v>
      </c>
      <c r="O113" s="300">
        <f>(132.8*KFC!$B$24*1.1+KFC!$C$24)*KFC!$C$5</f>
        <v>146.08000000000001</v>
      </c>
    </row>
    <row r="114" spans="1:15" ht="13.8" thickBot="1">
      <c r="A114" s="1781"/>
      <c r="B114" s="392">
        <v>2.2000000000000002</v>
      </c>
      <c r="C114" s="303">
        <f>(64.1*KFC!$B$24*1.1+KFC!$C$24)*KFC!$C$5</f>
        <v>70.510000000000005</v>
      </c>
      <c r="D114" s="300">
        <f>(70.2*KFC!$B$24*1.1+KFC!$C$24)*KFC!$C$5</f>
        <v>77.220000000000013</v>
      </c>
      <c r="E114" s="300">
        <f>(76.3*KFC!$B$24*1.1+KFC!$C$24)*KFC!$C$5</f>
        <v>83.93</v>
      </c>
      <c r="F114" s="300">
        <f>(82.4*KFC!$B$24*1.1+KFC!$C$24)*KFC!$C$5</f>
        <v>90.640000000000015</v>
      </c>
      <c r="G114" s="300">
        <f>(88.5*KFC!$B$24*1.1+KFC!$C$24)*KFC!$C$5</f>
        <v>97.350000000000009</v>
      </c>
      <c r="H114" s="300">
        <f>(94.6*KFC!$B$24*1.1+KFC!$C$24)*KFC!$C$5</f>
        <v>104.06</v>
      </c>
      <c r="I114" s="300">
        <f>(100.7*KFC!$B$24*1.1+KFC!$C$24)*KFC!$C$5</f>
        <v>110.77000000000001</v>
      </c>
      <c r="J114" s="300">
        <f>(106.8*KFC!$B$24*1.1+KFC!$C$24)*KFC!$C$5</f>
        <v>117.48</v>
      </c>
      <c r="K114" s="300">
        <f>(112.9*KFC!$B$24*1.1+KFC!$C$24)*KFC!$C$5</f>
        <v>124.19000000000001</v>
      </c>
      <c r="L114" s="300">
        <f>(119*KFC!$B$24*1.1+KFC!$C$24)*KFC!$C$5</f>
        <v>130.9</v>
      </c>
      <c r="M114" s="300">
        <f>(125.1*KFC!$B$24*1.1+KFC!$C$24)*KFC!$C$5</f>
        <v>137.61000000000001</v>
      </c>
      <c r="N114" s="300">
        <f>(131.2*KFC!$B$24*1.1+KFC!$C$24)*KFC!$C$5</f>
        <v>144.32</v>
      </c>
      <c r="O114" s="300">
        <f>(137.3*KFC!$B$24*1.1+KFC!$C$24)*KFC!$C$5</f>
        <v>151.03000000000003</v>
      </c>
    </row>
    <row r="115" spans="1:15" ht="13.8" thickBot="1">
      <c r="A115" s="283"/>
      <c r="B115" s="284"/>
      <c r="C115" s="282"/>
      <c r="D115" s="282"/>
      <c r="E115" s="282"/>
      <c r="F115" s="282"/>
      <c r="G115" s="282"/>
      <c r="H115" s="282"/>
      <c r="I115" s="282"/>
      <c r="J115" s="282"/>
      <c r="K115" s="282"/>
      <c r="L115" s="282"/>
      <c r="M115" s="282"/>
      <c r="N115" s="282"/>
      <c r="O115" s="282"/>
    </row>
    <row r="116" spans="1:15" ht="13.95" customHeight="1" thickBot="1">
      <c r="A116" s="1413" t="s">
        <v>320</v>
      </c>
      <c r="B116" s="1601"/>
      <c r="C116" s="1787" t="s">
        <v>207</v>
      </c>
      <c r="D116" s="1788"/>
      <c r="E116" s="1788"/>
      <c r="F116" s="1788"/>
      <c r="G116" s="1788"/>
      <c r="H116" s="1788"/>
      <c r="I116" s="1788"/>
      <c r="J116" s="1788"/>
      <c r="K116" s="1788"/>
      <c r="L116" s="1788"/>
      <c r="M116" s="1788"/>
      <c r="N116" s="1788"/>
      <c r="O116" s="1788"/>
    </row>
    <row r="117" spans="1:15" ht="13.8" thickBot="1">
      <c r="A117" s="1778"/>
      <c r="B117" s="1779"/>
      <c r="C117" s="340">
        <v>0.6</v>
      </c>
      <c r="D117" s="341">
        <v>0.7</v>
      </c>
      <c r="E117" s="341">
        <v>0.8</v>
      </c>
      <c r="F117" s="341">
        <v>0.9</v>
      </c>
      <c r="G117" s="341">
        <v>1</v>
      </c>
      <c r="H117" s="341">
        <v>1.1000000000000001</v>
      </c>
      <c r="I117" s="341">
        <v>1.2</v>
      </c>
      <c r="J117" s="341">
        <v>1.3</v>
      </c>
      <c r="K117" s="341">
        <v>1.4</v>
      </c>
      <c r="L117" s="341">
        <v>1.5</v>
      </c>
      <c r="M117" s="341">
        <v>1.6</v>
      </c>
      <c r="N117" s="341">
        <v>1.7</v>
      </c>
      <c r="O117" s="341">
        <v>1.8</v>
      </c>
    </row>
    <row r="118" spans="1:15" ht="13.2" customHeight="1">
      <c r="A118" s="1780" t="s">
        <v>3</v>
      </c>
      <c r="B118" s="391">
        <v>0.4</v>
      </c>
      <c r="C118" s="274">
        <f>(43*KFC!$B$24*1.1+KFC!$C$24)*KFC!$C$5</f>
        <v>47.300000000000004</v>
      </c>
      <c r="D118" s="301">
        <f>(44.7*KFC!$B$24*1.1+KFC!$C$24)*KFC!$C$5</f>
        <v>49.170000000000009</v>
      </c>
      <c r="E118" s="301">
        <f>(46.4*KFC!$B$24*1.1+KFC!$C$24)*KFC!$C$5</f>
        <v>51.04</v>
      </c>
      <c r="F118" s="301">
        <f>(48*KFC!$B$24*1.1+KFC!$C$24)*KFC!$C$5</f>
        <v>52.800000000000004</v>
      </c>
      <c r="G118" s="301">
        <f>(49.7*KFC!$B$24*1.1+KFC!$C$24)*KFC!$C$5</f>
        <v>54.670000000000009</v>
      </c>
      <c r="H118" s="301">
        <f>(51.3*KFC!$B$24*1.1+KFC!$C$24)*KFC!$C$5</f>
        <v>56.43</v>
      </c>
      <c r="I118" s="301">
        <f>(53*KFC!$B$24*1.1+KFC!$C$24)*KFC!$C$5</f>
        <v>58.300000000000004</v>
      </c>
      <c r="J118" s="301">
        <f>(54.7*KFC!$B$24*1.1+KFC!$C$24)*KFC!$C$5</f>
        <v>60.170000000000009</v>
      </c>
      <c r="K118" s="301">
        <f>(56.3*KFC!$B$24*1.1+KFC!$C$24)*KFC!$C$5</f>
        <v>61.93</v>
      </c>
      <c r="L118" s="301">
        <f>(58*KFC!$B$24*1.1+KFC!$C$24)*KFC!$C$5</f>
        <v>63.800000000000004</v>
      </c>
      <c r="M118" s="301">
        <f>(59.7*KFC!$B$24*1.1+KFC!$C$24)*KFC!$C$5</f>
        <v>65.67</v>
      </c>
      <c r="N118" s="301">
        <f>(61.3*KFC!$B$24*1.1+KFC!$C$24)*KFC!$C$5</f>
        <v>67.430000000000007</v>
      </c>
      <c r="O118" s="301">
        <f>(63*KFC!$B$24*1.1+KFC!$C$24)*KFC!$C$5</f>
        <v>69.300000000000011</v>
      </c>
    </row>
    <row r="119" spans="1:15">
      <c r="A119" s="1781"/>
      <c r="B119" s="392">
        <v>0.5</v>
      </c>
      <c r="C119" s="303">
        <f>(44.9*KFC!$B$24*1.1+KFC!$C$24)*KFC!$C$5</f>
        <v>49.39</v>
      </c>
      <c r="D119" s="300">
        <f>(46.9*KFC!$B$24*1.1+KFC!$C$24)*KFC!$C$5</f>
        <v>51.59</v>
      </c>
      <c r="E119" s="300">
        <f>(49*KFC!$B$24*1.1+KFC!$C$24)*KFC!$C$5</f>
        <v>53.900000000000006</v>
      </c>
      <c r="F119" s="300">
        <f>(51.1*KFC!$B$24*1.1+KFC!$C$24)*KFC!$C$5</f>
        <v>56.210000000000008</v>
      </c>
      <c r="G119" s="300">
        <f>(53.2*KFC!$B$24*1.1+KFC!$C$24)*KFC!$C$5</f>
        <v>58.52000000000001</v>
      </c>
      <c r="H119" s="300">
        <f>(55.2*KFC!$B$24*1.1+KFC!$C$24)*KFC!$C$5</f>
        <v>60.720000000000006</v>
      </c>
      <c r="I119" s="300">
        <f>(57.3*KFC!$B$24*1.1+KFC!$C$24)*KFC!$C$5</f>
        <v>63.03</v>
      </c>
      <c r="J119" s="300">
        <f>(59.4*KFC!$B$24*1.1+KFC!$C$24)*KFC!$C$5</f>
        <v>65.34</v>
      </c>
      <c r="K119" s="300">
        <f>(61.4*KFC!$B$24*1.1+KFC!$C$24)*KFC!$C$5</f>
        <v>67.540000000000006</v>
      </c>
      <c r="L119" s="300">
        <f>(63.5*KFC!$B$24*1.1+KFC!$C$24)*KFC!$C$5</f>
        <v>69.850000000000009</v>
      </c>
      <c r="M119" s="300">
        <f>(65.6*KFC!$B$24*1.1+KFC!$C$24)*KFC!$C$5</f>
        <v>72.16</v>
      </c>
      <c r="N119" s="300">
        <f>(67.6*KFC!$B$24*1.1+KFC!$C$24)*KFC!$C$5</f>
        <v>74.36</v>
      </c>
      <c r="O119" s="300">
        <f>(69.7*KFC!$B$24*1.1+KFC!$C$24)*KFC!$C$5</f>
        <v>76.670000000000016</v>
      </c>
    </row>
    <row r="120" spans="1:15">
      <c r="A120" s="1781"/>
      <c r="B120" s="392">
        <v>0.6</v>
      </c>
      <c r="C120" s="303">
        <f>(46.7*KFC!$B$24*1.1+KFC!$C$24)*KFC!$C$5</f>
        <v>51.370000000000005</v>
      </c>
      <c r="D120" s="300">
        <f>(49.2*KFC!$B$24*1.1+KFC!$C$24)*KFC!$C$5</f>
        <v>54.120000000000005</v>
      </c>
      <c r="E120" s="300">
        <f>(51.7*KFC!$B$24*1.1+KFC!$C$24)*KFC!$C$5</f>
        <v>56.870000000000005</v>
      </c>
      <c r="F120" s="300">
        <f>(54.1*KFC!$B$24*1.1+KFC!$C$24)*KFC!$C$5</f>
        <v>59.510000000000005</v>
      </c>
      <c r="G120" s="300">
        <f>(56.6*KFC!$B$24*1.1+KFC!$C$24)*KFC!$C$5</f>
        <v>62.260000000000005</v>
      </c>
      <c r="H120" s="300">
        <f>(59.1*KFC!$B$24*1.1+KFC!$C$24)*KFC!$C$5</f>
        <v>65.010000000000005</v>
      </c>
      <c r="I120" s="300">
        <f>(61.6*KFC!$B$24*1.1+KFC!$C$24)*KFC!$C$5</f>
        <v>67.760000000000005</v>
      </c>
      <c r="J120" s="300">
        <f>(64*KFC!$B$24*1.1+KFC!$C$24)*KFC!$C$5</f>
        <v>70.400000000000006</v>
      </c>
      <c r="K120" s="300">
        <f>(66.5*KFC!$B$24*1.1+KFC!$C$24)*KFC!$C$5</f>
        <v>73.150000000000006</v>
      </c>
      <c r="L120" s="300">
        <f>(69*KFC!$B$24*1.1+KFC!$C$24)*KFC!$C$5</f>
        <v>75.900000000000006</v>
      </c>
      <c r="M120" s="300">
        <f>(71.5*KFC!$B$24*1.1+KFC!$C$24)*KFC!$C$5</f>
        <v>78.650000000000006</v>
      </c>
      <c r="N120" s="300">
        <f>(73.9*KFC!$B$24*1.1+KFC!$C$24)*KFC!$C$5</f>
        <v>81.290000000000006</v>
      </c>
      <c r="O120" s="300">
        <f>(76.5*KFC!$B$24*1.1+KFC!$C$24)*KFC!$C$5</f>
        <v>84.15</v>
      </c>
    </row>
    <row r="121" spans="1:15">
      <c r="A121" s="1781"/>
      <c r="B121" s="392">
        <v>0.7</v>
      </c>
      <c r="C121" s="303">
        <f>(48.6*KFC!$B$24*1.1+KFC!$C$24)*KFC!$C$5</f>
        <v>53.460000000000008</v>
      </c>
      <c r="D121" s="300">
        <f>(51.4*KFC!$B$24*1.1+KFC!$C$24)*KFC!$C$5</f>
        <v>56.540000000000006</v>
      </c>
      <c r="E121" s="300">
        <f>(54.3*KFC!$B$24*1.1+KFC!$C$24)*KFC!$C$5</f>
        <v>59.730000000000004</v>
      </c>
      <c r="F121" s="300">
        <f>(57.2*KFC!$B$24*1.1+KFC!$C$24)*KFC!$C$5</f>
        <v>62.920000000000009</v>
      </c>
      <c r="G121" s="300">
        <f>(60.1*KFC!$B$24*1.1+KFC!$C$24)*KFC!$C$5</f>
        <v>66.110000000000014</v>
      </c>
      <c r="H121" s="300">
        <f>(63*KFC!$B$24*1.1+KFC!$C$24)*KFC!$C$5</f>
        <v>69.300000000000011</v>
      </c>
      <c r="I121" s="300">
        <f>(65.8*KFC!$B$24*1.1+KFC!$C$24)*KFC!$C$5</f>
        <v>72.38000000000001</v>
      </c>
      <c r="J121" s="300">
        <f>(68.7*KFC!$B$24*1.1+KFC!$C$24)*KFC!$C$5</f>
        <v>75.570000000000007</v>
      </c>
      <c r="K121" s="300">
        <f>(71.6*KFC!$B$24*1.1+KFC!$C$24)*KFC!$C$5</f>
        <v>78.760000000000005</v>
      </c>
      <c r="L121" s="300">
        <f>(74.5*KFC!$B$24*1.1+KFC!$C$24)*KFC!$C$5</f>
        <v>81.95</v>
      </c>
      <c r="M121" s="300">
        <f>(77.4*KFC!$B$24*1.1+KFC!$C$24)*KFC!$C$5</f>
        <v>85.140000000000015</v>
      </c>
      <c r="N121" s="300">
        <f>(80.2*KFC!$B$24*1.1+KFC!$C$24)*KFC!$C$5</f>
        <v>88.220000000000013</v>
      </c>
      <c r="O121" s="300">
        <f>(83.2*KFC!$B$24*1.1+KFC!$C$24)*KFC!$C$5</f>
        <v>91.52000000000001</v>
      </c>
    </row>
    <row r="122" spans="1:15">
      <c r="A122" s="1781"/>
      <c r="B122" s="392">
        <v>0.8</v>
      </c>
      <c r="C122" s="303">
        <f>(50.4*KFC!$B$24*1.1+KFC!$C$24)*KFC!$C$5</f>
        <v>55.440000000000005</v>
      </c>
      <c r="D122" s="300">
        <f>(53.7*KFC!$B$24*1.1+KFC!$C$24)*KFC!$C$5</f>
        <v>59.070000000000007</v>
      </c>
      <c r="E122" s="300">
        <f>(57*KFC!$B$24*1.1+KFC!$C$24)*KFC!$C$5</f>
        <v>62.7</v>
      </c>
      <c r="F122" s="300">
        <f>(60.3*KFC!$B$24*1.1+KFC!$C$24)*KFC!$C$5</f>
        <v>66.33</v>
      </c>
      <c r="G122" s="300">
        <f>(63.5*KFC!$B$24*1.1+KFC!$C$24)*KFC!$C$5</f>
        <v>69.850000000000009</v>
      </c>
      <c r="H122" s="300">
        <f>(66.8*KFC!$B$24*1.1+KFC!$C$24)*KFC!$C$5</f>
        <v>73.48</v>
      </c>
      <c r="I122" s="300">
        <f>(70.1*KFC!$B$24*1.1+KFC!$C$24)*KFC!$C$5</f>
        <v>77.11</v>
      </c>
      <c r="J122" s="300">
        <f>(73.4*KFC!$B$24*1.1+KFC!$C$24)*KFC!$C$5</f>
        <v>80.740000000000009</v>
      </c>
      <c r="K122" s="300">
        <f>(76.7*KFC!$B$24*1.1+KFC!$C$24)*KFC!$C$5</f>
        <v>84.37</v>
      </c>
      <c r="L122" s="300">
        <f>(80*KFC!$B$24*1.1+KFC!$C$24)*KFC!$C$5</f>
        <v>88</v>
      </c>
      <c r="M122" s="300">
        <f>(83.3*KFC!$B$24*1.1+KFC!$C$24)*KFC!$C$5</f>
        <v>91.63000000000001</v>
      </c>
      <c r="N122" s="300">
        <f>(86.6*KFC!$B$24*1.1+KFC!$C$24)*KFC!$C$5</f>
        <v>95.26</v>
      </c>
      <c r="O122" s="300">
        <f>(89.9*KFC!$B$24*1.1+KFC!$C$24)*KFC!$C$5</f>
        <v>98.890000000000015</v>
      </c>
    </row>
    <row r="123" spans="1:15">
      <c r="A123" s="1781"/>
      <c r="B123" s="392">
        <v>0.9</v>
      </c>
      <c r="C123" s="303">
        <f>(52.2*KFC!$B$24*1.1+KFC!$C$24)*KFC!$C$5</f>
        <v>57.420000000000009</v>
      </c>
      <c r="D123" s="300">
        <f>(55.9*KFC!$B$24*1.1+KFC!$C$24)*KFC!$C$5</f>
        <v>61.49</v>
      </c>
      <c r="E123" s="300">
        <f>(59.6*KFC!$B$24*1.1+KFC!$C$24)*KFC!$C$5</f>
        <v>65.56</v>
      </c>
      <c r="F123" s="300">
        <f>(63.3*KFC!$B$24*1.1+KFC!$C$24)*KFC!$C$5</f>
        <v>69.63</v>
      </c>
      <c r="G123" s="300">
        <f>(67*KFC!$B$24*1.1+KFC!$C$24)*KFC!$C$5</f>
        <v>73.7</v>
      </c>
      <c r="H123" s="300">
        <f>(70.7*KFC!$B$24*1.1+KFC!$C$24)*KFC!$C$5</f>
        <v>77.77000000000001</v>
      </c>
      <c r="I123" s="300">
        <f>(74.4*KFC!$B$24*1.1+KFC!$C$24)*KFC!$C$5</f>
        <v>81.840000000000018</v>
      </c>
      <c r="J123" s="300">
        <f>(78.1*KFC!$B$24*1.1+KFC!$C$24)*KFC!$C$5</f>
        <v>85.91</v>
      </c>
      <c r="K123" s="300">
        <f>(81.8*KFC!$B$24*1.1+KFC!$C$24)*KFC!$C$5</f>
        <v>89.98</v>
      </c>
      <c r="L123" s="300">
        <f>(85.5*KFC!$B$24*1.1+KFC!$C$24)*KFC!$C$5</f>
        <v>94.050000000000011</v>
      </c>
      <c r="M123" s="300">
        <f>(89.2*KFC!$B$24*1.1+KFC!$C$24)*KFC!$C$5</f>
        <v>98.12</v>
      </c>
      <c r="N123" s="300">
        <f>(92.9*KFC!$B$24*1.1+KFC!$C$24)*KFC!$C$5</f>
        <v>102.19000000000001</v>
      </c>
      <c r="O123" s="300">
        <f>(96.6*KFC!$B$24*1.1+KFC!$C$24)*KFC!$C$5</f>
        <v>106.26</v>
      </c>
    </row>
    <row r="124" spans="1:15">
      <c r="A124" s="1781"/>
      <c r="B124" s="392">
        <v>1</v>
      </c>
      <c r="C124" s="303">
        <f>(54.1*KFC!$B$24*1.1+KFC!$C$24)*KFC!$C$5</f>
        <v>59.510000000000005</v>
      </c>
      <c r="D124" s="300">
        <f>(58.2*KFC!$B$24*1.1+KFC!$C$24)*KFC!$C$5</f>
        <v>64.02000000000001</v>
      </c>
      <c r="E124" s="300">
        <f>(62.3*KFC!$B$24*1.1+KFC!$C$24)*KFC!$C$5</f>
        <v>68.53</v>
      </c>
      <c r="F124" s="300">
        <f>(66.4*KFC!$B$24*1.1+KFC!$C$24)*KFC!$C$5</f>
        <v>73.040000000000006</v>
      </c>
      <c r="G124" s="300">
        <f>(70.5*KFC!$B$24*1.1+KFC!$C$24)*KFC!$C$5</f>
        <v>77.550000000000011</v>
      </c>
      <c r="H124" s="300">
        <f>(74.6*KFC!$B$24*1.1+KFC!$C$24)*KFC!$C$5</f>
        <v>82.06</v>
      </c>
      <c r="I124" s="300">
        <f>(78.7*KFC!$B$24*1.1+KFC!$C$24)*KFC!$C$5</f>
        <v>86.570000000000007</v>
      </c>
      <c r="J124" s="300">
        <f>(82.8*KFC!$B$24*1.1+KFC!$C$24)*KFC!$C$5</f>
        <v>91.08</v>
      </c>
      <c r="K124" s="300">
        <f>(86.9*KFC!$B$24*1.1+KFC!$C$24)*KFC!$C$5</f>
        <v>95.590000000000018</v>
      </c>
      <c r="L124" s="300">
        <f>(91*KFC!$B$24*1.1+KFC!$C$24)*KFC!$C$5</f>
        <v>100.10000000000001</v>
      </c>
      <c r="M124" s="300">
        <f>(95.1*KFC!$B$24*1.1+KFC!$C$24)*KFC!$C$5</f>
        <v>104.61</v>
      </c>
      <c r="N124" s="300">
        <f>(99.2*KFC!$B$24*1.1+KFC!$C$24)*KFC!$C$5</f>
        <v>109.12000000000002</v>
      </c>
      <c r="O124" s="300">
        <f>(103.3*KFC!$B$24*1.1+KFC!$C$24)*KFC!$C$5</f>
        <v>113.63000000000001</v>
      </c>
    </row>
    <row r="125" spans="1:15">
      <c r="A125" s="1781"/>
      <c r="B125" s="392">
        <v>1.1000000000000001</v>
      </c>
      <c r="C125" s="303">
        <f>(55.9*KFC!$B$24*1.1+KFC!$C$24)*KFC!$C$5</f>
        <v>61.49</v>
      </c>
      <c r="D125" s="300">
        <f>(60.4*KFC!$B$24*1.1+KFC!$C$24)*KFC!$C$5</f>
        <v>66.44</v>
      </c>
      <c r="E125" s="300">
        <f>(64.9*KFC!$B$24*1.1+KFC!$C$24)*KFC!$C$5</f>
        <v>71.390000000000015</v>
      </c>
      <c r="F125" s="300">
        <f>(69.4*KFC!$B$24*1.1+KFC!$C$24)*KFC!$C$5</f>
        <v>76.340000000000018</v>
      </c>
      <c r="G125" s="300">
        <f>(73.9*KFC!$B$24*1.1+KFC!$C$24)*KFC!$C$5</f>
        <v>81.290000000000006</v>
      </c>
      <c r="H125" s="300">
        <f>(78.5*KFC!$B$24*1.1+KFC!$C$24)*KFC!$C$5</f>
        <v>86.350000000000009</v>
      </c>
      <c r="I125" s="300">
        <f>(83*KFC!$B$24*1.1+KFC!$C$24)*KFC!$C$5</f>
        <v>91.300000000000011</v>
      </c>
      <c r="J125" s="300">
        <f>(87.5*KFC!$B$24*1.1+KFC!$C$24)*KFC!$C$5</f>
        <v>96.250000000000014</v>
      </c>
      <c r="K125" s="300">
        <f>(92*KFC!$B$24*1.1+KFC!$C$24)*KFC!$C$5</f>
        <v>101.2</v>
      </c>
      <c r="L125" s="300">
        <f>(96.5*KFC!$B$24*1.1+KFC!$C$24)*KFC!$C$5</f>
        <v>106.15</v>
      </c>
      <c r="M125" s="300">
        <f>(101*KFC!$B$24*1.1+KFC!$C$24)*KFC!$C$5</f>
        <v>111.10000000000001</v>
      </c>
      <c r="N125" s="300">
        <f>(105.5*KFC!$B$24*1.1+KFC!$C$24)*KFC!$C$5</f>
        <v>116.05000000000001</v>
      </c>
      <c r="O125" s="300">
        <f>(110*KFC!$B$24*1.1+KFC!$C$24)*KFC!$C$5</f>
        <v>121.00000000000001</v>
      </c>
    </row>
    <row r="126" spans="1:15">
      <c r="A126" s="1781"/>
      <c r="B126" s="392">
        <v>1.2</v>
      </c>
      <c r="C126" s="303">
        <f>(57.8*KFC!$B$24*1.1+KFC!$C$24)*KFC!$C$5</f>
        <v>63.580000000000005</v>
      </c>
      <c r="D126" s="300">
        <f>(62.7*KFC!$B$24*1.1+KFC!$C$24)*KFC!$C$5</f>
        <v>68.970000000000013</v>
      </c>
      <c r="E126" s="300">
        <f>(67.6*KFC!$B$24*1.1+KFC!$C$24)*KFC!$C$5</f>
        <v>74.36</v>
      </c>
      <c r="F126" s="300">
        <f>(72.5*KFC!$B$24*1.1+KFC!$C$24)*KFC!$C$5</f>
        <v>79.75</v>
      </c>
      <c r="G126" s="300">
        <f>(77.4*KFC!$B$24*1.1+KFC!$C$24)*KFC!$C$5</f>
        <v>85.140000000000015</v>
      </c>
      <c r="H126" s="300">
        <f>(82.3*KFC!$B$24*1.1+KFC!$C$24)*KFC!$C$5</f>
        <v>90.53</v>
      </c>
      <c r="I126" s="300">
        <f>(87.2*KFC!$B$24*1.1+KFC!$C$24)*KFC!$C$5</f>
        <v>95.920000000000016</v>
      </c>
      <c r="J126" s="300">
        <f>(92.2*KFC!$B$24*1.1+KFC!$C$24)*KFC!$C$5</f>
        <v>101.42000000000002</v>
      </c>
      <c r="K126" s="300">
        <f>(97.1*KFC!$B$24*1.1+KFC!$C$24)*KFC!$C$5</f>
        <v>106.81</v>
      </c>
      <c r="L126" s="300">
        <f>(102*KFC!$B$24*1.1+KFC!$C$24)*KFC!$C$5</f>
        <v>112.2</v>
      </c>
      <c r="M126" s="300">
        <f>(106.9*KFC!$B$24*1.1+KFC!$C$24)*KFC!$C$5</f>
        <v>117.59000000000002</v>
      </c>
      <c r="N126" s="300">
        <f>(111.8*KFC!$B$24*1.1+KFC!$C$24)*KFC!$C$5</f>
        <v>122.98</v>
      </c>
      <c r="O126" s="300">
        <f>(116.7*KFC!$B$24*1.1+KFC!$C$24)*KFC!$C$5</f>
        <v>128.37</v>
      </c>
    </row>
    <row r="127" spans="1:15">
      <c r="A127" s="1781"/>
      <c r="B127" s="392">
        <v>1.3</v>
      </c>
      <c r="C127" s="303">
        <f>(59.6*KFC!$B$24*1.1+KFC!$C$24)*KFC!$C$5</f>
        <v>65.56</v>
      </c>
      <c r="D127" s="300">
        <f>(64.9*KFC!$B$24*1.1+KFC!$C$24)*KFC!$C$5</f>
        <v>71.390000000000015</v>
      </c>
      <c r="E127" s="300">
        <f>(70.2*KFC!$B$24*1.1+KFC!$C$24)*KFC!$C$5</f>
        <v>77.220000000000013</v>
      </c>
      <c r="F127" s="300">
        <f>(75.6*KFC!$B$24*1.1+KFC!$C$24)*KFC!$C$5</f>
        <v>83.16</v>
      </c>
      <c r="G127" s="300">
        <f>(80.9*KFC!$B$24*1.1+KFC!$C$24)*KFC!$C$5</f>
        <v>88.990000000000009</v>
      </c>
      <c r="H127" s="300">
        <f>(86.2*KFC!$B$24*1.1+KFC!$C$24)*KFC!$C$5</f>
        <v>94.820000000000007</v>
      </c>
      <c r="I127" s="300">
        <f>(91.5*KFC!$B$24*1.1+KFC!$C$24)*KFC!$C$5</f>
        <v>100.65</v>
      </c>
      <c r="J127" s="300">
        <f>(96.8*KFC!$B$24*1.1+KFC!$C$24)*KFC!$C$5</f>
        <v>106.48</v>
      </c>
      <c r="K127" s="300">
        <f>(102.2*KFC!$B$24*1.1+KFC!$C$24)*KFC!$C$5</f>
        <v>112.42000000000002</v>
      </c>
      <c r="L127" s="300">
        <f>(107.5*KFC!$B$24*1.1+KFC!$C$24)*KFC!$C$5</f>
        <v>118.25000000000001</v>
      </c>
      <c r="M127" s="300">
        <f>(112.8*KFC!$B$24*1.1+KFC!$C$24)*KFC!$C$5</f>
        <v>124.08000000000001</v>
      </c>
      <c r="N127" s="300">
        <f>(118.1*KFC!$B$24*1.1+KFC!$C$24)*KFC!$C$5</f>
        <v>129.91</v>
      </c>
      <c r="O127" s="300">
        <f>(123.4*KFC!$B$24*1.1+KFC!$C$24)*KFC!$C$5</f>
        <v>135.74</v>
      </c>
    </row>
    <row r="128" spans="1:15">
      <c r="A128" s="1781"/>
      <c r="B128" s="392">
        <v>1.4</v>
      </c>
      <c r="C128" s="303">
        <f>(61.5*KFC!$B$24*1.1+KFC!$C$24)*KFC!$C$5</f>
        <v>67.650000000000006</v>
      </c>
      <c r="D128" s="300">
        <f>(67.2*KFC!$B$24*1.1+KFC!$C$24)*KFC!$C$5</f>
        <v>73.920000000000016</v>
      </c>
      <c r="E128" s="300">
        <f>(72.9*KFC!$B$24*1.1+KFC!$C$24)*KFC!$C$5</f>
        <v>80.190000000000012</v>
      </c>
      <c r="F128" s="300">
        <f>(78.6*KFC!$B$24*1.1+KFC!$C$24)*KFC!$C$5</f>
        <v>86.46</v>
      </c>
      <c r="G128" s="300">
        <f>(84.4*KFC!$B$24*1.1+KFC!$C$24)*KFC!$C$5</f>
        <v>92.840000000000018</v>
      </c>
      <c r="H128" s="300">
        <f>(90.1*KFC!$B$24*1.1+KFC!$C$24)*KFC!$C$5</f>
        <v>99.11</v>
      </c>
      <c r="I128" s="300">
        <f>(95.8*KFC!$B$24*1.1+KFC!$C$24)*KFC!$C$5</f>
        <v>105.38000000000001</v>
      </c>
      <c r="J128" s="300">
        <f>(101.5*KFC!$B$24*1.1+KFC!$C$24)*KFC!$C$5</f>
        <v>111.65</v>
      </c>
      <c r="K128" s="300">
        <f>(107.3*KFC!$B$24*1.1+KFC!$C$24)*KFC!$C$5</f>
        <v>118.03</v>
      </c>
      <c r="L128" s="300">
        <f>(113*KFC!$B$24*1.1+KFC!$C$24)*KFC!$C$5</f>
        <v>124.30000000000001</v>
      </c>
      <c r="M128" s="300">
        <f>(118.7*KFC!$B$24*1.1+KFC!$C$24)*KFC!$C$5</f>
        <v>130.57000000000002</v>
      </c>
      <c r="N128" s="300">
        <f>(124.4*KFC!$B$24*1.1+KFC!$C$24)*KFC!$C$5</f>
        <v>136.84</v>
      </c>
      <c r="O128" s="300">
        <f>(130.1*KFC!$B$24*1.1+KFC!$C$24)*KFC!$C$5</f>
        <v>143.11000000000001</v>
      </c>
    </row>
    <row r="129" spans="1:16">
      <c r="A129" s="1781"/>
      <c r="B129" s="392">
        <v>1.5</v>
      </c>
      <c r="C129" s="303">
        <f>(63.3*KFC!$B$24*1.1+KFC!$C$24)*KFC!$C$5</f>
        <v>69.63</v>
      </c>
      <c r="D129" s="300">
        <f>(69.4*KFC!$B$24*1.1+KFC!$C$24)*KFC!$C$5</f>
        <v>76.340000000000018</v>
      </c>
      <c r="E129" s="300">
        <f>(75.6*KFC!$B$24*1.1+KFC!$C$24)*KFC!$C$5</f>
        <v>83.16</v>
      </c>
      <c r="F129" s="300">
        <f>(81.7*KFC!$B$24*1.1+KFC!$C$24)*KFC!$C$5</f>
        <v>89.87</v>
      </c>
      <c r="G129" s="300">
        <f>(87.8*KFC!$B$24*1.1+KFC!$C$24)*KFC!$C$5</f>
        <v>96.58</v>
      </c>
      <c r="H129" s="300">
        <f>(93.9*KFC!$B$24*1.1+KFC!$C$24)*KFC!$C$5</f>
        <v>103.29000000000002</v>
      </c>
      <c r="I129" s="300">
        <f>(100.1*KFC!$B$24*1.1+KFC!$C$24)*KFC!$C$5</f>
        <v>110.11</v>
      </c>
      <c r="J129" s="300">
        <f>(106.2*KFC!$B$24*1.1+KFC!$C$24)*KFC!$C$5</f>
        <v>116.82000000000001</v>
      </c>
      <c r="K129" s="300">
        <f>(112.3*KFC!$B$24*1.1+KFC!$C$24)*KFC!$C$5</f>
        <v>123.53</v>
      </c>
      <c r="L129" s="300">
        <f>(118.5*KFC!$B$24*1.1+KFC!$C$24)*KFC!$C$5</f>
        <v>130.35000000000002</v>
      </c>
      <c r="M129" s="300">
        <f>(124.6*KFC!$B$24*1.1+KFC!$C$24)*KFC!$C$5</f>
        <v>137.06</v>
      </c>
      <c r="N129" s="300">
        <f>(130.7*KFC!$B$24*1.1+KFC!$C$24)*KFC!$C$5</f>
        <v>143.77000000000001</v>
      </c>
      <c r="O129" s="300">
        <f>(136.8*KFC!$B$24*1.1+KFC!$C$24)*KFC!$C$5</f>
        <v>150.48000000000002</v>
      </c>
    </row>
    <row r="130" spans="1:16">
      <c r="A130" s="1781"/>
      <c r="B130" s="392">
        <v>1.6</v>
      </c>
      <c r="C130" s="303">
        <f>(65.1*KFC!$B$24*1.1+KFC!$C$24)*KFC!$C$5</f>
        <v>71.61</v>
      </c>
      <c r="D130" s="300">
        <f>(71.7*KFC!$B$24*1.1+KFC!$C$24)*KFC!$C$5</f>
        <v>78.87</v>
      </c>
      <c r="E130" s="300">
        <f>(78.2*KFC!$B$24*1.1+KFC!$C$24)*KFC!$C$5</f>
        <v>86.02000000000001</v>
      </c>
      <c r="F130" s="300">
        <f>(84.7*KFC!$B$24*1.1+KFC!$C$24)*KFC!$C$5</f>
        <v>93.170000000000016</v>
      </c>
      <c r="G130" s="300">
        <f>(91.3*KFC!$B$24*1.1+KFC!$C$24)*KFC!$C$5</f>
        <v>100.43</v>
      </c>
      <c r="H130" s="300">
        <f>(97.8*KFC!$B$24*1.1+KFC!$C$24)*KFC!$C$5</f>
        <v>107.58000000000001</v>
      </c>
      <c r="I130" s="300">
        <f>(104.4*KFC!$B$24*1.1+KFC!$C$24)*KFC!$C$5</f>
        <v>114.84000000000002</v>
      </c>
      <c r="J130" s="300">
        <f>(110.9*KFC!$B$24*1.1+KFC!$C$24)*KFC!$C$5</f>
        <v>121.99000000000001</v>
      </c>
      <c r="K130" s="300">
        <f>(117.4*KFC!$B$24*1.1+KFC!$C$24)*KFC!$C$5</f>
        <v>129.14000000000001</v>
      </c>
      <c r="L130" s="300">
        <f>(124*KFC!$B$24*1.1+KFC!$C$24)*KFC!$C$5</f>
        <v>136.4</v>
      </c>
      <c r="M130" s="300">
        <f>(130.5*KFC!$B$24*1.1+KFC!$C$24)*KFC!$C$5</f>
        <v>143.55000000000001</v>
      </c>
      <c r="N130" s="300">
        <f>(137.1*KFC!$B$24*1.1+KFC!$C$24)*KFC!$C$5</f>
        <v>150.81</v>
      </c>
      <c r="O130" s="300">
        <f>(143.5*KFC!$B$24*1.1+KFC!$C$24)*KFC!$C$5</f>
        <v>157.85000000000002</v>
      </c>
    </row>
    <row r="131" spans="1:16">
      <c r="A131" s="1781"/>
      <c r="B131" s="392">
        <v>1.7</v>
      </c>
      <c r="C131" s="303">
        <f>(67*KFC!$B$24*1.1+KFC!$C$24)*KFC!$C$5</f>
        <v>73.7</v>
      </c>
      <c r="D131" s="300">
        <f>(73.9*KFC!$B$24*1.1+KFC!$C$24)*KFC!$C$5</f>
        <v>81.290000000000006</v>
      </c>
      <c r="E131" s="300">
        <f>(80.9*KFC!$B$24*1.1+KFC!$C$24)*KFC!$C$5</f>
        <v>88.990000000000009</v>
      </c>
      <c r="F131" s="300">
        <f>(87.8*KFC!$B$24*1.1+KFC!$C$24)*KFC!$C$5</f>
        <v>96.58</v>
      </c>
      <c r="G131" s="300">
        <f>(94.7*KFC!$B$24*1.1+KFC!$C$24)*KFC!$C$5</f>
        <v>104.17000000000002</v>
      </c>
      <c r="H131" s="300">
        <f>(101.7*KFC!$B$24*1.1+KFC!$C$24)*KFC!$C$5</f>
        <v>111.87000000000002</v>
      </c>
      <c r="I131" s="300">
        <f>(108.6*KFC!$B$24*1.1+KFC!$C$24)*KFC!$C$5</f>
        <v>119.46000000000001</v>
      </c>
      <c r="J131" s="300">
        <f>(115.6*KFC!$B$24*1.1+KFC!$C$24)*KFC!$C$5</f>
        <v>127.16000000000001</v>
      </c>
      <c r="K131" s="300">
        <f>(122.5*KFC!$B$24*1.1+KFC!$C$24)*KFC!$C$5</f>
        <v>134.75</v>
      </c>
      <c r="L131" s="300">
        <f>(129.5*KFC!$B$24*1.1+KFC!$C$24)*KFC!$C$5</f>
        <v>142.45000000000002</v>
      </c>
      <c r="M131" s="300">
        <f>(136.4*KFC!$B$24*1.1+KFC!$C$24)*KFC!$C$5</f>
        <v>150.04000000000002</v>
      </c>
      <c r="N131" s="300">
        <f>(143.4*KFC!$B$24*1.1+KFC!$C$24)*KFC!$C$5</f>
        <v>157.74</v>
      </c>
      <c r="O131" s="300">
        <f>(150.3*KFC!$B$24*1.1+KFC!$C$24)*KFC!$C$5</f>
        <v>165.33</v>
      </c>
    </row>
    <row r="132" spans="1:16">
      <c r="A132" s="1781"/>
      <c r="B132" s="392">
        <v>1.8</v>
      </c>
      <c r="C132" s="303">
        <f>(68.8*KFC!$B$24*1.1+KFC!$C$24)*KFC!$C$5</f>
        <v>75.680000000000007</v>
      </c>
      <c r="D132" s="300">
        <f>(76.2*KFC!$B$24*1.1+KFC!$C$24)*KFC!$C$5</f>
        <v>83.820000000000007</v>
      </c>
      <c r="E132" s="300">
        <f>(83.5*KFC!$B$24*1.1+KFC!$C$24)*KFC!$C$5</f>
        <v>91.850000000000009</v>
      </c>
      <c r="F132" s="300">
        <f>(90.9*KFC!$B$24*1.1+KFC!$C$24)*KFC!$C$5</f>
        <v>99.990000000000009</v>
      </c>
      <c r="G132" s="300">
        <f>(98.2*KFC!$B$24*1.1+KFC!$C$24)*KFC!$C$5</f>
        <v>108.02000000000001</v>
      </c>
      <c r="H132" s="300">
        <f>(105.6*KFC!$B$24*1.1+KFC!$C$24)*KFC!$C$5</f>
        <v>116.16</v>
      </c>
      <c r="I132" s="300">
        <f>(112.9*KFC!$B$24*1.1+KFC!$C$24)*KFC!$C$5</f>
        <v>124.19000000000001</v>
      </c>
      <c r="J132" s="300">
        <f>(120.3*KFC!$B$24*1.1+KFC!$C$24)*KFC!$C$5</f>
        <v>132.33000000000001</v>
      </c>
      <c r="K132" s="300">
        <f>(127.6*KFC!$B$24*1.1+KFC!$C$24)*KFC!$C$5</f>
        <v>140.36000000000001</v>
      </c>
      <c r="L132" s="300">
        <f>(135*KFC!$B$24*1.1+KFC!$C$24)*KFC!$C$5</f>
        <v>148.5</v>
      </c>
      <c r="M132" s="300">
        <f>(142.3*KFC!$B$24*1.1+KFC!$C$24)*KFC!$C$5</f>
        <v>156.53000000000003</v>
      </c>
      <c r="N132" s="300">
        <f>(149.7*KFC!$B$24*1.1+KFC!$C$24)*KFC!$C$5</f>
        <v>164.67</v>
      </c>
      <c r="O132" s="300">
        <f>(157*KFC!$B$24*1.1+KFC!$C$24)*KFC!$C$5</f>
        <v>172.70000000000002</v>
      </c>
    </row>
    <row r="133" spans="1:16">
      <c r="A133" s="1781"/>
      <c r="B133" s="392">
        <v>1.9</v>
      </c>
      <c r="C133" s="303">
        <f>(70.7*KFC!$B$24*1.1+KFC!$C$24)*KFC!$C$5</f>
        <v>77.77000000000001</v>
      </c>
      <c r="D133" s="300">
        <f>(78.4*KFC!$B$24*1.1+KFC!$C$24)*KFC!$C$5</f>
        <v>86.240000000000009</v>
      </c>
      <c r="E133" s="300">
        <f>(86.2*KFC!$B$24*1.1+KFC!$C$24)*KFC!$C$5</f>
        <v>94.820000000000007</v>
      </c>
      <c r="F133" s="300">
        <f>(93.9*KFC!$B$24*1.1+KFC!$C$24)*KFC!$C$5</f>
        <v>103.29000000000002</v>
      </c>
      <c r="G133" s="300">
        <f>(101.7*KFC!$B$24*1.1+KFC!$C$24)*KFC!$C$5</f>
        <v>111.87000000000002</v>
      </c>
      <c r="H133" s="300">
        <f>(109.4*KFC!$B$24*1.1+KFC!$C$24)*KFC!$C$5</f>
        <v>120.34000000000002</v>
      </c>
      <c r="I133" s="300">
        <f>(117.2*KFC!$B$24*1.1+KFC!$C$24)*KFC!$C$5</f>
        <v>128.92000000000002</v>
      </c>
      <c r="J133" s="300">
        <f>(124.9*KFC!$B$24*1.1+KFC!$C$24)*KFC!$C$5</f>
        <v>137.39000000000001</v>
      </c>
      <c r="K133" s="300">
        <f>(132.7*KFC!$B$24*1.1+KFC!$C$24)*KFC!$C$5</f>
        <v>145.97</v>
      </c>
      <c r="L133" s="300">
        <f>(140.5*KFC!$B$24*1.1+KFC!$C$24)*KFC!$C$5</f>
        <v>154.55000000000001</v>
      </c>
      <c r="M133" s="300">
        <f>(148.2*KFC!$B$24*1.1+KFC!$C$24)*KFC!$C$5</f>
        <v>163.02000000000001</v>
      </c>
      <c r="N133" s="300">
        <f>(156*KFC!$B$24*1.1+KFC!$C$24)*KFC!$C$5</f>
        <v>171.60000000000002</v>
      </c>
      <c r="O133" s="300">
        <f>(163.8*KFC!$B$24*1.1+KFC!$C$24)*KFC!$C$5</f>
        <v>180.18000000000004</v>
      </c>
    </row>
    <row r="134" spans="1:16">
      <c r="A134" s="1781"/>
      <c r="B134" s="392">
        <v>2</v>
      </c>
      <c r="C134" s="467">
        <f>(72.5*KFC!$B$24*1.1+KFC!$C$24)*KFC!$C$5</f>
        <v>79.75</v>
      </c>
      <c r="D134" s="468">
        <f>(80.7*KFC!$B$24*1.1+KFC!$C$24)*KFC!$C$5</f>
        <v>88.77000000000001</v>
      </c>
      <c r="E134" s="468">
        <f>(88.8*KFC!$B$24*1.1+KFC!$C$24)*KFC!$C$5</f>
        <v>97.68</v>
      </c>
      <c r="F134" s="468">
        <f>(97*KFC!$B$24*1.1+KFC!$C$24)*KFC!$C$5</f>
        <v>106.7</v>
      </c>
      <c r="G134" s="468">
        <f>(105.2*KFC!$B$24*1.1+KFC!$C$24)*KFC!$C$5</f>
        <v>115.72000000000001</v>
      </c>
      <c r="H134" s="468">
        <f>(113.3*KFC!$B$24*1.1+KFC!$C$24)*KFC!$C$5</f>
        <v>124.63000000000001</v>
      </c>
      <c r="I134" s="468">
        <f>(121.5*KFC!$B$24*1.1+KFC!$C$24)*KFC!$C$5</f>
        <v>133.65</v>
      </c>
      <c r="J134" s="468">
        <f>(129.6*KFC!$B$24*1.1+KFC!$C$24)*KFC!$C$5</f>
        <v>142.56</v>
      </c>
      <c r="K134" s="468">
        <f>(137.8*KFC!$B$24*1.1+KFC!$C$24)*KFC!$C$5</f>
        <v>151.58000000000001</v>
      </c>
      <c r="L134" s="468">
        <f>(146*KFC!$B$24*1.1+KFC!$C$24)*KFC!$C$5</f>
        <v>160.60000000000002</v>
      </c>
      <c r="M134" s="468">
        <f>(154.1*KFC!$B$24*1.1+KFC!$C$24)*KFC!$C$5</f>
        <v>169.51000000000002</v>
      </c>
      <c r="N134" s="468">
        <f>(162.3*KFC!$B$24*1.1+KFC!$C$24)*KFC!$C$5</f>
        <v>178.53000000000003</v>
      </c>
      <c r="O134" s="468">
        <f>(170.5*KFC!$B$24*1.1+KFC!$C$24)*KFC!$C$5</f>
        <v>187.55</v>
      </c>
    </row>
    <row r="135" spans="1:16">
      <c r="A135" s="1781"/>
      <c r="B135" s="392">
        <v>2.1</v>
      </c>
      <c r="C135" s="303">
        <f>(74.3*KFC!$B$24*1.1+KFC!$C$24)*KFC!$C$5</f>
        <v>81.73</v>
      </c>
      <c r="D135" s="300">
        <f>(89.2*KFC!$B$24*1.1+KFC!$C$24)*KFC!$C$5</f>
        <v>98.12</v>
      </c>
      <c r="E135" s="300">
        <f>(91.5*KFC!$B$24*1.1+KFC!$C$24)*KFC!$C$5</f>
        <v>100.65</v>
      </c>
      <c r="F135" s="300">
        <f>(100.1*KFC!$B$24*1.1+KFC!$C$24)*KFC!$C$5</f>
        <v>110.11</v>
      </c>
      <c r="G135" s="300">
        <f>(108.6*KFC!$B$24*1.1+KFC!$C$24)*KFC!$C$5</f>
        <v>119.46000000000001</v>
      </c>
      <c r="H135" s="300">
        <f>(117.2*KFC!$B$24*1.1+KFC!$C$24)*KFC!$C$5</f>
        <v>128.92000000000002</v>
      </c>
      <c r="I135" s="300">
        <f>(125.8*KFC!$B$24*1.1+KFC!$C$24)*KFC!$C$5</f>
        <v>138.38</v>
      </c>
      <c r="J135" s="300">
        <f>(134.3*KFC!$B$24*1.1+KFC!$C$24)*KFC!$C$5</f>
        <v>147.73000000000002</v>
      </c>
      <c r="K135" s="300">
        <f>(142.9*KFC!$B$24*1.1+KFC!$C$24)*KFC!$C$5</f>
        <v>157.19000000000003</v>
      </c>
      <c r="L135" s="300">
        <f>(151.5*KFC!$B$24*1.1+KFC!$C$24)*KFC!$C$5</f>
        <v>166.65</v>
      </c>
      <c r="M135" s="300">
        <f>(160*KFC!$B$24*1.1+KFC!$C$24)*KFC!$C$5</f>
        <v>176</v>
      </c>
      <c r="N135" s="300">
        <f>(168.6*KFC!$B$24*1.1+KFC!$C$24)*KFC!$C$5</f>
        <v>185.46</v>
      </c>
      <c r="O135" s="300">
        <f>(177.2*KFC!$B$24*1.1+KFC!$C$24)*KFC!$C$5</f>
        <v>194.92000000000002</v>
      </c>
    </row>
    <row r="136" spans="1:16" ht="13.8" thickBot="1">
      <c r="A136" s="1781"/>
      <c r="B136" s="392">
        <v>2.2000000000000002</v>
      </c>
      <c r="C136" s="303">
        <f>(76.2*KFC!$B$24*1.1+KFC!$C$24)*KFC!$C$5</f>
        <v>83.820000000000007</v>
      </c>
      <c r="D136" s="300">
        <f>(85.2*KFC!$B$24*1.1+KFC!$C$24)*KFC!$C$5</f>
        <v>93.720000000000013</v>
      </c>
      <c r="E136" s="300">
        <f>(94.1*KFC!$B$24*1.1+KFC!$C$24)*KFC!$C$5</f>
        <v>103.51</v>
      </c>
      <c r="F136" s="300">
        <f>(103.1*KFC!$B$24*1.1+KFC!$C$24)*KFC!$C$5</f>
        <v>113.41</v>
      </c>
      <c r="G136" s="300">
        <f>(112.1*KFC!$B$24*1.1+KFC!$C$24)*KFC!$C$5</f>
        <v>123.31</v>
      </c>
      <c r="H136" s="300">
        <f>(121.1*KFC!$B$24*1.1+KFC!$C$24)*KFC!$C$5</f>
        <v>133.21</v>
      </c>
      <c r="I136" s="300">
        <f>(130*KFC!$B$24*1.1+KFC!$C$24)*KFC!$C$5</f>
        <v>143</v>
      </c>
      <c r="J136" s="300">
        <f>(139*KFC!$B$24*1.1+KFC!$C$24)*KFC!$C$5</f>
        <v>152.9</v>
      </c>
      <c r="K136" s="300">
        <f>(148*KFC!$B$24*1.1+KFC!$C$24)*KFC!$C$5</f>
        <v>162.80000000000001</v>
      </c>
      <c r="L136" s="300">
        <f>(157*KFC!$B$24*1.1+KFC!$C$24)*KFC!$C$5</f>
        <v>172.70000000000002</v>
      </c>
      <c r="M136" s="300">
        <f>(165.9*KFC!$B$24*1.1+KFC!$C$24)*KFC!$C$5</f>
        <v>182.49</v>
      </c>
      <c r="N136" s="300">
        <f>(174.9*KFC!$B$24*1.1+KFC!$C$24)*KFC!$C$5</f>
        <v>192.39000000000001</v>
      </c>
      <c r="O136" s="300">
        <f>(183.9*KFC!$B$24*1.1+KFC!$C$24)*KFC!$C$5</f>
        <v>202.29000000000002</v>
      </c>
    </row>
    <row r="137" spans="1:16">
      <c r="A137" s="180" t="s">
        <v>303</v>
      </c>
      <c r="B137" s="346"/>
      <c r="C137" s="347"/>
      <c r="D137" s="347"/>
      <c r="E137" s="347"/>
      <c r="F137" s="347"/>
      <c r="G137" s="347"/>
      <c r="H137" s="347"/>
      <c r="I137" s="347"/>
      <c r="J137" s="347"/>
      <c r="K137" s="347"/>
      <c r="L137" s="347"/>
      <c r="M137" s="347"/>
      <c r="N137" s="347"/>
      <c r="O137" s="347"/>
    </row>
    <row r="138" spans="1:16">
      <c r="A138" s="185" t="s">
        <v>812</v>
      </c>
      <c r="B138" s="373"/>
      <c r="C138" s="345"/>
      <c r="D138" s="345"/>
      <c r="E138" s="345"/>
      <c r="F138" s="345"/>
      <c r="G138" s="345"/>
      <c r="H138" s="345"/>
      <c r="I138" s="345"/>
      <c r="J138" s="345"/>
      <c r="K138" s="345"/>
      <c r="L138" s="345"/>
      <c r="M138" s="345"/>
      <c r="N138" s="345"/>
      <c r="O138" s="345"/>
    </row>
    <row r="139" spans="1:16">
      <c r="A139" s="185" t="s">
        <v>813</v>
      </c>
      <c r="B139" s="373"/>
      <c r="C139" s="345"/>
      <c r="D139" s="345"/>
      <c r="E139" s="345"/>
      <c r="F139" s="345"/>
      <c r="G139" s="345"/>
      <c r="H139" s="345"/>
      <c r="I139" s="345"/>
      <c r="J139" s="345"/>
      <c r="K139" s="345"/>
      <c r="L139" s="345"/>
      <c r="M139" s="345"/>
      <c r="N139" s="345"/>
      <c r="O139" s="345"/>
    </row>
    <row r="140" spans="1:16">
      <c r="A140" s="3" t="s">
        <v>758</v>
      </c>
      <c r="B140" s="3"/>
      <c r="C140" s="3"/>
      <c r="D140" s="3"/>
      <c r="E140" s="3"/>
      <c r="F140" s="3"/>
      <c r="G140" s="3"/>
      <c r="H140" s="458">
        <f>(8.9*KFC!$B$24+KFC!$C$24)*KFC!$C$5</f>
        <v>8.9</v>
      </c>
      <c r="I140" s="3" t="s">
        <v>759</v>
      </c>
      <c r="J140" s="3"/>
      <c r="K140" s="345"/>
      <c r="L140" s="345"/>
      <c r="M140" s="345"/>
      <c r="N140" s="345"/>
      <c r="O140" s="345"/>
    </row>
    <row r="141" spans="1:16" ht="13.8" thickBot="1">
      <c r="A141" s="500" t="s">
        <v>808</v>
      </c>
      <c r="K141" s="345"/>
      <c r="L141" s="345"/>
      <c r="M141" s="345"/>
      <c r="N141" s="345"/>
      <c r="O141" s="345"/>
    </row>
    <row r="142" spans="1:16">
      <c r="A142" s="521" t="s">
        <v>806</v>
      </c>
      <c r="B142" s="521"/>
      <c r="C142" s="521"/>
      <c r="D142" s="521"/>
      <c r="E142" s="521"/>
      <c r="F142" s="521"/>
      <c r="G142" s="521"/>
      <c r="H142" s="521"/>
      <c r="I142" s="521"/>
      <c r="J142" s="521"/>
      <c r="L142" s="490">
        <f>(2.53*KFC!$B$20+KFC!$C$20)*KFC!$C$5</f>
        <v>2.5299999999999998</v>
      </c>
      <c r="M142" s="522" t="s">
        <v>744</v>
      </c>
      <c r="P142" s="500"/>
    </row>
  </sheetData>
  <mergeCells count="24">
    <mergeCell ref="A118:A136"/>
    <mergeCell ref="C94:O94"/>
    <mergeCell ref="C116:O116"/>
    <mergeCell ref="A6:B7"/>
    <mergeCell ref="A8:A26"/>
    <mergeCell ref="A28:B29"/>
    <mergeCell ref="A30:A48"/>
    <mergeCell ref="C6:O6"/>
    <mergeCell ref="C72:O72"/>
    <mergeCell ref="A52:A70"/>
    <mergeCell ref="A72:B73"/>
    <mergeCell ref="A74:A92"/>
    <mergeCell ref="A94:B95"/>
    <mergeCell ref="A96:A114"/>
    <mergeCell ref="A116:B117"/>
    <mergeCell ref="A4:D4"/>
    <mergeCell ref="E4:W4"/>
    <mergeCell ref="A2:O2"/>
    <mergeCell ref="C28:O28"/>
    <mergeCell ref="C50:O50"/>
    <mergeCell ref="A50:B51"/>
    <mergeCell ref="E5:O5"/>
    <mergeCell ref="A3:O3"/>
    <mergeCell ref="A5:D5"/>
  </mergeCells>
  <hyperlinks>
    <hyperlink ref="E5" r:id="rId1" xr:uid="{558FB9FA-6D99-4229-8383-8235C04EE43B}"/>
    <hyperlink ref="E4" r:id="rId2" xr:uid="{371852AE-95E3-4943-BE61-92417815A06D}"/>
  </hyperlinks>
  <pageMargins left="0.7" right="0.7" top="0.75" bottom="0.75" header="0.3" footer="0.3"/>
  <pageSetup paperSize="9" scale="80" orientation="portrait" r:id="rId3"/>
  <rowBreaks count="2" manualBreakCount="2">
    <brk id="49" max="16383" man="1"/>
    <brk id="93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5A0933-FD22-455B-A76E-DA0DA8573369}">
  <sheetPr>
    <tabColor indexed="40"/>
  </sheetPr>
  <dimension ref="A1:N145"/>
  <sheetViews>
    <sheetView view="pageBreakPreview" zoomScaleNormal="100" workbookViewId="0">
      <pane ySplit="3" topLeftCell="A115" activePane="bottomLeft" state="frozen"/>
      <selection pane="bottomLeft" activeCell="Q28" sqref="Q28"/>
    </sheetView>
  </sheetViews>
  <sheetFormatPr defaultColWidth="9.109375" defaultRowHeight="13.2"/>
  <cols>
    <col min="1" max="9" width="6.6640625" style="1" customWidth="1"/>
    <col min="10" max="12" width="7.44140625" style="1" bestFit="1" customWidth="1"/>
    <col min="13" max="14" width="6.6640625" style="1" customWidth="1"/>
    <col min="15" max="16384" width="9.109375" style="1"/>
  </cols>
  <sheetData>
    <row r="1" spans="1:14" ht="13.5" customHeight="1">
      <c r="B1" s="10"/>
      <c r="C1" s="59"/>
      <c r="D1" s="42"/>
      <c r="E1" s="10"/>
      <c r="F1" s="5"/>
    </row>
    <row r="2" spans="1:14" ht="40.5" customHeight="1">
      <c r="A2" s="1222" t="s">
        <v>1033</v>
      </c>
      <c r="B2" s="1222"/>
      <c r="C2" s="1222"/>
      <c r="D2" s="1222"/>
      <c r="E2" s="1222"/>
      <c r="F2" s="1222"/>
      <c r="G2" s="1222"/>
      <c r="H2" s="1222"/>
      <c r="I2" s="1222"/>
      <c r="J2" s="1222"/>
      <c r="K2" s="1222"/>
      <c r="L2" s="1222"/>
      <c r="M2" s="1222"/>
      <c r="N2" s="1222"/>
    </row>
    <row r="3" spans="1:14" ht="13.5" customHeight="1">
      <c r="A3" s="1541" t="s">
        <v>1030</v>
      </c>
      <c r="B3" s="1541"/>
      <c r="C3" s="1541"/>
      <c r="D3" s="1541"/>
      <c r="E3" s="1541"/>
      <c r="F3" s="1541"/>
      <c r="G3" s="1541"/>
      <c r="H3" s="1541"/>
      <c r="I3" s="1541"/>
      <c r="J3" s="1541"/>
      <c r="K3" s="1541"/>
      <c r="L3" s="1541"/>
      <c r="M3" s="1541"/>
      <c r="N3" s="1541"/>
    </row>
    <row r="4" spans="1:14" ht="18.75" customHeight="1">
      <c r="A4" s="1089" t="s">
        <v>593</v>
      </c>
      <c r="B4" s="1089"/>
      <c r="C4" s="1089"/>
      <c r="D4" s="1089"/>
      <c r="E4" s="1406"/>
      <c r="F4" s="1545"/>
      <c r="G4" s="1545"/>
      <c r="H4" s="1545"/>
      <c r="I4" s="1545"/>
      <c r="J4" s="1545"/>
      <c r="K4" s="1545"/>
      <c r="L4" s="1545"/>
      <c r="M4" s="1545"/>
      <c r="N4" s="1545"/>
    </row>
    <row r="5" spans="1:14" ht="18.75" customHeight="1" thickBot="1">
      <c r="A5" s="1089" t="s">
        <v>611</v>
      </c>
      <c r="B5" s="1089"/>
      <c r="C5" s="1089"/>
      <c r="D5" s="1089"/>
      <c r="E5" s="1406" t="s">
        <v>613</v>
      </c>
      <c r="F5" s="1545"/>
      <c r="G5" s="1545"/>
      <c r="H5" s="1545"/>
      <c r="I5" s="1545"/>
      <c r="J5" s="1545"/>
      <c r="K5" s="1545"/>
      <c r="L5" s="1545"/>
      <c r="M5" s="1545"/>
      <c r="N5" s="1545"/>
    </row>
    <row r="6" spans="1:14" ht="13.5" customHeight="1" thickBot="1">
      <c r="A6" s="1413" t="s">
        <v>462</v>
      </c>
      <c r="B6" s="1415"/>
      <c r="C6" s="1534" t="s">
        <v>207</v>
      </c>
      <c r="D6" s="1535"/>
      <c r="E6" s="1535"/>
      <c r="F6" s="1535"/>
      <c r="G6" s="1535"/>
      <c r="H6" s="1535"/>
      <c r="I6" s="1535"/>
      <c r="J6" s="1535"/>
      <c r="K6" s="1535"/>
      <c r="L6" s="1536"/>
      <c r="M6" s="437"/>
      <c r="N6" s="437"/>
    </row>
    <row r="7" spans="1:14" ht="13.5" customHeight="1" thickBot="1">
      <c r="A7" s="1416"/>
      <c r="B7" s="1418"/>
      <c r="C7" s="119">
        <v>0.4</v>
      </c>
      <c r="D7" s="119">
        <v>0.5</v>
      </c>
      <c r="E7" s="119">
        <v>0.6</v>
      </c>
      <c r="F7" s="119">
        <v>0.7</v>
      </c>
      <c r="G7" s="119">
        <v>0.8</v>
      </c>
      <c r="H7" s="119">
        <v>0.9</v>
      </c>
      <c r="I7" s="119">
        <v>1</v>
      </c>
      <c r="J7" s="119">
        <v>1.1000000000000001</v>
      </c>
      <c r="K7" s="119">
        <v>1.2</v>
      </c>
      <c r="L7" s="120">
        <v>1.3</v>
      </c>
      <c r="M7" s="184"/>
      <c r="N7" s="184"/>
    </row>
    <row r="8" spans="1:14" ht="13.5" customHeight="1">
      <c r="A8" s="1537" t="s">
        <v>3</v>
      </c>
      <c r="B8" s="226">
        <v>0.5</v>
      </c>
      <c r="C8" s="311">
        <f>(10.4*KFC!$B$25*1.02*1.05*1.05+KFC!$C$25)*KFC!$C$5</f>
        <v>11.695320000000001</v>
      </c>
      <c r="D8" s="312">
        <f>(11.3*KFC!$B$25*1.02*1.05*1.05+KFC!$C$25)*KFC!$C$5</f>
        <v>12.707415000000003</v>
      </c>
      <c r="E8" s="312">
        <f>(12.2*KFC!$B$25*1.02*1.05*1.05+KFC!$C$25)*KFC!$C$5</f>
        <v>13.719510000000001</v>
      </c>
      <c r="F8" s="312">
        <f>(13.1*KFC!$B$25*1.02*1.05*1.05+KFC!$C$25)*KFC!$C$5</f>
        <v>14.731605000000002</v>
      </c>
      <c r="G8" s="312">
        <f>(14*KFC!$B$25*1.02*1.05*1.05+KFC!$C$25)*KFC!$C$5</f>
        <v>15.743700000000002</v>
      </c>
      <c r="H8" s="312">
        <f>(14.9*KFC!$B$25*1.02*1.05*1.05+KFC!$C$25)*KFC!$C$5</f>
        <v>16.755795000000003</v>
      </c>
      <c r="I8" s="312">
        <f>(15.8*KFC!$B$25*1.02*1.05*1.05+KFC!$C$25)*KFC!$C$5</f>
        <v>17.767890000000001</v>
      </c>
      <c r="J8" s="312">
        <f>(16.7*KFC!$B$25*1.02*1.05*1.05+KFC!$C$25)*KFC!$C$5</f>
        <v>18.779985</v>
      </c>
      <c r="K8" s="312">
        <f>(17.6*KFC!$B$25*1.02*1.05*1.05+KFC!$C$25)*KFC!$C$5</f>
        <v>19.792080000000002</v>
      </c>
      <c r="L8" s="313">
        <f>(18.5*KFC!$B$25*1.02*1.05*1.05+KFC!$C$25)*KFC!$C$5</f>
        <v>20.804175000000001</v>
      </c>
      <c r="M8" s="438"/>
      <c r="N8" s="438"/>
    </row>
    <row r="9" spans="1:14" ht="13.5" customHeight="1">
      <c r="A9" s="1538"/>
      <c r="B9" s="224">
        <v>0.6</v>
      </c>
      <c r="C9" s="314">
        <f>(10.6*KFC!$B$25*1.02*1.05*1.05+KFC!$C$25)*KFC!$C$5</f>
        <v>11.920230000000002</v>
      </c>
      <c r="D9" s="315">
        <f>(11.5*KFC!$B$25*1.02*1.05*1.05+KFC!$C$25)*KFC!$C$5</f>
        <v>12.932325000000002</v>
      </c>
      <c r="E9" s="315">
        <f>(12.5*KFC!$B$25*1.02*1.05*1.05+KFC!$C$25)*KFC!$C$5</f>
        <v>14.056875000000002</v>
      </c>
      <c r="F9" s="315">
        <f>(13.4*KFC!$B$25*1.02*1.05*1.05+KFC!$C$25)*KFC!$C$5</f>
        <v>15.068970000000002</v>
      </c>
      <c r="G9" s="315">
        <f>(14.3*KFC!$B$25*1.02*1.05*1.05+KFC!$C$25)*KFC!$C$5</f>
        <v>16.081065000000002</v>
      </c>
      <c r="H9" s="315">
        <f>(15.3*KFC!$B$25*1.02*1.05*1.05+KFC!$C$25)*KFC!$C$5</f>
        <v>17.205615000000002</v>
      </c>
      <c r="I9" s="315">
        <f>(16.2*KFC!$B$25*1.02*1.05*1.05+KFC!$C$25)*KFC!$C$5</f>
        <v>18.21771</v>
      </c>
      <c r="J9" s="315">
        <f>(17.2*KFC!$B$25*1.02*1.05*1.05+KFC!$C$25)*KFC!$C$5</f>
        <v>19.342260000000003</v>
      </c>
      <c r="K9" s="315">
        <f>(18.1*KFC!$B$25*1.02*1.05*1.05+KFC!$C$25)*KFC!$C$5</f>
        <v>20.354355000000005</v>
      </c>
      <c r="L9" s="316">
        <f>(19*KFC!$B$25*1.02*1.05*1.05+KFC!$C$25)*KFC!$C$5</f>
        <v>21.36645</v>
      </c>
      <c r="M9" s="438"/>
      <c r="N9" s="438"/>
    </row>
    <row r="10" spans="1:14" ht="13.5" customHeight="1">
      <c r="A10" s="1538"/>
      <c r="B10" s="224">
        <v>0.7</v>
      </c>
      <c r="C10" s="314">
        <f>(10.8*KFC!$B$25*1.02*1.05*1.05+KFC!$C$25)*KFC!$C$5</f>
        <v>12.145140000000003</v>
      </c>
      <c r="D10" s="315">
        <f>(11.8*KFC!$B$25*1.02*1.05*1.05+KFC!$C$25)*KFC!$C$5</f>
        <v>13.269690000000002</v>
      </c>
      <c r="E10" s="315">
        <f>(12.8*KFC!$B$25*1.02*1.05*1.05+KFC!$C$25)*KFC!$C$5</f>
        <v>14.394240000000002</v>
      </c>
      <c r="F10" s="315">
        <f>(13.7*KFC!$B$25*1.02*1.05*1.05+KFC!$C$25)*KFC!$C$5</f>
        <v>15.406335000000002</v>
      </c>
      <c r="G10" s="315">
        <f>(14.7*KFC!$B$25*1.02*1.05*1.05+KFC!$C$25)*KFC!$C$5</f>
        <v>16.530885000000001</v>
      </c>
      <c r="H10" s="315">
        <f>(15.7*KFC!$B$25*1.02*1.05*1.05+KFC!$C$25)*KFC!$C$5</f>
        <v>17.655435000000001</v>
      </c>
      <c r="I10" s="315">
        <f>(16.7*KFC!$B$25*1.02*1.05*1.05+KFC!$C$25)*KFC!$C$5</f>
        <v>18.779985</v>
      </c>
      <c r="J10" s="315">
        <f>(17.7*KFC!$B$25*1.02*1.05*1.05+KFC!$C$25)*KFC!$C$5</f>
        <v>19.904534999999999</v>
      </c>
      <c r="K10" s="315">
        <f>(18.7*KFC!$B$25*1.02*1.05*1.05+KFC!$C$25)*KFC!$C$5</f>
        <v>21.029085000000002</v>
      </c>
      <c r="L10" s="316">
        <f>(19.6*KFC!$B$25*1.02*1.05*1.05+KFC!$C$25)*KFC!$C$5</f>
        <v>22.041180000000004</v>
      </c>
      <c r="M10" s="438"/>
      <c r="N10" s="438"/>
    </row>
    <row r="11" spans="1:14" ht="13.5" customHeight="1">
      <c r="A11" s="1538"/>
      <c r="B11" s="224">
        <v>0.8</v>
      </c>
      <c r="C11" s="314">
        <f>(11*KFC!$B$25*1.02*1.05*1.05+KFC!$C$25)*KFC!$C$5</f>
        <v>12.370050000000001</v>
      </c>
      <c r="D11" s="315">
        <f>(12*KFC!$B$25*1.02*1.05*1.05+KFC!$C$25)*KFC!$C$5</f>
        <v>13.4946</v>
      </c>
      <c r="E11" s="315">
        <f>(13*KFC!$B$25*1.02*1.05*1.05+KFC!$C$25)*KFC!$C$5</f>
        <v>14.619150000000001</v>
      </c>
      <c r="F11" s="315">
        <f>(14.1*KFC!$B$25*1.02*1.05*1.05+KFC!$C$25)*KFC!$C$5</f>
        <v>15.856155000000001</v>
      </c>
      <c r="G11" s="315">
        <f>(15.1*KFC!$B$25*1.02*1.05*1.05+KFC!$C$25)*KFC!$C$5</f>
        <v>16.980705</v>
      </c>
      <c r="H11" s="315">
        <f>(16.1*KFC!$B$25*1.02*1.05*1.05+KFC!$C$25)*KFC!$C$5</f>
        <v>18.105255000000003</v>
      </c>
      <c r="I11" s="315">
        <f>(17.1*KFC!$B$25*1.02*1.05*1.05+KFC!$C$25)*KFC!$C$5</f>
        <v>19.229804999999999</v>
      </c>
      <c r="J11" s="315">
        <f>(18.2*KFC!$B$25*1.02*1.05*1.05+KFC!$C$25)*KFC!$C$5</f>
        <v>20.466810000000002</v>
      </c>
      <c r="K11" s="315">
        <f>(19.2*KFC!$B$25*1.02*1.05*1.05+KFC!$C$25)*KFC!$C$5</f>
        <v>21.591360000000002</v>
      </c>
      <c r="L11" s="316">
        <f>(20.2*KFC!$B$25*1.02*1.05*1.05+KFC!$C$25)*KFC!$C$5</f>
        <v>22.715910000000001</v>
      </c>
      <c r="M11" s="438"/>
      <c r="N11" s="438"/>
    </row>
    <row r="12" spans="1:14" ht="13.5" customHeight="1">
      <c r="A12" s="1538"/>
      <c r="B12" s="224">
        <v>0.9</v>
      </c>
      <c r="C12" s="314">
        <f>(11.2*KFC!$B$25*1.02*1.05*1.05+KFC!$C$25)*KFC!$C$5</f>
        <v>12.59496</v>
      </c>
      <c r="D12" s="315">
        <f>(12.3*KFC!$B$25*1.02*1.05*1.05+KFC!$C$25)*KFC!$C$5</f>
        <v>13.831965000000002</v>
      </c>
      <c r="E12" s="315">
        <f>(13.3*KFC!$B$25*1.02*1.05*1.05+KFC!$C$25)*KFC!$C$5</f>
        <v>14.956515000000001</v>
      </c>
      <c r="F12" s="315">
        <f>(14.4*KFC!$B$25*1.02*1.05*1.05+KFC!$C$25)*KFC!$C$5</f>
        <v>16.193520000000003</v>
      </c>
      <c r="G12" s="315">
        <f>(15.5*KFC!$B$25*1.02*1.05*1.05+KFC!$C$25)*KFC!$C$5</f>
        <v>17.430524999999999</v>
      </c>
      <c r="H12" s="315">
        <f>(16.5*KFC!$B$25*1.02*1.05*1.05+KFC!$C$25)*KFC!$C$5</f>
        <v>18.555075000000002</v>
      </c>
      <c r="I12" s="315">
        <f>(17.6*KFC!$B$25*1.02*1.05*1.05+KFC!$C$25)*KFC!$C$5</f>
        <v>19.792080000000002</v>
      </c>
      <c r="J12" s="315">
        <f>(18.7*KFC!$B$25*1.02*1.05*1.05+KFC!$C$25)*KFC!$C$5</f>
        <v>21.029085000000002</v>
      </c>
      <c r="K12" s="315">
        <f>(19.7*KFC!$B$25*1.02*1.05*1.05+KFC!$C$25)*KFC!$C$5</f>
        <v>22.153635000000001</v>
      </c>
      <c r="L12" s="316">
        <f>(20.8*KFC!$B$25*1.02*1.05*1.05+KFC!$C$25)*KFC!$C$5</f>
        <v>23.390640000000001</v>
      </c>
      <c r="M12" s="438"/>
      <c r="N12" s="438"/>
    </row>
    <row r="13" spans="1:14" ht="13.5" customHeight="1">
      <c r="A13" s="1538"/>
      <c r="B13" s="224">
        <v>1</v>
      </c>
      <c r="C13" s="314">
        <f>(11.4*KFC!$B$25*1.02*1.05*1.05+KFC!$C$25)*KFC!$C$5</f>
        <v>12.819870000000002</v>
      </c>
      <c r="D13" s="315">
        <f>(12.5*KFC!$B$25*1.02*1.05*1.05+KFC!$C$25)*KFC!$C$5</f>
        <v>14.056875000000002</v>
      </c>
      <c r="E13" s="315">
        <f>(13.6*KFC!$B$25*1.02*1.05*1.05+KFC!$C$25)*KFC!$C$5</f>
        <v>15.29388</v>
      </c>
      <c r="F13" s="315">
        <f>(14.7*KFC!$B$25*1.02*1.05*1.05+KFC!$C$25)*KFC!$C$5</f>
        <v>16.530885000000001</v>
      </c>
      <c r="G13" s="315">
        <f>(15.8*KFC!$B$25*1.02*1.05*1.05+KFC!$C$25)*KFC!$C$5</f>
        <v>17.767890000000001</v>
      </c>
      <c r="H13" s="315">
        <f>(17*KFC!$B$25*1.02*1.05*1.05+KFC!$C$25)*KFC!$C$5</f>
        <v>19.117350000000002</v>
      </c>
      <c r="I13" s="315">
        <f>(18.1*KFC!$B$25*1.02*1.05*1.05+KFC!$C$25)*KFC!$C$5</f>
        <v>20.354355000000005</v>
      </c>
      <c r="J13" s="315">
        <f>(19.2*KFC!$B$25*1.02*1.05*1.05+KFC!$C$25)*KFC!$C$5</f>
        <v>21.591360000000002</v>
      </c>
      <c r="K13" s="315">
        <f>(20.3*KFC!$B$25*1.02*1.05*1.05+KFC!$C$25)*KFC!$C$5</f>
        <v>22.828365000000002</v>
      </c>
      <c r="L13" s="316">
        <f>(21.4*KFC!$B$25*1.02*1.05*1.05+KFC!$C$25)*KFC!$C$5</f>
        <v>24.065370000000001</v>
      </c>
      <c r="M13" s="438"/>
      <c r="N13" s="438"/>
    </row>
    <row r="14" spans="1:14" ht="13.5" customHeight="1">
      <c r="A14" s="1538"/>
      <c r="B14" s="224">
        <v>1.1000000000000001</v>
      </c>
      <c r="C14" s="314">
        <f>(11.6*KFC!$B$25*1.02*1.05*1.05+KFC!$C$25)*KFC!$C$5</f>
        <v>13.044779999999999</v>
      </c>
      <c r="D14" s="315">
        <f>(12.8*KFC!$B$25*1.02*1.05*1.05+KFC!$C$25)*KFC!$C$5</f>
        <v>14.394240000000002</v>
      </c>
      <c r="E14" s="315">
        <f>(13.9*KFC!$B$25*1.02*1.05*1.05+KFC!$C$25)*KFC!$C$5</f>
        <v>15.631245000000002</v>
      </c>
      <c r="F14" s="315">
        <f>(15.1*KFC!$B$25*1.02*1.05*1.05+KFC!$C$25)*KFC!$C$5</f>
        <v>16.980705</v>
      </c>
      <c r="G14" s="315">
        <f>(16.2*KFC!$B$25*1.02*1.05*1.05+KFC!$C$25)*KFC!$C$5</f>
        <v>18.21771</v>
      </c>
      <c r="H14" s="315">
        <f>(17.4*KFC!$B$25*1.02*1.05*1.05+KFC!$C$25)*KFC!$C$5</f>
        <v>19.567169999999997</v>
      </c>
      <c r="I14" s="315">
        <f>(18.5*KFC!$B$25*1.02*1.05*1.05+KFC!$C$25)*KFC!$C$5</f>
        <v>20.804175000000001</v>
      </c>
      <c r="J14" s="315">
        <f>(19.7*KFC!$B$25*1.02*1.05*1.05+KFC!$C$25)*KFC!$C$5</f>
        <v>22.153635000000001</v>
      </c>
      <c r="K14" s="315">
        <f>(20.8*KFC!$B$25*1.02*1.05*1.05+KFC!$C$25)*KFC!$C$5</f>
        <v>23.390640000000001</v>
      </c>
      <c r="L14" s="316">
        <f>(22*KFC!$B$25*1.02*1.05*1.05+KFC!$C$25)*KFC!$C$5</f>
        <v>24.740100000000002</v>
      </c>
      <c r="M14" s="438"/>
      <c r="N14" s="438"/>
    </row>
    <row r="15" spans="1:14" ht="13.5" customHeight="1">
      <c r="A15" s="1538"/>
      <c r="B15" s="224">
        <v>1.2</v>
      </c>
      <c r="C15" s="314">
        <f>(11.8*KFC!$B$25*1.02*1.05*1.05+KFC!$C$25)*KFC!$C$5</f>
        <v>13.269690000000002</v>
      </c>
      <c r="D15" s="315">
        <f>(13*KFC!$B$25*1.02*1.05*1.05+KFC!$C$25)*KFC!$C$5</f>
        <v>14.619150000000001</v>
      </c>
      <c r="E15" s="315">
        <f>(14.2*KFC!$B$25*1.02*1.05*1.05+KFC!$C$25)*KFC!$C$5</f>
        <v>15.968610000000002</v>
      </c>
      <c r="F15" s="315">
        <f>(15.4*KFC!$B$25*1.02*1.05*1.05+KFC!$C$25)*KFC!$C$5</f>
        <v>17.318070000000002</v>
      </c>
      <c r="G15" s="315">
        <f>(16.6*KFC!$B$25*1.02*1.05*1.05+KFC!$C$25)*KFC!$C$5</f>
        <v>18.667530000000006</v>
      </c>
      <c r="H15" s="315">
        <f>(17.8*KFC!$B$25*1.02*1.05*1.05+KFC!$C$25)*KFC!$C$5</f>
        <v>20.016990000000003</v>
      </c>
      <c r="I15" s="315">
        <f>(19*KFC!$B$25*1.02*1.05*1.05+KFC!$C$25)*KFC!$C$5</f>
        <v>21.36645</v>
      </c>
      <c r="J15" s="315">
        <f>(20.2*KFC!$B$25*1.02*1.05*1.05+KFC!$C$25)*KFC!$C$5</f>
        <v>22.715910000000001</v>
      </c>
      <c r="K15" s="315">
        <f>(21.4*KFC!$B$25*1.02*1.05*1.05+KFC!$C$25)*KFC!$C$5</f>
        <v>24.065370000000001</v>
      </c>
      <c r="L15" s="316">
        <f>(22.6*KFC!$B$25*1.02*1.05*1.05+KFC!$C$25)*KFC!$C$5</f>
        <v>25.414830000000006</v>
      </c>
      <c r="M15" s="438"/>
      <c r="N15" s="438"/>
    </row>
    <row r="16" spans="1:14" ht="13.5" customHeight="1">
      <c r="A16" s="1538"/>
      <c r="B16" s="224">
        <v>1.3</v>
      </c>
      <c r="C16" s="314">
        <f>(12*KFC!$B$25*1.02*1.05*1.05+KFC!$C$25)*KFC!$C$5</f>
        <v>13.4946</v>
      </c>
      <c r="D16" s="315">
        <f>(13.2*KFC!$B$25*1.02*1.05*1.05+KFC!$C$25)*KFC!$C$5</f>
        <v>14.844060000000001</v>
      </c>
      <c r="E16" s="315">
        <f>(14.5*KFC!$B$25*1.02*1.05*1.05+KFC!$C$25)*KFC!$C$5</f>
        <v>16.305975000000004</v>
      </c>
      <c r="F16" s="315">
        <f>(15.7*KFC!$B$25*1.02*1.05*1.05+KFC!$C$25)*KFC!$C$5</f>
        <v>17.655435000000001</v>
      </c>
      <c r="G16" s="315">
        <f>(17*KFC!$B$25*1.02*1.05*1.05+KFC!$C$25)*KFC!$C$5</f>
        <v>19.117350000000002</v>
      </c>
      <c r="H16" s="315">
        <f>(18.2*KFC!$B$25*1.02*1.05*1.05+KFC!$C$25)*KFC!$C$5</f>
        <v>20.466810000000002</v>
      </c>
      <c r="I16" s="315">
        <f>(19.4*KFC!$B$25*1.02*1.05*1.05+KFC!$C$25)*KFC!$C$5</f>
        <v>21.816269999999999</v>
      </c>
      <c r="J16" s="315">
        <f>(20.7*KFC!$B$25*1.02*1.05*1.05+KFC!$C$25)*KFC!$C$5</f>
        <v>23.278185000000004</v>
      </c>
      <c r="K16" s="315">
        <f>(21.9*KFC!$B$25*1.02*1.05*1.05+KFC!$C$25)*KFC!$C$5</f>
        <v>24.627645000000001</v>
      </c>
      <c r="L16" s="316">
        <f>(23.2*KFC!$B$25*1.02*1.05*1.05+KFC!$C$25)*KFC!$C$5</f>
        <v>26.089559999999999</v>
      </c>
      <c r="M16" s="438"/>
      <c r="N16" s="438"/>
    </row>
    <row r="17" spans="1:14" ht="13.5" customHeight="1">
      <c r="A17" s="1538"/>
      <c r="B17" s="224">
        <v>1.4</v>
      </c>
      <c r="C17" s="314">
        <f>(12.2*KFC!$B$25*1.02*1.05*1.05+KFC!$C$25)*KFC!$C$5</f>
        <v>13.719510000000001</v>
      </c>
      <c r="D17" s="315">
        <f>(13.5*KFC!$B$25*1.02*1.05*1.05+KFC!$C$25)*KFC!$C$5</f>
        <v>15.181425000000001</v>
      </c>
      <c r="E17" s="315">
        <f>(14.8*KFC!$B$25*1.02*1.05*1.05+KFC!$C$25)*KFC!$C$5</f>
        <v>16.643340000000006</v>
      </c>
      <c r="F17" s="315">
        <f>(16.1*KFC!$B$25*1.02*1.05*1.05+KFC!$C$25)*KFC!$C$5</f>
        <v>18.105255000000003</v>
      </c>
      <c r="G17" s="315">
        <f>(17.3*KFC!$B$25*1.02*1.05*1.05+KFC!$C$25)*KFC!$C$5</f>
        <v>19.454715000000004</v>
      </c>
      <c r="H17" s="315">
        <f>(18.6*KFC!$B$25*1.02*1.05*1.05+KFC!$C$25)*KFC!$C$5</f>
        <v>20.916630000000005</v>
      </c>
      <c r="I17" s="315">
        <f>(19.9*KFC!$B$25*1.02*1.05*1.05+KFC!$C$25)*KFC!$C$5</f>
        <v>22.378544999999999</v>
      </c>
      <c r="J17" s="315">
        <f>(21.2*KFC!$B$25*1.02*1.05*1.05+KFC!$C$25)*KFC!$C$5</f>
        <v>23.840460000000004</v>
      </c>
      <c r="K17" s="315">
        <f>(22.5*KFC!$B$25*1.02*1.05*1.05+KFC!$C$25)*KFC!$C$5</f>
        <v>25.302375000000001</v>
      </c>
      <c r="L17" s="316">
        <f>(23.8*KFC!$B$25*1.02*1.05*1.05+KFC!$C$25)*KFC!$C$5</f>
        <v>26.764290000000003</v>
      </c>
      <c r="M17" s="438"/>
      <c r="N17" s="438"/>
    </row>
    <row r="18" spans="1:14" ht="13.5" customHeight="1">
      <c r="A18" s="1538"/>
      <c r="B18" s="224">
        <v>1.5</v>
      </c>
      <c r="C18" s="314">
        <f>(12.4*KFC!$B$25*1.02*1.05*1.05+KFC!$C$25)*KFC!$C$5</f>
        <v>13.944420000000003</v>
      </c>
      <c r="D18" s="315">
        <f>(13.7*KFC!$B$25*1.02*1.05*1.05+KFC!$C$25)*KFC!$C$5</f>
        <v>15.406335000000002</v>
      </c>
      <c r="E18" s="315">
        <f>(15.1*KFC!$B$25*1.02*1.05*1.05+KFC!$C$25)*KFC!$C$5</f>
        <v>16.980705</v>
      </c>
      <c r="F18" s="315">
        <f>(16.4*KFC!$B$25*1.02*1.05*1.05+KFC!$C$25)*KFC!$C$5</f>
        <v>18.442620000000002</v>
      </c>
      <c r="G18" s="315">
        <f>(17.7*KFC!$B$25*1.02*1.05*1.05+KFC!$C$25)*KFC!$C$5</f>
        <v>19.904534999999999</v>
      </c>
      <c r="H18" s="315">
        <f>(19*KFC!$B$25*1.02*1.05*1.05+KFC!$C$25)*KFC!$C$5</f>
        <v>21.36645</v>
      </c>
      <c r="I18" s="315">
        <f>(20.4*KFC!$B$25*1.02*1.05*1.05+KFC!$C$25)*KFC!$C$5</f>
        <v>22.940820000000002</v>
      </c>
      <c r="J18" s="315">
        <f>(21.7*KFC!$B$25*1.02*1.05*1.05+KFC!$C$25)*KFC!$C$5</f>
        <v>24.402735</v>
      </c>
      <c r="K18" s="315">
        <f>(23*KFC!$B$25*1.02*1.05*1.05+KFC!$C$25)*KFC!$C$5</f>
        <v>25.864650000000005</v>
      </c>
      <c r="L18" s="316">
        <f>(24.3*KFC!$B$25*1.02*1.05*1.05+KFC!$C$25)*KFC!$C$5</f>
        <v>27.326565000000002</v>
      </c>
      <c r="M18" s="438"/>
      <c r="N18" s="438"/>
    </row>
    <row r="19" spans="1:14" ht="13.5" customHeight="1">
      <c r="A19" s="1538"/>
      <c r="B19" s="224">
        <v>1.6</v>
      </c>
      <c r="C19" s="314">
        <f>(12.6*KFC!$B$25*1.02*1.05*1.05+KFC!$C$25)*KFC!$C$5</f>
        <v>14.16933</v>
      </c>
      <c r="D19" s="315">
        <f>(14*KFC!$B$25*1.02*1.05*1.05+KFC!$C$25)*KFC!$C$5</f>
        <v>15.743700000000002</v>
      </c>
      <c r="E19" s="315">
        <f>(15.3*KFC!$B$25*1.02*1.05*1.05+KFC!$C$25)*KFC!$C$5</f>
        <v>17.205615000000002</v>
      </c>
      <c r="F19" s="315">
        <f>(16.7*KFC!$B$25*1.02*1.05*1.05+KFC!$C$25)*KFC!$C$5</f>
        <v>18.779985</v>
      </c>
      <c r="G19" s="315">
        <f>(18.1*KFC!$B$25*1.02*1.05*1.05+KFC!$C$25)*KFC!$C$5</f>
        <v>20.354355000000005</v>
      </c>
      <c r="H19" s="315">
        <f>(19.5*KFC!$B$25*1.02*1.05*1.05+KFC!$C$25)*KFC!$C$5</f>
        <v>21.928725000000004</v>
      </c>
      <c r="I19" s="315">
        <f>(20.8*KFC!$B$25*1.02*1.05*1.05+KFC!$C$25)*KFC!$C$5</f>
        <v>23.390640000000001</v>
      </c>
      <c r="J19" s="315">
        <f>(22.2*KFC!$B$25*1.02*1.05*1.05+KFC!$C$25)*KFC!$C$5</f>
        <v>24.965009999999999</v>
      </c>
      <c r="K19" s="315">
        <f>(23.6*KFC!$B$25*1.02*1.05*1.05+KFC!$C$25)*KFC!$C$5</f>
        <v>26.539380000000005</v>
      </c>
      <c r="L19" s="316">
        <f>(24.9*KFC!$B$25*1.02*1.05*1.05+KFC!$C$25)*KFC!$C$5</f>
        <v>28.001294999999999</v>
      </c>
      <c r="M19" s="438"/>
      <c r="N19" s="438"/>
    </row>
    <row r="20" spans="1:14" ht="13.5" customHeight="1">
      <c r="A20" s="1538"/>
      <c r="B20" s="224">
        <v>1.7</v>
      </c>
      <c r="C20" s="314">
        <f>(12.8*KFC!$B$25*1.02*1.05*1.05+KFC!$C$25)*KFC!$C$5</f>
        <v>14.394240000000002</v>
      </c>
      <c r="D20" s="315">
        <f>(14.2*KFC!$B$25*1.02*1.05*1.05+KFC!$C$25)*KFC!$C$5</f>
        <v>15.968610000000002</v>
      </c>
      <c r="E20" s="315">
        <f>(15.6*KFC!$B$25*1.02*1.05*1.05+KFC!$C$25)*KFC!$C$5</f>
        <v>17.54298</v>
      </c>
      <c r="F20" s="315">
        <f>(17*KFC!$B$25*1.02*1.05*1.05+KFC!$C$25)*KFC!$C$5</f>
        <v>19.117350000000002</v>
      </c>
      <c r="G20" s="315">
        <f>(18.5*KFC!$B$25*1.02*1.05*1.05+KFC!$C$25)*KFC!$C$5</f>
        <v>20.804175000000001</v>
      </c>
      <c r="H20" s="315">
        <f>(19.9*KFC!$B$25*1.02*1.05*1.05+KFC!$C$25)*KFC!$C$5</f>
        <v>22.378544999999999</v>
      </c>
      <c r="I20" s="315">
        <f>(21.3*KFC!$B$25*1.02*1.05*1.05+KFC!$C$25)*KFC!$C$5</f>
        <v>23.952915000000004</v>
      </c>
      <c r="J20" s="315">
        <f>(22.7*KFC!$B$25*1.02*1.05*1.05+KFC!$C$25)*KFC!$C$5</f>
        <v>25.527285000000003</v>
      </c>
      <c r="K20" s="315">
        <f>(24.1*KFC!$B$25*1.02*1.05*1.05+KFC!$C$25)*KFC!$C$5</f>
        <v>27.101655000000004</v>
      </c>
      <c r="L20" s="316">
        <f>(25.5*KFC!$B$25*1.02*1.05*1.05+KFC!$C$25)*KFC!$C$5</f>
        <v>28.676025000000003</v>
      </c>
      <c r="M20" s="438"/>
      <c r="N20" s="438"/>
    </row>
    <row r="21" spans="1:14" ht="13.5" customHeight="1">
      <c r="A21" s="1538"/>
      <c r="B21" s="224">
        <v>1.8</v>
      </c>
      <c r="C21" s="314">
        <f>(13*KFC!$B$25*1.02*1.05*1.05+KFC!$C$25)*KFC!$C$5</f>
        <v>14.619150000000001</v>
      </c>
      <c r="D21" s="315">
        <f>(14.5*KFC!$B$25*1.02*1.05*1.05+KFC!$C$25)*KFC!$C$5</f>
        <v>16.305975000000004</v>
      </c>
      <c r="E21" s="315">
        <f>(15.9*KFC!$B$25*1.02*1.05*1.05+KFC!$C$25)*KFC!$C$5</f>
        <v>17.880345000000002</v>
      </c>
      <c r="F21" s="315">
        <f>(17.4*KFC!$B$25*1.02*1.05*1.05+KFC!$C$25)*KFC!$C$5</f>
        <v>19.567169999999997</v>
      </c>
      <c r="G21" s="315">
        <f>(18.8*KFC!$B$25*1.02*1.05*1.05+KFC!$C$25)*KFC!$C$5</f>
        <v>21.141540000000003</v>
      </c>
      <c r="H21" s="315">
        <f>(20.3*KFC!$B$25*1.02*1.05*1.05+KFC!$C$25)*KFC!$C$5</f>
        <v>22.828365000000002</v>
      </c>
      <c r="I21" s="315">
        <f>(21.7*KFC!$B$25*1.02*1.05*1.05+KFC!$C$25)*KFC!$C$5</f>
        <v>24.402735</v>
      </c>
      <c r="J21" s="315">
        <f>(23.2*KFC!$B$25*1.02*1.05*1.05+KFC!$C$25)*KFC!$C$5</f>
        <v>26.089559999999999</v>
      </c>
      <c r="K21" s="315">
        <f>(24.7*KFC!$B$25*1.02*1.05*1.05+KFC!$C$25)*KFC!$C$5</f>
        <v>27.776385000000001</v>
      </c>
      <c r="L21" s="316">
        <f>(26.1*KFC!$B$25*1.02*1.05*1.05+KFC!$C$25)*KFC!$C$5</f>
        <v>29.350755000000007</v>
      </c>
      <c r="M21" s="438"/>
      <c r="N21" s="438"/>
    </row>
    <row r="22" spans="1:14" ht="13.5" customHeight="1">
      <c r="A22" s="1538"/>
      <c r="B22" s="224">
        <v>1.9</v>
      </c>
      <c r="C22" s="314">
        <f>(13.2*KFC!$B$25*1.02*1.05*1.05+KFC!$C$25)*KFC!$C$5</f>
        <v>14.844060000000001</v>
      </c>
      <c r="D22" s="315">
        <f>(14.7*KFC!$B$25*1.02*1.05*1.05+KFC!$C$25)*KFC!$C$5</f>
        <v>16.530885000000001</v>
      </c>
      <c r="E22" s="315">
        <f>(16.2*KFC!$B$25*1.02*1.05*1.05+KFC!$C$25)*KFC!$C$5</f>
        <v>18.21771</v>
      </c>
      <c r="F22" s="315">
        <f>(17.7*KFC!$B$25*1.02*1.05*1.05+KFC!$C$25)*KFC!$C$5</f>
        <v>19.904534999999999</v>
      </c>
      <c r="G22" s="315">
        <f>(19.2*KFC!$B$25*1.02*1.05*1.05+KFC!$C$25)*KFC!$C$5</f>
        <v>21.591360000000002</v>
      </c>
      <c r="H22" s="315">
        <f>(20.7*KFC!$B$25*1.02*1.05*1.05+KFC!$C$25)*KFC!$C$5</f>
        <v>23.278185000000004</v>
      </c>
      <c r="I22" s="315">
        <f>(22.2*KFC!$B$25*1.02*1.05*1.05+KFC!$C$25)*KFC!$C$5</f>
        <v>24.965009999999999</v>
      </c>
      <c r="J22" s="315">
        <f>(23.7*KFC!$B$25*1.02*1.05*1.05+KFC!$C$25)*KFC!$C$5</f>
        <v>26.651835000000002</v>
      </c>
      <c r="K22" s="315">
        <f>(25.2*KFC!$B$25*1.02*1.05*1.05+KFC!$C$25)*KFC!$C$5</f>
        <v>28.338660000000001</v>
      </c>
      <c r="L22" s="316">
        <f>(26.7*KFC!$B$25*1.02*1.05*1.05+KFC!$C$25)*KFC!$C$5</f>
        <v>30.025485000000003</v>
      </c>
      <c r="M22" s="438"/>
      <c r="N22" s="438"/>
    </row>
    <row r="23" spans="1:14" ht="13.5" customHeight="1" thickBot="1">
      <c r="A23" s="1539"/>
      <c r="B23" s="225">
        <v>2</v>
      </c>
      <c r="C23" s="317">
        <f>(13.4*KFC!$B$25*1.02*1.05*1.05+KFC!$C$25)*KFC!$C$5</f>
        <v>15.068970000000002</v>
      </c>
      <c r="D23" s="318">
        <f>(15*KFC!$B$25*1.02*1.05*1.05+KFC!$C$25)*KFC!$C$5</f>
        <v>16.868250000000003</v>
      </c>
      <c r="E23" s="318">
        <f>(16.5*KFC!$B$25*1.02*1.05*1.05+KFC!$C$25)*KFC!$C$5</f>
        <v>18.555075000000002</v>
      </c>
      <c r="F23" s="318">
        <f>(18*KFC!$B$25*1.02*1.05*1.05+KFC!$C$25)*KFC!$C$5</f>
        <v>20.241900000000001</v>
      </c>
      <c r="G23" s="318">
        <f>(19.6*KFC!$B$25*1.02*1.05*1.05+KFC!$C$25)*KFC!$C$5</f>
        <v>22.041180000000004</v>
      </c>
      <c r="H23" s="318">
        <f>(21.1*KFC!$B$25*1.02*1.05*1.05+KFC!$C$25)*KFC!$C$5</f>
        <v>23.728005000000003</v>
      </c>
      <c r="I23" s="318">
        <f>(22.7*KFC!$B$25*1.02*1.05*1.05+KFC!$C$25)*KFC!$C$5</f>
        <v>25.527285000000003</v>
      </c>
      <c r="J23" s="318">
        <f>(24.2*KFC!$B$25*1.02*1.05*1.05+KFC!$C$25)*KFC!$C$5</f>
        <v>27.214110000000005</v>
      </c>
      <c r="K23" s="318">
        <f>(25.8*KFC!$B$25*1.02*1.05*1.05+KFC!$C$25)*KFC!$C$5</f>
        <v>29.013390000000008</v>
      </c>
      <c r="L23" s="319">
        <f>(27.3*KFC!$B$25*1.02*1.05*1.05+KFC!$C$25)*KFC!$C$5</f>
        <v>30.700215000000004</v>
      </c>
      <c r="M23" s="438"/>
      <c r="N23" s="438"/>
    </row>
    <row r="24" spans="1:14" ht="13.5" customHeight="1">
      <c r="A24" s="249"/>
      <c r="B24" s="249"/>
      <c r="C24" s="249"/>
      <c r="D24" s="249"/>
      <c r="E24" s="249"/>
      <c r="F24" s="249"/>
      <c r="G24" s="249"/>
      <c r="H24" s="358">
        <f>H23-H22+H23</f>
        <v>24.177825000000002</v>
      </c>
      <c r="I24" s="249"/>
      <c r="J24" s="249"/>
      <c r="K24" s="249"/>
      <c r="L24" s="249"/>
      <c r="M24" s="438"/>
      <c r="N24" s="438"/>
    </row>
    <row r="25" spans="1:14" ht="13.5" customHeight="1" thickBot="1">
      <c r="A25" s="249"/>
      <c r="B25" s="249"/>
      <c r="C25" s="249"/>
      <c r="D25" s="249"/>
      <c r="E25" s="249"/>
      <c r="F25" s="249"/>
      <c r="G25" s="249"/>
      <c r="H25" s="358">
        <f>H24-H23+H24</f>
        <v>24.627645000000001</v>
      </c>
      <c r="I25" s="249"/>
      <c r="J25" s="249"/>
      <c r="K25" s="249"/>
      <c r="L25" s="249"/>
      <c r="M25" s="438"/>
      <c r="N25" s="438"/>
    </row>
    <row r="26" spans="1:14" ht="13.5" customHeight="1" thickBot="1">
      <c r="A26" s="1413" t="s">
        <v>314</v>
      </c>
      <c r="B26" s="1415"/>
      <c r="C26" s="1534" t="s">
        <v>207</v>
      </c>
      <c r="D26" s="1535"/>
      <c r="E26" s="1535"/>
      <c r="F26" s="1535"/>
      <c r="G26" s="1535"/>
      <c r="H26" s="1535"/>
      <c r="I26" s="1535"/>
      <c r="J26" s="1535"/>
      <c r="K26" s="1535"/>
      <c r="L26" s="1536"/>
      <c r="M26" s="438"/>
      <c r="N26" s="438"/>
    </row>
    <row r="27" spans="1:14" ht="13.8" thickBot="1">
      <c r="A27" s="1416"/>
      <c r="B27" s="1418"/>
      <c r="C27" s="119">
        <v>0.4</v>
      </c>
      <c r="D27" s="119">
        <v>0.5</v>
      </c>
      <c r="E27" s="119">
        <v>0.6</v>
      </c>
      <c r="F27" s="119">
        <v>0.7</v>
      </c>
      <c r="G27" s="119">
        <v>0.8</v>
      </c>
      <c r="H27" s="119">
        <v>0.9</v>
      </c>
      <c r="I27" s="119">
        <v>1</v>
      </c>
      <c r="J27" s="119">
        <v>1.1000000000000001</v>
      </c>
      <c r="K27" s="119">
        <v>1.2</v>
      </c>
      <c r="L27" s="120">
        <v>1.3</v>
      </c>
      <c r="M27" s="438"/>
      <c r="N27" s="438"/>
    </row>
    <row r="28" spans="1:14" ht="12.75" customHeight="1">
      <c r="A28" s="1537" t="s">
        <v>3</v>
      </c>
      <c r="B28" s="226">
        <v>0.5</v>
      </c>
      <c r="C28" s="311">
        <f>(12.2*KFC!$B$25*1.02*1.05*1.05+KFC!$C$25)*KFC!$C$5</f>
        <v>13.719510000000001</v>
      </c>
      <c r="D28" s="312">
        <f>(13.5*KFC!$B$25*1.02*1.05*1.05+KFC!$C$25)*KFC!$C$5</f>
        <v>15.181425000000001</v>
      </c>
      <c r="E28" s="312">
        <f>(14.7*KFC!$B$25*1.02*1.05*1.05+KFC!$C$25)*KFC!$C$5</f>
        <v>16.530885000000001</v>
      </c>
      <c r="F28" s="312">
        <f>(15.9*KFC!$B$25*1.02*1.05*1.05+KFC!$C$25)*KFC!$C$5</f>
        <v>17.880345000000002</v>
      </c>
      <c r="G28" s="312">
        <f>(17.1*KFC!$B$25*1.02*1.05*1.05+KFC!$C$25)*KFC!$C$5</f>
        <v>19.229804999999999</v>
      </c>
      <c r="H28" s="312">
        <f>(18.3*KFC!$B$25*1.02*1.05*1.05+KFC!$C$25)*KFC!$C$5</f>
        <v>20.579264999999999</v>
      </c>
      <c r="I28" s="312">
        <f>(19.6*KFC!$B$25*1.02*1.05*1.05+KFC!$C$25)*KFC!$C$5</f>
        <v>22.041180000000004</v>
      </c>
      <c r="J28" s="312">
        <f>(20.8*KFC!$B$25*1.02*1.05*1.05+KFC!$C$25)*KFC!$C$5</f>
        <v>23.390640000000001</v>
      </c>
      <c r="K28" s="312">
        <f>(22*KFC!$B$25*1.02*1.05*1.05+KFC!$C$25)*KFC!$C$5</f>
        <v>24.740100000000002</v>
      </c>
      <c r="L28" s="313">
        <f>(23.2*KFC!$B$25*1.02*1.05*1.05+KFC!$C$25)*KFC!$C$5</f>
        <v>26.089559999999999</v>
      </c>
      <c r="M28" s="438"/>
      <c r="N28" s="438"/>
    </row>
    <row r="29" spans="1:14">
      <c r="A29" s="1538"/>
      <c r="B29" s="224">
        <v>0.6</v>
      </c>
      <c r="C29" s="314">
        <f>(12.5*KFC!$B$25*1.02*1.05*1.05+KFC!$C$25)*KFC!$C$5</f>
        <v>14.056875000000002</v>
      </c>
      <c r="D29" s="315">
        <f>(13.7*KFC!$B$25*1.02*1.05*1.05+KFC!$C$25)*KFC!$C$5</f>
        <v>15.406335000000002</v>
      </c>
      <c r="E29" s="315">
        <f>(14.9*KFC!$B$25*1.02*1.05*1.05+KFC!$C$25)*KFC!$C$5</f>
        <v>16.755795000000003</v>
      </c>
      <c r="F29" s="315">
        <f>(16.3*KFC!$B$25*1.02*1.05*1.05+KFC!$C$25)*KFC!$C$5</f>
        <v>18.330165000000004</v>
      </c>
      <c r="G29" s="315">
        <f>(17.5*KFC!$B$25*1.02*1.05*1.05+KFC!$C$25)*KFC!$C$5</f>
        <v>19.679625000000005</v>
      </c>
      <c r="H29" s="315">
        <f>(18.7*KFC!$B$25*1.02*1.05*1.05+KFC!$C$25)*KFC!$C$5</f>
        <v>21.029085000000002</v>
      </c>
      <c r="I29" s="315">
        <f>(19.9*KFC!$B$25*1.02*1.05*1.05+KFC!$C$25)*KFC!$C$5</f>
        <v>22.378544999999999</v>
      </c>
      <c r="J29" s="315">
        <f>(21.2*KFC!$B$25*1.02*1.05*1.05+KFC!$C$25)*KFC!$C$5</f>
        <v>23.840460000000004</v>
      </c>
      <c r="K29" s="315">
        <f>(22.4*KFC!$B$25*1.02*1.05*1.05+KFC!$C$25)*KFC!$C$5</f>
        <v>25.189920000000001</v>
      </c>
      <c r="L29" s="316">
        <f>(23.7*KFC!$B$25*1.02*1.05*1.05+KFC!$C$25)*KFC!$C$5</f>
        <v>26.651835000000002</v>
      </c>
      <c r="M29" s="438"/>
      <c r="N29" s="438"/>
    </row>
    <row r="30" spans="1:14">
      <c r="A30" s="1538"/>
      <c r="B30" s="224">
        <v>0.7</v>
      </c>
      <c r="C30" s="314">
        <f>(12.7*KFC!$B$25*1.02*1.05*1.05+KFC!$C$25)*KFC!$C$5</f>
        <v>14.281784999999999</v>
      </c>
      <c r="D30" s="315">
        <f>(13.9*KFC!$B$25*1.02*1.05*1.05+KFC!$C$25)*KFC!$C$5</f>
        <v>15.631245000000002</v>
      </c>
      <c r="E30" s="315">
        <f>(15.3*KFC!$B$25*1.02*1.05*1.05+KFC!$C$25)*KFC!$C$5</f>
        <v>17.205615000000002</v>
      </c>
      <c r="F30" s="315">
        <f>(16.5*KFC!$B$25*1.02*1.05*1.05+KFC!$C$25)*KFC!$C$5</f>
        <v>18.555075000000002</v>
      </c>
      <c r="G30" s="315">
        <f>(17.7*KFC!$B$25*1.02*1.05*1.05+KFC!$C$25)*KFC!$C$5</f>
        <v>19.904534999999999</v>
      </c>
      <c r="H30" s="315">
        <f>(19.1*KFC!$B$25*1.02*1.05*1.05+KFC!$C$25)*KFC!$C$5</f>
        <v>21.478905000000005</v>
      </c>
      <c r="I30" s="315">
        <f>(20.3*KFC!$B$25*1.02*1.05*1.05+KFC!$C$25)*KFC!$C$5</f>
        <v>22.828365000000002</v>
      </c>
      <c r="J30" s="315">
        <f>(21.6*KFC!$B$25*1.02*1.05*1.05+KFC!$C$25)*KFC!$C$5</f>
        <v>24.290280000000006</v>
      </c>
      <c r="K30" s="315">
        <f>(22.9*KFC!$B$25*1.02*1.05*1.05+KFC!$C$25)*KFC!$C$5</f>
        <v>25.752195</v>
      </c>
      <c r="L30" s="316">
        <f>(24.1*KFC!$B$25*1.02*1.05*1.05+KFC!$C$25)*KFC!$C$5</f>
        <v>27.101655000000004</v>
      </c>
      <c r="M30" s="438"/>
      <c r="N30" s="438"/>
    </row>
    <row r="31" spans="1:14">
      <c r="A31" s="1538"/>
      <c r="B31" s="224">
        <v>0.8</v>
      </c>
      <c r="C31" s="314">
        <f>(13*KFC!$B$25*1.02*1.05*1.05+KFC!$C$25)*KFC!$C$5</f>
        <v>14.619150000000001</v>
      </c>
      <c r="D31" s="315">
        <f>(14.3*KFC!$B$25*1.02*1.05*1.05+KFC!$C$25)*KFC!$C$5</f>
        <v>16.081065000000002</v>
      </c>
      <c r="E31" s="315">
        <f>(15.5*KFC!$B$25*1.02*1.05*1.05+KFC!$C$25)*KFC!$C$5</f>
        <v>17.430524999999999</v>
      </c>
      <c r="F31" s="315">
        <f>(16.9*KFC!$B$25*1.02*1.05*1.05+KFC!$C$25)*KFC!$C$5</f>
        <v>19.004895000000001</v>
      </c>
      <c r="G31" s="315">
        <f>(18.1*KFC!$B$25*1.02*1.05*1.05+KFC!$C$25)*KFC!$C$5</f>
        <v>20.354355000000005</v>
      </c>
      <c r="H31" s="315">
        <f>(19.4*KFC!$B$25*1.02*1.05*1.05+KFC!$C$25)*KFC!$C$5</f>
        <v>21.816269999999999</v>
      </c>
      <c r="I31" s="315">
        <f>(20.7*KFC!$B$25*1.02*1.05*1.05+KFC!$C$25)*KFC!$C$5</f>
        <v>23.278185000000004</v>
      </c>
      <c r="J31" s="315">
        <f>(22*KFC!$B$25*1.02*1.05*1.05+KFC!$C$25)*KFC!$C$5</f>
        <v>24.740100000000002</v>
      </c>
      <c r="K31" s="315">
        <f>(23.2*KFC!$B$25*1.02*1.05*1.05+KFC!$C$25)*KFC!$C$5</f>
        <v>26.089559999999999</v>
      </c>
      <c r="L31" s="316">
        <f>(24.6*KFC!$B$25*1.02*1.05*1.05+KFC!$C$25)*KFC!$C$5</f>
        <v>27.663930000000004</v>
      </c>
      <c r="M31" s="438"/>
      <c r="N31" s="438"/>
    </row>
    <row r="32" spans="1:14">
      <c r="A32" s="1538"/>
      <c r="B32" s="224">
        <v>0.9</v>
      </c>
      <c r="C32" s="314">
        <f>(13.2*KFC!$B$25*1.02*1.05*1.05+KFC!$C$25)*KFC!$C$5</f>
        <v>14.844060000000001</v>
      </c>
      <c r="D32" s="315">
        <f>(14.6*KFC!$B$25*1.02*1.05*1.05+KFC!$C$25)*KFC!$C$5</f>
        <v>16.418430000000001</v>
      </c>
      <c r="E32" s="315">
        <f>(15.8*KFC!$B$25*1.02*1.05*1.05+KFC!$C$25)*KFC!$C$5</f>
        <v>17.767890000000001</v>
      </c>
      <c r="F32" s="315">
        <f>(17.1*KFC!$B$25*1.02*1.05*1.05+KFC!$C$25)*KFC!$C$5</f>
        <v>19.229804999999999</v>
      </c>
      <c r="G32" s="315">
        <f>(18.5*KFC!$B$25*1.02*1.05*1.05+KFC!$C$25)*KFC!$C$5</f>
        <v>20.804175000000001</v>
      </c>
      <c r="H32" s="315">
        <f>(19.8*KFC!$B$25*1.02*1.05*1.05+KFC!$C$25)*KFC!$C$5</f>
        <v>22.266090000000005</v>
      </c>
      <c r="I32" s="315">
        <f>(21*KFC!$B$25*1.02*1.05*1.05+KFC!$C$25)*KFC!$C$5</f>
        <v>23.615550000000006</v>
      </c>
      <c r="J32" s="315">
        <f>(22.4*KFC!$B$25*1.02*1.05*1.05+KFC!$C$25)*KFC!$C$5</f>
        <v>25.189920000000001</v>
      </c>
      <c r="K32" s="315">
        <f>(23.7*KFC!$B$25*1.02*1.05*1.05+KFC!$C$25)*KFC!$C$5</f>
        <v>26.651835000000002</v>
      </c>
      <c r="L32" s="316">
        <f>(25.1*KFC!$B$25*1.02*1.05*1.05+KFC!$C$25)*KFC!$C$5</f>
        <v>28.226205000000004</v>
      </c>
      <c r="M32" s="438"/>
      <c r="N32" s="438"/>
    </row>
    <row r="33" spans="1:14">
      <c r="A33" s="1538"/>
      <c r="B33" s="224">
        <v>1</v>
      </c>
      <c r="C33" s="314">
        <f>(13.5*KFC!$B$25*1.02*1.05*1.05+KFC!$C$25)*KFC!$C$5</f>
        <v>15.181425000000001</v>
      </c>
      <c r="D33" s="315">
        <f>(14.8*KFC!$B$25*1.02*1.05*1.05+KFC!$C$25)*KFC!$C$5</f>
        <v>16.643340000000006</v>
      </c>
      <c r="E33" s="315">
        <f>(16.1*KFC!$B$25*1.02*1.05*1.05+KFC!$C$25)*KFC!$C$5</f>
        <v>18.105255000000003</v>
      </c>
      <c r="F33" s="315">
        <f>(17.5*KFC!$B$25*1.02*1.05*1.05+KFC!$C$25)*KFC!$C$5</f>
        <v>19.679625000000005</v>
      </c>
      <c r="G33" s="315">
        <f>(18.8*KFC!$B$25*1.02*1.05*1.05+KFC!$C$25)*KFC!$C$5</f>
        <v>21.141540000000003</v>
      </c>
      <c r="H33" s="315">
        <f>(20.2*KFC!$B$25*1.02*1.05*1.05+KFC!$C$25)*KFC!$C$5</f>
        <v>22.715910000000001</v>
      </c>
      <c r="I33" s="315">
        <f>(21.4*KFC!$B$25*1.02*1.05*1.05+KFC!$C$25)*KFC!$C$5</f>
        <v>24.065370000000001</v>
      </c>
      <c r="J33" s="315">
        <f>(22.7*KFC!$B$25*1.02*1.05*1.05+KFC!$C$25)*KFC!$C$5</f>
        <v>25.527285000000003</v>
      </c>
      <c r="K33" s="315">
        <f>(24.1*KFC!$B$25*1.02*1.05*1.05+KFC!$C$25)*KFC!$C$5</f>
        <v>27.101655000000004</v>
      </c>
      <c r="L33" s="316">
        <f>(25.4*KFC!$B$25*1.02*1.05*1.05+KFC!$C$25)*KFC!$C$5</f>
        <v>28.563569999999999</v>
      </c>
      <c r="M33" s="438"/>
      <c r="N33" s="438"/>
    </row>
    <row r="34" spans="1:14">
      <c r="A34" s="1538"/>
      <c r="B34" s="224">
        <v>1.1000000000000001</v>
      </c>
      <c r="C34" s="314">
        <f>(13.7*KFC!$B$25*1.02*1.05*1.05+KFC!$C$25)*KFC!$C$5</f>
        <v>15.406335000000002</v>
      </c>
      <c r="D34" s="315">
        <f>(15*KFC!$B$25*1.02*1.05*1.05+KFC!$C$25)*KFC!$C$5</f>
        <v>16.868250000000003</v>
      </c>
      <c r="E34" s="315">
        <f>(16.4*KFC!$B$25*1.02*1.05*1.05+KFC!$C$25)*KFC!$C$5</f>
        <v>18.442620000000002</v>
      </c>
      <c r="F34" s="315">
        <f>(17.7*KFC!$B$25*1.02*1.05*1.05+KFC!$C$25)*KFC!$C$5</f>
        <v>19.904534999999999</v>
      </c>
      <c r="G34" s="315">
        <f>(19.1*KFC!$B$25*1.02*1.05*1.05+KFC!$C$25)*KFC!$C$5</f>
        <v>21.478905000000005</v>
      </c>
      <c r="H34" s="315">
        <f>(20.4*KFC!$B$25*1.02*1.05*1.05+KFC!$C$25)*KFC!$C$5</f>
        <v>22.940820000000002</v>
      </c>
      <c r="I34" s="315">
        <f>(21.9*KFC!$B$25*1.02*1.05*1.05+KFC!$C$25)*KFC!$C$5</f>
        <v>24.627645000000001</v>
      </c>
      <c r="J34" s="315">
        <f>(23.2*KFC!$B$25*1.02*1.05*1.05+KFC!$C$25)*KFC!$C$5</f>
        <v>26.089559999999999</v>
      </c>
      <c r="K34" s="315">
        <f>(24.6*KFC!$B$25*1.02*1.05*1.05+KFC!$C$25)*KFC!$C$5</f>
        <v>27.663930000000004</v>
      </c>
      <c r="L34" s="316">
        <f>(25.9*KFC!$B$25*1.02*1.05*1.05+KFC!$C$25)*KFC!$C$5</f>
        <v>29.125845000000002</v>
      </c>
      <c r="M34" s="438"/>
      <c r="N34" s="438"/>
    </row>
    <row r="35" spans="1:14">
      <c r="A35" s="1538"/>
      <c r="B35" s="224">
        <v>1.2</v>
      </c>
      <c r="C35" s="314">
        <f>(13.9*KFC!$B$25*1.02*1.05*1.05+KFC!$C$25)*KFC!$C$5</f>
        <v>15.631245000000002</v>
      </c>
      <c r="D35" s="315">
        <f>(15.3*KFC!$B$25*1.02*1.05*1.05+KFC!$C$25)*KFC!$C$5</f>
        <v>17.205615000000002</v>
      </c>
      <c r="E35" s="315">
        <f>(16.8*KFC!$B$25*1.02*1.05*1.05+KFC!$C$25)*KFC!$C$5</f>
        <v>18.892440000000004</v>
      </c>
      <c r="F35" s="315">
        <f>(18.1*KFC!$B$25*1.02*1.05*1.05+KFC!$C$25)*KFC!$C$5</f>
        <v>20.354355000000005</v>
      </c>
      <c r="G35" s="315">
        <f>(19.4*KFC!$B$25*1.02*1.05*1.05+KFC!$C$25)*KFC!$C$5</f>
        <v>21.816269999999999</v>
      </c>
      <c r="H35" s="315">
        <f>(20.8*KFC!$B$25*1.02*1.05*1.05+KFC!$C$25)*KFC!$C$5</f>
        <v>23.390640000000001</v>
      </c>
      <c r="I35" s="315">
        <f>(22.3*KFC!$B$25*1.02*1.05*1.05+KFC!$C$25)*KFC!$C$5</f>
        <v>25.077465000000004</v>
      </c>
      <c r="J35" s="315">
        <f>(23.6*KFC!$B$25*1.02*1.05*1.05+KFC!$C$25)*KFC!$C$5</f>
        <v>26.539380000000005</v>
      </c>
      <c r="K35" s="315">
        <f>(24.9*KFC!$B$25*1.02*1.05*1.05+KFC!$C$25)*KFC!$C$5</f>
        <v>28.001294999999999</v>
      </c>
      <c r="L35" s="316">
        <f>(26.3*KFC!$B$25*1.02*1.05*1.05+KFC!$C$25)*KFC!$C$5</f>
        <v>29.575665000000001</v>
      </c>
      <c r="M35" s="438"/>
      <c r="N35" s="438"/>
    </row>
    <row r="36" spans="1:14">
      <c r="A36" s="1538"/>
      <c r="B36" s="224">
        <v>1.3</v>
      </c>
      <c r="C36" s="314">
        <f>(14.2*KFC!$B$25*1.02*1.05*1.05+KFC!$C$25)*KFC!$C$5</f>
        <v>15.968610000000002</v>
      </c>
      <c r="D36" s="315">
        <f>(15.5*KFC!$B$25*1.02*1.05*1.05+KFC!$C$25)*KFC!$C$5</f>
        <v>17.430524999999999</v>
      </c>
      <c r="E36" s="315">
        <f>(17*KFC!$B$25*1.02*1.05*1.05+KFC!$C$25)*KFC!$C$5</f>
        <v>19.117350000000002</v>
      </c>
      <c r="F36" s="315">
        <f>(18.3*KFC!$B$25*1.02*1.05*1.05+KFC!$C$25)*KFC!$C$5</f>
        <v>20.579264999999999</v>
      </c>
      <c r="G36" s="315">
        <f>(19.8*KFC!$B$25*1.02*1.05*1.05+KFC!$C$25)*KFC!$C$5</f>
        <v>22.266090000000005</v>
      </c>
      <c r="H36" s="315">
        <f>(21.2*KFC!$B$25*1.02*1.05*1.05+KFC!$C$25)*KFC!$C$5</f>
        <v>23.840460000000004</v>
      </c>
      <c r="I36" s="315">
        <f>(22.6*KFC!$B$25*1.02*1.05*1.05+KFC!$C$25)*KFC!$C$5</f>
        <v>25.414830000000006</v>
      </c>
      <c r="J36" s="315">
        <f>(24*KFC!$B$25*1.02*1.05*1.05+KFC!$C$25)*KFC!$C$5</f>
        <v>26.9892</v>
      </c>
      <c r="K36" s="315">
        <f>(25.4*KFC!$B$25*1.02*1.05*1.05+KFC!$C$25)*KFC!$C$5</f>
        <v>28.563569999999999</v>
      </c>
      <c r="L36" s="316">
        <f>(26.8*KFC!$B$25*1.02*1.05*1.05+KFC!$C$25)*KFC!$C$5</f>
        <v>30.137940000000004</v>
      </c>
      <c r="M36" s="438"/>
      <c r="N36" s="438"/>
    </row>
    <row r="37" spans="1:14">
      <c r="A37" s="1538"/>
      <c r="B37" s="224">
        <v>1.4</v>
      </c>
      <c r="C37" s="314">
        <f>(14.4*KFC!$B$25*1.02*1.05*1.05+KFC!$C$25)*KFC!$C$5</f>
        <v>16.193520000000003</v>
      </c>
      <c r="D37" s="315">
        <f>(15.9*KFC!$B$25*1.02*1.05*1.05+KFC!$C$25)*KFC!$C$5</f>
        <v>17.880345000000002</v>
      </c>
      <c r="E37" s="315">
        <f>(17.2*KFC!$B$25*1.02*1.05*1.05+KFC!$C$25)*KFC!$C$5</f>
        <v>19.342260000000003</v>
      </c>
      <c r="F37" s="315">
        <f>(18.7*KFC!$B$25*1.02*1.05*1.05+KFC!$C$25)*KFC!$C$5</f>
        <v>21.029085000000002</v>
      </c>
      <c r="G37" s="315">
        <f>(20.2*KFC!$B$25*1.02*1.05*1.05+KFC!$C$25)*KFC!$C$5</f>
        <v>22.715910000000001</v>
      </c>
      <c r="H37" s="315">
        <f>(21.5*KFC!$B$25*1.02*1.05*1.05+KFC!$C$25)*KFC!$C$5</f>
        <v>24.177825000000002</v>
      </c>
      <c r="I37" s="315">
        <f>(23*KFC!$B$25*1.02*1.05*1.05+KFC!$C$25)*KFC!$C$5</f>
        <v>25.864650000000005</v>
      </c>
      <c r="J37" s="315">
        <f>(24.3*KFC!$B$25*1.02*1.05*1.05+KFC!$C$25)*KFC!$C$5</f>
        <v>27.326565000000002</v>
      </c>
      <c r="K37" s="315">
        <f>(25.8*KFC!$B$25*1.02*1.05*1.05+KFC!$C$25)*KFC!$C$5</f>
        <v>29.013390000000008</v>
      </c>
      <c r="L37" s="316">
        <f>(27.3*KFC!$B$25*1.02*1.05*1.05+KFC!$C$25)*KFC!$C$5</f>
        <v>30.700215000000004</v>
      </c>
      <c r="M37" s="438"/>
      <c r="N37" s="438"/>
    </row>
    <row r="38" spans="1:14">
      <c r="A38" s="1538"/>
      <c r="B38" s="224">
        <v>1.5</v>
      </c>
      <c r="C38" s="314">
        <f>(14.7*KFC!$B$25*1.02*1.05*1.05+KFC!$C$25)*KFC!$C$5</f>
        <v>16.530885000000001</v>
      </c>
      <c r="D38" s="315">
        <f>(16.1*KFC!$B$25*1.02*1.05*1.05+KFC!$C$25)*KFC!$C$5</f>
        <v>18.105255000000003</v>
      </c>
      <c r="E38" s="315">
        <f>(17.6*KFC!$B$25*1.02*1.05*1.05+KFC!$C$25)*KFC!$C$5</f>
        <v>19.792080000000002</v>
      </c>
      <c r="F38" s="315">
        <f>(19*KFC!$B$25*1.02*1.05*1.05+KFC!$C$25)*KFC!$C$5</f>
        <v>21.36645</v>
      </c>
      <c r="G38" s="315">
        <f>(20.4*KFC!$B$25*1.02*1.05*1.05+KFC!$C$25)*KFC!$C$5</f>
        <v>22.940820000000002</v>
      </c>
      <c r="H38" s="315">
        <f>(21.9*KFC!$B$25*1.02*1.05*1.05+KFC!$C$25)*KFC!$C$5</f>
        <v>24.627645000000001</v>
      </c>
      <c r="I38" s="315">
        <f>(23.4*KFC!$B$25*1.02*1.05*1.05+KFC!$C$25)*KFC!$C$5</f>
        <v>26.31447</v>
      </c>
      <c r="J38" s="315">
        <f>(24.8*KFC!$B$25*1.02*1.05*1.05+KFC!$C$25)*KFC!$C$5</f>
        <v>27.888840000000005</v>
      </c>
      <c r="K38" s="315">
        <f>(26.3*KFC!$B$25*1.02*1.05*1.05+KFC!$C$25)*KFC!$C$5</f>
        <v>29.575665000000001</v>
      </c>
      <c r="L38" s="316">
        <f>(27.6*KFC!$B$25*1.02*1.05*1.05+KFC!$C$25)*KFC!$C$5</f>
        <v>31.037580000000005</v>
      </c>
      <c r="M38" s="438"/>
      <c r="N38" s="438"/>
    </row>
    <row r="39" spans="1:14">
      <c r="A39" s="1538"/>
      <c r="B39" s="224">
        <v>1.6</v>
      </c>
      <c r="C39" s="314">
        <f>(14.9*KFC!$B$25*1.02*1.05*1.05+KFC!$C$25)*KFC!$C$5</f>
        <v>16.755795000000003</v>
      </c>
      <c r="D39" s="315">
        <f>(16.4*KFC!$B$25*1.02*1.05*1.05+KFC!$C$25)*KFC!$C$5</f>
        <v>18.442620000000002</v>
      </c>
      <c r="E39" s="315">
        <f>(17.9*KFC!$B$25*1.02*1.05*1.05+KFC!$C$25)*KFC!$C$5</f>
        <v>20.129445</v>
      </c>
      <c r="F39" s="315">
        <f>(19.3*KFC!$B$25*1.02*1.05*1.05+KFC!$C$25)*KFC!$C$5</f>
        <v>21.703815000000002</v>
      </c>
      <c r="G39" s="315">
        <f>(20.8*KFC!$B$25*1.02*1.05*1.05+KFC!$C$25)*KFC!$C$5</f>
        <v>23.390640000000001</v>
      </c>
      <c r="H39" s="315">
        <f>(22.3*KFC!$B$25*1.02*1.05*1.05+KFC!$C$25)*KFC!$C$5</f>
        <v>25.077465000000004</v>
      </c>
      <c r="I39" s="315">
        <f>(23.7*KFC!$B$25*1.02*1.05*1.05+KFC!$C$25)*KFC!$C$5</f>
        <v>26.651835000000002</v>
      </c>
      <c r="J39" s="315">
        <f>(25.2*KFC!$B$25*1.02*1.05*1.05+KFC!$C$25)*KFC!$C$5</f>
        <v>28.338660000000001</v>
      </c>
      <c r="K39" s="315">
        <f>(26.7*KFC!$B$25*1.02*1.05*1.05+KFC!$C$25)*KFC!$C$5</f>
        <v>30.025485000000003</v>
      </c>
      <c r="L39" s="316">
        <f>(28.1*KFC!$B$25*1.02*1.05*1.05+KFC!$C$25)*KFC!$C$5</f>
        <v>31.599855000000009</v>
      </c>
      <c r="M39" s="438"/>
      <c r="N39" s="438"/>
    </row>
    <row r="40" spans="1:14">
      <c r="A40" s="1538"/>
      <c r="B40" s="224">
        <v>1.7</v>
      </c>
      <c r="C40" s="314">
        <f>(15.2*KFC!$B$25*1.02*1.05*1.05+KFC!$C$25)*KFC!$C$5</f>
        <v>17.093160000000001</v>
      </c>
      <c r="D40" s="315">
        <f>(16.6*KFC!$B$25*1.02*1.05*1.05+KFC!$C$25)*KFC!$C$5</f>
        <v>18.667530000000006</v>
      </c>
      <c r="E40" s="315">
        <f>(18.1*KFC!$B$25*1.02*1.05*1.05+KFC!$C$25)*KFC!$C$5</f>
        <v>20.354355000000005</v>
      </c>
      <c r="F40" s="315">
        <f>(19.7*KFC!$B$25*1.02*1.05*1.05+KFC!$C$25)*KFC!$C$5</f>
        <v>22.153635000000001</v>
      </c>
      <c r="G40" s="315">
        <f>(21.2*KFC!$B$25*1.02*1.05*1.05+KFC!$C$25)*KFC!$C$5</f>
        <v>23.840460000000004</v>
      </c>
      <c r="H40" s="315">
        <f>(22.6*KFC!$B$25*1.02*1.05*1.05+KFC!$C$25)*KFC!$C$5</f>
        <v>25.414830000000006</v>
      </c>
      <c r="I40" s="315">
        <f>(24.1*KFC!$B$25*1.02*1.05*1.05+KFC!$C$25)*KFC!$C$5</f>
        <v>27.101655000000004</v>
      </c>
      <c r="J40" s="315">
        <f>(25.6*KFC!$B$25*1.02*1.05*1.05+KFC!$C$25)*KFC!$C$5</f>
        <v>28.788480000000003</v>
      </c>
      <c r="K40" s="315">
        <f>(27*KFC!$B$25*1.02*1.05*1.05+KFC!$C$25)*KFC!$C$5</f>
        <v>30.362850000000002</v>
      </c>
      <c r="L40" s="316">
        <f>(28.6*KFC!$B$25*1.02*1.05*1.05+KFC!$C$25)*KFC!$C$5</f>
        <v>32.162130000000005</v>
      </c>
      <c r="M40" s="438"/>
      <c r="N40" s="438"/>
    </row>
    <row r="41" spans="1:14" ht="11.25" customHeight="1">
      <c r="A41" s="1538"/>
      <c r="B41" s="224">
        <v>1.8</v>
      </c>
      <c r="C41" s="314">
        <f>(15.4*KFC!$B$25*1.02*1.05*1.05+KFC!$C$25)*KFC!$C$5</f>
        <v>17.318070000000002</v>
      </c>
      <c r="D41" s="315">
        <f>(16.9*KFC!$B$25*1.02*1.05*1.05+KFC!$C$25)*KFC!$C$5</f>
        <v>19.004895000000001</v>
      </c>
      <c r="E41" s="315">
        <f>(18.5*KFC!$B$25*1.02*1.05*1.05+KFC!$C$25)*KFC!$C$5</f>
        <v>20.804175000000001</v>
      </c>
      <c r="F41" s="315">
        <f>(19.9*KFC!$B$25*1.02*1.05*1.05+KFC!$C$25)*KFC!$C$5</f>
        <v>22.378544999999999</v>
      </c>
      <c r="G41" s="315">
        <f>(21.4*KFC!$B$25*1.02*1.05*1.05+KFC!$C$25)*KFC!$C$5</f>
        <v>24.065370000000001</v>
      </c>
      <c r="H41" s="315">
        <f>(23*KFC!$B$25*1.02*1.05*1.05+KFC!$C$25)*KFC!$C$5</f>
        <v>25.864650000000005</v>
      </c>
      <c r="I41" s="315">
        <f>(24.5*KFC!$B$25*1.02*1.05*1.05+KFC!$C$25)*KFC!$C$5</f>
        <v>27.551475000000003</v>
      </c>
      <c r="J41" s="315">
        <f>(26*KFC!$B$25*1.02*1.05*1.05+KFC!$C$25)*KFC!$C$5</f>
        <v>29.238300000000002</v>
      </c>
      <c r="K41" s="315">
        <f>(27.5*KFC!$B$25*1.02*1.05*1.05+KFC!$C$25)*KFC!$C$5</f>
        <v>30.925125000000001</v>
      </c>
      <c r="L41" s="316">
        <f>(29*KFC!$B$25*1.02*1.05*1.05+KFC!$C$25)*KFC!$C$5</f>
        <v>32.611950000000007</v>
      </c>
      <c r="M41" s="438"/>
      <c r="N41" s="438"/>
    </row>
    <row r="42" spans="1:14">
      <c r="A42" s="1538"/>
      <c r="B42" s="224">
        <v>1.9</v>
      </c>
      <c r="C42" s="314">
        <f>(15.7*KFC!$B$25*1.02*1.05*1.05+KFC!$C$25)*KFC!$C$5</f>
        <v>17.655435000000001</v>
      </c>
      <c r="D42" s="315">
        <f>(17.2*KFC!$B$25*1.02*1.05*1.05+KFC!$C$25)*KFC!$C$5</f>
        <v>19.342260000000003</v>
      </c>
      <c r="E42" s="315">
        <f>(18.7*KFC!$B$25*1.02*1.05*1.05+KFC!$C$25)*KFC!$C$5</f>
        <v>21.029085000000002</v>
      </c>
      <c r="F42" s="315">
        <f>(20.3*KFC!$B$25*1.02*1.05*1.05+KFC!$C$25)*KFC!$C$5</f>
        <v>22.828365000000002</v>
      </c>
      <c r="G42" s="315">
        <f>(21.8*KFC!$B$25*1.02*1.05*1.05+KFC!$C$25)*KFC!$C$5</f>
        <v>24.515190000000004</v>
      </c>
      <c r="H42" s="315">
        <f>(23.4*KFC!$B$25*1.02*1.05*1.05+KFC!$C$25)*KFC!$C$5</f>
        <v>26.31447</v>
      </c>
      <c r="I42" s="315">
        <f>(24.8*KFC!$B$25*1.02*1.05*1.05+KFC!$C$25)*KFC!$C$5</f>
        <v>27.888840000000005</v>
      </c>
      <c r="J42" s="315">
        <f>(26.4*KFC!$B$25*1.02*1.05*1.05+KFC!$C$25)*KFC!$C$5</f>
        <v>29.688120000000001</v>
      </c>
      <c r="K42" s="315">
        <f>(27.9*KFC!$B$25*1.02*1.05*1.05+KFC!$C$25)*KFC!$C$5</f>
        <v>31.374945</v>
      </c>
      <c r="L42" s="316">
        <f>(29.5*KFC!$B$25*1.02*1.05*1.05+KFC!$C$25)*KFC!$C$5</f>
        <v>33.174225</v>
      </c>
      <c r="M42" s="438"/>
      <c r="N42" s="438"/>
    </row>
    <row r="43" spans="1:14" ht="13.8" thickBot="1">
      <c r="A43" s="1539"/>
      <c r="B43" s="225">
        <v>2</v>
      </c>
      <c r="C43" s="317">
        <f>(15.9*KFC!$B$25*1.02*1.05*1.05+KFC!$C$25)*KFC!$C$5</f>
        <v>17.880345000000002</v>
      </c>
      <c r="D43" s="318">
        <f>(17.5*KFC!$B$25*1.02*1.05*1.05+KFC!$C$25)*KFC!$C$5</f>
        <v>19.679625000000005</v>
      </c>
      <c r="E43" s="318">
        <f>(19*KFC!$B$25*1.02*1.05*1.05+KFC!$C$25)*KFC!$C$5</f>
        <v>21.36645</v>
      </c>
      <c r="F43" s="318">
        <f>(20.5*KFC!$B$25*1.02*1.05*1.05+KFC!$C$25)*KFC!$C$5</f>
        <v>23.053275000000003</v>
      </c>
      <c r="G43" s="318">
        <f>(22.1*KFC!$B$25*1.02*1.05*1.05+KFC!$C$25)*KFC!$C$5</f>
        <v>24.852555000000006</v>
      </c>
      <c r="H43" s="318">
        <f>(23.7*KFC!$B$25*1.02*1.05*1.05+KFC!$C$25)*KFC!$C$5</f>
        <v>26.651835000000002</v>
      </c>
      <c r="I43" s="318">
        <f>(25.2*KFC!$B$25*1.02*1.05*1.05+KFC!$C$25)*KFC!$C$5</f>
        <v>28.338660000000001</v>
      </c>
      <c r="J43" s="318">
        <f>(26.8*KFC!$B$25*1.02*1.05*1.05+KFC!$C$25)*KFC!$C$5</f>
        <v>30.137940000000004</v>
      </c>
      <c r="K43" s="318">
        <f>(28.4*KFC!$B$25*1.02*1.05*1.05+KFC!$C$25)*KFC!$C$5</f>
        <v>31.937220000000003</v>
      </c>
      <c r="L43" s="319">
        <f>(30*KFC!$B$25*1.02*1.05*1.05+KFC!$C$25)*KFC!$C$5</f>
        <v>33.736500000000007</v>
      </c>
      <c r="M43" s="438"/>
      <c r="N43" s="438"/>
    </row>
    <row r="44" spans="1:14" ht="13.8" thickBot="1">
      <c r="A44" s="249"/>
      <c r="B44" s="249"/>
      <c r="C44" s="249"/>
      <c r="D44" s="249"/>
      <c r="E44" s="249"/>
      <c r="F44" s="249"/>
      <c r="G44" s="249"/>
      <c r="H44" s="249"/>
      <c r="I44" s="249"/>
      <c r="J44" s="249"/>
      <c r="K44" s="249"/>
      <c r="L44" s="249"/>
      <c r="M44" s="438"/>
      <c r="N44" s="438"/>
    </row>
    <row r="45" spans="1:14" ht="13.5" customHeight="1" thickBot="1">
      <c r="A45" s="1413" t="s">
        <v>315</v>
      </c>
      <c r="B45" s="1415"/>
      <c r="C45" s="1534" t="s">
        <v>207</v>
      </c>
      <c r="D45" s="1535"/>
      <c r="E45" s="1535"/>
      <c r="F45" s="1535"/>
      <c r="G45" s="1535"/>
      <c r="H45" s="1535"/>
      <c r="I45" s="1535"/>
      <c r="J45" s="1535"/>
      <c r="K45" s="1535"/>
      <c r="L45" s="1536"/>
      <c r="M45" s="438"/>
      <c r="N45" s="438"/>
    </row>
    <row r="46" spans="1:14" ht="13.8" thickBot="1">
      <c r="A46" s="1416"/>
      <c r="B46" s="1418"/>
      <c r="C46" s="428">
        <v>0.4</v>
      </c>
      <c r="D46" s="428">
        <v>0.5</v>
      </c>
      <c r="E46" s="428">
        <v>0.6</v>
      </c>
      <c r="F46" s="428">
        <v>0.7</v>
      </c>
      <c r="G46" s="428">
        <v>0.8</v>
      </c>
      <c r="H46" s="428">
        <v>0.9</v>
      </c>
      <c r="I46" s="428">
        <v>1</v>
      </c>
      <c r="J46" s="428">
        <v>1.1000000000000001</v>
      </c>
      <c r="K46" s="428">
        <v>1.2</v>
      </c>
      <c r="L46" s="113">
        <v>1.3</v>
      </c>
      <c r="M46" s="438"/>
      <c r="N46" s="438"/>
    </row>
    <row r="47" spans="1:14" ht="12.75" customHeight="1">
      <c r="A47" s="1537" t="s">
        <v>3</v>
      </c>
      <c r="B47" s="226">
        <v>0.5</v>
      </c>
      <c r="C47" s="311">
        <f>(15.9*KFC!$B$25*1.02*1.05*1.05+KFC!$C$25)*KFC!$C$5</f>
        <v>17.880345000000002</v>
      </c>
      <c r="D47" s="312">
        <f>(17.4*KFC!$B$25*1.02*1.05*1.05+KFC!$C$25)*KFC!$C$5</f>
        <v>19.567169999999997</v>
      </c>
      <c r="E47" s="312">
        <f>(18.8*KFC!$B$25*1.02*1.05*1.05+KFC!$C$25)*KFC!$C$5</f>
        <v>21.141540000000003</v>
      </c>
      <c r="F47" s="312">
        <f>(20.2*KFC!$B$25*1.02*1.05*1.05+KFC!$C$25)*KFC!$C$5</f>
        <v>22.715910000000001</v>
      </c>
      <c r="G47" s="312">
        <f>(21.6*KFC!$B$25*1.02*1.05*1.05+KFC!$C$25)*KFC!$C$5</f>
        <v>24.290280000000006</v>
      </c>
      <c r="H47" s="312">
        <f>(23.1*KFC!$B$25*1.02*1.05*1.05+KFC!$C$25)*KFC!$C$5</f>
        <v>25.977105000000002</v>
      </c>
      <c r="I47" s="312">
        <f>(24.6*KFC!$B$25*1.02*1.05*1.05+KFC!$C$25)*KFC!$C$5</f>
        <v>27.663930000000004</v>
      </c>
      <c r="J47" s="312">
        <f>(26*KFC!$B$25*1.02*1.05*1.05+KFC!$C$25)*KFC!$C$5</f>
        <v>29.238300000000002</v>
      </c>
      <c r="K47" s="312">
        <f>(27.5*KFC!$B$25*1.02*1.05*1.05+KFC!$C$25)*KFC!$C$5</f>
        <v>30.925125000000001</v>
      </c>
      <c r="L47" s="313">
        <f>(28.9*KFC!$B$25*1.02*1.05*1.05+KFC!$C$25)*KFC!$C$5</f>
        <v>32.499495000000003</v>
      </c>
      <c r="M47" s="438"/>
      <c r="N47" s="438"/>
    </row>
    <row r="48" spans="1:14">
      <c r="A48" s="1538"/>
      <c r="B48" s="224">
        <v>0.6</v>
      </c>
      <c r="C48" s="314">
        <f>(16.8*KFC!$B$25*1.02*1.05*1.05+KFC!$C$25)*KFC!$C$5</f>
        <v>18.892440000000004</v>
      </c>
      <c r="D48" s="315">
        <f>(18.2*KFC!$B$25*1.02*1.05*1.05+KFC!$C$25)*KFC!$C$5</f>
        <v>20.466810000000002</v>
      </c>
      <c r="E48" s="315">
        <f>(19.7*KFC!$B$25*1.02*1.05*1.05+KFC!$C$25)*KFC!$C$5</f>
        <v>22.153635000000001</v>
      </c>
      <c r="F48" s="315">
        <f>(21.3*KFC!$B$25*1.02*1.05*1.05+KFC!$C$25)*KFC!$C$5</f>
        <v>23.952915000000004</v>
      </c>
      <c r="G48" s="315">
        <f>(22.7*KFC!$B$25*1.02*1.05*1.05+KFC!$C$25)*KFC!$C$5</f>
        <v>25.527285000000003</v>
      </c>
      <c r="H48" s="315">
        <f>(24.2*KFC!$B$25*1.02*1.05*1.05+KFC!$C$25)*KFC!$C$5</f>
        <v>27.214110000000005</v>
      </c>
      <c r="I48" s="315">
        <f>(25.7*KFC!$B$25*1.02*1.05*1.05+KFC!$C$25)*KFC!$C$5</f>
        <v>28.900935</v>
      </c>
      <c r="J48" s="315">
        <f>(27.3*KFC!$B$25*1.02*1.05*1.05+KFC!$C$25)*KFC!$C$5</f>
        <v>30.700215000000004</v>
      </c>
      <c r="K48" s="315">
        <f>(28.7*KFC!$B$25*1.02*1.05*1.05+KFC!$C$25)*KFC!$C$5</f>
        <v>32.274585000000002</v>
      </c>
      <c r="L48" s="316">
        <f>(30.2*KFC!$B$25*1.02*1.05*1.05+KFC!$C$25)*KFC!$C$5</f>
        <v>33.961410000000001</v>
      </c>
      <c r="M48" s="438"/>
      <c r="N48" s="438"/>
    </row>
    <row r="49" spans="1:14">
      <c r="A49" s="1538"/>
      <c r="B49" s="224">
        <v>0.7</v>
      </c>
      <c r="C49" s="314">
        <f>(17.5*KFC!$B$25*1.02*1.05*1.05+KFC!$C$25)*KFC!$C$5</f>
        <v>19.679625000000005</v>
      </c>
      <c r="D49" s="315">
        <f>(19.1*KFC!$B$25*1.02*1.05*1.05+KFC!$C$25)*KFC!$C$5</f>
        <v>21.478905000000005</v>
      </c>
      <c r="E49" s="315">
        <f>(20.7*KFC!$B$25*1.02*1.05*1.05+KFC!$C$25)*KFC!$C$5</f>
        <v>23.278185000000004</v>
      </c>
      <c r="F49" s="315">
        <f>(22.3*KFC!$B$25*1.02*1.05*1.05+KFC!$C$25)*KFC!$C$5</f>
        <v>25.077465000000004</v>
      </c>
      <c r="G49" s="315">
        <f>(23.7*KFC!$B$25*1.02*1.05*1.05+KFC!$C$25)*KFC!$C$5</f>
        <v>26.651835000000002</v>
      </c>
      <c r="H49" s="315">
        <f>(25.3*KFC!$B$25*1.02*1.05*1.05+KFC!$C$25)*KFC!$C$5</f>
        <v>28.451115000000005</v>
      </c>
      <c r="I49" s="315">
        <f>(26.9*KFC!$B$25*1.02*1.05*1.05+KFC!$C$25)*KFC!$C$5</f>
        <v>30.250395000000001</v>
      </c>
      <c r="J49" s="315">
        <f>(28.5*KFC!$B$25*1.02*1.05*1.05+KFC!$C$25)*KFC!$C$5</f>
        <v>32.049675000000001</v>
      </c>
      <c r="K49" s="315">
        <f>(30.1*KFC!$B$25*1.02*1.05*1.05+KFC!$C$25)*KFC!$C$5</f>
        <v>33.848955000000004</v>
      </c>
      <c r="L49" s="316">
        <f>(31.6*KFC!$B$25*1.02*1.05*1.05+KFC!$C$25)*KFC!$C$5</f>
        <v>35.535780000000003</v>
      </c>
      <c r="M49" s="438"/>
      <c r="N49" s="438"/>
    </row>
    <row r="50" spans="1:14">
      <c r="A50" s="1538"/>
      <c r="B50" s="224">
        <v>0.8</v>
      </c>
      <c r="C50" s="314">
        <f>(18.3*KFC!$B$25*1.02*1.05*1.05+KFC!$C$25)*KFC!$C$5</f>
        <v>20.579264999999999</v>
      </c>
      <c r="D50" s="315">
        <f>(19.9*KFC!$B$25*1.02*1.05*1.05+KFC!$C$25)*KFC!$C$5</f>
        <v>22.378544999999999</v>
      </c>
      <c r="E50" s="315">
        <f>(21.6*KFC!$B$25*1.02*1.05*1.05+KFC!$C$25)*KFC!$C$5</f>
        <v>24.290280000000006</v>
      </c>
      <c r="F50" s="315">
        <f>(23.2*KFC!$B$25*1.02*1.05*1.05+KFC!$C$25)*KFC!$C$5</f>
        <v>26.089559999999999</v>
      </c>
      <c r="G50" s="315">
        <f>(24.8*KFC!$B$25*1.02*1.05*1.05+KFC!$C$25)*KFC!$C$5</f>
        <v>27.888840000000005</v>
      </c>
      <c r="H50" s="315">
        <f>(26.4*KFC!$B$25*1.02*1.05*1.05+KFC!$C$25)*KFC!$C$5</f>
        <v>29.688120000000001</v>
      </c>
      <c r="I50" s="315">
        <f>(28.1*KFC!$B$25*1.02*1.05*1.05+KFC!$C$25)*KFC!$C$5</f>
        <v>31.599855000000009</v>
      </c>
      <c r="J50" s="315">
        <f>(29.7*KFC!$B$25*1.02*1.05*1.05+KFC!$C$25)*KFC!$C$5</f>
        <v>33.399135000000001</v>
      </c>
      <c r="K50" s="315">
        <f>(31.3*KFC!$B$25*1.02*1.05*1.05+KFC!$C$25)*KFC!$C$5</f>
        <v>35.198415000000004</v>
      </c>
      <c r="L50" s="316">
        <f>(32.9*KFC!$B$25*1.02*1.05*1.05+KFC!$C$25)*KFC!$C$5</f>
        <v>36.997695</v>
      </c>
      <c r="M50" s="438"/>
      <c r="N50" s="438"/>
    </row>
    <row r="51" spans="1:14">
      <c r="A51" s="1538"/>
      <c r="B51" s="224">
        <v>0.9</v>
      </c>
      <c r="C51" s="314">
        <f>(19.2*KFC!$B$25*1.02*1.05*1.05+KFC!$C$25)*KFC!$C$5</f>
        <v>21.591360000000002</v>
      </c>
      <c r="D51" s="315">
        <f>(20.8*KFC!$B$25*1.02*1.05*1.05+KFC!$C$25)*KFC!$C$5</f>
        <v>23.390640000000001</v>
      </c>
      <c r="E51" s="315">
        <f>(22.5*KFC!$B$25*1.02*1.05*1.05+KFC!$C$25)*KFC!$C$5</f>
        <v>25.302375000000001</v>
      </c>
      <c r="F51" s="315">
        <f>(24.2*KFC!$B$25*1.02*1.05*1.05+KFC!$C$25)*KFC!$C$5</f>
        <v>27.214110000000005</v>
      </c>
      <c r="G51" s="315">
        <f>(25.9*KFC!$B$25*1.02*1.05*1.05+KFC!$C$25)*KFC!$C$5</f>
        <v>29.125845000000002</v>
      </c>
      <c r="H51" s="315">
        <f>(27.5*KFC!$B$25*1.02*1.05*1.05+KFC!$C$25)*KFC!$C$5</f>
        <v>30.925125000000001</v>
      </c>
      <c r="I51" s="315">
        <f>(29.2*KFC!$B$25*1.02*1.05*1.05+KFC!$C$25)*KFC!$C$5</f>
        <v>32.836860000000001</v>
      </c>
      <c r="J51" s="315">
        <f>(30.9*KFC!$B$25*1.02*1.05*1.05+KFC!$C$25)*KFC!$C$5</f>
        <v>34.748595000000009</v>
      </c>
      <c r="K51" s="315">
        <f>(32.7*KFC!$B$25*1.02*1.05*1.05+KFC!$C$25)*KFC!$C$5</f>
        <v>36.772785000000013</v>
      </c>
      <c r="L51" s="316">
        <f>(34.2*KFC!$B$25*1.02*1.05*1.05+KFC!$C$25)*KFC!$C$5</f>
        <v>38.459609999999998</v>
      </c>
      <c r="M51" s="438"/>
      <c r="N51" s="438"/>
    </row>
    <row r="52" spans="1:14">
      <c r="A52" s="1538"/>
      <c r="B52" s="224">
        <v>1</v>
      </c>
      <c r="C52" s="314">
        <f>(19.9*KFC!$B$25*1.02*1.05*1.05+KFC!$C$25)*KFC!$C$5</f>
        <v>22.378544999999999</v>
      </c>
      <c r="D52" s="315">
        <f>(21.8*KFC!$B$25*1.02*1.05*1.05+KFC!$C$25)*KFC!$C$5</f>
        <v>24.515190000000004</v>
      </c>
      <c r="E52" s="315">
        <f>(23.5*KFC!$B$25*1.02*1.05*1.05+KFC!$C$25)*KFC!$C$5</f>
        <v>26.426925000000001</v>
      </c>
      <c r="F52" s="315">
        <f>(25.2*KFC!$B$25*1.02*1.05*1.05+KFC!$C$25)*KFC!$C$5</f>
        <v>28.338660000000001</v>
      </c>
      <c r="G52" s="315">
        <f>(26.9*KFC!$B$25*1.02*1.05*1.05+KFC!$C$25)*KFC!$C$5</f>
        <v>30.250395000000001</v>
      </c>
      <c r="H52" s="315">
        <f>(28.7*KFC!$B$25*1.02*1.05*1.05+KFC!$C$25)*KFC!$C$5</f>
        <v>32.274585000000002</v>
      </c>
      <c r="I52" s="315">
        <f>(30.5*KFC!$B$25*1.02*1.05*1.05+KFC!$C$25)*KFC!$C$5</f>
        <v>34.298775000000006</v>
      </c>
      <c r="J52" s="315">
        <f>(32.2*KFC!$B$25*1.02*1.05*1.05+KFC!$C$25)*KFC!$C$5</f>
        <v>36.210510000000006</v>
      </c>
      <c r="K52" s="315">
        <f>(33.9*KFC!$B$25*1.02*1.05*1.05+KFC!$C$25)*KFC!$C$5</f>
        <v>38.122244999999999</v>
      </c>
      <c r="L52" s="316">
        <f>(35.7*KFC!$B$25*1.02*1.05*1.05+KFC!$C$25)*KFC!$C$5</f>
        <v>40.146435000000004</v>
      </c>
      <c r="M52" s="438"/>
      <c r="N52" s="438"/>
    </row>
    <row r="53" spans="1:14">
      <c r="A53" s="1538"/>
      <c r="B53" s="224">
        <v>1.1000000000000001</v>
      </c>
      <c r="C53" s="314">
        <f>(20.8*KFC!$B$25*1.02*1.05*1.05+KFC!$C$25)*KFC!$C$5</f>
        <v>23.390640000000001</v>
      </c>
      <c r="D53" s="315">
        <f>(22.6*KFC!$B$25*1.02*1.05*1.05+KFC!$C$25)*KFC!$C$5</f>
        <v>25.414830000000006</v>
      </c>
      <c r="E53" s="315">
        <f>(24.3*KFC!$B$25*1.02*1.05*1.05+KFC!$C$25)*KFC!$C$5</f>
        <v>27.326565000000002</v>
      </c>
      <c r="F53" s="315">
        <f>(26.2*KFC!$B$25*1.02*1.05*1.05+KFC!$C$25)*KFC!$C$5</f>
        <v>29.463210000000004</v>
      </c>
      <c r="G53" s="315">
        <f>(28*KFC!$B$25*1.02*1.05*1.05+KFC!$C$25)*KFC!$C$5</f>
        <v>31.487400000000004</v>
      </c>
      <c r="H53" s="315">
        <f>(29.8*KFC!$B$25*1.02*1.05*1.05+KFC!$C$25)*KFC!$C$5</f>
        <v>33.511590000000005</v>
      </c>
      <c r="I53" s="315">
        <f>(31.6*KFC!$B$25*1.02*1.05*1.05+KFC!$C$25)*KFC!$C$5</f>
        <v>35.535780000000003</v>
      </c>
      <c r="J53" s="315">
        <f>(33.4*KFC!$B$25*1.02*1.05*1.05+KFC!$C$25)*KFC!$C$5</f>
        <v>37.55997</v>
      </c>
      <c r="K53" s="315">
        <f>(35.2*KFC!$B$25*1.02*1.05*1.05+KFC!$C$25)*KFC!$C$5</f>
        <v>39.584160000000004</v>
      </c>
      <c r="L53" s="316">
        <f>(37.1*KFC!$B$25*1.02*1.05*1.05+KFC!$C$25)*KFC!$C$5</f>
        <v>41.720804999999999</v>
      </c>
      <c r="M53" s="438"/>
      <c r="N53" s="438"/>
    </row>
    <row r="54" spans="1:14">
      <c r="A54" s="1538"/>
      <c r="B54" s="224">
        <v>1.2</v>
      </c>
      <c r="C54" s="314">
        <f>(21.6*KFC!$B$25*1.02*1.05*1.05+KFC!$C$25)*KFC!$C$5</f>
        <v>24.290280000000006</v>
      </c>
      <c r="D54" s="315">
        <f>(23.5*KFC!$B$25*1.02*1.05*1.05+KFC!$C$25)*KFC!$C$5</f>
        <v>26.426925000000001</v>
      </c>
      <c r="E54" s="315">
        <f>(25.3*KFC!$B$25*1.02*1.05*1.05+KFC!$C$25)*KFC!$C$5</f>
        <v>28.451115000000005</v>
      </c>
      <c r="F54" s="315">
        <f>(27.2*KFC!$B$25*1.02*1.05*1.05+KFC!$C$25)*KFC!$C$5</f>
        <v>30.587759999999999</v>
      </c>
      <c r="G54" s="315">
        <f>(29.1*KFC!$B$25*1.02*1.05*1.05+KFC!$C$25)*KFC!$C$5</f>
        <v>32.724405000000004</v>
      </c>
      <c r="H54" s="315">
        <f>(30.9*KFC!$B$25*1.02*1.05*1.05+KFC!$C$25)*KFC!$C$5</f>
        <v>34.748595000000009</v>
      </c>
      <c r="I54" s="315">
        <f>(32.8*KFC!$B$25*1.02*1.05*1.05+KFC!$C$25)*KFC!$C$5</f>
        <v>36.885240000000003</v>
      </c>
      <c r="J54" s="315">
        <f>(34.6*KFC!$B$25*1.02*1.05*1.05+KFC!$C$25)*KFC!$C$5</f>
        <v>38.909430000000008</v>
      </c>
      <c r="K54" s="315">
        <f>(36.4*KFC!$B$25*1.02*1.05*1.05+KFC!$C$25)*KFC!$C$5</f>
        <v>40.933620000000005</v>
      </c>
      <c r="L54" s="316">
        <f>(38.4*KFC!$B$25*1.02*1.05*1.05+KFC!$C$25)*KFC!$C$5</f>
        <v>43.182720000000003</v>
      </c>
      <c r="M54" s="438"/>
      <c r="N54" s="438"/>
    </row>
    <row r="55" spans="1:14">
      <c r="A55" s="1538"/>
      <c r="B55" s="224">
        <v>1.3</v>
      </c>
      <c r="C55" s="314">
        <f>(22.4*KFC!$B$25*1.02*1.05*1.05+KFC!$C$25)*KFC!$C$5</f>
        <v>25.189920000000001</v>
      </c>
      <c r="D55" s="315">
        <f>(24.3*KFC!$B$25*1.02*1.05*1.05+KFC!$C$25)*KFC!$C$5</f>
        <v>27.326565000000002</v>
      </c>
      <c r="E55" s="315">
        <f>(26.3*KFC!$B$25*1.02*1.05*1.05+KFC!$C$25)*KFC!$C$5</f>
        <v>29.575665000000001</v>
      </c>
      <c r="F55" s="315">
        <f>(28.1*KFC!$B$25*1.02*1.05*1.05+KFC!$C$25)*KFC!$C$5</f>
        <v>31.599855000000009</v>
      </c>
      <c r="G55" s="315">
        <f>(30.1*KFC!$B$25*1.02*1.05*1.05+KFC!$C$25)*KFC!$C$5</f>
        <v>33.848955000000004</v>
      </c>
      <c r="H55" s="315">
        <f>(32*KFC!$B$25*1.02*1.05*1.05+KFC!$C$25)*KFC!$C$5</f>
        <v>35.985600000000005</v>
      </c>
      <c r="I55" s="315">
        <f>(34*KFC!$B$25*1.02*1.05*1.05+KFC!$C$25)*KFC!$C$5</f>
        <v>38.234700000000004</v>
      </c>
      <c r="J55" s="315">
        <f>(35.8*KFC!$B$25*1.02*1.05*1.05+KFC!$C$25)*KFC!$C$5</f>
        <v>40.258890000000001</v>
      </c>
      <c r="K55" s="315">
        <f>(37.8*KFC!$B$25*1.02*1.05*1.05+KFC!$C$25)*KFC!$C$5</f>
        <v>42.507990000000007</v>
      </c>
      <c r="L55" s="316">
        <f>(39.7*KFC!$B$25*1.02*1.05*1.05+KFC!$C$25)*KFC!$C$5</f>
        <v>44.644635000000015</v>
      </c>
      <c r="M55" s="438"/>
      <c r="N55" s="438"/>
    </row>
    <row r="56" spans="1:14">
      <c r="A56" s="1538"/>
      <c r="B56" s="224">
        <v>1.4</v>
      </c>
      <c r="C56" s="314">
        <f>(23.2*KFC!$B$25*1.02*1.05*1.05+KFC!$C$25)*KFC!$C$5</f>
        <v>26.089559999999999</v>
      </c>
      <c r="D56" s="315">
        <f>(25.2*KFC!$B$25*1.02*1.05*1.05+KFC!$C$25)*KFC!$C$5</f>
        <v>28.338660000000001</v>
      </c>
      <c r="E56" s="315">
        <f>(27.2*KFC!$B$25*1.02*1.05*1.05+KFC!$C$25)*KFC!$C$5</f>
        <v>30.587759999999999</v>
      </c>
      <c r="F56" s="315">
        <f>(29.2*KFC!$B$25*1.02*1.05*1.05+KFC!$C$25)*KFC!$C$5</f>
        <v>32.836860000000001</v>
      </c>
      <c r="G56" s="315">
        <f>(31.2*KFC!$B$25*1.02*1.05*1.05+KFC!$C$25)*KFC!$C$5</f>
        <v>35.08596</v>
      </c>
      <c r="H56" s="315">
        <f>(33.1*KFC!$B$25*1.02*1.05*1.05+KFC!$C$25)*KFC!$C$5</f>
        <v>37.222605000000001</v>
      </c>
      <c r="I56" s="315">
        <f>(35.1*KFC!$B$25*1.02*1.05*1.05+KFC!$C$25)*KFC!$C$5</f>
        <v>39.471705000000007</v>
      </c>
      <c r="J56" s="315">
        <f>(37.1*KFC!$B$25*1.02*1.05*1.05+KFC!$C$25)*KFC!$C$5</f>
        <v>41.720804999999999</v>
      </c>
      <c r="K56" s="315">
        <f>(39*KFC!$B$25*1.02*1.05*1.05+KFC!$C$25)*KFC!$C$5</f>
        <v>43.857450000000007</v>
      </c>
      <c r="L56" s="316">
        <f>(41.1*KFC!$B$25*1.02*1.05*1.05+KFC!$C$25)*KFC!$C$5</f>
        <v>46.219005000000003</v>
      </c>
      <c r="M56" s="438"/>
      <c r="N56" s="438"/>
    </row>
    <row r="57" spans="1:14">
      <c r="A57" s="1538"/>
      <c r="B57" s="224">
        <v>1.5</v>
      </c>
      <c r="C57" s="314">
        <f>(24.1*KFC!$B$25*1.02*1.05*1.05+KFC!$C$25)*KFC!$C$5</f>
        <v>27.101655000000004</v>
      </c>
      <c r="D57" s="315">
        <f>(26*KFC!$B$25*1.02*1.05*1.05+KFC!$C$25)*KFC!$C$5</f>
        <v>29.238300000000002</v>
      </c>
      <c r="E57" s="315">
        <f>(28.1*KFC!$B$25*1.02*1.05*1.05+KFC!$C$25)*KFC!$C$5</f>
        <v>31.599855000000009</v>
      </c>
      <c r="F57" s="315">
        <f>(30.2*KFC!$B$25*1.02*1.05*1.05+KFC!$C$25)*KFC!$C$5</f>
        <v>33.961410000000001</v>
      </c>
      <c r="G57" s="315">
        <f>(32.2*KFC!$B$25*1.02*1.05*1.05+KFC!$C$25)*KFC!$C$5</f>
        <v>36.210510000000006</v>
      </c>
      <c r="H57" s="315">
        <f>(34.2*KFC!$B$25*1.02*1.05*1.05+KFC!$C$25)*KFC!$C$5</f>
        <v>38.459609999999998</v>
      </c>
      <c r="I57" s="315">
        <f>(36.3*KFC!$B$25*1.02*1.05*1.05+KFC!$C$25)*KFC!$C$5</f>
        <v>40.821165000000001</v>
      </c>
      <c r="J57" s="315">
        <f>(38.3*KFC!$B$25*1.02*1.05*1.05+KFC!$C$25)*KFC!$C$5</f>
        <v>43.070264999999999</v>
      </c>
      <c r="K57" s="315">
        <f>(40.4*KFC!$B$25*1.02*1.05*1.05+KFC!$C$25)*KFC!$C$5</f>
        <v>45.431820000000002</v>
      </c>
      <c r="L57" s="316">
        <f>(42.4*KFC!$B$25*1.02*1.05*1.05+KFC!$C$25)*KFC!$C$5</f>
        <v>47.680920000000008</v>
      </c>
      <c r="M57" s="438"/>
      <c r="N57" s="438"/>
    </row>
    <row r="58" spans="1:14">
      <c r="A58" s="1538"/>
      <c r="B58" s="224">
        <v>1.6</v>
      </c>
      <c r="C58" s="314">
        <f>(24.8*KFC!$B$25*1.02*1.05*1.05+KFC!$C$25)*KFC!$C$5</f>
        <v>27.888840000000005</v>
      </c>
      <c r="D58" s="315">
        <f>(26.9*KFC!$B$25*1.02*1.05*1.05+KFC!$C$25)*KFC!$C$5</f>
        <v>30.250395000000001</v>
      </c>
      <c r="E58" s="315">
        <f>(29.1*KFC!$B$25*1.02*1.05*1.05+KFC!$C$25)*KFC!$C$5</f>
        <v>32.724405000000004</v>
      </c>
      <c r="F58" s="315">
        <f>(31.2*KFC!$B$25*1.02*1.05*1.05+KFC!$C$25)*KFC!$C$5</f>
        <v>35.08596</v>
      </c>
      <c r="G58" s="315">
        <f>(33.3*KFC!$B$25*1.02*1.05*1.05+KFC!$C$25)*KFC!$C$5</f>
        <v>37.447515000000003</v>
      </c>
      <c r="H58" s="315">
        <f>(35.3*KFC!$B$25*1.02*1.05*1.05+KFC!$C$25)*KFC!$C$5</f>
        <v>39.696615000000001</v>
      </c>
      <c r="I58" s="315">
        <f>(37.4*KFC!$B$25*1.02*1.05*1.05+KFC!$C$25)*KFC!$C$5</f>
        <v>42.058170000000004</v>
      </c>
      <c r="J58" s="315">
        <f>(39.5*KFC!$B$25*1.02*1.05*1.05+KFC!$C$25)*KFC!$C$5</f>
        <v>44.419725000000007</v>
      </c>
      <c r="K58" s="315">
        <f>(41.7*KFC!$B$25*1.02*1.05*1.05+KFC!$C$25)*KFC!$C$5</f>
        <v>46.893735000000007</v>
      </c>
      <c r="L58" s="316">
        <f>(43.8*KFC!$B$25*1.02*1.05*1.05+KFC!$C$25)*KFC!$C$5</f>
        <v>49.255290000000002</v>
      </c>
      <c r="M58" s="438"/>
      <c r="N58" s="438"/>
    </row>
    <row r="59" spans="1:14">
      <c r="A59" s="1538"/>
      <c r="B59" s="224">
        <v>1.7</v>
      </c>
      <c r="C59" s="314">
        <f>(25.7*KFC!$B$25*1.02*1.05*1.05+KFC!$C$25)*KFC!$C$5</f>
        <v>28.900935</v>
      </c>
      <c r="D59" s="315">
        <f>(27.9*KFC!$B$25*1.02*1.05*1.05+KFC!$C$25)*KFC!$C$5</f>
        <v>31.374945</v>
      </c>
      <c r="E59" s="315">
        <f>(30*KFC!$B$25*1.02*1.05*1.05+KFC!$C$25)*KFC!$C$5</f>
        <v>33.736500000000007</v>
      </c>
      <c r="F59" s="315">
        <f>(32.2*KFC!$B$25*1.02*1.05*1.05+KFC!$C$25)*KFC!$C$5</f>
        <v>36.210510000000006</v>
      </c>
      <c r="G59" s="315">
        <f>(34.4*KFC!$B$25*1.02*1.05*1.05+KFC!$C$25)*KFC!$C$5</f>
        <v>38.684520000000006</v>
      </c>
      <c r="H59" s="315">
        <f>(36.4*KFC!$B$25*1.02*1.05*1.05+KFC!$C$25)*KFC!$C$5</f>
        <v>40.933620000000005</v>
      </c>
      <c r="I59" s="315">
        <f>(38.6*KFC!$B$25*1.02*1.05*1.05+KFC!$C$25)*KFC!$C$5</f>
        <v>43.407630000000005</v>
      </c>
      <c r="J59" s="315">
        <f>(40.7*KFC!$B$25*1.02*1.05*1.05+KFC!$C$25)*KFC!$C$5</f>
        <v>45.769185000000007</v>
      </c>
      <c r="K59" s="315">
        <f>(42.9*KFC!$B$25*1.02*1.05*1.05+KFC!$C$25)*KFC!$C$5</f>
        <v>48.243195000000007</v>
      </c>
      <c r="L59" s="316">
        <f>(45.1*KFC!$B$25*1.02*1.05*1.05+KFC!$C$25)*KFC!$C$5</f>
        <v>50.717205000000007</v>
      </c>
      <c r="M59" s="438"/>
      <c r="N59" s="438"/>
    </row>
    <row r="60" spans="1:14">
      <c r="A60" s="1538"/>
      <c r="B60" s="224">
        <v>1.8</v>
      </c>
      <c r="C60" s="314">
        <f>(26.5*KFC!$B$25*1.02*1.05*1.05+KFC!$C$25)*KFC!$C$5</f>
        <v>29.800575000000006</v>
      </c>
      <c r="D60" s="315">
        <f>(28.7*KFC!$B$25*1.02*1.05*1.05+KFC!$C$25)*KFC!$C$5</f>
        <v>32.274585000000002</v>
      </c>
      <c r="E60" s="315">
        <f>(30.9*KFC!$B$25*1.02*1.05*1.05+KFC!$C$25)*KFC!$C$5</f>
        <v>34.748595000000009</v>
      </c>
      <c r="F60" s="315">
        <f>(33.1*KFC!$B$25*1.02*1.05*1.05+KFC!$C$25)*KFC!$C$5</f>
        <v>37.222605000000001</v>
      </c>
      <c r="G60" s="315">
        <f>(35.3*KFC!$B$25*1.02*1.05*1.05+KFC!$C$25)*KFC!$C$5</f>
        <v>39.696615000000001</v>
      </c>
      <c r="H60" s="315">
        <f>(37.5*KFC!$B$25*1.02*1.05*1.05+KFC!$C$25)*KFC!$C$5</f>
        <v>42.170625000000001</v>
      </c>
      <c r="I60" s="315">
        <f>(39.7*KFC!$B$25*1.02*1.05*1.05+KFC!$C$25)*KFC!$C$5</f>
        <v>44.644635000000015</v>
      </c>
      <c r="J60" s="315">
        <f>(42.1*KFC!$B$25*1.02*1.05*1.05+KFC!$C$25)*KFC!$C$5</f>
        <v>47.343555000000002</v>
      </c>
      <c r="K60" s="315">
        <f>(44.3*KFC!$B$25*1.02*1.05*1.05+KFC!$C$25)*KFC!$C$5</f>
        <v>49.817565000000002</v>
      </c>
      <c r="L60" s="316">
        <f>(46.5*KFC!$B$25*1.02*1.05*1.05+KFC!$C$25)*KFC!$C$5</f>
        <v>52.291575000000009</v>
      </c>
      <c r="M60" s="438"/>
      <c r="N60" s="438"/>
    </row>
    <row r="61" spans="1:14">
      <c r="A61" s="1538"/>
      <c r="B61" s="224">
        <v>1.9</v>
      </c>
      <c r="C61" s="314">
        <f>(27.3*KFC!$B$25*1.02*1.05*1.05+KFC!$C$25)*KFC!$C$5</f>
        <v>30.700215000000004</v>
      </c>
      <c r="D61" s="315">
        <f>(29.6*KFC!$B$25*1.02*1.05*1.05+KFC!$C$25)*KFC!$C$5</f>
        <v>33.286680000000011</v>
      </c>
      <c r="E61" s="315">
        <f>(31.9*KFC!$B$25*1.02*1.05*1.05+KFC!$C$25)*KFC!$C$5</f>
        <v>35.873144999999994</v>
      </c>
      <c r="F61" s="315">
        <f>(34.1*KFC!$B$25*1.02*1.05*1.05+KFC!$C$25)*KFC!$C$5</f>
        <v>38.347155000000008</v>
      </c>
      <c r="G61" s="315">
        <f>(36.4*KFC!$B$25*1.02*1.05*1.05+KFC!$C$25)*KFC!$C$5</f>
        <v>40.933620000000005</v>
      </c>
      <c r="H61" s="315">
        <f>(38.6*KFC!$B$25*1.02*1.05*1.05+KFC!$C$25)*KFC!$C$5</f>
        <v>43.407630000000005</v>
      </c>
      <c r="I61" s="315">
        <f>(41*KFC!$B$25*1.02*1.05*1.05+KFC!$C$25)*KFC!$C$5</f>
        <v>46.106550000000006</v>
      </c>
      <c r="J61" s="315">
        <f>(43.3*KFC!$B$25*1.02*1.05*1.05+KFC!$C$25)*KFC!$C$5</f>
        <v>48.693015000000003</v>
      </c>
      <c r="K61" s="315">
        <f>(45.5*KFC!$B$25*1.02*1.05*1.05+KFC!$C$25)*KFC!$C$5</f>
        <v>51.16702500000001</v>
      </c>
      <c r="L61" s="316">
        <f>(47.8*KFC!$B$25*1.02*1.05*1.05+KFC!$C$25)*KFC!$C$5</f>
        <v>53.753490000000006</v>
      </c>
      <c r="M61" s="438"/>
      <c r="N61" s="438"/>
    </row>
    <row r="62" spans="1:14" ht="13.8" thickBot="1">
      <c r="A62" s="1539"/>
      <c r="B62" s="225">
        <v>2</v>
      </c>
      <c r="C62" s="317">
        <f>(28.1*KFC!$B$25*1.02*1.05*1.05+KFC!$C$25)*KFC!$C$5</f>
        <v>31.599855000000009</v>
      </c>
      <c r="D62" s="318">
        <f>(30.5*KFC!$B$25*1.02*1.05*1.05+KFC!$C$25)*KFC!$C$5</f>
        <v>34.298775000000006</v>
      </c>
      <c r="E62" s="318">
        <f>(32.8*KFC!$B$25*1.02*1.05*1.05+KFC!$C$25)*KFC!$C$5</f>
        <v>36.885240000000003</v>
      </c>
      <c r="F62" s="318">
        <f>(35.1*KFC!$B$25*1.02*1.05*1.05+KFC!$C$25)*KFC!$C$5</f>
        <v>39.471705000000007</v>
      </c>
      <c r="G62" s="318">
        <f>(37.4*KFC!$B$25*1.02*1.05*1.05+KFC!$C$25)*KFC!$C$5</f>
        <v>42.058170000000004</v>
      </c>
      <c r="H62" s="318">
        <f>(39.7*KFC!$B$25*1.02*1.05*1.05+KFC!$C$25)*KFC!$C$5</f>
        <v>44.644635000000015</v>
      </c>
      <c r="I62" s="318">
        <f>(42.2*KFC!$B$25*1.02*1.05*1.05+KFC!$C$25)*KFC!$C$5</f>
        <v>47.456010000000006</v>
      </c>
      <c r="J62" s="318">
        <f>(44.5*KFC!$B$25*1.02*1.05*1.05+KFC!$C$25)*KFC!$C$5</f>
        <v>50.042475000000003</v>
      </c>
      <c r="K62" s="318">
        <f>(46.8*KFC!$B$25*1.02*1.05*1.05+KFC!$C$25)*KFC!$C$5</f>
        <v>52.62894</v>
      </c>
      <c r="L62" s="319">
        <f>(49.2*KFC!$B$25*1.02*1.05*1.05+KFC!$C$25)*KFC!$C$5</f>
        <v>55.327860000000008</v>
      </c>
      <c r="M62" s="438"/>
      <c r="N62" s="438"/>
    </row>
    <row r="63" spans="1:14" ht="13.8" thickBot="1">
      <c r="A63" s="249"/>
      <c r="B63" s="249"/>
      <c r="C63" s="249"/>
      <c r="D63" s="249"/>
      <c r="E63" s="249"/>
      <c r="F63" s="249"/>
      <c r="G63" s="249"/>
      <c r="H63" s="249"/>
      <c r="I63" s="249"/>
      <c r="J63" s="249"/>
      <c r="K63" s="249"/>
      <c r="L63" s="249"/>
      <c r="M63" s="438"/>
      <c r="N63" s="438"/>
    </row>
    <row r="64" spans="1:14" ht="13.5" customHeight="1" thickBot="1">
      <c r="A64" s="1413" t="s">
        <v>318</v>
      </c>
      <c r="B64" s="1415"/>
      <c r="C64" s="1534" t="s">
        <v>207</v>
      </c>
      <c r="D64" s="1535"/>
      <c r="E64" s="1535"/>
      <c r="F64" s="1535"/>
      <c r="G64" s="1535"/>
      <c r="H64" s="1535"/>
      <c r="I64" s="1535"/>
      <c r="J64" s="1535"/>
      <c r="K64" s="1535"/>
      <c r="L64" s="1536"/>
      <c r="M64" s="438"/>
      <c r="N64" s="438"/>
    </row>
    <row r="65" spans="1:14" ht="13.8" thickBot="1">
      <c r="A65" s="1416"/>
      <c r="B65" s="1418"/>
      <c r="C65" s="428">
        <v>0.4</v>
      </c>
      <c r="D65" s="428">
        <v>0.5</v>
      </c>
      <c r="E65" s="428">
        <v>0.6</v>
      </c>
      <c r="F65" s="428">
        <v>0.7</v>
      </c>
      <c r="G65" s="428">
        <v>0.8</v>
      </c>
      <c r="H65" s="428">
        <v>0.9</v>
      </c>
      <c r="I65" s="428">
        <v>1</v>
      </c>
      <c r="J65" s="428">
        <v>1.1000000000000001</v>
      </c>
      <c r="K65" s="428">
        <v>1.2</v>
      </c>
      <c r="L65" s="113">
        <v>1.3</v>
      </c>
      <c r="M65" s="438"/>
      <c r="N65" s="438"/>
    </row>
    <row r="66" spans="1:14" ht="12.75" customHeight="1">
      <c r="A66" s="1537" t="s">
        <v>3</v>
      </c>
      <c r="B66" s="226">
        <v>0.5</v>
      </c>
      <c r="C66" s="311">
        <f>(19.6*KFC!$B$25*1.02*1.05*1.05+KFC!$C$25)*KFC!$C$5</f>
        <v>22.041180000000004</v>
      </c>
      <c r="D66" s="312">
        <f>(21.4*KFC!$B$25*1.02*1.05*1.05+KFC!$C$25)*KFC!$C$5</f>
        <v>24.065370000000001</v>
      </c>
      <c r="E66" s="312">
        <f>(23.4*KFC!$B$25*1.02*1.05*1.05+KFC!$C$25)*KFC!$C$5</f>
        <v>26.31447</v>
      </c>
      <c r="F66" s="312">
        <f>(25.2*KFC!$B$25*1.02*1.05*1.05+KFC!$C$25)*KFC!$C$5</f>
        <v>28.338660000000001</v>
      </c>
      <c r="G66" s="312">
        <f>(27.2*KFC!$B$25*1.02*1.05*1.05+KFC!$C$25)*KFC!$C$5</f>
        <v>30.587759999999999</v>
      </c>
      <c r="H66" s="312">
        <f>(29*KFC!$B$25*1.02*1.05*1.05+KFC!$C$25)*KFC!$C$5</f>
        <v>32.611950000000007</v>
      </c>
      <c r="I66" s="312">
        <f>(30.9*KFC!$B$25*1.02*1.05*1.05+KFC!$C$25)*KFC!$C$5</f>
        <v>34.748595000000009</v>
      </c>
      <c r="J66" s="312">
        <f>(32.8*KFC!$B$25*1.02*1.05*1.05+KFC!$C$25)*KFC!$C$5</f>
        <v>36.885240000000003</v>
      </c>
      <c r="K66" s="312">
        <f>(34.7*KFC!$B$25*1.02*1.05*1.05+KFC!$C$25)*KFC!$C$5</f>
        <v>39.021885000000005</v>
      </c>
      <c r="L66" s="313">
        <f>(36.6*KFC!$B$25*1.02*1.05*1.05+KFC!$C$25)*KFC!$C$5</f>
        <v>41.158529999999999</v>
      </c>
      <c r="M66" s="438"/>
      <c r="N66" s="438"/>
    </row>
    <row r="67" spans="1:14">
      <c r="A67" s="1538"/>
      <c r="B67" s="224">
        <v>0.6</v>
      </c>
      <c r="C67" s="314">
        <f>(20.4*KFC!$B$25*1.02*1.05*1.05+KFC!$C$25)*KFC!$C$5</f>
        <v>22.940820000000002</v>
      </c>
      <c r="D67" s="315">
        <f>(22.5*KFC!$B$25*1.02*1.05*1.05+KFC!$C$25)*KFC!$C$5</f>
        <v>25.302375000000001</v>
      </c>
      <c r="E67" s="315">
        <f>(24.5*KFC!$B$25*1.02*1.05*1.05+KFC!$C$25)*KFC!$C$5</f>
        <v>27.551475000000003</v>
      </c>
      <c r="F67" s="315">
        <f>(26.5*KFC!$B$25*1.02*1.05*1.05+KFC!$C$25)*KFC!$C$5</f>
        <v>29.800575000000006</v>
      </c>
      <c r="G67" s="315">
        <f>(28.5*KFC!$B$25*1.02*1.05*1.05+KFC!$C$25)*KFC!$C$5</f>
        <v>32.049675000000001</v>
      </c>
      <c r="H67" s="315">
        <f>(30.5*KFC!$B$25*1.02*1.05*1.05+KFC!$C$25)*KFC!$C$5</f>
        <v>34.298775000000006</v>
      </c>
      <c r="I67" s="315">
        <f>(32.5*KFC!$B$25*1.02*1.05*1.05+KFC!$C$25)*KFC!$C$5</f>
        <v>36.547874999999998</v>
      </c>
      <c r="J67" s="315">
        <f>(34.5*KFC!$B$25*1.02*1.05*1.05+KFC!$C$25)*KFC!$C$5</f>
        <v>38.796975000000003</v>
      </c>
      <c r="K67" s="315">
        <f>(36.6*KFC!$B$25*1.02*1.05*1.05+KFC!$C$25)*KFC!$C$5</f>
        <v>41.158529999999999</v>
      </c>
      <c r="L67" s="316">
        <f>(38.5*KFC!$B$25*1.02*1.05*1.05+KFC!$C$25)*KFC!$C$5</f>
        <v>43.295175000000008</v>
      </c>
      <c r="M67" s="438"/>
      <c r="N67" s="438"/>
    </row>
    <row r="68" spans="1:14">
      <c r="A68" s="1538"/>
      <c r="B68" s="224">
        <v>0.7</v>
      </c>
      <c r="C68" s="314">
        <f>(21.4*KFC!$B$25*1.02*1.05*1.05+KFC!$C$25)*KFC!$C$5</f>
        <v>24.065370000000001</v>
      </c>
      <c r="D68" s="315">
        <f>(23.5*KFC!$B$25*1.02*1.05*1.05+KFC!$C$25)*KFC!$C$5</f>
        <v>26.426925000000001</v>
      </c>
      <c r="E68" s="315">
        <f>(25.6*KFC!$B$25*1.02*1.05*1.05+KFC!$C$25)*KFC!$C$5</f>
        <v>28.788480000000003</v>
      </c>
      <c r="F68" s="315">
        <f>(27.8*KFC!$B$25*1.02*1.05*1.05+KFC!$C$25)*KFC!$C$5</f>
        <v>31.262490000000003</v>
      </c>
      <c r="G68" s="315">
        <f>(29.8*KFC!$B$25*1.02*1.05*1.05+KFC!$C$25)*KFC!$C$5</f>
        <v>33.511590000000005</v>
      </c>
      <c r="H68" s="315">
        <f>(32*KFC!$B$25*1.02*1.05*1.05+KFC!$C$25)*KFC!$C$5</f>
        <v>35.985600000000005</v>
      </c>
      <c r="I68" s="315">
        <f>(34.1*KFC!$B$25*1.02*1.05*1.05+KFC!$C$25)*KFC!$C$5</f>
        <v>38.347155000000008</v>
      </c>
      <c r="J68" s="315">
        <f>(36.2*KFC!$B$25*1.02*1.05*1.05+KFC!$C$25)*KFC!$C$5</f>
        <v>40.708710000000011</v>
      </c>
      <c r="K68" s="315">
        <f>(38.4*KFC!$B$25*1.02*1.05*1.05+KFC!$C$25)*KFC!$C$5</f>
        <v>43.182720000000003</v>
      </c>
      <c r="L68" s="316">
        <f>(40.5*KFC!$B$25*1.02*1.05*1.05+KFC!$C$25)*KFC!$C$5</f>
        <v>45.544275000000006</v>
      </c>
      <c r="M68" s="438"/>
      <c r="N68" s="438"/>
    </row>
    <row r="69" spans="1:14">
      <c r="A69" s="1538"/>
      <c r="B69" s="224">
        <v>0.8</v>
      </c>
      <c r="C69" s="314">
        <f>(22.3*KFC!$B$25*1.02*1.05*1.05+KFC!$C$25)*KFC!$C$5</f>
        <v>25.077465000000004</v>
      </c>
      <c r="D69" s="315">
        <f>(24.5*KFC!$B$25*1.02*1.05*1.05+KFC!$C$25)*KFC!$C$5</f>
        <v>27.551475000000003</v>
      </c>
      <c r="E69" s="315">
        <f>(26.8*KFC!$B$25*1.02*1.05*1.05+KFC!$C$25)*KFC!$C$5</f>
        <v>30.137940000000004</v>
      </c>
      <c r="F69" s="315">
        <f>(29*KFC!$B$25*1.02*1.05*1.05+KFC!$C$25)*KFC!$C$5</f>
        <v>32.611950000000007</v>
      </c>
      <c r="G69" s="315">
        <f>(31.2*KFC!$B$25*1.02*1.05*1.05+KFC!$C$25)*KFC!$C$5</f>
        <v>35.08596</v>
      </c>
      <c r="H69" s="315">
        <f>(33.5*KFC!$B$25*1.02*1.05*1.05+KFC!$C$25)*KFC!$C$5</f>
        <v>37.672425000000004</v>
      </c>
      <c r="I69" s="315">
        <f>(35.7*KFC!$B$25*1.02*1.05*1.05+KFC!$C$25)*KFC!$C$5</f>
        <v>40.146435000000004</v>
      </c>
      <c r="J69" s="315">
        <f>(38*KFC!$B$25*1.02*1.05*1.05+KFC!$C$25)*KFC!$C$5</f>
        <v>42.732900000000001</v>
      </c>
      <c r="K69" s="315">
        <f>(40.2*KFC!$B$25*1.02*1.05*1.05+KFC!$C$25)*KFC!$C$5</f>
        <v>45.206910000000008</v>
      </c>
      <c r="L69" s="316">
        <f>(42.4*KFC!$B$25*1.02*1.05*1.05+KFC!$C$25)*KFC!$C$5</f>
        <v>47.680920000000008</v>
      </c>
      <c r="M69" s="438"/>
      <c r="N69" s="438"/>
    </row>
    <row r="70" spans="1:14">
      <c r="A70" s="1538"/>
      <c r="B70" s="224">
        <v>0.9</v>
      </c>
      <c r="C70" s="314">
        <f>(23.1*KFC!$B$25*1.02*1.05*1.05+KFC!$C$25)*KFC!$C$5</f>
        <v>25.977105000000002</v>
      </c>
      <c r="D70" s="315">
        <f>(25.6*KFC!$B$25*1.02*1.05*1.05+KFC!$C$25)*KFC!$C$5</f>
        <v>28.788480000000003</v>
      </c>
      <c r="E70" s="315">
        <f>(27.9*KFC!$B$25*1.02*1.05*1.05+KFC!$C$25)*KFC!$C$5</f>
        <v>31.374945</v>
      </c>
      <c r="F70" s="315">
        <f>(30.2*KFC!$B$25*1.02*1.05*1.05+KFC!$C$25)*KFC!$C$5</f>
        <v>33.961410000000001</v>
      </c>
      <c r="G70" s="315">
        <f>(32.7*KFC!$B$25*1.02*1.05*1.05+KFC!$C$25)*KFC!$C$5</f>
        <v>36.772785000000013</v>
      </c>
      <c r="H70" s="315">
        <f>(35*KFC!$B$25*1.02*1.05*1.05+KFC!$C$25)*KFC!$C$5</f>
        <v>39.35925000000001</v>
      </c>
      <c r="I70" s="315">
        <f>(37.3*KFC!$B$25*1.02*1.05*1.05+KFC!$C$25)*KFC!$C$5</f>
        <v>41.945715000000007</v>
      </c>
      <c r="J70" s="315">
        <f>(39.7*KFC!$B$25*1.02*1.05*1.05+KFC!$C$25)*KFC!$C$5</f>
        <v>44.644635000000015</v>
      </c>
      <c r="K70" s="315">
        <f>(42.1*KFC!$B$25*1.02*1.05*1.05+KFC!$C$25)*KFC!$C$5</f>
        <v>47.343555000000002</v>
      </c>
      <c r="L70" s="316">
        <f>(44.4*KFC!$B$25*1.02*1.05*1.05+KFC!$C$25)*KFC!$C$5</f>
        <v>49.930019999999999</v>
      </c>
      <c r="M70" s="438"/>
      <c r="N70" s="438"/>
    </row>
    <row r="71" spans="1:14">
      <c r="A71" s="1538"/>
      <c r="B71" s="224">
        <v>1</v>
      </c>
      <c r="C71" s="314">
        <f>(24.1*KFC!$B$25*1.02*1.05*1.05+KFC!$C$25)*KFC!$C$5</f>
        <v>27.101655000000004</v>
      </c>
      <c r="D71" s="315">
        <f>(26.5*KFC!$B$25*1.02*1.05*1.05+KFC!$C$25)*KFC!$C$5</f>
        <v>29.800575000000006</v>
      </c>
      <c r="E71" s="315">
        <f>(29*KFC!$B$25*1.02*1.05*1.05+KFC!$C$25)*KFC!$C$5</f>
        <v>32.611950000000007</v>
      </c>
      <c r="F71" s="315">
        <f>(31.6*KFC!$B$25*1.02*1.05*1.05+KFC!$C$25)*KFC!$C$5</f>
        <v>35.535780000000003</v>
      </c>
      <c r="G71" s="315">
        <f>(34*KFC!$B$25*1.02*1.05*1.05+KFC!$C$25)*KFC!$C$5</f>
        <v>38.234700000000004</v>
      </c>
      <c r="H71" s="315">
        <f>(36.4*KFC!$B$25*1.02*1.05*1.05+KFC!$C$25)*KFC!$C$5</f>
        <v>40.933620000000005</v>
      </c>
      <c r="I71" s="315">
        <f>(38.9*KFC!$B$25*1.02*1.05*1.05+KFC!$C$25)*KFC!$C$5</f>
        <v>43.744994999999996</v>
      </c>
      <c r="J71" s="315">
        <f>(41.5*KFC!$B$25*1.02*1.05*1.05+KFC!$C$25)*KFC!$C$5</f>
        <v>46.668825000000005</v>
      </c>
      <c r="K71" s="315">
        <f>(43.9*KFC!$B$25*1.02*1.05*1.05+KFC!$C$25)*KFC!$C$5</f>
        <v>49.367744999999999</v>
      </c>
      <c r="L71" s="316">
        <f>(46.4*KFC!$B$25*1.02*1.05*1.05+KFC!$C$25)*KFC!$C$5</f>
        <v>52.179119999999998</v>
      </c>
      <c r="M71" s="438"/>
      <c r="N71" s="438"/>
    </row>
    <row r="72" spans="1:14">
      <c r="A72" s="1538"/>
      <c r="B72" s="224">
        <v>1.1000000000000001</v>
      </c>
      <c r="C72" s="314">
        <f>(24.9*KFC!$B$25*1.02*1.05*1.05+KFC!$C$25)*KFC!$C$5</f>
        <v>28.001294999999999</v>
      </c>
      <c r="D72" s="315">
        <f>(27.5*KFC!$B$25*1.02*1.05*1.05+KFC!$C$25)*KFC!$C$5</f>
        <v>30.925125000000001</v>
      </c>
      <c r="E72" s="315">
        <f>(30.2*KFC!$B$25*1.02*1.05*1.05+KFC!$C$25)*KFC!$C$5</f>
        <v>33.961410000000001</v>
      </c>
      <c r="F72" s="315">
        <f>(32.8*KFC!$B$25*1.02*1.05*1.05+KFC!$C$25)*KFC!$C$5</f>
        <v>36.885240000000003</v>
      </c>
      <c r="G72" s="315">
        <f>(35.3*KFC!$B$25*1.02*1.05*1.05+KFC!$C$25)*KFC!$C$5</f>
        <v>39.696615000000001</v>
      </c>
      <c r="H72" s="315">
        <f>(37.9*KFC!$B$25*1.02*1.05*1.05+KFC!$C$25)*KFC!$C$5</f>
        <v>42.620445000000004</v>
      </c>
      <c r="I72" s="315">
        <f>(40.6*KFC!$B$25*1.02*1.05*1.05+KFC!$C$25)*KFC!$C$5</f>
        <v>45.656730000000003</v>
      </c>
      <c r="J72" s="315">
        <f>(43.2*KFC!$B$25*1.02*1.05*1.05+KFC!$C$25)*KFC!$C$5</f>
        <v>48.580560000000013</v>
      </c>
      <c r="K72" s="315">
        <f>(45.7*KFC!$B$25*1.02*1.05*1.05+KFC!$C$25)*KFC!$C$5</f>
        <v>51.391935000000004</v>
      </c>
      <c r="L72" s="316">
        <f>(48.3*KFC!$B$25*1.02*1.05*1.05+KFC!$C$25)*KFC!$C$5</f>
        <v>54.315765000000006</v>
      </c>
      <c r="M72" s="438"/>
      <c r="N72" s="438"/>
    </row>
    <row r="73" spans="1:14">
      <c r="A73" s="1538"/>
      <c r="B73" s="224">
        <v>1.2</v>
      </c>
      <c r="C73" s="314">
        <f>(25.8*KFC!$B$25*1.02*1.05*1.05+KFC!$C$25)*KFC!$C$5</f>
        <v>29.013390000000008</v>
      </c>
      <c r="D73" s="315">
        <f>(28.6*KFC!$B$25*1.02*1.05*1.05+KFC!$C$25)*KFC!$C$5</f>
        <v>32.162130000000005</v>
      </c>
      <c r="E73" s="315">
        <f>(31.3*KFC!$B$25*1.02*1.05*1.05+KFC!$C$25)*KFC!$C$5</f>
        <v>35.198415000000004</v>
      </c>
      <c r="F73" s="315">
        <f>(34*KFC!$B$25*1.02*1.05*1.05+KFC!$C$25)*KFC!$C$5</f>
        <v>38.234700000000004</v>
      </c>
      <c r="G73" s="315">
        <f>(36.7*KFC!$B$25*1.02*1.05*1.05+KFC!$C$25)*KFC!$C$5</f>
        <v>41.27098500000001</v>
      </c>
      <c r="H73" s="315">
        <f>(39.5*KFC!$B$25*1.02*1.05*1.05+KFC!$C$25)*KFC!$C$5</f>
        <v>44.419725000000007</v>
      </c>
      <c r="I73" s="315">
        <f>(42.2*KFC!$B$25*1.02*1.05*1.05+KFC!$C$25)*KFC!$C$5</f>
        <v>47.456010000000006</v>
      </c>
      <c r="J73" s="315">
        <f>(44.9*KFC!$B$25*1.02*1.05*1.05+KFC!$C$25)*KFC!$C$5</f>
        <v>50.492295000000006</v>
      </c>
      <c r="K73" s="315">
        <f>(47.6*KFC!$B$25*1.02*1.05*1.05+KFC!$C$25)*KFC!$C$5</f>
        <v>53.528580000000005</v>
      </c>
      <c r="L73" s="316">
        <f>(50.4*KFC!$B$25*1.02*1.05*1.05+KFC!$C$25)*KFC!$C$5</f>
        <v>56.677320000000002</v>
      </c>
      <c r="M73" s="438"/>
      <c r="N73" s="438"/>
    </row>
    <row r="74" spans="1:14">
      <c r="A74" s="1538"/>
      <c r="B74" s="224">
        <v>1.3</v>
      </c>
      <c r="C74" s="314">
        <f>(26.8*KFC!$B$25*1.02*1.05*1.05+KFC!$C$25)*KFC!$C$5</f>
        <v>30.137940000000004</v>
      </c>
      <c r="D74" s="315">
        <f>(29.6*KFC!$B$25*1.02*1.05*1.05+KFC!$C$25)*KFC!$C$5</f>
        <v>33.286680000000011</v>
      </c>
      <c r="E74" s="315">
        <f>(32.4*KFC!$B$25*1.02*1.05*1.05+KFC!$C$25)*KFC!$C$5</f>
        <v>36.435420000000001</v>
      </c>
      <c r="F74" s="315">
        <f>(35.2*KFC!$B$25*1.02*1.05*1.05+KFC!$C$25)*KFC!$C$5</f>
        <v>39.584160000000004</v>
      </c>
      <c r="G74" s="315">
        <f>(38.2*KFC!$B$25*1.02*1.05*1.05+KFC!$C$25)*KFC!$C$5</f>
        <v>42.957810000000009</v>
      </c>
      <c r="H74" s="315">
        <f>(41*KFC!$B$25*1.02*1.05*1.05+KFC!$C$25)*KFC!$C$5</f>
        <v>46.106550000000006</v>
      </c>
      <c r="I74" s="315">
        <f>(43.8*KFC!$B$25*1.02*1.05*1.05+KFC!$C$25)*KFC!$C$5</f>
        <v>49.255290000000002</v>
      </c>
      <c r="J74" s="315">
        <f>(46.6*KFC!$B$25*1.02*1.05*1.05+KFC!$C$25)*KFC!$C$5</f>
        <v>52.404030000000013</v>
      </c>
      <c r="K74" s="315">
        <f>(49.4*KFC!$B$25*1.02*1.05*1.05+KFC!$C$25)*KFC!$C$5</f>
        <v>55.552770000000002</v>
      </c>
      <c r="L74" s="316">
        <f>(52.3*KFC!$B$25*1.02*1.05*1.05+KFC!$C$25)*KFC!$C$5</f>
        <v>58.813965000000003</v>
      </c>
      <c r="M74" s="438"/>
      <c r="N74" s="438"/>
    </row>
    <row r="75" spans="1:14">
      <c r="A75" s="1538"/>
      <c r="B75" s="224">
        <v>1.4</v>
      </c>
      <c r="C75" s="314">
        <f>(27.6*KFC!$B$25*1.02*1.05*1.05+KFC!$C$25)*KFC!$C$5</f>
        <v>31.037580000000005</v>
      </c>
      <c r="D75" s="315">
        <f>(30.6*KFC!$B$25*1.02*1.05*1.05+KFC!$C$25)*KFC!$C$5</f>
        <v>34.411230000000003</v>
      </c>
      <c r="E75" s="315">
        <f>(33.5*KFC!$B$25*1.02*1.05*1.05+KFC!$C$25)*KFC!$C$5</f>
        <v>37.672425000000004</v>
      </c>
      <c r="F75" s="315">
        <f>(36.6*KFC!$B$25*1.02*1.05*1.05+KFC!$C$25)*KFC!$C$5</f>
        <v>41.158529999999999</v>
      </c>
      <c r="G75" s="315">
        <f>(39.5*KFC!$B$25*1.02*1.05*1.05+KFC!$C$25)*KFC!$C$5</f>
        <v>44.419725000000007</v>
      </c>
      <c r="H75" s="315">
        <f>(42.4*KFC!$B$25*1.02*1.05*1.05+KFC!$C$25)*KFC!$C$5</f>
        <v>47.680920000000008</v>
      </c>
      <c r="I75" s="315">
        <f>(45.4*KFC!$B$25*1.02*1.05*1.05+KFC!$C$25)*KFC!$C$5</f>
        <v>51.054570000000005</v>
      </c>
      <c r="J75" s="315">
        <f>(48.3*KFC!$B$25*1.02*1.05*1.05+KFC!$C$25)*KFC!$C$5</f>
        <v>54.315765000000006</v>
      </c>
      <c r="K75" s="315">
        <f>(51.2*KFC!$B$25*1.02*1.05*1.05+KFC!$C$25)*KFC!$C$5</f>
        <v>57.576960000000007</v>
      </c>
      <c r="L75" s="316">
        <f>(54.3*KFC!$B$25*1.02*1.05*1.05+KFC!$C$25)*KFC!$C$5</f>
        <v>61.063065000000002</v>
      </c>
      <c r="M75" s="438"/>
      <c r="N75" s="438"/>
    </row>
    <row r="76" spans="1:14">
      <c r="A76" s="1538"/>
      <c r="B76" s="224">
        <v>1.5</v>
      </c>
      <c r="C76" s="314">
        <f>(28.5*KFC!$B$25*1.02*1.05*1.05+KFC!$C$25)*KFC!$C$5</f>
        <v>32.049675000000001</v>
      </c>
      <c r="D76" s="315">
        <f>(31.6*KFC!$B$25*1.02*1.05*1.05+KFC!$C$25)*KFC!$C$5</f>
        <v>35.535780000000003</v>
      </c>
      <c r="E76" s="315">
        <f>(34.7*KFC!$B$25*1.02*1.05*1.05+KFC!$C$25)*KFC!$C$5</f>
        <v>39.021885000000005</v>
      </c>
      <c r="F76" s="315">
        <f>(37.8*KFC!$B$25*1.02*1.05*1.05+KFC!$C$25)*KFC!$C$5</f>
        <v>42.507990000000007</v>
      </c>
      <c r="G76" s="315">
        <f>(40.8*KFC!$B$25*1.02*1.05*1.05+KFC!$C$25)*KFC!$C$5</f>
        <v>45.881640000000004</v>
      </c>
      <c r="H76" s="315">
        <f>(43.9*KFC!$B$25*1.02*1.05*1.05+KFC!$C$25)*KFC!$C$5</f>
        <v>49.367744999999999</v>
      </c>
      <c r="I76" s="315">
        <f>(47*KFC!$B$25*1.02*1.05*1.05+KFC!$C$25)*KFC!$C$5</f>
        <v>52.853850000000001</v>
      </c>
      <c r="J76" s="315">
        <f>(50*KFC!$B$25*1.02*1.05*1.05+KFC!$C$25)*KFC!$C$5</f>
        <v>56.227500000000006</v>
      </c>
      <c r="K76" s="315">
        <f>(53.2*KFC!$B$25*1.02*1.05*1.05+KFC!$C$25)*KFC!$C$5</f>
        <v>59.826060000000005</v>
      </c>
      <c r="L76" s="316">
        <f>(56.3*KFC!$B$25*1.02*1.05*1.05+KFC!$C$25)*KFC!$C$5</f>
        <v>63.312165</v>
      </c>
      <c r="M76" s="438"/>
      <c r="N76" s="438"/>
    </row>
    <row r="77" spans="1:14">
      <c r="A77" s="1538"/>
      <c r="B77" s="224">
        <v>1.6</v>
      </c>
      <c r="C77" s="314">
        <f>(29.5*KFC!$B$25*1.02*1.05*1.05+KFC!$C$25)*KFC!$C$5</f>
        <v>33.174225</v>
      </c>
      <c r="D77" s="315">
        <f>(32.7*KFC!$B$25*1.02*1.05*1.05+KFC!$C$25)*KFC!$C$5</f>
        <v>36.772785000000013</v>
      </c>
      <c r="E77" s="315">
        <f>(35.8*KFC!$B$25*1.02*1.05*1.05+KFC!$C$25)*KFC!$C$5</f>
        <v>40.258890000000001</v>
      </c>
      <c r="F77" s="315">
        <f>(39*KFC!$B$25*1.02*1.05*1.05+KFC!$C$25)*KFC!$C$5</f>
        <v>43.857450000000007</v>
      </c>
      <c r="G77" s="315">
        <f>(42.2*KFC!$B$25*1.02*1.05*1.05+KFC!$C$25)*KFC!$C$5</f>
        <v>47.456010000000006</v>
      </c>
      <c r="H77" s="315">
        <f>(45.4*KFC!$B$25*1.02*1.05*1.05+KFC!$C$25)*KFC!$C$5</f>
        <v>51.054570000000005</v>
      </c>
      <c r="I77" s="315">
        <f>(48.6*KFC!$B$25*1.02*1.05*1.05+KFC!$C$25)*KFC!$C$5</f>
        <v>54.653130000000004</v>
      </c>
      <c r="J77" s="315">
        <f>(51.9*KFC!$B$25*1.02*1.05*1.05+KFC!$C$25)*KFC!$C$5</f>
        <v>58.364145000000008</v>
      </c>
      <c r="K77" s="315">
        <f>(55*KFC!$B$25*1.02*1.05*1.05+KFC!$C$25)*KFC!$C$5</f>
        <v>61.850250000000003</v>
      </c>
      <c r="L77" s="316">
        <f>(58.2*KFC!$B$25*1.02*1.05*1.05+KFC!$C$25)*KFC!$C$5</f>
        <v>65.448810000000009</v>
      </c>
      <c r="M77" s="438"/>
      <c r="N77" s="438"/>
    </row>
    <row r="78" spans="1:14">
      <c r="A78" s="1538"/>
      <c r="B78" s="224">
        <v>1.7</v>
      </c>
      <c r="C78" s="314">
        <f>(30.3*KFC!$B$25*1.02*1.05*1.05+KFC!$C$25)*KFC!$C$5</f>
        <v>34.073865000000005</v>
      </c>
      <c r="D78" s="315">
        <f>(33.6*KFC!$B$25*1.02*1.05*1.05+KFC!$C$25)*KFC!$C$5</f>
        <v>37.784880000000008</v>
      </c>
      <c r="E78" s="315">
        <f>(36.9*KFC!$B$25*1.02*1.05*1.05+KFC!$C$25)*KFC!$C$5</f>
        <v>41.495895000000004</v>
      </c>
      <c r="F78" s="315">
        <f>(40.2*KFC!$B$25*1.02*1.05*1.05+KFC!$C$25)*KFC!$C$5</f>
        <v>45.206910000000008</v>
      </c>
      <c r="G78" s="315">
        <f>(43.5*KFC!$B$25*1.02*1.05*1.05+KFC!$C$25)*KFC!$C$5</f>
        <v>48.917924999999997</v>
      </c>
      <c r="H78" s="315">
        <f>(46.8*KFC!$B$25*1.02*1.05*1.05+KFC!$C$25)*KFC!$C$5</f>
        <v>52.62894</v>
      </c>
      <c r="I78" s="315">
        <f>(50.3*KFC!$B$25*1.02*1.05*1.05+KFC!$C$25)*KFC!$C$5</f>
        <v>56.564864999999998</v>
      </c>
      <c r="J78" s="315">
        <f>(53.6*KFC!$B$25*1.02*1.05*1.05+KFC!$C$25)*KFC!$C$5</f>
        <v>60.275880000000008</v>
      </c>
      <c r="K78" s="315">
        <f>(56.9*KFC!$B$25*1.02*1.05*1.05+KFC!$C$25)*KFC!$C$5</f>
        <v>63.986895000000004</v>
      </c>
      <c r="L78" s="316">
        <f>(60.2*KFC!$B$25*1.02*1.05*1.05+KFC!$C$25)*KFC!$C$5</f>
        <v>67.697910000000007</v>
      </c>
      <c r="M78" s="438"/>
      <c r="N78" s="438"/>
    </row>
    <row r="79" spans="1:14">
      <c r="A79" s="1538"/>
      <c r="B79" s="224">
        <v>1.8</v>
      </c>
      <c r="C79" s="314">
        <f>(31.2*KFC!$B$25*1.02*1.05*1.05+KFC!$C$25)*KFC!$C$5</f>
        <v>35.08596</v>
      </c>
      <c r="D79" s="315">
        <f>(34.6*KFC!$B$25*1.02*1.05*1.05+KFC!$C$25)*KFC!$C$5</f>
        <v>38.909430000000008</v>
      </c>
      <c r="E79" s="315">
        <f>(38*KFC!$B$25*1.02*1.05*1.05+KFC!$C$25)*KFC!$C$5</f>
        <v>42.732900000000001</v>
      </c>
      <c r="F79" s="315">
        <f>(41.6*KFC!$B$25*1.02*1.05*1.05+KFC!$C$25)*KFC!$C$5</f>
        <v>46.781280000000002</v>
      </c>
      <c r="G79" s="315">
        <f>(45*KFC!$B$25*1.02*1.05*1.05+KFC!$C$25)*KFC!$C$5</f>
        <v>50.604750000000003</v>
      </c>
      <c r="H79" s="315">
        <f>(48.4*KFC!$B$25*1.02*1.05*1.05+KFC!$C$25)*KFC!$C$5</f>
        <v>54.42822000000001</v>
      </c>
      <c r="I79" s="315">
        <f>(51.9*KFC!$B$25*1.02*1.05*1.05+KFC!$C$25)*KFC!$C$5</f>
        <v>58.364145000000008</v>
      </c>
      <c r="J79" s="315">
        <f>(55.3*KFC!$B$25*1.02*1.05*1.05+KFC!$C$25)*KFC!$C$5</f>
        <v>62.187615000000008</v>
      </c>
      <c r="K79" s="315">
        <f>(58.7*KFC!$B$25*1.02*1.05*1.05+KFC!$C$25)*KFC!$C$5</f>
        <v>66.011085000000008</v>
      </c>
      <c r="L79" s="316">
        <f>(62.1*KFC!$B$25*1.02*1.05*1.05+KFC!$C$25)*KFC!$C$5</f>
        <v>69.834555000000009</v>
      </c>
      <c r="M79" s="438"/>
      <c r="N79" s="438"/>
    </row>
    <row r="80" spans="1:14">
      <c r="A80" s="1538"/>
      <c r="B80" s="224">
        <v>1.9</v>
      </c>
      <c r="C80" s="314">
        <f>(32.2*KFC!$B$25*1.02*1.05*1.05+KFC!$C$25)*KFC!$C$5</f>
        <v>36.210510000000006</v>
      </c>
      <c r="D80" s="315">
        <f>(35.7*KFC!$B$25*1.02*1.05*1.05+KFC!$C$25)*KFC!$C$5</f>
        <v>40.146435000000004</v>
      </c>
      <c r="E80" s="315">
        <f>(39.3*KFC!$B$25*1.02*1.05*1.05+KFC!$C$25)*KFC!$C$5</f>
        <v>44.194814999999998</v>
      </c>
      <c r="F80" s="315">
        <f>(42.8*KFC!$B$25*1.02*1.05*1.05+KFC!$C$25)*KFC!$C$5</f>
        <v>48.130740000000003</v>
      </c>
      <c r="G80" s="315">
        <f>(46.4*KFC!$B$25*1.02*1.05*1.05+KFC!$C$25)*KFC!$C$5</f>
        <v>52.179119999999998</v>
      </c>
      <c r="H80" s="315">
        <f>(49.9*KFC!$B$25*1.02*1.05*1.05+KFC!$C$25)*KFC!$C$5</f>
        <v>56.115045000000002</v>
      </c>
      <c r="I80" s="315">
        <f>(53.4*KFC!$B$25*1.02*1.05*1.05+KFC!$C$25)*KFC!$C$5</f>
        <v>60.050970000000007</v>
      </c>
      <c r="J80" s="315">
        <f>(57*KFC!$B$25*1.02*1.05*1.05+KFC!$C$25)*KFC!$C$5</f>
        <v>64.099350000000001</v>
      </c>
      <c r="K80" s="315">
        <f>(60.5*KFC!$B$25*1.02*1.05*1.05+KFC!$C$25)*KFC!$C$5</f>
        <v>68.035275000000013</v>
      </c>
      <c r="L80" s="316">
        <f>(64.1*KFC!$B$25*1.02*1.05*1.05+KFC!$C$25)*KFC!$C$5</f>
        <v>72.083655000000007</v>
      </c>
      <c r="M80" s="438"/>
      <c r="N80" s="438"/>
    </row>
    <row r="81" spans="1:14" ht="13.8" thickBot="1">
      <c r="A81" s="1539"/>
      <c r="B81" s="225">
        <v>2</v>
      </c>
      <c r="C81" s="317">
        <f>(33*KFC!$B$25*1.02*1.05*1.05+KFC!$C$25)*KFC!$C$5</f>
        <v>37.110150000000004</v>
      </c>
      <c r="D81" s="318">
        <f>(36.7*KFC!$B$25*1.02*1.05*1.05+KFC!$C$25)*KFC!$C$5</f>
        <v>41.27098500000001</v>
      </c>
      <c r="E81" s="318">
        <f>(40.4*KFC!$B$25*1.02*1.05*1.05+KFC!$C$25)*KFC!$C$5</f>
        <v>45.431820000000002</v>
      </c>
      <c r="F81" s="318">
        <f>(44*KFC!$B$25*1.02*1.05*1.05+KFC!$C$25)*KFC!$C$5</f>
        <v>49.480200000000004</v>
      </c>
      <c r="G81" s="318">
        <f>(47.7*KFC!$B$25*1.02*1.05*1.05+KFC!$C$25)*KFC!$C$5</f>
        <v>53.641035000000009</v>
      </c>
      <c r="H81" s="318">
        <f>(51.4*KFC!$B$25*1.02*1.05*1.05+KFC!$C$25)*KFC!$C$5</f>
        <v>57.801870000000001</v>
      </c>
      <c r="I81" s="318">
        <f>(55*KFC!$B$25*1.02*1.05*1.05+KFC!$C$25)*KFC!$C$5</f>
        <v>61.850250000000003</v>
      </c>
      <c r="J81" s="318">
        <f>(58.7*KFC!$B$25*1.02*1.05*1.05+KFC!$C$25)*KFC!$C$5</f>
        <v>66.011085000000008</v>
      </c>
      <c r="K81" s="318">
        <f>(62.4*KFC!$B$25*1.02*1.05*1.05+KFC!$C$25)*KFC!$C$5</f>
        <v>70.17192</v>
      </c>
      <c r="L81" s="319">
        <f>(66*KFC!$B$25*1.02*1.05*1.05+KFC!$C$25)*KFC!$C$5</f>
        <v>74.220300000000009</v>
      </c>
      <c r="M81" s="438"/>
      <c r="N81" s="438"/>
    </row>
    <row r="82" spans="1:14" ht="13.8" thickBot="1">
      <c r="A82" s="249"/>
      <c r="B82" s="249"/>
      <c r="C82" s="249"/>
      <c r="D82" s="249"/>
      <c r="E82" s="249"/>
      <c r="F82" s="249"/>
      <c r="G82" s="249"/>
      <c r="H82" s="249"/>
      <c r="I82" s="249"/>
      <c r="J82" s="249"/>
      <c r="K82" s="249"/>
      <c r="L82" s="249"/>
      <c r="M82" s="438"/>
      <c r="N82" s="438"/>
    </row>
    <row r="83" spans="1:14" ht="13.5" customHeight="1" thickBot="1">
      <c r="A83" s="1413" t="s">
        <v>319</v>
      </c>
      <c r="B83" s="1415"/>
      <c r="C83" s="1534" t="s">
        <v>207</v>
      </c>
      <c r="D83" s="1535"/>
      <c r="E83" s="1535"/>
      <c r="F83" s="1535"/>
      <c r="G83" s="1535"/>
      <c r="H83" s="1535"/>
      <c r="I83" s="1535"/>
      <c r="J83" s="1535"/>
      <c r="K83" s="1535"/>
      <c r="L83" s="1536"/>
      <c r="M83" s="438"/>
      <c r="N83" s="438"/>
    </row>
    <row r="84" spans="1:14" ht="13.8" thickBot="1">
      <c r="A84" s="1416"/>
      <c r="B84" s="1418"/>
      <c r="C84" s="428">
        <v>0.4</v>
      </c>
      <c r="D84" s="428">
        <v>0.5</v>
      </c>
      <c r="E84" s="428">
        <v>0.6</v>
      </c>
      <c r="F84" s="428">
        <v>0.7</v>
      </c>
      <c r="G84" s="428">
        <v>0.8</v>
      </c>
      <c r="H84" s="428">
        <v>0.9</v>
      </c>
      <c r="I84" s="428">
        <v>1</v>
      </c>
      <c r="J84" s="428">
        <v>1.1000000000000001</v>
      </c>
      <c r="K84" s="428">
        <v>1.2</v>
      </c>
      <c r="L84" s="113">
        <v>1.3</v>
      </c>
      <c r="M84" s="438"/>
      <c r="N84" s="438"/>
    </row>
    <row r="85" spans="1:14" ht="12.75" customHeight="1">
      <c r="A85" s="1537" t="s">
        <v>3</v>
      </c>
      <c r="B85" s="226">
        <v>0.5</v>
      </c>
      <c r="C85" s="311">
        <f>(24.5*KFC!$B$25*1.02*1.15*1.05+KFC!$C$25)*KFC!$C$5</f>
        <v>30.175425000000001</v>
      </c>
      <c r="D85" s="312">
        <f>(26.3*KFC!$B$25*1.02*1.15*1.05+KFC!$C$25)*KFC!$C$5</f>
        <v>32.392395</v>
      </c>
      <c r="E85" s="312">
        <f>(28*KFC!$B$25*1.02*1.15*1.05+KFC!$C$25)*KFC!$C$5</f>
        <v>34.486200000000004</v>
      </c>
      <c r="F85" s="312">
        <f>(29.8*KFC!$B$25*1.02*1.15*1.05+KFC!$C$25)*KFC!$C$5</f>
        <v>36.70317</v>
      </c>
      <c r="G85" s="312">
        <f>(31.6*KFC!$B$25*1.02*1.15*1.05+KFC!$C$25)*KFC!$C$5</f>
        <v>38.920139999999996</v>
      </c>
      <c r="H85" s="312">
        <f>(33.4*KFC!$B$25*1.02*1.15*1.05+KFC!$C$25)*KFC!$C$5</f>
        <v>41.13711</v>
      </c>
      <c r="I85" s="312">
        <f>(35.1*KFC!$B$25*1.02*1.15*1.05+KFC!$C$25)*KFC!$C$5</f>
        <v>43.230915000000003</v>
      </c>
      <c r="J85" s="312">
        <f>(36.9*KFC!$B$25*1.02*1.15*1.05+KFC!$C$25)*KFC!$C$5</f>
        <v>45.447884999999999</v>
      </c>
      <c r="K85" s="312">
        <f>(38.6*KFC!$B$25*1.02*1.15*1.05+KFC!$C$25)*KFC!$C$5</f>
        <v>47.541690000000003</v>
      </c>
      <c r="L85" s="313">
        <f>(40.5*KFC!$B$25*1.02*1.15*1.05+KFC!$C$25)*KFC!$C$5</f>
        <v>49.881824999999999</v>
      </c>
      <c r="M85" s="438"/>
      <c r="N85" s="438"/>
    </row>
    <row r="86" spans="1:14">
      <c r="A86" s="1538"/>
      <c r="B86" s="224">
        <v>0.6</v>
      </c>
      <c r="C86" s="314">
        <f>(25.6*KFC!$B$25*1.02*1.15*1.05+KFC!$C$25)*KFC!$C$5</f>
        <v>31.530240000000003</v>
      </c>
      <c r="D86" s="315">
        <f>(27.5*KFC!$B$25*1.02*1.15*1.05+KFC!$C$25)*KFC!$C$5</f>
        <v>33.870375000000003</v>
      </c>
      <c r="E86" s="315">
        <f>(29.5*KFC!$B$25*1.02*1.15*1.05+KFC!$C$25)*KFC!$C$5</f>
        <v>36.333674999999999</v>
      </c>
      <c r="F86" s="315">
        <f>(31.4*KFC!$B$25*1.02*1.15*1.05+KFC!$C$25)*KFC!$C$5</f>
        <v>38.673809999999996</v>
      </c>
      <c r="G86" s="315">
        <f>(33.4*KFC!$B$25*1.02*1.15*1.05+KFC!$C$25)*KFC!$C$5</f>
        <v>41.13711</v>
      </c>
      <c r="H86" s="315">
        <f>(35.5*KFC!$B$25*1.02*1.15*1.05+KFC!$C$25)*KFC!$C$5</f>
        <v>43.723575000000004</v>
      </c>
      <c r="I86" s="315">
        <f>(37.4*KFC!$B$25*1.02*1.15*1.05+KFC!$C$25)*KFC!$C$5</f>
        <v>46.063709999999993</v>
      </c>
      <c r="J86" s="315">
        <f>(39.4*KFC!$B$25*1.02*1.15*1.05+KFC!$C$25)*KFC!$C$5</f>
        <v>48.527010000000004</v>
      </c>
      <c r="K86" s="315">
        <f>(41.3*KFC!$B$25*1.02*1.15*1.05+KFC!$C$25)*KFC!$C$5</f>
        <v>50.867145000000001</v>
      </c>
      <c r="L86" s="316">
        <f>(43.3*KFC!$B$25*1.02*1.15*1.05+KFC!$C$25)*KFC!$C$5</f>
        <v>53.330444999999997</v>
      </c>
      <c r="M86" s="438"/>
      <c r="N86" s="438"/>
    </row>
    <row r="87" spans="1:14">
      <c r="A87" s="1538"/>
      <c r="B87" s="224">
        <v>0.7</v>
      </c>
      <c r="C87" s="314">
        <f>(26.5*KFC!$B$25*1.02*1.15*1.05+KFC!$C$25)*KFC!$C$5</f>
        <v>32.638725000000001</v>
      </c>
      <c r="D87" s="315">
        <f>(28.7*KFC!$B$25*1.02*1.15*1.05+KFC!$C$25)*KFC!$C$5</f>
        <v>35.348354999999998</v>
      </c>
      <c r="E87" s="315">
        <f>(30.9*KFC!$B$25*1.02*1.15*1.05+KFC!$C$25)*KFC!$C$5</f>
        <v>38.057985000000002</v>
      </c>
      <c r="F87" s="315">
        <f>(33.1*KFC!$B$25*1.02*1.15*1.05+KFC!$C$25)*KFC!$C$5</f>
        <v>40.767614999999999</v>
      </c>
      <c r="G87" s="315">
        <f>(35.3*KFC!$B$25*1.02*1.15*1.05+KFC!$C$25)*KFC!$C$5</f>
        <v>43.477245000000003</v>
      </c>
      <c r="H87" s="315">
        <f>(37.4*KFC!$B$25*1.02*1.15*1.05+KFC!$C$25)*KFC!$C$5</f>
        <v>46.063709999999993</v>
      </c>
      <c r="I87" s="315">
        <f>(39.6*KFC!$B$25*1.02*1.15*1.05+KFC!$C$25)*KFC!$C$5</f>
        <v>48.773340000000005</v>
      </c>
      <c r="J87" s="315">
        <f>(41.8*KFC!$B$25*1.02*1.15*1.05+KFC!$C$25)*KFC!$C$5</f>
        <v>51.482969999999995</v>
      </c>
      <c r="K87" s="315">
        <f>(44*KFC!$B$25*1.02*1.15*1.05+KFC!$C$25)*KFC!$C$5</f>
        <v>54.192600000000006</v>
      </c>
      <c r="L87" s="316">
        <f>(46.2*KFC!$B$25*1.02*1.15*1.05+KFC!$C$25)*KFC!$C$5</f>
        <v>56.902230000000003</v>
      </c>
      <c r="M87" s="438"/>
      <c r="N87" s="438"/>
    </row>
    <row r="88" spans="1:14">
      <c r="A88" s="1538"/>
      <c r="B88" s="224">
        <v>0.8</v>
      </c>
      <c r="C88" s="314">
        <f>(27.6*KFC!$B$25*1.02*1.15*1.05+KFC!$C$25)*KFC!$C$5</f>
        <v>33.993540000000003</v>
      </c>
      <c r="D88" s="315">
        <f>(30*KFC!$B$25*1.02*1.15*1.05+KFC!$C$25)*KFC!$C$5</f>
        <v>36.9495</v>
      </c>
      <c r="E88" s="315">
        <f>(32.4*KFC!$B$25*1.02*1.15*1.05+KFC!$C$25)*KFC!$C$5</f>
        <v>39.905460000000005</v>
      </c>
      <c r="F88" s="315">
        <f>(34.7*KFC!$B$25*1.02*1.15*1.05+KFC!$C$25)*KFC!$C$5</f>
        <v>42.738255000000009</v>
      </c>
      <c r="G88" s="315">
        <f>(37.2*KFC!$B$25*1.02*1.15*1.05+KFC!$C$25)*KFC!$C$5</f>
        <v>45.81738</v>
      </c>
      <c r="H88" s="315">
        <f>(39.5*KFC!$B$25*1.02*1.15*1.05+KFC!$C$25)*KFC!$C$5</f>
        <v>48.650174999999997</v>
      </c>
      <c r="I88" s="315">
        <f>(41.9*KFC!$B$25*1.02*1.15*1.05+KFC!$C$25)*KFC!$C$5</f>
        <v>51.606135000000002</v>
      </c>
      <c r="J88" s="315">
        <f>(44.3*KFC!$B$25*1.02*1.15*1.05+KFC!$C$25)*KFC!$C$5</f>
        <v>54.562094999999999</v>
      </c>
      <c r="K88" s="315">
        <f>(46.7*KFC!$B$25*1.02*1.15*1.05+KFC!$C$25)*KFC!$C$5</f>
        <v>57.518055000000004</v>
      </c>
      <c r="L88" s="316">
        <f>(49*KFC!$B$25*1.02*1.15*1.05+KFC!$C$25)*KFC!$C$5</f>
        <v>60.350850000000001</v>
      </c>
      <c r="M88" s="438"/>
      <c r="N88" s="438"/>
    </row>
    <row r="89" spans="1:14">
      <c r="A89" s="1538"/>
      <c r="B89" s="224">
        <v>0.9</v>
      </c>
      <c r="C89" s="314">
        <f>(28.7*KFC!$B$25*1.02*1.15*1.05+KFC!$C$25)*KFC!$C$5</f>
        <v>35.348354999999998</v>
      </c>
      <c r="D89" s="315">
        <f>(31.3*KFC!$B$25*1.02*1.15*1.05+KFC!$C$25)*KFC!$C$5</f>
        <v>38.550645000000003</v>
      </c>
      <c r="E89" s="315">
        <f>(33.9*KFC!$B$25*1.02*1.15*1.05+KFC!$C$25)*KFC!$C$5</f>
        <v>41.752934999999994</v>
      </c>
      <c r="F89" s="315">
        <f>(36.4*KFC!$B$25*1.02*1.15*1.05+KFC!$C$25)*KFC!$C$5</f>
        <v>44.832059999999998</v>
      </c>
      <c r="G89" s="315">
        <f>(39*KFC!$B$25*1.02*1.15*1.05+KFC!$C$25)*KFC!$C$5</f>
        <v>48.034350000000003</v>
      </c>
      <c r="H89" s="315">
        <f>(41.6*KFC!$B$25*1.02*1.15*1.05+KFC!$C$25)*KFC!$C$5</f>
        <v>51.236640000000001</v>
      </c>
      <c r="I89" s="315">
        <f>(44.2*KFC!$B$25*1.02*1.15*1.05+KFC!$C$25)*KFC!$C$5</f>
        <v>54.438930000000006</v>
      </c>
      <c r="J89" s="315">
        <f>(46.7*KFC!$B$25*1.02*1.15*1.05+KFC!$C$25)*KFC!$C$5</f>
        <v>57.518055000000004</v>
      </c>
      <c r="K89" s="315">
        <f>(49.3*KFC!$B$25*1.02*1.15*1.05+KFC!$C$25)*KFC!$C$5</f>
        <v>60.720345000000002</v>
      </c>
      <c r="L89" s="316">
        <f>(51.9*KFC!$B$25*1.02*1.15*1.05+KFC!$C$25)*KFC!$C$5</f>
        <v>63.922635</v>
      </c>
      <c r="M89" s="438"/>
      <c r="N89" s="438"/>
    </row>
    <row r="90" spans="1:14">
      <c r="A90" s="1538"/>
      <c r="B90" s="224">
        <v>1</v>
      </c>
      <c r="C90" s="314">
        <f>(29.7*KFC!$B$25*1.02*1.15*1.05+KFC!$C$25)*KFC!$C$5</f>
        <v>36.580005</v>
      </c>
      <c r="D90" s="315">
        <f>(32.5*KFC!$B$25*1.02*1.15*1.05+KFC!$C$25)*KFC!$C$5</f>
        <v>40.028624999999998</v>
      </c>
      <c r="E90" s="315">
        <f>(35.3*KFC!$B$25*1.02*1.15*1.05+KFC!$C$25)*KFC!$C$5</f>
        <v>43.477245000000003</v>
      </c>
      <c r="F90" s="315">
        <f>(38.2*KFC!$B$25*1.02*1.15*1.05+KFC!$C$25)*KFC!$C$5</f>
        <v>47.049030000000009</v>
      </c>
      <c r="G90" s="315">
        <f>(40.8*KFC!$B$25*1.02*1.15*1.05+KFC!$C$25)*KFC!$C$5</f>
        <v>50.25132</v>
      </c>
      <c r="H90" s="315">
        <f>(43.7*KFC!$B$25*1.02*1.15*1.05+KFC!$C$25)*KFC!$C$5</f>
        <v>53.823105000000005</v>
      </c>
      <c r="I90" s="315">
        <f>(46.5*KFC!$B$25*1.02*1.15*1.05+KFC!$C$25)*KFC!$C$5</f>
        <v>57.271724999999996</v>
      </c>
      <c r="J90" s="315">
        <f>(49.2*KFC!$B$25*1.02*1.15*1.05+KFC!$C$25)*KFC!$C$5</f>
        <v>60.597180000000009</v>
      </c>
      <c r="K90" s="315">
        <f>(52*KFC!$B$25*1.02*1.15*1.05+KFC!$C$25)*KFC!$C$5</f>
        <v>64.0458</v>
      </c>
      <c r="L90" s="316">
        <f>(54.8*KFC!$B$25*1.02*1.15*1.05+KFC!$C$25)*KFC!$C$5</f>
        <v>67.494420000000005</v>
      </c>
      <c r="M90" s="438"/>
      <c r="N90" s="438"/>
    </row>
    <row r="91" spans="1:14">
      <c r="A91" s="1538"/>
      <c r="B91" s="224">
        <v>1.1000000000000001</v>
      </c>
      <c r="C91" s="314">
        <f>(30.8*KFC!$B$25*1.02*1.15*1.05+KFC!$C$25)*KFC!$C$5</f>
        <v>37.934820000000002</v>
      </c>
      <c r="D91" s="315">
        <f>(33.8*KFC!$B$25*1.02*1.15*1.05+KFC!$C$25)*KFC!$C$5</f>
        <v>41.629770000000001</v>
      </c>
      <c r="E91" s="315">
        <f>(36.8*KFC!$B$25*1.02*1.15*1.05+KFC!$C$25)*KFC!$C$5</f>
        <v>45.324719999999992</v>
      </c>
      <c r="F91" s="315">
        <f>(39.7*KFC!$B$25*1.02*1.15*1.05+KFC!$C$25)*KFC!$C$5</f>
        <v>48.896505000000005</v>
      </c>
      <c r="G91" s="315">
        <f>(42.7*KFC!$B$25*1.02*1.15*1.05+KFC!$C$25)*KFC!$C$5</f>
        <v>52.591455000000003</v>
      </c>
      <c r="H91" s="315">
        <f>(45.7*KFC!$B$25*1.02*1.15*1.05+KFC!$C$25)*KFC!$C$5</f>
        <v>56.286405000000002</v>
      </c>
      <c r="I91" s="315">
        <f>(48.7*KFC!$B$25*1.02*1.15*1.05+KFC!$C$25)*KFC!$C$5</f>
        <v>59.981355000000008</v>
      </c>
      <c r="J91" s="315">
        <f>(51.7*KFC!$B$25*1.02*1.15*1.05+KFC!$C$25)*KFC!$C$5</f>
        <v>63.676304999999999</v>
      </c>
      <c r="K91" s="315">
        <f>(54.7*KFC!$B$25*1.02*1.15*1.05+KFC!$C$25)*KFC!$C$5</f>
        <v>67.371255000000005</v>
      </c>
      <c r="L91" s="316">
        <f>(57.6*KFC!$B$25*1.02*1.15*1.05+KFC!$C$25)*KFC!$C$5</f>
        <v>70.943039999999996</v>
      </c>
      <c r="M91" s="438"/>
      <c r="N91" s="438"/>
    </row>
    <row r="92" spans="1:14">
      <c r="A92" s="1538"/>
      <c r="B92" s="224">
        <v>1.2</v>
      </c>
      <c r="C92" s="314">
        <f>(31.9*KFC!$B$25*1.02*1.15*1.05+KFC!$C$25)*KFC!$C$5</f>
        <v>39.289634999999997</v>
      </c>
      <c r="D92" s="315">
        <f>(35.1*KFC!$B$25*1.02*1.15*1.05+KFC!$C$25)*KFC!$C$5</f>
        <v>43.230915000000003</v>
      </c>
      <c r="E92" s="315">
        <f>(38.3*KFC!$B$25*1.02*1.15*1.05+KFC!$C$25)*KFC!$C$5</f>
        <v>47.172194999999995</v>
      </c>
      <c r="F92" s="315">
        <f>(41.5*KFC!$B$25*1.02*1.15*1.05+KFC!$C$25)*KFC!$C$5</f>
        <v>51.113475000000001</v>
      </c>
      <c r="G92" s="315">
        <f>(44.6*KFC!$B$25*1.02*1.15*1.05+KFC!$C$25)*KFC!$C$5</f>
        <v>54.931590000000007</v>
      </c>
      <c r="H92" s="315">
        <f>(47.8*KFC!$B$25*1.02*1.15*1.05+KFC!$C$25)*KFC!$C$5</f>
        <v>58.872869999999999</v>
      </c>
      <c r="I92" s="315">
        <f>(51*KFC!$B$25*1.02*1.15*1.05+KFC!$C$25)*KFC!$C$5</f>
        <v>62.814150000000005</v>
      </c>
      <c r="J92" s="315">
        <f>(54.2*KFC!$B$25*1.02*1.15*1.05+KFC!$C$25)*KFC!$C$5</f>
        <v>66.755430000000004</v>
      </c>
      <c r="K92" s="315">
        <f>(57.4*KFC!$B$25*1.02*1.15*1.05+KFC!$C$25)*KFC!$C$5</f>
        <v>70.696709999999996</v>
      </c>
      <c r="L92" s="316">
        <f>(60.5*KFC!$B$25*1.02*1.15*1.05+KFC!$C$25)*KFC!$C$5</f>
        <v>74.514825000000002</v>
      </c>
      <c r="M92" s="438"/>
      <c r="N92" s="438"/>
    </row>
    <row r="93" spans="1:14">
      <c r="A93" s="1538"/>
      <c r="B93" s="224">
        <v>1.3</v>
      </c>
      <c r="C93" s="314">
        <f>(32.9*KFC!$B$25*1.02*1.15*1.05+KFC!$C$25)*KFC!$C$5</f>
        <v>40.521284999999999</v>
      </c>
      <c r="D93" s="315">
        <f>(36.3*KFC!$B$25*1.02*1.15*1.05+KFC!$C$25)*KFC!$C$5</f>
        <v>44.708894999999998</v>
      </c>
      <c r="E93" s="315">
        <f>(39.7*KFC!$B$25*1.02*1.15*1.05+KFC!$C$25)*KFC!$C$5</f>
        <v>48.896505000000005</v>
      </c>
      <c r="F93" s="315">
        <f>(43*KFC!$B$25*1.02*1.15*1.05+KFC!$C$25)*KFC!$C$5</f>
        <v>52.960949999999997</v>
      </c>
      <c r="G93" s="315">
        <f>(46.5*KFC!$B$25*1.02*1.15*1.05+KFC!$C$25)*KFC!$C$5</f>
        <v>57.271724999999996</v>
      </c>
      <c r="H93" s="315">
        <f>(49.9*KFC!$B$25*1.02*1.15*1.05+KFC!$C$25)*KFC!$C$5</f>
        <v>61.459334999999996</v>
      </c>
      <c r="I93" s="315">
        <f>(53.2*KFC!$B$25*1.02*1.15*1.05+KFC!$C$25)*KFC!$C$5</f>
        <v>65.523780000000002</v>
      </c>
      <c r="J93" s="315">
        <f>(56.6*KFC!$B$25*1.02*1.15*1.05+KFC!$C$25)*KFC!$C$5</f>
        <v>69.711389999999994</v>
      </c>
      <c r="K93" s="315">
        <f>(59.9*KFC!$B$25*1.02*1.15*1.05+KFC!$C$25)*KFC!$C$5</f>
        <v>73.775835000000001</v>
      </c>
      <c r="L93" s="316">
        <f>(63.4*KFC!$B$25*1.02*1.15*1.05+KFC!$C$25)*KFC!$C$5</f>
        <v>78.086610000000007</v>
      </c>
      <c r="M93" s="438"/>
      <c r="N93" s="438"/>
    </row>
    <row r="94" spans="1:14">
      <c r="A94" s="1538"/>
      <c r="B94" s="224">
        <v>1.4</v>
      </c>
      <c r="C94" s="314">
        <f>(34*KFC!$B$25*1.02*1.15*1.05+KFC!$C$25)*KFC!$C$5</f>
        <v>41.876100000000001</v>
      </c>
      <c r="D94" s="315">
        <f>(37.5*KFC!$B$25*1.02*1.15*1.05+KFC!$C$25)*KFC!$C$5</f>
        <v>46.186875000000001</v>
      </c>
      <c r="E94" s="315">
        <f>(41.2*KFC!$B$25*1.02*1.15*1.05+KFC!$C$25)*KFC!$C$5</f>
        <v>50.743980000000001</v>
      </c>
      <c r="F94" s="315">
        <f>(44.8*KFC!$B$25*1.02*1.15*1.05+KFC!$C$25)*KFC!$C$5</f>
        <v>55.17792</v>
      </c>
      <c r="G94" s="315">
        <f>(48.3*KFC!$B$25*1.02*1.15*1.05+KFC!$C$25)*KFC!$C$5</f>
        <v>59.488695</v>
      </c>
      <c r="H94" s="315">
        <f>(51.9*KFC!$B$25*1.02*1.15*1.05+KFC!$C$25)*KFC!$C$5</f>
        <v>63.922635</v>
      </c>
      <c r="I94" s="315">
        <f>(55.5*KFC!$B$25*1.02*1.15*1.05+KFC!$C$25)*KFC!$C$5</f>
        <v>68.356574999999992</v>
      </c>
      <c r="J94" s="315">
        <f>(59.1*KFC!$B$25*1.02*1.15*1.05+KFC!$C$25)*KFC!$C$5</f>
        <v>72.790514999999999</v>
      </c>
      <c r="K94" s="315">
        <f>(62.6*KFC!$B$25*1.02*1.15*1.05+KFC!$C$25)*KFC!$C$5</f>
        <v>77.101290000000006</v>
      </c>
      <c r="L94" s="316">
        <f>(66.2*KFC!$B$25*1.02*1.15*1.05+KFC!$C$25)*KFC!$C$5</f>
        <v>81.535229999999999</v>
      </c>
      <c r="M94" s="438"/>
      <c r="N94" s="438"/>
    </row>
    <row r="95" spans="1:14">
      <c r="A95" s="1538"/>
      <c r="B95" s="224">
        <v>1.5</v>
      </c>
      <c r="C95" s="314">
        <f>(35.1*KFC!$B$25*1.02*1.15*1.05+KFC!$C$25)*KFC!$C$5</f>
        <v>43.230915000000003</v>
      </c>
      <c r="D95" s="315">
        <f>(38.9*KFC!$B$25*1.02*1.15*1.05+KFC!$C$25)*KFC!$C$5</f>
        <v>47.911184999999996</v>
      </c>
      <c r="E95" s="315">
        <f>(42.6*KFC!$B$25*1.02*1.15*1.05+KFC!$C$25)*KFC!$C$5</f>
        <v>52.468290000000003</v>
      </c>
      <c r="F95" s="315">
        <f>(46.4*KFC!$B$25*1.02*1.15*1.05+KFC!$C$25)*KFC!$C$5</f>
        <v>57.148559999999996</v>
      </c>
      <c r="G95" s="315">
        <f>(50.1*KFC!$B$25*1.02*1.15*1.05+KFC!$C$25)*KFC!$C$5</f>
        <v>61.705665000000003</v>
      </c>
      <c r="H95" s="315">
        <f>(53.9*KFC!$B$25*1.02*1.15*1.05+KFC!$C$25)*KFC!$C$5</f>
        <v>66.385935000000003</v>
      </c>
      <c r="I95" s="315">
        <f>(57.7*KFC!$B$25*1.02*1.15*1.05+KFC!$C$25)*KFC!$C$5</f>
        <v>71.066205000000011</v>
      </c>
      <c r="J95" s="315">
        <f>(61.5*KFC!$B$25*1.02*1.15*1.05+KFC!$C$25)*KFC!$C$5</f>
        <v>75.746475000000004</v>
      </c>
      <c r="K95" s="315">
        <f>(65.3*KFC!$B$25*1.02*1.15*1.05+KFC!$C$25)*KFC!$C$5</f>
        <v>80.426744999999997</v>
      </c>
      <c r="L95" s="316">
        <f>(69.1*KFC!$B$25*1.02*1.15*1.05+KFC!$C$25)*KFC!$C$5</f>
        <v>85.107015000000004</v>
      </c>
      <c r="M95" s="438"/>
      <c r="N95" s="438"/>
    </row>
    <row r="96" spans="1:14">
      <c r="A96" s="1538"/>
      <c r="B96" s="224">
        <v>1.6</v>
      </c>
      <c r="C96" s="314">
        <f>(36.1*KFC!$B$25*1.02*1.15*1.05+KFC!$C$25)*KFC!$C$5</f>
        <v>44.462565000000005</v>
      </c>
      <c r="D96" s="315">
        <f>(40.1*KFC!$B$25*1.02*1.15*1.05+KFC!$C$25)*KFC!$C$5</f>
        <v>49.389164999999998</v>
      </c>
      <c r="E96" s="315">
        <f>(44*KFC!$B$25*1.02*1.15*1.05+KFC!$C$25)*KFC!$C$5</f>
        <v>54.192600000000006</v>
      </c>
      <c r="F96" s="315">
        <f>(48.1*KFC!$B$25*1.02*1.15*1.05+KFC!$C$25)*KFC!$C$5</f>
        <v>59.242365000000007</v>
      </c>
      <c r="G96" s="315">
        <f>(52.1*KFC!$B$25*1.02*1.15*1.05+KFC!$C$25)*KFC!$C$5</f>
        <v>64.168965</v>
      </c>
      <c r="H96" s="315">
        <f>(56*KFC!$B$25*1.02*1.15*1.05+KFC!$C$25)*KFC!$C$5</f>
        <v>68.972400000000007</v>
      </c>
      <c r="I96" s="315">
        <f>(60*KFC!$B$25*1.02*1.15*1.05+KFC!$C$25)*KFC!$C$5</f>
        <v>73.899000000000001</v>
      </c>
      <c r="J96" s="315">
        <f>(64*KFC!$B$25*1.02*1.15*1.05+KFC!$C$25)*KFC!$C$5</f>
        <v>78.825599999999994</v>
      </c>
      <c r="K96" s="315">
        <f>(68*KFC!$B$25*1.02*1.15*1.05+KFC!$C$25)*KFC!$C$5</f>
        <v>83.752200000000002</v>
      </c>
      <c r="L96" s="316">
        <f>(71.9*KFC!$B$25*1.02*1.15*1.05+KFC!$C$25)*KFC!$C$5</f>
        <v>88.555635000000009</v>
      </c>
      <c r="M96" s="438"/>
      <c r="N96" s="438"/>
    </row>
    <row r="97" spans="1:14">
      <c r="A97" s="1538"/>
      <c r="B97" s="224">
        <v>1.7</v>
      </c>
      <c r="C97" s="314">
        <f>(37.2*KFC!$B$25*1.02*1.15*1.05+KFC!$C$25)*KFC!$C$5</f>
        <v>45.81738</v>
      </c>
      <c r="D97" s="315">
        <f>(41.3*KFC!$B$25*1.02*1.15*1.05+KFC!$C$25)*KFC!$C$5</f>
        <v>50.867145000000001</v>
      </c>
      <c r="E97" s="315">
        <f>(45.5*KFC!$B$25*1.02*1.15*1.05+KFC!$C$25)*KFC!$C$5</f>
        <v>56.040075000000002</v>
      </c>
      <c r="F97" s="315">
        <f>(49.8*KFC!$B$25*1.02*1.15*1.05+KFC!$C$25)*KFC!$C$5</f>
        <v>61.336170000000003</v>
      </c>
      <c r="G97" s="315">
        <f>(53.9*KFC!$B$25*1.02*1.15*1.05+KFC!$C$25)*KFC!$C$5</f>
        <v>66.385935000000003</v>
      </c>
      <c r="H97" s="315">
        <f>(58.1*KFC!$B$25*1.02*1.15*1.05+KFC!$C$25)*KFC!$C$5</f>
        <v>71.558864999999997</v>
      </c>
      <c r="I97" s="315">
        <f>(62.3*KFC!$B$25*1.02*1.15*1.05+KFC!$C$25)*KFC!$C$5</f>
        <v>76.731795000000005</v>
      </c>
      <c r="J97" s="315">
        <f>(66.4*KFC!$B$25*1.02*1.15*1.05+KFC!$C$25)*KFC!$C$5</f>
        <v>81.781560000000013</v>
      </c>
      <c r="K97" s="315">
        <f>(70.6*KFC!$B$25*1.02*1.15*1.05+KFC!$C$25)*KFC!$C$5</f>
        <v>86.954490000000007</v>
      </c>
      <c r="L97" s="316">
        <f>(74.8*KFC!$B$25*1.02*1.15*1.05+KFC!$C$25)*KFC!$C$5</f>
        <v>92.127419999999987</v>
      </c>
      <c r="M97" s="438"/>
      <c r="N97" s="438"/>
    </row>
    <row r="98" spans="1:14">
      <c r="A98" s="1538"/>
      <c r="B98" s="224">
        <v>1.8</v>
      </c>
      <c r="C98" s="314">
        <f>(38.3*KFC!$B$25*1.02*1.15*1.05+KFC!$C$25)*KFC!$C$5</f>
        <v>47.172194999999995</v>
      </c>
      <c r="D98" s="315">
        <f>(42.6*KFC!$B$25*1.02*1.15*1.05+KFC!$C$25)*KFC!$C$5</f>
        <v>52.468290000000003</v>
      </c>
      <c r="E98" s="315">
        <f>(47*KFC!$B$25*1.02*1.15*1.05+KFC!$C$25)*KFC!$C$5</f>
        <v>57.887549999999997</v>
      </c>
      <c r="F98" s="315">
        <f>(51.4*KFC!$B$25*1.02*1.15*1.05+KFC!$C$25)*KFC!$C$5</f>
        <v>63.306809999999999</v>
      </c>
      <c r="G98" s="315">
        <f>(55.8*KFC!$B$25*1.02*1.15*1.05+KFC!$C$25)*KFC!$C$5</f>
        <v>68.726069999999993</v>
      </c>
      <c r="H98" s="315">
        <f>(60.2*KFC!$B$25*1.02*1.15*1.05+KFC!$C$25)*KFC!$C$5</f>
        <v>74.145330000000001</v>
      </c>
      <c r="I98" s="315">
        <f>(64.6*KFC!$B$25*1.02*1.15*1.05+KFC!$C$25)*KFC!$C$5</f>
        <v>79.564589999999995</v>
      </c>
      <c r="J98" s="315">
        <f>(68.9*KFC!$B$25*1.02*1.15*1.05+KFC!$C$25)*KFC!$C$5</f>
        <v>84.860685000000004</v>
      </c>
      <c r="K98" s="315">
        <f>(73.3*KFC!$B$25*1.02*1.15*1.05+KFC!$C$25)*KFC!$C$5</f>
        <v>90.279945000000012</v>
      </c>
      <c r="L98" s="316">
        <f>(77.7*KFC!$B$25*1.02*1.15*1.05+KFC!$C$25)*KFC!$C$5</f>
        <v>95.699205000000006</v>
      </c>
      <c r="M98" s="438"/>
      <c r="N98" s="438"/>
    </row>
    <row r="99" spans="1:14">
      <c r="A99" s="1538"/>
      <c r="B99" s="224">
        <v>1.9</v>
      </c>
      <c r="C99" s="314">
        <f>(39.3*KFC!$B$25*1.02*1.15*1.05+KFC!$C$25)*KFC!$C$5</f>
        <v>48.403844999999997</v>
      </c>
      <c r="D99" s="315">
        <f>(43.9*KFC!$B$25*1.02*1.15*1.05+KFC!$C$25)*KFC!$C$5</f>
        <v>54.069434999999999</v>
      </c>
      <c r="E99" s="315">
        <f>(48.4*KFC!$B$25*1.02*1.15*1.05+KFC!$C$25)*KFC!$C$5</f>
        <v>59.61186</v>
      </c>
      <c r="F99" s="315">
        <f>(53.1*KFC!$B$25*1.02*1.15*1.05+KFC!$C$25)*KFC!$C$5</f>
        <v>65.400615000000002</v>
      </c>
      <c r="G99" s="315">
        <f>(57.6*KFC!$B$25*1.02*1.15*1.05+KFC!$C$25)*KFC!$C$5</f>
        <v>70.943039999999996</v>
      </c>
      <c r="H99" s="315">
        <f>(62.3*KFC!$B$25*1.02*1.15*1.05+KFC!$C$25)*KFC!$C$5</f>
        <v>76.731795000000005</v>
      </c>
      <c r="I99" s="315">
        <f>(66.8*KFC!$B$25*1.02*1.15*1.05+KFC!$C$25)*KFC!$C$5</f>
        <v>82.27422</v>
      </c>
      <c r="J99" s="315">
        <f>(71.4*KFC!$B$25*1.02*1.15*1.05+KFC!$C$25)*KFC!$C$5</f>
        <v>87.939810000000008</v>
      </c>
      <c r="K99" s="315">
        <f>(75.9*KFC!$B$25*1.02*1.15*1.05+KFC!$C$25)*KFC!$C$5</f>
        <v>93.482235000000003</v>
      </c>
      <c r="L99" s="316">
        <f>(80.5*KFC!$B$25*1.02*1.15*1.05+KFC!$C$25)*KFC!$C$5</f>
        <v>99.147824999999997</v>
      </c>
      <c r="M99" s="438"/>
      <c r="N99" s="438"/>
    </row>
    <row r="100" spans="1:14" ht="13.8" thickBot="1">
      <c r="A100" s="1539"/>
      <c r="B100" s="225">
        <v>2</v>
      </c>
      <c r="C100" s="317">
        <f>(40.4*KFC!$B$25*1.02*1.15*1.05+KFC!$C$25)*KFC!$C$5</f>
        <v>49.758659999999999</v>
      </c>
      <c r="D100" s="318">
        <f>(45.1*KFC!$B$25*1.02*1.15*1.05+KFC!$C$25)*KFC!$C$5</f>
        <v>55.547415000000001</v>
      </c>
      <c r="E100" s="318">
        <f>(49.9*KFC!$B$25*1.02*1.15*1.05+KFC!$C$25)*KFC!$C$5</f>
        <v>61.459334999999996</v>
      </c>
      <c r="F100" s="318">
        <f>(54.7*KFC!$B$25*1.02*1.15*1.05+KFC!$C$25)*KFC!$C$5</f>
        <v>67.371255000000005</v>
      </c>
      <c r="G100" s="318">
        <f>(59.4*KFC!$B$25*1.02*1.15*1.05+KFC!$C$25)*KFC!$C$5</f>
        <v>73.16001</v>
      </c>
      <c r="H100" s="318">
        <f>(64.2*KFC!$B$25*1.02*1.15*1.05+KFC!$C$25)*KFC!$C$5</f>
        <v>79.071930000000009</v>
      </c>
      <c r="I100" s="318">
        <f>(69.1*KFC!$B$25*1.02*1.15*1.05+KFC!$C$25)*KFC!$C$5</f>
        <v>85.107015000000004</v>
      </c>
      <c r="J100" s="318">
        <f>(73.9*KFC!$B$25*1.02*1.15*1.05+KFC!$C$25)*KFC!$C$5</f>
        <v>91.018934999999999</v>
      </c>
      <c r="K100" s="318">
        <f>(78.6*KFC!$B$25*1.02*1.15*1.05+KFC!$C$25)*KFC!$C$5</f>
        <v>96.807689999999994</v>
      </c>
      <c r="L100" s="319">
        <f>(83.4*KFC!$B$25*1.02*1.15*1.05+KFC!$C$25)*KFC!$C$5</f>
        <v>102.71961000000002</v>
      </c>
      <c r="M100" s="438"/>
      <c r="N100" s="438"/>
    </row>
    <row r="101" spans="1:14" ht="13.8" thickBot="1">
      <c r="A101" s="249"/>
      <c r="B101" s="249"/>
      <c r="C101" s="249"/>
      <c r="D101" s="249"/>
      <c r="E101" s="249"/>
      <c r="F101" s="249"/>
      <c r="G101" s="249"/>
      <c r="H101" s="249"/>
      <c r="I101" s="249"/>
      <c r="J101" s="249"/>
      <c r="K101" s="249"/>
      <c r="L101" s="249"/>
      <c r="M101" s="438"/>
      <c r="N101" s="438"/>
    </row>
    <row r="102" spans="1:14" ht="13.5" customHeight="1" thickBot="1">
      <c r="A102" s="1413" t="s">
        <v>320</v>
      </c>
      <c r="B102" s="1415"/>
      <c r="C102" s="1534" t="s">
        <v>207</v>
      </c>
      <c r="D102" s="1535"/>
      <c r="E102" s="1535"/>
      <c r="F102" s="1535"/>
      <c r="G102" s="1535"/>
      <c r="H102" s="1535"/>
      <c r="I102" s="1535"/>
      <c r="J102" s="1535"/>
      <c r="K102" s="1535"/>
      <c r="L102" s="1536"/>
      <c r="M102" s="438"/>
      <c r="N102" s="438"/>
    </row>
    <row r="103" spans="1:14" ht="13.8" thickBot="1">
      <c r="A103" s="1416"/>
      <c r="B103" s="1418"/>
      <c r="C103" s="428">
        <v>0.4</v>
      </c>
      <c r="D103" s="428">
        <v>0.5</v>
      </c>
      <c r="E103" s="428">
        <v>0.6</v>
      </c>
      <c r="F103" s="428">
        <v>0.7</v>
      </c>
      <c r="G103" s="428">
        <v>0.8</v>
      </c>
      <c r="H103" s="428">
        <v>0.9</v>
      </c>
      <c r="I103" s="428">
        <v>1</v>
      </c>
      <c r="J103" s="428">
        <v>1.1000000000000001</v>
      </c>
      <c r="K103" s="428">
        <v>1.2</v>
      </c>
      <c r="L103" s="113">
        <v>1.3</v>
      </c>
      <c r="M103" s="438"/>
      <c r="N103" s="438"/>
    </row>
    <row r="104" spans="1:14" ht="12.75" customHeight="1">
      <c r="A104" s="1537" t="s">
        <v>3</v>
      </c>
      <c r="B104" s="226">
        <v>0.5</v>
      </c>
      <c r="C104" s="311">
        <f>(30.6*KFC!$B$25*1.02*1.15*1.05+KFC!$C$25)*KFC!$C$5</f>
        <v>37.688490000000002</v>
      </c>
      <c r="D104" s="312">
        <f>(32.3*KFC!$B$25*1.02*1.15*1.05+KFC!$C$25)*KFC!$C$5</f>
        <v>39.782294999999998</v>
      </c>
      <c r="E104" s="312">
        <f>(33.9*KFC!$B$25*1.02*1.15*1.05+KFC!$C$25)*KFC!$C$5</f>
        <v>41.752934999999994</v>
      </c>
      <c r="F104" s="312">
        <f>(35.6*KFC!$B$25*1.02*1.15*1.05+KFC!$C$25)*KFC!$C$5</f>
        <v>43.846740000000004</v>
      </c>
      <c r="G104" s="312">
        <f>(37.3*KFC!$B$25*1.02*1.15*1.05+KFC!$C$25)*KFC!$C$5</f>
        <v>45.940545</v>
      </c>
      <c r="H104" s="312">
        <f>(38.9*KFC!$B$25*1.02*1.15*1.05+KFC!$C$25)*KFC!$C$5</f>
        <v>47.911184999999996</v>
      </c>
      <c r="I104" s="312">
        <f>(40.5*KFC!$B$25*1.02*1.15*1.05+KFC!$C$25)*KFC!$C$5</f>
        <v>49.881824999999999</v>
      </c>
      <c r="J104" s="312">
        <f>(42.2*KFC!$B$25*1.02*1.15*1.05+KFC!$C$25)*KFC!$C$5</f>
        <v>51.975630000000002</v>
      </c>
      <c r="K104" s="312">
        <f>(43.7*KFC!$B$25*1.02*1.15*1.05+KFC!$C$25)*KFC!$C$5</f>
        <v>53.823105000000005</v>
      </c>
      <c r="L104" s="313">
        <f>(45.3*KFC!$B$25*1.02*1.15*1.05+KFC!$C$25)*KFC!$C$5</f>
        <v>55.793744999999994</v>
      </c>
      <c r="M104" s="438"/>
      <c r="N104" s="438"/>
    </row>
    <row r="105" spans="1:14">
      <c r="A105" s="1538"/>
      <c r="B105" s="224">
        <v>0.6</v>
      </c>
      <c r="C105" s="314">
        <f>(32*KFC!$B$25*1.02*1.15*1.05+KFC!$C$25)*KFC!$C$5</f>
        <v>39.412799999999997</v>
      </c>
      <c r="D105" s="315">
        <f>(34*KFC!$B$25*1.02*1.15*1.05+KFC!$C$25)*KFC!$C$5</f>
        <v>41.876100000000001</v>
      </c>
      <c r="E105" s="315">
        <f>(36.1*KFC!$B$25*1.02*1.15*1.05+KFC!$C$25)*KFC!$C$5</f>
        <v>44.462565000000005</v>
      </c>
      <c r="F105" s="315">
        <f>(38*KFC!$B$25*1.02*1.15*1.05+KFC!$C$25)*KFC!$C$5</f>
        <v>46.802699999999994</v>
      </c>
      <c r="G105" s="315">
        <f>(40*KFC!$B$25*1.02*1.15*1.05+KFC!$C$25)*KFC!$C$5</f>
        <v>49.265999999999998</v>
      </c>
      <c r="H105" s="315">
        <f>(42.1*KFC!$B$25*1.02*1.15*1.05+KFC!$C$25)*KFC!$C$5</f>
        <v>51.852465000000002</v>
      </c>
      <c r="I105" s="315">
        <f>(44*KFC!$B$25*1.02*1.15*1.05+KFC!$C$25)*KFC!$C$5</f>
        <v>54.192600000000006</v>
      </c>
      <c r="J105" s="315">
        <f>(46*KFC!$B$25*1.02*1.15*1.05+KFC!$C$25)*KFC!$C$5</f>
        <v>56.655900000000003</v>
      </c>
      <c r="K105" s="315">
        <f>(47.9*KFC!$B$25*1.02*1.15*1.05+KFC!$C$25)*KFC!$C$5</f>
        <v>58.996034999999999</v>
      </c>
      <c r="L105" s="316">
        <f>(50*KFC!$B$25*1.02*1.15*1.05+KFC!$C$25)*KFC!$C$5</f>
        <v>61.582500000000003</v>
      </c>
      <c r="M105" s="438"/>
      <c r="N105" s="438"/>
    </row>
    <row r="106" spans="1:14">
      <c r="A106" s="1538"/>
      <c r="B106" s="224">
        <v>0.7</v>
      </c>
      <c r="C106" s="314">
        <f>(33.5*KFC!$B$25*1.02*1.15*1.05+KFC!$C$25)*KFC!$C$5</f>
        <v>41.260275</v>
      </c>
      <c r="D106" s="315">
        <f>(35.8*KFC!$B$25*1.02*1.15*1.05+KFC!$C$25)*KFC!$C$5</f>
        <v>44.093069999999997</v>
      </c>
      <c r="E106" s="315">
        <f>(38.2*KFC!$B$25*1.02*1.15*1.05+KFC!$C$25)*KFC!$C$5</f>
        <v>47.049030000000009</v>
      </c>
      <c r="F106" s="315">
        <f>(40.5*KFC!$B$25*1.02*1.15*1.05+KFC!$C$25)*KFC!$C$5</f>
        <v>49.881824999999999</v>
      </c>
      <c r="G106" s="315">
        <f>(42.8*KFC!$B$25*1.02*1.15*1.05+KFC!$C$25)*KFC!$C$5</f>
        <v>52.714619999999996</v>
      </c>
      <c r="H106" s="315">
        <f>(45.1*KFC!$B$25*1.02*1.15*1.05+KFC!$C$25)*KFC!$C$5</f>
        <v>55.547415000000001</v>
      </c>
      <c r="I106" s="315">
        <f>(47.5*KFC!$B$25*1.02*1.15*1.05+KFC!$C$25)*KFC!$C$5</f>
        <v>58.503375000000005</v>
      </c>
      <c r="J106" s="315">
        <f>(49.8*KFC!$B$25*1.02*1.15*1.05+KFC!$C$25)*KFC!$C$5</f>
        <v>61.336170000000003</v>
      </c>
      <c r="K106" s="315">
        <f>(52.1*KFC!$B$25*1.02*1.15*1.05+KFC!$C$25)*KFC!$C$5</f>
        <v>64.168965</v>
      </c>
      <c r="L106" s="316">
        <f>(54.4*KFC!$B$25*1.02*1.15*1.05+KFC!$C$25)*KFC!$C$5</f>
        <v>67.00175999999999</v>
      </c>
      <c r="M106" s="438"/>
      <c r="N106" s="438"/>
    </row>
    <row r="107" spans="1:14">
      <c r="A107" s="1538"/>
      <c r="B107" s="224">
        <v>0.8</v>
      </c>
      <c r="C107" s="314">
        <f>(35*KFC!$B$25*1.02*1.15*1.05+KFC!$C$25)*KFC!$C$5</f>
        <v>43.107750000000003</v>
      </c>
      <c r="D107" s="315">
        <f>(37.7*KFC!$B$25*1.02*1.15*1.05+KFC!$C$25)*KFC!$C$5</f>
        <v>46.433205000000001</v>
      </c>
      <c r="E107" s="315">
        <f>(40.2*KFC!$B$25*1.02*1.15*1.05+KFC!$C$25)*KFC!$C$5</f>
        <v>49.512330000000006</v>
      </c>
      <c r="F107" s="315">
        <f>(42.9*KFC!$B$25*1.02*1.15*1.05+KFC!$C$25)*KFC!$C$5</f>
        <v>52.837785000000004</v>
      </c>
      <c r="G107" s="315">
        <f>(45.6*KFC!$B$25*1.02*1.15*1.05+KFC!$C$25)*KFC!$C$5</f>
        <v>56.163240000000002</v>
      </c>
      <c r="H107" s="315">
        <f>(48.2*KFC!$B$25*1.02*1.15*1.05+KFC!$C$25)*KFC!$C$5</f>
        <v>59.36553</v>
      </c>
      <c r="I107" s="315">
        <f>(50.9*KFC!$B$25*1.02*1.15*1.05+KFC!$C$25)*KFC!$C$5</f>
        <v>62.690984999999998</v>
      </c>
      <c r="J107" s="315">
        <f>(53.4*KFC!$B$25*1.02*1.15*1.05+KFC!$C$25)*KFC!$C$5</f>
        <v>65.770109999999988</v>
      </c>
      <c r="K107" s="315">
        <f>(56.1*KFC!$B$25*1.02*1.15*1.05+KFC!$C$25)*KFC!$C$5</f>
        <v>69.095565000000008</v>
      </c>
      <c r="L107" s="316">
        <f>(58.8*KFC!$B$25*1.02*1.15*1.05+KFC!$C$25)*KFC!$C$5</f>
        <v>72.421019999999999</v>
      </c>
      <c r="M107" s="438"/>
      <c r="N107" s="438"/>
    </row>
    <row r="108" spans="1:14">
      <c r="A108" s="1538"/>
      <c r="B108" s="224">
        <v>0.9</v>
      </c>
      <c r="C108" s="314">
        <f>(36.4*KFC!$B$25*1.02*1.15*1.05+KFC!$C$25)*KFC!$C$5</f>
        <v>44.832059999999998</v>
      </c>
      <c r="D108" s="315">
        <f>(39.4*KFC!$B$25*1.02*1.15*1.05+KFC!$C$25)*KFC!$C$5</f>
        <v>48.527010000000004</v>
      </c>
      <c r="E108" s="315">
        <f>(42.4*KFC!$B$25*1.02*1.15*1.05+KFC!$C$25)*KFC!$C$5</f>
        <v>52.221959999999996</v>
      </c>
      <c r="F108" s="315">
        <f>(45.4*KFC!$B$25*1.02*1.15*1.05+KFC!$C$25)*KFC!$C$5</f>
        <v>55.916910000000001</v>
      </c>
      <c r="G108" s="315">
        <f>(48.3*KFC!$B$25*1.02*1.15*1.05+KFC!$C$25)*KFC!$C$5</f>
        <v>59.488695</v>
      </c>
      <c r="H108" s="315">
        <f>(51.4*KFC!$B$25*1.02*1.15*1.05+KFC!$C$25)*KFC!$C$5</f>
        <v>63.306809999999999</v>
      </c>
      <c r="I108" s="315">
        <f>(54.3*KFC!$B$25*1.02*1.15*1.05+KFC!$C$25)*KFC!$C$5</f>
        <v>66.87859499999999</v>
      </c>
      <c r="J108" s="315">
        <f>(57.2*KFC!$B$25*1.02*1.15*1.05+KFC!$C$25)*KFC!$C$5</f>
        <v>70.450379999999996</v>
      </c>
      <c r="K108" s="315">
        <f>(60.2*KFC!$B$25*1.02*1.15*1.05+KFC!$C$25)*KFC!$C$5</f>
        <v>74.145330000000001</v>
      </c>
      <c r="L108" s="316">
        <f>(63.2*KFC!$B$25*1.02*1.15*1.05+KFC!$C$25)*KFC!$C$5</f>
        <v>77.840279999999993</v>
      </c>
      <c r="M108" s="438"/>
      <c r="N108" s="438"/>
    </row>
    <row r="109" spans="1:14">
      <c r="A109" s="1538"/>
      <c r="B109" s="224">
        <v>1</v>
      </c>
      <c r="C109" s="314">
        <f>(37.9*KFC!$B$25*1.02*1.15*1.05+KFC!$C$25)*KFC!$C$5</f>
        <v>46.679535000000001</v>
      </c>
      <c r="D109" s="315">
        <f>(41.2*KFC!$B$25*1.02*1.15*1.05+KFC!$C$25)*KFC!$C$5</f>
        <v>50.743980000000001</v>
      </c>
      <c r="E109" s="315">
        <f>(44.5*KFC!$B$25*1.02*1.15*1.05+KFC!$C$25)*KFC!$C$5</f>
        <v>54.808425</v>
      </c>
      <c r="F109" s="315">
        <f>(47.8*KFC!$B$25*1.02*1.15*1.05+KFC!$C$25)*KFC!$C$5</f>
        <v>58.872869999999999</v>
      </c>
      <c r="G109" s="315">
        <f>(51.1*KFC!$B$25*1.02*1.15*1.05+KFC!$C$25)*KFC!$C$5</f>
        <v>62.937314999999998</v>
      </c>
      <c r="H109" s="315">
        <f>(54.4*KFC!$B$25*1.02*1.15*1.05+KFC!$C$25)*KFC!$C$5</f>
        <v>67.00175999999999</v>
      </c>
      <c r="I109" s="315">
        <f>(57.7*KFC!$B$25*1.02*1.15*1.05+KFC!$C$25)*KFC!$C$5</f>
        <v>71.066205000000011</v>
      </c>
      <c r="J109" s="315">
        <f>(61*KFC!$B$25*1.02*1.15*1.05+KFC!$C$25)*KFC!$C$5</f>
        <v>75.130650000000003</v>
      </c>
      <c r="K109" s="315">
        <f>(64.3*KFC!$B$25*1.02*1.15*1.05+KFC!$C$25)*KFC!$C$5</f>
        <v>79.195094999999995</v>
      </c>
      <c r="L109" s="316">
        <f>(67.6*KFC!$B$25*1.02*1.15*1.05+KFC!$C$25)*KFC!$C$5</f>
        <v>83.259540000000001</v>
      </c>
      <c r="M109" s="438"/>
      <c r="N109" s="438"/>
    </row>
    <row r="110" spans="1:14">
      <c r="A110" s="1538"/>
      <c r="B110" s="224">
        <v>1.1000000000000001</v>
      </c>
      <c r="C110" s="314">
        <f>(39.4*KFC!$B$25*1.02*1.15*1.05+KFC!$C$25)*KFC!$C$5</f>
        <v>48.527010000000004</v>
      </c>
      <c r="D110" s="315">
        <f>(43*KFC!$B$25*1.02*1.15*1.05+KFC!$C$25)*KFC!$C$5</f>
        <v>52.960949999999997</v>
      </c>
      <c r="E110" s="315">
        <f>(46.6*KFC!$B$25*1.02*1.15*1.05+KFC!$C$25)*KFC!$C$5</f>
        <v>57.394890000000004</v>
      </c>
      <c r="F110" s="315">
        <f>(50.3*KFC!$B$25*1.02*1.15*1.05+KFC!$C$25)*KFC!$C$5</f>
        <v>61.951994999999997</v>
      </c>
      <c r="G110" s="315">
        <f>(53.9*KFC!$B$25*1.02*1.15*1.05+KFC!$C$25)*KFC!$C$5</f>
        <v>66.385935000000003</v>
      </c>
      <c r="H110" s="315">
        <f>(57.5*KFC!$B$25*1.02*1.15*1.05+KFC!$C$25)*KFC!$C$5</f>
        <v>70.819874999999996</v>
      </c>
      <c r="I110" s="315">
        <f>(61.2*KFC!$B$25*1.02*1.15*1.05+KFC!$C$25)*KFC!$C$5</f>
        <v>75.376980000000003</v>
      </c>
      <c r="J110" s="315">
        <f>(64.7*KFC!$B$25*1.02*1.15*1.05+KFC!$C$25)*KFC!$C$5</f>
        <v>79.687754999999996</v>
      </c>
      <c r="K110" s="315">
        <f>(68.4*KFC!$B$25*1.02*1.15*1.05+KFC!$C$25)*KFC!$C$5</f>
        <v>84.244860000000003</v>
      </c>
      <c r="L110" s="316">
        <f>(72*KFC!$B$25*1.02*1.15*1.05+KFC!$C$25)*KFC!$C$5</f>
        <v>88.678799999999995</v>
      </c>
      <c r="M110" s="438"/>
      <c r="N110" s="438"/>
    </row>
    <row r="111" spans="1:14">
      <c r="A111" s="1538"/>
      <c r="B111" s="224">
        <v>1.2</v>
      </c>
      <c r="C111" s="314">
        <f>(40.8*KFC!$B$25*1.02*1.15*1.05+KFC!$C$25)*KFC!$C$5</f>
        <v>50.25132</v>
      </c>
      <c r="D111" s="315">
        <f>(44.8*KFC!$B$25*1.02*1.15*1.05+KFC!$C$25)*KFC!$C$5</f>
        <v>55.17792</v>
      </c>
      <c r="E111" s="315">
        <f>(48.8*KFC!$B$25*1.02*1.15*1.05+KFC!$C$25)*KFC!$C$5</f>
        <v>60.104519999999994</v>
      </c>
      <c r="F111" s="315">
        <f>(52.7*KFC!$B$25*1.02*1.15*1.05+KFC!$C$25)*KFC!$C$5</f>
        <v>64.907955000000001</v>
      </c>
      <c r="G111" s="315">
        <f>(56.6*KFC!$B$25*1.02*1.15*1.05+KFC!$C$25)*KFC!$C$5</f>
        <v>69.711389999999994</v>
      </c>
      <c r="H111" s="315">
        <f>(60.7*KFC!$B$25*1.02*1.15*1.05+KFC!$C$25)*KFC!$C$5</f>
        <v>74.761155000000002</v>
      </c>
      <c r="I111" s="315">
        <f>(64.6*KFC!$B$25*1.02*1.15*1.05+KFC!$C$25)*KFC!$C$5</f>
        <v>79.564589999999995</v>
      </c>
      <c r="J111" s="315">
        <f>(68.5*KFC!$B$25*1.02*1.15*1.05+KFC!$C$25)*KFC!$C$5</f>
        <v>84.368025000000003</v>
      </c>
      <c r="K111" s="315">
        <f>(72.4*KFC!$B$25*1.02*1.15*1.05+KFC!$C$25)*KFC!$C$5</f>
        <v>89.17146000000001</v>
      </c>
      <c r="L111" s="316">
        <f>(76.4*KFC!$B$25*1.02*1.15*1.05+KFC!$C$25)*KFC!$C$5</f>
        <v>94.098060000000018</v>
      </c>
      <c r="M111" s="438"/>
      <c r="N111" s="438"/>
    </row>
    <row r="112" spans="1:14">
      <c r="A112" s="1538"/>
      <c r="B112" s="224">
        <v>1.3</v>
      </c>
      <c r="C112" s="314">
        <f>(42.3*KFC!$B$25*1.02*1.15*1.05+KFC!$C$25)*KFC!$C$5</f>
        <v>52.098795000000003</v>
      </c>
      <c r="D112" s="315">
        <f>(46.6*KFC!$B$25*1.02*1.15*1.05+KFC!$C$25)*KFC!$C$5</f>
        <v>57.394890000000004</v>
      </c>
      <c r="E112" s="315">
        <f>(50.9*KFC!$B$25*1.02*1.15*1.05+KFC!$C$25)*KFC!$C$5</f>
        <v>62.690984999999998</v>
      </c>
      <c r="F112" s="315">
        <f>(55.2*KFC!$B$25*1.02*1.15*1.05+KFC!$C$25)*KFC!$C$5</f>
        <v>67.987080000000006</v>
      </c>
      <c r="G112" s="315">
        <f>(59.4*KFC!$B$25*1.02*1.15*1.05+KFC!$C$25)*KFC!$C$5</f>
        <v>73.16001</v>
      </c>
      <c r="H112" s="315">
        <f>(63.7*KFC!$B$25*1.02*1.15*1.05+KFC!$C$25)*KFC!$C$5</f>
        <v>78.456105000000008</v>
      </c>
      <c r="I112" s="315">
        <f>(68*KFC!$B$25*1.02*1.15*1.05+KFC!$C$25)*KFC!$C$5</f>
        <v>83.752200000000002</v>
      </c>
      <c r="J112" s="315">
        <f>(72.3*KFC!$B$25*1.02*1.15*1.05+KFC!$C$25)*KFC!$C$5</f>
        <v>89.048294999999996</v>
      </c>
      <c r="K112" s="315">
        <f>(76.6*KFC!$B$25*1.02*1.15*1.05+KFC!$C$25)*KFC!$C$5</f>
        <v>94.34438999999999</v>
      </c>
      <c r="L112" s="316">
        <f>(80.8*KFC!$B$25*1.02*1.15*1.05+KFC!$C$25)*KFC!$C$5</f>
        <v>99.517319999999998</v>
      </c>
      <c r="M112" s="438"/>
      <c r="N112" s="438"/>
    </row>
    <row r="113" spans="1:14">
      <c r="A113" s="1538"/>
      <c r="B113" s="224">
        <v>1.4</v>
      </c>
      <c r="C113" s="314">
        <f>(43.8*KFC!$B$25*1.02*1.15*1.05+KFC!$C$25)*KFC!$C$5</f>
        <v>53.946269999999991</v>
      </c>
      <c r="D113" s="315">
        <f>(48.4*KFC!$B$25*1.02*1.15*1.05+KFC!$C$25)*KFC!$C$5</f>
        <v>59.61186</v>
      </c>
      <c r="E113" s="315">
        <f>(53*KFC!$B$25*1.02*1.15*1.05+KFC!$C$25)*KFC!$C$5</f>
        <v>65.277450000000002</v>
      </c>
      <c r="F113" s="315">
        <f>(57.6*KFC!$B$25*1.02*1.15*1.05+KFC!$C$25)*KFC!$C$5</f>
        <v>70.943039999999996</v>
      </c>
      <c r="G113" s="315">
        <f>(62.3*KFC!$B$25*1.02*1.15*1.05+KFC!$C$25)*KFC!$C$5</f>
        <v>76.731795000000005</v>
      </c>
      <c r="H113" s="315">
        <f>(66.8*KFC!$B$25*1.02*1.15*1.05+KFC!$C$25)*KFC!$C$5</f>
        <v>82.27422</v>
      </c>
      <c r="I113" s="315">
        <f>(71.4*KFC!$B$25*1.02*1.15*1.05+KFC!$C$25)*KFC!$C$5</f>
        <v>87.939810000000008</v>
      </c>
      <c r="J113" s="315">
        <f>(75.9*KFC!$B$25*1.02*1.15*1.05+KFC!$C$25)*KFC!$C$5</f>
        <v>93.482235000000003</v>
      </c>
      <c r="K113" s="315">
        <f>(80.6*KFC!$B$25*1.02*1.15*1.05+KFC!$C$25)*KFC!$C$5</f>
        <v>99.270989999999983</v>
      </c>
      <c r="L113" s="316">
        <f>(85.2*KFC!$B$25*1.02*1.15*1.05+KFC!$C$25)*KFC!$C$5</f>
        <v>104.93658000000001</v>
      </c>
      <c r="M113" s="438"/>
      <c r="N113" s="438"/>
    </row>
    <row r="114" spans="1:14">
      <c r="A114" s="1538"/>
      <c r="B114" s="224">
        <v>1.5</v>
      </c>
      <c r="C114" s="314">
        <f>(45.3*KFC!$B$25*1.02*1.15*1.05+KFC!$C$25)*KFC!$C$5</f>
        <v>55.793744999999994</v>
      </c>
      <c r="D114" s="315">
        <f>(50.1*KFC!$B$25*1.02*1.15*1.05+KFC!$C$25)*KFC!$C$5</f>
        <v>61.705665000000003</v>
      </c>
      <c r="E114" s="315">
        <f>(55.2*KFC!$B$25*1.02*1.15*1.05+KFC!$C$25)*KFC!$C$5</f>
        <v>67.987080000000006</v>
      </c>
      <c r="F114" s="315">
        <f>(60*KFC!$B$25*1.02*1.15*1.05+KFC!$C$25)*KFC!$C$5</f>
        <v>73.899000000000001</v>
      </c>
      <c r="G114" s="315">
        <f>(64.9*KFC!$B$25*1.02*1.15*1.05+KFC!$C$25)*KFC!$C$5</f>
        <v>79.93408500000001</v>
      </c>
      <c r="H114" s="315">
        <f>(70*KFC!$B$25*1.02*1.15*1.05+KFC!$C$25)*KFC!$C$5</f>
        <v>86.215500000000006</v>
      </c>
      <c r="I114" s="315">
        <f>(74.8*KFC!$B$25*1.02*1.15*1.05+KFC!$C$25)*KFC!$C$5</f>
        <v>92.127419999999987</v>
      </c>
      <c r="J114" s="315">
        <f>(79.7*KFC!$B$25*1.02*1.15*1.05+KFC!$C$25)*KFC!$C$5</f>
        <v>98.16250500000001</v>
      </c>
      <c r="K114" s="315">
        <f>(84.6*KFC!$B$25*1.02*1.15*1.05+KFC!$C$25)*KFC!$C$5</f>
        <v>104.19759000000001</v>
      </c>
      <c r="L114" s="316">
        <f>(89.6*KFC!$B$25*1.02*1.15*1.05+KFC!$C$25)*KFC!$C$5</f>
        <v>110.35584</v>
      </c>
      <c r="M114" s="438"/>
      <c r="N114" s="438"/>
    </row>
    <row r="115" spans="1:14">
      <c r="A115" s="1538"/>
      <c r="B115" s="224">
        <v>1.6</v>
      </c>
      <c r="C115" s="314">
        <f>(46.7*KFC!$B$25*1.02*1.15*1.05+KFC!$C$25)*KFC!$C$5</f>
        <v>57.518055000000004</v>
      </c>
      <c r="D115" s="315">
        <f>(52*KFC!$B$25*1.02*1.15*1.05+KFC!$C$25)*KFC!$C$5</f>
        <v>64.0458</v>
      </c>
      <c r="E115" s="315">
        <f>(57.2*KFC!$B$25*1.02*1.15*1.05+KFC!$C$25)*KFC!$C$5</f>
        <v>70.450379999999996</v>
      </c>
      <c r="F115" s="315">
        <f>(62.5*KFC!$B$25*1.02*1.15*1.05+KFC!$C$25)*KFC!$C$5</f>
        <v>76.978125000000006</v>
      </c>
      <c r="G115" s="315">
        <f>(67.8*KFC!$B$25*1.02*1.15*1.05+KFC!$C$25)*KFC!$C$5</f>
        <v>83.505869999999987</v>
      </c>
      <c r="H115" s="315">
        <f>(73*KFC!$B$25*1.02*1.15*1.05+KFC!$C$25)*KFC!$C$5</f>
        <v>89.910450000000012</v>
      </c>
      <c r="I115" s="315">
        <f>(78.3*KFC!$B$25*1.02*1.15*1.05+KFC!$C$25)*KFC!$C$5</f>
        <v>96.438194999999993</v>
      </c>
      <c r="J115" s="315">
        <f>(83.5*KFC!$B$25*1.02*1.15*1.05+KFC!$C$25)*KFC!$C$5</f>
        <v>102.842775</v>
      </c>
      <c r="K115" s="315">
        <f>(88.8*KFC!$B$25*1.02*1.15*1.05+KFC!$C$25)*KFC!$C$5</f>
        <v>109.37052</v>
      </c>
      <c r="L115" s="316">
        <f>(94*KFC!$B$25*1.02*1.15*1.05+KFC!$C$25)*KFC!$C$5</f>
        <v>115.77509999999999</v>
      </c>
      <c r="M115" s="438"/>
      <c r="N115" s="438"/>
    </row>
    <row r="116" spans="1:14">
      <c r="A116" s="1538"/>
      <c r="B116" s="224">
        <v>1.7</v>
      </c>
      <c r="C116" s="314">
        <f>(48.2*KFC!$B$25*1.02*1.15*1.05+KFC!$C$25)*KFC!$C$5</f>
        <v>59.36553</v>
      </c>
      <c r="D116" s="315">
        <f>(53.8*KFC!$B$25*1.02*1.15*1.05+KFC!$C$25)*KFC!$C$5</f>
        <v>66.262769999999989</v>
      </c>
      <c r="E116" s="315">
        <f>(59.3*KFC!$B$25*1.02*1.15*1.05+KFC!$C$25)*KFC!$C$5</f>
        <v>73.036845</v>
      </c>
      <c r="F116" s="315">
        <f>(64.9*KFC!$B$25*1.02*1.15*1.05+KFC!$C$25)*KFC!$C$5</f>
        <v>79.93408500000001</v>
      </c>
      <c r="G116" s="315">
        <f>(70.6*KFC!$B$25*1.02*1.15*1.05+KFC!$C$25)*KFC!$C$5</f>
        <v>86.954490000000007</v>
      </c>
      <c r="H116" s="315">
        <f>(76.1*KFC!$B$25*1.02*1.15*1.05+KFC!$C$25)*KFC!$C$5</f>
        <v>93.728565000000003</v>
      </c>
      <c r="I116" s="315">
        <f>(81.7*KFC!$B$25*1.02*1.15*1.05+KFC!$C$25)*KFC!$C$5</f>
        <v>100.625805</v>
      </c>
      <c r="J116" s="315">
        <f>(87.2*KFC!$B$25*1.02*1.15*1.05+KFC!$C$25)*KFC!$C$5</f>
        <v>107.39988</v>
      </c>
      <c r="K116" s="315">
        <f>(92.8*KFC!$B$25*1.02*1.15*1.05+KFC!$C$25)*KFC!$C$5</f>
        <v>114.29711999999999</v>
      </c>
      <c r="L116" s="316">
        <f>(98.5*KFC!$B$25*1.02*1.15*1.05+KFC!$C$25)*KFC!$C$5</f>
        <v>121.317525</v>
      </c>
      <c r="M116" s="438"/>
      <c r="N116" s="438"/>
    </row>
    <row r="117" spans="1:14">
      <c r="A117" s="1538"/>
      <c r="B117" s="224">
        <v>1.8</v>
      </c>
      <c r="C117" s="314">
        <f>(49.7*KFC!$B$25*1.02*1.15*1.05+KFC!$C$25)*KFC!$C$5</f>
        <v>61.213005000000003</v>
      </c>
      <c r="D117" s="315">
        <f>(55.5*KFC!$B$25*1.02*1.15*1.05+KFC!$C$25)*KFC!$C$5</f>
        <v>68.356574999999992</v>
      </c>
      <c r="E117" s="315">
        <f>(61.5*KFC!$B$25*1.02*1.15*1.05+KFC!$C$25)*KFC!$C$5</f>
        <v>75.746475000000004</v>
      </c>
      <c r="F117" s="315">
        <f>(67.4*KFC!$B$25*1.02*1.15*1.05+KFC!$C$25)*KFC!$C$5</f>
        <v>83.013210000000001</v>
      </c>
      <c r="G117" s="315">
        <f>(73.3*KFC!$B$25*1.02*1.15*1.05+KFC!$C$25)*KFC!$C$5</f>
        <v>90.279945000000012</v>
      </c>
      <c r="H117" s="315">
        <f>(79.3*KFC!$B$25*1.02*1.15*1.05+KFC!$C$25)*KFC!$C$5</f>
        <v>97.669844999999995</v>
      </c>
      <c r="I117" s="315">
        <f>(85.1*KFC!$B$25*1.02*1.15*1.05+KFC!$C$25)*KFC!$C$5</f>
        <v>104.81341499999999</v>
      </c>
      <c r="J117" s="315">
        <f>(91*KFC!$B$25*1.02*1.15*1.05+KFC!$C$25)*KFC!$C$5</f>
        <v>112.08015</v>
      </c>
      <c r="K117" s="315">
        <f>(96.9*KFC!$B$25*1.02*1.15*1.05+KFC!$C$25)*KFC!$C$5</f>
        <v>119.34688500000001</v>
      </c>
      <c r="L117" s="316">
        <f>(102.9*KFC!$B$25*1.02*1.15*1.05+KFC!$C$25)*KFC!$C$5</f>
        <v>126.73678500000001</v>
      </c>
      <c r="M117" s="438"/>
      <c r="N117" s="438"/>
    </row>
    <row r="118" spans="1:14">
      <c r="A118" s="1538"/>
      <c r="B118" s="224">
        <v>1.9</v>
      </c>
      <c r="C118" s="314">
        <f>(51.1*KFC!$B$25*1.02*1.15*1.05+KFC!$C$25)*KFC!$C$5</f>
        <v>62.937314999999998</v>
      </c>
      <c r="D118" s="315">
        <f>(57.4*KFC!$B$25*1.02*1.15*1.05+KFC!$C$25)*KFC!$C$5</f>
        <v>70.696709999999996</v>
      </c>
      <c r="E118" s="315">
        <f>(63.6*KFC!$B$25*1.02*1.15*1.05+KFC!$C$25)*KFC!$C$5</f>
        <v>78.332939999999994</v>
      </c>
      <c r="F118" s="315">
        <f>(69.8*KFC!$B$25*1.02*1.15*1.05+KFC!$C$25)*KFC!$C$5</f>
        <v>85.969169999999991</v>
      </c>
      <c r="G118" s="315">
        <f>(76.1*KFC!$B$25*1.02*1.15*1.05+KFC!$C$25)*KFC!$C$5</f>
        <v>93.728565000000003</v>
      </c>
      <c r="H118" s="315">
        <f>(82.3*KFC!$B$25*1.02*1.15*1.05+KFC!$C$25)*KFC!$C$5</f>
        <v>101.364795</v>
      </c>
      <c r="I118" s="315">
        <f>(88.5*KFC!$B$25*1.02*1.15*1.05+KFC!$C$25)*KFC!$C$5</f>
        <v>109.001025</v>
      </c>
      <c r="J118" s="315">
        <f>(94.8*KFC!$B$25*1.02*1.15*1.05+KFC!$C$25)*KFC!$C$5</f>
        <v>116.76042</v>
      </c>
      <c r="K118" s="315">
        <f>(101*KFC!$B$25*1.02*1.15*1.05+KFC!$C$25)*KFC!$C$5</f>
        <v>124.39664999999999</v>
      </c>
      <c r="L118" s="316">
        <f>(107.3*KFC!$B$25*1.02*1.15*1.05+KFC!$C$25)*KFC!$C$5</f>
        <v>132.15604499999998</v>
      </c>
      <c r="M118" s="438"/>
      <c r="N118" s="438"/>
    </row>
    <row r="119" spans="1:14" ht="13.8" thickBot="1">
      <c r="A119" s="1539"/>
      <c r="B119" s="225">
        <v>2</v>
      </c>
      <c r="C119" s="317">
        <f>(52.6*KFC!$B$25*1.02*1.15*1.05+KFC!$C$25)*KFC!$C$5</f>
        <v>64.784790000000001</v>
      </c>
      <c r="D119" s="318">
        <f>(59.2*KFC!$B$25*1.02*1.15*1.05+KFC!$C$25)*KFC!$C$5</f>
        <v>72.913680000000014</v>
      </c>
      <c r="E119" s="318">
        <f>(65.7*KFC!$B$25*1.02*1.15*1.05+KFC!$C$25)*KFC!$C$5</f>
        <v>80.919405000000012</v>
      </c>
      <c r="F119" s="318">
        <f>(72.3*KFC!$B$25*1.02*1.15*1.05+KFC!$C$25)*KFC!$C$5</f>
        <v>89.048294999999996</v>
      </c>
      <c r="G119" s="318">
        <f>(78.9*KFC!$B$25*1.02*1.15*1.05+KFC!$C$25)*KFC!$C$5</f>
        <v>97.177185000000009</v>
      </c>
      <c r="H119" s="318">
        <f>(85.4*KFC!$B$25*1.02*1.15*1.05+KFC!$C$25)*KFC!$C$5</f>
        <v>105.18291000000001</v>
      </c>
      <c r="I119" s="318">
        <f>(92*KFC!$B$25*1.02*1.15*1.05+KFC!$C$25)*KFC!$C$5</f>
        <v>113.31180000000001</v>
      </c>
      <c r="J119" s="318">
        <f>(98.5*KFC!$B$25*1.02*1.15*1.05+KFC!$C$25)*KFC!$C$5</f>
        <v>121.317525</v>
      </c>
      <c r="K119" s="318">
        <f>(105.1*KFC!$B$25*1.02*1.15*1.05+KFC!$C$25)*KFC!$C$5</f>
        <v>129.446415</v>
      </c>
      <c r="L119" s="319">
        <f>(111.7*KFC!$B$25*1.02*1.15*1.05+KFC!$C$25)*KFC!$C$5</f>
        <v>137.57530500000001</v>
      </c>
      <c r="M119" s="438"/>
      <c r="N119" s="438"/>
    </row>
    <row r="120" spans="1:14">
      <c r="A120" s="180" t="s">
        <v>303</v>
      </c>
      <c r="B120" s="346"/>
      <c r="C120" s="347"/>
      <c r="D120" s="347"/>
      <c r="E120" s="347"/>
      <c r="F120" s="347"/>
      <c r="G120" s="347"/>
      <c r="H120" s="347"/>
      <c r="I120" s="347"/>
      <c r="J120" s="347"/>
      <c r="K120" s="348"/>
      <c r="L120" s="348"/>
      <c r="M120" s="438"/>
      <c r="N120" s="438"/>
    </row>
    <row r="121" spans="1:14" ht="13.8">
      <c r="A121" s="3" t="s">
        <v>212</v>
      </c>
      <c r="B121" s="11"/>
      <c r="C121" s="11"/>
      <c r="D121" s="11"/>
    </row>
    <row r="122" spans="1:14" ht="17.25" customHeight="1">
      <c r="A122" s="1799" t="s">
        <v>211</v>
      </c>
      <c r="B122" s="1799"/>
      <c r="C122" s="1799"/>
      <c r="D122" s="1799"/>
      <c r="E122" s="1799"/>
      <c r="F122" s="1799"/>
      <c r="G122" s="1799"/>
      <c r="H122" s="1799"/>
      <c r="I122" s="1799"/>
      <c r="J122" s="1799"/>
      <c r="K122" s="1799"/>
      <c r="L122" s="1799"/>
      <c r="M122" s="1799"/>
      <c r="N122" s="1799"/>
    </row>
    <row r="123" spans="1:14">
      <c r="A123" s="5" t="s">
        <v>213</v>
      </c>
    </row>
    <row r="124" spans="1:14">
      <c r="A124" s="3" t="s">
        <v>299</v>
      </c>
      <c r="E124" s="43"/>
      <c r="F124" s="43"/>
    </row>
    <row r="125" spans="1:14">
      <c r="A125" s="3" t="s">
        <v>300</v>
      </c>
      <c r="E125" s="43"/>
      <c r="F125" s="43"/>
    </row>
    <row r="126" spans="1:14">
      <c r="A126" s="3" t="s">
        <v>186</v>
      </c>
    </row>
    <row r="127" spans="1:14">
      <c r="A127" s="3" t="s">
        <v>301</v>
      </c>
    </row>
    <row r="128" spans="1:14">
      <c r="A128" s="3" t="s">
        <v>503</v>
      </c>
      <c r="B128" s="3"/>
      <c r="C128" s="3"/>
      <c r="D128" s="3"/>
      <c r="E128" s="3"/>
      <c r="H128" s="555">
        <f>(1.58*KFC!$B$25+KFC!$C$25)*KFC!$C$5</f>
        <v>1.58</v>
      </c>
      <c r="I128" s="1" t="s">
        <v>504</v>
      </c>
      <c r="N128" s="67"/>
    </row>
    <row r="129" spans="1:14">
      <c r="A129" s="3"/>
      <c r="B129" s="3"/>
      <c r="C129" s="3"/>
      <c r="D129" s="3"/>
      <c r="E129" s="3"/>
      <c r="H129" s="22"/>
      <c r="N129" s="67"/>
    </row>
    <row r="130" spans="1:14">
      <c r="A130" s="3"/>
      <c r="B130" s="3"/>
      <c r="C130" s="3"/>
      <c r="D130" s="3"/>
      <c r="E130" s="3"/>
      <c r="H130" s="22"/>
      <c r="N130" s="67"/>
    </row>
    <row r="131" spans="1:14">
      <c r="A131" s="3"/>
      <c r="B131" s="3"/>
      <c r="C131" s="3"/>
      <c r="D131" s="3"/>
      <c r="E131" s="3"/>
      <c r="H131" s="22"/>
      <c r="N131" s="67"/>
    </row>
    <row r="132" spans="1:14">
      <c r="A132" s="3"/>
      <c r="B132" s="3"/>
      <c r="C132" s="3"/>
      <c r="D132" s="3"/>
      <c r="E132" s="3"/>
      <c r="H132" s="22"/>
      <c r="N132" s="67"/>
    </row>
    <row r="133" spans="1:14" ht="18">
      <c r="A133" s="1800" t="s">
        <v>486</v>
      </c>
      <c r="B133" s="1800"/>
      <c r="C133" s="1800"/>
      <c r="D133" s="1800"/>
      <c r="E133" s="1800"/>
      <c r="F133" s="1800"/>
      <c r="G133" s="1800"/>
      <c r="H133" s="1800"/>
      <c r="I133" s="1800"/>
      <c r="J133" s="1800"/>
      <c r="K133" s="1800"/>
      <c r="L133" s="1800"/>
      <c r="M133" s="1800"/>
      <c r="N133" s="1800"/>
    </row>
    <row r="134" spans="1:14" ht="16.2" thickBot="1">
      <c r="A134" s="1004" t="s">
        <v>699</v>
      </c>
      <c r="B134" s="1004"/>
      <c r="C134" s="1004"/>
      <c r="D134" s="1004"/>
      <c r="E134" s="1004"/>
      <c r="F134" s="1004"/>
      <c r="G134" s="1004"/>
      <c r="H134" s="1004"/>
      <c r="I134" s="1004"/>
      <c r="J134" s="1004"/>
      <c r="K134" s="1004"/>
      <c r="L134" s="1004"/>
      <c r="M134" s="1004"/>
      <c r="N134" s="1004"/>
    </row>
    <row r="135" spans="1:14" ht="14.4" thickBot="1">
      <c r="A135" s="1528" t="s">
        <v>88</v>
      </c>
      <c r="B135" s="1101"/>
      <c r="C135" s="1101"/>
      <c r="D135" s="1022" t="s">
        <v>87</v>
      </c>
      <c r="E135" s="1022"/>
      <c r="F135" s="1022"/>
      <c r="G135" s="1022"/>
      <c r="H135" s="1022"/>
      <c r="I135" s="1022"/>
      <c r="J135" s="1022"/>
      <c r="K135" s="1022"/>
      <c r="L135" s="1022"/>
      <c r="M135" s="1297" t="s">
        <v>24</v>
      </c>
      <c r="N135" s="1298"/>
    </row>
    <row r="136" spans="1:14" ht="31.5" customHeight="1" thickBot="1">
      <c r="A136" s="1547" t="s">
        <v>884</v>
      </c>
      <c r="B136" s="1547"/>
      <c r="C136" s="1547"/>
      <c r="D136" s="1378" t="s">
        <v>885</v>
      </c>
      <c r="E136" s="1378"/>
      <c r="F136" s="1378"/>
      <c r="G136" s="1378"/>
      <c r="H136" s="1378"/>
      <c r="I136" s="1378"/>
      <c r="J136" s="1378"/>
      <c r="K136" s="1378"/>
      <c r="L136" s="1378"/>
      <c r="M136" s="1673">
        <f>(107.59*KFC!$B$41+KFC!$C$41)*KFC!$C$5</f>
        <v>107.59</v>
      </c>
      <c r="N136" s="1673"/>
    </row>
    <row r="137" spans="1:14" ht="31.2" customHeight="1" thickBot="1">
      <c r="A137" s="1796" t="s">
        <v>487</v>
      </c>
      <c r="B137" s="1796"/>
      <c r="C137" s="1796"/>
      <c r="D137" s="1796"/>
      <c r="E137" s="1796"/>
      <c r="F137" s="1796"/>
      <c r="G137" s="1796"/>
      <c r="H137" s="1796"/>
      <c r="I137" s="1796"/>
      <c r="J137" s="1796"/>
      <c r="K137" s="1796"/>
      <c r="L137" s="1796"/>
      <c r="M137" s="1796"/>
      <c r="N137" s="1796"/>
    </row>
    <row r="138" spans="1:14" ht="13.8">
      <c r="A138" s="1797" t="s">
        <v>88</v>
      </c>
      <c r="B138" s="1798"/>
      <c r="C138" s="1798"/>
      <c r="D138" s="1409" t="s">
        <v>87</v>
      </c>
      <c r="E138" s="1409"/>
      <c r="F138" s="1409"/>
      <c r="G138" s="1409"/>
      <c r="H138" s="1409"/>
      <c r="I138" s="1409"/>
      <c r="J138" s="1409"/>
      <c r="K138" s="1409"/>
      <c r="L138" s="1409"/>
      <c r="M138" s="1092" t="s">
        <v>24</v>
      </c>
      <c r="N138" s="1093"/>
    </row>
    <row r="139" spans="1:14" ht="27.6" customHeight="1">
      <c r="A139" s="1035" t="s">
        <v>884</v>
      </c>
      <c r="B139" s="1218"/>
      <c r="C139" s="1218"/>
      <c r="D139" s="1793" t="s">
        <v>886</v>
      </c>
      <c r="E139" s="1793"/>
      <c r="F139" s="1793"/>
      <c r="G139" s="1793"/>
      <c r="H139" s="1793"/>
      <c r="I139" s="1793"/>
      <c r="J139" s="1793"/>
      <c r="K139" s="1793"/>
      <c r="L139" s="1793"/>
      <c r="M139" s="1794">
        <f>(31.65*KFC!$B$41+KFC!$C$41)*KFC!$C$5</f>
        <v>31.65</v>
      </c>
      <c r="N139" s="1795"/>
    </row>
    <row r="140" spans="1:14" ht="27.6" customHeight="1">
      <c r="A140" s="1035" t="s">
        <v>884</v>
      </c>
      <c r="B140" s="1218"/>
      <c r="C140" s="1218"/>
      <c r="D140" s="1793" t="s">
        <v>887</v>
      </c>
      <c r="E140" s="1793"/>
      <c r="F140" s="1793"/>
      <c r="G140" s="1793"/>
      <c r="H140" s="1793"/>
      <c r="I140" s="1793"/>
      <c r="J140" s="1793"/>
      <c r="K140" s="1793"/>
      <c r="L140" s="1793"/>
      <c r="M140" s="1794">
        <f>(37.97*KFC!$B$41+KFC!$C$41)*KFC!$C$5</f>
        <v>37.97</v>
      </c>
      <c r="N140" s="1795"/>
    </row>
    <row r="141" spans="1:14" ht="27.6" customHeight="1">
      <c r="A141" s="1035" t="s">
        <v>884</v>
      </c>
      <c r="B141" s="1218"/>
      <c r="C141" s="1218"/>
      <c r="D141" s="1793" t="s">
        <v>888</v>
      </c>
      <c r="E141" s="1793"/>
      <c r="F141" s="1793"/>
      <c r="G141" s="1793"/>
      <c r="H141" s="1793"/>
      <c r="I141" s="1793"/>
      <c r="J141" s="1793"/>
      <c r="K141" s="1793"/>
      <c r="L141" s="1793"/>
      <c r="M141" s="1794">
        <f>(44.3*KFC!$B$41+KFC!$C$41)*KFC!$C$5</f>
        <v>44.3</v>
      </c>
      <c r="N141" s="1795"/>
    </row>
    <row r="142" spans="1:14" ht="31.2" customHeight="1">
      <c r="A142" s="1790" t="s">
        <v>884</v>
      </c>
      <c r="B142" s="1791"/>
      <c r="C142" s="1791"/>
      <c r="D142" s="1792" t="s">
        <v>889</v>
      </c>
      <c r="E142" s="1792"/>
      <c r="F142" s="1792"/>
      <c r="G142" s="1792"/>
      <c r="H142" s="1792"/>
      <c r="I142" s="1792"/>
      <c r="J142" s="1792"/>
      <c r="K142" s="1792"/>
      <c r="L142" s="1792"/>
      <c r="M142" s="1704">
        <f>(18.35*KFC!$B$41+KFC!$C$41)*KFC!$C$5</f>
        <v>18.350000000000001</v>
      </c>
      <c r="N142" s="1397"/>
    </row>
    <row r="143" spans="1:14" ht="31.2" customHeight="1">
      <c r="A143" s="1218" t="s">
        <v>884</v>
      </c>
      <c r="B143" s="1218"/>
      <c r="C143" s="1218"/>
      <c r="D143" s="1650" t="s">
        <v>1006</v>
      </c>
      <c r="E143" s="1650"/>
      <c r="F143" s="1650"/>
      <c r="G143" s="1650"/>
      <c r="H143" s="1650"/>
      <c r="I143" s="1650"/>
      <c r="J143" s="1650"/>
      <c r="K143" s="1650"/>
      <c r="L143" s="1650"/>
      <c r="M143" s="1704">
        <f>(75.95*KFC!$B$41+KFC!$C$41)*KFC!$C$5</f>
        <v>75.95</v>
      </c>
      <c r="N143" s="1397"/>
    </row>
    <row r="144" spans="1:14" ht="31.2" customHeight="1">
      <c r="A144" s="1218" t="s">
        <v>884</v>
      </c>
      <c r="B144" s="1218"/>
      <c r="C144" s="1218"/>
      <c r="D144" s="1650" t="s">
        <v>1054</v>
      </c>
      <c r="E144" s="1650"/>
      <c r="F144" s="1650"/>
      <c r="G144" s="1650"/>
      <c r="H144" s="1650"/>
      <c r="I144" s="1650"/>
      <c r="J144" s="1650"/>
      <c r="K144" s="1650"/>
      <c r="L144" s="1650"/>
      <c r="M144" s="1704">
        <f>(76*KFC!$B$41+KFC!$C$41)*KFC!$C$5</f>
        <v>76</v>
      </c>
      <c r="N144" s="1397"/>
    </row>
    <row r="145" spans="1:12" ht="13.8">
      <c r="A145" s="549"/>
      <c r="B145" s="549"/>
      <c r="C145" s="294"/>
      <c r="D145" s="550"/>
      <c r="E145" s="550"/>
      <c r="F145" s="550"/>
      <c r="G145" s="550"/>
      <c r="H145" s="550"/>
      <c r="I145" s="550"/>
      <c r="J145" s="550"/>
      <c r="K145" s="550"/>
      <c r="L145" s="550"/>
    </row>
  </sheetData>
  <mergeCells count="55">
    <mergeCell ref="D143:L143"/>
    <mergeCell ref="D144:L144"/>
    <mergeCell ref="M143:N143"/>
    <mergeCell ref="M144:N144"/>
    <mergeCell ref="A143:C143"/>
    <mergeCell ref="A144:C144"/>
    <mergeCell ref="A2:N2"/>
    <mergeCell ref="A3:N3"/>
    <mergeCell ref="A4:D4"/>
    <mergeCell ref="E4:N4"/>
    <mergeCell ref="A5:D5"/>
    <mergeCell ref="E5:N5"/>
    <mergeCell ref="A6:B7"/>
    <mergeCell ref="C6:L6"/>
    <mergeCell ref="A8:A23"/>
    <mergeCell ref="A26:B27"/>
    <mergeCell ref="C26:L26"/>
    <mergeCell ref="A28:A43"/>
    <mergeCell ref="A45:B46"/>
    <mergeCell ref="C45:L45"/>
    <mergeCell ref="A47:A62"/>
    <mergeCell ref="A64:B65"/>
    <mergeCell ref="C64:L64"/>
    <mergeCell ref="A66:A81"/>
    <mergeCell ref="A83:B84"/>
    <mergeCell ref="C83:L83"/>
    <mergeCell ref="A85:A100"/>
    <mergeCell ref="A102:B103"/>
    <mergeCell ref="C102:L102"/>
    <mergeCell ref="A104:A119"/>
    <mergeCell ref="A136:C136"/>
    <mergeCell ref="D136:L136"/>
    <mergeCell ref="M136:N136"/>
    <mergeCell ref="A122:N122"/>
    <mergeCell ref="A133:N133"/>
    <mergeCell ref="A134:N134"/>
    <mergeCell ref="A135:C135"/>
    <mergeCell ref="D135:L135"/>
    <mergeCell ref="M135:N135"/>
    <mergeCell ref="A137:N137"/>
    <mergeCell ref="A138:C138"/>
    <mergeCell ref="D138:L138"/>
    <mergeCell ref="M138:N138"/>
    <mergeCell ref="A139:C139"/>
    <mergeCell ref="D139:L139"/>
    <mergeCell ref="M139:N139"/>
    <mergeCell ref="A142:C142"/>
    <mergeCell ref="D142:L142"/>
    <mergeCell ref="M142:N142"/>
    <mergeCell ref="A140:C140"/>
    <mergeCell ref="D140:L140"/>
    <mergeCell ref="M140:N140"/>
    <mergeCell ref="A141:C141"/>
    <mergeCell ref="D141:L141"/>
    <mergeCell ref="M141:N141"/>
  </mergeCells>
  <hyperlinks>
    <hyperlink ref="A122" location="'Макс. возможные размеры изделий'!R1C1" display=" - Максимально допустимые размеры изделия можно посмотреть в ТАБЛИЦЕ" xr:uid="{0C80C27E-ED48-4FDD-AB86-8749F72F2F3C}"/>
    <hyperlink ref="E5" r:id="rId1" xr:uid="{53D87D23-9FD7-47E9-93A7-1DA7DE73F54B}"/>
  </hyperlinks>
  <pageMargins left="0.59055118110236227" right="0" top="0.31496062992125984" bottom="0" header="0" footer="0"/>
  <pageSetup paperSize="9" scale="99" fitToHeight="5" orientation="portrait" r:id="rId2"/>
  <headerFooter alignWithMargins="0"/>
  <rowBreaks count="3" manualBreakCount="3">
    <brk id="44" max="13" man="1"/>
    <brk id="82" max="13" man="1"/>
    <brk id="128" max="1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94356B-6395-46C4-83DE-07AA41084D08}">
  <sheetPr codeName="Лист6">
    <tabColor indexed="40"/>
  </sheetPr>
  <dimension ref="A1:N144"/>
  <sheetViews>
    <sheetView view="pageBreakPreview" zoomScaleNormal="100" workbookViewId="0">
      <pane ySplit="3" topLeftCell="A4" activePane="bottomLeft" state="frozen"/>
      <selection pane="bottomLeft" sqref="A1:IV5"/>
    </sheetView>
  </sheetViews>
  <sheetFormatPr defaultColWidth="9.109375" defaultRowHeight="13.2"/>
  <cols>
    <col min="1" max="9" width="6.6640625" style="1" customWidth="1"/>
    <col min="10" max="12" width="7.44140625" style="1" bestFit="1" customWidth="1"/>
    <col min="13" max="14" width="6.6640625" style="1" customWidth="1"/>
    <col min="15" max="16384" width="9.109375" style="1"/>
  </cols>
  <sheetData>
    <row r="1" spans="1:14" ht="13.5" customHeight="1">
      <c r="B1" s="10"/>
      <c r="C1" s="59"/>
      <c r="D1" s="42"/>
      <c r="E1" s="10"/>
      <c r="F1" s="5"/>
    </row>
    <row r="2" spans="1:14" ht="40.5" customHeight="1">
      <c r="A2" s="1222" t="s">
        <v>203</v>
      </c>
      <c r="B2" s="1222"/>
      <c r="C2" s="1222"/>
      <c r="D2" s="1222"/>
      <c r="E2" s="1222"/>
      <c r="F2" s="1222"/>
      <c r="G2" s="1222"/>
      <c r="H2" s="1222"/>
      <c r="I2" s="1222"/>
      <c r="J2" s="1222"/>
      <c r="K2" s="1222"/>
      <c r="L2" s="1222"/>
      <c r="M2" s="1222"/>
      <c r="N2" s="1222"/>
    </row>
    <row r="3" spans="1:14" ht="13.5" customHeight="1">
      <c r="A3" s="1541" t="s">
        <v>630</v>
      </c>
      <c r="B3" s="1541"/>
      <c r="C3" s="1541"/>
      <c r="D3" s="1541"/>
      <c r="E3" s="1541"/>
      <c r="F3" s="1541"/>
      <c r="G3" s="1541"/>
      <c r="H3" s="1541"/>
      <c r="I3" s="1541"/>
      <c r="J3" s="1541"/>
      <c r="K3" s="1541"/>
      <c r="L3" s="1541"/>
      <c r="M3" s="1541"/>
      <c r="N3" s="1541"/>
    </row>
    <row r="4" spans="1:14" ht="18.75" customHeight="1">
      <c r="A4" s="1089" t="s">
        <v>593</v>
      </c>
      <c r="B4" s="1089"/>
      <c r="C4" s="1089"/>
      <c r="D4" s="1089"/>
      <c r="E4" s="1406" t="s">
        <v>616</v>
      </c>
      <c r="F4" s="1545"/>
      <c r="G4" s="1545"/>
      <c r="H4" s="1545"/>
      <c r="I4" s="1545"/>
      <c r="J4" s="1545"/>
      <c r="K4" s="1545"/>
      <c r="L4" s="1545"/>
      <c r="M4" s="1545"/>
      <c r="N4" s="1545"/>
    </row>
    <row r="5" spans="1:14" ht="18.75" customHeight="1" thickBot="1">
      <c r="A5" s="1089" t="s">
        <v>611</v>
      </c>
      <c r="B5" s="1089"/>
      <c r="C5" s="1089"/>
      <c r="D5" s="1089"/>
      <c r="E5" s="1406" t="s">
        <v>613</v>
      </c>
      <c r="F5" s="1545"/>
      <c r="G5" s="1545"/>
      <c r="H5" s="1545"/>
      <c r="I5" s="1545"/>
      <c r="J5" s="1545"/>
      <c r="K5" s="1545"/>
      <c r="L5" s="1545"/>
      <c r="M5" s="1545"/>
      <c r="N5" s="1545"/>
    </row>
    <row r="6" spans="1:14" ht="13.5" customHeight="1" thickBot="1">
      <c r="A6" s="1413" t="s">
        <v>462</v>
      </c>
      <c r="B6" s="1415"/>
      <c r="C6" s="1534" t="s">
        <v>207</v>
      </c>
      <c r="D6" s="1535"/>
      <c r="E6" s="1535"/>
      <c r="F6" s="1535"/>
      <c r="G6" s="1535"/>
      <c r="H6" s="1535"/>
      <c r="I6" s="1535"/>
      <c r="J6" s="1535"/>
      <c r="K6" s="1535"/>
      <c r="L6" s="1536"/>
      <c r="M6" s="437"/>
      <c r="N6" s="437"/>
    </row>
    <row r="7" spans="1:14" ht="13.5" customHeight="1" thickBot="1">
      <c r="A7" s="1416"/>
      <c r="B7" s="1418"/>
      <c r="C7" s="119">
        <v>0.4</v>
      </c>
      <c r="D7" s="119">
        <v>0.5</v>
      </c>
      <c r="E7" s="119">
        <v>0.6</v>
      </c>
      <c r="F7" s="119">
        <v>0.7</v>
      </c>
      <c r="G7" s="119">
        <v>0.8</v>
      </c>
      <c r="H7" s="119">
        <v>0.9</v>
      </c>
      <c r="I7" s="119">
        <v>1</v>
      </c>
      <c r="J7" s="119">
        <v>1.1000000000000001</v>
      </c>
      <c r="K7" s="119">
        <v>1.2</v>
      </c>
      <c r="L7" s="120">
        <v>1.3</v>
      </c>
      <c r="M7" s="184"/>
      <c r="N7" s="184"/>
    </row>
    <row r="8" spans="1:14" ht="13.5" customHeight="1">
      <c r="A8" s="1537" t="s">
        <v>3</v>
      </c>
      <c r="B8" s="226">
        <v>0.5</v>
      </c>
      <c r="C8" s="311">
        <f>(10.4*KFC!$B$25*1.02*1.05*1.05+KFC!$C$25)*KFC!$C$5</f>
        <v>11.695320000000001</v>
      </c>
      <c r="D8" s="312">
        <f>(11.3*KFC!$B$25*1.02*1.05*1.05+KFC!$C$25)*KFC!$C$5</f>
        <v>12.707415000000003</v>
      </c>
      <c r="E8" s="312">
        <f>(12.2*KFC!$B$25*1.02*1.05*1.05+KFC!$C$25)*KFC!$C$5</f>
        <v>13.719510000000001</v>
      </c>
      <c r="F8" s="312">
        <f>(13.1*KFC!$B$25*1.02*1.05*1.05+KFC!$C$25)*KFC!$C$5</f>
        <v>14.731605000000002</v>
      </c>
      <c r="G8" s="312">
        <f>(14*KFC!$B$25*1.02*1.05*1.05+KFC!$C$25)*KFC!$C$5</f>
        <v>15.743700000000002</v>
      </c>
      <c r="H8" s="312">
        <f>(14.9*KFC!$B$25*1.02*1.05*1.05+KFC!$C$25)*KFC!$C$5</f>
        <v>16.755795000000003</v>
      </c>
      <c r="I8" s="312">
        <f>(15.8*KFC!$B$25*1.02*1.05*1.05+KFC!$C$25)*KFC!$C$5</f>
        <v>17.767890000000001</v>
      </c>
      <c r="J8" s="312">
        <f>(16.7*KFC!$B$25*1.02*1.05*1.05+KFC!$C$25)*KFC!$C$5</f>
        <v>18.779985</v>
      </c>
      <c r="K8" s="312">
        <f>(17.6*KFC!$B$25*1.02*1.05*1.05+KFC!$C$25)*KFC!$C$5</f>
        <v>19.792080000000002</v>
      </c>
      <c r="L8" s="313">
        <f>(18.5*KFC!$B$25*1.02*1.05*1.05+KFC!$C$25)*KFC!$C$5</f>
        <v>20.804175000000001</v>
      </c>
      <c r="M8" s="438"/>
      <c r="N8" s="438"/>
    </row>
    <row r="9" spans="1:14" ht="13.5" customHeight="1">
      <c r="A9" s="1538"/>
      <c r="B9" s="224">
        <v>0.6</v>
      </c>
      <c r="C9" s="314">
        <f>(10.6*KFC!$B$25*1.02*1.05*1.05+KFC!$C$25)*KFC!$C$5</f>
        <v>11.920230000000002</v>
      </c>
      <c r="D9" s="315">
        <f>(11.5*KFC!$B$25*1.02*1.05*1.05+KFC!$C$25)*KFC!$C$5</f>
        <v>12.932325000000002</v>
      </c>
      <c r="E9" s="315">
        <f>(12.5*KFC!$B$25*1.02*1.05*1.05+KFC!$C$25)*KFC!$C$5</f>
        <v>14.056875000000002</v>
      </c>
      <c r="F9" s="315">
        <f>(13.4*KFC!$B$25*1.02*1.05*1.05+KFC!$C$25)*KFC!$C$5</f>
        <v>15.068970000000002</v>
      </c>
      <c r="G9" s="315">
        <f>(14.3*KFC!$B$25*1.02*1.05*1.05+KFC!$C$25)*KFC!$C$5</f>
        <v>16.081065000000002</v>
      </c>
      <c r="H9" s="315">
        <f>(15.3*KFC!$B$25*1.02*1.05*1.05+KFC!$C$25)*KFC!$C$5</f>
        <v>17.205615000000002</v>
      </c>
      <c r="I9" s="315">
        <f>(16.2*KFC!$B$25*1.02*1.05*1.05+KFC!$C$25)*KFC!$C$5</f>
        <v>18.21771</v>
      </c>
      <c r="J9" s="315">
        <f>(17.2*KFC!$B$25*1.02*1.05*1.05+KFC!$C$25)*KFC!$C$5</f>
        <v>19.342260000000003</v>
      </c>
      <c r="K9" s="315">
        <f>(18.1*KFC!$B$25*1.02*1.05*1.05+KFC!$C$25)*KFC!$C$5</f>
        <v>20.354355000000005</v>
      </c>
      <c r="L9" s="316">
        <f>(19*KFC!$B$25*1.02*1.05*1.05+KFC!$C$25)*KFC!$C$5</f>
        <v>21.36645</v>
      </c>
      <c r="M9" s="438"/>
      <c r="N9" s="438"/>
    </row>
    <row r="10" spans="1:14" ht="13.5" customHeight="1">
      <c r="A10" s="1538"/>
      <c r="B10" s="224">
        <v>0.7</v>
      </c>
      <c r="C10" s="314">
        <f>(10.8*KFC!$B$25*1.02*1.05*1.05+KFC!$C$25)*KFC!$C$5</f>
        <v>12.145140000000003</v>
      </c>
      <c r="D10" s="315">
        <f>(11.8*KFC!$B$25*1.02*1.05*1.05+KFC!$C$25)*KFC!$C$5</f>
        <v>13.269690000000002</v>
      </c>
      <c r="E10" s="315">
        <f>(12.8*KFC!$B$25*1.02*1.05*1.05+KFC!$C$25)*KFC!$C$5</f>
        <v>14.394240000000002</v>
      </c>
      <c r="F10" s="315">
        <f>(13.7*KFC!$B$25*1.02*1.05*1.05+KFC!$C$25)*KFC!$C$5</f>
        <v>15.406335000000002</v>
      </c>
      <c r="G10" s="315">
        <f>(14.7*KFC!$B$25*1.02*1.05*1.05+KFC!$C$25)*KFC!$C$5</f>
        <v>16.530885000000001</v>
      </c>
      <c r="H10" s="315">
        <f>(15.7*KFC!$B$25*1.02*1.05*1.05+KFC!$C$25)*KFC!$C$5</f>
        <v>17.655435000000001</v>
      </c>
      <c r="I10" s="315">
        <f>(16.7*KFC!$B$25*1.02*1.05*1.05+KFC!$C$25)*KFC!$C$5</f>
        <v>18.779985</v>
      </c>
      <c r="J10" s="315">
        <f>(17.7*KFC!$B$25*1.02*1.05*1.05+KFC!$C$25)*KFC!$C$5</f>
        <v>19.904534999999999</v>
      </c>
      <c r="K10" s="315">
        <f>(18.7*KFC!$B$25*1.02*1.05*1.05+KFC!$C$25)*KFC!$C$5</f>
        <v>21.029085000000002</v>
      </c>
      <c r="L10" s="316">
        <f>(19.6*KFC!$B$25*1.02*1.05*1.05+KFC!$C$25)*KFC!$C$5</f>
        <v>22.041180000000004</v>
      </c>
      <c r="M10" s="438"/>
      <c r="N10" s="438"/>
    </row>
    <row r="11" spans="1:14" ht="13.5" customHeight="1">
      <c r="A11" s="1538"/>
      <c r="B11" s="224">
        <v>0.8</v>
      </c>
      <c r="C11" s="314">
        <f>(11*KFC!$B$25*1.02*1.05*1.05+KFC!$C$25)*KFC!$C$5</f>
        <v>12.370050000000001</v>
      </c>
      <c r="D11" s="315">
        <f>(12*KFC!$B$25*1.02*1.05*1.05+KFC!$C$25)*KFC!$C$5</f>
        <v>13.4946</v>
      </c>
      <c r="E11" s="315">
        <f>(13*KFC!$B$25*1.02*1.05*1.05+KFC!$C$25)*KFC!$C$5</f>
        <v>14.619150000000001</v>
      </c>
      <c r="F11" s="315">
        <f>(14.1*KFC!$B$25*1.02*1.05*1.05+KFC!$C$25)*KFC!$C$5</f>
        <v>15.856155000000001</v>
      </c>
      <c r="G11" s="315">
        <f>(15.1*KFC!$B$25*1.02*1.05*1.05+KFC!$C$25)*KFC!$C$5</f>
        <v>16.980705</v>
      </c>
      <c r="H11" s="315">
        <f>(16.1*KFC!$B$25*1.02*1.05*1.05+KFC!$C$25)*KFC!$C$5</f>
        <v>18.105255000000003</v>
      </c>
      <c r="I11" s="315">
        <f>(17.1*KFC!$B$25*1.02*1.05*1.05+KFC!$C$25)*KFC!$C$5</f>
        <v>19.229804999999999</v>
      </c>
      <c r="J11" s="315">
        <f>(18.2*KFC!$B$25*1.02*1.05*1.05+KFC!$C$25)*KFC!$C$5</f>
        <v>20.466810000000002</v>
      </c>
      <c r="K11" s="315">
        <f>(19.2*KFC!$B$25*1.02*1.05*1.05+KFC!$C$25)*KFC!$C$5</f>
        <v>21.591360000000002</v>
      </c>
      <c r="L11" s="316">
        <f>(20.2*KFC!$B$25*1.02*1.05*1.05+KFC!$C$25)*KFC!$C$5</f>
        <v>22.715910000000001</v>
      </c>
      <c r="M11" s="438"/>
      <c r="N11" s="438"/>
    </row>
    <row r="12" spans="1:14" ht="13.5" customHeight="1">
      <c r="A12" s="1538"/>
      <c r="B12" s="224">
        <v>0.9</v>
      </c>
      <c r="C12" s="314">
        <f>(11.2*KFC!$B$25*1.02*1.05*1.05+KFC!$C$25)*KFC!$C$5</f>
        <v>12.59496</v>
      </c>
      <c r="D12" s="315">
        <f>(12.3*KFC!$B$25*1.02*1.05*1.05+KFC!$C$25)*KFC!$C$5</f>
        <v>13.831965000000002</v>
      </c>
      <c r="E12" s="315">
        <f>(13.3*KFC!$B$25*1.02*1.05*1.05+KFC!$C$25)*KFC!$C$5</f>
        <v>14.956515000000001</v>
      </c>
      <c r="F12" s="315">
        <f>(14.4*KFC!$B$25*1.02*1.05*1.05+KFC!$C$25)*KFC!$C$5</f>
        <v>16.193520000000003</v>
      </c>
      <c r="G12" s="315">
        <f>(15.5*KFC!$B$25*1.02*1.05*1.05+KFC!$C$25)*KFC!$C$5</f>
        <v>17.430524999999999</v>
      </c>
      <c r="H12" s="315">
        <f>(16.5*KFC!$B$25*1.02*1.05*1.05+KFC!$C$25)*KFC!$C$5</f>
        <v>18.555075000000002</v>
      </c>
      <c r="I12" s="315">
        <f>(17.6*KFC!$B$25*1.02*1.05*1.05+KFC!$C$25)*KFC!$C$5</f>
        <v>19.792080000000002</v>
      </c>
      <c r="J12" s="315">
        <f>(18.7*KFC!$B$25*1.02*1.05*1.05+KFC!$C$25)*KFC!$C$5</f>
        <v>21.029085000000002</v>
      </c>
      <c r="K12" s="315">
        <f>(19.7*KFC!$B$25*1.02*1.05*1.05+KFC!$C$25)*KFC!$C$5</f>
        <v>22.153635000000001</v>
      </c>
      <c r="L12" s="316">
        <f>(20.8*KFC!$B$25*1.02*1.05*1.05+KFC!$C$25)*KFC!$C$5</f>
        <v>23.390640000000001</v>
      </c>
      <c r="M12" s="438"/>
      <c r="N12" s="438"/>
    </row>
    <row r="13" spans="1:14" ht="13.5" customHeight="1">
      <c r="A13" s="1538"/>
      <c r="B13" s="224">
        <v>1</v>
      </c>
      <c r="C13" s="314">
        <f>(11.4*KFC!$B$25*1.02*1.05*1.05+KFC!$C$25)*KFC!$C$5</f>
        <v>12.819870000000002</v>
      </c>
      <c r="D13" s="315">
        <f>(12.5*KFC!$B$25*1.02*1.05*1.05+KFC!$C$25)*KFC!$C$5</f>
        <v>14.056875000000002</v>
      </c>
      <c r="E13" s="315">
        <f>(13.6*KFC!$B$25*1.02*1.05*1.05+KFC!$C$25)*KFC!$C$5</f>
        <v>15.29388</v>
      </c>
      <c r="F13" s="315">
        <f>(14.7*KFC!$B$25*1.02*1.05*1.05+KFC!$C$25)*KFC!$C$5</f>
        <v>16.530885000000001</v>
      </c>
      <c r="G13" s="315">
        <f>(15.8*KFC!$B$25*1.02*1.05*1.05+KFC!$C$25)*KFC!$C$5</f>
        <v>17.767890000000001</v>
      </c>
      <c r="H13" s="315">
        <f>(17*KFC!$B$25*1.02*1.05*1.05+KFC!$C$25)*KFC!$C$5</f>
        <v>19.117350000000002</v>
      </c>
      <c r="I13" s="315">
        <f>(18.1*KFC!$B$25*1.02*1.05*1.05+KFC!$C$25)*KFC!$C$5</f>
        <v>20.354355000000005</v>
      </c>
      <c r="J13" s="315">
        <f>(19.2*KFC!$B$25*1.02*1.05*1.05+KFC!$C$25)*KFC!$C$5</f>
        <v>21.591360000000002</v>
      </c>
      <c r="K13" s="315">
        <f>(20.3*KFC!$B$25*1.02*1.05*1.05+KFC!$C$25)*KFC!$C$5</f>
        <v>22.828365000000002</v>
      </c>
      <c r="L13" s="316">
        <f>(21.4*KFC!$B$25*1.02*1.05*1.05+KFC!$C$25)*KFC!$C$5</f>
        <v>24.065370000000001</v>
      </c>
      <c r="M13" s="438"/>
      <c r="N13" s="438"/>
    </row>
    <row r="14" spans="1:14" ht="13.5" customHeight="1">
      <c r="A14" s="1538"/>
      <c r="B14" s="224">
        <v>1.1000000000000001</v>
      </c>
      <c r="C14" s="314">
        <f>(11.6*KFC!$B$25*1.02*1.05*1.05+KFC!$C$25)*KFC!$C$5</f>
        <v>13.044779999999999</v>
      </c>
      <c r="D14" s="315">
        <f>(12.8*KFC!$B$25*1.02*1.05*1.05+KFC!$C$25)*KFC!$C$5</f>
        <v>14.394240000000002</v>
      </c>
      <c r="E14" s="315">
        <f>(13.9*KFC!$B$25*1.02*1.05*1.05+KFC!$C$25)*KFC!$C$5</f>
        <v>15.631245000000002</v>
      </c>
      <c r="F14" s="315">
        <f>(15.1*KFC!$B$25*1.02*1.05*1.05+KFC!$C$25)*KFC!$C$5</f>
        <v>16.980705</v>
      </c>
      <c r="G14" s="315">
        <f>(16.2*KFC!$B$25*1.02*1.05*1.05+KFC!$C$25)*KFC!$C$5</f>
        <v>18.21771</v>
      </c>
      <c r="H14" s="315">
        <f>(17.4*KFC!$B$25*1.02*1.05*1.05+KFC!$C$25)*KFC!$C$5</f>
        <v>19.567169999999997</v>
      </c>
      <c r="I14" s="315">
        <f>(18.5*KFC!$B$25*1.02*1.05*1.05+KFC!$C$25)*KFC!$C$5</f>
        <v>20.804175000000001</v>
      </c>
      <c r="J14" s="315">
        <f>(19.7*KFC!$B$25*1.02*1.05*1.05+KFC!$C$25)*KFC!$C$5</f>
        <v>22.153635000000001</v>
      </c>
      <c r="K14" s="315">
        <f>(20.8*KFC!$B$25*1.02*1.05*1.05+KFC!$C$25)*KFC!$C$5</f>
        <v>23.390640000000001</v>
      </c>
      <c r="L14" s="316">
        <f>(22*KFC!$B$25*1.02*1.05*1.05+KFC!$C$25)*KFC!$C$5</f>
        <v>24.740100000000002</v>
      </c>
      <c r="M14" s="438"/>
      <c r="N14" s="438"/>
    </row>
    <row r="15" spans="1:14" ht="13.5" customHeight="1">
      <c r="A15" s="1538"/>
      <c r="B15" s="224">
        <v>1.2</v>
      </c>
      <c r="C15" s="314">
        <f>(11.8*KFC!$B$25*1.02*1.05*1.05+KFC!$C$25)*KFC!$C$5</f>
        <v>13.269690000000002</v>
      </c>
      <c r="D15" s="315">
        <f>(13*KFC!$B$25*1.02*1.05*1.05+KFC!$C$25)*KFC!$C$5</f>
        <v>14.619150000000001</v>
      </c>
      <c r="E15" s="315">
        <f>(14.2*KFC!$B$25*1.02*1.05*1.05+KFC!$C$25)*KFC!$C$5</f>
        <v>15.968610000000002</v>
      </c>
      <c r="F15" s="315">
        <f>(15.4*KFC!$B$25*1.02*1.05*1.05+KFC!$C$25)*KFC!$C$5</f>
        <v>17.318070000000002</v>
      </c>
      <c r="G15" s="315">
        <f>(16.6*KFC!$B$25*1.02*1.05*1.05+KFC!$C$25)*KFC!$C$5</f>
        <v>18.667530000000006</v>
      </c>
      <c r="H15" s="315">
        <f>(17.8*KFC!$B$25*1.02*1.05*1.05+KFC!$C$25)*KFC!$C$5</f>
        <v>20.016990000000003</v>
      </c>
      <c r="I15" s="315">
        <f>(19*KFC!$B$25*1.02*1.05*1.05+KFC!$C$25)*KFC!$C$5</f>
        <v>21.36645</v>
      </c>
      <c r="J15" s="315">
        <f>(20.2*KFC!$B$25*1.02*1.05*1.05+KFC!$C$25)*KFC!$C$5</f>
        <v>22.715910000000001</v>
      </c>
      <c r="K15" s="315">
        <f>(21.4*KFC!$B$25*1.02*1.05*1.05+KFC!$C$25)*KFC!$C$5</f>
        <v>24.065370000000001</v>
      </c>
      <c r="L15" s="316">
        <f>(22.6*KFC!$B$25*1.02*1.05*1.05+KFC!$C$25)*KFC!$C$5</f>
        <v>25.414830000000006</v>
      </c>
      <c r="M15" s="438"/>
      <c r="N15" s="438"/>
    </row>
    <row r="16" spans="1:14" ht="13.5" customHeight="1">
      <c r="A16" s="1538"/>
      <c r="B16" s="224">
        <v>1.3</v>
      </c>
      <c r="C16" s="314">
        <f>(12*KFC!$B$25*1.02*1.05*1.05+KFC!$C$25)*KFC!$C$5</f>
        <v>13.4946</v>
      </c>
      <c r="D16" s="315">
        <f>(13.2*KFC!$B$25*1.02*1.05*1.05+KFC!$C$25)*KFC!$C$5</f>
        <v>14.844060000000001</v>
      </c>
      <c r="E16" s="315">
        <f>(14.5*KFC!$B$25*1.02*1.05*1.05+KFC!$C$25)*KFC!$C$5</f>
        <v>16.305975000000004</v>
      </c>
      <c r="F16" s="315">
        <f>(15.7*KFC!$B$25*1.02*1.05*1.05+KFC!$C$25)*KFC!$C$5</f>
        <v>17.655435000000001</v>
      </c>
      <c r="G16" s="315">
        <f>(17*KFC!$B$25*1.02*1.05*1.05+KFC!$C$25)*KFC!$C$5</f>
        <v>19.117350000000002</v>
      </c>
      <c r="H16" s="315">
        <f>(18.2*KFC!$B$25*1.02*1.05*1.05+KFC!$C$25)*KFC!$C$5</f>
        <v>20.466810000000002</v>
      </c>
      <c r="I16" s="315">
        <f>(19.4*KFC!$B$25*1.02*1.05*1.05+KFC!$C$25)*KFC!$C$5</f>
        <v>21.816269999999999</v>
      </c>
      <c r="J16" s="315">
        <f>(20.7*KFC!$B$25*1.02*1.05*1.05+KFC!$C$25)*KFC!$C$5</f>
        <v>23.278185000000004</v>
      </c>
      <c r="K16" s="315">
        <f>(21.9*KFC!$B$25*1.02*1.05*1.05+KFC!$C$25)*KFC!$C$5</f>
        <v>24.627645000000001</v>
      </c>
      <c r="L16" s="316">
        <f>(23.2*KFC!$B$25*1.02*1.05*1.05+KFC!$C$25)*KFC!$C$5</f>
        <v>26.089559999999999</v>
      </c>
      <c r="M16" s="438"/>
      <c r="N16" s="438"/>
    </row>
    <row r="17" spans="1:14" ht="13.5" customHeight="1">
      <c r="A17" s="1538"/>
      <c r="B17" s="224">
        <v>1.4</v>
      </c>
      <c r="C17" s="314">
        <f>(12.2*KFC!$B$25*1.02*1.05*1.05+KFC!$C$25)*KFC!$C$5</f>
        <v>13.719510000000001</v>
      </c>
      <c r="D17" s="315">
        <f>(13.5*KFC!$B$25*1.02*1.05*1.05+KFC!$C$25)*KFC!$C$5</f>
        <v>15.181425000000001</v>
      </c>
      <c r="E17" s="315">
        <f>(14.8*KFC!$B$25*1.02*1.05*1.05+KFC!$C$25)*KFC!$C$5</f>
        <v>16.643340000000006</v>
      </c>
      <c r="F17" s="315">
        <f>(16.1*KFC!$B$25*1.02*1.05*1.05+KFC!$C$25)*KFC!$C$5</f>
        <v>18.105255000000003</v>
      </c>
      <c r="G17" s="315">
        <f>(17.3*KFC!$B$25*1.02*1.05*1.05+KFC!$C$25)*KFC!$C$5</f>
        <v>19.454715000000004</v>
      </c>
      <c r="H17" s="315">
        <f>(18.6*KFC!$B$25*1.02*1.05*1.05+KFC!$C$25)*KFC!$C$5</f>
        <v>20.916630000000005</v>
      </c>
      <c r="I17" s="315">
        <f>(19.9*KFC!$B$25*1.02*1.05*1.05+KFC!$C$25)*KFC!$C$5</f>
        <v>22.378544999999999</v>
      </c>
      <c r="J17" s="315">
        <f>(21.2*KFC!$B$25*1.02*1.05*1.05+KFC!$C$25)*KFC!$C$5</f>
        <v>23.840460000000004</v>
      </c>
      <c r="K17" s="315">
        <f>(22.5*KFC!$B$25*1.02*1.05*1.05+KFC!$C$25)*KFC!$C$5</f>
        <v>25.302375000000001</v>
      </c>
      <c r="L17" s="316">
        <f>(23.8*KFC!$B$25*1.02*1.05*1.05+KFC!$C$25)*KFC!$C$5</f>
        <v>26.764290000000003</v>
      </c>
      <c r="M17" s="438"/>
      <c r="N17" s="438"/>
    </row>
    <row r="18" spans="1:14" ht="13.5" customHeight="1">
      <c r="A18" s="1538"/>
      <c r="B18" s="224">
        <v>1.5</v>
      </c>
      <c r="C18" s="314">
        <f>(12.4*KFC!$B$25*1.02*1.05*1.05+KFC!$C$25)*KFC!$C$5</f>
        <v>13.944420000000003</v>
      </c>
      <c r="D18" s="315">
        <f>(13.7*KFC!$B$25*1.02*1.05*1.05+KFC!$C$25)*KFC!$C$5</f>
        <v>15.406335000000002</v>
      </c>
      <c r="E18" s="315">
        <f>(15.1*KFC!$B$25*1.02*1.05*1.05+KFC!$C$25)*KFC!$C$5</f>
        <v>16.980705</v>
      </c>
      <c r="F18" s="315">
        <f>(16.4*KFC!$B$25*1.02*1.05*1.05+KFC!$C$25)*KFC!$C$5</f>
        <v>18.442620000000002</v>
      </c>
      <c r="G18" s="315">
        <f>(17.7*KFC!$B$25*1.02*1.05*1.05+KFC!$C$25)*KFC!$C$5</f>
        <v>19.904534999999999</v>
      </c>
      <c r="H18" s="315">
        <f>(19*KFC!$B$25*1.02*1.05*1.05+KFC!$C$25)*KFC!$C$5</f>
        <v>21.36645</v>
      </c>
      <c r="I18" s="315">
        <f>(20.4*KFC!$B$25*1.02*1.05*1.05+KFC!$C$25)*KFC!$C$5</f>
        <v>22.940820000000002</v>
      </c>
      <c r="J18" s="315">
        <f>(21.7*KFC!$B$25*1.02*1.05*1.05+KFC!$C$25)*KFC!$C$5</f>
        <v>24.402735</v>
      </c>
      <c r="K18" s="315">
        <f>(23*KFC!$B$25*1.02*1.05*1.05+KFC!$C$25)*KFC!$C$5</f>
        <v>25.864650000000005</v>
      </c>
      <c r="L18" s="316">
        <f>(24.3*KFC!$B$25*1.02*1.05*1.05+KFC!$C$25)*KFC!$C$5</f>
        <v>27.326565000000002</v>
      </c>
      <c r="M18" s="438"/>
      <c r="N18" s="438"/>
    </row>
    <row r="19" spans="1:14" ht="13.5" customHeight="1">
      <c r="A19" s="1538"/>
      <c r="B19" s="224">
        <v>1.6</v>
      </c>
      <c r="C19" s="314">
        <f>(12.6*KFC!$B$25*1.02*1.05*1.05+KFC!$C$25)*KFC!$C$5</f>
        <v>14.16933</v>
      </c>
      <c r="D19" s="315">
        <f>(14*KFC!$B$25*1.02*1.05*1.05+KFC!$C$25)*KFC!$C$5</f>
        <v>15.743700000000002</v>
      </c>
      <c r="E19" s="315">
        <f>(15.3*KFC!$B$25*1.02*1.05*1.05+KFC!$C$25)*KFC!$C$5</f>
        <v>17.205615000000002</v>
      </c>
      <c r="F19" s="315">
        <f>(16.7*KFC!$B$25*1.02*1.05*1.05+KFC!$C$25)*KFC!$C$5</f>
        <v>18.779985</v>
      </c>
      <c r="G19" s="315">
        <f>(18.1*KFC!$B$25*1.02*1.05*1.05+KFC!$C$25)*KFC!$C$5</f>
        <v>20.354355000000005</v>
      </c>
      <c r="H19" s="315">
        <f>(19.5*KFC!$B$25*1.02*1.05*1.05+KFC!$C$25)*KFC!$C$5</f>
        <v>21.928725000000004</v>
      </c>
      <c r="I19" s="315">
        <f>(20.8*KFC!$B$25*1.02*1.05*1.05+KFC!$C$25)*KFC!$C$5</f>
        <v>23.390640000000001</v>
      </c>
      <c r="J19" s="315">
        <f>(22.2*KFC!$B$25*1.02*1.05*1.05+KFC!$C$25)*KFC!$C$5</f>
        <v>24.965009999999999</v>
      </c>
      <c r="K19" s="315">
        <f>(23.6*KFC!$B$25*1.02*1.05*1.05+KFC!$C$25)*KFC!$C$5</f>
        <v>26.539380000000005</v>
      </c>
      <c r="L19" s="316">
        <f>(24.9*KFC!$B$25*1.02*1.05*1.05+KFC!$C$25)*KFC!$C$5</f>
        <v>28.001294999999999</v>
      </c>
      <c r="M19" s="438"/>
      <c r="N19" s="438"/>
    </row>
    <row r="20" spans="1:14" ht="13.5" customHeight="1">
      <c r="A20" s="1538"/>
      <c r="B20" s="224">
        <v>1.7</v>
      </c>
      <c r="C20" s="314">
        <f>(12.8*KFC!$B$25*1.02*1.05*1.05+KFC!$C$25)*KFC!$C$5</f>
        <v>14.394240000000002</v>
      </c>
      <c r="D20" s="315">
        <f>(14.2*KFC!$B$25*1.02*1.05*1.05+KFC!$C$25)*KFC!$C$5</f>
        <v>15.968610000000002</v>
      </c>
      <c r="E20" s="315">
        <f>(15.6*KFC!$B$25*1.02*1.05*1.05+KFC!$C$25)*KFC!$C$5</f>
        <v>17.54298</v>
      </c>
      <c r="F20" s="315">
        <f>(17*KFC!$B$25*1.02*1.05*1.05+KFC!$C$25)*KFC!$C$5</f>
        <v>19.117350000000002</v>
      </c>
      <c r="G20" s="315">
        <f>(18.5*KFC!$B$25*1.02*1.05*1.05+KFC!$C$25)*KFC!$C$5</f>
        <v>20.804175000000001</v>
      </c>
      <c r="H20" s="315">
        <f>(19.9*KFC!$B$25*1.02*1.05*1.05+KFC!$C$25)*KFC!$C$5</f>
        <v>22.378544999999999</v>
      </c>
      <c r="I20" s="315">
        <f>(21.3*KFC!$B$25*1.02*1.05*1.05+KFC!$C$25)*KFC!$C$5</f>
        <v>23.952915000000004</v>
      </c>
      <c r="J20" s="315">
        <f>(22.7*KFC!$B$25*1.02*1.05*1.05+KFC!$C$25)*KFC!$C$5</f>
        <v>25.527285000000003</v>
      </c>
      <c r="K20" s="315">
        <f>(24.1*KFC!$B$25*1.02*1.05*1.05+KFC!$C$25)*KFC!$C$5</f>
        <v>27.101655000000004</v>
      </c>
      <c r="L20" s="316">
        <f>(25.5*KFC!$B$25*1.02*1.05*1.05+KFC!$C$25)*KFC!$C$5</f>
        <v>28.676025000000003</v>
      </c>
      <c r="M20" s="438"/>
      <c r="N20" s="438"/>
    </row>
    <row r="21" spans="1:14" ht="13.5" customHeight="1">
      <c r="A21" s="1538"/>
      <c r="B21" s="224">
        <v>1.8</v>
      </c>
      <c r="C21" s="314">
        <f>(13*KFC!$B$25*1.02*1.05*1.05+KFC!$C$25)*KFC!$C$5</f>
        <v>14.619150000000001</v>
      </c>
      <c r="D21" s="315">
        <f>(14.5*KFC!$B$25*1.02*1.05*1.05+KFC!$C$25)*KFC!$C$5</f>
        <v>16.305975000000004</v>
      </c>
      <c r="E21" s="315">
        <f>(15.9*KFC!$B$25*1.02*1.05*1.05+KFC!$C$25)*KFC!$C$5</f>
        <v>17.880345000000002</v>
      </c>
      <c r="F21" s="315">
        <f>(17.4*KFC!$B$25*1.02*1.05*1.05+KFC!$C$25)*KFC!$C$5</f>
        <v>19.567169999999997</v>
      </c>
      <c r="G21" s="315">
        <f>(18.8*KFC!$B$25*1.02*1.05*1.05+KFC!$C$25)*KFC!$C$5</f>
        <v>21.141540000000003</v>
      </c>
      <c r="H21" s="315">
        <f>(20.3*KFC!$B$25*1.02*1.05*1.05+KFC!$C$25)*KFC!$C$5</f>
        <v>22.828365000000002</v>
      </c>
      <c r="I21" s="315">
        <f>(21.7*KFC!$B$25*1.02*1.05*1.05+KFC!$C$25)*KFC!$C$5</f>
        <v>24.402735</v>
      </c>
      <c r="J21" s="315">
        <f>(23.2*KFC!$B$25*1.02*1.05*1.05+KFC!$C$25)*KFC!$C$5</f>
        <v>26.089559999999999</v>
      </c>
      <c r="K21" s="315">
        <f>(24.7*KFC!$B$25*1.02*1.05*1.05+KFC!$C$25)*KFC!$C$5</f>
        <v>27.776385000000001</v>
      </c>
      <c r="L21" s="316">
        <f>(26.1*KFC!$B$25*1.02*1.05*1.05+KFC!$C$25)*KFC!$C$5</f>
        <v>29.350755000000007</v>
      </c>
      <c r="M21" s="438"/>
      <c r="N21" s="438"/>
    </row>
    <row r="22" spans="1:14" ht="13.5" customHeight="1">
      <c r="A22" s="1538"/>
      <c r="B22" s="224">
        <v>1.9</v>
      </c>
      <c r="C22" s="314">
        <f>(13.2*KFC!$B$25*1.02*1.05*1.05+KFC!$C$25)*KFC!$C$5</f>
        <v>14.844060000000001</v>
      </c>
      <c r="D22" s="315">
        <f>(14.7*KFC!$B$25*1.02*1.05*1.05+KFC!$C$25)*KFC!$C$5</f>
        <v>16.530885000000001</v>
      </c>
      <c r="E22" s="315">
        <f>(16.2*KFC!$B$25*1.02*1.05*1.05+KFC!$C$25)*KFC!$C$5</f>
        <v>18.21771</v>
      </c>
      <c r="F22" s="315">
        <f>(17.7*KFC!$B$25*1.02*1.05*1.05+KFC!$C$25)*KFC!$C$5</f>
        <v>19.904534999999999</v>
      </c>
      <c r="G22" s="315">
        <f>(19.2*KFC!$B$25*1.02*1.05*1.05+KFC!$C$25)*KFC!$C$5</f>
        <v>21.591360000000002</v>
      </c>
      <c r="H22" s="315">
        <f>(20.7*KFC!$B$25*1.02*1.05*1.05+KFC!$C$25)*KFC!$C$5</f>
        <v>23.278185000000004</v>
      </c>
      <c r="I22" s="315">
        <f>(22.2*KFC!$B$25*1.02*1.05*1.05+KFC!$C$25)*KFC!$C$5</f>
        <v>24.965009999999999</v>
      </c>
      <c r="J22" s="315">
        <f>(23.7*KFC!$B$25*1.02*1.05*1.05+KFC!$C$25)*KFC!$C$5</f>
        <v>26.651835000000002</v>
      </c>
      <c r="K22" s="315">
        <f>(25.2*KFC!$B$25*1.02*1.05*1.05+KFC!$C$25)*KFC!$C$5</f>
        <v>28.338660000000001</v>
      </c>
      <c r="L22" s="316">
        <f>(26.7*KFC!$B$25*1.02*1.05*1.05+KFC!$C$25)*KFC!$C$5</f>
        <v>30.025485000000003</v>
      </c>
      <c r="M22" s="438"/>
      <c r="N22" s="438"/>
    </row>
    <row r="23" spans="1:14" ht="13.5" customHeight="1" thickBot="1">
      <c r="A23" s="1539"/>
      <c r="B23" s="225">
        <v>2</v>
      </c>
      <c r="C23" s="317">
        <f>(13.4*KFC!$B$25*1.02*1.05*1.05+KFC!$C$25)*KFC!$C$5</f>
        <v>15.068970000000002</v>
      </c>
      <c r="D23" s="318">
        <f>(15*KFC!$B$25*1.02*1.05*1.05+KFC!$C$25)*KFC!$C$5</f>
        <v>16.868250000000003</v>
      </c>
      <c r="E23" s="318">
        <f>(16.5*KFC!$B$25*1.02*1.05*1.05+KFC!$C$25)*KFC!$C$5</f>
        <v>18.555075000000002</v>
      </c>
      <c r="F23" s="318">
        <f>(18*KFC!$B$25*1.02*1.05*1.05+KFC!$C$25)*KFC!$C$5</f>
        <v>20.241900000000001</v>
      </c>
      <c r="G23" s="318">
        <f>(19.6*KFC!$B$25*1.02*1.05*1.05+KFC!$C$25)*KFC!$C$5</f>
        <v>22.041180000000004</v>
      </c>
      <c r="H23" s="318">
        <f>(21.1*KFC!$B$25*1.02*1.05*1.05+KFC!$C$25)*KFC!$C$5</f>
        <v>23.728005000000003</v>
      </c>
      <c r="I23" s="318">
        <f>(22.7*KFC!$B$25*1.02*1.05*1.05+KFC!$C$25)*KFC!$C$5</f>
        <v>25.527285000000003</v>
      </c>
      <c r="J23" s="318">
        <f>(24.2*KFC!$B$25*1.02*1.05*1.05+KFC!$C$25)*KFC!$C$5</f>
        <v>27.214110000000005</v>
      </c>
      <c r="K23" s="318">
        <f>(25.8*KFC!$B$25*1.02*1.05*1.05+KFC!$C$25)*KFC!$C$5</f>
        <v>29.013390000000008</v>
      </c>
      <c r="L23" s="319">
        <f>(27.3*KFC!$B$25*1.02*1.05*1.05+KFC!$C$25)*KFC!$C$5</f>
        <v>30.700215000000004</v>
      </c>
      <c r="M23" s="438"/>
      <c r="N23" s="438"/>
    </row>
    <row r="24" spans="1:14" ht="13.5" customHeight="1" thickBot="1">
      <c r="A24" s="249"/>
      <c r="B24" s="249"/>
      <c r="C24" s="249"/>
      <c r="D24" s="249"/>
      <c r="E24" s="249"/>
      <c r="F24" s="249"/>
      <c r="G24" s="249"/>
      <c r="H24" s="249"/>
      <c r="I24" s="249"/>
      <c r="J24" s="249"/>
      <c r="K24" s="249"/>
      <c r="L24" s="249"/>
      <c r="M24" s="438"/>
      <c r="N24" s="438"/>
    </row>
    <row r="25" spans="1:14" ht="13.5" customHeight="1" thickBot="1">
      <c r="A25" s="1413" t="s">
        <v>314</v>
      </c>
      <c r="B25" s="1415"/>
      <c r="C25" s="1534" t="s">
        <v>207</v>
      </c>
      <c r="D25" s="1535"/>
      <c r="E25" s="1535"/>
      <c r="F25" s="1535"/>
      <c r="G25" s="1535"/>
      <c r="H25" s="1535"/>
      <c r="I25" s="1535"/>
      <c r="J25" s="1535"/>
      <c r="K25" s="1535"/>
      <c r="L25" s="1536"/>
      <c r="M25" s="438"/>
      <c r="N25" s="438"/>
    </row>
    <row r="26" spans="1:14" ht="13.8" thickBot="1">
      <c r="A26" s="1416"/>
      <c r="B26" s="1418"/>
      <c r="C26" s="119">
        <v>0.4</v>
      </c>
      <c r="D26" s="119">
        <v>0.5</v>
      </c>
      <c r="E26" s="119">
        <v>0.6</v>
      </c>
      <c r="F26" s="119">
        <v>0.7</v>
      </c>
      <c r="G26" s="119">
        <v>0.8</v>
      </c>
      <c r="H26" s="119">
        <v>0.9</v>
      </c>
      <c r="I26" s="119">
        <v>1</v>
      </c>
      <c r="J26" s="119">
        <v>1.1000000000000001</v>
      </c>
      <c r="K26" s="119">
        <v>1.2</v>
      </c>
      <c r="L26" s="120">
        <v>1.3</v>
      </c>
      <c r="M26" s="438"/>
      <c r="N26" s="438"/>
    </row>
    <row r="27" spans="1:14" ht="12.75" customHeight="1">
      <c r="A27" s="1537" t="s">
        <v>3</v>
      </c>
      <c r="B27" s="226">
        <v>0.5</v>
      </c>
      <c r="C27" s="311">
        <f>(12.2*KFC!$B$25*1.02*1.05*1.05+KFC!$C$25)*KFC!$C$5</f>
        <v>13.719510000000001</v>
      </c>
      <c r="D27" s="312">
        <f>(13.5*KFC!$B$25*1.02*1.05*1.05+KFC!$C$25)*KFC!$C$5</f>
        <v>15.181425000000001</v>
      </c>
      <c r="E27" s="312">
        <f>(14.7*KFC!$B$25*1.02*1.05*1.05+KFC!$C$25)*KFC!$C$5</f>
        <v>16.530885000000001</v>
      </c>
      <c r="F27" s="312">
        <f>(15.9*KFC!$B$25*1.02*1.05*1.05+KFC!$C$25)*KFC!$C$5</f>
        <v>17.880345000000002</v>
      </c>
      <c r="G27" s="312">
        <f>(17.1*KFC!$B$25*1.02*1.05*1.05+KFC!$C$25)*KFC!$C$5</f>
        <v>19.229804999999999</v>
      </c>
      <c r="H27" s="312">
        <f>(18.3*KFC!$B$25*1.02*1.05*1.05+KFC!$C$25)*KFC!$C$5</f>
        <v>20.579264999999999</v>
      </c>
      <c r="I27" s="312">
        <f>(19.6*KFC!$B$25*1.02*1.05*1.05+KFC!$C$25)*KFC!$C$5</f>
        <v>22.041180000000004</v>
      </c>
      <c r="J27" s="312">
        <f>(20.8*KFC!$B$25*1.02*1.05*1.05+KFC!$C$25)*KFC!$C$5</f>
        <v>23.390640000000001</v>
      </c>
      <c r="K27" s="312">
        <f>(22*KFC!$B$25*1.02*1.05*1.05+KFC!$C$25)*KFC!$C$5</f>
        <v>24.740100000000002</v>
      </c>
      <c r="L27" s="313">
        <f>(23.2*KFC!$B$25*1.02*1.05*1.05+KFC!$C$25)*KFC!$C$5</f>
        <v>26.089559999999999</v>
      </c>
      <c r="M27" s="438"/>
      <c r="N27" s="438"/>
    </row>
    <row r="28" spans="1:14">
      <c r="A28" s="1538"/>
      <c r="B28" s="224">
        <v>0.6</v>
      </c>
      <c r="C28" s="314">
        <f>(12.5*KFC!$B$25*1.02*1.05*1.05+KFC!$C$25)*KFC!$C$5</f>
        <v>14.056875000000002</v>
      </c>
      <c r="D28" s="315">
        <f>(13.7*KFC!$B$25*1.02*1.05*1.05+KFC!$C$25)*KFC!$C$5</f>
        <v>15.406335000000002</v>
      </c>
      <c r="E28" s="315">
        <f>(14.9*KFC!$B$25*1.02*1.05*1.05+KFC!$C$25)*KFC!$C$5</f>
        <v>16.755795000000003</v>
      </c>
      <c r="F28" s="315">
        <f>(16.3*KFC!$B$25*1.02*1.05*1.05+KFC!$C$25)*KFC!$C$5</f>
        <v>18.330165000000004</v>
      </c>
      <c r="G28" s="315">
        <f>(17.5*KFC!$B$25*1.02*1.05*1.05+KFC!$C$25)*KFC!$C$5</f>
        <v>19.679625000000005</v>
      </c>
      <c r="H28" s="315">
        <f>(18.7*KFC!$B$25*1.02*1.05*1.05+KFC!$C$25)*KFC!$C$5</f>
        <v>21.029085000000002</v>
      </c>
      <c r="I28" s="315">
        <f>(19.9*KFC!$B$25*1.02*1.05*1.05+KFC!$C$25)*KFC!$C$5</f>
        <v>22.378544999999999</v>
      </c>
      <c r="J28" s="315">
        <f>(21.2*KFC!$B$25*1.02*1.05*1.05+KFC!$C$25)*KFC!$C$5</f>
        <v>23.840460000000004</v>
      </c>
      <c r="K28" s="315">
        <f>(22.4*KFC!$B$25*1.02*1.05*1.05+KFC!$C$25)*KFC!$C$5</f>
        <v>25.189920000000001</v>
      </c>
      <c r="L28" s="316">
        <f>(23.7*KFC!$B$25*1.02*1.05*1.05+KFC!$C$25)*KFC!$C$5</f>
        <v>26.651835000000002</v>
      </c>
      <c r="M28" s="438"/>
      <c r="N28" s="438"/>
    </row>
    <row r="29" spans="1:14">
      <c r="A29" s="1538"/>
      <c r="B29" s="224">
        <v>0.7</v>
      </c>
      <c r="C29" s="314">
        <f>(12.7*KFC!$B$25*1.02*1.05*1.05+KFC!$C$25)*KFC!$C$5</f>
        <v>14.281784999999999</v>
      </c>
      <c r="D29" s="315">
        <f>(13.9*KFC!$B$25*1.02*1.05*1.05+KFC!$C$25)*KFC!$C$5</f>
        <v>15.631245000000002</v>
      </c>
      <c r="E29" s="315">
        <f>(15.3*KFC!$B$25*1.02*1.05*1.05+KFC!$C$25)*KFC!$C$5</f>
        <v>17.205615000000002</v>
      </c>
      <c r="F29" s="315">
        <f>(16.5*KFC!$B$25*1.02*1.05*1.05+KFC!$C$25)*KFC!$C$5</f>
        <v>18.555075000000002</v>
      </c>
      <c r="G29" s="315">
        <f>(17.7*KFC!$B$25*1.02*1.05*1.05+KFC!$C$25)*KFC!$C$5</f>
        <v>19.904534999999999</v>
      </c>
      <c r="H29" s="315">
        <f>(19.1*KFC!$B$25*1.02*1.05*1.05+KFC!$C$25)*KFC!$C$5</f>
        <v>21.478905000000005</v>
      </c>
      <c r="I29" s="315">
        <f>(20.3*KFC!$B$25*1.02*1.05*1.05+KFC!$C$25)*KFC!$C$5</f>
        <v>22.828365000000002</v>
      </c>
      <c r="J29" s="315">
        <f>(21.6*KFC!$B$25*1.02*1.05*1.05+KFC!$C$25)*KFC!$C$5</f>
        <v>24.290280000000006</v>
      </c>
      <c r="K29" s="315">
        <f>(22.9*KFC!$B$25*1.02*1.05*1.05+KFC!$C$25)*KFC!$C$5</f>
        <v>25.752195</v>
      </c>
      <c r="L29" s="316">
        <f>(24.1*KFC!$B$25*1.02*1.05*1.05+KFC!$C$25)*KFC!$C$5</f>
        <v>27.101655000000004</v>
      </c>
      <c r="M29" s="438"/>
      <c r="N29" s="438"/>
    </row>
    <row r="30" spans="1:14">
      <c r="A30" s="1538"/>
      <c r="B30" s="224">
        <v>0.8</v>
      </c>
      <c r="C30" s="314">
        <f>(13*KFC!$B$25*1.02*1.05*1.05+KFC!$C$25)*KFC!$C$5</f>
        <v>14.619150000000001</v>
      </c>
      <c r="D30" s="315">
        <f>(14.3*KFC!$B$25*1.02*1.05*1.05+KFC!$C$25)*KFC!$C$5</f>
        <v>16.081065000000002</v>
      </c>
      <c r="E30" s="315">
        <f>(15.5*KFC!$B$25*1.02*1.05*1.05+KFC!$C$25)*KFC!$C$5</f>
        <v>17.430524999999999</v>
      </c>
      <c r="F30" s="315">
        <f>(16.9*KFC!$B$25*1.02*1.05*1.05+KFC!$C$25)*KFC!$C$5</f>
        <v>19.004895000000001</v>
      </c>
      <c r="G30" s="315">
        <f>(18.1*KFC!$B$25*1.02*1.05*1.05+KFC!$C$25)*KFC!$C$5</f>
        <v>20.354355000000005</v>
      </c>
      <c r="H30" s="315">
        <f>(19.4*KFC!$B$25*1.02*1.05*1.05+KFC!$C$25)*KFC!$C$5</f>
        <v>21.816269999999999</v>
      </c>
      <c r="I30" s="315">
        <f>(20.7*KFC!$B$25*1.02*1.05*1.05+KFC!$C$25)*KFC!$C$5</f>
        <v>23.278185000000004</v>
      </c>
      <c r="J30" s="315">
        <f>(22*KFC!$B$25*1.02*1.05*1.05+KFC!$C$25)*KFC!$C$5</f>
        <v>24.740100000000002</v>
      </c>
      <c r="K30" s="315">
        <f>(23.2*KFC!$B$25*1.02*1.05*1.05+KFC!$C$25)*KFC!$C$5</f>
        <v>26.089559999999999</v>
      </c>
      <c r="L30" s="316">
        <f>(24.6*KFC!$B$25*1.02*1.05*1.05+KFC!$C$25)*KFC!$C$5</f>
        <v>27.663930000000004</v>
      </c>
      <c r="M30" s="438"/>
      <c r="N30" s="438"/>
    </row>
    <row r="31" spans="1:14">
      <c r="A31" s="1538"/>
      <c r="B31" s="224">
        <v>0.9</v>
      </c>
      <c r="C31" s="314">
        <f>(13.2*KFC!$B$25*1.02*1.05*1.05+KFC!$C$25)*KFC!$C$5</f>
        <v>14.844060000000001</v>
      </c>
      <c r="D31" s="315">
        <f>(14.6*KFC!$B$25*1.02*1.05*1.05+KFC!$C$25)*KFC!$C$5</f>
        <v>16.418430000000001</v>
      </c>
      <c r="E31" s="315">
        <f>(15.8*KFC!$B$25*1.02*1.05*1.05+KFC!$C$25)*KFC!$C$5</f>
        <v>17.767890000000001</v>
      </c>
      <c r="F31" s="315">
        <f>(17.1*KFC!$B$25*1.02*1.05*1.05+KFC!$C$25)*KFC!$C$5</f>
        <v>19.229804999999999</v>
      </c>
      <c r="G31" s="315">
        <f>(18.5*KFC!$B$25*1.02*1.05*1.05+KFC!$C$25)*KFC!$C$5</f>
        <v>20.804175000000001</v>
      </c>
      <c r="H31" s="315">
        <f>(19.8*KFC!$B$25*1.02*1.05*1.05+KFC!$C$25)*KFC!$C$5</f>
        <v>22.266090000000005</v>
      </c>
      <c r="I31" s="315">
        <f>(21*KFC!$B$25*1.02*1.05*1.05+KFC!$C$25)*KFC!$C$5</f>
        <v>23.615550000000006</v>
      </c>
      <c r="J31" s="315">
        <f>(22.4*KFC!$B$25*1.02*1.05*1.05+KFC!$C$25)*KFC!$C$5</f>
        <v>25.189920000000001</v>
      </c>
      <c r="K31" s="315">
        <f>(23.7*KFC!$B$25*1.02*1.05*1.05+KFC!$C$25)*KFC!$C$5</f>
        <v>26.651835000000002</v>
      </c>
      <c r="L31" s="316">
        <f>(25.1*KFC!$B$25*1.02*1.05*1.05+KFC!$C$25)*KFC!$C$5</f>
        <v>28.226205000000004</v>
      </c>
      <c r="M31" s="438"/>
      <c r="N31" s="438"/>
    </row>
    <row r="32" spans="1:14">
      <c r="A32" s="1538"/>
      <c r="B32" s="224">
        <v>1</v>
      </c>
      <c r="C32" s="314">
        <f>(13.5*KFC!$B$25*1.02*1.05*1.05+KFC!$C$25)*KFC!$C$5</f>
        <v>15.181425000000001</v>
      </c>
      <c r="D32" s="315">
        <f>(14.8*KFC!$B$25*1.02*1.05*1.05+KFC!$C$25)*KFC!$C$5</f>
        <v>16.643340000000006</v>
      </c>
      <c r="E32" s="315">
        <f>(16.1*KFC!$B$25*1.02*1.05*1.05+KFC!$C$25)*KFC!$C$5</f>
        <v>18.105255000000003</v>
      </c>
      <c r="F32" s="315">
        <f>(17.5*KFC!$B$25*1.02*1.05*1.05+KFC!$C$25)*KFC!$C$5</f>
        <v>19.679625000000005</v>
      </c>
      <c r="G32" s="315">
        <f>(18.8*KFC!$B$25*1.02*1.05*1.05+KFC!$C$25)*KFC!$C$5</f>
        <v>21.141540000000003</v>
      </c>
      <c r="H32" s="315">
        <f>(20.2*KFC!$B$25*1.02*1.05*1.05+KFC!$C$25)*KFC!$C$5</f>
        <v>22.715910000000001</v>
      </c>
      <c r="I32" s="315">
        <f>(21.4*KFC!$B$25*1.02*1.05*1.05+KFC!$C$25)*KFC!$C$5</f>
        <v>24.065370000000001</v>
      </c>
      <c r="J32" s="315">
        <f>(22.7*KFC!$B$25*1.02*1.05*1.05+KFC!$C$25)*KFC!$C$5</f>
        <v>25.527285000000003</v>
      </c>
      <c r="K32" s="315">
        <f>(24.1*KFC!$B$25*1.02*1.05*1.05+KFC!$C$25)*KFC!$C$5</f>
        <v>27.101655000000004</v>
      </c>
      <c r="L32" s="316">
        <f>(25.4*KFC!$B$25*1.02*1.05*1.05+KFC!$C$25)*KFC!$C$5</f>
        <v>28.563569999999999</v>
      </c>
      <c r="M32" s="438"/>
      <c r="N32" s="438"/>
    </row>
    <row r="33" spans="1:14">
      <c r="A33" s="1538"/>
      <c r="B33" s="224">
        <v>1.1000000000000001</v>
      </c>
      <c r="C33" s="314">
        <f>(13.7*KFC!$B$25*1.02*1.05*1.05+KFC!$C$25)*KFC!$C$5</f>
        <v>15.406335000000002</v>
      </c>
      <c r="D33" s="315">
        <f>(15*KFC!$B$25*1.02*1.05*1.05+KFC!$C$25)*KFC!$C$5</f>
        <v>16.868250000000003</v>
      </c>
      <c r="E33" s="315">
        <f>(16.4*KFC!$B$25*1.02*1.05*1.05+KFC!$C$25)*KFC!$C$5</f>
        <v>18.442620000000002</v>
      </c>
      <c r="F33" s="315">
        <f>(17.7*KFC!$B$25*1.02*1.05*1.05+KFC!$C$25)*KFC!$C$5</f>
        <v>19.904534999999999</v>
      </c>
      <c r="G33" s="315">
        <f>(19.1*KFC!$B$25*1.02*1.05*1.05+KFC!$C$25)*KFC!$C$5</f>
        <v>21.478905000000005</v>
      </c>
      <c r="H33" s="315">
        <f>(20.4*KFC!$B$25*1.02*1.05*1.05+KFC!$C$25)*KFC!$C$5</f>
        <v>22.940820000000002</v>
      </c>
      <c r="I33" s="315">
        <f>(21.9*KFC!$B$25*1.02*1.05*1.05+KFC!$C$25)*KFC!$C$5</f>
        <v>24.627645000000001</v>
      </c>
      <c r="J33" s="315">
        <f>(23.2*KFC!$B$25*1.02*1.05*1.05+KFC!$C$25)*KFC!$C$5</f>
        <v>26.089559999999999</v>
      </c>
      <c r="K33" s="315">
        <f>(24.6*KFC!$B$25*1.02*1.05*1.05+KFC!$C$25)*KFC!$C$5</f>
        <v>27.663930000000004</v>
      </c>
      <c r="L33" s="316">
        <f>(25.9*KFC!$B$25*1.02*1.05*1.05+KFC!$C$25)*KFC!$C$5</f>
        <v>29.125845000000002</v>
      </c>
      <c r="M33" s="438"/>
      <c r="N33" s="438"/>
    </row>
    <row r="34" spans="1:14">
      <c r="A34" s="1538"/>
      <c r="B34" s="224">
        <v>1.2</v>
      </c>
      <c r="C34" s="314">
        <f>(13.9*KFC!$B$25*1.02*1.05*1.05+KFC!$C$25)*KFC!$C$5</f>
        <v>15.631245000000002</v>
      </c>
      <c r="D34" s="315">
        <f>(15.3*KFC!$B$25*1.02*1.05*1.05+KFC!$C$25)*KFC!$C$5</f>
        <v>17.205615000000002</v>
      </c>
      <c r="E34" s="315">
        <f>(16.8*KFC!$B$25*1.02*1.05*1.05+KFC!$C$25)*KFC!$C$5</f>
        <v>18.892440000000004</v>
      </c>
      <c r="F34" s="315">
        <f>(18.1*KFC!$B$25*1.02*1.05*1.05+KFC!$C$25)*KFC!$C$5</f>
        <v>20.354355000000005</v>
      </c>
      <c r="G34" s="315">
        <f>(19.4*KFC!$B$25*1.02*1.05*1.05+KFC!$C$25)*KFC!$C$5</f>
        <v>21.816269999999999</v>
      </c>
      <c r="H34" s="315">
        <f>(20.8*KFC!$B$25*1.02*1.05*1.05+KFC!$C$25)*KFC!$C$5</f>
        <v>23.390640000000001</v>
      </c>
      <c r="I34" s="315">
        <f>(22.3*KFC!$B$25*1.02*1.05*1.05+KFC!$C$25)*KFC!$C$5</f>
        <v>25.077465000000004</v>
      </c>
      <c r="J34" s="315">
        <f>(23.6*KFC!$B$25*1.02*1.05*1.05+KFC!$C$25)*KFC!$C$5</f>
        <v>26.539380000000005</v>
      </c>
      <c r="K34" s="315">
        <f>(24.9*KFC!$B$25*1.02*1.05*1.05+KFC!$C$25)*KFC!$C$5</f>
        <v>28.001294999999999</v>
      </c>
      <c r="L34" s="316">
        <f>(26.3*KFC!$B$25*1.02*1.05*1.05+KFC!$C$25)*KFC!$C$5</f>
        <v>29.575665000000001</v>
      </c>
      <c r="M34" s="438"/>
      <c r="N34" s="438"/>
    </row>
    <row r="35" spans="1:14">
      <c r="A35" s="1538"/>
      <c r="B35" s="224">
        <v>1.3</v>
      </c>
      <c r="C35" s="314">
        <f>(14.2*KFC!$B$25*1.02*1.05*1.05+KFC!$C$25)*KFC!$C$5</f>
        <v>15.968610000000002</v>
      </c>
      <c r="D35" s="315">
        <f>(15.5*KFC!$B$25*1.02*1.05*1.05+KFC!$C$25)*KFC!$C$5</f>
        <v>17.430524999999999</v>
      </c>
      <c r="E35" s="315">
        <f>(17*KFC!$B$25*1.02*1.05*1.05+KFC!$C$25)*KFC!$C$5</f>
        <v>19.117350000000002</v>
      </c>
      <c r="F35" s="315">
        <f>(18.3*KFC!$B$25*1.02*1.05*1.05+KFC!$C$25)*KFC!$C$5</f>
        <v>20.579264999999999</v>
      </c>
      <c r="G35" s="315">
        <f>(19.8*KFC!$B$25*1.02*1.05*1.05+KFC!$C$25)*KFC!$C$5</f>
        <v>22.266090000000005</v>
      </c>
      <c r="H35" s="315">
        <f>(21.2*KFC!$B$25*1.02*1.05*1.05+KFC!$C$25)*KFC!$C$5</f>
        <v>23.840460000000004</v>
      </c>
      <c r="I35" s="315">
        <f>(22.6*KFC!$B$25*1.02*1.05*1.05+KFC!$C$25)*KFC!$C$5</f>
        <v>25.414830000000006</v>
      </c>
      <c r="J35" s="315">
        <f>(24*KFC!$B$25*1.02*1.05*1.05+KFC!$C$25)*KFC!$C$5</f>
        <v>26.9892</v>
      </c>
      <c r="K35" s="315">
        <f>(25.4*KFC!$B$25*1.02*1.05*1.05+KFC!$C$25)*KFC!$C$5</f>
        <v>28.563569999999999</v>
      </c>
      <c r="L35" s="316">
        <f>(26.8*KFC!$B$25*1.02*1.05*1.05+KFC!$C$25)*KFC!$C$5</f>
        <v>30.137940000000004</v>
      </c>
      <c r="M35" s="438"/>
      <c r="N35" s="438"/>
    </row>
    <row r="36" spans="1:14">
      <c r="A36" s="1538"/>
      <c r="B36" s="224">
        <v>1.4</v>
      </c>
      <c r="C36" s="314">
        <f>(14.4*KFC!$B$25*1.02*1.05*1.05+KFC!$C$25)*KFC!$C$5</f>
        <v>16.193520000000003</v>
      </c>
      <c r="D36" s="315">
        <f>(15.9*KFC!$B$25*1.02*1.05*1.05+KFC!$C$25)*KFC!$C$5</f>
        <v>17.880345000000002</v>
      </c>
      <c r="E36" s="315">
        <f>(17.2*KFC!$B$25*1.02*1.05*1.05+KFC!$C$25)*KFC!$C$5</f>
        <v>19.342260000000003</v>
      </c>
      <c r="F36" s="315">
        <f>(18.7*KFC!$B$25*1.02*1.05*1.05+KFC!$C$25)*KFC!$C$5</f>
        <v>21.029085000000002</v>
      </c>
      <c r="G36" s="315">
        <f>(20.2*KFC!$B$25*1.02*1.05*1.05+KFC!$C$25)*KFC!$C$5</f>
        <v>22.715910000000001</v>
      </c>
      <c r="H36" s="315">
        <f>(21.5*KFC!$B$25*1.02*1.05*1.05+KFC!$C$25)*KFC!$C$5</f>
        <v>24.177825000000002</v>
      </c>
      <c r="I36" s="315">
        <f>(23*KFC!$B$25*1.02*1.05*1.05+KFC!$C$25)*KFC!$C$5</f>
        <v>25.864650000000005</v>
      </c>
      <c r="J36" s="315">
        <f>(24.3*KFC!$B$25*1.02*1.05*1.05+KFC!$C$25)*KFC!$C$5</f>
        <v>27.326565000000002</v>
      </c>
      <c r="K36" s="315">
        <f>(25.8*KFC!$B$25*1.02*1.05*1.05+KFC!$C$25)*KFC!$C$5</f>
        <v>29.013390000000008</v>
      </c>
      <c r="L36" s="316">
        <f>(27.3*KFC!$B$25*1.02*1.05*1.05+KFC!$C$25)*KFC!$C$5</f>
        <v>30.700215000000004</v>
      </c>
      <c r="M36" s="438"/>
      <c r="N36" s="438"/>
    </row>
    <row r="37" spans="1:14">
      <c r="A37" s="1538"/>
      <c r="B37" s="224">
        <v>1.5</v>
      </c>
      <c r="C37" s="314">
        <f>(14.7*KFC!$B$25*1.02*1.05*1.05+KFC!$C$25)*KFC!$C$5</f>
        <v>16.530885000000001</v>
      </c>
      <c r="D37" s="315">
        <f>(16.1*KFC!$B$25*1.02*1.05*1.05+KFC!$C$25)*KFC!$C$5</f>
        <v>18.105255000000003</v>
      </c>
      <c r="E37" s="315">
        <f>(17.6*KFC!$B$25*1.02*1.05*1.05+KFC!$C$25)*KFC!$C$5</f>
        <v>19.792080000000002</v>
      </c>
      <c r="F37" s="315">
        <f>(19*KFC!$B$25*1.02*1.05*1.05+KFC!$C$25)*KFC!$C$5</f>
        <v>21.36645</v>
      </c>
      <c r="G37" s="315">
        <f>(20.4*KFC!$B$25*1.02*1.05*1.05+KFC!$C$25)*KFC!$C$5</f>
        <v>22.940820000000002</v>
      </c>
      <c r="H37" s="315">
        <f>(21.9*KFC!$B$25*1.02*1.05*1.05+KFC!$C$25)*KFC!$C$5</f>
        <v>24.627645000000001</v>
      </c>
      <c r="I37" s="315">
        <f>(23.4*KFC!$B$25*1.02*1.05*1.05+KFC!$C$25)*KFC!$C$5</f>
        <v>26.31447</v>
      </c>
      <c r="J37" s="315">
        <f>(24.8*KFC!$B$25*1.02*1.05*1.05+KFC!$C$25)*KFC!$C$5</f>
        <v>27.888840000000005</v>
      </c>
      <c r="K37" s="315">
        <f>(26.3*KFC!$B$25*1.02*1.05*1.05+KFC!$C$25)*KFC!$C$5</f>
        <v>29.575665000000001</v>
      </c>
      <c r="L37" s="316">
        <f>(27.6*KFC!$B$25*1.02*1.05*1.05+KFC!$C$25)*KFC!$C$5</f>
        <v>31.037580000000005</v>
      </c>
      <c r="M37" s="438"/>
      <c r="N37" s="438"/>
    </row>
    <row r="38" spans="1:14">
      <c r="A38" s="1538"/>
      <c r="B38" s="224">
        <v>1.6</v>
      </c>
      <c r="C38" s="314">
        <f>(14.9*KFC!$B$25*1.02*1.05*1.05+KFC!$C$25)*KFC!$C$5</f>
        <v>16.755795000000003</v>
      </c>
      <c r="D38" s="315">
        <f>(16.4*KFC!$B$25*1.02*1.05*1.05+KFC!$C$25)*KFC!$C$5</f>
        <v>18.442620000000002</v>
      </c>
      <c r="E38" s="315">
        <f>(17.9*KFC!$B$25*1.02*1.05*1.05+KFC!$C$25)*KFC!$C$5</f>
        <v>20.129445</v>
      </c>
      <c r="F38" s="315">
        <f>(19.3*KFC!$B$25*1.02*1.05*1.05+KFC!$C$25)*KFC!$C$5</f>
        <v>21.703815000000002</v>
      </c>
      <c r="G38" s="315">
        <f>(20.8*KFC!$B$25*1.02*1.05*1.05+KFC!$C$25)*KFC!$C$5</f>
        <v>23.390640000000001</v>
      </c>
      <c r="H38" s="315">
        <f>(22.3*KFC!$B$25*1.02*1.05*1.05+KFC!$C$25)*KFC!$C$5</f>
        <v>25.077465000000004</v>
      </c>
      <c r="I38" s="315">
        <f>(23.7*KFC!$B$25*1.02*1.05*1.05+KFC!$C$25)*KFC!$C$5</f>
        <v>26.651835000000002</v>
      </c>
      <c r="J38" s="315">
        <f>(25.2*KFC!$B$25*1.02*1.05*1.05+KFC!$C$25)*KFC!$C$5</f>
        <v>28.338660000000001</v>
      </c>
      <c r="K38" s="315">
        <f>(26.7*KFC!$B$25*1.02*1.05*1.05+KFC!$C$25)*KFC!$C$5</f>
        <v>30.025485000000003</v>
      </c>
      <c r="L38" s="316">
        <f>(28.1*KFC!$B$25*1.02*1.05*1.05+KFC!$C$25)*KFC!$C$5</f>
        <v>31.599855000000009</v>
      </c>
      <c r="M38" s="438"/>
      <c r="N38" s="438"/>
    </row>
    <row r="39" spans="1:14">
      <c r="A39" s="1538"/>
      <c r="B39" s="224">
        <v>1.7</v>
      </c>
      <c r="C39" s="314">
        <f>(15.2*KFC!$B$25*1.02*1.05*1.05+KFC!$C$25)*KFC!$C$5</f>
        <v>17.093160000000001</v>
      </c>
      <c r="D39" s="315">
        <f>(16.6*KFC!$B$25*1.02*1.05*1.05+KFC!$C$25)*KFC!$C$5</f>
        <v>18.667530000000006</v>
      </c>
      <c r="E39" s="315">
        <f>(18.1*KFC!$B$25*1.02*1.05*1.05+KFC!$C$25)*KFC!$C$5</f>
        <v>20.354355000000005</v>
      </c>
      <c r="F39" s="315">
        <f>(19.7*KFC!$B$25*1.02*1.05*1.05+KFC!$C$25)*KFC!$C$5</f>
        <v>22.153635000000001</v>
      </c>
      <c r="G39" s="315">
        <f>(21.2*KFC!$B$25*1.02*1.05*1.05+KFC!$C$25)*KFC!$C$5</f>
        <v>23.840460000000004</v>
      </c>
      <c r="H39" s="315">
        <f>(22.6*KFC!$B$25*1.02*1.05*1.05+KFC!$C$25)*KFC!$C$5</f>
        <v>25.414830000000006</v>
      </c>
      <c r="I39" s="315">
        <f>(24.1*KFC!$B$25*1.02*1.05*1.05+KFC!$C$25)*KFC!$C$5</f>
        <v>27.101655000000004</v>
      </c>
      <c r="J39" s="315">
        <f>(25.6*KFC!$B$25*1.02*1.05*1.05+KFC!$C$25)*KFC!$C$5</f>
        <v>28.788480000000003</v>
      </c>
      <c r="K39" s="315">
        <f>(27*KFC!$B$25*1.02*1.05*1.05+KFC!$C$25)*KFC!$C$5</f>
        <v>30.362850000000002</v>
      </c>
      <c r="L39" s="316">
        <f>(28.6*KFC!$B$25*1.02*1.05*1.05+KFC!$C$25)*KFC!$C$5</f>
        <v>32.162130000000005</v>
      </c>
      <c r="M39" s="438"/>
      <c r="N39" s="438"/>
    </row>
    <row r="40" spans="1:14" ht="11.25" customHeight="1">
      <c r="A40" s="1538"/>
      <c r="B40" s="224">
        <v>1.8</v>
      </c>
      <c r="C40" s="314">
        <f>(15.4*KFC!$B$25*1.02*1.05*1.05+KFC!$C$25)*KFC!$C$5</f>
        <v>17.318070000000002</v>
      </c>
      <c r="D40" s="315">
        <f>(16.9*KFC!$B$25*1.02*1.05*1.05+KFC!$C$25)*KFC!$C$5</f>
        <v>19.004895000000001</v>
      </c>
      <c r="E40" s="315">
        <f>(18.5*KFC!$B$25*1.02*1.05*1.05+KFC!$C$25)*KFC!$C$5</f>
        <v>20.804175000000001</v>
      </c>
      <c r="F40" s="315">
        <f>(19.9*KFC!$B$25*1.02*1.05*1.05+KFC!$C$25)*KFC!$C$5</f>
        <v>22.378544999999999</v>
      </c>
      <c r="G40" s="315">
        <f>(21.4*KFC!$B$25*1.02*1.05*1.05+KFC!$C$25)*KFC!$C$5</f>
        <v>24.065370000000001</v>
      </c>
      <c r="H40" s="315">
        <f>(23*KFC!$B$25*1.02*1.05*1.05+KFC!$C$25)*KFC!$C$5</f>
        <v>25.864650000000005</v>
      </c>
      <c r="I40" s="315">
        <f>(24.5*KFC!$B$25*1.02*1.05*1.05+KFC!$C$25)*KFC!$C$5</f>
        <v>27.551475000000003</v>
      </c>
      <c r="J40" s="315">
        <f>(26*KFC!$B$25*1.02*1.05*1.05+KFC!$C$25)*KFC!$C$5</f>
        <v>29.238300000000002</v>
      </c>
      <c r="K40" s="315">
        <f>(27.5*KFC!$B$25*1.02*1.05*1.05+KFC!$C$25)*KFC!$C$5</f>
        <v>30.925125000000001</v>
      </c>
      <c r="L40" s="316">
        <f>(29*KFC!$B$25*1.02*1.05*1.05+KFC!$C$25)*KFC!$C$5</f>
        <v>32.611950000000007</v>
      </c>
      <c r="M40" s="438"/>
      <c r="N40" s="438"/>
    </row>
    <row r="41" spans="1:14">
      <c r="A41" s="1538"/>
      <c r="B41" s="224">
        <v>1.9</v>
      </c>
      <c r="C41" s="314">
        <f>(15.7*KFC!$B$25*1.02*1.05*1.05+KFC!$C$25)*KFC!$C$5</f>
        <v>17.655435000000001</v>
      </c>
      <c r="D41" s="315">
        <f>(17.2*KFC!$B$25*1.02*1.05*1.05+KFC!$C$25)*KFC!$C$5</f>
        <v>19.342260000000003</v>
      </c>
      <c r="E41" s="315">
        <f>(18.7*KFC!$B$25*1.02*1.05*1.05+KFC!$C$25)*KFC!$C$5</f>
        <v>21.029085000000002</v>
      </c>
      <c r="F41" s="315">
        <f>(20.3*KFC!$B$25*1.02*1.05*1.05+KFC!$C$25)*KFC!$C$5</f>
        <v>22.828365000000002</v>
      </c>
      <c r="G41" s="315">
        <f>(21.8*KFC!$B$25*1.02*1.05*1.05+KFC!$C$25)*KFC!$C$5</f>
        <v>24.515190000000004</v>
      </c>
      <c r="H41" s="315">
        <f>(23.4*KFC!$B$25*1.02*1.05*1.05+KFC!$C$25)*KFC!$C$5</f>
        <v>26.31447</v>
      </c>
      <c r="I41" s="315">
        <f>(24.8*KFC!$B$25*1.02*1.05*1.05+KFC!$C$25)*KFC!$C$5</f>
        <v>27.888840000000005</v>
      </c>
      <c r="J41" s="315">
        <f>(26.4*KFC!$B$25*1.02*1.05*1.05+KFC!$C$25)*KFC!$C$5</f>
        <v>29.688120000000001</v>
      </c>
      <c r="K41" s="315">
        <f>(27.9*KFC!$B$25*1.02*1.05*1.05+KFC!$C$25)*KFC!$C$5</f>
        <v>31.374945</v>
      </c>
      <c r="L41" s="316">
        <f>(29.5*KFC!$B$25*1.02*1.05*1.05+KFC!$C$25)*KFC!$C$5</f>
        <v>33.174225</v>
      </c>
      <c r="M41" s="438"/>
      <c r="N41" s="438"/>
    </row>
    <row r="42" spans="1:14" ht="13.8" thickBot="1">
      <c r="A42" s="1539"/>
      <c r="B42" s="225">
        <v>2</v>
      </c>
      <c r="C42" s="317">
        <f>(15.9*KFC!$B$25*1.02*1.05*1.05+KFC!$C$25)*KFC!$C$5</f>
        <v>17.880345000000002</v>
      </c>
      <c r="D42" s="318">
        <f>(17.5*KFC!$B$25*1.02*1.05*1.05+KFC!$C$25)*KFC!$C$5</f>
        <v>19.679625000000005</v>
      </c>
      <c r="E42" s="318">
        <f>(19*KFC!$B$25*1.02*1.05*1.05+KFC!$C$25)*KFC!$C$5</f>
        <v>21.36645</v>
      </c>
      <c r="F42" s="318">
        <f>(20.5*KFC!$B$25*1.02*1.05*1.05+KFC!$C$25)*KFC!$C$5</f>
        <v>23.053275000000003</v>
      </c>
      <c r="G42" s="318">
        <f>(22.1*KFC!$B$25*1.02*1.05*1.05+KFC!$C$25)*KFC!$C$5</f>
        <v>24.852555000000006</v>
      </c>
      <c r="H42" s="318">
        <f>(23.7*KFC!$B$25*1.02*1.05*1.05+KFC!$C$25)*KFC!$C$5</f>
        <v>26.651835000000002</v>
      </c>
      <c r="I42" s="318">
        <f>(25.2*KFC!$B$25*1.02*1.05*1.05+KFC!$C$25)*KFC!$C$5</f>
        <v>28.338660000000001</v>
      </c>
      <c r="J42" s="318">
        <f>(26.8*KFC!$B$25*1.02*1.05*1.05+KFC!$C$25)*KFC!$C$5</f>
        <v>30.137940000000004</v>
      </c>
      <c r="K42" s="318">
        <f>(28.4*KFC!$B$25*1.02*1.05*1.05+KFC!$C$25)*KFC!$C$5</f>
        <v>31.937220000000003</v>
      </c>
      <c r="L42" s="319">
        <f>(30*KFC!$B$25*1.02*1.05*1.05+KFC!$C$25)*KFC!$C$5</f>
        <v>33.736500000000007</v>
      </c>
      <c r="M42" s="438"/>
      <c r="N42" s="438"/>
    </row>
    <row r="43" spans="1:14" ht="13.8" thickBot="1">
      <c r="A43" s="249"/>
      <c r="B43" s="249"/>
      <c r="C43" s="249"/>
      <c r="D43" s="249"/>
      <c r="E43" s="249"/>
      <c r="F43" s="249"/>
      <c r="G43" s="249"/>
      <c r="H43" s="249"/>
      <c r="I43" s="249"/>
      <c r="J43" s="249"/>
      <c r="K43" s="249"/>
      <c r="L43" s="249"/>
      <c r="M43" s="438"/>
      <c r="N43" s="438"/>
    </row>
    <row r="44" spans="1:14" ht="13.5" customHeight="1" thickBot="1">
      <c r="A44" s="1413" t="s">
        <v>315</v>
      </c>
      <c r="B44" s="1415"/>
      <c r="C44" s="1534" t="s">
        <v>207</v>
      </c>
      <c r="D44" s="1535"/>
      <c r="E44" s="1535"/>
      <c r="F44" s="1535"/>
      <c r="G44" s="1535"/>
      <c r="H44" s="1535"/>
      <c r="I44" s="1535"/>
      <c r="J44" s="1535"/>
      <c r="K44" s="1535"/>
      <c r="L44" s="1536"/>
      <c r="M44" s="438"/>
      <c r="N44" s="438"/>
    </row>
    <row r="45" spans="1:14" ht="13.8" thickBot="1">
      <c r="A45" s="1416"/>
      <c r="B45" s="1418"/>
      <c r="C45" s="428">
        <v>0.4</v>
      </c>
      <c r="D45" s="428">
        <v>0.5</v>
      </c>
      <c r="E45" s="428">
        <v>0.6</v>
      </c>
      <c r="F45" s="428">
        <v>0.7</v>
      </c>
      <c r="G45" s="428">
        <v>0.8</v>
      </c>
      <c r="H45" s="428">
        <v>0.9</v>
      </c>
      <c r="I45" s="428">
        <v>1</v>
      </c>
      <c r="J45" s="428">
        <v>1.1000000000000001</v>
      </c>
      <c r="K45" s="428">
        <v>1.2</v>
      </c>
      <c r="L45" s="113">
        <v>1.3</v>
      </c>
      <c r="M45" s="438"/>
      <c r="N45" s="438"/>
    </row>
    <row r="46" spans="1:14" ht="12.75" customHeight="1">
      <c r="A46" s="1537" t="s">
        <v>3</v>
      </c>
      <c r="B46" s="226">
        <v>0.5</v>
      </c>
      <c r="C46" s="311">
        <f>(15.9*KFC!$B$25*1.02*1.05*1.05+KFC!$C$25)*KFC!$C$5</f>
        <v>17.880345000000002</v>
      </c>
      <c r="D46" s="312">
        <f>(17.4*KFC!$B$25*1.02*1.05*1.05+KFC!$C$25)*KFC!$C$5</f>
        <v>19.567169999999997</v>
      </c>
      <c r="E46" s="312">
        <f>(18.8*KFC!$B$25*1.02*1.05*1.05+KFC!$C$25)*KFC!$C$5</f>
        <v>21.141540000000003</v>
      </c>
      <c r="F46" s="312">
        <f>(20.2*KFC!$B$25*1.02*1.05*1.05+KFC!$C$25)*KFC!$C$5</f>
        <v>22.715910000000001</v>
      </c>
      <c r="G46" s="312">
        <f>(21.6*KFC!$B$25*1.02*1.05*1.05+KFC!$C$25)*KFC!$C$5</f>
        <v>24.290280000000006</v>
      </c>
      <c r="H46" s="312">
        <f>(23.1*KFC!$B$25*1.02*1.05*1.05+KFC!$C$25)*KFC!$C$5</f>
        <v>25.977105000000002</v>
      </c>
      <c r="I46" s="312">
        <f>(24.6*KFC!$B$25*1.02*1.05*1.05+KFC!$C$25)*KFC!$C$5</f>
        <v>27.663930000000004</v>
      </c>
      <c r="J46" s="312">
        <f>(26*KFC!$B$25*1.02*1.05*1.05+KFC!$C$25)*KFC!$C$5</f>
        <v>29.238300000000002</v>
      </c>
      <c r="K46" s="312">
        <f>(27.5*KFC!$B$25*1.02*1.05*1.05+KFC!$C$25)*KFC!$C$5</f>
        <v>30.925125000000001</v>
      </c>
      <c r="L46" s="313">
        <f>(28.9*KFC!$B$25*1.02*1.05*1.05+KFC!$C$25)*KFC!$C$5</f>
        <v>32.499495000000003</v>
      </c>
      <c r="M46" s="438"/>
      <c r="N46" s="438"/>
    </row>
    <row r="47" spans="1:14">
      <c r="A47" s="1538"/>
      <c r="B47" s="224">
        <v>0.6</v>
      </c>
      <c r="C47" s="314">
        <f>(16.8*KFC!$B$25*1.02*1.05*1.05+KFC!$C$25)*KFC!$C$5</f>
        <v>18.892440000000004</v>
      </c>
      <c r="D47" s="315">
        <f>(18.2*KFC!$B$25*1.02*1.05*1.05+KFC!$C$25)*KFC!$C$5</f>
        <v>20.466810000000002</v>
      </c>
      <c r="E47" s="315">
        <f>(19.7*KFC!$B$25*1.02*1.05*1.05+KFC!$C$25)*KFC!$C$5</f>
        <v>22.153635000000001</v>
      </c>
      <c r="F47" s="315">
        <f>(21.3*KFC!$B$25*1.02*1.05*1.05+KFC!$C$25)*KFC!$C$5</f>
        <v>23.952915000000004</v>
      </c>
      <c r="G47" s="315">
        <f>(22.7*KFC!$B$25*1.02*1.05*1.05+KFC!$C$25)*KFC!$C$5</f>
        <v>25.527285000000003</v>
      </c>
      <c r="H47" s="315">
        <f>(24.2*KFC!$B$25*1.02*1.05*1.05+KFC!$C$25)*KFC!$C$5</f>
        <v>27.214110000000005</v>
      </c>
      <c r="I47" s="315">
        <f>(25.7*KFC!$B$25*1.02*1.05*1.05+KFC!$C$25)*KFC!$C$5</f>
        <v>28.900935</v>
      </c>
      <c r="J47" s="315">
        <f>(27.3*KFC!$B$25*1.02*1.05*1.05+KFC!$C$25)*KFC!$C$5</f>
        <v>30.700215000000004</v>
      </c>
      <c r="K47" s="315">
        <f>(28.7*KFC!$B$25*1.02*1.05*1.05+KFC!$C$25)*KFC!$C$5</f>
        <v>32.274585000000002</v>
      </c>
      <c r="L47" s="316">
        <f>(30.2*KFC!$B$25*1.02*1.05*1.05+KFC!$C$25)*KFC!$C$5</f>
        <v>33.961410000000001</v>
      </c>
      <c r="M47" s="438"/>
      <c r="N47" s="438"/>
    </row>
    <row r="48" spans="1:14">
      <c r="A48" s="1538"/>
      <c r="B48" s="224">
        <v>0.7</v>
      </c>
      <c r="C48" s="314">
        <f>(17.5*KFC!$B$25*1.02*1.05*1.05+KFC!$C$25)*KFC!$C$5</f>
        <v>19.679625000000005</v>
      </c>
      <c r="D48" s="315">
        <f>(19.1*KFC!$B$25*1.02*1.05*1.05+KFC!$C$25)*KFC!$C$5</f>
        <v>21.478905000000005</v>
      </c>
      <c r="E48" s="315">
        <f>(20.7*KFC!$B$25*1.02*1.05*1.05+KFC!$C$25)*KFC!$C$5</f>
        <v>23.278185000000004</v>
      </c>
      <c r="F48" s="315">
        <f>(22.3*KFC!$B$25*1.02*1.05*1.05+KFC!$C$25)*KFC!$C$5</f>
        <v>25.077465000000004</v>
      </c>
      <c r="G48" s="315">
        <f>(23.7*KFC!$B$25*1.02*1.05*1.05+KFC!$C$25)*KFC!$C$5</f>
        <v>26.651835000000002</v>
      </c>
      <c r="H48" s="315">
        <f>(25.3*KFC!$B$25*1.02*1.05*1.05+KFC!$C$25)*KFC!$C$5</f>
        <v>28.451115000000005</v>
      </c>
      <c r="I48" s="315">
        <f>(26.9*KFC!$B$25*1.02*1.05*1.05+KFC!$C$25)*KFC!$C$5</f>
        <v>30.250395000000001</v>
      </c>
      <c r="J48" s="315">
        <f>(28.5*KFC!$B$25*1.02*1.05*1.05+KFC!$C$25)*KFC!$C$5</f>
        <v>32.049675000000001</v>
      </c>
      <c r="K48" s="315">
        <f>(30.1*KFC!$B$25*1.02*1.05*1.05+KFC!$C$25)*KFC!$C$5</f>
        <v>33.848955000000004</v>
      </c>
      <c r="L48" s="316">
        <f>(31.6*KFC!$B$25*1.02*1.05*1.05+KFC!$C$25)*KFC!$C$5</f>
        <v>35.535780000000003</v>
      </c>
      <c r="M48" s="438"/>
      <c r="N48" s="438"/>
    </row>
    <row r="49" spans="1:14">
      <c r="A49" s="1538"/>
      <c r="B49" s="224">
        <v>0.8</v>
      </c>
      <c r="C49" s="314">
        <f>(18.3*KFC!$B$25*1.02*1.05*1.05+KFC!$C$25)*KFC!$C$5</f>
        <v>20.579264999999999</v>
      </c>
      <c r="D49" s="315">
        <f>(19.9*KFC!$B$25*1.02*1.05*1.05+KFC!$C$25)*KFC!$C$5</f>
        <v>22.378544999999999</v>
      </c>
      <c r="E49" s="315">
        <f>(21.6*KFC!$B$25*1.02*1.05*1.05+KFC!$C$25)*KFC!$C$5</f>
        <v>24.290280000000006</v>
      </c>
      <c r="F49" s="315">
        <f>(23.2*KFC!$B$25*1.02*1.05*1.05+KFC!$C$25)*KFC!$C$5</f>
        <v>26.089559999999999</v>
      </c>
      <c r="G49" s="315">
        <f>(24.8*KFC!$B$25*1.02*1.05*1.05+KFC!$C$25)*KFC!$C$5</f>
        <v>27.888840000000005</v>
      </c>
      <c r="H49" s="315">
        <f>(26.4*KFC!$B$25*1.02*1.05*1.05+KFC!$C$25)*KFC!$C$5</f>
        <v>29.688120000000001</v>
      </c>
      <c r="I49" s="315">
        <f>(28.1*KFC!$B$25*1.02*1.05*1.05+KFC!$C$25)*KFC!$C$5</f>
        <v>31.599855000000009</v>
      </c>
      <c r="J49" s="315">
        <f>(29.7*KFC!$B$25*1.02*1.05*1.05+KFC!$C$25)*KFC!$C$5</f>
        <v>33.399135000000001</v>
      </c>
      <c r="K49" s="315">
        <f>(31.3*KFC!$B$25*1.02*1.05*1.05+KFC!$C$25)*KFC!$C$5</f>
        <v>35.198415000000004</v>
      </c>
      <c r="L49" s="316">
        <f>(32.9*KFC!$B$25*1.02*1.05*1.05+KFC!$C$25)*KFC!$C$5</f>
        <v>36.997695</v>
      </c>
      <c r="M49" s="438"/>
      <c r="N49" s="438"/>
    </row>
    <row r="50" spans="1:14">
      <c r="A50" s="1538"/>
      <c r="B50" s="224">
        <v>0.9</v>
      </c>
      <c r="C50" s="314">
        <f>(19.2*KFC!$B$25*1.02*1.05*1.05+KFC!$C$25)*KFC!$C$5</f>
        <v>21.591360000000002</v>
      </c>
      <c r="D50" s="315">
        <f>(20.8*KFC!$B$25*1.02*1.05*1.05+KFC!$C$25)*KFC!$C$5</f>
        <v>23.390640000000001</v>
      </c>
      <c r="E50" s="315">
        <f>(22.5*KFC!$B$25*1.02*1.05*1.05+KFC!$C$25)*KFC!$C$5</f>
        <v>25.302375000000001</v>
      </c>
      <c r="F50" s="315">
        <f>(24.2*KFC!$B$25*1.02*1.05*1.05+KFC!$C$25)*KFC!$C$5</f>
        <v>27.214110000000005</v>
      </c>
      <c r="G50" s="315">
        <f>(25.9*KFC!$B$25*1.02*1.05*1.05+KFC!$C$25)*KFC!$C$5</f>
        <v>29.125845000000002</v>
      </c>
      <c r="H50" s="315">
        <f>(27.5*KFC!$B$25*1.02*1.05*1.05+KFC!$C$25)*KFC!$C$5</f>
        <v>30.925125000000001</v>
      </c>
      <c r="I50" s="315">
        <f>(29.2*KFC!$B$25*1.02*1.05*1.05+KFC!$C$25)*KFC!$C$5</f>
        <v>32.836860000000001</v>
      </c>
      <c r="J50" s="315">
        <f>(30.9*KFC!$B$25*1.02*1.05*1.05+KFC!$C$25)*KFC!$C$5</f>
        <v>34.748595000000009</v>
      </c>
      <c r="K50" s="315">
        <f>(32.7*KFC!$B$25*1.02*1.05*1.05+KFC!$C$25)*KFC!$C$5</f>
        <v>36.772785000000013</v>
      </c>
      <c r="L50" s="316">
        <f>(34.2*KFC!$B$25*1.02*1.05*1.05+KFC!$C$25)*KFC!$C$5</f>
        <v>38.459609999999998</v>
      </c>
      <c r="M50" s="438"/>
      <c r="N50" s="438"/>
    </row>
    <row r="51" spans="1:14">
      <c r="A51" s="1538"/>
      <c r="B51" s="224">
        <v>1</v>
      </c>
      <c r="C51" s="314">
        <f>(19.9*KFC!$B$25*1.02*1.05*1.05+KFC!$C$25)*KFC!$C$5</f>
        <v>22.378544999999999</v>
      </c>
      <c r="D51" s="315">
        <f>(21.8*KFC!$B$25*1.02*1.05*1.05+KFC!$C$25)*KFC!$C$5</f>
        <v>24.515190000000004</v>
      </c>
      <c r="E51" s="315">
        <f>(23.5*KFC!$B$25*1.02*1.05*1.05+KFC!$C$25)*KFC!$C$5</f>
        <v>26.426925000000001</v>
      </c>
      <c r="F51" s="315">
        <f>(25.2*KFC!$B$25*1.02*1.05*1.05+KFC!$C$25)*KFC!$C$5</f>
        <v>28.338660000000001</v>
      </c>
      <c r="G51" s="315">
        <f>(26.9*KFC!$B$25*1.02*1.05*1.05+KFC!$C$25)*KFC!$C$5</f>
        <v>30.250395000000001</v>
      </c>
      <c r="H51" s="315">
        <f>(28.7*KFC!$B$25*1.02*1.05*1.05+KFC!$C$25)*KFC!$C$5</f>
        <v>32.274585000000002</v>
      </c>
      <c r="I51" s="315">
        <f>(30.5*KFC!$B$25*1.02*1.05*1.05+KFC!$C$25)*KFC!$C$5</f>
        <v>34.298775000000006</v>
      </c>
      <c r="J51" s="315">
        <f>(32.2*KFC!$B$25*1.02*1.05*1.05+KFC!$C$25)*KFC!$C$5</f>
        <v>36.210510000000006</v>
      </c>
      <c r="K51" s="315">
        <f>(33.9*KFC!$B$25*1.02*1.05*1.05+KFC!$C$25)*KFC!$C$5</f>
        <v>38.122244999999999</v>
      </c>
      <c r="L51" s="316">
        <f>(35.7*KFC!$B$25*1.02*1.05*1.05+KFC!$C$25)*KFC!$C$5</f>
        <v>40.146435000000004</v>
      </c>
      <c r="M51" s="438"/>
      <c r="N51" s="438"/>
    </row>
    <row r="52" spans="1:14">
      <c r="A52" s="1538"/>
      <c r="B52" s="224">
        <v>1.1000000000000001</v>
      </c>
      <c r="C52" s="314">
        <f>(20.8*KFC!$B$25*1.02*1.05*1.05+KFC!$C$25)*KFC!$C$5</f>
        <v>23.390640000000001</v>
      </c>
      <c r="D52" s="315">
        <f>(22.6*KFC!$B$25*1.02*1.05*1.05+KFC!$C$25)*KFC!$C$5</f>
        <v>25.414830000000006</v>
      </c>
      <c r="E52" s="315">
        <f>(24.3*KFC!$B$25*1.02*1.05*1.05+KFC!$C$25)*KFC!$C$5</f>
        <v>27.326565000000002</v>
      </c>
      <c r="F52" s="315">
        <f>(26.2*KFC!$B$25*1.02*1.05*1.05+KFC!$C$25)*KFC!$C$5</f>
        <v>29.463210000000004</v>
      </c>
      <c r="G52" s="315">
        <f>(28*KFC!$B$25*1.02*1.05*1.05+KFC!$C$25)*KFC!$C$5</f>
        <v>31.487400000000004</v>
      </c>
      <c r="H52" s="315">
        <f>(29.8*KFC!$B$25*1.02*1.05*1.05+KFC!$C$25)*KFC!$C$5</f>
        <v>33.511590000000005</v>
      </c>
      <c r="I52" s="315">
        <f>(31.6*KFC!$B$25*1.02*1.05*1.05+KFC!$C$25)*KFC!$C$5</f>
        <v>35.535780000000003</v>
      </c>
      <c r="J52" s="315">
        <f>(33.4*KFC!$B$25*1.02*1.05*1.05+KFC!$C$25)*KFC!$C$5</f>
        <v>37.55997</v>
      </c>
      <c r="K52" s="315">
        <f>(35.2*KFC!$B$25*1.02*1.05*1.05+KFC!$C$25)*KFC!$C$5</f>
        <v>39.584160000000004</v>
      </c>
      <c r="L52" s="316">
        <f>(37.1*KFC!$B$25*1.02*1.05*1.05+KFC!$C$25)*KFC!$C$5</f>
        <v>41.720804999999999</v>
      </c>
      <c r="M52" s="438"/>
      <c r="N52" s="438"/>
    </row>
    <row r="53" spans="1:14">
      <c r="A53" s="1538"/>
      <c r="B53" s="224">
        <v>1.2</v>
      </c>
      <c r="C53" s="314">
        <f>(21.6*KFC!$B$25*1.02*1.05*1.05+KFC!$C$25)*KFC!$C$5</f>
        <v>24.290280000000006</v>
      </c>
      <c r="D53" s="315">
        <f>(23.5*KFC!$B$25*1.02*1.05*1.05+KFC!$C$25)*KFC!$C$5</f>
        <v>26.426925000000001</v>
      </c>
      <c r="E53" s="315">
        <f>(25.3*KFC!$B$25*1.02*1.05*1.05+KFC!$C$25)*KFC!$C$5</f>
        <v>28.451115000000005</v>
      </c>
      <c r="F53" s="315">
        <f>(27.2*KFC!$B$25*1.02*1.05*1.05+KFC!$C$25)*KFC!$C$5</f>
        <v>30.587759999999999</v>
      </c>
      <c r="G53" s="315">
        <f>(29.1*KFC!$B$25*1.02*1.05*1.05+KFC!$C$25)*KFC!$C$5</f>
        <v>32.724405000000004</v>
      </c>
      <c r="H53" s="315">
        <f>(30.9*KFC!$B$25*1.02*1.05*1.05+KFC!$C$25)*KFC!$C$5</f>
        <v>34.748595000000009</v>
      </c>
      <c r="I53" s="315">
        <f>(32.8*KFC!$B$25*1.02*1.05*1.05+KFC!$C$25)*KFC!$C$5</f>
        <v>36.885240000000003</v>
      </c>
      <c r="J53" s="315">
        <f>(34.6*KFC!$B$25*1.02*1.05*1.05+KFC!$C$25)*KFC!$C$5</f>
        <v>38.909430000000008</v>
      </c>
      <c r="K53" s="315">
        <f>(36.4*KFC!$B$25*1.02*1.05*1.05+KFC!$C$25)*KFC!$C$5</f>
        <v>40.933620000000005</v>
      </c>
      <c r="L53" s="316">
        <f>(38.4*KFC!$B$25*1.02*1.05*1.05+KFC!$C$25)*KFC!$C$5</f>
        <v>43.182720000000003</v>
      </c>
      <c r="M53" s="438"/>
      <c r="N53" s="438"/>
    </row>
    <row r="54" spans="1:14">
      <c r="A54" s="1538"/>
      <c r="B54" s="224">
        <v>1.3</v>
      </c>
      <c r="C54" s="314">
        <f>(22.4*KFC!$B$25*1.02*1.05*1.05+KFC!$C$25)*KFC!$C$5</f>
        <v>25.189920000000001</v>
      </c>
      <c r="D54" s="315">
        <f>(24.3*KFC!$B$25*1.02*1.05*1.05+KFC!$C$25)*KFC!$C$5</f>
        <v>27.326565000000002</v>
      </c>
      <c r="E54" s="315">
        <f>(26.3*KFC!$B$25*1.02*1.05*1.05+KFC!$C$25)*KFC!$C$5</f>
        <v>29.575665000000001</v>
      </c>
      <c r="F54" s="315">
        <f>(28.1*KFC!$B$25*1.02*1.05*1.05+KFC!$C$25)*KFC!$C$5</f>
        <v>31.599855000000009</v>
      </c>
      <c r="G54" s="315">
        <f>(30.1*KFC!$B$25*1.02*1.05*1.05+KFC!$C$25)*KFC!$C$5</f>
        <v>33.848955000000004</v>
      </c>
      <c r="H54" s="315">
        <f>(32*KFC!$B$25*1.02*1.05*1.05+KFC!$C$25)*KFC!$C$5</f>
        <v>35.985600000000005</v>
      </c>
      <c r="I54" s="315">
        <f>(34*KFC!$B$25*1.02*1.05*1.05+KFC!$C$25)*KFC!$C$5</f>
        <v>38.234700000000004</v>
      </c>
      <c r="J54" s="315">
        <f>(35.8*KFC!$B$25*1.02*1.05*1.05+KFC!$C$25)*KFC!$C$5</f>
        <v>40.258890000000001</v>
      </c>
      <c r="K54" s="315">
        <f>(37.8*KFC!$B$25*1.02*1.05*1.05+KFC!$C$25)*KFC!$C$5</f>
        <v>42.507990000000007</v>
      </c>
      <c r="L54" s="316">
        <f>(39.7*KFC!$B$25*1.02*1.05*1.05+KFC!$C$25)*KFC!$C$5</f>
        <v>44.644635000000015</v>
      </c>
      <c r="M54" s="438"/>
      <c r="N54" s="438"/>
    </row>
    <row r="55" spans="1:14">
      <c r="A55" s="1538"/>
      <c r="B55" s="224">
        <v>1.4</v>
      </c>
      <c r="C55" s="314">
        <f>(23.2*KFC!$B$25*1.02*1.05*1.05+KFC!$C$25)*KFC!$C$5</f>
        <v>26.089559999999999</v>
      </c>
      <c r="D55" s="315">
        <f>(25.2*KFC!$B$25*1.02*1.05*1.05+KFC!$C$25)*KFC!$C$5</f>
        <v>28.338660000000001</v>
      </c>
      <c r="E55" s="315">
        <f>(27.2*KFC!$B$25*1.02*1.05*1.05+KFC!$C$25)*KFC!$C$5</f>
        <v>30.587759999999999</v>
      </c>
      <c r="F55" s="315">
        <f>(29.2*KFC!$B$25*1.02*1.05*1.05+KFC!$C$25)*KFC!$C$5</f>
        <v>32.836860000000001</v>
      </c>
      <c r="G55" s="315">
        <f>(31.2*KFC!$B$25*1.02*1.05*1.05+KFC!$C$25)*KFC!$C$5</f>
        <v>35.08596</v>
      </c>
      <c r="H55" s="315">
        <f>(33.1*KFC!$B$25*1.02*1.05*1.05+KFC!$C$25)*KFC!$C$5</f>
        <v>37.222605000000001</v>
      </c>
      <c r="I55" s="315">
        <f>(35.1*KFC!$B$25*1.02*1.05*1.05+KFC!$C$25)*KFC!$C$5</f>
        <v>39.471705000000007</v>
      </c>
      <c r="J55" s="315">
        <f>(37.1*KFC!$B$25*1.02*1.05*1.05+KFC!$C$25)*KFC!$C$5</f>
        <v>41.720804999999999</v>
      </c>
      <c r="K55" s="315">
        <f>(39*KFC!$B$25*1.02*1.05*1.05+KFC!$C$25)*KFC!$C$5</f>
        <v>43.857450000000007</v>
      </c>
      <c r="L55" s="316">
        <f>(41.1*KFC!$B$25*1.02*1.05*1.05+KFC!$C$25)*KFC!$C$5</f>
        <v>46.219005000000003</v>
      </c>
      <c r="M55" s="438"/>
      <c r="N55" s="438"/>
    </row>
    <row r="56" spans="1:14">
      <c r="A56" s="1538"/>
      <c r="B56" s="224">
        <v>1.5</v>
      </c>
      <c r="C56" s="314">
        <f>(24.1*KFC!$B$25*1.02*1.05*1.05+KFC!$C$25)*KFC!$C$5</f>
        <v>27.101655000000004</v>
      </c>
      <c r="D56" s="315">
        <f>(26*KFC!$B$25*1.02*1.05*1.05+KFC!$C$25)*KFC!$C$5</f>
        <v>29.238300000000002</v>
      </c>
      <c r="E56" s="315">
        <f>(28.1*KFC!$B$25*1.02*1.05*1.05+KFC!$C$25)*KFC!$C$5</f>
        <v>31.599855000000009</v>
      </c>
      <c r="F56" s="315">
        <f>(30.2*KFC!$B$25*1.02*1.05*1.05+KFC!$C$25)*KFC!$C$5</f>
        <v>33.961410000000001</v>
      </c>
      <c r="G56" s="315">
        <f>(32.2*KFC!$B$25*1.02*1.05*1.05+KFC!$C$25)*KFC!$C$5</f>
        <v>36.210510000000006</v>
      </c>
      <c r="H56" s="315">
        <f>(34.2*KFC!$B$25*1.02*1.05*1.05+KFC!$C$25)*KFC!$C$5</f>
        <v>38.459609999999998</v>
      </c>
      <c r="I56" s="315">
        <f>(36.3*KFC!$B$25*1.02*1.05*1.05+KFC!$C$25)*KFC!$C$5</f>
        <v>40.821165000000001</v>
      </c>
      <c r="J56" s="315">
        <f>(38.3*KFC!$B$25*1.02*1.05*1.05+KFC!$C$25)*KFC!$C$5</f>
        <v>43.070264999999999</v>
      </c>
      <c r="K56" s="315">
        <f>(40.4*KFC!$B$25*1.02*1.05*1.05+KFC!$C$25)*KFC!$C$5</f>
        <v>45.431820000000002</v>
      </c>
      <c r="L56" s="316">
        <f>(42.4*KFC!$B$25*1.02*1.05*1.05+KFC!$C$25)*KFC!$C$5</f>
        <v>47.680920000000008</v>
      </c>
      <c r="M56" s="438"/>
      <c r="N56" s="438"/>
    </row>
    <row r="57" spans="1:14">
      <c r="A57" s="1538"/>
      <c r="B57" s="224">
        <v>1.6</v>
      </c>
      <c r="C57" s="314">
        <f>(24.8*KFC!$B$25*1.02*1.05*1.05+KFC!$C$25)*KFC!$C$5</f>
        <v>27.888840000000005</v>
      </c>
      <c r="D57" s="315">
        <f>(26.9*KFC!$B$25*1.02*1.05*1.05+KFC!$C$25)*KFC!$C$5</f>
        <v>30.250395000000001</v>
      </c>
      <c r="E57" s="315">
        <f>(29.1*KFC!$B$25*1.02*1.05*1.05+KFC!$C$25)*KFC!$C$5</f>
        <v>32.724405000000004</v>
      </c>
      <c r="F57" s="315">
        <f>(31.2*KFC!$B$25*1.02*1.05*1.05+KFC!$C$25)*KFC!$C$5</f>
        <v>35.08596</v>
      </c>
      <c r="G57" s="315">
        <f>(33.3*KFC!$B$25*1.02*1.05*1.05+KFC!$C$25)*KFC!$C$5</f>
        <v>37.447515000000003</v>
      </c>
      <c r="H57" s="315">
        <f>(35.3*KFC!$B$25*1.02*1.05*1.05+KFC!$C$25)*KFC!$C$5</f>
        <v>39.696615000000001</v>
      </c>
      <c r="I57" s="315">
        <f>(37.4*KFC!$B$25*1.02*1.05*1.05+KFC!$C$25)*KFC!$C$5</f>
        <v>42.058170000000004</v>
      </c>
      <c r="J57" s="315">
        <f>(39.5*KFC!$B$25*1.02*1.05*1.05+KFC!$C$25)*KFC!$C$5</f>
        <v>44.419725000000007</v>
      </c>
      <c r="K57" s="315">
        <f>(41.7*KFC!$B$25*1.02*1.05*1.05+KFC!$C$25)*KFC!$C$5</f>
        <v>46.893735000000007</v>
      </c>
      <c r="L57" s="316">
        <f>(43.8*KFC!$B$25*1.02*1.05*1.05+KFC!$C$25)*KFC!$C$5</f>
        <v>49.255290000000002</v>
      </c>
      <c r="M57" s="438"/>
      <c r="N57" s="438"/>
    </row>
    <row r="58" spans="1:14">
      <c r="A58" s="1538"/>
      <c r="B58" s="224">
        <v>1.7</v>
      </c>
      <c r="C58" s="314">
        <f>(25.7*KFC!$B$25*1.02*1.05*1.05+KFC!$C$25)*KFC!$C$5</f>
        <v>28.900935</v>
      </c>
      <c r="D58" s="315">
        <f>(27.9*KFC!$B$25*1.02*1.05*1.05+KFC!$C$25)*KFC!$C$5</f>
        <v>31.374945</v>
      </c>
      <c r="E58" s="315">
        <f>(30*KFC!$B$25*1.02*1.05*1.05+KFC!$C$25)*KFC!$C$5</f>
        <v>33.736500000000007</v>
      </c>
      <c r="F58" s="315">
        <f>(32.2*KFC!$B$25*1.02*1.05*1.05+KFC!$C$25)*KFC!$C$5</f>
        <v>36.210510000000006</v>
      </c>
      <c r="G58" s="315">
        <f>(34.4*KFC!$B$25*1.02*1.05*1.05+KFC!$C$25)*KFC!$C$5</f>
        <v>38.684520000000006</v>
      </c>
      <c r="H58" s="315">
        <f>(36.4*KFC!$B$25*1.02*1.05*1.05+KFC!$C$25)*KFC!$C$5</f>
        <v>40.933620000000005</v>
      </c>
      <c r="I58" s="315">
        <f>(38.6*KFC!$B$25*1.02*1.05*1.05+KFC!$C$25)*KFC!$C$5</f>
        <v>43.407630000000005</v>
      </c>
      <c r="J58" s="315">
        <f>(40.7*KFC!$B$25*1.02*1.05*1.05+KFC!$C$25)*KFC!$C$5</f>
        <v>45.769185000000007</v>
      </c>
      <c r="K58" s="315">
        <f>(42.9*KFC!$B$25*1.02*1.05*1.05+KFC!$C$25)*KFC!$C$5</f>
        <v>48.243195000000007</v>
      </c>
      <c r="L58" s="316">
        <f>(45.1*KFC!$B$25*1.02*1.05*1.05+KFC!$C$25)*KFC!$C$5</f>
        <v>50.717205000000007</v>
      </c>
      <c r="M58" s="438"/>
      <c r="N58" s="438"/>
    </row>
    <row r="59" spans="1:14">
      <c r="A59" s="1538"/>
      <c r="B59" s="224">
        <v>1.8</v>
      </c>
      <c r="C59" s="314">
        <f>(26.5*KFC!$B$25*1.02*1.05*1.05+KFC!$C$25)*KFC!$C$5</f>
        <v>29.800575000000006</v>
      </c>
      <c r="D59" s="315">
        <f>(28.7*KFC!$B$25*1.02*1.05*1.05+KFC!$C$25)*KFC!$C$5</f>
        <v>32.274585000000002</v>
      </c>
      <c r="E59" s="315">
        <f>(30.9*KFC!$B$25*1.02*1.05*1.05+KFC!$C$25)*KFC!$C$5</f>
        <v>34.748595000000009</v>
      </c>
      <c r="F59" s="315">
        <f>(33.1*KFC!$B$25*1.02*1.05*1.05+KFC!$C$25)*KFC!$C$5</f>
        <v>37.222605000000001</v>
      </c>
      <c r="G59" s="315">
        <f>(35.3*KFC!$B$25*1.02*1.05*1.05+KFC!$C$25)*KFC!$C$5</f>
        <v>39.696615000000001</v>
      </c>
      <c r="H59" s="315">
        <f>(37.5*KFC!$B$25*1.02*1.05*1.05+KFC!$C$25)*KFC!$C$5</f>
        <v>42.170625000000001</v>
      </c>
      <c r="I59" s="315">
        <f>(39.7*KFC!$B$25*1.02*1.05*1.05+KFC!$C$25)*KFC!$C$5</f>
        <v>44.644635000000015</v>
      </c>
      <c r="J59" s="315">
        <f>(42.1*KFC!$B$25*1.02*1.05*1.05+KFC!$C$25)*KFC!$C$5</f>
        <v>47.343555000000002</v>
      </c>
      <c r="K59" s="315">
        <f>(44.3*KFC!$B$25*1.02*1.05*1.05+KFC!$C$25)*KFC!$C$5</f>
        <v>49.817565000000002</v>
      </c>
      <c r="L59" s="316">
        <f>(46.5*KFC!$B$25*1.02*1.05*1.05+KFC!$C$25)*KFC!$C$5</f>
        <v>52.291575000000009</v>
      </c>
      <c r="M59" s="438"/>
      <c r="N59" s="438"/>
    </row>
    <row r="60" spans="1:14">
      <c r="A60" s="1538"/>
      <c r="B60" s="224">
        <v>1.9</v>
      </c>
      <c r="C60" s="314">
        <f>(27.3*KFC!$B$25*1.02*1.05*1.05+KFC!$C$25)*KFC!$C$5</f>
        <v>30.700215000000004</v>
      </c>
      <c r="D60" s="315">
        <f>(29.6*KFC!$B$25*1.02*1.05*1.05+KFC!$C$25)*KFC!$C$5</f>
        <v>33.286680000000011</v>
      </c>
      <c r="E60" s="315">
        <f>(31.9*KFC!$B$25*1.02*1.05*1.05+KFC!$C$25)*KFC!$C$5</f>
        <v>35.873144999999994</v>
      </c>
      <c r="F60" s="315">
        <f>(34.1*KFC!$B$25*1.02*1.05*1.05+KFC!$C$25)*KFC!$C$5</f>
        <v>38.347155000000008</v>
      </c>
      <c r="G60" s="315">
        <f>(36.4*KFC!$B$25*1.02*1.05*1.05+KFC!$C$25)*KFC!$C$5</f>
        <v>40.933620000000005</v>
      </c>
      <c r="H60" s="315">
        <f>(38.6*KFC!$B$25*1.02*1.05*1.05+KFC!$C$25)*KFC!$C$5</f>
        <v>43.407630000000005</v>
      </c>
      <c r="I60" s="315">
        <f>(41*KFC!$B$25*1.02*1.05*1.05+KFC!$C$25)*KFC!$C$5</f>
        <v>46.106550000000006</v>
      </c>
      <c r="J60" s="315">
        <f>(43.3*KFC!$B$25*1.02*1.05*1.05+KFC!$C$25)*KFC!$C$5</f>
        <v>48.693015000000003</v>
      </c>
      <c r="K60" s="315">
        <f>(45.5*KFC!$B$25*1.02*1.05*1.05+KFC!$C$25)*KFC!$C$5</f>
        <v>51.16702500000001</v>
      </c>
      <c r="L60" s="316">
        <f>(47.8*KFC!$B$25*1.02*1.05*1.05+KFC!$C$25)*KFC!$C$5</f>
        <v>53.753490000000006</v>
      </c>
      <c r="M60" s="438"/>
      <c r="N60" s="438"/>
    </row>
    <row r="61" spans="1:14" ht="13.8" thickBot="1">
      <c r="A61" s="1539"/>
      <c r="B61" s="225">
        <v>2</v>
      </c>
      <c r="C61" s="317">
        <f>(28.1*KFC!$B$25*1.02*1.05*1.05+KFC!$C$25)*KFC!$C$5</f>
        <v>31.599855000000009</v>
      </c>
      <c r="D61" s="318">
        <f>(30.5*KFC!$B$25*1.02*1.05*1.05+KFC!$C$25)*KFC!$C$5</f>
        <v>34.298775000000006</v>
      </c>
      <c r="E61" s="318">
        <f>(32.8*KFC!$B$25*1.02*1.05*1.05+KFC!$C$25)*KFC!$C$5</f>
        <v>36.885240000000003</v>
      </c>
      <c r="F61" s="318">
        <f>(35.1*KFC!$B$25*1.02*1.05*1.05+KFC!$C$25)*KFC!$C$5</f>
        <v>39.471705000000007</v>
      </c>
      <c r="G61" s="318">
        <f>(37.4*KFC!$B$25*1.02*1.05*1.05+KFC!$C$25)*KFC!$C$5</f>
        <v>42.058170000000004</v>
      </c>
      <c r="H61" s="318">
        <f>(39.7*KFC!$B$25*1.02*1.05*1.05+KFC!$C$25)*KFC!$C$5</f>
        <v>44.644635000000015</v>
      </c>
      <c r="I61" s="318">
        <f>(42.2*KFC!$B$25*1.02*1.05*1.05+KFC!$C$25)*KFC!$C$5</f>
        <v>47.456010000000006</v>
      </c>
      <c r="J61" s="318">
        <f>(44.5*KFC!$B$25*1.02*1.05*1.05+KFC!$C$25)*KFC!$C$5</f>
        <v>50.042475000000003</v>
      </c>
      <c r="K61" s="318">
        <f>(46.8*KFC!$B$25*1.02*1.05*1.05+KFC!$C$25)*KFC!$C$5</f>
        <v>52.62894</v>
      </c>
      <c r="L61" s="319">
        <f>(49.2*KFC!$B$25*1.02*1.05*1.05+KFC!$C$25)*KFC!$C$5</f>
        <v>55.327860000000008</v>
      </c>
      <c r="M61" s="438"/>
      <c r="N61" s="438"/>
    </row>
    <row r="62" spans="1:14" ht="13.8" thickBot="1">
      <c r="A62" s="249"/>
      <c r="B62" s="249"/>
      <c r="C62" s="249"/>
      <c r="D62" s="249"/>
      <c r="E62" s="249"/>
      <c r="F62" s="249"/>
      <c r="G62" s="249"/>
      <c r="H62" s="249"/>
      <c r="I62" s="249"/>
      <c r="J62" s="249"/>
      <c r="K62" s="249"/>
      <c r="L62" s="249"/>
      <c r="M62" s="438"/>
      <c r="N62" s="438"/>
    </row>
    <row r="63" spans="1:14" ht="13.5" customHeight="1" thickBot="1">
      <c r="A63" s="1413" t="s">
        <v>318</v>
      </c>
      <c r="B63" s="1415"/>
      <c r="C63" s="1534" t="s">
        <v>207</v>
      </c>
      <c r="D63" s="1535"/>
      <c r="E63" s="1535"/>
      <c r="F63" s="1535"/>
      <c r="G63" s="1535"/>
      <c r="H63" s="1535"/>
      <c r="I63" s="1535"/>
      <c r="J63" s="1535"/>
      <c r="K63" s="1535"/>
      <c r="L63" s="1536"/>
      <c r="M63" s="438"/>
      <c r="N63" s="438"/>
    </row>
    <row r="64" spans="1:14" ht="13.8" thickBot="1">
      <c r="A64" s="1416"/>
      <c r="B64" s="1418"/>
      <c r="C64" s="428">
        <v>0.4</v>
      </c>
      <c r="D64" s="428">
        <v>0.5</v>
      </c>
      <c r="E64" s="428">
        <v>0.6</v>
      </c>
      <c r="F64" s="428">
        <v>0.7</v>
      </c>
      <c r="G64" s="428">
        <v>0.8</v>
      </c>
      <c r="H64" s="428">
        <v>0.9</v>
      </c>
      <c r="I64" s="428">
        <v>1</v>
      </c>
      <c r="J64" s="428">
        <v>1.1000000000000001</v>
      </c>
      <c r="K64" s="428">
        <v>1.2</v>
      </c>
      <c r="L64" s="113">
        <v>1.3</v>
      </c>
      <c r="M64" s="438"/>
      <c r="N64" s="438"/>
    </row>
    <row r="65" spans="1:14" ht="12.75" customHeight="1">
      <c r="A65" s="1537" t="s">
        <v>3</v>
      </c>
      <c r="B65" s="226">
        <v>0.5</v>
      </c>
      <c r="C65" s="311">
        <f>(19.6*KFC!$B$25*1.02*1.05*1.05+KFC!$C$25)*KFC!$C$5</f>
        <v>22.041180000000004</v>
      </c>
      <c r="D65" s="312">
        <f>(21.4*KFC!$B$25*1.02*1.05*1.05+KFC!$C$25)*KFC!$C$5</f>
        <v>24.065370000000001</v>
      </c>
      <c r="E65" s="312">
        <f>(23.4*KFC!$B$25*1.02*1.05*1.05+KFC!$C$25)*KFC!$C$5</f>
        <v>26.31447</v>
      </c>
      <c r="F65" s="312">
        <f>(25.2*KFC!$B$25*1.02*1.05*1.05+KFC!$C$25)*KFC!$C$5</f>
        <v>28.338660000000001</v>
      </c>
      <c r="G65" s="312">
        <f>(27.2*KFC!$B$25*1.02*1.05*1.05+KFC!$C$25)*KFC!$C$5</f>
        <v>30.587759999999999</v>
      </c>
      <c r="H65" s="312">
        <f>(29*KFC!$B$25*1.02*1.05*1.05+KFC!$C$25)*KFC!$C$5</f>
        <v>32.611950000000007</v>
      </c>
      <c r="I65" s="312">
        <f>(30.9*KFC!$B$25*1.02*1.05*1.05+KFC!$C$25)*KFC!$C$5</f>
        <v>34.748595000000009</v>
      </c>
      <c r="J65" s="312">
        <f>(32.8*KFC!$B$25*1.02*1.05*1.05+KFC!$C$25)*KFC!$C$5</f>
        <v>36.885240000000003</v>
      </c>
      <c r="K65" s="312">
        <f>(34.7*KFC!$B$25*1.02*1.05*1.05+KFC!$C$25)*KFC!$C$5</f>
        <v>39.021885000000005</v>
      </c>
      <c r="L65" s="313">
        <f>(36.6*KFC!$B$25*1.02*1.05*1.05+KFC!$C$25)*KFC!$C$5</f>
        <v>41.158529999999999</v>
      </c>
      <c r="M65" s="438"/>
      <c r="N65" s="438"/>
    </row>
    <row r="66" spans="1:14">
      <c r="A66" s="1538"/>
      <c r="B66" s="224">
        <v>0.6</v>
      </c>
      <c r="C66" s="314">
        <f>(20.4*KFC!$B$25*1.02*1.05*1.05+KFC!$C$25)*KFC!$C$5</f>
        <v>22.940820000000002</v>
      </c>
      <c r="D66" s="315">
        <f>(22.5*KFC!$B$25*1.02*1.05*1.05+KFC!$C$25)*KFC!$C$5</f>
        <v>25.302375000000001</v>
      </c>
      <c r="E66" s="315">
        <f>(24.5*KFC!$B$25*1.02*1.05*1.05+KFC!$C$25)*KFC!$C$5</f>
        <v>27.551475000000003</v>
      </c>
      <c r="F66" s="315">
        <f>(26.5*KFC!$B$25*1.02*1.05*1.05+KFC!$C$25)*KFC!$C$5</f>
        <v>29.800575000000006</v>
      </c>
      <c r="G66" s="315">
        <f>(28.5*KFC!$B$25*1.02*1.05*1.05+KFC!$C$25)*KFC!$C$5</f>
        <v>32.049675000000001</v>
      </c>
      <c r="H66" s="315">
        <f>(30.5*KFC!$B$25*1.02*1.05*1.05+KFC!$C$25)*KFC!$C$5</f>
        <v>34.298775000000006</v>
      </c>
      <c r="I66" s="315">
        <f>(32.5*KFC!$B$25*1.02*1.05*1.05+KFC!$C$25)*KFC!$C$5</f>
        <v>36.547874999999998</v>
      </c>
      <c r="J66" s="315">
        <f>(34.5*KFC!$B$25*1.02*1.05*1.05+KFC!$C$25)*KFC!$C$5</f>
        <v>38.796975000000003</v>
      </c>
      <c r="K66" s="315">
        <f>(36.6*KFC!$B$25*1.02*1.05*1.05+KFC!$C$25)*KFC!$C$5</f>
        <v>41.158529999999999</v>
      </c>
      <c r="L66" s="316">
        <f>(38.5*KFC!$B$25*1.02*1.05*1.05+KFC!$C$25)*KFC!$C$5</f>
        <v>43.295175000000008</v>
      </c>
      <c r="M66" s="438"/>
      <c r="N66" s="438"/>
    </row>
    <row r="67" spans="1:14">
      <c r="A67" s="1538"/>
      <c r="B67" s="224">
        <v>0.7</v>
      </c>
      <c r="C67" s="314">
        <f>(21.4*KFC!$B$25*1.02*1.05*1.05+KFC!$C$25)*KFC!$C$5</f>
        <v>24.065370000000001</v>
      </c>
      <c r="D67" s="315">
        <f>(23.5*KFC!$B$25*1.02*1.05*1.05+KFC!$C$25)*KFC!$C$5</f>
        <v>26.426925000000001</v>
      </c>
      <c r="E67" s="315">
        <f>(25.6*KFC!$B$25*1.02*1.05*1.05+KFC!$C$25)*KFC!$C$5</f>
        <v>28.788480000000003</v>
      </c>
      <c r="F67" s="315">
        <f>(27.8*KFC!$B$25*1.02*1.05*1.05+KFC!$C$25)*KFC!$C$5</f>
        <v>31.262490000000003</v>
      </c>
      <c r="G67" s="315">
        <f>(29.8*KFC!$B$25*1.02*1.05*1.05+KFC!$C$25)*KFC!$C$5</f>
        <v>33.511590000000005</v>
      </c>
      <c r="H67" s="315">
        <f>(32*KFC!$B$25*1.02*1.05*1.05+KFC!$C$25)*KFC!$C$5</f>
        <v>35.985600000000005</v>
      </c>
      <c r="I67" s="315">
        <f>(34.1*KFC!$B$25*1.02*1.05*1.05+KFC!$C$25)*KFC!$C$5</f>
        <v>38.347155000000008</v>
      </c>
      <c r="J67" s="315">
        <f>(36.2*KFC!$B$25*1.02*1.05*1.05+KFC!$C$25)*KFC!$C$5</f>
        <v>40.708710000000011</v>
      </c>
      <c r="K67" s="315">
        <f>(38.4*KFC!$B$25*1.02*1.05*1.05+KFC!$C$25)*KFC!$C$5</f>
        <v>43.182720000000003</v>
      </c>
      <c r="L67" s="316">
        <f>(40.5*KFC!$B$25*1.02*1.05*1.05+KFC!$C$25)*KFC!$C$5</f>
        <v>45.544275000000006</v>
      </c>
      <c r="M67" s="438"/>
      <c r="N67" s="438"/>
    </row>
    <row r="68" spans="1:14">
      <c r="A68" s="1538"/>
      <c r="B68" s="224">
        <v>0.8</v>
      </c>
      <c r="C68" s="314">
        <f>(22.3*KFC!$B$25*1.02*1.05*1.05+KFC!$C$25)*KFC!$C$5</f>
        <v>25.077465000000004</v>
      </c>
      <c r="D68" s="315">
        <f>(24.5*KFC!$B$25*1.02*1.05*1.05+KFC!$C$25)*KFC!$C$5</f>
        <v>27.551475000000003</v>
      </c>
      <c r="E68" s="315">
        <f>(26.8*KFC!$B$25*1.02*1.05*1.05+KFC!$C$25)*KFC!$C$5</f>
        <v>30.137940000000004</v>
      </c>
      <c r="F68" s="315">
        <f>(29*KFC!$B$25*1.02*1.05*1.05+KFC!$C$25)*KFC!$C$5</f>
        <v>32.611950000000007</v>
      </c>
      <c r="G68" s="315">
        <f>(31.2*KFC!$B$25*1.02*1.05*1.05+KFC!$C$25)*KFC!$C$5</f>
        <v>35.08596</v>
      </c>
      <c r="H68" s="315">
        <f>(33.5*KFC!$B$25*1.02*1.05*1.05+KFC!$C$25)*KFC!$C$5</f>
        <v>37.672425000000004</v>
      </c>
      <c r="I68" s="315">
        <f>(35.7*KFC!$B$25*1.02*1.05*1.05+KFC!$C$25)*KFC!$C$5</f>
        <v>40.146435000000004</v>
      </c>
      <c r="J68" s="315">
        <f>(38*KFC!$B$25*1.02*1.05*1.05+KFC!$C$25)*KFC!$C$5</f>
        <v>42.732900000000001</v>
      </c>
      <c r="K68" s="315">
        <f>(40.2*KFC!$B$25*1.02*1.05*1.05+KFC!$C$25)*KFC!$C$5</f>
        <v>45.206910000000008</v>
      </c>
      <c r="L68" s="316">
        <f>(42.4*KFC!$B$25*1.02*1.05*1.05+KFC!$C$25)*KFC!$C$5</f>
        <v>47.680920000000008</v>
      </c>
      <c r="M68" s="438"/>
      <c r="N68" s="438"/>
    </row>
    <row r="69" spans="1:14">
      <c r="A69" s="1538"/>
      <c r="B69" s="224">
        <v>0.9</v>
      </c>
      <c r="C69" s="314">
        <f>(23.1*KFC!$B$25*1.02*1.05*1.05+KFC!$C$25)*KFC!$C$5</f>
        <v>25.977105000000002</v>
      </c>
      <c r="D69" s="315">
        <f>(25.6*KFC!$B$25*1.02*1.05*1.05+KFC!$C$25)*KFC!$C$5</f>
        <v>28.788480000000003</v>
      </c>
      <c r="E69" s="315">
        <f>(27.9*KFC!$B$25*1.02*1.05*1.05+KFC!$C$25)*KFC!$C$5</f>
        <v>31.374945</v>
      </c>
      <c r="F69" s="315">
        <f>(30.2*KFC!$B$25*1.02*1.05*1.05+KFC!$C$25)*KFC!$C$5</f>
        <v>33.961410000000001</v>
      </c>
      <c r="G69" s="315">
        <f>(32.7*KFC!$B$25*1.02*1.05*1.05+KFC!$C$25)*KFC!$C$5</f>
        <v>36.772785000000013</v>
      </c>
      <c r="H69" s="315">
        <f>(35*KFC!$B$25*1.02*1.05*1.05+KFC!$C$25)*KFC!$C$5</f>
        <v>39.35925000000001</v>
      </c>
      <c r="I69" s="315">
        <f>(37.3*KFC!$B$25*1.02*1.05*1.05+KFC!$C$25)*KFC!$C$5</f>
        <v>41.945715000000007</v>
      </c>
      <c r="J69" s="315">
        <f>(39.7*KFC!$B$25*1.02*1.05*1.05+KFC!$C$25)*KFC!$C$5</f>
        <v>44.644635000000015</v>
      </c>
      <c r="K69" s="315">
        <f>(42.1*KFC!$B$25*1.02*1.05*1.05+KFC!$C$25)*KFC!$C$5</f>
        <v>47.343555000000002</v>
      </c>
      <c r="L69" s="316">
        <f>(44.4*KFC!$B$25*1.02*1.05*1.05+KFC!$C$25)*KFC!$C$5</f>
        <v>49.930019999999999</v>
      </c>
      <c r="M69" s="438"/>
      <c r="N69" s="438"/>
    </row>
    <row r="70" spans="1:14">
      <c r="A70" s="1538"/>
      <c r="B70" s="224">
        <v>1</v>
      </c>
      <c r="C70" s="314">
        <f>(24.1*KFC!$B$25*1.02*1.05*1.05+KFC!$C$25)*KFC!$C$5</f>
        <v>27.101655000000004</v>
      </c>
      <c r="D70" s="315">
        <f>(26.5*KFC!$B$25*1.02*1.05*1.05+KFC!$C$25)*KFC!$C$5</f>
        <v>29.800575000000006</v>
      </c>
      <c r="E70" s="315">
        <f>(29*KFC!$B$25*1.02*1.05*1.05+KFC!$C$25)*KFC!$C$5</f>
        <v>32.611950000000007</v>
      </c>
      <c r="F70" s="315">
        <f>(31.6*KFC!$B$25*1.02*1.05*1.05+KFC!$C$25)*KFC!$C$5</f>
        <v>35.535780000000003</v>
      </c>
      <c r="G70" s="315">
        <f>(34*KFC!$B$25*1.02*1.05*1.05+KFC!$C$25)*KFC!$C$5</f>
        <v>38.234700000000004</v>
      </c>
      <c r="H70" s="315">
        <f>(36.4*KFC!$B$25*1.02*1.05*1.05+KFC!$C$25)*KFC!$C$5</f>
        <v>40.933620000000005</v>
      </c>
      <c r="I70" s="315">
        <f>(38.9*KFC!$B$25*1.02*1.05*1.05+KFC!$C$25)*KFC!$C$5</f>
        <v>43.744994999999996</v>
      </c>
      <c r="J70" s="315">
        <f>(41.5*KFC!$B$25*1.02*1.05*1.05+KFC!$C$25)*KFC!$C$5</f>
        <v>46.668825000000005</v>
      </c>
      <c r="K70" s="315">
        <f>(43.9*KFC!$B$25*1.02*1.05*1.05+KFC!$C$25)*KFC!$C$5</f>
        <v>49.367744999999999</v>
      </c>
      <c r="L70" s="316">
        <f>(46.4*KFC!$B$25*1.02*1.05*1.05+KFC!$C$25)*KFC!$C$5</f>
        <v>52.179119999999998</v>
      </c>
      <c r="M70" s="438"/>
      <c r="N70" s="438"/>
    </row>
    <row r="71" spans="1:14">
      <c r="A71" s="1538"/>
      <c r="B71" s="224">
        <v>1.1000000000000001</v>
      </c>
      <c r="C71" s="314">
        <f>(24.9*KFC!$B$25*1.02*1.05*1.05+KFC!$C$25)*KFC!$C$5</f>
        <v>28.001294999999999</v>
      </c>
      <c r="D71" s="315">
        <f>(27.5*KFC!$B$25*1.02*1.05*1.05+KFC!$C$25)*KFC!$C$5</f>
        <v>30.925125000000001</v>
      </c>
      <c r="E71" s="315">
        <f>(30.2*KFC!$B$25*1.02*1.05*1.05+KFC!$C$25)*KFC!$C$5</f>
        <v>33.961410000000001</v>
      </c>
      <c r="F71" s="315">
        <f>(32.8*KFC!$B$25*1.02*1.05*1.05+KFC!$C$25)*KFC!$C$5</f>
        <v>36.885240000000003</v>
      </c>
      <c r="G71" s="315">
        <f>(35.3*KFC!$B$25*1.02*1.05*1.05+KFC!$C$25)*KFC!$C$5</f>
        <v>39.696615000000001</v>
      </c>
      <c r="H71" s="315">
        <f>(37.9*KFC!$B$25*1.02*1.05*1.05+KFC!$C$25)*KFC!$C$5</f>
        <v>42.620445000000004</v>
      </c>
      <c r="I71" s="315">
        <f>(40.6*KFC!$B$25*1.02*1.05*1.05+KFC!$C$25)*KFC!$C$5</f>
        <v>45.656730000000003</v>
      </c>
      <c r="J71" s="315">
        <f>(43.2*KFC!$B$25*1.02*1.05*1.05+KFC!$C$25)*KFC!$C$5</f>
        <v>48.580560000000013</v>
      </c>
      <c r="K71" s="315">
        <f>(45.7*KFC!$B$25*1.02*1.05*1.05+KFC!$C$25)*KFC!$C$5</f>
        <v>51.391935000000004</v>
      </c>
      <c r="L71" s="316">
        <f>(48.3*KFC!$B$25*1.02*1.05*1.05+KFC!$C$25)*KFC!$C$5</f>
        <v>54.315765000000006</v>
      </c>
      <c r="M71" s="438"/>
      <c r="N71" s="438"/>
    </row>
    <row r="72" spans="1:14">
      <c r="A72" s="1538"/>
      <c r="B72" s="224">
        <v>1.2</v>
      </c>
      <c r="C72" s="314">
        <f>(25.8*KFC!$B$25*1.02*1.05*1.05+KFC!$C$25)*KFC!$C$5</f>
        <v>29.013390000000008</v>
      </c>
      <c r="D72" s="315">
        <f>(28.6*KFC!$B$25*1.02*1.05*1.05+KFC!$C$25)*KFC!$C$5</f>
        <v>32.162130000000005</v>
      </c>
      <c r="E72" s="315">
        <f>(31.3*KFC!$B$25*1.02*1.05*1.05+KFC!$C$25)*KFC!$C$5</f>
        <v>35.198415000000004</v>
      </c>
      <c r="F72" s="315">
        <f>(34*KFC!$B$25*1.02*1.05*1.05+KFC!$C$25)*KFC!$C$5</f>
        <v>38.234700000000004</v>
      </c>
      <c r="G72" s="315">
        <f>(36.7*KFC!$B$25*1.02*1.05*1.05+KFC!$C$25)*KFC!$C$5</f>
        <v>41.27098500000001</v>
      </c>
      <c r="H72" s="315">
        <f>(39.5*KFC!$B$25*1.02*1.05*1.05+KFC!$C$25)*KFC!$C$5</f>
        <v>44.419725000000007</v>
      </c>
      <c r="I72" s="315">
        <f>(42.2*KFC!$B$25*1.02*1.05*1.05+KFC!$C$25)*KFC!$C$5</f>
        <v>47.456010000000006</v>
      </c>
      <c r="J72" s="315">
        <f>(44.9*KFC!$B$25*1.02*1.05*1.05+KFC!$C$25)*KFC!$C$5</f>
        <v>50.492295000000006</v>
      </c>
      <c r="K72" s="315">
        <f>(47.6*KFC!$B$25*1.02*1.05*1.05+KFC!$C$25)*KFC!$C$5</f>
        <v>53.528580000000005</v>
      </c>
      <c r="L72" s="316">
        <f>(50.4*KFC!$B$25*1.02*1.05*1.05+KFC!$C$25)*KFC!$C$5</f>
        <v>56.677320000000002</v>
      </c>
      <c r="M72" s="438"/>
      <c r="N72" s="438"/>
    </row>
    <row r="73" spans="1:14">
      <c r="A73" s="1538"/>
      <c r="B73" s="224">
        <v>1.3</v>
      </c>
      <c r="C73" s="314">
        <f>(26.8*KFC!$B$25*1.02*1.05*1.05+KFC!$C$25)*KFC!$C$5</f>
        <v>30.137940000000004</v>
      </c>
      <c r="D73" s="315">
        <f>(29.6*KFC!$B$25*1.02*1.05*1.05+KFC!$C$25)*KFC!$C$5</f>
        <v>33.286680000000011</v>
      </c>
      <c r="E73" s="315">
        <f>(32.4*KFC!$B$25*1.02*1.05*1.05+KFC!$C$25)*KFC!$C$5</f>
        <v>36.435420000000001</v>
      </c>
      <c r="F73" s="315">
        <f>(35.2*KFC!$B$25*1.02*1.05*1.05+KFC!$C$25)*KFC!$C$5</f>
        <v>39.584160000000004</v>
      </c>
      <c r="G73" s="315">
        <f>(38.2*KFC!$B$25*1.02*1.05*1.05+KFC!$C$25)*KFC!$C$5</f>
        <v>42.957810000000009</v>
      </c>
      <c r="H73" s="315">
        <f>(41*KFC!$B$25*1.02*1.05*1.05+KFC!$C$25)*KFC!$C$5</f>
        <v>46.106550000000006</v>
      </c>
      <c r="I73" s="315">
        <f>(43.8*KFC!$B$25*1.02*1.05*1.05+KFC!$C$25)*KFC!$C$5</f>
        <v>49.255290000000002</v>
      </c>
      <c r="J73" s="315">
        <f>(46.6*KFC!$B$25*1.02*1.05*1.05+KFC!$C$25)*KFC!$C$5</f>
        <v>52.404030000000013</v>
      </c>
      <c r="K73" s="315">
        <f>(49.4*KFC!$B$25*1.02*1.05*1.05+KFC!$C$25)*KFC!$C$5</f>
        <v>55.552770000000002</v>
      </c>
      <c r="L73" s="316">
        <f>(52.3*KFC!$B$25*1.02*1.05*1.05+KFC!$C$25)*KFC!$C$5</f>
        <v>58.813965000000003</v>
      </c>
      <c r="M73" s="438"/>
      <c r="N73" s="438"/>
    </row>
    <row r="74" spans="1:14">
      <c r="A74" s="1538"/>
      <c r="B74" s="224">
        <v>1.4</v>
      </c>
      <c r="C74" s="314">
        <f>(27.6*KFC!$B$25*1.02*1.05*1.05+KFC!$C$25)*KFC!$C$5</f>
        <v>31.037580000000005</v>
      </c>
      <c r="D74" s="315">
        <f>(30.6*KFC!$B$25*1.02*1.05*1.05+KFC!$C$25)*KFC!$C$5</f>
        <v>34.411230000000003</v>
      </c>
      <c r="E74" s="315">
        <f>(33.5*KFC!$B$25*1.02*1.05*1.05+KFC!$C$25)*KFC!$C$5</f>
        <v>37.672425000000004</v>
      </c>
      <c r="F74" s="315">
        <f>(36.6*KFC!$B$25*1.02*1.05*1.05+KFC!$C$25)*KFC!$C$5</f>
        <v>41.158529999999999</v>
      </c>
      <c r="G74" s="315">
        <f>(39.5*KFC!$B$25*1.02*1.05*1.05+KFC!$C$25)*KFC!$C$5</f>
        <v>44.419725000000007</v>
      </c>
      <c r="H74" s="315">
        <f>(42.4*KFC!$B$25*1.02*1.05*1.05+KFC!$C$25)*KFC!$C$5</f>
        <v>47.680920000000008</v>
      </c>
      <c r="I74" s="315">
        <f>(45.4*KFC!$B$25*1.02*1.05*1.05+KFC!$C$25)*KFC!$C$5</f>
        <v>51.054570000000005</v>
      </c>
      <c r="J74" s="315">
        <f>(48.3*KFC!$B$25*1.02*1.05*1.05+KFC!$C$25)*KFC!$C$5</f>
        <v>54.315765000000006</v>
      </c>
      <c r="K74" s="315">
        <f>(51.2*KFC!$B$25*1.02*1.05*1.05+KFC!$C$25)*KFC!$C$5</f>
        <v>57.576960000000007</v>
      </c>
      <c r="L74" s="316">
        <f>(54.3*KFC!$B$25*1.02*1.05*1.05+KFC!$C$25)*KFC!$C$5</f>
        <v>61.063065000000002</v>
      </c>
      <c r="M74" s="438"/>
      <c r="N74" s="438"/>
    </row>
    <row r="75" spans="1:14">
      <c r="A75" s="1538"/>
      <c r="B75" s="224">
        <v>1.5</v>
      </c>
      <c r="C75" s="314">
        <f>(28.5*KFC!$B$25*1.02*1.05*1.05+KFC!$C$25)*KFC!$C$5</f>
        <v>32.049675000000001</v>
      </c>
      <c r="D75" s="315">
        <f>(31.6*KFC!$B$25*1.02*1.05*1.05+KFC!$C$25)*KFC!$C$5</f>
        <v>35.535780000000003</v>
      </c>
      <c r="E75" s="315">
        <f>(34.7*KFC!$B$25*1.02*1.05*1.05+KFC!$C$25)*KFC!$C$5</f>
        <v>39.021885000000005</v>
      </c>
      <c r="F75" s="315">
        <f>(37.8*KFC!$B$25*1.02*1.05*1.05+KFC!$C$25)*KFC!$C$5</f>
        <v>42.507990000000007</v>
      </c>
      <c r="G75" s="315">
        <f>(40.8*KFC!$B$25*1.02*1.05*1.05+KFC!$C$25)*KFC!$C$5</f>
        <v>45.881640000000004</v>
      </c>
      <c r="H75" s="315">
        <f>(43.9*KFC!$B$25*1.02*1.05*1.05+KFC!$C$25)*KFC!$C$5</f>
        <v>49.367744999999999</v>
      </c>
      <c r="I75" s="315">
        <f>(47*KFC!$B$25*1.02*1.05*1.05+KFC!$C$25)*KFC!$C$5</f>
        <v>52.853850000000001</v>
      </c>
      <c r="J75" s="315">
        <f>(50*KFC!$B$25*1.02*1.05*1.05+KFC!$C$25)*KFC!$C$5</f>
        <v>56.227500000000006</v>
      </c>
      <c r="K75" s="315">
        <f>(53.2*KFC!$B$25*1.02*1.05*1.05+KFC!$C$25)*KFC!$C$5</f>
        <v>59.826060000000005</v>
      </c>
      <c r="L75" s="316">
        <f>(56.3*KFC!$B$25*1.02*1.05*1.05+KFC!$C$25)*KFC!$C$5</f>
        <v>63.312165</v>
      </c>
      <c r="M75" s="438"/>
      <c r="N75" s="438"/>
    </row>
    <row r="76" spans="1:14">
      <c r="A76" s="1538"/>
      <c r="B76" s="224">
        <v>1.6</v>
      </c>
      <c r="C76" s="314">
        <f>(29.5*KFC!$B$25*1.02*1.05*1.05+KFC!$C$25)*KFC!$C$5</f>
        <v>33.174225</v>
      </c>
      <c r="D76" s="315">
        <f>(32.7*KFC!$B$25*1.02*1.05*1.05+KFC!$C$25)*KFC!$C$5</f>
        <v>36.772785000000013</v>
      </c>
      <c r="E76" s="315">
        <f>(35.8*KFC!$B$25*1.02*1.05*1.05+KFC!$C$25)*KFC!$C$5</f>
        <v>40.258890000000001</v>
      </c>
      <c r="F76" s="315">
        <f>(39*KFC!$B$25*1.02*1.05*1.05+KFC!$C$25)*KFC!$C$5</f>
        <v>43.857450000000007</v>
      </c>
      <c r="G76" s="315">
        <f>(42.2*KFC!$B$25*1.02*1.05*1.05+KFC!$C$25)*KFC!$C$5</f>
        <v>47.456010000000006</v>
      </c>
      <c r="H76" s="315">
        <f>(45.4*KFC!$B$25*1.02*1.05*1.05+KFC!$C$25)*KFC!$C$5</f>
        <v>51.054570000000005</v>
      </c>
      <c r="I76" s="315">
        <f>(48.6*KFC!$B$25*1.02*1.05*1.05+KFC!$C$25)*KFC!$C$5</f>
        <v>54.653130000000004</v>
      </c>
      <c r="J76" s="315">
        <f>(51.9*KFC!$B$25*1.02*1.05*1.05+KFC!$C$25)*KFC!$C$5</f>
        <v>58.364145000000008</v>
      </c>
      <c r="K76" s="315">
        <f>(55*KFC!$B$25*1.02*1.05*1.05+KFC!$C$25)*KFC!$C$5</f>
        <v>61.850250000000003</v>
      </c>
      <c r="L76" s="316">
        <f>(58.2*KFC!$B$25*1.02*1.05*1.05+KFC!$C$25)*KFC!$C$5</f>
        <v>65.448810000000009</v>
      </c>
      <c r="M76" s="438"/>
      <c r="N76" s="438"/>
    </row>
    <row r="77" spans="1:14">
      <c r="A77" s="1538"/>
      <c r="B77" s="224">
        <v>1.7</v>
      </c>
      <c r="C77" s="314">
        <f>(30.3*KFC!$B$25*1.02*1.05*1.05+KFC!$C$25)*KFC!$C$5</f>
        <v>34.073865000000005</v>
      </c>
      <c r="D77" s="315">
        <f>(33.6*KFC!$B$25*1.02*1.05*1.05+KFC!$C$25)*KFC!$C$5</f>
        <v>37.784880000000008</v>
      </c>
      <c r="E77" s="315">
        <f>(36.9*KFC!$B$25*1.02*1.05*1.05+KFC!$C$25)*KFC!$C$5</f>
        <v>41.495895000000004</v>
      </c>
      <c r="F77" s="315">
        <f>(40.2*KFC!$B$25*1.02*1.05*1.05+KFC!$C$25)*KFC!$C$5</f>
        <v>45.206910000000008</v>
      </c>
      <c r="G77" s="315">
        <f>(43.5*KFC!$B$25*1.02*1.05*1.05+KFC!$C$25)*KFC!$C$5</f>
        <v>48.917924999999997</v>
      </c>
      <c r="H77" s="315">
        <f>(46.8*KFC!$B$25*1.02*1.05*1.05+KFC!$C$25)*KFC!$C$5</f>
        <v>52.62894</v>
      </c>
      <c r="I77" s="315">
        <f>(50.3*KFC!$B$25*1.02*1.05*1.05+KFC!$C$25)*KFC!$C$5</f>
        <v>56.564864999999998</v>
      </c>
      <c r="J77" s="315">
        <f>(53.6*KFC!$B$25*1.02*1.05*1.05+KFC!$C$25)*KFC!$C$5</f>
        <v>60.275880000000008</v>
      </c>
      <c r="K77" s="315">
        <f>(56.9*KFC!$B$25*1.02*1.05*1.05+KFC!$C$25)*KFC!$C$5</f>
        <v>63.986895000000004</v>
      </c>
      <c r="L77" s="316">
        <f>(60.2*KFC!$B$25*1.02*1.05*1.05+KFC!$C$25)*KFC!$C$5</f>
        <v>67.697910000000007</v>
      </c>
      <c r="M77" s="438"/>
      <c r="N77" s="438"/>
    </row>
    <row r="78" spans="1:14">
      <c r="A78" s="1538"/>
      <c r="B78" s="224">
        <v>1.8</v>
      </c>
      <c r="C78" s="314">
        <f>(31.2*KFC!$B$25*1.02*1.05*1.05+KFC!$C$25)*KFC!$C$5</f>
        <v>35.08596</v>
      </c>
      <c r="D78" s="315">
        <f>(34.6*KFC!$B$25*1.02*1.05*1.05+KFC!$C$25)*KFC!$C$5</f>
        <v>38.909430000000008</v>
      </c>
      <c r="E78" s="315">
        <f>(38*KFC!$B$25*1.02*1.05*1.05+KFC!$C$25)*KFC!$C$5</f>
        <v>42.732900000000001</v>
      </c>
      <c r="F78" s="315">
        <f>(41.6*KFC!$B$25*1.02*1.05*1.05+KFC!$C$25)*KFC!$C$5</f>
        <v>46.781280000000002</v>
      </c>
      <c r="G78" s="315">
        <f>(45*KFC!$B$25*1.02*1.05*1.05+KFC!$C$25)*KFC!$C$5</f>
        <v>50.604750000000003</v>
      </c>
      <c r="H78" s="315">
        <f>(48.4*KFC!$B$25*1.02*1.05*1.05+KFC!$C$25)*KFC!$C$5</f>
        <v>54.42822000000001</v>
      </c>
      <c r="I78" s="315">
        <f>(51.9*KFC!$B$25*1.02*1.05*1.05+KFC!$C$25)*KFC!$C$5</f>
        <v>58.364145000000008</v>
      </c>
      <c r="J78" s="315">
        <f>(55.3*KFC!$B$25*1.02*1.05*1.05+KFC!$C$25)*KFC!$C$5</f>
        <v>62.187615000000008</v>
      </c>
      <c r="K78" s="315">
        <f>(58.7*KFC!$B$25*1.02*1.05*1.05+KFC!$C$25)*KFC!$C$5</f>
        <v>66.011085000000008</v>
      </c>
      <c r="L78" s="316">
        <f>(62.1*KFC!$B$25*1.02*1.05*1.05+KFC!$C$25)*KFC!$C$5</f>
        <v>69.834555000000009</v>
      </c>
      <c r="M78" s="438"/>
      <c r="N78" s="438"/>
    </row>
    <row r="79" spans="1:14">
      <c r="A79" s="1538"/>
      <c r="B79" s="224">
        <v>1.9</v>
      </c>
      <c r="C79" s="314">
        <f>(32.2*KFC!$B$25*1.02*1.05*1.05+KFC!$C$25)*KFC!$C$5</f>
        <v>36.210510000000006</v>
      </c>
      <c r="D79" s="315">
        <f>(35.7*KFC!$B$25*1.02*1.05*1.05+KFC!$C$25)*KFC!$C$5</f>
        <v>40.146435000000004</v>
      </c>
      <c r="E79" s="315">
        <f>(39.3*KFC!$B$25*1.02*1.05*1.05+KFC!$C$25)*KFC!$C$5</f>
        <v>44.194814999999998</v>
      </c>
      <c r="F79" s="315">
        <f>(42.8*KFC!$B$25*1.02*1.05*1.05+KFC!$C$25)*KFC!$C$5</f>
        <v>48.130740000000003</v>
      </c>
      <c r="G79" s="315">
        <f>(46.4*KFC!$B$25*1.02*1.05*1.05+KFC!$C$25)*KFC!$C$5</f>
        <v>52.179119999999998</v>
      </c>
      <c r="H79" s="315">
        <f>(49.9*KFC!$B$25*1.02*1.05*1.05+KFC!$C$25)*KFC!$C$5</f>
        <v>56.115045000000002</v>
      </c>
      <c r="I79" s="315">
        <f>(53.4*KFC!$B$25*1.02*1.05*1.05+KFC!$C$25)*KFC!$C$5</f>
        <v>60.050970000000007</v>
      </c>
      <c r="J79" s="315">
        <f>(57*KFC!$B$25*1.02*1.05*1.05+KFC!$C$25)*KFC!$C$5</f>
        <v>64.099350000000001</v>
      </c>
      <c r="K79" s="315">
        <f>(60.5*KFC!$B$25*1.02*1.05*1.05+KFC!$C$25)*KFC!$C$5</f>
        <v>68.035275000000013</v>
      </c>
      <c r="L79" s="316">
        <f>(64.1*KFC!$B$25*1.02*1.05*1.05+KFC!$C$25)*KFC!$C$5</f>
        <v>72.083655000000007</v>
      </c>
      <c r="M79" s="438"/>
      <c r="N79" s="438"/>
    </row>
    <row r="80" spans="1:14" ht="13.8" thickBot="1">
      <c r="A80" s="1539"/>
      <c r="B80" s="225">
        <v>2</v>
      </c>
      <c r="C80" s="317">
        <f>(33*KFC!$B$25*1.02*1.05*1.05+KFC!$C$25)*KFC!$C$5</f>
        <v>37.110150000000004</v>
      </c>
      <c r="D80" s="318">
        <f>(36.7*KFC!$B$25*1.02*1.05*1.05+KFC!$C$25)*KFC!$C$5</f>
        <v>41.27098500000001</v>
      </c>
      <c r="E80" s="318">
        <f>(40.4*KFC!$B$25*1.02*1.05*1.05+KFC!$C$25)*KFC!$C$5</f>
        <v>45.431820000000002</v>
      </c>
      <c r="F80" s="318">
        <f>(44*KFC!$B$25*1.02*1.05*1.05+KFC!$C$25)*KFC!$C$5</f>
        <v>49.480200000000004</v>
      </c>
      <c r="G80" s="318">
        <f>(47.7*KFC!$B$25*1.02*1.05*1.05+KFC!$C$25)*KFC!$C$5</f>
        <v>53.641035000000009</v>
      </c>
      <c r="H80" s="318">
        <f>(51.4*KFC!$B$25*1.02*1.05*1.05+KFC!$C$25)*KFC!$C$5</f>
        <v>57.801870000000001</v>
      </c>
      <c r="I80" s="318">
        <f>(55*KFC!$B$25*1.02*1.05*1.05+KFC!$C$25)*KFC!$C$5</f>
        <v>61.850250000000003</v>
      </c>
      <c r="J80" s="318">
        <f>(58.7*KFC!$B$25*1.02*1.05*1.05+KFC!$C$25)*KFC!$C$5</f>
        <v>66.011085000000008</v>
      </c>
      <c r="K80" s="318">
        <f>(62.4*KFC!$B$25*1.02*1.05*1.05+KFC!$C$25)*KFC!$C$5</f>
        <v>70.17192</v>
      </c>
      <c r="L80" s="319">
        <f>(66*KFC!$B$25*1.02*1.05*1.05+KFC!$C$25)*KFC!$C$5</f>
        <v>74.220300000000009</v>
      </c>
      <c r="M80" s="438"/>
      <c r="N80" s="438"/>
    </row>
    <row r="81" spans="1:14" ht="13.8" thickBot="1">
      <c r="A81" s="249"/>
      <c r="B81" s="249"/>
      <c r="C81" s="249"/>
      <c r="D81" s="249"/>
      <c r="E81" s="249"/>
      <c r="F81" s="249"/>
      <c r="G81" s="249"/>
      <c r="H81" s="249"/>
      <c r="I81" s="249"/>
      <c r="J81" s="249"/>
      <c r="K81" s="249"/>
      <c r="L81" s="249"/>
      <c r="M81" s="438"/>
      <c r="N81" s="438"/>
    </row>
    <row r="82" spans="1:14" ht="13.5" customHeight="1" thickBot="1">
      <c r="A82" s="1413" t="s">
        <v>319</v>
      </c>
      <c r="B82" s="1415"/>
      <c r="C82" s="1534" t="s">
        <v>207</v>
      </c>
      <c r="D82" s="1535"/>
      <c r="E82" s="1535"/>
      <c r="F82" s="1535"/>
      <c r="G82" s="1535"/>
      <c r="H82" s="1535"/>
      <c r="I82" s="1535"/>
      <c r="J82" s="1535"/>
      <c r="K82" s="1535"/>
      <c r="L82" s="1536"/>
      <c r="M82" s="438"/>
      <c r="N82" s="438"/>
    </row>
    <row r="83" spans="1:14" ht="13.8" thickBot="1">
      <c r="A83" s="1416"/>
      <c r="B83" s="1418"/>
      <c r="C83" s="428">
        <v>0.4</v>
      </c>
      <c r="D83" s="428">
        <v>0.5</v>
      </c>
      <c r="E83" s="428">
        <v>0.6</v>
      </c>
      <c r="F83" s="428">
        <v>0.7</v>
      </c>
      <c r="G83" s="428">
        <v>0.8</v>
      </c>
      <c r="H83" s="428">
        <v>0.9</v>
      </c>
      <c r="I83" s="428">
        <v>1</v>
      </c>
      <c r="J83" s="428">
        <v>1.1000000000000001</v>
      </c>
      <c r="K83" s="428">
        <v>1.2</v>
      </c>
      <c r="L83" s="113">
        <v>1.3</v>
      </c>
      <c r="M83" s="438"/>
      <c r="N83" s="438"/>
    </row>
    <row r="84" spans="1:14" ht="12.75" customHeight="1">
      <c r="A84" s="1537" t="s">
        <v>3</v>
      </c>
      <c r="B84" s="226">
        <v>0.5</v>
      </c>
      <c r="C84" s="311">
        <f>(24.5*KFC!$B$25*1.02*1.15*1.05+KFC!$C$25)*KFC!$C$5</f>
        <v>30.175425000000001</v>
      </c>
      <c r="D84" s="312">
        <f>(26.3*KFC!$B$25*1.02*1.15*1.05+KFC!$C$25)*KFC!$C$5</f>
        <v>32.392395</v>
      </c>
      <c r="E84" s="312">
        <f>(28*KFC!$B$25*1.02*1.15*1.05+KFC!$C$25)*KFC!$C$5</f>
        <v>34.486200000000004</v>
      </c>
      <c r="F84" s="312">
        <f>(29.8*KFC!$B$25*1.02*1.15*1.05+KFC!$C$25)*KFC!$C$5</f>
        <v>36.70317</v>
      </c>
      <c r="G84" s="312">
        <f>(31.6*KFC!$B$25*1.02*1.15*1.05+KFC!$C$25)*KFC!$C$5</f>
        <v>38.920139999999996</v>
      </c>
      <c r="H84" s="312">
        <f>(33.4*KFC!$B$25*1.02*1.15*1.05+KFC!$C$25)*KFC!$C$5</f>
        <v>41.13711</v>
      </c>
      <c r="I84" s="312">
        <f>(35.1*KFC!$B$25*1.02*1.15*1.05+KFC!$C$25)*KFC!$C$5</f>
        <v>43.230915000000003</v>
      </c>
      <c r="J84" s="312">
        <f>(36.9*KFC!$B$25*1.02*1.15*1.05+KFC!$C$25)*KFC!$C$5</f>
        <v>45.447884999999999</v>
      </c>
      <c r="K84" s="312">
        <f>(38.6*KFC!$B$25*1.02*1.15*1.05+KFC!$C$25)*KFC!$C$5</f>
        <v>47.541690000000003</v>
      </c>
      <c r="L84" s="313">
        <f>(40.5*KFC!$B$25*1.02*1.15*1.05+KFC!$C$25)*KFC!$C$5</f>
        <v>49.881824999999999</v>
      </c>
      <c r="M84" s="438"/>
      <c r="N84" s="438"/>
    </row>
    <row r="85" spans="1:14">
      <c r="A85" s="1538"/>
      <c r="B85" s="224">
        <v>0.6</v>
      </c>
      <c r="C85" s="314">
        <f>(25.6*KFC!$B$25*1.02*1.15*1.05+KFC!$C$25)*KFC!$C$5</f>
        <v>31.530240000000003</v>
      </c>
      <c r="D85" s="315">
        <f>(27.5*KFC!$B$25*1.02*1.15*1.05+KFC!$C$25)*KFC!$C$5</f>
        <v>33.870375000000003</v>
      </c>
      <c r="E85" s="315">
        <f>(29.5*KFC!$B$25*1.02*1.15*1.05+KFC!$C$25)*KFC!$C$5</f>
        <v>36.333674999999999</v>
      </c>
      <c r="F85" s="315">
        <f>(31.4*KFC!$B$25*1.02*1.15*1.05+KFC!$C$25)*KFC!$C$5</f>
        <v>38.673809999999996</v>
      </c>
      <c r="G85" s="315">
        <f>(33.4*KFC!$B$25*1.02*1.15*1.05+KFC!$C$25)*KFC!$C$5</f>
        <v>41.13711</v>
      </c>
      <c r="H85" s="315">
        <f>(35.5*KFC!$B$25*1.02*1.15*1.05+KFC!$C$25)*KFC!$C$5</f>
        <v>43.723575000000004</v>
      </c>
      <c r="I85" s="315">
        <f>(37.4*KFC!$B$25*1.02*1.15*1.05+KFC!$C$25)*KFC!$C$5</f>
        <v>46.063709999999993</v>
      </c>
      <c r="J85" s="315">
        <f>(39.4*KFC!$B$25*1.02*1.15*1.05+KFC!$C$25)*KFC!$C$5</f>
        <v>48.527010000000004</v>
      </c>
      <c r="K85" s="315">
        <f>(41.3*KFC!$B$25*1.02*1.15*1.05+KFC!$C$25)*KFC!$C$5</f>
        <v>50.867145000000001</v>
      </c>
      <c r="L85" s="316">
        <f>(43.3*KFC!$B$25*1.02*1.15*1.05+KFC!$C$25)*KFC!$C$5</f>
        <v>53.330444999999997</v>
      </c>
      <c r="M85" s="438"/>
      <c r="N85" s="438"/>
    </row>
    <row r="86" spans="1:14">
      <c r="A86" s="1538"/>
      <c r="B86" s="224">
        <v>0.7</v>
      </c>
      <c r="C86" s="314">
        <f>(26.5*KFC!$B$25*1.02*1.15*1.05+KFC!$C$25)*KFC!$C$5</f>
        <v>32.638725000000001</v>
      </c>
      <c r="D86" s="315">
        <f>(28.7*KFC!$B$25*1.02*1.15*1.05+KFC!$C$25)*KFC!$C$5</f>
        <v>35.348354999999998</v>
      </c>
      <c r="E86" s="315">
        <f>(30.9*KFC!$B$25*1.02*1.15*1.05+KFC!$C$25)*KFC!$C$5</f>
        <v>38.057985000000002</v>
      </c>
      <c r="F86" s="315">
        <f>(33.1*KFC!$B$25*1.02*1.15*1.05+KFC!$C$25)*KFC!$C$5</f>
        <v>40.767614999999999</v>
      </c>
      <c r="G86" s="315">
        <f>(35.3*KFC!$B$25*1.02*1.15*1.05+KFC!$C$25)*KFC!$C$5</f>
        <v>43.477245000000003</v>
      </c>
      <c r="H86" s="315">
        <f>(37.4*KFC!$B$25*1.02*1.15*1.05+KFC!$C$25)*KFC!$C$5</f>
        <v>46.063709999999993</v>
      </c>
      <c r="I86" s="315">
        <f>(39.6*KFC!$B$25*1.02*1.15*1.05+KFC!$C$25)*KFC!$C$5</f>
        <v>48.773340000000005</v>
      </c>
      <c r="J86" s="315">
        <f>(41.8*KFC!$B$25*1.02*1.15*1.05+KFC!$C$25)*KFC!$C$5</f>
        <v>51.482969999999995</v>
      </c>
      <c r="K86" s="315">
        <f>(44*KFC!$B$25*1.02*1.15*1.05+KFC!$C$25)*KFC!$C$5</f>
        <v>54.192600000000006</v>
      </c>
      <c r="L86" s="316">
        <f>(46.2*KFC!$B$25*1.02*1.15*1.05+KFC!$C$25)*KFC!$C$5</f>
        <v>56.902230000000003</v>
      </c>
      <c r="M86" s="438"/>
      <c r="N86" s="438"/>
    </row>
    <row r="87" spans="1:14">
      <c r="A87" s="1538"/>
      <c r="B87" s="224">
        <v>0.8</v>
      </c>
      <c r="C87" s="314">
        <f>(27.6*KFC!$B$25*1.02*1.15*1.05+KFC!$C$25)*KFC!$C$5</f>
        <v>33.993540000000003</v>
      </c>
      <c r="D87" s="315">
        <f>(30*KFC!$B$25*1.02*1.15*1.05+KFC!$C$25)*KFC!$C$5</f>
        <v>36.9495</v>
      </c>
      <c r="E87" s="315">
        <f>(32.4*KFC!$B$25*1.02*1.15*1.05+KFC!$C$25)*KFC!$C$5</f>
        <v>39.905460000000005</v>
      </c>
      <c r="F87" s="315">
        <f>(34.7*KFC!$B$25*1.02*1.15*1.05+KFC!$C$25)*KFC!$C$5</f>
        <v>42.738255000000009</v>
      </c>
      <c r="G87" s="315">
        <f>(37.2*KFC!$B$25*1.02*1.15*1.05+KFC!$C$25)*KFC!$C$5</f>
        <v>45.81738</v>
      </c>
      <c r="H87" s="315">
        <f>(39.5*KFC!$B$25*1.02*1.15*1.05+KFC!$C$25)*KFC!$C$5</f>
        <v>48.650174999999997</v>
      </c>
      <c r="I87" s="315">
        <f>(41.9*KFC!$B$25*1.02*1.15*1.05+KFC!$C$25)*KFC!$C$5</f>
        <v>51.606135000000002</v>
      </c>
      <c r="J87" s="315">
        <f>(44.3*KFC!$B$25*1.02*1.15*1.05+KFC!$C$25)*KFC!$C$5</f>
        <v>54.562094999999999</v>
      </c>
      <c r="K87" s="315">
        <f>(46.7*KFC!$B$25*1.02*1.15*1.05+KFC!$C$25)*KFC!$C$5</f>
        <v>57.518055000000004</v>
      </c>
      <c r="L87" s="316">
        <f>(49*KFC!$B$25*1.02*1.15*1.05+KFC!$C$25)*KFC!$C$5</f>
        <v>60.350850000000001</v>
      </c>
      <c r="M87" s="438"/>
      <c r="N87" s="438"/>
    </row>
    <row r="88" spans="1:14">
      <c r="A88" s="1538"/>
      <c r="B88" s="224">
        <v>0.9</v>
      </c>
      <c r="C88" s="314">
        <f>(28.7*KFC!$B$25*1.02*1.15*1.05+KFC!$C$25)*KFC!$C$5</f>
        <v>35.348354999999998</v>
      </c>
      <c r="D88" s="315">
        <f>(31.3*KFC!$B$25*1.02*1.15*1.05+KFC!$C$25)*KFC!$C$5</f>
        <v>38.550645000000003</v>
      </c>
      <c r="E88" s="315">
        <f>(33.9*KFC!$B$25*1.02*1.15*1.05+KFC!$C$25)*KFC!$C$5</f>
        <v>41.752934999999994</v>
      </c>
      <c r="F88" s="315">
        <f>(36.4*KFC!$B$25*1.02*1.15*1.05+KFC!$C$25)*KFC!$C$5</f>
        <v>44.832059999999998</v>
      </c>
      <c r="G88" s="315">
        <f>(39*KFC!$B$25*1.02*1.15*1.05+KFC!$C$25)*KFC!$C$5</f>
        <v>48.034350000000003</v>
      </c>
      <c r="H88" s="315">
        <f>(41.6*KFC!$B$25*1.02*1.15*1.05+KFC!$C$25)*KFC!$C$5</f>
        <v>51.236640000000001</v>
      </c>
      <c r="I88" s="315">
        <f>(44.2*KFC!$B$25*1.02*1.15*1.05+KFC!$C$25)*KFC!$C$5</f>
        <v>54.438930000000006</v>
      </c>
      <c r="J88" s="315">
        <f>(46.7*KFC!$B$25*1.02*1.15*1.05+KFC!$C$25)*KFC!$C$5</f>
        <v>57.518055000000004</v>
      </c>
      <c r="K88" s="315">
        <f>(49.3*KFC!$B$25*1.02*1.15*1.05+KFC!$C$25)*KFC!$C$5</f>
        <v>60.720345000000002</v>
      </c>
      <c r="L88" s="316">
        <f>(51.9*KFC!$B$25*1.02*1.15*1.05+KFC!$C$25)*KFC!$C$5</f>
        <v>63.922635</v>
      </c>
      <c r="M88" s="438"/>
      <c r="N88" s="438"/>
    </row>
    <row r="89" spans="1:14">
      <c r="A89" s="1538"/>
      <c r="B89" s="224">
        <v>1</v>
      </c>
      <c r="C89" s="314">
        <f>(29.7*KFC!$B$25*1.02*1.15*1.05+KFC!$C$25)*KFC!$C$5</f>
        <v>36.580005</v>
      </c>
      <c r="D89" s="315">
        <f>(32.5*KFC!$B$25*1.02*1.15*1.05+KFC!$C$25)*KFC!$C$5</f>
        <v>40.028624999999998</v>
      </c>
      <c r="E89" s="315">
        <f>(35.3*KFC!$B$25*1.02*1.15*1.05+KFC!$C$25)*KFC!$C$5</f>
        <v>43.477245000000003</v>
      </c>
      <c r="F89" s="315">
        <f>(38.2*KFC!$B$25*1.02*1.15*1.05+KFC!$C$25)*KFC!$C$5</f>
        <v>47.049030000000009</v>
      </c>
      <c r="G89" s="315">
        <f>(40.8*KFC!$B$25*1.02*1.15*1.05+KFC!$C$25)*KFC!$C$5</f>
        <v>50.25132</v>
      </c>
      <c r="H89" s="315">
        <f>(43.7*KFC!$B$25*1.02*1.15*1.05+KFC!$C$25)*KFC!$C$5</f>
        <v>53.823105000000005</v>
      </c>
      <c r="I89" s="315">
        <f>(46.5*KFC!$B$25*1.02*1.15*1.05+KFC!$C$25)*KFC!$C$5</f>
        <v>57.271724999999996</v>
      </c>
      <c r="J89" s="315">
        <f>(49.2*KFC!$B$25*1.02*1.15*1.05+KFC!$C$25)*KFC!$C$5</f>
        <v>60.597180000000009</v>
      </c>
      <c r="K89" s="315">
        <f>(52*KFC!$B$25*1.02*1.15*1.05+KFC!$C$25)*KFC!$C$5</f>
        <v>64.0458</v>
      </c>
      <c r="L89" s="316">
        <f>(54.8*KFC!$B$25*1.02*1.15*1.05+KFC!$C$25)*KFC!$C$5</f>
        <v>67.494420000000005</v>
      </c>
      <c r="M89" s="438"/>
      <c r="N89" s="438"/>
    </row>
    <row r="90" spans="1:14">
      <c r="A90" s="1538"/>
      <c r="B90" s="224">
        <v>1.1000000000000001</v>
      </c>
      <c r="C90" s="314">
        <f>(30.8*KFC!$B$25*1.02*1.15*1.05+KFC!$C$25)*KFC!$C$5</f>
        <v>37.934820000000002</v>
      </c>
      <c r="D90" s="315">
        <f>(33.8*KFC!$B$25*1.02*1.15*1.05+KFC!$C$25)*KFC!$C$5</f>
        <v>41.629770000000001</v>
      </c>
      <c r="E90" s="315">
        <f>(36.8*KFC!$B$25*1.02*1.15*1.05+KFC!$C$25)*KFC!$C$5</f>
        <v>45.324719999999992</v>
      </c>
      <c r="F90" s="315">
        <f>(39.7*KFC!$B$25*1.02*1.15*1.05+KFC!$C$25)*KFC!$C$5</f>
        <v>48.896505000000005</v>
      </c>
      <c r="G90" s="315">
        <f>(42.7*KFC!$B$25*1.02*1.15*1.05+KFC!$C$25)*KFC!$C$5</f>
        <v>52.591455000000003</v>
      </c>
      <c r="H90" s="315">
        <f>(45.7*KFC!$B$25*1.02*1.15*1.05+KFC!$C$25)*KFC!$C$5</f>
        <v>56.286405000000002</v>
      </c>
      <c r="I90" s="315">
        <f>(48.7*KFC!$B$25*1.02*1.15*1.05+KFC!$C$25)*KFC!$C$5</f>
        <v>59.981355000000008</v>
      </c>
      <c r="J90" s="315">
        <f>(51.7*KFC!$B$25*1.02*1.15*1.05+KFC!$C$25)*KFC!$C$5</f>
        <v>63.676304999999999</v>
      </c>
      <c r="K90" s="315">
        <f>(54.7*KFC!$B$25*1.02*1.15*1.05+KFC!$C$25)*KFC!$C$5</f>
        <v>67.371255000000005</v>
      </c>
      <c r="L90" s="316">
        <f>(57.6*KFC!$B$25*1.02*1.15*1.05+KFC!$C$25)*KFC!$C$5</f>
        <v>70.943039999999996</v>
      </c>
      <c r="M90" s="438"/>
      <c r="N90" s="438"/>
    </row>
    <row r="91" spans="1:14">
      <c r="A91" s="1538"/>
      <c r="B91" s="224">
        <v>1.2</v>
      </c>
      <c r="C91" s="314">
        <f>(31.9*KFC!$B$25*1.02*1.15*1.05+KFC!$C$25)*KFC!$C$5</f>
        <v>39.289634999999997</v>
      </c>
      <c r="D91" s="315">
        <f>(35.1*KFC!$B$25*1.02*1.15*1.05+KFC!$C$25)*KFC!$C$5</f>
        <v>43.230915000000003</v>
      </c>
      <c r="E91" s="315">
        <f>(38.3*KFC!$B$25*1.02*1.15*1.05+KFC!$C$25)*KFC!$C$5</f>
        <v>47.172194999999995</v>
      </c>
      <c r="F91" s="315">
        <f>(41.5*KFC!$B$25*1.02*1.15*1.05+KFC!$C$25)*KFC!$C$5</f>
        <v>51.113475000000001</v>
      </c>
      <c r="G91" s="315">
        <f>(44.6*KFC!$B$25*1.02*1.15*1.05+KFC!$C$25)*KFC!$C$5</f>
        <v>54.931590000000007</v>
      </c>
      <c r="H91" s="315">
        <f>(47.8*KFC!$B$25*1.02*1.15*1.05+KFC!$C$25)*KFC!$C$5</f>
        <v>58.872869999999999</v>
      </c>
      <c r="I91" s="315">
        <f>(51*KFC!$B$25*1.02*1.15*1.05+KFC!$C$25)*KFC!$C$5</f>
        <v>62.814150000000005</v>
      </c>
      <c r="J91" s="315">
        <f>(54.2*KFC!$B$25*1.02*1.15*1.05+KFC!$C$25)*KFC!$C$5</f>
        <v>66.755430000000004</v>
      </c>
      <c r="K91" s="315">
        <f>(57.4*KFC!$B$25*1.02*1.15*1.05+KFC!$C$25)*KFC!$C$5</f>
        <v>70.696709999999996</v>
      </c>
      <c r="L91" s="316">
        <f>(60.5*KFC!$B$25*1.02*1.15*1.05+KFC!$C$25)*KFC!$C$5</f>
        <v>74.514825000000002</v>
      </c>
      <c r="M91" s="438"/>
      <c r="N91" s="438"/>
    </row>
    <row r="92" spans="1:14">
      <c r="A92" s="1538"/>
      <c r="B92" s="224">
        <v>1.3</v>
      </c>
      <c r="C92" s="314">
        <f>(32.9*KFC!$B$25*1.02*1.15*1.05+KFC!$C$25)*KFC!$C$5</f>
        <v>40.521284999999999</v>
      </c>
      <c r="D92" s="315">
        <f>(36.3*KFC!$B$25*1.02*1.15*1.05+KFC!$C$25)*KFC!$C$5</f>
        <v>44.708894999999998</v>
      </c>
      <c r="E92" s="315">
        <f>(39.7*KFC!$B$25*1.02*1.15*1.05+KFC!$C$25)*KFC!$C$5</f>
        <v>48.896505000000005</v>
      </c>
      <c r="F92" s="315">
        <f>(43*KFC!$B$25*1.02*1.15*1.05+KFC!$C$25)*KFC!$C$5</f>
        <v>52.960949999999997</v>
      </c>
      <c r="G92" s="315">
        <f>(46.5*KFC!$B$25*1.02*1.15*1.05+KFC!$C$25)*KFC!$C$5</f>
        <v>57.271724999999996</v>
      </c>
      <c r="H92" s="315">
        <f>(49.9*KFC!$B$25*1.02*1.15*1.05+KFC!$C$25)*KFC!$C$5</f>
        <v>61.459334999999996</v>
      </c>
      <c r="I92" s="315">
        <f>(53.2*KFC!$B$25*1.02*1.15*1.05+KFC!$C$25)*KFC!$C$5</f>
        <v>65.523780000000002</v>
      </c>
      <c r="J92" s="315">
        <f>(56.6*KFC!$B$25*1.02*1.15*1.05+KFC!$C$25)*KFC!$C$5</f>
        <v>69.711389999999994</v>
      </c>
      <c r="K92" s="315">
        <f>(59.9*KFC!$B$25*1.02*1.15*1.05+KFC!$C$25)*KFC!$C$5</f>
        <v>73.775835000000001</v>
      </c>
      <c r="L92" s="316">
        <f>(63.4*KFC!$B$25*1.02*1.15*1.05+KFC!$C$25)*KFC!$C$5</f>
        <v>78.086610000000007</v>
      </c>
      <c r="M92" s="438"/>
      <c r="N92" s="438"/>
    </row>
    <row r="93" spans="1:14">
      <c r="A93" s="1538"/>
      <c r="B93" s="224">
        <v>1.4</v>
      </c>
      <c r="C93" s="314">
        <f>(34*KFC!$B$25*1.02*1.15*1.05+KFC!$C$25)*KFC!$C$5</f>
        <v>41.876100000000001</v>
      </c>
      <c r="D93" s="315">
        <f>(37.5*KFC!$B$25*1.02*1.15*1.05+KFC!$C$25)*KFC!$C$5</f>
        <v>46.186875000000001</v>
      </c>
      <c r="E93" s="315">
        <f>(41.2*KFC!$B$25*1.02*1.15*1.05+KFC!$C$25)*KFC!$C$5</f>
        <v>50.743980000000001</v>
      </c>
      <c r="F93" s="315">
        <f>(44.8*KFC!$B$25*1.02*1.15*1.05+KFC!$C$25)*KFC!$C$5</f>
        <v>55.17792</v>
      </c>
      <c r="G93" s="315">
        <f>(48.3*KFC!$B$25*1.02*1.15*1.05+KFC!$C$25)*KFC!$C$5</f>
        <v>59.488695</v>
      </c>
      <c r="H93" s="315">
        <f>(51.9*KFC!$B$25*1.02*1.15*1.05+KFC!$C$25)*KFC!$C$5</f>
        <v>63.922635</v>
      </c>
      <c r="I93" s="315">
        <f>(55.5*KFC!$B$25*1.02*1.15*1.05+KFC!$C$25)*KFC!$C$5</f>
        <v>68.356574999999992</v>
      </c>
      <c r="J93" s="315">
        <f>(59.1*KFC!$B$25*1.02*1.15*1.05+KFC!$C$25)*KFC!$C$5</f>
        <v>72.790514999999999</v>
      </c>
      <c r="K93" s="315">
        <f>(62.6*KFC!$B$25*1.02*1.15*1.05+KFC!$C$25)*KFC!$C$5</f>
        <v>77.101290000000006</v>
      </c>
      <c r="L93" s="316">
        <f>(66.2*KFC!$B$25*1.02*1.15*1.05+KFC!$C$25)*KFC!$C$5</f>
        <v>81.535229999999999</v>
      </c>
      <c r="M93" s="438"/>
      <c r="N93" s="438"/>
    </row>
    <row r="94" spans="1:14">
      <c r="A94" s="1538"/>
      <c r="B94" s="224">
        <v>1.5</v>
      </c>
      <c r="C94" s="314">
        <f>(35.1*KFC!$B$25*1.02*1.15*1.05+KFC!$C$25)*KFC!$C$5</f>
        <v>43.230915000000003</v>
      </c>
      <c r="D94" s="315">
        <f>(38.9*KFC!$B$25*1.02*1.15*1.05+KFC!$C$25)*KFC!$C$5</f>
        <v>47.911184999999996</v>
      </c>
      <c r="E94" s="315">
        <f>(42.6*KFC!$B$25*1.02*1.15*1.05+KFC!$C$25)*KFC!$C$5</f>
        <v>52.468290000000003</v>
      </c>
      <c r="F94" s="315">
        <f>(46.4*KFC!$B$25*1.02*1.15*1.05+KFC!$C$25)*KFC!$C$5</f>
        <v>57.148559999999996</v>
      </c>
      <c r="G94" s="315">
        <f>(50.1*KFC!$B$25*1.02*1.15*1.05+KFC!$C$25)*KFC!$C$5</f>
        <v>61.705665000000003</v>
      </c>
      <c r="H94" s="315">
        <f>(53.9*KFC!$B$25*1.02*1.15*1.05+KFC!$C$25)*KFC!$C$5</f>
        <v>66.385935000000003</v>
      </c>
      <c r="I94" s="315">
        <f>(57.7*KFC!$B$25*1.02*1.15*1.05+KFC!$C$25)*KFC!$C$5</f>
        <v>71.066205000000011</v>
      </c>
      <c r="J94" s="315">
        <f>(61.5*KFC!$B$25*1.02*1.15*1.05+KFC!$C$25)*KFC!$C$5</f>
        <v>75.746475000000004</v>
      </c>
      <c r="K94" s="315">
        <f>(65.3*KFC!$B$25*1.02*1.15*1.05+KFC!$C$25)*KFC!$C$5</f>
        <v>80.426744999999997</v>
      </c>
      <c r="L94" s="316">
        <f>(69.1*KFC!$B$25*1.02*1.15*1.05+KFC!$C$25)*KFC!$C$5</f>
        <v>85.107015000000004</v>
      </c>
      <c r="M94" s="438"/>
      <c r="N94" s="438"/>
    </row>
    <row r="95" spans="1:14">
      <c r="A95" s="1538"/>
      <c r="B95" s="224">
        <v>1.6</v>
      </c>
      <c r="C95" s="314">
        <f>(36.1*KFC!$B$25*1.02*1.15*1.05+KFC!$C$25)*KFC!$C$5</f>
        <v>44.462565000000005</v>
      </c>
      <c r="D95" s="315">
        <f>(40.1*KFC!$B$25*1.02*1.15*1.05+KFC!$C$25)*KFC!$C$5</f>
        <v>49.389164999999998</v>
      </c>
      <c r="E95" s="315">
        <f>(44*KFC!$B$25*1.02*1.15*1.05+KFC!$C$25)*KFC!$C$5</f>
        <v>54.192600000000006</v>
      </c>
      <c r="F95" s="315">
        <f>(48.1*KFC!$B$25*1.02*1.15*1.05+KFC!$C$25)*KFC!$C$5</f>
        <v>59.242365000000007</v>
      </c>
      <c r="G95" s="315">
        <f>(52.1*KFC!$B$25*1.02*1.15*1.05+KFC!$C$25)*KFC!$C$5</f>
        <v>64.168965</v>
      </c>
      <c r="H95" s="315">
        <f>(56*KFC!$B$25*1.02*1.15*1.05+KFC!$C$25)*KFC!$C$5</f>
        <v>68.972400000000007</v>
      </c>
      <c r="I95" s="315">
        <f>(60*KFC!$B$25*1.02*1.15*1.05+KFC!$C$25)*KFC!$C$5</f>
        <v>73.899000000000001</v>
      </c>
      <c r="J95" s="315">
        <f>(64*KFC!$B$25*1.02*1.15*1.05+KFC!$C$25)*KFC!$C$5</f>
        <v>78.825599999999994</v>
      </c>
      <c r="K95" s="315">
        <f>(68*KFC!$B$25*1.02*1.15*1.05+KFC!$C$25)*KFC!$C$5</f>
        <v>83.752200000000002</v>
      </c>
      <c r="L95" s="316">
        <f>(71.9*KFC!$B$25*1.02*1.15*1.05+KFC!$C$25)*KFC!$C$5</f>
        <v>88.555635000000009</v>
      </c>
      <c r="M95" s="438"/>
      <c r="N95" s="438"/>
    </row>
    <row r="96" spans="1:14">
      <c r="A96" s="1538"/>
      <c r="B96" s="224">
        <v>1.7</v>
      </c>
      <c r="C96" s="314">
        <f>(37.2*KFC!$B$25*1.02*1.15*1.05+KFC!$C$25)*KFC!$C$5</f>
        <v>45.81738</v>
      </c>
      <c r="D96" s="315">
        <f>(41.3*KFC!$B$25*1.02*1.15*1.05+KFC!$C$25)*KFC!$C$5</f>
        <v>50.867145000000001</v>
      </c>
      <c r="E96" s="315">
        <f>(45.5*KFC!$B$25*1.02*1.15*1.05+KFC!$C$25)*KFC!$C$5</f>
        <v>56.040075000000002</v>
      </c>
      <c r="F96" s="315">
        <f>(49.8*KFC!$B$25*1.02*1.15*1.05+KFC!$C$25)*KFC!$C$5</f>
        <v>61.336170000000003</v>
      </c>
      <c r="G96" s="315">
        <f>(53.9*KFC!$B$25*1.02*1.15*1.05+KFC!$C$25)*KFC!$C$5</f>
        <v>66.385935000000003</v>
      </c>
      <c r="H96" s="315">
        <f>(58.1*KFC!$B$25*1.02*1.15*1.05+KFC!$C$25)*KFC!$C$5</f>
        <v>71.558864999999997</v>
      </c>
      <c r="I96" s="315">
        <f>(62.3*KFC!$B$25*1.02*1.15*1.05+KFC!$C$25)*KFC!$C$5</f>
        <v>76.731795000000005</v>
      </c>
      <c r="J96" s="315">
        <f>(66.4*KFC!$B$25*1.02*1.15*1.05+KFC!$C$25)*KFC!$C$5</f>
        <v>81.781560000000013</v>
      </c>
      <c r="K96" s="315">
        <f>(70.6*KFC!$B$25*1.02*1.15*1.05+KFC!$C$25)*KFC!$C$5</f>
        <v>86.954490000000007</v>
      </c>
      <c r="L96" s="316">
        <f>(74.8*KFC!$B$25*1.02*1.15*1.05+KFC!$C$25)*KFC!$C$5</f>
        <v>92.127419999999987</v>
      </c>
      <c r="M96" s="438"/>
      <c r="N96" s="438"/>
    </row>
    <row r="97" spans="1:14">
      <c r="A97" s="1538"/>
      <c r="B97" s="224">
        <v>1.8</v>
      </c>
      <c r="C97" s="314">
        <f>(38.3*KFC!$B$25*1.02*1.15*1.05+KFC!$C$25)*KFC!$C$5</f>
        <v>47.172194999999995</v>
      </c>
      <c r="D97" s="315">
        <f>(42.6*KFC!$B$25*1.02*1.15*1.05+KFC!$C$25)*KFC!$C$5</f>
        <v>52.468290000000003</v>
      </c>
      <c r="E97" s="315">
        <f>(47*KFC!$B$25*1.02*1.15*1.05+KFC!$C$25)*KFC!$C$5</f>
        <v>57.887549999999997</v>
      </c>
      <c r="F97" s="315">
        <f>(51.4*KFC!$B$25*1.02*1.15*1.05+KFC!$C$25)*KFC!$C$5</f>
        <v>63.306809999999999</v>
      </c>
      <c r="G97" s="315">
        <f>(55.8*KFC!$B$25*1.02*1.15*1.05+KFC!$C$25)*KFC!$C$5</f>
        <v>68.726069999999993</v>
      </c>
      <c r="H97" s="315">
        <f>(60.2*KFC!$B$25*1.02*1.15*1.05+KFC!$C$25)*KFC!$C$5</f>
        <v>74.145330000000001</v>
      </c>
      <c r="I97" s="315">
        <f>(64.6*KFC!$B$25*1.02*1.15*1.05+KFC!$C$25)*KFC!$C$5</f>
        <v>79.564589999999995</v>
      </c>
      <c r="J97" s="315">
        <f>(68.9*KFC!$B$25*1.02*1.15*1.05+KFC!$C$25)*KFC!$C$5</f>
        <v>84.860685000000004</v>
      </c>
      <c r="K97" s="315">
        <f>(73.3*KFC!$B$25*1.02*1.15*1.05+KFC!$C$25)*KFC!$C$5</f>
        <v>90.279945000000012</v>
      </c>
      <c r="L97" s="316">
        <f>(77.7*KFC!$B$25*1.02*1.15*1.05+KFC!$C$25)*KFC!$C$5</f>
        <v>95.699205000000006</v>
      </c>
      <c r="M97" s="438"/>
      <c r="N97" s="438"/>
    </row>
    <row r="98" spans="1:14">
      <c r="A98" s="1538"/>
      <c r="B98" s="224">
        <v>1.9</v>
      </c>
      <c r="C98" s="314">
        <f>(39.3*KFC!$B$25*1.02*1.15*1.05+KFC!$C$25)*KFC!$C$5</f>
        <v>48.403844999999997</v>
      </c>
      <c r="D98" s="315">
        <f>(43.9*KFC!$B$25*1.02*1.15*1.05+KFC!$C$25)*KFC!$C$5</f>
        <v>54.069434999999999</v>
      </c>
      <c r="E98" s="315">
        <f>(48.4*KFC!$B$25*1.02*1.15*1.05+KFC!$C$25)*KFC!$C$5</f>
        <v>59.61186</v>
      </c>
      <c r="F98" s="315">
        <f>(53.1*KFC!$B$25*1.02*1.15*1.05+KFC!$C$25)*KFC!$C$5</f>
        <v>65.400615000000002</v>
      </c>
      <c r="G98" s="315">
        <f>(57.6*KFC!$B$25*1.02*1.15*1.05+KFC!$C$25)*KFC!$C$5</f>
        <v>70.943039999999996</v>
      </c>
      <c r="H98" s="315">
        <f>(62.3*KFC!$B$25*1.02*1.15*1.05+KFC!$C$25)*KFC!$C$5</f>
        <v>76.731795000000005</v>
      </c>
      <c r="I98" s="315">
        <f>(66.8*KFC!$B$25*1.02*1.15*1.05+KFC!$C$25)*KFC!$C$5</f>
        <v>82.27422</v>
      </c>
      <c r="J98" s="315">
        <f>(71.4*KFC!$B$25*1.02*1.15*1.05+KFC!$C$25)*KFC!$C$5</f>
        <v>87.939810000000008</v>
      </c>
      <c r="K98" s="315">
        <f>(75.9*KFC!$B$25*1.02*1.15*1.05+KFC!$C$25)*KFC!$C$5</f>
        <v>93.482235000000003</v>
      </c>
      <c r="L98" s="316">
        <f>(80.5*KFC!$B$25*1.02*1.15*1.05+KFC!$C$25)*KFC!$C$5</f>
        <v>99.147824999999997</v>
      </c>
      <c r="M98" s="438"/>
      <c r="N98" s="438"/>
    </row>
    <row r="99" spans="1:14" ht="13.8" thickBot="1">
      <c r="A99" s="1539"/>
      <c r="B99" s="225">
        <v>2</v>
      </c>
      <c r="C99" s="317">
        <f>(40.4*KFC!$B$25*1.02*1.15*1.05+KFC!$C$25)*KFC!$C$5</f>
        <v>49.758659999999999</v>
      </c>
      <c r="D99" s="318">
        <f>(45.1*KFC!$B$25*1.02*1.15*1.05+KFC!$C$25)*KFC!$C$5</f>
        <v>55.547415000000001</v>
      </c>
      <c r="E99" s="318">
        <f>(49.9*KFC!$B$25*1.02*1.15*1.05+KFC!$C$25)*KFC!$C$5</f>
        <v>61.459334999999996</v>
      </c>
      <c r="F99" s="318">
        <f>(54.7*KFC!$B$25*1.02*1.15*1.05+KFC!$C$25)*KFC!$C$5</f>
        <v>67.371255000000005</v>
      </c>
      <c r="G99" s="318">
        <f>(59.4*KFC!$B$25*1.02*1.15*1.05+KFC!$C$25)*KFC!$C$5</f>
        <v>73.16001</v>
      </c>
      <c r="H99" s="318">
        <f>(64.2*KFC!$B$25*1.02*1.15*1.05+KFC!$C$25)*KFC!$C$5</f>
        <v>79.071930000000009</v>
      </c>
      <c r="I99" s="318">
        <f>(69.1*KFC!$B$25*1.02*1.15*1.05+KFC!$C$25)*KFC!$C$5</f>
        <v>85.107015000000004</v>
      </c>
      <c r="J99" s="318">
        <f>(73.9*KFC!$B$25*1.02*1.15*1.05+KFC!$C$25)*KFC!$C$5</f>
        <v>91.018934999999999</v>
      </c>
      <c r="K99" s="318">
        <f>(78.6*KFC!$B$25*1.02*1.15*1.05+KFC!$C$25)*KFC!$C$5</f>
        <v>96.807689999999994</v>
      </c>
      <c r="L99" s="319">
        <f>(83.4*KFC!$B$25*1.02*1.15*1.05+KFC!$C$25)*KFC!$C$5</f>
        <v>102.71961000000002</v>
      </c>
      <c r="M99" s="438"/>
      <c r="N99" s="438"/>
    </row>
    <row r="100" spans="1:14" ht="13.8" thickBot="1">
      <c r="A100" s="249"/>
      <c r="B100" s="249"/>
      <c r="C100" s="249"/>
      <c r="D100" s="249"/>
      <c r="E100" s="249"/>
      <c r="F100" s="249"/>
      <c r="G100" s="249"/>
      <c r="H100" s="249"/>
      <c r="I100" s="249"/>
      <c r="J100" s="249"/>
      <c r="K100" s="249"/>
      <c r="L100" s="249"/>
      <c r="M100" s="438"/>
      <c r="N100" s="438"/>
    </row>
    <row r="101" spans="1:14" ht="13.5" customHeight="1" thickBot="1">
      <c r="A101" s="1413" t="s">
        <v>320</v>
      </c>
      <c r="B101" s="1415"/>
      <c r="C101" s="1534" t="s">
        <v>207</v>
      </c>
      <c r="D101" s="1535"/>
      <c r="E101" s="1535"/>
      <c r="F101" s="1535"/>
      <c r="G101" s="1535"/>
      <c r="H101" s="1535"/>
      <c r="I101" s="1535"/>
      <c r="J101" s="1535"/>
      <c r="K101" s="1535"/>
      <c r="L101" s="1536"/>
      <c r="M101" s="438"/>
      <c r="N101" s="438"/>
    </row>
    <row r="102" spans="1:14" ht="13.8" thickBot="1">
      <c r="A102" s="1416"/>
      <c r="B102" s="1418"/>
      <c r="C102" s="428">
        <v>0.4</v>
      </c>
      <c r="D102" s="428">
        <v>0.5</v>
      </c>
      <c r="E102" s="428">
        <v>0.6</v>
      </c>
      <c r="F102" s="428">
        <v>0.7</v>
      </c>
      <c r="G102" s="428">
        <v>0.8</v>
      </c>
      <c r="H102" s="428">
        <v>0.9</v>
      </c>
      <c r="I102" s="428">
        <v>1</v>
      </c>
      <c r="J102" s="428">
        <v>1.1000000000000001</v>
      </c>
      <c r="K102" s="428">
        <v>1.2</v>
      </c>
      <c r="L102" s="113">
        <v>1.3</v>
      </c>
      <c r="M102" s="438"/>
      <c r="N102" s="438"/>
    </row>
    <row r="103" spans="1:14" ht="12.75" customHeight="1">
      <c r="A103" s="1537" t="s">
        <v>3</v>
      </c>
      <c r="B103" s="226">
        <v>0.5</v>
      </c>
      <c r="C103" s="311">
        <f>(30.6*KFC!$B$25*1.02*1.15*1.05+KFC!$C$25)*KFC!$C$5</f>
        <v>37.688490000000002</v>
      </c>
      <c r="D103" s="312">
        <f>(32.3*KFC!$B$25*1.02*1.15*1.05+KFC!$C$25)*KFC!$C$5</f>
        <v>39.782294999999998</v>
      </c>
      <c r="E103" s="312">
        <f>(33.9*KFC!$B$25*1.02*1.15*1.05+KFC!$C$25)*KFC!$C$5</f>
        <v>41.752934999999994</v>
      </c>
      <c r="F103" s="312">
        <f>(35.6*KFC!$B$25*1.02*1.15*1.05+KFC!$C$25)*KFC!$C$5</f>
        <v>43.846740000000004</v>
      </c>
      <c r="G103" s="312">
        <f>(37.3*KFC!$B$25*1.02*1.15*1.05+KFC!$C$25)*KFC!$C$5</f>
        <v>45.940545</v>
      </c>
      <c r="H103" s="312">
        <f>(38.9*KFC!$B$25*1.02*1.15*1.05+KFC!$C$25)*KFC!$C$5</f>
        <v>47.911184999999996</v>
      </c>
      <c r="I103" s="312">
        <f>(40.5*KFC!$B$25*1.02*1.15*1.05+KFC!$C$25)*KFC!$C$5</f>
        <v>49.881824999999999</v>
      </c>
      <c r="J103" s="312">
        <f>(42.2*KFC!$B$25*1.02*1.15*1.05+KFC!$C$25)*KFC!$C$5</f>
        <v>51.975630000000002</v>
      </c>
      <c r="K103" s="312">
        <f>(43.7*KFC!$B$25*1.02*1.15*1.05+KFC!$C$25)*KFC!$C$5</f>
        <v>53.823105000000005</v>
      </c>
      <c r="L103" s="313">
        <f>(45.3*KFC!$B$25*1.02*1.15*1.05+KFC!$C$25)*KFC!$C$5</f>
        <v>55.793744999999994</v>
      </c>
      <c r="M103" s="438"/>
      <c r="N103" s="438"/>
    </row>
    <row r="104" spans="1:14">
      <c r="A104" s="1538"/>
      <c r="B104" s="224">
        <v>0.6</v>
      </c>
      <c r="C104" s="314">
        <f>(32*KFC!$B$25*1.02*1.15*1.05+KFC!$C$25)*KFC!$C$5</f>
        <v>39.412799999999997</v>
      </c>
      <c r="D104" s="315">
        <f>(34*KFC!$B$25*1.02*1.15*1.05+KFC!$C$25)*KFC!$C$5</f>
        <v>41.876100000000001</v>
      </c>
      <c r="E104" s="315">
        <f>(36.1*KFC!$B$25*1.02*1.15*1.05+KFC!$C$25)*KFC!$C$5</f>
        <v>44.462565000000005</v>
      </c>
      <c r="F104" s="315">
        <f>(38*KFC!$B$25*1.02*1.15*1.05+KFC!$C$25)*KFC!$C$5</f>
        <v>46.802699999999994</v>
      </c>
      <c r="G104" s="315">
        <f>(40*KFC!$B$25*1.02*1.15*1.05+KFC!$C$25)*KFC!$C$5</f>
        <v>49.265999999999998</v>
      </c>
      <c r="H104" s="315">
        <f>(42.1*KFC!$B$25*1.02*1.15*1.05+KFC!$C$25)*KFC!$C$5</f>
        <v>51.852465000000002</v>
      </c>
      <c r="I104" s="315">
        <f>(44*KFC!$B$25*1.02*1.15*1.05+KFC!$C$25)*KFC!$C$5</f>
        <v>54.192600000000006</v>
      </c>
      <c r="J104" s="315">
        <f>(46*KFC!$B$25*1.02*1.15*1.05+KFC!$C$25)*KFC!$C$5</f>
        <v>56.655900000000003</v>
      </c>
      <c r="K104" s="315">
        <f>(47.9*KFC!$B$25*1.02*1.15*1.05+KFC!$C$25)*KFC!$C$5</f>
        <v>58.996034999999999</v>
      </c>
      <c r="L104" s="316">
        <f>(50*KFC!$B$25*1.02*1.15*1.05+KFC!$C$25)*KFC!$C$5</f>
        <v>61.582500000000003</v>
      </c>
      <c r="M104" s="438"/>
      <c r="N104" s="438"/>
    </row>
    <row r="105" spans="1:14">
      <c r="A105" s="1538"/>
      <c r="B105" s="224">
        <v>0.7</v>
      </c>
      <c r="C105" s="314">
        <f>(33.5*KFC!$B$25*1.02*1.15*1.05+KFC!$C$25)*KFC!$C$5</f>
        <v>41.260275</v>
      </c>
      <c r="D105" s="315">
        <f>(35.8*KFC!$B$25*1.02*1.15*1.05+KFC!$C$25)*KFC!$C$5</f>
        <v>44.093069999999997</v>
      </c>
      <c r="E105" s="315">
        <f>(38.2*KFC!$B$25*1.02*1.15*1.05+KFC!$C$25)*KFC!$C$5</f>
        <v>47.049030000000009</v>
      </c>
      <c r="F105" s="315">
        <f>(40.5*KFC!$B$25*1.02*1.15*1.05+KFC!$C$25)*KFC!$C$5</f>
        <v>49.881824999999999</v>
      </c>
      <c r="G105" s="315">
        <f>(42.8*KFC!$B$25*1.02*1.15*1.05+KFC!$C$25)*KFC!$C$5</f>
        <v>52.714619999999996</v>
      </c>
      <c r="H105" s="315">
        <f>(45.1*KFC!$B$25*1.02*1.15*1.05+KFC!$C$25)*KFC!$C$5</f>
        <v>55.547415000000001</v>
      </c>
      <c r="I105" s="315">
        <f>(47.5*KFC!$B$25*1.02*1.15*1.05+KFC!$C$25)*KFC!$C$5</f>
        <v>58.503375000000005</v>
      </c>
      <c r="J105" s="315">
        <f>(49.8*KFC!$B$25*1.02*1.15*1.05+KFC!$C$25)*KFC!$C$5</f>
        <v>61.336170000000003</v>
      </c>
      <c r="K105" s="315">
        <f>(52.1*KFC!$B$25*1.02*1.15*1.05+KFC!$C$25)*KFC!$C$5</f>
        <v>64.168965</v>
      </c>
      <c r="L105" s="316">
        <f>(54.4*KFC!$B$25*1.02*1.15*1.05+KFC!$C$25)*KFC!$C$5</f>
        <v>67.00175999999999</v>
      </c>
      <c r="M105" s="438"/>
      <c r="N105" s="438"/>
    </row>
    <row r="106" spans="1:14">
      <c r="A106" s="1538"/>
      <c r="B106" s="224">
        <v>0.8</v>
      </c>
      <c r="C106" s="314">
        <f>(35*KFC!$B$25*1.02*1.15*1.05+KFC!$C$25)*KFC!$C$5</f>
        <v>43.107750000000003</v>
      </c>
      <c r="D106" s="315">
        <f>(37.7*KFC!$B$25*1.02*1.15*1.05+KFC!$C$25)*KFC!$C$5</f>
        <v>46.433205000000001</v>
      </c>
      <c r="E106" s="315">
        <f>(40.2*KFC!$B$25*1.02*1.15*1.05+KFC!$C$25)*KFC!$C$5</f>
        <v>49.512330000000006</v>
      </c>
      <c r="F106" s="315">
        <f>(42.9*KFC!$B$25*1.02*1.15*1.05+KFC!$C$25)*KFC!$C$5</f>
        <v>52.837785000000004</v>
      </c>
      <c r="G106" s="315">
        <f>(45.6*KFC!$B$25*1.02*1.15*1.05+KFC!$C$25)*KFC!$C$5</f>
        <v>56.163240000000002</v>
      </c>
      <c r="H106" s="315">
        <f>(48.2*KFC!$B$25*1.02*1.15*1.05+KFC!$C$25)*KFC!$C$5</f>
        <v>59.36553</v>
      </c>
      <c r="I106" s="315">
        <f>(50.9*KFC!$B$25*1.02*1.15*1.05+KFC!$C$25)*KFC!$C$5</f>
        <v>62.690984999999998</v>
      </c>
      <c r="J106" s="315">
        <f>(53.4*KFC!$B$25*1.02*1.15*1.05+KFC!$C$25)*KFC!$C$5</f>
        <v>65.770109999999988</v>
      </c>
      <c r="K106" s="315">
        <f>(56.1*KFC!$B$25*1.02*1.15*1.05+KFC!$C$25)*KFC!$C$5</f>
        <v>69.095565000000008</v>
      </c>
      <c r="L106" s="316">
        <f>(58.8*KFC!$B$25*1.02*1.15*1.05+KFC!$C$25)*KFC!$C$5</f>
        <v>72.421019999999999</v>
      </c>
      <c r="M106" s="438"/>
      <c r="N106" s="438"/>
    </row>
    <row r="107" spans="1:14">
      <c r="A107" s="1538"/>
      <c r="B107" s="224">
        <v>0.9</v>
      </c>
      <c r="C107" s="314">
        <f>(36.4*KFC!$B$25*1.02*1.15*1.05+KFC!$C$25)*KFC!$C$5</f>
        <v>44.832059999999998</v>
      </c>
      <c r="D107" s="315">
        <f>(39.4*KFC!$B$25*1.02*1.15*1.05+KFC!$C$25)*KFC!$C$5</f>
        <v>48.527010000000004</v>
      </c>
      <c r="E107" s="315">
        <f>(42.4*KFC!$B$25*1.02*1.15*1.05+KFC!$C$25)*KFC!$C$5</f>
        <v>52.221959999999996</v>
      </c>
      <c r="F107" s="315">
        <f>(45.4*KFC!$B$25*1.02*1.15*1.05+KFC!$C$25)*KFC!$C$5</f>
        <v>55.916910000000001</v>
      </c>
      <c r="G107" s="315">
        <f>(48.3*KFC!$B$25*1.02*1.15*1.05+KFC!$C$25)*KFC!$C$5</f>
        <v>59.488695</v>
      </c>
      <c r="H107" s="315">
        <f>(51.4*KFC!$B$25*1.02*1.15*1.05+KFC!$C$25)*KFC!$C$5</f>
        <v>63.306809999999999</v>
      </c>
      <c r="I107" s="315">
        <f>(54.3*KFC!$B$25*1.02*1.15*1.05+KFC!$C$25)*KFC!$C$5</f>
        <v>66.87859499999999</v>
      </c>
      <c r="J107" s="315">
        <f>(57.2*KFC!$B$25*1.02*1.15*1.05+KFC!$C$25)*KFC!$C$5</f>
        <v>70.450379999999996</v>
      </c>
      <c r="K107" s="315">
        <f>(60.2*KFC!$B$25*1.02*1.15*1.05+KFC!$C$25)*KFC!$C$5</f>
        <v>74.145330000000001</v>
      </c>
      <c r="L107" s="316">
        <f>(63.2*KFC!$B$25*1.02*1.15*1.05+KFC!$C$25)*KFC!$C$5</f>
        <v>77.840279999999993</v>
      </c>
      <c r="M107" s="438"/>
      <c r="N107" s="438"/>
    </row>
    <row r="108" spans="1:14">
      <c r="A108" s="1538"/>
      <c r="B108" s="224">
        <v>1</v>
      </c>
      <c r="C108" s="314">
        <f>(37.9*KFC!$B$25*1.02*1.15*1.05+KFC!$C$25)*KFC!$C$5</f>
        <v>46.679535000000001</v>
      </c>
      <c r="D108" s="315">
        <f>(41.2*KFC!$B$25*1.02*1.15*1.05+KFC!$C$25)*KFC!$C$5</f>
        <v>50.743980000000001</v>
      </c>
      <c r="E108" s="315">
        <f>(44.5*KFC!$B$25*1.02*1.15*1.05+KFC!$C$25)*KFC!$C$5</f>
        <v>54.808425</v>
      </c>
      <c r="F108" s="315">
        <f>(47.8*KFC!$B$25*1.02*1.15*1.05+KFC!$C$25)*KFC!$C$5</f>
        <v>58.872869999999999</v>
      </c>
      <c r="G108" s="315">
        <f>(51.1*KFC!$B$25*1.02*1.15*1.05+KFC!$C$25)*KFC!$C$5</f>
        <v>62.937314999999998</v>
      </c>
      <c r="H108" s="315">
        <f>(54.4*KFC!$B$25*1.02*1.15*1.05+KFC!$C$25)*KFC!$C$5</f>
        <v>67.00175999999999</v>
      </c>
      <c r="I108" s="315">
        <f>(57.7*KFC!$B$25*1.02*1.15*1.05+KFC!$C$25)*KFC!$C$5</f>
        <v>71.066205000000011</v>
      </c>
      <c r="J108" s="315">
        <f>(61*KFC!$B$25*1.02*1.15*1.05+KFC!$C$25)*KFC!$C$5</f>
        <v>75.130650000000003</v>
      </c>
      <c r="K108" s="315">
        <f>(64.3*KFC!$B$25*1.02*1.15*1.05+KFC!$C$25)*KFC!$C$5</f>
        <v>79.195094999999995</v>
      </c>
      <c r="L108" s="316">
        <f>(67.6*KFC!$B$25*1.02*1.15*1.05+KFC!$C$25)*KFC!$C$5</f>
        <v>83.259540000000001</v>
      </c>
      <c r="M108" s="438"/>
      <c r="N108" s="438"/>
    </row>
    <row r="109" spans="1:14">
      <c r="A109" s="1538"/>
      <c r="B109" s="224">
        <v>1.1000000000000001</v>
      </c>
      <c r="C109" s="314">
        <f>(39.4*KFC!$B$25*1.02*1.15*1.05+KFC!$C$25)*KFC!$C$5</f>
        <v>48.527010000000004</v>
      </c>
      <c r="D109" s="315">
        <f>(43*KFC!$B$25*1.02*1.15*1.05+KFC!$C$25)*KFC!$C$5</f>
        <v>52.960949999999997</v>
      </c>
      <c r="E109" s="315">
        <f>(46.6*KFC!$B$25*1.02*1.15*1.05+KFC!$C$25)*KFC!$C$5</f>
        <v>57.394890000000004</v>
      </c>
      <c r="F109" s="315">
        <f>(50.3*KFC!$B$25*1.02*1.15*1.05+KFC!$C$25)*KFC!$C$5</f>
        <v>61.951994999999997</v>
      </c>
      <c r="G109" s="315">
        <f>(53.9*KFC!$B$25*1.02*1.15*1.05+KFC!$C$25)*KFC!$C$5</f>
        <v>66.385935000000003</v>
      </c>
      <c r="H109" s="315">
        <f>(57.5*KFC!$B$25*1.02*1.15*1.05+KFC!$C$25)*KFC!$C$5</f>
        <v>70.819874999999996</v>
      </c>
      <c r="I109" s="315">
        <f>(61.2*KFC!$B$25*1.02*1.15*1.05+KFC!$C$25)*KFC!$C$5</f>
        <v>75.376980000000003</v>
      </c>
      <c r="J109" s="315">
        <f>(64.7*KFC!$B$25*1.02*1.15*1.05+KFC!$C$25)*KFC!$C$5</f>
        <v>79.687754999999996</v>
      </c>
      <c r="K109" s="315">
        <f>(68.4*KFC!$B$25*1.02*1.15*1.05+KFC!$C$25)*KFC!$C$5</f>
        <v>84.244860000000003</v>
      </c>
      <c r="L109" s="316">
        <f>(72*KFC!$B$25*1.02*1.15*1.05+KFC!$C$25)*KFC!$C$5</f>
        <v>88.678799999999995</v>
      </c>
      <c r="M109" s="438"/>
      <c r="N109" s="438"/>
    </row>
    <row r="110" spans="1:14">
      <c r="A110" s="1538"/>
      <c r="B110" s="224">
        <v>1.2</v>
      </c>
      <c r="C110" s="314">
        <f>(40.8*KFC!$B$25*1.02*1.15*1.05+KFC!$C$25)*KFC!$C$5</f>
        <v>50.25132</v>
      </c>
      <c r="D110" s="315">
        <f>(44.8*KFC!$B$25*1.02*1.15*1.05+KFC!$C$25)*KFC!$C$5</f>
        <v>55.17792</v>
      </c>
      <c r="E110" s="315">
        <f>(48.8*KFC!$B$25*1.02*1.15*1.05+KFC!$C$25)*KFC!$C$5</f>
        <v>60.104519999999994</v>
      </c>
      <c r="F110" s="315">
        <f>(52.7*KFC!$B$25*1.02*1.15*1.05+KFC!$C$25)*KFC!$C$5</f>
        <v>64.907955000000001</v>
      </c>
      <c r="G110" s="315">
        <f>(56.6*KFC!$B$25*1.02*1.15*1.05+KFC!$C$25)*KFC!$C$5</f>
        <v>69.711389999999994</v>
      </c>
      <c r="H110" s="315">
        <f>(60.7*KFC!$B$25*1.02*1.15*1.05+KFC!$C$25)*KFC!$C$5</f>
        <v>74.761155000000002</v>
      </c>
      <c r="I110" s="315">
        <f>(64.6*KFC!$B$25*1.02*1.15*1.05+KFC!$C$25)*KFC!$C$5</f>
        <v>79.564589999999995</v>
      </c>
      <c r="J110" s="315">
        <f>(68.5*KFC!$B$25*1.02*1.15*1.05+KFC!$C$25)*KFC!$C$5</f>
        <v>84.368025000000003</v>
      </c>
      <c r="K110" s="315">
        <f>(72.4*KFC!$B$25*1.02*1.15*1.05+KFC!$C$25)*KFC!$C$5</f>
        <v>89.17146000000001</v>
      </c>
      <c r="L110" s="316">
        <f>(76.4*KFC!$B$25*1.02*1.15*1.05+KFC!$C$25)*KFC!$C$5</f>
        <v>94.098060000000018</v>
      </c>
      <c r="M110" s="438"/>
      <c r="N110" s="438"/>
    </row>
    <row r="111" spans="1:14">
      <c r="A111" s="1538"/>
      <c r="B111" s="224">
        <v>1.3</v>
      </c>
      <c r="C111" s="314">
        <f>(42.3*KFC!$B$25*1.02*1.15*1.05+KFC!$C$25)*KFC!$C$5</f>
        <v>52.098795000000003</v>
      </c>
      <c r="D111" s="315">
        <f>(46.6*KFC!$B$25*1.02*1.15*1.05+KFC!$C$25)*KFC!$C$5</f>
        <v>57.394890000000004</v>
      </c>
      <c r="E111" s="315">
        <f>(50.9*KFC!$B$25*1.02*1.15*1.05+KFC!$C$25)*KFC!$C$5</f>
        <v>62.690984999999998</v>
      </c>
      <c r="F111" s="315">
        <f>(55.2*KFC!$B$25*1.02*1.15*1.05+KFC!$C$25)*KFC!$C$5</f>
        <v>67.987080000000006</v>
      </c>
      <c r="G111" s="315">
        <f>(59.4*KFC!$B$25*1.02*1.15*1.05+KFC!$C$25)*KFC!$C$5</f>
        <v>73.16001</v>
      </c>
      <c r="H111" s="315">
        <f>(63.7*KFC!$B$25*1.02*1.15*1.05+KFC!$C$25)*KFC!$C$5</f>
        <v>78.456105000000008</v>
      </c>
      <c r="I111" s="315">
        <f>(68*KFC!$B$25*1.02*1.15*1.05+KFC!$C$25)*KFC!$C$5</f>
        <v>83.752200000000002</v>
      </c>
      <c r="J111" s="315">
        <f>(72.3*KFC!$B$25*1.02*1.15*1.05+KFC!$C$25)*KFC!$C$5</f>
        <v>89.048294999999996</v>
      </c>
      <c r="K111" s="315">
        <f>(76.6*KFC!$B$25*1.02*1.15*1.05+KFC!$C$25)*KFC!$C$5</f>
        <v>94.34438999999999</v>
      </c>
      <c r="L111" s="316">
        <f>(80.8*KFC!$B$25*1.02*1.15*1.05+KFC!$C$25)*KFC!$C$5</f>
        <v>99.517319999999998</v>
      </c>
      <c r="M111" s="438"/>
      <c r="N111" s="438"/>
    </row>
    <row r="112" spans="1:14">
      <c r="A112" s="1538"/>
      <c r="B112" s="224">
        <v>1.4</v>
      </c>
      <c r="C112" s="314">
        <f>(43.8*KFC!$B$25*1.02*1.15*1.05+KFC!$C$25)*KFC!$C$5</f>
        <v>53.946269999999991</v>
      </c>
      <c r="D112" s="315">
        <f>(48.4*KFC!$B$25*1.02*1.15*1.05+KFC!$C$25)*KFC!$C$5</f>
        <v>59.61186</v>
      </c>
      <c r="E112" s="315">
        <f>(53*KFC!$B$25*1.02*1.15*1.05+KFC!$C$25)*KFC!$C$5</f>
        <v>65.277450000000002</v>
      </c>
      <c r="F112" s="315">
        <f>(57.6*KFC!$B$25*1.02*1.15*1.05+KFC!$C$25)*KFC!$C$5</f>
        <v>70.943039999999996</v>
      </c>
      <c r="G112" s="315">
        <f>(62.3*KFC!$B$25*1.02*1.15*1.05+KFC!$C$25)*KFC!$C$5</f>
        <v>76.731795000000005</v>
      </c>
      <c r="H112" s="315">
        <f>(66.8*KFC!$B$25*1.02*1.15*1.05+KFC!$C$25)*KFC!$C$5</f>
        <v>82.27422</v>
      </c>
      <c r="I112" s="315">
        <f>(71.4*KFC!$B$25*1.02*1.15*1.05+KFC!$C$25)*KFC!$C$5</f>
        <v>87.939810000000008</v>
      </c>
      <c r="J112" s="315">
        <f>(75.9*KFC!$B$25*1.02*1.15*1.05+KFC!$C$25)*KFC!$C$5</f>
        <v>93.482235000000003</v>
      </c>
      <c r="K112" s="315">
        <f>(80.6*KFC!$B$25*1.02*1.15*1.05+KFC!$C$25)*KFC!$C$5</f>
        <v>99.270989999999983</v>
      </c>
      <c r="L112" s="316">
        <f>(85.2*KFC!$B$25*1.02*1.15*1.05+KFC!$C$25)*KFC!$C$5</f>
        <v>104.93658000000001</v>
      </c>
      <c r="M112" s="438"/>
      <c r="N112" s="438"/>
    </row>
    <row r="113" spans="1:14">
      <c r="A113" s="1538"/>
      <c r="B113" s="224">
        <v>1.5</v>
      </c>
      <c r="C113" s="314">
        <f>(45.3*KFC!$B$25*1.02*1.15*1.05+KFC!$C$25)*KFC!$C$5</f>
        <v>55.793744999999994</v>
      </c>
      <c r="D113" s="315">
        <f>(50.1*KFC!$B$25*1.02*1.15*1.05+KFC!$C$25)*KFC!$C$5</f>
        <v>61.705665000000003</v>
      </c>
      <c r="E113" s="315">
        <f>(55.2*KFC!$B$25*1.02*1.15*1.05+KFC!$C$25)*KFC!$C$5</f>
        <v>67.987080000000006</v>
      </c>
      <c r="F113" s="315">
        <f>(60*KFC!$B$25*1.02*1.15*1.05+KFC!$C$25)*KFC!$C$5</f>
        <v>73.899000000000001</v>
      </c>
      <c r="G113" s="315">
        <f>(64.9*KFC!$B$25*1.02*1.15*1.05+KFC!$C$25)*KFC!$C$5</f>
        <v>79.93408500000001</v>
      </c>
      <c r="H113" s="315">
        <f>(70*KFC!$B$25*1.02*1.15*1.05+KFC!$C$25)*KFC!$C$5</f>
        <v>86.215500000000006</v>
      </c>
      <c r="I113" s="315">
        <f>(74.8*KFC!$B$25*1.02*1.15*1.05+KFC!$C$25)*KFC!$C$5</f>
        <v>92.127419999999987</v>
      </c>
      <c r="J113" s="315">
        <f>(79.7*KFC!$B$25*1.02*1.15*1.05+KFC!$C$25)*KFC!$C$5</f>
        <v>98.16250500000001</v>
      </c>
      <c r="K113" s="315">
        <f>(84.6*KFC!$B$25*1.02*1.15*1.05+KFC!$C$25)*KFC!$C$5</f>
        <v>104.19759000000001</v>
      </c>
      <c r="L113" s="316">
        <f>(89.6*KFC!$B$25*1.02*1.15*1.05+KFC!$C$25)*KFC!$C$5</f>
        <v>110.35584</v>
      </c>
      <c r="M113" s="438"/>
      <c r="N113" s="438"/>
    </row>
    <row r="114" spans="1:14">
      <c r="A114" s="1538"/>
      <c r="B114" s="224">
        <v>1.6</v>
      </c>
      <c r="C114" s="314">
        <f>(46.7*KFC!$B$25*1.02*1.15*1.05+KFC!$C$25)*KFC!$C$5</f>
        <v>57.518055000000004</v>
      </c>
      <c r="D114" s="315">
        <f>(52*KFC!$B$25*1.02*1.15*1.05+KFC!$C$25)*KFC!$C$5</f>
        <v>64.0458</v>
      </c>
      <c r="E114" s="315">
        <f>(57.2*KFC!$B$25*1.02*1.15*1.05+KFC!$C$25)*KFC!$C$5</f>
        <v>70.450379999999996</v>
      </c>
      <c r="F114" s="315">
        <f>(62.5*KFC!$B$25*1.02*1.15*1.05+KFC!$C$25)*KFC!$C$5</f>
        <v>76.978125000000006</v>
      </c>
      <c r="G114" s="315">
        <f>(67.8*KFC!$B$25*1.02*1.15*1.05+KFC!$C$25)*KFC!$C$5</f>
        <v>83.505869999999987</v>
      </c>
      <c r="H114" s="315">
        <f>(73*KFC!$B$25*1.02*1.15*1.05+KFC!$C$25)*KFC!$C$5</f>
        <v>89.910450000000012</v>
      </c>
      <c r="I114" s="315">
        <f>(78.3*KFC!$B$25*1.02*1.15*1.05+KFC!$C$25)*KFC!$C$5</f>
        <v>96.438194999999993</v>
      </c>
      <c r="J114" s="315">
        <f>(83.5*KFC!$B$25*1.02*1.15*1.05+KFC!$C$25)*KFC!$C$5</f>
        <v>102.842775</v>
      </c>
      <c r="K114" s="315">
        <f>(88.8*KFC!$B$25*1.02*1.15*1.05+KFC!$C$25)*KFC!$C$5</f>
        <v>109.37052</v>
      </c>
      <c r="L114" s="316">
        <f>(94*KFC!$B$25*1.02*1.15*1.05+KFC!$C$25)*KFC!$C$5</f>
        <v>115.77509999999999</v>
      </c>
      <c r="M114" s="438"/>
      <c r="N114" s="438"/>
    </row>
    <row r="115" spans="1:14">
      <c r="A115" s="1538"/>
      <c r="B115" s="224">
        <v>1.7</v>
      </c>
      <c r="C115" s="314">
        <f>(48.2*KFC!$B$25*1.02*1.15*1.05+KFC!$C$25)*KFC!$C$5</f>
        <v>59.36553</v>
      </c>
      <c r="D115" s="315">
        <f>(53.8*KFC!$B$25*1.02*1.15*1.05+KFC!$C$25)*KFC!$C$5</f>
        <v>66.262769999999989</v>
      </c>
      <c r="E115" s="315">
        <f>(59.3*KFC!$B$25*1.02*1.15*1.05+KFC!$C$25)*KFC!$C$5</f>
        <v>73.036845</v>
      </c>
      <c r="F115" s="315">
        <f>(64.9*KFC!$B$25*1.02*1.15*1.05+KFC!$C$25)*KFC!$C$5</f>
        <v>79.93408500000001</v>
      </c>
      <c r="G115" s="315">
        <f>(70.6*KFC!$B$25*1.02*1.15*1.05+KFC!$C$25)*KFC!$C$5</f>
        <v>86.954490000000007</v>
      </c>
      <c r="H115" s="315">
        <f>(76.1*KFC!$B$25*1.02*1.15*1.05+KFC!$C$25)*KFC!$C$5</f>
        <v>93.728565000000003</v>
      </c>
      <c r="I115" s="315">
        <f>(81.7*KFC!$B$25*1.02*1.15*1.05+KFC!$C$25)*KFC!$C$5</f>
        <v>100.625805</v>
      </c>
      <c r="J115" s="315">
        <f>(87.2*KFC!$B$25*1.02*1.15*1.05+KFC!$C$25)*KFC!$C$5</f>
        <v>107.39988</v>
      </c>
      <c r="K115" s="315">
        <f>(92.8*KFC!$B$25*1.02*1.15*1.05+KFC!$C$25)*KFC!$C$5</f>
        <v>114.29711999999999</v>
      </c>
      <c r="L115" s="316">
        <f>(98.5*KFC!$B$25*1.02*1.15*1.05+KFC!$C$25)*KFC!$C$5</f>
        <v>121.317525</v>
      </c>
      <c r="M115" s="438"/>
      <c r="N115" s="438"/>
    </row>
    <row r="116" spans="1:14">
      <c r="A116" s="1538"/>
      <c r="B116" s="224">
        <v>1.8</v>
      </c>
      <c r="C116" s="314">
        <f>(49.7*KFC!$B$25*1.02*1.15*1.05+KFC!$C$25)*KFC!$C$5</f>
        <v>61.213005000000003</v>
      </c>
      <c r="D116" s="315">
        <f>(55.5*KFC!$B$25*1.02*1.15*1.05+KFC!$C$25)*KFC!$C$5</f>
        <v>68.356574999999992</v>
      </c>
      <c r="E116" s="315">
        <f>(61.5*KFC!$B$25*1.02*1.15*1.05+KFC!$C$25)*KFC!$C$5</f>
        <v>75.746475000000004</v>
      </c>
      <c r="F116" s="315">
        <f>(67.4*KFC!$B$25*1.02*1.15*1.05+KFC!$C$25)*KFC!$C$5</f>
        <v>83.013210000000001</v>
      </c>
      <c r="G116" s="315">
        <f>(73.3*KFC!$B$25*1.02*1.15*1.05+KFC!$C$25)*KFC!$C$5</f>
        <v>90.279945000000012</v>
      </c>
      <c r="H116" s="315">
        <f>(79.3*KFC!$B$25*1.02*1.15*1.05+KFC!$C$25)*KFC!$C$5</f>
        <v>97.669844999999995</v>
      </c>
      <c r="I116" s="315">
        <f>(85.1*KFC!$B$25*1.02*1.15*1.05+KFC!$C$25)*KFC!$C$5</f>
        <v>104.81341499999999</v>
      </c>
      <c r="J116" s="315">
        <f>(91*KFC!$B$25*1.02*1.15*1.05+KFC!$C$25)*KFC!$C$5</f>
        <v>112.08015</v>
      </c>
      <c r="K116" s="315">
        <f>(96.9*KFC!$B$25*1.02*1.15*1.05+KFC!$C$25)*KFC!$C$5</f>
        <v>119.34688500000001</v>
      </c>
      <c r="L116" s="316">
        <f>(102.9*KFC!$B$25*1.02*1.15*1.05+KFC!$C$25)*KFC!$C$5</f>
        <v>126.73678500000001</v>
      </c>
      <c r="M116" s="438"/>
      <c r="N116" s="438"/>
    </row>
    <row r="117" spans="1:14">
      <c r="A117" s="1538"/>
      <c r="B117" s="224">
        <v>1.9</v>
      </c>
      <c r="C117" s="314">
        <f>(51.1*KFC!$B$25*1.02*1.15*1.05+KFC!$C$25)*KFC!$C$5</f>
        <v>62.937314999999998</v>
      </c>
      <c r="D117" s="315">
        <f>(57.4*KFC!$B$25*1.02*1.15*1.05+KFC!$C$25)*KFC!$C$5</f>
        <v>70.696709999999996</v>
      </c>
      <c r="E117" s="315">
        <f>(63.6*KFC!$B$25*1.02*1.15*1.05+KFC!$C$25)*KFC!$C$5</f>
        <v>78.332939999999994</v>
      </c>
      <c r="F117" s="315">
        <f>(69.8*KFC!$B$25*1.02*1.15*1.05+KFC!$C$25)*KFC!$C$5</f>
        <v>85.969169999999991</v>
      </c>
      <c r="G117" s="315">
        <f>(76.1*KFC!$B$25*1.02*1.15*1.05+KFC!$C$25)*KFC!$C$5</f>
        <v>93.728565000000003</v>
      </c>
      <c r="H117" s="315">
        <f>(82.3*KFC!$B$25*1.02*1.15*1.05+KFC!$C$25)*KFC!$C$5</f>
        <v>101.364795</v>
      </c>
      <c r="I117" s="315">
        <f>(88.5*KFC!$B$25*1.02*1.15*1.05+KFC!$C$25)*KFC!$C$5</f>
        <v>109.001025</v>
      </c>
      <c r="J117" s="315">
        <f>(94.8*KFC!$B$25*1.02*1.15*1.05+KFC!$C$25)*KFC!$C$5</f>
        <v>116.76042</v>
      </c>
      <c r="K117" s="315">
        <f>(101*KFC!$B$25*1.02*1.15*1.05+KFC!$C$25)*KFC!$C$5</f>
        <v>124.39664999999999</v>
      </c>
      <c r="L117" s="316">
        <f>(107.3*KFC!$B$25*1.02*1.15*1.05+KFC!$C$25)*KFC!$C$5</f>
        <v>132.15604499999998</v>
      </c>
      <c r="M117" s="438"/>
      <c r="N117" s="438"/>
    </row>
    <row r="118" spans="1:14" ht="13.8" thickBot="1">
      <c r="A118" s="1539"/>
      <c r="B118" s="225">
        <v>2</v>
      </c>
      <c r="C118" s="317">
        <f>(52.6*KFC!$B$25*1.02*1.15*1.05+KFC!$C$25)*KFC!$C$5</f>
        <v>64.784790000000001</v>
      </c>
      <c r="D118" s="318">
        <f>(59.2*KFC!$B$25*1.02*1.15*1.05+KFC!$C$25)*KFC!$C$5</f>
        <v>72.913680000000014</v>
      </c>
      <c r="E118" s="318">
        <f>(65.7*KFC!$B$25*1.02*1.15*1.05+KFC!$C$25)*KFC!$C$5</f>
        <v>80.919405000000012</v>
      </c>
      <c r="F118" s="318">
        <f>(72.3*KFC!$B$25*1.02*1.15*1.05+KFC!$C$25)*KFC!$C$5</f>
        <v>89.048294999999996</v>
      </c>
      <c r="G118" s="318">
        <f>(78.9*KFC!$B$25*1.02*1.15*1.05+KFC!$C$25)*KFC!$C$5</f>
        <v>97.177185000000009</v>
      </c>
      <c r="H118" s="318">
        <f>(85.4*KFC!$B$25*1.02*1.15*1.05+KFC!$C$25)*KFC!$C$5</f>
        <v>105.18291000000001</v>
      </c>
      <c r="I118" s="318">
        <f>(92*KFC!$B$25*1.02*1.15*1.05+KFC!$C$25)*KFC!$C$5</f>
        <v>113.31180000000001</v>
      </c>
      <c r="J118" s="318">
        <f>(98.5*KFC!$B$25*1.02*1.15*1.05+KFC!$C$25)*KFC!$C$5</f>
        <v>121.317525</v>
      </c>
      <c r="K118" s="318">
        <f>(105.1*KFC!$B$25*1.02*1.15*1.05+KFC!$C$25)*KFC!$C$5</f>
        <v>129.446415</v>
      </c>
      <c r="L118" s="319">
        <f>(111.7*KFC!$B$25*1.02*1.15*1.05+KFC!$C$25)*KFC!$C$5</f>
        <v>137.57530500000001</v>
      </c>
      <c r="M118" s="438"/>
      <c r="N118" s="438"/>
    </row>
    <row r="119" spans="1:14">
      <c r="A119" s="180" t="s">
        <v>303</v>
      </c>
      <c r="B119" s="346"/>
      <c r="C119" s="347"/>
      <c r="D119" s="347"/>
      <c r="E119" s="347"/>
      <c r="F119" s="347"/>
      <c r="G119" s="347"/>
      <c r="H119" s="347"/>
      <c r="I119" s="347"/>
      <c r="J119" s="347"/>
      <c r="K119" s="348"/>
      <c r="L119" s="348"/>
      <c r="M119" s="438"/>
      <c r="N119" s="438"/>
    </row>
    <row r="120" spans="1:14" ht="13.8">
      <c r="A120" s="3" t="s">
        <v>212</v>
      </c>
      <c r="B120" s="11"/>
      <c r="C120" s="11"/>
      <c r="D120" s="11"/>
    </row>
    <row r="121" spans="1:14" ht="17.25" customHeight="1">
      <c r="A121" s="1799" t="s">
        <v>211</v>
      </c>
      <c r="B121" s="1799"/>
      <c r="C121" s="1799"/>
      <c r="D121" s="1799"/>
      <c r="E121" s="1799"/>
      <c r="F121" s="1799"/>
      <c r="G121" s="1799"/>
      <c r="H121" s="1799"/>
      <c r="I121" s="1799"/>
      <c r="J121" s="1799"/>
      <c r="K121" s="1799"/>
      <c r="L121" s="1799"/>
      <c r="M121" s="1799"/>
      <c r="N121" s="1799"/>
    </row>
    <row r="122" spans="1:14">
      <c r="A122" s="5" t="s">
        <v>213</v>
      </c>
    </row>
    <row r="123" spans="1:14">
      <c r="A123" s="3" t="s">
        <v>299</v>
      </c>
      <c r="E123" s="43"/>
      <c r="F123" s="43"/>
    </row>
    <row r="124" spans="1:14">
      <c r="A124" s="3" t="s">
        <v>300</v>
      </c>
      <c r="E124" s="43"/>
      <c r="F124" s="43"/>
    </row>
    <row r="125" spans="1:14">
      <c r="A125" s="3" t="s">
        <v>186</v>
      </c>
    </row>
    <row r="126" spans="1:14">
      <c r="A126" s="3" t="s">
        <v>301</v>
      </c>
    </row>
    <row r="127" spans="1:14">
      <c r="A127" s="3" t="s">
        <v>503</v>
      </c>
      <c r="B127" s="3"/>
      <c r="C127" s="3"/>
      <c r="D127" s="3"/>
      <c r="E127" s="3"/>
      <c r="H127" s="555">
        <f>(1.58*KFC!$B$25+KFC!$C$25)*KFC!$C$5</f>
        <v>1.58</v>
      </c>
      <c r="I127" s="1" t="s">
        <v>504</v>
      </c>
      <c r="N127" s="67"/>
    </row>
    <row r="128" spans="1:14">
      <c r="A128" s="3"/>
      <c r="B128" s="3"/>
      <c r="C128" s="3"/>
      <c r="D128" s="3"/>
      <c r="E128" s="3"/>
      <c r="H128" s="22"/>
      <c r="N128" s="67"/>
    </row>
    <row r="129" spans="1:14">
      <c r="A129" s="3"/>
      <c r="B129" s="3"/>
      <c r="C129" s="3"/>
      <c r="D129" s="3"/>
      <c r="E129" s="3"/>
      <c r="H129" s="22"/>
      <c r="N129" s="67"/>
    </row>
    <row r="130" spans="1:14">
      <c r="A130" s="3"/>
      <c r="B130" s="3"/>
      <c r="C130" s="3"/>
      <c r="D130" s="3"/>
      <c r="E130" s="3"/>
      <c r="H130" s="22"/>
      <c r="N130" s="67"/>
    </row>
    <row r="131" spans="1:14">
      <c r="A131" s="3"/>
      <c r="B131" s="3"/>
      <c r="C131" s="3"/>
      <c r="D131" s="3"/>
      <c r="E131" s="3"/>
      <c r="H131" s="22"/>
      <c r="N131" s="67"/>
    </row>
    <row r="132" spans="1:14" ht="18">
      <c r="A132" s="1800" t="s">
        <v>486</v>
      </c>
      <c r="B132" s="1800"/>
      <c r="C132" s="1800"/>
      <c r="D132" s="1800"/>
      <c r="E132" s="1800"/>
      <c r="F132" s="1800"/>
      <c r="G132" s="1800"/>
      <c r="H132" s="1800"/>
      <c r="I132" s="1800"/>
      <c r="J132" s="1800"/>
      <c r="K132" s="1800"/>
      <c r="L132" s="1800"/>
      <c r="M132" s="1800"/>
      <c r="N132" s="1800"/>
    </row>
    <row r="133" spans="1:14" ht="16.2" thickBot="1">
      <c r="A133" s="1004" t="s">
        <v>699</v>
      </c>
      <c r="B133" s="1004"/>
      <c r="C133" s="1004"/>
      <c r="D133" s="1004"/>
      <c r="E133" s="1004"/>
      <c r="F133" s="1004"/>
      <c r="G133" s="1004"/>
      <c r="H133" s="1004"/>
      <c r="I133" s="1004"/>
      <c r="J133" s="1004"/>
      <c r="K133" s="1004"/>
      <c r="L133" s="1004"/>
      <c r="M133" s="1004"/>
      <c r="N133" s="1004"/>
    </row>
    <row r="134" spans="1:14" ht="14.4" thickBot="1">
      <c r="A134" s="1528" t="s">
        <v>88</v>
      </c>
      <c r="B134" s="1101"/>
      <c r="C134" s="1101"/>
      <c r="D134" s="1022" t="s">
        <v>87</v>
      </c>
      <c r="E134" s="1022"/>
      <c r="F134" s="1022"/>
      <c r="G134" s="1022"/>
      <c r="H134" s="1022"/>
      <c r="I134" s="1022"/>
      <c r="J134" s="1022"/>
      <c r="K134" s="1022"/>
      <c r="L134" s="1022"/>
      <c r="M134" s="1297" t="s">
        <v>24</v>
      </c>
      <c r="N134" s="1298"/>
    </row>
    <row r="135" spans="1:14" ht="31.5" customHeight="1" thickBot="1">
      <c r="A135" s="1547" t="s">
        <v>884</v>
      </c>
      <c r="B135" s="1547"/>
      <c r="C135" s="1547"/>
      <c r="D135" s="1378" t="s">
        <v>885</v>
      </c>
      <c r="E135" s="1378"/>
      <c r="F135" s="1378"/>
      <c r="G135" s="1378"/>
      <c r="H135" s="1378"/>
      <c r="I135" s="1378"/>
      <c r="J135" s="1378"/>
      <c r="K135" s="1378"/>
      <c r="L135" s="1378"/>
      <c r="M135" s="1673">
        <f>(107.59*KFC!$B$41+KFC!$C$41)*KFC!$C$5</f>
        <v>107.59</v>
      </c>
      <c r="N135" s="1673"/>
    </row>
    <row r="136" spans="1:14" ht="31.2" customHeight="1" thickBot="1">
      <c r="A136" s="1796" t="s">
        <v>487</v>
      </c>
      <c r="B136" s="1796"/>
      <c r="C136" s="1796"/>
      <c r="D136" s="1796"/>
      <c r="E136" s="1796"/>
      <c r="F136" s="1796"/>
      <c r="G136" s="1796"/>
      <c r="H136" s="1796"/>
      <c r="I136" s="1796"/>
      <c r="J136" s="1796"/>
      <c r="K136" s="1796"/>
      <c r="L136" s="1796"/>
      <c r="M136" s="1796"/>
      <c r="N136" s="1796"/>
    </row>
    <row r="137" spans="1:14" ht="13.8">
      <c r="A137" s="1797" t="s">
        <v>88</v>
      </c>
      <c r="B137" s="1798"/>
      <c r="C137" s="1798"/>
      <c r="D137" s="1409" t="s">
        <v>87</v>
      </c>
      <c r="E137" s="1409"/>
      <c r="F137" s="1409"/>
      <c r="G137" s="1409"/>
      <c r="H137" s="1409"/>
      <c r="I137" s="1409"/>
      <c r="J137" s="1409"/>
      <c r="K137" s="1409"/>
      <c r="L137" s="1409"/>
      <c r="M137" s="1092" t="s">
        <v>24</v>
      </c>
      <c r="N137" s="1093"/>
    </row>
    <row r="138" spans="1:14" ht="27.6" customHeight="1">
      <c r="A138" s="1035" t="s">
        <v>884</v>
      </c>
      <c r="B138" s="1218"/>
      <c r="C138" s="1218"/>
      <c r="D138" s="1793" t="s">
        <v>886</v>
      </c>
      <c r="E138" s="1793"/>
      <c r="F138" s="1793"/>
      <c r="G138" s="1793"/>
      <c r="H138" s="1793"/>
      <c r="I138" s="1793"/>
      <c r="J138" s="1793"/>
      <c r="K138" s="1793"/>
      <c r="L138" s="1793"/>
      <c r="M138" s="1794">
        <f>(31.65*KFC!$B$41+KFC!$C$41)*KFC!$C$5</f>
        <v>31.65</v>
      </c>
      <c r="N138" s="1795"/>
    </row>
    <row r="139" spans="1:14" ht="27.6" customHeight="1">
      <c r="A139" s="1035" t="s">
        <v>884</v>
      </c>
      <c r="B139" s="1218"/>
      <c r="C139" s="1218"/>
      <c r="D139" s="1793" t="s">
        <v>887</v>
      </c>
      <c r="E139" s="1793"/>
      <c r="F139" s="1793"/>
      <c r="G139" s="1793"/>
      <c r="H139" s="1793"/>
      <c r="I139" s="1793"/>
      <c r="J139" s="1793"/>
      <c r="K139" s="1793"/>
      <c r="L139" s="1793"/>
      <c r="M139" s="1794">
        <f>(37.97*KFC!$B$41+KFC!$C$41)*KFC!$C$5</f>
        <v>37.97</v>
      </c>
      <c r="N139" s="1795"/>
    </row>
    <row r="140" spans="1:14" ht="27.6" customHeight="1">
      <c r="A140" s="1035" t="s">
        <v>884</v>
      </c>
      <c r="B140" s="1218"/>
      <c r="C140" s="1218"/>
      <c r="D140" s="1793" t="s">
        <v>888</v>
      </c>
      <c r="E140" s="1793"/>
      <c r="F140" s="1793"/>
      <c r="G140" s="1793"/>
      <c r="H140" s="1793"/>
      <c r="I140" s="1793"/>
      <c r="J140" s="1793"/>
      <c r="K140" s="1793"/>
      <c r="L140" s="1793"/>
      <c r="M140" s="1794">
        <f>(44.3*KFC!$B$41+KFC!$C$41)*KFC!$C$5</f>
        <v>44.3</v>
      </c>
      <c r="N140" s="1795"/>
    </row>
    <row r="141" spans="1:14" ht="31.2" customHeight="1" thickBot="1">
      <c r="A141" s="1036" t="s">
        <v>884</v>
      </c>
      <c r="B141" s="1564"/>
      <c r="C141" s="1564"/>
      <c r="D141" s="1801" t="s">
        <v>889</v>
      </c>
      <c r="E141" s="1801"/>
      <c r="F141" s="1801"/>
      <c r="G141" s="1801"/>
      <c r="H141" s="1801"/>
      <c r="I141" s="1801"/>
      <c r="J141" s="1801"/>
      <c r="K141" s="1801"/>
      <c r="L141" s="1801"/>
      <c r="M141" s="1295">
        <f>(18.35*KFC!$B$41+KFC!$C$41)*KFC!$C$5</f>
        <v>18.350000000000001</v>
      </c>
      <c r="N141" s="1296"/>
    </row>
    <row r="142" spans="1:14" ht="31.2" customHeight="1">
      <c r="A142" s="1218" t="s">
        <v>884</v>
      </c>
      <c r="B142" s="1218"/>
      <c r="C142" s="1218"/>
      <c r="D142" s="1650" t="s">
        <v>1006</v>
      </c>
      <c r="E142" s="1650"/>
      <c r="F142" s="1650"/>
      <c r="G142" s="1650"/>
      <c r="H142" s="1650"/>
      <c r="I142" s="1650"/>
      <c r="J142" s="1650"/>
      <c r="K142" s="1650"/>
      <c r="L142" s="1650"/>
      <c r="M142" s="1704">
        <f>(75.95*KFC!$B$41+KFC!$C$41)*KFC!$C$5</f>
        <v>75.95</v>
      </c>
      <c r="N142" s="1397"/>
    </row>
    <row r="143" spans="1:14" ht="31.2" customHeight="1">
      <c r="A143" s="1218" t="s">
        <v>884</v>
      </c>
      <c r="B143" s="1218"/>
      <c r="C143" s="1218"/>
      <c r="D143" s="1650" t="s">
        <v>1054</v>
      </c>
      <c r="E143" s="1650"/>
      <c r="F143" s="1650"/>
      <c r="G143" s="1650"/>
      <c r="H143" s="1650"/>
      <c r="I143" s="1650"/>
      <c r="J143" s="1650"/>
      <c r="K143" s="1650"/>
      <c r="L143" s="1650"/>
      <c r="M143" s="1704">
        <f>(76*KFC!$B$41+KFC!$C$41)*KFC!$C$5</f>
        <v>76</v>
      </c>
      <c r="N143" s="1397"/>
    </row>
    <row r="144" spans="1:14" ht="31.2" customHeight="1">
      <c r="A144" s="549"/>
      <c r="B144" s="549"/>
      <c r="C144" s="294"/>
      <c r="D144" s="550"/>
      <c r="E144" s="550"/>
      <c r="F144" s="550"/>
      <c r="G144" s="550"/>
      <c r="H144" s="550"/>
      <c r="I144" s="550"/>
      <c r="J144" s="550"/>
      <c r="K144" s="550"/>
      <c r="L144" s="550"/>
      <c r="M144" s="528"/>
      <c r="N144" s="528"/>
    </row>
  </sheetData>
  <mergeCells count="55">
    <mergeCell ref="A142:C142"/>
    <mergeCell ref="D142:L142"/>
    <mergeCell ref="M142:N142"/>
    <mergeCell ref="A143:C143"/>
    <mergeCell ref="D143:L143"/>
    <mergeCell ref="M143:N143"/>
    <mergeCell ref="M139:N139"/>
    <mergeCell ref="M140:N140"/>
    <mergeCell ref="A141:C141"/>
    <mergeCell ref="M141:N141"/>
    <mergeCell ref="A63:B64"/>
    <mergeCell ref="A101:B102"/>
    <mergeCell ref="A65:A80"/>
    <mergeCell ref="C63:L63"/>
    <mergeCell ref="A82:B83"/>
    <mergeCell ref="D141:L141"/>
    <mergeCell ref="A139:C139"/>
    <mergeCell ref="A140:C140"/>
    <mergeCell ref="D139:L139"/>
    <mergeCell ref="D140:L140"/>
    <mergeCell ref="M135:N135"/>
    <mergeCell ref="A136:N136"/>
    <mergeCell ref="A2:N2"/>
    <mergeCell ref="A3:N3"/>
    <mergeCell ref="A44:B45"/>
    <mergeCell ref="A25:B26"/>
    <mergeCell ref="A8:A23"/>
    <mergeCell ref="A4:D4"/>
    <mergeCell ref="E4:N4"/>
    <mergeCell ref="A5:D5"/>
    <mergeCell ref="E5:N5"/>
    <mergeCell ref="A27:A42"/>
    <mergeCell ref="C6:L6"/>
    <mergeCell ref="C25:L25"/>
    <mergeCell ref="C44:L44"/>
    <mergeCell ref="A6:B7"/>
    <mergeCell ref="A46:A61"/>
    <mergeCell ref="A135:C135"/>
    <mergeCell ref="A84:A99"/>
    <mergeCell ref="A103:A118"/>
    <mergeCell ref="C82:L82"/>
    <mergeCell ref="C101:L101"/>
    <mergeCell ref="D135:L135"/>
    <mergeCell ref="A132:N132"/>
    <mergeCell ref="A121:N121"/>
    <mergeCell ref="A133:N133"/>
    <mergeCell ref="A134:C134"/>
    <mergeCell ref="D134:L134"/>
    <mergeCell ref="M134:N134"/>
    <mergeCell ref="A137:C137"/>
    <mergeCell ref="D137:L137"/>
    <mergeCell ref="M137:N137"/>
    <mergeCell ref="A138:C138"/>
    <mergeCell ref="D138:L138"/>
    <mergeCell ref="M138:N138"/>
  </mergeCells>
  <phoneticPr fontId="7" type="noConversion"/>
  <hyperlinks>
    <hyperlink ref="A121" location="'Макс. возможные размеры изделий'!R1C1" display=" - Максимально допустимые размеры изделия можно посмотреть в ТАБЛИЦЕ" xr:uid="{4CF6A1D7-FED6-4D94-8C0F-8F43EB8CDBBB}"/>
    <hyperlink ref="E5" r:id="rId1" xr:uid="{7364B56D-0849-41DF-86D8-40A441EE99EC}"/>
    <hyperlink ref="E4" r:id="rId2" xr:uid="{DDC146DA-A202-4536-AB1C-A0FBBD284A0B}"/>
  </hyperlinks>
  <pageMargins left="0.59055118110236227" right="0" top="0.31496062992125984" bottom="0" header="0" footer="0"/>
  <pageSetup paperSize="9" scale="99" fitToHeight="5" orientation="portrait" r:id="rId3"/>
  <headerFooter alignWithMargins="0"/>
  <rowBreaks count="3" manualBreakCount="3">
    <brk id="43" max="13" man="1"/>
    <brk id="81" max="13" man="1"/>
    <brk id="127" max="1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7563AC-7D3A-431E-B21A-299767093075}">
  <sheetPr codeName="Лист9">
    <tabColor indexed="25"/>
  </sheetPr>
  <dimension ref="A1:AQ154"/>
  <sheetViews>
    <sheetView view="pageBreakPreview" topLeftCell="A18" zoomScale="90" zoomScaleNormal="100" zoomScaleSheetLayoutView="90" workbookViewId="0">
      <selection activeCell="G36" sqref="G36"/>
    </sheetView>
  </sheetViews>
  <sheetFormatPr defaultColWidth="9.109375" defaultRowHeight="13.2"/>
  <cols>
    <col min="1" max="1" width="5" style="1" customWidth="1"/>
    <col min="2" max="2" width="8" style="1" customWidth="1"/>
    <col min="3" max="12" width="8.6640625" style="1" customWidth="1"/>
    <col min="13" max="20" width="9.109375" style="1"/>
    <col min="21" max="43" width="0" style="1" hidden="1" customWidth="1"/>
    <col min="44" max="16384" width="9.109375" style="1"/>
  </cols>
  <sheetData>
    <row r="1" spans="1:43" ht="33.75" customHeight="1">
      <c r="A1" s="1821" t="s">
        <v>411</v>
      </c>
      <c r="B1" s="1821"/>
      <c r="C1" s="1821"/>
      <c r="D1" s="1821"/>
      <c r="E1" s="1821"/>
      <c r="F1" s="1821"/>
      <c r="G1" s="1821"/>
      <c r="H1" s="1821"/>
      <c r="I1" s="1821"/>
      <c r="J1" s="1821"/>
      <c r="K1" s="1821"/>
      <c r="L1" s="1821"/>
      <c r="M1" s="1821"/>
      <c r="N1" s="1821"/>
      <c r="O1" s="1821"/>
      <c r="P1" s="1821"/>
      <c r="Q1" s="1821"/>
      <c r="R1" s="1821"/>
      <c r="S1" s="1821"/>
      <c r="T1" s="1821"/>
    </row>
    <row r="2" spans="1:43" ht="22.95" customHeight="1">
      <c r="A2" s="1822" t="s">
        <v>1028</v>
      </c>
      <c r="B2" s="1822"/>
      <c r="C2" s="1822"/>
      <c r="D2" s="1822"/>
      <c r="E2" s="1822"/>
      <c r="F2" s="1822"/>
      <c r="G2" s="1822"/>
      <c r="H2" s="1822"/>
      <c r="I2" s="1822"/>
      <c r="J2" s="1822"/>
      <c r="K2" s="1822"/>
      <c r="L2" s="1822"/>
      <c r="M2" s="1822"/>
      <c r="N2" s="1822"/>
      <c r="O2" s="1822"/>
      <c r="P2" s="1822"/>
      <c r="Q2" s="1822"/>
      <c r="R2" s="1822"/>
      <c r="S2" s="1822"/>
      <c r="T2" s="1822"/>
    </row>
    <row r="3" spans="1:43">
      <c r="A3" s="1823" t="s">
        <v>710</v>
      </c>
      <c r="B3" s="1823"/>
      <c r="C3" s="1823"/>
      <c r="D3" s="1823"/>
      <c r="E3" s="1823"/>
      <c r="F3" s="1823"/>
      <c r="G3" s="1823"/>
      <c r="H3" s="1823"/>
      <c r="I3" s="1823"/>
      <c r="J3" s="1823"/>
      <c r="K3" s="1823"/>
      <c r="L3" s="1823"/>
      <c r="M3" s="1823"/>
      <c r="N3" s="1823"/>
      <c r="O3" s="1823"/>
      <c r="P3" s="1823"/>
      <c r="Q3" s="1823"/>
      <c r="R3" s="1823"/>
      <c r="S3" s="1823"/>
      <c r="T3" s="1823"/>
    </row>
    <row r="4" spans="1:43" ht="24.75" customHeight="1">
      <c r="A4" s="1089" t="s">
        <v>593</v>
      </c>
      <c r="B4" s="1089"/>
      <c r="C4" s="1089"/>
      <c r="D4" s="1089"/>
      <c r="E4" s="1406" t="s">
        <v>617</v>
      </c>
      <c r="F4" s="1545"/>
      <c r="G4" s="1545"/>
      <c r="H4" s="1545"/>
      <c r="I4" s="1545"/>
      <c r="J4" s="1545"/>
      <c r="K4" s="1545"/>
      <c r="L4" s="1545"/>
    </row>
    <row r="5" spans="1:43" ht="23.25" customHeight="1" thickBot="1">
      <c r="A5" s="1089" t="s">
        <v>611</v>
      </c>
      <c r="B5" s="1089"/>
      <c r="C5" s="1089"/>
      <c r="D5" s="1089"/>
      <c r="E5" s="1406" t="s">
        <v>613</v>
      </c>
      <c r="F5" s="1545"/>
      <c r="G5" s="1545"/>
      <c r="H5" s="1545"/>
      <c r="I5" s="1545"/>
      <c r="J5" s="1545"/>
      <c r="K5" s="1545"/>
      <c r="L5" s="1545"/>
    </row>
    <row r="6" spans="1:43" ht="13.95" customHeight="1" thickBot="1">
      <c r="A6" s="1413" t="s">
        <v>462</v>
      </c>
      <c r="B6" s="1415"/>
      <c r="C6" s="1534" t="s">
        <v>207</v>
      </c>
      <c r="D6" s="1535"/>
      <c r="E6" s="1535"/>
      <c r="F6" s="1535"/>
      <c r="G6" s="1535"/>
      <c r="H6" s="1535"/>
      <c r="I6" s="1535"/>
      <c r="J6" s="1535"/>
      <c r="K6" s="1535"/>
      <c r="L6" s="1535"/>
      <c r="M6" s="1535"/>
      <c r="N6" s="1535"/>
      <c r="O6" s="1535"/>
      <c r="P6" s="1535"/>
      <c r="Q6" s="1535"/>
      <c r="R6" s="1535"/>
      <c r="S6" s="1535"/>
      <c r="T6" s="1536"/>
      <c r="V6" s="1413" t="s">
        <v>462</v>
      </c>
      <c r="W6" s="1415"/>
      <c r="X6" s="1534" t="s">
        <v>207</v>
      </c>
      <c r="Y6" s="1535"/>
      <c r="Z6" s="1535"/>
      <c r="AA6" s="1535"/>
      <c r="AB6" s="1535"/>
      <c r="AC6" s="1535"/>
      <c r="AD6" s="1535"/>
      <c r="AE6" s="1535"/>
      <c r="AF6" s="1535"/>
      <c r="AG6" s="1535"/>
      <c r="AH6" s="1535"/>
      <c r="AI6" s="1535"/>
      <c r="AJ6" s="1535"/>
      <c r="AK6" s="1535"/>
      <c r="AL6" s="1535"/>
      <c r="AM6" s="1535"/>
      <c r="AN6" s="1535"/>
      <c r="AO6" s="1535"/>
      <c r="AP6" s="1535"/>
      <c r="AQ6" s="1536"/>
    </row>
    <row r="7" spans="1:43" ht="13.8" thickBot="1">
      <c r="A7" s="1803"/>
      <c r="B7" s="1802"/>
      <c r="C7" s="119">
        <v>0.4</v>
      </c>
      <c r="D7" s="119">
        <v>0.5</v>
      </c>
      <c r="E7" s="119">
        <v>0.6</v>
      </c>
      <c r="F7" s="119">
        <v>0.7</v>
      </c>
      <c r="G7" s="119">
        <v>0.8</v>
      </c>
      <c r="H7" s="119">
        <v>0.9</v>
      </c>
      <c r="I7" s="119">
        <v>1</v>
      </c>
      <c r="J7" s="119">
        <v>1.1000000000000001</v>
      </c>
      <c r="K7" s="119">
        <v>1.2</v>
      </c>
      <c r="L7" s="119">
        <v>1.3</v>
      </c>
      <c r="M7" s="119">
        <v>1.4</v>
      </c>
      <c r="N7" s="119">
        <v>1.5</v>
      </c>
      <c r="O7" s="119">
        <v>1.6</v>
      </c>
      <c r="P7" s="119">
        <v>1.7</v>
      </c>
      <c r="Q7" s="119">
        <v>1.8</v>
      </c>
      <c r="R7" s="119">
        <v>1.9</v>
      </c>
      <c r="S7" s="119">
        <v>2</v>
      </c>
      <c r="T7" s="119">
        <v>2.1</v>
      </c>
      <c r="V7" s="1803"/>
      <c r="W7" s="1802"/>
      <c r="X7" s="428">
        <v>0.4</v>
      </c>
      <c r="Y7" s="428">
        <v>0.5</v>
      </c>
      <c r="Z7" s="428">
        <v>0.6</v>
      </c>
      <c r="AA7" s="428">
        <v>0.7</v>
      </c>
      <c r="AB7" s="428">
        <v>0.8</v>
      </c>
      <c r="AC7" s="428">
        <v>0.9</v>
      </c>
      <c r="AD7" s="428">
        <v>1</v>
      </c>
      <c r="AE7" s="428">
        <v>1.1000000000000001</v>
      </c>
      <c r="AF7" s="428">
        <v>1.2</v>
      </c>
      <c r="AG7" s="428">
        <v>1.3</v>
      </c>
      <c r="AH7" s="428">
        <v>1.4</v>
      </c>
      <c r="AI7" s="428">
        <v>1.5</v>
      </c>
      <c r="AJ7" s="428">
        <v>1.6</v>
      </c>
      <c r="AK7" s="428">
        <v>1.7</v>
      </c>
      <c r="AL7" s="428">
        <v>1.8</v>
      </c>
      <c r="AM7" s="428">
        <v>1.9</v>
      </c>
      <c r="AN7" s="428">
        <v>2</v>
      </c>
      <c r="AO7" s="428">
        <v>2.1</v>
      </c>
      <c r="AP7" s="428">
        <v>2.2000000000000002</v>
      </c>
      <c r="AQ7" s="113">
        <v>2.2999999999999998</v>
      </c>
    </row>
    <row r="8" spans="1:43" ht="13.2" customHeight="1">
      <c r="A8" s="1815" t="s">
        <v>3</v>
      </c>
      <c r="B8" s="849">
        <v>0.5</v>
      </c>
      <c r="C8" s="311">
        <f>(X8*KFC!$B$26+KFC!$C$26)*KFC!$C$5</f>
        <v>15.63</v>
      </c>
      <c r="D8" s="312">
        <f>(Y8*KFC!$B$26+KFC!$C$26)*KFC!$C$5</f>
        <v>16.98</v>
      </c>
      <c r="E8" s="312">
        <f>(Z8*KFC!$B$26+KFC!$C$26)*KFC!$C$5</f>
        <v>18.22</v>
      </c>
      <c r="F8" s="312">
        <f>(AA8*KFC!$B$26+KFC!$C$26)*KFC!$C$5</f>
        <v>19.57</v>
      </c>
      <c r="G8" s="312">
        <f>(AB8*KFC!$B$26+KFC!$C$26)*KFC!$C$5</f>
        <v>20.8</v>
      </c>
      <c r="H8" s="312">
        <f>(AC8*KFC!$B$26+KFC!$C$26)*KFC!$C$5</f>
        <v>22.14</v>
      </c>
      <c r="I8" s="312">
        <f>(AD8*KFC!$B$26+KFC!$C$26)*KFC!$C$5</f>
        <v>23.39</v>
      </c>
      <c r="J8" s="312">
        <f>(AE8*KFC!$B$26+KFC!$C$26)*KFC!$C$5</f>
        <v>24.74</v>
      </c>
      <c r="K8" s="312">
        <f>(AF8*KFC!$B$26+KFC!$C$26)*KFC!$C$5</f>
        <v>25.98</v>
      </c>
      <c r="L8" s="312">
        <f>(AG8*KFC!$B$26+KFC!$C$26)*KFC!$C$5</f>
        <v>27.33</v>
      </c>
      <c r="M8" s="312">
        <f>(AH8*KFC!$B$26+KFC!$C$26)*KFC!$C$5</f>
        <v>28.57</v>
      </c>
      <c r="N8" s="312">
        <f>(AI8*KFC!$B$26+KFC!$C$26)*KFC!$C$5</f>
        <v>29.91</v>
      </c>
      <c r="O8" s="312">
        <f>(AJ8*KFC!$B$26+KFC!$C$26)*KFC!$C$5</f>
        <v>31.27</v>
      </c>
      <c r="P8" s="312">
        <f>(AK8*KFC!$B$26+KFC!$C$26)*KFC!$C$5</f>
        <v>32.629999999999995</v>
      </c>
      <c r="Q8" s="312">
        <f>(AL8*KFC!$B$26+KFC!$C$26)*KFC!$C$5</f>
        <v>33.989999999999995</v>
      </c>
      <c r="R8" s="312">
        <f>(AM8*KFC!$B$26+KFC!$C$26)*KFC!$C$5</f>
        <v>35.349999999999994</v>
      </c>
      <c r="S8" s="312">
        <f>(AN8*KFC!$B$26+KFC!$C$26)*KFC!$C$5</f>
        <v>36.709999999999994</v>
      </c>
      <c r="T8" s="312">
        <f>(AO8*KFC!$B$26+KFC!$C$26)*KFC!$C$5</f>
        <v>38.069999999999993</v>
      </c>
      <c r="V8" s="1818" t="s">
        <v>3</v>
      </c>
      <c r="W8" s="845">
        <v>0.5</v>
      </c>
      <c r="X8" s="847">
        <v>15.63</v>
      </c>
      <c r="Y8" s="847">
        <v>16.98</v>
      </c>
      <c r="Z8" s="847">
        <v>18.22</v>
      </c>
      <c r="AA8" s="847">
        <v>19.57</v>
      </c>
      <c r="AB8" s="847">
        <v>20.8</v>
      </c>
      <c r="AC8" s="847">
        <v>22.14</v>
      </c>
      <c r="AD8" s="847">
        <v>23.39</v>
      </c>
      <c r="AE8" s="847">
        <v>24.74</v>
      </c>
      <c r="AF8" s="847">
        <v>25.98</v>
      </c>
      <c r="AG8" s="847">
        <v>27.33</v>
      </c>
      <c r="AH8" s="847">
        <v>28.57</v>
      </c>
      <c r="AI8" s="847">
        <v>29.91</v>
      </c>
      <c r="AJ8" s="848">
        <v>31.27</v>
      </c>
      <c r="AK8" s="690">
        <f t="shared" ref="AK8:AK25" si="0">AJ8-AI8+AJ8</f>
        <v>32.629999999999995</v>
      </c>
      <c r="AL8" s="690">
        <f t="shared" ref="AL8:AQ23" si="1">AK8-AJ8+AK8</f>
        <v>33.989999999999995</v>
      </c>
      <c r="AM8" s="690">
        <f t="shared" si="1"/>
        <v>35.349999999999994</v>
      </c>
      <c r="AN8" s="690">
        <f t="shared" si="1"/>
        <v>36.709999999999994</v>
      </c>
      <c r="AO8" s="690">
        <f t="shared" si="1"/>
        <v>38.069999999999993</v>
      </c>
      <c r="AP8" s="690">
        <f t="shared" si="1"/>
        <v>39.429999999999993</v>
      </c>
      <c r="AQ8" s="690">
        <f t="shared" si="1"/>
        <v>40.789999999999992</v>
      </c>
    </row>
    <row r="9" spans="1:43">
      <c r="A9" s="1816"/>
      <c r="B9" s="849">
        <v>0.6</v>
      </c>
      <c r="C9" s="314">
        <f>(X9*KFC!$B$26+KFC!$C$26)*KFC!$C$5</f>
        <v>16.53</v>
      </c>
      <c r="D9" s="315">
        <f>(Y9*KFC!$B$26+KFC!$C$26)*KFC!$C$5</f>
        <v>17.78</v>
      </c>
      <c r="E9" s="315">
        <f>(Z9*KFC!$B$26+KFC!$C$26)*KFC!$C$5</f>
        <v>19.12</v>
      </c>
      <c r="F9" s="315">
        <f>(AA9*KFC!$B$26+KFC!$C$26)*KFC!$C$5</f>
        <v>20.46</v>
      </c>
      <c r="G9" s="315">
        <f>(AB9*KFC!$B$26+KFC!$C$26)*KFC!$C$5</f>
        <v>21.7</v>
      </c>
      <c r="H9" s="315">
        <f>(AC9*KFC!$B$26+KFC!$C$26)*KFC!$C$5</f>
        <v>23.06</v>
      </c>
      <c r="I9" s="315">
        <f>(AD9*KFC!$B$26+KFC!$C$26)*KFC!$C$5</f>
        <v>24.4</v>
      </c>
      <c r="J9" s="315">
        <f>(AE9*KFC!$B$26+KFC!$C$26)*KFC!$C$5</f>
        <v>25.64</v>
      </c>
      <c r="K9" s="315">
        <f>(AF9*KFC!$B$26+KFC!$C$26)*KFC!$C$5</f>
        <v>26.99</v>
      </c>
      <c r="L9" s="315">
        <f>(AG9*KFC!$B$26+KFC!$C$26)*KFC!$C$5</f>
        <v>28.34</v>
      </c>
      <c r="M9" s="315">
        <f>(AH9*KFC!$B$26+KFC!$C$26)*KFC!$C$5</f>
        <v>29.58</v>
      </c>
      <c r="N9" s="315">
        <f>(AI9*KFC!$B$26+KFC!$C$26)*KFC!$C$5</f>
        <v>30.92</v>
      </c>
      <c r="O9" s="315">
        <f>(AJ9*KFC!$B$26+KFC!$C$26)*KFC!$C$5</f>
        <v>32.270000000000003</v>
      </c>
      <c r="P9" s="315">
        <f>(AK9*KFC!$B$26+KFC!$C$26)*KFC!$C$5</f>
        <v>33.620000000000005</v>
      </c>
      <c r="Q9" s="315">
        <f>(AL9*KFC!$B$26+KFC!$C$26)*KFC!$C$5</f>
        <v>34.970000000000006</v>
      </c>
      <c r="R9" s="315">
        <f>(AM9*KFC!$B$26+KFC!$C$26)*KFC!$C$5</f>
        <v>36.320000000000007</v>
      </c>
      <c r="S9" s="315">
        <f>(AN9*KFC!$B$26+KFC!$C$26)*KFC!$C$5</f>
        <v>37.670000000000009</v>
      </c>
      <c r="T9" s="315">
        <f>(AO9*KFC!$B$26+KFC!$C$26)*KFC!$C$5</f>
        <v>39.02000000000001</v>
      </c>
      <c r="V9" s="1819"/>
      <c r="W9" s="845">
        <v>0.6</v>
      </c>
      <c r="X9" s="847">
        <v>16.53</v>
      </c>
      <c r="Y9" s="847">
        <v>17.78</v>
      </c>
      <c r="Z9" s="847">
        <v>19.12</v>
      </c>
      <c r="AA9" s="847">
        <v>20.46</v>
      </c>
      <c r="AB9" s="847">
        <v>21.7</v>
      </c>
      <c r="AC9" s="847">
        <v>23.06</v>
      </c>
      <c r="AD9" s="847">
        <v>24.4</v>
      </c>
      <c r="AE9" s="847">
        <v>25.64</v>
      </c>
      <c r="AF9" s="847">
        <v>26.99</v>
      </c>
      <c r="AG9" s="847">
        <v>28.34</v>
      </c>
      <c r="AH9" s="847">
        <v>29.58</v>
      </c>
      <c r="AI9" s="847">
        <v>30.92</v>
      </c>
      <c r="AJ9" s="848">
        <v>32.270000000000003</v>
      </c>
      <c r="AK9" s="690">
        <f t="shared" si="0"/>
        <v>33.620000000000005</v>
      </c>
      <c r="AL9" s="690">
        <f t="shared" si="1"/>
        <v>34.970000000000006</v>
      </c>
      <c r="AM9" s="690">
        <f t="shared" si="1"/>
        <v>36.320000000000007</v>
      </c>
      <c r="AN9" s="690">
        <f t="shared" si="1"/>
        <v>37.670000000000009</v>
      </c>
      <c r="AO9" s="690">
        <f t="shared" si="1"/>
        <v>39.02000000000001</v>
      </c>
      <c r="AP9" s="690">
        <f t="shared" si="1"/>
        <v>40.370000000000012</v>
      </c>
      <c r="AQ9" s="690">
        <f t="shared" si="1"/>
        <v>41.720000000000013</v>
      </c>
    </row>
    <row r="10" spans="1:43">
      <c r="A10" s="1816"/>
      <c r="B10" s="849">
        <v>0.7</v>
      </c>
      <c r="C10" s="314">
        <f>(X10*KFC!$B$26+KFC!$C$26)*KFC!$C$5</f>
        <v>17.329999999999998</v>
      </c>
      <c r="D10" s="315">
        <f>(Y10*KFC!$B$26+KFC!$C$26)*KFC!$C$5</f>
        <v>18.670000000000002</v>
      </c>
      <c r="E10" s="315">
        <f>(Z10*KFC!$B$26+KFC!$C$26)*KFC!$C$5</f>
        <v>20.02</v>
      </c>
      <c r="F10" s="315">
        <f>(AA10*KFC!$B$26+KFC!$C$26)*KFC!$C$5</f>
        <v>21.37</v>
      </c>
      <c r="G10" s="315">
        <f>(AB10*KFC!$B$26+KFC!$C$26)*KFC!$C$5</f>
        <v>22.71</v>
      </c>
      <c r="H10" s="315">
        <f>(AC10*KFC!$B$26+KFC!$C$26)*KFC!$C$5</f>
        <v>23.96</v>
      </c>
      <c r="I10" s="315">
        <f>(AD10*KFC!$B$26+KFC!$C$26)*KFC!$C$5</f>
        <v>25.31</v>
      </c>
      <c r="J10" s="315">
        <f>(AE10*KFC!$B$26+KFC!$C$26)*KFC!$C$5</f>
        <v>26.65</v>
      </c>
      <c r="K10" s="315">
        <f>(AF10*KFC!$B$26+KFC!$C$26)*KFC!$C$5</f>
        <v>28</v>
      </c>
      <c r="L10" s="315">
        <f>(AG10*KFC!$B$26+KFC!$C$26)*KFC!$C$5</f>
        <v>29.35</v>
      </c>
      <c r="M10" s="315">
        <f>(AH10*KFC!$B$26+KFC!$C$26)*KFC!$C$5</f>
        <v>30.7</v>
      </c>
      <c r="N10" s="315">
        <f>(AI10*KFC!$B$26+KFC!$C$26)*KFC!$C$5</f>
        <v>31.94</v>
      </c>
      <c r="O10" s="315">
        <f>(AJ10*KFC!$B$26+KFC!$C$26)*KFC!$C$5</f>
        <v>33.17</v>
      </c>
      <c r="P10" s="315">
        <f>(AK10*KFC!$B$26+KFC!$C$26)*KFC!$C$5</f>
        <v>34.400000000000006</v>
      </c>
      <c r="Q10" s="315">
        <f>(AL10*KFC!$B$26+KFC!$C$26)*KFC!$C$5</f>
        <v>35.63000000000001</v>
      </c>
      <c r="R10" s="315">
        <f>(AM10*KFC!$B$26+KFC!$C$26)*KFC!$C$5</f>
        <v>36.860000000000014</v>
      </c>
      <c r="S10" s="315">
        <f>(AN10*KFC!$B$26+KFC!$C$26)*KFC!$C$5</f>
        <v>38.090000000000018</v>
      </c>
      <c r="T10" s="315">
        <f>(AO10*KFC!$B$26+KFC!$C$26)*KFC!$C$5</f>
        <v>39.320000000000022</v>
      </c>
      <c r="V10" s="1819"/>
      <c r="W10" s="845">
        <v>0.7</v>
      </c>
      <c r="X10" s="847">
        <v>17.329999999999998</v>
      </c>
      <c r="Y10" s="847">
        <v>18.670000000000002</v>
      </c>
      <c r="Z10" s="847">
        <v>20.02</v>
      </c>
      <c r="AA10" s="847">
        <v>21.37</v>
      </c>
      <c r="AB10" s="847">
        <v>22.71</v>
      </c>
      <c r="AC10" s="847">
        <v>23.96</v>
      </c>
      <c r="AD10" s="847">
        <v>25.31</v>
      </c>
      <c r="AE10" s="847">
        <v>26.65</v>
      </c>
      <c r="AF10" s="847">
        <v>28</v>
      </c>
      <c r="AG10" s="847">
        <v>29.35</v>
      </c>
      <c r="AH10" s="847">
        <v>30.7</v>
      </c>
      <c r="AI10" s="847">
        <v>31.94</v>
      </c>
      <c r="AJ10" s="848">
        <v>33.17</v>
      </c>
      <c r="AK10" s="690">
        <f t="shared" si="0"/>
        <v>34.400000000000006</v>
      </c>
      <c r="AL10" s="690">
        <f t="shared" si="1"/>
        <v>35.63000000000001</v>
      </c>
      <c r="AM10" s="690">
        <f t="shared" si="1"/>
        <v>36.860000000000014</v>
      </c>
      <c r="AN10" s="690">
        <f t="shared" si="1"/>
        <v>38.090000000000018</v>
      </c>
      <c r="AO10" s="690">
        <f t="shared" si="1"/>
        <v>39.320000000000022</v>
      </c>
      <c r="AP10" s="690">
        <f t="shared" si="1"/>
        <v>40.550000000000026</v>
      </c>
      <c r="AQ10" s="690">
        <f t="shared" si="1"/>
        <v>41.78000000000003</v>
      </c>
    </row>
    <row r="11" spans="1:43">
      <c r="A11" s="1816"/>
      <c r="B11" s="849">
        <v>0.8</v>
      </c>
      <c r="C11" s="314">
        <f>(X11*KFC!$B$26+KFC!$C$26)*KFC!$C$5</f>
        <v>18.22</v>
      </c>
      <c r="D11" s="315">
        <f>(Y11*KFC!$B$26+KFC!$C$26)*KFC!$C$5</f>
        <v>19.57</v>
      </c>
      <c r="E11" s="315">
        <f>(Z11*KFC!$B$26+KFC!$C$26)*KFC!$C$5</f>
        <v>20.92</v>
      </c>
      <c r="F11" s="315">
        <f>(AA11*KFC!$B$26+KFC!$C$26)*KFC!$C$5</f>
        <v>22.27</v>
      </c>
      <c r="G11" s="315">
        <f>(AB11*KFC!$B$26+KFC!$C$26)*KFC!$C$5</f>
        <v>23.61</v>
      </c>
      <c r="H11" s="315">
        <f>(AC11*KFC!$B$26+KFC!$C$26)*KFC!$C$5</f>
        <v>24.96</v>
      </c>
      <c r="I11" s="315">
        <f>(AD11*KFC!$B$26+KFC!$C$26)*KFC!$C$5</f>
        <v>26.31</v>
      </c>
      <c r="J11" s="315">
        <f>(AE11*KFC!$B$26+KFC!$C$26)*KFC!$C$5</f>
        <v>27.66</v>
      </c>
      <c r="K11" s="315">
        <f>(AF11*KFC!$B$26+KFC!$C$26)*KFC!$C$5</f>
        <v>29.02</v>
      </c>
      <c r="L11" s="315">
        <f>(AG11*KFC!$B$26+KFC!$C$26)*KFC!$C$5</f>
        <v>30.37</v>
      </c>
      <c r="M11" s="315">
        <f>(AH11*KFC!$B$26+KFC!$C$26)*KFC!$C$5</f>
        <v>31.71</v>
      </c>
      <c r="N11" s="315">
        <f>(AI11*KFC!$B$26+KFC!$C$26)*KFC!$C$5</f>
        <v>33.06</v>
      </c>
      <c r="O11" s="315">
        <f>(AJ11*KFC!$B$26+KFC!$C$26)*KFC!$C$5</f>
        <v>34.409999999999997</v>
      </c>
      <c r="P11" s="315">
        <f>(AK11*KFC!$B$26+KFC!$C$26)*KFC!$C$5</f>
        <v>35.759999999999991</v>
      </c>
      <c r="Q11" s="315">
        <f>(AL11*KFC!$B$26+KFC!$C$26)*KFC!$C$5</f>
        <v>37.109999999999985</v>
      </c>
      <c r="R11" s="315">
        <f>(AM11*KFC!$B$26+KFC!$C$26)*KFC!$C$5</f>
        <v>38.45999999999998</v>
      </c>
      <c r="S11" s="315">
        <f>(AN11*KFC!$B$26+KFC!$C$26)*KFC!$C$5</f>
        <v>39.809999999999974</v>
      </c>
      <c r="T11" s="315">
        <f>(AO11*KFC!$B$26+KFC!$C$26)*KFC!$C$5</f>
        <v>41.159999999999968</v>
      </c>
      <c r="V11" s="1819"/>
      <c r="W11" s="845">
        <v>0.8</v>
      </c>
      <c r="X11" s="847">
        <v>18.22</v>
      </c>
      <c r="Y11" s="847">
        <v>19.57</v>
      </c>
      <c r="Z11" s="847">
        <v>20.92</v>
      </c>
      <c r="AA11" s="847">
        <v>22.27</v>
      </c>
      <c r="AB11" s="847">
        <v>23.61</v>
      </c>
      <c r="AC11" s="847">
        <v>24.96</v>
      </c>
      <c r="AD11" s="847">
        <v>26.31</v>
      </c>
      <c r="AE11" s="847">
        <v>27.66</v>
      </c>
      <c r="AF11" s="847">
        <v>29.02</v>
      </c>
      <c r="AG11" s="847">
        <v>30.37</v>
      </c>
      <c r="AH11" s="847">
        <v>31.71</v>
      </c>
      <c r="AI11" s="847">
        <v>33.06</v>
      </c>
      <c r="AJ11" s="848">
        <v>34.409999999999997</v>
      </c>
      <c r="AK11" s="690">
        <f t="shared" si="0"/>
        <v>35.759999999999991</v>
      </c>
      <c r="AL11" s="690">
        <f t="shared" si="1"/>
        <v>37.109999999999985</v>
      </c>
      <c r="AM11" s="690">
        <f t="shared" si="1"/>
        <v>38.45999999999998</v>
      </c>
      <c r="AN11" s="690">
        <f t="shared" si="1"/>
        <v>39.809999999999974</v>
      </c>
      <c r="AO11" s="690">
        <f t="shared" si="1"/>
        <v>41.159999999999968</v>
      </c>
      <c r="AP11" s="690">
        <f t="shared" si="1"/>
        <v>42.509999999999962</v>
      </c>
      <c r="AQ11" s="690">
        <f t="shared" si="1"/>
        <v>43.859999999999957</v>
      </c>
    </row>
    <row r="12" spans="1:43">
      <c r="A12" s="1816"/>
      <c r="B12" s="849">
        <v>0.9</v>
      </c>
      <c r="C12" s="314">
        <f>(X12*KFC!$B$26+KFC!$C$26)*KFC!$C$5</f>
        <v>19.12</v>
      </c>
      <c r="D12" s="315">
        <f>(Y12*KFC!$B$26+KFC!$C$26)*KFC!$C$5</f>
        <v>20.46</v>
      </c>
      <c r="E12" s="315">
        <f>(Z12*KFC!$B$26+KFC!$C$26)*KFC!$C$5</f>
        <v>21.82</v>
      </c>
      <c r="F12" s="315">
        <f>(AA12*KFC!$B$26+KFC!$C$26)*KFC!$C$5</f>
        <v>23.16</v>
      </c>
      <c r="G12" s="315">
        <f>(AB12*KFC!$B$26+KFC!$C$26)*KFC!$C$5</f>
        <v>24.52</v>
      </c>
      <c r="H12" s="315">
        <f>(AC12*KFC!$B$26+KFC!$C$26)*KFC!$C$5</f>
        <v>25.86</v>
      </c>
      <c r="I12" s="315">
        <f>(AD12*KFC!$B$26+KFC!$C$26)*KFC!$C$5</f>
        <v>27.21</v>
      </c>
      <c r="J12" s="315">
        <f>(AE12*KFC!$B$26+KFC!$C$26)*KFC!$C$5</f>
        <v>28.57</v>
      </c>
      <c r="K12" s="315">
        <f>(AF12*KFC!$B$26+KFC!$C$26)*KFC!$C$5</f>
        <v>30.02</v>
      </c>
      <c r="L12" s="315">
        <f>(AG12*KFC!$B$26+KFC!$C$26)*KFC!$C$5</f>
        <v>31.37</v>
      </c>
      <c r="M12" s="315">
        <f>(AH12*KFC!$B$26+KFC!$C$26)*KFC!$C$5</f>
        <v>32.72</v>
      </c>
      <c r="N12" s="315">
        <f>(AI12*KFC!$B$26+KFC!$C$26)*KFC!$C$5</f>
        <v>34.08</v>
      </c>
      <c r="O12" s="315">
        <f>(AJ12*KFC!$B$26+KFC!$C$26)*KFC!$C$5</f>
        <v>35.43</v>
      </c>
      <c r="P12" s="315">
        <f>(AK12*KFC!$B$26+KFC!$C$26)*KFC!$C$5</f>
        <v>36.78</v>
      </c>
      <c r="Q12" s="315">
        <f>(AL12*KFC!$B$26+KFC!$C$26)*KFC!$C$5</f>
        <v>38.130000000000003</v>
      </c>
      <c r="R12" s="315">
        <f>(AM12*KFC!$B$26+KFC!$C$26)*KFC!$C$5</f>
        <v>39.480000000000004</v>
      </c>
      <c r="S12" s="315">
        <f>(AN12*KFC!$B$26+KFC!$C$26)*KFC!$C$5</f>
        <v>40.830000000000005</v>
      </c>
      <c r="T12" s="315">
        <f>(AO12*KFC!$B$26+KFC!$C$26)*KFC!$C$5</f>
        <v>42.180000000000007</v>
      </c>
      <c r="V12" s="1819"/>
      <c r="W12" s="845">
        <v>0.9</v>
      </c>
      <c r="X12" s="847">
        <v>19.12</v>
      </c>
      <c r="Y12" s="847">
        <v>20.46</v>
      </c>
      <c r="Z12" s="847">
        <v>21.82</v>
      </c>
      <c r="AA12" s="847">
        <v>23.16</v>
      </c>
      <c r="AB12" s="847">
        <v>24.52</v>
      </c>
      <c r="AC12" s="847">
        <v>25.86</v>
      </c>
      <c r="AD12" s="847">
        <v>27.21</v>
      </c>
      <c r="AE12" s="847">
        <v>28.57</v>
      </c>
      <c r="AF12" s="847">
        <v>30.02</v>
      </c>
      <c r="AG12" s="847">
        <v>31.37</v>
      </c>
      <c r="AH12" s="847">
        <v>32.72</v>
      </c>
      <c r="AI12" s="847">
        <v>34.08</v>
      </c>
      <c r="AJ12" s="848">
        <v>35.43</v>
      </c>
      <c r="AK12" s="690">
        <f t="shared" si="0"/>
        <v>36.78</v>
      </c>
      <c r="AL12" s="690">
        <f t="shared" si="1"/>
        <v>38.130000000000003</v>
      </c>
      <c r="AM12" s="690">
        <f t="shared" si="1"/>
        <v>39.480000000000004</v>
      </c>
      <c r="AN12" s="690">
        <f t="shared" si="1"/>
        <v>40.830000000000005</v>
      </c>
      <c r="AO12" s="690">
        <f t="shared" si="1"/>
        <v>42.180000000000007</v>
      </c>
      <c r="AP12" s="690">
        <f t="shared" si="1"/>
        <v>43.530000000000008</v>
      </c>
      <c r="AQ12" s="690">
        <f t="shared" si="1"/>
        <v>44.88000000000001</v>
      </c>
    </row>
    <row r="13" spans="1:43">
      <c r="A13" s="1816"/>
      <c r="B13" s="849">
        <v>1</v>
      </c>
      <c r="C13" s="314">
        <f>(X13*KFC!$B$26+KFC!$C$26)*KFC!$C$5</f>
        <v>19.899999999999999</v>
      </c>
      <c r="D13" s="315">
        <f>(Y13*KFC!$B$26+KFC!$C$26)*KFC!$C$5</f>
        <v>21.25</v>
      </c>
      <c r="E13" s="315">
        <f>(Z13*KFC!$B$26+KFC!$C$26)*KFC!$C$5</f>
        <v>22.71</v>
      </c>
      <c r="F13" s="315">
        <f>(AA13*KFC!$B$26+KFC!$C$26)*KFC!$C$5</f>
        <v>24.07</v>
      </c>
      <c r="G13" s="315">
        <f>(AB13*KFC!$B$26+KFC!$C$26)*KFC!$C$5</f>
        <v>25.41</v>
      </c>
      <c r="H13" s="315">
        <f>(AC13*KFC!$B$26+KFC!$C$26)*KFC!$C$5</f>
        <v>26.88</v>
      </c>
      <c r="I13" s="315">
        <f>(AD13*KFC!$B$26+KFC!$C$26)*KFC!$C$5</f>
        <v>28.22</v>
      </c>
      <c r="J13" s="315">
        <f>(AE13*KFC!$B$26+KFC!$C$26)*KFC!$C$5</f>
        <v>29.58</v>
      </c>
      <c r="K13" s="315">
        <f>(AF13*KFC!$B$26+KFC!$C$26)*KFC!$C$5</f>
        <v>30.92</v>
      </c>
      <c r="L13" s="315">
        <f>(AG13*KFC!$B$26+KFC!$C$26)*KFC!$C$5</f>
        <v>32.39</v>
      </c>
      <c r="M13" s="315">
        <f>(AH13*KFC!$B$26+KFC!$C$26)*KFC!$C$5</f>
        <v>33.74</v>
      </c>
      <c r="N13" s="315">
        <f>(AI13*KFC!$B$26+KFC!$C$26)*KFC!$C$5</f>
        <v>35.08</v>
      </c>
      <c r="O13" s="315">
        <f>(AJ13*KFC!$B$26+KFC!$C$26)*KFC!$C$5</f>
        <v>36.44</v>
      </c>
      <c r="P13" s="315">
        <f>(AK13*KFC!$B$26+KFC!$C$26)*KFC!$C$5</f>
        <v>37.799999999999997</v>
      </c>
      <c r="Q13" s="315">
        <f>(AL13*KFC!$B$26+KFC!$C$26)*KFC!$C$5</f>
        <v>39.159999999999997</v>
      </c>
      <c r="R13" s="315">
        <f>(AM13*KFC!$B$26+KFC!$C$26)*KFC!$C$5</f>
        <v>40.519999999999996</v>
      </c>
      <c r="S13" s="315">
        <f>(AN13*KFC!$B$26+KFC!$C$26)*KFC!$C$5</f>
        <v>41.879999999999995</v>
      </c>
      <c r="T13" s="315">
        <f>(AO13*KFC!$B$26+KFC!$C$26)*KFC!$C$5</f>
        <v>43.239999999999995</v>
      </c>
      <c r="V13" s="1819"/>
      <c r="W13" s="845">
        <v>1</v>
      </c>
      <c r="X13" s="847">
        <v>19.899999999999999</v>
      </c>
      <c r="Y13" s="847">
        <v>21.25</v>
      </c>
      <c r="Z13" s="847">
        <v>22.71</v>
      </c>
      <c r="AA13" s="847">
        <v>24.07</v>
      </c>
      <c r="AB13" s="847">
        <v>25.41</v>
      </c>
      <c r="AC13" s="847">
        <v>26.88</v>
      </c>
      <c r="AD13" s="847">
        <v>28.22</v>
      </c>
      <c r="AE13" s="847">
        <v>29.58</v>
      </c>
      <c r="AF13" s="847">
        <v>30.92</v>
      </c>
      <c r="AG13" s="847">
        <v>32.39</v>
      </c>
      <c r="AH13" s="847">
        <v>33.74</v>
      </c>
      <c r="AI13" s="847">
        <v>35.08</v>
      </c>
      <c r="AJ13" s="848">
        <v>36.44</v>
      </c>
      <c r="AK13" s="690">
        <f t="shared" si="0"/>
        <v>37.799999999999997</v>
      </c>
      <c r="AL13" s="690">
        <f t="shared" si="1"/>
        <v>39.159999999999997</v>
      </c>
      <c r="AM13" s="690">
        <f t="shared" si="1"/>
        <v>40.519999999999996</v>
      </c>
      <c r="AN13" s="690">
        <f t="shared" si="1"/>
        <v>41.879999999999995</v>
      </c>
      <c r="AO13" s="690">
        <f t="shared" si="1"/>
        <v>43.239999999999995</v>
      </c>
      <c r="AP13" s="690">
        <f t="shared" si="1"/>
        <v>44.599999999999994</v>
      </c>
      <c r="AQ13" s="690">
        <f t="shared" si="1"/>
        <v>45.959999999999994</v>
      </c>
    </row>
    <row r="14" spans="1:43">
      <c r="A14" s="1816"/>
      <c r="B14" s="849">
        <v>1.1000000000000001</v>
      </c>
      <c r="C14" s="314">
        <f>(X14*KFC!$B$26+KFC!$C$26)*KFC!$C$5</f>
        <v>20.8</v>
      </c>
      <c r="D14" s="315">
        <f>(Y14*KFC!$B$26+KFC!$C$26)*KFC!$C$5</f>
        <v>22.14</v>
      </c>
      <c r="E14" s="315">
        <f>(Z14*KFC!$B$26+KFC!$C$26)*KFC!$C$5</f>
        <v>23.61</v>
      </c>
      <c r="F14" s="315">
        <f>(AA14*KFC!$B$26+KFC!$C$26)*KFC!$C$5</f>
        <v>24.96</v>
      </c>
      <c r="G14" s="315">
        <f>(AB14*KFC!$B$26+KFC!$C$26)*KFC!$C$5</f>
        <v>26.43</v>
      </c>
      <c r="H14" s="315">
        <f>(AC14*KFC!$B$26+KFC!$C$26)*KFC!$C$5</f>
        <v>27.77</v>
      </c>
      <c r="I14" s="315">
        <f>(AD14*KFC!$B$26+KFC!$C$26)*KFC!$C$5</f>
        <v>29.13</v>
      </c>
      <c r="J14" s="315">
        <f>(AE14*KFC!$B$26+KFC!$C$26)*KFC!$C$5</f>
        <v>30.59</v>
      </c>
      <c r="K14" s="315">
        <f>(AF14*KFC!$B$26+KFC!$C$26)*KFC!$C$5</f>
        <v>31.94</v>
      </c>
      <c r="L14" s="315">
        <f>(AG14*KFC!$B$26+KFC!$C$26)*KFC!$C$5</f>
        <v>33.39</v>
      </c>
      <c r="M14" s="315">
        <f>(AH14*KFC!$B$26+KFC!$C$26)*KFC!$C$5</f>
        <v>34.76</v>
      </c>
      <c r="N14" s="315">
        <f>(AI14*KFC!$B$26+KFC!$C$26)*KFC!$C$5</f>
        <v>36.200000000000003</v>
      </c>
      <c r="O14" s="315">
        <f>(AJ14*KFC!$B$26+KFC!$C$26)*KFC!$C$5</f>
        <v>37.67</v>
      </c>
      <c r="P14" s="315">
        <f>(AK14*KFC!$B$26+KFC!$C$26)*KFC!$C$5</f>
        <v>39.14</v>
      </c>
      <c r="Q14" s="315">
        <f>(AL14*KFC!$B$26+KFC!$C$26)*KFC!$C$5</f>
        <v>40.61</v>
      </c>
      <c r="R14" s="315">
        <f>(AM14*KFC!$B$26+KFC!$C$26)*KFC!$C$5</f>
        <v>42.08</v>
      </c>
      <c r="S14" s="315">
        <f>(AN14*KFC!$B$26+KFC!$C$26)*KFC!$C$5</f>
        <v>43.55</v>
      </c>
      <c r="T14" s="315">
        <f>(AO14*KFC!$B$26+KFC!$C$26)*KFC!$C$5</f>
        <v>45.019999999999996</v>
      </c>
      <c r="V14" s="1819"/>
      <c r="W14" s="845">
        <v>1.1000000000000001</v>
      </c>
      <c r="X14" s="847">
        <v>20.8</v>
      </c>
      <c r="Y14" s="847">
        <v>22.14</v>
      </c>
      <c r="Z14" s="847">
        <v>23.61</v>
      </c>
      <c r="AA14" s="847">
        <v>24.96</v>
      </c>
      <c r="AB14" s="847">
        <v>26.43</v>
      </c>
      <c r="AC14" s="847">
        <v>27.77</v>
      </c>
      <c r="AD14" s="847">
        <v>29.13</v>
      </c>
      <c r="AE14" s="847">
        <v>30.59</v>
      </c>
      <c r="AF14" s="847">
        <v>31.94</v>
      </c>
      <c r="AG14" s="847">
        <v>33.39</v>
      </c>
      <c r="AH14" s="847">
        <v>34.76</v>
      </c>
      <c r="AI14" s="847">
        <v>36.200000000000003</v>
      </c>
      <c r="AJ14" s="848">
        <v>37.67</v>
      </c>
      <c r="AK14" s="690">
        <f t="shared" si="0"/>
        <v>39.14</v>
      </c>
      <c r="AL14" s="690">
        <f t="shared" si="1"/>
        <v>40.61</v>
      </c>
      <c r="AM14" s="690">
        <f t="shared" si="1"/>
        <v>42.08</v>
      </c>
      <c r="AN14" s="690">
        <f t="shared" si="1"/>
        <v>43.55</v>
      </c>
      <c r="AO14" s="690">
        <f t="shared" si="1"/>
        <v>45.019999999999996</v>
      </c>
      <c r="AP14" s="690">
        <f t="shared" si="1"/>
        <v>46.489999999999995</v>
      </c>
      <c r="AQ14" s="690">
        <f t="shared" si="1"/>
        <v>47.959999999999994</v>
      </c>
    </row>
    <row r="15" spans="1:43">
      <c r="A15" s="1816"/>
      <c r="B15" s="849">
        <v>1.2</v>
      </c>
      <c r="C15" s="314">
        <f>(X15*KFC!$B$26+KFC!$C$26)*KFC!$C$5</f>
        <v>21.59</v>
      </c>
      <c r="D15" s="315">
        <f>(Y15*KFC!$B$26+KFC!$C$26)*KFC!$C$5</f>
        <v>23.06</v>
      </c>
      <c r="E15" s="315">
        <f>(Z15*KFC!$B$26+KFC!$C$26)*KFC!$C$5</f>
        <v>24.52</v>
      </c>
      <c r="F15" s="315">
        <f>(AA15*KFC!$B$26+KFC!$C$26)*KFC!$C$5</f>
        <v>25.86</v>
      </c>
      <c r="G15" s="315">
        <f>(AB15*KFC!$B$26+KFC!$C$26)*KFC!$C$5</f>
        <v>27.33</v>
      </c>
      <c r="H15" s="315">
        <f>(AC15*KFC!$B$26+KFC!$C$26)*KFC!$C$5</f>
        <v>28.68</v>
      </c>
      <c r="I15" s="315">
        <f>(AD15*KFC!$B$26+KFC!$C$26)*KFC!$C$5</f>
        <v>30.15</v>
      </c>
      <c r="J15" s="315">
        <f>(AE15*KFC!$B$26+KFC!$C$26)*KFC!$C$5</f>
        <v>31.49</v>
      </c>
      <c r="K15" s="315">
        <f>(AF15*KFC!$B$26+KFC!$C$26)*KFC!$C$5</f>
        <v>32.950000000000003</v>
      </c>
      <c r="L15" s="315">
        <f>(AG15*KFC!$B$26+KFC!$C$26)*KFC!$C$5</f>
        <v>34.409999999999997</v>
      </c>
      <c r="M15" s="315">
        <f>(AH15*KFC!$B$26+KFC!$C$26)*KFC!$C$5</f>
        <v>35.76</v>
      </c>
      <c r="N15" s="315">
        <f>(AI15*KFC!$B$26+KFC!$C$26)*KFC!$C$5</f>
        <v>37.22</v>
      </c>
      <c r="O15" s="315">
        <f>(AJ15*KFC!$B$26+KFC!$C$26)*KFC!$C$5</f>
        <v>38.68</v>
      </c>
      <c r="P15" s="315">
        <f>(AK15*KFC!$B$26+KFC!$C$26)*KFC!$C$5</f>
        <v>40.14</v>
      </c>
      <c r="Q15" s="315">
        <f>(AL15*KFC!$B$26+KFC!$C$26)*KFC!$C$5</f>
        <v>41.6</v>
      </c>
      <c r="R15" s="315">
        <f>(AM15*KFC!$B$26+KFC!$C$26)*KFC!$C$5</f>
        <v>43.06</v>
      </c>
      <c r="S15" s="315">
        <f>(AN15*KFC!$B$26+KFC!$C$26)*KFC!$C$5</f>
        <v>44.52</v>
      </c>
      <c r="T15" s="315">
        <f>(AO15*KFC!$B$26+KFC!$C$26)*KFC!$C$5</f>
        <v>45.980000000000004</v>
      </c>
      <c r="V15" s="1819"/>
      <c r="W15" s="845">
        <v>1.2</v>
      </c>
      <c r="X15" s="847">
        <v>21.59</v>
      </c>
      <c r="Y15" s="847">
        <v>23.06</v>
      </c>
      <c r="Z15" s="847">
        <v>24.52</v>
      </c>
      <c r="AA15" s="847">
        <v>25.86</v>
      </c>
      <c r="AB15" s="847">
        <v>27.33</v>
      </c>
      <c r="AC15" s="847">
        <v>28.68</v>
      </c>
      <c r="AD15" s="847">
        <v>30.15</v>
      </c>
      <c r="AE15" s="847">
        <v>31.49</v>
      </c>
      <c r="AF15" s="847">
        <v>32.950000000000003</v>
      </c>
      <c r="AG15" s="847">
        <v>34.409999999999997</v>
      </c>
      <c r="AH15" s="847">
        <v>35.76</v>
      </c>
      <c r="AI15" s="847">
        <v>37.22</v>
      </c>
      <c r="AJ15" s="848">
        <v>38.68</v>
      </c>
      <c r="AK15" s="690">
        <f t="shared" si="0"/>
        <v>40.14</v>
      </c>
      <c r="AL15" s="690">
        <f t="shared" si="1"/>
        <v>41.6</v>
      </c>
      <c r="AM15" s="690">
        <f t="shared" si="1"/>
        <v>43.06</v>
      </c>
      <c r="AN15" s="690">
        <f t="shared" si="1"/>
        <v>44.52</v>
      </c>
      <c r="AO15" s="690">
        <f t="shared" si="1"/>
        <v>45.980000000000004</v>
      </c>
      <c r="AP15" s="690">
        <f t="shared" si="1"/>
        <v>47.440000000000005</v>
      </c>
      <c r="AQ15" s="690">
        <f t="shared" si="1"/>
        <v>48.900000000000006</v>
      </c>
    </row>
    <row r="16" spans="1:43">
      <c r="A16" s="1816"/>
      <c r="B16" s="849">
        <v>1.3</v>
      </c>
      <c r="C16" s="314">
        <f>(X16*KFC!$B$26+KFC!$C$26)*KFC!$C$5</f>
        <v>22.49</v>
      </c>
      <c r="D16" s="315">
        <f>(Y16*KFC!$B$26+KFC!$C$26)*KFC!$C$5</f>
        <v>23.96</v>
      </c>
      <c r="E16" s="315">
        <f>(Z16*KFC!$B$26+KFC!$C$26)*KFC!$C$5</f>
        <v>25.31</v>
      </c>
      <c r="F16" s="315">
        <f>(AA16*KFC!$B$26+KFC!$C$26)*KFC!$C$5</f>
        <v>26.76</v>
      </c>
      <c r="G16" s="315">
        <f>(AB16*KFC!$B$26+KFC!$C$26)*KFC!$C$5</f>
        <v>28.22</v>
      </c>
      <c r="H16" s="315">
        <f>(AC16*KFC!$B$26+KFC!$C$26)*KFC!$C$5</f>
        <v>29.69</v>
      </c>
      <c r="I16" s="315">
        <f>(AD16*KFC!$B$26+KFC!$C$26)*KFC!$C$5</f>
        <v>31.04</v>
      </c>
      <c r="J16" s="315">
        <f>(AE16*KFC!$B$26+KFC!$C$26)*KFC!$C$5</f>
        <v>32.5</v>
      </c>
      <c r="K16" s="315">
        <f>(AF16*KFC!$B$26+KFC!$C$26)*KFC!$C$5</f>
        <v>33.96</v>
      </c>
      <c r="L16" s="315">
        <f>(AG16*KFC!$B$26+KFC!$C$26)*KFC!$C$5</f>
        <v>35.43</v>
      </c>
      <c r="M16" s="315">
        <f>(AH16*KFC!$B$26+KFC!$C$26)*KFC!$C$5</f>
        <v>36.770000000000003</v>
      </c>
      <c r="N16" s="315">
        <f>(AI16*KFC!$B$26+KFC!$C$26)*KFC!$C$5</f>
        <v>38.229999999999997</v>
      </c>
      <c r="O16" s="315">
        <f>(AJ16*KFC!$B$26+KFC!$C$26)*KFC!$C$5</f>
        <v>39.700000000000003</v>
      </c>
      <c r="P16" s="315">
        <f>(AK16*KFC!$B$26+KFC!$C$26)*KFC!$C$5</f>
        <v>41.170000000000009</v>
      </c>
      <c r="Q16" s="315">
        <f>(AL16*KFC!$B$26+KFC!$C$26)*KFC!$C$5</f>
        <v>42.640000000000015</v>
      </c>
      <c r="R16" s="315">
        <f>(AM16*KFC!$B$26+KFC!$C$26)*KFC!$C$5</f>
        <v>44.110000000000021</v>
      </c>
      <c r="S16" s="315">
        <f>(AN16*KFC!$B$26+KFC!$C$26)*KFC!$C$5</f>
        <v>45.580000000000027</v>
      </c>
      <c r="T16" s="315">
        <f>(AO16*KFC!$B$26+KFC!$C$26)*KFC!$C$5</f>
        <v>47.050000000000033</v>
      </c>
      <c r="V16" s="1819"/>
      <c r="W16" s="845">
        <v>1.3</v>
      </c>
      <c r="X16" s="847">
        <v>22.49</v>
      </c>
      <c r="Y16" s="847">
        <v>23.96</v>
      </c>
      <c r="Z16" s="847">
        <v>25.31</v>
      </c>
      <c r="AA16" s="847">
        <v>26.76</v>
      </c>
      <c r="AB16" s="847">
        <v>28.22</v>
      </c>
      <c r="AC16" s="847">
        <v>29.69</v>
      </c>
      <c r="AD16" s="847">
        <v>31.04</v>
      </c>
      <c r="AE16" s="847">
        <v>32.5</v>
      </c>
      <c r="AF16" s="847">
        <v>33.96</v>
      </c>
      <c r="AG16" s="847">
        <v>35.43</v>
      </c>
      <c r="AH16" s="847">
        <v>36.770000000000003</v>
      </c>
      <c r="AI16" s="847">
        <v>38.229999999999997</v>
      </c>
      <c r="AJ16" s="848">
        <v>39.700000000000003</v>
      </c>
      <c r="AK16" s="690">
        <f t="shared" si="0"/>
        <v>41.170000000000009</v>
      </c>
      <c r="AL16" s="690">
        <f t="shared" si="1"/>
        <v>42.640000000000015</v>
      </c>
      <c r="AM16" s="690">
        <f t="shared" si="1"/>
        <v>44.110000000000021</v>
      </c>
      <c r="AN16" s="690">
        <f t="shared" si="1"/>
        <v>45.580000000000027</v>
      </c>
      <c r="AO16" s="690">
        <f t="shared" si="1"/>
        <v>47.050000000000033</v>
      </c>
      <c r="AP16" s="690">
        <f t="shared" si="1"/>
        <v>48.520000000000039</v>
      </c>
      <c r="AQ16" s="690">
        <f t="shared" si="1"/>
        <v>49.990000000000045</v>
      </c>
    </row>
    <row r="17" spans="1:43">
      <c r="A17" s="1816"/>
      <c r="B17" s="849">
        <v>1.4</v>
      </c>
      <c r="C17" s="314">
        <f>(X17*KFC!$B$26+KFC!$C$26)*KFC!$C$5</f>
        <v>23.39</v>
      </c>
      <c r="D17" s="315">
        <f>(Y17*KFC!$B$26+KFC!$C$26)*KFC!$C$5</f>
        <v>24.74</v>
      </c>
      <c r="E17" s="315">
        <f>(Z17*KFC!$B$26+KFC!$C$26)*KFC!$C$5</f>
        <v>26.21</v>
      </c>
      <c r="F17" s="315">
        <f>(AA17*KFC!$B$26+KFC!$C$26)*KFC!$C$5</f>
        <v>27.66</v>
      </c>
      <c r="G17" s="315">
        <f>(AB17*KFC!$B$26+KFC!$C$26)*KFC!$C$5</f>
        <v>29.13</v>
      </c>
      <c r="H17" s="315">
        <f>(AC17*KFC!$B$26+KFC!$C$26)*KFC!$C$5</f>
        <v>30.59</v>
      </c>
      <c r="I17" s="315">
        <f>(AD17*KFC!$B$26+KFC!$C$26)*KFC!$C$5</f>
        <v>32.049999999999997</v>
      </c>
      <c r="J17" s="315">
        <f>(AE17*KFC!$B$26+KFC!$C$26)*KFC!$C$5</f>
        <v>33.520000000000003</v>
      </c>
      <c r="K17" s="315">
        <f>(AF17*KFC!$B$26+KFC!$C$26)*KFC!$C$5</f>
        <v>34.979999999999997</v>
      </c>
      <c r="L17" s="315">
        <f>(AG17*KFC!$B$26+KFC!$C$26)*KFC!$C$5</f>
        <v>36.44</v>
      </c>
      <c r="M17" s="315">
        <f>(AH17*KFC!$B$26+KFC!$C$26)*KFC!$C$5</f>
        <v>37.78</v>
      </c>
      <c r="N17" s="315">
        <f>(AI17*KFC!$B$26+KFC!$C$26)*KFC!$C$5</f>
        <v>39.25</v>
      </c>
      <c r="O17" s="315">
        <f>(AJ17*KFC!$B$26+KFC!$C$26)*KFC!$C$5</f>
        <v>40.71</v>
      </c>
      <c r="P17" s="315">
        <f>(AK17*KFC!$B$26+KFC!$C$26)*KFC!$C$5</f>
        <v>42.17</v>
      </c>
      <c r="Q17" s="315">
        <f>(AL17*KFC!$B$26+KFC!$C$26)*KFC!$C$5</f>
        <v>43.63</v>
      </c>
      <c r="R17" s="315">
        <f>(AM17*KFC!$B$26+KFC!$C$26)*KFC!$C$5</f>
        <v>45.09</v>
      </c>
      <c r="S17" s="315">
        <f>(AN17*KFC!$B$26+KFC!$C$26)*KFC!$C$5</f>
        <v>46.550000000000004</v>
      </c>
      <c r="T17" s="315">
        <f>(AO17*KFC!$B$26+KFC!$C$26)*KFC!$C$5</f>
        <v>48.010000000000005</v>
      </c>
      <c r="V17" s="1819"/>
      <c r="W17" s="845">
        <v>1.4</v>
      </c>
      <c r="X17" s="847">
        <v>23.39</v>
      </c>
      <c r="Y17" s="847">
        <v>24.74</v>
      </c>
      <c r="Z17" s="847">
        <v>26.21</v>
      </c>
      <c r="AA17" s="847">
        <v>27.66</v>
      </c>
      <c r="AB17" s="847">
        <v>29.13</v>
      </c>
      <c r="AC17" s="847">
        <v>30.59</v>
      </c>
      <c r="AD17" s="847">
        <v>32.049999999999997</v>
      </c>
      <c r="AE17" s="847">
        <v>33.520000000000003</v>
      </c>
      <c r="AF17" s="847">
        <v>34.979999999999997</v>
      </c>
      <c r="AG17" s="847">
        <v>36.44</v>
      </c>
      <c r="AH17" s="847">
        <v>37.78</v>
      </c>
      <c r="AI17" s="847">
        <v>39.25</v>
      </c>
      <c r="AJ17" s="848">
        <v>40.71</v>
      </c>
      <c r="AK17" s="690">
        <f t="shared" si="0"/>
        <v>42.17</v>
      </c>
      <c r="AL17" s="690">
        <f t="shared" si="1"/>
        <v>43.63</v>
      </c>
      <c r="AM17" s="690">
        <f t="shared" si="1"/>
        <v>45.09</v>
      </c>
      <c r="AN17" s="690">
        <f t="shared" si="1"/>
        <v>46.550000000000004</v>
      </c>
      <c r="AO17" s="690">
        <f t="shared" si="1"/>
        <v>48.010000000000005</v>
      </c>
      <c r="AP17" s="690">
        <f t="shared" si="1"/>
        <v>49.470000000000006</v>
      </c>
      <c r="AQ17" s="690">
        <f t="shared" si="1"/>
        <v>50.930000000000007</v>
      </c>
    </row>
    <row r="18" spans="1:43">
      <c r="A18" s="1816"/>
      <c r="B18" s="849">
        <v>1.5</v>
      </c>
      <c r="C18" s="314">
        <f>(X18*KFC!$B$26+KFC!$C$26)*KFC!$C$5</f>
        <v>24.18</v>
      </c>
      <c r="D18" s="315">
        <f>(Y18*KFC!$B$26+KFC!$C$26)*KFC!$C$5</f>
        <v>25.64</v>
      </c>
      <c r="E18" s="315">
        <f>(Z18*KFC!$B$26+KFC!$C$26)*KFC!$C$5</f>
        <v>27.1</v>
      </c>
      <c r="F18" s="315">
        <f>(AA18*KFC!$B$26+KFC!$C$26)*KFC!$C$5</f>
        <v>28.57</v>
      </c>
      <c r="G18" s="315">
        <f>(AB18*KFC!$B$26+KFC!$C$26)*KFC!$C$5</f>
        <v>30.02</v>
      </c>
      <c r="H18" s="315">
        <f>(AC18*KFC!$B$26+KFC!$C$26)*KFC!$C$5</f>
        <v>31.49</v>
      </c>
      <c r="I18" s="315">
        <f>(AD18*KFC!$B$26+KFC!$C$26)*KFC!$C$5</f>
        <v>32.950000000000003</v>
      </c>
      <c r="J18" s="315">
        <f>(AE18*KFC!$B$26+KFC!$C$26)*KFC!$C$5</f>
        <v>34.409999999999997</v>
      </c>
      <c r="K18" s="315">
        <f>(AF18*KFC!$B$26+KFC!$C$26)*KFC!$C$5</f>
        <v>35.979999999999997</v>
      </c>
      <c r="L18" s="315">
        <f>(AG18*KFC!$B$26+KFC!$C$26)*KFC!$C$5</f>
        <v>37.450000000000003</v>
      </c>
      <c r="M18" s="315">
        <f>(AH18*KFC!$B$26+KFC!$C$26)*KFC!$C$5</f>
        <v>38.9</v>
      </c>
      <c r="N18" s="315">
        <f>(AI18*KFC!$B$26+KFC!$C$26)*KFC!$C$5</f>
        <v>40.369999999999997</v>
      </c>
      <c r="O18" s="315">
        <f>(AJ18*KFC!$B$26+KFC!$C$26)*KFC!$C$5</f>
        <v>41.83</v>
      </c>
      <c r="P18" s="315">
        <f>(AK18*KFC!$B$26+KFC!$C$26)*KFC!$C$5</f>
        <v>43.29</v>
      </c>
      <c r="Q18" s="315">
        <f>(AL18*KFC!$B$26+KFC!$C$26)*KFC!$C$5</f>
        <v>44.75</v>
      </c>
      <c r="R18" s="315">
        <f>(AM18*KFC!$B$26+KFC!$C$26)*KFC!$C$5</f>
        <v>46.21</v>
      </c>
      <c r="S18" s="315">
        <f>(AN18*KFC!$B$26+KFC!$C$26)*KFC!$C$5</f>
        <v>47.67</v>
      </c>
      <c r="T18" s="315">
        <f>(AO18*KFC!$B$26+KFC!$C$26)*KFC!$C$5</f>
        <v>49.13</v>
      </c>
      <c r="V18" s="1819"/>
      <c r="W18" s="845">
        <v>1.5</v>
      </c>
      <c r="X18" s="847">
        <v>24.18</v>
      </c>
      <c r="Y18" s="847">
        <v>25.64</v>
      </c>
      <c r="Z18" s="847">
        <v>27.1</v>
      </c>
      <c r="AA18" s="847">
        <v>28.57</v>
      </c>
      <c r="AB18" s="847">
        <v>30.02</v>
      </c>
      <c r="AC18" s="847">
        <v>31.49</v>
      </c>
      <c r="AD18" s="847">
        <v>32.950000000000003</v>
      </c>
      <c r="AE18" s="847">
        <v>34.409999999999997</v>
      </c>
      <c r="AF18" s="847">
        <v>35.979999999999997</v>
      </c>
      <c r="AG18" s="847">
        <v>37.450000000000003</v>
      </c>
      <c r="AH18" s="847">
        <v>38.9</v>
      </c>
      <c r="AI18" s="847">
        <v>40.369999999999997</v>
      </c>
      <c r="AJ18" s="848">
        <v>41.83</v>
      </c>
      <c r="AK18" s="690">
        <f t="shared" si="0"/>
        <v>43.29</v>
      </c>
      <c r="AL18" s="690">
        <f t="shared" si="1"/>
        <v>44.75</v>
      </c>
      <c r="AM18" s="690">
        <f t="shared" si="1"/>
        <v>46.21</v>
      </c>
      <c r="AN18" s="690">
        <f t="shared" si="1"/>
        <v>47.67</v>
      </c>
      <c r="AO18" s="690">
        <f t="shared" si="1"/>
        <v>49.13</v>
      </c>
      <c r="AP18" s="690">
        <f t="shared" si="1"/>
        <v>50.59</v>
      </c>
      <c r="AQ18" s="690">
        <f t="shared" si="1"/>
        <v>52.050000000000004</v>
      </c>
    </row>
    <row r="19" spans="1:43">
      <c r="A19" s="1816"/>
      <c r="B19" s="849">
        <v>1.6</v>
      </c>
      <c r="C19" s="314">
        <f>(X19*KFC!$B$26+KFC!$C$26)*KFC!$C$5</f>
        <v>25.08</v>
      </c>
      <c r="D19" s="315">
        <f>(Y19*KFC!$B$26+KFC!$C$26)*KFC!$C$5</f>
        <v>26.53</v>
      </c>
      <c r="E19" s="315">
        <f>(Z19*KFC!$B$26+KFC!$C$26)*KFC!$C$5</f>
        <v>28</v>
      </c>
      <c r="F19" s="315">
        <f>(AA19*KFC!$B$26+KFC!$C$26)*KFC!$C$5</f>
        <v>29.46</v>
      </c>
      <c r="G19" s="315">
        <f>(AB19*KFC!$B$26+KFC!$C$26)*KFC!$C$5</f>
        <v>31.04</v>
      </c>
      <c r="H19" s="315">
        <f>(AC19*KFC!$B$26+KFC!$C$26)*KFC!$C$5</f>
        <v>32.5</v>
      </c>
      <c r="I19" s="315">
        <f>(AD19*KFC!$B$26+KFC!$C$26)*KFC!$C$5</f>
        <v>33.96</v>
      </c>
      <c r="J19" s="315">
        <f>(AE19*KFC!$B$26+KFC!$C$26)*KFC!$C$5</f>
        <v>35.43</v>
      </c>
      <c r="K19" s="315">
        <f>(AF19*KFC!$B$26+KFC!$C$26)*KFC!$C$5</f>
        <v>36.89</v>
      </c>
      <c r="L19" s="315">
        <f>(AG19*KFC!$B$26+KFC!$C$26)*KFC!$C$5</f>
        <v>38.450000000000003</v>
      </c>
      <c r="M19" s="315">
        <f>(AH19*KFC!$B$26+KFC!$C$26)*KFC!$C$5</f>
        <v>39.92</v>
      </c>
      <c r="N19" s="315">
        <f>(AI19*KFC!$B$26+KFC!$C$26)*KFC!$C$5</f>
        <v>41.39</v>
      </c>
      <c r="O19" s="315">
        <f>(AJ19*KFC!$B$26+KFC!$C$26)*KFC!$C$5</f>
        <v>42.84</v>
      </c>
      <c r="P19" s="315">
        <f>(AK19*KFC!$B$26+KFC!$C$26)*KFC!$C$5</f>
        <v>44.290000000000006</v>
      </c>
      <c r="Q19" s="315">
        <f>(AL19*KFC!$B$26+KFC!$C$26)*KFC!$C$5</f>
        <v>45.740000000000009</v>
      </c>
      <c r="R19" s="315">
        <f>(AM19*KFC!$B$26+KFC!$C$26)*KFC!$C$5</f>
        <v>47.190000000000012</v>
      </c>
      <c r="S19" s="315">
        <f>(AN19*KFC!$B$26+KFC!$C$26)*KFC!$C$5</f>
        <v>48.640000000000015</v>
      </c>
      <c r="T19" s="315">
        <f>(AO19*KFC!$B$26+KFC!$C$26)*KFC!$C$5</f>
        <v>50.090000000000018</v>
      </c>
      <c r="V19" s="1819"/>
      <c r="W19" s="845">
        <v>1.6</v>
      </c>
      <c r="X19" s="847">
        <v>25.08</v>
      </c>
      <c r="Y19" s="847">
        <v>26.53</v>
      </c>
      <c r="Z19" s="847">
        <v>28</v>
      </c>
      <c r="AA19" s="847">
        <v>29.46</v>
      </c>
      <c r="AB19" s="847">
        <v>31.04</v>
      </c>
      <c r="AC19" s="847">
        <v>32.5</v>
      </c>
      <c r="AD19" s="847">
        <v>33.96</v>
      </c>
      <c r="AE19" s="847">
        <v>35.43</v>
      </c>
      <c r="AF19" s="847">
        <v>36.89</v>
      </c>
      <c r="AG19" s="847">
        <v>38.450000000000003</v>
      </c>
      <c r="AH19" s="847">
        <v>39.92</v>
      </c>
      <c r="AI19" s="847">
        <v>41.39</v>
      </c>
      <c r="AJ19" s="848">
        <v>42.84</v>
      </c>
      <c r="AK19" s="690">
        <f t="shared" si="0"/>
        <v>44.290000000000006</v>
      </c>
      <c r="AL19" s="690">
        <f t="shared" si="1"/>
        <v>45.740000000000009</v>
      </c>
      <c r="AM19" s="690">
        <f t="shared" si="1"/>
        <v>47.190000000000012</v>
      </c>
      <c r="AN19" s="690">
        <f t="shared" si="1"/>
        <v>48.640000000000015</v>
      </c>
      <c r="AO19" s="690">
        <f t="shared" si="1"/>
        <v>50.090000000000018</v>
      </c>
      <c r="AP19" s="690">
        <f t="shared" si="1"/>
        <v>51.54000000000002</v>
      </c>
      <c r="AQ19" s="690">
        <f t="shared" si="1"/>
        <v>52.990000000000023</v>
      </c>
    </row>
    <row r="20" spans="1:43">
      <c r="A20" s="1816"/>
      <c r="B20" s="849">
        <v>1.7</v>
      </c>
      <c r="C20" s="314">
        <f>(X20*KFC!$B$26+KFC!$C$26)*KFC!$C$5</f>
        <v>25.86</v>
      </c>
      <c r="D20" s="315">
        <f>(Y20*KFC!$B$26+KFC!$C$26)*KFC!$C$5</f>
        <v>27.44</v>
      </c>
      <c r="E20" s="315">
        <f>(Z20*KFC!$B$26+KFC!$C$26)*KFC!$C$5</f>
        <v>28.9</v>
      </c>
      <c r="F20" s="315">
        <f>(AA20*KFC!$B$26+KFC!$C$26)*KFC!$C$5</f>
        <v>30.37</v>
      </c>
      <c r="G20" s="315">
        <f>(AB20*KFC!$B$26+KFC!$C$26)*KFC!$C$5</f>
        <v>31.94</v>
      </c>
      <c r="H20" s="315">
        <f>(AC20*KFC!$B$26+KFC!$C$26)*KFC!$C$5</f>
        <v>33.39</v>
      </c>
      <c r="I20" s="315">
        <f>(AD20*KFC!$B$26+KFC!$C$26)*KFC!$C$5</f>
        <v>34.86</v>
      </c>
      <c r="J20" s="315">
        <f>(AE20*KFC!$B$26+KFC!$C$26)*KFC!$C$5</f>
        <v>36.44</v>
      </c>
      <c r="K20" s="315">
        <f>(AF20*KFC!$B$26+KFC!$C$26)*KFC!$C$5</f>
        <v>37.89</v>
      </c>
      <c r="L20" s="315">
        <f>(AG20*KFC!$B$26+KFC!$C$26)*KFC!$C$5</f>
        <v>39.47</v>
      </c>
      <c r="M20" s="315">
        <f>(AH20*KFC!$B$26+KFC!$C$26)*KFC!$C$5</f>
        <v>40.94</v>
      </c>
      <c r="N20" s="315">
        <f>(AI20*KFC!$B$26+KFC!$C$26)*KFC!$C$5</f>
        <v>42.39</v>
      </c>
      <c r="O20" s="315">
        <f>(AJ20*KFC!$B$26+KFC!$C$26)*KFC!$C$5</f>
        <v>43.86</v>
      </c>
      <c r="P20" s="315">
        <f>(AK20*KFC!$B$26+KFC!$C$26)*KFC!$C$5</f>
        <v>45.33</v>
      </c>
      <c r="Q20" s="315">
        <f>(AL20*KFC!$B$26+KFC!$C$26)*KFC!$C$5</f>
        <v>46.8</v>
      </c>
      <c r="R20" s="315">
        <f>(AM20*KFC!$B$26+KFC!$C$26)*KFC!$C$5</f>
        <v>48.269999999999996</v>
      </c>
      <c r="S20" s="315">
        <f>(AN20*KFC!$B$26+KFC!$C$26)*KFC!$C$5</f>
        <v>49.739999999999995</v>
      </c>
      <c r="T20" s="315">
        <f>(AO20*KFC!$B$26+KFC!$C$26)*KFC!$C$5</f>
        <v>51.209999999999994</v>
      </c>
      <c r="V20" s="1819"/>
      <c r="W20" s="845">
        <v>1.7</v>
      </c>
      <c r="X20" s="847">
        <v>25.86</v>
      </c>
      <c r="Y20" s="847">
        <v>27.44</v>
      </c>
      <c r="Z20" s="847">
        <v>28.9</v>
      </c>
      <c r="AA20" s="847">
        <v>30.37</v>
      </c>
      <c r="AB20" s="847">
        <v>31.94</v>
      </c>
      <c r="AC20" s="847">
        <v>33.39</v>
      </c>
      <c r="AD20" s="847">
        <v>34.86</v>
      </c>
      <c r="AE20" s="847">
        <v>36.44</v>
      </c>
      <c r="AF20" s="847">
        <v>37.89</v>
      </c>
      <c r="AG20" s="847">
        <v>39.47</v>
      </c>
      <c r="AH20" s="847">
        <v>40.94</v>
      </c>
      <c r="AI20" s="847">
        <v>42.39</v>
      </c>
      <c r="AJ20" s="848">
        <v>43.86</v>
      </c>
      <c r="AK20" s="690">
        <f t="shared" si="0"/>
        <v>45.33</v>
      </c>
      <c r="AL20" s="690">
        <f t="shared" si="1"/>
        <v>46.8</v>
      </c>
      <c r="AM20" s="690">
        <f t="shared" si="1"/>
        <v>48.269999999999996</v>
      </c>
      <c r="AN20" s="690">
        <f t="shared" si="1"/>
        <v>49.739999999999995</v>
      </c>
      <c r="AO20" s="690">
        <f t="shared" si="1"/>
        <v>51.209999999999994</v>
      </c>
      <c r="AP20" s="690">
        <f t="shared" si="1"/>
        <v>52.679999999999993</v>
      </c>
      <c r="AQ20" s="690">
        <f t="shared" si="1"/>
        <v>54.149999999999991</v>
      </c>
    </row>
    <row r="21" spans="1:43">
      <c r="A21" s="1816"/>
      <c r="B21" s="849">
        <v>1.8</v>
      </c>
      <c r="C21" s="314">
        <f>(X21*KFC!$B$26+KFC!$C$26)*KFC!$C$5</f>
        <v>26.76</v>
      </c>
      <c r="D21" s="315">
        <f>(Y21*KFC!$B$26+KFC!$C$26)*KFC!$C$5</f>
        <v>28.22</v>
      </c>
      <c r="E21" s="315">
        <f>(Z21*KFC!$B$26+KFC!$C$26)*KFC!$C$5</f>
        <v>29.8</v>
      </c>
      <c r="F21" s="315">
        <f>(AA21*KFC!$B$26+KFC!$C$26)*KFC!$C$5</f>
        <v>31.27</v>
      </c>
      <c r="G21" s="315">
        <f>(AB21*KFC!$B$26+KFC!$C$26)*KFC!$C$5</f>
        <v>32.83</v>
      </c>
      <c r="H21" s="315">
        <f>(AC21*KFC!$B$26+KFC!$C$26)*KFC!$C$5</f>
        <v>34.299999999999997</v>
      </c>
      <c r="I21" s="315">
        <f>(AD21*KFC!$B$26+KFC!$C$26)*KFC!$C$5</f>
        <v>35.880000000000003</v>
      </c>
      <c r="J21" s="315">
        <f>(AE21*KFC!$B$26+KFC!$C$26)*KFC!$C$5</f>
        <v>37.33</v>
      </c>
      <c r="K21" s="315">
        <f>(AF21*KFC!$B$26+KFC!$C$26)*KFC!$C$5</f>
        <v>38.9</v>
      </c>
      <c r="L21" s="315">
        <f>(AG21*KFC!$B$26+KFC!$C$26)*KFC!$C$5</f>
        <v>40.369999999999997</v>
      </c>
      <c r="M21" s="315">
        <f>(AH21*KFC!$B$26+KFC!$C$26)*KFC!$C$5</f>
        <v>41.95</v>
      </c>
      <c r="N21" s="315">
        <f>(AI21*KFC!$B$26+KFC!$C$26)*KFC!$C$5</f>
        <v>43.41</v>
      </c>
      <c r="O21" s="315">
        <f>(AJ21*KFC!$B$26+KFC!$C$26)*KFC!$C$5</f>
        <v>44.88</v>
      </c>
      <c r="P21" s="315">
        <f>(AK21*KFC!$B$26+KFC!$C$26)*KFC!$C$5</f>
        <v>46.350000000000009</v>
      </c>
      <c r="Q21" s="315">
        <f>(AL21*KFC!$B$26+KFC!$C$26)*KFC!$C$5</f>
        <v>47.820000000000014</v>
      </c>
      <c r="R21" s="315">
        <f>(AM21*KFC!$B$26+KFC!$C$26)*KFC!$C$5</f>
        <v>49.29000000000002</v>
      </c>
      <c r="S21" s="315">
        <f>(AN21*KFC!$B$26+KFC!$C$26)*KFC!$C$5</f>
        <v>50.760000000000026</v>
      </c>
      <c r="T21" s="315">
        <f>(AO21*KFC!$B$26+KFC!$C$26)*KFC!$C$5</f>
        <v>52.230000000000032</v>
      </c>
      <c r="V21" s="1819"/>
      <c r="W21" s="845">
        <v>1.8</v>
      </c>
      <c r="X21" s="847">
        <v>26.76</v>
      </c>
      <c r="Y21" s="847">
        <v>28.22</v>
      </c>
      <c r="Z21" s="847">
        <v>29.8</v>
      </c>
      <c r="AA21" s="847">
        <v>31.27</v>
      </c>
      <c r="AB21" s="847">
        <v>32.83</v>
      </c>
      <c r="AC21" s="847">
        <v>34.299999999999997</v>
      </c>
      <c r="AD21" s="847">
        <v>35.880000000000003</v>
      </c>
      <c r="AE21" s="847">
        <v>37.33</v>
      </c>
      <c r="AF21" s="847">
        <v>38.9</v>
      </c>
      <c r="AG21" s="847">
        <v>40.369999999999997</v>
      </c>
      <c r="AH21" s="847">
        <v>41.95</v>
      </c>
      <c r="AI21" s="847">
        <v>43.41</v>
      </c>
      <c r="AJ21" s="848">
        <v>44.88</v>
      </c>
      <c r="AK21" s="690">
        <f t="shared" si="0"/>
        <v>46.350000000000009</v>
      </c>
      <c r="AL21" s="690">
        <f t="shared" si="1"/>
        <v>47.820000000000014</v>
      </c>
      <c r="AM21" s="690">
        <f t="shared" si="1"/>
        <v>49.29000000000002</v>
      </c>
      <c r="AN21" s="690">
        <f t="shared" si="1"/>
        <v>50.760000000000026</v>
      </c>
      <c r="AO21" s="690">
        <f t="shared" si="1"/>
        <v>52.230000000000032</v>
      </c>
      <c r="AP21" s="690">
        <f t="shared" si="1"/>
        <v>53.700000000000038</v>
      </c>
      <c r="AQ21" s="690">
        <f t="shared" si="1"/>
        <v>55.170000000000044</v>
      </c>
    </row>
    <row r="22" spans="1:43">
      <c r="A22" s="1816"/>
      <c r="B22" s="849">
        <v>1.9</v>
      </c>
      <c r="C22" s="314">
        <f>(X22*KFC!$B$26+KFC!$C$26)*KFC!$C$5</f>
        <v>27.66</v>
      </c>
      <c r="D22" s="315">
        <f>(Y22*KFC!$B$26+KFC!$C$26)*KFC!$C$5</f>
        <v>29.13</v>
      </c>
      <c r="E22" s="315">
        <f>(Z22*KFC!$B$26+KFC!$C$26)*KFC!$C$5</f>
        <v>30.7</v>
      </c>
      <c r="F22" s="315">
        <f>(AA22*KFC!$B$26+KFC!$C$26)*KFC!$C$5</f>
        <v>32.270000000000003</v>
      </c>
      <c r="G22" s="315">
        <f>(AB22*KFC!$B$26+KFC!$C$26)*KFC!$C$5</f>
        <v>33.74</v>
      </c>
      <c r="H22" s="315">
        <f>(AC22*KFC!$B$26+KFC!$C$26)*KFC!$C$5</f>
        <v>35.31</v>
      </c>
      <c r="I22" s="315">
        <f>(AD22*KFC!$B$26+KFC!$C$26)*KFC!$C$5</f>
        <v>36.770000000000003</v>
      </c>
      <c r="J22" s="315">
        <f>(AE22*KFC!$B$26+KFC!$C$26)*KFC!$C$5</f>
        <v>38.35</v>
      </c>
      <c r="K22" s="315">
        <f>(AF22*KFC!$B$26+KFC!$C$26)*KFC!$C$5</f>
        <v>39.92</v>
      </c>
      <c r="L22" s="315">
        <f>(AG22*KFC!$B$26+KFC!$C$26)*KFC!$C$5</f>
        <v>41.39</v>
      </c>
      <c r="M22" s="315">
        <f>(AH22*KFC!$B$26+KFC!$C$26)*KFC!$C$5</f>
        <v>42.96</v>
      </c>
      <c r="N22" s="315">
        <f>(AI22*KFC!$B$26+KFC!$C$26)*KFC!$C$5</f>
        <v>44.53</v>
      </c>
      <c r="O22" s="315">
        <f>(AJ22*KFC!$B$26+KFC!$C$26)*KFC!$C$5</f>
        <v>46.11</v>
      </c>
      <c r="P22" s="315">
        <f>(AK22*KFC!$B$26+KFC!$C$26)*KFC!$C$5</f>
        <v>47.69</v>
      </c>
      <c r="Q22" s="315">
        <f>(AL22*KFC!$B$26+KFC!$C$26)*KFC!$C$5</f>
        <v>49.269999999999996</v>
      </c>
      <c r="R22" s="315">
        <f>(AM22*KFC!$B$26+KFC!$C$26)*KFC!$C$5</f>
        <v>50.849999999999994</v>
      </c>
      <c r="S22" s="315">
        <f>(AN22*KFC!$B$26+KFC!$C$26)*KFC!$C$5</f>
        <v>52.429999999999993</v>
      </c>
      <c r="T22" s="315">
        <f>(AO22*KFC!$B$26+KFC!$C$26)*KFC!$C$5</f>
        <v>54.009999999999991</v>
      </c>
      <c r="V22" s="1819"/>
      <c r="W22" s="845">
        <v>1.9</v>
      </c>
      <c r="X22" s="847">
        <v>27.66</v>
      </c>
      <c r="Y22" s="847">
        <v>29.13</v>
      </c>
      <c r="Z22" s="847">
        <v>30.7</v>
      </c>
      <c r="AA22" s="847">
        <v>32.270000000000003</v>
      </c>
      <c r="AB22" s="847">
        <v>33.74</v>
      </c>
      <c r="AC22" s="847">
        <v>35.31</v>
      </c>
      <c r="AD22" s="847">
        <v>36.770000000000003</v>
      </c>
      <c r="AE22" s="847">
        <v>38.35</v>
      </c>
      <c r="AF22" s="847">
        <v>39.92</v>
      </c>
      <c r="AG22" s="847">
        <v>41.39</v>
      </c>
      <c r="AH22" s="847">
        <v>42.96</v>
      </c>
      <c r="AI22" s="847">
        <v>44.53</v>
      </c>
      <c r="AJ22" s="848">
        <v>46.11</v>
      </c>
      <c r="AK22" s="690">
        <f t="shared" si="0"/>
        <v>47.69</v>
      </c>
      <c r="AL22" s="690">
        <f t="shared" si="1"/>
        <v>49.269999999999996</v>
      </c>
      <c r="AM22" s="690">
        <f t="shared" si="1"/>
        <v>50.849999999999994</v>
      </c>
      <c r="AN22" s="690">
        <f t="shared" si="1"/>
        <v>52.429999999999993</v>
      </c>
      <c r="AO22" s="690">
        <f t="shared" si="1"/>
        <v>54.009999999999991</v>
      </c>
      <c r="AP22" s="690">
        <f t="shared" si="1"/>
        <v>55.589999999999989</v>
      </c>
      <c r="AQ22" s="690">
        <f t="shared" si="1"/>
        <v>57.169999999999987</v>
      </c>
    </row>
    <row r="23" spans="1:43">
      <c r="A23" s="1816"/>
      <c r="B23" s="849">
        <v>2</v>
      </c>
      <c r="C23" s="314">
        <f>(X23*KFC!$B$26+KFC!$C$26)*KFC!$C$5</f>
        <v>28.46</v>
      </c>
      <c r="D23" s="315">
        <f>(Y23*KFC!$B$26+KFC!$C$26)*KFC!$C$5</f>
        <v>30.02</v>
      </c>
      <c r="E23" s="315">
        <f>(Z23*KFC!$B$26+KFC!$C$26)*KFC!$C$5</f>
        <v>31.59</v>
      </c>
      <c r="F23" s="315">
        <f>(AA23*KFC!$B$26+KFC!$C$26)*KFC!$C$5</f>
        <v>33.17</v>
      </c>
      <c r="G23" s="315">
        <f>(AB23*KFC!$B$26+KFC!$C$26)*KFC!$C$5</f>
        <v>34.64</v>
      </c>
      <c r="H23" s="315">
        <f>(AC23*KFC!$B$26+KFC!$C$26)*KFC!$C$5</f>
        <v>36.200000000000003</v>
      </c>
      <c r="I23" s="315">
        <f>(AD23*KFC!$B$26+KFC!$C$26)*KFC!$C$5</f>
        <v>37.78</v>
      </c>
      <c r="J23" s="315">
        <f>(AE23*KFC!$B$26+KFC!$C$26)*KFC!$C$5</f>
        <v>39.36</v>
      </c>
      <c r="K23" s="315">
        <f>(AF23*KFC!$B$26+KFC!$C$26)*KFC!$C$5</f>
        <v>40.94</v>
      </c>
      <c r="L23" s="315">
        <f>(AG23*KFC!$B$26+KFC!$C$26)*KFC!$C$5</f>
        <v>42.39</v>
      </c>
      <c r="M23" s="315">
        <f>(AH23*KFC!$B$26+KFC!$C$26)*KFC!$C$5</f>
        <v>43.96</v>
      </c>
      <c r="N23" s="315">
        <f>(AI23*KFC!$B$26+KFC!$C$26)*KFC!$C$5</f>
        <v>45.55</v>
      </c>
      <c r="O23" s="315">
        <f>(AJ23*KFC!$B$26+KFC!$C$26)*KFC!$C$5</f>
        <v>47.12</v>
      </c>
      <c r="P23" s="315">
        <f>(AK23*KFC!$B$26+KFC!$C$26)*KFC!$C$5</f>
        <v>48.69</v>
      </c>
      <c r="Q23" s="315">
        <f>(AL23*KFC!$B$26+KFC!$C$26)*KFC!$C$5</f>
        <v>50.26</v>
      </c>
      <c r="R23" s="315">
        <f>(AM23*KFC!$B$26+KFC!$C$26)*KFC!$C$5</f>
        <v>51.83</v>
      </c>
      <c r="S23" s="315">
        <f>(AN23*KFC!$B$26+KFC!$C$26)*KFC!$C$5</f>
        <v>53.4</v>
      </c>
      <c r="T23" s="315">
        <f>(AO23*KFC!$B$26+KFC!$C$26)*KFC!$C$5</f>
        <v>54.97</v>
      </c>
      <c r="V23" s="1819"/>
      <c r="W23" s="845">
        <v>2</v>
      </c>
      <c r="X23" s="847">
        <v>28.46</v>
      </c>
      <c r="Y23" s="847">
        <v>30.02</v>
      </c>
      <c r="Z23" s="847">
        <v>31.59</v>
      </c>
      <c r="AA23" s="847">
        <v>33.17</v>
      </c>
      <c r="AB23" s="847">
        <v>34.64</v>
      </c>
      <c r="AC23" s="847">
        <v>36.200000000000003</v>
      </c>
      <c r="AD23" s="847">
        <v>37.78</v>
      </c>
      <c r="AE23" s="847">
        <v>39.36</v>
      </c>
      <c r="AF23" s="847">
        <v>40.94</v>
      </c>
      <c r="AG23" s="847">
        <v>42.39</v>
      </c>
      <c r="AH23" s="847">
        <v>43.96</v>
      </c>
      <c r="AI23" s="847">
        <v>45.55</v>
      </c>
      <c r="AJ23" s="848">
        <v>47.12</v>
      </c>
      <c r="AK23" s="690">
        <f t="shared" si="0"/>
        <v>48.69</v>
      </c>
      <c r="AL23" s="690">
        <f t="shared" si="1"/>
        <v>50.26</v>
      </c>
      <c r="AM23" s="690">
        <f t="shared" si="1"/>
        <v>51.83</v>
      </c>
      <c r="AN23" s="690">
        <f t="shared" si="1"/>
        <v>53.4</v>
      </c>
      <c r="AO23" s="690">
        <f t="shared" si="1"/>
        <v>54.97</v>
      </c>
      <c r="AP23" s="690">
        <f t="shared" si="1"/>
        <v>56.54</v>
      </c>
      <c r="AQ23" s="690">
        <f t="shared" si="1"/>
        <v>58.11</v>
      </c>
    </row>
    <row r="24" spans="1:43">
      <c r="A24" s="1816"/>
      <c r="B24" s="849">
        <v>2.1</v>
      </c>
      <c r="C24" s="314">
        <f>(X24*KFC!$B$26+KFC!$C$26)*KFC!$C$5</f>
        <v>29.24</v>
      </c>
      <c r="D24" s="315">
        <f>(Y24*KFC!$B$26+KFC!$C$26)*KFC!$C$5</f>
        <v>30.92</v>
      </c>
      <c r="E24" s="315">
        <f>(Z24*KFC!$B$26+KFC!$C$26)*KFC!$C$5</f>
        <v>32.5</v>
      </c>
      <c r="F24" s="315">
        <f>(AA24*KFC!$B$26+KFC!$C$26)*KFC!$C$5</f>
        <v>34.08</v>
      </c>
      <c r="G24" s="315">
        <f>(AB24*KFC!$B$26+KFC!$C$26)*KFC!$C$5</f>
        <v>35.53</v>
      </c>
      <c r="H24" s="315">
        <f>(AC24*KFC!$B$26+KFC!$C$26)*KFC!$C$5</f>
        <v>37.11</v>
      </c>
      <c r="I24" s="315">
        <f>(AD24*KFC!$B$26+KFC!$C$26)*KFC!$C$5</f>
        <v>38.799999999999997</v>
      </c>
      <c r="J24" s="315">
        <f>(AE24*KFC!$B$26+KFC!$C$26)*KFC!$C$5</f>
        <v>40.369999999999997</v>
      </c>
      <c r="K24" s="315">
        <f>(AF24*KFC!$B$26+KFC!$C$26)*KFC!$C$5</f>
        <v>41.95</v>
      </c>
      <c r="L24" s="315">
        <f>(AG24*KFC!$B$26+KFC!$C$26)*KFC!$C$5</f>
        <v>43.41</v>
      </c>
      <c r="M24" s="315">
        <f>(AH24*KFC!$B$26+KFC!$C$26)*KFC!$C$5</f>
        <v>44.98</v>
      </c>
      <c r="N24" s="315">
        <f>(AI24*KFC!$B$26+KFC!$C$26)*KFC!$C$5</f>
        <v>46.56</v>
      </c>
      <c r="O24" s="315">
        <f>(AJ24*KFC!$B$26+KFC!$C$26)*KFC!$C$5</f>
        <v>48.13</v>
      </c>
      <c r="P24" s="315">
        <f>(AK24*KFC!$B$26+KFC!$C$26)*KFC!$C$5</f>
        <v>49.7</v>
      </c>
      <c r="Q24" s="315">
        <f>(AL24*KFC!$B$26+KFC!$C$26)*KFC!$C$5</f>
        <v>51.27</v>
      </c>
      <c r="R24" s="315">
        <f>(AM24*KFC!$B$26+KFC!$C$26)*KFC!$C$5</f>
        <v>52.84</v>
      </c>
      <c r="S24" s="315">
        <f>(AN24*KFC!$B$26+KFC!$C$26)*KFC!$C$5</f>
        <v>54.410000000000004</v>
      </c>
      <c r="T24" s="315">
        <f>(AO24*KFC!$B$26+KFC!$C$26)*KFC!$C$5</f>
        <v>55.980000000000004</v>
      </c>
      <c r="V24" s="1819"/>
      <c r="W24" s="845">
        <v>2.1</v>
      </c>
      <c r="X24" s="847">
        <v>29.24</v>
      </c>
      <c r="Y24" s="847">
        <v>30.92</v>
      </c>
      <c r="Z24" s="847">
        <v>32.5</v>
      </c>
      <c r="AA24" s="847">
        <v>34.08</v>
      </c>
      <c r="AB24" s="847">
        <v>35.53</v>
      </c>
      <c r="AC24" s="847">
        <v>37.11</v>
      </c>
      <c r="AD24" s="847">
        <v>38.799999999999997</v>
      </c>
      <c r="AE24" s="847">
        <v>40.369999999999997</v>
      </c>
      <c r="AF24" s="847">
        <v>41.95</v>
      </c>
      <c r="AG24" s="847">
        <v>43.41</v>
      </c>
      <c r="AH24" s="847">
        <v>44.98</v>
      </c>
      <c r="AI24" s="847">
        <v>46.56</v>
      </c>
      <c r="AJ24" s="848">
        <v>48.13</v>
      </c>
      <c r="AK24" s="690">
        <f t="shared" si="0"/>
        <v>49.7</v>
      </c>
      <c r="AL24" s="690">
        <f t="shared" ref="AL24:AQ25" si="2">AK24-AJ24+AK24</f>
        <v>51.27</v>
      </c>
      <c r="AM24" s="690">
        <f t="shared" si="2"/>
        <v>52.84</v>
      </c>
      <c r="AN24" s="690">
        <f t="shared" si="2"/>
        <v>54.410000000000004</v>
      </c>
      <c r="AO24" s="690">
        <f t="shared" si="2"/>
        <v>55.980000000000004</v>
      </c>
      <c r="AP24" s="690">
        <f t="shared" si="2"/>
        <v>57.550000000000004</v>
      </c>
      <c r="AQ24" s="690">
        <f t="shared" si="2"/>
        <v>59.120000000000005</v>
      </c>
    </row>
    <row r="25" spans="1:43" ht="13.8" thickBot="1">
      <c r="A25" s="1817"/>
      <c r="B25" s="849">
        <v>2.2000000000000002</v>
      </c>
      <c r="C25" s="317">
        <f>(X25*KFC!$B$26+KFC!$C$26)*KFC!$C$5</f>
        <v>30.02</v>
      </c>
      <c r="D25" s="318">
        <f>(Y25*KFC!$B$26+KFC!$C$26)*KFC!$C$5</f>
        <v>31.83</v>
      </c>
      <c r="E25" s="318">
        <f>(Z25*KFC!$B$26+KFC!$C$26)*KFC!$C$5</f>
        <v>33.39</v>
      </c>
      <c r="F25" s="318">
        <f>(AA25*KFC!$B$26+KFC!$C$26)*KFC!$C$5</f>
        <v>34.979999999999997</v>
      </c>
      <c r="G25" s="318">
        <f>(AB25*KFC!$B$26+KFC!$C$26)*KFC!$C$5</f>
        <v>36.44</v>
      </c>
      <c r="H25" s="318">
        <f>(AC25*KFC!$B$26+KFC!$C$26)*KFC!$C$5</f>
        <v>38.01</v>
      </c>
      <c r="I25" s="318">
        <f>(AD25*KFC!$B$26+KFC!$C$26)*KFC!$C$5</f>
        <v>39.82</v>
      </c>
      <c r="J25" s="318">
        <f>(AE25*KFC!$B$26+KFC!$C$26)*KFC!$C$5</f>
        <v>41.39</v>
      </c>
      <c r="K25" s="318">
        <f>(AF25*KFC!$B$26+KFC!$C$26)*KFC!$C$5</f>
        <v>42.96</v>
      </c>
      <c r="L25" s="318">
        <f>(AG25*KFC!$B$26+KFC!$C$26)*KFC!$C$5</f>
        <v>44.42</v>
      </c>
      <c r="M25" s="318">
        <f>(AH25*KFC!$B$26+KFC!$C$26)*KFC!$C$5</f>
        <v>46</v>
      </c>
      <c r="N25" s="318">
        <f>(AI25*KFC!$B$26+KFC!$C$26)*KFC!$C$5</f>
        <v>47.58</v>
      </c>
      <c r="O25" s="318">
        <f>(AJ25*KFC!$B$26+KFC!$C$26)*KFC!$C$5</f>
        <v>49.14</v>
      </c>
      <c r="P25" s="318">
        <f>(AK25*KFC!$B$26+KFC!$C$26)*KFC!$C$5</f>
        <v>50.7</v>
      </c>
      <c r="Q25" s="318">
        <f>(AL25*KFC!$B$26+KFC!$C$26)*KFC!$C$5</f>
        <v>52.260000000000005</v>
      </c>
      <c r="R25" s="318">
        <f>(AM25*KFC!$B$26+KFC!$C$26)*KFC!$C$5</f>
        <v>53.820000000000007</v>
      </c>
      <c r="S25" s="318">
        <f>(AN25*KFC!$B$26+KFC!$C$26)*KFC!$C$5</f>
        <v>55.38000000000001</v>
      </c>
      <c r="T25" s="318">
        <f>(AO25*KFC!$B$26+KFC!$C$26)*KFC!$C$5</f>
        <v>56.940000000000012</v>
      </c>
      <c r="V25" s="1820"/>
      <c r="W25" s="845">
        <v>2.2000000000000002</v>
      </c>
      <c r="X25" s="847">
        <v>30.02</v>
      </c>
      <c r="Y25" s="847">
        <v>31.83</v>
      </c>
      <c r="Z25" s="847">
        <v>33.39</v>
      </c>
      <c r="AA25" s="847">
        <v>34.979999999999997</v>
      </c>
      <c r="AB25" s="847">
        <v>36.44</v>
      </c>
      <c r="AC25" s="847">
        <v>38.01</v>
      </c>
      <c r="AD25" s="847">
        <v>39.82</v>
      </c>
      <c r="AE25" s="847">
        <v>41.39</v>
      </c>
      <c r="AF25" s="847">
        <v>42.96</v>
      </c>
      <c r="AG25" s="847">
        <v>44.42</v>
      </c>
      <c r="AH25" s="847">
        <v>46</v>
      </c>
      <c r="AI25" s="847">
        <v>47.58</v>
      </c>
      <c r="AJ25" s="848">
        <v>49.14</v>
      </c>
      <c r="AK25" s="690">
        <f t="shared" si="0"/>
        <v>50.7</v>
      </c>
      <c r="AL25" s="690">
        <f t="shared" si="2"/>
        <v>52.260000000000005</v>
      </c>
      <c r="AM25" s="690">
        <f t="shared" si="2"/>
        <v>53.820000000000007</v>
      </c>
      <c r="AN25" s="690">
        <f t="shared" si="2"/>
        <v>55.38000000000001</v>
      </c>
      <c r="AO25" s="690">
        <f t="shared" si="2"/>
        <v>56.940000000000012</v>
      </c>
      <c r="AP25" s="690">
        <f t="shared" si="2"/>
        <v>58.500000000000014</v>
      </c>
      <c r="AQ25" s="690">
        <f t="shared" si="2"/>
        <v>60.060000000000016</v>
      </c>
    </row>
    <row r="26" spans="1:43" ht="13.8" thickBot="1">
      <c r="A26" s="249"/>
      <c r="B26" s="249"/>
      <c r="C26" s="249"/>
      <c r="D26" s="249"/>
      <c r="E26" s="249"/>
      <c r="F26" s="249"/>
      <c r="G26" s="249"/>
      <c r="H26" s="249"/>
      <c r="I26" s="249"/>
      <c r="J26" s="249"/>
      <c r="K26" s="249"/>
      <c r="L26" s="249"/>
    </row>
    <row r="27" spans="1:43" ht="13.8" thickBot="1">
      <c r="A27" s="1413" t="s">
        <v>314</v>
      </c>
      <c r="B27" s="1415"/>
      <c r="C27" s="1534" t="s">
        <v>207</v>
      </c>
      <c r="D27" s="1535"/>
      <c r="E27" s="1535"/>
      <c r="F27" s="1535"/>
      <c r="G27" s="1535"/>
      <c r="H27" s="1535"/>
      <c r="I27" s="1535"/>
      <c r="J27" s="1535"/>
      <c r="K27" s="1535"/>
      <c r="L27" s="1535"/>
      <c r="M27" s="1535"/>
      <c r="N27" s="1535"/>
      <c r="O27" s="1535"/>
      <c r="P27" s="1535"/>
      <c r="Q27" s="1535"/>
      <c r="R27" s="1535"/>
      <c r="S27" s="1535"/>
      <c r="T27" s="1536"/>
      <c r="V27" s="1413" t="s">
        <v>314</v>
      </c>
      <c r="W27" s="1415"/>
      <c r="X27" s="1534" t="s">
        <v>207</v>
      </c>
      <c r="Y27" s="1535"/>
      <c r="Z27" s="1535"/>
      <c r="AA27" s="1535"/>
      <c r="AB27" s="1535"/>
      <c r="AC27" s="1535"/>
      <c r="AD27" s="1535"/>
      <c r="AE27" s="1535"/>
      <c r="AF27" s="1535"/>
      <c r="AG27" s="1535"/>
      <c r="AH27" s="1535"/>
      <c r="AI27" s="1535"/>
      <c r="AJ27" s="1535"/>
      <c r="AK27" s="1535"/>
      <c r="AL27" s="1535"/>
      <c r="AM27" s="1535"/>
      <c r="AN27" s="1535"/>
      <c r="AO27" s="1535"/>
      <c r="AP27" s="1535"/>
      <c r="AQ27" s="1536"/>
    </row>
    <row r="28" spans="1:43" ht="13.8" thickBot="1">
      <c r="A28" s="1416"/>
      <c r="B28" s="1802"/>
      <c r="C28" s="119">
        <v>0.4</v>
      </c>
      <c r="D28" s="119">
        <v>0.5</v>
      </c>
      <c r="E28" s="119">
        <v>0.6</v>
      </c>
      <c r="F28" s="119">
        <v>0.7</v>
      </c>
      <c r="G28" s="119">
        <v>0.8</v>
      </c>
      <c r="H28" s="119">
        <v>0.9</v>
      </c>
      <c r="I28" s="119">
        <v>1</v>
      </c>
      <c r="J28" s="119">
        <v>1.1000000000000001</v>
      </c>
      <c r="K28" s="119">
        <v>1.2</v>
      </c>
      <c r="L28" s="119">
        <v>1.3</v>
      </c>
      <c r="M28" s="119">
        <v>1.4</v>
      </c>
      <c r="N28" s="119">
        <v>1.5</v>
      </c>
      <c r="O28" s="119">
        <v>1.6</v>
      </c>
      <c r="P28" s="119">
        <v>1.7</v>
      </c>
      <c r="Q28" s="119">
        <v>1.8</v>
      </c>
      <c r="R28" s="119">
        <v>1.9</v>
      </c>
      <c r="S28" s="119">
        <v>2</v>
      </c>
      <c r="T28" s="119">
        <v>2.1</v>
      </c>
      <c r="V28" s="1416"/>
      <c r="W28" s="1802"/>
      <c r="X28" s="428">
        <v>0.4</v>
      </c>
      <c r="Y28" s="428">
        <v>0.5</v>
      </c>
      <c r="Z28" s="428">
        <v>0.6</v>
      </c>
      <c r="AA28" s="428">
        <v>0.7</v>
      </c>
      <c r="AB28" s="428">
        <v>0.8</v>
      </c>
      <c r="AC28" s="428">
        <v>0.9</v>
      </c>
      <c r="AD28" s="428">
        <v>1</v>
      </c>
      <c r="AE28" s="428">
        <v>1.1000000000000001</v>
      </c>
      <c r="AF28" s="428">
        <v>1.2</v>
      </c>
      <c r="AG28" s="428">
        <v>1.3</v>
      </c>
      <c r="AH28" s="428">
        <v>1.4</v>
      </c>
      <c r="AI28" s="428">
        <v>1.5</v>
      </c>
      <c r="AJ28" s="428">
        <v>1.6</v>
      </c>
      <c r="AK28" s="428">
        <v>1.7</v>
      </c>
      <c r="AL28" s="428">
        <v>1.8</v>
      </c>
      <c r="AM28" s="428">
        <v>1.9</v>
      </c>
      <c r="AN28" s="428">
        <v>2</v>
      </c>
      <c r="AO28" s="428">
        <v>2.1</v>
      </c>
      <c r="AP28" s="428">
        <v>2.2000000000000002</v>
      </c>
      <c r="AQ28" s="428">
        <v>2.2999999999999998</v>
      </c>
    </row>
    <row r="29" spans="1:43" ht="13.2" customHeight="1">
      <c r="A29" s="1537" t="s">
        <v>3</v>
      </c>
      <c r="B29" s="261">
        <v>0.5</v>
      </c>
      <c r="C29" s="311">
        <f>(X29*KFC!$B$26+KFC!$C$26)*KFC!$C$5</f>
        <v>21.02</v>
      </c>
      <c r="D29" s="312">
        <f>(Y29*KFC!$B$26+KFC!$C$26)*KFC!$C$5</f>
        <v>22.71</v>
      </c>
      <c r="E29" s="312">
        <f>(Z29*KFC!$B$26+KFC!$C$26)*KFC!$C$5</f>
        <v>24.4</v>
      </c>
      <c r="F29" s="312">
        <f>(AA29*KFC!$B$26+KFC!$C$26)*KFC!$C$5</f>
        <v>25.98</v>
      </c>
      <c r="G29" s="312">
        <f>(AB29*KFC!$B$26+KFC!$C$26)*KFC!$C$5</f>
        <v>27.66</v>
      </c>
      <c r="H29" s="312">
        <f>(AC29*KFC!$B$26+KFC!$C$26)*KFC!$C$5</f>
        <v>29.35</v>
      </c>
      <c r="I29" s="312">
        <f>(AD29*KFC!$B$26+KFC!$C$26)*KFC!$C$5</f>
        <v>31.04</v>
      </c>
      <c r="J29" s="312">
        <f>(AE29*KFC!$B$26+KFC!$C$26)*KFC!$C$5</f>
        <v>32.72</v>
      </c>
      <c r="K29" s="312">
        <f>(AF29*KFC!$B$26+KFC!$C$26)*KFC!$C$5</f>
        <v>34.409999999999997</v>
      </c>
      <c r="L29" s="312">
        <f>(AG29*KFC!$B$26+KFC!$C$26)*KFC!$C$5</f>
        <v>35.979999999999997</v>
      </c>
      <c r="M29" s="312">
        <f>(AH29*KFC!$B$26+KFC!$C$26)*KFC!$C$5</f>
        <v>37.67</v>
      </c>
      <c r="N29" s="312">
        <f>(AI29*KFC!$B$26+KFC!$C$26)*KFC!$C$5</f>
        <v>39.36</v>
      </c>
      <c r="O29" s="312">
        <f>(AJ29*KFC!$B$26+KFC!$C$26)*KFC!$C$5</f>
        <v>41.04</v>
      </c>
      <c r="P29" s="312">
        <f>(AK29*KFC!$B$26+KFC!$C$26)*KFC!$C$5</f>
        <v>42.72</v>
      </c>
      <c r="Q29" s="312">
        <f>(AL29*KFC!$B$26+KFC!$C$26)*KFC!$C$5</f>
        <v>44.4</v>
      </c>
      <c r="R29" s="312">
        <f>(AM29*KFC!$B$26+KFC!$C$26)*KFC!$C$5</f>
        <v>46.08</v>
      </c>
      <c r="S29" s="312">
        <f>(AN29*KFC!$B$26+KFC!$C$26)*KFC!$C$5</f>
        <v>47.76</v>
      </c>
      <c r="T29" s="312">
        <f>(AO29*KFC!$B$26+KFC!$C$26)*KFC!$C$5</f>
        <v>49.44</v>
      </c>
      <c r="V29" s="1537" t="s">
        <v>3</v>
      </c>
      <c r="W29" s="110">
        <v>0.5</v>
      </c>
      <c r="X29" s="847">
        <v>21.02</v>
      </c>
      <c r="Y29" s="847">
        <v>22.71</v>
      </c>
      <c r="Z29" s="847">
        <v>24.4</v>
      </c>
      <c r="AA29" s="847">
        <v>25.98</v>
      </c>
      <c r="AB29" s="847">
        <v>27.66</v>
      </c>
      <c r="AC29" s="847">
        <v>29.35</v>
      </c>
      <c r="AD29" s="847">
        <v>31.04</v>
      </c>
      <c r="AE29" s="847">
        <v>32.72</v>
      </c>
      <c r="AF29" s="847">
        <v>34.409999999999997</v>
      </c>
      <c r="AG29" s="847">
        <v>35.979999999999997</v>
      </c>
      <c r="AH29" s="847">
        <v>37.67</v>
      </c>
      <c r="AI29" s="847">
        <v>39.36</v>
      </c>
      <c r="AJ29" s="848">
        <v>41.04</v>
      </c>
      <c r="AK29" s="690">
        <f t="shared" ref="AK29:AK46" si="3">AJ29-AI29+AJ29</f>
        <v>42.72</v>
      </c>
      <c r="AL29" s="690">
        <f t="shared" ref="AL29:AQ44" si="4">AK29-AJ29+AK29</f>
        <v>44.4</v>
      </c>
      <c r="AM29" s="690">
        <f t="shared" si="4"/>
        <v>46.08</v>
      </c>
      <c r="AN29" s="690">
        <f t="shared" si="4"/>
        <v>47.76</v>
      </c>
      <c r="AO29" s="690">
        <f t="shared" si="4"/>
        <v>49.44</v>
      </c>
      <c r="AP29" s="690">
        <f t="shared" si="4"/>
        <v>51.12</v>
      </c>
      <c r="AQ29" s="690">
        <f t="shared" si="4"/>
        <v>52.8</v>
      </c>
    </row>
    <row r="30" spans="1:43">
      <c r="A30" s="1538"/>
      <c r="B30" s="262">
        <v>0.6</v>
      </c>
      <c r="C30" s="314">
        <f>(X30*KFC!$B$26+KFC!$C$26)*KFC!$C$5</f>
        <v>21.92</v>
      </c>
      <c r="D30" s="315">
        <f>(Y30*KFC!$B$26+KFC!$C$26)*KFC!$C$5</f>
        <v>23.61</v>
      </c>
      <c r="E30" s="315">
        <f>(Z30*KFC!$B$26+KFC!$C$26)*KFC!$C$5</f>
        <v>25.31</v>
      </c>
      <c r="F30" s="315">
        <f>(AA30*KFC!$B$26+KFC!$C$26)*KFC!$C$5</f>
        <v>26.99</v>
      </c>
      <c r="G30" s="315">
        <f>(AB30*KFC!$B$26+KFC!$C$26)*KFC!$C$5</f>
        <v>28.68</v>
      </c>
      <c r="H30" s="315">
        <f>(AC30*KFC!$B$26+KFC!$C$26)*KFC!$C$5</f>
        <v>30.37</v>
      </c>
      <c r="I30" s="315">
        <f>(AD30*KFC!$B$26+KFC!$C$26)*KFC!$C$5</f>
        <v>32.049999999999997</v>
      </c>
      <c r="J30" s="315">
        <f>(AE30*KFC!$B$26+KFC!$C$26)*KFC!$C$5</f>
        <v>33.74</v>
      </c>
      <c r="K30" s="315">
        <f>(AF30*KFC!$B$26+KFC!$C$26)*KFC!$C$5</f>
        <v>35.43</v>
      </c>
      <c r="L30" s="315">
        <f>(AG30*KFC!$B$26+KFC!$C$26)*KFC!$C$5</f>
        <v>37.11</v>
      </c>
      <c r="M30" s="315">
        <f>(AH30*KFC!$B$26+KFC!$C$26)*KFC!$C$5</f>
        <v>38.799999999999997</v>
      </c>
      <c r="N30" s="315">
        <f>(AI30*KFC!$B$26+KFC!$C$26)*KFC!$C$5</f>
        <v>40.49</v>
      </c>
      <c r="O30" s="315">
        <f>(AJ30*KFC!$B$26+KFC!$C$26)*KFC!$C$5</f>
        <v>42.17</v>
      </c>
      <c r="P30" s="315">
        <f>(AK30*KFC!$B$26+KFC!$C$26)*KFC!$C$5</f>
        <v>43.85</v>
      </c>
      <c r="Q30" s="315">
        <f>(AL30*KFC!$B$26+KFC!$C$26)*KFC!$C$5</f>
        <v>45.53</v>
      </c>
      <c r="R30" s="315">
        <f>(AM30*KFC!$B$26+KFC!$C$26)*KFC!$C$5</f>
        <v>47.21</v>
      </c>
      <c r="S30" s="315">
        <f>(AN30*KFC!$B$26+KFC!$C$26)*KFC!$C$5</f>
        <v>48.89</v>
      </c>
      <c r="T30" s="315">
        <f>(AO30*KFC!$B$26+KFC!$C$26)*KFC!$C$5</f>
        <v>50.57</v>
      </c>
      <c r="V30" s="1538"/>
      <c r="W30" s="111">
        <v>0.6</v>
      </c>
      <c r="X30" s="847">
        <v>21.92</v>
      </c>
      <c r="Y30" s="847">
        <v>23.61</v>
      </c>
      <c r="Z30" s="847">
        <v>25.31</v>
      </c>
      <c r="AA30" s="847">
        <v>26.99</v>
      </c>
      <c r="AB30" s="847">
        <v>28.68</v>
      </c>
      <c r="AC30" s="847">
        <v>30.37</v>
      </c>
      <c r="AD30" s="847">
        <v>32.049999999999997</v>
      </c>
      <c r="AE30" s="847">
        <v>33.74</v>
      </c>
      <c r="AF30" s="847">
        <v>35.43</v>
      </c>
      <c r="AG30" s="847">
        <v>37.11</v>
      </c>
      <c r="AH30" s="847">
        <v>38.799999999999997</v>
      </c>
      <c r="AI30" s="847">
        <v>40.49</v>
      </c>
      <c r="AJ30" s="848">
        <v>42.17</v>
      </c>
      <c r="AK30" s="690">
        <f t="shared" si="3"/>
        <v>43.85</v>
      </c>
      <c r="AL30" s="690">
        <f t="shared" si="4"/>
        <v>45.53</v>
      </c>
      <c r="AM30" s="690">
        <f t="shared" si="4"/>
        <v>47.21</v>
      </c>
      <c r="AN30" s="690">
        <f t="shared" si="4"/>
        <v>48.89</v>
      </c>
      <c r="AO30" s="690">
        <f t="shared" si="4"/>
        <v>50.57</v>
      </c>
      <c r="AP30" s="690">
        <f t="shared" si="4"/>
        <v>52.25</v>
      </c>
      <c r="AQ30" s="690">
        <f t="shared" si="4"/>
        <v>53.93</v>
      </c>
    </row>
    <row r="31" spans="1:43">
      <c r="A31" s="1538"/>
      <c r="B31" s="262">
        <v>0.7</v>
      </c>
      <c r="C31" s="314">
        <f>(X31*KFC!$B$26+KFC!$C$26)*KFC!$C$5</f>
        <v>22.71</v>
      </c>
      <c r="D31" s="315">
        <f>(Y31*KFC!$B$26+KFC!$C$26)*KFC!$C$5</f>
        <v>24.4</v>
      </c>
      <c r="E31" s="315">
        <f>(Z31*KFC!$B$26+KFC!$C$26)*KFC!$C$5</f>
        <v>26.21</v>
      </c>
      <c r="F31" s="315">
        <f>(AA31*KFC!$B$26+KFC!$C$26)*KFC!$C$5</f>
        <v>27.9</v>
      </c>
      <c r="G31" s="315">
        <f>(AB31*KFC!$B$26+KFC!$C$26)*KFC!$C$5</f>
        <v>29.58</v>
      </c>
      <c r="H31" s="315">
        <f>(AC31*KFC!$B$26+KFC!$C$26)*KFC!$C$5</f>
        <v>31.27</v>
      </c>
      <c r="I31" s="315">
        <f>(AD31*KFC!$B$26+KFC!$C$26)*KFC!$C$5</f>
        <v>33.06</v>
      </c>
      <c r="J31" s="315">
        <f>(AE31*KFC!$B$26+KFC!$C$26)*KFC!$C$5</f>
        <v>34.76</v>
      </c>
      <c r="K31" s="315">
        <f>(AF31*KFC!$B$26+KFC!$C$26)*KFC!$C$5</f>
        <v>36.44</v>
      </c>
      <c r="L31" s="315">
        <f>(AG31*KFC!$B$26+KFC!$C$26)*KFC!$C$5</f>
        <v>38.130000000000003</v>
      </c>
      <c r="M31" s="315">
        <f>(AH31*KFC!$B$26+KFC!$C$26)*KFC!$C$5</f>
        <v>39.92</v>
      </c>
      <c r="N31" s="315">
        <f>(AI31*KFC!$B$26+KFC!$C$26)*KFC!$C$5</f>
        <v>41.61</v>
      </c>
      <c r="O31" s="315">
        <f>(AJ31*KFC!$B$26+KFC!$C$26)*KFC!$C$5</f>
        <v>43.29</v>
      </c>
      <c r="P31" s="315">
        <f>(AK31*KFC!$B$26+KFC!$C$26)*KFC!$C$5</f>
        <v>44.97</v>
      </c>
      <c r="Q31" s="315">
        <f>(AL31*KFC!$B$26+KFC!$C$26)*KFC!$C$5</f>
        <v>46.65</v>
      </c>
      <c r="R31" s="315">
        <f>(AM31*KFC!$B$26+KFC!$C$26)*KFC!$C$5</f>
        <v>48.33</v>
      </c>
      <c r="S31" s="315">
        <f>(AN31*KFC!$B$26+KFC!$C$26)*KFC!$C$5</f>
        <v>50.01</v>
      </c>
      <c r="T31" s="315">
        <f>(AO31*KFC!$B$26+KFC!$C$26)*KFC!$C$5</f>
        <v>51.69</v>
      </c>
      <c r="V31" s="1538"/>
      <c r="W31" s="111">
        <v>0.7</v>
      </c>
      <c r="X31" s="847">
        <v>22.71</v>
      </c>
      <c r="Y31" s="847">
        <v>24.4</v>
      </c>
      <c r="Z31" s="847">
        <v>26.21</v>
      </c>
      <c r="AA31" s="847">
        <v>27.9</v>
      </c>
      <c r="AB31" s="847">
        <v>29.58</v>
      </c>
      <c r="AC31" s="847">
        <v>31.27</v>
      </c>
      <c r="AD31" s="847">
        <v>33.06</v>
      </c>
      <c r="AE31" s="847">
        <v>34.76</v>
      </c>
      <c r="AF31" s="847">
        <v>36.44</v>
      </c>
      <c r="AG31" s="847">
        <v>38.130000000000003</v>
      </c>
      <c r="AH31" s="847">
        <v>39.92</v>
      </c>
      <c r="AI31" s="847">
        <v>41.61</v>
      </c>
      <c r="AJ31" s="848">
        <v>43.29</v>
      </c>
      <c r="AK31" s="690">
        <f t="shared" si="3"/>
        <v>44.97</v>
      </c>
      <c r="AL31" s="690">
        <f t="shared" si="4"/>
        <v>46.65</v>
      </c>
      <c r="AM31" s="690">
        <f t="shared" si="4"/>
        <v>48.33</v>
      </c>
      <c r="AN31" s="690">
        <f t="shared" si="4"/>
        <v>50.01</v>
      </c>
      <c r="AO31" s="690">
        <f t="shared" si="4"/>
        <v>51.69</v>
      </c>
      <c r="AP31" s="690">
        <f t="shared" si="4"/>
        <v>53.37</v>
      </c>
      <c r="AQ31" s="690">
        <f t="shared" si="4"/>
        <v>55.05</v>
      </c>
    </row>
    <row r="32" spans="1:43">
      <c r="A32" s="1538"/>
      <c r="B32" s="262">
        <v>0.8</v>
      </c>
      <c r="C32" s="314">
        <f>(X32*KFC!$B$26+KFC!$C$26)*KFC!$C$5</f>
        <v>23.61</v>
      </c>
      <c r="D32" s="315">
        <f>(Y32*KFC!$B$26+KFC!$C$26)*KFC!$C$5</f>
        <v>25.31</v>
      </c>
      <c r="E32" s="315">
        <f>(Z32*KFC!$B$26+KFC!$C$26)*KFC!$C$5</f>
        <v>27.1</v>
      </c>
      <c r="F32" s="315">
        <f>(AA32*KFC!$B$26+KFC!$C$26)*KFC!$C$5</f>
        <v>28.79</v>
      </c>
      <c r="G32" s="315">
        <f>(AB32*KFC!$B$26+KFC!$C$26)*KFC!$C$5</f>
        <v>30.59</v>
      </c>
      <c r="H32" s="315">
        <f>(AC32*KFC!$B$26+KFC!$C$26)*KFC!$C$5</f>
        <v>32.270000000000003</v>
      </c>
      <c r="I32" s="315">
        <f>(AD32*KFC!$B$26+KFC!$C$26)*KFC!$C$5</f>
        <v>34.08</v>
      </c>
      <c r="J32" s="315">
        <f>(AE32*KFC!$B$26+KFC!$C$26)*KFC!$C$5</f>
        <v>35.76</v>
      </c>
      <c r="K32" s="315">
        <f>(AF32*KFC!$B$26+KFC!$C$26)*KFC!$C$5</f>
        <v>37.56</v>
      </c>
      <c r="L32" s="315">
        <f>(AG32*KFC!$B$26+KFC!$C$26)*KFC!$C$5</f>
        <v>39.25</v>
      </c>
      <c r="M32" s="315">
        <f>(AH32*KFC!$B$26+KFC!$C$26)*KFC!$C$5</f>
        <v>41.04</v>
      </c>
      <c r="N32" s="315">
        <f>(AI32*KFC!$B$26+KFC!$C$26)*KFC!$C$5</f>
        <v>42.74</v>
      </c>
      <c r="O32" s="315">
        <f>(AJ32*KFC!$B$26+KFC!$C$26)*KFC!$C$5</f>
        <v>44.42</v>
      </c>
      <c r="P32" s="315">
        <f>(AK32*KFC!$B$26+KFC!$C$26)*KFC!$C$5</f>
        <v>46.1</v>
      </c>
      <c r="Q32" s="315">
        <f>(AL32*KFC!$B$26+KFC!$C$26)*KFC!$C$5</f>
        <v>47.78</v>
      </c>
      <c r="R32" s="315">
        <f>(AM32*KFC!$B$26+KFC!$C$26)*KFC!$C$5</f>
        <v>49.46</v>
      </c>
      <c r="S32" s="315">
        <f>(AN32*KFC!$B$26+KFC!$C$26)*KFC!$C$5</f>
        <v>51.14</v>
      </c>
      <c r="T32" s="315">
        <f>(AO32*KFC!$B$26+KFC!$C$26)*KFC!$C$5</f>
        <v>52.82</v>
      </c>
      <c r="V32" s="1538"/>
      <c r="W32" s="111">
        <v>0.8</v>
      </c>
      <c r="X32" s="847">
        <v>23.61</v>
      </c>
      <c r="Y32" s="847">
        <v>25.31</v>
      </c>
      <c r="Z32" s="847">
        <v>27.1</v>
      </c>
      <c r="AA32" s="847">
        <v>28.79</v>
      </c>
      <c r="AB32" s="847">
        <v>30.59</v>
      </c>
      <c r="AC32" s="847">
        <v>32.270000000000003</v>
      </c>
      <c r="AD32" s="847">
        <v>34.08</v>
      </c>
      <c r="AE32" s="847">
        <v>35.76</v>
      </c>
      <c r="AF32" s="847">
        <v>37.56</v>
      </c>
      <c r="AG32" s="847">
        <v>39.25</v>
      </c>
      <c r="AH32" s="847">
        <v>41.04</v>
      </c>
      <c r="AI32" s="847">
        <v>42.74</v>
      </c>
      <c r="AJ32" s="848">
        <v>44.42</v>
      </c>
      <c r="AK32" s="690">
        <f t="shared" si="3"/>
        <v>46.1</v>
      </c>
      <c r="AL32" s="690">
        <f t="shared" si="4"/>
        <v>47.78</v>
      </c>
      <c r="AM32" s="690">
        <f t="shared" si="4"/>
        <v>49.46</v>
      </c>
      <c r="AN32" s="690">
        <f t="shared" si="4"/>
        <v>51.14</v>
      </c>
      <c r="AO32" s="690">
        <f t="shared" si="4"/>
        <v>52.82</v>
      </c>
      <c r="AP32" s="690">
        <f t="shared" si="4"/>
        <v>54.5</v>
      </c>
      <c r="AQ32" s="690">
        <f t="shared" si="4"/>
        <v>56.18</v>
      </c>
    </row>
    <row r="33" spans="1:43">
      <c r="A33" s="1538"/>
      <c r="B33" s="262">
        <v>0.9</v>
      </c>
      <c r="C33" s="314">
        <f>(X33*KFC!$B$26+KFC!$C$26)*KFC!$C$5</f>
        <v>24.4</v>
      </c>
      <c r="D33" s="315">
        <f>(Y33*KFC!$B$26+KFC!$C$26)*KFC!$C$5</f>
        <v>26.21</v>
      </c>
      <c r="E33" s="315">
        <f>(Z33*KFC!$B$26+KFC!$C$26)*KFC!$C$5</f>
        <v>28</v>
      </c>
      <c r="F33" s="315">
        <f>(AA33*KFC!$B$26+KFC!$C$26)*KFC!$C$5</f>
        <v>29.69</v>
      </c>
      <c r="G33" s="315">
        <f>(AB33*KFC!$B$26+KFC!$C$26)*KFC!$C$5</f>
        <v>31.49</v>
      </c>
      <c r="H33" s="315">
        <f>(AC33*KFC!$B$26+KFC!$C$26)*KFC!$C$5</f>
        <v>33.29</v>
      </c>
      <c r="I33" s="315">
        <f>(AD33*KFC!$B$26+KFC!$C$26)*KFC!$C$5</f>
        <v>34.979999999999997</v>
      </c>
      <c r="J33" s="315">
        <f>(AE33*KFC!$B$26+KFC!$C$26)*KFC!$C$5</f>
        <v>36.770000000000003</v>
      </c>
      <c r="K33" s="315">
        <f>(AF33*KFC!$B$26+KFC!$C$26)*KFC!$C$5</f>
        <v>38.58</v>
      </c>
      <c r="L33" s="315">
        <f>(AG33*KFC!$B$26+KFC!$C$26)*KFC!$C$5</f>
        <v>40.369999999999997</v>
      </c>
      <c r="M33" s="315">
        <f>(AH33*KFC!$B$26+KFC!$C$26)*KFC!$C$5</f>
        <v>42.06</v>
      </c>
      <c r="N33" s="315">
        <f>(AI33*KFC!$B$26+KFC!$C$26)*KFC!$C$5</f>
        <v>43.86</v>
      </c>
      <c r="O33" s="315">
        <f>(AJ33*KFC!$B$26+KFC!$C$26)*KFC!$C$5</f>
        <v>45.65</v>
      </c>
      <c r="P33" s="315">
        <f>(AK33*KFC!$B$26+KFC!$C$26)*KFC!$C$5</f>
        <v>47.44</v>
      </c>
      <c r="Q33" s="315">
        <f>(AL33*KFC!$B$26+KFC!$C$26)*KFC!$C$5</f>
        <v>49.23</v>
      </c>
      <c r="R33" s="315">
        <f>(AM33*KFC!$B$26+KFC!$C$26)*KFC!$C$5</f>
        <v>51.019999999999996</v>
      </c>
      <c r="S33" s="315">
        <f>(AN33*KFC!$B$26+KFC!$C$26)*KFC!$C$5</f>
        <v>52.809999999999995</v>
      </c>
      <c r="T33" s="315">
        <f>(AO33*KFC!$B$26+KFC!$C$26)*KFC!$C$5</f>
        <v>54.599999999999994</v>
      </c>
      <c r="V33" s="1538"/>
      <c r="W33" s="111">
        <v>0.9</v>
      </c>
      <c r="X33" s="847">
        <v>24.4</v>
      </c>
      <c r="Y33" s="847">
        <v>26.21</v>
      </c>
      <c r="Z33" s="847">
        <v>28</v>
      </c>
      <c r="AA33" s="847">
        <v>29.69</v>
      </c>
      <c r="AB33" s="847">
        <v>31.49</v>
      </c>
      <c r="AC33" s="847">
        <v>33.29</v>
      </c>
      <c r="AD33" s="847">
        <v>34.979999999999997</v>
      </c>
      <c r="AE33" s="847">
        <v>36.770000000000003</v>
      </c>
      <c r="AF33" s="847">
        <v>38.58</v>
      </c>
      <c r="AG33" s="847">
        <v>40.369999999999997</v>
      </c>
      <c r="AH33" s="847">
        <v>42.06</v>
      </c>
      <c r="AI33" s="847">
        <v>43.86</v>
      </c>
      <c r="AJ33" s="848">
        <v>45.65</v>
      </c>
      <c r="AK33" s="690">
        <f t="shared" si="3"/>
        <v>47.44</v>
      </c>
      <c r="AL33" s="690">
        <f t="shared" si="4"/>
        <v>49.23</v>
      </c>
      <c r="AM33" s="690">
        <f t="shared" si="4"/>
        <v>51.019999999999996</v>
      </c>
      <c r="AN33" s="690">
        <f t="shared" si="4"/>
        <v>52.809999999999995</v>
      </c>
      <c r="AO33" s="690">
        <f t="shared" si="4"/>
        <v>54.599999999999994</v>
      </c>
      <c r="AP33" s="690">
        <f t="shared" si="4"/>
        <v>56.389999999999993</v>
      </c>
      <c r="AQ33" s="690">
        <f t="shared" si="4"/>
        <v>58.179999999999993</v>
      </c>
    </row>
    <row r="34" spans="1:43">
      <c r="A34" s="1538"/>
      <c r="B34" s="262">
        <v>1</v>
      </c>
      <c r="C34" s="314">
        <f>(X34*KFC!$B$26+KFC!$C$26)*KFC!$C$5</f>
        <v>25.31</v>
      </c>
      <c r="D34" s="315">
        <f>(Y34*KFC!$B$26+KFC!$C$26)*KFC!$C$5</f>
        <v>27.1</v>
      </c>
      <c r="E34" s="315">
        <f>(Z34*KFC!$B$26+KFC!$C$26)*KFC!$C$5</f>
        <v>28.9</v>
      </c>
      <c r="F34" s="315">
        <f>(AA34*KFC!$B$26+KFC!$C$26)*KFC!$C$5</f>
        <v>30.59</v>
      </c>
      <c r="G34" s="315">
        <f>(AB34*KFC!$B$26+KFC!$C$26)*KFC!$C$5</f>
        <v>32.39</v>
      </c>
      <c r="H34" s="315">
        <f>(AC34*KFC!$B$26+KFC!$C$26)*KFC!$C$5</f>
        <v>34.19</v>
      </c>
      <c r="I34" s="315">
        <f>(AD34*KFC!$B$26+KFC!$C$26)*KFC!$C$5</f>
        <v>35.979999999999997</v>
      </c>
      <c r="J34" s="315">
        <f>(AE34*KFC!$B$26+KFC!$C$26)*KFC!$C$5</f>
        <v>37.78</v>
      </c>
      <c r="K34" s="315">
        <f>(AF34*KFC!$B$26+KFC!$C$26)*KFC!$C$5</f>
        <v>39.590000000000003</v>
      </c>
      <c r="L34" s="315">
        <f>(AG34*KFC!$B$26+KFC!$C$26)*KFC!$C$5</f>
        <v>41.39</v>
      </c>
      <c r="M34" s="315">
        <f>(AH34*KFC!$B$26+KFC!$C$26)*KFC!$C$5</f>
        <v>43.19</v>
      </c>
      <c r="N34" s="315">
        <f>(AI34*KFC!$B$26+KFC!$C$26)*KFC!$C$5</f>
        <v>44.98</v>
      </c>
      <c r="O34" s="315">
        <f>(AJ34*KFC!$B$26+KFC!$C$26)*KFC!$C$5</f>
        <v>46.78</v>
      </c>
      <c r="P34" s="315">
        <f>(AK34*KFC!$B$26+KFC!$C$26)*KFC!$C$5</f>
        <v>48.580000000000005</v>
      </c>
      <c r="Q34" s="315">
        <f>(AL34*KFC!$B$26+KFC!$C$26)*KFC!$C$5</f>
        <v>50.38000000000001</v>
      </c>
      <c r="R34" s="315">
        <f>(AM34*KFC!$B$26+KFC!$C$26)*KFC!$C$5</f>
        <v>52.180000000000014</v>
      </c>
      <c r="S34" s="315">
        <f>(AN34*KFC!$B$26+KFC!$C$26)*KFC!$C$5</f>
        <v>53.980000000000018</v>
      </c>
      <c r="T34" s="315">
        <f>(AO34*KFC!$B$26+KFC!$C$26)*KFC!$C$5</f>
        <v>55.780000000000022</v>
      </c>
      <c r="V34" s="1538"/>
      <c r="W34" s="111">
        <v>1</v>
      </c>
      <c r="X34" s="847">
        <v>25.31</v>
      </c>
      <c r="Y34" s="847">
        <v>27.1</v>
      </c>
      <c r="Z34" s="847">
        <v>28.9</v>
      </c>
      <c r="AA34" s="847">
        <v>30.59</v>
      </c>
      <c r="AB34" s="847">
        <v>32.39</v>
      </c>
      <c r="AC34" s="847">
        <v>34.19</v>
      </c>
      <c r="AD34" s="847">
        <v>35.979999999999997</v>
      </c>
      <c r="AE34" s="847">
        <v>37.78</v>
      </c>
      <c r="AF34" s="847">
        <v>39.590000000000003</v>
      </c>
      <c r="AG34" s="847">
        <v>41.39</v>
      </c>
      <c r="AH34" s="847">
        <v>43.19</v>
      </c>
      <c r="AI34" s="847">
        <v>44.98</v>
      </c>
      <c r="AJ34" s="848">
        <v>46.78</v>
      </c>
      <c r="AK34" s="690">
        <f t="shared" si="3"/>
        <v>48.580000000000005</v>
      </c>
      <c r="AL34" s="690">
        <f t="shared" si="4"/>
        <v>50.38000000000001</v>
      </c>
      <c r="AM34" s="690">
        <f t="shared" si="4"/>
        <v>52.180000000000014</v>
      </c>
      <c r="AN34" s="690">
        <f t="shared" si="4"/>
        <v>53.980000000000018</v>
      </c>
      <c r="AO34" s="690">
        <f t="shared" si="4"/>
        <v>55.780000000000022</v>
      </c>
      <c r="AP34" s="690">
        <f t="shared" si="4"/>
        <v>57.580000000000027</v>
      </c>
      <c r="AQ34" s="690">
        <f t="shared" si="4"/>
        <v>59.380000000000031</v>
      </c>
    </row>
    <row r="35" spans="1:43">
      <c r="A35" s="1538"/>
      <c r="B35" s="262">
        <v>1.1000000000000001</v>
      </c>
      <c r="C35" s="314">
        <f>(X35*KFC!$B$26+KFC!$C$26)*KFC!$C$5</f>
        <v>26.08</v>
      </c>
      <c r="D35" s="315">
        <f>(Y35*KFC!$B$26+KFC!$C$26)*KFC!$C$5</f>
        <v>27.9</v>
      </c>
      <c r="E35" s="315">
        <f>(Z35*KFC!$B$26+KFC!$C$26)*KFC!$C$5</f>
        <v>29.8</v>
      </c>
      <c r="F35" s="315">
        <f>(AA35*KFC!$B$26+KFC!$C$26)*KFC!$C$5</f>
        <v>31.59</v>
      </c>
      <c r="G35" s="315">
        <f>(AB35*KFC!$B$26+KFC!$C$26)*KFC!$C$5</f>
        <v>33.39</v>
      </c>
      <c r="H35" s="315">
        <f>(AC35*KFC!$B$26+KFC!$C$26)*KFC!$C$5</f>
        <v>35.21</v>
      </c>
      <c r="I35" s="315">
        <f>(AD35*KFC!$B$26+KFC!$C$26)*KFC!$C$5</f>
        <v>37</v>
      </c>
      <c r="J35" s="315">
        <f>(AE35*KFC!$B$26+KFC!$C$26)*KFC!$C$5</f>
        <v>38.799999999999997</v>
      </c>
      <c r="K35" s="315">
        <f>(AF35*KFC!$B$26+KFC!$C$26)*KFC!$C$5</f>
        <v>40.71</v>
      </c>
      <c r="L35" s="315">
        <f>(AG35*KFC!$B$26+KFC!$C$26)*KFC!$C$5</f>
        <v>42.51</v>
      </c>
      <c r="M35" s="315">
        <f>(AH35*KFC!$B$26+KFC!$C$26)*KFC!$C$5</f>
        <v>44.31</v>
      </c>
      <c r="N35" s="315">
        <f>(AI35*KFC!$B$26+KFC!$C$26)*KFC!$C$5</f>
        <v>46.11</v>
      </c>
      <c r="O35" s="315">
        <f>(AJ35*KFC!$B$26+KFC!$C$26)*KFC!$C$5</f>
        <v>47.9</v>
      </c>
      <c r="P35" s="315">
        <f>(AK35*KFC!$B$26+KFC!$C$26)*KFC!$C$5</f>
        <v>49.69</v>
      </c>
      <c r="Q35" s="315">
        <f>(AL35*KFC!$B$26+KFC!$C$26)*KFC!$C$5</f>
        <v>51.48</v>
      </c>
      <c r="R35" s="315">
        <f>(AM35*KFC!$B$26+KFC!$C$26)*KFC!$C$5</f>
        <v>53.269999999999996</v>
      </c>
      <c r="S35" s="315">
        <f>(AN35*KFC!$B$26+KFC!$C$26)*KFC!$C$5</f>
        <v>55.059999999999995</v>
      </c>
      <c r="T35" s="315">
        <f>(AO35*KFC!$B$26+KFC!$C$26)*KFC!$C$5</f>
        <v>56.849999999999994</v>
      </c>
      <c r="V35" s="1538"/>
      <c r="W35" s="111">
        <v>1.1000000000000001</v>
      </c>
      <c r="X35" s="847">
        <v>26.08</v>
      </c>
      <c r="Y35" s="847">
        <v>27.9</v>
      </c>
      <c r="Z35" s="847">
        <v>29.8</v>
      </c>
      <c r="AA35" s="847">
        <v>31.59</v>
      </c>
      <c r="AB35" s="847">
        <v>33.39</v>
      </c>
      <c r="AC35" s="847">
        <v>35.21</v>
      </c>
      <c r="AD35" s="847">
        <v>37</v>
      </c>
      <c r="AE35" s="847">
        <v>38.799999999999997</v>
      </c>
      <c r="AF35" s="847">
        <v>40.71</v>
      </c>
      <c r="AG35" s="847">
        <v>42.51</v>
      </c>
      <c r="AH35" s="847">
        <v>44.31</v>
      </c>
      <c r="AI35" s="847">
        <v>46.11</v>
      </c>
      <c r="AJ35" s="848">
        <v>47.9</v>
      </c>
      <c r="AK35" s="690">
        <f t="shared" si="3"/>
        <v>49.69</v>
      </c>
      <c r="AL35" s="690">
        <f t="shared" si="4"/>
        <v>51.48</v>
      </c>
      <c r="AM35" s="690">
        <f t="shared" si="4"/>
        <v>53.269999999999996</v>
      </c>
      <c r="AN35" s="690">
        <f t="shared" si="4"/>
        <v>55.059999999999995</v>
      </c>
      <c r="AO35" s="690">
        <f t="shared" si="4"/>
        <v>56.849999999999994</v>
      </c>
      <c r="AP35" s="690">
        <f t="shared" si="4"/>
        <v>58.639999999999993</v>
      </c>
      <c r="AQ35" s="690">
        <f t="shared" si="4"/>
        <v>60.429999999999993</v>
      </c>
    </row>
    <row r="36" spans="1:43">
      <c r="A36" s="1538"/>
      <c r="B36" s="262">
        <v>1.2</v>
      </c>
      <c r="C36" s="314">
        <f>(X36*KFC!$B$26+KFC!$C$26)*KFC!$C$5</f>
        <v>26.99</v>
      </c>
      <c r="D36" s="315">
        <f>(Y36*KFC!$B$26+KFC!$C$26)*KFC!$C$5</f>
        <v>28.79</v>
      </c>
      <c r="E36" s="315">
        <f>(Z36*KFC!$B$26+KFC!$C$26)*KFC!$C$5</f>
        <v>30.7</v>
      </c>
      <c r="F36" s="315">
        <f>(AA36*KFC!$B$26+KFC!$C$26)*KFC!$C$5</f>
        <v>32.5</v>
      </c>
      <c r="G36" s="315">
        <f>(AB36*KFC!$B$26+KFC!$C$26)*KFC!$C$5</f>
        <v>34.299999999999997</v>
      </c>
      <c r="H36" s="315">
        <f>(AC36*KFC!$B$26+KFC!$C$26)*KFC!$C$5</f>
        <v>36.200000000000003</v>
      </c>
      <c r="I36" s="315">
        <f>(AD36*KFC!$B$26+KFC!$C$26)*KFC!$C$5</f>
        <v>38.01</v>
      </c>
      <c r="J36" s="315">
        <f>(AE36*KFC!$B$26+KFC!$C$26)*KFC!$C$5</f>
        <v>39.82</v>
      </c>
      <c r="K36" s="315">
        <f>(AF36*KFC!$B$26+KFC!$C$26)*KFC!$C$5</f>
        <v>41.72</v>
      </c>
      <c r="L36" s="315">
        <f>(AG36*KFC!$B$26+KFC!$C$26)*KFC!$C$5</f>
        <v>43.51</v>
      </c>
      <c r="M36" s="315">
        <f>(AH36*KFC!$B$26+KFC!$C$26)*KFC!$C$5</f>
        <v>45.43</v>
      </c>
      <c r="N36" s="315">
        <f>(AI36*KFC!$B$26+KFC!$C$26)*KFC!$C$5</f>
        <v>47.23</v>
      </c>
      <c r="O36" s="315">
        <f>(AJ36*KFC!$B$26+KFC!$C$26)*KFC!$C$5</f>
        <v>49.02</v>
      </c>
      <c r="P36" s="315">
        <f>(AK36*KFC!$B$26+KFC!$C$26)*KFC!$C$5</f>
        <v>50.810000000000009</v>
      </c>
      <c r="Q36" s="315">
        <f>(AL36*KFC!$B$26+KFC!$C$26)*KFC!$C$5</f>
        <v>52.600000000000016</v>
      </c>
      <c r="R36" s="315">
        <f>(AM36*KFC!$B$26+KFC!$C$26)*KFC!$C$5</f>
        <v>54.390000000000022</v>
      </c>
      <c r="S36" s="315">
        <f>(AN36*KFC!$B$26+KFC!$C$26)*KFC!$C$5</f>
        <v>56.180000000000028</v>
      </c>
      <c r="T36" s="315">
        <f>(AO36*KFC!$B$26+KFC!$C$26)*KFC!$C$5</f>
        <v>57.970000000000034</v>
      </c>
      <c r="V36" s="1538"/>
      <c r="W36" s="111">
        <v>1.2</v>
      </c>
      <c r="X36" s="847">
        <v>26.99</v>
      </c>
      <c r="Y36" s="847">
        <v>28.79</v>
      </c>
      <c r="Z36" s="847">
        <v>30.7</v>
      </c>
      <c r="AA36" s="847">
        <v>32.5</v>
      </c>
      <c r="AB36" s="847">
        <v>34.299999999999997</v>
      </c>
      <c r="AC36" s="847">
        <v>36.200000000000003</v>
      </c>
      <c r="AD36" s="847">
        <v>38.01</v>
      </c>
      <c r="AE36" s="847">
        <v>39.82</v>
      </c>
      <c r="AF36" s="847">
        <v>41.72</v>
      </c>
      <c r="AG36" s="847">
        <v>43.51</v>
      </c>
      <c r="AH36" s="847">
        <v>45.43</v>
      </c>
      <c r="AI36" s="847">
        <v>47.23</v>
      </c>
      <c r="AJ36" s="848">
        <v>49.02</v>
      </c>
      <c r="AK36" s="690">
        <f t="shared" si="3"/>
        <v>50.810000000000009</v>
      </c>
      <c r="AL36" s="690">
        <f t="shared" si="4"/>
        <v>52.600000000000016</v>
      </c>
      <c r="AM36" s="690">
        <f t="shared" si="4"/>
        <v>54.390000000000022</v>
      </c>
      <c r="AN36" s="690">
        <f t="shared" si="4"/>
        <v>56.180000000000028</v>
      </c>
      <c r="AO36" s="690">
        <f t="shared" si="4"/>
        <v>57.970000000000034</v>
      </c>
      <c r="AP36" s="690">
        <f t="shared" si="4"/>
        <v>59.760000000000041</v>
      </c>
      <c r="AQ36" s="690">
        <f t="shared" si="4"/>
        <v>61.550000000000047</v>
      </c>
    </row>
    <row r="37" spans="1:43">
      <c r="A37" s="1538"/>
      <c r="B37" s="262">
        <v>1.3</v>
      </c>
      <c r="C37" s="314">
        <f>(X37*KFC!$B$26+KFC!$C$26)*KFC!$C$5</f>
        <v>27.77</v>
      </c>
      <c r="D37" s="315">
        <f>(Y37*KFC!$B$26+KFC!$C$26)*KFC!$C$5</f>
        <v>29.69</v>
      </c>
      <c r="E37" s="315">
        <f>(Z37*KFC!$B$26+KFC!$C$26)*KFC!$C$5</f>
        <v>31.49</v>
      </c>
      <c r="F37" s="315">
        <f>(AA37*KFC!$B$26+KFC!$C$26)*KFC!$C$5</f>
        <v>33.39</v>
      </c>
      <c r="G37" s="315">
        <f>(AB37*KFC!$B$26+KFC!$C$26)*KFC!$C$5</f>
        <v>35.31</v>
      </c>
      <c r="H37" s="315">
        <f>(AC37*KFC!$B$26+KFC!$C$26)*KFC!$C$5</f>
        <v>37.11</v>
      </c>
      <c r="I37" s="315">
        <f>(AD37*KFC!$B$26+KFC!$C$26)*KFC!$C$5</f>
        <v>39.020000000000003</v>
      </c>
      <c r="J37" s="315">
        <f>(AE37*KFC!$B$26+KFC!$C$26)*KFC!$C$5</f>
        <v>40.94</v>
      </c>
      <c r="K37" s="315">
        <f>(AF37*KFC!$B$26+KFC!$C$26)*KFC!$C$5</f>
        <v>42.74</v>
      </c>
      <c r="L37" s="315">
        <f>(AG37*KFC!$B$26+KFC!$C$26)*KFC!$C$5</f>
        <v>44.64</v>
      </c>
      <c r="M37" s="315">
        <f>(AH37*KFC!$B$26+KFC!$C$26)*KFC!$C$5</f>
        <v>46.45</v>
      </c>
      <c r="N37" s="315">
        <f>(AI37*KFC!$B$26+KFC!$C$26)*KFC!$C$5</f>
        <v>48.35</v>
      </c>
      <c r="O37" s="315">
        <f>(AJ37*KFC!$B$26+KFC!$C$26)*KFC!$C$5</f>
        <v>50.26</v>
      </c>
      <c r="P37" s="315">
        <f>(AK37*KFC!$B$26+KFC!$C$26)*KFC!$C$5</f>
        <v>52.169999999999995</v>
      </c>
      <c r="Q37" s="315">
        <f>(AL37*KFC!$B$26+KFC!$C$26)*KFC!$C$5</f>
        <v>54.079999999999991</v>
      </c>
      <c r="R37" s="315">
        <f>(AM37*KFC!$B$26+KFC!$C$26)*KFC!$C$5</f>
        <v>55.989999999999988</v>
      </c>
      <c r="S37" s="315">
        <f>(AN37*KFC!$B$26+KFC!$C$26)*KFC!$C$5</f>
        <v>57.899999999999984</v>
      </c>
      <c r="T37" s="315">
        <f>(AO37*KFC!$B$26+KFC!$C$26)*KFC!$C$5</f>
        <v>59.809999999999981</v>
      </c>
      <c r="V37" s="1538"/>
      <c r="W37" s="111">
        <v>1.3</v>
      </c>
      <c r="X37" s="847">
        <v>27.77</v>
      </c>
      <c r="Y37" s="847">
        <v>29.69</v>
      </c>
      <c r="Z37" s="847">
        <v>31.49</v>
      </c>
      <c r="AA37" s="847">
        <v>33.39</v>
      </c>
      <c r="AB37" s="847">
        <v>35.31</v>
      </c>
      <c r="AC37" s="847">
        <v>37.11</v>
      </c>
      <c r="AD37" s="847">
        <v>39.020000000000003</v>
      </c>
      <c r="AE37" s="847">
        <v>40.94</v>
      </c>
      <c r="AF37" s="847">
        <v>42.74</v>
      </c>
      <c r="AG37" s="847">
        <v>44.64</v>
      </c>
      <c r="AH37" s="847">
        <v>46.45</v>
      </c>
      <c r="AI37" s="847">
        <v>48.35</v>
      </c>
      <c r="AJ37" s="848">
        <v>50.26</v>
      </c>
      <c r="AK37" s="690">
        <f t="shared" si="3"/>
        <v>52.169999999999995</v>
      </c>
      <c r="AL37" s="690">
        <f t="shared" si="4"/>
        <v>54.079999999999991</v>
      </c>
      <c r="AM37" s="690">
        <f t="shared" si="4"/>
        <v>55.989999999999988</v>
      </c>
      <c r="AN37" s="690">
        <f t="shared" si="4"/>
        <v>57.899999999999984</v>
      </c>
      <c r="AO37" s="690">
        <f t="shared" si="4"/>
        <v>59.809999999999981</v>
      </c>
      <c r="AP37" s="690">
        <f t="shared" si="4"/>
        <v>61.719999999999978</v>
      </c>
      <c r="AQ37" s="690">
        <f t="shared" si="4"/>
        <v>63.629999999999974</v>
      </c>
    </row>
    <row r="38" spans="1:43">
      <c r="A38" s="1538"/>
      <c r="B38" s="262">
        <v>1.4</v>
      </c>
      <c r="C38" s="314">
        <f>(X38*KFC!$B$26+KFC!$C$26)*KFC!$C$5</f>
        <v>28.68</v>
      </c>
      <c r="D38" s="315">
        <f>(Y38*KFC!$B$26+KFC!$C$26)*KFC!$C$5</f>
        <v>30.59</v>
      </c>
      <c r="E38" s="315">
        <f>(Z38*KFC!$B$26+KFC!$C$26)*KFC!$C$5</f>
        <v>32.39</v>
      </c>
      <c r="F38" s="315">
        <f>(AA38*KFC!$B$26+KFC!$C$26)*KFC!$C$5</f>
        <v>34.299999999999997</v>
      </c>
      <c r="G38" s="315">
        <f>(AB38*KFC!$B$26+KFC!$C$26)*KFC!$C$5</f>
        <v>36.200000000000003</v>
      </c>
      <c r="H38" s="315">
        <f>(AC38*KFC!$B$26+KFC!$C$26)*KFC!$C$5</f>
        <v>38.130000000000003</v>
      </c>
      <c r="I38" s="315">
        <f>(AD38*KFC!$B$26+KFC!$C$26)*KFC!$C$5</f>
        <v>40.04</v>
      </c>
      <c r="J38" s="315">
        <f>(AE38*KFC!$B$26+KFC!$C$26)*KFC!$C$5</f>
        <v>41.95</v>
      </c>
      <c r="K38" s="315">
        <f>(AF38*KFC!$B$26+KFC!$C$26)*KFC!$C$5</f>
        <v>43.74</v>
      </c>
      <c r="L38" s="315">
        <f>(AG38*KFC!$B$26+KFC!$C$26)*KFC!$C$5</f>
        <v>45.65</v>
      </c>
      <c r="M38" s="315">
        <f>(AH38*KFC!$B$26+KFC!$C$26)*KFC!$C$5</f>
        <v>47.58</v>
      </c>
      <c r="N38" s="315">
        <f>(AI38*KFC!$B$26+KFC!$C$26)*KFC!$C$5</f>
        <v>49.48</v>
      </c>
      <c r="O38" s="315">
        <f>(AJ38*KFC!$B$26+KFC!$C$26)*KFC!$C$5</f>
        <v>51.39</v>
      </c>
      <c r="P38" s="315">
        <f>(AK38*KFC!$B$26+KFC!$C$26)*KFC!$C$5</f>
        <v>53.300000000000004</v>
      </c>
      <c r="Q38" s="315">
        <f>(AL38*KFC!$B$26+KFC!$C$26)*KFC!$C$5</f>
        <v>55.210000000000008</v>
      </c>
      <c r="R38" s="315">
        <f>(AM38*KFC!$B$26+KFC!$C$26)*KFC!$C$5</f>
        <v>57.120000000000012</v>
      </c>
      <c r="S38" s="315">
        <f>(AN38*KFC!$B$26+KFC!$C$26)*KFC!$C$5</f>
        <v>59.030000000000015</v>
      </c>
      <c r="T38" s="315">
        <f>(AO38*KFC!$B$26+KFC!$C$26)*KFC!$C$5</f>
        <v>60.940000000000019</v>
      </c>
      <c r="V38" s="1538"/>
      <c r="W38" s="111">
        <v>1.4</v>
      </c>
      <c r="X38" s="847">
        <v>28.68</v>
      </c>
      <c r="Y38" s="847">
        <v>30.59</v>
      </c>
      <c r="Z38" s="847">
        <v>32.39</v>
      </c>
      <c r="AA38" s="847">
        <v>34.299999999999997</v>
      </c>
      <c r="AB38" s="847">
        <v>36.200000000000003</v>
      </c>
      <c r="AC38" s="847">
        <v>38.130000000000003</v>
      </c>
      <c r="AD38" s="847">
        <v>40.04</v>
      </c>
      <c r="AE38" s="847">
        <v>41.95</v>
      </c>
      <c r="AF38" s="847">
        <v>43.74</v>
      </c>
      <c r="AG38" s="847">
        <v>45.65</v>
      </c>
      <c r="AH38" s="847">
        <v>47.58</v>
      </c>
      <c r="AI38" s="847">
        <v>49.48</v>
      </c>
      <c r="AJ38" s="848">
        <v>51.39</v>
      </c>
      <c r="AK38" s="690">
        <f t="shared" si="3"/>
        <v>53.300000000000004</v>
      </c>
      <c r="AL38" s="690">
        <f t="shared" si="4"/>
        <v>55.210000000000008</v>
      </c>
      <c r="AM38" s="690">
        <f t="shared" si="4"/>
        <v>57.120000000000012</v>
      </c>
      <c r="AN38" s="690">
        <f t="shared" si="4"/>
        <v>59.030000000000015</v>
      </c>
      <c r="AO38" s="690">
        <f t="shared" si="4"/>
        <v>60.940000000000019</v>
      </c>
      <c r="AP38" s="690">
        <f t="shared" si="4"/>
        <v>62.850000000000023</v>
      </c>
      <c r="AQ38" s="690">
        <f t="shared" si="4"/>
        <v>64.760000000000019</v>
      </c>
    </row>
    <row r="39" spans="1:43">
      <c r="A39" s="1538"/>
      <c r="B39" s="262">
        <v>1.5</v>
      </c>
      <c r="C39" s="314">
        <f>(X39*KFC!$B$26+KFC!$C$26)*KFC!$C$5</f>
        <v>29.46</v>
      </c>
      <c r="D39" s="315">
        <f>(Y39*KFC!$B$26+KFC!$C$26)*KFC!$C$5</f>
        <v>31.37</v>
      </c>
      <c r="E39" s="315">
        <f>(Z39*KFC!$B$26+KFC!$C$26)*KFC!$C$5</f>
        <v>33.29</v>
      </c>
      <c r="F39" s="315">
        <f>(AA39*KFC!$B$26+KFC!$C$26)*KFC!$C$5</f>
        <v>35.31</v>
      </c>
      <c r="G39" s="315">
        <f>(AB39*KFC!$B$26+KFC!$C$26)*KFC!$C$5</f>
        <v>37.22</v>
      </c>
      <c r="H39" s="315">
        <f>(AC39*KFC!$B$26+KFC!$C$26)*KFC!$C$5</f>
        <v>39.14</v>
      </c>
      <c r="I39" s="315">
        <f>(AD39*KFC!$B$26+KFC!$C$26)*KFC!$C$5</f>
        <v>41.04</v>
      </c>
      <c r="J39" s="315">
        <f>(AE39*KFC!$B$26+KFC!$C$26)*KFC!$C$5</f>
        <v>42.96</v>
      </c>
      <c r="K39" s="315">
        <f>(AF39*KFC!$B$26+KFC!$C$26)*KFC!$C$5</f>
        <v>44.88</v>
      </c>
      <c r="L39" s="315">
        <f>(AG39*KFC!$B$26+KFC!$C$26)*KFC!$C$5</f>
        <v>46.78</v>
      </c>
      <c r="M39" s="315">
        <f>(AH39*KFC!$B$26+KFC!$C$26)*KFC!$C$5</f>
        <v>48.7</v>
      </c>
      <c r="N39" s="315">
        <f>(AI39*KFC!$B$26+KFC!$C$26)*KFC!$C$5</f>
        <v>50.61</v>
      </c>
      <c r="O39" s="315">
        <f>(AJ39*KFC!$B$26+KFC!$C$26)*KFC!$C$5</f>
        <v>52.51</v>
      </c>
      <c r="P39" s="315">
        <f>(AK39*KFC!$B$26+KFC!$C$26)*KFC!$C$5</f>
        <v>54.41</v>
      </c>
      <c r="Q39" s="315">
        <f>(AL39*KFC!$B$26+KFC!$C$26)*KFC!$C$5</f>
        <v>56.309999999999995</v>
      </c>
      <c r="R39" s="315">
        <f>(AM39*KFC!$B$26+KFC!$C$26)*KFC!$C$5</f>
        <v>58.209999999999994</v>
      </c>
      <c r="S39" s="315">
        <f>(AN39*KFC!$B$26+KFC!$C$26)*KFC!$C$5</f>
        <v>60.109999999999992</v>
      </c>
      <c r="T39" s="315">
        <f>(AO39*KFC!$B$26+KFC!$C$26)*KFC!$C$5</f>
        <v>62.009999999999991</v>
      </c>
      <c r="V39" s="1538"/>
      <c r="W39" s="111">
        <v>1.5</v>
      </c>
      <c r="X39" s="847">
        <v>29.46</v>
      </c>
      <c r="Y39" s="847">
        <v>31.37</v>
      </c>
      <c r="Z39" s="847">
        <v>33.29</v>
      </c>
      <c r="AA39" s="847">
        <v>35.31</v>
      </c>
      <c r="AB39" s="847">
        <v>37.22</v>
      </c>
      <c r="AC39" s="847">
        <v>39.14</v>
      </c>
      <c r="AD39" s="847">
        <v>41.04</v>
      </c>
      <c r="AE39" s="847">
        <v>42.96</v>
      </c>
      <c r="AF39" s="847">
        <v>44.88</v>
      </c>
      <c r="AG39" s="847">
        <v>46.78</v>
      </c>
      <c r="AH39" s="847">
        <v>48.7</v>
      </c>
      <c r="AI39" s="847">
        <v>50.61</v>
      </c>
      <c r="AJ39" s="848">
        <v>52.51</v>
      </c>
      <c r="AK39" s="690">
        <f t="shared" si="3"/>
        <v>54.41</v>
      </c>
      <c r="AL39" s="690">
        <f t="shared" si="4"/>
        <v>56.309999999999995</v>
      </c>
      <c r="AM39" s="690">
        <f t="shared" si="4"/>
        <v>58.209999999999994</v>
      </c>
      <c r="AN39" s="690">
        <f t="shared" si="4"/>
        <v>60.109999999999992</v>
      </c>
      <c r="AO39" s="690">
        <f t="shared" si="4"/>
        <v>62.009999999999991</v>
      </c>
      <c r="AP39" s="690">
        <f t="shared" si="4"/>
        <v>63.909999999999989</v>
      </c>
      <c r="AQ39" s="690">
        <f t="shared" si="4"/>
        <v>65.809999999999988</v>
      </c>
    </row>
    <row r="40" spans="1:43">
      <c r="A40" s="1538"/>
      <c r="B40" s="262">
        <v>1.6</v>
      </c>
      <c r="C40" s="314">
        <f>(X40*KFC!$B$26+KFC!$C$26)*KFC!$C$5</f>
        <v>30.37</v>
      </c>
      <c r="D40" s="315">
        <f>(Y40*KFC!$B$26+KFC!$C$26)*KFC!$C$5</f>
        <v>32.270000000000003</v>
      </c>
      <c r="E40" s="315">
        <f>(Z40*KFC!$B$26+KFC!$C$26)*KFC!$C$5</f>
        <v>34.19</v>
      </c>
      <c r="F40" s="315">
        <f>(AA40*KFC!$B$26+KFC!$C$26)*KFC!$C$5</f>
        <v>36.200000000000003</v>
      </c>
      <c r="G40" s="315">
        <f>(AB40*KFC!$B$26+KFC!$C$26)*KFC!$C$5</f>
        <v>38.130000000000003</v>
      </c>
      <c r="H40" s="315">
        <f>(AC40*KFC!$B$26+KFC!$C$26)*KFC!$C$5</f>
        <v>40.04</v>
      </c>
      <c r="I40" s="315">
        <f>(AD40*KFC!$B$26+KFC!$C$26)*KFC!$C$5</f>
        <v>42.06</v>
      </c>
      <c r="J40" s="315">
        <f>(AE40*KFC!$B$26+KFC!$C$26)*KFC!$C$5</f>
        <v>43.96</v>
      </c>
      <c r="K40" s="315">
        <f>(AF40*KFC!$B$26+KFC!$C$26)*KFC!$C$5</f>
        <v>45.89</v>
      </c>
      <c r="L40" s="315">
        <f>(AG40*KFC!$B$26+KFC!$C$26)*KFC!$C$5</f>
        <v>47.8</v>
      </c>
      <c r="M40" s="315">
        <f>(AH40*KFC!$B$26+KFC!$C$26)*KFC!$C$5</f>
        <v>49.82</v>
      </c>
      <c r="N40" s="315">
        <f>(AI40*KFC!$B$26+KFC!$C$26)*KFC!$C$5</f>
        <v>51.73</v>
      </c>
      <c r="O40" s="315">
        <f>(AJ40*KFC!$B$26+KFC!$C$26)*KFC!$C$5</f>
        <v>53.63</v>
      </c>
      <c r="P40" s="315">
        <f>(AK40*KFC!$B$26+KFC!$C$26)*KFC!$C$5</f>
        <v>55.530000000000008</v>
      </c>
      <c r="Q40" s="315">
        <f>(AL40*KFC!$B$26+KFC!$C$26)*KFC!$C$5</f>
        <v>57.430000000000014</v>
      </c>
      <c r="R40" s="315">
        <f>(AM40*KFC!$B$26+KFC!$C$26)*KFC!$C$5</f>
        <v>59.33000000000002</v>
      </c>
      <c r="S40" s="315">
        <f>(AN40*KFC!$B$26+KFC!$C$26)*KFC!$C$5</f>
        <v>61.230000000000025</v>
      </c>
      <c r="T40" s="315">
        <f>(AO40*KFC!$B$26+KFC!$C$26)*KFC!$C$5</f>
        <v>63.130000000000031</v>
      </c>
      <c r="V40" s="1538"/>
      <c r="W40" s="111">
        <v>1.6</v>
      </c>
      <c r="X40" s="847">
        <v>30.37</v>
      </c>
      <c r="Y40" s="847">
        <v>32.270000000000003</v>
      </c>
      <c r="Z40" s="847">
        <v>34.19</v>
      </c>
      <c r="AA40" s="847">
        <v>36.200000000000003</v>
      </c>
      <c r="AB40" s="847">
        <v>38.130000000000003</v>
      </c>
      <c r="AC40" s="847">
        <v>40.04</v>
      </c>
      <c r="AD40" s="847">
        <v>42.06</v>
      </c>
      <c r="AE40" s="847">
        <v>43.96</v>
      </c>
      <c r="AF40" s="847">
        <v>45.89</v>
      </c>
      <c r="AG40" s="847">
        <v>47.8</v>
      </c>
      <c r="AH40" s="847">
        <v>49.82</v>
      </c>
      <c r="AI40" s="847">
        <v>51.73</v>
      </c>
      <c r="AJ40" s="848">
        <v>53.63</v>
      </c>
      <c r="AK40" s="690">
        <f t="shared" si="3"/>
        <v>55.530000000000008</v>
      </c>
      <c r="AL40" s="690">
        <f t="shared" si="4"/>
        <v>57.430000000000014</v>
      </c>
      <c r="AM40" s="690">
        <f t="shared" si="4"/>
        <v>59.33000000000002</v>
      </c>
      <c r="AN40" s="690">
        <f t="shared" si="4"/>
        <v>61.230000000000025</v>
      </c>
      <c r="AO40" s="690">
        <f t="shared" si="4"/>
        <v>63.130000000000031</v>
      </c>
      <c r="AP40" s="690">
        <f t="shared" si="4"/>
        <v>65.03000000000003</v>
      </c>
      <c r="AQ40" s="690">
        <f t="shared" si="4"/>
        <v>66.930000000000035</v>
      </c>
    </row>
    <row r="41" spans="1:43">
      <c r="A41" s="1538"/>
      <c r="B41" s="262">
        <v>1.7</v>
      </c>
      <c r="C41" s="314">
        <f>(X41*KFC!$B$26+KFC!$C$26)*KFC!$C$5</f>
        <v>31.14</v>
      </c>
      <c r="D41" s="315">
        <f>(Y41*KFC!$B$26+KFC!$C$26)*KFC!$C$5</f>
        <v>33.17</v>
      </c>
      <c r="E41" s="315">
        <f>(Z41*KFC!$B$26+KFC!$C$26)*KFC!$C$5</f>
        <v>35.08</v>
      </c>
      <c r="F41" s="315">
        <f>(AA41*KFC!$B$26+KFC!$C$26)*KFC!$C$5</f>
        <v>37.11</v>
      </c>
      <c r="G41" s="315">
        <f>(AB41*KFC!$B$26+KFC!$C$26)*KFC!$C$5</f>
        <v>39.020000000000003</v>
      </c>
      <c r="H41" s="315">
        <f>(AC41*KFC!$B$26+KFC!$C$26)*KFC!$C$5</f>
        <v>41.04</v>
      </c>
      <c r="I41" s="315">
        <f>(AD41*KFC!$B$26+KFC!$C$26)*KFC!$C$5</f>
        <v>42.96</v>
      </c>
      <c r="J41" s="315">
        <f>(AE41*KFC!$B$26+KFC!$C$26)*KFC!$C$5</f>
        <v>44.98</v>
      </c>
      <c r="K41" s="315">
        <f>(AF41*KFC!$B$26+KFC!$C$26)*KFC!$C$5</f>
        <v>46.89</v>
      </c>
      <c r="L41" s="315">
        <f>(AG41*KFC!$B$26+KFC!$C$26)*KFC!$C$5</f>
        <v>48.92</v>
      </c>
      <c r="M41" s="315">
        <f>(AH41*KFC!$B$26+KFC!$C$26)*KFC!$C$5</f>
        <v>50.83</v>
      </c>
      <c r="N41" s="315">
        <f>(AI41*KFC!$B$26+KFC!$C$26)*KFC!$C$5</f>
        <v>52.86</v>
      </c>
      <c r="O41" s="315">
        <f>(AJ41*KFC!$B$26+KFC!$C$26)*KFC!$C$5</f>
        <v>54.88</v>
      </c>
      <c r="P41" s="315">
        <f>(AK41*KFC!$B$26+KFC!$C$26)*KFC!$C$5</f>
        <v>56.900000000000006</v>
      </c>
      <c r="Q41" s="315">
        <f>(AL41*KFC!$B$26+KFC!$C$26)*KFC!$C$5</f>
        <v>58.920000000000009</v>
      </c>
      <c r="R41" s="315">
        <f>(AM41*KFC!$B$26+KFC!$C$26)*KFC!$C$5</f>
        <v>60.940000000000012</v>
      </c>
      <c r="S41" s="315">
        <f>(AN41*KFC!$B$26+KFC!$C$26)*KFC!$C$5</f>
        <v>62.960000000000015</v>
      </c>
      <c r="T41" s="315">
        <f>(AO41*KFC!$B$26+KFC!$C$26)*KFC!$C$5</f>
        <v>64.980000000000018</v>
      </c>
      <c r="V41" s="1538"/>
      <c r="W41" s="111">
        <v>1.7</v>
      </c>
      <c r="X41" s="847">
        <v>31.14</v>
      </c>
      <c r="Y41" s="847">
        <v>33.17</v>
      </c>
      <c r="Z41" s="847">
        <v>35.08</v>
      </c>
      <c r="AA41" s="847">
        <v>37.11</v>
      </c>
      <c r="AB41" s="847">
        <v>39.020000000000003</v>
      </c>
      <c r="AC41" s="847">
        <v>41.04</v>
      </c>
      <c r="AD41" s="847">
        <v>42.96</v>
      </c>
      <c r="AE41" s="847">
        <v>44.98</v>
      </c>
      <c r="AF41" s="847">
        <v>46.89</v>
      </c>
      <c r="AG41" s="847">
        <v>48.92</v>
      </c>
      <c r="AH41" s="847">
        <v>50.83</v>
      </c>
      <c r="AI41" s="847">
        <v>52.86</v>
      </c>
      <c r="AJ41" s="848">
        <v>54.88</v>
      </c>
      <c r="AK41" s="690">
        <f t="shared" si="3"/>
        <v>56.900000000000006</v>
      </c>
      <c r="AL41" s="690">
        <f t="shared" si="4"/>
        <v>58.920000000000009</v>
      </c>
      <c r="AM41" s="690">
        <f t="shared" si="4"/>
        <v>60.940000000000012</v>
      </c>
      <c r="AN41" s="690">
        <f t="shared" si="4"/>
        <v>62.960000000000015</v>
      </c>
      <c r="AO41" s="690">
        <f t="shared" si="4"/>
        <v>64.980000000000018</v>
      </c>
      <c r="AP41" s="690">
        <f t="shared" si="4"/>
        <v>67.000000000000028</v>
      </c>
      <c r="AQ41" s="690">
        <f t="shared" si="4"/>
        <v>69.020000000000039</v>
      </c>
    </row>
    <row r="42" spans="1:43">
      <c r="A42" s="1538"/>
      <c r="B42" s="262">
        <v>1.8</v>
      </c>
      <c r="C42" s="314">
        <f>(X42*KFC!$B$26+KFC!$C$26)*KFC!$C$5</f>
        <v>32.049999999999997</v>
      </c>
      <c r="D42" s="315">
        <f>(Y42*KFC!$B$26+KFC!$C$26)*KFC!$C$5</f>
        <v>34.08</v>
      </c>
      <c r="E42" s="315">
        <f>(Z42*KFC!$B$26+KFC!$C$26)*KFC!$C$5</f>
        <v>35.979999999999997</v>
      </c>
      <c r="F42" s="315">
        <f>(AA42*KFC!$B$26+KFC!$C$26)*KFC!$C$5</f>
        <v>38.01</v>
      </c>
      <c r="G42" s="315">
        <f>(AB42*KFC!$B$26+KFC!$C$26)*KFC!$C$5</f>
        <v>40.04</v>
      </c>
      <c r="H42" s="315">
        <f>(AC42*KFC!$B$26+KFC!$C$26)*KFC!$C$5</f>
        <v>42.06</v>
      </c>
      <c r="I42" s="315">
        <f>(AD42*KFC!$B$26+KFC!$C$26)*KFC!$C$5</f>
        <v>43.96</v>
      </c>
      <c r="J42" s="315">
        <f>(AE42*KFC!$B$26+KFC!$C$26)*KFC!$C$5</f>
        <v>46</v>
      </c>
      <c r="K42" s="315">
        <f>(AF42*KFC!$B$26+KFC!$C$26)*KFC!$C$5</f>
        <v>48.02</v>
      </c>
      <c r="L42" s="315">
        <f>(AG42*KFC!$B$26+KFC!$C$26)*KFC!$C$5</f>
        <v>50.04</v>
      </c>
      <c r="M42" s="315">
        <f>(AH42*KFC!$B$26+KFC!$C$26)*KFC!$C$5</f>
        <v>51.95</v>
      </c>
      <c r="N42" s="315">
        <f>(AI42*KFC!$B$26+KFC!$C$26)*KFC!$C$5</f>
        <v>53.98</v>
      </c>
      <c r="O42" s="315">
        <f>(AJ42*KFC!$B$26+KFC!$C$26)*KFC!$C$5</f>
        <v>56.01</v>
      </c>
      <c r="P42" s="315">
        <f>(AK42*KFC!$B$26+KFC!$C$26)*KFC!$C$5</f>
        <v>58.04</v>
      </c>
      <c r="Q42" s="315">
        <f>(AL42*KFC!$B$26+KFC!$C$26)*KFC!$C$5</f>
        <v>60.07</v>
      </c>
      <c r="R42" s="315">
        <f>(AM42*KFC!$B$26+KFC!$C$26)*KFC!$C$5</f>
        <v>62.1</v>
      </c>
      <c r="S42" s="315">
        <f>(AN42*KFC!$B$26+KFC!$C$26)*KFC!$C$5</f>
        <v>64.13</v>
      </c>
      <c r="T42" s="315">
        <f>(AO42*KFC!$B$26+KFC!$C$26)*KFC!$C$5</f>
        <v>66.16</v>
      </c>
      <c r="V42" s="1538"/>
      <c r="W42" s="111">
        <v>1.8</v>
      </c>
      <c r="X42" s="847">
        <v>32.049999999999997</v>
      </c>
      <c r="Y42" s="847">
        <v>34.08</v>
      </c>
      <c r="Z42" s="847">
        <v>35.979999999999997</v>
      </c>
      <c r="AA42" s="847">
        <v>38.01</v>
      </c>
      <c r="AB42" s="847">
        <v>40.04</v>
      </c>
      <c r="AC42" s="847">
        <v>42.06</v>
      </c>
      <c r="AD42" s="847">
        <v>43.96</v>
      </c>
      <c r="AE42" s="847">
        <v>46</v>
      </c>
      <c r="AF42" s="847">
        <v>48.02</v>
      </c>
      <c r="AG42" s="847">
        <v>50.04</v>
      </c>
      <c r="AH42" s="847">
        <v>51.95</v>
      </c>
      <c r="AI42" s="847">
        <v>53.98</v>
      </c>
      <c r="AJ42" s="848">
        <v>56.01</v>
      </c>
      <c r="AK42" s="690">
        <f t="shared" si="3"/>
        <v>58.04</v>
      </c>
      <c r="AL42" s="690">
        <f t="shared" si="4"/>
        <v>60.07</v>
      </c>
      <c r="AM42" s="690">
        <f t="shared" si="4"/>
        <v>62.1</v>
      </c>
      <c r="AN42" s="690">
        <f t="shared" si="4"/>
        <v>64.13</v>
      </c>
      <c r="AO42" s="690">
        <f t="shared" si="4"/>
        <v>66.16</v>
      </c>
      <c r="AP42" s="690">
        <f t="shared" si="4"/>
        <v>68.19</v>
      </c>
      <c r="AQ42" s="690">
        <f t="shared" si="4"/>
        <v>70.22</v>
      </c>
    </row>
    <row r="43" spans="1:43">
      <c r="A43" s="1538"/>
      <c r="B43" s="262">
        <v>1.9</v>
      </c>
      <c r="C43" s="314">
        <f>(X43*KFC!$B$26+KFC!$C$26)*KFC!$C$5</f>
        <v>32.83</v>
      </c>
      <c r="D43" s="315">
        <f>(Y43*KFC!$B$26+KFC!$C$26)*KFC!$C$5</f>
        <v>34.86</v>
      </c>
      <c r="E43" s="315">
        <f>(Z43*KFC!$B$26+KFC!$C$26)*KFC!$C$5</f>
        <v>36.89</v>
      </c>
      <c r="F43" s="315">
        <f>(AA43*KFC!$B$26+KFC!$C$26)*KFC!$C$5</f>
        <v>38.9</v>
      </c>
      <c r="G43" s="315">
        <f>(AB43*KFC!$B$26+KFC!$C$26)*KFC!$C$5</f>
        <v>40.94</v>
      </c>
      <c r="H43" s="315">
        <f>(AC43*KFC!$B$26+KFC!$C$26)*KFC!$C$5</f>
        <v>42.96</v>
      </c>
      <c r="I43" s="315">
        <f>(AD43*KFC!$B$26+KFC!$C$26)*KFC!$C$5</f>
        <v>44.98</v>
      </c>
      <c r="J43" s="315">
        <f>(AE43*KFC!$B$26+KFC!$C$26)*KFC!$C$5</f>
        <v>47.01</v>
      </c>
      <c r="K43" s="315">
        <f>(AF43*KFC!$B$26+KFC!$C$26)*KFC!$C$5</f>
        <v>49.02</v>
      </c>
      <c r="L43" s="315">
        <f>(AG43*KFC!$B$26+KFC!$C$26)*KFC!$C$5</f>
        <v>51.06</v>
      </c>
      <c r="M43" s="315">
        <f>(AH43*KFC!$B$26+KFC!$C$26)*KFC!$C$5</f>
        <v>53.08</v>
      </c>
      <c r="N43" s="315">
        <f>(AI43*KFC!$B$26+KFC!$C$26)*KFC!$C$5</f>
        <v>55.1</v>
      </c>
      <c r="O43" s="315">
        <f>(AJ43*KFC!$B$26+KFC!$C$26)*KFC!$C$5</f>
        <v>57.13</v>
      </c>
      <c r="P43" s="315">
        <f>(AK43*KFC!$B$26+KFC!$C$26)*KFC!$C$5</f>
        <v>59.160000000000004</v>
      </c>
      <c r="Q43" s="315">
        <f>(AL43*KFC!$B$26+KFC!$C$26)*KFC!$C$5</f>
        <v>61.190000000000005</v>
      </c>
      <c r="R43" s="315">
        <f>(AM43*KFC!$B$26+KFC!$C$26)*KFC!$C$5</f>
        <v>63.220000000000006</v>
      </c>
      <c r="S43" s="315">
        <f>(AN43*KFC!$B$26+KFC!$C$26)*KFC!$C$5</f>
        <v>65.25</v>
      </c>
      <c r="T43" s="315">
        <f>(AO43*KFC!$B$26+KFC!$C$26)*KFC!$C$5</f>
        <v>67.28</v>
      </c>
      <c r="V43" s="1538"/>
      <c r="W43" s="111">
        <v>1.9</v>
      </c>
      <c r="X43" s="847">
        <v>32.83</v>
      </c>
      <c r="Y43" s="847">
        <v>34.86</v>
      </c>
      <c r="Z43" s="847">
        <v>36.89</v>
      </c>
      <c r="AA43" s="847">
        <v>38.9</v>
      </c>
      <c r="AB43" s="847">
        <v>40.94</v>
      </c>
      <c r="AC43" s="847">
        <v>42.96</v>
      </c>
      <c r="AD43" s="847">
        <v>44.98</v>
      </c>
      <c r="AE43" s="847">
        <v>47.01</v>
      </c>
      <c r="AF43" s="847">
        <v>49.02</v>
      </c>
      <c r="AG43" s="847">
        <v>51.06</v>
      </c>
      <c r="AH43" s="847">
        <v>53.08</v>
      </c>
      <c r="AI43" s="847">
        <v>55.1</v>
      </c>
      <c r="AJ43" s="848">
        <v>57.13</v>
      </c>
      <c r="AK43" s="690">
        <f t="shared" si="3"/>
        <v>59.160000000000004</v>
      </c>
      <c r="AL43" s="690">
        <f t="shared" si="4"/>
        <v>61.190000000000005</v>
      </c>
      <c r="AM43" s="690">
        <f t="shared" si="4"/>
        <v>63.220000000000006</v>
      </c>
      <c r="AN43" s="690">
        <f t="shared" si="4"/>
        <v>65.25</v>
      </c>
      <c r="AO43" s="690">
        <f t="shared" si="4"/>
        <v>67.28</v>
      </c>
      <c r="AP43" s="690">
        <f t="shared" si="4"/>
        <v>69.31</v>
      </c>
      <c r="AQ43" s="690">
        <f t="shared" si="4"/>
        <v>71.34</v>
      </c>
    </row>
    <row r="44" spans="1:43">
      <c r="A44" s="1538"/>
      <c r="B44" s="262">
        <v>2</v>
      </c>
      <c r="C44" s="314">
        <f>(X44*KFC!$B$26+KFC!$C$26)*KFC!$C$5</f>
        <v>33.74</v>
      </c>
      <c r="D44" s="315">
        <f>(Y44*KFC!$B$26+KFC!$C$26)*KFC!$C$5</f>
        <v>35.76</v>
      </c>
      <c r="E44" s="315">
        <f>(Z44*KFC!$B$26+KFC!$C$26)*KFC!$C$5</f>
        <v>37.78</v>
      </c>
      <c r="F44" s="315">
        <f>(AA44*KFC!$B$26+KFC!$C$26)*KFC!$C$5</f>
        <v>39.92</v>
      </c>
      <c r="G44" s="315">
        <f>(AB44*KFC!$B$26+KFC!$C$26)*KFC!$C$5</f>
        <v>41.95</v>
      </c>
      <c r="H44" s="315">
        <f>(AC44*KFC!$B$26+KFC!$C$26)*KFC!$C$5</f>
        <v>43.96</v>
      </c>
      <c r="I44" s="315">
        <f>(AD44*KFC!$B$26+KFC!$C$26)*KFC!$C$5</f>
        <v>46</v>
      </c>
      <c r="J44" s="315">
        <f>(AE44*KFC!$B$26+KFC!$C$26)*KFC!$C$5</f>
        <v>48.02</v>
      </c>
      <c r="K44" s="315">
        <f>(AF44*KFC!$B$26+KFC!$C$26)*KFC!$C$5</f>
        <v>50.04</v>
      </c>
      <c r="L44" s="315">
        <f>(AG44*KFC!$B$26+KFC!$C$26)*KFC!$C$5</f>
        <v>52.19</v>
      </c>
      <c r="M44" s="315">
        <f>(AH44*KFC!$B$26+KFC!$C$26)*KFC!$C$5</f>
        <v>54.2</v>
      </c>
      <c r="N44" s="315">
        <f>(AI44*KFC!$B$26+KFC!$C$26)*KFC!$C$5</f>
        <v>56.23</v>
      </c>
      <c r="O44" s="315">
        <f>(AJ44*KFC!$B$26+KFC!$C$26)*KFC!$C$5</f>
        <v>58.25</v>
      </c>
      <c r="P44" s="315">
        <f>(AK44*KFC!$B$26+KFC!$C$26)*KFC!$C$5</f>
        <v>60.27</v>
      </c>
      <c r="Q44" s="315">
        <f>(AL44*KFC!$B$26+KFC!$C$26)*KFC!$C$5</f>
        <v>62.290000000000006</v>
      </c>
      <c r="R44" s="315">
        <f>(AM44*KFC!$B$26+KFC!$C$26)*KFC!$C$5</f>
        <v>64.31</v>
      </c>
      <c r="S44" s="315">
        <f>(AN44*KFC!$B$26+KFC!$C$26)*KFC!$C$5</f>
        <v>66.33</v>
      </c>
      <c r="T44" s="315">
        <f>(AO44*KFC!$B$26+KFC!$C$26)*KFC!$C$5</f>
        <v>68.349999999999994</v>
      </c>
      <c r="V44" s="1538"/>
      <c r="W44" s="111">
        <v>2</v>
      </c>
      <c r="X44" s="847">
        <v>33.74</v>
      </c>
      <c r="Y44" s="847">
        <v>35.76</v>
      </c>
      <c r="Z44" s="847">
        <v>37.78</v>
      </c>
      <c r="AA44" s="847">
        <v>39.92</v>
      </c>
      <c r="AB44" s="847">
        <v>41.95</v>
      </c>
      <c r="AC44" s="847">
        <v>43.96</v>
      </c>
      <c r="AD44" s="847">
        <v>46</v>
      </c>
      <c r="AE44" s="847">
        <v>48.02</v>
      </c>
      <c r="AF44" s="847">
        <v>50.04</v>
      </c>
      <c r="AG44" s="847">
        <v>52.19</v>
      </c>
      <c r="AH44" s="847">
        <v>54.2</v>
      </c>
      <c r="AI44" s="847">
        <v>56.23</v>
      </c>
      <c r="AJ44" s="848">
        <v>58.25</v>
      </c>
      <c r="AK44" s="690">
        <f t="shared" si="3"/>
        <v>60.27</v>
      </c>
      <c r="AL44" s="690">
        <f t="shared" si="4"/>
        <v>62.290000000000006</v>
      </c>
      <c r="AM44" s="690">
        <f t="shared" si="4"/>
        <v>64.31</v>
      </c>
      <c r="AN44" s="690">
        <f t="shared" si="4"/>
        <v>66.33</v>
      </c>
      <c r="AO44" s="690">
        <f t="shared" si="4"/>
        <v>68.349999999999994</v>
      </c>
      <c r="AP44" s="690">
        <f t="shared" si="4"/>
        <v>70.36999999999999</v>
      </c>
      <c r="AQ44" s="690">
        <f t="shared" si="4"/>
        <v>72.389999999999986</v>
      </c>
    </row>
    <row r="45" spans="1:43">
      <c r="A45" s="1538"/>
      <c r="B45" s="262">
        <v>2.1</v>
      </c>
      <c r="C45" s="314">
        <f>(X45*KFC!$B$26+KFC!$C$26)*KFC!$C$5</f>
        <v>34.64</v>
      </c>
      <c r="D45" s="315">
        <f>(Y45*KFC!$B$26+KFC!$C$26)*KFC!$C$5</f>
        <v>36.659999999999997</v>
      </c>
      <c r="E45" s="315">
        <f>(Z45*KFC!$B$26+KFC!$C$26)*KFC!$C$5</f>
        <v>38.68</v>
      </c>
      <c r="F45" s="315">
        <f>(AA45*KFC!$B$26+KFC!$C$26)*KFC!$C$5</f>
        <v>40.94</v>
      </c>
      <c r="G45" s="315">
        <f>(AB45*KFC!$B$26+KFC!$C$26)*KFC!$C$5</f>
        <v>42.96</v>
      </c>
      <c r="H45" s="315">
        <f>(AC45*KFC!$B$26+KFC!$C$26)*KFC!$C$5</f>
        <v>44.98</v>
      </c>
      <c r="I45" s="315">
        <f>(AD45*KFC!$B$26+KFC!$C$26)*KFC!$C$5</f>
        <v>47.01</v>
      </c>
      <c r="J45" s="315">
        <f>(AE45*KFC!$B$26+KFC!$C$26)*KFC!$C$5</f>
        <v>49.02</v>
      </c>
      <c r="K45" s="315">
        <f>(AF45*KFC!$B$26+KFC!$C$26)*KFC!$C$5</f>
        <v>51.06</v>
      </c>
      <c r="L45" s="315">
        <f>(AG45*KFC!$B$26+KFC!$C$26)*KFC!$C$5</f>
        <v>53.31</v>
      </c>
      <c r="M45" s="315">
        <f>(AH45*KFC!$B$26+KFC!$C$26)*KFC!$C$5</f>
        <v>55.32</v>
      </c>
      <c r="N45" s="315">
        <f>(AI45*KFC!$B$26+KFC!$C$26)*KFC!$C$5</f>
        <v>57.35</v>
      </c>
      <c r="O45" s="315">
        <f>(AJ45*KFC!$B$26+KFC!$C$26)*KFC!$C$5</f>
        <v>59.38</v>
      </c>
      <c r="P45" s="315">
        <f>(AK45*KFC!$B$26+KFC!$C$26)*KFC!$C$5</f>
        <v>61.410000000000004</v>
      </c>
      <c r="Q45" s="315">
        <f>(AL45*KFC!$B$26+KFC!$C$26)*KFC!$C$5</f>
        <v>63.440000000000005</v>
      </c>
      <c r="R45" s="315">
        <f>(AM45*KFC!$B$26+KFC!$C$26)*KFC!$C$5</f>
        <v>65.47</v>
      </c>
      <c r="S45" s="315">
        <f>(AN45*KFC!$B$26+KFC!$C$26)*KFC!$C$5</f>
        <v>67.5</v>
      </c>
      <c r="T45" s="315">
        <f>(AO45*KFC!$B$26+KFC!$C$26)*KFC!$C$5</f>
        <v>69.53</v>
      </c>
      <c r="V45" s="1538"/>
      <c r="W45" s="111">
        <v>2.1</v>
      </c>
      <c r="X45" s="847">
        <v>34.64</v>
      </c>
      <c r="Y45" s="847">
        <v>36.659999999999997</v>
      </c>
      <c r="Z45" s="847">
        <v>38.68</v>
      </c>
      <c r="AA45" s="847">
        <v>40.94</v>
      </c>
      <c r="AB45" s="847">
        <v>42.96</v>
      </c>
      <c r="AC45" s="847">
        <v>44.98</v>
      </c>
      <c r="AD45" s="847">
        <v>47.01</v>
      </c>
      <c r="AE45" s="847">
        <v>49.02</v>
      </c>
      <c r="AF45" s="847">
        <v>51.06</v>
      </c>
      <c r="AG45" s="847">
        <v>53.31</v>
      </c>
      <c r="AH45" s="847">
        <v>55.32</v>
      </c>
      <c r="AI45" s="847">
        <v>57.35</v>
      </c>
      <c r="AJ45" s="848">
        <v>59.38</v>
      </c>
      <c r="AK45" s="690">
        <f t="shared" si="3"/>
        <v>61.410000000000004</v>
      </c>
      <c r="AL45" s="690">
        <f t="shared" ref="AL45:AQ46" si="5">AK45-AJ45+AK45</f>
        <v>63.440000000000005</v>
      </c>
      <c r="AM45" s="690">
        <f t="shared" si="5"/>
        <v>65.47</v>
      </c>
      <c r="AN45" s="690">
        <f t="shared" si="5"/>
        <v>67.5</v>
      </c>
      <c r="AO45" s="690">
        <f t="shared" si="5"/>
        <v>69.53</v>
      </c>
      <c r="AP45" s="690">
        <f t="shared" si="5"/>
        <v>71.56</v>
      </c>
      <c r="AQ45" s="690">
        <f t="shared" si="5"/>
        <v>73.59</v>
      </c>
    </row>
    <row r="46" spans="1:43" ht="13.8" thickBot="1">
      <c r="A46" s="1539"/>
      <c r="B46" s="263">
        <v>2.2000000000000002</v>
      </c>
      <c r="C46" s="317">
        <f>(X46*KFC!$B$26+KFC!$C$26)*KFC!$C$5</f>
        <v>35.53</v>
      </c>
      <c r="D46" s="318">
        <f>(Y46*KFC!$B$26+KFC!$C$26)*KFC!$C$5</f>
        <v>37.56</v>
      </c>
      <c r="E46" s="318">
        <f>(Z46*KFC!$B$26+KFC!$C$26)*KFC!$C$5</f>
        <v>39.590000000000003</v>
      </c>
      <c r="F46" s="318">
        <f>(AA46*KFC!$B$26+KFC!$C$26)*KFC!$C$5</f>
        <v>41.95</v>
      </c>
      <c r="G46" s="318">
        <f>(AB46*KFC!$B$26+KFC!$C$26)*KFC!$C$5</f>
        <v>43.96</v>
      </c>
      <c r="H46" s="318">
        <f>(AC46*KFC!$B$26+KFC!$C$26)*KFC!$C$5</f>
        <v>46</v>
      </c>
      <c r="I46" s="318">
        <f>(AD46*KFC!$B$26+KFC!$C$26)*KFC!$C$5</f>
        <v>48.02</v>
      </c>
      <c r="J46" s="318">
        <f>(AE46*KFC!$B$26+KFC!$C$26)*KFC!$C$5</f>
        <v>50.04</v>
      </c>
      <c r="K46" s="318">
        <f>(AF46*KFC!$B$26+KFC!$C$26)*KFC!$C$5</f>
        <v>52.07</v>
      </c>
      <c r="L46" s="318">
        <f>(AG46*KFC!$B$26+KFC!$C$26)*KFC!$C$5</f>
        <v>54.43</v>
      </c>
      <c r="M46" s="318">
        <f>(AH46*KFC!$B$26+KFC!$C$26)*KFC!$C$5</f>
        <v>56.45</v>
      </c>
      <c r="N46" s="318">
        <f>(AI46*KFC!$B$26+KFC!$C$26)*KFC!$C$5</f>
        <v>58.47</v>
      </c>
      <c r="O46" s="318">
        <f>(AJ46*KFC!$B$26+KFC!$C$26)*KFC!$C$5</f>
        <v>60.5</v>
      </c>
      <c r="P46" s="318">
        <f>(AK46*KFC!$B$26+KFC!$C$26)*KFC!$C$5</f>
        <v>62.53</v>
      </c>
      <c r="Q46" s="318">
        <f>(AL46*KFC!$B$26+KFC!$C$26)*KFC!$C$5</f>
        <v>64.56</v>
      </c>
      <c r="R46" s="318">
        <f>(AM46*KFC!$B$26+KFC!$C$26)*KFC!$C$5</f>
        <v>66.59</v>
      </c>
      <c r="S46" s="318">
        <f>(AN46*KFC!$B$26+KFC!$C$26)*KFC!$C$5</f>
        <v>68.62</v>
      </c>
      <c r="T46" s="318">
        <f>(AO46*KFC!$B$26+KFC!$C$26)*KFC!$C$5</f>
        <v>70.650000000000006</v>
      </c>
      <c r="V46" s="1539"/>
      <c r="W46" s="112">
        <v>2.2000000000000002</v>
      </c>
      <c r="X46" s="847">
        <v>35.53</v>
      </c>
      <c r="Y46" s="847">
        <v>37.56</v>
      </c>
      <c r="Z46" s="847">
        <v>39.590000000000003</v>
      </c>
      <c r="AA46" s="847">
        <v>41.95</v>
      </c>
      <c r="AB46" s="847">
        <v>43.96</v>
      </c>
      <c r="AC46" s="847">
        <v>46</v>
      </c>
      <c r="AD46" s="847">
        <v>48.02</v>
      </c>
      <c r="AE46" s="847">
        <v>50.04</v>
      </c>
      <c r="AF46" s="847">
        <v>52.07</v>
      </c>
      <c r="AG46" s="847">
        <v>54.43</v>
      </c>
      <c r="AH46" s="847">
        <v>56.45</v>
      </c>
      <c r="AI46" s="847">
        <v>58.47</v>
      </c>
      <c r="AJ46" s="848">
        <v>60.5</v>
      </c>
      <c r="AK46" s="690">
        <f t="shared" si="3"/>
        <v>62.53</v>
      </c>
      <c r="AL46" s="690">
        <f t="shared" si="5"/>
        <v>64.56</v>
      </c>
      <c r="AM46" s="690">
        <f t="shared" si="5"/>
        <v>66.59</v>
      </c>
      <c r="AN46" s="690">
        <f t="shared" si="5"/>
        <v>68.62</v>
      </c>
      <c r="AO46" s="690">
        <f t="shared" si="5"/>
        <v>70.650000000000006</v>
      </c>
      <c r="AP46" s="690">
        <f t="shared" si="5"/>
        <v>72.680000000000007</v>
      </c>
      <c r="AQ46" s="690">
        <f t="shared" si="5"/>
        <v>74.710000000000008</v>
      </c>
    </row>
    <row r="47" spans="1:43" ht="13.8" thickBot="1">
      <c r="A47" s="249"/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</row>
    <row r="48" spans="1:43" ht="13.8" thickBot="1">
      <c r="A48" s="1413" t="s">
        <v>315</v>
      </c>
      <c r="B48" s="1415"/>
      <c r="C48" s="1534" t="s">
        <v>207</v>
      </c>
      <c r="D48" s="1535"/>
      <c r="E48" s="1535"/>
      <c r="F48" s="1535"/>
      <c r="G48" s="1535"/>
      <c r="H48" s="1535"/>
      <c r="I48" s="1535"/>
      <c r="J48" s="1535"/>
      <c r="K48" s="1535"/>
      <c r="L48" s="1535"/>
      <c r="M48" s="1535"/>
      <c r="N48" s="1535"/>
      <c r="O48" s="1535"/>
      <c r="P48" s="1535"/>
      <c r="Q48" s="1535"/>
      <c r="R48" s="1535"/>
      <c r="S48" s="1535"/>
      <c r="T48" s="1536"/>
      <c r="V48" s="1413" t="s">
        <v>315</v>
      </c>
      <c r="W48" s="1415"/>
      <c r="X48" s="1825" t="s">
        <v>207</v>
      </c>
      <c r="Y48" s="1826"/>
      <c r="Z48" s="1826"/>
      <c r="AA48" s="1826"/>
      <c r="AB48" s="1826"/>
      <c r="AC48" s="1826"/>
      <c r="AD48" s="1826"/>
      <c r="AE48" s="1826"/>
      <c r="AF48" s="1826"/>
      <c r="AG48" s="1826"/>
      <c r="AH48" s="1826"/>
      <c r="AI48" s="1826"/>
      <c r="AJ48" s="1826"/>
      <c r="AK48" s="1826"/>
      <c r="AL48" s="1826"/>
      <c r="AM48" s="1826"/>
      <c r="AN48" s="1826"/>
      <c r="AO48" s="1826"/>
      <c r="AP48" s="1826"/>
      <c r="AQ48" s="1826"/>
    </row>
    <row r="49" spans="1:43" ht="13.8" thickBot="1">
      <c r="A49" s="1416"/>
      <c r="B49" s="1802"/>
      <c r="C49" s="119">
        <v>0.4</v>
      </c>
      <c r="D49" s="119">
        <v>0.5</v>
      </c>
      <c r="E49" s="119">
        <v>0.6</v>
      </c>
      <c r="F49" s="119">
        <v>0.7</v>
      </c>
      <c r="G49" s="119">
        <v>0.8</v>
      </c>
      <c r="H49" s="119">
        <v>0.9</v>
      </c>
      <c r="I49" s="119">
        <v>1</v>
      </c>
      <c r="J49" s="119">
        <v>1.1000000000000001</v>
      </c>
      <c r="K49" s="119">
        <v>1.2</v>
      </c>
      <c r="L49" s="119">
        <v>1.3</v>
      </c>
      <c r="M49" s="119">
        <v>1.4</v>
      </c>
      <c r="N49" s="119">
        <v>1.5</v>
      </c>
      <c r="O49" s="119">
        <v>1.6</v>
      </c>
      <c r="P49" s="119">
        <v>1.7</v>
      </c>
      <c r="Q49" s="119">
        <v>1.8</v>
      </c>
      <c r="R49" s="119">
        <v>1.9</v>
      </c>
      <c r="S49" s="119">
        <v>2</v>
      </c>
      <c r="T49" s="119">
        <v>2.1</v>
      </c>
      <c r="V49" s="1416"/>
      <c r="W49" s="1802"/>
      <c r="X49" s="428">
        <v>0.4</v>
      </c>
      <c r="Y49" s="428">
        <v>0.5</v>
      </c>
      <c r="Z49" s="428">
        <v>0.6</v>
      </c>
      <c r="AA49" s="428">
        <v>0.7</v>
      </c>
      <c r="AB49" s="428">
        <v>0.8</v>
      </c>
      <c r="AC49" s="428">
        <v>0.9</v>
      </c>
      <c r="AD49" s="428">
        <v>1</v>
      </c>
      <c r="AE49" s="428">
        <v>1.1000000000000001</v>
      </c>
      <c r="AF49" s="428">
        <v>1.2</v>
      </c>
      <c r="AG49" s="428">
        <v>1.3</v>
      </c>
      <c r="AH49" s="428">
        <v>1.4</v>
      </c>
      <c r="AI49" s="428">
        <v>1.5</v>
      </c>
      <c r="AJ49" s="428">
        <v>1.6</v>
      </c>
      <c r="AK49" s="428">
        <v>1.7</v>
      </c>
      <c r="AL49" s="428">
        <v>1.8</v>
      </c>
      <c r="AM49" s="428">
        <v>1.9</v>
      </c>
      <c r="AN49" s="428">
        <v>2</v>
      </c>
      <c r="AO49" s="428">
        <v>2.1</v>
      </c>
      <c r="AP49" s="428">
        <v>2.2000000000000002</v>
      </c>
      <c r="AQ49" s="428">
        <v>2.2999999999999998</v>
      </c>
    </row>
    <row r="50" spans="1:43" ht="13.2" customHeight="1">
      <c r="A50" s="1537" t="s">
        <v>3</v>
      </c>
      <c r="B50" s="261">
        <v>0.5</v>
      </c>
      <c r="C50" s="311">
        <f>(X50*KFC!$B$26+KFC!$C$26)*KFC!$C$5</f>
        <v>24.74</v>
      </c>
      <c r="D50" s="312">
        <f>(Y50*KFC!$B$26+KFC!$C$26)*KFC!$C$5</f>
        <v>26.99</v>
      </c>
      <c r="E50" s="312">
        <f>(Z50*KFC!$B$26+KFC!$C$26)*KFC!$C$5</f>
        <v>29.24</v>
      </c>
      <c r="F50" s="312">
        <f>(AA50*KFC!$B$26+KFC!$C$26)*KFC!$C$5</f>
        <v>31.49</v>
      </c>
      <c r="G50" s="312">
        <f>(AB50*KFC!$B$26+KFC!$C$26)*KFC!$C$5</f>
        <v>33.74</v>
      </c>
      <c r="H50" s="312">
        <f>(AC50*KFC!$B$26+KFC!$C$26)*KFC!$C$5</f>
        <v>35.979999999999997</v>
      </c>
      <c r="I50" s="312">
        <f>(AD50*KFC!$B$26+KFC!$C$26)*KFC!$C$5</f>
        <v>38.229999999999997</v>
      </c>
      <c r="J50" s="312">
        <f>(AE50*KFC!$B$26+KFC!$C$26)*KFC!$C$5</f>
        <v>40.590000000000003</v>
      </c>
      <c r="K50" s="312">
        <f>(AF50*KFC!$B$26+KFC!$C$26)*KFC!$C$5</f>
        <v>42.74</v>
      </c>
      <c r="L50" s="312">
        <f>(AG50*KFC!$B$26+KFC!$C$26)*KFC!$C$5</f>
        <v>44.98</v>
      </c>
      <c r="M50" s="312">
        <f>(AH50*KFC!$B$26+KFC!$C$26)*KFC!$C$5</f>
        <v>47.34</v>
      </c>
      <c r="N50" s="312">
        <f>(AI50*KFC!$B$26+KFC!$C$26)*KFC!$C$5</f>
        <v>49.48</v>
      </c>
      <c r="O50" s="312">
        <f>(AJ50*KFC!$B$26+KFC!$C$26)*KFC!$C$5</f>
        <v>51.62</v>
      </c>
      <c r="P50" s="312">
        <f>(AK50*KFC!$B$26+KFC!$C$26)*KFC!$C$5</f>
        <v>53.76</v>
      </c>
      <c r="Q50" s="312">
        <f>(AL50*KFC!$B$26+KFC!$C$26)*KFC!$C$5</f>
        <v>55.9</v>
      </c>
      <c r="R50" s="312">
        <f>(AM50*KFC!$B$26+KFC!$C$26)*KFC!$C$5</f>
        <v>58.04</v>
      </c>
      <c r="S50" s="312">
        <f>(AN50*KFC!$B$26+KFC!$C$26)*KFC!$C$5</f>
        <v>60.18</v>
      </c>
      <c r="T50" s="312">
        <f>(AO50*KFC!$B$26+KFC!$C$26)*KFC!$C$5</f>
        <v>62.32</v>
      </c>
      <c r="V50" s="1537" t="s">
        <v>3</v>
      </c>
      <c r="W50" s="110">
        <v>0.5</v>
      </c>
      <c r="X50" s="847">
        <v>24.74</v>
      </c>
      <c r="Y50" s="847">
        <v>26.99</v>
      </c>
      <c r="Z50" s="847">
        <v>29.24</v>
      </c>
      <c r="AA50" s="847">
        <v>31.49</v>
      </c>
      <c r="AB50" s="847">
        <v>33.74</v>
      </c>
      <c r="AC50" s="847">
        <v>35.979999999999997</v>
      </c>
      <c r="AD50" s="847">
        <v>38.229999999999997</v>
      </c>
      <c r="AE50" s="847">
        <v>40.590000000000003</v>
      </c>
      <c r="AF50" s="847">
        <v>42.74</v>
      </c>
      <c r="AG50" s="847">
        <v>44.98</v>
      </c>
      <c r="AH50" s="847">
        <v>47.34</v>
      </c>
      <c r="AI50" s="847">
        <v>49.48</v>
      </c>
      <c r="AJ50" s="848">
        <v>51.62</v>
      </c>
      <c r="AK50" s="690">
        <f t="shared" ref="AK50:AK67" si="6">AJ50-AI50+AJ50</f>
        <v>53.76</v>
      </c>
      <c r="AL50" s="690">
        <f t="shared" ref="AL50:AQ65" si="7">AK50-AJ50+AK50</f>
        <v>55.9</v>
      </c>
      <c r="AM50" s="690">
        <f t="shared" si="7"/>
        <v>58.04</v>
      </c>
      <c r="AN50" s="690">
        <f t="shared" si="7"/>
        <v>60.18</v>
      </c>
      <c r="AO50" s="690">
        <f t="shared" si="7"/>
        <v>62.32</v>
      </c>
      <c r="AP50" s="690">
        <f t="shared" si="7"/>
        <v>64.460000000000008</v>
      </c>
      <c r="AQ50" s="690">
        <f t="shared" si="7"/>
        <v>66.600000000000023</v>
      </c>
    </row>
    <row r="51" spans="1:43">
      <c r="A51" s="1538"/>
      <c r="B51" s="262">
        <v>0.6</v>
      </c>
      <c r="C51" s="314">
        <f>(X51*KFC!$B$26+KFC!$C$26)*KFC!$C$5</f>
        <v>25.86</v>
      </c>
      <c r="D51" s="315">
        <f>(Y51*KFC!$B$26+KFC!$C$26)*KFC!$C$5</f>
        <v>28.34</v>
      </c>
      <c r="E51" s="315">
        <f>(Z51*KFC!$B$26+KFC!$C$26)*KFC!$C$5</f>
        <v>30.7</v>
      </c>
      <c r="F51" s="315">
        <f>(AA51*KFC!$B$26+KFC!$C$26)*KFC!$C$5</f>
        <v>33.06</v>
      </c>
      <c r="G51" s="315">
        <f>(AB51*KFC!$B$26+KFC!$C$26)*KFC!$C$5</f>
        <v>35.31</v>
      </c>
      <c r="H51" s="315">
        <f>(AC51*KFC!$B$26+KFC!$C$26)*KFC!$C$5</f>
        <v>37.67</v>
      </c>
      <c r="I51" s="315">
        <f>(AD51*KFC!$B$26+KFC!$C$26)*KFC!$C$5</f>
        <v>39.92</v>
      </c>
      <c r="J51" s="315">
        <f>(AE51*KFC!$B$26+KFC!$C$26)*KFC!$C$5</f>
        <v>42.17</v>
      </c>
      <c r="K51" s="315">
        <f>(AF51*KFC!$B$26+KFC!$C$26)*KFC!$C$5</f>
        <v>44.53</v>
      </c>
      <c r="L51" s="315">
        <f>(AG51*KFC!$B$26+KFC!$C$26)*KFC!$C$5</f>
        <v>46.89</v>
      </c>
      <c r="M51" s="315">
        <f>(AH51*KFC!$B$26+KFC!$C$26)*KFC!$C$5</f>
        <v>49.26</v>
      </c>
      <c r="N51" s="315">
        <f>(AI51*KFC!$B$26+KFC!$C$26)*KFC!$C$5</f>
        <v>51.62</v>
      </c>
      <c r="O51" s="315">
        <f>(AJ51*KFC!$B$26+KFC!$C$26)*KFC!$C$5</f>
        <v>53.98</v>
      </c>
      <c r="P51" s="315">
        <f>(AK51*KFC!$B$26+KFC!$C$26)*KFC!$C$5</f>
        <v>56.339999999999996</v>
      </c>
      <c r="Q51" s="315">
        <f>(AL51*KFC!$B$26+KFC!$C$26)*KFC!$C$5</f>
        <v>58.699999999999996</v>
      </c>
      <c r="R51" s="315">
        <f>(AM51*KFC!$B$26+KFC!$C$26)*KFC!$C$5</f>
        <v>61.059999999999995</v>
      </c>
      <c r="S51" s="315">
        <f>(AN51*KFC!$B$26+KFC!$C$26)*KFC!$C$5</f>
        <v>63.419999999999995</v>
      </c>
      <c r="T51" s="315">
        <f>(AO51*KFC!$B$26+KFC!$C$26)*KFC!$C$5</f>
        <v>65.78</v>
      </c>
      <c r="V51" s="1538"/>
      <c r="W51" s="111">
        <v>0.6</v>
      </c>
      <c r="X51" s="847">
        <v>25.86</v>
      </c>
      <c r="Y51" s="847">
        <v>28.34</v>
      </c>
      <c r="Z51" s="847">
        <v>30.7</v>
      </c>
      <c r="AA51" s="847">
        <v>33.06</v>
      </c>
      <c r="AB51" s="847">
        <v>35.31</v>
      </c>
      <c r="AC51" s="847">
        <v>37.67</v>
      </c>
      <c r="AD51" s="847">
        <v>39.92</v>
      </c>
      <c r="AE51" s="847">
        <v>42.17</v>
      </c>
      <c r="AF51" s="847">
        <v>44.53</v>
      </c>
      <c r="AG51" s="847">
        <v>46.89</v>
      </c>
      <c r="AH51" s="847">
        <v>49.26</v>
      </c>
      <c r="AI51" s="847">
        <v>51.62</v>
      </c>
      <c r="AJ51" s="848">
        <v>53.98</v>
      </c>
      <c r="AK51" s="690">
        <f t="shared" si="6"/>
        <v>56.339999999999996</v>
      </c>
      <c r="AL51" s="690">
        <f t="shared" si="7"/>
        <v>58.699999999999996</v>
      </c>
      <c r="AM51" s="690">
        <f t="shared" si="7"/>
        <v>61.059999999999995</v>
      </c>
      <c r="AN51" s="690">
        <f t="shared" si="7"/>
        <v>63.419999999999995</v>
      </c>
      <c r="AO51" s="690">
        <f t="shared" si="7"/>
        <v>65.78</v>
      </c>
      <c r="AP51" s="690">
        <f t="shared" si="7"/>
        <v>68.140000000000015</v>
      </c>
      <c r="AQ51" s="690">
        <f t="shared" si="7"/>
        <v>70.500000000000028</v>
      </c>
    </row>
    <row r="52" spans="1:43">
      <c r="A52" s="1538"/>
      <c r="B52" s="262">
        <v>0.7</v>
      </c>
      <c r="C52" s="314">
        <f>(X52*KFC!$B$26+KFC!$C$26)*KFC!$C$5</f>
        <v>27.33</v>
      </c>
      <c r="D52" s="315">
        <f>(Y52*KFC!$B$26+KFC!$C$26)*KFC!$C$5</f>
        <v>29.69</v>
      </c>
      <c r="E52" s="315">
        <f>(Z52*KFC!$B$26+KFC!$C$26)*KFC!$C$5</f>
        <v>32.049999999999997</v>
      </c>
      <c r="F52" s="315">
        <f>(AA52*KFC!$B$26+KFC!$C$26)*KFC!$C$5</f>
        <v>34.520000000000003</v>
      </c>
      <c r="G52" s="315">
        <f>(AB52*KFC!$B$26+KFC!$C$26)*KFC!$C$5</f>
        <v>36.89</v>
      </c>
      <c r="H52" s="315">
        <f>(AC52*KFC!$B$26+KFC!$C$26)*KFC!$C$5</f>
        <v>39.25</v>
      </c>
      <c r="I52" s="315">
        <f>(AD52*KFC!$B$26+KFC!$C$26)*KFC!$C$5</f>
        <v>41.72</v>
      </c>
      <c r="J52" s="315">
        <f>(AE52*KFC!$B$26+KFC!$C$26)*KFC!$C$5</f>
        <v>43.96</v>
      </c>
      <c r="K52" s="315">
        <f>(AF52*KFC!$B$26+KFC!$C$26)*KFC!$C$5</f>
        <v>46.33</v>
      </c>
      <c r="L52" s="315">
        <f>(AG52*KFC!$B$26+KFC!$C$26)*KFC!$C$5</f>
        <v>48.8</v>
      </c>
      <c r="M52" s="315">
        <f>(AH52*KFC!$B$26+KFC!$C$26)*KFC!$C$5</f>
        <v>51.17</v>
      </c>
      <c r="N52" s="315">
        <f>(AI52*KFC!$B$26+KFC!$C$26)*KFC!$C$5</f>
        <v>53.53</v>
      </c>
      <c r="O52" s="315">
        <f>(AJ52*KFC!$B$26+KFC!$C$26)*KFC!$C$5</f>
        <v>55.88</v>
      </c>
      <c r="P52" s="315">
        <f>(AK52*KFC!$B$26+KFC!$C$26)*KFC!$C$5</f>
        <v>58.230000000000004</v>
      </c>
      <c r="Q52" s="315">
        <f>(AL52*KFC!$B$26+KFC!$C$26)*KFC!$C$5</f>
        <v>60.580000000000005</v>
      </c>
      <c r="R52" s="315">
        <f>(AM52*KFC!$B$26+KFC!$C$26)*KFC!$C$5</f>
        <v>62.930000000000007</v>
      </c>
      <c r="S52" s="315">
        <f>(AN52*KFC!$B$26+KFC!$C$26)*KFC!$C$5</f>
        <v>65.28</v>
      </c>
      <c r="T52" s="315">
        <f>(AO52*KFC!$B$26+KFC!$C$26)*KFC!$C$5</f>
        <v>67.63</v>
      </c>
      <c r="V52" s="1538"/>
      <c r="W52" s="111">
        <v>0.7</v>
      </c>
      <c r="X52" s="847">
        <v>27.33</v>
      </c>
      <c r="Y52" s="847">
        <v>29.69</v>
      </c>
      <c r="Z52" s="847">
        <v>32.049999999999997</v>
      </c>
      <c r="AA52" s="847">
        <v>34.520000000000003</v>
      </c>
      <c r="AB52" s="847">
        <v>36.89</v>
      </c>
      <c r="AC52" s="847">
        <v>39.25</v>
      </c>
      <c r="AD52" s="847">
        <v>41.72</v>
      </c>
      <c r="AE52" s="847">
        <v>43.96</v>
      </c>
      <c r="AF52" s="847">
        <v>46.33</v>
      </c>
      <c r="AG52" s="847">
        <v>48.8</v>
      </c>
      <c r="AH52" s="847">
        <v>51.17</v>
      </c>
      <c r="AI52" s="847">
        <v>53.53</v>
      </c>
      <c r="AJ52" s="848">
        <v>55.88</v>
      </c>
      <c r="AK52" s="690">
        <f t="shared" si="6"/>
        <v>58.230000000000004</v>
      </c>
      <c r="AL52" s="690">
        <f t="shared" si="7"/>
        <v>60.580000000000005</v>
      </c>
      <c r="AM52" s="690">
        <f t="shared" si="7"/>
        <v>62.930000000000007</v>
      </c>
      <c r="AN52" s="690">
        <f t="shared" si="7"/>
        <v>65.28</v>
      </c>
      <c r="AO52" s="690">
        <f t="shared" si="7"/>
        <v>67.63</v>
      </c>
      <c r="AP52" s="690">
        <f t="shared" si="7"/>
        <v>69.97999999999999</v>
      </c>
      <c r="AQ52" s="690">
        <f t="shared" si="7"/>
        <v>72.329999999999984</v>
      </c>
    </row>
    <row r="53" spans="1:43">
      <c r="A53" s="1538"/>
      <c r="B53" s="262">
        <v>0.8</v>
      </c>
      <c r="C53" s="314">
        <f>(X53*KFC!$B$26+KFC!$C$26)*KFC!$C$5</f>
        <v>28.57</v>
      </c>
      <c r="D53" s="315">
        <f>(Y53*KFC!$B$26+KFC!$C$26)*KFC!$C$5</f>
        <v>31.04</v>
      </c>
      <c r="E53" s="315">
        <f>(Z53*KFC!$B$26+KFC!$C$26)*KFC!$C$5</f>
        <v>33.520000000000003</v>
      </c>
      <c r="F53" s="315">
        <f>(AA53*KFC!$B$26+KFC!$C$26)*KFC!$C$5</f>
        <v>35.880000000000003</v>
      </c>
      <c r="G53" s="315">
        <f>(AB53*KFC!$B$26+KFC!$C$26)*KFC!$C$5</f>
        <v>38.35</v>
      </c>
      <c r="H53" s="315">
        <f>(AC53*KFC!$B$26+KFC!$C$26)*KFC!$C$5</f>
        <v>40.82</v>
      </c>
      <c r="I53" s="315">
        <f>(AD53*KFC!$B$26+KFC!$C$26)*KFC!$C$5</f>
        <v>43.29</v>
      </c>
      <c r="J53" s="315">
        <f>(AE53*KFC!$B$26+KFC!$C$26)*KFC!$C$5</f>
        <v>45.77</v>
      </c>
      <c r="K53" s="315">
        <f>(AF53*KFC!$B$26+KFC!$C$26)*KFC!$C$5</f>
        <v>48.25</v>
      </c>
      <c r="L53" s="315">
        <f>(AG53*KFC!$B$26+KFC!$C$26)*KFC!$C$5</f>
        <v>50.61</v>
      </c>
      <c r="M53" s="315">
        <f>(AH53*KFC!$B$26+KFC!$C$26)*KFC!$C$5</f>
        <v>53.08</v>
      </c>
      <c r="N53" s="315">
        <f>(AI53*KFC!$B$26+KFC!$C$26)*KFC!$C$5</f>
        <v>55.56</v>
      </c>
      <c r="O53" s="315">
        <f>(AJ53*KFC!$B$26+KFC!$C$26)*KFC!$C$5</f>
        <v>58.02</v>
      </c>
      <c r="P53" s="315">
        <f>(AK53*KFC!$B$26+KFC!$C$26)*KFC!$C$5</f>
        <v>60.480000000000004</v>
      </c>
      <c r="Q53" s="315">
        <f>(AL53*KFC!$B$26+KFC!$C$26)*KFC!$C$5</f>
        <v>62.940000000000005</v>
      </c>
      <c r="R53" s="315">
        <f>(AM53*KFC!$B$26+KFC!$C$26)*KFC!$C$5</f>
        <v>65.400000000000006</v>
      </c>
      <c r="S53" s="315">
        <f>(AN53*KFC!$B$26+KFC!$C$26)*KFC!$C$5</f>
        <v>67.860000000000014</v>
      </c>
      <c r="T53" s="315">
        <f>(AO53*KFC!$B$26+KFC!$C$26)*KFC!$C$5</f>
        <v>70.320000000000022</v>
      </c>
      <c r="V53" s="1538"/>
      <c r="W53" s="111">
        <v>0.8</v>
      </c>
      <c r="X53" s="847">
        <v>28.57</v>
      </c>
      <c r="Y53" s="847">
        <v>31.04</v>
      </c>
      <c r="Z53" s="847">
        <v>33.520000000000003</v>
      </c>
      <c r="AA53" s="847">
        <v>35.880000000000003</v>
      </c>
      <c r="AB53" s="847">
        <v>38.35</v>
      </c>
      <c r="AC53" s="847">
        <v>40.82</v>
      </c>
      <c r="AD53" s="847">
        <v>43.29</v>
      </c>
      <c r="AE53" s="847">
        <v>45.77</v>
      </c>
      <c r="AF53" s="847">
        <v>48.25</v>
      </c>
      <c r="AG53" s="847">
        <v>50.61</v>
      </c>
      <c r="AH53" s="847">
        <v>53.08</v>
      </c>
      <c r="AI53" s="847">
        <v>55.56</v>
      </c>
      <c r="AJ53" s="848">
        <v>58.02</v>
      </c>
      <c r="AK53" s="690">
        <f t="shared" si="6"/>
        <v>60.480000000000004</v>
      </c>
      <c r="AL53" s="690">
        <f t="shared" si="7"/>
        <v>62.940000000000005</v>
      </c>
      <c r="AM53" s="690">
        <f t="shared" si="7"/>
        <v>65.400000000000006</v>
      </c>
      <c r="AN53" s="690">
        <f t="shared" si="7"/>
        <v>67.860000000000014</v>
      </c>
      <c r="AO53" s="690">
        <f t="shared" si="7"/>
        <v>70.320000000000022</v>
      </c>
      <c r="AP53" s="690">
        <f t="shared" si="7"/>
        <v>72.78000000000003</v>
      </c>
      <c r="AQ53" s="690">
        <f t="shared" si="7"/>
        <v>75.240000000000038</v>
      </c>
    </row>
    <row r="54" spans="1:43">
      <c r="A54" s="1538"/>
      <c r="B54" s="262">
        <v>0.9</v>
      </c>
      <c r="C54" s="314">
        <f>(X54*KFC!$B$26+KFC!$C$26)*KFC!$C$5</f>
        <v>29.8</v>
      </c>
      <c r="D54" s="315">
        <f>(Y54*KFC!$B$26+KFC!$C$26)*KFC!$C$5</f>
        <v>32.5</v>
      </c>
      <c r="E54" s="315">
        <f>(Z54*KFC!$B$26+KFC!$C$26)*KFC!$C$5</f>
        <v>34.979999999999997</v>
      </c>
      <c r="F54" s="315">
        <f>(AA54*KFC!$B$26+KFC!$C$26)*KFC!$C$5</f>
        <v>37.450000000000003</v>
      </c>
      <c r="G54" s="315">
        <f>(AB54*KFC!$B$26+KFC!$C$26)*KFC!$C$5</f>
        <v>40.04</v>
      </c>
      <c r="H54" s="315">
        <f>(AC54*KFC!$B$26+KFC!$C$26)*KFC!$C$5</f>
        <v>42.51</v>
      </c>
      <c r="I54" s="315">
        <f>(AD54*KFC!$B$26+KFC!$C$26)*KFC!$C$5</f>
        <v>44.98</v>
      </c>
      <c r="J54" s="315">
        <f>(AE54*KFC!$B$26+KFC!$C$26)*KFC!$C$5</f>
        <v>47.45</v>
      </c>
      <c r="K54" s="315">
        <f>(AF54*KFC!$B$26+KFC!$C$26)*KFC!$C$5</f>
        <v>50.04</v>
      </c>
      <c r="L54" s="315">
        <f>(AG54*KFC!$B$26+KFC!$C$26)*KFC!$C$5</f>
        <v>52.51</v>
      </c>
      <c r="M54" s="315">
        <f>(AH54*KFC!$B$26+KFC!$C$26)*KFC!$C$5</f>
        <v>54.99</v>
      </c>
      <c r="N54" s="315">
        <f>(AI54*KFC!$B$26+KFC!$C$26)*KFC!$C$5</f>
        <v>57.57</v>
      </c>
      <c r="O54" s="315">
        <f>(AJ54*KFC!$B$26+KFC!$C$26)*KFC!$C$5</f>
        <v>60.17</v>
      </c>
      <c r="P54" s="315">
        <f>(AK54*KFC!$B$26+KFC!$C$26)*KFC!$C$5</f>
        <v>62.77</v>
      </c>
      <c r="Q54" s="315">
        <f>(AL54*KFC!$B$26+KFC!$C$26)*KFC!$C$5</f>
        <v>65.37</v>
      </c>
      <c r="R54" s="315">
        <f>(AM54*KFC!$B$26+KFC!$C$26)*KFC!$C$5</f>
        <v>67.97</v>
      </c>
      <c r="S54" s="315">
        <f>(AN54*KFC!$B$26+KFC!$C$26)*KFC!$C$5</f>
        <v>70.569999999999993</v>
      </c>
      <c r="T54" s="315">
        <f>(AO54*KFC!$B$26+KFC!$C$26)*KFC!$C$5</f>
        <v>73.169999999999987</v>
      </c>
      <c r="V54" s="1538"/>
      <c r="W54" s="111">
        <v>0.9</v>
      </c>
      <c r="X54" s="847">
        <v>29.8</v>
      </c>
      <c r="Y54" s="847">
        <v>32.5</v>
      </c>
      <c r="Z54" s="847">
        <v>34.979999999999997</v>
      </c>
      <c r="AA54" s="847">
        <v>37.450000000000003</v>
      </c>
      <c r="AB54" s="847">
        <v>40.04</v>
      </c>
      <c r="AC54" s="847">
        <v>42.51</v>
      </c>
      <c r="AD54" s="847">
        <v>44.98</v>
      </c>
      <c r="AE54" s="847">
        <v>47.45</v>
      </c>
      <c r="AF54" s="847">
        <v>50.04</v>
      </c>
      <c r="AG54" s="847">
        <v>52.51</v>
      </c>
      <c r="AH54" s="847">
        <v>54.99</v>
      </c>
      <c r="AI54" s="847">
        <v>57.57</v>
      </c>
      <c r="AJ54" s="848">
        <v>60.17</v>
      </c>
      <c r="AK54" s="690">
        <f t="shared" si="6"/>
        <v>62.77</v>
      </c>
      <c r="AL54" s="690">
        <f t="shared" si="7"/>
        <v>65.37</v>
      </c>
      <c r="AM54" s="690">
        <f t="shared" si="7"/>
        <v>67.97</v>
      </c>
      <c r="AN54" s="690">
        <f t="shared" si="7"/>
        <v>70.569999999999993</v>
      </c>
      <c r="AO54" s="690">
        <f t="shared" si="7"/>
        <v>73.169999999999987</v>
      </c>
      <c r="AP54" s="690">
        <f t="shared" si="7"/>
        <v>75.769999999999982</v>
      </c>
      <c r="AQ54" s="690">
        <f t="shared" si="7"/>
        <v>78.369999999999976</v>
      </c>
    </row>
    <row r="55" spans="1:43">
      <c r="A55" s="1538"/>
      <c r="B55" s="262">
        <v>1</v>
      </c>
      <c r="C55" s="314">
        <f>(X55*KFC!$B$26+KFC!$C$26)*KFC!$C$5</f>
        <v>31.27</v>
      </c>
      <c r="D55" s="315">
        <f>(Y55*KFC!$B$26+KFC!$C$26)*KFC!$C$5</f>
        <v>33.74</v>
      </c>
      <c r="E55" s="315">
        <f>(Z55*KFC!$B$26+KFC!$C$26)*KFC!$C$5</f>
        <v>36.33</v>
      </c>
      <c r="F55" s="315">
        <f>(AA55*KFC!$B$26+KFC!$C$26)*KFC!$C$5</f>
        <v>38.9</v>
      </c>
      <c r="G55" s="315">
        <f>(AB55*KFC!$B$26+KFC!$C$26)*KFC!$C$5</f>
        <v>41.5</v>
      </c>
      <c r="H55" s="315">
        <f>(AC55*KFC!$B$26+KFC!$C$26)*KFC!$C$5</f>
        <v>44.19</v>
      </c>
      <c r="I55" s="315">
        <f>(AD55*KFC!$B$26+KFC!$C$26)*KFC!$C$5</f>
        <v>46.67</v>
      </c>
      <c r="J55" s="315">
        <f>(AE55*KFC!$B$26+KFC!$C$26)*KFC!$C$5</f>
        <v>49.26</v>
      </c>
      <c r="K55" s="315">
        <f>(AF55*KFC!$B$26+KFC!$C$26)*KFC!$C$5</f>
        <v>51.84</v>
      </c>
      <c r="L55" s="315">
        <f>(AG55*KFC!$B$26+KFC!$C$26)*KFC!$C$5</f>
        <v>54.43</v>
      </c>
      <c r="M55" s="315">
        <f>(AH55*KFC!$B$26+KFC!$C$26)*KFC!$C$5</f>
        <v>57.13</v>
      </c>
      <c r="N55" s="315">
        <f>(AI55*KFC!$B$26+KFC!$C$26)*KFC!$C$5</f>
        <v>59.6</v>
      </c>
      <c r="O55" s="315">
        <f>(AJ55*KFC!$B$26+KFC!$C$26)*KFC!$C$5</f>
        <v>62.08</v>
      </c>
      <c r="P55" s="315">
        <f>(AK55*KFC!$B$26+KFC!$C$26)*KFC!$C$5</f>
        <v>64.56</v>
      </c>
      <c r="Q55" s="315">
        <f>(AL55*KFC!$B$26+KFC!$C$26)*KFC!$C$5</f>
        <v>67.040000000000006</v>
      </c>
      <c r="R55" s="315">
        <f>(AM55*KFC!$B$26+KFC!$C$26)*KFC!$C$5</f>
        <v>69.52000000000001</v>
      </c>
      <c r="S55" s="315">
        <f>(AN55*KFC!$B$26+KFC!$C$26)*KFC!$C$5</f>
        <v>72.000000000000014</v>
      </c>
      <c r="T55" s="315">
        <f>(AO55*KFC!$B$26+KFC!$C$26)*KFC!$C$5</f>
        <v>74.480000000000018</v>
      </c>
      <c r="V55" s="1538"/>
      <c r="W55" s="111">
        <v>1</v>
      </c>
      <c r="X55" s="847">
        <v>31.27</v>
      </c>
      <c r="Y55" s="847">
        <v>33.74</v>
      </c>
      <c r="Z55" s="847">
        <v>36.33</v>
      </c>
      <c r="AA55" s="847">
        <v>38.9</v>
      </c>
      <c r="AB55" s="847">
        <v>41.5</v>
      </c>
      <c r="AC55" s="847">
        <v>44.19</v>
      </c>
      <c r="AD55" s="847">
        <v>46.67</v>
      </c>
      <c r="AE55" s="847">
        <v>49.26</v>
      </c>
      <c r="AF55" s="847">
        <v>51.84</v>
      </c>
      <c r="AG55" s="847">
        <v>54.43</v>
      </c>
      <c r="AH55" s="847">
        <v>57.13</v>
      </c>
      <c r="AI55" s="847">
        <v>59.6</v>
      </c>
      <c r="AJ55" s="848">
        <v>62.08</v>
      </c>
      <c r="AK55" s="690">
        <f t="shared" si="6"/>
        <v>64.56</v>
      </c>
      <c r="AL55" s="690">
        <f t="shared" si="7"/>
        <v>67.040000000000006</v>
      </c>
      <c r="AM55" s="690">
        <f t="shared" si="7"/>
        <v>69.52000000000001</v>
      </c>
      <c r="AN55" s="690">
        <f t="shared" si="7"/>
        <v>72.000000000000014</v>
      </c>
      <c r="AO55" s="690">
        <f t="shared" si="7"/>
        <v>74.480000000000018</v>
      </c>
      <c r="AP55" s="690">
        <f t="shared" si="7"/>
        <v>76.960000000000022</v>
      </c>
      <c r="AQ55" s="690">
        <f t="shared" si="7"/>
        <v>79.440000000000026</v>
      </c>
    </row>
    <row r="56" spans="1:43">
      <c r="A56" s="1538"/>
      <c r="B56" s="262">
        <v>1.1000000000000001</v>
      </c>
      <c r="C56" s="314">
        <f>(X56*KFC!$B$26+KFC!$C$26)*KFC!$C$5</f>
        <v>32.5</v>
      </c>
      <c r="D56" s="315">
        <f>(Y56*KFC!$B$26+KFC!$C$26)*KFC!$C$5</f>
        <v>35.08</v>
      </c>
      <c r="E56" s="315">
        <f>(Z56*KFC!$B$26+KFC!$C$26)*KFC!$C$5</f>
        <v>37.78</v>
      </c>
      <c r="F56" s="315">
        <f>(AA56*KFC!$B$26+KFC!$C$26)*KFC!$C$5</f>
        <v>40.49</v>
      </c>
      <c r="G56" s="315">
        <f>(AB56*KFC!$B$26+KFC!$C$26)*KFC!$C$5</f>
        <v>43.07</v>
      </c>
      <c r="H56" s="315">
        <f>(AC56*KFC!$B$26+KFC!$C$26)*KFC!$C$5</f>
        <v>45.65</v>
      </c>
      <c r="I56" s="315">
        <f>(AD56*KFC!$B$26+KFC!$C$26)*KFC!$C$5</f>
        <v>48.35</v>
      </c>
      <c r="J56" s="315">
        <f>(AE56*KFC!$B$26+KFC!$C$26)*KFC!$C$5</f>
        <v>51.06</v>
      </c>
      <c r="K56" s="315">
        <f>(AF56*KFC!$B$26+KFC!$C$26)*KFC!$C$5</f>
        <v>53.63</v>
      </c>
      <c r="L56" s="315">
        <f>(AG56*KFC!$B$26+KFC!$C$26)*KFC!$C$5</f>
        <v>56.23</v>
      </c>
      <c r="M56" s="315">
        <f>(AH56*KFC!$B$26+KFC!$C$26)*KFC!$C$5</f>
        <v>59.04</v>
      </c>
      <c r="N56" s="315">
        <f>(AI56*KFC!$B$26+KFC!$C$26)*KFC!$C$5</f>
        <v>61.64</v>
      </c>
      <c r="O56" s="315">
        <f>(AJ56*KFC!$B$26+KFC!$C$26)*KFC!$C$5</f>
        <v>64.209999999999994</v>
      </c>
      <c r="P56" s="315">
        <f>(AK56*KFC!$B$26+KFC!$C$26)*KFC!$C$5</f>
        <v>66.779999999999987</v>
      </c>
      <c r="Q56" s="315">
        <f>(AL56*KFC!$B$26+KFC!$C$26)*KFC!$C$5</f>
        <v>69.34999999999998</v>
      </c>
      <c r="R56" s="315">
        <f>(AM56*KFC!$B$26+KFC!$C$26)*KFC!$C$5</f>
        <v>71.919999999999973</v>
      </c>
      <c r="S56" s="315">
        <f>(AN56*KFC!$B$26+KFC!$C$26)*KFC!$C$5</f>
        <v>74.489999999999966</v>
      </c>
      <c r="T56" s="315">
        <f>(AO56*KFC!$B$26+KFC!$C$26)*KFC!$C$5</f>
        <v>77.05999999999996</v>
      </c>
      <c r="V56" s="1538"/>
      <c r="W56" s="111">
        <v>1.1000000000000001</v>
      </c>
      <c r="X56" s="847">
        <v>32.5</v>
      </c>
      <c r="Y56" s="847">
        <v>35.08</v>
      </c>
      <c r="Z56" s="847">
        <v>37.78</v>
      </c>
      <c r="AA56" s="847">
        <v>40.49</v>
      </c>
      <c r="AB56" s="847">
        <v>43.07</v>
      </c>
      <c r="AC56" s="847">
        <v>45.65</v>
      </c>
      <c r="AD56" s="847">
        <v>48.35</v>
      </c>
      <c r="AE56" s="847">
        <v>51.06</v>
      </c>
      <c r="AF56" s="847">
        <v>53.63</v>
      </c>
      <c r="AG56" s="847">
        <v>56.23</v>
      </c>
      <c r="AH56" s="847">
        <v>59.04</v>
      </c>
      <c r="AI56" s="847">
        <v>61.64</v>
      </c>
      <c r="AJ56" s="848">
        <v>64.209999999999994</v>
      </c>
      <c r="AK56" s="690">
        <f t="shared" si="6"/>
        <v>66.779999999999987</v>
      </c>
      <c r="AL56" s="690">
        <f t="shared" si="7"/>
        <v>69.34999999999998</v>
      </c>
      <c r="AM56" s="690">
        <f t="shared" si="7"/>
        <v>71.919999999999973</v>
      </c>
      <c r="AN56" s="690">
        <f t="shared" si="7"/>
        <v>74.489999999999966</v>
      </c>
      <c r="AO56" s="690">
        <f t="shared" si="7"/>
        <v>77.05999999999996</v>
      </c>
      <c r="AP56" s="690">
        <f t="shared" si="7"/>
        <v>79.629999999999953</v>
      </c>
      <c r="AQ56" s="690">
        <f t="shared" si="7"/>
        <v>82.199999999999946</v>
      </c>
    </row>
    <row r="57" spans="1:43">
      <c r="A57" s="1538"/>
      <c r="B57" s="262">
        <v>1.2</v>
      </c>
      <c r="C57" s="314">
        <f>(X57*KFC!$B$26+KFC!$C$26)*KFC!$C$5</f>
        <v>33.74</v>
      </c>
      <c r="D57" s="315">
        <f>(Y57*KFC!$B$26+KFC!$C$26)*KFC!$C$5</f>
        <v>36.44</v>
      </c>
      <c r="E57" s="315">
        <f>(Z57*KFC!$B$26+KFC!$C$26)*KFC!$C$5</f>
        <v>39.25</v>
      </c>
      <c r="F57" s="315">
        <f>(AA57*KFC!$B$26+KFC!$C$26)*KFC!$C$5</f>
        <v>41.95</v>
      </c>
      <c r="G57" s="315">
        <f>(AB57*KFC!$B$26+KFC!$C$26)*KFC!$C$5</f>
        <v>44.53</v>
      </c>
      <c r="H57" s="315">
        <f>(AC57*KFC!$B$26+KFC!$C$26)*KFC!$C$5</f>
        <v>47.34</v>
      </c>
      <c r="I57" s="315">
        <f>(AD57*KFC!$B$26+KFC!$C$26)*KFC!$C$5</f>
        <v>50.04</v>
      </c>
      <c r="J57" s="315">
        <f>(AE57*KFC!$B$26+KFC!$C$26)*KFC!$C$5</f>
        <v>52.86</v>
      </c>
      <c r="K57" s="315">
        <f>(AF57*KFC!$B$26+KFC!$C$26)*KFC!$C$5</f>
        <v>55.44</v>
      </c>
      <c r="L57" s="315">
        <f>(AG57*KFC!$B$26+KFC!$C$26)*KFC!$C$5</f>
        <v>58.14</v>
      </c>
      <c r="M57" s="315">
        <f>(AH57*KFC!$B$26+KFC!$C$26)*KFC!$C$5</f>
        <v>60.94</v>
      </c>
      <c r="N57" s="315">
        <f>(AI57*KFC!$B$26+KFC!$C$26)*KFC!$C$5</f>
        <v>63.65</v>
      </c>
      <c r="O57" s="315">
        <f>(AJ57*KFC!$B$26+KFC!$C$26)*KFC!$C$5</f>
        <v>66.349999999999994</v>
      </c>
      <c r="P57" s="315">
        <f>(AK57*KFC!$B$26+KFC!$C$26)*KFC!$C$5</f>
        <v>69.049999999999983</v>
      </c>
      <c r="Q57" s="315">
        <f>(AL57*KFC!$B$26+KFC!$C$26)*KFC!$C$5</f>
        <v>71.749999999999972</v>
      </c>
      <c r="R57" s="315">
        <f>(AM57*KFC!$B$26+KFC!$C$26)*KFC!$C$5</f>
        <v>74.44999999999996</v>
      </c>
      <c r="S57" s="315">
        <f>(AN57*KFC!$B$26+KFC!$C$26)*KFC!$C$5</f>
        <v>77.149999999999949</v>
      </c>
      <c r="T57" s="315">
        <f>(AO57*KFC!$B$26+KFC!$C$26)*KFC!$C$5</f>
        <v>79.849999999999937</v>
      </c>
      <c r="V57" s="1538"/>
      <c r="W57" s="111">
        <v>1.2</v>
      </c>
      <c r="X57" s="847">
        <v>33.74</v>
      </c>
      <c r="Y57" s="847">
        <v>36.44</v>
      </c>
      <c r="Z57" s="847">
        <v>39.25</v>
      </c>
      <c r="AA57" s="847">
        <v>41.95</v>
      </c>
      <c r="AB57" s="847">
        <v>44.53</v>
      </c>
      <c r="AC57" s="847">
        <v>47.34</v>
      </c>
      <c r="AD57" s="847">
        <v>50.04</v>
      </c>
      <c r="AE57" s="847">
        <v>52.86</v>
      </c>
      <c r="AF57" s="847">
        <v>55.44</v>
      </c>
      <c r="AG57" s="847">
        <v>58.14</v>
      </c>
      <c r="AH57" s="847">
        <v>60.94</v>
      </c>
      <c r="AI57" s="847">
        <v>63.65</v>
      </c>
      <c r="AJ57" s="848">
        <v>66.349999999999994</v>
      </c>
      <c r="AK57" s="690">
        <f t="shared" si="6"/>
        <v>69.049999999999983</v>
      </c>
      <c r="AL57" s="690">
        <f t="shared" si="7"/>
        <v>71.749999999999972</v>
      </c>
      <c r="AM57" s="690">
        <f t="shared" si="7"/>
        <v>74.44999999999996</v>
      </c>
      <c r="AN57" s="690">
        <f t="shared" si="7"/>
        <v>77.149999999999949</v>
      </c>
      <c r="AO57" s="690">
        <f t="shared" si="7"/>
        <v>79.849999999999937</v>
      </c>
      <c r="AP57" s="690">
        <f t="shared" si="7"/>
        <v>82.549999999999926</v>
      </c>
      <c r="AQ57" s="690">
        <f t="shared" si="7"/>
        <v>85.249999999999915</v>
      </c>
    </row>
    <row r="58" spans="1:43">
      <c r="A58" s="1538"/>
      <c r="B58" s="262">
        <v>1.3</v>
      </c>
      <c r="C58" s="314">
        <f>(X58*KFC!$B$26+KFC!$C$26)*KFC!$C$5</f>
        <v>35.08</v>
      </c>
      <c r="D58" s="315">
        <f>(Y58*KFC!$B$26+KFC!$C$26)*KFC!$C$5</f>
        <v>37.78</v>
      </c>
      <c r="E58" s="315">
        <f>(Z58*KFC!$B$26+KFC!$C$26)*KFC!$C$5</f>
        <v>40.590000000000003</v>
      </c>
      <c r="F58" s="315">
        <f>(AA58*KFC!$B$26+KFC!$C$26)*KFC!$C$5</f>
        <v>43.29</v>
      </c>
      <c r="G58" s="315">
        <f>(AB58*KFC!$B$26+KFC!$C$26)*KFC!$C$5</f>
        <v>46.22</v>
      </c>
      <c r="H58" s="315">
        <f>(AC58*KFC!$B$26+KFC!$C$26)*KFC!$C$5</f>
        <v>48.92</v>
      </c>
      <c r="I58" s="315">
        <f>(AD58*KFC!$B$26+KFC!$C$26)*KFC!$C$5</f>
        <v>51.73</v>
      </c>
      <c r="J58" s="315">
        <f>(AE58*KFC!$B$26+KFC!$C$26)*KFC!$C$5</f>
        <v>54.43</v>
      </c>
      <c r="K58" s="315">
        <f>(AF58*KFC!$B$26+KFC!$C$26)*KFC!$C$5</f>
        <v>57.35</v>
      </c>
      <c r="L58" s="315">
        <f>(AG58*KFC!$B$26+KFC!$C$26)*KFC!$C$5</f>
        <v>60.05</v>
      </c>
      <c r="M58" s="315">
        <f>(AH58*KFC!$B$26+KFC!$C$26)*KFC!$C$5</f>
        <v>62.86</v>
      </c>
      <c r="N58" s="315">
        <f>(AI58*KFC!$B$26+KFC!$C$26)*KFC!$C$5</f>
        <v>65.56</v>
      </c>
      <c r="O58" s="315">
        <f>(AJ58*KFC!$B$26+KFC!$C$26)*KFC!$C$5</f>
        <v>68.260000000000005</v>
      </c>
      <c r="P58" s="315">
        <f>(AK58*KFC!$B$26+KFC!$C$26)*KFC!$C$5</f>
        <v>70.960000000000008</v>
      </c>
      <c r="Q58" s="315">
        <f>(AL58*KFC!$B$26+KFC!$C$26)*KFC!$C$5</f>
        <v>73.660000000000011</v>
      </c>
      <c r="R58" s="315">
        <f>(AM58*KFC!$B$26+KFC!$C$26)*KFC!$C$5</f>
        <v>76.360000000000014</v>
      </c>
      <c r="S58" s="315">
        <f>(AN58*KFC!$B$26+KFC!$C$26)*KFC!$C$5</f>
        <v>79.060000000000016</v>
      </c>
      <c r="T58" s="315">
        <f>(AO58*KFC!$B$26+KFC!$C$26)*KFC!$C$5</f>
        <v>81.760000000000019</v>
      </c>
      <c r="V58" s="1538"/>
      <c r="W58" s="111">
        <v>1.3</v>
      </c>
      <c r="X58" s="847">
        <v>35.08</v>
      </c>
      <c r="Y58" s="847">
        <v>37.78</v>
      </c>
      <c r="Z58" s="847">
        <v>40.590000000000003</v>
      </c>
      <c r="AA58" s="847">
        <v>43.29</v>
      </c>
      <c r="AB58" s="847">
        <v>46.22</v>
      </c>
      <c r="AC58" s="847">
        <v>48.92</v>
      </c>
      <c r="AD58" s="847">
        <v>51.73</v>
      </c>
      <c r="AE58" s="847">
        <v>54.43</v>
      </c>
      <c r="AF58" s="847">
        <v>57.35</v>
      </c>
      <c r="AG58" s="847">
        <v>60.05</v>
      </c>
      <c r="AH58" s="847">
        <v>62.86</v>
      </c>
      <c r="AI58" s="847">
        <v>65.56</v>
      </c>
      <c r="AJ58" s="848">
        <v>68.260000000000005</v>
      </c>
      <c r="AK58" s="690">
        <f t="shared" si="6"/>
        <v>70.960000000000008</v>
      </c>
      <c r="AL58" s="690">
        <f t="shared" si="7"/>
        <v>73.660000000000011</v>
      </c>
      <c r="AM58" s="690">
        <f t="shared" si="7"/>
        <v>76.360000000000014</v>
      </c>
      <c r="AN58" s="690">
        <f t="shared" si="7"/>
        <v>79.060000000000016</v>
      </c>
      <c r="AO58" s="690">
        <f t="shared" si="7"/>
        <v>81.760000000000019</v>
      </c>
      <c r="AP58" s="690">
        <f t="shared" si="7"/>
        <v>84.460000000000022</v>
      </c>
      <c r="AQ58" s="690">
        <f t="shared" si="7"/>
        <v>87.160000000000025</v>
      </c>
    </row>
    <row r="59" spans="1:43">
      <c r="A59" s="1538"/>
      <c r="B59" s="262">
        <v>1.4</v>
      </c>
      <c r="C59" s="314">
        <f>(X59*KFC!$B$26+KFC!$C$26)*KFC!$C$5</f>
        <v>36.33</v>
      </c>
      <c r="D59" s="315">
        <f>(Y59*KFC!$B$26+KFC!$C$26)*KFC!$C$5</f>
        <v>39.25</v>
      </c>
      <c r="E59" s="315">
        <f>(Z59*KFC!$B$26+KFC!$C$26)*KFC!$C$5</f>
        <v>41.95</v>
      </c>
      <c r="F59" s="315">
        <f>(AA59*KFC!$B$26+KFC!$C$26)*KFC!$C$5</f>
        <v>44.88</v>
      </c>
      <c r="G59" s="315">
        <f>(AB59*KFC!$B$26+KFC!$C$26)*KFC!$C$5</f>
        <v>47.68</v>
      </c>
      <c r="H59" s="315">
        <f>(AC59*KFC!$B$26+KFC!$C$26)*KFC!$C$5</f>
        <v>50.61</v>
      </c>
      <c r="I59" s="315">
        <f>(AD59*KFC!$B$26+KFC!$C$26)*KFC!$C$5</f>
        <v>53.41</v>
      </c>
      <c r="J59" s="315">
        <f>(AE59*KFC!$B$26+KFC!$C$26)*KFC!$C$5</f>
        <v>56.23</v>
      </c>
      <c r="K59" s="315">
        <f>(AF59*KFC!$B$26+KFC!$C$26)*KFC!$C$5</f>
        <v>59.15</v>
      </c>
      <c r="L59" s="315">
        <f>(AG59*KFC!$B$26+KFC!$C$26)*KFC!$C$5</f>
        <v>62.08</v>
      </c>
      <c r="M59" s="315">
        <f>(AH59*KFC!$B$26+KFC!$C$26)*KFC!$C$5</f>
        <v>64.77</v>
      </c>
      <c r="N59" s="315">
        <f>(AI59*KFC!$B$26+KFC!$C$26)*KFC!$C$5</f>
        <v>67.69</v>
      </c>
      <c r="O59" s="315">
        <f>(AJ59*KFC!$B$26+KFC!$C$26)*KFC!$C$5</f>
        <v>70.62</v>
      </c>
      <c r="P59" s="315">
        <f>(AK59*KFC!$B$26+KFC!$C$26)*KFC!$C$5</f>
        <v>73.550000000000011</v>
      </c>
      <c r="Q59" s="315">
        <f>(AL59*KFC!$B$26+KFC!$C$26)*KFC!$C$5</f>
        <v>76.480000000000018</v>
      </c>
      <c r="R59" s="315">
        <f>(AM59*KFC!$B$26+KFC!$C$26)*KFC!$C$5</f>
        <v>79.410000000000025</v>
      </c>
      <c r="S59" s="315">
        <f>(AN59*KFC!$B$26+KFC!$C$26)*KFC!$C$5</f>
        <v>82.340000000000032</v>
      </c>
      <c r="T59" s="315">
        <f>(AO59*KFC!$B$26+KFC!$C$26)*KFC!$C$5</f>
        <v>85.270000000000039</v>
      </c>
      <c r="V59" s="1538"/>
      <c r="W59" s="111">
        <v>1.4</v>
      </c>
      <c r="X59" s="847">
        <v>36.33</v>
      </c>
      <c r="Y59" s="847">
        <v>39.25</v>
      </c>
      <c r="Z59" s="847">
        <v>41.95</v>
      </c>
      <c r="AA59" s="847">
        <v>44.88</v>
      </c>
      <c r="AB59" s="847">
        <v>47.68</v>
      </c>
      <c r="AC59" s="847">
        <v>50.61</v>
      </c>
      <c r="AD59" s="847">
        <v>53.41</v>
      </c>
      <c r="AE59" s="847">
        <v>56.23</v>
      </c>
      <c r="AF59" s="847">
        <v>59.15</v>
      </c>
      <c r="AG59" s="847">
        <v>62.08</v>
      </c>
      <c r="AH59" s="847">
        <v>64.77</v>
      </c>
      <c r="AI59" s="847">
        <v>67.69</v>
      </c>
      <c r="AJ59" s="848">
        <v>70.62</v>
      </c>
      <c r="AK59" s="690">
        <f t="shared" si="6"/>
        <v>73.550000000000011</v>
      </c>
      <c r="AL59" s="690">
        <f t="shared" si="7"/>
        <v>76.480000000000018</v>
      </c>
      <c r="AM59" s="690">
        <f t="shared" si="7"/>
        <v>79.410000000000025</v>
      </c>
      <c r="AN59" s="690">
        <f t="shared" si="7"/>
        <v>82.340000000000032</v>
      </c>
      <c r="AO59" s="690">
        <f t="shared" si="7"/>
        <v>85.270000000000039</v>
      </c>
      <c r="AP59" s="690">
        <f t="shared" si="7"/>
        <v>88.200000000000045</v>
      </c>
      <c r="AQ59" s="690">
        <f t="shared" si="7"/>
        <v>91.130000000000052</v>
      </c>
    </row>
    <row r="60" spans="1:43">
      <c r="A60" s="1538"/>
      <c r="B60" s="262">
        <v>1.5</v>
      </c>
      <c r="C60" s="314">
        <f>(X60*KFC!$B$26+KFC!$C$26)*KFC!$C$5</f>
        <v>37.56</v>
      </c>
      <c r="D60" s="315">
        <f>(Y60*KFC!$B$26+KFC!$C$26)*KFC!$C$5</f>
        <v>40.590000000000003</v>
      </c>
      <c r="E60" s="315">
        <f>(Z60*KFC!$B$26+KFC!$C$26)*KFC!$C$5</f>
        <v>43.41</v>
      </c>
      <c r="F60" s="315">
        <f>(AA60*KFC!$B$26+KFC!$C$26)*KFC!$C$5</f>
        <v>46.33</v>
      </c>
      <c r="G60" s="315">
        <f>(AB60*KFC!$B$26+KFC!$C$26)*KFC!$C$5</f>
        <v>49.26</v>
      </c>
      <c r="H60" s="315">
        <f>(AC60*KFC!$B$26+KFC!$C$26)*KFC!$C$5</f>
        <v>52.19</v>
      </c>
      <c r="I60" s="315">
        <f>(AD60*KFC!$B$26+KFC!$C$26)*KFC!$C$5</f>
        <v>55.1</v>
      </c>
      <c r="J60" s="315">
        <f>(AE60*KFC!$B$26+KFC!$C$26)*KFC!$C$5</f>
        <v>58.02</v>
      </c>
      <c r="K60" s="315">
        <f>(AF60*KFC!$B$26+KFC!$C$26)*KFC!$C$5</f>
        <v>60.94</v>
      </c>
      <c r="L60" s="315">
        <f>(AG60*KFC!$B$26+KFC!$C$26)*KFC!$C$5</f>
        <v>63.76</v>
      </c>
      <c r="M60" s="315">
        <f>(AH60*KFC!$B$26+KFC!$C$26)*KFC!$C$5</f>
        <v>66.69</v>
      </c>
      <c r="N60" s="315">
        <f>(AI60*KFC!$B$26+KFC!$C$26)*KFC!$C$5</f>
        <v>69.72</v>
      </c>
      <c r="O60" s="315">
        <f>(AJ60*KFC!$B$26+KFC!$C$26)*KFC!$C$5</f>
        <v>72.75</v>
      </c>
      <c r="P60" s="315">
        <f>(AK60*KFC!$B$26+KFC!$C$26)*KFC!$C$5</f>
        <v>75.78</v>
      </c>
      <c r="Q60" s="315">
        <f>(AL60*KFC!$B$26+KFC!$C$26)*KFC!$C$5</f>
        <v>78.81</v>
      </c>
      <c r="R60" s="315">
        <f>(AM60*KFC!$B$26+KFC!$C$26)*KFC!$C$5</f>
        <v>81.84</v>
      </c>
      <c r="S60" s="315">
        <f>(AN60*KFC!$B$26+KFC!$C$26)*KFC!$C$5</f>
        <v>84.87</v>
      </c>
      <c r="T60" s="315">
        <f>(AO60*KFC!$B$26+KFC!$C$26)*KFC!$C$5</f>
        <v>87.9</v>
      </c>
      <c r="V60" s="1538"/>
      <c r="W60" s="111">
        <v>1.5</v>
      </c>
      <c r="X60" s="847">
        <v>37.56</v>
      </c>
      <c r="Y60" s="847">
        <v>40.590000000000003</v>
      </c>
      <c r="Z60" s="847">
        <v>43.41</v>
      </c>
      <c r="AA60" s="847">
        <v>46.33</v>
      </c>
      <c r="AB60" s="847">
        <v>49.26</v>
      </c>
      <c r="AC60" s="847">
        <v>52.19</v>
      </c>
      <c r="AD60" s="847">
        <v>55.1</v>
      </c>
      <c r="AE60" s="847">
        <v>58.02</v>
      </c>
      <c r="AF60" s="847">
        <v>60.94</v>
      </c>
      <c r="AG60" s="847">
        <v>63.76</v>
      </c>
      <c r="AH60" s="847">
        <v>66.69</v>
      </c>
      <c r="AI60" s="847">
        <v>69.72</v>
      </c>
      <c r="AJ60" s="848">
        <v>72.75</v>
      </c>
      <c r="AK60" s="690">
        <f t="shared" si="6"/>
        <v>75.78</v>
      </c>
      <c r="AL60" s="690">
        <f t="shared" si="7"/>
        <v>78.81</v>
      </c>
      <c r="AM60" s="690">
        <f t="shared" si="7"/>
        <v>81.84</v>
      </c>
      <c r="AN60" s="690">
        <f t="shared" si="7"/>
        <v>84.87</v>
      </c>
      <c r="AO60" s="690">
        <f t="shared" si="7"/>
        <v>87.9</v>
      </c>
      <c r="AP60" s="690">
        <f t="shared" si="7"/>
        <v>90.93</v>
      </c>
      <c r="AQ60" s="690">
        <f t="shared" si="7"/>
        <v>93.960000000000008</v>
      </c>
    </row>
    <row r="61" spans="1:43">
      <c r="A61" s="1538"/>
      <c r="B61" s="262">
        <v>1.6</v>
      </c>
      <c r="C61" s="314">
        <f>(X61*KFC!$B$26+KFC!$C$26)*KFC!$C$5</f>
        <v>38.9</v>
      </c>
      <c r="D61" s="315">
        <f>(Y61*KFC!$B$26+KFC!$C$26)*KFC!$C$5</f>
        <v>41.83</v>
      </c>
      <c r="E61" s="315">
        <f>(Z61*KFC!$B$26+KFC!$C$26)*KFC!$C$5</f>
        <v>44.88</v>
      </c>
      <c r="F61" s="315">
        <f>(AA61*KFC!$B$26+KFC!$C$26)*KFC!$C$5</f>
        <v>47.9</v>
      </c>
      <c r="G61" s="315">
        <f>(AB61*KFC!$B$26+KFC!$C$26)*KFC!$C$5</f>
        <v>50.72</v>
      </c>
      <c r="H61" s="315">
        <f>(AC61*KFC!$B$26+KFC!$C$26)*KFC!$C$5</f>
        <v>53.76</v>
      </c>
      <c r="I61" s="315">
        <f>(AD61*KFC!$B$26+KFC!$C$26)*KFC!$C$5</f>
        <v>56.79</v>
      </c>
      <c r="J61" s="315">
        <f>(AE61*KFC!$B$26+KFC!$C$26)*KFC!$C$5</f>
        <v>59.82</v>
      </c>
      <c r="K61" s="315">
        <f>(AF61*KFC!$B$26+KFC!$C$26)*KFC!$C$5</f>
        <v>62.76</v>
      </c>
      <c r="L61" s="315">
        <f>(AG61*KFC!$B$26+KFC!$C$26)*KFC!$C$5</f>
        <v>65.78</v>
      </c>
      <c r="M61" s="315">
        <f>(AH61*KFC!$B$26+KFC!$C$26)*KFC!$C$5</f>
        <v>68.819999999999993</v>
      </c>
      <c r="N61" s="315">
        <f>(AI61*KFC!$B$26+KFC!$C$26)*KFC!$C$5</f>
        <v>71.63</v>
      </c>
      <c r="O61" s="315">
        <f>(AJ61*KFC!$B$26+KFC!$C$26)*KFC!$C$5</f>
        <v>74.45</v>
      </c>
      <c r="P61" s="315">
        <f>(AK61*KFC!$B$26+KFC!$C$26)*KFC!$C$5</f>
        <v>77.27000000000001</v>
      </c>
      <c r="Q61" s="315">
        <f>(AL61*KFC!$B$26+KFC!$C$26)*KFC!$C$5</f>
        <v>80.090000000000018</v>
      </c>
      <c r="R61" s="315">
        <f>(AM61*KFC!$B$26+KFC!$C$26)*KFC!$C$5</f>
        <v>82.910000000000025</v>
      </c>
      <c r="S61" s="315">
        <f>(AN61*KFC!$B$26+KFC!$C$26)*KFC!$C$5</f>
        <v>85.730000000000032</v>
      </c>
      <c r="T61" s="315">
        <f>(AO61*KFC!$B$26+KFC!$C$26)*KFC!$C$5</f>
        <v>88.55000000000004</v>
      </c>
      <c r="V61" s="1538"/>
      <c r="W61" s="111">
        <v>1.6</v>
      </c>
      <c r="X61" s="847">
        <v>38.9</v>
      </c>
      <c r="Y61" s="847">
        <v>41.83</v>
      </c>
      <c r="Z61" s="847">
        <v>44.88</v>
      </c>
      <c r="AA61" s="847">
        <v>47.9</v>
      </c>
      <c r="AB61" s="847">
        <v>50.72</v>
      </c>
      <c r="AC61" s="847">
        <v>53.76</v>
      </c>
      <c r="AD61" s="847">
        <v>56.79</v>
      </c>
      <c r="AE61" s="847">
        <v>59.82</v>
      </c>
      <c r="AF61" s="847">
        <v>62.76</v>
      </c>
      <c r="AG61" s="847">
        <v>65.78</v>
      </c>
      <c r="AH61" s="847">
        <v>68.819999999999993</v>
      </c>
      <c r="AI61" s="847">
        <v>71.63</v>
      </c>
      <c r="AJ61" s="848">
        <v>74.45</v>
      </c>
      <c r="AK61" s="690">
        <f t="shared" si="6"/>
        <v>77.27000000000001</v>
      </c>
      <c r="AL61" s="690">
        <f t="shared" si="7"/>
        <v>80.090000000000018</v>
      </c>
      <c r="AM61" s="690">
        <f t="shared" si="7"/>
        <v>82.910000000000025</v>
      </c>
      <c r="AN61" s="690">
        <f t="shared" si="7"/>
        <v>85.730000000000032</v>
      </c>
      <c r="AO61" s="690">
        <f t="shared" si="7"/>
        <v>88.55000000000004</v>
      </c>
      <c r="AP61" s="690">
        <f t="shared" si="7"/>
        <v>91.370000000000047</v>
      </c>
      <c r="AQ61" s="690">
        <f t="shared" si="7"/>
        <v>94.190000000000055</v>
      </c>
    </row>
    <row r="62" spans="1:43">
      <c r="A62" s="1538"/>
      <c r="B62" s="262">
        <v>1.7</v>
      </c>
      <c r="C62" s="314">
        <f>(X62*KFC!$B$26+KFC!$C$26)*KFC!$C$5</f>
        <v>40.14</v>
      </c>
      <c r="D62" s="315">
        <f>(Y62*KFC!$B$26+KFC!$C$26)*KFC!$C$5</f>
        <v>43.19</v>
      </c>
      <c r="E62" s="315">
        <f>(Z62*KFC!$B$26+KFC!$C$26)*KFC!$C$5</f>
        <v>46.22</v>
      </c>
      <c r="F62" s="315">
        <f>(AA62*KFC!$B$26+KFC!$C$26)*KFC!$C$5</f>
        <v>49.37</v>
      </c>
      <c r="G62" s="315">
        <f>(AB62*KFC!$B$26+KFC!$C$26)*KFC!$C$5</f>
        <v>52.41</v>
      </c>
      <c r="H62" s="315">
        <f>(AC62*KFC!$B$26+KFC!$C$26)*KFC!$C$5</f>
        <v>55.44</v>
      </c>
      <c r="I62" s="315">
        <f>(AD62*KFC!$B$26+KFC!$C$26)*KFC!$C$5</f>
        <v>58.47</v>
      </c>
      <c r="J62" s="315">
        <f>(AE62*KFC!$B$26+KFC!$C$26)*KFC!$C$5</f>
        <v>61.51</v>
      </c>
      <c r="K62" s="315">
        <f>(AF62*KFC!$B$26+KFC!$C$26)*KFC!$C$5</f>
        <v>64.55</v>
      </c>
      <c r="L62" s="315">
        <f>(AG62*KFC!$B$26+KFC!$C$26)*KFC!$C$5</f>
        <v>67.69</v>
      </c>
      <c r="M62" s="315">
        <f>(AH62*KFC!$B$26+KFC!$C$26)*KFC!$C$5</f>
        <v>70.739999999999995</v>
      </c>
      <c r="N62" s="315">
        <f>(AI62*KFC!$B$26+KFC!$C$26)*KFC!$C$5</f>
        <v>73.77</v>
      </c>
      <c r="O62" s="315">
        <f>(AJ62*KFC!$B$26+KFC!$C$26)*KFC!$C$5</f>
        <v>76.81</v>
      </c>
      <c r="P62" s="315">
        <f>(AK62*KFC!$B$26+KFC!$C$26)*KFC!$C$5</f>
        <v>79.850000000000009</v>
      </c>
      <c r="Q62" s="315">
        <f>(AL62*KFC!$B$26+KFC!$C$26)*KFC!$C$5</f>
        <v>82.890000000000015</v>
      </c>
      <c r="R62" s="315">
        <f>(AM62*KFC!$B$26+KFC!$C$26)*KFC!$C$5</f>
        <v>85.930000000000021</v>
      </c>
      <c r="S62" s="315">
        <f>(AN62*KFC!$B$26+KFC!$C$26)*KFC!$C$5</f>
        <v>88.970000000000027</v>
      </c>
      <c r="T62" s="315">
        <f>(AO62*KFC!$B$26+KFC!$C$26)*KFC!$C$5</f>
        <v>92.010000000000034</v>
      </c>
      <c r="V62" s="1538"/>
      <c r="W62" s="111">
        <v>1.7</v>
      </c>
      <c r="X62" s="847">
        <v>40.14</v>
      </c>
      <c r="Y62" s="847">
        <v>43.19</v>
      </c>
      <c r="Z62" s="847">
        <v>46.22</v>
      </c>
      <c r="AA62" s="847">
        <v>49.37</v>
      </c>
      <c r="AB62" s="847">
        <v>52.41</v>
      </c>
      <c r="AC62" s="847">
        <v>55.44</v>
      </c>
      <c r="AD62" s="847">
        <v>58.47</v>
      </c>
      <c r="AE62" s="847">
        <v>61.51</v>
      </c>
      <c r="AF62" s="847">
        <v>64.55</v>
      </c>
      <c r="AG62" s="847">
        <v>67.69</v>
      </c>
      <c r="AH62" s="847">
        <v>70.739999999999995</v>
      </c>
      <c r="AI62" s="847">
        <v>73.77</v>
      </c>
      <c r="AJ62" s="848">
        <v>76.81</v>
      </c>
      <c r="AK62" s="690">
        <f t="shared" si="6"/>
        <v>79.850000000000009</v>
      </c>
      <c r="AL62" s="690">
        <f t="shared" si="7"/>
        <v>82.890000000000015</v>
      </c>
      <c r="AM62" s="690">
        <f t="shared" si="7"/>
        <v>85.930000000000021</v>
      </c>
      <c r="AN62" s="690">
        <f t="shared" si="7"/>
        <v>88.970000000000027</v>
      </c>
      <c r="AO62" s="690">
        <f t="shared" si="7"/>
        <v>92.010000000000034</v>
      </c>
      <c r="AP62" s="690">
        <f t="shared" si="7"/>
        <v>95.05000000000004</v>
      </c>
      <c r="AQ62" s="690">
        <f t="shared" si="7"/>
        <v>98.090000000000046</v>
      </c>
    </row>
    <row r="63" spans="1:43">
      <c r="A63" s="1538"/>
      <c r="B63" s="262">
        <v>1.8</v>
      </c>
      <c r="C63" s="314">
        <f>(X63*KFC!$B$26+KFC!$C$26)*KFC!$C$5</f>
        <v>41.39</v>
      </c>
      <c r="D63" s="315">
        <f>(Y63*KFC!$B$26+KFC!$C$26)*KFC!$C$5</f>
        <v>44.53</v>
      </c>
      <c r="E63" s="315">
        <f>(Z63*KFC!$B$26+KFC!$C$26)*KFC!$C$5</f>
        <v>47.68</v>
      </c>
      <c r="F63" s="315">
        <f>(AA63*KFC!$B$26+KFC!$C$26)*KFC!$C$5</f>
        <v>50.72</v>
      </c>
      <c r="G63" s="315">
        <f>(AB63*KFC!$B$26+KFC!$C$26)*KFC!$C$5</f>
        <v>53.87</v>
      </c>
      <c r="H63" s="315">
        <f>(AC63*KFC!$B$26+KFC!$C$26)*KFC!$C$5</f>
        <v>57.13</v>
      </c>
      <c r="I63" s="315">
        <f>(AD63*KFC!$B$26+KFC!$C$26)*KFC!$C$5</f>
        <v>60.05</v>
      </c>
      <c r="J63" s="315">
        <f>(AE63*KFC!$B$26+KFC!$C$26)*KFC!$C$5</f>
        <v>63.32</v>
      </c>
      <c r="K63" s="315">
        <f>(AF63*KFC!$B$26+KFC!$C$26)*KFC!$C$5</f>
        <v>66.45</v>
      </c>
      <c r="L63" s="315">
        <f>(AG63*KFC!$B$26+KFC!$C$26)*KFC!$C$5</f>
        <v>69.5</v>
      </c>
      <c r="M63" s="315">
        <f>(AH63*KFC!$B$26+KFC!$C$26)*KFC!$C$5</f>
        <v>72.64</v>
      </c>
      <c r="N63" s="315">
        <f>(AI63*KFC!$B$26+KFC!$C$26)*KFC!$C$5</f>
        <v>75.8</v>
      </c>
      <c r="O63" s="315">
        <f>(AJ63*KFC!$B$26+KFC!$C$26)*KFC!$C$5</f>
        <v>78.94</v>
      </c>
      <c r="P63" s="315">
        <f>(AK63*KFC!$B$26+KFC!$C$26)*KFC!$C$5</f>
        <v>82.08</v>
      </c>
      <c r="Q63" s="315">
        <f>(AL63*KFC!$B$26+KFC!$C$26)*KFC!$C$5</f>
        <v>85.22</v>
      </c>
      <c r="R63" s="315">
        <f>(AM63*KFC!$B$26+KFC!$C$26)*KFC!$C$5</f>
        <v>88.36</v>
      </c>
      <c r="S63" s="315">
        <f>(AN63*KFC!$B$26+KFC!$C$26)*KFC!$C$5</f>
        <v>91.5</v>
      </c>
      <c r="T63" s="315">
        <f>(AO63*KFC!$B$26+KFC!$C$26)*KFC!$C$5</f>
        <v>94.64</v>
      </c>
      <c r="V63" s="1538"/>
      <c r="W63" s="111">
        <v>1.8</v>
      </c>
      <c r="X63" s="847">
        <v>41.39</v>
      </c>
      <c r="Y63" s="847">
        <v>44.53</v>
      </c>
      <c r="Z63" s="847">
        <v>47.68</v>
      </c>
      <c r="AA63" s="847">
        <v>50.72</v>
      </c>
      <c r="AB63" s="847">
        <v>53.87</v>
      </c>
      <c r="AC63" s="847">
        <v>57.13</v>
      </c>
      <c r="AD63" s="847">
        <v>60.05</v>
      </c>
      <c r="AE63" s="847">
        <v>63.32</v>
      </c>
      <c r="AF63" s="847">
        <v>66.45</v>
      </c>
      <c r="AG63" s="847">
        <v>69.5</v>
      </c>
      <c r="AH63" s="847">
        <v>72.64</v>
      </c>
      <c r="AI63" s="847">
        <v>75.8</v>
      </c>
      <c r="AJ63" s="848">
        <v>78.94</v>
      </c>
      <c r="AK63" s="690">
        <f t="shared" si="6"/>
        <v>82.08</v>
      </c>
      <c r="AL63" s="690">
        <f t="shared" si="7"/>
        <v>85.22</v>
      </c>
      <c r="AM63" s="690">
        <f t="shared" si="7"/>
        <v>88.36</v>
      </c>
      <c r="AN63" s="690">
        <f t="shared" si="7"/>
        <v>91.5</v>
      </c>
      <c r="AO63" s="690">
        <f t="shared" si="7"/>
        <v>94.64</v>
      </c>
      <c r="AP63" s="690">
        <f t="shared" si="7"/>
        <v>97.78</v>
      </c>
      <c r="AQ63" s="690">
        <f t="shared" si="7"/>
        <v>100.92</v>
      </c>
    </row>
    <row r="64" spans="1:43">
      <c r="A64" s="1538"/>
      <c r="B64" s="262">
        <v>1.9</v>
      </c>
      <c r="C64" s="314">
        <f>(X64*KFC!$B$26+KFC!$C$26)*KFC!$C$5</f>
        <v>42.74</v>
      </c>
      <c r="D64" s="315">
        <f>(Y64*KFC!$B$26+KFC!$C$26)*KFC!$C$5</f>
        <v>45.89</v>
      </c>
      <c r="E64" s="315">
        <f>(Z64*KFC!$B$26+KFC!$C$26)*KFC!$C$5</f>
        <v>49.14</v>
      </c>
      <c r="F64" s="315">
        <f>(AA64*KFC!$B$26+KFC!$C$26)*KFC!$C$5</f>
        <v>52.29</v>
      </c>
      <c r="G64" s="315">
        <f>(AB64*KFC!$B$26+KFC!$C$26)*KFC!$C$5</f>
        <v>55.44</v>
      </c>
      <c r="H64" s="315">
        <f>(AC64*KFC!$B$26+KFC!$C$26)*KFC!$C$5</f>
        <v>58.59</v>
      </c>
      <c r="I64" s="315">
        <f>(AD64*KFC!$B$26+KFC!$C$26)*KFC!$C$5</f>
        <v>61.86</v>
      </c>
      <c r="J64" s="315">
        <f>(AE64*KFC!$B$26+KFC!$C$26)*KFC!$C$5</f>
        <v>65.010000000000005</v>
      </c>
      <c r="K64" s="315">
        <f>(AF64*KFC!$B$26+KFC!$C$26)*KFC!$C$5</f>
        <v>68.260000000000005</v>
      </c>
      <c r="L64" s="315">
        <f>(AG64*KFC!$B$26+KFC!$C$26)*KFC!$C$5</f>
        <v>71.41</v>
      </c>
      <c r="M64" s="315">
        <f>(AH64*KFC!$B$26+KFC!$C$26)*KFC!$C$5</f>
        <v>74.56</v>
      </c>
      <c r="N64" s="315">
        <f>(AI64*KFC!$B$26+KFC!$C$26)*KFC!$C$5</f>
        <v>77.7</v>
      </c>
      <c r="O64" s="315">
        <f>(AJ64*KFC!$B$26+KFC!$C$26)*KFC!$C$5</f>
        <v>80.86</v>
      </c>
      <c r="P64" s="315">
        <f>(AK64*KFC!$B$26+KFC!$C$26)*KFC!$C$5</f>
        <v>84.02</v>
      </c>
      <c r="Q64" s="315">
        <f>(AL64*KFC!$B$26+KFC!$C$26)*KFC!$C$5</f>
        <v>87.179999999999993</v>
      </c>
      <c r="R64" s="315">
        <f>(AM64*KFC!$B$26+KFC!$C$26)*KFC!$C$5</f>
        <v>90.339999999999989</v>
      </c>
      <c r="S64" s="315">
        <f>(AN64*KFC!$B$26+KFC!$C$26)*KFC!$C$5</f>
        <v>93.499999999999986</v>
      </c>
      <c r="T64" s="315">
        <f>(AO64*KFC!$B$26+KFC!$C$26)*KFC!$C$5</f>
        <v>96.659999999999982</v>
      </c>
      <c r="V64" s="1538"/>
      <c r="W64" s="111">
        <v>1.9</v>
      </c>
      <c r="X64" s="847">
        <v>42.74</v>
      </c>
      <c r="Y64" s="847">
        <v>45.89</v>
      </c>
      <c r="Z64" s="847">
        <v>49.14</v>
      </c>
      <c r="AA64" s="847">
        <v>52.29</v>
      </c>
      <c r="AB64" s="847">
        <v>55.44</v>
      </c>
      <c r="AC64" s="847">
        <v>58.59</v>
      </c>
      <c r="AD64" s="847">
        <v>61.86</v>
      </c>
      <c r="AE64" s="847">
        <v>65.010000000000005</v>
      </c>
      <c r="AF64" s="847">
        <v>68.260000000000005</v>
      </c>
      <c r="AG64" s="847">
        <v>71.41</v>
      </c>
      <c r="AH64" s="847">
        <v>74.56</v>
      </c>
      <c r="AI64" s="847">
        <v>77.7</v>
      </c>
      <c r="AJ64" s="848">
        <v>80.86</v>
      </c>
      <c r="AK64" s="690">
        <f t="shared" si="6"/>
        <v>84.02</v>
      </c>
      <c r="AL64" s="690">
        <f t="shared" si="7"/>
        <v>87.179999999999993</v>
      </c>
      <c r="AM64" s="690">
        <f t="shared" si="7"/>
        <v>90.339999999999989</v>
      </c>
      <c r="AN64" s="690">
        <f t="shared" si="7"/>
        <v>93.499999999999986</v>
      </c>
      <c r="AO64" s="690">
        <f t="shared" si="7"/>
        <v>96.659999999999982</v>
      </c>
      <c r="AP64" s="690">
        <f t="shared" si="7"/>
        <v>99.819999999999979</v>
      </c>
      <c r="AQ64" s="690">
        <f t="shared" si="7"/>
        <v>102.97999999999998</v>
      </c>
    </row>
    <row r="65" spans="1:43">
      <c r="A65" s="1538"/>
      <c r="B65" s="262">
        <v>2</v>
      </c>
      <c r="C65" s="314">
        <f>(X65*KFC!$B$26+KFC!$C$26)*KFC!$C$5</f>
        <v>43.96</v>
      </c>
      <c r="D65" s="315">
        <f>(Y65*KFC!$B$26+KFC!$C$26)*KFC!$C$5</f>
        <v>47.34</v>
      </c>
      <c r="E65" s="315">
        <f>(Z65*KFC!$B$26+KFC!$C$26)*KFC!$C$5</f>
        <v>50.49</v>
      </c>
      <c r="F65" s="315">
        <f>(AA65*KFC!$B$26+KFC!$C$26)*KFC!$C$5</f>
        <v>53.76</v>
      </c>
      <c r="G65" s="315">
        <f>(AB65*KFC!$B$26+KFC!$C$26)*KFC!$C$5</f>
        <v>57.13</v>
      </c>
      <c r="H65" s="315">
        <f>(AC65*KFC!$B$26+KFC!$C$26)*KFC!$C$5</f>
        <v>60.27</v>
      </c>
      <c r="I65" s="315">
        <f>(AD65*KFC!$B$26+KFC!$C$26)*KFC!$C$5</f>
        <v>63.54</v>
      </c>
      <c r="J65" s="315">
        <f>(AE65*KFC!$B$26+KFC!$C$26)*KFC!$C$5</f>
        <v>66.69</v>
      </c>
      <c r="K65" s="315">
        <f>(AF65*KFC!$B$26+KFC!$C$26)*KFC!$C$5</f>
        <v>70.069999999999993</v>
      </c>
      <c r="L65" s="315">
        <f>(AG65*KFC!$B$26+KFC!$C$26)*KFC!$C$5</f>
        <v>73.319999999999993</v>
      </c>
      <c r="M65" s="315">
        <f>(AH65*KFC!$B$26+KFC!$C$26)*KFC!$C$5</f>
        <v>76.47</v>
      </c>
      <c r="N65" s="315">
        <f>(AI65*KFC!$B$26+KFC!$C$26)*KFC!$C$5</f>
        <v>79.739999999999995</v>
      </c>
      <c r="O65" s="315">
        <f>(AJ65*KFC!$B$26+KFC!$C$26)*KFC!$C$5</f>
        <v>82.99</v>
      </c>
      <c r="P65" s="315">
        <f>(AK65*KFC!$B$26+KFC!$C$26)*KFC!$C$5</f>
        <v>86.24</v>
      </c>
      <c r="Q65" s="315">
        <f>(AL65*KFC!$B$26+KFC!$C$26)*KFC!$C$5</f>
        <v>89.49</v>
      </c>
      <c r="R65" s="315">
        <f>(AM65*KFC!$B$26+KFC!$C$26)*KFC!$C$5</f>
        <v>92.74</v>
      </c>
      <c r="S65" s="315">
        <f>(AN65*KFC!$B$26+KFC!$C$26)*KFC!$C$5</f>
        <v>95.99</v>
      </c>
      <c r="T65" s="315">
        <f>(AO65*KFC!$B$26+KFC!$C$26)*KFC!$C$5</f>
        <v>99.24</v>
      </c>
      <c r="V65" s="1538"/>
      <c r="W65" s="111">
        <v>2</v>
      </c>
      <c r="X65" s="847">
        <v>43.96</v>
      </c>
      <c r="Y65" s="847">
        <v>47.34</v>
      </c>
      <c r="Z65" s="847">
        <v>50.49</v>
      </c>
      <c r="AA65" s="847">
        <v>53.76</v>
      </c>
      <c r="AB65" s="847">
        <v>57.13</v>
      </c>
      <c r="AC65" s="847">
        <v>60.27</v>
      </c>
      <c r="AD65" s="847">
        <v>63.54</v>
      </c>
      <c r="AE65" s="847">
        <v>66.69</v>
      </c>
      <c r="AF65" s="847">
        <v>70.069999999999993</v>
      </c>
      <c r="AG65" s="847">
        <v>73.319999999999993</v>
      </c>
      <c r="AH65" s="847">
        <v>76.47</v>
      </c>
      <c r="AI65" s="847">
        <v>79.739999999999995</v>
      </c>
      <c r="AJ65" s="848">
        <v>82.99</v>
      </c>
      <c r="AK65" s="690">
        <f t="shared" si="6"/>
        <v>86.24</v>
      </c>
      <c r="AL65" s="690">
        <f t="shared" si="7"/>
        <v>89.49</v>
      </c>
      <c r="AM65" s="690">
        <f t="shared" si="7"/>
        <v>92.74</v>
      </c>
      <c r="AN65" s="690">
        <f t="shared" si="7"/>
        <v>95.99</v>
      </c>
      <c r="AO65" s="690">
        <f t="shared" si="7"/>
        <v>99.24</v>
      </c>
      <c r="AP65" s="690">
        <f t="shared" si="7"/>
        <v>102.49</v>
      </c>
      <c r="AQ65" s="690">
        <f t="shared" si="7"/>
        <v>105.74</v>
      </c>
    </row>
    <row r="66" spans="1:43">
      <c r="A66" s="1538"/>
      <c r="B66" s="262">
        <v>2.1</v>
      </c>
      <c r="C66" s="314">
        <f>(X66*KFC!$B$26+KFC!$C$26)*KFC!$C$5</f>
        <v>45.2</v>
      </c>
      <c r="D66" s="315">
        <f>(Y66*KFC!$B$26+KFC!$C$26)*KFC!$C$5</f>
        <v>48.8</v>
      </c>
      <c r="E66" s="315">
        <f>(Z66*KFC!$B$26+KFC!$C$26)*KFC!$C$5</f>
        <v>51.84</v>
      </c>
      <c r="F66" s="315">
        <f>(AA66*KFC!$B$26+KFC!$C$26)*KFC!$C$5</f>
        <v>55.21</v>
      </c>
      <c r="G66" s="315">
        <f>(AB66*KFC!$B$26+KFC!$C$26)*KFC!$C$5</f>
        <v>58.82</v>
      </c>
      <c r="H66" s="315">
        <f>(AC66*KFC!$B$26+KFC!$C$26)*KFC!$C$5</f>
        <v>61.96</v>
      </c>
      <c r="I66" s="315">
        <f>(AD66*KFC!$B$26+KFC!$C$26)*KFC!$C$5</f>
        <v>65.23</v>
      </c>
      <c r="J66" s="315">
        <f>(AE66*KFC!$B$26+KFC!$C$26)*KFC!$C$5</f>
        <v>68.38</v>
      </c>
      <c r="K66" s="315">
        <f>(AF66*KFC!$B$26+KFC!$C$26)*KFC!$C$5</f>
        <v>71.86</v>
      </c>
      <c r="L66" s="315">
        <f>(AG66*KFC!$B$26+KFC!$C$26)*KFC!$C$5</f>
        <v>75.23</v>
      </c>
      <c r="M66" s="315">
        <f>(AH66*KFC!$B$26+KFC!$C$26)*KFC!$C$5</f>
        <v>78.37</v>
      </c>
      <c r="N66" s="315">
        <f>(AI66*KFC!$B$26+KFC!$C$26)*KFC!$C$5</f>
        <v>81.75</v>
      </c>
      <c r="O66" s="315">
        <f>(AJ66*KFC!$B$26+KFC!$C$26)*KFC!$C$5</f>
        <v>85.12</v>
      </c>
      <c r="P66" s="315">
        <f>(AK66*KFC!$B$26+KFC!$C$26)*KFC!$C$5</f>
        <v>88.490000000000009</v>
      </c>
      <c r="Q66" s="315">
        <f>(AL66*KFC!$B$26+KFC!$C$26)*KFC!$C$5</f>
        <v>91.860000000000014</v>
      </c>
      <c r="R66" s="315">
        <f>(AM66*KFC!$B$26+KFC!$C$26)*KFC!$C$5</f>
        <v>95.230000000000018</v>
      </c>
      <c r="S66" s="315">
        <f>(AN66*KFC!$B$26+KFC!$C$26)*KFC!$C$5</f>
        <v>98.600000000000023</v>
      </c>
      <c r="T66" s="315">
        <f>(AO66*KFC!$B$26+KFC!$C$26)*KFC!$C$5</f>
        <v>101.97000000000003</v>
      </c>
      <c r="V66" s="1538"/>
      <c r="W66" s="111">
        <v>2.1</v>
      </c>
      <c r="X66" s="847">
        <v>45.2</v>
      </c>
      <c r="Y66" s="847">
        <v>48.8</v>
      </c>
      <c r="Z66" s="847">
        <v>51.84</v>
      </c>
      <c r="AA66" s="847">
        <v>55.21</v>
      </c>
      <c r="AB66" s="847">
        <v>58.82</v>
      </c>
      <c r="AC66" s="847">
        <v>61.96</v>
      </c>
      <c r="AD66" s="847">
        <v>65.23</v>
      </c>
      <c r="AE66" s="847">
        <v>68.38</v>
      </c>
      <c r="AF66" s="847">
        <v>71.86</v>
      </c>
      <c r="AG66" s="847">
        <v>75.23</v>
      </c>
      <c r="AH66" s="847">
        <v>78.37</v>
      </c>
      <c r="AI66" s="847">
        <v>81.75</v>
      </c>
      <c r="AJ66" s="848">
        <v>85.12</v>
      </c>
      <c r="AK66" s="690">
        <f t="shared" si="6"/>
        <v>88.490000000000009</v>
      </c>
      <c r="AL66" s="690">
        <f t="shared" ref="AL66:AQ67" si="8">AK66-AJ66+AK66</f>
        <v>91.860000000000014</v>
      </c>
      <c r="AM66" s="690">
        <f t="shared" si="8"/>
        <v>95.230000000000018</v>
      </c>
      <c r="AN66" s="690">
        <f t="shared" si="8"/>
        <v>98.600000000000023</v>
      </c>
      <c r="AO66" s="690">
        <f t="shared" si="8"/>
        <v>101.97000000000003</v>
      </c>
      <c r="AP66" s="690">
        <f t="shared" si="8"/>
        <v>105.34000000000003</v>
      </c>
      <c r="AQ66" s="690">
        <f t="shared" si="8"/>
        <v>108.71000000000004</v>
      </c>
    </row>
    <row r="67" spans="1:43" ht="13.8" thickBot="1">
      <c r="A67" s="1539"/>
      <c r="B67" s="263">
        <v>2.2000000000000002</v>
      </c>
      <c r="C67" s="317">
        <f>(X67*KFC!$B$26+KFC!$C$26)*KFC!$C$5</f>
        <v>46.45</v>
      </c>
      <c r="D67" s="318">
        <f>(Y67*KFC!$B$26+KFC!$C$26)*KFC!$C$5</f>
        <v>50.26</v>
      </c>
      <c r="E67" s="318">
        <f>(Z67*KFC!$B$26+KFC!$C$26)*KFC!$C$5</f>
        <v>53.19</v>
      </c>
      <c r="F67" s="318">
        <f>(AA67*KFC!$B$26+KFC!$C$26)*KFC!$C$5</f>
        <v>56.68</v>
      </c>
      <c r="G67" s="318">
        <f>(AB67*KFC!$B$26+KFC!$C$26)*KFC!$C$5</f>
        <v>60.5</v>
      </c>
      <c r="H67" s="318">
        <f>(AC67*KFC!$B$26+KFC!$C$26)*KFC!$C$5</f>
        <v>63.65</v>
      </c>
      <c r="I67" s="318">
        <f>(AD67*KFC!$B$26+KFC!$C$26)*KFC!$C$5</f>
        <v>66.91</v>
      </c>
      <c r="J67" s="318">
        <f>(AE67*KFC!$B$26+KFC!$C$26)*KFC!$C$5</f>
        <v>70.069999999999993</v>
      </c>
      <c r="K67" s="318">
        <f>(AF67*KFC!$B$26+KFC!$C$26)*KFC!$C$5</f>
        <v>73.66</v>
      </c>
      <c r="L67" s="318">
        <f>(AG67*KFC!$B$26+KFC!$C$26)*KFC!$C$5</f>
        <v>77.14</v>
      </c>
      <c r="M67" s="318">
        <f>(AH67*KFC!$B$26+KFC!$C$26)*KFC!$C$5</f>
        <v>80.290000000000006</v>
      </c>
      <c r="N67" s="318">
        <f>(AI67*KFC!$B$26+KFC!$C$26)*KFC!$C$5</f>
        <v>83.78</v>
      </c>
      <c r="O67" s="318">
        <f>(AJ67*KFC!$B$26+KFC!$C$26)*KFC!$C$5</f>
        <v>87.27</v>
      </c>
      <c r="P67" s="318">
        <f>(AK67*KFC!$B$26+KFC!$C$26)*KFC!$C$5</f>
        <v>90.759999999999991</v>
      </c>
      <c r="Q67" s="318">
        <f>(AL67*KFC!$B$26+KFC!$C$26)*KFC!$C$5</f>
        <v>94.249999999999986</v>
      </c>
      <c r="R67" s="318">
        <f>(AM67*KFC!$B$26+KFC!$C$26)*KFC!$C$5</f>
        <v>97.739999999999981</v>
      </c>
      <c r="S67" s="318">
        <f>(AN67*KFC!$B$26+KFC!$C$26)*KFC!$C$5</f>
        <v>101.22999999999998</v>
      </c>
      <c r="T67" s="318">
        <f>(AO67*KFC!$B$26+KFC!$C$26)*KFC!$C$5</f>
        <v>104.71999999999997</v>
      </c>
      <c r="V67" s="1539"/>
      <c r="W67" s="112">
        <v>2.2000000000000002</v>
      </c>
      <c r="X67" s="847">
        <v>46.45</v>
      </c>
      <c r="Y67" s="847">
        <v>50.26</v>
      </c>
      <c r="Z67" s="847">
        <v>53.19</v>
      </c>
      <c r="AA67" s="847">
        <v>56.68</v>
      </c>
      <c r="AB67" s="847">
        <v>60.5</v>
      </c>
      <c r="AC67" s="847">
        <v>63.65</v>
      </c>
      <c r="AD67" s="847">
        <v>66.91</v>
      </c>
      <c r="AE67" s="847">
        <v>70.069999999999993</v>
      </c>
      <c r="AF67" s="847">
        <v>73.66</v>
      </c>
      <c r="AG67" s="847">
        <v>77.14</v>
      </c>
      <c r="AH67" s="847">
        <v>80.290000000000006</v>
      </c>
      <c r="AI67" s="847">
        <v>83.78</v>
      </c>
      <c r="AJ67" s="848">
        <v>87.27</v>
      </c>
      <c r="AK67" s="690">
        <f t="shared" si="6"/>
        <v>90.759999999999991</v>
      </c>
      <c r="AL67" s="690">
        <f t="shared" si="8"/>
        <v>94.249999999999986</v>
      </c>
      <c r="AM67" s="690">
        <f t="shared" si="8"/>
        <v>97.739999999999981</v>
      </c>
      <c r="AN67" s="690">
        <f t="shared" si="8"/>
        <v>101.22999999999998</v>
      </c>
      <c r="AO67" s="690">
        <f t="shared" si="8"/>
        <v>104.71999999999997</v>
      </c>
      <c r="AP67" s="690">
        <f t="shared" si="8"/>
        <v>108.20999999999997</v>
      </c>
      <c r="AQ67" s="690">
        <f t="shared" si="8"/>
        <v>111.69999999999996</v>
      </c>
    </row>
    <row r="68" spans="1:43" ht="13.8" thickBot="1">
      <c r="A68" s="249"/>
      <c r="B68" s="249"/>
      <c r="C68" s="249"/>
      <c r="D68" s="249"/>
      <c r="E68" s="249"/>
      <c r="F68" s="249"/>
      <c r="G68" s="249"/>
      <c r="H68" s="249"/>
      <c r="I68" s="249"/>
      <c r="J68" s="249"/>
      <c r="K68" s="249"/>
      <c r="L68" s="249"/>
    </row>
    <row r="69" spans="1:43" ht="13.8" thickBot="1">
      <c r="A69" s="1413" t="s">
        <v>318</v>
      </c>
      <c r="B69" s="1415"/>
      <c r="C69" s="1534" t="s">
        <v>207</v>
      </c>
      <c r="D69" s="1535"/>
      <c r="E69" s="1535"/>
      <c r="F69" s="1535"/>
      <c r="G69" s="1535"/>
      <c r="H69" s="1535"/>
      <c r="I69" s="1535"/>
      <c r="J69" s="1535"/>
      <c r="K69" s="1535"/>
      <c r="L69" s="1535"/>
      <c r="M69" s="1535"/>
      <c r="N69" s="1535"/>
      <c r="O69" s="1535"/>
      <c r="P69" s="1535"/>
      <c r="Q69" s="1535"/>
      <c r="R69" s="1535"/>
      <c r="S69" s="1535"/>
      <c r="T69" s="1536"/>
      <c r="V69" s="1413" t="s">
        <v>318</v>
      </c>
      <c r="W69" s="1415"/>
      <c r="X69" s="1534" t="s">
        <v>207</v>
      </c>
      <c r="Y69" s="1535"/>
      <c r="Z69" s="1535"/>
      <c r="AA69" s="1535"/>
      <c r="AB69" s="1535"/>
      <c r="AC69" s="1535"/>
      <c r="AD69" s="1535"/>
      <c r="AE69" s="1535"/>
      <c r="AF69" s="1535"/>
      <c r="AG69" s="1535"/>
      <c r="AH69" s="1535"/>
      <c r="AI69" s="1535"/>
      <c r="AJ69" s="1535"/>
      <c r="AK69" s="1535"/>
      <c r="AL69" s="1535"/>
      <c r="AM69" s="1535"/>
      <c r="AN69" s="1535"/>
      <c r="AO69" s="1535"/>
      <c r="AP69" s="1535"/>
      <c r="AQ69" s="1536"/>
    </row>
    <row r="70" spans="1:43" ht="13.8" thickBot="1">
      <c r="A70" s="1416"/>
      <c r="B70" s="1802"/>
      <c r="C70" s="119">
        <v>0.4</v>
      </c>
      <c r="D70" s="119">
        <v>0.5</v>
      </c>
      <c r="E70" s="119">
        <v>0.6</v>
      </c>
      <c r="F70" s="119">
        <v>0.7</v>
      </c>
      <c r="G70" s="119">
        <v>0.8</v>
      </c>
      <c r="H70" s="119">
        <v>0.9</v>
      </c>
      <c r="I70" s="119">
        <v>1</v>
      </c>
      <c r="J70" s="119">
        <v>1.1000000000000001</v>
      </c>
      <c r="K70" s="119">
        <v>1.2</v>
      </c>
      <c r="L70" s="119">
        <v>1.3</v>
      </c>
      <c r="M70" s="119">
        <v>1.4</v>
      </c>
      <c r="N70" s="119">
        <v>1.5</v>
      </c>
      <c r="O70" s="119">
        <v>1.6</v>
      </c>
      <c r="P70" s="119">
        <v>1.7</v>
      </c>
      <c r="Q70" s="119">
        <v>1.8</v>
      </c>
      <c r="R70" s="119">
        <v>1.9</v>
      </c>
      <c r="S70" s="119">
        <v>2</v>
      </c>
      <c r="T70" s="119">
        <v>2.1</v>
      </c>
      <c r="V70" s="1416"/>
      <c r="W70" s="1802"/>
      <c r="X70" s="428">
        <v>0.4</v>
      </c>
      <c r="Y70" s="428">
        <v>0.5</v>
      </c>
      <c r="Z70" s="428">
        <v>0.6</v>
      </c>
      <c r="AA70" s="428">
        <v>0.7</v>
      </c>
      <c r="AB70" s="428">
        <v>0.8</v>
      </c>
      <c r="AC70" s="428">
        <v>0.9</v>
      </c>
      <c r="AD70" s="428">
        <v>1</v>
      </c>
      <c r="AE70" s="428">
        <v>1.1000000000000001</v>
      </c>
      <c r="AF70" s="428">
        <v>1.2</v>
      </c>
      <c r="AG70" s="428">
        <v>1.3</v>
      </c>
      <c r="AH70" s="428">
        <v>1.4</v>
      </c>
      <c r="AI70" s="428">
        <v>1.5</v>
      </c>
      <c r="AJ70" s="428">
        <v>1.6</v>
      </c>
      <c r="AK70" s="428">
        <v>1.7</v>
      </c>
      <c r="AL70" s="428">
        <v>1.8</v>
      </c>
      <c r="AM70" s="428">
        <v>1.9</v>
      </c>
      <c r="AN70" s="428">
        <v>2</v>
      </c>
      <c r="AO70" s="428">
        <v>2.1</v>
      </c>
      <c r="AP70" s="428">
        <v>2.2000000000000002</v>
      </c>
      <c r="AQ70" s="428">
        <v>2.2999999999999998</v>
      </c>
    </row>
    <row r="71" spans="1:43" ht="13.2" customHeight="1">
      <c r="A71" s="1827" t="s">
        <v>3</v>
      </c>
      <c r="B71" s="261">
        <v>0.5</v>
      </c>
      <c r="C71" s="311">
        <f>(X71*KFC!$B$26+KFC!$C$26)*KFC!$C$5</f>
        <v>27.55</v>
      </c>
      <c r="D71" s="312">
        <f>(Y71*KFC!$B$26+KFC!$C$26)*KFC!$C$5</f>
        <v>31.27</v>
      </c>
      <c r="E71" s="312">
        <f>(Z71*KFC!$B$26+KFC!$C$26)*KFC!$C$5</f>
        <v>35.08</v>
      </c>
      <c r="F71" s="312">
        <f>(AA71*KFC!$B$26+KFC!$C$26)*KFC!$C$5</f>
        <v>38.799999999999997</v>
      </c>
      <c r="G71" s="312">
        <f>(AB71*KFC!$B$26+KFC!$C$26)*KFC!$C$5</f>
        <v>42.51</v>
      </c>
      <c r="H71" s="312">
        <f>(AC71*KFC!$B$26+KFC!$C$26)*KFC!$C$5</f>
        <v>46.22</v>
      </c>
      <c r="I71" s="312">
        <f>(AD71*KFC!$B$26+KFC!$C$26)*KFC!$C$5</f>
        <v>50.04</v>
      </c>
      <c r="J71" s="312">
        <f>(AE71*KFC!$B$26+KFC!$C$26)*KFC!$C$5</f>
        <v>53.76</v>
      </c>
      <c r="K71" s="312">
        <f>(AF71*KFC!$B$26+KFC!$C$26)*KFC!$C$5</f>
        <v>57.47</v>
      </c>
      <c r="L71" s="312">
        <f>(AG71*KFC!$B$26+KFC!$C$26)*KFC!$C$5</f>
        <v>61.17</v>
      </c>
      <c r="M71" s="312">
        <f>(AH71*KFC!$B$26+KFC!$C$26)*KFC!$C$5</f>
        <v>65.010000000000005</v>
      </c>
      <c r="N71" s="312">
        <f>(AI71*KFC!$B$26+KFC!$C$26)*KFC!$C$5</f>
        <v>68.819999999999993</v>
      </c>
      <c r="O71" s="312">
        <f>(AJ71*KFC!$B$26+KFC!$C$26)*KFC!$C$5</f>
        <v>72.64</v>
      </c>
      <c r="P71" s="312">
        <f>(AK71*KFC!$B$26+KFC!$C$26)*KFC!$C$5</f>
        <v>76.460000000000008</v>
      </c>
      <c r="Q71" s="312">
        <f>(AL71*KFC!$B$26+KFC!$C$26)*KFC!$C$5</f>
        <v>80.280000000000015</v>
      </c>
      <c r="R71" s="312">
        <f>(AM71*KFC!$B$26+KFC!$C$26)*KFC!$C$5</f>
        <v>84.100000000000023</v>
      </c>
      <c r="S71" s="312">
        <f>(AN71*KFC!$B$26+KFC!$C$26)*KFC!$C$5</f>
        <v>87.92000000000003</v>
      </c>
      <c r="T71" s="312">
        <f>(AO71*KFC!$B$26+KFC!$C$26)*KFC!$C$5</f>
        <v>91.740000000000038</v>
      </c>
      <c r="V71" s="1827" t="s">
        <v>3</v>
      </c>
      <c r="W71" s="110">
        <v>0.5</v>
      </c>
      <c r="X71" s="847">
        <v>27.55</v>
      </c>
      <c r="Y71" s="847">
        <v>31.27</v>
      </c>
      <c r="Z71" s="847">
        <v>35.08</v>
      </c>
      <c r="AA71" s="847">
        <v>38.799999999999997</v>
      </c>
      <c r="AB71" s="847">
        <v>42.51</v>
      </c>
      <c r="AC71" s="847">
        <v>46.22</v>
      </c>
      <c r="AD71" s="847">
        <v>50.04</v>
      </c>
      <c r="AE71" s="847">
        <v>53.76</v>
      </c>
      <c r="AF71" s="847">
        <v>57.47</v>
      </c>
      <c r="AG71" s="847">
        <v>61.17</v>
      </c>
      <c r="AH71" s="847">
        <v>65.010000000000005</v>
      </c>
      <c r="AI71" s="847">
        <v>68.819999999999993</v>
      </c>
      <c r="AJ71" s="848">
        <v>72.64</v>
      </c>
      <c r="AK71" s="690">
        <f t="shared" ref="AK71:AK88" si="9">AJ71-AI71+AJ71</f>
        <v>76.460000000000008</v>
      </c>
      <c r="AL71" s="690">
        <f t="shared" ref="AL71:AQ86" si="10">AK71-AJ71+AK71</f>
        <v>80.280000000000015</v>
      </c>
      <c r="AM71" s="690">
        <f t="shared" si="10"/>
        <v>84.100000000000023</v>
      </c>
      <c r="AN71" s="690">
        <f t="shared" si="10"/>
        <v>87.92000000000003</v>
      </c>
      <c r="AO71" s="690">
        <f t="shared" si="10"/>
        <v>91.740000000000038</v>
      </c>
      <c r="AP71" s="690">
        <f t="shared" si="10"/>
        <v>95.560000000000045</v>
      </c>
      <c r="AQ71" s="690">
        <f t="shared" si="10"/>
        <v>99.380000000000052</v>
      </c>
    </row>
    <row r="72" spans="1:43">
      <c r="A72" s="1828"/>
      <c r="B72" s="262">
        <v>0.6</v>
      </c>
      <c r="C72" s="314">
        <f>(X72*KFC!$B$26+KFC!$C$26)*KFC!$C$5</f>
        <v>29.02</v>
      </c>
      <c r="D72" s="315">
        <f>(Y72*KFC!$B$26+KFC!$C$26)*KFC!$C$5</f>
        <v>32.72</v>
      </c>
      <c r="E72" s="315">
        <f>(Z72*KFC!$B$26+KFC!$C$26)*KFC!$C$5</f>
        <v>36.549999999999997</v>
      </c>
      <c r="F72" s="315">
        <f>(AA72*KFC!$B$26+KFC!$C$26)*KFC!$C$5</f>
        <v>40.49</v>
      </c>
      <c r="G72" s="315">
        <f>(AB72*KFC!$B$26+KFC!$C$26)*KFC!$C$5</f>
        <v>44.19</v>
      </c>
      <c r="H72" s="315">
        <f>(AC72*KFC!$B$26+KFC!$C$26)*KFC!$C$5</f>
        <v>48.02</v>
      </c>
      <c r="I72" s="315">
        <f>(AD72*KFC!$B$26+KFC!$C$26)*KFC!$C$5</f>
        <v>51.84</v>
      </c>
      <c r="J72" s="315">
        <f>(AE72*KFC!$B$26+KFC!$C$26)*KFC!$C$5</f>
        <v>55.66</v>
      </c>
      <c r="K72" s="315">
        <f>(AF72*KFC!$B$26+KFC!$C$26)*KFC!$C$5</f>
        <v>59.38</v>
      </c>
      <c r="L72" s="315">
        <f>(AG72*KFC!$B$26+KFC!$C$26)*KFC!$C$5</f>
        <v>63.32</v>
      </c>
      <c r="M72" s="315">
        <f>(AH72*KFC!$B$26+KFC!$C$26)*KFC!$C$5</f>
        <v>67.13</v>
      </c>
      <c r="N72" s="315">
        <f>(AI72*KFC!$B$26+KFC!$C$26)*KFC!$C$5</f>
        <v>70.84</v>
      </c>
      <c r="O72" s="315">
        <f>(AJ72*KFC!$B$26+KFC!$C$26)*KFC!$C$5</f>
        <v>74.56</v>
      </c>
      <c r="P72" s="315">
        <f>(AK72*KFC!$B$26+KFC!$C$26)*KFC!$C$5</f>
        <v>78.28</v>
      </c>
      <c r="Q72" s="315">
        <f>(AL72*KFC!$B$26+KFC!$C$26)*KFC!$C$5</f>
        <v>82</v>
      </c>
      <c r="R72" s="315">
        <f>(AM72*KFC!$B$26+KFC!$C$26)*KFC!$C$5</f>
        <v>85.72</v>
      </c>
      <c r="S72" s="315">
        <f>(AN72*KFC!$B$26+KFC!$C$26)*KFC!$C$5</f>
        <v>89.44</v>
      </c>
      <c r="T72" s="315">
        <f>(AO72*KFC!$B$26+KFC!$C$26)*KFC!$C$5</f>
        <v>93.16</v>
      </c>
      <c r="V72" s="1828"/>
      <c r="W72" s="111">
        <v>0.6</v>
      </c>
      <c r="X72" s="847">
        <v>29.02</v>
      </c>
      <c r="Y72" s="847">
        <v>32.72</v>
      </c>
      <c r="Z72" s="847">
        <v>36.549999999999997</v>
      </c>
      <c r="AA72" s="847">
        <v>40.49</v>
      </c>
      <c r="AB72" s="847">
        <v>44.19</v>
      </c>
      <c r="AC72" s="847">
        <v>48.02</v>
      </c>
      <c r="AD72" s="847">
        <v>51.84</v>
      </c>
      <c r="AE72" s="847">
        <v>55.66</v>
      </c>
      <c r="AF72" s="847">
        <v>59.38</v>
      </c>
      <c r="AG72" s="847">
        <v>63.32</v>
      </c>
      <c r="AH72" s="847">
        <v>67.13</v>
      </c>
      <c r="AI72" s="847">
        <v>70.84</v>
      </c>
      <c r="AJ72" s="848">
        <v>74.56</v>
      </c>
      <c r="AK72" s="690">
        <f t="shared" si="9"/>
        <v>78.28</v>
      </c>
      <c r="AL72" s="690">
        <f t="shared" si="10"/>
        <v>82</v>
      </c>
      <c r="AM72" s="690">
        <f t="shared" si="10"/>
        <v>85.72</v>
      </c>
      <c r="AN72" s="690">
        <f t="shared" si="10"/>
        <v>89.44</v>
      </c>
      <c r="AO72" s="690">
        <f t="shared" si="10"/>
        <v>93.16</v>
      </c>
      <c r="AP72" s="690">
        <f t="shared" si="10"/>
        <v>96.88</v>
      </c>
      <c r="AQ72" s="690">
        <f t="shared" si="10"/>
        <v>100.6</v>
      </c>
    </row>
    <row r="73" spans="1:43">
      <c r="A73" s="1828"/>
      <c r="B73" s="262">
        <v>0.7</v>
      </c>
      <c r="C73" s="314">
        <f>(X73*KFC!$B$26+KFC!$C$26)*KFC!$C$5</f>
        <v>30.37</v>
      </c>
      <c r="D73" s="315">
        <f>(Y73*KFC!$B$26+KFC!$C$26)*KFC!$C$5</f>
        <v>34.299999999999997</v>
      </c>
      <c r="E73" s="315">
        <f>(Z73*KFC!$B$26+KFC!$C$26)*KFC!$C$5</f>
        <v>38.229999999999997</v>
      </c>
      <c r="F73" s="315">
        <f>(AA73*KFC!$B$26+KFC!$C$26)*KFC!$C$5</f>
        <v>42.06</v>
      </c>
      <c r="G73" s="315">
        <f>(AB73*KFC!$B$26+KFC!$C$26)*KFC!$C$5</f>
        <v>45.89</v>
      </c>
      <c r="H73" s="315">
        <f>(AC73*KFC!$B$26+KFC!$C$26)*KFC!$C$5</f>
        <v>49.82</v>
      </c>
      <c r="I73" s="315">
        <f>(AD73*KFC!$B$26+KFC!$C$26)*KFC!$C$5</f>
        <v>53.63</v>
      </c>
      <c r="J73" s="315">
        <f>(AE73*KFC!$B$26+KFC!$C$26)*KFC!$C$5</f>
        <v>57.47</v>
      </c>
      <c r="K73" s="315">
        <f>(AF73*KFC!$B$26+KFC!$C$26)*KFC!$C$5</f>
        <v>61.29</v>
      </c>
      <c r="L73" s="315">
        <f>(AG73*KFC!$B$26+KFC!$C$26)*KFC!$C$5</f>
        <v>65.23</v>
      </c>
      <c r="M73" s="315">
        <f>(AH73*KFC!$B$26+KFC!$C$26)*KFC!$C$5</f>
        <v>69.16</v>
      </c>
      <c r="N73" s="315">
        <f>(AI73*KFC!$B$26+KFC!$C$26)*KFC!$C$5</f>
        <v>72.989999999999995</v>
      </c>
      <c r="O73" s="315">
        <f>(AJ73*KFC!$B$26+KFC!$C$26)*KFC!$C$5</f>
        <v>76.81</v>
      </c>
      <c r="P73" s="315">
        <f>(AK73*KFC!$B$26+KFC!$C$26)*KFC!$C$5</f>
        <v>80.63000000000001</v>
      </c>
      <c r="Q73" s="315">
        <f>(AL73*KFC!$B$26+KFC!$C$26)*KFC!$C$5</f>
        <v>84.450000000000017</v>
      </c>
      <c r="R73" s="315">
        <f>(AM73*KFC!$B$26+KFC!$C$26)*KFC!$C$5</f>
        <v>88.270000000000024</v>
      </c>
      <c r="S73" s="315">
        <f>(AN73*KFC!$B$26+KFC!$C$26)*KFC!$C$5</f>
        <v>92.090000000000032</v>
      </c>
      <c r="T73" s="315">
        <f>(AO73*KFC!$B$26+KFC!$C$26)*KFC!$C$5</f>
        <v>95.910000000000039</v>
      </c>
      <c r="V73" s="1828"/>
      <c r="W73" s="111">
        <v>0.7</v>
      </c>
      <c r="X73" s="847">
        <v>30.37</v>
      </c>
      <c r="Y73" s="847">
        <v>34.299999999999997</v>
      </c>
      <c r="Z73" s="847">
        <v>38.229999999999997</v>
      </c>
      <c r="AA73" s="847">
        <v>42.06</v>
      </c>
      <c r="AB73" s="847">
        <v>45.89</v>
      </c>
      <c r="AC73" s="847">
        <v>49.82</v>
      </c>
      <c r="AD73" s="847">
        <v>53.63</v>
      </c>
      <c r="AE73" s="847">
        <v>57.47</v>
      </c>
      <c r="AF73" s="847">
        <v>61.29</v>
      </c>
      <c r="AG73" s="847">
        <v>65.23</v>
      </c>
      <c r="AH73" s="847">
        <v>69.16</v>
      </c>
      <c r="AI73" s="847">
        <v>72.989999999999995</v>
      </c>
      <c r="AJ73" s="848">
        <v>76.81</v>
      </c>
      <c r="AK73" s="690">
        <f t="shared" si="9"/>
        <v>80.63000000000001</v>
      </c>
      <c r="AL73" s="690">
        <f t="shared" si="10"/>
        <v>84.450000000000017</v>
      </c>
      <c r="AM73" s="690">
        <f t="shared" si="10"/>
        <v>88.270000000000024</v>
      </c>
      <c r="AN73" s="690">
        <f t="shared" si="10"/>
        <v>92.090000000000032</v>
      </c>
      <c r="AO73" s="690">
        <f t="shared" si="10"/>
        <v>95.910000000000039</v>
      </c>
      <c r="AP73" s="690">
        <f t="shared" si="10"/>
        <v>99.730000000000047</v>
      </c>
      <c r="AQ73" s="690">
        <f t="shared" si="10"/>
        <v>103.55000000000005</v>
      </c>
    </row>
    <row r="74" spans="1:43">
      <c r="A74" s="1828"/>
      <c r="B74" s="262">
        <v>0.8</v>
      </c>
      <c r="C74" s="314">
        <f>(X74*KFC!$B$26+KFC!$C$26)*KFC!$C$5</f>
        <v>31.94</v>
      </c>
      <c r="D74" s="315">
        <f>(Y74*KFC!$B$26+KFC!$C$26)*KFC!$C$5</f>
        <v>35.880000000000003</v>
      </c>
      <c r="E74" s="315">
        <f>(Z74*KFC!$B$26+KFC!$C$26)*KFC!$C$5</f>
        <v>39.700000000000003</v>
      </c>
      <c r="F74" s="315">
        <f>(AA74*KFC!$B$26+KFC!$C$26)*KFC!$C$5</f>
        <v>43.74</v>
      </c>
      <c r="G74" s="315">
        <f>(AB74*KFC!$B$26+KFC!$C$26)*KFC!$C$5</f>
        <v>47.58</v>
      </c>
      <c r="H74" s="315">
        <f>(AC74*KFC!$B$26+KFC!$C$26)*KFC!$C$5</f>
        <v>51.62</v>
      </c>
      <c r="I74" s="315">
        <f>(AD74*KFC!$B$26+KFC!$C$26)*KFC!$C$5</f>
        <v>55.44</v>
      </c>
      <c r="J74" s="315">
        <f>(AE74*KFC!$B$26+KFC!$C$26)*KFC!$C$5</f>
        <v>59.38</v>
      </c>
      <c r="K74" s="315">
        <f>(AF74*KFC!$B$26+KFC!$C$26)*KFC!$C$5</f>
        <v>63.32</v>
      </c>
      <c r="L74" s="315">
        <f>(AG74*KFC!$B$26+KFC!$C$26)*KFC!$C$5</f>
        <v>67.25</v>
      </c>
      <c r="M74" s="315">
        <f>(AH74*KFC!$B$26+KFC!$C$26)*KFC!$C$5</f>
        <v>71.06</v>
      </c>
      <c r="N74" s="315">
        <f>(AI74*KFC!$B$26+KFC!$C$26)*KFC!$C$5</f>
        <v>75.13</v>
      </c>
      <c r="O74" s="315">
        <f>(AJ74*KFC!$B$26+KFC!$C$26)*KFC!$C$5</f>
        <v>79.17</v>
      </c>
      <c r="P74" s="315">
        <f>(AK74*KFC!$B$26+KFC!$C$26)*KFC!$C$5</f>
        <v>83.210000000000008</v>
      </c>
      <c r="Q74" s="315">
        <f>(AL74*KFC!$B$26+KFC!$C$26)*KFC!$C$5</f>
        <v>87.250000000000014</v>
      </c>
      <c r="R74" s="315">
        <f>(AM74*KFC!$B$26+KFC!$C$26)*KFC!$C$5</f>
        <v>91.29000000000002</v>
      </c>
      <c r="S74" s="315">
        <f>(AN74*KFC!$B$26+KFC!$C$26)*KFC!$C$5</f>
        <v>95.330000000000027</v>
      </c>
      <c r="T74" s="315">
        <f>(AO74*KFC!$B$26+KFC!$C$26)*KFC!$C$5</f>
        <v>99.370000000000033</v>
      </c>
      <c r="V74" s="1828"/>
      <c r="W74" s="111">
        <v>0.8</v>
      </c>
      <c r="X74" s="847">
        <v>31.94</v>
      </c>
      <c r="Y74" s="847">
        <v>35.880000000000003</v>
      </c>
      <c r="Z74" s="847">
        <v>39.700000000000003</v>
      </c>
      <c r="AA74" s="847">
        <v>43.74</v>
      </c>
      <c r="AB74" s="847">
        <v>47.58</v>
      </c>
      <c r="AC74" s="847">
        <v>51.62</v>
      </c>
      <c r="AD74" s="847">
        <v>55.44</v>
      </c>
      <c r="AE74" s="847">
        <v>59.38</v>
      </c>
      <c r="AF74" s="847">
        <v>63.32</v>
      </c>
      <c r="AG74" s="847">
        <v>67.25</v>
      </c>
      <c r="AH74" s="847">
        <v>71.06</v>
      </c>
      <c r="AI74" s="847">
        <v>75.13</v>
      </c>
      <c r="AJ74" s="848">
        <v>79.17</v>
      </c>
      <c r="AK74" s="690">
        <f t="shared" si="9"/>
        <v>83.210000000000008</v>
      </c>
      <c r="AL74" s="690">
        <f t="shared" si="10"/>
        <v>87.250000000000014</v>
      </c>
      <c r="AM74" s="690">
        <f t="shared" si="10"/>
        <v>91.29000000000002</v>
      </c>
      <c r="AN74" s="690">
        <f t="shared" si="10"/>
        <v>95.330000000000027</v>
      </c>
      <c r="AO74" s="690">
        <f t="shared" si="10"/>
        <v>99.370000000000033</v>
      </c>
      <c r="AP74" s="690">
        <f t="shared" si="10"/>
        <v>103.41000000000004</v>
      </c>
      <c r="AQ74" s="690">
        <f t="shared" si="10"/>
        <v>107.45000000000005</v>
      </c>
    </row>
    <row r="75" spans="1:43">
      <c r="A75" s="1828"/>
      <c r="B75" s="262">
        <v>0.9</v>
      </c>
      <c r="C75" s="314">
        <f>(X75*KFC!$B$26+KFC!$C$26)*KFC!$C$5</f>
        <v>33.39</v>
      </c>
      <c r="D75" s="315">
        <f>(Y75*KFC!$B$26+KFC!$C$26)*KFC!$C$5</f>
        <v>37.450000000000003</v>
      </c>
      <c r="E75" s="315">
        <f>(Z75*KFC!$B$26+KFC!$C$26)*KFC!$C$5</f>
        <v>41.39</v>
      </c>
      <c r="F75" s="315">
        <f>(AA75*KFC!$B$26+KFC!$C$26)*KFC!$C$5</f>
        <v>45.43</v>
      </c>
      <c r="G75" s="315">
        <f>(AB75*KFC!$B$26+KFC!$C$26)*KFC!$C$5</f>
        <v>49.37</v>
      </c>
      <c r="H75" s="315">
        <f>(AC75*KFC!$B$26+KFC!$C$26)*KFC!$C$5</f>
        <v>53.41</v>
      </c>
      <c r="I75" s="315">
        <f>(AD75*KFC!$B$26+KFC!$C$26)*KFC!$C$5</f>
        <v>57.25</v>
      </c>
      <c r="J75" s="315">
        <f>(AE75*KFC!$B$26+KFC!$C$26)*KFC!$C$5</f>
        <v>61.17</v>
      </c>
      <c r="K75" s="315">
        <f>(AF75*KFC!$B$26+KFC!$C$26)*KFC!$C$5</f>
        <v>65.23</v>
      </c>
      <c r="L75" s="315">
        <f>(AG75*KFC!$B$26+KFC!$C$26)*KFC!$C$5</f>
        <v>69.16</v>
      </c>
      <c r="M75" s="315">
        <f>(AH75*KFC!$B$26+KFC!$C$26)*KFC!$C$5</f>
        <v>73.209999999999994</v>
      </c>
      <c r="N75" s="315">
        <f>(AI75*KFC!$B$26+KFC!$C$26)*KFC!$C$5</f>
        <v>77.14</v>
      </c>
      <c r="O75" s="315">
        <f>(AJ75*KFC!$B$26+KFC!$C$26)*KFC!$C$5</f>
        <v>81.08</v>
      </c>
      <c r="P75" s="315">
        <f>(AK75*KFC!$B$26+KFC!$C$26)*KFC!$C$5</f>
        <v>85.02</v>
      </c>
      <c r="Q75" s="315">
        <f>(AL75*KFC!$B$26+KFC!$C$26)*KFC!$C$5</f>
        <v>88.96</v>
      </c>
      <c r="R75" s="315">
        <f>(AM75*KFC!$B$26+KFC!$C$26)*KFC!$C$5</f>
        <v>92.899999999999991</v>
      </c>
      <c r="S75" s="315">
        <f>(AN75*KFC!$B$26+KFC!$C$26)*KFC!$C$5</f>
        <v>96.839999999999989</v>
      </c>
      <c r="T75" s="315">
        <f>(AO75*KFC!$B$26+KFC!$C$26)*KFC!$C$5</f>
        <v>100.77999999999999</v>
      </c>
      <c r="V75" s="1828"/>
      <c r="W75" s="111">
        <v>0.9</v>
      </c>
      <c r="X75" s="847">
        <v>33.39</v>
      </c>
      <c r="Y75" s="847">
        <v>37.450000000000003</v>
      </c>
      <c r="Z75" s="847">
        <v>41.39</v>
      </c>
      <c r="AA75" s="847">
        <v>45.43</v>
      </c>
      <c r="AB75" s="847">
        <v>49.37</v>
      </c>
      <c r="AC75" s="847">
        <v>53.41</v>
      </c>
      <c r="AD75" s="847">
        <v>57.25</v>
      </c>
      <c r="AE75" s="847">
        <v>61.17</v>
      </c>
      <c r="AF75" s="847">
        <v>65.23</v>
      </c>
      <c r="AG75" s="847">
        <v>69.16</v>
      </c>
      <c r="AH75" s="847">
        <v>73.209999999999994</v>
      </c>
      <c r="AI75" s="847">
        <v>77.14</v>
      </c>
      <c r="AJ75" s="848">
        <v>81.08</v>
      </c>
      <c r="AK75" s="690">
        <f t="shared" si="9"/>
        <v>85.02</v>
      </c>
      <c r="AL75" s="690">
        <f t="shared" si="10"/>
        <v>88.96</v>
      </c>
      <c r="AM75" s="690">
        <f t="shared" si="10"/>
        <v>92.899999999999991</v>
      </c>
      <c r="AN75" s="690">
        <f t="shared" si="10"/>
        <v>96.839999999999989</v>
      </c>
      <c r="AO75" s="690">
        <f t="shared" si="10"/>
        <v>100.77999999999999</v>
      </c>
      <c r="AP75" s="690">
        <f t="shared" si="10"/>
        <v>104.71999999999998</v>
      </c>
      <c r="AQ75" s="690">
        <f t="shared" si="10"/>
        <v>108.65999999999998</v>
      </c>
    </row>
    <row r="76" spans="1:43">
      <c r="A76" s="1828"/>
      <c r="B76" s="262">
        <v>1</v>
      </c>
      <c r="C76" s="314">
        <f>(X76*KFC!$B$26+KFC!$C$26)*KFC!$C$5</f>
        <v>34.76</v>
      </c>
      <c r="D76" s="315">
        <f>(Y76*KFC!$B$26+KFC!$C$26)*KFC!$C$5</f>
        <v>38.9</v>
      </c>
      <c r="E76" s="315">
        <f>(Z76*KFC!$B$26+KFC!$C$26)*KFC!$C$5</f>
        <v>42.96</v>
      </c>
      <c r="F76" s="315">
        <f>(AA76*KFC!$B$26+KFC!$C$26)*KFC!$C$5</f>
        <v>47.01</v>
      </c>
      <c r="G76" s="315">
        <f>(AB76*KFC!$B$26+KFC!$C$26)*KFC!$C$5</f>
        <v>51.06</v>
      </c>
      <c r="H76" s="315">
        <f>(AC76*KFC!$B$26+KFC!$C$26)*KFC!$C$5</f>
        <v>54.99</v>
      </c>
      <c r="I76" s="315">
        <f>(AD76*KFC!$B$26+KFC!$C$26)*KFC!$C$5</f>
        <v>59.15</v>
      </c>
      <c r="J76" s="315">
        <f>(AE76*KFC!$B$26+KFC!$C$26)*KFC!$C$5</f>
        <v>63.08</v>
      </c>
      <c r="K76" s="315">
        <f>(AF76*KFC!$B$26+KFC!$C$26)*KFC!$C$5</f>
        <v>67.13</v>
      </c>
      <c r="L76" s="315">
        <f>(AG76*KFC!$B$26+KFC!$C$26)*KFC!$C$5</f>
        <v>71.3</v>
      </c>
      <c r="M76" s="315">
        <f>(AH76*KFC!$B$26+KFC!$C$26)*KFC!$C$5</f>
        <v>75.23</v>
      </c>
      <c r="N76" s="315">
        <f>(AI76*KFC!$B$26+KFC!$C$26)*KFC!$C$5</f>
        <v>79.39</v>
      </c>
      <c r="O76" s="315">
        <f>(AJ76*KFC!$B$26+KFC!$C$26)*KFC!$C$5</f>
        <v>83.56</v>
      </c>
      <c r="P76" s="315">
        <f>(AK76*KFC!$B$26+KFC!$C$26)*KFC!$C$5</f>
        <v>87.73</v>
      </c>
      <c r="Q76" s="315">
        <f>(AL76*KFC!$B$26+KFC!$C$26)*KFC!$C$5</f>
        <v>91.9</v>
      </c>
      <c r="R76" s="315">
        <f>(AM76*KFC!$B$26+KFC!$C$26)*KFC!$C$5</f>
        <v>96.070000000000007</v>
      </c>
      <c r="S76" s="315">
        <f>(AN76*KFC!$B$26+KFC!$C$26)*KFC!$C$5</f>
        <v>100.24000000000001</v>
      </c>
      <c r="T76" s="315">
        <f>(AO76*KFC!$B$26+KFC!$C$26)*KFC!$C$5</f>
        <v>104.41000000000001</v>
      </c>
      <c r="V76" s="1828"/>
      <c r="W76" s="111">
        <v>1</v>
      </c>
      <c r="X76" s="847">
        <v>34.76</v>
      </c>
      <c r="Y76" s="847">
        <v>38.9</v>
      </c>
      <c r="Z76" s="847">
        <v>42.96</v>
      </c>
      <c r="AA76" s="847">
        <v>47.01</v>
      </c>
      <c r="AB76" s="847">
        <v>51.06</v>
      </c>
      <c r="AC76" s="847">
        <v>54.99</v>
      </c>
      <c r="AD76" s="847">
        <v>59.15</v>
      </c>
      <c r="AE76" s="847">
        <v>63.08</v>
      </c>
      <c r="AF76" s="847">
        <v>67.13</v>
      </c>
      <c r="AG76" s="847">
        <v>71.3</v>
      </c>
      <c r="AH76" s="847">
        <v>75.23</v>
      </c>
      <c r="AI76" s="847">
        <v>79.39</v>
      </c>
      <c r="AJ76" s="848">
        <v>83.56</v>
      </c>
      <c r="AK76" s="690">
        <f t="shared" si="9"/>
        <v>87.73</v>
      </c>
      <c r="AL76" s="690">
        <f t="shared" si="10"/>
        <v>91.9</v>
      </c>
      <c r="AM76" s="690">
        <f t="shared" si="10"/>
        <v>96.070000000000007</v>
      </c>
      <c r="AN76" s="690">
        <f t="shared" si="10"/>
        <v>100.24000000000001</v>
      </c>
      <c r="AO76" s="690">
        <f t="shared" si="10"/>
        <v>104.41000000000001</v>
      </c>
      <c r="AP76" s="690">
        <f t="shared" si="10"/>
        <v>108.58000000000001</v>
      </c>
      <c r="AQ76" s="690">
        <f t="shared" si="10"/>
        <v>112.75000000000001</v>
      </c>
    </row>
    <row r="77" spans="1:43">
      <c r="A77" s="1828"/>
      <c r="B77" s="262">
        <v>1.1000000000000001</v>
      </c>
      <c r="C77" s="314">
        <f>(X77*KFC!$B$26+KFC!$C$26)*KFC!$C$5</f>
        <v>36.33</v>
      </c>
      <c r="D77" s="315">
        <f>(Y77*KFC!$B$26+KFC!$C$26)*KFC!$C$5</f>
        <v>40.49</v>
      </c>
      <c r="E77" s="315">
        <f>(Z77*KFC!$B$26+KFC!$C$26)*KFC!$C$5</f>
        <v>44.53</v>
      </c>
      <c r="F77" s="315">
        <f>(AA77*KFC!$B$26+KFC!$C$26)*KFC!$C$5</f>
        <v>48.57</v>
      </c>
      <c r="G77" s="315">
        <f>(AB77*KFC!$B$26+KFC!$C$26)*KFC!$C$5</f>
        <v>52.64</v>
      </c>
      <c r="H77" s="315">
        <f>(AC77*KFC!$B$26+KFC!$C$26)*KFC!$C$5</f>
        <v>56.79</v>
      </c>
      <c r="I77" s="315">
        <f>(AD77*KFC!$B$26+KFC!$C$26)*KFC!$C$5</f>
        <v>60.94</v>
      </c>
      <c r="J77" s="315">
        <f>(AE77*KFC!$B$26+KFC!$C$26)*KFC!$C$5</f>
        <v>65.010000000000005</v>
      </c>
      <c r="K77" s="315">
        <f>(AF77*KFC!$B$26+KFC!$C$26)*KFC!$C$5</f>
        <v>69.16</v>
      </c>
      <c r="L77" s="315">
        <f>(AG77*KFC!$B$26+KFC!$C$26)*KFC!$C$5</f>
        <v>73.209999999999994</v>
      </c>
      <c r="M77" s="315">
        <f>(AH77*KFC!$B$26+KFC!$C$26)*KFC!$C$5</f>
        <v>77.25</v>
      </c>
      <c r="N77" s="315">
        <f>(AI77*KFC!$B$26+KFC!$C$26)*KFC!$C$5</f>
        <v>81.42</v>
      </c>
      <c r="O77" s="315">
        <f>(AJ77*KFC!$B$26+KFC!$C$26)*KFC!$C$5</f>
        <v>85.58</v>
      </c>
      <c r="P77" s="315">
        <f>(AK77*KFC!$B$26+KFC!$C$26)*KFC!$C$5</f>
        <v>89.74</v>
      </c>
      <c r="Q77" s="315">
        <f>(AL77*KFC!$B$26+KFC!$C$26)*KFC!$C$5</f>
        <v>93.899999999999991</v>
      </c>
      <c r="R77" s="315">
        <f>(AM77*KFC!$B$26+KFC!$C$26)*KFC!$C$5</f>
        <v>98.059999999999988</v>
      </c>
      <c r="S77" s="315">
        <f>(AN77*KFC!$B$26+KFC!$C$26)*KFC!$C$5</f>
        <v>102.21999999999998</v>
      </c>
      <c r="T77" s="315">
        <f>(AO77*KFC!$B$26+KFC!$C$26)*KFC!$C$5</f>
        <v>106.37999999999998</v>
      </c>
      <c r="V77" s="1828"/>
      <c r="W77" s="111">
        <v>1.1000000000000001</v>
      </c>
      <c r="X77" s="847">
        <v>36.33</v>
      </c>
      <c r="Y77" s="847">
        <v>40.49</v>
      </c>
      <c r="Z77" s="847">
        <v>44.53</v>
      </c>
      <c r="AA77" s="847">
        <v>48.57</v>
      </c>
      <c r="AB77" s="847">
        <v>52.64</v>
      </c>
      <c r="AC77" s="847">
        <v>56.79</v>
      </c>
      <c r="AD77" s="847">
        <v>60.94</v>
      </c>
      <c r="AE77" s="847">
        <v>65.010000000000005</v>
      </c>
      <c r="AF77" s="847">
        <v>69.16</v>
      </c>
      <c r="AG77" s="847">
        <v>73.209999999999994</v>
      </c>
      <c r="AH77" s="847">
        <v>77.25</v>
      </c>
      <c r="AI77" s="847">
        <v>81.42</v>
      </c>
      <c r="AJ77" s="848">
        <v>85.58</v>
      </c>
      <c r="AK77" s="690">
        <f t="shared" si="9"/>
        <v>89.74</v>
      </c>
      <c r="AL77" s="690">
        <f t="shared" si="10"/>
        <v>93.899999999999991</v>
      </c>
      <c r="AM77" s="690">
        <f t="shared" si="10"/>
        <v>98.059999999999988</v>
      </c>
      <c r="AN77" s="690">
        <f t="shared" si="10"/>
        <v>102.21999999999998</v>
      </c>
      <c r="AO77" s="690">
        <f t="shared" si="10"/>
        <v>106.37999999999998</v>
      </c>
      <c r="AP77" s="690">
        <f t="shared" si="10"/>
        <v>110.53999999999998</v>
      </c>
      <c r="AQ77" s="690">
        <f t="shared" si="10"/>
        <v>114.69999999999997</v>
      </c>
    </row>
    <row r="78" spans="1:43">
      <c r="A78" s="1828"/>
      <c r="B78" s="262">
        <v>1.2</v>
      </c>
      <c r="C78" s="314">
        <f>(X78*KFC!$B$26+KFC!$C$26)*KFC!$C$5</f>
        <v>37.78</v>
      </c>
      <c r="D78" s="315">
        <f>(Y78*KFC!$B$26+KFC!$C$26)*KFC!$C$5</f>
        <v>41.95</v>
      </c>
      <c r="E78" s="315">
        <f>(Z78*KFC!$B$26+KFC!$C$26)*KFC!$C$5</f>
        <v>46.11</v>
      </c>
      <c r="F78" s="315">
        <f>(AA78*KFC!$B$26+KFC!$C$26)*KFC!$C$5</f>
        <v>50.15</v>
      </c>
      <c r="G78" s="315">
        <f>(AB78*KFC!$B$26+KFC!$C$26)*KFC!$C$5</f>
        <v>54.43</v>
      </c>
      <c r="H78" s="315">
        <f>(AC78*KFC!$B$26+KFC!$C$26)*KFC!$C$5</f>
        <v>58.59</v>
      </c>
      <c r="I78" s="315">
        <f>(AD78*KFC!$B$26+KFC!$C$26)*KFC!$C$5</f>
        <v>62.76</v>
      </c>
      <c r="J78" s="315">
        <f>(AE78*KFC!$B$26+KFC!$C$26)*KFC!$C$5</f>
        <v>66.8</v>
      </c>
      <c r="K78" s="315">
        <f>(AF78*KFC!$B$26+KFC!$C$26)*KFC!$C$5</f>
        <v>71.06</v>
      </c>
      <c r="L78" s="315">
        <f>(AG78*KFC!$B$26+KFC!$C$26)*KFC!$C$5</f>
        <v>75.23</v>
      </c>
      <c r="M78" s="315">
        <f>(AH78*KFC!$B$26+KFC!$C$26)*KFC!$C$5</f>
        <v>79.39</v>
      </c>
      <c r="N78" s="315">
        <f>(AI78*KFC!$B$26+KFC!$C$26)*KFC!$C$5</f>
        <v>83.43</v>
      </c>
      <c r="O78" s="315">
        <f>(AJ78*KFC!$B$26+KFC!$C$26)*KFC!$C$5</f>
        <v>87.5</v>
      </c>
      <c r="P78" s="315">
        <f>(AK78*KFC!$B$26+KFC!$C$26)*KFC!$C$5</f>
        <v>91.57</v>
      </c>
      <c r="Q78" s="315">
        <f>(AL78*KFC!$B$26+KFC!$C$26)*KFC!$C$5</f>
        <v>95.639999999999986</v>
      </c>
      <c r="R78" s="315">
        <f>(AM78*KFC!$B$26+KFC!$C$26)*KFC!$C$5</f>
        <v>99.70999999999998</v>
      </c>
      <c r="S78" s="315">
        <f>(AN78*KFC!$B$26+KFC!$C$26)*KFC!$C$5</f>
        <v>103.77999999999997</v>
      </c>
      <c r="T78" s="315">
        <f>(AO78*KFC!$B$26+KFC!$C$26)*KFC!$C$5</f>
        <v>107.84999999999997</v>
      </c>
      <c r="V78" s="1828"/>
      <c r="W78" s="111">
        <v>1.2</v>
      </c>
      <c r="X78" s="847">
        <v>37.78</v>
      </c>
      <c r="Y78" s="847">
        <v>41.95</v>
      </c>
      <c r="Z78" s="847">
        <v>46.11</v>
      </c>
      <c r="AA78" s="847">
        <v>50.15</v>
      </c>
      <c r="AB78" s="847">
        <v>54.43</v>
      </c>
      <c r="AC78" s="847">
        <v>58.59</v>
      </c>
      <c r="AD78" s="847">
        <v>62.76</v>
      </c>
      <c r="AE78" s="847">
        <v>66.8</v>
      </c>
      <c r="AF78" s="847">
        <v>71.06</v>
      </c>
      <c r="AG78" s="847">
        <v>75.23</v>
      </c>
      <c r="AH78" s="847">
        <v>79.39</v>
      </c>
      <c r="AI78" s="847">
        <v>83.43</v>
      </c>
      <c r="AJ78" s="848">
        <v>87.5</v>
      </c>
      <c r="AK78" s="690">
        <f t="shared" si="9"/>
        <v>91.57</v>
      </c>
      <c r="AL78" s="690">
        <f t="shared" si="10"/>
        <v>95.639999999999986</v>
      </c>
      <c r="AM78" s="690">
        <f t="shared" si="10"/>
        <v>99.70999999999998</v>
      </c>
      <c r="AN78" s="690">
        <f t="shared" si="10"/>
        <v>103.77999999999997</v>
      </c>
      <c r="AO78" s="690">
        <f t="shared" si="10"/>
        <v>107.84999999999997</v>
      </c>
      <c r="AP78" s="690">
        <f t="shared" si="10"/>
        <v>111.91999999999996</v>
      </c>
      <c r="AQ78" s="690">
        <f t="shared" si="10"/>
        <v>115.98999999999995</v>
      </c>
    </row>
    <row r="79" spans="1:43">
      <c r="A79" s="1828"/>
      <c r="B79" s="262">
        <v>1.3</v>
      </c>
      <c r="C79" s="314">
        <f>(X79*KFC!$B$26+KFC!$C$26)*KFC!$C$5</f>
        <v>39.25</v>
      </c>
      <c r="D79" s="315">
        <f>(Y79*KFC!$B$26+KFC!$C$26)*KFC!$C$5</f>
        <v>43.41</v>
      </c>
      <c r="E79" s="315">
        <f>(Z79*KFC!$B$26+KFC!$C$26)*KFC!$C$5</f>
        <v>47.68</v>
      </c>
      <c r="F79" s="315">
        <f>(AA79*KFC!$B$26+KFC!$C$26)*KFC!$C$5</f>
        <v>51.84</v>
      </c>
      <c r="G79" s="315">
        <f>(AB79*KFC!$B$26+KFC!$C$26)*KFC!$C$5</f>
        <v>56.12</v>
      </c>
      <c r="H79" s="315">
        <f>(AC79*KFC!$B$26+KFC!$C$26)*KFC!$C$5</f>
        <v>60.39</v>
      </c>
      <c r="I79" s="315">
        <f>(AD79*KFC!$B$26+KFC!$C$26)*KFC!$C$5</f>
        <v>64.55</v>
      </c>
      <c r="J79" s="315">
        <f>(AE79*KFC!$B$26+KFC!$C$26)*KFC!$C$5</f>
        <v>68.819999999999993</v>
      </c>
      <c r="K79" s="315">
        <f>(AF79*KFC!$B$26+KFC!$C$26)*KFC!$C$5</f>
        <v>72.989999999999995</v>
      </c>
      <c r="L79" s="315">
        <f>(AG79*KFC!$B$26+KFC!$C$26)*KFC!$C$5</f>
        <v>77.14</v>
      </c>
      <c r="M79" s="315">
        <f>(AH79*KFC!$B$26+KFC!$C$26)*KFC!$C$5</f>
        <v>81.42</v>
      </c>
      <c r="N79" s="315">
        <f>(AI79*KFC!$B$26+KFC!$C$26)*KFC!$C$5</f>
        <v>85.69</v>
      </c>
      <c r="O79" s="315">
        <f>(AJ79*KFC!$B$26+KFC!$C$26)*KFC!$C$5</f>
        <v>89.96</v>
      </c>
      <c r="P79" s="315">
        <f>(AK79*KFC!$B$26+KFC!$C$26)*KFC!$C$5</f>
        <v>94.22999999999999</v>
      </c>
      <c r="Q79" s="315">
        <f>(AL79*KFC!$B$26+KFC!$C$26)*KFC!$C$5</f>
        <v>98.499999999999986</v>
      </c>
      <c r="R79" s="315">
        <f>(AM79*KFC!$B$26+KFC!$C$26)*KFC!$C$5</f>
        <v>102.76999999999998</v>
      </c>
      <c r="S79" s="315">
        <f>(AN79*KFC!$B$26+KFC!$C$26)*KFC!$C$5</f>
        <v>107.03999999999998</v>
      </c>
      <c r="T79" s="315">
        <f>(AO79*KFC!$B$26+KFC!$C$26)*KFC!$C$5</f>
        <v>111.30999999999997</v>
      </c>
      <c r="V79" s="1828"/>
      <c r="W79" s="111">
        <v>1.3</v>
      </c>
      <c r="X79" s="847">
        <v>39.25</v>
      </c>
      <c r="Y79" s="847">
        <v>43.41</v>
      </c>
      <c r="Z79" s="847">
        <v>47.68</v>
      </c>
      <c r="AA79" s="847">
        <v>51.84</v>
      </c>
      <c r="AB79" s="847">
        <v>56.12</v>
      </c>
      <c r="AC79" s="847">
        <v>60.39</v>
      </c>
      <c r="AD79" s="847">
        <v>64.55</v>
      </c>
      <c r="AE79" s="847">
        <v>68.819999999999993</v>
      </c>
      <c r="AF79" s="847">
        <v>72.989999999999995</v>
      </c>
      <c r="AG79" s="847">
        <v>77.14</v>
      </c>
      <c r="AH79" s="847">
        <v>81.42</v>
      </c>
      <c r="AI79" s="847">
        <v>85.69</v>
      </c>
      <c r="AJ79" s="848">
        <v>89.96</v>
      </c>
      <c r="AK79" s="690">
        <f t="shared" si="9"/>
        <v>94.22999999999999</v>
      </c>
      <c r="AL79" s="690">
        <f t="shared" si="10"/>
        <v>98.499999999999986</v>
      </c>
      <c r="AM79" s="690">
        <f t="shared" si="10"/>
        <v>102.76999999999998</v>
      </c>
      <c r="AN79" s="690">
        <f t="shared" si="10"/>
        <v>107.03999999999998</v>
      </c>
      <c r="AO79" s="690">
        <f t="shared" si="10"/>
        <v>111.30999999999997</v>
      </c>
      <c r="AP79" s="690">
        <f t="shared" si="10"/>
        <v>115.57999999999997</v>
      </c>
      <c r="AQ79" s="690">
        <f t="shared" si="10"/>
        <v>119.84999999999997</v>
      </c>
    </row>
    <row r="80" spans="1:43">
      <c r="A80" s="1828"/>
      <c r="B80" s="262">
        <v>1.4</v>
      </c>
      <c r="C80" s="314">
        <f>(X80*KFC!$B$26+KFC!$C$26)*KFC!$C$5</f>
        <v>40.71</v>
      </c>
      <c r="D80" s="315">
        <f>(Y80*KFC!$B$26+KFC!$C$26)*KFC!$C$5</f>
        <v>44.98</v>
      </c>
      <c r="E80" s="315">
        <f>(Z80*KFC!$B$26+KFC!$C$26)*KFC!$C$5</f>
        <v>49.26</v>
      </c>
      <c r="F80" s="315">
        <f>(AA80*KFC!$B$26+KFC!$C$26)*KFC!$C$5</f>
        <v>53.53</v>
      </c>
      <c r="G80" s="315">
        <f>(AB80*KFC!$B$26+KFC!$C$26)*KFC!$C$5</f>
        <v>57.8</v>
      </c>
      <c r="H80" s="315">
        <f>(AC80*KFC!$B$26+KFC!$C$26)*KFC!$C$5</f>
        <v>62.08</v>
      </c>
      <c r="I80" s="315">
        <f>(AD80*KFC!$B$26+KFC!$C$26)*KFC!$C$5</f>
        <v>66.45</v>
      </c>
      <c r="J80" s="315">
        <f>(AE80*KFC!$B$26+KFC!$C$26)*KFC!$C$5</f>
        <v>70.739999999999995</v>
      </c>
      <c r="K80" s="315">
        <f>(AF80*KFC!$B$26+KFC!$C$26)*KFC!$C$5</f>
        <v>75</v>
      </c>
      <c r="L80" s="315">
        <f>(AG80*KFC!$B$26+KFC!$C$26)*KFC!$C$5</f>
        <v>79.17</v>
      </c>
      <c r="M80" s="315">
        <f>(AH80*KFC!$B$26+KFC!$C$26)*KFC!$C$5</f>
        <v>83.43</v>
      </c>
      <c r="N80" s="315">
        <f>(AI80*KFC!$B$26+KFC!$C$26)*KFC!$C$5</f>
        <v>87.72</v>
      </c>
      <c r="O80" s="315">
        <f>(AJ80*KFC!$B$26+KFC!$C$26)*KFC!$C$5</f>
        <v>91.99</v>
      </c>
      <c r="P80" s="315">
        <f>(AK80*KFC!$B$26+KFC!$C$26)*KFC!$C$5</f>
        <v>96.259999999999991</v>
      </c>
      <c r="Q80" s="315">
        <f>(AL80*KFC!$B$26+KFC!$C$26)*KFC!$C$5</f>
        <v>100.52999999999999</v>
      </c>
      <c r="R80" s="315">
        <f>(AM80*KFC!$B$26+KFC!$C$26)*KFC!$C$5</f>
        <v>104.79999999999998</v>
      </c>
      <c r="S80" s="315">
        <f>(AN80*KFC!$B$26+KFC!$C$26)*KFC!$C$5</f>
        <v>109.06999999999998</v>
      </c>
      <c r="T80" s="315">
        <f>(AO80*KFC!$B$26+KFC!$C$26)*KFC!$C$5</f>
        <v>113.33999999999997</v>
      </c>
      <c r="V80" s="1828"/>
      <c r="W80" s="111">
        <v>1.4</v>
      </c>
      <c r="X80" s="847">
        <v>40.71</v>
      </c>
      <c r="Y80" s="847">
        <v>44.98</v>
      </c>
      <c r="Z80" s="847">
        <v>49.26</v>
      </c>
      <c r="AA80" s="847">
        <v>53.53</v>
      </c>
      <c r="AB80" s="847">
        <v>57.8</v>
      </c>
      <c r="AC80" s="847">
        <v>62.08</v>
      </c>
      <c r="AD80" s="847">
        <v>66.45</v>
      </c>
      <c r="AE80" s="847">
        <v>70.739999999999995</v>
      </c>
      <c r="AF80" s="847">
        <v>75</v>
      </c>
      <c r="AG80" s="847">
        <v>79.17</v>
      </c>
      <c r="AH80" s="847">
        <v>83.43</v>
      </c>
      <c r="AI80" s="847">
        <v>87.72</v>
      </c>
      <c r="AJ80" s="848">
        <v>91.99</v>
      </c>
      <c r="AK80" s="690">
        <f t="shared" si="9"/>
        <v>96.259999999999991</v>
      </c>
      <c r="AL80" s="690">
        <f t="shared" si="10"/>
        <v>100.52999999999999</v>
      </c>
      <c r="AM80" s="690">
        <f t="shared" si="10"/>
        <v>104.79999999999998</v>
      </c>
      <c r="AN80" s="690">
        <f t="shared" si="10"/>
        <v>109.06999999999998</v>
      </c>
      <c r="AO80" s="690">
        <f t="shared" si="10"/>
        <v>113.33999999999997</v>
      </c>
      <c r="AP80" s="690">
        <f t="shared" si="10"/>
        <v>117.60999999999997</v>
      </c>
      <c r="AQ80" s="690">
        <f t="shared" si="10"/>
        <v>121.87999999999997</v>
      </c>
    </row>
    <row r="81" spans="1:43">
      <c r="A81" s="1828"/>
      <c r="B81" s="262">
        <v>1.5</v>
      </c>
      <c r="C81" s="314">
        <f>(X81*KFC!$B$26+KFC!$C$26)*KFC!$C$5</f>
        <v>42.17</v>
      </c>
      <c r="D81" s="315">
        <f>(Y81*KFC!$B$26+KFC!$C$26)*KFC!$C$5</f>
        <v>46.45</v>
      </c>
      <c r="E81" s="315">
        <f>(Z81*KFC!$B$26+KFC!$C$26)*KFC!$C$5</f>
        <v>50.95</v>
      </c>
      <c r="F81" s="315">
        <f>(AA81*KFC!$B$26+KFC!$C$26)*KFC!$C$5</f>
        <v>55.1</v>
      </c>
      <c r="G81" s="315">
        <f>(AB81*KFC!$B$26+KFC!$C$26)*KFC!$C$5</f>
        <v>59.6</v>
      </c>
      <c r="H81" s="315">
        <f>(AC81*KFC!$B$26+KFC!$C$26)*KFC!$C$5</f>
        <v>63.76</v>
      </c>
      <c r="I81" s="315">
        <f>(AD81*KFC!$B$26+KFC!$C$26)*KFC!$C$5</f>
        <v>68.260000000000005</v>
      </c>
      <c r="J81" s="315">
        <f>(AE81*KFC!$B$26+KFC!$C$26)*KFC!$C$5</f>
        <v>72.53</v>
      </c>
      <c r="K81" s="315">
        <f>(AF81*KFC!$B$26+KFC!$C$26)*KFC!$C$5</f>
        <v>76.92</v>
      </c>
      <c r="L81" s="315">
        <f>(AG81*KFC!$B$26+KFC!$C$26)*KFC!$C$5</f>
        <v>81.19</v>
      </c>
      <c r="M81" s="315">
        <f>(AH81*KFC!$B$26+KFC!$C$26)*KFC!$C$5</f>
        <v>85.58</v>
      </c>
      <c r="N81" s="315">
        <f>(AI81*KFC!$B$26+KFC!$C$26)*KFC!$C$5</f>
        <v>89.86</v>
      </c>
      <c r="O81" s="315">
        <f>(AJ81*KFC!$B$26+KFC!$C$26)*KFC!$C$5</f>
        <v>94.12</v>
      </c>
      <c r="P81" s="315">
        <f>(AK81*KFC!$B$26+KFC!$C$26)*KFC!$C$5</f>
        <v>98.38000000000001</v>
      </c>
      <c r="Q81" s="315">
        <f>(AL81*KFC!$B$26+KFC!$C$26)*KFC!$C$5</f>
        <v>102.64000000000001</v>
      </c>
      <c r="R81" s="315">
        <f>(AM81*KFC!$B$26+KFC!$C$26)*KFC!$C$5</f>
        <v>106.90000000000002</v>
      </c>
      <c r="S81" s="315">
        <f>(AN81*KFC!$B$26+KFC!$C$26)*KFC!$C$5</f>
        <v>111.16000000000003</v>
      </c>
      <c r="T81" s="315">
        <f>(AO81*KFC!$B$26+KFC!$C$26)*KFC!$C$5</f>
        <v>115.42000000000003</v>
      </c>
      <c r="V81" s="1828"/>
      <c r="W81" s="111">
        <v>1.5</v>
      </c>
      <c r="X81" s="847">
        <v>42.17</v>
      </c>
      <c r="Y81" s="847">
        <v>46.45</v>
      </c>
      <c r="Z81" s="847">
        <v>50.95</v>
      </c>
      <c r="AA81" s="847">
        <v>55.1</v>
      </c>
      <c r="AB81" s="847">
        <v>59.6</v>
      </c>
      <c r="AC81" s="847">
        <v>63.76</v>
      </c>
      <c r="AD81" s="847">
        <v>68.260000000000005</v>
      </c>
      <c r="AE81" s="847">
        <v>72.53</v>
      </c>
      <c r="AF81" s="847">
        <v>76.92</v>
      </c>
      <c r="AG81" s="847">
        <v>81.19</v>
      </c>
      <c r="AH81" s="847">
        <v>85.58</v>
      </c>
      <c r="AI81" s="847">
        <v>89.86</v>
      </c>
      <c r="AJ81" s="848">
        <v>94.12</v>
      </c>
      <c r="AK81" s="690">
        <f t="shared" si="9"/>
        <v>98.38000000000001</v>
      </c>
      <c r="AL81" s="690">
        <f t="shared" si="10"/>
        <v>102.64000000000001</v>
      </c>
      <c r="AM81" s="690">
        <f t="shared" si="10"/>
        <v>106.90000000000002</v>
      </c>
      <c r="AN81" s="690">
        <f t="shared" si="10"/>
        <v>111.16000000000003</v>
      </c>
      <c r="AO81" s="690">
        <f t="shared" si="10"/>
        <v>115.42000000000003</v>
      </c>
      <c r="AP81" s="690">
        <f t="shared" si="10"/>
        <v>119.68000000000004</v>
      </c>
      <c r="AQ81" s="690">
        <f t="shared" si="10"/>
        <v>123.94000000000004</v>
      </c>
    </row>
    <row r="82" spans="1:43">
      <c r="A82" s="1828"/>
      <c r="B82" s="262">
        <v>1.6</v>
      </c>
      <c r="C82" s="314">
        <f>(X82*KFC!$B$26+KFC!$C$26)*KFC!$C$5</f>
        <v>43.64</v>
      </c>
      <c r="D82" s="315">
        <f>(Y82*KFC!$B$26+KFC!$C$26)*KFC!$C$5</f>
        <v>48.02</v>
      </c>
      <c r="E82" s="315">
        <f>(Z82*KFC!$B$26+KFC!$C$26)*KFC!$C$5</f>
        <v>52.41</v>
      </c>
      <c r="F82" s="315">
        <f>(AA82*KFC!$B$26+KFC!$C$26)*KFC!$C$5</f>
        <v>56.79</v>
      </c>
      <c r="G82" s="315">
        <f>(AB82*KFC!$B$26+KFC!$C$26)*KFC!$C$5</f>
        <v>61.17</v>
      </c>
      <c r="H82" s="315">
        <f>(AC82*KFC!$B$26+KFC!$C$26)*KFC!$C$5</f>
        <v>65.56</v>
      </c>
      <c r="I82" s="315">
        <f>(AD82*KFC!$B$26+KFC!$C$26)*KFC!$C$5</f>
        <v>70.069999999999993</v>
      </c>
      <c r="J82" s="315">
        <f>(AE82*KFC!$B$26+KFC!$C$26)*KFC!$C$5</f>
        <v>74.45</v>
      </c>
      <c r="K82" s="315">
        <f>(AF82*KFC!$B$26+KFC!$C$26)*KFC!$C$5</f>
        <v>78.83</v>
      </c>
      <c r="L82" s="315">
        <f>(AG82*KFC!$B$26+KFC!$C$26)*KFC!$C$5</f>
        <v>83.21</v>
      </c>
      <c r="M82" s="315">
        <f>(AH82*KFC!$B$26+KFC!$C$26)*KFC!$C$5</f>
        <v>87.6</v>
      </c>
      <c r="N82" s="315">
        <f>(AI82*KFC!$B$26+KFC!$C$26)*KFC!$C$5</f>
        <v>91.99</v>
      </c>
      <c r="O82" s="315">
        <f>(AJ82*KFC!$B$26+KFC!$C$26)*KFC!$C$5</f>
        <v>96.37</v>
      </c>
      <c r="P82" s="315">
        <f>(AK82*KFC!$B$26+KFC!$C$26)*KFC!$C$5</f>
        <v>100.75000000000001</v>
      </c>
      <c r="Q82" s="315">
        <f>(AL82*KFC!$B$26+KFC!$C$26)*KFC!$C$5</f>
        <v>105.13000000000002</v>
      </c>
      <c r="R82" s="315">
        <f>(AM82*KFC!$B$26+KFC!$C$26)*KFC!$C$5</f>
        <v>109.51000000000003</v>
      </c>
      <c r="S82" s="315">
        <f>(AN82*KFC!$B$26+KFC!$C$26)*KFC!$C$5</f>
        <v>113.89000000000004</v>
      </c>
      <c r="T82" s="315">
        <f>(AO82*KFC!$B$26+KFC!$C$26)*KFC!$C$5</f>
        <v>118.27000000000005</v>
      </c>
      <c r="V82" s="1828"/>
      <c r="W82" s="111">
        <v>1.6</v>
      </c>
      <c r="X82" s="847">
        <v>43.64</v>
      </c>
      <c r="Y82" s="847">
        <v>48.02</v>
      </c>
      <c r="Z82" s="847">
        <v>52.41</v>
      </c>
      <c r="AA82" s="847">
        <v>56.79</v>
      </c>
      <c r="AB82" s="847">
        <v>61.17</v>
      </c>
      <c r="AC82" s="847">
        <v>65.56</v>
      </c>
      <c r="AD82" s="847">
        <v>70.069999999999993</v>
      </c>
      <c r="AE82" s="847">
        <v>74.45</v>
      </c>
      <c r="AF82" s="847">
        <v>78.83</v>
      </c>
      <c r="AG82" s="847">
        <v>83.21</v>
      </c>
      <c r="AH82" s="847">
        <v>87.6</v>
      </c>
      <c r="AI82" s="847">
        <v>91.99</v>
      </c>
      <c r="AJ82" s="848">
        <v>96.37</v>
      </c>
      <c r="AK82" s="690">
        <f t="shared" si="9"/>
        <v>100.75000000000001</v>
      </c>
      <c r="AL82" s="690">
        <f t="shared" si="10"/>
        <v>105.13000000000002</v>
      </c>
      <c r="AM82" s="690">
        <f t="shared" si="10"/>
        <v>109.51000000000003</v>
      </c>
      <c r="AN82" s="690">
        <f t="shared" si="10"/>
        <v>113.89000000000004</v>
      </c>
      <c r="AO82" s="690">
        <f t="shared" si="10"/>
        <v>118.27000000000005</v>
      </c>
      <c r="AP82" s="690">
        <f t="shared" si="10"/>
        <v>122.65000000000006</v>
      </c>
      <c r="AQ82" s="690">
        <f t="shared" si="10"/>
        <v>127.03000000000007</v>
      </c>
    </row>
    <row r="83" spans="1:43">
      <c r="A83" s="1828"/>
      <c r="B83" s="262">
        <v>1.7</v>
      </c>
      <c r="C83" s="314">
        <f>(X83*KFC!$B$26+KFC!$C$26)*KFC!$C$5</f>
        <v>45.1</v>
      </c>
      <c r="D83" s="315">
        <f>(Y83*KFC!$B$26+KFC!$C$26)*KFC!$C$5</f>
        <v>49.48</v>
      </c>
      <c r="E83" s="315">
        <f>(Z83*KFC!$B$26+KFC!$C$26)*KFC!$C$5</f>
        <v>54.09</v>
      </c>
      <c r="F83" s="315">
        <f>(AA83*KFC!$B$26+KFC!$C$26)*KFC!$C$5</f>
        <v>58.47</v>
      </c>
      <c r="G83" s="315">
        <f>(AB83*KFC!$B$26+KFC!$C$26)*KFC!$C$5</f>
        <v>62.86</v>
      </c>
      <c r="H83" s="315">
        <f>(AC83*KFC!$B$26+KFC!$C$26)*KFC!$C$5</f>
        <v>67.37</v>
      </c>
      <c r="I83" s="315">
        <f>(AD83*KFC!$B$26+KFC!$C$26)*KFC!$C$5</f>
        <v>71.75</v>
      </c>
      <c r="J83" s="315">
        <f>(AE83*KFC!$B$26+KFC!$C$26)*KFC!$C$5</f>
        <v>76.36</v>
      </c>
      <c r="K83" s="315">
        <f>(AF83*KFC!$B$26+KFC!$C$26)*KFC!$C$5</f>
        <v>80.75</v>
      </c>
      <c r="L83" s="315">
        <f>(AG83*KFC!$B$26+KFC!$C$26)*KFC!$C$5</f>
        <v>85.12</v>
      </c>
      <c r="M83" s="315">
        <f>(AH83*KFC!$B$26+KFC!$C$26)*KFC!$C$5</f>
        <v>89.62</v>
      </c>
      <c r="N83" s="315">
        <f>(AI83*KFC!$B$26+KFC!$C$26)*KFC!$C$5</f>
        <v>94.12</v>
      </c>
      <c r="O83" s="315">
        <f>(AJ83*KFC!$B$26+KFC!$C$26)*KFC!$C$5</f>
        <v>98.62</v>
      </c>
      <c r="P83" s="315">
        <f>(AK83*KFC!$B$26+KFC!$C$26)*KFC!$C$5</f>
        <v>103.12</v>
      </c>
      <c r="Q83" s="315">
        <f>(AL83*KFC!$B$26+KFC!$C$26)*KFC!$C$5</f>
        <v>107.62</v>
      </c>
      <c r="R83" s="315">
        <f>(AM83*KFC!$B$26+KFC!$C$26)*KFC!$C$5</f>
        <v>112.12</v>
      </c>
      <c r="S83" s="315">
        <f>(AN83*KFC!$B$26+KFC!$C$26)*KFC!$C$5</f>
        <v>116.62</v>
      </c>
      <c r="T83" s="315">
        <f>(AO83*KFC!$B$26+KFC!$C$26)*KFC!$C$5</f>
        <v>121.12</v>
      </c>
      <c r="V83" s="1828"/>
      <c r="W83" s="111">
        <v>1.7</v>
      </c>
      <c r="X83" s="847">
        <v>45.1</v>
      </c>
      <c r="Y83" s="847">
        <v>49.48</v>
      </c>
      <c r="Z83" s="847">
        <v>54.09</v>
      </c>
      <c r="AA83" s="847">
        <v>58.47</v>
      </c>
      <c r="AB83" s="847">
        <v>62.86</v>
      </c>
      <c r="AC83" s="847">
        <v>67.37</v>
      </c>
      <c r="AD83" s="847">
        <v>71.75</v>
      </c>
      <c r="AE83" s="847">
        <v>76.36</v>
      </c>
      <c r="AF83" s="847">
        <v>80.75</v>
      </c>
      <c r="AG83" s="847">
        <v>85.12</v>
      </c>
      <c r="AH83" s="847">
        <v>89.62</v>
      </c>
      <c r="AI83" s="847">
        <v>94.12</v>
      </c>
      <c r="AJ83" s="848">
        <v>98.62</v>
      </c>
      <c r="AK83" s="690">
        <f t="shared" si="9"/>
        <v>103.12</v>
      </c>
      <c r="AL83" s="690">
        <f t="shared" si="10"/>
        <v>107.62</v>
      </c>
      <c r="AM83" s="690">
        <f t="shared" si="10"/>
        <v>112.12</v>
      </c>
      <c r="AN83" s="690">
        <f t="shared" si="10"/>
        <v>116.62</v>
      </c>
      <c r="AO83" s="690">
        <f t="shared" si="10"/>
        <v>121.12</v>
      </c>
      <c r="AP83" s="690">
        <f t="shared" si="10"/>
        <v>125.62</v>
      </c>
      <c r="AQ83" s="690">
        <f t="shared" si="10"/>
        <v>130.12</v>
      </c>
    </row>
    <row r="84" spans="1:43">
      <c r="A84" s="1828"/>
      <c r="B84" s="262">
        <v>1.8</v>
      </c>
      <c r="C84" s="314">
        <f>(X84*KFC!$B$26+KFC!$C$26)*KFC!$C$5</f>
        <v>46.67</v>
      </c>
      <c r="D84" s="315">
        <f>(Y84*KFC!$B$26+KFC!$C$26)*KFC!$C$5</f>
        <v>51.06</v>
      </c>
      <c r="E84" s="315">
        <f>(Z84*KFC!$B$26+KFC!$C$26)*KFC!$C$5</f>
        <v>55.56</v>
      </c>
      <c r="F84" s="315">
        <f>(AA84*KFC!$B$26+KFC!$C$26)*KFC!$C$5</f>
        <v>60.05</v>
      </c>
      <c r="G84" s="315">
        <f>(AB84*KFC!$B$26+KFC!$C$26)*KFC!$C$5</f>
        <v>64.66</v>
      </c>
      <c r="H84" s="315">
        <f>(AC84*KFC!$B$26+KFC!$C$26)*KFC!$C$5</f>
        <v>69.16</v>
      </c>
      <c r="I84" s="315">
        <f>(AD84*KFC!$B$26+KFC!$C$26)*KFC!$C$5</f>
        <v>73.55</v>
      </c>
      <c r="J84" s="315">
        <f>(AE84*KFC!$B$26+KFC!$C$26)*KFC!$C$5</f>
        <v>78.150000000000006</v>
      </c>
      <c r="K84" s="315">
        <f>(AF84*KFC!$B$26+KFC!$C$26)*KFC!$C$5</f>
        <v>82.66</v>
      </c>
      <c r="L84" s="315">
        <f>(AG84*KFC!$B$26+KFC!$C$26)*KFC!$C$5</f>
        <v>87.15</v>
      </c>
      <c r="M84" s="315">
        <f>(AH84*KFC!$B$26+KFC!$C$26)*KFC!$C$5</f>
        <v>91.76</v>
      </c>
      <c r="N84" s="315">
        <f>(AI84*KFC!$B$26+KFC!$C$26)*KFC!$C$5</f>
        <v>96.15</v>
      </c>
      <c r="O84" s="315">
        <f>(AJ84*KFC!$B$26+KFC!$C$26)*KFC!$C$5</f>
        <v>100.54</v>
      </c>
      <c r="P84" s="315">
        <f>(AK84*KFC!$B$26+KFC!$C$26)*KFC!$C$5</f>
        <v>104.93</v>
      </c>
      <c r="Q84" s="315">
        <f>(AL84*KFC!$B$26+KFC!$C$26)*KFC!$C$5</f>
        <v>109.32000000000001</v>
      </c>
      <c r="R84" s="315">
        <f>(AM84*KFC!$B$26+KFC!$C$26)*KFC!$C$5</f>
        <v>113.71000000000001</v>
      </c>
      <c r="S84" s="315">
        <f>(AN84*KFC!$B$26+KFC!$C$26)*KFC!$C$5</f>
        <v>118.10000000000001</v>
      </c>
      <c r="T84" s="315">
        <f>(AO84*KFC!$B$26+KFC!$C$26)*KFC!$C$5</f>
        <v>122.49000000000001</v>
      </c>
      <c r="V84" s="1828"/>
      <c r="W84" s="111">
        <v>1.8</v>
      </c>
      <c r="X84" s="847">
        <v>46.67</v>
      </c>
      <c r="Y84" s="847">
        <v>51.06</v>
      </c>
      <c r="Z84" s="847">
        <v>55.56</v>
      </c>
      <c r="AA84" s="847">
        <v>60.05</v>
      </c>
      <c r="AB84" s="847">
        <v>64.66</v>
      </c>
      <c r="AC84" s="847">
        <v>69.16</v>
      </c>
      <c r="AD84" s="847">
        <v>73.55</v>
      </c>
      <c r="AE84" s="847">
        <v>78.150000000000006</v>
      </c>
      <c r="AF84" s="847">
        <v>82.66</v>
      </c>
      <c r="AG84" s="847">
        <v>87.15</v>
      </c>
      <c r="AH84" s="847">
        <v>91.76</v>
      </c>
      <c r="AI84" s="847">
        <v>96.15</v>
      </c>
      <c r="AJ84" s="848">
        <v>100.54</v>
      </c>
      <c r="AK84" s="690">
        <f t="shared" si="9"/>
        <v>104.93</v>
      </c>
      <c r="AL84" s="690">
        <f t="shared" si="10"/>
        <v>109.32000000000001</v>
      </c>
      <c r="AM84" s="690">
        <f t="shared" si="10"/>
        <v>113.71000000000001</v>
      </c>
      <c r="AN84" s="690">
        <f t="shared" si="10"/>
        <v>118.10000000000001</v>
      </c>
      <c r="AO84" s="690">
        <f t="shared" si="10"/>
        <v>122.49000000000001</v>
      </c>
      <c r="AP84" s="690">
        <f t="shared" si="10"/>
        <v>126.88000000000001</v>
      </c>
      <c r="AQ84" s="690">
        <f t="shared" si="10"/>
        <v>131.27000000000001</v>
      </c>
    </row>
    <row r="85" spans="1:43">
      <c r="A85" s="1828"/>
      <c r="B85" s="262">
        <v>1.9</v>
      </c>
      <c r="C85" s="314">
        <f>(X85*KFC!$B$26+KFC!$C$26)*KFC!$C$5</f>
        <v>48.02</v>
      </c>
      <c r="D85" s="315">
        <f>(Y85*KFC!$B$26+KFC!$C$26)*KFC!$C$5</f>
        <v>52.64</v>
      </c>
      <c r="E85" s="315">
        <f>(Z85*KFC!$B$26+KFC!$C$26)*KFC!$C$5</f>
        <v>57.25</v>
      </c>
      <c r="F85" s="315">
        <f>(AA85*KFC!$B$26+KFC!$C$26)*KFC!$C$5</f>
        <v>61.74</v>
      </c>
      <c r="G85" s="315">
        <f>(AB85*KFC!$B$26+KFC!$C$26)*KFC!$C$5</f>
        <v>66.23</v>
      </c>
      <c r="H85" s="315">
        <f>(AC85*KFC!$B$26+KFC!$C$26)*KFC!$C$5</f>
        <v>70.84</v>
      </c>
      <c r="I85" s="315">
        <f>(AD85*KFC!$B$26+KFC!$C$26)*KFC!$C$5</f>
        <v>75.45</v>
      </c>
      <c r="J85" s="315">
        <f>(AE85*KFC!$B$26+KFC!$C$26)*KFC!$C$5</f>
        <v>80.06</v>
      </c>
      <c r="K85" s="315">
        <f>(AF85*KFC!$B$26+KFC!$C$26)*KFC!$C$5</f>
        <v>84.57</v>
      </c>
      <c r="L85" s="315">
        <f>(AG85*KFC!$B$26+KFC!$C$26)*KFC!$C$5</f>
        <v>89.18</v>
      </c>
      <c r="M85" s="315">
        <f>(AH85*KFC!$B$26+KFC!$C$26)*KFC!$C$5</f>
        <v>93.68</v>
      </c>
      <c r="N85" s="315">
        <f>(AI85*KFC!$B$26+KFC!$C$26)*KFC!$C$5</f>
        <v>98.29</v>
      </c>
      <c r="O85" s="315">
        <f>(AJ85*KFC!$B$26+KFC!$C$26)*KFC!$C$5</f>
        <v>102.9</v>
      </c>
      <c r="P85" s="315">
        <f>(AK85*KFC!$B$26+KFC!$C$26)*KFC!$C$5</f>
        <v>107.51</v>
      </c>
      <c r="Q85" s="315">
        <f>(AL85*KFC!$B$26+KFC!$C$26)*KFC!$C$5</f>
        <v>112.12</v>
      </c>
      <c r="R85" s="315">
        <f>(AM85*KFC!$B$26+KFC!$C$26)*KFC!$C$5</f>
        <v>116.73</v>
      </c>
      <c r="S85" s="315">
        <f>(AN85*KFC!$B$26+KFC!$C$26)*KFC!$C$5</f>
        <v>121.34</v>
      </c>
      <c r="T85" s="315">
        <f>(AO85*KFC!$B$26+KFC!$C$26)*KFC!$C$5</f>
        <v>125.95</v>
      </c>
      <c r="V85" s="1828"/>
      <c r="W85" s="111">
        <v>1.9</v>
      </c>
      <c r="X85" s="847">
        <v>48.02</v>
      </c>
      <c r="Y85" s="847">
        <v>52.64</v>
      </c>
      <c r="Z85" s="847">
        <v>57.25</v>
      </c>
      <c r="AA85" s="847">
        <v>61.74</v>
      </c>
      <c r="AB85" s="847">
        <v>66.23</v>
      </c>
      <c r="AC85" s="847">
        <v>70.84</v>
      </c>
      <c r="AD85" s="847">
        <v>75.45</v>
      </c>
      <c r="AE85" s="847">
        <v>80.06</v>
      </c>
      <c r="AF85" s="847">
        <v>84.57</v>
      </c>
      <c r="AG85" s="847">
        <v>89.18</v>
      </c>
      <c r="AH85" s="847">
        <v>93.68</v>
      </c>
      <c r="AI85" s="847">
        <v>98.29</v>
      </c>
      <c r="AJ85" s="848">
        <v>102.9</v>
      </c>
      <c r="AK85" s="690">
        <f t="shared" si="9"/>
        <v>107.51</v>
      </c>
      <c r="AL85" s="690">
        <f t="shared" si="10"/>
        <v>112.12</v>
      </c>
      <c r="AM85" s="690">
        <f t="shared" si="10"/>
        <v>116.73</v>
      </c>
      <c r="AN85" s="690">
        <f t="shared" si="10"/>
        <v>121.34</v>
      </c>
      <c r="AO85" s="690">
        <f t="shared" si="10"/>
        <v>125.95</v>
      </c>
      <c r="AP85" s="690">
        <f t="shared" si="10"/>
        <v>130.56</v>
      </c>
      <c r="AQ85" s="690">
        <f t="shared" si="10"/>
        <v>135.17000000000002</v>
      </c>
    </row>
    <row r="86" spans="1:43">
      <c r="A86" s="1828"/>
      <c r="B86" s="262">
        <v>2</v>
      </c>
      <c r="C86" s="314">
        <f>(X86*KFC!$B$26+KFC!$C$26)*KFC!$C$5</f>
        <v>49.48</v>
      </c>
      <c r="D86" s="315">
        <f>(Y86*KFC!$B$26+KFC!$C$26)*KFC!$C$5</f>
        <v>54.2</v>
      </c>
      <c r="E86" s="315">
        <f>(Z86*KFC!$B$26+KFC!$C$26)*KFC!$C$5</f>
        <v>58.7</v>
      </c>
      <c r="F86" s="315">
        <f>(AA86*KFC!$B$26+KFC!$C$26)*KFC!$C$5</f>
        <v>63.43</v>
      </c>
      <c r="G86" s="315">
        <f>(AB86*KFC!$B$26+KFC!$C$26)*KFC!$C$5</f>
        <v>68.040000000000006</v>
      </c>
      <c r="H86" s="315">
        <f>(AC86*KFC!$B$26+KFC!$C$26)*KFC!$C$5</f>
        <v>72.64</v>
      </c>
      <c r="I86" s="315">
        <f>(AD86*KFC!$B$26+KFC!$C$26)*KFC!$C$5</f>
        <v>77.25</v>
      </c>
      <c r="J86" s="315">
        <f>(AE86*KFC!$B$26+KFC!$C$26)*KFC!$C$5</f>
        <v>81.87</v>
      </c>
      <c r="K86" s="315">
        <f>(AF86*KFC!$B$26+KFC!$C$26)*KFC!$C$5</f>
        <v>86.48</v>
      </c>
      <c r="L86" s="315">
        <f>(AG86*KFC!$B$26+KFC!$C$26)*KFC!$C$5</f>
        <v>91.2</v>
      </c>
      <c r="M86" s="315">
        <f>(AH86*KFC!$B$26+KFC!$C$26)*KFC!$C$5</f>
        <v>95.7</v>
      </c>
      <c r="N86" s="315">
        <f>(AI86*KFC!$B$26+KFC!$C$26)*KFC!$C$5</f>
        <v>100.42</v>
      </c>
      <c r="O86" s="315">
        <f>(AJ86*KFC!$B$26+KFC!$C$26)*KFC!$C$5</f>
        <v>105.15</v>
      </c>
      <c r="P86" s="315">
        <f>(AK86*KFC!$B$26+KFC!$C$26)*KFC!$C$5</f>
        <v>109.88000000000001</v>
      </c>
      <c r="Q86" s="315">
        <f>(AL86*KFC!$B$26+KFC!$C$26)*KFC!$C$5</f>
        <v>114.61000000000001</v>
      </c>
      <c r="R86" s="315">
        <f>(AM86*KFC!$B$26+KFC!$C$26)*KFC!$C$5</f>
        <v>119.34000000000002</v>
      </c>
      <c r="S86" s="315">
        <f>(AN86*KFC!$B$26+KFC!$C$26)*KFC!$C$5</f>
        <v>124.07000000000002</v>
      </c>
      <c r="T86" s="315">
        <f>(AO86*KFC!$B$26+KFC!$C$26)*KFC!$C$5</f>
        <v>128.80000000000001</v>
      </c>
      <c r="V86" s="1828"/>
      <c r="W86" s="111">
        <v>2</v>
      </c>
      <c r="X86" s="847">
        <v>49.48</v>
      </c>
      <c r="Y86" s="847">
        <v>54.2</v>
      </c>
      <c r="Z86" s="847">
        <v>58.7</v>
      </c>
      <c r="AA86" s="847">
        <v>63.43</v>
      </c>
      <c r="AB86" s="847">
        <v>68.040000000000006</v>
      </c>
      <c r="AC86" s="847">
        <v>72.64</v>
      </c>
      <c r="AD86" s="847">
        <v>77.25</v>
      </c>
      <c r="AE86" s="847">
        <v>81.87</v>
      </c>
      <c r="AF86" s="847">
        <v>86.48</v>
      </c>
      <c r="AG86" s="847">
        <v>91.2</v>
      </c>
      <c r="AH86" s="847">
        <v>95.7</v>
      </c>
      <c r="AI86" s="847">
        <v>100.42</v>
      </c>
      <c r="AJ86" s="848">
        <v>105.15</v>
      </c>
      <c r="AK86" s="690">
        <f t="shared" si="9"/>
        <v>109.88000000000001</v>
      </c>
      <c r="AL86" s="690">
        <f t="shared" si="10"/>
        <v>114.61000000000001</v>
      </c>
      <c r="AM86" s="690">
        <f t="shared" si="10"/>
        <v>119.34000000000002</v>
      </c>
      <c r="AN86" s="690">
        <f t="shared" si="10"/>
        <v>124.07000000000002</v>
      </c>
      <c r="AO86" s="690">
        <f t="shared" si="10"/>
        <v>128.80000000000001</v>
      </c>
      <c r="AP86" s="690">
        <f t="shared" si="10"/>
        <v>133.53</v>
      </c>
      <c r="AQ86" s="690">
        <f t="shared" si="10"/>
        <v>138.26</v>
      </c>
    </row>
    <row r="87" spans="1:43">
      <c r="A87" s="1828"/>
      <c r="B87" s="262">
        <v>2.1</v>
      </c>
      <c r="C87" s="314">
        <f>(X87*KFC!$B$26+KFC!$C$26)*KFC!$C$5</f>
        <v>50.95</v>
      </c>
      <c r="D87" s="315">
        <f>(Y87*KFC!$B$26+KFC!$C$26)*KFC!$C$5</f>
        <v>55.78</v>
      </c>
      <c r="E87" s="315">
        <f>(Z87*KFC!$B$26+KFC!$C$26)*KFC!$C$5</f>
        <v>60.17</v>
      </c>
      <c r="F87" s="315">
        <f>(AA87*KFC!$B$26+KFC!$C$26)*KFC!$C$5</f>
        <v>65.11</v>
      </c>
      <c r="G87" s="315">
        <f>(AB87*KFC!$B$26+KFC!$C$26)*KFC!$C$5</f>
        <v>69.84</v>
      </c>
      <c r="H87" s="315">
        <f>(AC87*KFC!$B$26+KFC!$C$26)*KFC!$C$5</f>
        <v>74.45</v>
      </c>
      <c r="I87" s="315">
        <f>(AD87*KFC!$B$26+KFC!$C$26)*KFC!$C$5</f>
        <v>79.069999999999993</v>
      </c>
      <c r="J87" s="315">
        <f>(AE87*KFC!$B$26+KFC!$C$26)*KFC!$C$5</f>
        <v>83.66</v>
      </c>
      <c r="K87" s="315">
        <f>(AF87*KFC!$B$26+KFC!$C$26)*KFC!$C$5</f>
        <v>88.39</v>
      </c>
      <c r="L87" s="315">
        <f>(AG87*KFC!$B$26+KFC!$C$26)*KFC!$C$5</f>
        <v>93.23</v>
      </c>
      <c r="M87" s="315">
        <f>(AH87*KFC!$B$26+KFC!$C$26)*KFC!$C$5</f>
        <v>97.72</v>
      </c>
      <c r="N87" s="315">
        <f>(AI87*KFC!$B$26+KFC!$C$26)*KFC!$C$5</f>
        <v>102.55</v>
      </c>
      <c r="O87" s="315">
        <f>(AJ87*KFC!$B$26+KFC!$C$26)*KFC!$C$5</f>
        <v>107.39</v>
      </c>
      <c r="P87" s="315">
        <f>(AK87*KFC!$B$26+KFC!$C$26)*KFC!$C$5</f>
        <v>112.23</v>
      </c>
      <c r="Q87" s="315">
        <f>(AL87*KFC!$B$26+KFC!$C$26)*KFC!$C$5</f>
        <v>117.07000000000001</v>
      </c>
      <c r="R87" s="315">
        <f>(AM87*KFC!$B$26+KFC!$C$26)*KFC!$C$5</f>
        <v>121.91000000000001</v>
      </c>
      <c r="S87" s="315">
        <f>(AN87*KFC!$B$26+KFC!$C$26)*KFC!$C$5</f>
        <v>126.75000000000001</v>
      </c>
      <c r="T87" s="315">
        <f>(AO87*KFC!$B$26+KFC!$C$26)*KFC!$C$5</f>
        <v>131.59000000000003</v>
      </c>
      <c r="V87" s="1828"/>
      <c r="W87" s="111">
        <v>2.1</v>
      </c>
      <c r="X87" s="847">
        <v>50.95</v>
      </c>
      <c r="Y87" s="847">
        <v>55.78</v>
      </c>
      <c r="Z87" s="847">
        <v>60.17</v>
      </c>
      <c r="AA87" s="847">
        <v>65.11</v>
      </c>
      <c r="AB87" s="847">
        <v>69.84</v>
      </c>
      <c r="AC87" s="847">
        <v>74.45</v>
      </c>
      <c r="AD87" s="847">
        <v>79.069999999999993</v>
      </c>
      <c r="AE87" s="847">
        <v>83.66</v>
      </c>
      <c r="AF87" s="847">
        <v>88.39</v>
      </c>
      <c r="AG87" s="847">
        <v>93.23</v>
      </c>
      <c r="AH87" s="847">
        <v>97.72</v>
      </c>
      <c r="AI87" s="847">
        <v>102.55</v>
      </c>
      <c r="AJ87" s="848">
        <v>107.39</v>
      </c>
      <c r="AK87" s="690">
        <f t="shared" si="9"/>
        <v>112.23</v>
      </c>
      <c r="AL87" s="690">
        <f t="shared" ref="AL87:AQ88" si="11">AK87-AJ87+AK87</f>
        <v>117.07000000000001</v>
      </c>
      <c r="AM87" s="690">
        <f t="shared" si="11"/>
        <v>121.91000000000001</v>
      </c>
      <c r="AN87" s="690">
        <f t="shared" si="11"/>
        <v>126.75000000000001</v>
      </c>
      <c r="AO87" s="690">
        <f t="shared" si="11"/>
        <v>131.59000000000003</v>
      </c>
      <c r="AP87" s="690">
        <f t="shared" si="11"/>
        <v>136.43000000000006</v>
      </c>
      <c r="AQ87" s="690">
        <f t="shared" si="11"/>
        <v>141.2700000000001</v>
      </c>
    </row>
    <row r="88" spans="1:43" ht="13.8" thickBot="1">
      <c r="A88" s="1829"/>
      <c r="B88" s="263">
        <v>2.2000000000000002</v>
      </c>
      <c r="C88" s="317">
        <f>(X88*KFC!$B$26+KFC!$C$26)*KFC!$C$5</f>
        <v>52.41</v>
      </c>
      <c r="D88" s="318">
        <f>(Y88*KFC!$B$26+KFC!$C$26)*KFC!$C$5</f>
        <v>57.35</v>
      </c>
      <c r="E88" s="318">
        <f>(Z88*KFC!$B$26+KFC!$C$26)*KFC!$C$5</f>
        <v>61.64</v>
      </c>
      <c r="F88" s="318">
        <f>(AA88*KFC!$B$26+KFC!$C$26)*KFC!$C$5</f>
        <v>66.8</v>
      </c>
      <c r="G88" s="318">
        <f>(AB88*KFC!$B$26+KFC!$C$26)*KFC!$C$5</f>
        <v>71.63</v>
      </c>
      <c r="H88" s="318">
        <f>(AC88*KFC!$B$26+KFC!$C$26)*KFC!$C$5</f>
        <v>76.25</v>
      </c>
      <c r="I88" s="318">
        <f>(AD88*KFC!$B$26+KFC!$C$26)*KFC!$C$5</f>
        <v>80.86</v>
      </c>
      <c r="J88" s="318">
        <f>(AE88*KFC!$B$26+KFC!$C$26)*KFC!$C$5</f>
        <v>85.47</v>
      </c>
      <c r="K88" s="318">
        <f>(AF88*KFC!$B$26+KFC!$C$26)*KFC!$C$5</f>
        <v>90.31</v>
      </c>
      <c r="L88" s="318">
        <f>(AG88*KFC!$B$26+KFC!$C$26)*KFC!$C$5</f>
        <v>95.25</v>
      </c>
      <c r="M88" s="318">
        <f>(AH88*KFC!$B$26+KFC!$C$26)*KFC!$C$5</f>
        <v>99.74</v>
      </c>
      <c r="N88" s="318">
        <f>(AI88*KFC!$B$26+KFC!$C$26)*KFC!$C$5</f>
        <v>104.7</v>
      </c>
      <c r="O88" s="318">
        <f>(AJ88*KFC!$B$26+KFC!$C$26)*KFC!$C$5</f>
        <v>109.64</v>
      </c>
      <c r="P88" s="318">
        <f>(AK88*KFC!$B$26+KFC!$C$26)*KFC!$C$5</f>
        <v>114.58</v>
      </c>
      <c r="Q88" s="318">
        <f>(AL88*KFC!$B$26+KFC!$C$26)*KFC!$C$5</f>
        <v>119.52</v>
      </c>
      <c r="R88" s="318">
        <f>(AM88*KFC!$B$26+KFC!$C$26)*KFC!$C$5</f>
        <v>124.46</v>
      </c>
      <c r="S88" s="318">
        <f>(AN88*KFC!$B$26+KFC!$C$26)*KFC!$C$5</f>
        <v>129.39999999999998</v>
      </c>
      <c r="T88" s="318">
        <f>(AO88*KFC!$B$26+KFC!$C$26)*KFC!$C$5</f>
        <v>134.33999999999997</v>
      </c>
      <c r="V88" s="1829"/>
      <c r="W88" s="112">
        <v>2.2000000000000002</v>
      </c>
      <c r="X88" s="847">
        <v>52.41</v>
      </c>
      <c r="Y88" s="847">
        <v>57.35</v>
      </c>
      <c r="Z88" s="847">
        <v>61.64</v>
      </c>
      <c r="AA88" s="847">
        <v>66.8</v>
      </c>
      <c r="AB88" s="847">
        <v>71.63</v>
      </c>
      <c r="AC88" s="847">
        <v>76.25</v>
      </c>
      <c r="AD88" s="847">
        <v>80.86</v>
      </c>
      <c r="AE88" s="847">
        <v>85.47</v>
      </c>
      <c r="AF88" s="847">
        <v>90.31</v>
      </c>
      <c r="AG88" s="847">
        <v>95.25</v>
      </c>
      <c r="AH88" s="847">
        <v>99.74</v>
      </c>
      <c r="AI88" s="847">
        <v>104.7</v>
      </c>
      <c r="AJ88" s="848">
        <v>109.64</v>
      </c>
      <c r="AK88" s="690">
        <f t="shared" si="9"/>
        <v>114.58</v>
      </c>
      <c r="AL88" s="690">
        <f t="shared" si="11"/>
        <v>119.52</v>
      </c>
      <c r="AM88" s="690">
        <f t="shared" si="11"/>
        <v>124.46</v>
      </c>
      <c r="AN88" s="690">
        <f t="shared" si="11"/>
        <v>129.39999999999998</v>
      </c>
      <c r="AO88" s="690">
        <f t="shared" si="11"/>
        <v>134.33999999999997</v>
      </c>
      <c r="AP88" s="690">
        <f t="shared" si="11"/>
        <v>139.27999999999997</v>
      </c>
      <c r="AQ88" s="690">
        <f t="shared" si="11"/>
        <v>144.21999999999997</v>
      </c>
    </row>
    <row r="89" spans="1:43" ht="13.8" thickBot="1">
      <c r="A89" s="249"/>
      <c r="B89" s="249"/>
      <c r="C89" s="249"/>
      <c r="D89" s="249"/>
      <c r="E89" s="249"/>
      <c r="F89" s="249"/>
      <c r="G89" s="249"/>
      <c r="H89" s="249"/>
      <c r="I89" s="249"/>
      <c r="J89" s="249"/>
      <c r="K89" s="249"/>
      <c r="L89" s="249"/>
    </row>
    <row r="90" spans="1:43" ht="13.8" thickBot="1">
      <c r="A90" s="1413" t="s">
        <v>319</v>
      </c>
      <c r="B90" s="1415"/>
      <c r="C90" s="1534" t="s">
        <v>207</v>
      </c>
      <c r="D90" s="1535"/>
      <c r="E90" s="1535"/>
      <c r="F90" s="1535"/>
      <c r="G90" s="1535"/>
      <c r="H90" s="1535"/>
      <c r="I90" s="1535"/>
      <c r="J90" s="1535"/>
      <c r="K90" s="1535"/>
      <c r="L90" s="1535"/>
      <c r="M90" s="1535"/>
      <c r="N90" s="1535"/>
      <c r="O90" s="1535"/>
      <c r="P90" s="1535"/>
      <c r="Q90" s="1535"/>
      <c r="R90" s="1535"/>
      <c r="S90" s="1535"/>
      <c r="T90" s="1536"/>
      <c r="V90" s="1413" t="s">
        <v>319</v>
      </c>
      <c r="W90" s="1415"/>
      <c r="X90" s="1825" t="s">
        <v>207</v>
      </c>
      <c r="Y90" s="1826"/>
      <c r="Z90" s="1826"/>
      <c r="AA90" s="1826"/>
      <c r="AB90" s="1826"/>
      <c r="AC90" s="1826"/>
      <c r="AD90" s="1826"/>
      <c r="AE90" s="1826"/>
      <c r="AF90" s="1826"/>
      <c r="AG90" s="1826"/>
      <c r="AH90" s="1826"/>
      <c r="AI90" s="1826"/>
      <c r="AJ90" s="1826"/>
      <c r="AK90" s="1826"/>
      <c r="AL90" s="1826"/>
      <c r="AM90" s="1826"/>
      <c r="AN90" s="1826"/>
      <c r="AO90" s="1826"/>
      <c r="AP90" s="1826"/>
      <c r="AQ90" s="1826"/>
    </row>
    <row r="91" spans="1:43" ht="13.8" thickBot="1">
      <c r="A91" s="1803"/>
      <c r="B91" s="1802"/>
      <c r="C91" s="119">
        <v>0.4</v>
      </c>
      <c r="D91" s="119">
        <v>0.5</v>
      </c>
      <c r="E91" s="119">
        <v>0.6</v>
      </c>
      <c r="F91" s="119">
        <v>0.7</v>
      </c>
      <c r="G91" s="119">
        <v>0.8</v>
      </c>
      <c r="H91" s="119">
        <v>0.9</v>
      </c>
      <c r="I91" s="119">
        <v>1</v>
      </c>
      <c r="J91" s="119">
        <v>1.1000000000000001</v>
      </c>
      <c r="K91" s="119">
        <v>1.2</v>
      </c>
      <c r="L91" s="119">
        <v>1.3</v>
      </c>
      <c r="M91" s="119">
        <v>1.4</v>
      </c>
      <c r="N91" s="119">
        <v>1.5</v>
      </c>
      <c r="O91" s="119">
        <v>1.6</v>
      </c>
      <c r="P91" s="119">
        <v>1.7</v>
      </c>
      <c r="Q91" s="119">
        <v>1.8</v>
      </c>
      <c r="R91" s="119">
        <v>1.9</v>
      </c>
      <c r="S91" s="119">
        <v>2</v>
      </c>
      <c r="T91" s="119">
        <v>2.1</v>
      </c>
      <c r="V91" s="1803"/>
      <c r="W91" s="1802"/>
      <c r="X91" s="428">
        <v>0.4</v>
      </c>
      <c r="Y91" s="428">
        <v>0.5</v>
      </c>
      <c r="Z91" s="428">
        <v>0.6</v>
      </c>
      <c r="AA91" s="428">
        <v>0.7</v>
      </c>
      <c r="AB91" s="428">
        <v>0.8</v>
      </c>
      <c r="AC91" s="428">
        <v>0.9</v>
      </c>
      <c r="AD91" s="428">
        <v>1</v>
      </c>
      <c r="AE91" s="428">
        <v>1.1000000000000001</v>
      </c>
      <c r="AF91" s="428">
        <v>1.2</v>
      </c>
      <c r="AG91" s="428">
        <v>1.3</v>
      </c>
      <c r="AH91" s="428">
        <v>1.4</v>
      </c>
      <c r="AI91" s="428">
        <v>1.5</v>
      </c>
      <c r="AJ91" s="428">
        <v>1.6</v>
      </c>
      <c r="AK91" s="428">
        <v>1.7</v>
      </c>
      <c r="AL91" s="428">
        <v>1.8</v>
      </c>
      <c r="AM91" s="428">
        <v>1.9</v>
      </c>
      <c r="AN91" s="428">
        <v>2</v>
      </c>
      <c r="AO91" s="428">
        <v>2.1</v>
      </c>
      <c r="AP91" s="428">
        <v>2.2000000000000002</v>
      </c>
      <c r="AQ91" s="428">
        <v>2.2999999999999998</v>
      </c>
    </row>
    <row r="92" spans="1:43">
      <c r="A92" s="1537" t="s">
        <v>3</v>
      </c>
      <c r="B92" s="224">
        <v>0.5</v>
      </c>
      <c r="C92" s="311">
        <f>(X92*KFC!$B$26+KFC!$C$26)*KFC!$C$5</f>
        <v>36.21</v>
      </c>
      <c r="D92" s="312">
        <f>(Y92*KFC!$B$26+KFC!$C$26)*KFC!$C$5</f>
        <v>41.14</v>
      </c>
      <c r="E92" s="312">
        <f>(Z92*KFC!$B$26+KFC!$C$26)*KFC!$C$5</f>
        <v>45.95</v>
      </c>
      <c r="F92" s="312">
        <f>(AA92*KFC!$B$26+KFC!$C$26)*KFC!$C$5</f>
        <v>50.87</v>
      </c>
      <c r="G92" s="312">
        <f>(AB92*KFC!$B$26+KFC!$C$26)*KFC!$C$5</f>
        <v>55.92</v>
      </c>
      <c r="H92" s="312">
        <f>(AC92*KFC!$B$26+KFC!$C$26)*KFC!$C$5</f>
        <v>60.85</v>
      </c>
      <c r="I92" s="312">
        <f>(AD92*KFC!$B$26+KFC!$C$26)*KFC!$C$5</f>
        <v>65.66</v>
      </c>
      <c r="J92" s="312">
        <f>(AE92*KFC!$B$26+KFC!$C$26)*KFC!$C$5</f>
        <v>70.7</v>
      </c>
      <c r="K92" s="312">
        <f>(AF92*KFC!$B$26+KFC!$C$26)*KFC!$C$5</f>
        <v>75.62</v>
      </c>
      <c r="L92" s="312">
        <f>(AG92*KFC!$B$26+KFC!$C$26)*KFC!$C$5</f>
        <v>80.56</v>
      </c>
      <c r="M92" s="312">
        <f>(AH92*KFC!$B$26+KFC!$C$26)*KFC!$C$5</f>
        <v>85.35</v>
      </c>
      <c r="N92" s="312">
        <f>(AI92*KFC!$B$26+KFC!$C$26)*KFC!$C$5</f>
        <v>90.41</v>
      </c>
      <c r="O92" s="312">
        <f>(AJ92*KFC!$B$26+KFC!$C$26)*KFC!$C$5</f>
        <v>95.46</v>
      </c>
      <c r="P92" s="312">
        <f>(AK92*KFC!$B$26+KFC!$C$26)*KFC!$C$5</f>
        <v>100.50999999999999</v>
      </c>
      <c r="Q92" s="312">
        <f>(AL92*KFC!$B$26+KFC!$C$26)*KFC!$C$5</f>
        <v>105.55999999999999</v>
      </c>
      <c r="R92" s="312">
        <f>(AM92*KFC!$B$26+KFC!$C$26)*KFC!$C$5</f>
        <v>110.60999999999999</v>
      </c>
      <c r="S92" s="312">
        <f>(AN92*KFC!$B$26+KFC!$C$26)*KFC!$C$5</f>
        <v>115.65999999999998</v>
      </c>
      <c r="T92" s="312">
        <f>(AO92*KFC!$B$26+KFC!$C$26)*KFC!$C$5</f>
        <v>120.70999999999998</v>
      </c>
      <c r="V92" s="1537" t="s">
        <v>3</v>
      </c>
      <c r="W92" s="846">
        <v>0.5</v>
      </c>
      <c r="X92" s="847">
        <v>36.21</v>
      </c>
      <c r="Y92" s="847">
        <v>41.14</v>
      </c>
      <c r="Z92" s="847">
        <v>45.95</v>
      </c>
      <c r="AA92" s="847">
        <v>50.87</v>
      </c>
      <c r="AB92" s="847">
        <v>55.92</v>
      </c>
      <c r="AC92" s="847">
        <v>60.85</v>
      </c>
      <c r="AD92" s="847">
        <v>65.66</v>
      </c>
      <c r="AE92" s="847">
        <v>70.7</v>
      </c>
      <c r="AF92" s="847">
        <v>75.62</v>
      </c>
      <c r="AG92" s="847">
        <v>80.56</v>
      </c>
      <c r="AH92" s="847">
        <v>85.35</v>
      </c>
      <c r="AI92" s="847">
        <v>90.41</v>
      </c>
      <c r="AJ92" s="848">
        <v>95.46</v>
      </c>
      <c r="AK92" s="690">
        <f t="shared" ref="AK92:AK109" si="12">AJ92-AI92+AJ92</f>
        <v>100.50999999999999</v>
      </c>
      <c r="AL92" s="690">
        <f t="shared" ref="AL92:AQ107" si="13">AK92-AJ92+AK92</f>
        <v>105.55999999999999</v>
      </c>
      <c r="AM92" s="690">
        <f t="shared" si="13"/>
        <v>110.60999999999999</v>
      </c>
      <c r="AN92" s="690">
        <f t="shared" si="13"/>
        <v>115.65999999999998</v>
      </c>
      <c r="AO92" s="690">
        <f t="shared" si="13"/>
        <v>120.70999999999998</v>
      </c>
      <c r="AP92" s="690">
        <f t="shared" si="13"/>
        <v>125.75999999999998</v>
      </c>
      <c r="AQ92" s="690">
        <f t="shared" si="13"/>
        <v>130.80999999999997</v>
      </c>
    </row>
    <row r="93" spans="1:43">
      <c r="A93" s="1538"/>
      <c r="B93" s="224">
        <v>0.6</v>
      </c>
      <c r="C93" s="314">
        <f>(X93*KFC!$B$26+KFC!$C$26)*KFC!$C$5</f>
        <v>38.42</v>
      </c>
      <c r="D93" s="315">
        <f>(Y93*KFC!$B$26+KFC!$C$26)*KFC!$C$5</f>
        <v>43.35</v>
      </c>
      <c r="E93" s="315">
        <f>(Z93*KFC!$B$26+KFC!$C$26)*KFC!$C$5</f>
        <v>48.41</v>
      </c>
      <c r="F93" s="315">
        <f>(AA93*KFC!$B$26+KFC!$C$26)*KFC!$C$5</f>
        <v>53.34</v>
      </c>
      <c r="G93" s="315">
        <f>(AB93*KFC!$B$26+KFC!$C$26)*KFC!$C$5</f>
        <v>58.51</v>
      </c>
      <c r="H93" s="315">
        <f>(AC93*KFC!$B$26+KFC!$C$26)*KFC!$C$5</f>
        <v>63.43</v>
      </c>
      <c r="I93" s="315">
        <f>(AD93*KFC!$B$26+KFC!$C$26)*KFC!$C$5</f>
        <v>68.36</v>
      </c>
      <c r="J93" s="315">
        <f>(AE93*KFC!$B$26+KFC!$C$26)*KFC!$C$5</f>
        <v>73.41</v>
      </c>
      <c r="K93" s="315">
        <f>(AF93*KFC!$B$26+KFC!$C$26)*KFC!$C$5</f>
        <v>78.33</v>
      </c>
      <c r="L93" s="315">
        <f>(AG93*KFC!$B$26+KFC!$C$26)*KFC!$C$5</f>
        <v>83.51</v>
      </c>
      <c r="M93" s="315">
        <f>(AH93*KFC!$B$26+KFC!$C$26)*KFC!$C$5</f>
        <v>88.44</v>
      </c>
      <c r="N93" s="315">
        <f>(AI93*KFC!$B$26+KFC!$C$26)*KFC!$C$5</f>
        <v>93.37</v>
      </c>
      <c r="O93" s="315">
        <f>(AJ93*KFC!$B$26+KFC!$C$26)*KFC!$C$5</f>
        <v>98.29</v>
      </c>
      <c r="P93" s="315">
        <f>(AK93*KFC!$B$26+KFC!$C$26)*KFC!$C$5</f>
        <v>103.21000000000001</v>
      </c>
      <c r="Q93" s="315">
        <f>(AL93*KFC!$B$26+KFC!$C$26)*KFC!$C$5</f>
        <v>108.13000000000001</v>
      </c>
      <c r="R93" s="315">
        <f>(AM93*KFC!$B$26+KFC!$C$26)*KFC!$C$5</f>
        <v>113.05000000000001</v>
      </c>
      <c r="S93" s="315">
        <f>(AN93*KFC!$B$26+KFC!$C$26)*KFC!$C$5</f>
        <v>117.97000000000001</v>
      </c>
      <c r="T93" s="315">
        <f>(AO93*KFC!$B$26+KFC!$C$26)*KFC!$C$5</f>
        <v>122.89000000000001</v>
      </c>
      <c r="V93" s="1538"/>
      <c r="W93" s="846">
        <v>0.6</v>
      </c>
      <c r="X93" s="847">
        <v>38.42</v>
      </c>
      <c r="Y93" s="847">
        <v>43.35</v>
      </c>
      <c r="Z93" s="847">
        <v>48.41</v>
      </c>
      <c r="AA93" s="847">
        <v>53.34</v>
      </c>
      <c r="AB93" s="847">
        <v>58.51</v>
      </c>
      <c r="AC93" s="847">
        <v>63.43</v>
      </c>
      <c r="AD93" s="847">
        <v>68.36</v>
      </c>
      <c r="AE93" s="847">
        <v>73.41</v>
      </c>
      <c r="AF93" s="847">
        <v>78.33</v>
      </c>
      <c r="AG93" s="847">
        <v>83.51</v>
      </c>
      <c r="AH93" s="847">
        <v>88.44</v>
      </c>
      <c r="AI93" s="847">
        <v>93.37</v>
      </c>
      <c r="AJ93" s="848">
        <v>98.29</v>
      </c>
      <c r="AK93" s="690">
        <f t="shared" si="12"/>
        <v>103.21000000000001</v>
      </c>
      <c r="AL93" s="690">
        <f t="shared" si="13"/>
        <v>108.13000000000001</v>
      </c>
      <c r="AM93" s="690">
        <f t="shared" si="13"/>
        <v>113.05000000000001</v>
      </c>
      <c r="AN93" s="690">
        <f t="shared" si="13"/>
        <v>117.97000000000001</v>
      </c>
      <c r="AO93" s="690">
        <f t="shared" si="13"/>
        <v>122.89000000000001</v>
      </c>
      <c r="AP93" s="690">
        <f t="shared" si="13"/>
        <v>127.81000000000002</v>
      </c>
      <c r="AQ93" s="690">
        <f t="shared" si="13"/>
        <v>132.73000000000002</v>
      </c>
    </row>
    <row r="94" spans="1:43">
      <c r="A94" s="1538"/>
      <c r="B94" s="224">
        <v>0.7</v>
      </c>
      <c r="C94" s="314">
        <f>(X94*KFC!$B$26+KFC!$C$26)*KFC!$C$5</f>
        <v>40.520000000000003</v>
      </c>
      <c r="D94" s="315">
        <f>(Y94*KFC!$B$26+KFC!$C$26)*KFC!$C$5</f>
        <v>45.7</v>
      </c>
      <c r="E94" s="315">
        <f>(Z94*KFC!$B$26+KFC!$C$26)*KFC!$C$5</f>
        <v>50.74</v>
      </c>
      <c r="F94" s="315">
        <f>(AA94*KFC!$B$26+KFC!$C$26)*KFC!$C$5</f>
        <v>55.8</v>
      </c>
      <c r="G94" s="315">
        <f>(AB94*KFC!$B$26+KFC!$C$26)*KFC!$C$5</f>
        <v>60.85</v>
      </c>
      <c r="H94" s="315">
        <f>(AC94*KFC!$B$26+KFC!$C$26)*KFC!$C$5</f>
        <v>66.010000000000005</v>
      </c>
      <c r="I94" s="315">
        <f>(AD94*KFC!$B$26+KFC!$C$26)*KFC!$C$5</f>
        <v>71.06</v>
      </c>
      <c r="J94" s="315">
        <f>(AE94*KFC!$B$26+KFC!$C$26)*KFC!$C$5</f>
        <v>76.13</v>
      </c>
      <c r="K94" s="315">
        <f>(AF94*KFC!$B$26+KFC!$C$26)*KFC!$C$5</f>
        <v>81.17</v>
      </c>
      <c r="L94" s="315">
        <f>(AG94*KFC!$B$26+KFC!$C$26)*KFC!$C$5</f>
        <v>86.34</v>
      </c>
      <c r="M94" s="315">
        <f>(AH94*KFC!$B$26+KFC!$C$26)*KFC!$C$5</f>
        <v>91.27</v>
      </c>
      <c r="N94" s="315">
        <f>(AI94*KFC!$B$26+KFC!$C$26)*KFC!$C$5</f>
        <v>96.44</v>
      </c>
      <c r="O94" s="315">
        <f>(AJ94*KFC!$B$26+KFC!$C$26)*KFC!$C$5</f>
        <v>101.61</v>
      </c>
      <c r="P94" s="315">
        <f>(AK94*KFC!$B$26+KFC!$C$26)*KFC!$C$5</f>
        <v>106.78</v>
      </c>
      <c r="Q94" s="315">
        <f>(AL94*KFC!$B$26+KFC!$C$26)*KFC!$C$5</f>
        <v>111.95</v>
      </c>
      <c r="R94" s="315">
        <f>(AM94*KFC!$B$26+KFC!$C$26)*KFC!$C$5</f>
        <v>117.12</v>
      </c>
      <c r="S94" s="315">
        <f>(AN94*KFC!$B$26+KFC!$C$26)*KFC!$C$5</f>
        <v>122.29</v>
      </c>
      <c r="T94" s="315">
        <f>(AO94*KFC!$B$26+KFC!$C$26)*KFC!$C$5</f>
        <v>127.46000000000001</v>
      </c>
      <c r="V94" s="1538"/>
      <c r="W94" s="846">
        <v>0.7</v>
      </c>
      <c r="X94" s="847">
        <v>40.520000000000003</v>
      </c>
      <c r="Y94" s="847">
        <v>45.7</v>
      </c>
      <c r="Z94" s="847">
        <v>50.74</v>
      </c>
      <c r="AA94" s="847">
        <v>55.8</v>
      </c>
      <c r="AB94" s="847">
        <v>60.85</v>
      </c>
      <c r="AC94" s="847">
        <v>66.010000000000005</v>
      </c>
      <c r="AD94" s="847">
        <v>71.06</v>
      </c>
      <c r="AE94" s="847">
        <v>76.13</v>
      </c>
      <c r="AF94" s="847">
        <v>81.17</v>
      </c>
      <c r="AG94" s="847">
        <v>86.34</v>
      </c>
      <c r="AH94" s="847">
        <v>91.27</v>
      </c>
      <c r="AI94" s="847">
        <v>96.44</v>
      </c>
      <c r="AJ94" s="848">
        <v>101.61</v>
      </c>
      <c r="AK94" s="690">
        <f t="shared" si="12"/>
        <v>106.78</v>
      </c>
      <c r="AL94" s="690">
        <f t="shared" si="13"/>
        <v>111.95</v>
      </c>
      <c r="AM94" s="690">
        <f t="shared" si="13"/>
        <v>117.12</v>
      </c>
      <c r="AN94" s="690">
        <f t="shared" si="13"/>
        <v>122.29</v>
      </c>
      <c r="AO94" s="690">
        <f t="shared" si="13"/>
        <v>127.46000000000001</v>
      </c>
      <c r="AP94" s="690">
        <f t="shared" si="13"/>
        <v>132.63</v>
      </c>
      <c r="AQ94" s="690">
        <f t="shared" si="13"/>
        <v>137.79999999999998</v>
      </c>
    </row>
    <row r="95" spans="1:43">
      <c r="A95" s="1538"/>
      <c r="B95" s="224">
        <v>0.8</v>
      </c>
      <c r="C95" s="314">
        <f>(X95*KFC!$B$26+KFC!$C$26)*KFC!$C$5</f>
        <v>42.74</v>
      </c>
      <c r="D95" s="315">
        <f>(Y95*KFC!$B$26+KFC!$C$26)*KFC!$C$5</f>
        <v>47.91</v>
      </c>
      <c r="E95" s="315">
        <f>(Z95*KFC!$B$26+KFC!$C$26)*KFC!$C$5</f>
        <v>52.96</v>
      </c>
      <c r="F95" s="315">
        <f>(AA95*KFC!$B$26+KFC!$C$26)*KFC!$C$5</f>
        <v>58.26</v>
      </c>
      <c r="G95" s="315">
        <f>(AB95*KFC!$B$26+KFC!$C$26)*KFC!$C$5</f>
        <v>63.43</v>
      </c>
      <c r="H95" s="315">
        <f>(AC95*KFC!$B$26+KFC!$C$26)*KFC!$C$5</f>
        <v>68.48</v>
      </c>
      <c r="I95" s="315">
        <f>(AD95*KFC!$B$26+KFC!$C$26)*KFC!$C$5</f>
        <v>73.66</v>
      </c>
      <c r="J95" s="315">
        <f>(AE95*KFC!$B$26+KFC!$C$26)*KFC!$C$5</f>
        <v>78.819999999999993</v>
      </c>
      <c r="K95" s="315">
        <f>(AF95*KFC!$B$26+KFC!$C$26)*KFC!$C$5</f>
        <v>83.87</v>
      </c>
      <c r="L95" s="315">
        <f>(AG95*KFC!$B$26+KFC!$C$26)*KFC!$C$5</f>
        <v>89.18</v>
      </c>
      <c r="M95" s="315">
        <f>(AH95*KFC!$B$26+KFC!$C$26)*KFC!$C$5</f>
        <v>94.34</v>
      </c>
      <c r="N95" s="315">
        <f>(AI95*KFC!$B$26+KFC!$C$26)*KFC!$C$5</f>
        <v>99.39</v>
      </c>
      <c r="O95" s="315">
        <f>(AJ95*KFC!$B$26+KFC!$C$26)*KFC!$C$5</f>
        <v>104.45</v>
      </c>
      <c r="P95" s="315">
        <f>(AK95*KFC!$B$26+KFC!$C$26)*KFC!$C$5</f>
        <v>109.51</v>
      </c>
      <c r="Q95" s="315">
        <f>(AL95*KFC!$B$26+KFC!$C$26)*KFC!$C$5</f>
        <v>114.57000000000001</v>
      </c>
      <c r="R95" s="315">
        <f>(AM95*KFC!$B$26+KFC!$C$26)*KFC!$C$5</f>
        <v>119.63000000000001</v>
      </c>
      <c r="S95" s="315">
        <f>(AN95*KFC!$B$26+KFC!$C$26)*KFC!$C$5</f>
        <v>124.69000000000001</v>
      </c>
      <c r="T95" s="315">
        <f>(AO95*KFC!$B$26+KFC!$C$26)*KFC!$C$5</f>
        <v>129.75</v>
      </c>
      <c r="V95" s="1538"/>
      <c r="W95" s="846">
        <v>0.8</v>
      </c>
      <c r="X95" s="847">
        <v>42.74</v>
      </c>
      <c r="Y95" s="847">
        <v>47.91</v>
      </c>
      <c r="Z95" s="847">
        <v>52.96</v>
      </c>
      <c r="AA95" s="847">
        <v>58.26</v>
      </c>
      <c r="AB95" s="847">
        <v>63.43</v>
      </c>
      <c r="AC95" s="847">
        <v>68.48</v>
      </c>
      <c r="AD95" s="847">
        <v>73.66</v>
      </c>
      <c r="AE95" s="847">
        <v>78.819999999999993</v>
      </c>
      <c r="AF95" s="847">
        <v>83.87</v>
      </c>
      <c r="AG95" s="847">
        <v>89.18</v>
      </c>
      <c r="AH95" s="847">
        <v>94.34</v>
      </c>
      <c r="AI95" s="847">
        <v>99.39</v>
      </c>
      <c r="AJ95" s="848">
        <v>104.45</v>
      </c>
      <c r="AK95" s="690">
        <f t="shared" si="12"/>
        <v>109.51</v>
      </c>
      <c r="AL95" s="690">
        <f t="shared" si="13"/>
        <v>114.57000000000001</v>
      </c>
      <c r="AM95" s="690">
        <f t="shared" si="13"/>
        <v>119.63000000000001</v>
      </c>
      <c r="AN95" s="690">
        <f t="shared" si="13"/>
        <v>124.69000000000001</v>
      </c>
      <c r="AO95" s="690">
        <f t="shared" si="13"/>
        <v>129.75</v>
      </c>
      <c r="AP95" s="690">
        <f t="shared" si="13"/>
        <v>134.81</v>
      </c>
      <c r="AQ95" s="690">
        <f t="shared" si="13"/>
        <v>139.87</v>
      </c>
    </row>
    <row r="96" spans="1:43">
      <c r="A96" s="1538"/>
      <c r="B96" s="224">
        <v>0.9</v>
      </c>
      <c r="C96" s="314">
        <f>(X96*KFC!$B$26+KFC!$C$26)*KFC!$C$5</f>
        <v>45.08</v>
      </c>
      <c r="D96" s="315">
        <f>(Y96*KFC!$B$26+KFC!$C$26)*KFC!$C$5</f>
        <v>50.13</v>
      </c>
      <c r="E96" s="315">
        <f>(Z96*KFC!$B$26+KFC!$C$26)*KFC!$C$5</f>
        <v>55.43</v>
      </c>
      <c r="F96" s="315">
        <f>(AA96*KFC!$B$26+KFC!$C$26)*KFC!$C$5</f>
        <v>60.72</v>
      </c>
      <c r="G96" s="315">
        <f>(AB96*KFC!$B$26+KFC!$C$26)*KFC!$C$5</f>
        <v>65.77</v>
      </c>
      <c r="H96" s="315">
        <f>(AC96*KFC!$B$26+KFC!$C$26)*KFC!$C$5</f>
        <v>71.06</v>
      </c>
      <c r="I96" s="315">
        <f>(AD96*KFC!$B$26+KFC!$C$26)*KFC!$C$5</f>
        <v>76.37</v>
      </c>
      <c r="J96" s="315">
        <f>(AE96*KFC!$B$26+KFC!$C$26)*KFC!$C$5</f>
        <v>81.53</v>
      </c>
      <c r="K96" s="315">
        <f>(AF96*KFC!$B$26+KFC!$C$26)*KFC!$C$5</f>
        <v>86.71</v>
      </c>
      <c r="L96" s="315">
        <f>(AG96*KFC!$B$26+KFC!$C$26)*KFC!$C$5</f>
        <v>92</v>
      </c>
      <c r="M96" s="315">
        <f>(AH96*KFC!$B$26+KFC!$C$26)*KFC!$C$5</f>
        <v>97.18</v>
      </c>
      <c r="N96" s="315">
        <f>(AI96*KFC!$B$26+KFC!$C$26)*KFC!$C$5</f>
        <v>102.47</v>
      </c>
      <c r="O96" s="315">
        <f>(AJ96*KFC!$B$26+KFC!$C$26)*KFC!$C$5</f>
        <v>107.77</v>
      </c>
      <c r="P96" s="315">
        <f>(AK96*KFC!$B$26+KFC!$C$26)*KFC!$C$5</f>
        <v>113.07</v>
      </c>
      <c r="Q96" s="315">
        <f>(AL96*KFC!$B$26+KFC!$C$26)*KFC!$C$5</f>
        <v>118.36999999999999</v>
      </c>
      <c r="R96" s="315">
        <f>(AM96*KFC!$B$26+KFC!$C$26)*KFC!$C$5</f>
        <v>123.66999999999999</v>
      </c>
      <c r="S96" s="315">
        <f>(AN96*KFC!$B$26+KFC!$C$26)*KFC!$C$5</f>
        <v>128.96999999999997</v>
      </c>
      <c r="T96" s="315">
        <f>(AO96*KFC!$B$26+KFC!$C$26)*KFC!$C$5</f>
        <v>134.26999999999995</v>
      </c>
      <c r="V96" s="1538"/>
      <c r="W96" s="846">
        <v>0.9</v>
      </c>
      <c r="X96" s="847">
        <v>45.08</v>
      </c>
      <c r="Y96" s="847">
        <v>50.13</v>
      </c>
      <c r="Z96" s="847">
        <v>55.43</v>
      </c>
      <c r="AA96" s="847">
        <v>60.72</v>
      </c>
      <c r="AB96" s="847">
        <v>65.77</v>
      </c>
      <c r="AC96" s="847">
        <v>71.06</v>
      </c>
      <c r="AD96" s="847">
        <v>76.37</v>
      </c>
      <c r="AE96" s="847">
        <v>81.53</v>
      </c>
      <c r="AF96" s="847">
        <v>86.71</v>
      </c>
      <c r="AG96" s="847">
        <v>92</v>
      </c>
      <c r="AH96" s="847">
        <v>97.18</v>
      </c>
      <c r="AI96" s="847">
        <v>102.47</v>
      </c>
      <c r="AJ96" s="848">
        <v>107.77</v>
      </c>
      <c r="AK96" s="690">
        <f t="shared" si="12"/>
        <v>113.07</v>
      </c>
      <c r="AL96" s="690">
        <f t="shared" si="13"/>
        <v>118.36999999999999</v>
      </c>
      <c r="AM96" s="690">
        <f t="shared" si="13"/>
        <v>123.66999999999999</v>
      </c>
      <c r="AN96" s="690">
        <f t="shared" si="13"/>
        <v>128.96999999999997</v>
      </c>
      <c r="AO96" s="690">
        <f t="shared" si="13"/>
        <v>134.26999999999995</v>
      </c>
      <c r="AP96" s="690">
        <f t="shared" si="13"/>
        <v>139.56999999999994</v>
      </c>
      <c r="AQ96" s="690">
        <f t="shared" si="13"/>
        <v>144.86999999999992</v>
      </c>
    </row>
    <row r="97" spans="1:43">
      <c r="A97" s="1538"/>
      <c r="B97" s="224">
        <v>1</v>
      </c>
      <c r="C97" s="314">
        <f>(X97*KFC!$B$26+KFC!$C$26)*KFC!$C$5</f>
        <v>47.18</v>
      </c>
      <c r="D97" s="315">
        <f>(Y97*KFC!$B$26+KFC!$C$26)*KFC!$C$5</f>
        <v>52.47</v>
      </c>
      <c r="E97" s="315">
        <f>(Z97*KFC!$B$26+KFC!$C$26)*KFC!$C$5</f>
        <v>57.89</v>
      </c>
      <c r="F97" s="315">
        <f>(AA97*KFC!$B$26+KFC!$C$26)*KFC!$C$5</f>
        <v>63.05</v>
      </c>
      <c r="G97" s="315">
        <f>(AB97*KFC!$B$26+KFC!$C$26)*KFC!$C$5</f>
        <v>68.36</v>
      </c>
      <c r="H97" s="315">
        <f>(AC97*KFC!$B$26+KFC!$C$26)*KFC!$C$5</f>
        <v>73.66</v>
      </c>
      <c r="I97" s="315">
        <f>(AD97*KFC!$B$26+KFC!$C$26)*KFC!$C$5</f>
        <v>78.95</v>
      </c>
      <c r="J97" s="315">
        <f>(AE97*KFC!$B$26+KFC!$C$26)*KFC!$C$5</f>
        <v>84.25</v>
      </c>
      <c r="K97" s="315">
        <f>(AF97*KFC!$B$26+KFC!$C$26)*KFC!$C$5</f>
        <v>89.67</v>
      </c>
      <c r="L97" s="315">
        <f>(AG97*KFC!$B$26+KFC!$C$26)*KFC!$C$5</f>
        <v>94.84</v>
      </c>
      <c r="M97" s="315">
        <f>(AH97*KFC!$B$26+KFC!$C$26)*KFC!$C$5</f>
        <v>100.14</v>
      </c>
      <c r="N97" s="315">
        <f>(AI97*KFC!$B$26+KFC!$C$26)*KFC!$C$5</f>
        <v>105.43</v>
      </c>
      <c r="O97" s="315">
        <f>(AJ97*KFC!$B$26+KFC!$C$26)*KFC!$C$5</f>
        <v>110.73</v>
      </c>
      <c r="P97" s="315">
        <f>(AK97*KFC!$B$26+KFC!$C$26)*KFC!$C$5</f>
        <v>116.03</v>
      </c>
      <c r="Q97" s="315">
        <f>(AL97*KFC!$B$26+KFC!$C$26)*KFC!$C$5</f>
        <v>121.33</v>
      </c>
      <c r="R97" s="315">
        <f>(AM97*KFC!$B$26+KFC!$C$26)*KFC!$C$5</f>
        <v>126.63</v>
      </c>
      <c r="S97" s="315">
        <f>(AN97*KFC!$B$26+KFC!$C$26)*KFC!$C$5</f>
        <v>131.93</v>
      </c>
      <c r="T97" s="315">
        <f>(AO97*KFC!$B$26+KFC!$C$26)*KFC!$C$5</f>
        <v>137.23000000000002</v>
      </c>
      <c r="V97" s="1538"/>
      <c r="W97" s="846">
        <v>1</v>
      </c>
      <c r="X97" s="847">
        <v>47.18</v>
      </c>
      <c r="Y97" s="847">
        <v>52.47</v>
      </c>
      <c r="Z97" s="847">
        <v>57.89</v>
      </c>
      <c r="AA97" s="847">
        <v>63.05</v>
      </c>
      <c r="AB97" s="847">
        <v>68.36</v>
      </c>
      <c r="AC97" s="847">
        <v>73.66</v>
      </c>
      <c r="AD97" s="847">
        <v>78.95</v>
      </c>
      <c r="AE97" s="847">
        <v>84.25</v>
      </c>
      <c r="AF97" s="847">
        <v>89.67</v>
      </c>
      <c r="AG97" s="847">
        <v>94.84</v>
      </c>
      <c r="AH97" s="847">
        <v>100.14</v>
      </c>
      <c r="AI97" s="847">
        <v>105.43</v>
      </c>
      <c r="AJ97" s="848">
        <v>110.73</v>
      </c>
      <c r="AK97" s="690">
        <f t="shared" si="12"/>
        <v>116.03</v>
      </c>
      <c r="AL97" s="690">
        <f t="shared" si="13"/>
        <v>121.33</v>
      </c>
      <c r="AM97" s="690">
        <f t="shared" si="13"/>
        <v>126.63</v>
      </c>
      <c r="AN97" s="690">
        <f t="shared" si="13"/>
        <v>131.93</v>
      </c>
      <c r="AO97" s="690">
        <f t="shared" si="13"/>
        <v>137.23000000000002</v>
      </c>
      <c r="AP97" s="690">
        <f t="shared" si="13"/>
        <v>142.53000000000003</v>
      </c>
      <c r="AQ97" s="690">
        <f t="shared" si="13"/>
        <v>147.83000000000004</v>
      </c>
    </row>
    <row r="98" spans="1:43">
      <c r="A98" s="1538"/>
      <c r="B98" s="224">
        <v>1.1000000000000001</v>
      </c>
      <c r="C98" s="314">
        <f>(X98*KFC!$B$26+KFC!$C$26)*KFC!$C$5</f>
        <v>49.39</v>
      </c>
      <c r="D98" s="315">
        <f>(Y98*KFC!$B$26+KFC!$C$26)*KFC!$C$5</f>
        <v>54.81</v>
      </c>
      <c r="E98" s="315">
        <f>(Z98*KFC!$B$26+KFC!$C$26)*KFC!$C$5</f>
        <v>60.11</v>
      </c>
      <c r="F98" s="315">
        <f>(AA98*KFC!$B$26+KFC!$C$26)*KFC!$C$5</f>
        <v>65.52</v>
      </c>
      <c r="G98" s="315">
        <f>(AB98*KFC!$B$26+KFC!$C$26)*KFC!$C$5</f>
        <v>70.94</v>
      </c>
      <c r="H98" s="315">
        <f>(AC98*KFC!$B$26+KFC!$C$26)*KFC!$C$5</f>
        <v>76.239999999999995</v>
      </c>
      <c r="I98" s="315">
        <f>(AD98*KFC!$B$26+KFC!$C$26)*KFC!$C$5</f>
        <v>81.66</v>
      </c>
      <c r="J98" s="315">
        <f>(AE98*KFC!$B$26+KFC!$C$26)*KFC!$C$5</f>
        <v>86.95</v>
      </c>
      <c r="K98" s="315">
        <f>(AF98*KFC!$B$26+KFC!$C$26)*KFC!$C$5</f>
        <v>92.38</v>
      </c>
      <c r="L98" s="315">
        <f>(AG98*KFC!$B$26+KFC!$C$26)*KFC!$C$5</f>
        <v>97.8</v>
      </c>
      <c r="M98" s="315">
        <f>(AH98*KFC!$B$26+KFC!$C$26)*KFC!$C$5</f>
        <v>103.09</v>
      </c>
      <c r="N98" s="315">
        <f>(AI98*KFC!$B$26+KFC!$C$26)*KFC!$C$5</f>
        <v>108.51</v>
      </c>
      <c r="O98" s="315">
        <f>(AJ98*KFC!$B$26+KFC!$C$26)*KFC!$C$5</f>
        <v>113.93</v>
      </c>
      <c r="P98" s="315">
        <f>(AK98*KFC!$B$26+KFC!$C$26)*KFC!$C$5</f>
        <v>119.35000000000001</v>
      </c>
      <c r="Q98" s="315">
        <f>(AL98*KFC!$B$26+KFC!$C$26)*KFC!$C$5</f>
        <v>124.77000000000001</v>
      </c>
      <c r="R98" s="315">
        <f>(AM98*KFC!$B$26+KFC!$C$26)*KFC!$C$5</f>
        <v>130.19</v>
      </c>
      <c r="S98" s="315">
        <f>(AN98*KFC!$B$26+KFC!$C$26)*KFC!$C$5</f>
        <v>135.60999999999999</v>
      </c>
      <c r="T98" s="315">
        <f>(AO98*KFC!$B$26+KFC!$C$26)*KFC!$C$5</f>
        <v>141.02999999999997</v>
      </c>
      <c r="V98" s="1538"/>
      <c r="W98" s="846">
        <v>1.1000000000000001</v>
      </c>
      <c r="X98" s="847">
        <v>49.39</v>
      </c>
      <c r="Y98" s="847">
        <v>54.81</v>
      </c>
      <c r="Z98" s="847">
        <v>60.11</v>
      </c>
      <c r="AA98" s="847">
        <v>65.52</v>
      </c>
      <c r="AB98" s="847">
        <v>70.94</v>
      </c>
      <c r="AC98" s="847">
        <v>76.239999999999995</v>
      </c>
      <c r="AD98" s="847">
        <v>81.66</v>
      </c>
      <c r="AE98" s="847">
        <v>86.95</v>
      </c>
      <c r="AF98" s="847">
        <v>92.38</v>
      </c>
      <c r="AG98" s="847">
        <v>97.8</v>
      </c>
      <c r="AH98" s="847">
        <v>103.09</v>
      </c>
      <c r="AI98" s="847">
        <v>108.51</v>
      </c>
      <c r="AJ98" s="848">
        <v>113.93</v>
      </c>
      <c r="AK98" s="690">
        <f t="shared" si="12"/>
        <v>119.35000000000001</v>
      </c>
      <c r="AL98" s="690">
        <f t="shared" si="13"/>
        <v>124.77000000000001</v>
      </c>
      <c r="AM98" s="690">
        <f t="shared" si="13"/>
        <v>130.19</v>
      </c>
      <c r="AN98" s="690">
        <f t="shared" si="13"/>
        <v>135.60999999999999</v>
      </c>
      <c r="AO98" s="690">
        <f t="shared" si="13"/>
        <v>141.02999999999997</v>
      </c>
      <c r="AP98" s="690">
        <f t="shared" si="13"/>
        <v>146.44999999999996</v>
      </c>
      <c r="AQ98" s="690">
        <f t="shared" si="13"/>
        <v>151.86999999999995</v>
      </c>
    </row>
    <row r="99" spans="1:43">
      <c r="A99" s="1538"/>
      <c r="B99" s="224">
        <v>1.2</v>
      </c>
      <c r="C99" s="314">
        <f>(X99*KFC!$B$26+KFC!$C$26)*KFC!$C$5</f>
        <v>51.61</v>
      </c>
      <c r="D99" s="315">
        <f>(Y99*KFC!$B$26+KFC!$C$26)*KFC!$C$5</f>
        <v>57.15</v>
      </c>
      <c r="E99" s="315">
        <f>(Z99*KFC!$B$26+KFC!$C$26)*KFC!$C$5</f>
        <v>62.57</v>
      </c>
      <c r="F99" s="315">
        <f>(AA99*KFC!$B$26+KFC!$C$26)*KFC!$C$5</f>
        <v>67.989999999999995</v>
      </c>
      <c r="G99" s="315">
        <f>(AB99*KFC!$B$26+KFC!$C$26)*KFC!$C$5</f>
        <v>73.41</v>
      </c>
      <c r="H99" s="315">
        <f>(AC99*KFC!$B$26+KFC!$C$26)*KFC!$C$5</f>
        <v>78.819999999999993</v>
      </c>
      <c r="I99" s="315">
        <f>(AD99*KFC!$B$26+KFC!$C$26)*KFC!$C$5</f>
        <v>84.25</v>
      </c>
      <c r="J99" s="315">
        <f>(AE99*KFC!$B$26+KFC!$C$26)*KFC!$C$5</f>
        <v>89.79</v>
      </c>
      <c r="K99" s="315">
        <f>(AF99*KFC!$B$26+KFC!$C$26)*KFC!$C$5</f>
        <v>95.21</v>
      </c>
      <c r="L99" s="315">
        <f>(AG99*KFC!$B$26+KFC!$C$26)*KFC!$C$5</f>
        <v>100.62</v>
      </c>
      <c r="M99" s="315">
        <f>(AH99*KFC!$B$26+KFC!$C$26)*KFC!$C$5</f>
        <v>106.04</v>
      </c>
      <c r="N99" s="315">
        <f>(AI99*KFC!$B$26+KFC!$C$26)*KFC!$C$5</f>
        <v>111.47</v>
      </c>
      <c r="O99" s="315">
        <f>(AJ99*KFC!$B$26+KFC!$C$26)*KFC!$C$5</f>
        <v>116.89</v>
      </c>
      <c r="P99" s="315">
        <f>(AK99*KFC!$B$26+KFC!$C$26)*KFC!$C$5</f>
        <v>122.31</v>
      </c>
      <c r="Q99" s="315">
        <f>(AL99*KFC!$B$26+KFC!$C$26)*KFC!$C$5</f>
        <v>127.73</v>
      </c>
      <c r="R99" s="315">
        <f>(AM99*KFC!$B$26+KFC!$C$26)*KFC!$C$5</f>
        <v>133.15</v>
      </c>
      <c r="S99" s="315">
        <f>(AN99*KFC!$B$26+KFC!$C$26)*KFC!$C$5</f>
        <v>138.57</v>
      </c>
      <c r="T99" s="315">
        <f>(AO99*KFC!$B$26+KFC!$C$26)*KFC!$C$5</f>
        <v>143.98999999999998</v>
      </c>
      <c r="V99" s="1538"/>
      <c r="W99" s="846">
        <v>1.2</v>
      </c>
      <c r="X99" s="847">
        <v>51.61</v>
      </c>
      <c r="Y99" s="847">
        <v>57.15</v>
      </c>
      <c r="Z99" s="847">
        <v>62.57</v>
      </c>
      <c r="AA99" s="847">
        <v>67.989999999999995</v>
      </c>
      <c r="AB99" s="847">
        <v>73.41</v>
      </c>
      <c r="AC99" s="847">
        <v>78.819999999999993</v>
      </c>
      <c r="AD99" s="847">
        <v>84.25</v>
      </c>
      <c r="AE99" s="847">
        <v>89.79</v>
      </c>
      <c r="AF99" s="847">
        <v>95.21</v>
      </c>
      <c r="AG99" s="847">
        <v>100.62</v>
      </c>
      <c r="AH99" s="847">
        <v>106.04</v>
      </c>
      <c r="AI99" s="847">
        <v>111.47</v>
      </c>
      <c r="AJ99" s="848">
        <v>116.89</v>
      </c>
      <c r="AK99" s="690">
        <f t="shared" si="12"/>
        <v>122.31</v>
      </c>
      <c r="AL99" s="690">
        <f t="shared" si="13"/>
        <v>127.73</v>
      </c>
      <c r="AM99" s="690">
        <f t="shared" si="13"/>
        <v>133.15</v>
      </c>
      <c r="AN99" s="690">
        <f t="shared" si="13"/>
        <v>138.57</v>
      </c>
      <c r="AO99" s="690">
        <f t="shared" si="13"/>
        <v>143.98999999999998</v>
      </c>
      <c r="AP99" s="690">
        <f t="shared" si="13"/>
        <v>149.40999999999997</v>
      </c>
      <c r="AQ99" s="690">
        <f t="shared" si="13"/>
        <v>154.82999999999996</v>
      </c>
    </row>
    <row r="100" spans="1:43">
      <c r="A100" s="1538"/>
      <c r="B100" s="224">
        <v>1.3</v>
      </c>
      <c r="C100" s="314">
        <f>(X100*KFC!$B$26+KFC!$C$26)*KFC!$C$5</f>
        <v>53.82</v>
      </c>
      <c r="D100" s="315">
        <f>(Y100*KFC!$B$26+KFC!$C$26)*KFC!$C$5</f>
        <v>59.36</v>
      </c>
      <c r="E100" s="315">
        <f>(Z100*KFC!$B$26+KFC!$C$26)*KFC!$C$5</f>
        <v>64.900000000000006</v>
      </c>
      <c r="F100" s="315">
        <f>(AA100*KFC!$B$26+KFC!$C$26)*KFC!$C$5</f>
        <v>70.33</v>
      </c>
      <c r="G100" s="315">
        <f>(AB100*KFC!$B$26+KFC!$C$26)*KFC!$C$5</f>
        <v>75.86</v>
      </c>
      <c r="H100" s="315">
        <f>(AC100*KFC!$B$26+KFC!$C$26)*KFC!$C$5</f>
        <v>81.290000000000006</v>
      </c>
      <c r="I100" s="315">
        <f>(AD100*KFC!$B$26+KFC!$C$26)*KFC!$C$5</f>
        <v>86.95</v>
      </c>
      <c r="J100" s="315">
        <f>(AE100*KFC!$B$26+KFC!$C$26)*KFC!$C$5</f>
        <v>92.49</v>
      </c>
      <c r="K100" s="315">
        <f>(AF100*KFC!$B$26+KFC!$C$26)*KFC!$C$5</f>
        <v>97.91</v>
      </c>
      <c r="L100" s="315">
        <f>(AG100*KFC!$B$26+KFC!$C$26)*KFC!$C$5</f>
        <v>103.46</v>
      </c>
      <c r="M100" s="315">
        <f>(AH100*KFC!$B$26+KFC!$C$26)*KFC!$C$5</f>
        <v>108.89</v>
      </c>
      <c r="N100" s="315">
        <f>(AI100*KFC!$B$26+KFC!$C$26)*KFC!$C$5</f>
        <v>114.42</v>
      </c>
      <c r="O100" s="315">
        <f>(AJ100*KFC!$B$26+KFC!$C$26)*KFC!$C$5</f>
        <v>119.96</v>
      </c>
      <c r="P100" s="315">
        <f>(AK100*KFC!$B$26+KFC!$C$26)*KFC!$C$5</f>
        <v>125.49999999999999</v>
      </c>
      <c r="Q100" s="315">
        <f>(AL100*KFC!$B$26+KFC!$C$26)*KFC!$C$5</f>
        <v>131.03999999999996</v>
      </c>
      <c r="R100" s="315">
        <f>(AM100*KFC!$B$26+KFC!$C$26)*KFC!$C$5</f>
        <v>136.57999999999993</v>
      </c>
      <c r="S100" s="315">
        <f>(AN100*KFC!$B$26+KFC!$C$26)*KFC!$C$5</f>
        <v>142.11999999999989</v>
      </c>
      <c r="T100" s="315">
        <f>(AO100*KFC!$B$26+KFC!$C$26)*KFC!$C$5</f>
        <v>147.65999999999985</v>
      </c>
      <c r="V100" s="1538"/>
      <c r="W100" s="846">
        <v>1.3</v>
      </c>
      <c r="X100" s="847">
        <v>53.82</v>
      </c>
      <c r="Y100" s="847">
        <v>59.36</v>
      </c>
      <c r="Z100" s="847">
        <v>64.900000000000006</v>
      </c>
      <c r="AA100" s="847">
        <v>70.33</v>
      </c>
      <c r="AB100" s="847">
        <v>75.86</v>
      </c>
      <c r="AC100" s="847">
        <v>81.290000000000006</v>
      </c>
      <c r="AD100" s="847">
        <v>86.95</v>
      </c>
      <c r="AE100" s="847">
        <v>92.49</v>
      </c>
      <c r="AF100" s="847">
        <v>97.91</v>
      </c>
      <c r="AG100" s="847">
        <v>103.46</v>
      </c>
      <c r="AH100" s="847">
        <v>108.89</v>
      </c>
      <c r="AI100" s="847">
        <v>114.42</v>
      </c>
      <c r="AJ100" s="848">
        <v>119.96</v>
      </c>
      <c r="AK100" s="690">
        <f t="shared" si="12"/>
        <v>125.49999999999999</v>
      </c>
      <c r="AL100" s="690">
        <f t="shared" si="13"/>
        <v>131.03999999999996</v>
      </c>
      <c r="AM100" s="690">
        <f t="shared" si="13"/>
        <v>136.57999999999993</v>
      </c>
      <c r="AN100" s="690">
        <f t="shared" si="13"/>
        <v>142.11999999999989</v>
      </c>
      <c r="AO100" s="690">
        <f t="shared" si="13"/>
        <v>147.65999999999985</v>
      </c>
      <c r="AP100" s="690">
        <f t="shared" si="13"/>
        <v>153.19999999999982</v>
      </c>
      <c r="AQ100" s="690">
        <f t="shared" si="13"/>
        <v>158.73999999999978</v>
      </c>
    </row>
    <row r="101" spans="1:43">
      <c r="A101" s="1538"/>
      <c r="B101" s="224">
        <v>1.4</v>
      </c>
      <c r="C101" s="314">
        <f>(X101*KFC!$B$26+KFC!$C$26)*KFC!$C$5</f>
        <v>56.04</v>
      </c>
      <c r="D101" s="315">
        <f>(Y101*KFC!$B$26+KFC!$C$26)*KFC!$C$5</f>
        <v>61.58</v>
      </c>
      <c r="E101" s="315">
        <f>(Z101*KFC!$B$26+KFC!$C$26)*KFC!$C$5</f>
        <v>67.13</v>
      </c>
      <c r="F101" s="315">
        <f>(AA101*KFC!$B$26+KFC!$C$26)*KFC!$C$5</f>
        <v>72.790000000000006</v>
      </c>
      <c r="G101" s="315">
        <f>(AB101*KFC!$B$26+KFC!$C$26)*KFC!$C$5</f>
        <v>78.33</v>
      </c>
      <c r="H101" s="315">
        <f>(AC101*KFC!$B$26+KFC!$C$26)*KFC!$C$5</f>
        <v>83.87</v>
      </c>
      <c r="I101" s="315">
        <f>(AD101*KFC!$B$26+KFC!$C$26)*KFC!$C$5</f>
        <v>89.67</v>
      </c>
      <c r="J101" s="315">
        <f>(AE101*KFC!$B$26+KFC!$C$26)*KFC!$C$5</f>
        <v>95.21</v>
      </c>
      <c r="K101" s="315">
        <f>(AF101*KFC!$B$26+KFC!$C$26)*KFC!$C$5</f>
        <v>100.76</v>
      </c>
      <c r="L101" s="315">
        <f>(AG101*KFC!$B$26+KFC!$C$26)*KFC!$C$5</f>
        <v>106.29</v>
      </c>
      <c r="M101" s="315">
        <f>(AH101*KFC!$B$26+KFC!$C$26)*KFC!$C$5</f>
        <v>111.96</v>
      </c>
      <c r="N101" s="315">
        <f>(AI101*KFC!$B$26+KFC!$C$26)*KFC!$C$5</f>
        <v>117.51</v>
      </c>
      <c r="O101" s="315">
        <f>(AJ101*KFC!$B$26+KFC!$C$26)*KFC!$C$5</f>
        <v>123.05</v>
      </c>
      <c r="P101" s="315">
        <f>(AK101*KFC!$B$26+KFC!$C$26)*KFC!$C$5</f>
        <v>128.58999999999997</v>
      </c>
      <c r="Q101" s="315">
        <f>(AL101*KFC!$B$26+KFC!$C$26)*KFC!$C$5</f>
        <v>134.12999999999994</v>
      </c>
      <c r="R101" s="315">
        <f>(AM101*KFC!$B$26+KFC!$C$26)*KFC!$C$5</f>
        <v>139.6699999999999</v>
      </c>
      <c r="S101" s="315">
        <f>(AN101*KFC!$B$26+KFC!$C$26)*KFC!$C$5</f>
        <v>145.20999999999987</v>
      </c>
      <c r="T101" s="315">
        <f>(AO101*KFC!$B$26+KFC!$C$26)*KFC!$C$5</f>
        <v>150.74999999999983</v>
      </c>
      <c r="V101" s="1538"/>
      <c r="W101" s="846">
        <v>1.4</v>
      </c>
      <c r="X101" s="847">
        <v>56.04</v>
      </c>
      <c r="Y101" s="847">
        <v>61.58</v>
      </c>
      <c r="Z101" s="847">
        <v>67.13</v>
      </c>
      <c r="AA101" s="847">
        <v>72.790000000000006</v>
      </c>
      <c r="AB101" s="847">
        <v>78.33</v>
      </c>
      <c r="AC101" s="847">
        <v>83.87</v>
      </c>
      <c r="AD101" s="847">
        <v>89.67</v>
      </c>
      <c r="AE101" s="847">
        <v>95.21</v>
      </c>
      <c r="AF101" s="847">
        <v>100.76</v>
      </c>
      <c r="AG101" s="847">
        <v>106.29</v>
      </c>
      <c r="AH101" s="847">
        <v>111.96</v>
      </c>
      <c r="AI101" s="847">
        <v>117.51</v>
      </c>
      <c r="AJ101" s="848">
        <v>123.05</v>
      </c>
      <c r="AK101" s="690">
        <f t="shared" si="12"/>
        <v>128.58999999999997</v>
      </c>
      <c r="AL101" s="690">
        <f t="shared" si="13"/>
        <v>134.12999999999994</v>
      </c>
      <c r="AM101" s="690">
        <f t="shared" si="13"/>
        <v>139.6699999999999</v>
      </c>
      <c r="AN101" s="690">
        <f t="shared" si="13"/>
        <v>145.20999999999987</v>
      </c>
      <c r="AO101" s="690">
        <f t="shared" si="13"/>
        <v>150.74999999999983</v>
      </c>
      <c r="AP101" s="690">
        <f t="shared" si="13"/>
        <v>156.28999999999979</v>
      </c>
      <c r="AQ101" s="690">
        <f t="shared" si="13"/>
        <v>161.82999999999976</v>
      </c>
    </row>
    <row r="102" spans="1:43">
      <c r="A102" s="1538"/>
      <c r="B102" s="224">
        <v>1.5</v>
      </c>
      <c r="C102" s="314">
        <f>(X102*KFC!$B$26+KFC!$C$26)*KFC!$C$5</f>
        <v>58.26</v>
      </c>
      <c r="D102" s="315">
        <f>(Y102*KFC!$B$26+KFC!$C$26)*KFC!$C$5</f>
        <v>63.92</v>
      </c>
      <c r="E102" s="315">
        <f>(Z102*KFC!$B$26+KFC!$C$26)*KFC!$C$5</f>
        <v>69.58</v>
      </c>
      <c r="F102" s="315">
        <f>(AA102*KFC!$B$26+KFC!$C$26)*KFC!$C$5</f>
        <v>75.13</v>
      </c>
      <c r="G102" s="315">
        <f>(AB102*KFC!$B$26+KFC!$C$26)*KFC!$C$5</f>
        <v>80.91</v>
      </c>
      <c r="H102" s="315">
        <f>(AC102*KFC!$B$26+KFC!$C$26)*KFC!$C$5</f>
        <v>86.59</v>
      </c>
      <c r="I102" s="315">
        <f>(AD102*KFC!$B$26+KFC!$C$26)*KFC!$C$5</f>
        <v>92.14</v>
      </c>
      <c r="J102" s="315">
        <f>(AE102*KFC!$B$26+KFC!$C$26)*KFC!$C$5</f>
        <v>97.91</v>
      </c>
      <c r="K102" s="315">
        <f>(AF102*KFC!$B$26+KFC!$C$26)*KFC!$C$5</f>
        <v>103.46</v>
      </c>
      <c r="L102" s="315">
        <f>(AG102*KFC!$B$26+KFC!$C$26)*KFC!$C$5</f>
        <v>109.24</v>
      </c>
      <c r="M102" s="315">
        <f>(AH102*KFC!$B$26+KFC!$C$26)*KFC!$C$5</f>
        <v>114.79</v>
      </c>
      <c r="N102" s="315">
        <f>(AI102*KFC!$B$26+KFC!$C$26)*KFC!$C$5</f>
        <v>120.46</v>
      </c>
      <c r="O102" s="315">
        <f>(AJ102*KFC!$B$26+KFC!$C$26)*KFC!$C$5</f>
        <v>126.13</v>
      </c>
      <c r="P102" s="315">
        <f>(AK102*KFC!$B$26+KFC!$C$26)*KFC!$C$5</f>
        <v>131.80000000000001</v>
      </c>
      <c r="Q102" s="315">
        <f>(AL102*KFC!$B$26+KFC!$C$26)*KFC!$C$5</f>
        <v>137.47000000000003</v>
      </c>
      <c r="R102" s="315">
        <f>(AM102*KFC!$B$26+KFC!$C$26)*KFC!$C$5</f>
        <v>143.14000000000004</v>
      </c>
      <c r="S102" s="315">
        <f>(AN102*KFC!$B$26+KFC!$C$26)*KFC!$C$5</f>
        <v>148.81000000000006</v>
      </c>
      <c r="T102" s="315">
        <f>(AO102*KFC!$B$26+KFC!$C$26)*KFC!$C$5</f>
        <v>154.48000000000008</v>
      </c>
      <c r="V102" s="1538"/>
      <c r="W102" s="846">
        <v>1.5</v>
      </c>
      <c r="X102" s="847">
        <v>58.26</v>
      </c>
      <c r="Y102" s="847">
        <v>63.92</v>
      </c>
      <c r="Z102" s="847">
        <v>69.58</v>
      </c>
      <c r="AA102" s="847">
        <v>75.13</v>
      </c>
      <c r="AB102" s="847">
        <v>80.91</v>
      </c>
      <c r="AC102" s="847">
        <v>86.59</v>
      </c>
      <c r="AD102" s="847">
        <v>92.14</v>
      </c>
      <c r="AE102" s="847">
        <v>97.91</v>
      </c>
      <c r="AF102" s="847">
        <v>103.46</v>
      </c>
      <c r="AG102" s="847">
        <v>109.24</v>
      </c>
      <c r="AH102" s="847">
        <v>114.79</v>
      </c>
      <c r="AI102" s="847">
        <v>120.46</v>
      </c>
      <c r="AJ102" s="848">
        <v>126.13</v>
      </c>
      <c r="AK102" s="690">
        <f t="shared" si="12"/>
        <v>131.80000000000001</v>
      </c>
      <c r="AL102" s="690">
        <f t="shared" si="13"/>
        <v>137.47000000000003</v>
      </c>
      <c r="AM102" s="690">
        <f t="shared" si="13"/>
        <v>143.14000000000004</v>
      </c>
      <c r="AN102" s="690">
        <f t="shared" si="13"/>
        <v>148.81000000000006</v>
      </c>
      <c r="AO102" s="690">
        <f t="shared" si="13"/>
        <v>154.48000000000008</v>
      </c>
      <c r="AP102" s="690">
        <f t="shared" si="13"/>
        <v>160.15000000000009</v>
      </c>
      <c r="AQ102" s="690">
        <f t="shared" si="13"/>
        <v>165.82000000000011</v>
      </c>
    </row>
    <row r="103" spans="1:43">
      <c r="A103" s="1538"/>
      <c r="B103" s="224">
        <v>1.6</v>
      </c>
      <c r="C103" s="314">
        <f>(X103*KFC!$B$26+KFC!$C$26)*KFC!$C$5</f>
        <v>60.35</v>
      </c>
      <c r="D103" s="315">
        <f>(Y103*KFC!$B$26+KFC!$C$26)*KFC!$C$5</f>
        <v>66.14</v>
      </c>
      <c r="E103" s="315">
        <f>(Z103*KFC!$B$26+KFC!$C$26)*KFC!$C$5</f>
        <v>71.81</v>
      </c>
      <c r="F103" s="315">
        <f>(AA103*KFC!$B$26+KFC!$C$26)*KFC!$C$5</f>
        <v>77.709999999999994</v>
      </c>
      <c r="G103" s="315">
        <f>(AB103*KFC!$B$26+KFC!$C$26)*KFC!$C$5</f>
        <v>83.51</v>
      </c>
      <c r="H103" s="315">
        <f>(AC103*KFC!$B$26+KFC!$C$26)*KFC!$C$5</f>
        <v>89.18</v>
      </c>
      <c r="I103" s="315">
        <f>(AD103*KFC!$B$26+KFC!$C$26)*KFC!$C$5</f>
        <v>94.84</v>
      </c>
      <c r="J103" s="315">
        <f>(AE103*KFC!$B$26+KFC!$C$26)*KFC!$C$5</f>
        <v>100.62</v>
      </c>
      <c r="K103" s="315">
        <f>(AF103*KFC!$B$26+KFC!$C$26)*KFC!$C$5</f>
        <v>106.29</v>
      </c>
      <c r="L103" s="315">
        <f>(AG103*KFC!$B$26+KFC!$C$26)*KFC!$C$5</f>
        <v>112.08</v>
      </c>
      <c r="M103" s="315">
        <f>(AH103*KFC!$B$26+KFC!$C$26)*KFC!$C$5</f>
        <v>117.75</v>
      </c>
      <c r="N103" s="315">
        <f>(AI103*KFC!$B$26+KFC!$C$26)*KFC!$C$5</f>
        <v>123.54</v>
      </c>
      <c r="O103" s="315">
        <f>(AJ103*KFC!$B$26+KFC!$C$26)*KFC!$C$5</f>
        <v>129.33000000000001</v>
      </c>
      <c r="P103" s="315">
        <f>(AK103*KFC!$B$26+KFC!$C$26)*KFC!$C$5</f>
        <v>135.12</v>
      </c>
      <c r="Q103" s="315">
        <f>(AL103*KFC!$B$26+KFC!$C$26)*KFC!$C$5</f>
        <v>140.91</v>
      </c>
      <c r="R103" s="315">
        <f>(AM103*KFC!$B$26+KFC!$C$26)*KFC!$C$5</f>
        <v>146.69999999999999</v>
      </c>
      <c r="S103" s="315">
        <f>(AN103*KFC!$B$26+KFC!$C$26)*KFC!$C$5</f>
        <v>152.48999999999998</v>
      </c>
      <c r="T103" s="315">
        <f>(AO103*KFC!$B$26+KFC!$C$26)*KFC!$C$5</f>
        <v>158.27999999999997</v>
      </c>
      <c r="V103" s="1538"/>
      <c r="W103" s="846">
        <v>1.6</v>
      </c>
      <c r="X103" s="847">
        <v>60.35</v>
      </c>
      <c r="Y103" s="847">
        <v>66.14</v>
      </c>
      <c r="Z103" s="847">
        <v>71.81</v>
      </c>
      <c r="AA103" s="847">
        <v>77.709999999999994</v>
      </c>
      <c r="AB103" s="847">
        <v>83.51</v>
      </c>
      <c r="AC103" s="847">
        <v>89.18</v>
      </c>
      <c r="AD103" s="847">
        <v>94.84</v>
      </c>
      <c r="AE103" s="847">
        <v>100.62</v>
      </c>
      <c r="AF103" s="847">
        <v>106.29</v>
      </c>
      <c r="AG103" s="847">
        <v>112.08</v>
      </c>
      <c r="AH103" s="847">
        <v>117.75</v>
      </c>
      <c r="AI103" s="847">
        <v>123.54</v>
      </c>
      <c r="AJ103" s="848">
        <v>129.33000000000001</v>
      </c>
      <c r="AK103" s="690">
        <f t="shared" si="12"/>
        <v>135.12</v>
      </c>
      <c r="AL103" s="690">
        <f t="shared" si="13"/>
        <v>140.91</v>
      </c>
      <c r="AM103" s="690">
        <f t="shared" si="13"/>
        <v>146.69999999999999</v>
      </c>
      <c r="AN103" s="690">
        <f t="shared" si="13"/>
        <v>152.48999999999998</v>
      </c>
      <c r="AO103" s="690">
        <f t="shared" si="13"/>
        <v>158.27999999999997</v>
      </c>
      <c r="AP103" s="690">
        <f t="shared" si="13"/>
        <v>164.06999999999996</v>
      </c>
      <c r="AQ103" s="690">
        <f t="shared" si="13"/>
        <v>169.85999999999996</v>
      </c>
    </row>
    <row r="104" spans="1:43">
      <c r="A104" s="1538"/>
      <c r="B104" s="224">
        <v>1.7</v>
      </c>
      <c r="C104" s="314">
        <f>(X104*KFC!$B$26+KFC!$C$26)*KFC!$C$5</f>
        <v>62.7</v>
      </c>
      <c r="D104" s="315">
        <f>(Y104*KFC!$B$26+KFC!$C$26)*KFC!$C$5</f>
        <v>68.48</v>
      </c>
      <c r="E104" s="315">
        <f>(Z104*KFC!$B$26+KFC!$C$26)*KFC!$C$5</f>
        <v>74.28</v>
      </c>
      <c r="F104" s="315">
        <f>(AA104*KFC!$B$26+KFC!$C$26)*KFC!$C$5</f>
        <v>80.180000000000007</v>
      </c>
      <c r="G104" s="315">
        <f>(AB104*KFC!$B$26+KFC!$C$26)*KFC!$C$5</f>
        <v>85.84</v>
      </c>
      <c r="H104" s="315">
        <f>(AC104*KFC!$B$26+KFC!$C$26)*KFC!$C$5</f>
        <v>91.76</v>
      </c>
      <c r="I104" s="315">
        <f>(AD104*KFC!$B$26+KFC!$C$26)*KFC!$C$5</f>
        <v>97.42</v>
      </c>
      <c r="J104" s="315">
        <f>(AE104*KFC!$B$26+KFC!$C$26)*KFC!$C$5</f>
        <v>103.34</v>
      </c>
      <c r="K104" s="315">
        <f>(AF104*KFC!$B$26+KFC!$C$26)*KFC!$C$5</f>
        <v>109</v>
      </c>
      <c r="L104" s="315">
        <f>(AG104*KFC!$B$26+KFC!$C$26)*KFC!$C$5</f>
        <v>114.92</v>
      </c>
      <c r="M104" s="315">
        <f>(AH104*KFC!$B$26+KFC!$C$26)*KFC!$C$5</f>
        <v>120.7</v>
      </c>
      <c r="N104" s="315">
        <f>(AI104*KFC!$B$26+KFC!$C$26)*KFC!$C$5</f>
        <v>126.48</v>
      </c>
      <c r="O104" s="315">
        <f>(AJ104*KFC!$B$26+KFC!$C$26)*KFC!$C$5</f>
        <v>132.28</v>
      </c>
      <c r="P104" s="315">
        <f>(AK104*KFC!$B$26+KFC!$C$26)*KFC!$C$5</f>
        <v>138.07999999999998</v>
      </c>
      <c r="Q104" s="315">
        <f>(AL104*KFC!$B$26+KFC!$C$26)*KFC!$C$5</f>
        <v>143.87999999999997</v>
      </c>
      <c r="R104" s="315">
        <f>(AM104*KFC!$B$26+KFC!$C$26)*KFC!$C$5</f>
        <v>149.67999999999995</v>
      </c>
      <c r="S104" s="315">
        <f>(AN104*KFC!$B$26+KFC!$C$26)*KFC!$C$5</f>
        <v>155.47999999999993</v>
      </c>
      <c r="T104" s="315">
        <f>(AO104*KFC!$B$26+KFC!$C$26)*KFC!$C$5</f>
        <v>161.27999999999992</v>
      </c>
      <c r="V104" s="1538"/>
      <c r="W104" s="846">
        <v>1.7</v>
      </c>
      <c r="X104" s="847">
        <v>62.7</v>
      </c>
      <c r="Y104" s="847">
        <v>68.48</v>
      </c>
      <c r="Z104" s="847">
        <v>74.28</v>
      </c>
      <c r="AA104" s="847">
        <v>80.180000000000007</v>
      </c>
      <c r="AB104" s="847">
        <v>85.84</v>
      </c>
      <c r="AC104" s="847">
        <v>91.76</v>
      </c>
      <c r="AD104" s="847">
        <v>97.42</v>
      </c>
      <c r="AE104" s="847">
        <v>103.34</v>
      </c>
      <c r="AF104" s="847">
        <v>109</v>
      </c>
      <c r="AG104" s="847">
        <v>114.92</v>
      </c>
      <c r="AH104" s="847">
        <v>120.7</v>
      </c>
      <c r="AI104" s="847">
        <v>126.48</v>
      </c>
      <c r="AJ104" s="848">
        <v>132.28</v>
      </c>
      <c r="AK104" s="690">
        <f t="shared" si="12"/>
        <v>138.07999999999998</v>
      </c>
      <c r="AL104" s="690">
        <f t="shared" si="13"/>
        <v>143.87999999999997</v>
      </c>
      <c r="AM104" s="690">
        <f t="shared" si="13"/>
        <v>149.67999999999995</v>
      </c>
      <c r="AN104" s="690">
        <f t="shared" si="13"/>
        <v>155.47999999999993</v>
      </c>
      <c r="AO104" s="690">
        <f t="shared" si="13"/>
        <v>161.27999999999992</v>
      </c>
      <c r="AP104" s="690">
        <f t="shared" si="13"/>
        <v>167.0799999999999</v>
      </c>
      <c r="AQ104" s="690">
        <f t="shared" si="13"/>
        <v>172.87999999999988</v>
      </c>
    </row>
    <row r="105" spans="1:43">
      <c r="A105" s="1538"/>
      <c r="B105" s="224">
        <v>1.8</v>
      </c>
      <c r="C105" s="314">
        <f>(X105*KFC!$B$26+KFC!$C$26)*KFC!$C$5</f>
        <v>64.900000000000006</v>
      </c>
      <c r="D105" s="315">
        <f>(Y105*KFC!$B$26+KFC!$C$26)*KFC!$C$5</f>
        <v>70.819999999999993</v>
      </c>
      <c r="E105" s="315">
        <f>(Z105*KFC!$B$26+KFC!$C$26)*KFC!$C$5</f>
        <v>76.73</v>
      </c>
      <c r="F105" s="315">
        <f>(AA105*KFC!$B$26+KFC!$C$26)*KFC!$C$5</f>
        <v>82.52</v>
      </c>
      <c r="G105" s="315">
        <f>(AB105*KFC!$B$26+KFC!$C$26)*KFC!$C$5</f>
        <v>88.44</v>
      </c>
      <c r="H105" s="315">
        <f>(AC105*KFC!$B$26+KFC!$C$26)*KFC!$C$5</f>
        <v>94.34</v>
      </c>
      <c r="I105" s="315">
        <f>(AD105*KFC!$B$26+KFC!$C$26)*KFC!$C$5</f>
        <v>100.14</v>
      </c>
      <c r="J105" s="315">
        <f>(AE105*KFC!$B$26+KFC!$C$26)*KFC!$C$5</f>
        <v>106.04</v>
      </c>
      <c r="K105" s="315">
        <f>(AF105*KFC!$B$26+KFC!$C$26)*KFC!$C$5</f>
        <v>111.96</v>
      </c>
      <c r="L105" s="315">
        <f>(AG105*KFC!$B$26+KFC!$C$26)*KFC!$C$5</f>
        <v>117.75</v>
      </c>
      <c r="M105" s="315">
        <f>(AH105*KFC!$B$26+KFC!$C$26)*KFC!$C$5</f>
        <v>123.66</v>
      </c>
      <c r="N105" s="315">
        <f>(AI105*KFC!$B$26+KFC!$C$26)*KFC!$C$5</f>
        <v>129.57</v>
      </c>
      <c r="O105" s="315">
        <f>(AJ105*KFC!$B$26+KFC!$C$26)*KFC!$C$5</f>
        <v>135.47999999999999</v>
      </c>
      <c r="P105" s="315">
        <f>(AK105*KFC!$B$26+KFC!$C$26)*KFC!$C$5</f>
        <v>141.38999999999999</v>
      </c>
      <c r="Q105" s="315">
        <f>(AL105*KFC!$B$26+KFC!$C$26)*KFC!$C$5</f>
        <v>147.29999999999998</v>
      </c>
      <c r="R105" s="315">
        <f>(AM105*KFC!$B$26+KFC!$C$26)*KFC!$C$5</f>
        <v>153.20999999999998</v>
      </c>
      <c r="S105" s="315">
        <f>(AN105*KFC!$B$26+KFC!$C$26)*KFC!$C$5</f>
        <v>159.11999999999998</v>
      </c>
      <c r="T105" s="315">
        <f>(AO105*KFC!$B$26+KFC!$C$26)*KFC!$C$5</f>
        <v>165.02999999999997</v>
      </c>
      <c r="V105" s="1538"/>
      <c r="W105" s="846">
        <v>1.8</v>
      </c>
      <c r="X105" s="847">
        <v>64.900000000000006</v>
      </c>
      <c r="Y105" s="847">
        <v>70.819999999999993</v>
      </c>
      <c r="Z105" s="847">
        <v>76.73</v>
      </c>
      <c r="AA105" s="847">
        <v>82.52</v>
      </c>
      <c r="AB105" s="847">
        <v>88.44</v>
      </c>
      <c r="AC105" s="847">
        <v>94.34</v>
      </c>
      <c r="AD105" s="847">
        <v>100.14</v>
      </c>
      <c r="AE105" s="847">
        <v>106.04</v>
      </c>
      <c r="AF105" s="847">
        <v>111.96</v>
      </c>
      <c r="AG105" s="847">
        <v>117.75</v>
      </c>
      <c r="AH105" s="847">
        <v>123.66</v>
      </c>
      <c r="AI105" s="847">
        <v>129.57</v>
      </c>
      <c r="AJ105" s="848">
        <v>135.47999999999999</v>
      </c>
      <c r="AK105" s="690">
        <f t="shared" si="12"/>
        <v>141.38999999999999</v>
      </c>
      <c r="AL105" s="690">
        <f t="shared" si="13"/>
        <v>147.29999999999998</v>
      </c>
      <c r="AM105" s="690">
        <f t="shared" si="13"/>
        <v>153.20999999999998</v>
      </c>
      <c r="AN105" s="690">
        <f t="shared" si="13"/>
        <v>159.11999999999998</v>
      </c>
      <c r="AO105" s="690">
        <f t="shared" si="13"/>
        <v>165.02999999999997</v>
      </c>
      <c r="AP105" s="690">
        <f t="shared" si="13"/>
        <v>170.93999999999997</v>
      </c>
      <c r="AQ105" s="690">
        <f t="shared" si="13"/>
        <v>176.84999999999997</v>
      </c>
    </row>
    <row r="106" spans="1:43">
      <c r="A106" s="1538"/>
      <c r="B106" s="224">
        <v>1.9</v>
      </c>
      <c r="C106" s="314">
        <f>(X106*KFC!$B$26+KFC!$C$26)*KFC!$C$5</f>
        <v>67</v>
      </c>
      <c r="D106" s="315">
        <f>(Y106*KFC!$B$26+KFC!$C$26)*KFC!$C$5</f>
        <v>73.040000000000006</v>
      </c>
      <c r="E106" s="315">
        <f>(Z106*KFC!$B$26+KFC!$C$26)*KFC!$C$5</f>
        <v>78.95</v>
      </c>
      <c r="F106" s="315">
        <f>(AA106*KFC!$B$26+KFC!$C$26)*KFC!$C$5</f>
        <v>84.99</v>
      </c>
      <c r="G106" s="315">
        <f>(AB106*KFC!$B$26+KFC!$C$26)*KFC!$C$5</f>
        <v>90.77</v>
      </c>
      <c r="H106" s="315">
        <f>(AC106*KFC!$B$26+KFC!$C$26)*KFC!$C$5</f>
        <v>96.81</v>
      </c>
      <c r="I106" s="315">
        <f>(AD106*KFC!$B$26+KFC!$C$26)*KFC!$C$5</f>
        <v>102.72</v>
      </c>
      <c r="J106" s="315">
        <f>(AE106*KFC!$B$26+KFC!$C$26)*KFC!$C$5</f>
        <v>108.76</v>
      </c>
      <c r="K106" s="315">
        <f>(AF106*KFC!$B$26+KFC!$C$26)*KFC!$C$5</f>
        <v>114.66</v>
      </c>
      <c r="L106" s="315">
        <f>(AG106*KFC!$B$26+KFC!$C$26)*KFC!$C$5</f>
        <v>120.7</v>
      </c>
      <c r="M106" s="315">
        <f>(AH106*KFC!$B$26+KFC!$C$26)*KFC!$C$5</f>
        <v>126.48</v>
      </c>
      <c r="N106" s="315">
        <f>(AI106*KFC!$B$26+KFC!$C$26)*KFC!$C$5</f>
        <v>132.52000000000001</v>
      </c>
      <c r="O106" s="315">
        <f>(AJ106*KFC!$B$26+KFC!$C$26)*KFC!$C$5</f>
        <v>138.56</v>
      </c>
      <c r="P106" s="315">
        <f>(AK106*KFC!$B$26+KFC!$C$26)*KFC!$C$5</f>
        <v>144.6</v>
      </c>
      <c r="Q106" s="315">
        <f>(AL106*KFC!$B$26+KFC!$C$26)*KFC!$C$5</f>
        <v>150.63999999999999</v>
      </c>
      <c r="R106" s="315">
        <f>(AM106*KFC!$B$26+KFC!$C$26)*KFC!$C$5</f>
        <v>156.67999999999998</v>
      </c>
      <c r="S106" s="315">
        <f>(AN106*KFC!$B$26+KFC!$C$26)*KFC!$C$5</f>
        <v>162.71999999999997</v>
      </c>
      <c r="T106" s="315">
        <f>(AO106*KFC!$B$26+KFC!$C$26)*KFC!$C$5</f>
        <v>168.75999999999996</v>
      </c>
      <c r="V106" s="1538"/>
      <c r="W106" s="846">
        <v>1.9</v>
      </c>
      <c r="X106" s="847">
        <v>67</v>
      </c>
      <c r="Y106" s="847">
        <v>73.040000000000006</v>
      </c>
      <c r="Z106" s="847">
        <v>78.95</v>
      </c>
      <c r="AA106" s="847">
        <v>84.99</v>
      </c>
      <c r="AB106" s="847">
        <v>90.77</v>
      </c>
      <c r="AC106" s="847">
        <v>96.81</v>
      </c>
      <c r="AD106" s="847">
        <v>102.72</v>
      </c>
      <c r="AE106" s="847">
        <v>108.76</v>
      </c>
      <c r="AF106" s="847">
        <v>114.66</v>
      </c>
      <c r="AG106" s="847">
        <v>120.7</v>
      </c>
      <c r="AH106" s="847">
        <v>126.48</v>
      </c>
      <c r="AI106" s="847">
        <v>132.52000000000001</v>
      </c>
      <c r="AJ106" s="848">
        <v>138.56</v>
      </c>
      <c r="AK106" s="690">
        <f t="shared" si="12"/>
        <v>144.6</v>
      </c>
      <c r="AL106" s="690">
        <f t="shared" si="13"/>
        <v>150.63999999999999</v>
      </c>
      <c r="AM106" s="690">
        <f t="shared" si="13"/>
        <v>156.67999999999998</v>
      </c>
      <c r="AN106" s="690">
        <f t="shared" si="13"/>
        <v>162.71999999999997</v>
      </c>
      <c r="AO106" s="690">
        <f t="shared" si="13"/>
        <v>168.75999999999996</v>
      </c>
      <c r="AP106" s="690">
        <f t="shared" si="13"/>
        <v>174.79999999999995</v>
      </c>
      <c r="AQ106" s="690">
        <f t="shared" si="13"/>
        <v>180.83999999999995</v>
      </c>
    </row>
    <row r="107" spans="1:43">
      <c r="A107" s="1538"/>
      <c r="B107" s="224">
        <v>2</v>
      </c>
      <c r="C107" s="314">
        <f>(X107*KFC!$B$26+KFC!$C$26)*KFC!$C$5</f>
        <v>69.34</v>
      </c>
      <c r="D107" s="315">
        <f>(Y107*KFC!$B$26+KFC!$C$26)*KFC!$C$5</f>
        <v>75.37</v>
      </c>
      <c r="E107" s="315">
        <f>(Z107*KFC!$B$26+KFC!$C$26)*KFC!$C$5</f>
        <v>81.290000000000006</v>
      </c>
      <c r="F107" s="315">
        <f>(AA107*KFC!$B$26+KFC!$C$26)*KFC!$C$5</f>
        <v>87.33</v>
      </c>
      <c r="G107" s="315">
        <f>(AB107*KFC!$B$26+KFC!$C$26)*KFC!$C$5</f>
        <v>93.37</v>
      </c>
      <c r="H107" s="315">
        <f>(AC107*KFC!$B$26+KFC!$C$26)*KFC!$C$5</f>
        <v>99.39</v>
      </c>
      <c r="I107" s="315">
        <f>(AD107*KFC!$B$26+KFC!$C$26)*KFC!$C$5</f>
        <v>105.43</v>
      </c>
      <c r="J107" s="315">
        <f>(AE107*KFC!$B$26+KFC!$C$26)*KFC!$C$5</f>
        <v>111.47</v>
      </c>
      <c r="K107" s="315">
        <f>(AF107*KFC!$B$26+KFC!$C$26)*KFC!$C$5</f>
        <v>117.51</v>
      </c>
      <c r="L107" s="315">
        <f>(AG107*KFC!$B$26+KFC!$C$26)*KFC!$C$5</f>
        <v>123.54</v>
      </c>
      <c r="M107" s="315">
        <f>(AH107*KFC!$B$26+KFC!$C$26)*KFC!$C$5</f>
        <v>129.57</v>
      </c>
      <c r="N107" s="315">
        <f>(AI107*KFC!$B$26+KFC!$C$26)*KFC!$C$5</f>
        <v>135.61000000000001</v>
      </c>
      <c r="O107" s="315">
        <f>(AJ107*KFC!$B$26+KFC!$C$26)*KFC!$C$5</f>
        <v>141.65</v>
      </c>
      <c r="P107" s="315">
        <f>(AK107*KFC!$B$26+KFC!$C$26)*KFC!$C$5</f>
        <v>147.69</v>
      </c>
      <c r="Q107" s="315">
        <f>(AL107*KFC!$B$26+KFC!$C$26)*KFC!$C$5</f>
        <v>153.72999999999999</v>
      </c>
      <c r="R107" s="315">
        <f>(AM107*KFC!$B$26+KFC!$C$26)*KFC!$C$5</f>
        <v>159.76999999999998</v>
      </c>
      <c r="S107" s="315">
        <f>(AN107*KFC!$B$26+KFC!$C$26)*KFC!$C$5</f>
        <v>165.80999999999997</v>
      </c>
      <c r="T107" s="315">
        <f>(AO107*KFC!$B$26+KFC!$C$26)*KFC!$C$5</f>
        <v>171.84999999999997</v>
      </c>
      <c r="V107" s="1538"/>
      <c r="W107" s="846">
        <v>2</v>
      </c>
      <c r="X107" s="847">
        <v>69.34</v>
      </c>
      <c r="Y107" s="847">
        <v>75.37</v>
      </c>
      <c r="Z107" s="847">
        <v>81.290000000000006</v>
      </c>
      <c r="AA107" s="847">
        <v>87.33</v>
      </c>
      <c r="AB107" s="847">
        <v>93.37</v>
      </c>
      <c r="AC107" s="847">
        <v>99.39</v>
      </c>
      <c r="AD107" s="847">
        <v>105.43</v>
      </c>
      <c r="AE107" s="847">
        <v>111.47</v>
      </c>
      <c r="AF107" s="847">
        <v>117.51</v>
      </c>
      <c r="AG107" s="847">
        <v>123.54</v>
      </c>
      <c r="AH107" s="847">
        <v>129.57</v>
      </c>
      <c r="AI107" s="847">
        <v>135.61000000000001</v>
      </c>
      <c r="AJ107" s="848">
        <v>141.65</v>
      </c>
      <c r="AK107" s="690">
        <f t="shared" si="12"/>
        <v>147.69</v>
      </c>
      <c r="AL107" s="690">
        <f t="shared" si="13"/>
        <v>153.72999999999999</v>
      </c>
      <c r="AM107" s="690">
        <f t="shared" si="13"/>
        <v>159.76999999999998</v>
      </c>
      <c r="AN107" s="690">
        <f t="shared" si="13"/>
        <v>165.80999999999997</v>
      </c>
      <c r="AO107" s="690">
        <f t="shared" si="13"/>
        <v>171.84999999999997</v>
      </c>
      <c r="AP107" s="690">
        <f t="shared" si="13"/>
        <v>177.88999999999996</v>
      </c>
      <c r="AQ107" s="690">
        <f t="shared" si="13"/>
        <v>183.92999999999995</v>
      </c>
    </row>
    <row r="108" spans="1:43">
      <c r="A108" s="840"/>
      <c r="B108" s="224">
        <v>2.1</v>
      </c>
      <c r="C108" s="314">
        <f>(X108*KFC!$B$26+KFC!$C$26)*KFC!$C$5</f>
        <v>71.67</v>
      </c>
      <c r="D108" s="315">
        <f>(Y108*KFC!$B$26+KFC!$C$26)*KFC!$C$5</f>
        <v>77.709999999999994</v>
      </c>
      <c r="E108" s="315">
        <f>(Z108*KFC!$B$26+KFC!$C$26)*KFC!$C$5</f>
        <v>83.63</v>
      </c>
      <c r="F108" s="315">
        <f>(AA108*KFC!$B$26+KFC!$C$26)*KFC!$C$5</f>
        <v>89.67</v>
      </c>
      <c r="G108" s="315">
        <f>(AB108*KFC!$B$26+KFC!$C$26)*KFC!$C$5</f>
        <v>95.95</v>
      </c>
      <c r="H108" s="315">
        <f>(AC108*KFC!$B$26+KFC!$C$26)*KFC!$C$5</f>
        <v>101.99</v>
      </c>
      <c r="I108" s="315">
        <f>(AD108*KFC!$B$26+KFC!$C$26)*KFC!$C$5</f>
        <v>108.14</v>
      </c>
      <c r="J108" s="315">
        <f>(AE108*KFC!$B$26+KFC!$C$26)*KFC!$C$5</f>
        <v>114.17</v>
      </c>
      <c r="K108" s="315">
        <f>(AF108*KFC!$B$26+KFC!$C$26)*KFC!$C$5</f>
        <v>120.33</v>
      </c>
      <c r="L108" s="315">
        <f>(AG108*KFC!$B$26+KFC!$C$26)*KFC!$C$5</f>
        <v>126.37</v>
      </c>
      <c r="M108" s="315">
        <f>(AH108*KFC!$B$26+KFC!$C$26)*KFC!$C$5</f>
        <v>132.65</v>
      </c>
      <c r="N108" s="315">
        <f>(AI108*KFC!$B$26+KFC!$C$26)*KFC!$C$5</f>
        <v>138.68</v>
      </c>
      <c r="O108" s="315">
        <f>(AJ108*KFC!$B$26+KFC!$C$26)*KFC!$C$5</f>
        <v>144.72</v>
      </c>
      <c r="P108" s="315">
        <f>(AK108*KFC!$B$26+KFC!$C$26)*KFC!$C$5</f>
        <v>150.76</v>
      </c>
      <c r="Q108" s="315">
        <f>(AL108*KFC!$B$26+KFC!$C$26)*KFC!$C$5</f>
        <v>156.79999999999998</v>
      </c>
      <c r="R108" s="315">
        <f>(AM108*KFC!$B$26+KFC!$C$26)*KFC!$C$5</f>
        <v>162.83999999999997</v>
      </c>
      <c r="S108" s="315">
        <f>(AN108*KFC!$B$26+KFC!$C$26)*KFC!$C$5</f>
        <v>168.87999999999997</v>
      </c>
      <c r="T108" s="315">
        <f>(AO108*KFC!$B$26+KFC!$C$26)*KFC!$C$5</f>
        <v>174.91999999999996</v>
      </c>
      <c r="V108" s="840"/>
      <c r="W108" s="846">
        <v>2.1</v>
      </c>
      <c r="X108" s="847">
        <v>71.67</v>
      </c>
      <c r="Y108" s="847">
        <v>77.709999999999994</v>
      </c>
      <c r="Z108" s="847">
        <v>83.63</v>
      </c>
      <c r="AA108" s="847">
        <v>89.67</v>
      </c>
      <c r="AB108" s="847">
        <v>95.95</v>
      </c>
      <c r="AC108" s="847">
        <v>101.99</v>
      </c>
      <c r="AD108" s="847">
        <v>108.14</v>
      </c>
      <c r="AE108" s="847">
        <v>114.17</v>
      </c>
      <c r="AF108" s="847">
        <v>120.33</v>
      </c>
      <c r="AG108" s="847">
        <v>126.37</v>
      </c>
      <c r="AH108" s="847">
        <v>132.65</v>
      </c>
      <c r="AI108" s="847">
        <v>138.68</v>
      </c>
      <c r="AJ108" s="848">
        <v>144.72</v>
      </c>
      <c r="AK108" s="690">
        <f t="shared" si="12"/>
        <v>150.76</v>
      </c>
      <c r="AL108" s="690">
        <f t="shared" ref="AL108:AQ109" si="14">AK108-AJ108+AK108</f>
        <v>156.79999999999998</v>
      </c>
      <c r="AM108" s="690">
        <f t="shared" si="14"/>
        <v>162.83999999999997</v>
      </c>
      <c r="AN108" s="690">
        <f t="shared" si="14"/>
        <v>168.87999999999997</v>
      </c>
      <c r="AO108" s="690">
        <f t="shared" si="14"/>
        <v>174.91999999999996</v>
      </c>
      <c r="AP108" s="690">
        <f t="shared" si="14"/>
        <v>180.95999999999995</v>
      </c>
      <c r="AQ108" s="690">
        <f t="shared" si="14"/>
        <v>186.99999999999994</v>
      </c>
    </row>
    <row r="109" spans="1:43" ht="13.8" thickBot="1">
      <c r="A109" s="841"/>
      <c r="B109" s="224">
        <v>2.2000000000000002</v>
      </c>
      <c r="C109" s="317">
        <f>(X109*KFC!$B$26+KFC!$C$26)*KFC!$C$5</f>
        <v>74.03</v>
      </c>
      <c r="D109" s="318">
        <f>(Y109*KFC!$B$26+KFC!$C$26)*KFC!$C$5</f>
        <v>80.06</v>
      </c>
      <c r="E109" s="318">
        <f>(Z109*KFC!$B$26+KFC!$C$26)*KFC!$C$5</f>
        <v>85.97</v>
      </c>
      <c r="F109" s="318">
        <f>(AA109*KFC!$B$26+KFC!$C$26)*KFC!$C$5</f>
        <v>92</v>
      </c>
      <c r="G109" s="318">
        <f>(AB109*KFC!$B$26+KFC!$C$26)*KFC!$C$5</f>
        <v>98.53</v>
      </c>
      <c r="H109" s="318">
        <f>(AC109*KFC!$B$26+KFC!$C$26)*KFC!$C$5</f>
        <v>104.57</v>
      </c>
      <c r="I109" s="318">
        <f>(AD109*KFC!$B$26+KFC!$C$26)*KFC!$C$5</f>
        <v>110.85</v>
      </c>
      <c r="J109" s="318">
        <f>(AE109*KFC!$B$26+KFC!$C$26)*KFC!$C$5</f>
        <v>116.89</v>
      </c>
      <c r="K109" s="318">
        <f>(AF109*KFC!$B$26+KFC!$C$26)*KFC!$C$5</f>
        <v>123.17</v>
      </c>
      <c r="L109" s="318">
        <f>(AG109*KFC!$B$26+KFC!$C$26)*KFC!$C$5</f>
        <v>129.19999999999999</v>
      </c>
      <c r="M109" s="318">
        <f>(AH109*KFC!$B$26+KFC!$C$26)*KFC!$C$5</f>
        <v>135.72</v>
      </c>
      <c r="N109" s="318">
        <f>(AI109*KFC!$B$26+KFC!$C$26)*KFC!$C$5</f>
        <v>141.76</v>
      </c>
      <c r="O109" s="318">
        <f>(AJ109*KFC!$B$26+KFC!$C$26)*KFC!$C$5</f>
        <v>147.80000000000001</v>
      </c>
      <c r="P109" s="318">
        <f>(AK109*KFC!$B$26+KFC!$C$26)*KFC!$C$5</f>
        <v>153.84000000000003</v>
      </c>
      <c r="Q109" s="318">
        <f>(AL109*KFC!$B$26+KFC!$C$26)*KFC!$C$5</f>
        <v>159.88000000000005</v>
      </c>
      <c r="R109" s="318">
        <f>(AM109*KFC!$B$26+KFC!$C$26)*KFC!$C$5</f>
        <v>165.92000000000007</v>
      </c>
      <c r="S109" s="318">
        <f>(AN109*KFC!$B$26+KFC!$C$26)*KFC!$C$5</f>
        <v>171.96000000000009</v>
      </c>
      <c r="T109" s="318">
        <f>(AO109*KFC!$B$26+KFC!$C$26)*KFC!$C$5</f>
        <v>178.00000000000011</v>
      </c>
      <c r="V109" s="841"/>
      <c r="W109" s="846">
        <v>2.2000000000000002</v>
      </c>
      <c r="X109" s="847">
        <v>74.03</v>
      </c>
      <c r="Y109" s="847">
        <v>80.06</v>
      </c>
      <c r="Z109" s="847">
        <v>85.97</v>
      </c>
      <c r="AA109" s="847">
        <v>92</v>
      </c>
      <c r="AB109" s="847">
        <v>98.53</v>
      </c>
      <c r="AC109" s="847">
        <v>104.57</v>
      </c>
      <c r="AD109" s="847">
        <v>110.85</v>
      </c>
      <c r="AE109" s="847">
        <v>116.89</v>
      </c>
      <c r="AF109" s="847">
        <v>123.17</v>
      </c>
      <c r="AG109" s="847">
        <v>129.19999999999999</v>
      </c>
      <c r="AH109" s="847">
        <v>135.72</v>
      </c>
      <c r="AI109" s="847">
        <v>141.76</v>
      </c>
      <c r="AJ109" s="848">
        <v>147.80000000000001</v>
      </c>
      <c r="AK109" s="690">
        <f t="shared" si="12"/>
        <v>153.84000000000003</v>
      </c>
      <c r="AL109" s="690">
        <f t="shared" si="14"/>
        <v>159.88000000000005</v>
      </c>
      <c r="AM109" s="690">
        <f t="shared" si="14"/>
        <v>165.92000000000007</v>
      </c>
      <c r="AN109" s="690">
        <f t="shared" si="14"/>
        <v>171.96000000000009</v>
      </c>
      <c r="AO109" s="690">
        <f t="shared" si="14"/>
        <v>178.00000000000011</v>
      </c>
      <c r="AP109" s="690">
        <f t="shared" si="14"/>
        <v>184.04000000000013</v>
      </c>
      <c r="AQ109" s="690">
        <f t="shared" si="14"/>
        <v>190.08000000000015</v>
      </c>
    </row>
    <row r="110" spans="1:43" ht="13.8" thickBot="1">
      <c r="A110" s="249"/>
      <c r="B110" s="249"/>
      <c r="C110" s="249"/>
      <c r="D110" s="249"/>
      <c r="E110" s="249"/>
      <c r="F110" s="249"/>
      <c r="G110" s="249"/>
      <c r="H110" s="249"/>
      <c r="I110" s="249"/>
      <c r="J110" s="249"/>
      <c r="K110" s="249"/>
      <c r="L110" s="249"/>
    </row>
    <row r="111" spans="1:43" ht="13.8" thickBot="1">
      <c r="A111" s="1413" t="s">
        <v>320</v>
      </c>
      <c r="B111" s="1415"/>
      <c r="C111" s="1534" t="s">
        <v>207</v>
      </c>
      <c r="D111" s="1535"/>
      <c r="E111" s="1535"/>
      <c r="F111" s="1535"/>
      <c r="G111" s="1535"/>
      <c r="H111" s="1535"/>
      <c r="I111" s="1535"/>
      <c r="J111" s="1535"/>
      <c r="K111" s="1535"/>
      <c r="L111" s="1535"/>
      <c r="M111" s="1535"/>
      <c r="N111" s="1535"/>
      <c r="O111" s="1535"/>
      <c r="P111" s="1535"/>
      <c r="Q111" s="1535"/>
      <c r="R111" s="1535"/>
      <c r="S111" s="1535"/>
      <c r="T111" s="1536"/>
      <c r="V111" s="1413" t="s">
        <v>320</v>
      </c>
      <c r="W111" s="1415"/>
      <c r="X111" s="1534" t="s">
        <v>207</v>
      </c>
      <c r="Y111" s="1535"/>
      <c r="Z111" s="1535"/>
      <c r="AA111" s="1535"/>
      <c r="AB111" s="1535"/>
      <c r="AC111" s="1535"/>
      <c r="AD111" s="1535"/>
      <c r="AE111" s="1535"/>
      <c r="AF111" s="1535"/>
      <c r="AG111" s="1535"/>
      <c r="AH111" s="1535"/>
      <c r="AI111" s="1535"/>
      <c r="AJ111" s="1535"/>
      <c r="AK111" s="1535"/>
      <c r="AL111" s="1535"/>
      <c r="AM111" s="1535"/>
      <c r="AN111" s="1535"/>
      <c r="AO111" s="1535"/>
      <c r="AP111" s="1535"/>
      <c r="AQ111" s="1536"/>
    </row>
    <row r="112" spans="1:43" ht="13.8" thickBot="1">
      <c r="A112" s="1803"/>
      <c r="B112" s="1418"/>
      <c r="C112" s="119">
        <v>0.4</v>
      </c>
      <c r="D112" s="119">
        <v>0.5</v>
      </c>
      <c r="E112" s="119">
        <v>0.6</v>
      </c>
      <c r="F112" s="119">
        <v>0.7</v>
      </c>
      <c r="G112" s="119">
        <v>0.8</v>
      </c>
      <c r="H112" s="119">
        <v>0.9</v>
      </c>
      <c r="I112" s="119">
        <v>1</v>
      </c>
      <c r="J112" s="119">
        <v>1.1000000000000001</v>
      </c>
      <c r="K112" s="119">
        <v>1.2</v>
      </c>
      <c r="L112" s="119">
        <v>1.3</v>
      </c>
      <c r="M112" s="119">
        <v>1.4</v>
      </c>
      <c r="N112" s="119">
        <v>1.5</v>
      </c>
      <c r="O112" s="119">
        <v>1.6</v>
      </c>
      <c r="P112" s="119">
        <v>1.7</v>
      </c>
      <c r="Q112" s="119">
        <v>1.8</v>
      </c>
      <c r="R112" s="119">
        <v>1.9</v>
      </c>
      <c r="S112" s="119">
        <v>2</v>
      </c>
      <c r="T112" s="119">
        <v>2.1</v>
      </c>
      <c r="V112" s="1803"/>
      <c r="W112" s="1418"/>
      <c r="X112" s="428">
        <v>0.4</v>
      </c>
      <c r="Y112" s="428">
        <v>0.5</v>
      </c>
      <c r="Z112" s="428">
        <v>0.6</v>
      </c>
      <c r="AA112" s="428">
        <v>0.7</v>
      </c>
      <c r="AB112" s="428">
        <v>0.8</v>
      </c>
      <c r="AC112" s="428">
        <v>0.9</v>
      </c>
      <c r="AD112" s="428">
        <v>1</v>
      </c>
      <c r="AE112" s="428">
        <v>1.1000000000000001</v>
      </c>
      <c r="AF112" s="428">
        <v>1.2</v>
      </c>
      <c r="AG112" s="428">
        <v>1.3</v>
      </c>
      <c r="AH112" s="428">
        <v>1.4</v>
      </c>
      <c r="AI112" s="428">
        <v>1.5</v>
      </c>
      <c r="AJ112" s="428">
        <v>1.6</v>
      </c>
      <c r="AK112" s="428">
        <v>1.7</v>
      </c>
      <c r="AL112" s="428">
        <v>1.8</v>
      </c>
      <c r="AM112" s="428">
        <v>1.9</v>
      </c>
      <c r="AN112" s="428">
        <v>2</v>
      </c>
      <c r="AO112" s="428">
        <v>2.1</v>
      </c>
      <c r="AP112" s="428">
        <v>2.2000000000000002</v>
      </c>
      <c r="AQ112" s="428">
        <v>2.2999999999999998</v>
      </c>
    </row>
    <row r="113" spans="1:43">
      <c r="A113" s="1537" t="s">
        <v>3</v>
      </c>
      <c r="B113" s="226">
        <v>0.5</v>
      </c>
      <c r="C113" s="311">
        <f>(X113*KFC!$B$26+KFC!$C$26)*KFC!$C$5</f>
        <v>43.11</v>
      </c>
      <c r="D113" s="312">
        <f>(Y113*KFC!$B$26+KFC!$C$26)*KFC!$C$5</f>
        <v>49.76</v>
      </c>
      <c r="E113" s="312">
        <f>(Z113*KFC!$B$26+KFC!$C$26)*KFC!$C$5</f>
        <v>56.28</v>
      </c>
      <c r="F113" s="312">
        <f>(AA113*KFC!$B$26+KFC!$C$26)*KFC!$C$5</f>
        <v>62.94</v>
      </c>
      <c r="G113" s="312">
        <f>(AB113*KFC!$B$26+KFC!$C$26)*KFC!$C$5</f>
        <v>69.58</v>
      </c>
      <c r="H113" s="312">
        <f>(AC113*KFC!$B$26+KFC!$C$26)*KFC!$C$5</f>
        <v>76.239999999999995</v>
      </c>
      <c r="I113" s="312">
        <f>(AD113*KFC!$B$26+KFC!$C$26)*KFC!$C$5</f>
        <v>82.9</v>
      </c>
      <c r="J113" s="312">
        <f>(AE113*KFC!$B$26+KFC!$C$26)*KFC!$C$5</f>
        <v>89.42</v>
      </c>
      <c r="K113" s="312">
        <f>(AF113*KFC!$B$26+KFC!$C$26)*KFC!$C$5</f>
        <v>96.06</v>
      </c>
      <c r="L113" s="312">
        <f>(AG113*KFC!$B$26+KFC!$C$26)*KFC!$C$5</f>
        <v>102.72</v>
      </c>
      <c r="M113" s="312">
        <f>(AH113*KFC!$B$26+KFC!$C$26)*KFC!$C$5</f>
        <v>109.38</v>
      </c>
      <c r="N113" s="312">
        <f>(AI113*KFC!$B$26+KFC!$C$26)*KFC!$C$5</f>
        <v>116.01</v>
      </c>
      <c r="O113" s="312">
        <f>(AJ113*KFC!$B$26+KFC!$C$26)*KFC!$C$5</f>
        <v>122.67</v>
      </c>
      <c r="P113" s="312">
        <f>(AK113*KFC!$B$26+KFC!$C$26)*KFC!$C$5</f>
        <v>129.32999999999998</v>
      </c>
      <c r="Q113" s="312">
        <f>(AL113*KFC!$B$26+KFC!$C$26)*KFC!$C$5</f>
        <v>135.98999999999995</v>
      </c>
      <c r="R113" s="312">
        <f>(AM113*KFC!$B$26+KFC!$C$26)*KFC!$C$5</f>
        <v>142.64999999999992</v>
      </c>
      <c r="S113" s="312">
        <f>(AN113*KFC!$B$26+KFC!$C$26)*KFC!$C$5</f>
        <v>149.30999999999989</v>
      </c>
      <c r="T113" s="312">
        <f>(AO113*KFC!$B$26+KFC!$C$26)*KFC!$C$5</f>
        <v>155.96999999999986</v>
      </c>
      <c r="V113" s="1537" t="s">
        <v>3</v>
      </c>
      <c r="W113" s="232">
        <v>0.5</v>
      </c>
      <c r="X113" s="847">
        <v>43.11</v>
      </c>
      <c r="Y113" s="847">
        <v>49.76</v>
      </c>
      <c r="Z113" s="847">
        <v>56.28</v>
      </c>
      <c r="AA113" s="847">
        <v>62.94</v>
      </c>
      <c r="AB113" s="847">
        <v>69.58</v>
      </c>
      <c r="AC113" s="847">
        <v>76.239999999999995</v>
      </c>
      <c r="AD113" s="847">
        <v>82.9</v>
      </c>
      <c r="AE113" s="847">
        <v>89.42</v>
      </c>
      <c r="AF113" s="847">
        <v>96.06</v>
      </c>
      <c r="AG113" s="847">
        <v>102.72</v>
      </c>
      <c r="AH113" s="847">
        <v>109.38</v>
      </c>
      <c r="AI113" s="847">
        <v>116.01</v>
      </c>
      <c r="AJ113" s="848">
        <v>122.67</v>
      </c>
      <c r="AK113" s="690">
        <f t="shared" ref="AK113:AK130" si="15">AJ113-AI113+AJ113</f>
        <v>129.32999999999998</v>
      </c>
      <c r="AL113" s="690">
        <f t="shared" ref="AL113:AQ128" si="16">AK113-AJ113+AK113</f>
        <v>135.98999999999995</v>
      </c>
      <c r="AM113" s="690">
        <f t="shared" si="16"/>
        <v>142.64999999999992</v>
      </c>
      <c r="AN113" s="690">
        <f t="shared" si="16"/>
        <v>149.30999999999989</v>
      </c>
      <c r="AO113" s="690">
        <f t="shared" si="16"/>
        <v>155.96999999999986</v>
      </c>
      <c r="AP113" s="690">
        <f t="shared" si="16"/>
        <v>162.62999999999982</v>
      </c>
      <c r="AQ113" s="690">
        <f t="shared" si="16"/>
        <v>169.28999999999979</v>
      </c>
    </row>
    <row r="114" spans="1:43">
      <c r="A114" s="1538"/>
      <c r="B114" s="224">
        <v>0.6</v>
      </c>
      <c r="C114" s="314">
        <f>(X114*KFC!$B$26+KFC!$C$26)*KFC!$C$5</f>
        <v>46.43</v>
      </c>
      <c r="D114" s="315">
        <f>(Y114*KFC!$B$26+KFC!$C$26)*KFC!$C$5</f>
        <v>53.2</v>
      </c>
      <c r="E114" s="315">
        <f>(Z114*KFC!$B$26+KFC!$C$26)*KFC!$C$5</f>
        <v>59.98</v>
      </c>
      <c r="F114" s="315">
        <f>(AA114*KFC!$B$26+KFC!$C$26)*KFC!$C$5</f>
        <v>66.75</v>
      </c>
      <c r="G114" s="315">
        <f>(AB114*KFC!$B$26+KFC!$C$26)*KFC!$C$5</f>
        <v>73.52</v>
      </c>
      <c r="H114" s="315">
        <f>(AC114*KFC!$B$26+KFC!$C$26)*KFC!$C$5</f>
        <v>80.430000000000007</v>
      </c>
      <c r="I114" s="315">
        <f>(AD114*KFC!$B$26+KFC!$C$26)*KFC!$C$5</f>
        <v>87.08</v>
      </c>
      <c r="J114" s="315">
        <f>(AE114*KFC!$B$26+KFC!$C$26)*KFC!$C$5</f>
        <v>93.85</v>
      </c>
      <c r="K114" s="315">
        <f>(AF114*KFC!$B$26+KFC!$C$26)*KFC!$C$5</f>
        <v>100.62</v>
      </c>
      <c r="L114" s="315">
        <f>(AG114*KFC!$B$26+KFC!$C$26)*KFC!$C$5</f>
        <v>107.39</v>
      </c>
      <c r="M114" s="315">
        <f>(AH114*KFC!$B$26+KFC!$C$26)*KFC!$C$5</f>
        <v>112.94</v>
      </c>
      <c r="N114" s="315">
        <f>(AI114*KFC!$B$26+KFC!$C$26)*KFC!$C$5</f>
        <v>120.94</v>
      </c>
      <c r="O114" s="315">
        <f>(AJ114*KFC!$B$26+KFC!$C$26)*KFC!$C$5</f>
        <v>128.94999999999999</v>
      </c>
      <c r="P114" s="315">
        <f>(AK114*KFC!$B$26+KFC!$C$26)*KFC!$C$5</f>
        <v>136.95999999999998</v>
      </c>
      <c r="Q114" s="315">
        <f>(AL114*KFC!$B$26+KFC!$C$26)*KFC!$C$5</f>
        <v>144.96999999999997</v>
      </c>
      <c r="R114" s="315">
        <f>(AM114*KFC!$B$26+KFC!$C$26)*KFC!$C$5</f>
        <v>152.97999999999996</v>
      </c>
      <c r="S114" s="315">
        <f>(AN114*KFC!$B$26+KFC!$C$26)*KFC!$C$5</f>
        <v>160.98999999999995</v>
      </c>
      <c r="T114" s="315">
        <f>(AO114*KFC!$B$26+KFC!$C$26)*KFC!$C$5</f>
        <v>168.99999999999994</v>
      </c>
      <c r="V114" s="1538"/>
      <c r="W114" s="230">
        <v>0.6</v>
      </c>
      <c r="X114" s="847">
        <v>46.43</v>
      </c>
      <c r="Y114" s="847">
        <v>53.2</v>
      </c>
      <c r="Z114" s="847">
        <v>59.98</v>
      </c>
      <c r="AA114" s="847">
        <v>66.75</v>
      </c>
      <c r="AB114" s="847">
        <v>73.52</v>
      </c>
      <c r="AC114" s="847">
        <v>80.430000000000007</v>
      </c>
      <c r="AD114" s="847">
        <v>87.08</v>
      </c>
      <c r="AE114" s="847">
        <v>93.85</v>
      </c>
      <c r="AF114" s="847">
        <v>100.62</v>
      </c>
      <c r="AG114" s="847">
        <v>107.39</v>
      </c>
      <c r="AH114" s="847">
        <v>112.94</v>
      </c>
      <c r="AI114" s="847">
        <v>120.94</v>
      </c>
      <c r="AJ114" s="848">
        <v>128.94999999999999</v>
      </c>
      <c r="AK114" s="690">
        <f t="shared" si="15"/>
        <v>136.95999999999998</v>
      </c>
      <c r="AL114" s="690">
        <f t="shared" si="16"/>
        <v>144.96999999999997</v>
      </c>
      <c r="AM114" s="690">
        <f t="shared" si="16"/>
        <v>152.97999999999996</v>
      </c>
      <c r="AN114" s="690">
        <f t="shared" si="16"/>
        <v>160.98999999999995</v>
      </c>
      <c r="AO114" s="690">
        <f t="shared" si="16"/>
        <v>168.99999999999994</v>
      </c>
      <c r="AP114" s="690">
        <f t="shared" si="16"/>
        <v>177.00999999999993</v>
      </c>
      <c r="AQ114" s="690">
        <f t="shared" si="16"/>
        <v>185.01999999999992</v>
      </c>
    </row>
    <row r="115" spans="1:43">
      <c r="A115" s="1538"/>
      <c r="B115" s="224">
        <v>0.7</v>
      </c>
      <c r="C115" s="314">
        <f>(X115*KFC!$B$26+KFC!$C$26)*KFC!$C$5</f>
        <v>49.76</v>
      </c>
      <c r="D115" s="315">
        <f>(Y115*KFC!$B$26+KFC!$C$26)*KFC!$C$5</f>
        <v>56.66</v>
      </c>
      <c r="E115" s="315">
        <f>(Z115*KFC!$B$26+KFC!$C$26)*KFC!$C$5</f>
        <v>63.55</v>
      </c>
      <c r="F115" s="315">
        <f>(AA115*KFC!$B$26+KFC!$C$26)*KFC!$C$5</f>
        <v>70.44</v>
      </c>
      <c r="G115" s="315">
        <f>(AB115*KFC!$B$26+KFC!$C$26)*KFC!$C$5</f>
        <v>77.47</v>
      </c>
      <c r="H115" s="315">
        <f>(AC115*KFC!$B$26+KFC!$C$26)*KFC!$C$5</f>
        <v>84.37</v>
      </c>
      <c r="I115" s="315">
        <f>(AD115*KFC!$B$26+KFC!$C$26)*KFC!$C$5</f>
        <v>91.27</v>
      </c>
      <c r="J115" s="315">
        <f>(AE115*KFC!$B$26+KFC!$C$26)*KFC!$C$5</f>
        <v>98.15</v>
      </c>
      <c r="K115" s="315">
        <f>(AF115*KFC!$B$26+KFC!$C$26)*KFC!$C$5</f>
        <v>105.3</v>
      </c>
      <c r="L115" s="315">
        <f>(AG115*KFC!$B$26+KFC!$C$26)*KFC!$C$5</f>
        <v>112.08</v>
      </c>
      <c r="M115" s="315">
        <f>(AH115*KFC!$B$26+KFC!$C$26)*KFC!$C$5</f>
        <v>118.98</v>
      </c>
      <c r="N115" s="315">
        <f>(AI115*KFC!$B$26+KFC!$C$26)*KFC!$C$5</f>
        <v>125.87</v>
      </c>
      <c r="O115" s="315">
        <f>(AJ115*KFC!$B$26+KFC!$C$26)*KFC!$C$5</f>
        <v>132.77000000000001</v>
      </c>
      <c r="P115" s="315">
        <f>(AK115*KFC!$B$26+KFC!$C$26)*KFC!$C$5</f>
        <v>139.67000000000002</v>
      </c>
      <c r="Q115" s="315">
        <f>(AL115*KFC!$B$26+KFC!$C$26)*KFC!$C$5</f>
        <v>146.57000000000002</v>
      </c>
      <c r="R115" s="315">
        <f>(AM115*KFC!$B$26+KFC!$C$26)*KFC!$C$5</f>
        <v>153.47000000000003</v>
      </c>
      <c r="S115" s="315">
        <f>(AN115*KFC!$B$26+KFC!$C$26)*KFC!$C$5</f>
        <v>160.37000000000003</v>
      </c>
      <c r="T115" s="315">
        <f>(AO115*KFC!$B$26+KFC!$C$26)*KFC!$C$5</f>
        <v>167.27000000000004</v>
      </c>
      <c r="V115" s="1538"/>
      <c r="W115" s="230">
        <v>0.7</v>
      </c>
      <c r="X115" s="847">
        <v>49.76</v>
      </c>
      <c r="Y115" s="847">
        <v>56.66</v>
      </c>
      <c r="Z115" s="847">
        <v>63.55</v>
      </c>
      <c r="AA115" s="847">
        <v>70.44</v>
      </c>
      <c r="AB115" s="847">
        <v>77.47</v>
      </c>
      <c r="AC115" s="847">
        <v>84.37</v>
      </c>
      <c r="AD115" s="847">
        <v>91.27</v>
      </c>
      <c r="AE115" s="847">
        <v>98.15</v>
      </c>
      <c r="AF115" s="847">
        <v>105.3</v>
      </c>
      <c r="AG115" s="847">
        <v>112.08</v>
      </c>
      <c r="AH115" s="847">
        <v>118.98</v>
      </c>
      <c r="AI115" s="847">
        <v>125.87</v>
      </c>
      <c r="AJ115" s="848">
        <v>132.77000000000001</v>
      </c>
      <c r="AK115" s="690">
        <f t="shared" si="15"/>
        <v>139.67000000000002</v>
      </c>
      <c r="AL115" s="690">
        <f t="shared" si="16"/>
        <v>146.57000000000002</v>
      </c>
      <c r="AM115" s="690">
        <f t="shared" si="16"/>
        <v>153.47000000000003</v>
      </c>
      <c r="AN115" s="690">
        <f t="shared" si="16"/>
        <v>160.37000000000003</v>
      </c>
      <c r="AO115" s="690">
        <f t="shared" si="16"/>
        <v>167.27000000000004</v>
      </c>
      <c r="AP115" s="690">
        <f t="shared" si="16"/>
        <v>174.17000000000004</v>
      </c>
      <c r="AQ115" s="690">
        <f t="shared" si="16"/>
        <v>181.07000000000005</v>
      </c>
    </row>
    <row r="116" spans="1:43">
      <c r="A116" s="1538"/>
      <c r="B116" s="224">
        <v>0.8</v>
      </c>
      <c r="C116" s="314">
        <f>(X116*KFC!$B$26+KFC!$C$26)*KFC!$C$5</f>
        <v>52.96</v>
      </c>
      <c r="D116" s="315">
        <f>(Y116*KFC!$B$26+KFC!$C$26)*KFC!$C$5</f>
        <v>60.11</v>
      </c>
      <c r="E116" s="315">
        <f>(Z116*KFC!$B$26+KFC!$C$26)*KFC!$C$5</f>
        <v>67.13</v>
      </c>
      <c r="F116" s="315">
        <f>(AA116*KFC!$B$26+KFC!$C$26)*KFC!$C$5</f>
        <v>74.28</v>
      </c>
      <c r="G116" s="315">
        <f>(AB116*KFC!$B$26+KFC!$C$26)*KFC!$C$5</f>
        <v>81.290000000000006</v>
      </c>
      <c r="H116" s="315">
        <f>(AC116*KFC!$B$26+KFC!$C$26)*KFC!$C$5</f>
        <v>88.44</v>
      </c>
      <c r="I116" s="315">
        <f>(AD116*KFC!$B$26+KFC!$C$26)*KFC!$C$5</f>
        <v>95.46</v>
      </c>
      <c r="J116" s="315">
        <f>(AE116*KFC!$B$26+KFC!$C$26)*KFC!$C$5</f>
        <v>102.61</v>
      </c>
      <c r="K116" s="315">
        <f>(AF116*KFC!$B$26+KFC!$C$26)*KFC!$C$5</f>
        <v>109.62</v>
      </c>
      <c r="L116" s="315">
        <f>(AG116*KFC!$B$26+KFC!$C$26)*KFC!$C$5</f>
        <v>116.89</v>
      </c>
      <c r="M116" s="315">
        <f>(AH116*KFC!$B$26+KFC!$C$26)*KFC!$C$5</f>
        <v>123.78</v>
      </c>
      <c r="N116" s="315">
        <f>(AI116*KFC!$B$26+KFC!$C$26)*KFC!$C$5</f>
        <v>130.91999999999999</v>
      </c>
      <c r="O116" s="315">
        <f>(AJ116*KFC!$B$26+KFC!$C$26)*KFC!$C$5</f>
        <v>138.06</v>
      </c>
      <c r="P116" s="315">
        <f>(AK116*KFC!$B$26+KFC!$C$26)*KFC!$C$5</f>
        <v>145.20000000000002</v>
      </c>
      <c r="Q116" s="315">
        <f>(AL116*KFC!$B$26+KFC!$C$26)*KFC!$C$5</f>
        <v>152.34000000000003</v>
      </c>
      <c r="R116" s="315">
        <f>(AM116*KFC!$B$26+KFC!$C$26)*KFC!$C$5</f>
        <v>159.48000000000005</v>
      </c>
      <c r="S116" s="315">
        <f>(AN116*KFC!$B$26+KFC!$C$26)*KFC!$C$5</f>
        <v>166.62000000000006</v>
      </c>
      <c r="T116" s="315">
        <f>(AO116*KFC!$B$26+KFC!$C$26)*KFC!$C$5</f>
        <v>173.76000000000008</v>
      </c>
      <c r="V116" s="1538"/>
      <c r="W116" s="230">
        <v>0.8</v>
      </c>
      <c r="X116" s="847">
        <v>52.96</v>
      </c>
      <c r="Y116" s="847">
        <v>60.11</v>
      </c>
      <c r="Z116" s="847">
        <v>67.13</v>
      </c>
      <c r="AA116" s="847">
        <v>74.28</v>
      </c>
      <c r="AB116" s="847">
        <v>81.290000000000006</v>
      </c>
      <c r="AC116" s="847">
        <v>88.44</v>
      </c>
      <c r="AD116" s="847">
        <v>95.46</v>
      </c>
      <c r="AE116" s="847">
        <v>102.61</v>
      </c>
      <c r="AF116" s="847">
        <v>109.62</v>
      </c>
      <c r="AG116" s="847">
        <v>116.89</v>
      </c>
      <c r="AH116" s="847">
        <v>123.78</v>
      </c>
      <c r="AI116" s="847">
        <v>130.91999999999999</v>
      </c>
      <c r="AJ116" s="848">
        <v>138.06</v>
      </c>
      <c r="AK116" s="690">
        <f t="shared" si="15"/>
        <v>145.20000000000002</v>
      </c>
      <c r="AL116" s="690">
        <f t="shared" si="16"/>
        <v>152.34000000000003</v>
      </c>
      <c r="AM116" s="690">
        <f t="shared" si="16"/>
        <v>159.48000000000005</v>
      </c>
      <c r="AN116" s="690">
        <f t="shared" si="16"/>
        <v>166.62000000000006</v>
      </c>
      <c r="AO116" s="690">
        <f t="shared" si="16"/>
        <v>173.76000000000008</v>
      </c>
      <c r="AP116" s="690">
        <f t="shared" si="16"/>
        <v>180.90000000000009</v>
      </c>
      <c r="AQ116" s="690">
        <f t="shared" si="16"/>
        <v>188.04000000000011</v>
      </c>
    </row>
    <row r="117" spans="1:43">
      <c r="A117" s="1538"/>
      <c r="B117" s="224">
        <v>0.9</v>
      </c>
      <c r="C117" s="314">
        <f>(X117*KFC!$B$26+KFC!$C$26)*KFC!$C$5</f>
        <v>56.28</v>
      </c>
      <c r="D117" s="315">
        <f>(Y117*KFC!$B$26+KFC!$C$26)*KFC!$C$5</f>
        <v>63.55</v>
      </c>
      <c r="E117" s="315">
        <f>(Z117*KFC!$B$26+KFC!$C$26)*KFC!$C$5</f>
        <v>70.819999999999993</v>
      </c>
      <c r="F117" s="315">
        <f>(AA117*KFC!$B$26+KFC!$C$26)*KFC!$C$5</f>
        <v>78.09</v>
      </c>
      <c r="G117" s="315">
        <f>(AB117*KFC!$B$26+KFC!$C$26)*KFC!$C$5</f>
        <v>85.35</v>
      </c>
      <c r="H117" s="315">
        <f>(AC117*KFC!$B$26+KFC!$C$26)*KFC!$C$5</f>
        <v>92.49</v>
      </c>
      <c r="I117" s="315">
        <f>(AD117*KFC!$B$26+KFC!$C$26)*KFC!$C$5</f>
        <v>99.76</v>
      </c>
      <c r="J117" s="315">
        <f>(AE117*KFC!$B$26+KFC!$C$26)*KFC!$C$5</f>
        <v>106.91</v>
      </c>
      <c r="K117" s="315">
        <f>(AF117*KFC!$B$26+KFC!$C$26)*KFC!$C$5</f>
        <v>114.17</v>
      </c>
      <c r="L117" s="315">
        <f>(AG117*KFC!$B$26+KFC!$C$26)*KFC!$C$5</f>
        <v>121.44</v>
      </c>
      <c r="M117" s="315">
        <f>(AH117*KFC!$B$26+KFC!$C$26)*KFC!$C$5</f>
        <v>128.58000000000001</v>
      </c>
      <c r="N117" s="315">
        <f>(AI117*KFC!$B$26+KFC!$C$26)*KFC!$C$5</f>
        <v>135.86000000000001</v>
      </c>
      <c r="O117" s="315">
        <f>(AJ117*KFC!$B$26+KFC!$C$26)*KFC!$C$5</f>
        <v>143.12</v>
      </c>
      <c r="P117" s="315">
        <f>(AK117*KFC!$B$26+KFC!$C$26)*KFC!$C$5</f>
        <v>150.38</v>
      </c>
      <c r="Q117" s="315">
        <f>(AL117*KFC!$B$26+KFC!$C$26)*KFC!$C$5</f>
        <v>157.63999999999999</v>
      </c>
      <c r="R117" s="315">
        <f>(AM117*KFC!$B$26+KFC!$C$26)*KFC!$C$5</f>
        <v>164.89999999999998</v>
      </c>
      <c r="S117" s="315">
        <f>(AN117*KFC!$B$26+KFC!$C$26)*KFC!$C$5</f>
        <v>172.15999999999997</v>
      </c>
      <c r="T117" s="315">
        <f>(AO117*KFC!$B$26+KFC!$C$26)*KFC!$C$5</f>
        <v>179.41999999999996</v>
      </c>
      <c r="V117" s="1538"/>
      <c r="W117" s="230">
        <v>0.9</v>
      </c>
      <c r="X117" s="847">
        <v>56.28</v>
      </c>
      <c r="Y117" s="847">
        <v>63.55</v>
      </c>
      <c r="Z117" s="847">
        <v>70.819999999999993</v>
      </c>
      <c r="AA117" s="847">
        <v>78.09</v>
      </c>
      <c r="AB117" s="847">
        <v>85.35</v>
      </c>
      <c r="AC117" s="847">
        <v>92.49</v>
      </c>
      <c r="AD117" s="847">
        <v>99.76</v>
      </c>
      <c r="AE117" s="847">
        <v>106.91</v>
      </c>
      <c r="AF117" s="847">
        <v>114.17</v>
      </c>
      <c r="AG117" s="847">
        <v>121.44</v>
      </c>
      <c r="AH117" s="847">
        <v>128.58000000000001</v>
      </c>
      <c r="AI117" s="847">
        <v>135.86000000000001</v>
      </c>
      <c r="AJ117" s="848">
        <v>143.12</v>
      </c>
      <c r="AK117" s="690">
        <f t="shared" si="15"/>
        <v>150.38</v>
      </c>
      <c r="AL117" s="690">
        <f t="shared" si="16"/>
        <v>157.63999999999999</v>
      </c>
      <c r="AM117" s="690">
        <f t="shared" si="16"/>
        <v>164.89999999999998</v>
      </c>
      <c r="AN117" s="690">
        <f t="shared" si="16"/>
        <v>172.15999999999997</v>
      </c>
      <c r="AO117" s="690">
        <f t="shared" si="16"/>
        <v>179.41999999999996</v>
      </c>
      <c r="AP117" s="690">
        <f t="shared" si="16"/>
        <v>186.67999999999995</v>
      </c>
      <c r="AQ117" s="690">
        <f t="shared" si="16"/>
        <v>193.93999999999994</v>
      </c>
    </row>
    <row r="118" spans="1:43">
      <c r="A118" s="1538"/>
      <c r="B118" s="224">
        <v>1</v>
      </c>
      <c r="C118" s="314">
        <f>(X118*KFC!$B$26+KFC!$C$26)*KFC!$C$5</f>
        <v>59.62</v>
      </c>
      <c r="D118" s="315">
        <f>(Y118*KFC!$B$26+KFC!$C$26)*KFC!$C$5</f>
        <v>67.13</v>
      </c>
      <c r="E118" s="315">
        <f>(Z118*KFC!$B$26+KFC!$C$26)*KFC!$C$5</f>
        <v>74.39</v>
      </c>
      <c r="F118" s="315">
        <f>(AA118*KFC!$B$26+KFC!$C$26)*KFC!$C$5</f>
        <v>81.78</v>
      </c>
      <c r="G118" s="315">
        <f>(AB118*KFC!$B$26+KFC!$C$26)*KFC!$C$5</f>
        <v>89.18</v>
      </c>
      <c r="H118" s="315">
        <f>(AC118*KFC!$B$26+KFC!$C$26)*KFC!$C$5</f>
        <v>96.57</v>
      </c>
      <c r="I118" s="315">
        <f>(AD118*KFC!$B$26+KFC!$C$26)*KFC!$C$5</f>
        <v>103.95</v>
      </c>
      <c r="J118" s="315">
        <f>(AE118*KFC!$B$26+KFC!$C$26)*KFC!$C$5</f>
        <v>111.34</v>
      </c>
      <c r="K118" s="315">
        <f>(AF118*KFC!$B$26+KFC!$C$26)*KFC!$C$5</f>
        <v>118.73</v>
      </c>
      <c r="L118" s="315">
        <f>(AG118*KFC!$B$26+KFC!$C$26)*KFC!$C$5</f>
        <v>126.13</v>
      </c>
      <c r="M118" s="315">
        <f>(AH118*KFC!$B$26+KFC!$C$26)*KFC!$C$5</f>
        <v>132.28</v>
      </c>
      <c r="N118" s="315">
        <f>(AI118*KFC!$B$26+KFC!$C$26)*KFC!$C$5</f>
        <v>140.9</v>
      </c>
      <c r="O118" s="315">
        <f>(AJ118*KFC!$B$26+KFC!$C$26)*KFC!$C$5</f>
        <v>149.52000000000001</v>
      </c>
      <c r="P118" s="315">
        <f>(AK118*KFC!$B$26+KFC!$C$26)*KFC!$C$5</f>
        <v>158.14000000000001</v>
      </c>
      <c r="Q118" s="315">
        <f>(AL118*KFC!$B$26+KFC!$C$26)*KFC!$C$5</f>
        <v>166.76000000000002</v>
      </c>
      <c r="R118" s="315">
        <f>(AM118*KFC!$B$26+KFC!$C$26)*KFC!$C$5</f>
        <v>175.38000000000002</v>
      </c>
      <c r="S118" s="315">
        <f>(AN118*KFC!$B$26+KFC!$C$26)*KFC!$C$5</f>
        <v>184.00000000000003</v>
      </c>
      <c r="T118" s="315">
        <f>(AO118*KFC!$B$26+KFC!$C$26)*KFC!$C$5</f>
        <v>192.62000000000003</v>
      </c>
      <c r="V118" s="1538"/>
      <c r="W118" s="230">
        <v>1</v>
      </c>
      <c r="X118" s="847">
        <v>59.62</v>
      </c>
      <c r="Y118" s="847">
        <v>67.13</v>
      </c>
      <c r="Z118" s="847">
        <v>74.39</v>
      </c>
      <c r="AA118" s="847">
        <v>81.78</v>
      </c>
      <c r="AB118" s="847">
        <v>89.18</v>
      </c>
      <c r="AC118" s="847">
        <v>96.57</v>
      </c>
      <c r="AD118" s="847">
        <v>103.95</v>
      </c>
      <c r="AE118" s="847">
        <v>111.34</v>
      </c>
      <c r="AF118" s="847">
        <v>118.73</v>
      </c>
      <c r="AG118" s="847">
        <v>126.13</v>
      </c>
      <c r="AH118" s="847">
        <v>132.28</v>
      </c>
      <c r="AI118" s="847">
        <v>140.9</v>
      </c>
      <c r="AJ118" s="848">
        <v>149.52000000000001</v>
      </c>
      <c r="AK118" s="690">
        <f t="shared" si="15"/>
        <v>158.14000000000001</v>
      </c>
      <c r="AL118" s="690">
        <f t="shared" si="16"/>
        <v>166.76000000000002</v>
      </c>
      <c r="AM118" s="690">
        <f t="shared" si="16"/>
        <v>175.38000000000002</v>
      </c>
      <c r="AN118" s="690">
        <f t="shared" si="16"/>
        <v>184.00000000000003</v>
      </c>
      <c r="AO118" s="690">
        <f t="shared" si="16"/>
        <v>192.62000000000003</v>
      </c>
      <c r="AP118" s="690">
        <f t="shared" si="16"/>
        <v>201.24000000000004</v>
      </c>
      <c r="AQ118" s="690">
        <f t="shared" si="16"/>
        <v>209.86000000000004</v>
      </c>
    </row>
    <row r="119" spans="1:43">
      <c r="A119" s="1538"/>
      <c r="B119" s="224">
        <v>1.1000000000000001</v>
      </c>
      <c r="C119" s="314">
        <f>(X119*KFC!$B$26+KFC!$C$26)*KFC!$C$5</f>
        <v>62.94</v>
      </c>
      <c r="D119" s="315">
        <f>(Y119*KFC!$B$26+KFC!$C$26)*KFC!$C$5</f>
        <v>70.44</v>
      </c>
      <c r="E119" s="315">
        <f>(Z119*KFC!$B$26+KFC!$C$26)*KFC!$C$5</f>
        <v>78.09</v>
      </c>
      <c r="F119" s="315">
        <f>(AA119*KFC!$B$26+KFC!$C$26)*KFC!$C$5</f>
        <v>85.6</v>
      </c>
      <c r="G119" s="315">
        <f>(AB119*KFC!$B$26+KFC!$C$26)*KFC!$C$5</f>
        <v>93.11</v>
      </c>
      <c r="H119" s="315">
        <f>(AC119*KFC!$B$26+KFC!$C$26)*KFC!$C$5</f>
        <v>100.62</v>
      </c>
      <c r="I119" s="315">
        <f>(AD119*KFC!$B$26+KFC!$C$26)*KFC!$C$5</f>
        <v>108.14</v>
      </c>
      <c r="J119" s="315">
        <f>(AE119*KFC!$B$26+KFC!$C$26)*KFC!$C$5</f>
        <v>115.66</v>
      </c>
      <c r="K119" s="315">
        <f>(AF119*KFC!$B$26+KFC!$C$26)*KFC!$C$5</f>
        <v>123.17</v>
      </c>
      <c r="L119" s="315">
        <f>(AG119*KFC!$B$26+KFC!$C$26)*KFC!$C$5</f>
        <v>130.80000000000001</v>
      </c>
      <c r="M119" s="315">
        <f>(AH119*KFC!$B$26+KFC!$C$26)*KFC!$C$5</f>
        <v>138.44</v>
      </c>
      <c r="N119" s="315">
        <f>(AI119*KFC!$B$26+KFC!$C$26)*KFC!$C$5</f>
        <v>145.83000000000001</v>
      </c>
      <c r="O119" s="315">
        <f>(AJ119*KFC!$B$26+KFC!$C$26)*KFC!$C$5</f>
        <v>153.22</v>
      </c>
      <c r="P119" s="315">
        <f>(AK119*KFC!$B$26+KFC!$C$26)*KFC!$C$5</f>
        <v>160.60999999999999</v>
      </c>
      <c r="Q119" s="315">
        <f>(AL119*KFC!$B$26+KFC!$C$26)*KFC!$C$5</f>
        <v>167.99999999999997</v>
      </c>
      <c r="R119" s="315">
        <f>(AM119*KFC!$B$26+KFC!$C$26)*KFC!$C$5</f>
        <v>175.38999999999996</v>
      </c>
      <c r="S119" s="315">
        <f>(AN119*KFC!$B$26+KFC!$C$26)*KFC!$C$5</f>
        <v>182.77999999999994</v>
      </c>
      <c r="T119" s="315">
        <f>(AO119*KFC!$B$26+KFC!$C$26)*KFC!$C$5</f>
        <v>190.16999999999993</v>
      </c>
      <c r="V119" s="1538"/>
      <c r="W119" s="230">
        <v>1.1000000000000001</v>
      </c>
      <c r="X119" s="847">
        <v>62.94</v>
      </c>
      <c r="Y119" s="847">
        <v>70.44</v>
      </c>
      <c r="Z119" s="847">
        <v>78.09</v>
      </c>
      <c r="AA119" s="847">
        <v>85.6</v>
      </c>
      <c r="AB119" s="847">
        <v>93.11</v>
      </c>
      <c r="AC119" s="847">
        <v>100.62</v>
      </c>
      <c r="AD119" s="847">
        <v>108.14</v>
      </c>
      <c r="AE119" s="847">
        <v>115.66</v>
      </c>
      <c r="AF119" s="847">
        <v>123.17</v>
      </c>
      <c r="AG119" s="847">
        <v>130.80000000000001</v>
      </c>
      <c r="AH119" s="847">
        <v>138.44</v>
      </c>
      <c r="AI119" s="847">
        <v>145.83000000000001</v>
      </c>
      <c r="AJ119" s="848">
        <v>153.22</v>
      </c>
      <c r="AK119" s="690">
        <f t="shared" si="15"/>
        <v>160.60999999999999</v>
      </c>
      <c r="AL119" s="690">
        <f t="shared" si="16"/>
        <v>167.99999999999997</v>
      </c>
      <c r="AM119" s="690">
        <f t="shared" si="16"/>
        <v>175.38999999999996</v>
      </c>
      <c r="AN119" s="690">
        <f t="shared" si="16"/>
        <v>182.77999999999994</v>
      </c>
      <c r="AO119" s="690">
        <f t="shared" si="16"/>
        <v>190.16999999999993</v>
      </c>
      <c r="AP119" s="690">
        <f t="shared" si="16"/>
        <v>197.55999999999992</v>
      </c>
      <c r="AQ119" s="690">
        <f t="shared" si="16"/>
        <v>204.9499999999999</v>
      </c>
    </row>
    <row r="120" spans="1:43">
      <c r="A120" s="1538"/>
      <c r="B120" s="224">
        <v>1.2</v>
      </c>
      <c r="C120" s="314">
        <f>(X120*KFC!$B$26+KFC!$C$26)*KFC!$C$5</f>
        <v>66.27</v>
      </c>
      <c r="D120" s="315">
        <f>(Y120*KFC!$B$26+KFC!$C$26)*KFC!$C$5</f>
        <v>73.900000000000006</v>
      </c>
      <c r="E120" s="315">
        <f>(Z120*KFC!$B$26+KFC!$C$26)*KFC!$C$5</f>
        <v>81.66</v>
      </c>
      <c r="F120" s="315">
        <f>(AA120*KFC!$B$26+KFC!$C$26)*KFC!$C$5</f>
        <v>89.29</v>
      </c>
      <c r="G120" s="315">
        <f>(AB120*KFC!$B$26+KFC!$C$26)*KFC!$C$5</f>
        <v>97.06</v>
      </c>
      <c r="H120" s="315">
        <f>(AC120*KFC!$B$26+KFC!$C$26)*KFC!$C$5</f>
        <v>104.7</v>
      </c>
      <c r="I120" s="315">
        <f>(AD120*KFC!$B$26+KFC!$C$26)*KFC!$C$5</f>
        <v>112.32</v>
      </c>
      <c r="J120" s="315">
        <f>(AE120*KFC!$B$26+KFC!$C$26)*KFC!$C$5</f>
        <v>120.2</v>
      </c>
      <c r="K120" s="315">
        <f>(AF120*KFC!$B$26+KFC!$C$26)*KFC!$C$5</f>
        <v>127.72</v>
      </c>
      <c r="L120" s="315">
        <f>(AG120*KFC!$B$26+KFC!$C$26)*KFC!$C$5</f>
        <v>135.37</v>
      </c>
      <c r="M120" s="315">
        <f>(AH120*KFC!$B$26+KFC!$C$26)*KFC!$C$5</f>
        <v>143.12</v>
      </c>
      <c r="N120" s="315">
        <f>(AI120*KFC!$B$26+KFC!$C$26)*KFC!$C$5</f>
        <v>150.76</v>
      </c>
      <c r="O120" s="315">
        <f>(AJ120*KFC!$B$26+KFC!$C$26)*KFC!$C$5</f>
        <v>158.38999999999999</v>
      </c>
      <c r="P120" s="315">
        <f>(AK120*KFC!$B$26+KFC!$C$26)*KFC!$C$5</f>
        <v>166.01999999999998</v>
      </c>
      <c r="Q120" s="315">
        <f>(AL120*KFC!$B$26+KFC!$C$26)*KFC!$C$5</f>
        <v>173.64999999999998</v>
      </c>
      <c r="R120" s="315">
        <f>(AM120*KFC!$B$26+KFC!$C$26)*KFC!$C$5</f>
        <v>181.27999999999997</v>
      </c>
      <c r="S120" s="315">
        <f>(AN120*KFC!$B$26+KFC!$C$26)*KFC!$C$5</f>
        <v>188.90999999999997</v>
      </c>
      <c r="T120" s="315">
        <f>(AO120*KFC!$B$26+KFC!$C$26)*KFC!$C$5</f>
        <v>196.53999999999996</v>
      </c>
      <c r="V120" s="1538"/>
      <c r="W120" s="230">
        <v>1.2</v>
      </c>
      <c r="X120" s="847">
        <v>66.27</v>
      </c>
      <c r="Y120" s="847">
        <v>73.900000000000006</v>
      </c>
      <c r="Z120" s="847">
        <v>81.66</v>
      </c>
      <c r="AA120" s="847">
        <v>89.29</v>
      </c>
      <c r="AB120" s="847">
        <v>97.06</v>
      </c>
      <c r="AC120" s="847">
        <v>104.7</v>
      </c>
      <c r="AD120" s="847">
        <v>112.32</v>
      </c>
      <c r="AE120" s="847">
        <v>120.2</v>
      </c>
      <c r="AF120" s="847">
        <v>127.72</v>
      </c>
      <c r="AG120" s="847">
        <v>135.37</v>
      </c>
      <c r="AH120" s="847">
        <v>143.12</v>
      </c>
      <c r="AI120" s="847">
        <v>150.76</v>
      </c>
      <c r="AJ120" s="848">
        <v>158.38999999999999</v>
      </c>
      <c r="AK120" s="690">
        <f t="shared" si="15"/>
        <v>166.01999999999998</v>
      </c>
      <c r="AL120" s="690">
        <f t="shared" si="16"/>
        <v>173.64999999999998</v>
      </c>
      <c r="AM120" s="690">
        <f t="shared" si="16"/>
        <v>181.27999999999997</v>
      </c>
      <c r="AN120" s="690">
        <f t="shared" si="16"/>
        <v>188.90999999999997</v>
      </c>
      <c r="AO120" s="690">
        <f t="shared" si="16"/>
        <v>196.53999999999996</v>
      </c>
      <c r="AP120" s="690">
        <f t="shared" si="16"/>
        <v>204.16999999999996</v>
      </c>
      <c r="AQ120" s="690">
        <f t="shared" si="16"/>
        <v>211.79999999999995</v>
      </c>
    </row>
    <row r="121" spans="1:43">
      <c r="A121" s="1538"/>
      <c r="B121" s="224">
        <v>1.3</v>
      </c>
      <c r="C121" s="314">
        <f>(X121*KFC!$B$26+KFC!$C$26)*KFC!$C$5</f>
        <v>69.58</v>
      </c>
      <c r="D121" s="315">
        <f>(Y121*KFC!$B$26+KFC!$C$26)*KFC!$C$5</f>
        <v>77.47</v>
      </c>
      <c r="E121" s="315">
        <f>(Z121*KFC!$B$26+KFC!$C$26)*KFC!$C$5</f>
        <v>85.35</v>
      </c>
      <c r="F121" s="315">
        <f>(AA121*KFC!$B$26+KFC!$C$26)*KFC!$C$5</f>
        <v>93.11</v>
      </c>
      <c r="G121" s="315">
        <f>(AB121*KFC!$B$26+KFC!$C$26)*KFC!$C$5</f>
        <v>100.87</v>
      </c>
      <c r="H121" s="315">
        <f>(AC121*KFC!$B$26+KFC!$C$26)*KFC!$C$5</f>
        <v>108.76</v>
      </c>
      <c r="I121" s="315">
        <f>(AD121*KFC!$B$26+KFC!$C$26)*KFC!$C$5</f>
        <v>116.63</v>
      </c>
      <c r="J121" s="315">
        <f>(AE121*KFC!$B$26+KFC!$C$26)*KFC!$C$5</f>
        <v>124.39</v>
      </c>
      <c r="K121" s="315">
        <f>(AF121*KFC!$B$26+KFC!$C$26)*KFC!$C$5</f>
        <v>132.28</v>
      </c>
      <c r="L121" s="315">
        <f>(AG121*KFC!$B$26+KFC!$C$26)*KFC!$C$5</f>
        <v>140.04</v>
      </c>
      <c r="M121" s="315">
        <f>(AH121*KFC!$B$26+KFC!$C$26)*KFC!$C$5</f>
        <v>147.91999999999999</v>
      </c>
      <c r="N121" s="315">
        <f>(AI121*KFC!$B$26+KFC!$C$26)*KFC!$C$5</f>
        <v>155.80000000000001</v>
      </c>
      <c r="O121" s="315">
        <f>(AJ121*KFC!$B$26+KFC!$C$26)*KFC!$C$5</f>
        <v>163.68</v>
      </c>
      <c r="P121" s="315">
        <f>(AK121*KFC!$B$26+KFC!$C$26)*KFC!$C$5</f>
        <v>171.56</v>
      </c>
      <c r="Q121" s="315">
        <f>(AL121*KFC!$B$26+KFC!$C$26)*KFC!$C$5</f>
        <v>179.44</v>
      </c>
      <c r="R121" s="315">
        <f>(AM121*KFC!$B$26+KFC!$C$26)*KFC!$C$5</f>
        <v>187.32</v>
      </c>
      <c r="S121" s="315">
        <f>(AN121*KFC!$B$26+KFC!$C$26)*KFC!$C$5</f>
        <v>195.2</v>
      </c>
      <c r="T121" s="315">
        <f>(AO121*KFC!$B$26+KFC!$C$26)*KFC!$C$5</f>
        <v>203.07999999999998</v>
      </c>
      <c r="V121" s="1538"/>
      <c r="W121" s="230">
        <v>1.3</v>
      </c>
      <c r="X121" s="847">
        <v>69.58</v>
      </c>
      <c r="Y121" s="847">
        <v>77.47</v>
      </c>
      <c r="Z121" s="847">
        <v>85.35</v>
      </c>
      <c r="AA121" s="847">
        <v>93.11</v>
      </c>
      <c r="AB121" s="847">
        <v>100.87</v>
      </c>
      <c r="AC121" s="847">
        <v>108.76</v>
      </c>
      <c r="AD121" s="847">
        <v>116.63</v>
      </c>
      <c r="AE121" s="847">
        <v>124.39</v>
      </c>
      <c r="AF121" s="847">
        <v>132.28</v>
      </c>
      <c r="AG121" s="847">
        <v>140.04</v>
      </c>
      <c r="AH121" s="847">
        <v>147.91999999999999</v>
      </c>
      <c r="AI121" s="847">
        <v>155.80000000000001</v>
      </c>
      <c r="AJ121" s="848">
        <v>163.68</v>
      </c>
      <c r="AK121" s="690">
        <f t="shared" si="15"/>
        <v>171.56</v>
      </c>
      <c r="AL121" s="690">
        <f t="shared" si="16"/>
        <v>179.44</v>
      </c>
      <c r="AM121" s="690">
        <f t="shared" si="16"/>
        <v>187.32</v>
      </c>
      <c r="AN121" s="690">
        <f t="shared" si="16"/>
        <v>195.2</v>
      </c>
      <c r="AO121" s="690">
        <f t="shared" si="16"/>
        <v>203.07999999999998</v>
      </c>
      <c r="AP121" s="690">
        <f t="shared" si="16"/>
        <v>210.95999999999998</v>
      </c>
      <c r="AQ121" s="690">
        <f t="shared" si="16"/>
        <v>218.83999999999997</v>
      </c>
    </row>
    <row r="122" spans="1:43">
      <c r="A122" s="1538"/>
      <c r="B122" s="224">
        <v>1.4</v>
      </c>
      <c r="C122" s="314">
        <f>(X122*KFC!$B$26+KFC!$C$26)*KFC!$C$5</f>
        <v>72.91</v>
      </c>
      <c r="D122" s="315">
        <f>(Y122*KFC!$B$26+KFC!$C$26)*KFC!$C$5</f>
        <v>80.91</v>
      </c>
      <c r="E122" s="315">
        <f>(Z122*KFC!$B$26+KFC!$C$26)*KFC!$C$5</f>
        <v>88.92</v>
      </c>
      <c r="F122" s="315">
        <f>(AA122*KFC!$B$26+KFC!$C$26)*KFC!$C$5</f>
        <v>97.06</v>
      </c>
      <c r="G122" s="315">
        <f>(AB122*KFC!$B$26+KFC!$C$26)*KFC!$C$5</f>
        <v>104.81</v>
      </c>
      <c r="H122" s="315">
        <f>(AC122*KFC!$B$26+KFC!$C$26)*KFC!$C$5</f>
        <v>112.81</v>
      </c>
      <c r="I122" s="315">
        <f>(AD122*KFC!$B$26+KFC!$C$26)*KFC!$C$5</f>
        <v>120.82</v>
      </c>
      <c r="J122" s="315">
        <f>(AE122*KFC!$B$26+KFC!$C$26)*KFC!$C$5</f>
        <v>128.82</v>
      </c>
      <c r="K122" s="315">
        <f>(AF122*KFC!$B$26+KFC!$C$26)*KFC!$C$5</f>
        <v>136.71</v>
      </c>
      <c r="L122" s="315">
        <f>(AG122*KFC!$B$26+KFC!$C$26)*KFC!$C$5</f>
        <v>144.72</v>
      </c>
      <c r="M122" s="315">
        <f>(AH122*KFC!$B$26+KFC!$C$26)*KFC!$C$5</f>
        <v>152.72</v>
      </c>
      <c r="N122" s="315">
        <f>(AI122*KFC!$B$26+KFC!$C$26)*KFC!$C$5</f>
        <v>160.72999999999999</v>
      </c>
      <c r="O122" s="315">
        <f>(AJ122*KFC!$B$26+KFC!$C$26)*KFC!$C$5</f>
        <v>168.74</v>
      </c>
      <c r="P122" s="315">
        <f>(AK122*KFC!$B$26+KFC!$C$26)*KFC!$C$5</f>
        <v>176.75000000000003</v>
      </c>
      <c r="Q122" s="315">
        <f>(AL122*KFC!$B$26+KFC!$C$26)*KFC!$C$5</f>
        <v>184.76000000000005</v>
      </c>
      <c r="R122" s="315">
        <f>(AM122*KFC!$B$26+KFC!$C$26)*KFC!$C$5</f>
        <v>192.77000000000007</v>
      </c>
      <c r="S122" s="315">
        <f>(AN122*KFC!$B$26+KFC!$C$26)*KFC!$C$5</f>
        <v>200.78000000000009</v>
      </c>
      <c r="T122" s="315">
        <f>(AO122*KFC!$B$26+KFC!$C$26)*KFC!$C$5</f>
        <v>208.79000000000011</v>
      </c>
      <c r="V122" s="1538"/>
      <c r="W122" s="230">
        <v>1.4</v>
      </c>
      <c r="X122" s="847">
        <v>72.91</v>
      </c>
      <c r="Y122" s="847">
        <v>80.91</v>
      </c>
      <c r="Z122" s="847">
        <v>88.92</v>
      </c>
      <c r="AA122" s="847">
        <v>97.06</v>
      </c>
      <c r="AB122" s="847">
        <v>104.81</v>
      </c>
      <c r="AC122" s="847">
        <v>112.81</v>
      </c>
      <c r="AD122" s="847">
        <v>120.82</v>
      </c>
      <c r="AE122" s="847">
        <v>128.82</v>
      </c>
      <c r="AF122" s="847">
        <v>136.71</v>
      </c>
      <c r="AG122" s="847">
        <v>144.72</v>
      </c>
      <c r="AH122" s="847">
        <v>152.72</v>
      </c>
      <c r="AI122" s="847">
        <v>160.72999999999999</v>
      </c>
      <c r="AJ122" s="848">
        <v>168.74</v>
      </c>
      <c r="AK122" s="690">
        <f t="shared" si="15"/>
        <v>176.75000000000003</v>
      </c>
      <c r="AL122" s="690">
        <f t="shared" si="16"/>
        <v>184.76000000000005</v>
      </c>
      <c r="AM122" s="690">
        <f t="shared" si="16"/>
        <v>192.77000000000007</v>
      </c>
      <c r="AN122" s="690">
        <f t="shared" si="16"/>
        <v>200.78000000000009</v>
      </c>
      <c r="AO122" s="690">
        <f t="shared" si="16"/>
        <v>208.79000000000011</v>
      </c>
      <c r="AP122" s="690">
        <f t="shared" si="16"/>
        <v>216.80000000000013</v>
      </c>
      <c r="AQ122" s="690">
        <f t="shared" si="16"/>
        <v>224.81000000000014</v>
      </c>
    </row>
    <row r="123" spans="1:43">
      <c r="A123" s="1538"/>
      <c r="B123" s="224">
        <v>1.5</v>
      </c>
      <c r="C123" s="314">
        <f>(X123*KFC!$B$26+KFC!$C$26)*KFC!$C$5</f>
        <v>76.239999999999995</v>
      </c>
      <c r="D123" s="315">
        <f>(Y123*KFC!$B$26+KFC!$C$26)*KFC!$C$5</f>
        <v>84.37</v>
      </c>
      <c r="E123" s="315">
        <f>(Z123*KFC!$B$26+KFC!$C$26)*KFC!$C$5</f>
        <v>92.49</v>
      </c>
      <c r="F123" s="315">
        <f>(AA123*KFC!$B$26+KFC!$C$26)*KFC!$C$5</f>
        <v>100.62</v>
      </c>
      <c r="G123" s="315">
        <f>(AB123*KFC!$B$26+KFC!$C$26)*KFC!$C$5</f>
        <v>108.76</v>
      </c>
      <c r="H123" s="315">
        <f>(AC123*KFC!$B$26+KFC!$C$26)*KFC!$C$5</f>
        <v>116.89</v>
      </c>
      <c r="I123" s="315">
        <f>(AD123*KFC!$B$26+KFC!$C$26)*KFC!$C$5</f>
        <v>125.13</v>
      </c>
      <c r="J123" s="315">
        <f>(AE123*KFC!$B$26+KFC!$C$26)*KFC!$C$5</f>
        <v>133.13999999999999</v>
      </c>
      <c r="K123" s="315">
        <f>(AF123*KFC!$B$26+KFC!$C$26)*KFC!$C$5</f>
        <v>141.27000000000001</v>
      </c>
      <c r="L123" s="315">
        <f>(AG123*KFC!$B$26+KFC!$C$26)*KFC!$C$5</f>
        <v>149.4</v>
      </c>
      <c r="M123" s="315">
        <f>(AH123*KFC!$B$26+KFC!$C$26)*KFC!$C$5</f>
        <v>157.53</v>
      </c>
      <c r="N123" s="315">
        <f>(AI123*KFC!$B$26+KFC!$C$26)*KFC!$C$5</f>
        <v>165.66</v>
      </c>
      <c r="O123" s="315">
        <f>(AJ123*KFC!$B$26+KFC!$C$26)*KFC!$C$5</f>
        <v>173.79</v>
      </c>
      <c r="P123" s="315">
        <f>(AK123*KFC!$B$26+KFC!$C$26)*KFC!$C$5</f>
        <v>181.92</v>
      </c>
      <c r="Q123" s="315">
        <f>(AL123*KFC!$B$26+KFC!$C$26)*KFC!$C$5</f>
        <v>190.04999999999998</v>
      </c>
      <c r="R123" s="315">
        <f>(AM123*KFC!$B$26+KFC!$C$26)*KFC!$C$5</f>
        <v>198.17999999999998</v>
      </c>
      <c r="S123" s="315">
        <f>(AN123*KFC!$B$26+KFC!$C$26)*KFC!$C$5</f>
        <v>206.30999999999997</v>
      </c>
      <c r="T123" s="315">
        <f>(AO123*KFC!$B$26+KFC!$C$26)*KFC!$C$5</f>
        <v>214.43999999999997</v>
      </c>
      <c r="V123" s="1538"/>
      <c r="W123" s="230">
        <v>1.5</v>
      </c>
      <c r="X123" s="847">
        <v>76.239999999999995</v>
      </c>
      <c r="Y123" s="847">
        <v>84.37</v>
      </c>
      <c r="Z123" s="847">
        <v>92.49</v>
      </c>
      <c r="AA123" s="847">
        <v>100.62</v>
      </c>
      <c r="AB123" s="847">
        <v>108.76</v>
      </c>
      <c r="AC123" s="847">
        <v>116.89</v>
      </c>
      <c r="AD123" s="847">
        <v>125.13</v>
      </c>
      <c r="AE123" s="847">
        <v>133.13999999999999</v>
      </c>
      <c r="AF123" s="847">
        <v>141.27000000000001</v>
      </c>
      <c r="AG123" s="847">
        <v>149.4</v>
      </c>
      <c r="AH123" s="847">
        <v>157.53</v>
      </c>
      <c r="AI123" s="847">
        <v>165.66</v>
      </c>
      <c r="AJ123" s="848">
        <v>173.79</v>
      </c>
      <c r="AK123" s="690">
        <f t="shared" si="15"/>
        <v>181.92</v>
      </c>
      <c r="AL123" s="690">
        <f t="shared" si="16"/>
        <v>190.04999999999998</v>
      </c>
      <c r="AM123" s="690">
        <f t="shared" si="16"/>
        <v>198.17999999999998</v>
      </c>
      <c r="AN123" s="690">
        <f t="shared" si="16"/>
        <v>206.30999999999997</v>
      </c>
      <c r="AO123" s="690">
        <f t="shared" si="16"/>
        <v>214.43999999999997</v>
      </c>
      <c r="AP123" s="690">
        <f t="shared" si="16"/>
        <v>222.56999999999996</v>
      </c>
      <c r="AQ123" s="690">
        <f t="shared" si="16"/>
        <v>230.69999999999996</v>
      </c>
    </row>
    <row r="124" spans="1:43">
      <c r="A124" s="1538"/>
      <c r="B124" s="224">
        <v>1.6</v>
      </c>
      <c r="C124" s="314">
        <f>(X124*KFC!$B$26+KFC!$C$26)*KFC!$C$5</f>
        <v>79.94</v>
      </c>
      <c r="D124" s="315">
        <f>(Y124*KFC!$B$26+KFC!$C$26)*KFC!$C$5</f>
        <v>87.82</v>
      </c>
      <c r="E124" s="315">
        <f>(Z124*KFC!$B$26+KFC!$C$26)*KFC!$C$5</f>
        <v>96.06</v>
      </c>
      <c r="F124" s="315">
        <f>(AA124*KFC!$B$26+KFC!$C$26)*KFC!$C$5</f>
        <v>104.45</v>
      </c>
      <c r="G124" s="315">
        <f>(AB124*KFC!$B$26+KFC!$C$26)*KFC!$C$5</f>
        <v>112.7</v>
      </c>
      <c r="H124" s="315">
        <f>(AC124*KFC!$B$26+KFC!$C$26)*KFC!$C$5</f>
        <v>120.94</v>
      </c>
      <c r="I124" s="315">
        <f>(AD124*KFC!$B$26+KFC!$C$26)*KFC!$C$5</f>
        <v>129.19999999999999</v>
      </c>
      <c r="J124" s="315">
        <f>(AE124*KFC!$B$26+KFC!$C$26)*KFC!$C$5</f>
        <v>137.57</v>
      </c>
      <c r="K124" s="315">
        <f>(AF124*KFC!$B$26+KFC!$C$26)*KFC!$C$5</f>
        <v>145.83000000000001</v>
      </c>
      <c r="L124" s="315">
        <f>(AG124*KFC!$B$26+KFC!$C$26)*KFC!$C$5</f>
        <v>154.08000000000001</v>
      </c>
      <c r="M124" s="315">
        <f>(AH124*KFC!$B$26+KFC!$C$26)*KFC!$C$5</f>
        <v>162.34</v>
      </c>
      <c r="N124" s="315">
        <f>(AI124*KFC!$B$26+KFC!$C$26)*KFC!$C$5</f>
        <v>170.71</v>
      </c>
      <c r="O124" s="315">
        <f>(AJ124*KFC!$B$26+KFC!$C$26)*KFC!$C$5</f>
        <v>179.09</v>
      </c>
      <c r="P124" s="315">
        <f>(AK124*KFC!$B$26+KFC!$C$26)*KFC!$C$5</f>
        <v>187.47</v>
      </c>
      <c r="Q124" s="315">
        <f>(AL124*KFC!$B$26+KFC!$C$26)*KFC!$C$5</f>
        <v>195.85</v>
      </c>
      <c r="R124" s="315">
        <f>(AM124*KFC!$B$26+KFC!$C$26)*KFC!$C$5</f>
        <v>204.23</v>
      </c>
      <c r="S124" s="315">
        <f>(AN124*KFC!$B$26+KFC!$C$26)*KFC!$C$5</f>
        <v>212.60999999999999</v>
      </c>
      <c r="T124" s="315">
        <f>(AO124*KFC!$B$26+KFC!$C$26)*KFC!$C$5</f>
        <v>220.98999999999998</v>
      </c>
      <c r="V124" s="1538"/>
      <c r="W124" s="230">
        <v>1.6</v>
      </c>
      <c r="X124" s="847">
        <v>79.94</v>
      </c>
      <c r="Y124" s="847">
        <v>87.82</v>
      </c>
      <c r="Z124" s="847">
        <v>96.06</v>
      </c>
      <c r="AA124" s="847">
        <v>104.45</v>
      </c>
      <c r="AB124" s="847">
        <v>112.7</v>
      </c>
      <c r="AC124" s="847">
        <v>120.94</v>
      </c>
      <c r="AD124" s="847">
        <v>129.19999999999999</v>
      </c>
      <c r="AE124" s="847">
        <v>137.57</v>
      </c>
      <c r="AF124" s="847">
        <v>145.83000000000001</v>
      </c>
      <c r="AG124" s="847">
        <v>154.08000000000001</v>
      </c>
      <c r="AH124" s="847">
        <v>162.34</v>
      </c>
      <c r="AI124" s="847">
        <v>170.71</v>
      </c>
      <c r="AJ124" s="848">
        <v>179.09</v>
      </c>
      <c r="AK124" s="690">
        <f t="shared" si="15"/>
        <v>187.47</v>
      </c>
      <c r="AL124" s="690">
        <f t="shared" si="16"/>
        <v>195.85</v>
      </c>
      <c r="AM124" s="690">
        <f t="shared" si="16"/>
        <v>204.23</v>
      </c>
      <c r="AN124" s="690">
        <f t="shared" si="16"/>
        <v>212.60999999999999</v>
      </c>
      <c r="AO124" s="690">
        <f t="shared" si="16"/>
        <v>220.98999999999998</v>
      </c>
      <c r="AP124" s="690">
        <f t="shared" si="16"/>
        <v>229.36999999999998</v>
      </c>
      <c r="AQ124" s="690">
        <f t="shared" si="16"/>
        <v>237.74999999999997</v>
      </c>
    </row>
    <row r="125" spans="1:43">
      <c r="A125" s="1538"/>
      <c r="B125" s="224">
        <v>1.7</v>
      </c>
      <c r="C125" s="314">
        <f>(X125*KFC!$B$26+KFC!$C$26)*KFC!$C$5</f>
        <v>82.9</v>
      </c>
      <c r="D125" s="315">
        <f>(Y125*KFC!$B$26+KFC!$C$26)*KFC!$C$5</f>
        <v>91.27</v>
      </c>
      <c r="E125" s="315">
        <f>(Z125*KFC!$B$26+KFC!$C$26)*KFC!$C$5</f>
        <v>99.76</v>
      </c>
      <c r="F125" s="315">
        <f>(AA125*KFC!$B$26+KFC!$C$26)*KFC!$C$5</f>
        <v>108.14</v>
      </c>
      <c r="G125" s="315">
        <f>(AB125*KFC!$B$26+KFC!$C$26)*KFC!$C$5</f>
        <v>116.63</v>
      </c>
      <c r="H125" s="315">
        <f>(AC125*KFC!$B$26+KFC!$C$26)*KFC!$C$5</f>
        <v>125.13</v>
      </c>
      <c r="I125" s="315">
        <f>(AD125*KFC!$B$26+KFC!$C$26)*KFC!$C$5</f>
        <v>133.52000000000001</v>
      </c>
      <c r="J125" s="315">
        <f>(AE125*KFC!$B$26+KFC!$C$26)*KFC!$C$5</f>
        <v>141.88999999999999</v>
      </c>
      <c r="K125" s="315">
        <f>(AF125*KFC!$B$26+KFC!$C$26)*KFC!$C$5</f>
        <v>150.38</v>
      </c>
      <c r="L125" s="315">
        <f>(AG125*KFC!$B$26+KFC!$C$26)*KFC!$C$5</f>
        <v>158.76</v>
      </c>
      <c r="M125" s="315">
        <f>(AH125*KFC!$B$26+KFC!$C$26)*KFC!$C$5</f>
        <v>167.27</v>
      </c>
      <c r="N125" s="315">
        <f>(AI125*KFC!$B$26+KFC!$C$26)*KFC!$C$5</f>
        <v>175.63</v>
      </c>
      <c r="O125" s="315">
        <f>(AJ125*KFC!$B$26+KFC!$C$26)*KFC!$C$5</f>
        <v>184.01</v>
      </c>
      <c r="P125" s="315">
        <f>(AK125*KFC!$B$26+KFC!$C$26)*KFC!$C$5</f>
        <v>192.39</v>
      </c>
      <c r="Q125" s="315">
        <f>(AL125*KFC!$B$26+KFC!$C$26)*KFC!$C$5</f>
        <v>200.76999999999998</v>
      </c>
      <c r="R125" s="315">
        <f>(AM125*KFC!$B$26+KFC!$C$26)*KFC!$C$5</f>
        <v>209.14999999999998</v>
      </c>
      <c r="S125" s="315">
        <f>(AN125*KFC!$B$26+KFC!$C$26)*KFC!$C$5</f>
        <v>217.52999999999997</v>
      </c>
      <c r="T125" s="315">
        <f>(AO125*KFC!$B$26+KFC!$C$26)*KFC!$C$5</f>
        <v>225.90999999999997</v>
      </c>
      <c r="V125" s="1538"/>
      <c r="W125" s="230">
        <v>1.7</v>
      </c>
      <c r="X125" s="847">
        <v>82.9</v>
      </c>
      <c r="Y125" s="847">
        <v>91.27</v>
      </c>
      <c r="Z125" s="847">
        <v>99.76</v>
      </c>
      <c r="AA125" s="847">
        <v>108.14</v>
      </c>
      <c r="AB125" s="847">
        <v>116.63</v>
      </c>
      <c r="AC125" s="847">
        <v>125.13</v>
      </c>
      <c r="AD125" s="847">
        <v>133.52000000000001</v>
      </c>
      <c r="AE125" s="847">
        <v>141.88999999999999</v>
      </c>
      <c r="AF125" s="847">
        <v>150.38</v>
      </c>
      <c r="AG125" s="847">
        <v>158.76</v>
      </c>
      <c r="AH125" s="847">
        <v>167.27</v>
      </c>
      <c r="AI125" s="847">
        <v>175.63</v>
      </c>
      <c r="AJ125" s="848">
        <v>184.01</v>
      </c>
      <c r="AK125" s="690">
        <f t="shared" si="15"/>
        <v>192.39</v>
      </c>
      <c r="AL125" s="690">
        <f t="shared" si="16"/>
        <v>200.76999999999998</v>
      </c>
      <c r="AM125" s="690">
        <f t="shared" si="16"/>
        <v>209.14999999999998</v>
      </c>
      <c r="AN125" s="690">
        <f t="shared" si="16"/>
        <v>217.52999999999997</v>
      </c>
      <c r="AO125" s="690">
        <f t="shared" si="16"/>
        <v>225.90999999999997</v>
      </c>
      <c r="AP125" s="690">
        <f t="shared" si="16"/>
        <v>234.28999999999996</v>
      </c>
      <c r="AQ125" s="690">
        <f t="shared" si="16"/>
        <v>242.66999999999996</v>
      </c>
    </row>
    <row r="126" spans="1:43">
      <c r="A126" s="1538"/>
      <c r="B126" s="224">
        <v>1.8</v>
      </c>
      <c r="C126" s="314">
        <f>(X126*KFC!$B$26+KFC!$C$26)*KFC!$C$5</f>
        <v>86.22</v>
      </c>
      <c r="D126" s="315">
        <f>(Y126*KFC!$B$26+KFC!$C$26)*KFC!$C$5</f>
        <v>94.72</v>
      </c>
      <c r="E126" s="315">
        <f>(Z126*KFC!$B$26+KFC!$C$26)*KFC!$C$5</f>
        <v>103.34</v>
      </c>
      <c r="F126" s="315">
        <f>(AA126*KFC!$B$26+KFC!$C$26)*KFC!$C$5</f>
        <v>111.96</v>
      </c>
      <c r="G126" s="315">
        <f>(AB126*KFC!$B$26+KFC!$C$26)*KFC!$C$5</f>
        <v>120.46</v>
      </c>
      <c r="H126" s="315">
        <f>(AC126*KFC!$B$26+KFC!$C$26)*KFC!$C$5</f>
        <v>129.09</v>
      </c>
      <c r="I126" s="315">
        <f>(AD126*KFC!$B$26+KFC!$C$26)*KFC!$C$5</f>
        <v>137.71</v>
      </c>
      <c r="J126" s="315">
        <f>(AE126*KFC!$B$26+KFC!$C$26)*KFC!$C$5</f>
        <v>146.33000000000001</v>
      </c>
      <c r="K126" s="315">
        <f>(AF126*KFC!$B$26+KFC!$C$26)*KFC!$C$5</f>
        <v>154.94999999999999</v>
      </c>
      <c r="L126" s="315">
        <f>(AG126*KFC!$B$26+KFC!$C$26)*KFC!$C$5</f>
        <v>163.43</v>
      </c>
      <c r="M126" s="315">
        <f>(AH126*KFC!$B$26+KFC!$C$26)*KFC!$C$5</f>
        <v>172.05</v>
      </c>
      <c r="N126" s="315">
        <f>(AI126*KFC!$B$26+KFC!$C$26)*KFC!$C$5</f>
        <v>180.56</v>
      </c>
      <c r="O126" s="315">
        <f>(AJ126*KFC!$B$26+KFC!$C$26)*KFC!$C$5</f>
        <v>189.06</v>
      </c>
      <c r="P126" s="315">
        <f>(AK126*KFC!$B$26+KFC!$C$26)*KFC!$C$5</f>
        <v>197.56</v>
      </c>
      <c r="Q126" s="315">
        <f>(AL126*KFC!$B$26+KFC!$C$26)*KFC!$C$5</f>
        <v>206.06</v>
      </c>
      <c r="R126" s="315">
        <f>(AM126*KFC!$B$26+KFC!$C$26)*KFC!$C$5</f>
        <v>214.56</v>
      </c>
      <c r="S126" s="315">
        <f>(AN126*KFC!$B$26+KFC!$C$26)*KFC!$C$5</f>
        <v>223.06</v>
      </c>
      <c r="T126" s="315">
        <f>(AO126*KFC!$B$26+KFC!$C$26)*KFC!$C$5</f>
        <v>231.56</v>
      </c>
      <c r="V126" s="1538"/>
      <c r="W126" s="230">
        <v>1.8</v>
      </c>
      <c r="X126" s="847">
        <v>86.22</v>
      </c>
      <c r="Y126" s="847">
        <v>94.72</v>
      </c>
      <c r="Z126" s="847">
        <v>103.34</v>
      </c>
      <c r="AA126" s="847">
        <v>111.96</v>
      </c>
      <c r="AB126" s="847">
        <v>120.46</v>
      </c>
      <c r="AC126" s="847">
        <v>129.09</v>
      </c>
      <c r="AD126" s="847">
        <v>137.71</v>
      </c>
      <c r="AE126" s="847">
        <v>146.33000000000001</v>
      </c>
      <c r="AF126" s="847">
        <v>154.94999999999999</v>
      </c>
      <c r="AG126" s="847">
        <v>163.43</v>
      </c>
      <c r="AH126" s="847">
        <v>172.05</v>
      </c>
      <c r="AI126" s="847">
        <v>180.56</v>
      </c>
      <c r="AJ126" s="848">
        <v>189.06</v>
      </c>
      <c r="AK126" s="690">
        <f t="shared" si="15"/>
        <v>197.56</v>
      </c>
      <c r="AL126" s="690">
        <f t="shared" si="16"/>
        <v>206.06</v>
      </c>
      <c r="AM126" s="690">
        <f t="shared" si="16"/>
        <v>214.56</v>
      </c>
      <c r="AN126" s="690">
        <f t="shared" si="16"/>
        <v>223.06</v>
      </c>
      <c r="AO126" s="690">
        <f t="shared" si="16"/>
        <v>231.56</v>
      </c>
      <c r="AP126" s="690">
        <f t="shared" si="16"/>
        <v>240.06</v>
      </c>
      <c r="AQ126" s="690">
        <f t="shared" si="16"/>
        <v>248.56</v>
      </c>
    </row>
    <row r="127" spans="1:43">
      <c r="A127" s="1538"/>
      <c r="B127" s="224">
        <v>1.9</v>
      </c>
      <c r="C127" s="314">
        <f>(X127*KFC!$B$26+KFC!$C$26)*KFC!$C$5</f>
        <v>89.42</v>
      </c>
      <c r="D127" s="315">
        <f>(Y127*KFC!$B$26+KFC!$C$26)*KFC!$C$5</f>
        <v>98.15</v>
      </c>
      <c r="E127" s="315">
        <f>(Z127*KFC!$B$26+KFC!$C$26)*KFC!$C$5</f>
        <v>106.91</v>
      </c>
      <c r="F127" s="315">
        <f>(AA127*KFC!$B$26+KFC!$C$26)*KFC!$C$5</f>
        <v>115.66</v>
      </c>
      <c r="G127" s="315">
        <f>(AB127*KFC!$B$26+KFC!$C$26)*KFC!$C$5</f>
        <v>124.39</v>
      </c>
      <c r="H127" s="315">
        <f>(AC127*KFC!$B$26+KFC!$C$26)*KFC!$C$5</f>
        <v>133.13999999999999</v>
      </c>
      <c r="I127" s="315">
        <f>(AD127*KFC!$B$26+KFC!$C$26)*KFC!$C$5</f>
        <v>141.88999999999999</v>
      </c>
      <c r="J127" s="315">
        <f>(AE127*KFC!$B$26+KFC!$C$26)*KFC!$C$5</f>
        <v>150.63</v>
      </c>
      <c r="K127" s="315">
        <f>(AF127*KFC!$B$26+KFC!$C$26)*KFC!$C$5</f>
        <v>159.38</v>
      </c>
      <c r="L127" s="315">
        <f>(AG127*KFC!$B$26+KFC!$C$26)*KFC!$C$5</f>
        <v>168.24</v>
      </c>
      <c r="M127" s="315">
        <f>(AH127*KFC!$B$26+KFC!$C$26)*KFC!$C$5</f>
        <v>176.86</v>
      </c>
      <c r="N127" s="315">
        <f>(AI127*KFC!$B$26+KFC!$C$26)*KFC!$C$5</f>
        <v>185.61</v>
      </c>
      <c r="O127" s="315">
        <f>(AJ127*KFC!$B$26+KFC!$C$26)*KFC!$C$5</f>
        <v>194.36</v>
      </c>
      <c r="P127" s="315">
        <f>(AK127*KFC!$B$26+KFC!$C$26)*KFC!$C$5</f>
        <v>203.11</v>
      </c>
      <c r="Q127" s="315">
        <f>(AL127*KFC!$B$26+KFC!$C$26)*KFC!$C$5</f>
        <v>211.86</v>
      </c>
      <c r="R127" s="315">
        <f>(AM127*KFC!$B$26+KFC!$C$26)*KFC!$C$5</f>
        <v>220.61</v>
      </c>
      <c r="S127" s="315">
        <f>(AN127*KFC!$B$26+KFC!$C$26)*KFC!$C$5</f>
        <v>229.36</v>
      </c>
      <c r="T127" s="315">
        <f>(AO127*KFC!$B$26+KFC!$C$26)*KFC!$C$5</f>
        <v>238.11</v>
      </c>
      <c r="V127" s="1538"/>
      <c r="W127" s="230">
        <v>1.9</v>
      </c>
      <c r="X127" s="847">
        <v>89.42</v>
      </c>
      <c r="Y127" s="847">
        <v>98.15</v>
      </c>
      <c r="Z127" s="847">
        <v>106.91</v>
      </c>
      <c r="AA127" s="847">
        <v>115.66</v>
      </c>
      <c r="AB127" s="847">
        <v>124.39</v>
      </c>
      <c r="AC127" s="847">
        <v>133.13999999999999</v>
      </c>
      <c r="AD127" s="847">
        <v>141.88999999999999</v>
      </c>
      <c r="AE127" s="847">
        <v>150.63</v>
      </c>
      <c r="AF127" s="847">
        <v>159.38</v>
      </c>
      <c r="AG127" s="847">
        <v>168.24</v>
      </c>
      <c r="AH127" s="847">
        <v>176.86</v>
      </c>
      <c r="AI127" s="847">
        <v>185.61</v>
      </c>
      <c r="AJ127" s="848">
        <v>194.36</v>
      </c>
      <c r="AK127" s="690">
        <f t="shared" si="15"/>
        <v>203.11</v>
      </c>
      <c r="AL127" s="690">
        <f t="shared" si="16"/>
        <v>211.86</v>
      </c>
      <c r="AM127" s="690">
        <f t="shared" si="16"/>
        <v>220.61</v>
      </c>
      <c r="AN127" s="690">
        <f t="shared" si="16"/>
        <v>229.36</v>
      </c>
      <c r="AO127" s="690">
        <f t="shared" si="16"/>
        <v>238.11</v>
      </c>
      <c r="AP127" s="690">
        <f t="shared" si="16"/>
        <v>246.86</v>
      </c>
      <c r="AQ127" s="690">
        <f t="shared" si="16"/>
        <v>255.61</v>
      </c>
    </row>
    <row r="128" spans="1:43">
      <c r="A128" s="1538"/>
      <c r="B128" s="224">
        <v>2</v>
      </c>
      <c r="C128" s="314">
        <f>(X128*KFC!$B$26+KFC!$C$26)*KFC!$C$5</f>
        <v>92.75</v>
      </c>
      <c r="D128" s="315">
        <f>(Y128*KFC!$B$26+KFC!$C$26)*KFC!$C$5</f>
        <v>101.73</v>
      </c>
      <c r="E128" s="315">
        <f>(Z128*KFC!$B$26+KFC!$C$26)*KFC!$C$5</f>
        <v>110.61</v>
      </c>
      <c r="F128" s="315">
        <f>(AA128*KFC!$B$26+KFC!$C$26)*KFC!$C$5</f>
        <v>119.47</v>
      </c>
      <c r="G128" s="315">
        <f>(AB128*KFC!$B$26+KFC!$C$26)*KFC!$C$5</f>
        <v>128.47</v>
      </c>
      <c r="H128" s="315">
        <f>(AC128*KFC!$B$26+KFC!$C$26)*KFC!$C$5</f>
        <v>137.19999999999999</v>
      </c>
      <c r="I128" s="315">
        <f>(AD128*KFC!$B$26+KFC!$C$26)*KFC!$C$5</f>
        <v>146.08000000000001</v>
      </c>
      <c r="J128" s="315">
        <f>(AE128*KFC!$B$26+KFC!$C$26)*KFC!$C$5</f>
        <v>154.94999999999999</v>
      </c>
      <c r="K128" s="315">
        <f>(AF128*KFC!$B$26+KFC!$C$26)*KFC!$C$5</f>
        <v>163.93</v>
      </c>
      <c r="L128" s="315">
        <f>(AG128*KFC!$B$26+KFC!$C$26)*KFC!$C$5</f>
        <v>172.81</v>
      </c>
      <c r="M128" s="315">
        <f>(AH128*KFC!$B$26+KFC!$C$26)*KFC!$C$5</f>
        <v>181.67</v>
      </c>
      <c r="N128" s="315">
        <f>(AI128*KFC!$B$26+KFC!$C$26)*KFC!$C$5</f>
        <v>190.53</v>
      </c>
      <c r="O128" s="315">
        <f>(AJ128*KFC!$B$26+KFC!$C$26)*KFC!$C$5</f>
        <v>199.41</v>
      </c>
      <c r="P128" s="315">
        <f>(AK128*KFC!$B$26+KFC!$C$26)*KFC!$C$5</f>
        <v>208.29</v>
      </c>
      <c r="Q128" s="315">
        <f>(AL128*KFC!$B$26+KFC!$C$26)*KFC!$C$5</f>
        <v>217.17</v>
      </c>
      <c r="R128" s="315">
        <f>(AM128*KFC!$B$26+KFC!$C$26)*KFC!$C$5</f>
        <v>226.04999999999998</v>
      </c>
      <c r="S128" s="315">
        <f>(AN128*KFC!$B$26+KFC!$C$26)*KFC!$C$5</f>
        <v>234.92999999999998</v>
      </c>
      <c r="T128" s="315">
        <f>(AO128*KFC!$B$26+KFC!$C$26)*KFC!$C$5</f>
        <v>243.80999999999997</v>
      </c>
      <c r="V128" s="1538"/>
      <c r="W128" s="230">
        <v>2</v>
      </c>
      <c r="X128" s="847">
        <v>92.75</v>
      </c>
      <c r="Y128" s="847">
        <v>101.73</v>
      </c>
      <c r="Z128" s="847">
        <v>110.61</v>
      </c>
      <c r="AA128" s="847">
        <v>119.47</v>
      </c>
      <c r="AB128" s="847">
        <v>128.47</v>
      </c>
      <c r="AC128" s="847">
        <v>137.19999999999999</v>
      </c>
      <c r="AD128" s="847">
        <v>146.08000000000001</v>
      </c>
      <c r="AE128" s="847">
        <v>154.94999999999999</v>
      </c>
      <c r="AF128" s="847">
        <v>163.93</v>
      </c>
      <c r="AG128" s="847">
        <v>172.81</v>
      </c>
      <c r="AH128" s="847">
        <v>181.67</v>
      </c>
      <c r="AI128" s="847">
        <v>190.53</v>
      </c>
      <c r="AJ128" s="848">
        <v>199.41</v>
      </c>
      <c r="AK128" s="690">
        <f t="shared" si="15"/>
        <v>208.29</v>
      </c>
      <c r="AL128" s="690">
        <f t="shared" si="16"/>
        <v>217.17</v>
      </c>
      <c r="AM128" s="690">
        <f t="shared" si="16"/>
        <v>226.04999999999998</v>
      </c>
      <c r="AN128" s="690">
        <f t="shared" si="16"/>
        <v>234.92999999999998</v>
      </c>
      <c r="AO128" s="690">
        <f t="shared" si="16"/>
        <v>243.80999999999997</v>
      </c>
      <c r="AP128" s="690">
        <f t="shared" si="16"/>
        <v>252.68999999999997</v>
      </c>
      <c r="AQ128" s="690">
        <f t="shared" si="16"/>
        <v>261.56999999999994</v>
      </c>
    </row>
    <row r="129" spans="1:43">
      <c r="A129" s="840"/>
      <c r="B129" s="224">
        <v>2.1</v>
      </c>
      <c r="C129" s="314">
        <f>(X129*KFC!$B$26+KFC!$C$26)*KFC!$C$5</f>
        <v>96.06</v>
      </c>
      <c r="D129" s="315">
        <f>(Y129*KFC!$B$26+KFC!$C$26)*KFC!$C$5</f>
        <v>105.3</v>
      </c>
      <c r="E129" s="315">
        <f>(Z129*KFC!$B$26+KFC!$C$26)*KFC!$C$5</f>
        <v>114.3</v>
      </c>
      <c r="F129" s="315">
        <f>(AA129*KFC!$B$26+KFC!$C$26)*KFC!$C$5</f>
        <v>123.29</v>
      </c>
      <c r="G129" s="315">
        <f>(AB129*KFC!$B$26+KFC!$C$26)*KFC!$C$5</f>
        <v>132.52000000000001</v>
      </c>
      <c r="H129" s="315">
        <f>(AC129*KFC!$B$26+KFC!$C$26)*KFC!$C$5</f>
        <v>141.27000000000001</v>
      </c>
      <c r="I129" s="315">
        <f>(AD129*KFC!$B$26+KFC!$C$26)*KFC!$C$5</f>
        <v>150.27000000000001</v>
      </c>
      <c r="J129" s="315">
        <f>(AE129*KFC!$B$26+KFC!$C$26)*KFC!$C$5</f>
        <v>159.25</v>
      </c>
      <c r="K129" s="315">
        <f>(AF129*KFC!$B$26+KFC!$C$26)*KFC!$C$5</f>
        <v>168.49</v>
      </c>
      <c r="L129" s="315">
        <f>(AG129*KFC!$B$26+KFC!$C$26)*KFC!$C$5</f>
        <v>177.36</v>
      </c>
      <c r="M129" s="315">
        <f>(AH129*KFC!$B$26+KFC!$C$26)*KFC!$C$5</f>
        <v>186.47</v>
      </c>
      <c r="N129" s="315">
        <f>(AI129*KFC!$B$26+KFC!$C$26)*KFC!$C$5</f>
        <v>195.46</v>
      </c>
      <c r="O129" s="315">
        <f>(AJ129*KFC!$B$26+KFC!$C$26)*KFC!$C$5</f>
        <v>204.46</v>
      </c>
      <c r="P129" s="315">
        <f>(AK129*KFC!$B$26+KFC!$C$26)*KFC!$C$5</f>
        <v>213.46</v>
      </c>
      <c r="Q129" s="315">
        <f>(AL129*KFC!$B$26+KFC!$C$26)*KFC!$C$5</f>
        <v>222.46</v>
      </c>
      <c r="R129" s="315">
        <f>(AM129*KFC!$B$26+KFC!$C$26)*KFC!$C$5</f>
        <v>231.46</v>
      </c>
      <c r="S129" s="315">
        <f>(AN129*KFC!$B$26+KFC!$C$26)*KFC!$C$5</f>
        <v>240.46</v>
      </c>
      <c r="T129" s="315">
        <f>(AO129*KFC!$B$26+KFC!$C$26)*KFC!$C$5</f>
        <v>249.46</v>
      </c>
      <c r="V129" s="840"/>
      <c r="W129" s="230">
        <v>2.1</v>
      </c>
      <c r="X129" s="847">
        <v>96.06</v>
      </c>
      <c r="Y129" s="847">
        <v>105.3</v>
      </c>
      <c r="Z129" s="847">
        <v>114.3</v>
      </c>
      <c r="AA129" s="847">
        <v>123.29</v>
      </c>
      <c r="AB129" s="847">
        <v>132.52000000000001</v>
      </c>
      <c r="AC129" s="847">
        <v>141.27000000000001</v>
      </c>
      <c r="AD129" s="847">
        <v>150.27000000000001</v>
      </c>
      <c r="AE129" s="847">
        <v>159.25</v>
      </c>
      <c r="AF129" s="847">
        <v>168.49</v>
      </c>
      <c r="AG129" s="847">
        <v>177.36</v>
      </c>
      <c r="AH129" s="847">
        <v>186.47</v>
      </c>
      <c r="AI129" s="847">
        <v>195.46</v>
      </c>
      <c r="AJ129" s="848">
        <v>204.46</v>
      </c>
      <c r="AK129" s="690">
        <f t="shared" si="15"/>
        <v>213.46</v>
      </c>
      <c r="AL129" s="690">
        <f t="shared" ref="AL129:AQ130" si="17">AK129-AJ129+AK129</f>
        <v>222.46</v>
      </c>
      <c r="AM129" s="690">
        <f t="shared" si="17"/>
        <v>231.46</v>
      </c>
      <c r="AN129" s="690">
        <f t="shared" si="17"/>
        <v>240.46</v>
      </c>
      <c r="AO129" s="690">
        <f t="shared" si="17"/>
        <v>249.46</v>
      </c>
      <c r="AP129" s="690">
        <f t="shared" si="17"/>
        <v>258.46000000000004</v>
      </c>
      <c r="AQ129" s="690">
        <f t="shared" si="17"/>
        <v>267.46000000000004</v>
      </c>
    </row>
    <row r="130" spans="1:43" ht="13.8" thickBot="1">
      <c r="A130" s="841"/>
      <c r="B130" s="225">
        <v>2.2000000000000002</v>
      </c>
      <c r="C130" s="317">
        <f>(X130*KFC!$B$26+KFC!$C$26)*KFC!$C$5</f>
        <v>99.39</v>
      </c>
      <c r="D130" s="318">
        <f>(Y130*KFC!$B$26+KFC!$C$26)*KFC!$C$5</f>
        <v>108.89</v>
      </c>
      <c r="E130" s="318">
        <f>(Z130*KFC!$B$26+KFC!$C$26)*KFC!$C$5</f>
        <v>118</v>
      </c>
      <c r="F130" s="318">
        <f>(AA130*KFC!$B$26+KFC!$C$26)*KFC!$C$5</f>
        <v>127.1</v>
      </c>
      <c r="G130" s="318">
        <f>(AB130*KFC!$B$26+KFC!$C$26)*KFC!$C$5</f>
        <v>136.59</v>
      </c>
      <c r="H130" s="318">
        <f>(AC130*KFC!$B$26+KFC!$C$26)*KFC!$C$5</f>
        <v>145.33000000000001</v>
      </c>
      <c r="I130" s="318">
        <f>(AD130*KFC!$B$26+KFC!$C$26)*KFC!$C$5</f>
        <v>154.46</v>
      </c>
      <c r="J130" s="318">
        <f>(AE130*KFC!$B$26+KFC!$C$26)*KFC!$C$5</f>
        <v>163.57</v>
      </c>
      <c r="K130" s="318">
        <f>(AF130*KFC!$B$26+KFC!$C$26)*KFC!$C$5</f>
        <v>173.05</v>
      </c>
      <c r="L130" s="318">
        <f>(AG130*KFC!$B$26+KFC!$C$26)*KFC!$C$5</f>
        <v>181.91</v>
      </c>
      <c r="M130" s="318">
        <f>(AH130*KFC!$B$26+KFC!$C$26)*KFC!$C$5</f>
        <v>191.28</v>
      </c>
      <c r="N130" s="318">
        <f>(AI130*KFC!$B$26+KFC!$C$26)*KFC!$C$5</f>
        <v>200.38</v>
      </c>
      <c r="O130" s="318">
        <f>(AJ130*KFC!$B$26+KFC!$C$26)*KFC!$C$5</f>
        <v>209.51</v>
      </c>
      <c r="P130" s="318">
        <f>(AK130*KFC!$B$26+KFC!$C$26)*KFC!$C$5</f>
        <v>218.64</v>
      </c>
      <c r="Q130" s="318">
        <f>(AL130*KFC!$B$26+KFC!$C$26)*KFC!$C$5</f>
        <v>227.76999999999998</v>
      </c>
      <c r="R130" s="318">
        <f>(AM130*KFC!$B$26+KFC!$C$26)*KFC!$C$5</f>
        <v>236.89999999999998</v>
      </c>
      <c r="S130" s="318">
        <f>(AN130*KFC!$B$26+KFC!$C$26)*KFC!$C$5</f>
        <v>246.02999999999997</v>
      </c>
      <c r="T130" s="318">
        <f>(AO130*KFC!$B$26+KFC!$C$26)*KFC!$C$5</f>
        <v>255.15999999999997</v>
      </c>
      <c r="V130" s="841"/>
      <c r="W130" s="231">
        <v>2.2000000000000002</v>
      </c>
      <c r="X130" s="847">
        <v>99.39</v>
      </c>
      <c r="Y130" s="847">
        <v>108.89</v>
      </c>
      <c r="Z130" s="847">
        <v>118</v>
      </c>
      <c r="AA130" s="847">
        <v>127.1</v>
      </c>
      <c r="AB130" s="847">
        <v>136.59</v>
      </c>
      <c r="AC130" s="847">
        <v>145.33000000000001</v>
      </c>
      <c r="AD130" s="847">
        <v>154.46</v>
      </c>
      <c r="AE130" s="847">
        <v>163.57</v>
      </c>
      <c r="AF130" s="847">
        <v>173.05</v>
      </c>
      <c r="AG130" s="847">
        <v>181.91</v>
      </c>
      <c r="AH130" s="847">
        <v>191.28</v>
      </c>
      <c r="AI130" s="847">
        <v>200.38</v>
      </c>
      <c r="AJ130" s="848">
        <v>209.51</v>
      </c>
      <c r="AK130" s="690">
        <f t="shared" si="15"/>
        <v>218.64</v>
      </c>
      <c r="AL130" s="690">
        <f t="shared" si="17"/>
        <v>227.76999999999998</v>
      </c>
      <c r="AM130" s="690">
        <f t="shared" si="17"/>
        <v>236.89999999999998</v>
      </c>
      <c r="AN130" s="690">
        <f t="shared" si="17"/>
        <v>246.02999999999997</v>
      </c>
      <c r="AO130" s="690">
        <f t="shared" si="17"/>
        <v>255.15999999999997</v>
      </c>
      <c r="AP130" s="690">
        <f t="shared" si="17"/>
        <v>264.28999999999996</v>
      </c>
      <c r="AQ130" s="690">
        <f t="shared" si="17"/>
        <v>273.41999999999996</v>
      </c>
    </row>
    <row r="131" spans="1:43">
      <c r="A131" s="1809" t="s">
        <v>1165</v>
      </c>
      <c r="B131" s="1809"/>
      <c r="C131" s="1809"/>
      <c r="D131" s="1809"/>
      <c r="E131" s="1809"/>
      <c r="F131" s="1809"/>
      <c r="G131" s="1809"/>
      <c r="H131" s="1809"/>
      <c r="I131" s="831">
        <v>0.15</v>
      </c>
      <c r="J131" s="438"/>
      <c r="K131" s="438"/>
      <c r="L131" s="438"/>
    </row>
    <row r="132" spans="1:43">
      <c r="A132" s="842" t="s">
        <v>1169</v>
      </c>
      <c r="B132" s="842"/>
      <c r="C132" s="842"/>
      <c r="D132" s="842"/>
      <c r="E132" s="842"/>
      <c r="F132" s="842"/>
      <c r="G132" s="842"/>
      <c r="H132" s="842"/>
      <c r="I132" s="831"/>
      <c r="J132" s="438"/>
      <c r="K132" s="438"/>
      <c r="L132" s="438"/>
    </row>
    <row r="133" spans="1:43">
      <c r="A133" s="842" t="s">
        <v>1177</v>
      </c>
      <c r="B133" s="842"/>
      <c r="C133" s="842"/>
      <c r="D133" s="842"/>
      <c r="E133" s="842"/>
      <c r="F133" s="842"/>
      <c r="G133" s="842"/>
      <c r="H133" s="842"/>
      <c r="I133" s="831"/>
    </row>
    <row r="134" spans="1:43">
      <c r="A134" s="842" t="s">
        <v>1176</v>
      </c>
      <c r="B134" s="842"/>
      <c r="C134" s="842"/>
      <c r="D134" s="842"/>
      <c r="E134" s="842"/>
      <c r="F134" s="842"/>
      <c r="G134" s="842"/>
      <c r="H134" s="842"/>
      <c r="I134" s="831"/>
      <c r="J134" s="438"/>
      <c r="K134" s="438"/>
      <c r="L134" s="438"/>
    </row>
    <row r="135" spans="1:43">
      <c r="A135" s="185" t="s">
        <v>303</v>
      </c>
      <c r="B135" s="184"/>
      <c r="C135" s="438"/>
      <c r="D135" s="438"/>
      <c r="E135" s="438"/>
      <c r="F135" s="438"/>
      <c r="G135" s="438"/>
      <c r="H135" s="438"/>
      <c r="I135" s="438"/>
      <c r="J135" s="438"/>
      <c r="K135" s="438"/>
      <c r="L135" s="438"/>
    </row>
    <row r="136" spans="1:43" ht="12" customHeight="1">
      <c r="A136" s="5" t="s">
        <v>201</v>
      </c>
      <c r="B136" s="5"/>
    </row>
    <row r="137" spans="1:43">
      <c r="A137" s="3"/>
      <c r="B137" s="3"/>
      <c r="C137" s="3"/>
      <c r="D137" s="3"/>
      <c r="E137" s="3"/>
      <c r="H137" s="22"/>
    </row>
    <row r="138" spans="1:43">
      <c r="A138" s="3"/>
      <c r="B138" s="3"/>
      <c r="C138" s="3"/>
      <c r="D138" s="3"/>
      <c r="E138" s="3"/>
      <c r="H138" s="22"/>
    </row>
    <row r="139" spans="1:43">
      <c r="A139" s="3"/>
      <c r="B139" s="3"/>
      <c r="C139" s="3"/>
      <c r="D139" s="3"/>
      <c r="E139" s="3"/>
      <c r="H139" s="22"/>
    </row>
    <row r="140" spans="1:43">
      <c r="A140" s="3"/>
      <c r="B140" s="3"/>
      <c r="C140" s="3"/>
      <c r="D140" s="3"/>
      <c r="E140" s="3"/>
      <c r="H140" s="22"/>
    </row>
    <row r="141" spans="1:43">
      <c r="A141" s="3"/>
      <c r="B141" s="3"/>
      <c r="C141" s="3"/>
      <c r="D141" s="3"/>
      <c r="E141" s="3"/>
      <c r="H141" s="22"/>
    </row>
    <row r="142" spans="1:43" ht="18" customHeight="1">
      <c r="A142" s="1800" t="s">
        <v>706</v>
      </c>
      <c r="B142" s="1800"/>
      <c r="C142" s="1800"/>
      <c r="D142" s="1800"/>
      <c r="E142" s="1800"/>
      <c r="F142" s="1800"/>
      <c r="G142" s="1800"/>
      <c r="H142" s="1800"/>
      <c r="I142" s="1800"/>
      <c r="J142" s="1800"/>
      <c r="K142" s="1800"/>
      <c r="L142" s="1800"/>
      <c r="M142" s="1800"/>
      <c r="N142" s="1800"/>
      <c r="O142" s="1800"/>
      <c r="P142" s="1800"/>
      <c r="Q142" s="1800"/>
      <c r="R142" s="1800"/>
      <c r="S142" s="1800"/>
      <c r="T142" s="1800"/>
    </row>
    <row r="143" spans="1:43" ht="36" customHeight="1" thickBot="1">
      <c r="A143" s="1824" t="s">
        <v>685</v>
      </c>
      <c r="B143" s="1824"/>
      <c r="C143" s="1824"/>
      <c r="D143" s="1824"/>
      <c r="E143" s="1824"/>
      <c r="F143" s="1824"/>
      <c r="G143" s="1824"/>
      <c r="H143" s="1824"/>
      <c r="I143" s="1824"/>
      <c r="J143" s="1824"/>
      <c r="K143" s="1824"/>
      <c r="L143" s="1824"/>
      <c r="M143" s="1824"/>
      <c r="N143" s="1824"/>
      <c r="O143" s="1824"/>
      <c r="P143" s="1824"/>
      <c r="Q143" s="1824"/>
      <c r="R143" s="1824"/>
      <c r="S143" s="1824"/>
      <c r="T143" s="1824"/>
    </row>
    <row r="144" spans="1:43" ht="36" customHeight="1" thickBot="1">
      <c r="A144" s="856"/>
      <c r="B144" s="856"/>
      <c r="C144" s="856"/>
      <c r="D144" s="856"/>
      <c r="E144" s="856"/>
      <c r="F144" s="856"/>
      <c r="G144" s="1665" t="s">
        <v>88</v>
      </c>
      <c r="H144" s="1666"/>
      <c r="I144" s="1810"/>
      <c r="J144" s="1114" t="s">
        <v>87</v>
      </c>
      <c r="K144" s="1006"/>
      <c r="L144" s="1006"/>
      <c r="M144" s="1006"/>
      <c r="N144" s="1006"/>
      <c r="O144" s="1006"/>
      <c r="P144" s="1115"/>
      <c r="Q144" s="1641" t="s">
        <v>24</v>
      </c>
      <c r="R144" s="1813"/>
      <c r="S144" s="856"/>
      <c r="T144" s="856"/>
    </row>
    <row r="145" spans="1:20" ht="14.4" customHeight="1" thickBot="1">
      <c r="G145" s="1811" t="s">
        <v>884</v>
      </c>
      <c r="H145" s="1812"/>
      <c r="I145" s="1812"/>
      <c r="J145" s="1814" t="s">
        <v>885</v>
      </c>
      <c r="K145" s="1814"/>
      <c r="L145" s="1814"/>
      <c r="M145" s="1814"/>
      <c r="N145" s="1814"/>
      <c r="O145" s="1814"/>
      <c r="P145" s="1814"/>
      <c r="Q145" s="1807">
        <f>(107.59*KFC!$B$41+KFC!$C$41)*KFC!$C$5</f>
        <v>107.59</v>
      </c>
      <c r="R145" s="1808"/>
    </row>
    <row r="146" spans="1:20" ht="30.6" customHeight="1" thickBot="1">
      <c r="A146" s="1065" t="s">
        <v>686</v>
      </c>
      <c r="B146" s="1065"/>
      <c r="C146" s="1065"/>
      <c r="D146" s="1065"/>
      <c r="E146" s="1065"/>
      <c r="F146" s="1065"/>
      <c r="G146" s="1065"/>
      <c r="H146" s="1065"/>
      <c r="I146" s="1065"/>
      <c r="J146" s="1065"/>
      <c r="K146" s="1065"/>
      <c r="L146" s="1065"/>
      <c r="M146" s="1065"/>
      <c r="N146" s="1065"/>
      <c r="O146" s="1065"/>
      <c r="P146" s="1065"/>
      <c r="Q146" s="1065"/>
      <c r="R146" s="1065"/>
      <c r="S146" s="1065"/>
      <c r="T146" s="1065"/>
    </row>
    <row r="147" spans="1:20" ht="30.6" customHeight="1" thickBot="1">
      <c r="A147" s="838"/>
      <c r="B147" s="838"/>
      <c r="C147" s="838"/>
      <c r="D147" s="838"/>
      <c r="E147" s="838"/>
      <c r="F147" s="838"/>
      <c r="G147" s="1797" t="s">
        <v>88</v>
      </c>
      <c r="H147" s="1798"/>
      <c r="I147" s="1798"/>
      <c r="J147" s="1051" t="s">
        <v>87</v>
      </c>
      <c r="K147" s="1052"/>
      <c r="L147" s="1052"/>
      <c r="M147" s="1052"/>
      <c r="N147" s="1052"/>
      <c r="O147" s="1052"/>
      <c r="P147" s="1053"/>
      <c r="Q147" s="1049" t="s">
        <v>24</v>
      </c>
      <c r="R147" s="1050"/>
      <c r="S147" s="838"/>
      <c r="T147" s="838"/>
    </row>
    <row r="148" spans="1:20" ht="14.4" customHeight="1">
      <c r="G148" s="1653" t="s">
        <v>884</v>
      </c>
      <c r="H148" s="1654"/>
      <c r="I148" s="1654"/>
      <c r="J148" s="1804" t="s">
        <v>886</v>
      </c>
      <c r="K148" s="1804"/>
      <c r="L148" s="1804"/>
      <c r="M148" s="1804"/>
      <c r="N148" s="1804"/>
      <c r="O148" s="1804"/>
      <c r="P148" s="1804"/>
      <c r="Q148" s="1805">
        <f>(31.65*KFC!$B$41+KFC!$C$41)*KFC!$C$5</f>
        <v>31.65</v>
      </c>
      <c r="R148" s="1806"/>
    </row>
    <row r="149" spans="1:20" ht="27" customHeight="1">
      <c r="G149" s="1035" t="s">
        <v>884</v>
      </c>
      <c r="H149" s="1218"/>
      <c r="I149" s="1218"/>
      <c r="J149" s="1650" t="s">
        <v>887</v>
      </c>
      <c r="K149" s="1650"/>
      <c r="L149" s="1650"/>
      <c r="M149" s="1650"/>
      <c r="N149" s="1650"/>
      <c r="O149" s="1650"/>
      <c r="P149" s="1650"/>
      <c r="Q149" s="1794">
        <f>(37.97*KFC!$B$41+KFC!$C$41)*KFC!$C$5</f>
        <v>37.97</v>
      </c>
      <c r="R149" s="1795"/>
    </row>
    <row r="150" spans="1:20" ht="27" customHeight="1">
      <c r="G150" s="1035" t="s">
        <v>884</v>
      </c>
      <c r="H150" s="1218"/>
      <c r="I150" s="1218"/>
      <c r="J150" s="1650" t="s">
        <v>888</v>
      </c>
      <c r="K150" s="1650"/>
      <c r="L150" s="1650"/>
      <c r="M150" s="1650"/>
      <c r="N150" s="1650"/>
      <c r="O150" s="1650"/>
      <c r="P150" s="1650"/>
      <c r="Q150" s="1794">
        <f>(44.3*KFC!$B$41+KFC!$C$41)*KFC!$C$5</f>
        <v>44.3</v>
      </c>
      <c r="R150" s="1795"/>
    </row>
    <row r="151" spans="1:20" ht="27" customHeight="1">
      <c r="G151" s="1035" t="s">
        <v>884</v>
      </c>
      <c r="H151" s="1218"/>
      <c r="I151" s="1218"/>
      <c r="J151" s="1650" t="s">
        <v>889</v>
      </c>
      <c r="K151" s="1650"/>
      <c r="L151" s="1650"/>
      <c r="M151" s="1650"/>
      <c r="N151" s="1650"/>
      <c r="O151" s="1650"/>
      <c r="P151" s="1650"/>
      <c r="Q151" s="1293">
        <f>(18.35*KFC!$B$41+KFC!$C$41)*KFC!$C$5</f>
        <v>18.350000000000001</v>
      </c>
      <c r="R151" s="1294"/>
    </row>
    <row r="152" spans="1:20" ht="28.95" customHeight="1">
      <c r="G152" s="1035" t="s">
        <v>884</v>
      </c>
      <c r="H152" s="1218"/>
      <c r="I152" s="1218"/>
      <c r="J152" s="1650" t="s">
        <v>1006</v>
      </c>
      <c r="K152" s="1650"/>
      <c r="L152" s="1650"/>
      <c r="M152" s="1650"/>
      <c r="N152" s="1650"/>
      <c r="O152" s="1650"/>
      <c r="P152" s="1650"/>
      <c r="Q152" s="1293">
        <f>(75.95*KFC!$B$41+KFC!$C$41)*KFC!$C$5</f>
        <v>75.95</v>
      </c>
      <c r="R152" s="1294"/>
    </row>
    <row r="153" spans="1:20" ht="28.95" customHeight="1" thickBot="1">
      <c r="G153" s="1036" t="s">
        <v>884</v>
      </c>
      <c r="H153" s="1564"/>
      <c r="I153" s="1564"/>
      <c r="J153" s="1556" t="s">
        <v>1054</v>
      </c>
      <c r="K153" s="1556"/>
      <c r="L153" s="1556"/>
      <c r="M153" s="1556"/>
      <c r="N153" s="1556"/>
      <c r="O153" s="1556"/>
      <c r="P153" s="1556"/>
      <c r="Q153" s="1295">
        <f>(76*KFC!$B$41+KFC!$C$41)*KFC!$C$5</f>
        <v>76</v>
      </c>
      <c r="R153" s="1296"/>
    </row>
    <row r="154" spans="1:20" ht="28.95" customHeight="1"/>
  </sheetData>
  <mergeCells count="74">
    <mergeCell ref="X90:AQ90"/>
    <mergeCell ref="V111:W112"/>
    <mergeCell ref="X111:AQ111"/>
    <mergeCell ref="V113:V128"/>
    <mergeCell ref="V92:V107"/>
    <mergeCell ref="X48:AQ48"/>
    <mergeCell ref="V50:V67"/>
    <mergeCell ref="A71:A88"/>
    <mergeCell ref="C69:T69"/>
    <mergeCell ref="V69:W70"/>
    <mergeCell ref="X69:AQ69"/>
    <mergeCell ref="V71:V88"/>
    <mergeCell ref="A69:B70"/>
    <mergeCell ref="A48:B49"/>
    <mergeCell ref="A1:T1"/>
    <mergeCell ref="A2:T2"/>
    <mergeCell ref="A3:T3"/>
    <mergeCell ref="E5:L5"/>
    <mergeCell ref="A143:T143"/>
    <mergeCell ref="A111:B112"/>
    <mergeCell ref="A90:B91"/>
    <mergeCell ref="C111:T111"/>
    <mergeCell ref="A92:A107"/>
    <mergeCell ref="A4:D4"/>
    <mergeCell ref="E4:L4"/>
    <mergeCell ref="A5:D5"/>
    <mergeCell ref="V27:W28"/>
    <mergeCell ref="X27:AQ27"/>
    <mergeCell ref="C6:T6"/>
    <mergeCell ref="A27:B28"/>
    <mergeCell ref="A6:B7"/>
    <mergeCell ref="C27:T27"/>
    <mergeCell ref="A8:A25"/>
    <mergeCell ref="V6:W7"/>
    <mergeCell ref="X6:AQ6"/>
    <mergeCell ref="V8:V25"/>
    <mergeCell ref="G153:I153"/>
    <mergeCell ref="J153:P153"/>
    <mergeCell ref="Q153:R153"/>
    <mergeCell ref="G150:I150"/>
    <mergeCell ref="G151:I151"/>
    <mergeCell ref="J152:P152"/>
    <mergeCell ref="G152:I152"/>
    <mergeCell ref="J150:P150"/>
    <mergeCell ref="J151:P151"/>
    <mergeCell ref="Q152:R152"/>
    <mergeCell ref="Q151:R151"/>
    <mergeCell ref="Q150:R150"/>
    <mergeCell ref="Q145:R145"/>
    <mergeCell ref="A113:A128"/>
    <mergeCell ref="A131:H131"/>
    <mergeCell ref="G144:I144"/>
    <mergeCell ref="G145:I145"/>
    <mergeCell ref="A142:T142"/>
    <mergeCell ref="J144:P144"/>
    <mergeCell ref="Q144:R144"/>
    <mergeCell ref="J145:P145"/>
    <mergeCell ref="G149:I149"/>
    <mergeCell ref="G148:I148"/>
    <mergeCell ref="G147:I147"/>
    <mergeCell ref="A146:T146"/>
    <mergeCell ref="J147:P147"/>
    <mergeCell ref="J148:P148"/>
    <mergeCell ref="Q148:R148"/>
    <mergeCell ref="Q147:R147"/>
    <mergeCell ref="J149:P149"/>
    <mergeCell ref="Q149:R149"/>
    <mergeCell ref="V29:V46"/>
    <mergeCell ref="A50:A67"/>
    <mergeCell ref="V48:W49"/>
    <mergeCell ref="C90:T90"/>
    <mergeCell ref="V90:W91"/>
    <mergeCell ref="A29:A46"/>
    <mergeCell ref="C48:T48"/>
  </mergeCells>
  <phoneticPr fontId="7" type="noConversion"/>
  <hyperlinks>
    <hyperlink ref="E5" r:id="rId1" xr:uid="{48C37627-BC5D-4179-8B4C-E92B4A59A509}"/>
    <hyperlink ref="E4" r:id="rId2" xr:uid="{351D48ED-25CC-4158-9D07-3ECAFFB63F07}"/>
  </hyperlinks>
  <pageMargins left="0.23622047244094491" right="0" top="0" bottom="0" header="0" footer="0"/>
  <pageSetup paperSize="9" scale="70" fitToHeight="7" orientation="landscape" r:id="rId3"/>
  <headerFooter alignWithMargins="0"/>
  <rowBreaks count="3" manualBreakCount="3">
    <brk id="47" max="44" man="1"/>
    <brk id="89" max="44" man="1"/>
    <brk id="136" max="44" man="1"/>
  </rowBreaks>
  <legacyDrawing r:id="rId4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CB200-2025-4E55-B18D-579860B69985}">
  <sheetPr>
    <tabColor theme="3" tint="0.39997558519241921"/>
  </sheetPr>
  <dimension ref="A1:AP153"/>
  <sheetViews>
    <sheetView view="pageBreakPreview" zoomScale="70" zoomScaleNormal="100" zoomScaleSheetLayoutView="70" workbookViewId="0">
      <selection sqref="A1:IV5"/>
    </sheetView>
  </sheetViews>
  <sheetFormatPr defaultRowHeight="13.2"/>
  <cols>
    <col min="1" max="2" width="5.33203125" customWidth="1"/>
    <col min="3" max="12" width="8.109375" customWidth="1"/>
    <col min="21" max="42" width="0" hidden="1" customWidth="1"/>
  </cols>
  <sheetData>
    <row r="1" spans="1:42" ht="40.5" customHeight="1">
      <c r="A1" s="1821" t="s">
        <v>345</v>
      </c>
      <c r="B1" s="1821"/>
      <c r="C1" s="1821"/>
      <c r="D1" s="1821"/>
      <c r="E1" s="1821"/>
      <c r="F1" s="1821"/>
      <c r="G1" s="1821"/>
      <c r="H1" s="1821"/>
      <c r="I1" s="1821"/>
      <c r="J1" s="1821"/>
      <c r="K1" s="1821"/>
      <c r="L1" s="1821"/>
      <c r="M1" s="1821"/>
      <c r="N1" s="1821"/>
      <c r="O1" s="1821"/>
      <c r="P1" s="1821"/>
      <c r="Q1" s="1821"/>
      <c r="R1" s="1821"/>
      <c r="S1" s="1821"/>
      <c r="T1" s="1821"/>
    </row>
    <row r="2" spans="1:42" ht="20.25" customHeight="1">
      <c r="A2" s="1822" t="s">
        <v>745</v>
      </c>
      <c r="B2" s="1822"/>
      <c r="C2" s="1822"/>
      <c r="D2" s="1822"/>
      <c r="E2" s="1822"/>
      <c r="F2" s="1822"/>
      <c r="G2" s="1822"/>
      <c r="H2" s="1822"/>
      <c r="I2" s="1822"/>
      <c r="J2" s="1822"/>
      <c r="K2" s="1822"/>
      <c r="L2" s="1822"/>
      <c r="M2" s="1822"/>
      <c r="N2" s="1822"/>
      <c r="O2" s="1822"/>
      <c r="P2" s="1822"/>
      <c r="Q2" s="1822"/>
      <c r="R2" s="1822"/>
      <c r="S2" s="1822"/>
      <c r="T2" s="1822"/>
    </row>
    <row r="3" spans="1:42" ht="26.25" customHeight="1">
      <c r="A3" s="1089" t="s">
        <v>593</v>
      </c>
      <c r="B3" s="1089"/>
      <c r="C3" s="1089"/>
      <c r="D3" s="1089"/>
      <c r="E3" s="1406" t="s">
        <v>617</v>
      </c>
      <c r="F3" s="1545"/>
      <c r="G3" s="1545"/>
      <c r="H3" s="1545"/>
      <c r="I3" s="1545"/>
      <c r="J3" s="1545"/>
      <c r="K3" s="1545"/>
      <c r="L3" s="1545"/>
      <c r="M3" s="102"/>
      <c r="N3" s="102"/>
      <c r="O3" s="102"/>
      <c r="P3" s="102"/>
      <c r="Q3" s="102"/>
      <c r="R3" s="102"/>
      <c r="S3" s="102"/>
      <c r="T3" s="102"/>
    </row>
    <row r="4" spans="1:42" ht="26.25" customHeight="1" thickBot="1">
      <c r="A4" s="1831" t="s">
        <v>611</v>
      </c>
      <c r="B4" s="1831"/>
      <c r="C4" s="1831"/>
      <c r="D4" s="1831"/>
      <c r="E4" s="1168" t="s">
        <v>613</v>
      </c>
      <c r="F4" s="1830"/>
      <c r="G4" s="1830"/>
      <c r="H4" s="1830"/>
      <c r="I4" s="1830"/>
      <c r="J4" s="1830"/>
      <c r="K4" s="1830"/>
      <c r="L4" s="1830"/>
      <c r="M4" s="102"/>
      <c r="N4" s="102"/>
      <c r="O4" s="102"/>
      <c r="P4" s="102"/>
      <c r="Q4" s="102"/>
      <c r="R4" s="102"/>
      <c r="S4" s="102"/>
      <c r="T4" s="102"/>
    </row>
    <row r="5" spans="1:42" ht="13.95" customHeight="1" thickBot="1">
      <c r="A5" s="1413" t="s">
        <v>462</v>
      </c>
      <c r="B5" s="1415"/>
      <c r="C5" s="1534" t="s">
        <v>207</v>
      </c>
      <c r="D5" s="1535"/>
      <c r="E5" s="1535"/>
      <c r="F5" s="1535"/>
      <c r="G5" s="1535"/>
      <c r="H5" s="1535"/>
      <c r="I5" s="1535"/>
      <c r="J5" s="1535"/>
      <c r="K5" s="1535"/>
      <c r="L5" s="1535"/>
      <c r="M5" s="1535"/>
      <c r="N5" s="1535"/>
      <c r="O5" s="1535"/>
      <c r="P5" s="1535"/>
      <c r="Q5" s="1535"/>
      <c r="R5" s="1535"/>
      <c r="S5" s="1535"/>
      <c r="T5" s="1535"/>
    </row>
    <row r="6" spans="1:42" ht="13.8" thickBot="1">
      <c r="A6" s="1803"/>
      <c r="B6" s="1802"/>
      <c r="C6" s="428">
        <v>0.4</v>
      </c>
      <c r="D6" s="428">
        <v>0.5</v>
      </c>
      <c r="E6" s="428">
        <v>0.6</v>
      </c>
      <c r="F6" s="428">
        <v>0.7</v>
      </c>
      <c r="G6" s="428">
        <v>0.8</v>
      </c>
      <c r="H6" s="428">
        <v>0.9</v>
      </c>
      <c r="I6" s="428">
        <v>1</v>
      </c>
      <c r="J6" s="428">
        <v>1.1000000000000001</v>
      </c>
      <c r="K6" s="428">
        <v>1.2</v>
      </c>
      <c r="L6" s="428">
        <v>1.3</v>
      </c>
      <c r="M6" s="428">
        <v>1.4</v>
      </c>
      <c r="N6" s="428">
        <v>1.5</v>
      </c>
      <c r="O6" s="428">
        <v>1.6</v>
      </c>
      <c r="P6" s="428">
        <v>1.7</v>
      </c>
      <c r="Q6" s="428">
        <v>1.8</v>
      </c>
      <c r="R6" s="428">
        <v>1.9</v>
      </c>
      <c r="S6" s="428">
        <v>2</v>
      </c>
      <c r="T6" s="428">
        <v>2.1</v>
      </c>
      <c r="V6" s="850"/>
      <c r="W6" s="851">
        <v>0.4</v>
      </c>
      <c r="X6" s="851">
        <v>0.5</v>
      </c>
      <c r="Y6" s="851">
        <v>0.6</v>
      </c>
      <c r="Z6" s="851">
        <v>0.7</v>
      </c>
      <c r="AA6" s="851">
        <v>0.8</v>
      </c>
      <c r="AB6" s="851">
        <v>0.9</v>
      </c>
      <c r="AC6" s="851">
        <v>1</v>
      </c>
      <c r="AD6" s="851">
        <v>1.1000000000000001</v>
      </c>
      <c r="AE6" s="851">
        <v>1.2</v>
      </c>
      <c r="AF6" s="851">
        <v>1.3</v>
      </c>
      <c r="AG6" s="851">
        <v>1.4</v>
      </c>
      <c r="AH6" s="851">
        <v>1.5</v>
      </c>
      <c r="AI6" s="852">
        <v>1.6</v>
      </c>
      <c r="AJ6" s="853">
        <v>1.7</v>
      </c>
      <c r="AK6" s="853">
        <v>1.8</v>
      </c>
      <c r="AL6" s="853">
        <v>1.9</v>
      </c>
      <c r="AM6" s="853">
        <v>2</v>
      </c>
      <c r="AN6" s="853">
        <v>2.1</v>
      </c>
      <c r="AO6" s="853">
        <v>2.2000000000000002</v>
      </c>
      <c r="AP6" s="853">
        <v>2.2999999999999998</v>
      </c>
    </row>
    <row r="7" spans="1:42" ht="13.2" customHeight="1">
      <c r="A7" s="1815" t="s">
        <v>3</v>
      </c>
      <c r="B7" s="849">
        <v>0.5</v>
      </c>
      <c r="C7" s="855">
        <f>(W7*KFC!$B$27+KFC!$C$27)*KFC!$C$5</f>
        <v>27.95</v>
      </c>
      <c r="D7" s="855">
        <f>(X7*KFC!$B$27+KFC!$C$27)*KFC!$C$5</f>
        <v>30.85</v>
      </c>
      <c r="E7" s="855">
        <f>(Y7*KFC!$B$27+KFC!$C$27)*KFC!$C$5</f>
        <v>33.619999999999997</v>
      </c>
      <c r="F7" s="855">
        <f>(Z7*KFC!$B$27+KFC!$C$27)*KFC!$C$5</f>
        <v>36.39</v>
      </c>
      <c r="G7" s="855">
        <f>(AA7*KFC!$B$27+KFC!$C$27)*KFC!$C$5</f>
        <v>39.15</v>
      </c>
      <c r="H7" s="855">
        <f>(AB7*KFC!$B$27+KFC!$C$27)*KFC!$C$5</f>
        <v>42.05</v>
      </c>
      <c r="I7" s="855">
        <f>(AC7*KFC!$B$27+KFC!$C$27)*KFC!$C$5</f>
        <v>44.94</v>
      </c>
      <c r="J7" s="855">
        <f>(AD7*KFC!$B$27+KFC!$C$27)*KFC!$C$5</f>
        <v>47.71</v>
      </c>
      <c r="K7" s="855">
        <f>(AE7*KFC!$B$27+KFC!$C$27)*KFC!$C$5</f>
        <v>50.48</v>
      </c>
      <c r="L7" s="855">
        <f>(AF7*KFC!$B$27+KFC!$C$27)*KFC!$C$5</f>
        <v>53.38</v>
      </c>
      <c r="M7" s="855">
        <f>(AG7*KFC!$B$27+KFC!$C$27)*KFC!$C$5</f>
        <v>56.15</v>
      </c>
      <c r="N7" s="855">
        <f>(AH7*KFC!$B$27+KFC!$C$27)*KFC!$C$5</f>
        <v>58.92</v>
      </c>
      <c r="O7" s="855">
        <f>(AI7*KFC!$B$27+KFC!$C$27)*KFC!$C$5</f>
        <v>61.69</v>
      </c>
      <c r="P7" s="855">
        <f>(AJ7*KFC!$B$27+KFC!$C$27)*KFC!$C$5</f>
        <v>64.459999999999994</v>
      </c>
      <c r="Q7" s="855">
        <f>(AK7*KFC!$B$27+KFC!$C$27)*KFC!$C$5</f>
        <v>67.22999999999999</v>
      </c>
      <c r="R7" s="855">
        <f>(AL7*KFC!$B$27+KFC!$C$27)*KFC!$C$5</f>
        <v>69.999999999999986</v>
      </c>
      <c r="S7" s="855">
        <f>(AM7*KFC!$B$27+KFC!$C$27)*KFC!$C$5</f>
        <v>72.769999999999982</v>
      </c>
      <c r="T7" s="855">
        <f>(AN7*KFC!$B$27+KFC!$C$27)*KFC!$C$5</f>
        <v>75.539999999999978</v>
      </c>
      <c r="V7" s="851">
        <v>0.5</v>
      </c>
      <c r="W7" s="847">
        <v>27.95</v>
      </c>
      <c r="X7" s="847">
        <v>30.85</v>
      </c>
      <c r="Y7" s="847">
        <v>33.619999999999997</v>
      </c>
      <c r="Z7" s="847">
        <v>36.39</v>
      </c>
      <c r="AA7" s="847">
        <v>39.15</v>
      </c>
      <c r="AB7" s="847">
        <v>42.05</v>
      </c>
      <c r="AC7" s="847">
        <v>44.94</v>
      </c>
      <c r="AD7" s="847">
        <v>47.71</v>
      </c>
      <c r="AE7" s="847">
        <v>50.48</v>
      </c>
      <c r="AF7" s="847">
        <v>53.38</v>
      </c>
      <c r="AG7" s="847">
        <v>56.15</v>
      </c>
      <c r="AH7" s="847">
        <v>58.92</v>
      </c>
      <c r="AI7" s="848">
        <v>61.69</v>
      </c>
      <c r="AJ7" s="690">
        <f t="shared" ref="AJ7:AJ23" si="0">AI7-AH7+AI7</f>
        <v>64.459999999999994</v>
      </c>
      <c r="AK7" s="690">
        <f t="shared" ref="AK7:AP22" si="1">AJ7-AI7+AJ7</f>
        <v>67.22999999999999</v>
      </c>
      <c r="AL7" s="690">
        <f t="shared" si="1"/>
        <v>69.999999999999986</v>
      </c>
      <c r="AM7" s="690">
        <f t="shared" si="1"/>
        <v>72.769999999999982</v>
      </c>
      <c r="AN7" s="690">
        <f t="shared" si="1"/>
        <v>75.539999999999978</v>
      </c>
      <c r="AO7" s="690">
        <f t="shared" si="1"/>
        <v>78.309999999999974</v>
      </c>
      <c r="AP7" s="690">
        <f t="shared" si="1"/>
        <v>81.07999999999997</v>
      </c>
    </row>
    <row r="8" spans="1:42">
      <c r="A8" s="1816"/>
      <c r="B8" s="849">
        <v>0.6</v>
      </c>
      <c r="C8" s="854">
        <f>(W8*KFC!$B$27+KFC!$C$27)*KFC!$C$5</f>
        <v>29.52</v>
      </c>
      <c r="D8" s="855">
        <f>(X8*KFC!$B$27+KFC!$C$27)*KFC!$C$5</f>
        <v>32.409999999999997</v>
      </c>
      <c r="E8" s="855">
        <f>(Y8*KFC!$B$27+KFC!$C$27)*KFC!$C$5</f>
        <v>35.19</v>
      </c>
      <c r="F8" s="855">
        <f>(Z8*KFC!$B$27+KFC!$C$27)*KFC!$C$5</f>
        <v>38.19</v>
      </c>
      <c r="G8" s="855">
        <f>(AA8*KFC!$B$27+KFC!$C$27)*KFC!$C$5</f>
        <v>41.09</v>
      </c>
      <c r="H8" s="855">
        <f>(AB8*KFC!$B$27+KFC!$C$27)*KFC!$C$5</f>
        <v>43.86</v>
      </c>
      <c r="I8" s="855">
        <f>(AC8*KFC!$B$27+KFC!$C$27)*KFC!$C$5</f>
        <v>46.87</v>
      </c>
      <c r="J8" s="855">
        <f>(AD8*KFC!$B$27+KFC!$C$27)*KFC!$C$5</f>
        <v>49.64</v>
      </c>
      <c r="K8" s="855">
        <f>(AE8*KFC!$B$27+KFC!$C$27)*KFC!$C$5</f>
        <v>52.65</v>
      </c>
      <c r="L8" s="855">
        <f>(AF8*KFC!$B$27+KFC!$C$27)*KFC!$C$5</f>
        <v>55.55</v>
      </c>
      <c r="M8" s="855">
        <f>(AG8*KFC!$B$27+KFC!$C$27)*KFC!$C$5</f>
        <v>58.32</v>
      </c>
      <c r="N8" s="855">
        <f>(AH8*KFC!$B$27+KFC!$C$27)*KFC!$C$5</f>
        <v>61.33</v>
      </c>
      <c r="O8" s="855">
        <f>(AI8*KFC!$B$27+KFC!$C$27)*KFC!$C$5</f>
        <v>64.34</v>
      </c>
      <c r="P8" s="855">
        <f>(AJ8*KFC!$B$27+KFC!$C$27)*KFC!$C$5</f>
        <v>67.350000000000009</v>
      </c>
      <c r="Q8" s="855">
        <f>(AK8*KFC!$B$27+KFC!$C$27)*KFC!$C$5</f>
        <v>70.360000000000014</v>
      </c>
      <c r="R8" s="855">
        <f>(AL8*KFC!$B$27+KFC!$C$27)*KFC!$C$5</f>
        <v>73.370000000000019</v>
      </c>
      <c r="S8" s="855">
        <f>(AM8*KFC!$B$27+KFC!$C$27)*KFC!$C$5</f>
        <v>76.380000000000024</v>
      </c>
      <c r="T8" s="855">
        <f>(AN8*KFC!$B$27+KFC!$C$27)*KFC!$C$5</f>
        <v>79.390000000000029</v>
      </c>
      <c r="V8" s="851">
        <v>0.6</v>
      </c>
      <c r="W8" s="847">
        <v>29.52</v>
      </c>
      <c r="X8" s="847">
        <v>32.409999999999997</v>
      </c>
      <c r="Y8" s="847">
        <v>35.19</v>
      </c>
      <c r="Z8" s="847">
        <v>38.19</v>
      </c>
      <c r="AA8" s="847">
        <v>41.09</v>
      </c>
      <c r="AB8" s="847">
        <v>43.86</v>
      </c>
      <c r="AC8" s="847">
        <v>46.87</v>
      </c>
      <c r="AD8" s="847">
        <v>49.64</v>
      </c>
      <c r="AE8" s="847">
        <v>52.65</v>
      </c>
      <c r="AF8" s="847">
        <v>55.55</v>
      </c>
      <c r="AG8" s="847">
        <v>58.32</v>
      </c>
      <c r="AH8" s="847">
        <v>61.33</v>
      </c>
      <c r="AI8" s="848">
        <v>64.34</v>
      </c>
      <c r="AJ8" s="690">
        <f t="shared" si="0"/>
        <v>67.350000000000009</v>
      </c>
      <c r="AK8" s="690">
        <f t="shared" si="1"/>
        <v>70.360000000000014</v>
      </c>
      <c r="AL8" s="690">
        <f t="shared" si="1"/>
        <v>73.370000000000019</v>
      </c>
      <c r="AM8" s="690">
        <f t="shared" si="1"/>
        <v>76.380000000000024</v>
      </c>
      <c r="AN8" s="690">
        <f t="shared" si="1"/>
        <v>79.390000000000029</v>
      </c>
      <c r="AO8" s="690">
        <f t="shared" si="1"/>
        <v>82.400000000000034</v>
      </c>
      <c r="AP8" s="690">
        <f t="shared" si="1"/>
        <v>85.410000000000039</v>
      </c>
    </row>
    <row r="9" spans="1:42" ht="13.2" customHeight="1">
      <c r="A9" s="1816"/>
      <c r="B9" s="849">
        <v>0.7</v>
      </c>
      <c r="C9" s="314">
        <f>(W9*KFC!$B$27+KFC!$C$27)*KFC!$C$5</f>
        <v>30.96</v>
      </c>
      <c r="D9" s="315">
        <f>(X9*KFC!$B$27+KFC!$C$27)*KFC!$C$5</f>
        <v>33.85</v>
      </c>
      <c r="E9" s="315">
        <f>(Y9*KFC!$B$27+KFC!$C$27)*KFC!$C$5</f>
        <v>36.880000000000003</v>
      </c>
      <c r="F9" s="315">
        <f>(Z9*KFC!$B$27+KFC!$C$27)*KFC!$C$5</f>
        <v>39.880000000000003</v>
      </c>
      <c r="G9" s="315">
        <f>(AA9*KFC!$B$27+KFC!$C$27)*KFC!$C$5</f>
        <v>42.89</v>
      </c>
      <c r="H9" s="315">
        <f>(AB9*KFC!$B$27+KFC!$C$27)*KFC!$C$5</f>
        <v>45.79</v>
      </c>
      <c r="I9" s="315">
        <f>(AC9*KFC!$B$27+KFC!$C$27)*KFC!$C$5</f>
        <v>48.79</v>
      </c>
      <c r="J9" s="315">
        <f>(AD9*KFC!$B$27+KFC!$C$27)*KFC!$C$5</f>
        <v>51.69</v>
      </c>
      <c r="K9" s="315">
        <f>(AE9*KFC!$B$27+KFC!$C$27)*KFC!$C$5</f>
        <v>54.71</v>
      </c>
      <c r="L9" s="315">
        <f>(AF9*KFC!$B$27+KFC!$C$27)*KFC!$C$5</f>
        <v>57.72</v>
      </c>
      <c r="M9" s="315">
        <f>(AG9*KFC!$B$27+KFC!$C$27)*KFC!$C$5</f>
        <v>60.72</v>
      </c>
      <c r="N9" s="315">
        <f>(AH9*KFC!$B$27+KFC!$C$27)*KFC!$C$5</f>
        <v>63.62</v>
      </c>
      <c r="O9" s="315">
        <f>(AI9*KFC!$B$27+KFC!$C$27)*KFC!$C$5</f>
        <v>66.510000000000005</v>
      </c>
      <c r="P9" s="315">
        <f>(AJ9*KFC!$B$27+KFC!$C$27)*KFC!$C$5</f>
        <v>69.400000000000006</v>
      </c>
      <c r="Q9" s="315">
        <f>(AK9*KFC!$B$27+KFC!$C$27)*KFC!$C$5</f>
        <v>72.290000000000006</v>
      </c>
      <c r="R9" s="315">
        <f>(AL9*KFC!$B$27+KFC!$C$27)*KFC!$C$5</f>
        <v>75.180000000000007</v>
      </c>
      <c r="S9" s="315">
        <f>(AM9*KFC!$B$27+KFC!$C$27)*KFC!$C$5</f>
        <v>78.070000000000007</v>
      </c>
      <c r="T9" s="315">
        <f>(AN9*KFC!$B$27+KFC!$C$27)*KFC!$C$5</f>
        <v>80.960000000000008</v>
      </c>
      <c r="V9" s="851">
        <v>0.7</v>
      </c>
      <c r="W9" s="847">
        <v>30.96</v>
      </c>
      <c r="X9" s="847">
        <v>33.85</v>
      </c>
      <c r="Y9" s="847">
        <v>36.880000000000003</v>
      </c>
      <c r="Z9" s="847">
        <v>39.880000000000003</v>
      </c>
      <c r="AA9" s="847">
        <v>42.89</v>
      </c>
      <c r="AB9" s="847">
        <v>45.79</v>
      </c>
      <c r="AC9" s="847">
        <v>48.79</v>
      </c>
      <c r="AD9" s="847">
        <v>51.69</v>
      </c>
      <c r="AE9" s="847">
        <v>54.71</v>
      </c>
      <c r="AF9" s="847">
        <v>57.72</v>
      </c>
      <c r="AG9" s="847">
        <v>60.72</v>
      </c>
      <c r="AH9" s="847">
        <v>63.62</v>
      </c>
      <c r="AI9" s="848">
        <v>66.510000000000005</v>
      </c>
      <c r="AJ9" s="690">
        <f t="shared" si="0"/>
        <v>69.400000000000006</v>
      </c>
      <c r="AK9" s="690">
        <f t="shared" si="1"/>
        <v>72.290000000000006</v>
      </c>
      <c r="AL9" s="690">
        <f t="shared" si="1"/>
        <v>75.180000000000007</v>
      </c>
      <c r="AM9" s="690">
        <f t="shared" si="1"/>
        <v>78.070000000000007</v>
      </c>
      <c r="AN9" s="690">
        <f t="shared" si="1"/>
        <v>80.960000000000008</v>
      </c>
      <c r="AO9" s="690">
        <f t="shared" si="1"/>
        <v>83.850000000000009</v>
      </c>
      <c r="AP9" s="690">
        <f t="shared" si="1"/>
        <v>86.740000000000009</v>
      </c>
    </row>
    <row r="10" spans="1:42" ht="13.2" customHeight="1">
      <c r="A10" s="1816"/>
      <c r="B10" s="849">
        <v>0.8</v>
      </c>
      <c r="C10" s="314">
        <f>(W10*KFC!$B$27+KFC!$C$27)*KFC!$C$5</f>
        <v>32.409999999999997</v>
      </c>
      <c r="D10" s="315">
        <f>(X10*KFC!$B$27+KFC!$C$27)*KFC!$C$5</f>
        <v>35.54</v>
      </c>
      <c r="E10" s="315">
        <f>(Y10*KFC!$B$27+KFC!$C$27)*KFC!$C$5</f>
        <v>38.44</v>
      </c>
      <c r="F10" s="315">
        <f>(Z10*KFC!$B$27+KFC!$C$27)*KFC!$C$5</f>
        <v>41.57</v>
      </c>
      <c r="G10" s="315">
        <f>(AA10*KFC!$B$27+KFC!$C$27)*KFC!$C$5</f>
        <v>44.7</v>
      </c>
      <c r="H10" s="315">
        <f>(AB10*KFC!$B$27+KFC!$C$27)*KFC!$C$5</f>
        <v>47.71</v>
      </c>
      <c r="I10" s="315">
        <f>(AC10*KFC!$B$27+KFC!$C$27)*KFC!$C$5</f>
        <v>50.73</v>
      </c>
      <c r="J10" s="315">
        <f>(AD10*KFC!$B$27+KFC!$C$27)*KFC!$C$5</f>
        <v>53.74</v>
      </c>
      <c r="K10" s="315">
        <f>(AE10*KFC!$B$27+KFC!$C$27)*KFC!$C$5</f>
        <v>56.87</v>
      </c>
      <c r="L10" s="315">
        <f>(AF10*KFC!$B$27+KFC!$C$27)*KFC!$C$5</f>
        <v>60.01</v>
      </c>
      <c r="M10" s="315">
        <f>(AG10*KFC!$B$27+KFC!$C$27)*KFC!$C$5</f>
        <v>62.9</v>
      </c>
      <c r="N10" s="315">
        <f>(AH10*KFC!$B$27+KFC!$C$27)*KFC!$C$5</f>
        <v>66.02</v>
      </c>
      <c r="O10" s="315">
        <f>(AI10*KFC!$B$27+KFC!$C$27)*KFC!$C$5</f>
        <v>69.16</v>
      </c>
      <c r="P10" s="315">
        <f>(AJ10*KFC!$B$27+KFC!$C$27)*KFC!$C$5</f>
        <v>72.3</v>
      </c>
      <c r="Q10" s="315">
        <f>(AK10*KFC!$B$27+KFC!$C$27)*KFC!$C$5</f>
        <v>75.44</v>
      </c>
      <c r="R10" s="315">
        <f>(AL10*KFC!$B$27+KFC!$C$27)*KFC!$C$5</f>
        <v>78.58</v>
      </c>
      <c r="S10" s="315">
        <f>(AM10*KFC!$B$27+KFC!$C$27)*KFC!$C$5</f>
        <v>81.72</v>
      </c>
      <c r="T10" s="315">
        <f>(AN10*KFC!$B$27+KFC!$C$27)*KFC!$C$5</f>
        <v>84.86</v>
      </c>
      <c r="V10" s="851">
        <v>0.8</v>
      </c>
      <c r="W10" s="847">
        <v>32.409999999999997</v>
      </c>
      <c r="X10" s="847">
        <v>35.54</v>
      </c>
      <c r="Y10" s="847">
        <v>38.44</v>
      </c>
      <c r="Z10" s="847">
        <v>41.57</v>
      </c>
      <c r="AA10" s="847">
        <v>44.7</v>
      </c>
      <c r="AB10" s="847">
        <v>47.71</v>
      </c>
      <c r="AC10" s="847">
        <v>50.73</v>
      </c>
      <c r="AD10" s="847">
        <v>53.74</v>
      </c>
      <c r="AE10" s="847">
        <v>56.87</v>
      </c>
      <c r="AF10" s="847">
        <v>60.01</v>
      </c>
      <c r="AG10" s="847">
        <v>62.9</v>
      </c>
      <c r="AH10" s="847">
        <v>66.02</v>
      </c>
      <c r="AI10" s="848">
        <v>69.16</v>
      </c>
      <c r="AJ10" s="690">
        <f t="shared" si="0"/>
        <v>72.3</v>
      </c>
      <c r="AK10" s="690">
        <f t="shared" si="1"/>
        <v>75.44</v>
      </c>
      <c r="AL10" s="690">
        <f t="shared" si="1"/>
        <v>78.58</v>
      </c>
      <c r="AM10" s="690">
        <f t="shared" si="1"/>
        <v>81.72</v>
      </c>
      <c r="AN10" s="690">
        <f t="shared" si="1"/>
        <v>84.86</v>
      </c>
      <c r="AO10" s="690">
        <f t="shared" si="1"/>
        <v>88</v>
      </c>
      <c r="AP10" s="690">
        <f t="shared" si="1"/>
        <v>91.14</v>
      </c>
    </row>
    <row r="11" spans="1:42" ht="13.2" customHeight="1">
      <c r="A11" s="1816"/>
      <c r="B11" s="849">
        <v>0.9</v>
      </c>
      <c r="C11" s="314">
        <f>(W11*KFC!$B$27+KFC!$C$27)*KFC!$C$5</f>
        <v>33.85</v>
      </c>
      <c r="D11" s="315">
        <f>(X11*KFC!$B$27+KFC!$C$27)*KFC!$C$5</f>
        <v>36.99</v>
      </c>
      <c r="E11" s="315">
        <f>(Y11*KFC!$B$27+KFC!$C$27)*KFC!$C$5</f>
        <v>40.25</v>
      </c>
      <c r="F11" s="315">
        <f>(Z11*KFC!$B$27+KFC!$C$27)*KFC!$C$5</f>
        <v>43.38</v>
      </c>
      <c r="G11" s="315">
        <f>(AA11*KFC!$B$27+KFC!$C$27)*KFC!$C$5</f>
        <v>46.39</v>
      </c>
      <c r="H11" s="315">
        <f>(AB11*KFC!$B$27+KFC!$C$27)*KFC!$C$5</f>
        <v>49.52</v>
      </c>
      <c r="I11" s="315">
        <f>(AC11*KFC!$B$27+KFC!$C$27)*KFC!$C$5</f>
        <v>52.78</v>
      </c>
      <c r="J11" s="315">
        <f>(AD11*KFC!$B$27+KFC!$C$27)*KFC!$C$5</f>
        <v>55.9</v>
      </c>
      <c r="K11" s="315">
        <f>(AE11*KFC!$B$27+KFC!$C$27)*KFC!$C$5</f>
        <v>58.92</v>
      </c>
      <c r="L11" s="315">
        <f>(AF11*KFC!$B$27+KFC!$C$27)*KFC!$C$5</f>
        <v>62.06</v>
      </c>
      <c r="M11" s="315">
        <f>(AG11*KFC!$B$27+KFC!$C$27)*KFC!$C$5</f>
        <v>65.31</v>
      </c>
      <c r="N11" s="315">
        <f>(AH11*KFC!$B$27+KFC!$C$27)*KFC!$C$5</f>
        <v>68.319999999999993</v>
      </c>
      <c r="O11" s="315">
        <f>(AI11*KFC!$B$27+KFC!$C$27)*KFC!$C$5</f>
        <v>71.33</v>
      </c>
      <c r="P11" s="315">
        <f>(AJ11*KFC!$B$27+KFC!$C$27)*KFC!$C$5</f>
        <v>74.34</v>
      </c>
      <c r="Q11" s="315">
        <f>(AK11*KFC!$B$27+KFC!$C$27)*KFC!$C$5</f>
        <v>77.350000000000009</v>
      </c>
      <c r="R11" s="315">
        <f>(AL11*KFC!$B$27+KFC!$C$27)*KFC!$C$5</f>
        <v>80.360000000000014</v>
      </c>
      <c r="S11" s="315">
        <f>(AM11*KFC!$B$27+KFC!$C$27)*KFC!$C$5</f>
        <v>83.370000000000019</v>
      </c>
      <c r="T11" s="315">
        <f>(AN11*KFC!$B$27+KFC!$C$27)*KFC!$C$5</f>
        <v>86.380000000000024</v>
      </c>
      <c r="V11" s="851">
        <v>0.9</v>
      </c>
      <c r="W11" s="847">
        <v>33.85</v>
      </c>
      <c r="X11" s="847">
        <v>36.99</v>
      </c>
      <c r="Y11" s="847">
        <v>40.25</v>
      </c>
      <c r="Z11" s="847">
        <v>43.38</v>
      </c>
      <c r="AA11" s="847">
        <v>46.39</v>
      </c>
      <c r="AB11" s="847">
        <v>49.52</v>
      </c>
      <c r="AC11" s="847">
        <v>52.78</v>
      </c>
      <c r="AD11" s="847">
        <v>55.9</v>
      </c>
      <c r="AE11" s="847">
        <v>58.92</v>
      </c>
      <c r="AF11" s="847">
        <v>62.06</v>
      </c>
      <c r="AG11" s="847">
        <v>65.31</v>
      </c>
      <c r="AH11" s="847">
        <v>68.319999999999993</v>
      </c>
      <c r="AI11" s="848">
        <v>71.33</v>
      </c>
      <c r="AJ11" s="690">
        <f t="shared" si="0"/>
        <v>74.34</v>
      </c>
      <c r="AK11" s="690">
        <f t="shared" si="1"/>
        <v>77.350000000000009</v>
      </c>
      <c r="AL11" s="690">
        <f t="shared" si="1"/>
        <v>80.360000000000014</v>
      </c>
      <c r="AM11" s="690">
        <f t="shared" si="1"/>
        <v>83.370000000000019</v>
      </c>
      <c r="AN11" s="690">
        <f t="shared" si="1"/>
        <v>86.380000000000024</v>
      </c>
      <c r="AO11" s="690">
        <f t="shared" si="1"/>
        <v>89.390000000000029</v>
      </c>
      <c r="AP11" s="690">
        <f t="shared" si="1"/>
        <v>92.400000000000034</v>
      </c>
    </row>
    <row r="12" spans="1:42" ht="13.2" customHeight="1">
      <c r="A12" s="1816"/>
      <c r="B12" s="849">
        <v>1</v>
      </c>
      <c r="C12" s="314">
        <f>(W12*KFC!$B$27+KFC!$C$27)*KFC!$C$5</f>
        <v>35.43</v>
      </c>
      <c r="D12" s="315">
        <f>(X12*KFC!$B$27+KFC!$C$27)*KFC!$C$5</f>
        <v>38.56</v>
      </c>
      <c r="E12" s="315">
        <f>(Y12*KFC!$B$27+KFC!$C$27)*KFC!$C$5</f>
        <v>41.81</v>
      </c>
      <c r="F12" s="315">
        <f>(Z12*KFC!$B$27+KFC!$C$27)*KFC!$C$5</f>
        <v>44.94</v>
      </c>
      <c r="G12" s="315">
        <f>(AA12*KFC!$B$27+KFC!$C$27)*KFC!$C$5</f>
        <v>48.2</v>
      </c>
      <c r="H12" s="315">
        <f>(AB12*KFC!$B$27+KFC!$C$27)*KFC!$C$5</f>
        <v>51.45</v>
      </c>
      <c r="I12" s="315">
        <f>(AC12*KFC!$B$27+KFC!$C$27)*KFC!$C$5</f>
        <v>54.71</v>
      </c>
      <c r="J12" s="315">
        <f>(AD12*KFC!$B$27+KFC!$C$27)*KFC!$C$5</f>
        <v>57.95</v>
      </c>
      <c r="K12" s="315">
        <f>(AE12*KFC!$B$27+KFC!$C$27)*KFC!$C$5</f>
        <v>61.2</v>
      </c>
      <c r="L12" s="315">
        <f>(AF12*KFC!$B$27+KFC!$C$27)*KFC!$C$5</f>
        <v>64.22</v>
      </c>
      <c r="M12" s="315">
        <f>(AG12*KFC!$B$27+KFC!$C$27)*KFC!$C$5</f>
        <v>67.47</v>
      </c>
      <c r="N12" s="315">
        <f>(AH12*KFC!$B$27+KFC!$C$27)*KFC!$C$5</f>
        <v>70.73</v>
      </c>
      <c r="O12" s="315">
        <f>(AI12*KFC!$B$27+KFC!$C$27)*KFC!$C$5</f>
        <v>73.98</v>
      </c>
      <c r="P12" s="315">
        <f>(AJ12*KFC!$B$27+KFC!$C$27)*KFC!$C$5</f>
        <v>77.23</v>
      </c>
      <c r="Q12" s="315">
        <f>(AK12*KFC!$B$27+KFC!$C$27)*KFC!$C$5</f>
        <v>80.48</v>
      </c>
      <c r="R12" s="315">
        <f>(AL12*KFC!$B$27+KFC!$C$27)*KFC!$C$5</f>
        <v>83.73</v>
      </c>
      <c r="S12" s="315">
        <f>(AM12*KFC!$B$27+KFC!$C$27)*KFC!$C$5</f>
        <v>86.98</v>
      </c>
      <c r="T12" s="315">
        <f>(AN12*KFC!$B$27+KFC!$C$27)*KFC!$C$5</f>
        <v>90.23</v>
      </c>
      <c r="V12" s="851">
        <v>1</v>
      </c>
      <c r="W12" s="847">
        <v>35.43</v>
      </c>
      <c r="X12" s="847">
        <v>38.56</v>
      </c>
      <c r="Y12" s="847">
        <v>41.81</v>
      </c>
      <c r="Z12" s="847">
        <v>44.94</v>
      </c>
      <c r="AA12" s="847">
        <v>48.2</v>
      </c>
      <c r="AB12" s="847">
        <v>51.45</v>
      </c>
      <c r="AC12" s="847">
        <v>54.71</v>
      </c>
      <c r="AD12" s="847">
        <v>57.95</v>
      </c>
      <c r="AE12" s="847">
        <v>61.2</v>
      </c>
      <c r="AF12" s="847">
        <v>64.22</v>
      </c>
      <c r="AG12" s="847">
        <v>67.47</v>
      </c>
      <c r="AH12" s="847">
        <v>70.73</v>
      </c>
      <c r="AI12" s="848">
        <v>73.98</v>
      </c>
      <c r="AJ12" s="690">
        <f t="shared" si="0"/>
        <v>77.23</v>
      </c>
      <c r="AK12" s="690">
        <f t="shared" si="1"/>
        <v>80.48</v>
      </c>
      <c r="AL12" s="690">
        <f t="shared" si="1"/>
        <v>83.73</v>
      </c>
      <c r="AM12" s="690">
        <f t="shared" si="1"/>
        <v>86.98</v>
      </c>
      <c r="AN12" s="690">
        <f t="shared" si="1"/>
        <v>90.23</v>
      </c>
      <c r="AO12" s="690">
        <f t="shared" si="1"/>
        <v>93.48</v>
      </c>
      <c r="AP12" s="690">
        <f t="shared" si="1"/>
        <v>96.73</v>
      </c>
    </row>
    <row r="13" spans="1:42" ht="13.2" customHeight="1">
      <c r="A13" s="1816"/>
      <c r="B13" s="849">
        <v>1.1000000000000001</v>
      </c>
      <c r="C13" s="314">
        <f>(W13*KFC!$B$27+KFC!$C$27)*KFC!$C$5</f>
        <v>36.880000000000003</v>
      </c>
      <c r="D13" s="315">
        <f>(X13*KFC!$B$27+KFC!$C$27)*KFC!$C$5</f>
        <v>40.119999999999997</v>
      </c>
      <c r="E13" s="315">
        <f>(Y13*KFC!$B$27+KFC!$C$27)*KFC!$C$5</f>
        <v>43.49</v>
      </c>
      <c r="F13" s="315">
        <f>(Z13*KFC!$B$27+KFC!$C$27)*KFC!$C$5</f>
        <v>46.75</v>
      </c>
      <c r="G13" s="315">
        <f>(AA13*KFC!$B$27+KFC!$C$27)*KFC!$C$5</f>
        <v>50</v>
      </c>
      <c r="H13" s="315">
        <f>(AB13*KFC!$B$27+KFC!$C$27)*KFC!$C$5</f>
        <v>53.38</v>
      </c>
      <c r="I13" s="315">
        <f>(AC13*KFC!$B$27+KFC!$C$27)*KFC!$C$5</f>
        <v>56.64</v>
      </c>
      <c r="J13" s="315">
        <f>(AD13*KFC!$B$27+KFC!$C$27)*KFC!$C$5</f>
        <v>60.01</v>
      </c>
      <c r="K13" s="315">
        <f>(AE13*KFC!$B$27+KFC!$C$27)*KFC!$C$5</f>
        <v>63.25</v>
      </c>
      <c r="L13" s="315">
        <f>(AF13*KFC!$B$27+KFC!$C$27)*KFC!$C$5</f>
        <v>66.510000000000005</v>
      </c>
      <c r="M13" s="315">
        <f>(AG13*KFC!$B$27+KFC!$C$27)*KFC!$C$5</f>
        <v>69.89</v>
      </c>
      <c r="N13" s="315">
        <f>(AH13*KFC!$B$27+KFC!$C$27)*KFC!$C$5</f>
        <v>73.14</v>
      </c>
      <c r="O13" s="315">
        <f>(AI13*KFC!$B$27+KFC!$C$27)*KFC!$C$5</f>
        <v>76.400000000000006</v>
      </c>
      <c r="P13" s="315">
        <f>(AJ13*KFC!$B$27+KFC!$C$27)*KFC!$C$5</f>
        <v>79.660000000000011</v>
      </c>
      <c r="Q13" s="315">
        <f>(AK13*KFC!$B$27+KFC!$C$27)*KFC!$C$5</f>
        <v>82.920000000000016</v>
      </c>
      <c r="R13" s="315">
        <f>(AL13*KFC!$B$27+KFC!$C$27)*KFC!$C$5</f>
        <v>86.180000000000021</v>
      </c>
      <c r="S13" s="315">
        <f>(AM13*KFC!$B$27+KFC!$C$27)*KFC!$C$5</f>
        <v>89.440000000000026</v>
      </c>
      <c r="T13" s="315">
        <f>(AN13*KFC!$B$27+KFC!$C$27)*KFC!$C$5</f>
        <v>92.700000000000031</v>
      </c>
      <c r="V13" s="851">
        <v>1.1000000000000001</v>
      </c>
      <c r="W13" s="847">
        <v>36.880000000000003</v>
      </c>
      <c r="X13" s="847">
        <v>40.119999999999997</v>
      </c>
      <c r="Y13" s="847">
        <v>43.49</v>
      </c>
      <c r="Z13" s="847">
        <v>46.75</v>
      </c>
      <c r="AA13" s="847">
        <v>50</v>
      </c>
      <c r="AB13" s="847">
        <v>53.38</v>
      </c>
      <c r="AC13" s="847">
        <v>56.64</v>
      </c>
      <c r="AD13" s="847">
        <v>60.01</v>
      </c>
      <c r="AE13" s="847">
        <v>63.25</v>
      </c>
      <c r="AF13" s="847">
        <v>66.510000000000005</v>
      </c>
      <c r="AG13" s="847">
        <v>69.89</v>
      </c>
      <c r="AH13" s="847">
        <v>73.14</v>
      </c>
      <c r="AI13" s="848">
        <v>76.400000000000006</v>
      </c>
      <c r="AJ13" s="690">
        <f t="shared" si="0"/>
        <v>79.660000000000011</v>
      </c>
      <c r="AK13" s="690">
        <f t="shared" si="1"/>
        <v>82.920000000000016</v>
      </c>
      <c r="AL13" s="690">
        <f t="shared" si="1"/>
        <v>86.180000000000021</v>
      </c>
      <c r="AM13" s="690">
        <f t="shared" si="1"/>
        <v>89.440000000000026</v>
      </c>
      <c r="AN13" s="690">
        <f t="shared" si="1"/>
        <v>92.700000000000031</v>
      </c>
      <c r="AO13" s="690">
        <f t="shared" si="1"/>
        <v>95.960000000000036</v>
      </c>
      <c r="AP13" s="690">
        <f t="shared" si="1"/>
        <v>99.220000000000041</v>
      </c>
    </row>
    <row r="14" spans="1:42" ht="13.2" customHeight="1">
      <c r="A14" s="1816"/>
      <c r="B14" s="849">
        <v>1.2</v>
      </c>
      <c r="C14" s="314">
        <f>(W14*KFC!$B$27+KFC!$C$27)*KFC!$C$5</f>
        <v>38.33</v>
      </c>
      <c r="D14" s="315">
        <f>(X14*KFC!$B$27+KFC!$C$27)*KFC!$C$5</f>
        <v>41.7</v>
      </c>
      <c r="E14" s="315">
        <f>(Y14*KFC!$B$27+KFC!$C$27)*KFC!$C$5</f>
        <v>45.07</v>
      </c>
      <c r="F14" s="315">
        <f>(Z14*KFC!$B$27+KFC!$C$27)*KFC!$C$5</f>
        <v>48.44</v>
      </c>
      <c r="G14" s="315">
        <f>(AA14*KFC!$B$27+KFC!$C$27)*KFC!$C$5</f>
        <v>51.82</v>
      </c>
      <c r="H14" s="315">
        <f>(AB14*KFC!$B$27+KFC!$C$27)*KFC!$C$5</f>
        <v>55.3</v>
      </c>
      <c r="I14" s="315">
        <f>(AC14*KFC!$B$27+KFC!$C$27)*KFC!$C$5</f>
        <v>58.56</v>
      </c>
      <c r="J14" s="315">
        <f>(AD14*KFC!$B$27+KFC!$C$27)*KFC!$C$5</f>
        <v>61.94</v>
      </c>
      <c r="K14" s="315">
        <f>(AE14*KFC!$B$27+KFC!$C$27)*KFC!$C$5</f>
        <v>65.31</v>
      </c>
      <c r="L14" s="315">
        <f>(AF14*KFC!$B$27+KFC!$C$27)*KFC!$C$5</f>
        <v>68.680000000000007</v>
      </c>
      <c r="M14" s="315">
        <f>(AG14*KFC!$B$27+KFC!$C$27)*KFC!$C$5</f>
        <v>72.06</v>
      </c>
      <c r="N14" s="315">
        <f>(AH14*KFC!$B$27+KFC!$C$27)*KFC!$C$5</f>
        <v>75.430000000000007</v>
      </c>
      <c r="O14" s="315">
        <f>(AI14*KFC!$B$27+KFC!$C$27)*KFC!$C$5</f>
        <v>78.8</v>
      </c>
      <c r="P14" s="315">
        <f>(AJ14*KFC!$B$27+KFC!$C$27)*KFC!$C$5</f>
        <v>82.169999999999987</v>
      </c>
      <c r="Q14" s="315">
        <f>(AK14*KFC!$B$27+KFC!$C$27)*KFC!$C$5</f>
        <v>85.539999999999978</v>
      </c>
      <c r="R14" s="315">
        <f>(AL14*KFC!$B$27+KFC!$C$27)*KFC!$C$5</f>
        <v>88.909999999999968</v>
      </c>
      <c r="S14" s="315">
        <f>(AM14*KFC!$B$27+KFC!$C$27)*KFC!$C$5</f>
        <v>92.279999999999959</v>
      </c>
      <c r="T14" s="315">
        <f>(AN14*KFC!$B$27+KFC!$C$27)*KFC!$C$5</f>
        <v>95.649999999999949</v>
      </c>
      <c r="V14" s="851">
        <v>1.2</v>
      </c>
      <c r="W14" s="847">
        <v>38.33</v>
      </c>
      <c r="X14" s="847">
        <v>41.7</v>
      </c>
      <c r="Y14" s="847">
        <v>45.07</v>
      </c>
      <c r="Z14" s="847">
        <v>48.44</v>
      </c>
      <c r="AA14" s="847">
        <v>51.82</v>
      </c>
      <c r="AB14" s="847">
        <v>55.3</v>
      </c>
      <c r="AC14" s="847">
        <v>58.56</v>
      </c>
      <c r="AD14" s="847">
        <v>61.94</v>
      </c>
      <c r="AE14" s="847">
        <v>65.31</v>
      </c>
      <c r="AF14" s="847">
        <v>68.680000000000007</v>
      </c>
      <c r="AG14" s="847">
        <v>72.06</v>
      </c>
      <c r="AH14" s="847">
        <v>75.430000000000007</v>
      </c>
      <c r="AI14" s="848">
        <v>78.8</v>
      </c>
      <c r="AJ14" s="690">
        <f t="shared" si="0"/>
        <v>82.169999999999987</v>
      </c>
      <c r="AK14" s="690">
        <f t="shared" si="1"/>
        <v>85.539999999999978</v>
      </c>
      <c r="AL14" s="690">
        <f t="shared" si="1"/>
        <v>88.909999999999968</v>
      </c>
      <c r="AM14" s="690">
        <f t="shared" si="1"/>
        <v>92.279999999999959</v>
      </c>
      <c r="AN14" s="690">
        <f t="shared" si="1"/>
        <v>95.649999999999949</v>
      </c>
      <c r="AO14" s="690">
        <f t="shared" si="1"/>
        <v>99.019999999999939</v>
      </c>
      <c r="AP14" s="690">
        <f t="shared" si="1"/>
        <v>102.38999999999993</v>
      </c>
    </row>
    <row r="15" spans="1:42" ht="13.2" customHeight="1">
      <c r="A15" s="1816"/>
      <c r="B15" s="849">
        <v>1.3</v>
      </c>
      <c r="C15" s="314">
        <f>(W15*KFC!$B$27+KFC!$C$27)*KFC!$C$5</f>
        <v>39.76</v>
      </c>
      <c r="D15" s="315">
        <f>(X15*KFC!$B$27+KFC!$C$27)*KFC!$C$5</f>
        <v>43.14</v>
      </c>
      <c r="E15" s="315">
        <f>(Y15*KFC!$B$27+KFC!$C$27)*KFC!$C$5</f>
        <v>46.75</v>
      </c>
      <c r="F15" s="315">
        <f>(Z15*KFC!$B$27+KFC!$C$27)*KFC!$C$5</f>
        <v>50.13</v>
      </c>
      <c r="G15" s="315">
        <f>(AA15*KFC!$B$27+KFC!$C$27)*KFC!$C$5</f>
        <v>53.61</v>
      </c>
      <c r="H15" s="315">
        <f>(AB15*KFC!$B$27+KFC!$C$27)*KFC!$C$5</f>
        <v>56.98</v>
      </c>
      <c r="I15" s="315">
        <f>(AC15*KFC!$B$27+KFC!$C$27)*KFC!$C$5</f>
        <v>60.61</v>
      </c>
      <c r="J15" s="315">
        <f>(AD15*KFC!$B$27+KFC!$C$27)*KFC!$C$5</f>
        <v>63.98</v>
      </c>
      <c r="K15" s="315">
        <f>(AE15*KFC!$B$27+KFC!$C$27)*KFC!$C$5</f>
        <v>67.47</v>
      </c>
      <c r="L15" s="315">
        <f>(AF15*KFC!$B$27+KFC!$C$27)*KFC!$C$5</f>
        <v>70.84</v>
      </c>
      <c r="M15" s="315">
        <f>(AG15*KFC!$B$27+KFC!$C$27)*KFC!$C$5</f>
        <v>74.47</v>
      </c>
      <c r="N15" s="315">
        <f>(AH15*KFC!$B$27+KFC!$C$27)*KFC!$C$5</f>
        <v>77.84</v>
      </c>
      <c r="O15" s="315">
        <f>(AI15*KFC!$B$27+KFC!$C$27)*KFC!$C$5</f>
        <v>81.22</v>
      </c>
      <c r="P15" s="315">
        <f>(AJ15*KFC!$B$27+KFC!$C$27)*KFC!$C$5</f>
        <v>84.6</v>
      </c>
      <c r="Q15" s="315">
        <f>(AK15*KFC!$B$27+KFC!$C$27)*KFC!$C$5</f>
        <v>87.97999999999999</v>
      </c>
      <c r="R15" s="315">
        <f>(AL15*KFC!$B$27+KFC!$C$27)*KFC!$C$5</f>
        <v>91.359999999999985</v>
      </c>
      <c r="S15" s="315">
        <f>(AM15*KFC!$B$27+KFC!$C$27)*KFC!$C$5</f>
        <v>94.739999999999981</v>
      </c>
      <c r="T15" s="315">
        <f>(AN15*KFC!$B$27+KFC!$C$27)*KFC!$C$5</f>
        <v>98.119999999999976</v>
      </c>
      <c r="V15" s="851">
        <v>1.3</v>
      </c>
      <c r="W15" s="847">
        <v>39.76</v>
      </c>
      <c r="X15" s="847">
        <v>43.14</v>
      </c>
      <c r="Y15" s="847">
        <v>46.75</v>
      </c>
      <c r="Z15" s="847">
        <v>50.13</v>
      </c>
      <c r="AA15" s="847">
        <v>53.61</v>
      </c>
      <c r="AB15" s="847">
        <v>56.98</v>
      </c>
      <c r="AC15" s="847">
        <v>60.61</v>
      </c>
      <c r="AD15" s="847">
        <v>63.98</v>
      </c>
      <c r="AE15" s="847">
        <v>67.47</v>
      </c>
      <c r="AF15" s="847">
        <v>70.84</v>
      </c>
      <c r="AG15" s="847">
        <v>74.47</v>
      </c>
      <c r="AH15" s="847">
        <v>77.84</v>
      </c>
      <c r="AI15" s="848">
        <v>81.22</v>
      </c>
      <c r="AJ15" s="690">
        <f t="shared" si="0"/>
        <v>84.6</v>
      </c>
      <c r="AK15" s="690">
        <f t="shared" si="1"/>
        <v>87.97999999999999</v>
      </c>
      <c r="AL15" s="690">
        <f t="shared" si="1"/>
        <v>91.359999999999985</v>
      </c>
      <c r="AM15" s="690">
        <f t="shared" si="1"/>
        <v>94.739999999999981</v>
      </c>
      <c r="AN15" s="690">
        <f t="shared" si="1"/>
        <v>98.119999999999976</v>
      </c>
      <c r="AO15" s="690">
        <f t="shared" si="1"/>
        <v>101.49999999999997</v>
      </c>
      <c r="AP15" s="690">
        <f t="shared" si="1"/>
        <v>104.87999999999997</v>
      </c>
    </row>
    <row r="16" spans="1:42" ht="13.2" customHeight="1">
      <c r="A16" s="1816"/>
      <c r="B16" s="849">
        <v>1.4</v>
      </c>
      <c r="C16" s="314">
        <f>(W16*KFC!$B$27+KFC!$C$27)*KFC!$C$5</f>
        <v>41.21</v>
      </c>
      <c r="D16" s="315">
        <f>(X16*KFC!$B$27+KFC!$C$27)*KFC!$C$5</f>
        <v>44.82</v>
      </c>
      <c r="E16" s="315">
        <f>(Y16*KFC!$B$27+KFC!$C$27)*KFC!$C$5</f>
        <v>48.31</v>
      </c>
      <c r="F16" s="315">
        <f>(Z16*KFC!$B$27+KFC!$C$27)*KFC!$C$5</f>
        <v>51.82</v>
      </c>
      <c r="G16" s="315">
        <f>(AA16*KFC!$B$27+KFC!$C$27)*KFC!$C$5</f>
        <v>55.43</v>
      </c>
      <c r="H16" s="315">
        <f>(AB16*KFC!$B$27+KFC!$C$27)*KFC!$C$5</f>
        <v>58.92</v>
      </c>
      <c r="I16" s="315">
        <f>(AC16*KFC!$B$27+KFC!$C$27)*KFC!$C$5</f>
        <v>62.54</v>
      </c>
      <c r="J16" s="315">
        <f>(AD16*KFC!$B$27+KFC!$C$27)*KFC!$C$5</f>
        <v>66.02</v>
      </c>
      <c r="K16" s="315">
        <f>(AE16*KFC!$B$27+KFC!$C$27)*KFC!$C$5</f>
        <v>69.52</v>
      </c>
      <c r="L16" s="315">
        <f>(AF16*KFC!$B$27+KFC!$C$27)*KFC!$C$5</f>
        <v>73.14</v>
      </c>
      <c r="M16" s="315">
        <f>(AG16*KFC!$B$27+KFC!$C$27)*KFC!$C$5</f>
        <v>76.63</v>
      </c>
      <c r="N16" s="315">
        <f>(AH16*KFC!$B$27+KFC!$C$27)*KFC!$C$5</f>
        <v>80.13</v>
      </c>
      <c r="O16" s="315">
        <f>(AI16*KFC!$B$27+KFC!$C$27)*KFC!$C$5</f>
        <v>83.62</v>
      </c>
      <c r="P16" s="315">
        <f>(AJ16*KFC!$B$27+KFC!$C$27)*KFC!$C$5</f>
        <v>87.110000000000014</v>
      </c>
      <c r="Q16" s="315">
        <f>(AK16*KFC!$B$27+KFC!$C$27)*KFC!$C$5</f>
        <v>90.600000000000023</v>
      </c>
      <c r="R16" s="315">
        <f>(AL16*KFC!$B$27+KFC!$C$27)*KFC!$C$5</f>
        <v>94.090000000000032</v>
      </c>
      <c r="S16" s="315">
        <f>(AM16*KFC!$B$27+KFC!$C$27)*KFC!$C$5</f>
        <v>97.580000000000041</v>
      </c>
      <c r="T16" s="315">
        <f>(AN16*KFC!$B$27+KFC!$C$27)*KFC!$C$5</f>
        <v>101.07000000000005</v>
      </c>
      <c r="V16" s="851">
        <v>1.4</v>
      </c>
      <c r="W16" s="847">
        <v>41.21</v>
      </c>
      <c r="X16" s="847">
        <v>44.82</v>
      </c>
      <c r="Y16" s="847">
        <v>48.31</v>
      </c>
      <c r="Z16" s="847">
        <v>51.82</v>
      </c>
      <c r="AA16" s="847">
        <v>55.43</v>
      </c>
      <c r="AB16" s="847">
        <v>58.92</v>
      </c>
      <c r="AC16" s="847">
        <v>62.54</v>
      </c>
      <c r="AD16" s="847">
        <v>66.02</v>
      </c>
      <c r="AE16" s="847">
        <v>69.52</v>
      </c>
      <c r="AF16" s="847">
        <v>73.14</v>
      </c>
      <c r="AG16" s="847">
        <v>76.63</v>
      </c>
      <c r="AH16" s="847">
        <v>80.13</v>
      </c>
      <c r="AI16" s="848">
        <v>83.62</v>
      </c>
      <c r="AJ16" s="690">
        <f t="shared" si="0"/>
        <v>87.110000000000014</v>
      </c>
      <c r="AK16" s="690">
        <f t="shared" si="1"/>
        <v>90.600000000000023</v>
      </c>
      <c r="AL16" s="690">
        <f t="shared" si="1"/>
        <v>94.090000000000032</v>
      </c>
      <c r="AM16" s="690">
        <f t="shared" si="1"/>
        <v>97.580000000000041</v>
      </c>
      <c r="AN16" s="690">
        <f t="shared" si="1"/>
        <v>101.07000000000005</v>
      </c>
      <c r="AO16" s="690">
        <f t="shared" si="1"/>
        <v>104.56000000000006</v>
      </c>
      <c r="AP16" s="690">
        <f t="shared" si="1"/>
        <v>108.05000000000007</v>
      </c>
    </row>
    <row r="17" spans="1:42" ht="13.2" customHeight="1">
      <c r="A17" s="1816"/>
      <c r="B17" s="849">
        <v>1.5</v>
      </c>
      <c r="C17" s="314">
        <f>(W17*KFC!$B$27+KFC!$C$27)*KFC!$C$5</f>
        <v>42.78</v>
      </c>
      <c r="D17" s="315">
        <f>(X17*KFC!$B$27+KFC!$C$27)*KFC!$C$5</f>
        <v>46.39</v>
      </c>
      <c r="E17" s="315">
        <f>(Y17*KFC!$B$27+KFC!$C$27)*KFC!$C$5</f>
        <v>50</v>
      </c>
      <c r="F17" s="315">
        <f>(Z17*KFC!$B$27+KFC!$C$27)*KFC!$C$5</f>
        <v>53.61</v>
      </c>
      <c r="G17" s="315">
        <f>(AA17*KFC!$B$27+KFC!$C$27)*KFC!$C$5</f>
        <v>57.24</v>
      </c>
      <c r="H17" s="315">
        <f>(AB17*KFC!$B$27+KFC!$C$27)*KFC!$C$5</f>
        <v>60.85</v>
      </c>
      <c r="I17" s="315">
        <f>(AC17*KFC!$B$27+KFC!$C$27)*KFC!$C$5</f>
        <v>64.34</v>
      </c>
      <c r="J17" s="315">
        <f>(AD17*KFC!$B$27+KFC!$C$27)*KFC!$C$5</f>
        <v>68.069999999999993</v>
      </c>
      <c r="K17" s="315">
        <f>(AE17*KFC!$B$27+KFC!$C$27)*KFC!$C$5</f>
        <v>71.58</v>
      </c>
      <c r="L17" s="315">
        <f>(AF17*KFC!$B$27+KFC!$C$27)*KFC!$C$5</f>
        <v>75.31</v>
      </c>
      <c r="M17" s="315">
        <f>(AG17*KFC!$B$27+KFC!$C$27)*KFC!$C$5</f>
        <v>78.8</v>
      </c>
      <c r="N17" s="315">
        <f>(AH17*KFC!$B$27+KFC!$C$27)*KFC!$C$5</f>
        <v>82.53</v>
      </c>
      <c r="O17" s="315">
        <f>(AI17*KFC!$B$27+KFC!$C$27)*KFC!$C$5</f>
        <v>86.27</v>
      </c>
      <c r="P17" s="315">
        <f>(AJ17*KFC!$B$27+KFC!$C$27)*KFC!$C$5</f>
        <v>90.009999999999991</v>
      </c>
      <c r="Q17" s="315">
        <f>(AK17*KFC!$B$27+KFC!$C$27)*KFC!$C$5</f>
        <v>93.749999999999986</v>
      </c>
      <c r="R17" s="315">
        <f>(AL17*KFC!$B$27+KFC!$C$27)*KFC!$C$5</f>
        <v>97.489999999999981</v>
      </c>
      <c r="S17" s="315">
        <f>(AM17*KFC!$B$27+KFC!$C$27)*KFC!$C$5</f>
        <v>101.22999999999998</v>
      </c>
      <c r="T17" s="315">
        <f>(AN17*KFC!$B$27+KFC!$C$27)*KFC!$C$5</f>
        <v>104.96999999999997</v>
      </c>
      <c r="V17" s="851">
        <v>1.5</v>
      </c>
      <c r="W17" s="847">
        <v>42.78</v>
      </c>
      <c r="X17" s="847">
        <v>46.39</v>
      </c>
      <c r="Y17" s="847">
        <v>50</v>
      </c>
      <c r="Z17" s="847">
        <v>53.61</v>
      </c>
      <c r="AA17" s="847">
        <v>57.24</v>
      </c>
      <c r="AB17" s="847">
        <v>60.85</v>
      </c>
      <c r="AC17" s="847">
        <v>64.34</v>
      </c>
      <c r="AD17" s="847">
        <v>68.069999999999993</v>
      </c>
      <c r="AE17" s="847">
        <v>71.58</v>
      </c>
      <c r="AF17" s="847">
        <v>75.31</v>
      </c>
      <c r="AG17" s="847">
        <v>78.8</v>
      </c>
      <c r="AH17" s="847">
        <v>82.53</v>
      </c>
      <c r="AI17" s="848">
        <v>86.27</v>
      </c>
      <c r="AJ17" s="690">
        <f t="shared" si="0"/>
        <v>90.009999999999991</v>
      </c>
      <c r="AK17" s="690">
        <f t="shared" si="1"/>
        <v>93.749999999999986</v>
      </c>
      <c r="AL17" s="690">
        <f t="shared" si="1"/>
        <v>97.489999999999981</v>
      </c>
      <c r="AM17" s="690">
        <f t="shared" si="1"/>
        <v>101.22999999999998</v>
      </c>
      <c r="AN17" s="690">
        <f t="shared" si="1"/>
        <v>104.96999999999997</v>
      </c>
      <c r="AO17" s="690">
        <f t="shared" si="1"/>
        <v>108.70999999999997</v>
      </c>
      <c r="AP17" s="690">
        <f t="shared" si="1"/>
        <v>112.44999999999996</v>
      </c>
    </row>
    <row r="18" spans="1:42" ht="13.2" customHeight="1">
      <c r="A18" s="1816"/>
      <c r="B18" s="849">
        <v>1.6</v>
      </c>
      <c r="C18" s="314">
        <f>(W18*KFC!$B$27+KFC!$C$27)*KFC!$C$5</f>
        <v>44.23</v>
      </c>
      <c r="D18" s="315">
        <f>(X18*KFC!$B$27+KFC!$C$27)*KFC!$C$5</f>
        <v>47.83</v>
      </c>
      <c r="E18" s="315">
        <f>(Y18*KFC!$B$27+KFC!$C$27)*KFC!$C$5</f>
        <v>51.57</v>
      </c>
      <c r="F18" s="315">
        <f>(Z18*KFC!$B$27+KFC!$C$27)*KFC!$C$5</f>
        <v>55.3</v>
      </c>
      <c r="G18" s="315">
        <f>(AA18*KFC!$B$27+KFC!$C$27)*KFC!$C$5</f>
        <v>58.92</v>
      </c>
      <c r="H18" s="315">
        <f>(AB18*KFC!$B$27+KFC!$C$27)*KFC!$C$5</f>
        <v>62.65</v>
      </c>
      <c r="I18" s="315">
        <f>(AC18*KFC!$B$27+KFC!$C$27)*KFC!$C$5</f>
        <v>66.510000000000005</v>
      </c>
      <c r="J18" s="315">
        <f>(AD18*KFC!$B$27+KFC!$C$27)*KFC!$C$5</f>
        <v>70.13</v>
      </c>
      <c r="K18" s="315">
        <f>(AE18*KFC!$B$27+KFC!$C$27)*KFC!$C$5</f>
        <v>73.86</v>
      </c>
      <c r="L18" s="315">
        <f>(AF18*KFC!$B$27+KFC!$C$27)*KFC!$C$5</f>
        <v>77.48</v>
      </c>
      <c r="M18" s="315">
        <f>(AG18*KFC!$B$27+KFC!$C$27)*KFC!$C$5</f>
        <v>81.22</v>
      </c>
      <c r="N18" s="315">
        <f>(AH18*KFC!$B$27+KFC!$C$27)*KFC!$C$5</f>
        <v>84.82</v>
      </c>
      <c r="O18" s="315">
        <f>(AI18*KFC!$B$27+KFC!$C$27)*KFC!$C$5</f>
        <v>88.44</v>
      </c>
      <c r="P18" s="315">
        <f>(AJ18*KFC!$B$27+KFC!$C$27)*KFC!$C$5</f>
        <v>92.06</v>
      </c>
      <c r="Q18" s="315">
        <f>(AK18*KFC!$B$27+KFC!$C$27)*KFC!$C$5</f>
        <v>95.68</v>
      </c>
      <c r="R18" s="315">
        <f>(AL18*KFC!$B$27+KFC!$C$27)*KFC!$C$5</f>
        <v>99.300000000000011</v>
      </c>
      <c r="S18" s="315">
        <f>(AM18*KFC!$B$27+KFC!$C$27)*KFC!$C$5</f>
        <v>102.92000000000002</v>
      </c>
      <c r="T18" s="315">
        <f>(AN18*KFC!$B$27+KFC!$C$27)*KFC!$C$5</f>
        <v>106.54000000000002</v>
      </c>
      <c r="V18" s="851">
        <v>1.6</v>
      </c>
      <c r="W18" s="847">
        <v>44.23</v>
      </c>
      <c r="X18" s="847">
        <v>47.83</v>
      </c>
      <c r="Y18" s="847">
        <v>51.57</v>
      </c>
      <c r="Z18" s="847">
        <v>55.3</v>
      </c>
      <c r="AA18" s="847">
        <v>58.92</v>
      </c>
      <c r="AB18" s="847">
        <v>62.65</v>
      </c>
      <c r="AC18" s="847">
        <v>66.510000000000005</v>
      </c>
      <c r="AD18" s="847">
        <v>70.13</v>
      </c>
      <c r="AE18" s="847">
        <v>73.86</v>
      </c>
      <c r="AF18" s="847">
        <v>77.48</v>
      </c>
      <c r="AG18" s="847">
        <v>81.22</v>
      </c>
      <c r="AH18" s="847">
        <v>84.82</v>
      </c>
      <c r="AI18" s="848">
        <v>88.44</v>
      </c>
      <c r="AJ18" s="690">
        <f t="shared" si="0"/>
        <v>92.06</v>
      </c>
      <c r="AK18" s="690">
        <f t="shared" si="1"/>
        <v>95.68</v>
      </c>
      <c r="AL18" s="690">
        <f t="shared" si="1"/>
        <v>99.300000000000011</v>
      </c>
      <c r="AM18" s="690">
        <f t="shared" si="1"/>
        <v>102.92000000000002</v>
      </c>
      <c r="AN18" s="690">
        <f t="shared" si="1"/>
        <v>106.54000000000002</v>
      </c>
      <c r="AO18" s="690">
        <f t="shared" si="1"/>
        <v>110.16000000000003</v>
      </c>
      <c r="AP18" s="690">
        <f t="shared" si="1"/>
        <v>113.78000000000003</v>
      </c>
    </row>
    <row r="19" spans="1:42" ht="13.2" customHeight="1">
      <c r="A19" s="1816"/>
      <c r="B19" s="849">
        <v>1.7</v>
      </c>
      <c r="C19" s="314">
        <f>(W19*KFC!$B$27+KFC!$C$27)*KFC!$C$5</f>
        <v>45.66</v>
      </c>
      <c r="D19" s="315">
        <f>(X19*KFC!$B$27+KFC!$C$27)*KFC!$C$5</f>
        <v>49.52</v>
      </c>
      <c r="E19" s="315">
        <f>(Y19*KFC!$B$27+KFC!$C$27)*KFC!$C$5</f>
        <v>53.26</v>
      </c>
      <c r="F19" s="315">
        <f>(Z19*KFC!$B$27+KFC!$C$27)*KFC!$C$5</f>
        <v>56.98</v>
      </c>
      <c r="G19" s="315">
        <f>(AA19*KFC!$B$27+KFC!$C$27)*KFC!$C$5</f>
        <v>60.85</v>
      </c>
      <c r="H19" s="315">
        <f>(AB19*KFC!$B$27+KFC!$C$27)*KFC!$C$5</f>
        <v>64.59</v>
      </c>
      <c r="I19" s="315">
        <f>(AC19*KFC!$B$27+KFC!$C$27)*KFC!$C$5</f>
        <v>68.319999999999993</v>
      </c>
      <c r="J19" s="315">
        <f>(AD19*KFC!$B$27+KFC!$C$27)*KFC!$C$5</f>
        <v>72.06</v>
      </c>
      <c r="K19" s="315">
        <f>(AE19*KFC!$B$27+KFC!$C$27)*KFC!$C$5</f>
        <v>75.92</v>
      </c>
      <c r="L19" s="315">
        <f>(AF19*KFC!$B$27+KFC!$C$27)*KFC!$C$5</f>
        <v>79.77</v>
      </c>
      <c r="M19" s="315">
        <f>(AG19*KFC!$B$27+KFC!$C$27)*KFC!$C$5</f>
        <v>83.38</v>
      </c>
      <c r="N19" s="315">
        <f>(AH19*KFC!$B$27+KFC!$C$27)*KFC!$C$5</f>
        <v>87.23</v>
      </c>
      <c r="O19" s="315">
        <f>(AI19*KFC!$B$27+KFC!$C$27)*KFC!$C$5</f>
        <v>91.09</v>
      </c>
      <c r="P19" s="315">
        <f>(AJ19*KFC!$B$27+KFC!$C$27)*KFC!$C$5</f>
        <v>94.95</v>
      </c>
      <c r="Q19" s="315">
        <f>(AK19*KFC!$B$27+KFC!$C$27)*KFC!$C$5</f>
        <v>98.81</v>
      </c>
      <c r="R19" s="315">
        <f>(AL19*KFC!$B$27+KFC!$C$27)*KFC!$C$5</f>
        <v>102.67</v>
      </c>
      <c r="S19" s="315">
        <f>(AM19*KFC!$B$27+KFC!$C$27)*KFC!$C$5</f>
        <v>106.53</v>
      </c>
      <c r="T19" s="315">
        <f>(AN19*KFC!$B$27+KFC!$C$27)*KFC!$C$5</f>
        <v>110.39</v>
      </c>
      <c r="V19" s="851">
        <v>1.7</v>
      </c>
      <c r="W19" s="847">
        <v>45.66</v>
      </c>
      <c r="X19" s="847">
        <v>49.52</v>
      </c>
      <c r="Y19" s="847">
        <v>53.26</v>
      </c>
      <c r="Z19" s="847">
        <v>56.98</v>
      </c>
      <c r="AA19" s="847">
        <v>60.85</v>
      </c>
      <c r="AB19" s="847">
        <v>64.59</v>
      </c>
      <c r="AC19" s="847">
        <v>68.319999999999993</v>
      </c>
      <c r="AD19" s="847">
        <v>72.06</v>
      </c>
      <c r="AE19" s="847">
        <v>75.92</v>
      </c>
      <c r="AF19" s="847">
        <v>79.77</v>
      </c>
      <c r="AG19" s="847">
        <v>83.38</v>
      </c>
      <c r="AH19" s="847">
        <v>87.23</v>
      </c>
      <c r="AI19" s="848">
        <v>91.09</v>
      </c>
      <c r="AJ19" s="690">
        <f t="shared" si="0"/>
        <v>94.95</v>
      </c>
      <c r="AK19" s="690">
        <f t="shared" si="1"/>
        <v>98.81</v>
      </c>
      <c r="AL19" s="690">
        <f t="shared" si="1"/>
        <v>102.67</v>
      </c>
      <c r="AM19" s="690">
        <f t="shared" si="1"/>
        <v>106.53</v>
      </c>
      <c r="AN19" s="690">
        <f t="shared" si="1"/>
        <v>110.39</v>
      </c>
      <c r="AO19" s="690">
        <f t="shared" si="1"/>
        <v>114.25</v>
      </c>
      <c r="AP19" s="690">
        <f t="shared" si="1"/>
        <v>118.11</v>
      </c>
    </row>
    <row r="20" spans="1:42" ht="13.2" customHeight="1">
      <c r="A20" s="1816"/>
      <c r="B20" s="849">
        <v>1.8</v>
      </c>
      <c r="C20" s="314">
        <f>(W20*KFC!$B$27+KFC!$C$27)*KFC!$C$5</f>
        <v>47.11</v>
      </c>
      <c r="D20" s="315">
        <f>(X20*KFC!$B$27+KFC!$C$27)*KFC!$C$5</f>
        <v>50.97</v>
      </c>
      <c r="E20" s="315">
        <f>(Y20*KFC!$B$27+KFC!$C$27)*KFC!$C$5</f>
        <v>54.82</v>
      </c>
      <c r="F20" s="315">
        <f>(Z20*KFC!$B$27+KFC!$C$27)*KFC!$C$5</f>
        <v>58.8</v>
      </c>
      <c r="G20" s="315">
        <f>(AA20*KFC!$B$27+KFC!$C$27)*KFC!$C$5</f>
        <v>62.65</v>
      </c>
      <c r="H20" s="315">
        <f>(AB20*KFC!$B$27+KFC!$C$27)*KFC!$C$5</f>
        <v>66.510000000000005</v>
      </c>
      <c r="I20" s="315">
        <f>(AC20*KFC!$B$27+KFC!$C$27)*KFC!$C$5</f>
        <v>70.25</v>
      </c>
      <c r="J20" s="315">
        <f>(AD20*KFC!$B$27+KFC!$C$27)*KFC!$C$5</f>
        <v>74.099999999999994</v>
      </c>
      <c r="K20" s="315">
        <f>(AE20*KFC!$B$27+KFC!$C$27)*KFC!$C$5</f>
        <v>77.959999999999994</v>
      </c>
      <c r="L20" s="315">
        <f>(AF20*KFC!$B$27+KFC!$C$27)*KFC!$C$5</f>
        <v>81.93</v>
      </c>
      <c r="M20" s="315">
        <f>(AG20*KFC!$B$27+KFC!$C$27)*KFC!$C$5</f>
        <v>85.79</v>
      </c>
      <c r="N20" s="315">
        <f>(AH20*KFC!$B$27+KFC!$C$27)*KFC!$C$5</f>
        <v>89.64</v>
      </c>
      <c r="O20" s="315">
        <f>(AI20*KFC!$B$27+KFC!$C$27)*KFC!$C$5</f>
        <v>93.5</v>
      </c>
      <c r="P20" s="315">
        <f>(AJ20*KFC!$B$27+KFC!$C$27)*KFC!$C$5</f>
        <v>97.36</v>
      </c>
      <c r="Q20" s="315">
        <f>(AK20*KFC!$B$27+KFC!$C$27)*KFC!$C$5</f>
        <v>101.22</v>
      </c>
      <c r="R20" s="315">
        <f>(AL20*KFC!$B$27+KFC!$C$27)*KFC!$C$5</f>
        <v>105.08</v>
      </c>
      <c r="S20" s="315">
        <f>(AM20*KFC!$B$27+KFC!$C$27)*KFC!$C$5</f>
        <v>108.94</v>
      </c>
      <c r="T20" s="315">
        <f>(AN20*KFC!$B$27+KFC!$C$27)*KFC!$C$5</f>
        <v>112.8</v>
      </c>
      <c r="V20" s="851">
        <v>1.8</v>
      </c>
      <c r="W20" s="847">
        <v>47.11</v>
      </c>
      <c r="X20" s="847">
        <v>50.97</v>
      </c>
      <c r="Y20" s="847">
        <v>54.82</v>
      </c>
      <c r="Z20" s="847">
        <v>58.8</v>
      </c>
      <c r="AA20" s="847">
        <v>62.65</v>
      </c>
      <c r="AB20" s="847">
        <v>66.510000000000005</v>
      </c>
      <c r="AC20" s="847">
        <v>70.25</v>
      </c>
      <c r="AD20" s="847">
        <v>74.099999999999994</v>
      </c>
      <c r="AE20" s="847">
        <v>77.959999999999994</v>
      </c>
      <c r="AF20" s="847">
        <v>81.93</v>
      </c>
      <c r="AG20" s="847">
        <v>85.79</v>
      </c>
      <c r="AH20" s="847">
        <v>89.64</v>
      </c>
      <c r="AI20" s="848">
        <v>93.5</v>
      </c>
      <c r="AJ20" s="690">
        <f t="shared" si="0"/>
        <v>97.36</v>
      </c>
      <c r="AK20" s="690">
        <f t="shared" si="1"/>
        <v>101.22</v>
      </c>
      <c r="AL20" s="690">
        <f t="shared" si="1"/>
        <v>105.08</v>
      </c>
      <c r="AM20" s="690">
        <f t="shared" si="1"/>
        <v>108.94</v>
      </c>
      <c r="AN20" s="690">
        <f t="shared" si="1"/>
        <v>112.8</v>
      </c>
      <c r="AO20" s="690">
        <f t="shared" si="1"/>
        <v>116.66</v>
      </c>
      <c r="AP20" s="690">
        <f t="shared" si="1"/>
        <v>120.52</v>
      </c>
    </row>
    <row r="21" spans="1:42" ht="13.2" customHeight="1">
      <c r="A21" s="1816"/>
      <c r="B21" s="849">
        <v>1.9</v>
      </c>
      <c r="C21" s="314">
        <f>(W21*KFC!$B$27+KFC!$C$27)*KFC!$C$5</f>
        <v>48.68</v>
      </c>
      <c r="D21" s="315">
        <f>(X21*KFC!$B$27+KFC!$C$27)*KFC!$C$5</f>
        <v>52.65</v>
      </c>
      <c r="E21" s="315">
        <f>(Y21*KFC!$B$27+KFC!$C$27)*KFC!$C$5</f>
        <v>56.39</v>
      </c>
      <c r="F21" s="315">
        <f>(Z21*KFC!$B$27+KFC!$C$27)*KFC!$C$5</f>
        <v>60.36</v>
      </c>
      <c r="G21" s="315">
        <f>(AA21*KFC!$B$27+KFC!$C$27)*KFC!$C$5</f>
        <v>64.34</v>
      </c>
      <c r="H21" s="315">
        <f>(AB21*KFC!$B$27+KFC!$C$27)*KFC!$C$5</f>
        <v>68.319999999999993</v>
      </c>
      <c r="I21" s="315">
        <f>(AC21*KFC!$B$27+KFC!$C$27)*KFC!$C$5</f>
        <v>72.180000000000007</v>
      </c>
      <c r="J21" s="315">
        <f>(AD21*KFC!$B$27+KFC!$C$27)*KFC!$C$5</f>
        <v>76.150000000000006</v>
      </c>
      <c r="K21" s="315">
        <f>(AE21*KFC!$B$27+KFC!$C$27)*KFC!$C$5</f>
        <v>80.13</v>
      </c>
      <c r="L21" s="315">
        <f>(AF21*KFC!$B$27+KFC!$C$27)*KFC!$C$5</f>
        <v>84.11</v>
      </c>
      <c r="M21" s="315">
        <f>(AG21*KFC!$B$27+KFC!$C$27)*KFC!$C$5</f>
        <v>87.96</v>
      </c>
      <c r="N21" s="315">
        <f>(AH21*KFC!$B$27+KFC!$C$27)*KFC!$C$5</f>
        <v>91.94</v>
      </c>
      <c r="O21" s="315">
        <f>(AI21*KFC!$B$27+KFC!$C$27)*KFC!$C$5</f>
        <v>95.91</v>
      </c>
      <c r="P21" s="315">
        <f>(AJ21*KFC!$B$27+KFC!$C$27)*KFC!$C$5</f>
        <v>99.88</v>
      </c>
      <c r="Q21" s="315">
        <f>(AK21*KFC!$B$27+KFC!$C$27)*KFC!$C$5</f>
        <v>103.85</v>
      </c>
      <c r="R21" s="315">
        <f>(AL21*KFC!$B$27+KFC!$C$27)*KFC!$C$5</f>
        <v>107.82</v>
      </c>
      <c r="S21" s="315">
        <f>(AM21*KFC!$B$27+KFC!$C$27)*KFC!$C$5</f>
        <v>111.78999999999999</v>
      </c>
      <c r="T21" s="315">
        <f>(AN21*KFC!$B$27+KFC!$C$27)*KFC!$C$5</f>
        <v>115.75999999999999</v>
      </c>
      <c r="V21" s="851">
        <v>1.9</v>
      </c>
      <c r="W21" s="847">
        <v>48.68</v>
      </c>
      <c r="X21" s="847">
        <v>52.65</v>
      </c>
      <c r="Y21" s="847">
        <v>56.39</v>
      </c>
      <c r="Z21" s="847">
        <v>60.36</v>
      </c>
      <c r="AA21" s="847">
        <v>64.34</v>
      </c>
      <c r="AB21" s="847">
        <v>68.319999999999993</v>
      </c>
      <c r="AC21" s="847">
        <v>72.180000000000007</v>
      </c>
      <c r="AD21" s="847">
        <v>76.150000000000006</v>
      </c>
      <c r="AE21" s="847">
        <v>80.13</v>
      </c>
      <c r="AF21" s="847">
        <v>84.11</v>
      </c>
      <c r="AG21" s="847">
        <v>87.96</v>
      </c>
      <c r="AH21" s="847">
        <v>91.94</v>
      </c>
      <c r="AI21" s="848">
        <v>95.91</v>
      </c>
      <c r="AJ21" s="690">
        <f t="shared" si="0"/>
        <v>99.88</v>
      </c>
      <c r="AK21" s="690">
        <f t="shared" si="1"/>
        <v>103.85</v>
      </c>
      <c r="AL21" s="690">
        <f t="shared" si="1"/>
        <v>107.82</v>
      </c>
      <c r="AM21" s="690">
        <f t="shared" si="1"/>
        <v>111.78999999999999</v>
      </c>
      <c r="AN21" s="690">
        <f t="shared" si="1"/>
        <v>115.75999999999999</v>
      </c>
      <c r="AO21" s="690">
        <f t="shared" si="1"/>
        <v>119.72999999999999</v>
      </c>
      <c r="AP21" s="690">
        <f t="shared" si="1"/>
        <v>123.69999999999999</v>
      </c>
    </row>
    <row r="22" spans="1:42" ht="13.2" customHeight="1">
      <c r="A22" s="1816"/>
      <c r="B22" s="849">
        <v>2</v>
      </c>
      <c r="C22" s="314">
        <f>(W22*KFC!$B$27+KFC!$C$27)*KFC!$C$5</f>
        <v>50.13</v>
      </c>
      <c r="D22" s="315">
        <f>(X22*KFC!$B$27+KFC!$C$27)*KFC!$C$5</f>
        <v>54.1</v>
      </c>
      <c r="E22" s="315">
        <f>(Y22*KFC!$B$27+KFC!$C$27)*KFC!$C$5</f>
        <v>58.2</v>
      </c>
      <c r="F22" s="315">
        <f>(Z22*KFC!$B$27+KFC!$C$27)*KFC!$C$5</f>
        <v>62.17</v>
      </c>
      <c r="G22" s="315">
        <f>(AA22*KFC!$B$27+KFC!$C$27)*KFC!$C$5</f>
        <v>66.150000000000006</v>
      </c>
      <c r="H22" s="315">
        <f>(AB22*KFC!$B$27+KFC!$C$27)*KFC!$C$5</f>
        <v>70.13</v>
      </c>
      <c r="I22" s="315">
        <f>(AC22*KFC!$B$27+KFC!$C$27)*KFC!$C$5</f>
        <v>74.22</v>
      </c>
      <c r="J22" s="315">
        <f>(AD22*KFC!$B$27+KFC!$C$27)*KFC!$C$5</f>
        <v>78.19</v>
      </c>
      <c r="K22" s="315">
        <f>(AE22*KFC!$B$27+KFC!$C$27)*KFC!$C$5</f>
        <v>82.17</v>
      </c>
      <c r="L22" s="315">
        <f>(AF22*KFC!$B$27+KFC!$C$27)*KFC!$C$5</f>
        <v>86.15</v>
      </c>
      <c r="M22" s="315">
        <f>(AG22*KFC!$B$27+KFC!$C$27)*KFC!$C$5</f>
        <v>90.37</v>
      </c>
      <c r="N22" s="315">
        <f>(AH22*KFC!$B$27+KFC!$C$27)*KFC!$C$5</f>
        <v>94.34</v>
      </c>
      <c r="O22" s="315">
        <f>(AI22*KFC!$B$27+KFC!$C$27)*KFC!$C$5</f>
        <v>98.32</v>
      </c>
      <c r="P22" s="315">
        <f>(AJ22*KFC!$B$27+KFC!$C$27)*KFC!$C$5</f>
        <v>102.29999999999998</v>
      </c>
      <c r="Q22" s="315">
        <f>(AK22*KFC!$B$27+KFC!$C$27)*KFC!$C$5</f>
        <v>106.27999999999997</v>
      </c>
      <c r="R22" s="315">
        <f>(AL22*KFC!$B$27+KFC!$C$27)*KFC!$C$5</f>
        <v>110.25999999999996</v>
      </c>
      <c r="S22" s="315">
        <f>(AM22*KFC!$B$27+KFC!$C$27)*KFC!$C$5</f>
        <v>114.23999999999995</v>
      </c>
      <c r="T22" s="315">
        <f>(AN22*KFC!$B$27+KFC!$C$27)*KFC!$C$5</f>
        <v>118.21999999999994</v>
      </c>
      <c r="V22" s="851">
        <v>2</v>
      </c>
      <c r="W22" s="847">
        <v>50.13</v>
      </c>
      <c r="X22" s="847">
        <v>54.1</v>
      </c>
      <c r="Y22" s="847">
        <v>58.2</v>
      </c>
      <c r="Z22" s="847">
        <v>62.17</v>
      </c>
      <c r="AA22" s="847">
        <v>66.150000000000006</v>
      </c>
      <c r="AB22" s="847">
        <v>70.13</v>
      </c>
      <c r="AC22" s="847">
        <v>74.22</v>
      </c>
      <c r="AD22" s="847">
        <v>78.19</v>
      </c>
      <c r="AE22" s="847">
        <v>82.17</v>
      </c>
      <c r="AF22" s="847">
        <v>86.15</v>
      </c>
      <c r="AG22" s="847">
        <v>90.37</v>
      </c>
      <c r="AH22" s="847">
        <v>94.34</v>
      </c>
      <c r="AI22" s="848">
        <v>98.32</v>
      </c>
      <c r="AJ22" s="690">
        <f t="shared" si="0"/>
        <v>102.29999999999998</v>
      </c>
      <c r="AK22" s="690">
        <f t="shared" si="1"/>
        <v>106.27999999999997</v>
      </c>
      <c r="AL22" s="690">
        <f t="shared" si="1"/>
        <v>110.25999999999996</v>
      </c>
      <c r="AM22" s="690">
        <f t="shared" si="1"/>
        <v>114.23999999999995</v>
      </c>
      <c r="AN22" s="690">
        <f t="shared" si="1"/>
        <v>118.21999999999994</v>
      </c>
      <c r="AO22" s="690">
        <f t="shared" si="1"/>
        <v>122.19999999999993</v>
      </c>
      <c r="AP22" s="690">
        <f t="shared" si="1"/>
        <v>126.17999999999992</v>
      </c>
    </row>
    <row r="23" spans="1:42">
      <c r="A23" s="1816"/>
      <c r="B23" s="849">
        <v>2.1</v>
      </c>
      <c r="C23" s="314">
        <f>(W23*KFC!$B$27+KFC!$C$27)*KFC!$C$5</f>
        <v>51.57</v>
      </c>
      <c r="D23" s="315">
        <f>(X23*KFC!$B$27+KFC!$C$27)*KFC!$C$5</f>
        <v>55.55</v>
      </c>
      <c r="E23" s="315">
        <f>(Y23*KFC!$B$27+KFC!$C$27)*KFC!$C$5</f>
        <v>60.01</v>
      </c>
      <c r="F23" s="315">
        <f>(Z23*KFC!$B$27+KFC!$C$27)*KFC!$C$5</f>
        <v>63.98</v>
      </c>
      <c r="G23" s="315">
        <f>(AA23*KFC!$B$27+KFC!$C$27)*KFC!$C$5</f>
        <v>67.959999999999994</v>
      </c>
      <c r="H23" s="315">
        <f>(AB23*KFC!$B$27+KFC!$C$27)*KFC!$C$5</f>
        <v>71.930000000000007</v>
      </c>
      <c r="I23" s="315">
        <f>(AC23*KFC!$B$27+KFC!$C$27)*KFC!$C$5</f>
        <v>76.260000000000005</v>
      </c>
      <c r="J23" s="315">
        <f>(AD23*KFC!$B$27+KFC!$C$27)*KFC!$C$5</f>
        <v>80.25</v>
      </c>
      <c r="K23" s="315">
        <f>(AE23*KFC!$B$27+KFC!$C$27)*KFC!$C$5</f>
        <v>84.22</v>
      </c>
      <c r="L23" s="315">
        <f>(AF23*KFC!$B$27+KFC!$C$27)*KFC!$C$5</f>
        <v>88.2</v>
      </c>
      <c r="M23" s="315">
        <f>(AG23*KFC!$B$27+KFC!$C$27)*KFC!$C$5</f>
        <v>92.78</v>
      </c>
      <c r="N23" s="315">
        <f>(AH23*KFC!$B$27+KFC!$C$27)*KFC!$C$5</f>
        <v>96.76</v>
      </c>
      <c r="O23" s="315">
        <f>(AI23*KFC!$B$27+KFC!$C$27)*KFC!$C$5</f>
        <v>100.73</v>
      </c>
      <c r="P23" s="315">
        <f>(AJ23*KFC!$B$27+KFC!$C$27)*KFC!$C$5</f>
        <v>104.7</v>
      </c>
      <c r="Q23" s="315">
        <f>(AK23*KFC!$B$27+KFC!$C$27)*KFC!$C$5</f>
        <v>108.67</v>
      </c>
      <c r="R23" s="315">
        <f>(AL23*KFC!$B$27+KFC!$C$27)*KFC!$C$5</f>
        <v>112.64</v>
      </c>
      <c r="S23" s="315">
        <f>(AM23*KFC!$B$27+KFC!$C$27)*KFC!$C$5</f>
        <v>116.61</v>
      </c>
      <c r="T23" s="315">
        <f>(AN23*KFC!$B$27+KFC!$C$27)*KFC!$C$5</f>
        <v>120.58</v>
      </c>
      <c r="V23" s="851">
        <v>2.1</v>
      </c>
      <c r="W23" s="847">
        <v>51.57</v>
      </c>
      <c r="X23" s="847">
        <v>55.55</v>
      </c>
      <c r="Y23" s="847">
        <v>60.01</v>
      </c>
      <c r="Z23" s="847">
        <v>63.98</v>
      </c>
      <c r="AA23" s="847">
        <v>67.959999999999994</v>
      </c>
      <c r="AB23" s="847">
        <v>71.930000000000007</v>
      </c>
      <c r="AC23" s="847">
        <v>76.260000000000005</v>
      </c>
      <c r="AD23" s="847">
        <v>80.25</v>
      </c>
      <c r="AE23" s="847">
        <v>84.22</v>
      </c>
      <c r="AF23" s="847">
        <v>88.2</v>
      </c>
      <c r="AG23" s="847">
        <v>92.78</v>
      </c>
      <c r="AH23" s="847">
        <v>96.76</v>
      </c>
      <c r="AI23" s="848">
        <v>100.73</v>
      </c>
      <c r="AJ23" s="690">
        <f t="shared" si="0"/>
        <v>104.7</v>
      </c>
      <c r="AK23" s="690">
        <f t="shared" ref="AK23:AP23" si="2">AJ23-AI23+AJ23</f>
        <v>108.67</v>
      </c>
      <c r="AL23" s="690">
        <f t="shared" si="2"/>
        <v>112.64</v>
      </c>
      <c r="AM23" s="690">
        <f t="shared" si="2"/>
        <v>116.61</v>
      </c>
      <c r="AN23" s="690">
        <f t="shared" si="2"/>
        <v>120.58</v>
      </c>
      <c r="AO23" s="690">
        <f t="shared" si="2"/>
        <v>124.55</v>
      </c>
      <c r="AP23" s="690">
        <f t="shared" si="2"/>
        <v>128.51999999999998</v>
      </c>
    </row>
    <row r="24" spans="1:42" ht="13.8" thickBot="1">
      <c r="A24" s="1817"/>
      <c r="B24" s="849">
        <v>2.2000000000000002</v>
      </c>
      <c r="C24" s="317">
        <f>(W24*KFC!$B$27+KFC!$C$27)*KFC!$C$5</f>
        <v>53.01</v>
      </c>
      <c r="D24" s="318">
        <f>(X24*KFC!$B$27+KFC!$C$27)*KFC!$C$5</f>
        <v>56.98</v>
      </c>
      <c r="E24" s="318">
        <f>(Y24*KFC!$B$27+KFC!$C$27)*KFC!$C$5</f>
        <v>61.8</v>
      </c>
      <c r="F24" s="318">
        <f>(Z24*KFC!$B$27+KFC!$C$27)*KFC!$C$5</f>
        <v>65.790000000000006</v>
      </c>
      <c r="G24" s="318">
        <f>(AA24*KFC!$B$27+KFC!$C$27)*KFC!$C$5</f>
        <v>69.760000000000005</v>
      </c>
      <c r="H24" s="318">
        <f>(AB24*KFC!$B$27+KFC!$C$27)*KFC!$C$5</f>
        <v>73.739999999999995</v>
      </c>
      <c r="I24" s="318">
        <f>(AC24*KFC!$B$27+KFC!$C$27)*KFC!$C$5</f>
        <v>78.319999999999993</v>
      </c>
      <c r="J24" s="318">
        <f>(AD24*KFC!$B$27+KFC!$C$27)*KFC!$C$5</f>
        <v>82.3</v>
      </c>
      <c r="K24" s="318">
        <f>(AE24*KFC!$B$27+KFC!$C$27)*KFC!$C$5</f>
        <v>86.27</v>
      </c>
      <c r="L24" s="318">
        <f>(AF24*KFC!$B$27+KFC!$C$27)*KFC!$C$5</f>
        <v>90.25</v>
      </c>
      <c r="M24" s="318">
        <f>(AG24*KFC!$B$27+KFC!$C$27)*KFC!$C$5</f>
        <v>95.19</v>
      </c>
      <c r="N24" s="318">
        <f>(AH24*KFC!$B$27+KFC!$C$27)*KFC!$C$5</f>
        <v>99.16</v>
      </c>
      <c r="O24" s="318">
        <f>(AI24*KFC!$B$27+KFC!$C$27)*KFC!$C$5</f>
        <v>103.14</v>
      </c>
      <c r="P24" s="318">
        <f>(AJ24*KFC!$B$27+KFC!$C$27)*KFC!$C$5</f>
        <v>107.12</v>
      </c>
      <c r="Q24" s="318">
        <f>(AK24*KFC!$B$27+KFC!$C$27)*KFC!$C$5</f>
        <v>111.10000000000001</v>
      </c>
      <c r="R24" s="318">
        <f>(AL24*KFC!$B$27+KFC!$C$27)*KFC!$C$5</f>
        <v>115.08000000000001</v>
      </c>
      <c r="S24" s="318">
        <f>(AM24*KFC!$B$27+KFC!$C$27)*KFC!$C$5</f>
        <v>119.06000000000002</v>
      </c>
      <c r="T24" s="318">
        <f>(AN24*KFC!$B$27+KFC!$C$27)*KFC!$C$5</f>
        <v>123.04000000000002</v>
      </c>
      <c r="V24" s="851">
        <v>2.2000000000000002</v>
      </c>
      <c r="W24" s="847">
        <v>53.01</v>
      </c>
      <c r="X24" s="847">
        <v>56.98</v>
      </c>
      <c r="Y24" s="847">
        <v>61.8</v>
      </c>
      <c r="Z24" s="847">
        <v>65.790000000000006</v>
      </c>
      <c r="AA24" s="847">
        <v>69.760000000000005</v>
      </c>
      <c r="AB24" s="847">
        <v>73.739999999999995</v>
      </c>
      <c r="AC24" s="847">
        <v>78.319999999999993</v>
      </c>
      <c r="AD24" s="847">
        <v>82.3</v>
      </c>
      <c r="AE24" s="847">
        <v>86.27</v>
      </c>
      <c r="AF24" s="847">
        <v>90.25</v>
      </c>
      <c r="AG24" s="847">
        <v>95.19</v>
      </c>
      <c r="AH24" s="847">
        <v>99.16</v>
      </c>
      <c r="AI24" s="848">
        <v>103.14</v>
      </c>
      <c r="AJ24" s="690">
        <f t="shared" ref="AJ24:AP24" si="3">AI24-AH24+AI24</f>
        <v>107.12</v>
      </c>
      <c r="AK24" s="690">
        <f t="shared" si="3"/>
        <v>111.10000000000001</v>
      </c>
      <c r="AL24" s="690">
        <f t="shared" si="3"/>
        <v>115.08000000000001</v>
      </c>
      <c r="AM24" s="690">
        <f t="shared" si="3"/>
        <v>119.06000000000002</v>
      </c>
      <c r="AN24" s="690">
        <f t="shared" si="3"/>
        <v>123.04000000000002</v>
      </c>
      <c r="AO24" s="690">
        <f t="shared" si="3"/>
        <v>127.02000000000002</v>
      </c>
      <c r="AP24" s="690">
        <f t="shared" si="3"/>
        <v>131.00000000000003</v>
      </c>
    </row>
    <row r="25" spans="1:42" ht="20.25" customHeight="1" thickBot="1">
      <c r="A25" s="249"/>
      <c r="B25" s="249"/>
      <c r="C25" s="249"/>
      <c r="D25" s="249"/>
      <c r="E25" s="249"/>
      <c r="F25" s="249"/>
      <c r="G25" s="249"/>
      <c r="H25" s="249"/>
      <c r="I25" s="249"/>
      <c r="J25" s="249"/>
      <c r="K25" s="249"/>
      <c r="L25" s="249"/>
    </row>
    <row r="26" spans="1:42" ht="13.95" customHeight="1" thickBot="1">
      <c r="A26" s="1413" t="s">
        <v>314</v>
      </c>
      <c r="B26" s="1415"/>
      <c r="C26" s="1534" t="s">
        <v>207</v>
      </c>
      <c r="D26" s="1535"/>
      <c r="E26" s="1535"/>
      <c r="F26" s="1535"/>
      <c r="G26" s="1535"/>
      <c r="H26" s="1535"/>
      <c r="I26" s="1535"/>
      <c r="J26" s="1535"/>
      <c r="K26" s="1535"/>
      <c r="L26" s="1535"/>
      <c r="M26" s="1535"/>
      <c r="N26" s="1535"/>
      <c r="O26" s="1535"/>
      <c r="P26" s="1535"/>
      <c r="Q26" s="1535"/>
      <c r="R26" s="1535"/>
      <c r="S26" s="1535"/>
      <c r="T26" s="1535"/>
    </row>
    <row r="27" spans="1:42" ht="13.8" thickBot="1">
      <c r="A27" s="1803"/>
      <c r="B27" s="1802"/>
      <c r="C27" s="428">
        <v>0.4</v>
      </c>
      <c r="D27" s="428">
        <v>0.5</v>
      </c>
      <c r="E27" s="428">
        <v>0.6</v>
      </c>
      <c r="F27" s="428">
        <v>0.7</v>
      </c>
      <c r="G27" s="428">
        <v>0.8</v>
      </c>
      <c r="H27" s="428">
        <v>0.9</v>
      </c>
      <c r="I27" s="428">
        <v>1</v>
      </c>
      <c r="J27" s="428">
        <v>1.1000000000000001</v>
      </c>
      <c r="K27" s="428">
        <v>1.2</v>
      </c>
      <c r="L27" s="428">
        <v>1.3</v>
      </c>
      <c r="M27" s="428">
        <v>1.4</v>
      </c>
      <c r="N27" s="428">
        <v>1.5</v>
      </c>
      <c r="O27" s="428">
        <v>1.6</v>
      </c>
      <c r="P27" s="428">
        <v>1.7</v>
      </c>
      <c r="Q27" s="428">
        <v>1.8</v>
      </c>
      <c r="R27" s="428">
        <v>1.9</v>
      </c>
      <c r="S27" s="428">
        <v>2</v>
      </c>
      <c r="T27" s="428">
        <v>2.1</v>
      </c>
      <c r="V27" s="850"/>
      <c r="W27" s="851">
        <v>0.4</v>
      </c>
      <c r="X27" s="851">
        <v>0.5</v>
      </c>
      <c r="Y27" s="851">
        <v>0.6</v>
      </c>
      <c r="Z27" s="851">
        <v>0.7</v>
      </c>
      <c r="AA27" s="851">
        <v>0.8</v>
      </c>
      <c r="AB27" s="851">
        <v>0.9</v>
      </c>
      <c r="AC27" s="851">
        <v>1</v>
      </c>
      <c r="AD27" s="851">
        <v>1.1000000000000001</v>
      </c>
      <c r="AE27" s="851">
        <v>1.2</v>
      </c>
      <c r="AF27" s="851">
        <v>1.3</v>
      </c>
      <c r="AG27" s="851">
        <v>1.4</v>
      </c>
      <c r="AH27" s="851">
        <v>1.5</v>
      </c>
      <c r="AI27" s="852">
        <v>1.6</v>
      </c>
      <c r="AJ27" s="853">
        <v>1.7</v>
      </c>
      <c r="AK27" s="853">
        <v>1.8</v>
      </c>
      <c r="AL27" s="853">
        <v>1.9</v>
      </c>
      <c r="AM27" s="853">
        <v>2</v>
      </c>
      <c r="AN27" s="853">
        <v>2.1</v>
      </c>
      <c r="AO27" s="853">
        <v>2.2000000000000002</v>
      </c>
      <c r="AP27" s="853">
        <v>2.2999999999999998</v>
      </c>
    </row>
    <row r="28" spans="1:42" ht="13.2" customHeight="1">
      <c r="A28" s="1815" t="s">
        <v>3</v>
      </c>
      <c r="B28" s="849">
        <v>0.5</v>
      </c>
      <c r="C28" s="855">
        <f>(W28*KFC!$B$27+KFC!$C$27)*KFC!$C$5</f>
        <v>31.06</v>
      </c>
      <c r="D28" s="855">
        <f>(X28*KFC!$B$27+KFC!$C$27)*KFC!$C$5</f>
        <v>34.270000000000003</v>
      </c>
      <c r="E28" s="855">
        <f>(Y28*KFC!$B$27+KFC!$C$27)*KFC!$C$5</f>
        <v>37.36</v>
      </c>
      <c r="F28" s="855">
        <f>(Z28*KFC!$B$27+KFC!$C$27)*KFC!$C$5</f>
        <v>40.43</v>
      </c>
      <c r="G28" s="855">
        <f>(AA28*KFC!$B$27+KFC!$C$27)*KFC!$C$5</f>
        <v>43.51</v>
      </c>
      <c r="H28" s="855">
        <f>(AB28*KFC!$B$27+KFC!$C$27)*KFC!$C$5</f>
        <v>46.73</v>
      </c>
      <c r="I28" s="855">
        <f>(AC28*KFC!$B$27+KFC!$C$27)*KFC!$C$5</f>
        <v>49.94</v>
      </c>
      <c r="J28" s="855">
        <f>(AD28*KFC!$B$27+KFC!$C$27)*KFC!$C$5</f>
        <v>53.01</v>
      </c>
      <c r="K28" s="855">
        <f>(AE28*KFC!$B$27+KFC!$C$27)*KFC!$C$5</f>
        <v>56.1</v>
      </c>
      <c r="L28" s="855">
        <f>(AF28*KFC!$B$27+KFC!$C$27)*KFC!$C$5</f>
        <v>59.31</v>
      </c>
      <c r="M28" s="855">
        <f>(AG28*KFC!$B$27+KFC!$C$27)*KFC!$C$5</f>
        <v>62.38</v>
      </c>
      <c r="N28" s="855">
        <f>(AH28*KFC!$B$27+KFC!$C$27)*KFC!$C$5</f>
        <v>65.47</v>
      </c>
      <c r="O28" s="855">
        <f>(AI28*KFC!$B$27+KFC!$C$27)*KFC!$C$5</f>
        <v>68.540000000000006</v>
      </c>
      <c r="P28" s="855">
        <f>(AJ28*KFC!$B$27+KFC!$C$27)*KFC!$C$5</f>
        <v>71.610000000000014</v>
      </c>
      <c r="Q28" s="855">
        <f>(AK28*KFC!$B$27+KFC!$C$27)*KFC!$C$5</f>
        <v>74.680000000000021</v>
      </c>
      <c r="R28" s="855">
        <f>(AL28*KFC!$B$27+KFC!$C$27)*KFC!$C$5</f>
        <v>77.750000000000028</v>
      </c>
      <c r="S28" s="855">
        <f>(AM28*KFC!$B$27+KFC!$C$27)*KFC!$C$5</f>
        <v>80.820000000000036</v>
      </c>
      <c r="T28" s="855">
        <f>(AN28*KFC!$B$27+KFC!$C$27)*KFC!$C$5</f>
        <v>83.890000000000043</v>
      </c>
      <c r="V28" s="851">
        <v>0.5</v>
      </c>
      <c r="W28" s="847">
        <v>31.06</v>
      </c>
      <c r="X28" s="847">
        <v>34.270000000000003</v>
      </c>
      <c r="Y28" s="847">
        <v>37.36</v>
      </c>
      <c r="Z28" s="847">
        <v>40.43</v>
      </c>
      <c r="AA28" s="847">
        <v>43.51</v>
      </c>
      <c r="AB28" s="847">
        <v>46.73</v>
      </c>
      <c r="AC28" s="847">
        <v>49.94</v>
      </c>
      <c r="AD28" s="847">
        <v>53.01</v>
      </c>
      <c r="AE28" s="847">
        <v>56.1</v>
      </c>
      <c r="AF28" s="847">
        <v>59.31</v>
      </c>
      <c r="AG28" s="847">
        <v>62.38</v>
      </c>
      <c r="AH28" s="847">
        <v>65.47</v>
      </c>
      <c r="AI28" s="848">
        <v>68.540000000000006</v>
      </c>
      <c r="AJ28" s="690">
        <f t="shared" ref="AJ28:AJ44" si="4">AI28-AH28+AI28</f>
        <v>71.610000000000014</v>
      </c>
      <c r="AK28" s="690">
        <f t="shared" ref="AK28:AP43" si="5">AJ28-AI28+AJ28</f>
        <v>74.680000000000021</v>
      </c>
      <c r="AL28" s="690">
        <f t="shared" si="5"/>
        <v>77.750000000000028</v>
      </c>
      <c r="AM28" s="690">
        <f t="shared" si="5"/>
        <v>80.820000000000036</v>
      </c>
      <c r="AN28" s="690">
        <f t="shared" si="5"/>
        <v>83.890000000000043</v>
      </c>
      <c r="AO28" s="690">
        <f t="shared" si="5"/>
        <v>86.960000000000051</v>
      </c>
      <c r="AP28" s="690">
        <f t="shared" si="5"/>
        <v>90.030000000000058</v>
      </c>
    </row>
    <row r="29" spans="1:42">
      <c r="A29" s="1816"/>
      <c r="B29" s="849">
        <v>0.6</v>
      </c>
      <c r="C29" s="855">
        <f>(W29*KFC!$B$27+KFC!$C$27)*KFC!$C$5</f>
        <v>32.799999999999997</v>
      </c>
      <c r="D29" s="855">
        <f>(X29*KFC!$B$27+KFC!$C$27)*KFC!$C$5</f>
        <v>36.020000000000003</v>
      </c>
      <c r="E29" s="855">
        <f>(Y29*KFC!$B$27+KFC!$C$27)*KFC!$C$5</f>
        <v>39.090000000000003</v>
      </c>
      <c r="F29" s="855">
        <f>(Z29*KFC!$B$27+KFC!$C$27)*KFC!$C$5</f>
        <v>42.43</v>
      </c>
      <c r="G29" s="855">
        <f>(AA29*KFC!$B$27+KFC!$C$27)*KFC!$C$5</f>
        <v>45.65</v>
      </c>
      <c r="H29" s="855">
        <f>(AB29*KFC!$B$27+KFC!$C$27)*KFC!$C$5</f>
        <v>48.73</v>
      </c>
      <c r="I29" s="855">
        <f>(AC29*KFC!$B$27+KFC!$C$27)*KFC!$C$5</f>
        <v>52.08</v>
      </c>
      <c r="J29" s="855">
        <f>(AD29*KFC!$B$27+KFC!$C$27)*KFC!$C$5</f>
        <v>55.16</v>
      </c>
      <c r="K29" s="855">
        <f>(AE29*KFC!$B$27+KFC!$C$27)*KFC!$C$5</f>
        <v>58.5</v>
      </c>
      <c r="L29" s="855">
        <f>(AF29*KFC!$B$27+KFC!$C$27)*KFC!$C$5</f>
        <v>61.72</v>
      </c>
      <c r="M29" s="855">
        <f>(AG29*KFC!$B$27+KFC!$C$27)*KFC!$C$5</f>
        <v>64.8</v>
      </c>
      <c r="N29" s="855">
        <f>(AH29*KFC!$B$27+KFC!$C$27)*KFC!$C$5</f>
        <v>68.150000000000006</v>
      </c>
      <c r="O29" s="855">
        <f>(AI29*KFC!$B$27+KFC!$C$27)*KFC!$C$5</f>
        <v>71.489999999999995</v>
      </c>
      <c r="P29" s="855">
        <f>(AJ29*KFC!$B$27+KFC!$C$27)*KFC!$C$5</f>
        <v>74.829999999999984</v>
      </c>
      <c r="Q29" s="855">
        <f>(AK29*KFC!$B$27+KFC!$C$27)*KFC!$C$5</f>
        <v>78.169999999999973</v>
      </c>
      <c r="R29" s="855">
        <f>(AL29*KFC!$B$27+KFC!$C$27)*KFC!$C$5</f>
        <v>81.509999999999962</v>
      </c>
      <c r="S29" s="855">
        <f>(AM29*KFC!$B$27+KFC!$C$27)*KFC!$C$5</f>
        <v>84.849999999999952</v>
      </c>
      <c r="T29" s="855">
        <f>(AN29*KFC!$B$27+KFC!$C$27)*KFC!$C$5</f>
        <v>88.189999999999941</v>
      </c>
      <c r="V29" s="851">
        <v>0.6</v>
      </c>
      <c r="W29" s="847">
        <v>32.799999999999997</v>
      </c>
      <c r="X29" s="847">
        <v>36.020000000000003</v>
      </c>
      <c r="Y29" s="847">
        <v>39.090000000000003</v>
      </c>
      <c r="Z29" s="847">
        <v>42.43</v>
      </c>
      <c r="AA29" s="847">
        <v>45.65</v>
      </c>
      <c r="AB29" s="847">
        <v>48.73</v>
      </c>
      <c r="AC29" s="847">
        <v>52.08</v>
      </c>
      <c r="AD29" s="847">
        <v>55.16</v>
      </c>
      <c r="AE29" s="847">
        <v>58.5</v>
      </c>
      <c r="AF29" s="847">
        <v>61.72</v>
      </c>
      <c r="AG29" s="847">
        <v>64.8</v>
      </c>
      <c r="AH29" s="847">
        <v>68.150000000000006</v>
      </c>
      <c r="AI29" s="848">
        <v>71.489999999999995</v>
      </c>
      <c r="AJ29" s="690">
        <f t="shared" si="4"/>
        <v>74.829999999999984</v>
      </c>
      <c r="AK29" s="690">
        <f t="shared" si="5"/>
        <v>78.169999999999973</v>
      </c>
      <c r="AL29" s="690">
        <f t="shared" si="5"/>
        <v>81.509999999999962</v>
      </c>
      <c r="AM29" s="690">
        <f t="shared" si="5"/>
        <v>84.849999999999952</v>
      </c>
      <c r="AN29" s="690">
        <f t="shared" si="5"/>
        <v>88.189999999999941</v>
      </c>
      <c r="AO29" s="690">
        <f t="shared" si="5"/>
        <v>91.52999999999993</v>
      </c>
      <c r="AP29" s="690">
        <f t="shared" si="5"/>
        <v>94.869999999999919</v>
      </c>
    </row>
    <row r="30" spans="1:42">
      <c r="A30" s="1816"/>
      <c r="B30" s="849">
        <v>0.7</v>
      </c>
      <c r="C30" s="855">
        <f>(W30*KFC!$B$27+KFC!$C$27)*KFC!$C$5</f>
        <v>34.4</v>
      </c>
      <c r="D30" s="855">
        <f>(X30*KFC!$B$27+KFC!$C$27)*KFC!$C$5</f>
        <v>37.619999999999997</v>
      </c>
      <c r="E30" s="855">
        <f>(Y30*KFC!$B$27+KFC!$C$27)*KFC!$C$5</f>
        <v>40.96</v>
      </c>
      <c r="F30" s="855">
        <f>(Z30*KFC!$B$27+KFC!$C$27)*KFC!$C$5</f>
        <v>44.31</v>
      </c>
      <c r="G30" s="855">
        <f>(AA30*KFC!$B$27+KFC!$C$27)*KFC!$C$5</f>
        <v>47.66</v>
      </c>
      <c r="H30" s="855">
        <f>(AB30*KFC!$B$27+KFC!$C$27)*KFC!$C$5</f>
        <v>50.87</v>
      </c>
      <c r="I30" s="855">
        <f>(AC30*KFC!$B$27+KFC!$C$27)*KFC!$C$5</f>
        <v>54.22</v>
      </c>
      <c r="J30" s="855">
        <f>(AD30*KFC!$B$27+KFC!$C$27)*KFC!$C$5</f>
        <v>57.44</v>
      </c>
      <c r="K30" s="855">
        <f>(AE30*KFC!$B$27+KFC!$C$27)*KFC!$C$5</f>
        <v>60.78</v>
      </c>
      <c r="L30" s="855">
        <f>(AF30*KFC!$B$27+KFC!$C$27)*KFC!$C$5</f>
        <v>64.13</v>
      </c>
      <c r="M30" s="855">
        <f>(AG30*KFC!$B$27+KFC!$C$27)*KFC!$C$5</f>
        <v>67.47</v>
      </c>
      <c r="N30" s="855">
        <f>(AH30*KFC!$B$27+KFC!$C$27)*KFC!$C$5</f>
        <v>70.7</v>
      </c>
      <c r="O30" s="855">
        <f>(AI30*KFC!$B$27+KFC!$C$27)*KFC!$C$5</f>
        <v>73.900000000000006</v>
      </c>
      <c r="P30" s="855">
        <f>(AJ30*KFC!$B$27+KFC!$C$27)*KFC!$C$5</f>
        <v>77.100000000000009</v>
      </c>
      <c r="Q30" s="855">
        <f>(AK30*KFC!$B$27+KFC!$C$27)*KFC!$C$5</f>
        <v>80.300000000000011</v>
      </c>
      <c r="R30" s="855">
        <f>(AL30*KFC!$B$27+KFC!$C$27)*KFC!$C$5</f>
        <v>83.500000000000014</v>
      </c>
      <c r="S30" s="855">
        <f>(AM30*KFC!$B$27+KFC!$C$27)*KFC!$C$5</f>
        <v>86.700000000000017</v>
      </c>
      <c r="T30" s="855">
        <f>(AN30*KFC!$B$27+KFC!$C$27)*KFC!$C$5</f>
        <v>89.90000000000002</v>
      </c>
      <c r="V30" s="851">
        <v>0.7</v>
      </c>
      <c r="W30" s="847">
        <v>34.4</v>
      </c>
      <c r="X30" s="847">
        <v>37.619999999999997</v>
      </c>
      <c r="Y30" s="847">
        <v>40.96</v>
      </c>
      <c r="Z30" s="847">
        <v>44.31</v>
      </c>
      <c r="AA30" s="847">
        <v>47.66</v>
      </c>
      <c r="AB30" s="847">
        <v>50.87</v>
      </c>
      <c r="AC30" s="847">
        <v>54.22</v>
      </c>
      <c r="AD30" s="847">
        <v>57.44</v>
      </c>
      <c r="AE30" s="847">
        <v>60.78</v>
      </c>
      <c r="AF30" s="847">
        <v>64.13</v>
      </c>
      <c r="AG30" s="847">
        <v>67.47</v>
      </c>
      <c r="AH30" s="847">
        <v>70.7</v>
      </c>
      <c r="AI30" s="848">
        <v>73.900000000000006</v>
      </c>
      <c r="AJ30" s="690">
        <f t="shared" si="4"/>
        <v>77.100000000000009</v>
      </c>
      <c r="AK30" s="690">
        <f t="shared" si="5"/>
        <v>80.300000000000011</v>
      </c>
      <c r="AL30" s="690">
        <f t="shared" si="5"/>
        <v>83.500000000000014</v>
      </c>
      <c r="AM30" s="690">
        <f t="shared" si="5"/>
        <v>86.700000000000017</v>
      </c>
      <c r="AN30" s="690">
        <f t="shared" si="5"/>
        <v>89.90000000000002</v>
      </c>
      <c r="AO30" s="690">
        <f t="shared" si="5"/>
        <v>93.100000000000023</v>
      </c>
      <c r="AP30" s="690">
        <f t="shared" si="5"/>
        <v>96.300000000000026</v>
      </c>
    </row>
    <row r="31" spans="1:42">
      <c r="A31" s="1816"/>
      <c r="B31" s="849">
        <v>0.8</v>
      </c>
      <c r="C31" s="855">
        <f>(W31*KFC!$B$27+KFC!$C$27)*KFC!$C$5</f>
        <v>36.020000000000003</v>
      </c>
      <c r="D31" s="855">
        <f>(X31*KFC!$B$27+KFC!$C$27)*KFC!$C$5</f>
        <v>39.49</v>
      </c>
      <c r="E31" s="855">
        <f>(Y31*KFC!$B$27+KFC!$C$27)*KFC!$C$5</f>
        <v>42.71</v>
      </c>
      <c r="F31" s="855">
        <f>(Z31*KFC!$B$27+KFC!$C$27)*KFC!$C$5</f>
        <v>46.19</v>
      </c>
      <c r="G31" s="855">
        <f>(AA31*KFC!$B$27+KFC!$C$27)*KFC!$C$5</f>
        <v>49.67</v>
      </c>
      <c r="H31" s="855">
        <f>(AB31*KFC!$B$27+KFC!$C$27)*KFC!$C$5</f>
        <v>53.01</v>
      </c>
      <c r="I31" s="855">
        <f>(AC31*KFC!$B$27+KFC!$C$27)*KFC!$C$5</f>
        <v>56.36</v>
      </c>
      <c r="J31" s="855">
        <f>(AD31*KFC!$B$27+KFC!$C$27)*KFC!$C$5</f>
        <v>59.7</v>
      </c>
      <c r="K31" s="855">
        <f>(AE31*KFC!$B$27+KFC!$C$27)*KFC!$C$5</f>
        <v>63.19</v>
      </c>
      <c r="L31" s="855">
        <f>(AF31*KFC!$B$27+KFC!$C$27)*KFC!$C$5</f>
        <v>66.680000000000007</v>
      </c>
      <c r="M31" s="855">
        <f>(AG31*KFC!$B$27+KFC!$C$27)*KFC!$C$5</f>
        <v>69.88</v>
      </c>
      <c r="N31" s="855">
        <f>(AH31*KFC!$B$27+KFC!$C$27)*KFC!$C$5</f>
        <v>73.37</v>
      </c>
      <c r="O31" s="855">
        <f>(AI31*KFC!$B$27+KFC!$C$27)*KFC!$C$5</f>
        <v>76.849999999999994</v>
      </c>
      <c r="P31" s="855">
        <f>(AJ31*KFC!$B$27+KFC!$C$27)*KFC!$C$5</f>
        <v>80.329999999999984</v>
      </c>
      <c r="Q31" s="855">
        <f>(AK31*KFC!$B$27+KFC!$C$27)*KFC!$C$5</f>
        <v>83.809999999999974</v>
      </c>
      <c r="R31" s="855">
        <f>(AL31*KFC!$B$27+KFC!$C$27)*KFC!$C$5</f>
        <v>87.289999999999964</v>
      </c>
      <c r="S31" s="855">
        <f>(AM31*KFC!$B$27+KFC!$C$27)*KFC!$C$5</f>
        <v>90.769999999999953</v>
      </c>
      <c r="T31" s="855">
        <f>(AN31*KFC!$B$27+KFC!$C$27)*KFC!$C$5</f>
        <v>94.249999999999943</v>
      </c>
      <c r="V31" s="851">
        <v>0.8</v>
      </c>
      <c r="W31" s="847">
        <v>36.020000000000003</v>
      </c>
      <c r="X31" s="847">
        <v>39.49</v>
      </c>
      <c r="Y31" s="847">
        <v>42.71</v>
      </c>
      <c r="Z31" s="847">
        <v>46.19</v>
      </c>
      <c r="AA31" s="847">
        <v>49.67</v>
      </c>
      <c r="AB31" s="847">
        <v>53.01</v>
      </c>
      <c r="AC31" s="847">
        <v>56.36</v>
      </c>
      <c r="AD31" s="847">
        <v>59.7</v>
      </c>
      <c r="AE31" s="847">
        <v>63.19</v>
      </c>
      <c r="AF31" s="847">
        <v>66.680000000000007</v>
      </c>
      <c r="AG31" s="847">
        <v>69.88</v>
      </c>
      <c r="AH31" s="847">
        <v>73.37</v>
      </c>
      <c r="AI31" s="848">
        <v>76.849999999999994</v>
      </c>
      <c r="AJ31" s="690">
        <f t="shared" si="4"/>
        <v>80.329999999999984</v>
      </c>
      <c r="AK31" s="690">
        <f t="shared" si="5"/>
        <v>83.809999999999974</v>
      </c>
      <c r="AL31" s="690">
        <f t="shared" si="5"/>
        <v>87.289999999999964</v>
      </c>
      <c r="AM31" s="690">
        <f t="shared" si="5"/>
        <v>90.769999999999953</v>
      </c>
      <c r="AN31" s="690">
        <f t="shared" si="5"/>
        <v>94.249999999999943</v>
      </c>
      <c r="AO31" s="690">
        <f t="shared" si="5"/>
        <v>97.729999999999933</v>
      </c>
      <c r="AP31" s="690">
        <f t="shared" si="5"/>
        <v>101.20999999999992</v>
      </c>
    </row>
    <row r="32" spans="1:42">
      <c r="A32" s="1816"/>
      <c r="B32" s="849">
        <v>0.9</v>
      </c>
      <c r="C32" s="855">
        <f>(W32*KFC!$B$27+KFC!$C$27)*KFC!$C$5</f>
        <v>37.619999999999997</v>
      </c>
      <c r="D32" s="855">
        <f>(X32*KFC!$B$27+KFC!$C$27)*KFC!$C$5</f>
        <v>41.1</v>
      </c>
      <c r="E32" s="855">
        <f>(Y32*KFC!$B$27+KFC!$C$27)*KFC!$C$5</f>
        <v>44.72</v>
      </c>
      <c r="F32" s="855">
        <f>(Z32*KFC!$B$27+KFC!$C$27)*KFC!$C$5</f>
        <v>48.2</v>
      </c>
      <c r="G32" s="855">
        <f>(AA32*KFC!$B$27+KFC!$C$27)*KFC!$C$5</f>
        <v>51.54</v>
      </c>
      <c r="H32" s="855">
        <f>(AB32*KFC!$B$27+KFC!$C$27)*KFC!$C$5</f>
        <v>55.02</v>
      </c>
      <c r="I32" s="855">
        <f>(AC32*KFC!$B$27+KFC!$C$27)*KFC!$C$5</f>
        <v>58.64</v>
      </c>
      <c r="J32" s="855">
        <f>(AD32*KFC!$B$27+KFC!$C$27)*KFC!$C$5</f>
        <v>62.12</v>
      </c>
      <c r="K32" s="855">
        <f>(AE32*KFC!$B$27+KFC!$C$27)*KFC!$C$5</f>
        <v>65.47</v>
      </c>
      <c r="L32" s="855">
        <f>(AF32*KFC!$B$27+KFC!$C$27)*KFC!$C$5</f>
        <v>68.94</v>
      </c>
      <c r="M32" s="855">
        <f>(AG32*KFC!$B$27+KFC!$C$27)*KFC!$C$5</f>
        <v>72.56</v>
      </c>
      <c r="N32" s="855">
        <f>(AH32*KFC!$B$27+KFC!$C$27)*KFC!$C$5</f>
        <v>75.900000000000006</v>
      </c>
      <c r="O32" s="855">
        <f>(AI32*KFC!$B$27+KFC!$C$27)*KFC!$C$5</f>
        <v>79.25</v>
      </c>
      <c r="P32" s="855">
        <f>(AJ32*KFC!$B$27+KFC!$C$27)*KFC!$C$5</f>
        <v>82.6</v>
      </c>
      <c r="Q32" s="855">
        <f>(AK32*KFC!$B$27+KFC!$C$27)*KFC!$C$5</f>
        <v>85.949999999999989</v>
      </c>
      <c r="R32" s="855">
        <f>(AL32*KFC!$B$27+KFC!$C$27)*KFC!$C$5</f>
        <v>89.299999999999983</v>
      </c>
      <c r="S32" s="855">
        <f>(AM32*KFC!$B$27+KFC!$C$27)*KFC!$C$5</f>
        <v>92.649999999999977</v>
      </c>
      <c r="T32" s="855">
        <f>(AN32*KFC!$B$27+KFC!$C$27)*KFC!$C$5</f>
        <v>95.999999999999972</v>
      </c>
      <c r="V32" s="851">
        <v>0.9</v>
      </c>
      <c r="W32" s="847">
        <v>37.619999999999997</v>
      </c>
      <c r="X32" s="847">
        <v>41.1</v>
      </c>
      <c r="Y32" s="847">
        <v>44.72</v>
      </c>
      <c r="Z32" s="847">
        <v>48.2</v>
      </c>
      <c r="AA32" s="847">
        <v>51.54</v>
      </c>
      <c r="AB32" s="847">
        <v>55.02</v>
      </c>
      <c r="AC32" s="847">
        <v>58.64</v>
      </c>
      <c r="AD32" s="847">
        <v>62.12</v>
      </c>
      <c r="AE32" s="847">
        <v>65.47</v>
      </c>
      <c r="AF32" s="847">
        <v>68.94</v>
      </c>
      <c r="AG32" s="847">
        <v>72.56</v>
      </c>
      <c r="AH32" s="847">
        <v>75.900000000000006</v>
      </c>
      <c r="AI32" s="848">
        <v>79.25</v>
      </c>
      <c r="AJ32" s="690">
        <f t="shared" si="4"/>
        <v>82.6</v>
      </c>
      <c r="AK32" s="690">
        <f t="shared" si="5"/>
        <v>85.949999999999989</v>
      </c>
      <c r="AL32" s="690">
        <f t="shared" si="5"/>
        <v>89.299999999999983</v>
      </c>
      <c r="AM32" s="690">
        <f t="shared" si="5"/>
        <v>92.649999999999977</v>
      </c>
      <c r="AN32" s="690">
        <f t="shared" si="5"/>
        <v>95.999999999999972</v>
      </c>
      <c r="AO32" s="690">
        <f t="shared" si="5"/>
        <v>99.349999999999966</v>
      </c>
      <c r="AP32" s="690">
        <f t="shared" si="5"/>
        <v>102.69999999999996</v>
      </c>
    </row>
    <row r="33" spans="1:42">
      <c r="A33" s="1816"/>
      <c r="B33" s="849">
        <v>1</v>
      </c>
      <c r="C33" s="855">
        <f>(W33*KFC!$B$27+KFC!$C$27)*KFC!$C$5</f>
        <v>39.36</v>
      </c>
      <c r="D33" s="855">
        <f>(X33*KFC!$B$27+KFC!$C$27)*KFC!$C$5</f>
        <v>42.84</v>
      </c>
      <c r="E33" s="855">
        <f>(Y33*KFC!$B$27+KFC!$C$27)*KFC!$C$5</f>
        <v>46.45</v>
      </c>
      <c r="F33" s="855">
        <f>(Z33*KFC!$B$27+KFC!$C$27)*KFC!$C$5</f>
        <v>49.94</v>
      </c>
      <c r="G33" s="855">
        <f>(AA33*KFC!$B$27+KFC!$C$27)*KFC!$C$5</f>
        <v>53.55</v>
      </c>
      <c r="H33" s="855">
        <f>(AB33*KFC!$B$27+KFC!$C$27)*KFC!$C$5</f>
        <v>57.16</v>
      </c>
      <c r="I33" s="855">
        <f>(AC33*KFC!$B$27+KFC!$C$27)*KFC!$C$5</f>
        <v>60.78</v>
      </c>
      <c r="J33" s="855">
        <f>(AD33*KFC!$B$27+KFC!$C$27)*KFC!$C$5</f>
        <v>64.400000000000006</v>
      </c>
      <c r="K33" s="855">
        <f>(AE33*KFC!$B$27+KFC!$C$27)*KFC!$C$5</f>
        <v>68.02</v>
      </c>
      <c r="L33" s="855">
        <f>(AF33*KFC!$B$27+KFC!$C$27)*KFC!$C$5</f>
        <v>71.36</v>
      </c>
      <c r="M33" s="855">
        <f>(AG33*KFC!$B$27+KFC!$C$27)*KFC!$C$5</f>
        <v>74.97</v>
      </c>
      <c r="N33" s="855">
        <f>(AH33*KFC!$B$27+KFC!$C$27)*KFC!$C$5</f>
        <v>78.58</v>
      </c>
      <c r="O33" s="855">
        <f>(AI33*KFC!$B$27+KFC!$C$27)*KFC!$C$5</f>
        <v>82.2</v>
      </c>
      <c r="P33" s="855">
        <f>(AJ33*KFC!$B$27+KFC!$C$27)*KFC!$C$5</f>
        <v>85.820000000000007</v>
      </c>
      <c r="Q33" s="855">
        <f>(AK33*KFC!$B$27+KFC!$C$27)*KFC!$C$5</f>
        <v>89.440000000000012</v>
      </c>
      <c r="R33" s="855">
        <f>(AL33*KFC!$B$27+KFC!$C$27)*KFC!$C$5</f>
        <v>93.060000000000016</v>
      </c>
      <c r="S33" s="855">
        <f>(AM33*KFC!$B$27+KFC!$C$27)*KFC!$C$5</f>
        <v>96.680000000000021</v>
      </c>
      <c r="T33" s="855">
        <f>(AN33*KFC!$B$27+KFC!$C$27)*KFC!$C$5</f>
        <v>100.30000000000003</v>
      </c>
      <c r="V33" s="851">
        <v>1</v>
      </c>
      <c r="W33" s="847">
        <v>39.36</v>
      </c>
      <c r="X33" s="847">
        <v>42.84</v>
      </c>
      <c r="Y33" s="847">
        <v>46.45</v>
      </c>
      <c r="Z33" s="847">
        <v>49.94</v>
      </c>
      <c r="AA33" s="847">
        <v>53.55</v>
      </c>
      <c r="AB33" s="847">
        <v>57.16</v>
      </c>
      <c r="AC33" s="847">
        <v>60.78</v>
      </c>
      <c r="AD33" s="847">
        <v>64.400000000000006</v>
      </c>
      <c r="AE33" s="847">
        <v>68.02</v>
      </c>
      <c r="AF33" s="847">
        <v>71.36</v>
      </c>
      <c r="AG33" s="847">
        <v>74.97</v>
      </c>
      <c r="AH33" s="847">
        <v>78.58</v>
      </c>
      <c r="AI33" s="848">
        <v>82.2</v>
      </c>
      <c r="AJ33" s="690">
        <f t="shared" si="4"/>
        <v>85.820000000000007</v>
      </c>
      <c r="AK33" s="690">
        <f t="shared" si="5"/>
        <v>89.440000000000012</v>
      </c>
      <c r="AL33" s="690">
        <f t="shared" si="5"/>
        <v>93.060000000000016</v>
      </c>
      <c r="AM33" s="690">
        <f t="shared" si="5"/>
        <v>96.680000000000021</v>
      </c>
      <c r="AN33" s="690">
        <f t="shared" si="5"/>
        <v>100.30000000000003</v>
      </c>
      <c r="AO33" s="690">
        <f t="shared" si="5"/>
        <v>103.92000000000003</v>
      </c>
      <c r="AP33" s="690">
        <f t="shared" si="5"/>
        <v>107.54000000000003</v>
      </c>
    </row>
    <row r="34" spans="1:42">
      <c r="A34" s="1816"/>
      <c r="B34" s="849">
        <v>1.1000000000000001</v>
      </c>
      <c r="C34" s="855">
        <f>(W34*KFC!$B$27+KFC!$C$27)*KFC!$C$5</f>
        <v>40.96</v>
      </c>
      <c r="D34" s="855">
        <f>(X34*KFC!$B$27+KFC!$C$27)*KFC!$C$5</f>
        <v>44.58</v>
      </c>
      <c r="E34" s="855">
        <f>(Y34*KFC!$B$27+KFC!$C$27)*KFC!$C$5</f>
        <v>48.33</v>
      </c>
      <c r="F34" s="855">
        <f>(Z34*KFC!$B$27+KFC!$C$27)*KFC!$C$5</f>
        <v>51.95</v>
      </c>
      <c r="G34" s="855">
        <f>(AA34*KFC!$B$27+KFC!$C$27)*KFC!$C$5</f>
        <v>55.56</v>
      </c>
      <c r="H34" s="855">
        <f>(AB34*KFC!$B$27+KFC!$C$27)*KFC!$C$5</f>
        <v>59.31</v>
      </c>
      <c r="I34" s="855">
        <f>(AC34*KFC!$B$27+KFC!$C$27)*KFC!$C$5</f>
        <v>62.93</v>
      </c>
      <c r="J34" s="855">
        <f>(AD34*KFC!$B$27+KFC!$C$27)*KFC!$C$5</f>
        <v>66.680000000000007</v>
      </c>
      <c r="K34" s="855">
        <f>(AE34*KFC!$B$27+KFC!$C$27)*KFC!$C$5</f>
        <v>70.290000000000006</v>
      </c>
      <c r="L34" s="855">
        <f>(AF34*KFC!$B$27+KFC!$C$27)*KFC!$C$5</f>
        <v>73.900000000000006</v>
      </c>
      <c r="M34" s="855">
        <f>(AG34*KFC!$B$27+KFC!$C$27)*KFC!$C$5</f>
        <v>77.650000000000006</v>
      </c>
      <c r="N34" s="855">
        <f>(AH34*KFC!$B$27+KFC!$C$27)*KFC!$C$5</f>
        <v>81.260000000000005</v>
      </c>
      <c r="O34" s="855">
        <f>(AI34*KFC!$B$27+KFC!$C$27)*KFC!$C$5</f>
        <v>84.88</v>
      </c>
      <c r="P34" s="855">
        <f>(AJ34*KFC!$B$27+KFC!$C$27)*KFC!$C$5</f>
        <v>88.499999999999986</v>
      </c>
      <c r="Q34" s="855">
        <f>(AK34*KFC!$B$27+KFC!$C$27)*KFC!$C$5</f>
        <v>92.119999999999976</v>
      </c>
      <c r="R34" s="855">
        <f>(AL34*KFC!$B$27+KFC!$C$27)*KFC!$C$5</f>
        <v>95.739999999999966</v>
      </c>
      <c r="S34" s="855">
        <f>(AM34*KFC!$B$27+KFC!$C$27)*KFC!$C$5</f>
        <v>99.359999999999957</v>
      </c>
      <c r="T34" s="855">
        <f>(AN34*KFC!$B$27+KFC!$C$27)*KFC!$C$5</f>
        <v>102.97999999999995</v>
      </c>
      <c r="V34" s="851">
        <v>1.1000000000000001</v>
      </c>
      <c r="W34" s="847">
        <v>40.96</v>
      </c>
      <c r="X34" s="847">
        <v>44.58</v>
      </c>
      <c r="Y34" s="847">
        <v>48.33</v>
      </c>
      <c r="Z34" s="847">
        <v>51.95</v>
      </c>
      <c r="AA34" s="847">
        <v>55.56</v>
      </c>
      <c r="AB34" s="847">
        <v>59.31</v>
      </c>
      <c r="AC34" s="847">
        <v>62.93</v>
      </c>
      <c r="AD34" s="847">
        <v>66.680000000000007</v>
      </c>
      <c r="AE34" s="847">
        <v>70.290000000000006</v>
      </c>
      <c r="AF34" s="847">
        <v>73.900000000000006</v>
      </c>
      <c r="AG34" s="847">
        <v>77.650000000000006</v>
      </c>
      <c r="AH34" s="847">
        <v>81.260000000000005</v>
      </c>
      <c r="AI34" s="848">
        <v>84.88</v>
      </c>
      <c r="AJ34" s="690">
        <f t="shared" si="4"/>
        <v>88.499999999999986</v>
      </c>
      <c r="AK34" s="690">
        <f t="shared" si="5"/>
        <v>92.119999999999976</v>
      </c>
      <c r="AL34" s="690">
        <f t="shared" si="5"/>
        <v>95.739999999999966</v>
      </c>
      <c r="AM34" s="690">
        <f t="shared" si="5"/>
        <v>99.359999999999957</v>
      </c>
      <c r="AN34" s="690">
        <f t="shared" si="5"/>
        <v>102.97999999999995</v>
      </c>
      <c r="AO34" s="690">
        <f t="shared" si="5"/>
        <v>106.59999999999994</v>
      </c>
      <c r="AP34" s="690">
        <f t="shared" si="5"/>
        <v>110.21999999999993</v>
      </c>
    </row>
    <row r="35" spans="1:42">
      <c r="A35" s="1816"/>
      <c r="B35" s="849">
        <v>1.2</v>
      </c>
      <c r="C35" s="855">
        <f>(W35*KFC!$B$27+KFC!$C$27)*KFC!$C$5</f>
        <v>42.58</v>
      </c>
      <c r="D35" s="855">
        <f>(X35*KFC!$B$27+KFC!$C$27)*KFC!$C$5</f>
        <v>46.32</v>
      </c>
      <c r="E35" s="855">
        <f>(Y35*KFC!$B$27+KFC!$C$27)*KFC!$C$5</f>
        <v>50.07</v>
      </c>
      <c r="F35" s="855">
        <f>(Z35*KFC!$B$27+KFC!$C$27)*KFC!$C$5</f>
        <v>53.81</v>
      </c>
      <c r="G35" s="855">
        <f>(AA35*KFC!$B$27+KFC!$C$27)*KFC!$C$5</f>
        <v>57.57</v>
      </c>
      <c r="H35" s="855">
        <f>(AB35*KFC!$B$27+KFC!$C$27)*KFC!$C$5</f>
        <v>61.46</v>
      </c>
      <c r="I35" s="855">
        <f>(AC35*KFC!$B$27+KFC!$C$27)*KFC!$C$5</f>
        <v>65.06</v>
      </c>
      <c r="J35" s="855">
        <f>(AD35*KFC!$B$27+KFC!$C$27)*KFC!$C$5</f>
        <v>68.819999999999993</v>
      </c>
      <c r="K35" s="855">
        <f>(AE35*KFC!$B$27+KFC!$C$27)*KFC!$C$5</f>
        <v>72.56</v>
      </c>
      <c r="L35" s="855">
        <f>(AF35*KFC!$B$27+KFC!$C$27)*KFC!$C$5</f>
        <v>76.31</v>
      </c>
      <c r="M35" s="855">
        <f>(AG35*KFC!$B$27+KFC!$C$27)*KFC!$C$5</f>
        <v>80.06</v>
      </c>
      <c r="N35" s="855">
        <f>(AH35*KFC!$B$27+KFC!$C$27)*KFC!$C$5</f>
        <v>83.8</v>
      </c>
      <c r="O35" s="855">
        <f>(AI35*KFC!$B$27+KFC!$C$27)*KFC!$C$5</f>
        <v>87.56</v>
      </c>
      <c r="P35" s="855">
        <f>(AJ35*KFC!$B$27+KFC!$C$27)*KFC!$C$5</f>
        <v>91.320000000000007</v>
      </c>
      <c r="Q35" s="855">
        <f>(AK35*KFC!$B$27+KFC!$C$27)*KFC!$C$5</f>
        <v>95.080000000000013</v>
      </c>
      <c r="R35" s="855">
        <f>(AL35*KFC!$B$27+KFC!$C$27)*KFC!$C$5</f>
        <v>98.840000000000018</v>
      </c>
      <c r="S35" s="855">
        <f>(AM35*KFC!$B$27+KFC!$C$27)*KFC!$C$5</f>
        <v>102.60000000000002</v>
      </c>
      <c r="T35" s="855">
        <f>(AN35*KFC!$B$27+KFC!$C$27)*KFC!$C$5</f>
        <v>106.36000000000003</v>
      </c>
      <c r="V35" s="851">
        <v>1.2</v>
      </c>
      <c r="W35" s="847">
        <v>42.58</v>
      </c>
      <c r="X35" s="847">
        <v>46.32</v>
      </c>
      <c r="Y35" s="847">
        <v>50.07</v>
      </c>
      <c r="Z35" s="847">
        <v>53.81</v>
      </c>
      <c r="AA35" s="847">
        <v>57.57</v>
      </c>
      <c r="AB35" s="847">
        <v>61.46</v>
      </c>
      <c r="AC35" s="847">
        <v>65.06</v>
      </c>
      <c r="AD35" s="847">
        <v>68.819999999999993</v>
      </c>
      <c r="AE35" s="847">
        <v>72.56</v>
      </c>
      <c r="AF35" s="847">
        <v>76.31</v>
      </c>
      <c r="AG35" s="847">
        <v>80.06</v>
      </c>
      <c r="AH35" s="847">
        <v>83.8</v>
      </c>
      <c r="AI35" s="848">
        <v>87.56</v>
      </c>
      <c r="AJ35" s="690">
        <f t="shared" si="4"/>
        <v>91.320000000000007</v>
      </c>
      <c r="AK35" s="690">
        <f t="shared" si="5"/>
        <v>95.080000000000013</v>
      </c>
      <c r="AL35" s="690">
        <f t="shared" si="5"/>
        <v>98.840000000000018</v>
      </c>
      <c r="AM35" s="690">
        <f t="shared" si="5"/>
        <v>102.60000000000002</v>
      </c>
      <c r="AN35" s="690">
        <f t="shared" si="5"/>
        <v>106.36000000000003</v>
      </c>
      <c r="AO35" s="690">
        <f t="shared" si="5"/>
        <v>110.12000000000003</v>
      </c>
      <c r="AP35" s="690">
        <f t="shared" si="5"/>
        <v>113.88000000000004</v>
      </c>
    </row>
    <row r="36" spans="1:42">
      <c r="A36" s="1816"/>
      <c r="B36" s="849">
        <v>1.3</v>
      </c>
      <c r="C36" s="855">
        <f>(W36*KFC!$B$27+KFC!$C$27)*KFC!$C$5</f>
        <v>44.18</v>
      </c>
      <c r="D36" s="855">
        <f>(X36*KFC!$B$27+KFC!$C$27)*KFC!$C$5</f>
        <v>47.93</v>
      </c>
      <c r="E36" s="855">
        <f>(Y36*KFC!$B$27+KFC!$C$27)*KFC!$C$5</f>
        <v>51.95</v>
      </c>
      <c r="F36" s="855">
        <f>(Z36*KFC!$B$27+KFC!$C$27)*KFC!$C$5</f>
        <v>55.69</v>
      </c>
      <c r="G36" s="855">
        <f>(AA36*KFC!$B$27+KFC!$C$27)*KFC!$C$5</f>
        <v>59.58</v>
      </c>
      <c r="H36" s="855">
        <f>(AB36*KFC!$B$27+KFC!$C$27)*KFC!$C$5</f>
        <v>63.33</v>
      </c>
      <c r="I36" s="855">
        <f>(AC36*KFC!$B$27+KFC!$C$27)*KFC!$C$5</f>
        <v>67.349999999999994</v>
      </c>
      <c r="J36" s="855">
        <f>(AD36*KFC!$B$27+KFC!$C$27)*KFC!$C$5</f>
        <v>71.09</v>
      </c>
      <c r="K36" s="855">
        <f>(AE36*KFC!$B$27+KFC!$C$27)*KFC!$C$5</f>
        <v>74.97</v>
      </c>
      <c r="L36" s="855">
        <f>(AF36*KFC!$B$27+KFC!$C$27)*KFC!$C$5</f>
        <v>78.73</v>
      </c>
      <c r="M36" s="855">
        <f>(AG36*KFC!$B$27+KFC!$C$27)*KFC!$C$5</f>
        <v>82.74</v>
      </c>
      <c r="N36" s="855">
        <f>(AH36*KFC!$B$27+KFC!$C$27)*KFC!$C$5</f>
        <v>86.48</v>
      </c>
      <c r="O36" s="855">
        <f>(AI36*KFC!$B$27+KFC!$C$27)*KFC!$C$5</f>
        <v>90.24</v>
      </c>
      <c r="P36" s="855">
        <f>(AJ36*KFC!$B$27+KFC!$C$27)*KFC!$C$5</f>
        <v>93.999999999999986</v>
      </c>
      <c r="Q36" s="855">
        <f>(AK36*KFC!$B$27+KFC!$C$27)*KFC!$C$5</f>
        <v>97.759999999999977</v>
      </c>
      <c r="R36" s="855">
        <f>(AL36*KFC!$B$27+KFC!$C$27)*KFC!$C$5</f>
        <v>101.51999999999997</v>
      </c>
      <c r="S36" s="855">
        <f>(AM36*KFC!$B$27+KFC!$C$27)*KFC!$C$5</f>
        <v>105.27999999999996</v>
      </c>
      <c r="T36" s="855">
        <f>(AN36*KFC!$B$27+KFC!$C$27)*KFC!$C$5</f>
        <v>109.03999999999995</v>
      </c>
      <c r="V36" s="851">
        <v>1.3</v>
      </c>
      <c r="W36" s="847">
        <v>44.18</v>
      </c>
      <c r="X36" s="847">
        <v>47.93</v>
      </c>
      <c r="Y36" s="847">
        <v>51.95</v>
      </c>
      <c r="Z36" s="847">
        <v>55.69</v>
      </c>
      <c r="AA36" s="847">
        <v>59.58</v>
      </c>
      <c r="AB36" s="847">
        <v>63.33</v>
      </c>
      <c r="AC36" s="847">
        <v>67.349999999999994</v>
      </c>
      <c r="AD36" s="847">
        <v>71.09</v>
      </c>
      <c r="AE36" s="847">
        <v>74.97</v>
      </c>
      <c r="AF36" s="847">
        <v>78.73</v>
      </c>
      <c r="AG36" s="847">
        <v>82.74</v>
      </c>
      <c r="AH36" s="847">
        <v>86.48</v>
      </c>
      <c r="AI36" s="848">
        <v>90.24</v>
      </c>
      <c r="AJ36" s="690">
        <f t="shared" si="4"/>
        <v>93.999999999999986</v>
      </c>
      <c r="AK36" s="690">
        <f t="shared" si="5"/>
        <v>97.759999999999977</v>
      </c>
      <c r="AL36" s="690">
        <f t="shared" si="5"/>
        <v>101.51999999999997</v>
      </c>
      <c r="AM36" s="690">
        <f t="shared" si="5"/>
        <v>105.27999999999996</v>
      </c>
      <c r="AN36" s="690">
        <f t="shared" si="5"/>
        <v>109.03999999999995</v>
      </c>
      <c r="AO36" s="690">
        <f t="shared" si="5"/>
        <v>112.79999999999994</v>
      </c>
      <c r="AP36" s="690">
        <f t="shared" si="5"/>
        <v>116.55999999999993</v>
      </c>
    </row>
    <row r="37" spans="1:42">
      <c r="A37" s="1816"/>
      <c r="B37" s="849">
        <v>1.4</v>
      </c>
      <c r="C37" s="855">
        <f>(W37*KFC!$B$27+KFC!$C$27)*KFC!$C$5</f>
        <v>45.78</v>
      </c>
      <c r="D37" s="855">
        <f>(X37*KFC!$B$27+KFC!$C$27)*KFC!$C$5</f>
        <v>49.8</v>
      </c>
      <c r="E37" s="855">
        <f>(Y37*KFC!$B$27+KFC!$C$27)*KFC!$C$5</f>
        <v>53.69</v>
      </c>
      <c r="F37" s="855">
        <f>(Z37*KFC!$B$27+KFC!$C$27)*KFC!$C$5</f>
        <v>57.57</v>
      </c>
      <c r="G37" s="855">
        <f>(AA37*KFC!$B$27+KFC!$C$27)*KFC!$C$5</f>
        <v>61.58</v>
      </c>
      <c r="H37" s="855">
        <f>(AB37*KFC!$B$27+KFC!$C$27)*KFC!$C$5</f>
        <v>65.47</v>
      </c>
      <c r="I37" s="855">
        <f>(AC37*KFC!$B$27+KFC!$C$27)*KFC!$C$5</f>
        <v>69.489999999999995</v>
      </c>
      <c r="J37" s="855">
        <f>(AD37*KFC!$B$27+KFC!$C$27)*KFC!$C$5</f>
        <v>73.37</v>
      </c>
      <c r="K37" s="855">
        <f>(AE37*KFC!$B$27+KFC!$C$27)*KFC!$C$5</f>
        <v>77.239999999999995</v>
      </c>
      <c r="L37" s="855">
        <f>(AF37*KFC!$B$27+KFC!$C$27)*KFC!$C$5</f>
        <v>81.260000000000005</v>
      </c>
      <c r="M37" s="855">
        <f>(AG37*KFC!$B$27+KFC!$C$27)*KFC!$C$5</f>
        <v>85.14</v>
      </c>
      <c r="N37" s="855">
        <f>(AH37*KFC!$B$27+KFC!$C$27)*KFC!$C$5</f>
        <v>89.03</v>
      </c>
      <c r="O37" s="855">
        <f>(AI37*KFC!$B$27+KFC!$C$27)*KFC!$C$5</f>
        <v>92.91</v>
      </c>
      <c r="P37" s="855">
        <f>(AJ37*KFC!$B$27+KFC!$C$27)*KFC!$C$5</f>
        <v>96.789999999999992</v>
      </c>
      <c r="Q37" s="855">
        <f>(AK37*KFC!$B$27+KFC!$C$27)*KFC!$C$5</f>
        <v>100.66999999999999</v>
      </c>
      <c r="R37" s="855">
        <f>(AL37*KFC!$B$27+KFC!$C$27)*KFC!$C$5</f>
        <v>104.54999999999998</v>
      </c>
      <c r="S37" s="855">
        <f>(AM37*KFC!$B$27+KFC!$C$27)*KFC!$C$5</f>
        <v>108.42999999999998</v>
      </c>
      <c r="T37" s="855">
        <f>(AN37*KFC!$B$27+KFC!$C$27)*KFC!$C$5</f>
        <v>112.30999999999997</v>
      </c>
      <c r="V37" s="851">
        <v>1.4</v>
      </c>
      <c r="W37" s="847">
        <v>45.78</v>
      </c>
      <c r="X37" s="847">
        <v>49.8</v>
      </c>
      <c r="Y37" s="847">
        <v>53.69</v>
      </c>
      <c r="Z37" s="847">
        <v>57.57</v>
      </c>
      <c r="AA37" s="847">
        <v>61.58</v>
      </c>
      <c r="AB37" s="847">
        <v>65.47</v>
      </c>
      <c r="AC37" s="847">
        <v>69.489999999999995</v>
      </c>
      <c r="AD37" s="847">
        <v>73.37</v>
      </c>
      <c r="AE37" s="847">
        <v>77.239999999999995</v>
      </c>
      <c r="AF37" s="847">
        <v>81.260000000000005</v>
      </c>
      <c r="AG37" s="847">
        <v>85.14</v>
      </c>
      <c r="AH37" s="847">
        <v>89.03</v>
      </c>
      <c r="AI37" s="848">
        <v>92.91</v>
      </c>
      <c r="AJ37" s="690">
        <f t="shared" si="4"/>
        <v>96.789999999999992</v>
      </c>
      <c r="AK37" s="690">
        <f t="shared" si="5"/>
        <v>100.66999999999999</v>
      </c>
      <c r="AL37" s="690">
        <f t="shared" si="5"/>
        <v>104.54999999999998</v>
      </c>
      <c r="AM37" s="690">
        <f t="shared" si="5"/>
        <v>108.42999999999998</v>
      </c>
      <c r="AN37" s="690">
        <f t="shared" si="5"/>
        <v>112.30999999999997</v>
      </c>
      <c r="AO37" s="690">
        <f t="shared" si="5"/>
        <v>116.18999999999997</v>
      </c>
      <c r="AP37" s="690">
        <f t="shared" si="5"/>
        <v>120.06999999999996</v>
      </c>
    </row>
    <row r="38" spans="1:42">
      <c r="A38" s="1816"/>
      <c r="B38" s="849">
        <v>1.5</v>
      </c>
      <c r="C38" s="855">
        <f>(W38*KFC!$B$27+KFC!$C$27)*KFC!$C$5</f>
        <v>47.52</v>
      </c>
      <c r="D38" s="855">
        <f>(X38*KFC!$B$27+KFC!$C$27)*KFC!$C$5</f>
        <v>51.54</v>
      </c>
      <c r="E38" s="855">
        <f>(Y38*KFC!$B$27+KFC!$C$27)*KFC!$C$5</f>
        <v>55.56</v>
      </c>
      <c r="F38" s="855">
        <f>(Z38*KFC!$B$27+KFC!$C$27)*KFC!$C$5</f>
        <v>59.58</v>
      </c>
      <c r="G38" s="855">
        <f>(AA38*KFC!$B$27+KFC!$C$27)*KFC!$C$5</f>
        <v>63.59</v>
      </c>
      <c r="H38" s="855">
        <f>(AB38*KFC!$B$27+KFC!$C$27)*KFC!$C$5</f>
        <v>67.61</v>
      </c>
      <c r="I38" s="855">
        <f>(AC38*KFC!$B$27+KFC!$C$27)*KFC!$C$5</f>
        <v>71.489999999999995</v>
      </c>
      <c r="J38" s="855">
        <f>(AD38*KFC!$B$27+KFC!$C$27)*KFC!$C$5</f>
        <v>75.64</v>
      </c>
      <c r="K38" s="855">
        <f>(AE38*KFC!$B$27+KFC!$C$27)*KFC!$C$5</f>
        <v>79.53</v>
      </c>
      <c r="L38" s="855">
        <f>(AF38*KFC!$B$27+KFC!$C$27)*KFC!$C$5</f>
        <v>83.67</v>
      </c>
      <c r="M38" s="855">
        <f>(AG38*KFC!$B$27+KFC!$C$27)*KFC!$C$5</f>
        <v>87.56</v>
      </c>
      <c r="N38" s="855">
        <f>(AH38*KFC!$B$27+KFC!$C$27)*KFC!$C$5</f>
        <v>91.71</v>
      </c>
      <c r="O38" s="855">
        <f>(AI38*KFC!$B$27+KFC!$C$27)*KFC!$C$5</f>
        <v>95.85</v>
      </c>
      <c r="P38" s="855">
        <f>(AJ38*KFC!$B$27+KFC!$C$27)*KFC!$C$5</f>
        <v>99.99</v>
      </c>
      <c r="Q38" s="855">
        <f>(AK38*KFC!$B$27+KFC!$C$27)*KFC!$C$5</f>
        <v>104.13</v>
      </c>
      <c r="R38" s="855">
        <f>(AL38*KFC!$B$27+KFC!$C$27)*KFC!$C$5</f>
        <v>108.27</v>
      </c>
      <c r="S38" s="855">
        <f>(AM38*KFC!$B$27+KFC!$C$27)*KFC!$C$5</f>
        <v>112.41</v>
      </c>
      <c r="T38" s="855">
        <f>(AN38*KFC!$B$27+KFC!$C$27)*KFC!$C$5</f>
        <v>116.55</v>
      </c>
      <c r="V38" s="851">
        <v>1.5</v>
      </c>
      <c r="W38" s="847">
        <v>47.52</v>
      </c>
      <c r="X38" s="847">
        <v>51.54</v>
      </c>
      <c r="Y38" s="847">
        <v>55.56</v>
      </c>
      <c r="Z38" s="847">
        <v>59.58</v>
      </c>
      <c r="AA38" s="847">
        <v>63.59</v>
      </c>
      <c r="AB38" s="847">
        <v>67.61</v>
      </c>
      <c r="AC38" s="847">
        <v>71.489999999999995</v>
      </c>
      <c r="AD38" s="847">
        <v>75.64</v>
      </c>
      <c r="AE38" s="847">
        <v>79.53</v>
      </c>
      <c r="AF38" s="847">
        <v>83.67</v>
      </c>
      <c r="AG38" s="847">
        <v>87.56</v>
      </c>
      <c r="AH38" s="847">
        <v>91.71</v>
      </c>
      <c r="AI38" s="848">
        <v>95.85</v>
      </c>
      <c r="AJ38" s="690">
        <f t="shared" si="4"/>
        <v>99.99</v>
      </c>
      <c r="AK38" s="690">
        <f t="shared" si="5"/>
        <v>104.13</v>
      </c>
      <c r="AL38" s="690">
        <f t="shared" si="5"/>
        <v>108.27</v>
      </c>
      <c r="AM38" s="690">
        <f t="shared" si="5"/>
        <v>112.41</v>
      </c>
      <c r="AN38" s="690">
        <f t="shared" si="5"/>
        <v>116.55</v>
      </c>
      <c r="AO38" s="690">
        <f t="shared" si="5"/>
        <v>120.69</v>
      </c>
      <c r="AP38" s="690">
        <f t="shared" si="5"/>
        <v>124.83</v>
      </c>
    </row>
    <row r="39" spans="1:42">
      <c r="A39" s="1816"/>
      <c r="B39" s="849">
        <v>1.6</v>
      </c>
      <c r="C39" s="855">
        <f>(W39*KFC!$B$27+KFC!$C$27)*KFC!$C$5</f>
        <v>49.13</v>
      </c>
      <c r="D39" s="855">
        <f>(X39*KFC!$B$27+KFC!$C$27)*KFC!$C$5</f>
        <v>53.14</v>
      </c>
      <c r="E39" s="855">
        <f>(Y39*KFC!$B$27+KFC!$C$27)*KFC!$C$5</f>
        <v>57.31</v>
      </c>
      <c r="F39" s="855">
        <f>(Z39*KFC!$B$27+KFC!$C$27)*KFC!$C$5</f>
        <v>61.46</v>
      </c>
      <c r="G39" s="855">
        <f>(AA39*KFC!$B$27+KFC!$C$27)*KFC!$C$5</f>
        <v>65.47</v>
      </c>
      <c r="H39" s="855">
        <f>(AB39*KFC!$B$27+KFC!$C$27)*KFC!$C$5</f>
        <v>69.62</v>
      </c>
      <c r="I39" s="855">
        <f>(AC39*KFC!$B$27+KFC!$C$27)*KFC!$C$5</f>
        <v>73.900000000000006</v>
      </c>
      <c r="J39" s="855">
        <f>(AD39*KFC!$B$27+KFC!$C$27)*KFC!$C$5</f>
        <v>77.91</v>
      </c>
      <c r="K39" s="855">
        <f>(AE39*KFC!$B$27+KFC!$C$27)*KFC!$C$5</f>
        <v>82.07</v>
      </c>
      <c r="L39" s="855">
        <f>(AF39*KFC!$B$27+KFC!$C$27)*KFC!$C$5</f>
        <v>86.09</v>
      </c>
      <c r="M39" s="855">
        <f>(AG39*KFC!$B$27+KFC!$C$27)*KFC!$C$5</f>
        <v>90.24</v>
      </c>
      <c r="N39" s="855">
        <f>(AH39*KFC!$B$27+KFC!$C$27)*KFC!$C$5</f>
        <v>94.25</v>
      </c>
      <c r="O39" s="855">
        <f>(AI39*KFC!$B$27+KFC!$C$27)*KFC!$C$5</f>
        <v>98.27</v>
      </c>
      <c r="P39" s="855">
        <f>(AJ39*KFC!$B$27+KFC!$C$27)*KFC!$C$5</f>
        <v>102.28999999999999</v>
      </c>
      <c r="Q39" s="855">
        <f>(AK39*KFC!$B$27+KFC!$C$27)*KFC!$C$5</f>
        <v>106.30999999999999</v>
      </c>
      <c r="R39" s="855">
        <f>(AL39*KFC!$B$27+KFC!$C$27)*KFC!$C$5</f>
        <v>110.32999999999998</v>
      </c>
      <c r="S39" s="855">
        <f>(AM39*KFC!$B$27+KFC!$C$27)*KFC!$C$5</f>
        <v>114.34999999999998</v>
      </c>
      <c r="T39" s="855">
        <f>(AN39*KFC!$B$27+KFC!$C$27)*KFC!$C$5</f>
        <v>118.36999999999998</v>
      </c>
      <c r="V39" s="851">
        <v>1.6</v>
      </c>
      <c r="W39" s="847">
        <v>49.13</v>
      </c>
      <c r="X39" s="847">
        <v>53.14</v>
      </c>
      <c r="Y39" s="847">
        <v>57.31</v>
      </c>
      <c r="Z39" s="847">
        <v>61.46</v>
      </c>
      <c r="AA39" s="847">
        <v>65.47</v>
      </c>
      <c r="AB39" s="847">
        <v>69.62</v>
      </c>
      <c r="AC39" s="847">
        <v>73.900000000000006</v>
      </c>
      <c r="AD39" s="847">
        <v>77.91</v>
      </c>
      <c r="AE39" s="847">
        <v>82.07</v>
      </c>
      <c r="AF39" s="847">
        <v>86.09</v>
      </c>
      <c r="AG39" s="847">
        <v>90.24</v>
      </c>
      <c r="AH39" s="847">
        <v>94.25</v>
      </c>
      <c r="AI39" s="848">
        <v>98.27</v>
      </c>
      <c r="AJ39" s="690">
        <f t="shared" si="4"/>
        <v>102.28999999999999</v>
      </c>
      <c r="AK39" s="690">
        <f t="shared" si="5"/>
        <v>106.30999999999999</v>
      </c>
      <c r="AL39" s="690">
        <f t="shared" si="5"/>
        <v>110.32999999999998</v>
      </c>
      <c r="AM39" s="690">
        <f t="shared" si="5"/>
        <v>114.34999999999998</v>
      </c>
      <c r="AN39" s="690">
        <f t="shared" si="5"/>
        <v>118.36999999999998</v>
      </c>
      <c r="AO39" s="690">
        <f t="shared" si="5"/>
        <v>122.38999999999997</v>
      </c>
      <c r="AP39" s="690">
        <f t="shared" si="5"/>
        <v>126.40999999999997</v>
      </c>
    </row>
    <row r="40" spans="1:42">
      <c r="A40" s="1816"/>
      <c r="B40" s="849">
        <v>1.7</v>
      </c>
      <c r="C40" s="855">
        <f>(W40*KFC!$B$27+KFC!$C$27)*KFC!$C$5</f>
        <v>50.75</v>
      </c>
      <c r="D40" s="855">
        <f>(X40*KFC!$B$27+KFC!$C$27)*KFC!$C$5</f>
        <v>55.02</v>
      </c>
      <c r="E40" s="855">
        <f>(Y40*KFC!$B$27+KFC!$C$27)*KFC!$C$5</f>
        <v>59.17</v>
      </c>
      <c r="F40" s="855">
        <f>(Z40*KFC!$B$27+KFC!$C$27)*KFC!$C$5</f>
        <v>63.33</v>
      </c>
      <c r="G40" s="855">
        <f>(AA40*KFC!$B$27+KFC!$C$27)*KFC!$C$5</f>
        <v>67.61</v>
      </c>
      <c r="H40" s="855">
        <f>(AB40*KFC!$B$27+KFC!$C$27)*KFC!$C$5</f>
        <v>71.760000000000005</v>
      </c>
      <c r="I40" s="855">
        <f>(AC40*KFC!$B$27+KFC!$C$27)*KFC!$C$5</f>
        <v>75.900000000000006</v>
      </c>
      <c r="J40" s="855">
        <f>(AD40*KFC!$B$27+KFC!$C$27)*KFC!$C$5</f>
        <v>80.06</v>
      </c>
      <c r="K40" s="855">
        <f>(AE40*KFC!$B$27+KFC!$C$27)*KFC!$C$5</f>
        <v>84.35</v>
      </c>
      <c r="L40" s="855">
        <f>(AF40*KFC!$B$27+KFC!$C$27)*KFC!$C$5</f>
        <v>88.62</v>
      </c>
      <c r="M40" s="855">
        <f>(AG40*KFC!$B$27+KFC!$C$27)*KFC!$C$5</f>
        <v>92.64</v>
      </c>
      <c r="N40" s="855">
        <f>(AH40*KFC!$B$27+KFC!$C$27)*KFC!$C$5</f>
        <v>96.93</v>
      </c>
      <c r="O40" s="855">
        <f>(AI40*KFC!$B$27+KFC!$C$27)*KFC!$C$5</f>
        <v>101.21</v>
      </c>
      <c r="P40" s="855">
        <f>(AJ40*KFC!$B$27+KFC!$C$27)*KFC!$C$5</f>
        <v>105.48999999999998</v>
      </c>
      <c r="Q40" s="855">
        <f>(AK40*KFC!$B$27+KFC!$C$27)*KFC!$C$5</f>
        <v>109.76999999999997</v>
      </c>
      <c r="R40" s="855">
        <f>(AL40*KFC!$B$27+KFC!$C$27)*KFC!$C$5</f>
        <v>114.04999999999995</v>
      </c>
      <c r="S40" s="855">
        <f>(AM40*KFC!$B$27+KFC!$C$27)*KFC!$C$5</f>
        <v>118.32999999999994</v>
      </c>
      <c r="T40" s="855">
        <f>(AN40*KFC!$B$27+KFC!$C$27)*KFC!$C$5</f>
        <v>122.60999999999993</v>
      </c>
      <c r="V40" s="851">
        <v>1.7</v>
      </c>
      <c r="W40" s="847">
        <v>50.75</v>
      </c>
      <c r="X40" s="847">
        <v>55.02</v>
      </c>
      <c r="Y40" s="847">
        <v>59.17</v>
      </c>
      <c r="Z40" s="847">
        <v>63.33</v>
      </c>
      <c r="AA40" s="847">
        <v>67.61</v>
      </c>
      <c r="AB40" s="847">
        <v>71.760000000000005</v>
      </c>
      <c r="AC40" s="847">
        <v>75.900000000000006</v>
      </c>
      <c r="AD40" s="847">
        <v>80.06</v>
      </c>
      <c r="AE40" s="847">
        <v>84.35</v>
      </c>
      <c r="AF40" s="847">
        <v>88.62</v>
      </c>
      <c r="AG40" s="847">
        <v>92.64</v>
      </c>
      <c r="AH40" s="847">
        <v>96.93</v>
      </c>
      <c r="AI40" s="848">
        <v>101.21</v>
      </c>
      <c r="AJ40" s="690">
        <f t="shared" si="4"/>
        <v>105.48999999999998</v>
      </c>
      <c r="AK40" s="690">
        <f t="shared" si="5"/>
        <v>109.76999999999997</v>
      </c>
      <c r="AL40" s="690">
        <f t="shared" si="5"/>
        <v>114.04999999999995</v>
      </c>
      <c r="AM40" s="690">
        <f t="shared" si="5"/>
        <v>118.32999999999994</v>
      </c>
      <c r="AN40" s="690">
        <f t="shared" si="5"/>
        <v>122.60999999999993</v>
      </c>
      <c r="AO40" s="690">
        <f t="shared" si="5"/>
        <v>126.88999999999992</v>
      </c>
      <c r="AP40" s="690">
        <f t="shared" si="5"/>
        <v>131.1699999999999</v>
      </c>
    </row>
    <row r="41" spans="1:42">
      <c r="A41" s="1816"/>
      <c r="B41" s="849">
        <v>1.8</v>
      </c>
      <c r="C41" s="855">
        <f>(W41*KFC!$B$27+KFC!$C$27)*KFC!$C$5</f>
        <v>52.34</v>
      </c>
      <c r="D41" s="855">
        <f>(X41*KFC!$B$27+KFC!$C$27)*KFC!$C$5</f>
        <v>56.64</v>
      </c>
      <c r="E41" s="855">
        <f>(Y41*KFC!$B$27+KFC!$C$27)*KFC!$C$5</f>
        <v>60.91</v>
      </c>
      <c r="F41" s="855">
        <f>(Z41*KFC!$B$27+KFC!$C$27)*KFC!$C$5</f>
        <v>65.34</v>
      </c>
      <c r="G41" s="855">
        <f>(AA41*KFC!$B$27+KFC!$C$27)*KFC!$C$5</f>
        <v>69.62</v>
      </c>
      <c r="H41" s="855">
        <f>(AB41*KFC!$B$27+KFC!$C$27)*KFC!$C$5</f>
        <v>73.900000000000006</v>
      </c>
      <c r="I41" s="855">
        <f>(AC41*KFC!$B$27+KFC!$C$27)*KFC!$C$5</f>
        <v>78.06</v>
      </c>
      <c r="J41" s="855">
        <f>(AD41*KFC!$B$27+KFC!$C$27)*KFC!$C$5</f>
        <v>82.33</v>
      </c>
      <c r="K41" s="855">
        <f>(AE41*KFC!$B$27+KFC!$C$27)*KFC!$C$5</f>
        <v>86.61</v>
      </c>
      <c r="L41" s="855">
        <f>(AF41*KFC!$B$27+KFC!$C$27)*KFC!$C$5</f>
        <v>91.04</v>
      </c>
      <c r="M41" s="855">
        <f>(AG41*KFC!$B$27+KFC!$C$27)*KFC!$C$5</f>
        <v>95.32</v>
      </c>
      <c r="N41" s="855">
        <f>(AH41*KFC!$B$27+KFC!$C$27)*KFC!$C$5</f>
        <v>99.6</v>
      </c>
      <c r="O41" s="855">
        <f>(AI41*KFC!$B$27+KFC!$C$27)*KFC!$C$5</f>
        <v>103.89</v>
      </c>
      <c r="P41" s="855">
        <f>(AJ41*KFC!$B$27+KFC!$C$27)*KFC!$C$5</f>
        <v>108.18</v>
      </c>
      <c r="Q41" s="855">
        <f>(AK41*KFC!$B$27+KFC!$C$27)*KFC!$C$5</f>
        <v>112.47000000000001</v>
      </c>
      <c r="R41" s="855">
        <f>(AL41*KFC!$B$27+KFC!$C$27)*KFC!$C$5</f>
        <v>116.76000000000002</v>
      </c>
      <c r="S41" s="855">
        <f>(AM41*KFC!$B$27+KFC!$C$27)*KFC!$C$5</f>
        <v>121.05000000000003</v>
      </c>
      <c r="T41" s="855">
        <f>(AN41*KFC!$B$27+KFC!$C$27)*KFC!$C$5</f>
        <v>125.34000000000003</v>
      </c>
      <c r="V41" s="851">
        <v>1.8</v>
      </c>
      <c r="W41" s="847">
        <v>52.34</v>
      </c>
      <c r="X41" s="847">
        <v>56.64</v>
      </c>
      <c r="Y41" s="847">
        <v>60.91</v>
      </c>
      <c r="Z41" s="847">
        <v>65.34</v>
      </c>
      <c r="AA41" s="847">
        <v>69.62</v>
      </c>
      <c r="AB41" s="847">
        <v>73.900000000000006</v>
      </c>
      <c r="AC41" s="847">
        <v>78.06</v>
      </c>
      <c r="AD41" s="847">
        <v>82.33</v>
      </c>
      <c r="AE41" s="847">
        <v>86.61</v>
      </c>
      <c r="AF41" s="847">
        <v>91.04</v>
      </c>
      <c r="AG41" s="847">
        <v>95.32</v>
      </c>
      <c r="AH41" s="847">
        <v>99.6</v>
      </c>
      <c r="AI41" s="848">
        <v>103.89</v>
      </c>
      <c r="AJ41" s="690">
        <f t="shared" si="4"/>
        <v>108.18</v>
      </c>
      <c r="AK41" s="690">
        <f t="shared" si="5"/>
        <v>112.47000000000001</v>
      </c>
      <c r="AL41" s="690">
        <f t="shared" si="5"/>
        <v>116.76000000000002</v>
      </c>
      <c r="AM41" s="690">
        <f t="shared" si="5"/>
        <v>121.05000000000003</v>
      </c>
      <c r="AN41" s="690">
        <f t="shared" si="5"/>
        <v>125.34000000000003</v>
      </c>
      <c r="AO41" s="690">
        <f t="shared" si="5"/>
        <v>129.63000000000005</v>
      </c>
      <c r="AP41" s="690">
        <f t="shared" si="5"/>
        <v>133.92000000000007</v>
      </c>
    </row>
    <row r="42" spans="1:42">
      <c r="A42" s="1816"/>
      <c r="B42" s="849">
        <v>1.9</v>
      </c>
      <c r="C42" s="855">
        <f>(W42*KFC!$B$27+KFC!$C$27)*KFC!$C$5</f>
        <v>54.09</v>
      </c>
      <c r="D42" s="855">
        <f>(X42*KFC!$B$27+KFC!$C$27)*KFC!$C$5</f>
        <v>58.5</v>
      </c>
      <c r="E42" s="855">
        <f>(Y42*KFC!$B$27+KFC!$C$27)*KFC!$C$5</f>
        <v>62.66</v>
      </c>
      <c r="F42" s="855">
        <f>(Z42*KFC!$B$27+KFC!$C$27)*KFC!$C$5</f>
        <v>67.069999999999993</v>
      </c>
      <c r="G42" s="855">
        <f>(AA42*KFC!$B$27+KFC!$C$27)*KFC!$C$5</f>
        <v>71.489999999999995</v>
      </c>
      <c r="H42" s="855">
        <f>(AB42*KFC!$B$27+KFC!$C$27)*KFC!$C$5</f>
        <v>75.900000000000006</v>
      </c>
      <c r="I42" s="855">
        <f>(AC42*KFC!$B$27+KFC!$C$27)*KFC!$C$5</f>
        <v>80.2</v>
      </c>
      <c r="J42" s="855">
        <f>(AD42*KFC!$B$27+KFC!$C$27)*KFC!$C$5</f>
        <v>84.61</v>
      </c>
      <c r="K42" s="855">
        <f>(AE42*KFC!$B$27+KFC!$C$27)*KFC!$C$5</f>
        <v>89.03</v>
      </c>
      <c r="L42" s="855">
        <f>(AF42*KFC!$B$27+KFC!$C$27)*KFC!$C$5</f>
        <v>93.45</v>
      </c>
      <c r="M42" s="855">
        <f>(AG42*KFC!$B$27+KFC!$C$27)*KFC!$C$5</f>
        <v>97.73</v>
      </c>
      <c r="N42" s="855">
        <f>(AH42*KFC!$B$27+KFC!$C$27)*KFC!$C$5</f>
        <v>102.15</v>
      </c>
      <c r="O42" s="855">
        <f>(AI42*KFC!$B$27+KFC!$C$27)*KFC!$C$5</f>
        <v>106.56</v>
      </c>
      <c r="P42" s="855">
        <f>(AJ42*KFC!$B$27+KFC!$C$27)*KFC!$C$5</f>
        <v>110.97</v>
      </c>
      <c r="Q42" s="855">
        <f>(AK42*KFC!$B$27+KFC!$C$27)*KFC!$C$5</f>
        <v>115.38</v>
      </c>
      <c r="R42" s="855">
        <f>(AL42*KFC!$B$27+KFC!$C$27)*KFC!$C$5</f>
        <v>119.78999999999999</v>
      </c>
      <c r="S42" s="855">
        <f>(AM42*KFC!$B$27+KFC!$C$27)*KFC!$C$5</f>
        <v>124.19999999999999</v>
      </c>
      <c r="T42" s="855">
        <f>(AN42*KFC!$B$27+KFC!$C$27)*KFC!$C$5</f>
        <v>128.60999999999999</v>
      </c>
      <c r="V42" s="851">
        <v>1.9</v>
      </c>
      <c r="W42" s="847">
        <v>54.09</v>
      </c>
      <c r="X42" s="847">
        <v>58.5</v>
      </c>
      <c r="Y42" s="847">
        <v>62.66</v>
      </c>
      <c r="Z42" s="847">
        <v>67.069999999999993</v>
      </c>
      <c r="AA42" s="847">
        <v>71.489999999999995</v>
      </c>
      <c r="AB42" s="847">
        <v>75.900000000000006</v>
      </c>
      <c r="AC42" s="847">
        <v>80.2</v>
      </c>
      <c r="AD42" s="847">
        <v>84.61</v>
      </c>
      <c r="AE42" s="847">
        <v>89.03</v>
      </c>
      <c r="AF42" s="847">
        <v>93.45</v>
      </c>
      <c r="AG42" s="847">
        <v>97.73</v>
      </c>
      <c r="AH42" s="847">
        <v>102.15</v>
      </c>
      <c r="AI42" s="848">
        <v>106.56</v>
      </c>
      <c r="AJ42" s="690">
        <f t="shared" si="4"/>
        <v>110.97</v>
      </c>
      <c r="AK42" s="690">
        <f t="shared" si="5"/>
        <v>115.38</v>
      </c>
      <c r="AL42" s="690">
        <f t="shared" si="5"/>
        <v>119.78999999999999</v>
      </c>
      <c r="AM42" s="690">
        <f t="shared" si="5"/>
        <v>124.19999999999999</v>
      </c>
      <c r="AN42" s="690">
        <f t="shared" si="5"/>
        <v>128.60999999999999</v>
      </c>
      <c r="AO42" s="690">
        <f t="shared" si="5"/>
        <v>133.01999999999998</v>
      </c>
      <c r="AP42" s="690">
        <f t="shared" si="5"/>
        <v>137.42999999999998</v>
      </c>
    </row>
    <row r="43" spans="1:42">
      <c r="A43" s="1816"/>
      <c r="B43" s="849">
        <v>2</v>
      </c>
      <c r="C43" s="855">
        <f>(W43*KFC!$B$27+KFC!$C$27)*KFC!$C$5</f>
        <v>55.69</v>
      </c>
      <c r="D43" s="855">
        <f>(X43*KFC!$B$27+KFC!$C$27)*KFC!$C$5</f>
        <v>60.11</v>
      </c>
      <c r="E43" s="855">
        <f>(Y43*KFC!$B$27+KFC!$C$27)*KFC!$C$5</f>
        <v>64.67</v>
      </c>
      <c r="F43" s="855">
        <f>(Z43*KFC!$B$27+KFC!$C$27)*KFC!$C$5</f>
        <v>69.08</v>
      </c>
      <c r="G43" s="855">
        <f>(AA43*KFC!$B$27+KFC!$C$27)*KFC!$C$5</f>
        <v>73.5</v>
      </c>
      <c r="H43" s="855">
        <f>(AB43*KFC!$B$27+KFC!$C$27)*KFC!$C$5</f>
        <v>77.91</v>
      </c>
      <c r="I43" s="855">
        <f>(AC43*KFC!$B$27+KFC!$C$27)*KFC!$C$5</f>
        <v>82.47</v>
      </c>
      <c r="J43" s="855">
        <f>(AD43*KFC!$B$27+KFC!$C$27)*KFC!$C$5</f>
        <v>86.89</v>
      </c>
      <c r="K43" s="855">
        <f>(AE43*KFC!$B$27+KFC!$C$27)*KFC!$C$5</f>
        <v>91.3</v>
      </c>
      <c r="L43" s="855">
        <f>(AF43*KFC!$B$27+KFC!$C$27)*KFC!$C$5</f>
        <v>95.72</v>
      </c>
      <c r="M43" s="855">
        <f>(AG43*KFC!$B$27+KFC!$C$27)*KFC!$C$5</f>
        <v>100.41</v>
      </c>
      <c r="N43" s="855">
        <f>(AH43*KFC!$B$27+KFC!$C$27)*KFC!$C$5</f>
        <v>104.83</v>
      </c>
      <c r="O43" s="855">
        <f>(AI43*KFC!$B$27+KFC!$C$27)*KFC!$C$5</f>
        <v>109.24</v>
      </c>
      <c r="P43" s="855">
        <f>(AJ43*KFC!$B$27+KFC!$C$27)*KFC!$C$5</f>
        <v>113.64999999999999</v>
      </c>
      <c r="Q43" s="855">
        <f>(AK43*KFC!$B$27+KFC!$C$27)*KFC!$C$5</f>
        <v>118.05999999999999</v>
      </c>
      <c r="R43" s="855">
        <f>(AL43*KFC!$B$27+KFC!$C$27)*KFC!$C$5</f>
        <v>122.46999999999998</v>
      </c>
      <c r="S43" s="855">
        <f>(AM43*KFC!$B$27+KFC!$C$27)*KFC!$C$5</f>
        <v>126.87999999999998</v>
      </c>
      <c r="T43" s="855">
        <f>(AN43*KFC!$B$27+KFC!$C$27)*KFC!$C$5</f>
        <v>131.28999999999996</v>
      </c>
      <c r="V43" s="851">
        <v>2</v>
      </c>
      <c r="W43" s="847">
        <v>55.69</v>
      </c>
      <c r="X43" s="847">
        <v>60.11</v>
      </c>
      <c r="Y43" s="847">
        <v>64.67</v>
      </c>
      <c r="Z43" s="847">
        <v>69.08</v>
      </c>
      <c r="AA43" s="847">
        <v>73.5</v>
      </c>
      <c r="AB43" s="847">
        <v>77.91</v>
      </c>
      <c r="AC43" s="847">
        <v>82.47</v>
      </c>
      <c r="AD43" s="847">
        <v>86.89</v>
      </c>
      <c r="AE43" s="847">
        <v>91.3</v>
      </c>
      <c r="AF43" s="847">
        <v>95.72</v>
      </c>
      <c r="AG43" s="847">
        <v>100.41</v>
      </c>
      <c r="AH43" s="847">
        <v>104.83</v>
      </c>
      <c r="AI43" s="848">
        <v>109.24</v>
      </c>
      <c r="AJ43" s="690">
        <f t="shared" si="4"/>
        <v>113.64999999999999</v>
      </c>
      <c r="AK43" s="690">
        <f t="shared" si="5"/>
        <v>118.05999999999999</v>
      </c>
      <c r="AL43" s="690">
        <f t="shared" si="5"/>
        <v>122.46999999999998</v>
      </c>
      <c r="AM43" s="690">
        <f t="shared" si="5"/>
        <v>126.87999999999998</v>
      </c>
      <c r="AN43" s="690">
        <f t="shared" si="5"/>
        <v>131.28999999999996</v>
      </c>
      <c r="AO43" s="690">
        <f t="shared" si="5"/>
        <v>135.69999999999993</v>
      </c>
      <c r="AP43" s="690">
        <f t="shared" si="5"/>
        <v>140.1099999999999</v>
      </c>
    </row>
    <row r="44" spans="1:42">
      <c r="A44" s="1816"/>
      <c r="B44" s="849">
        <v>2.1</v>
      </c>
      <c r="C44" s="855">
        <f>(W44*KFC!$B$27+KFC!$C$27)*KFC!$C$5</f>
        <v>57.31</v>
      </c>
      <c r="D44" s="855">
        <f>(X44*KFC!$B$27+KFC!$C$27)*KFC!$C$5</f>
        <v>61.72</v>
      </c>
      <c r="E44" s="855">
        <f>(Y44*KFC!$B$27+KFC!$C$27)*KFC!$C$5</f>
        <v>66.680000000000007</v>
      </c>
      <c r="F44" s="855">
        <f>(Z44*KFC!$B$27+KFC!$C$27)*KFC!$C$5</f>
        <v>71.09</v>
      </c>
      <c r="G44" s="855">
        <f>(AA44*KFC!$B$27+KFC!$C$27)*KFC!$C$5</f>
        <v>75.510000000000005</v>
      </c>
      <c r="H44" s="855">
        <f>(AB44*KFC!$B$27+KFC!$C$27)*KFC!$C$5</f>
        <v>79.92</v>
      </c>
      <c r="I44" s="855">
        <f>(AC44*KFC!$B$27+KFC!$C$27)*KFC!$C$5</f>
        <v>84.75</v>
      </c>
      <c r="J44" s="855">
        <f>(AD44*KFC!$B$27+KFC!$C$27)*KFC!$C$5</f>
        <v>89.16</v>
      </c>
      <c r="K44" s="855">
        <f>(AE44*KFC!$B$27+KFC!$C$27)*KFC!$C$5</f>
        <v>93.59</v>
      </c>
      <c r="L44" s="855">
        <f>(AF44*KFC!$B$27+KFC!$C$27)*KFC!$C$5</f>
        <v>98</v>
      </c>
      <c r="M44" s="855">
        <f>(AG44*KFC!$B$27+KFC!$C$27)*KFC!$C$5</f>
        <v>103.09</v>
      </c>
      <c r="N44" s="855">
        <f>(AH44*KFC!$B$27+KFC!$C$27)*KFC!$C$5</f>
        <v>107.51</v>
      </c>
      <c r="O44" s="855">
        <f>(AI44*KFC!$B$27+KFC!$C$27)*KFC!$C$5</f>
        <v>111.92</v>
      </c>
      <c r="P44" s="855">
        <f>(AJ44*KFC!$B$27+KFC!$C$27)*KFC!$C$5</f>
        <v>116.33</v>
      </c>
      <c r="Q44" s="855">
        <f>(AK44*KFC!$B$27+KFC!$C$27)*KFC!$C$5</f>
        <v>120.74</v>
      </c>
      <c r="R44" s="855">
        <f>(AL44*KFC!$B$27+KFC!$C$27)*KFC!$C$5</f>
        <v>125.14999999999999</v>
      </c>
      <c r="S44" s="855">
        <f>(AM44*KFC!$B$27+KFC!$C$27)*KFC!$C$5</f>
        <v>129.56</v>
      </c>
      <c r="T44" s="855">
        <f>(AN44*KFC!$B$27+KFC!$C$27)*KFC!$C$5</f>
        <v>133.97000000000003</v>
      </c>
      <c r="V44" s="851">
        <v>2.1</v>
      </c>
      <c r="W44" s="847">
        <v>57.31</v>
      </c>
      <c r="X44" s="847">
        <v>61.72</v>
      </c>
      <c r="Y44" s="847">
        <v>66.680000000000007</v>
      </c>
      <c r="Z44" s="847">
        <v>71.09</v>
      </c>
      <c r="AA44" s="847">
        <v>75.510000000000005</v>
      </c>
      <c r="AB44" s="847">
        <v>79.92</v>
      </c>
      <c r="AC44" s="847">
        <v>84.75</v>
      </c>
      <c r="AD44" s="847">
        <v>89.16</v>
      </c>
      <c r="AE44" s="847">
        <v>93.59</v>
      </c>
      <c r="AF44" s="847">
        <v>98</v>
      </c>
      <c r="AG44" s="847">
        <v>103.09</v>
      </c>
      <c r="AH44" s="847">
        <v>107.51</v>
      </c>
      <c r="AI44" s="848">
        <v>111.92</v>
      </c>
      <c r="AJ44" s="690">
        <f t="shared" si="4"/>
        <v>116.33</v>
      </c>
      <c r="AK44" s="690">
        <f t="shared" ref="AK44:AP44" si="6">AJ44-AI44+AJ44</f>
        <v>120.74</v>
      </c>
      <c r="AL44" s="690">
        <f t="shared" si="6"/>
        <v>125.14999999999999</v>
      </c>
      <c r="AM44" s="690">
        <f t="shared" si="6"/>
        <v>129.56</v>
      </c>
      <c r="AN44" s="690">
        <f t="shared" si="6"/>
        <v>133.97000000000003</v>
      </c>
      <c r="AO44" s="690">
        <f t="shared" si="6"/>
        <v>138.38000000000005</v>
      </c>
      <c r="AP44" s="690">
        <f t="shared" si="6"/>
        <v>142.79000000000008</v>
      </c>
    </row>
    <row r="45" spans="1:42" ht="13.8" thickBot="1">
      <c r="A45" s="1817"/>
      <c r="B45" s="849">
        <v>2.2000000000000002</v>
      </c>
      <c r="C45" s="855">
        <f>(W45*KFC!$B$27+KFC!$C$27)*KFC!$C$5</f>
        <v>58.91</v>
      </c>
      <c r="D45" s="855">
        <f>(X45*KFC!$B$27+KFC!$C$27)*KFC!$C$5</f>
        <v>63.33</v>
      </c>
      <c r="E45" s="855">
        <f>(Y45*KFC!$B$27+KFC!$C$27)*KFC!$C$5</f>
        <v>68.680000000000007</v>
      </c>
      <c r="F45" s="855">
        <f>(Z45*KFC!$B$27+KFC!$C$27)*KFC!$C$5</f>
        <v>73.09</v>
      </c>
      <c r="G45" s="855">
        <f>(AA45*KFC!$B$27+KFC!$C$27)*KFC!$C$5</f>
        <v>77.52</v>
      </c>
      <c r="H45" s="855">
        <f>(AB45*KFC!$B$27+KFC!$C$27)*KFC!$C$5</f>
        <v>81.93</v>
      </c>
      <c r="I45" s="855">
        <f>(AC45*KFC!$B$27+KFC!$C$27)*KFC!$C$5</f>
        <v>87.02</v>
      </c>
      <c r="J45" s="855">
        <f>(AD45*KFC!$B$27+KFC!$C$27)*KFC!$C$5</f>
        <v>91.44</v>
      </c>
      <c r="K45" s="855">
        <f>(AE45*KFC!$B$27+KFC!$C$27)*KFC!$C$5</f>
        <v>95.85</v>
      </c>
      <c r="L45" s="855">
        <f>(AF45*KFC!$B$27+KFC!$C$27)*KFC!$C$5</f>
        <v>100.28</v>
      </c>
      <c r="M45" s="855">
        <f>(AG45*KFC!$B$27+KFC!$C$27)*KFC!$C$5</f>
        <v>105.77</v>
      </c>
      <c r="N45" s="855">
        <f>(AH45*KFC!$B$27+KFC!$C$27)*KFC!$C$5</f>
        <v>110.19</v>
      </c>
      <c r="O45" s="855">
        <f>(AI45*KFC!$B$27+KFC!$C$27)*KFC!$C$5</f>
        <v>114.6</v>
      </c>
      <c r="P45" s="855">
        <f>(AJ45*KFC!$B$27+KFC!$C$27)*KFC!$C$5</f>
        <v>119.00999999999999</v>
      </c>
      <c r="Q45" s="855">
        <f>(AK45*KFC!$B$27+KFC!$C$27)*KFC!$C$5</f>
        <v>123.41999999999999</v>
      </c>
      <c r="R45" s="855">
        <f>(AL45*KFC!$B$27+KFC!$C$27)*KFC!$C$5</f>
        <v>127.82999999999998</v>
      </c>
      <c r="S45" s="855">
        <f>(AM45*KFC!$B$27+KFC!$C$27)*KFC!$C$5</f>
        <v>132.23999999999998</v>
      </c>
      <c r="T45" s="855">
        <f>(AN45*KFC!$B$27+KFC!$C$27)*KFC!$C$5</f>
        <v>136.64999999999998</v>
      </c>
      <c r="V45" s="851">
        <v>2.2000000000000002</v>
      </c>
      <c r="W45" s="847">
        <v>58.91</v>
      </c>
      <c r="X45" s="847">
        <v>63.33</v>
      </c>
      <c r="Y45" s="847">
        <v>68.680000000000007</v>
      </c>
      <c r="Z45" s="847">
        <v>73.09</v>
      </c>
      <c r="AA45" s="847">
        <v>77.52</v>
      </c>
      <c r="AB45" s="847">
        <v>81.93</v>
      </c>
      <c r="AC45" s="847">
        <v>87.02</v>
      </c>
      <c r="AD45" s="847">
        <v>91.44</v>
      </c>
      <c r="AE45" s="847">
        <v>95.85</v>
      </c>
      <c r="AF45" s="847">
        <v>100.28</v>
      </c>
      <c r="AG45" s="847">
        <v>105.77</v>
      </c>
      <c r="AH45" s="847">
        <v>110.19</v>
      </c>
      <c r="AI45" s="848">
        <v>114.6</v>
      </c>
      <c r="AJ45" s="690">
        <f t="shared" ref="AJ45:AP45" si="7">AI45-AH45+AI45</f>
        <v>119.00999999999999</v>
      </c>
      <c r="AK45" s="690">
        <f t="shared" si="7"/>
        <v>123.41999999999999</v>
      </c>
      <c r="AL45" s="690">
        <f t="shared" si="7"/>
        <v>127.82999999999998</v>
      </c>
      <c r="AM45" s="690">
        <f t="shared" si="7"/>
        <v>132.23999999999998</v>
      </c>
      <c r="AN45" s="690">
        <f t="shared" si="7"/>
        <v>136.64999999999998</v>
      </c>
      <c r="AO45" s="690">
        <f t="shared" si="7"/>
        <v>141.05999999999997</v>
      </c>
      <c r="AP45" s="690">
        <f t="shared" si="7"/>
        <v>145.46999999999997</v>
      </c>
    </row>
    <row r="46" spans="1:42" ht="13.8" thickBot="1">
      <c r="A46" s="249"/>
      <c r="B46" s="249"/>
      <c r="C46" s="249"/>
      <c r="D46" s="249"/>
      <c r="E46" s="249"/>
      <c r="F46" s="249"/>
      <c r="G46" s="249"/>
      <c r="H46" s="249"/>
      <c r="I46" s="249"/>
      <c r="J46" s="249"/>
      <c r="K46" s="249"/>
      <c r="L46" s="249"/>
    </row>
    <row r="47" spans="1:42" ht="13.95" customHeight="1" thickBot="1">
      <c r="A47" s="1413" t="s">
        <v>315</v>
      </c>
      <c r="B47" s="1415"/>
      <c r="C47" s="1534" t="s">
        <v>207</v>
      </c>
      <c r="D47" s="1535"/>
      <c r="E47" s="1535"/>
      <c r="F47" s="1535"/>
      <c r="G47" s="1535"/>
      <c r="H47" s="1535"/>
      <c r="I47" s="1535"/>
      <c r="J47" s="1535"/>
      <c r="K47" s="1535"/>
      <c r="L47" s="1535"/>
      <c r="M47" s="1535"/>
      <c r="N47" s="1535"/>
      <c r="O47" s="1535"/>
      <c r="P47" s="1535"/>
      <c r="Q47" s="1535"/>
      <c r="R47" s="1535"/>
      <c r="S47" s="1535"/>
      <c r="T47" s="1535"/>
    </row>
    <row r="48" spans="1:42" ht="13.8" thickBot="1">
      <c r="A48" s="1803"/>
      <c r="B48" s="1802"/>
      <c r="C48" s="428">
        <v>0.4</v>
      </c>
      <c r="D48" s="428">
        <v>0.5</v>
      </c>
      <c r="E48" s="428">
        <v>0.6</v>
      </c>
      <c r="F48" s="428">
        <v>0.7</v>
      </c>
      <c r="G48" s="428">
        <v>0.8</v>
      </c>
      <c r="H48" s="428">
        <v>0.9</v>
      </c>
      <c r="I48" s="428">
        <v>1</v>
      </c>
      <c r="J48" s="428">
        <v>1.1000000000000001</v>
      </c>
      <c r="K48" s="428">
        <v>1.2</v>
      </c>
      <c r="L48" s="428">
        <v>1.3</v>
      </c>
      <c r="M48" s="428">
        <v>1.4</v>
      </c>
      <c r="N48" s="428">
        <v>1.5</v>
      </c>
      <c r="O48" s="428">
        <v>1.6</v>
      </c>
      <c r="P48" s="428">
        <v>1.7</v>
      </c>
      <c r="Q48" s="428">
        <v>1.8</v>
      </c>
      <c r="R48" s="428">
        <v>1.9</v>
      </c>
      <c r="S48" s="428">
        <v>2</v>
      </c>
      <c r="T48" s="428">
        <v>2.1</v>
      </c>
      <c r="V48" s="850"/>
      <c r="W48" s="851">
        <v>0.4</v>
      </c>
      <c r="X48" s="851">
        <v>0.5</v>
      </c>
      <c r="Y48" s="851">
        <v>0.6</v>
      </c>
      <c r="Z48" s="851">
        <v>0.7</v>
      </c>
      <c r="AA48" s="851">
        <v>0.8</v>
      </c>
      <c r="AB48" s="851">
        <v>0.9</v>
      </c>
      <c r="AC48" s="851">
        <v>1</v>
      </c>
      <c r="AD48" s="851">
        <v>1.1000000000000001</v>
      </c>
      <c r="AE48" s="851">
        <v>1.2</v>
      </c>
      <c r="AF48" s="851">
        <v>1.3</v>
      </c>
      <c r="AG48" s="851">
        <v>1.4</v>
      </c>
      <c r="AH48" s="851">
        <v>1.5</v>
      </c>
      <c r="AI48" s="852">
        <v>1.6</v>
      </c>
      <c r="AJ48" s="853">
        <v>1.7</v>
      </c>
      <c r="AK48" s="853">
        <v>1.8</v>
      </c>
      <c r="AL48" s="853">
        <v>1.9</v>
      </c>
      <c r="AM48" s="853">
        <v>2</v>
      </c>
      <c r="AN48" s="853">
        <v>2.1</v>
      </c>
      <c r="AO48" s="853">
        <v>2.2000000000000002</v>
      </c>
      <c r="AP48" s="853">
        <v>2.2999999999999998</v>
      </c>
    </row>
    <row r="49" spans="1:42" ht="13.2" customHeight="1">
      <c r="A49" s="1815" t="s">
        <v>3</v>
      </c>
      <c r="B49" s="849">
        <v>0.5</v>
      </c>
      <c r="C49" s="855">
        <f>(W49*KFC!$B$27+KFC!$C$27)*KFC!$C$5</f>
        <v>37.619999999999997</v>
      </c>
      <c r="D49" s="855">
        <f>(X49*KFC!$B$27+KFC!$C$27)*KFC!$C$5</f>
        <v>40.96</v>
      </c>
      <c r="E49" s="855">
        <f>(Y49*KFC!$B$27+KFC!$C$27)*KFC!$C$5</f>
        <v>44.18</v>
      </c>
      <c r="F49" s="855">
        <f>(Z49*KFC!$B$27+KFC!$C$27)*KFC!$C$5</f>
        <v>47.52</v>
      </c>
      <c r="G49" s="855">
        <f>(AA49*KFC!$B$27+KFC!$C$27)*KFC!$C$5</f>
        <v>50.75</v>
      </c>
      <c r="H49" s="855">
        <f>(AB49*KFC!$B$27+KFC!$C$27)*KFC!$C$5</f>
        <v>54.09</v>
      </c>
      <c r="I49" s="855">
        <f>(AC49*KFC!$B$27+KFC!$C$27)*KFC!$C$5</f>
        <v>57.31</v>
      </c>
      <c r="J49" s="855">
        <f>(AD49*KFC!$B$27+KFC!$C$27)*KFC!$C$5</f>
        <v>60.65</v>
      </c>
      <c r="K49" s="855">
        <f>(AE49*KFC!$B$27+KFC!$C$27)*KFC!$C$5</f>
        <v>63.85</v>
      </c>
      <c r="L49" s="855">
        <f>(AF49*KFC!$B$27+KFC!$C$27)*KFC!$C$5</f>
        <v>67.069999999999993</v>
      </c>
      <c r="M49" s="855">
        <f>(AG49*KFC!$B$27+KFC!$C$27)*KFC!$C$5</f>
        <v>70.41</v>
      </c>
      <c r="N49" s="855">
        <f>(AH49*KFC!$B$27+KFC!$C$27)*KFC!$C$5</f>
        <v>73.760000000000005</v>
      </c>
      <c r="O49" s="855">
        <f>(AI49*KFC!$B$27+KFC!$C$27)*KFC!$C$5</f>
        <v>77.11</v>
      </c>
      <c r="P49" s="855">
        <f>(AJ49*KFC!$B$27+KFC!$C$27)*KFC!$C$5</f>
        <v>80.459999999999994</v>
      </c>
      <c r="Q49" s="855">
        <f>(AK49*KFC!$B$27+KFC!$C$27)*KFC!$C$5</f>
        <v>83.809999999999988</v>
      </c>
      <c r="R49" s="855">
        <f>(AL49*KFC!$B$27+KFC!$C$27)*KFC!$C$5</f>
        <v>87.159999999999982</v>
      </c>
      <c r="S49" s="855">
        <f>(AM49*KFC!$B$27+KFC!$C$27)*KFC!$C$5</f>
        <v>90.509999999999977</v>
      </c>
      <c r="T49" s="855">
        <f>(AN49*KFC!$B$27+KFC!$C$27)*KFC!$C$5</f>
        <v>93.859999999999971</v>
      </c>
      <c r="V49" s="851">
        <v>0.5</v>
      </c>
      <c r="W49" s="847">
        <v>37.619999999999997</v>
      </c>
      <c r="X49" s="847">
        <v>40.96</v>
      </c>
      <c r="Y49" s="847">
        <v>44.18</v>
      </c>
      <c r="Z49" s="847">
        <v>47.52</v>
      </c>
      <c r="AA49" s="847">
        <v>50.75</v>
      </c>
      <c r="AB49" s="847">
        <v>54.09</v>
      </c>
      <c r="AC49" s="847">
        <v>57.31</v>
      </c>
      <c r="AD49" s="847">
        <v>60.65</v>
      </c>
      <c r="AE49" s="847">
        <v>63.85</v>
      </c>
      <c r="AF49" s="847">
        <v>67.069999999999993</v>
      </c>
      <c r="AG49" s="847">
        <v>70.41</v>
      </c>
      <c r="AH49" s="847">
        <v>73.760000000000005</v>
      </c>
      <c r="AI49" s="848">
        <v>77.11</v>
      </c>
      <c r="AJ49" s="690">
        <f t="shared" ref="AJ49:AJ66" si="8">AI49-AH49+AI49</f>
        <v>80.459999999999994</v>
      </c>
      <c r="AK49" s="690">
        <f t="shared" ref="AK49:AP64" si="9">AJ49-AI49+AJ49</f>
        <v>83.809999999999988</v>
      </c>
      <c r="AL49" s="690">
        <f t="shared" si="9"/>
        <v>87.159999999999982</v>
      </c>
      <c r="AM49" s="690">
        <f t="shared" si="9"/>
        <v>90.509999999999977</v>
      </c>
      <c r="AN49" s="690">
        <f t="shared" si="9"/>
        <v>93.859999999999971</v>
      </c>
      <c r="AO49" s="690">
        <f t="shared" si="9"/>
        <v>97.209999999999965</v>
      </c>
      <c r="AP49" s="690">
        <f t="shared" si="9"/>
        <v>100.55999999999996</v>
      </c>
    </row>
    <row r="50" spans="1:42">
      <c r="A50" s="1816"/>
      <c r="B50" s="849">
        <v>0.6</v>
      </c>
      <c r="C50" s="855">
        <f>(W50*KFC!$B$27+KFC!$C$27)*KFC!$C$5</f>
        <v>39.75</v>
      </c>
      <c r="D50" s="855">
        <f>(X50*KFC!$B$27+KFC!$C$27)*KFC!$C$5</f>
        <v>43.25</v>
      </c>
      <c r="E50" s="855">
        <f>(Y50*KFC!$B$27+KFC!$C$27)*KFC!$C$5</f>
        <v>46.73</v>
      </c>
      <c r="F50" s="855">
        <f>(Z50*KFC!$B$27+KFC!$C$27)*KFC!$C$5</f>
        <v>50.07</v>
      </c>
      <c r="G50" s="855">
        <f>(AA50*KFC!$B$27+KFC!$C$27)*KFC!$C$5</f>
        <v>53.55</v>
      </c>
      <c r="H50" s="855">
        <f>(AB50*KFC!$B$27+KFC!$C$27)*KFC!$C$5</f>
        <v>57.03</v>
      </c>
      <c r="I50" s="855">
        <f>(AC50*KFC!$B$27+KFC!$C$27)*KFC!$C$5</f>
        <v>60.38</v>
      </c>
      <c r="J50" s="855">
        <f>(AD50*KFC!$B$27+KFC!$C$27)*KFC!$C$5</f>
        <v>63.85</v>
      </c>
      <c r="K50" s="855">
        <f>(AE50*KFC!$B$27+KFC!$C$27)*KFC!$C$5</f>
        <v>67.349999999999994</v>
      </c>
      <c r="L50" s="855">
        <f>(AF50*KFC!$B$27+KFC!$C$27)*KFC!$C$5</f>
        <v>70.7</v>
      </c>
      <c r="M50" s="855">
        <f>(AG50*KFC!$B$27+KFC!$C$27)*KFC!$C$5</f>
        <v>74.17</v>
      </c>
      <c r="N50" s="855">
        <f>(AH50*KFC!$B$27+KFC!$C$27)*KFC!$C$5</f>
        <v>77.650000000000006</v>
      </c>
      <c r="O50" s="855">
        <f>(AI50*KFC!$B$27+KFC!$C$27)*KFC!$C$5</f>
        <v>81.12</v>
      </c>
      <c r="P50" s="855">
        <f>(AJ50*KFC!$B$27+KFC!$C$27)*KFC!$C$5</f>
        <v>84.59</v>
      </c>
      <c r="Q50" s="855">
        <f>(AK50*KFC!$B$27+KFC!$C$27)*KFC!$C$5</f>
        <v>88.06</v>
      </c>
      <c r="R50" s="855">
        <f>(AL50*KFC!$B$27+KFC!$C$27)*KFC!$C$5</f>
        <v>91.53</v>
      </c>
      <c r="S50" s="855">
        <f>(AM50*KFC!$B$27+KFC!$C$27)*KFC!$C$5</f>
        <v>95</v>
      </c>
      <c r="T50" s="855">
        <f>(AN50*KFC!$B$27+KFC!$C$27)*KFC!$C$5</f>
        <v>98.47</v>
      </c>
      <c r="V50" s="851">
        <v>0.6</v>
      </c>
      <c r="W50" s="847">
        <v>39.75</v>
      </c>
      <c r="X50" s="847">
        <v>43.25</v>
      </c>
      <c r="Y50" s="847">
        <v>46.73</v>
      </c>
      <c r="Z50" s="847">
        <v>50.07</v>
      </c>
      <c r="AA50" s="847">
        <v>53.55</v>
      </c>
      <c r="AB50" s="847">
        <v>57.03</v>
      </c>
      <c r="AC50" s="847">
        <v>60.38</v>
      </c>
      <c r="AD50" s="847">
        <v>63.85</v>
      </c>
      <c r="AE50" s="847">
        <v>67.349999999999994</v>
      </c>
      <c r="AF50" s="847">
        <v>70.7</v>
      </c>
      <c r="AG50" s="847">
        <v>74.17</v>
      </c>
      <c r="AH50" s="847">
        <v>77.650000000000006</v>
      </c>
      <c r="AI50" s="848">
        <v>81.12</v>
      </c>
      <c r="AJ50" s="690">
        <f t="shared" si="8"/>
        <v>84.59</v>
      </c>
      <c r="AK50" s="690">
        <f t="shared" si="9"/>
        <v>88.06</v>
      </c>
      <c r="AL50" s="690">
        <f t="shared" si="9"/>
        <v>91.53</v>
      </c>
      <c r="AM50" s="690">
        <f t="shared" si="9"/>
        <v>95</v>
      </c>
      <c r="AN50" s="690">
        <f t="shared" si="9"/>
        <v>98.47</v>
      </c>
      <c r="AO50" s="690">
        <f t="shared" si="9"/>
        <v>101.94</v>
      </c>
      <c r="AP50" s="690">
        <f t="shared" si="9"/>
        <v>105.41</v>
      </c>
    </row>
    <row r="51" spans="1:42">
      <c r="A51" s="1816"/>
      <c r="B51" s="849">
        <v>0.7</v>
      </c>
      <c r="C51" s="855">
        <f>(W51*KFC!$B$27+KFC!$C$27)*KFC!$C$5</f>
        <v>42.04</v>
      </c>
      <c r="D51" s="855">
        <f>(X51*KFC!$B$27+KFC!$C$27)*KFC!$C$5</f>
        <v>45.65</v>
      </c>
      <c r="E51" s="855">
        <f>(Y51*KFC!$B$27+KFC!$C$27)*KFC!$C$5</f>
        <v>49.4</v>
      </c>
      <c r="F51" s="855">
        <f>(Z51*KFC!$B$27+KFC!$C$27)*KFC!$C$5</f>
        <v>52.75</v>
      </c>
      <c r="G51" s="855">
        <f>(AA51*KFC!$B$27+KFC!$C$27)*KFC!$C$5</f>
        <v>56.36</v>
      </c>
      <c r="H51" s="855">
        <f>(AB51*KFC!$B$27+KFC!$C$27)*KFC!$C$5</f>
        <v>59.99</v>
      </c>
      <c r="I51" s="855">
        <f>(AC51*KFC!$B$27+KFC!$C$27)*KFC!$C$5</f>
        <v>63.59</v>
      </c>
      <c r="J51" s="855">
        <f>(AD51*KFC!$B$27+KFC!$C$27)*KFC!$C$5</f>
        <v>67.069999999999993</v>
      </c>
      <c r="K51" s="855">
        <f>(AE51*KFC!$B$27+KFC!$C$27)*KFC!$C$5</f>
        <v>70.7</v>
      </c>
      <c r="L51" s="855">
        <f>(AF51*KFC!$B$27+KFC!$C$27)*KFC!$C$5</f>
        <v>74.3</v>
      </c>
      <c r="M51" s="855">
        <f>(AG51*KFC!$B$27+KFC!$C$27)*KFC!$C$5</f>
        <v>77.91</v>
      </c>
      <c r="N51" s="855">
        <f>(AH51*KFC!$B$27+KFC!$C$27)*KFC!$C$5</f>
        <v>81.53</v>
      </c>
      <c r="O51" s="855">
        <f>(AI51*KFC!$B$27+KFC!$C$27)*KFC!$C$5</f>
        <v>85.14</v>
      </c>
      <c r="P51" s="855">
        <f>(AJ51*KFC!$B$27+KFC!$C$27)*KFC!$C$5</f>
        <v>88.75</v>
      </c>
      <c r="Q51" s="855">
        <f>(AK51*KFC!$B$27+KFC!$C$27)*KFC!$C$5</f>
        <v>92.36</v>
      </c>
      <c r="R51" s="855">
        <f>(AL51*KFC!$B$27+KFC!$C$27)*KFC!$C$5</f>
        <v>95.97</v>
      </c>
      <c r="S51" s="855">
        <f>(AM51*KFC!$B$27+KFC!$C$27)*KFC!$C$5</f>
        <v>99.58</v>
      </c>
      <c r="T51" s="855">
        <f>(AN51*KFC!$B$27+KFC!$C$27)*KFC!$C$5</f>
        <v>103.19</v>
      </c>
      <c r="V51" s="851">
        <v>0.7</v>
      </c>
      <c r="W51" s="847">
        <v>42.04</v>
      </c>
      <c r="X51" s="847">
        <v>45.65</v>
      </c>
      <c r="Y51" s="847">
        <v>49.4</v>
      </c>
      <c r="Z51" s="847">
        <v>52.75</v>
      </c>
      <c r="AA51" s="847">
        <v>56.36</v>
      </c>
      <c r="AB51" s="847">
        <v>59.99</v>
      </c>
      <c r="AC51" s="847">
        <v>63.59</v>
      </c>
      <c r="AD51" s="847">
        <v>67.069999999999993</v>
      </c>
      <c r="AE51" s="847">
        <v>70.7</v>
      </c>
      <c r="AF51" s="847">
        <v>74.3</v>
      </c>
      <c r="AG51" s="847">
        <v>77.91</v>
      </c>
      <c r="AH51" s="847">
        <v>81.53</v>
      </c>
      <c r="AI51" s="848">
        <v>85.14</v>
      </c>
      <c r="AJ51" s="690">
        <f t="shared" si="8"/>
        <v>88.75</v>
      </c>
      <c r="AK51" s="690">
        <f t="shared" si="9"/>
        <v>92.36</v>
      </c>
      <c r="AL51" s="690">
        <f t="shared" si="9"/>
        <v>95.97</v>
      </c>
      <c r="AM51" s="690">
        <f t="shared" si="9"/>
        <v>99.58</v>
      </c>
      <c r="AN51" s="690">
        <f t="shared" si="9"/>
        <v>103.19</v>
      </c>
      <c r="AO51" s="690">
        <f t="shared" si="9"/>
        <v>106.8</v>
      </c>
      <c r="AP51" s="690">
        <f t="shared" si="9"/>
        <v>110.41</v>
      </c>
    </row>
    <row r="52" spans="1:42">
      <c r="A52" s="1816"/>
      <c r="B52" s="849">
        <v>0.8</v>
      </c>
      <c r="C52" s="855">
        <f>(W52*KFC!$B$27+KFC!$C$27)*KFC!$C$5</f>
        <v>44.18</v>
      </c>
      <c r="D52" s="855">
        <f>(X52*KFC!$B$27+KFC!$C$27)*KFC!$C$5</f>
        <v>47.93</v>
      </c>
      <c r="E52" s="855">
        <f>(Y52*KFC!$B$27+KFC!$C$27)*KFC!$C$5</f>
        <v>51.67</v>
      </c>
      <c r="F52" s="855">
        <f>(Z52*KFC!$B$27+KFC!$C$27)*KFC!$C$5</f>
        <v>55.56</v>
      </c>
      <c r="G52" s="855">
        <f>(AA52*KFC!$B$27+KFC!$C$27)*KFC!$C$5</f>
        <v>59.31</v>
      </c>
      <c r="H52" s="855">
        <f>(AB52*KFC!$B$27+KFC!$C$27)*KFC!$C$5</f>
        <v>63.05</v>
      </c>
      <c r="I52" s="855">
        <f>(AC52*KFC!$B$27+KFC!$C$27)*KFC!$C$5</f>
        <v>66.680000000000007</v>
      </c>
      <c r="J52" s="855">
        <f>(AD52*KFC!$B$27+KFC!$C$27)*KFC!$C$5</f>
        <v>70.41</v>
      </c>
      <c r="K52" s="855">
        <f>(AE52*KFC!$B$27+KFC!$C$27)*KFC!$C$5</f>
        <v>74.17</v>
      </c>
      <c r="L52" s="855">
        <f>(AF52*KFC!$B$27+KFC!$C$27)*KFC!$C$5</f>
        <v>77.91</v>
      </c>
      <c r="M52" s="855">
        <f>(AG52*KFC!$B$27+KFC!$C$27)*KFC!$C$5</f>
        <v>81.67</v>
      </c>
      <c r="N52" s="855">
        <f>(AH52*KFC!$B$27+KFC!$C$27)*KFC!$C$5</f>
        <v>85.42</v>
      </c>
      <c r="O52" s="855">
        <f>(AI52*KFC!$B$27+KFC!$C$27)*KFC!$C$5</f>
        <v>89.16</v>
      </c>
      <c r="P52" s="855">
        <f>(AJ52*KFC!$B$27+KFC!$C$27)*KFC!$C$5</f>
        <v>92.899999999999991</v>
      </c>
      <c r="Q52" s="855">
        <f>(AK52*KFC!$B$27+KFC!$C$27)*KFC!$C$5</f>
        <v>96.639999999999986</v>
      </c>
      <c r="R52" s="855">
        <f>(AL52*KFC!$B$27+KFC!$C$27)*KFC!$C$5</f>
        <v>100.37999999999998</v>
      </c>
      <c r="S52" s="855">
        <f>(AM52*KFC!$B$27+KFC!$C$27)*KFC!$C$5</f>
        <v>104.11999999999998</v>
      </c>
      <c r="T52" s="855">
        <f>(AN52*KFC!$B$27+KFC!$C$27)*KFC!$C$5</f>
        <v>107.85999999999997</v>
      </c>
      <c r="V52" s="851">
        <v>0.8</v>
      </c>
      <c r="W52" s="847">
        <v>44.18</v>
      </c>
      <c r="X52" s="847">
        <v>47.93</v>
      </c>
      <c r="Y52" s="847">
        <v>51.67</v>
      </c>
      <c r="Z52" s="847">
        <v>55.56</v>
      </c>
      <c r="AA52" s="847">
        <v>59.31</v>
      </c>
      <c r="AB52" s="847">
        <v>63.05</v>
      </c>
      <c r="AC52" s="847">
        <v>66.680000000000007</v>
      </c>
      <c r="AD52" s="847">
        <v>70.41</v>
      </c>
      <c r="AE52" s="847">
        <v>74.17</v>
      </c>
      <c r="AF52" s="847">
        <v>77.91</v>
      </c>
      <c r="AG52" s="847">
        <v>81.67</v>
      </c>
      <c r="AH52" s="847">
        <v>85.42</v>
      </c>
      <c r="AI52" s="848">
        <v>89.16</v>
      </c>
      <c r="AJ52" s="690">
        <f t="shared" si="8"/>
        <v>92.899999999999991</v>
      </c>
      <c r="AK52" s="690">
        <f t="shared" si="9"/>
        <v>96.639999999999986</v>
      </c>
      <c r="AL52" s="690">
        <f t="shared" si="9"/>
        <v>100.37999999999998</v>
      </c>
      <c r="AM52" s="690">
        <f t="shared" si="9"/>
        <v>104.11999999999998</v>
      </c>
      <c r="AN52" s="690">
        <f t="shared" si="9"/>
        <v>107.85999999999997</v>
      </c>
      <c r="AO52" s="690">
        <f t="shared" si="9"/>
        <v>111.59999999999997</v>
      </c>
      <c r="AP52" s="690">
        <f t="shared" si="9"/>
        <v>115.33999999999996</v>
      </c>
    </row>
    <row r="53" spans="1:42">
      <c r="A53" s="1816"/>
      <c r="B53" s="849">
        <v>0.9</v>
      </c>
      <c r="C53" s="855">
        <f>(W53*KFC!$B$27+KFC!$C$27)*KFC!$C$5</f>
        <v>46.32</v>
      </c>
      <c r="D53" s="855">
        <f>(X53*KFC!$B$27+KFC!$C$27)*KFC!$C$5</f>
        <v>50.2</v>
      </c>
      <c r="E53" s="855">
        <f>(Y53*KFC!$B$27+KFC!$C$27)*KFC!$C$5</f>
        <v>54.22</v>
      </c>
      <c r="F53" s="855">
        <f>(Z53*KFC!$B$27+KFC!$C$27)*KFC!$C$5</f>
        <v>58.11</v>
      </c>
      <c r="G53" s="855">
        <f>(AA53*KFC!$B$27+KFC!$C$27)*KFC!$C$5</f>
        <v>62.12</v>
      </c>
      <c r="H53" s="855">
        <f>(AB53*KFC!$B$27+KFC!$C$27)*KFC!$C$5</f>
        <v>66</v>
      </c>
      <c r="I53" s="855">
        <f>(AC53*KFC!$B$27+KFC!$C$27)*KFC!$C$5</f>
        <v>69.88</v>
      </c>
      <c r="J53" s="855">
        <f>(AD53*KFC!$B$27+KFC!$C$27)*KFC!$C$5</f>
        <v>73.64</v>
      </c>
      <c r="K53" s="855">
        <f>(AE53*KFC!$B$27+KFC!$C$27)*KFC!$C$5</f>
        <v>77.650000000000006</v>
      </c>
      <c r="L53" s="855">
        <f>(AF53*KFC!$B$27+KFC!$C$27)*KFC!$C$5</f>
        <v>81.53</v>
      </c>
      <c r="M53" s="855">
        <f>(AG53*KFC!$B$27+KFC!$C$27)*KFC!$C$5</f>
        <v>85.42</v>
      </c>
      <c r="N53" s="855">
        <f>(AH53*KFC!$B$27+KFC!$C$27)*KFC!$C$5</f>
        <v>89.44</v>
      </c>
      <c r="O53" s="855">
        <f>(AI53*KFC!$B$27+KFC!$C$27)*KFC!$C$5</f>
        <v>93.45</v>
      </c>
      <c r="P53" s="855">
        <f>(AJ53*KFC!$B$27+KFC!$C$27)*KFC!$C$5</f>
        <v>97.460000000000008</v>
      </c>
      <c r="Q53" s="855">
        <f>(AK53*KFC!$B$27+KFC!$C$27)*KFC!$C$5</f>
        <v>101.47000000000001</v>
      </c>
      <c r="R53" s="855">
        <f>(AL53*KFC!$B$27+KFC!$C$27)*KFC!$C$5</f>
        <v>105.48000000000002</v>
      </c>
      <c r="S53" s="855">
        <f>(AM53*KFC!$B$27+KFC!$C$27)*KFC!$C$5</f>
        <v>109.49000000000002</v>
      </c>
      <c r="T53" s="855">
        <f>(AN53*KFC!$B$27+KFC!$C$27)*KFC!$C$5</f>
        <v>113.50000000000003</v>
      </c>
      <c r="V53" s="851">
        <v>0.9</v>
      </c>
      <c r="W53" s="847">
        <v>46.32</v>
      </c>
      <c r="X53" s="847">
        <v>50.2</v>
      </c>
      <c r="Y53" s="847">
        <v>54.22</v>
      </c>
      <c r="Z53" s="847">
        <v>58.11</v>
      </c>
      <c r="AA53" s="847">
        <v>62.12</v>
      </c>
      <c r="AB53" s="847">
        <v>66</v>
      </c>
      <c r="AC53" s="847">
        <v>69.88</v>
      </c>
      <c r="AD53" s="847">
        <v>73.64</v>
      </c>
      <c r="AE53" s="847">
        <v>77.650000000000006</v>
      </c>
      <c r="AF53" s="847">
        <v>81.53</v>
      </c>
      <c r="AG53" s="847">
        <v>85.42</v>
      </c>
      <c r="AH53" s="847">
        <v>89.44</v>
      </c>
      <c r="AI53" s="848">
        <v>93.45</v>
      </c>
      <c r="AJ53" s="690">
        <f t="shared" si="8"/>
        <v>97.460000000000008</v>
      </c>
      <c r="AK53" s="690">
        <f t="shared" si="9"/>
        <v>101.47000000000001</v>
      </c>
      <c r="AL53" s="690">
        <f t="shared" si="9"/>
        <v>105.48000000000002</v>
      </c>
      <c r="AM53" s="690">
        <f t="shared" si="9"/>
        <v>109.49000000000002</v>
      </c>
      <c r="AN53" s="690">
        <f t="shared" si="9"/>
        <v>113.50000000000003</v>
      </c>
      <c r="AO53" s="690">
        <f t="shared" si="9"/>
        <v>117.51000000000003</v>
      </c>
      <c r="AP53" s="690">
        <f t="shared" si="9"/>
        <v>121.52000000000004</v>
      </c>
    </row>
    <row r="54" spans="1:42">
      <c r="A54" s="1816"/>
      <c r="B54" s="849">
        <v>1</v>
      </c>
      <c r="C54" s="855">
        <f>(W54*KFC!$B$27+KFC!$C$27)*KFC!$C$5</f>
        <v>48.73</v>
      </c>
      <c r="D54" s="855">
        <f>(X54*KFC!$B$27+KFC!$C$27)*KFC!$C$5</f>
        <v>52.75</v>
      </c>
      <c r="E54" s="855">
        <f>(Y54*KFC!$B$27+KFC!$C$27)*KFC!$C$5</f>
        <v>56.64</v>
      </c>
      <c r="F54" s="855">
        <f>(Z54*KFC!$B$27+KFC!$C$27)*KFC!$C$5</f>
        <v>60.78</v>
      </c>
      <c r="G54" s="855">
        <f>(AA54*KFC!$B$27+KFC!$C$27)*KFC!$C$5</f>
        <v>64.8</v>
      </c>
      <c r="H54" s="855">
        <f>(AB54*KFC!$B$27+KFC!$C$27)*KFC!$C$5</f>
        <v>68.94</v>
      </c>
      <c r="I54" s="855">
        <f>(AC54*KFC!$B$27+KFC!$C$27)*KFC!$C$5</f>
        <v>72.959999999999994</v>
      </c>
      <c r="J54" s="855">
        <f>(AD54*KFC!$B$27+KFC!$C$27)*KFC!$C$5</f>
        <v>77.11</v>
      </c>
      <c r="K54" s="855">
        <f>(AE54*KFC!$B$27+KFC!$C$27)*KFC!$C$5</f>
        <v>81</v>
      </c>
      <c r="L54" s="855">
        <f>(AF54*KFC!$B$27+KFC!$C$27)*KFC!$C$5</f>
        <v>85.14</v>
      </c>
      <c r="M54" s="855">
        <f>(AG54*KFC!$B$27+KFC!$C$27)*KFC!$C$5</f>
        <v>89.29</v>
      </c>
      <c r="N54" s="855">
        <f>(AH54*KFC!$B$27+KFC!$C$27)*KFC!$C$5</f>
        <v>93.3</v>
      </c>
      <c r="O54" s="855">
        <f>(AI54*KFC!$B$27+KFC!$C$27)*KFC!$C$5</f>
        <v>97.32</v>
      </c>
      <c r="P54" s="855">
        <f>(AJ54*KFC!$B$27+KFC!$C$27)*KFC!$C$5</f>
        <v>101.33999999999999</v>
      </c>
      <c r="Q54" s="855">
        <f>(AK54*KFC!$B$27+KFC!$C$27)*KFC!$C$5</f>
        <v>105.35999999999999</v>
      </c>
      <c r="R54" s="855">
        <f>(AL54*KFC!$B$27+KFC!$C$27)*KFC!$C$5</f>
        <v>109.37999999999998</v>
      </c>
      <c r="S54" s="855">
        <f>(AM54*KFC!$B$27+KFC!$C$27)*KFC!$C$5</f>
        <v>113.39999999999998</v>
      </c>
      <c r="T54" s="855">
        <f>(AN54*KFC!$B$27+KFC!$C$27)*KFC!$C$5</f>
        <v>117.41999999999997</v>
      </c>
      <c r="V54" s="851">
        <v>1</v>
      </c>
      <c r="W54" s="847">
        <v>48.73</v>
      </c>
      <c r="X54" s="847">
        <v>52.75</v>
      </c>
      <c r="Y54" s="847">
        <v>56.64</v>
      </c>
      <c r="Z54" s="847">
        <v>60.78</v>
      </c>
      <c r="AA54" s="847">
        <v>64.8</v>
      </c>
      <c r="AB54" s="847">
        <v>68.94</v>
      </c>
      <c r="AC54" s="847">
        <v>72.959999999999994</v>
      </c>
      <c r="AD54" s="847">
        <v>77.11</v>
      </c>
      <c r="AE54" s="847">
        <v>81</v>
      </c>
      <c r="AF54" s="847">
        <v>85.14</v>
      </c>
      <c r="AG54" s="847">
        <v>89.29</v>
      </c>
      <c r="AH54" s="847">
        <v>93.3</v>
      </c>
      <c r="AI54" s="848">
        <v>97.32</v>
      </c>
      <c r="AJ54" s="690">
        <f t="shared" si="8"/>
        <v>101.33999999999999</v>
      </c>
      <c r="AK54" s="690">
        <f t="shared" si="9"/>
        <v>105.35999999999999</v>
      </c>
      <c r="AL54" s="690">
        <f t="shared" si="9"/>
        <v>109.37999999999998</v>
      </c>
      <c r="AM54" s="690">
        <f t="shared" si="9"/>
        <v>113.39999999999998</v>
      </c>
      <c r="AN54" s="690">
        <f t="shared" si="9"/>
        <v>117.41999999999997</v>
      </c>
      <c r="AO54" s="690">
        <f t="shared" si="9"/>
        <v>121.43999999999997</v>
      </c>
      <c r="AP54" s="690">
        <f t="shared" si="9"/>
        <v>125.45999999999997</v>
      </c>
    </row>
    <row r="55" spans="1:42">
      <c r="A55" s="1816"/>
      <c r="B55" s="849">
        <v>1.1000000000000001</v>
      </c>
      <c r="C55" s="855">
        <f>(W55*KFC!$B$27+KFC!$C$27)*KFC!$C$5</f>
        <v>50.75</v>
      </c>
      <c r="D55" s="855">
        <f>(X55*KFC!$B$27+KFC!$C$27)*KFC!$C$5</f>
        <v>55.02</v>
      </c>
      <c r="E55" s="855">
        <f>(Y55*KFC!$B$27+KFC!$C$27)*KFC!$C$5</f>
        <v>59.31</v>
      </c>
      <c r="F55" s="855">
        <f>(Z55*KFC!$B$27+KFC!$C$27)*KFC!$C$5</f>
        <v>63.33</v>
      </c>
      <c r="G55" s="855">
        <f>(AA55*KFC!$B$27+KFC!$C$27)*KFC!$C$5</f>
        <v>67.61</v>
      </c>
      <c r="H55" s="855">
        <f>(AB55*KFC!$B$27+KFC!$C$27)*KFC!$C$5</f>
        <v>71.88</v>
      </c>
      <c r="I55" s="855">
        <f>(AC55*KFC!$B$27+KFC!$C$27)*KFC!$C$5</f>
        <v>93.59</v>
      </c>
      <c r="J55" s="855">
        <f>(AD55*KFC!$B$27+KFC!$C$27)*KFC!$C$5</f>
        <v>80.33</v>
      </c>
      <c r="K55" s="855">
        <f>(AE55*KFC!$B$27+KFC!$C$27)*KFC!$C$5</f>
        <v>84.61</v>
      </c>
      <c r="L55" s="855">
        <f>(AF55*KFC!$B$27+KFC!$C$27)*KFC!$C$5</f>
        <v>88.77</v>
      </c>
      <c r="M55" s="855">
        <f>(AG55*KFC!$B$27+KFC!$C$27)*KFC!$C$5</f>
        <v>93.04</v>
      </c>
      <c r="N55" s="855">
        <f>(AH55*KFC!$B$27+KFC!$C$27)*KFC!$C$5</f>
        <v>97.19</v>
      </c>
      <c r="O55" s="855">
        <f>(AI55*KFC!$B$27+KFC!$C$27)*KFC!$C$5</f>
        <v>101.34</v>
      </c>
      <c r="P55" s="855">
        <f>(AJ55*KFC!$B$27+KFC!$C$27)*KFC!$C$5</f>
        <v>105.49000000000001</v>
      </c>
      <c r="Q55" s="855">
        <f>(AK55*KFC!$B$27+KFC!$C$27)*KFC!$C$5</f>
        <v>109.64000000000001</v>
      </c>
      <c r="R55" s="855">
        <f>(AL55*KFC!$B$27+KFC!$C$27)*KFC!$C$5</f>
        <v>113.79000000000002</v>
      </c>
      <c r="S55" s="855">
        <f>(AM55*KFC!$B$27+KFC!$C$27)*KFC!$C$5</f>
        <v>117.94000000000003</v>
      </c>
      <c r="T55" s="855">
        <f>(AN55*KFC!$B$27+KFC!$C$27)*KFC!$C$5</f>
        <v>122.09000000000003</v>
      </c>
      <c r="V55" s="851">
        <v>1.1000000000000001</v>
      </c>
      <c r="W55" s="847">
        <v>50.75</v>
      </c>
      <c r="X55" s="847">
        <v>55.02</v>
      </c>
      <c r="Y55" s="847">
        <v>59.31</v>
      </c>
      <c r="Z55" s="847">
        <v>63.33</v>
      </c>
      <c r="AA55" s="847">
        <v>67.61</v>
      </c>
      <c r="AB55" s="847">
        <v>71.88</v>
      </c>
      <c r="AC55" s="847">
        <v>93.59</v>
      </c>
      <c r="AD55" s="847">
        <v>80.33</v>
      </c>
      <c r="AE55" s="847">
        <v>84.61</v>
      </c>
      <c r="AF55" s="847">
        <v>88.77</v>
      </c>
      <c r="AG55" s="847">
        <v>93.04</v>
      </c>
      <c r="AH55" s="847">
        <v>97.19</v>
      </c>
      <c r="AI55" s="848">
        <v>101.34</v>
      </c>
      <c r="AJ55" s="690">
        <f t="shared" si="8"/>
        <v>105.49000000000001</v>
      </c>
      <c r="AK55" s="690">
        <f t="shared" si="9"/>
        <v>109.64000000000001</v>
      </c>
      <c r="AL55" s="690">
        <f t="shared" si="9"/>
        <v>113.79000000000002</v>
      </c>
      <c r="AM55" s="690">
        <f t="shared" si="9"/>
        <v>117.94000000000003</v>
      </c>
      <c r="AN55" s="690">
        <f t="shared" si="9"/>
        <v>122.09000000000003</v>
      </c>
      <c r="AO55" s="690">
        <f t="shared" si="9"/>
        <v>126.24000000000004</v>
      </c>
      <c r="AP55" s="690">
        <f t="shared" si="9"/>
        <v>130.39000000000004</v>
      </c>
    </row>
    <row r="56" spans="1:42">
      <c r="A56" s="1816"/>
      <c r="B56" s="849">
        <v>1.2</v>
      </c>
      <c r="C56" s="855">
        <f>(W56*KFC!$B$27+KFC!$C$27)*KFC!$C$5</f>
        <v>52.88</v>
      </c>
      <c r="D56" s="855">
        <f>(X56*KFC!$B$27+KFC!$C$27)*KFC!$C$5</f>
        <v>57.31</v>
      </c>
      <c r="E56" s="855">
        <f>(Y56*KFC!$B$27+KFC!$C$27)*KFC!$C$5</f>
        <v>61.72</v>
      </c>
      <c r="F56" s="855">
        <f>(Z56*KFC!$B$27+KFC!$C$27)*KFC!$C$5</f>
        <v>66.14</v>
      </c>
      <c r="G56" s="855">
        <f>(AA56*KFC!$B$27+KFC!$C$27)*KFC!$C$5</f>
        <v>70.41</v>
      </c>
      <c r="H56" s="855">
        <f>(AB56*KFC!$B$27+KFC!$C$27)*KFC!$C$5</f>
        <v>74.84</v>
      </c>
      <c r="I56" s="855">
        <f>(AC56*KFC!$B$27+KFC!$C$27)*KFC!$C$5</f>
        <v>92.64</v>
      </c>
      <c r="J56" s="855">
        <f>(AD56*KFC!$B$27+KFC!$C$27)*KFC!$C$5</f>
        <v>83.67</v>
      </c>
      <c r="K56" s="855">
        <f>(AE56*KFC!$B$27+KFC!$C$27)*KFC!$C$5</f>
        <v>88.1</v>
      </c>
      <c r="L56" s="855">
        <f>(AF56*KFC!$B$27+KFC!$C$27)*KFC!$C$5</f>
        <v>92.38</v>
      </c>
      <c r="M56" s="855">
        <f>(AG56*KFC!$B$27+KFC!$C$27)*KFC!$C$5</f>
        <v>96.8</v>
      </c>
      <c r="N56" s="855">
        <f>(AH56*KFC!$B$27+KFC!$C$27)*KFC!$C$5</f>
        <v>101.21</v>
      </c>
      <c r="O56" s="855">
        <f>(AI56*KFC!$B$27+KFC!$C$27)*KFC!$C$5</f>
        <v>105.63</v>
      </c>
      <c r="P56" s="855">
        <f>(AJ56*KFC!$B$27+KFC!$C$27)*KFC!$C$5</f>
        <v>110.05</v>
      </c>
      <c r="Q56" s="855">
        <f>(AK56*KFC!$B$27+KFC!$C$27)*KFC!$C$5</f>
        <v>114.47</v>
      </c>
      <c r="R56" s="855">
        <f>(AL56*KFC!$B$27+KFC!$C$27)*KFC!$C$5</f>
        <v>118.89</v>
      </c>
      <c r="S56" s="855">
        <f>(AM56*KFC!$B$27+KFC!$C$27)*KFC!$C$5</f>
        <v>123.31</v>
      </c>
      <c r="T56" s="855">
        <f>(AN56*KFC!$B$27+KFC!$C$27)*KFC!$C$5</f>
        <v>127.73</v>
      </c>
      <c r="V56" s="851">
        <v>1.2</v>
      </c>
      <c r="W56" s="847">
        <v>52.88</v>
      </c>
      <c r="X56" s="847">
        <v>57.31</v>
      </c>
      <c r="Y56" s="847">
        <v>61.72</v>
      </c>
      <c r="Z56" s="847">
        <v>66.14</v>
      </c>
      <c r="AA56" s="847">
        <v>70.41</v>
      </c>
      <c r="AB56" s="847">
        <v>74.84</v>
      </c>
      <c r="AC56" s="847">
        <v>92.64</v>
      </c>
      <c r="AD56" s="847">
        <v>83.67</v>
      </c>
      <c r="AE56" s="847">
        <v>88.1</v>
      </c>
      <c r="AF56" s="847">
        <v>92.38</v>
      </c>
      <c r="AG56" s="847">
        <v>96.8</v>
      </c>
      <c r="AH56" s="847">
        <v>101.21</v>
      </c>
      <c r="AI56" s="848">
        <v>105.63</v>
      </c>
      <c r="AJ56" s="690">
        <f t="shared" si="8"/>
        <v>110.05</v>
      </c>
      <c r="AK56" s="690">
        <f t="shared" si="9"/>
        <v>114.47</v>
      </c>
      <c r="AL56" s="690">
        <f t="shared" si="9"/>
        <v>118.89</v>
      </c>
      <c r="AM56" s="690">
        <f t="shared" si="9"/>
        <v>123.31</v>
      </c>
      <c r="AN56" s="690">
        <f t="shared" si="9"/>
        <v>127.73</v>
      </c>
      <c r="AO56" s="690">
        <f t="shared" si="9"/>
        <v>132.15</v>
      </c>
      <c r="AP56" s="690">
        <f t="shared" si="9"/>
        <v>136.57</v>
      </c>
    </row>
    <row r="57" spans="1:42">
      <c r="A57" s="1816"/>
      <c r="B57" s="849">
        <v>1.3</v>
      </c>
      <c r="C57" s="855">
        <f>(W57*KFC!$B$27+KFC!$C$27)*KFC!$C$5</f>
        <v>55.16</v>
      </c>
      <c r="D57" s="855">
        <f>(X57*KFC!$B$27+KFC!$C$27)*KFC!$C$5</f>
        <v>59.58</v>
      </c>
      <c r="E57" s="855">
        <f>(Y57*KFC!$B$27+KFC!$C$27)*KFC!$C$5</f>
        <v>64.13</v>
      </c>
      <c r="F57" s="855">
        <f>(Z57*KFC!$B$27+KFC!$C$27)*KFC!$C$5</f>
        <v>68.819999999999993</v>
      </c>
      <c r="G57" s="855">
        <f>(AA57*KFC!$B$27+KFC!$C$27)*KFC!$C$5</f>
        <v>73.37</v>
      </c>
      <c r="H57" s="855">
        <f>(AB57*KFC!$B$27+KFC!$C$27)*KFC!$C$5</f>
        <v>77.78</v>
      </c>
      <c r="I57" s="855">
        <f>(AC57*KFC!$B$27+KFC!$C$27)*KFC!$C$5</f>
        <v>82.33</v>
      </c>
      <c r="J57" s="855">
        <f>(AD57*KFC!$B$27+KFC!$C$27)*KFC!$C$5</f>
        <v>86.89</v>
      </c>
      <c r="K57" s="855">
        <f>(AE57*KFC!$B$27+KFC!$C$27)*KFC!$C$5</f>
        <v>91.57</v>
      </c>
      <c r="L57" s="855">
        <f>(AF57*KFC!$B$27+KFC!$C$27)*KFC!$C$5</f>
        <v>95.98</v>
      </c>
      <c r="M57" s="855">
        <f>(AG57*KFC!$B$27+KFC!$C$27)*KFC!$C$5</f>
        <v>100.54</v>
      </c>
      <c r="N57" s="855">
        <f>(AH57*KFC!$B$27+KFC!$C$27)*KFC!$C$5</f>
        <v>105.09</v>
      </c>
      <c r="O57" s="855">
        <f>(AI57*KFC!$B$27+KFC!$C$27)*KFC!$C$5</f>
        <v>109.65</v>
      </c>
      <c r="P57" s="855">
        <f>(AJ57*KFC!$B$27+KFC!$C$27)*KFC!$C$5</f>
        <v>114.21000000000001</v>
      </c>
      <c r="Q57" s="855">
        <f>(AK57*KFC!$B$27+KFC!$C$27)*KFC!$C$5</f>
        <v>118.77000000000001</v>
      </c>
      <c r="R57" s="855">
        <f>(AL57*KFC!$B$27+KFC!$C$27)*KFC!$C$5</f>
        <v>123.33000000000001</v>
      </c>
      <c r="S57" s="855">
        <f>(AM57*KFC!$B$27+KFC!$C$27)*KFC!$C$5</f>
        <v>127.89000000000001</v>
      </c>
      <c r="T57" s="855">
        <f>(AN57*KFC!$B$27+KFC!$C$27)*KFC!$C$5</f>
        <v>132.45000000000002</v>
      </c>
      <c r="V57" s="851">
        <v>1.3</v>
      </c>
      <c r="W57" s="847">
        <v>55.16</v>
      </c>
      <c r="X57" s="847">
        <v>59.58</v>
      </c>
      <c r="Y57" s="847">
        <v>64.13</v>
      </c>
      <c r="Z57" s="847">
        <v>68.819999999999993</v>
      </c>
      <c r="AA57" s="847">
        <v>73.37</v>
      </c>
      <c r="AB57" s="847">
        <v>77.78</v>
      </c>
      <c r="AC57" s="847">
        <v>82.33</v>
      </c>
      <c r="AD57" s="847">
        <v>86.89</v>
      </c>
      <c r="AE57" s="847">
        <v>91.57</v>
      </c>
      <c r="AF57" s="847">
        <v>95.98</v>
      </c>
      <c r="AG57" s="847">
        <v>100.54</v>
      </c>
      <c r="AH57" s="847">
        <v>105.09</v>
      </c>
      <c r="AI57" s="848">
        <v>109.65</v>
      </c>
      <c r="AJ57" s="690">
        <f t="shared" si="8"/>
        <v>114.21000000000001</v>
      </c>
      <c r="AK57" s="690">
        <f t="shared" si="9"/>
        <v>118.77000000000001</v>
      </c>
      <c r="AL57" s="690">
        <f t="shared" si="9"/>
        <v>123.33000000000001</v>
      </c>
      <c r="AM57" s="690">
        <f t="shared" si="9"/>
        <v>127.89000000000001</v>
      </c>
      <c r="AN57" s="690">
        <f t="shared" si="9"/>
        <v>132.45000000000002</v>
      </c>
      <c r="AO57" s="690">
        <f t="shared" si="9"/>
        <v>137.01000000000002</v>
      </c>
      <c r="AP57" s="690">
        <f t="shared" si="9"/>
        <v>141.57000000000002</v>
      </c>
    </row>
    <row r="58" spans="1:42">
      <c r="A58" s="1816"/>
      <c r="B58" s="849">
        <v>1.4</v>
      </c>
      <c r="C58" s="855">
        <f>(W58*KFC!$B$27+KFC!$C$27)*KFC!$C$5</f>
        <v>57.31</v>
      </c>
      <c r="D58" s="855">
        <f>(X58*KFC!$B$27+KFC!$C$27)*KFC!$C$5</f>
        <v>62.12</v>
      </c>
      <c r="E58" s="855">
        <f>(Y58*KFC!$B$27+KFC!$C$27)*KFC!$C$5</f>
        <v>66.680000000000007</v>
      </c>
      <c r="F58" s="855">
        <f>(Z58*KFC!$B$27+KFC!$C$27)*KFC!$C$5</f>
        <v>71.36</v>
      </c>
      <c r="G58" s="855">
        <f>(AA58*KFC!$B$27+KFC!$C$27)*KFC!$C$5</f>
        <v>76.180000000000007</v>
      </c>
      <c r="H58" s="855">
        <f>(AB58*KFC!$B$27+KFC!$C$27)*KFC!$C$5</f>
        <v>80.86</v>
      </c>
      <c r="I58" s="855">
        <f>(AC58*KFC!$B$27+KFC!$C$27)*KFC!$C$5</f>
        <v>85.42</v>
      </c>
      <c r="J58" s="855">
        <f>(AD58*KFC!$B$27+KFC!$C$27)*KFC!$C$5</f>
        <v>90.24</v>
      </c>
      <c r="K58" s="855">
        <f>(AE58*KFC!$B$27+KFC!$C$27)*KFC!$C$5</f>
        <v>94.92</v>
      </c>
      <c r="L58" s="855">
        <f>(AF58*KFC!$B$27+KFC!$C$27)*KFC!$C$5</f>
        <v>99.74</v>
      </c>
      <c r="M58" s="855">
        <f>(AG58*KFC!$B$27+KFC!$C$27)*KFC!$C$5</f>
        <v>104.3</v>
      </c>
      <c r="N58" s="855">
        <f>(AH58*KFC!$B$27+KFC!$C$27)*KFC!$C$5</f>
        <v>109.11</v>
      </c>
      <c r="O58" s="855">
        <f>(AI58*KFC!$B$27+KFC!$C$27)*KFC!$C$5</f>
        <v>113.93</v>
      </c>
      <c r="P58" s="855">
        <f>(AJ58*KFC!$B$27+KFC!$C$27)*KFC!$C$5</f>
        <v>118.75000000000001</v>
      </c>
      <c r="Q58" s="855">
        <f>(AK58*KFC!$B$27+KFC!$C$27)*KFC!$C$5</f>
        <v>123.57000000000002</v>
      </c>
      <c r="R58" s="855">
        <f>(AL58*KFC!$B$27+KFC!$C$27)*KFC!$C$5</f>
        <v>128.39000000000004</v>
      </c>
      <c r="S58" s="855">
        <f>(AM58*KFC!$B$27+KFC!$C$27)*KFC!$C$5</f>
        <v>133.21000000000006</v>
      </c>
      <c r="T58" s="855">
        <f>(AN58*KFC!$B$27+KFC!$C$27)*KFC!$C$5</f>
        <v>138.03000000000009</v>
      </c>
      <c r="V58" s="851">
        <v>1.4</v>
      </c>
      <c r="W58" s="847">
        <v>57.31</v>
      </c>
      <c r="X58" s="847">
        <v>62.12</v>
      </c>
      <c r="Y58" s="847">
        <v>66.680000000000007</v>
      </c>
      <c r="Z58" s="847">
        <v>71.36</v>
      </c>
      <c r="AA58" s="847">
        <v>76.180000000000007</v>
      </c>
      <c r="AB58" s="847">
        <v>80.86</v>
      </c>
      <c r="AC58" s="847">
        <v>85.42</v>
      </c>
      <c r="AD58" s="847">
        <v>90.24</v>
      </c>
      <c r="AE58" s="847">
        <v>94.92</v>
      </c>
      <c r="AF58" s="847">
        <v>99.74</v>
      </c>
      <c r="AG58" s="847">
        <v>104.3</v>
      </c>
      <c r="AH58" s="847">
        <v>109.11</v>
      </c>
      <c r="AI58" s="848">
        <v>113.93</v>
      </c>
      <c r="AJ58" s="690">
        <f t="shared" si="8"/>
        <v>118.75000000000001</v>
      </c>
      <c r="AK58" s="690">
        <f t="shared" si="9"/>
        <v>123.57000000000002</v>
      </c>
      <c r="AL58" s="690">
        <f t="shared" si="9"/>
        <v>128.39000000000004</v>
      </c>
      <c r="AM58" s="690">
        <f t="shared" si="9"/>
        <v>133.21000000000006</v>
      </c>
      <c r="AN58" s="690">
        <f t="shared" si="9"/>
        <v>138.03000000000009</v>
      </c>
      <c r="AO58" s="690">
        <f t="shared" si="9"/>
        <v>142.85000000000011</v>
      </c>
      <c r="AP58" s="690">
        <f t="shared" si="9"/>
        <v>147.67000000000013</v>
      </c>
    </row>
    <row r="59" spans="1:42">
      <c r="A59" s="1816"/>
      <c r="B59" s="849">
        <v>1.5</v>
      </c>
      <c r="C59" s="855">
        <f>(W59*KFC!$B$27+KFC!$C$27)*KFC!$C$5</f>
        <v>59.44</v>
      </c>
      <c r="D59" s="855">
        <f>(X59*KFC!$B$27+KFC!$C$27)*KFC!$C$5</f>
        <v>64.400000000000006</v>
      </c>
      <c r="E59" s="855">
        <f>(Y59*KFC!$B$27+KFC!$C$27)*KFC!$C$5</f>
        <v>69.209999999999994</v>
      </c>
      <c r="F59" s="855">
        <f>(Z59*KFC!$B$27+KFC!$C$27)*KFC!$C$5</f>
        <v>74.040000000000006</v>
      </c>
      <c r="G59" s="855">
        <f>(AA59*KFC!$B$27+KFC!$C$27)*KFC!$C$5</f>
        <v>78.86</v>
      </c>
      <c r="H59" s="855">
        <f>(AB59*KFC!$B$27+KFC!$C$27)*KFC!$C$5</f>
        <v>83.8</v>
      </c>
      <c r="I59" s="855">
        <f>(AC59*KFC!$B$27+KFC!$C$27)*KFC!$C$5</f>
        <v>88.77</v>
      </c>
      <c r="J59" s="855">
        <f>(AD59*KFC!$B$27+KFC!$C$27)*KFC!$C$5</f>
        <v>93.45</v>
      </c>
      <c r="K59" s="855">
        <f>(AE59*KFC!$B$27+KFC!$C$27)*KFC!$C$5</f>
        <v>98.4</v>
      </c>
      <c r="L59" s="855">
        <f>(AF59*KFC!$B$27+KFC!$C$27)*KFC!$C$5</f>
        <v>103.35</v>
      </c>
      <c r="M59" s="855">
        <f>(AG59*KFC!$B$27+KFC!$C$27)*KFC!$C$5</f>
        <v>108.03</v>
      </c>
      <c r="N59" s="855">
        <f>(AH59*KFC!$B$27+KFC!$C$27)*KFC!$C$5</f>
        <v>112.99</v>
      </c>
      <c r="O59" s="855">
        <f>(AI59*KFC!$B$27+KFC!$C$27)*KFC!$C$5</f>
        <v>117.95</v>
      </c>
      <c r="P59" s="855">
        <f>(AJ59*KFC!$B$27+KFC!$C$27)*KFC!$C$5</f>
        <v>122.91000000000001</v>
      </c>
      <c r="Q59" s="855">
        <f>(AK59*KFC!$B$27+KFC!$C$27)*KFC!$C$5</f>
        <v>127.87000000000002</v>
      </c>
      <c r="R59" s="855">
        <f>(AL59*KFC!$B$27+KFC!$C$27)*KFC!$C$5</f>
        <v>132.83000000000004</v>
      </c>
      <c r="S59" s="855">
        <f>(AM59*KFC!$B$27+KFC!$C$27)*KFC!$C$5</f>
        <v>137.79000000000008</v>
      </c>
      <c r="T59" s="855">
        <f>(AN59*KFC!$B$27+KFC!$C$27)*KFC!$C$5</f>
        <v>142.75000000000011</v>
      </c>
      <c r="V59" s="851">
        <v>1.5</v>
      </c>
      <c r="W59" s="847">
        <v>59.44</v>
      </c>
      <c r="X59" s="847">
        <v>64.400000000000006</v>
      </c>
      <c r="Y59" s="847">
        <v>69.209999999999994</v>
      </c>
      <c r="Z59" s="847">
        <v>74.040000000000006</v>
      </c>
      <c r="AA59" s="847">
        <v>78.86</v>
      </c>
      <c r="AB59" s="847">
        <v>83.8</v>
      </c>
      <c r="AC59" s="847">
        <v>88.77</v>
      </c>
      <c r="AD59" s="847">
        <v>93.45</v>
      </c>
      <c r="AE59" s="847">
        <v>98.4</v>
      </c>
      <c r="AF59" s="847">
        <v>103.35</v>
      </c>
      <c r="AG59" s="847">
        <v>108.03</v>
      </c>
      <c r="AH59" s="847">
        <v>112.99</v>
      </c>
      <c r="AI59" s="848">
        <v>117.95</v>
      </c>
      <c r="AJ59" s="690">
        <f t="shared" si="8"/>
        <v>122.91000000000001</v>
      </c>
      <c r="AK59" s="690">
        <f t="shared" si="9"/>
        <v>127.87000000000002</v>
      </c>
      <c r="AL59" s="690">
        <f t="shared" si="9"/>
        <v>132.83000000000004</v>
      </c>
      <c r="AM59" s="690">
        <f t="shared" si="9"/>
        <v>137.79000000000008</v>
      </c>
      <c r="AN59" s="690">
        <f t="shared" si="9"/>
        <v>142.75000000000011</v>
      </c>
      <c r="AO59" s="690">
        <f t="shared" si="9"/>
        <v>147.71000000000015</v>
      </c>
      <c r="AP59" s="690">
        <f t="shared" si="9"/>
        <v>152.67000000000019</v>
      </c>
    </row>
    <row r="60" spans="1:42">
      <c r="A60" s="1816"/>
      <c r="B60" s="849">
        <v>1.6</v>
      </c>
      <c r="C60" s="855">
        <f>(W60*KFC!$B$27+KFC!$C$27)*KFC!$C$5</f>
        <v>61.72</v>
      </c>
      <c r="D60" s="855">
        <f>(X60*KFC!$B$27+KFC!$C$27)*KFC!$C$5</f>
        <v>66.680000000000007</v>
      </c>
      <c r="E60" s="855">
        <f>(Y60*KFC!$B$27+KFC!$C$27)*KFC!$C$5</f>
        <v>71.760000000000005</v>
      </c>
      <c r="F60" s="855">
        <f>(Z60*KFC!$B$27+KFC!$C$27)*KFC!$C$5</f>
        <v>76.849999999999994</v>
      </c>
      <c r="G60" s="855">
        <f>(AA60*KFC!$B$27+KFC!$C$27)*KFC!$C$5</f>
        <v>81.67</v>
      </c>
      <c r="H60" s="855">
        <f>(AB60*KFC!$B$27+KFC!$C$27)*KFC!$C$5</f>
        <v>86.76</v>
      </c>
      <c r="I60" s="855">
        <f>(AC60*KFC!$B$27+KFC!$C$27)*KFC!$C$5</f>
        <v>91.83</v>
      </c>
      <c r="J60" s="855">
        <f>(AD60*KFC!$B$27+KFC!$C$27)*KFC!$C$5</f>
        <v>96.8</v>
      </c>
      <c r="K60" s="855">
        <f>(AE60*KFC!$B$27+KFC!$C$27)*KFC!$C$5</f>
        <v>101.88</v>
      </c>
      <c r="L60" s="855">
        <f>(AF60*KFC!$B$27+KFC!$C$27)*KFC!$C$5</f>
        <v>106.97</v>
      </c>
      <c r="M60" s="855">
        <f>(AG60*KFC!$B$27+KFC!$C$27)*KFC!$C$5</f>
        <v>111.78</v>
      </c>
      <c r="N60" s="855">
        <f>(AH60*KFC!$B$27+KFC!$C$27)*KFC!$C$5</f>
        <v>116.88</v>
      </c>
      <c r="O60" s="855">
        <f>(AI60*KFC!$B$27+KFC!$C$27)*KFC!$C$5</f>
        <v>121.96</v>
      </c>
      <c r="P60" s="855">
        <f>(AJ60*KFC!$B$27+KFC!$C$27)*KFC!$C$5</f>
        <v>127.03999999999999</v>
      </c>
      <c r="Q60" s="855">
        <f>(AK60*KFC!$B$27+KFC!$C$27)*KFC!$C$5</f>
        <v>132.12</v>
      </c>
      <c r="R60" s="855">
        <f>(AL60*KFC!$B$27+KFC!$C$27)*KFC!$C$5</f>
        <v>137.20000000000002</v>
      </c>
      <c r="S60" s="855">
        <f>(AM60*KFC!$B$27+KFC!$C$27)*KFC!$C$5</f>
        <v>142.28000000000003</v>
      </c>
      <c r="T60" s="855">
        <f>(AN60*KFC!$B$27+KFC!$C$27)*KFC!$C$5</f>
        <v>147.36000000000004</v>
      </c>
      <c r="V60" s="851">
        <v>1.6</v>
      </c>
      <c r="W60" s="847">
        <v>61.72</v>
      </c>
      <c r="X60" s="847">
        <v>66.680000000000007</v>
      </c>
      <c r="Y60" s="847">
        <v>71.760000000000005</v>
      </c>
      <c r="Z60" s="847">
        <v>76.849999999999994</v>
      </c>
      <c r="AA60" s="847">
        <v>81.67</v>
      </c>
      <c r="AB60" s="847">
        <v>86.76</v>
      </c>
      <c r="AC60" s="847">
        <v>91.83</v>
      </c>
      <c r="AD60" s="847">
        <v>96.8</v>
      </c>
      <c r="AE60" s="847">
        <v>101.88</v>
      </c>
      <c r="AF60" s="847">
        <v>106.97</v>
      </c>
      <c r="AG60" s="847">
        <v>111.78</v>
      </c>
      <c r="AH60" s="847">
        <v>116.88</v>
      </c>
      <c r="AI60" s="848">
        <v>121.96</v>
      </c>
      <c r="AJ60" s="690">
        <f t="shared" si="8"/>
        <v>127.03999999999999</v>
      </c>
      <c r="AK60" s="690">
        <f t="shared" si="9"/>
        <v>132.12</v>
      </c>
      <c r="AL60" s="690">
        <f t="shared" si="9"/>
        <v>137.20000000000002</v>
      </c>
      <c r="AM60" s="690">
        <f t="shared" si="9"/>
        <v>142.28000000000003</v>
      </c>
      <c r="AN60" s="690">
        <f t="shared" si="9"/>
        <v>147.36000000000004</v>
      </c>
      <c r="AO60" s="690">
        <f t="shared" si="9"/>
        <v>152.44000000000005</v>
      </c>
      <c r="AP60" s="690">
        <f t="shared" si="9"/>
        <v>157.52000000000007</v>
      </c>
    </row>
    <row r="61" spans="1:42">
      <c r="A61" s="1816"/>
      <c r="B61" s="849">
        <v>1.7</v>
      </c>
      <c r="C61" s="855">
        <f>(W61*KFC!$B$27+KFC!$C$27)*KFC!$C$5</f>
        <v>63.85</v>
      </c>
      <c r="D61" s="855">
        <f>(X61*KFC!$B$27+KFC!$C$27)*KFC!$C$5</f>
        <v>69.08</v>
      </c>
      <c r="E61" s="855">
        <f>(Y61*KFC!$B$27+KFC!$C$27)*KFC!$C$5</f>
        <v>74.17</v>
      </c>
      <c r="F61" s="855">
        <f>(Z61*KFC!$B$27+KFC!$C$27)*KFC!$C$5</f>
        <v>79.39</v>
      </c>
      <c r="G61" s="855">
        <f>(AA61*KFC!$B$27+KFC!$C$27)*KFC!$C$5</f>
        <v>84.61</v>
      </c>
      <c r="H61" s="855">
        <f>(AB61*KFC!$B$27+KFC!$C$27)*KFC!$C$5</f>
        <v>89.7</v>
      </c>
      <c r="I61" s="855">
        <f>(AC61*KFC!$B$27+KFC!$C$27)*KFC!$C$5</f>
        <v>94.92</v>
      </c>
      <c r="J61" s="855">
        <f>(AD61*KFC!$B$27+KFC!$C$27)*KFC!$C$5</f>
        <v>100</v>
      </c>
      <c r="K61" s="855">
        <f>(AE61*KFC!$B$27+KFC!$C$27)*KFC!$C$5</f>
        <v>105.22</v>
      </c>
      <c r="L61" s="855">
        <f>(AF61*KFC!$B$27+KFC!$C$27)*KFC!$C$5</f>
        <v>110.58</v>
      </c>
      <c r="M61" s="855">
        <f>(AG61*KFC!$B$27+KFC!$C$27)*KFC!$C$5</f>
        <v>115.54</v>
      </c>
      <c r="N61" s="855">
        <f>(AH61*KFC!$B$27+KFC!$C$27)*KFC!$C$5</f>
        <v>120.9</v>
      </c>
      <c r="O61" s="855">
        <f>(AI61*KFC!$B$27+KFC!$C$27)*KFC!$C$5</f>
        <v>126.25</v>
      </c>
      <c r="P61" s="855">
        <f>(AJ61*KFC!$B$27+KFC!$C$27)*KFC!$C$5</f>
        <v>131.6</v>
      </c>
      <c r="Q61" s="855">
        <f>(AK61*KFC!$B$27+KFC!$C$27)*KFC!$C$5</f>
        <v>136.94999999999999</v>
      </c>
      <c r="R61" s="855">
        <f>(AL61*KFC!$B$27+KFC!$C$27)*KFC!$C$5</f>
        <v>142.29999999999998</v>
      </c>
      <c r="S61" s="855">
        <f>(AM61*KFC!$B$27+KFC!$C$27)*KFC!$C$5</f>
        <v>147.64999999999998</v>
      </c>
      <c r="T61" s="855">
        <f>(AN61*KFC!$B$27+KFC!$C$27)*KFC!$C$5</f>
        <v>152.99999999999997</v>
      </c>
      <c r="V61" s="851">
        <v>1.7</v>
      </c>
      <c r="W61" s="847">
        <v>63.85</v>
      </c>
      <c r="X61" s="847">
        <v>69.08</v>
      </c>
      <c r="Y61" s="847">
        <v>74.17</v>
      </c>
      <c r="Z61" s="847">
        <v>79.39</v>
      </c>
      <c r="AA61" s="847">
        <v>84.61</v>
      </c>
      <c r="AB61" s="847">
        <v>89.7</v>
      </c>
      <c r="AC61" s="847">
        <v>94.92</v>
      </c>
      <c r="AD61" s="847">
        <v>100</v>
      </c>
      <c r="AE61" s="847">
        <v>105.22</v>
      </c>
      <c r="AF61" s="847">
        <v>110.58</v>
      </c>
      <c r="AG61" s="847">
        <v>115.54</v>
      </c>
      <c r="AH61" s="847">
        <v>120.9</v>
      </c>
      <c r="AI61" s="848">
        <v>126.25</v>
      </c>
      <c r="AJ61" s="690">
        <f t="shared" si="8"/>
        <v>131.6</v>
      </c>
      <c r="AK61" s="690">
        <f t="shared" si="9"/>
        <v>136.94999999999999</v>
      </c>
      <c r="AL61" s="690">
        <f t="shared" si="9"/>
        <v>142.29999999999998</v>
      </c>
      <c r="AM61" s="690">
        <f t="shared" si="9"/>
        <v>147.64999999999998</v>
      </c>
      <c r="AN61" s="690">
        <f t="shared" si="9"/>
        <v>152.99999999999997</v>
      </c>
      <c r="AO61" s="690">
        <f t="shared" si="9"/>
        <v>158.34999999999997</v>
      </c>
      <c r="AP61" s="690">
        <f t="shared" si="9"/>
        <v>163.69999999999996</v>
      </c>
    </row>
    <row r="62" spans="1:42">
      <c r="A62" s="1816"/>
      <c r="B62" s="849">
        <v>1.8</v>
      </c>
      <c r="C62" s="855">
        <f>(W62*KFC!$B$27+KFC!$C$27)*KFC!$C$5</f>
        <v>66</v>
      </c>
      <c r="D62" s="855">
        <f>(X62*KFC!$B$27+KFC!$C$27)*KFC!$C$5</f>
        <v>71.36</v>
      </c>
      <c r="E62" s="855">
        <f>(Y62*KFC!$B$27+KFC!$C$27)*KFC!$C$5</f>
        <v>76.849999999999994</v>
      </c>
      <c r="F62" s="855">
        <f>(Z62*KFC!$B$27+KFC!$C$27)*KFC!$C$5</f>
        <v>82.07</v>
      </c>
      <c r="G62" s="855">
        <f>(AA62*KFC!$B$27+KFC!$C$27)*KFC!$C$5</f>
        <v>87.42</v>
      </c>
      <c r="H62" s="855">
        <f>(AB62*KFC!$B$27+KFC!$C$27)*KFC!$C$5</f>
        <v>92.64</v>
      </c>
      <c r="I62" s="855">
        <f>(AC62*KFC!$B$27+KFC!$C$27)*KFC!$C$5</f>
        <v>98.13</v>
      </c>
      <c r="J62" s="855">
        <f>(AD62*KFC!$B$27+KFC!$C$27)*KFC!$C$5</f>
        <v>103.49</v>
      </c>
      <c r="K62" s="855">
        <f>(AE62*KFC!$B$27+KFC!$C$27)*KFC!$C$5</f>
        <v>108.71</v>
      </c>
      <c r="L62" s="855">
        <f>(AF62*KFC!$B$27+KFC!$C$27)*KFC!$C$5</f>
        <v>114.06</v>
      </c>
      <c r="M62" s="855">
        <f>(AG62*KFC!$B$27+KFC!$C$27)*KFC!$C$5</f>
        <v>119.42</v>
      </c>
      <c r="N62" s="855">
        <f>(AH62*KFC!$B$27+KFC!$C$27)*KFC!$C$5</f>
        <v>124.77</v>
      </c>
      <c r="O62" s="855">
        <f>(AI62*KFC!$B$27+KFC!$C$27)*KFC!$C$5</f>
        <v>130.13</v>
      </c>
      <c r="P62" s="855">
        <f>(AJ62*KFC!$B$27+KFC!$C$27)*KFC!$C$5</f>
        <v>135.49</v>
      </c>
      <c r="Q62" s="855">
        <f>(AK62*KFC!$B$27+KFC!$C$27)*KFC!$C$5</f>
        <v>140.85000000000002</v>
      </c>
      <c r="R62" s="855">
        <f>(AL62*KFC!$B$27+KFC!$C$27)*KFC!$C$5</f>
        <v>146.21000000000004</v>
      </c>
      <c r="S62" s="855">
        <f>(AM62*KFC!$B$27+KFC!$C$27)*KFC!$C$5</f>
        <v>151.57000000000005</v>
      </c>
      <c r="T62" s="855">
        <f>(AN62*KFC!$B$27+KFC!$C$27)*KFC!$C$5</f>
        <v>156.93000000000006</v>
      </c>
      <c r="V62" s="851">
        <v>1.8</v>
      </c>
      <c r="W62" s="847">
        <v>66</v>
      </c>
      <c r="X62" s="847">
        <v>71.36</v>
      </c>
      <c r="Y62" s="847">
        <v>76.849999999999994</v>
      </c>
      <c r="Z62" s="847">
        <v>82.07</v>
      </c>
      <c r="AA62" s="847">
        <v>87.42</v>
      </c>
      <c r="AB62" s="847">
        <v>92.64</v>
      </c>
      <c r="AC62" s="847">
        <v>98.13</v>
      </c>
      <c r="AD62" s="847">
        <v>103.49</v>
      </c>
      <c r="AE62" s="847">
        <v>108.71</v>
      </c>
      <c r="AF62" s="847">
        <v>114.06</v>
      </c>
      <c r="AG62" s="847">
        <v>119.42</v>
      </c>
      <c r="AH62" s="847">
        <v>124.77</v>
      </c>
      <c r="AI62" s="848">
        <v>130.13</v>
      </c>
      <c r="AJ62" s="690">
        <f t="shared" si="8"/>
        <v>135.49</v>
      </c>
      <c r="AK62" s="690">
        <f t="shared" si="9"/>
        <v>140.85000000000002</v>
      </c>
      <c r="AL62" s="690">
        <f t="shared" si="9"/>
        <v>146.21000000000004</v>
      </c>
      <c r="AM62" s="690">
        <f t="shared" si="9"/>
        <v>151.57000000000005</v>
      </c>
      <c r="AN62" s="690">
        <f t="shared" si="9"/>
        <v>156.93000000000006</v>
      </c>
      <c r="AO62" s="690">
        <f t="shared" si="9"/>
        <v>162.29000000000008</v>
      </c>
      <c r="AP62" s="690">
        <f t="shared" si="9"/>
        <v>167.65000000000009</v>
      </c>
    </row>
    <row r="63" spans="1:42">
      <c r="A63" s="1816"/>
      <c r="B63" s="849">
        <v>1.9</v>
      </c>
      <c r="C63" s="855">
        <f>(W63*KFC!$B$27+KFC!$C$27)*KFC!$C$5</f>
        <v>68.28</v>
      </c>
      <c r="D63" s="855">
        <f>(X63*KFC!$B$27+KFC!$C$27)*KFC!$C$5</f>
        <v>73.64</v>
      </c>
      <c r="E63" s="855">
        <f>(Y63*KFC!$B$27+KFC!$C$27)*KFC!$C$5</f>
        <v>79.25</v>
      </c>
      <c r="F63" s="855">
        <f>(Z63*KFC!$B$27+KFC!$C$27)*KFC!$C$5</f>
        <v>84.61</v>
      </c>
      <c r="G63" s="855">
        <f>(AA63*KFC!$B$27+KFC!$C$27)*KFC!$C$5</f>
        <v>90.24</v>
      </c>
      <c r="H63" s="855">
        <f>(AB63*KFC!$B$27+KFC!$C$27)*KFC!$C$5</f>
        <v>95.72</v>
      </c>
      <c r="I63" s="855">
        <f>(AC63*KFC!$B$27+KFC!$C$27)*KFC!$C$5</f>
        <v>101.21</v>
      </c>
      <c r="J63" s="855">
        <f>(AD63*KFC!$B$27+KFC!$C$27)*KFC!$C$5</f>
        <v>106.69</v>
      </c>
      <c r="K63" s="855">
        <f>(AE63*KFC!$B$27+KFC!$C$27)*KFC!$C$5</f>
        <v>112.19</v>
      </c>
      <c r="L63" s="855">
        <f>(AF63*KFC!$B$27+KFC!$C$27)*KFC!$C$5</f>
        <v>117.68</v>
      </c>
      <c r="M63" s="855">
        <f>(AG63*KFC!$B$27+KFC!$C$27)*KFC!$C$5</f>
        <v>123.17</v>
      </c>
      <c r="N63" s="855">
        <f>(AH63*KFC!$B$27+KFC!$C$27)*KFC!$C$5</f>
        <v>128.66</v>
      </c>
      <c r="O63" s="855">
        <f>(AI63*KFC!$B$27+KFC!$C$27)*KFC!$C$5</f>
        <v>134.13999999999999</v>
      </c>
      <c r="P63" s="855">
        <f>(AJ63*KFC!$B$27+KFC!$C$27)*KFC!$C$5</f>
        <v>139.61999999999998</v>
      </c>
      <c r="Q63" s="855">
        <f>(AK63*KFC!$B$27+KFC!$C$27)*KFC!$C$5</f>
        <v>145.09999999999997</v>
      </c>
      <c r="R63" s="855">
        <f>(AL63*KFC!$B$27+KFC!$C$27)*KFC!$C$5</f>
        <v>150.57999999999996</v>
      </c>
      <c r="S63" s="855">
        <f>(AM63*KFC!$B$27+KFC!$C$27)*KFC!$C$5</f>
        <v>156.05999999999995</v>
      </c>
      <c r="T63" s="855">
        <f>(AN63*KFC!$B$27+KFC!$C$27)*KFC!$C$5</f>
        <v>161.53999999999994</v>
      </c>
      <c r="V63" s="851">
        <v>1.9</v>
      </c>
      <c r="W63" s="847">
        <v>68.28</v>
      </c>
      <c r="X63" s="847">
        <v>73.64</v>
      </c>
      <c r="Y63" s="847">
        <v>79.25</v>
      </c>
      <c r="Z63" s="847">
        <v>84.61</v>
      </c>
      <c r="AA63" s="847">
        <v>90.24</v>
      </c>
      <c r="AB63" s="847">
        <v>95.72</v>
      </c>
      <c r="AC63" s="847">
        <v>101.21</v>
      </c>
      <c r="AD63" s="847">
        <v>106.69</v>
      </c>
      <c r="AE63" s="847">
        <v>112.19</v>
      </c>
      <c r="AF63" s="847">
        <v>117.68</v>
      </c>
      <c r="AG63" s="847">
        <v>123.17</v>
      </c>
      <c r="AH63" s="847">
        <v>128.66</v>
      </c>
      <c r="AI63" s="848">
        <v>134.13999999999999</v>
      </c>
      <c r="AJ63" s="690">
        <f t="shared" si="8"/>
        <v>139.61999999999998</v>
      </c>
      <c r="AK63" s="690">
        <f t="shared" si="9"/>
        <v>145.09999999999997</v>
      </c>
      <c r="AL63" s="690">
        <f t="shared" si="9"/>
        <v>150.57999999999996</v>
      </c>
      <c r="AM63" s="690">
        <f t="shared" si="9"/>
        <v>156.05999999999995</v>
      </c>
      <c r="AN63" s="690">
        <f t="shared" si="9"/>
        <v>161.53999999999994</v>
      </c>
      <c r="AO63" s="690">
        <f t="shared" si="9"/>
        <v>167.01999999999992</v>
      </c>
      <c r="AP63" s="690">
        <f t="shared" si="9"/>
        <v>172.49999999999991</v>
      </c>
    </row>
    <row r="64" spans="1:42">
      <c r="A64" s="1816"/>
      <c r="B64" s="849">
        <v>2</v>
      </c>
      <c r="C64" s="855">
        <f>(W64*KFC!$B$27+KFC!$C$27)*KFC!$C$5</f>
        <v>70.41</v>
      </c>
      <c r="D64" s="855">
        <f>(X64*KFC!$B$27+KFC!$C$27)*KFC!$C$5</f>
        <v>76.180000000000007</v>
      </c>
      <c r="E64" s="855">
        <f>(Y64*KFC!$B$27+KFC!$C$27)*KFC!$C$5</f>
        <v>81.67</v>
      </c>
      <c r="F64" s="855">
        <f>(Z64*KFC!$B$27+KFC!$C$27)*KFC!$C$5</f>
        <v>87.42</v>
      </c>
      <c r="G64" s="855">
        <f>(AA64*KFC!$B$27+KFC!$C$27)*KFC!$C$5</f>
        <v>93.04</v>
      </c>
      <c r="H64" s="855">
        <f>(AB64*KFC!$B$27+KFC!$C$27)*KFC!$C$5</f>
        <v>98.66</v>
      </c>
      <c r="I64" s="855">
        <f>(AC64*KFC!$B$27+KFC!$C$27)*KFC!$C$5</f>
        <v>104.3</v>
      </c>
      <c r="J64" s="855">
        <f>(AD64*KFC!$B$27+KFC!$C$27)*KFC!$C$5</f>
        <v>110.04</v>
      </c>
      <c r="K64" s="855">
        <f>(AE64*KFC!$B$27+KFC!$C$27)*KFC!$C$5</f>
        <v>115.54</v>
      </c>
      <c r="L64" s="855">
        <f>(AF64*KFC!$B$27+KFC!$C$27)*KFC!$C$5</f>
        <v>121.29</v>
      </c>
      <c r="M64" s="855">
        <f>(AG64*KFC!$B$27+KFC!$C$27)*KFC!$C$5</f>
        <v>126.92</v>
      </c>
      <c r="N64" s="855">
        <f>(AH64*KFC!$B$27+KFC!$C$27)*KFC!$C$5</f>
        <v>132.66999999999999</v>
      </c>
      <c r="O64" s="855">
        <f>(AI64*KFC!$B$27+KFC!$C$27)*KFC!$C$5</f>
        <v>138.43</v>
      </c>
      <c r="P64" s="855">
        <f>(AJ64*KFC!$B$27+KFC!$C$27)*KFC!$C$5</f>
        <v>144.19000000000003</v>
      </c>
      <c r="Q64" s="855">
        <f>(AK64*KFC!$B$27+KFC!$C$27)*KFC!$C$5</f>
        <v>149.95000000000005</v>
      </c>
      <c r="R64" s="855">
        <f>(AL64*KFC!$B$27+KFC!$C$27)*KFC!$C$5</f>
        <v>155.71000000000006</v>
      </c>
      <c r="S64" s="855">
        <f>(AM64*KFC!$B$27+KFC!$C$27)*KFC!$C$5</f>
        <v>161.47000000000008</v>
      </c>
      <c r="T64" s="855">
        <f>(AN64*KFC!$B$27+KFC!$C$27)*KFC!$C$5</f>
        <v>167.2300000000001</v>
      </c>
      <c r="V64" s="851">
        <v>2</v>
      </c>
      <c r="W64" s="847">
        <v>70.41</v>
      </c>
      <c r="X64" s="847">
        <v>76.180000000000007</v>
      </c>
      <c r="Y64" s="847">
        <v>81.67</v>
      </c>
      <c r="Z64" s="847">
        <v>87.42</v>
      </c>
      <c r="AA64" s="847">
        <v>93.04</v>
      </c>
      <c r="AB64" s="847">
        <v>98.66</v>
      </c>
      <c r="AC64" s="847">
        <v>104.3</v>
      </c>
      <c r="AD64" s="847">
        <v>110.04</v>
      </c>
      <c r="AE64" s="847">
        <v>115.54</v>
      </c>
      <c r="AF64" s="847">
        <v>121.29</v>
      </c>
      <c r="AG64" s="847">
        <v>126.92</v>
      </c>
      <c r="AH64" s="847">
        <v>132.66999999999999</v>
      </c>
      <c r="AI64" s="848">
        <v>138.43</v>
      </c>
      <c r="AJ64" s="690">
        <f t="shared" si="8"/>
        <v>144.19000000000003</v>
      </c>
      <c r="AK64" s="690">
        <f t="shared" si="9"/>
        <v>149.95000000000005</v>
      </c>
      <c r="AL64" s="690">
        <f t="shared" si="9"/>
        <v>155.71000000000006</v>
      </c>
      <c r="AM64" s="690">
        <f t="shared" si="9"/>
        <v>161.47000000000008</v>
      </c>
      <c r="AN64" s="690">
        <f t="shared" si="9"/>
        <v>167.2300000000001</v>
      </c>
      <c r="AO64" s="690">
        <f t="shared" si="9"/>
        <v>172.99000000000012</v>
      </c>
      <c r="AP64" s="690">
        <f t="shared" si="9"/>
        <v>178.75000000000014</v>
      </c>
    </row>
    <row r="65" spans="1:42">
      <c r="A65" s="1816"/>
      <c r="B65" s="849">
        <v>2.1</v>
      </c>
      <c r="C65" s="855">
        <f>(W65*KFC!$B$27+KFC!$C$27)*KFC!$C$5</f>
        <v>72.56</v>
      </c>
      <c r="D65" s="855">
        <f>(X65*KFC!$B$27+KFC!$C$27)*KFC!$C$5</f>
        <v>78.73</v>
      </c>
      <c r="E65" s="855">
        <f>(Y65*KFC!$B$27+KFC!$C$27)*KFC!$C$5</f>
        <v>84.08</v>
      </c>
      <c r="F65" s="855">
        <f>(Z65*KFC!$B$27+KFC!$C$27)*KFC!$C$5</f>
        <v>90.24</v>
      </c>
      <c r="G65" s="855">
        <f>(AA65*KFC!$B$27+KFC!$C$27)*KFC!$C$5</f>
        <v>95.85</v>
      </c>
      <c r="H65" s="855">
        <f>(AB65*KFC!$B$27+KFC!$C$27)*KFC!$C$5</f>
        <v>101.62</v>
      </c>
      <c r="I65" s="855">
        <f>(AC65*KFC!$B$27+KFC!$C$27)*KFC!$C$5</f>
        <v>107.36</v>
      </c>
      <c r="J65" s="855">
        <f>(AD65*KFC!$B$27+KFC!$C$27)*KFC!$C$5</f>
        <v>113.39</v>
      </c>
      <c r="K65" s="855">
        <f>(AE65*KFC!$B$27+KFC!$C$27)*KFC!$C$5</f>
        <v>118.89</v>
      </c>
      <c r="L65" s="855">
        <f>(AF65*KFC!$B$27+KFC!$C$27)*KFC!$C$5</f>
        <v>124.91</v>
      </c>
      <c r="M65" s="855">
        <f>(AG65*KFC!$B$27+KFC!$C$27)*KFC!$C$5</f>
        <v>130.66</v>
      </c>
      <c r="N65" s="855">
        <f>(AH65*KFC!$B$27+KFC!$C$27)*KFC!$C$5</f>
        <v>136.69</v>
      </c>
      <c r="O65" s="855">
        <f>(AI65*KFC!$B$27+KFC!$C$27)*KFC!$C$5</f>
        <v>142.71</v>
      </c>
      <c r="P65" s="855">
        <f>(AJ65*KFC!$B$27+KFC!$C$27)*KFC!$C$5</f>
        <v>148.73000000000002</v>
      </c>
      <c r="Q65" s="855">
        <f>(AK65*KFC!$B$27+KFC!$C$27)*KFC!$C$5</f>
        <v>154.75000000000003</v>
      </c>
      <c r="R65" s="855">
        <f>(AL65*KFC!$B$27+KFC!$C$27)*KFC!$C$5</f>
        <v>160.77000000000004</v>
      </c>
      <c r="S65" s="855">
        <f>(AM65*KFC!$B$27+KFC!$C$27)*KFC!$C$5</f>
        <v>166.79000000000005</v>
      </c>
      <c r="T65" s="855">
        <f>(AN65*KFC!$B$27+KFC!$C$27)*KFC!$C$5</f>
        <v>172.81000000000006</v>
      </c>
      <c r="V65" s="851">
        <v>2.1</v>
      </c>
      <c r="W65" s="847">
        <v>72.56</v>
      </c>
      <c r="X65" s="847">
        <v>78.73</v>
      </c>
      <c r="Y65" s="847">
        <v>84.08</v>
      </c>
      <c r="Z65" s="847">
        <v>90.24</v>
      </c>
      <c r="AA65" s="847">
        <v>95.85</v>
      </c>
      <c r="AB65" s="847">
        <v>101.62</v>
      </c>
      <c r="AC65" s="847">
        <v>107.36</v>
      </c>
      <c r="AD65" s="847">
        <v>113.39</v>
      </c>
      <c r="AE65" s="847">
        <v>118.89</v>
      </c>
      <c r="AF65" s="847">
        <v>124.91</v>
      </c>
      <c r="AG65" s="847">
        <v>130.66</v>
      </c>
      <c r="AH65" s="847">
        <v>136.69</v>
      </c>
      <c r="AI65" s="848">
        <v>142.71</v>
      </c>
      <c r="AJ65" s="690">
        <f t="shared" si="8"/>
        <v>148.73000000000002</v>
      </c>
      <c r="AK65" s="690">
        <f t="shared" ref="AK65:AP66" si="10">AJ65-AI65+AJ65</f>
        <v>154.75000000000003</v>
      </c>
      <c r="AL65" s="690">
        <f t="shared" si="10"/>
        <v>160.77000000000004</v>
      </c>
      <c r="AM65" s="690">
        <f t="shared" si="10"/>
        <v>166.79000000000005</v>
      </c>
      <c r="AN65" s="690">
        <f t="shared" si="10"/>
        <v>172.81000000000006</v>
      </c>
      <c r="AO65" s="690">
        <f t="shared" si="10"/>
        <v>178.83000000000007</v>
      </c>
      <c r="AP65" s="690">
        <f t="shared" si="10"/>
        <v>184.85000000000008</v>
      </c>
    </row>
    <row r="66" spans="1:42" ht="13.8" thickBot="1">
      <c r="A66" s="1817"/>
      <c r="B66" s="849">
        <v>2.2000000000000002</v>
      </c>
      <c r="C66" s="855">
        <f>(W66*KFC!$B$27+KFC!$C$27)*KFC!$C$5</f>
        <v>74.709999999999994</v>
      </c>
      <c r="D66" s="855">
        <f>(X66*KFC!$B$27+KFC!$C$27)*KFC!$C$5</f>
        <v>81.260000000000005</v>
      </c>
      <c r="E66" s="855">
        <f>(Y66*KFC!$B$27+KFC!$C$27)*KFC!$C$5</f>
        <v>86.48</v>
      </c>
      <c r="F66" s="855">
        <f>(Z66*KFC!$B$27+KFC!$C$27)*KFC!$C$5</f>
        <v>93.04</v>
      </c>
      <c r="G66" s="855">
        <f>(AA66*KFC!$B$27+KFC!$C$27)*KFC!$C$5</f>
        <v>98.66</v>
      </c>
      <c r="H66" s="855">
        <f>(AB66*KFC!$B$27+KFC!$C$27)*KFC!$C$5</f>
        <v>104.56</v>
      </c>
      <c r="I66" s="855">
        <f>(AC66*KFC!$B$27+KFC!$C$27)*KFC!$C$5</f>
        <v>110.45</v>
      </c>
      <c r="J66" s="855">
        <f>(AD66*KFC!$B$27+KFC!$C$27)*KFC!$C$5</f>
        <v>116.74</v>
      </c>
      <c r="K66" s="855">
        <f>(AE66*KFC!$B$27+KFC!$C$27)*KFC!$C$5</f>
        <v>122.23</v>
      </c>
      <c r="L66" s="855">
        <f>(AF66*KFC!$B$27+KFC!$C$27)*KFC!$C$5</f>
        <v>128.52000000000001</v>
      </c>
      <c r="M66" s="855">
        <f>(AG66*KFC!$B$27+KFC!$C$27)*KFC!$C$5</f>
        <v>134.41</v>
      </c>
      <c r="N66" s="855">
        <f>(AH66*KFC!$B$27+KFC!$C$27)*KFC!$C$5</f>
        <v>140.69999999999999</v>
      </c>
      <c r="O66" s="855">
        <f>(AI66*KFC!$B$27+KFC!$C$27)*KFC!$C$5</f>
        <v>147</v>
      </c>
      <c r="P66" s="855">
        <f>(AJ66*KFC!$B$27+KFC!$C$27)*KFC!$C$5</f>
        <v>153.30000000000001</v>
      </c>
      <c r="Q66" s="855">
        <f>(AK66*KFC!$B$27+KFC!$C$27)*KFC!$C$5</f>
        <v>159.60000000000002</v>
      </c>
      <c r="R66" s="855">
        <f>(AL66*KFC!$B$27+KFC!$C$27)*KFC!$C$5</f>
        <v>165.90000000000003</v>
      </c>
      <c r="S66" s="855">
        <f>(AM66*KFC!$B$27+KFC!$C$27)*KFC!$C$5</f>
        <v>172.20000000000005</v>
      </c>
      <c r="T66" s="855">
        <f>(AN66*KFC!$B$27+KFC!$C$27)*KFC!$C$5</f>
        <v>178.50000000000006</v>
      </c>
      <c r="V66" s="851">
        <v>2.2000000000000002</v>
      </c>
      <c r="W66" s="847">
        <v>74.709999999999994</v>
      </c>
      <c r="X66" s="847">
        <v>81.260000000000005</v>
      </c>
      <c r="Y66" s="847">
        <v>86.48</v>
      </c>
      <c r="Z66" s="847">
        <v>93.04</v>
      </c>
      <c r="AA66" s="847">
        <v>98.66</v>
      </c>
      <c r="AB66" s="847">
        <v>104.56</v>
      </c>
      <c r="AC66" s="847">
        <v>110.45</v>
      </c>
      <c r="AD66" s="847">
        <v>116.74</v>
      </c>
      <c r="AE66" s="847">
        <v>122.23</v>
      </c>
      <c r="AF66" s="847">
        <v>128.52000000000001</v>
      </c>
      <c r="AG66" s="847">
        <v>134.41</v>
      </c>
      <c r="AH66" s="847">
        <v>140.69999999999999</v>
      </c>
      <c r="AI66" s="848">
        <v>147</v>
      </c>
      <c r="AJ66" s="690">
        <f t="shared" si="8"/>
        <v>153.30000000000001</v>
      </c>
      <c r="AK66" s="690">
        <f t="shared" si="10"/>
        <v>159.60000000000002</v>
      </c>
      <c r="AL66" s="690">
        <f t="shared" si="10"/>
        <v>165.90000000000003</v>
      </c>
      <c r="AM66" s="690">
        <f t="shared" si="10"/>
        <v>172.20000000000005</v>
      </c>
      <c r="AN66" s="690">
        <f t="shared" si="10"/>
        <v>178.50000000000006</v>
      </c>
      <c r="AO66" s="690">
        <f t="shared" si="10"/>
        <v>184.80000000000007</v>
      </c>
      <c r="AP66" s="690">
        <f t="shared" si="10"/>
        <v>191.10000000000008</v>
      </c>
    </row>
    <row r="67" spans="1:42" ht="13.8" thickBot="1">
      <c r="A67" s="249"/>
      <c r="B67" s="249"/>
      <c r="C67" s="249"/>
      <c r="D67" s="249"/>
      <c r="E67" s="249"/>
      <c r="F67" s="249"/>
      <c r="G67" s="249"/>
      <c r="H67" s="249"/>
      <c r="I67" s="249"/>
      <c r="J67" s="249"/>
      <c r="K67" s="249"/>
      <c r="L67" s="249"/>
    </row>
    <row r="68" spans="1:42" ht="13.95" customHeight="1" thickBot="1">
      <c r="A68" s="1413" t="s">
        <v>318</v>
      </c>
      <c r="B68" s="1415"/>
      <c r="C68" s="1534" t="s">
        <v>207</v>
      </c>
      <c r="D68" s="1535"/>
      <c r="E68" s="1535"/>
      <c r="F68" s="1535"/>
      <c r="G68" s="1535"/>
      <c r="H68" s="1535"/>
      <c r="I68" s="1535"/>
      <c r="J68" s="1535"/>
      <c r="K68" s="1535"/>
      <c r="L68" s="1535"/>
      <c r="M68" s="1535"/>
      <c r="N68" s="1535"/>
      <c r="O68" s="1535"/>
      <c r="P68" s="1535"/>
      <c r="Q68" s="1535"/>
      <c r="R68" s="1535"/>
      <c r="S68" s="1535"/>
      <c r="T68" s="1535"/>
    </row>
    <row r="69" spans="1:42" ht="13.8" thickBot="1">
      <c r="A69" s="1803"/>
      <c r="B69" s="1802"/>
      <c r="C69" s="428">
        <v>0.4</v>
      </c>
      <c r="D69" s="428">
        <v>0.5</v>
      </c>
      <c r="E69" s="428">
        <v>0.6</v>
      </c>
      <c r="F69" s="428">
        <v>0.7</v>
      </c>
      <c r="G69" s="428">
        <v>0.8</v>
      </c>
      <c r="H69" s="428">
        <v>0.9</v>
      </c>
      <c r="I69" s="428">
        <v>1</v>
      </c>
      <c r="J69" s="428">
        <v>1.1000000000000001</v>
      </c>
      <c r="K69" s="428">
        <v>1.2</v>
      </c>
      <c r="L69" s="428">
        <v>1.3</v>
      </c>
      <c r="M69" s="428">
        <v>1.4</v>
      </c>
      <c r="N69" s="428">
        <v>1.5</v>
      </c>
      <c r="O69" s="428">
        <v>1.6</v>
      </c>
      <c r="P69" s="428">
        <v>1.7</v>
      </c>
      <c r="Q69" s="428">
        <v>1.8</v>
      </c>
      <c r="R69" s="428">
        <v>1.9</v>
      </c>
      <c r="S69" s="428">
        <v>2</v>
      </c>
      <c r="T69" s="428">
        <v>2.1</v>
      </c>
      <c r="V69" s="850"/>
      <c r="W69" s="851">
        <v>0.4</v>
      </c>
      <c r="X69" s="851">
        <v>0.5</v>
      </c>
      <c r="Y69" s="851">
        <v>0.6</v>
      </c>
      <c r="Z69" s="851">
        <v>0.7</v>
      </c>
      <c r="AA69" s="851">
        <v>0.8</v>
      </c>
      <c r="AB69" s="851">
        <v>0.9</v>
      </c>
      <c r="AC69" s="851">
        <v>1</v>
      </c>
      <c r="AD69" s="851">
        <v>1.1000000000000001</v>
      </c>
      <c r="AE69" s="851">
        <v>1.2</v>
      </c>
      <c r="AF69" s="851">
        <v>1.3</v>
      </c>
      <c r="AG69" s="851">
        <v>1.4</v>
      </c>
      <c r="AH69" s="851">
        <v>1.5</v>
      </c>
      <c r="AI69" s="852">
        <v>1.6</v>
      </c>
      <c r="AJ69" s="853">
        <v>1.7</v>
      </c>
      <c r="AK69" s="853">
        <v>1.8</v>
      </c>
      <c r="AL69" s="853">
        <v>1.9</v>
      </c>
      <c r="AM69" s="853">
        <v>2</v>
      </c>
      <c r="AN69" s="853">
        <v>2.1</v>
      </c>
      <c r="AO69" s="853">
        <v>2.2000000000000002</v>
      </c>
      <c r="AP69" s="853">
        <v>2.2999999999999998</v>
      </c>
    </row>
    <row r="70" spans="1:42" ht="13.2" customHeight="1">
      <c r="A70" s="1815" t="s">
        <v>3</v>
      </c>
      <c r="B70" s="849">
        <v>0.5</v>
      </c>
      <c r="C70" s="855">
        <f>(W70*KFC!$B$27+KFC!$C$27)*KFC!$C$5</f>
        <v>42.58</v>
      </c>
      <c r="D70" s="855">
        <f>(X70*KFC!$B$27+KFC!$C$27)*KFC!$C$5</f>
        <v>48.33</v>
      </c>
      <c r="E70" s="855">
        <f>(Y70*KFC!$B$27+KFC!$C$27)*KFC!$C$5</f>
        <v>53.81</v>
      </c>
      <c r="F70" s="855">
        <f>(Z70*KFC!$B$27+KFC!$C$27)*KFC!$C$5</f>
        <v>59.58</v>
      </c>
      <c r="G70" s="855">
        <f>(AA70*KFC!$B$27+KFC!$C$27)*KFC!$C$5</f>
        <v>65.19</v>
      </c>
      <c r="H70" s="855">
        <f>(AB70*KFC!$B$27+KFC!$C$27)*KFC!$C$5</f>
        <v>70.959999999999994</v>
      </c>
      <c r="I70" s="855">
        <f>(AC70*KFC!$B$27+KFC!$C$27)*KFC!$C$5</f>
        <v>76.44</v>
      </c>
      <c r="J70" s="855">
        <f>(AD70*KFC!$B$27+KFC!$C$27)*KFC!$C$5</f>
        <v>82.2</v>
      </c>
      <c r="K70" s="855">
        <f>(AE70*KFC!$B$27+KFC!$C$27)*KFC!$C$5</f>
        <v>87.82</v>
      </c>
      <c r="L70" s="855">
        <f>(AF70*KFC!$B$27+KFC!$C$27)*KFC!$C$5</f>
        <v>93.45</v>
      </c>
      <c r="M70" s="855">
        <f>(AG70*KFC!$B$27+KFC!$C$27)*KFC!$C$5</f>
        <v>99.07</v>
      </c>
      <c r="N70" s="855">
        <f>(AH70*KFC!$B$27+KFC!$C$27)*KFC!$C$5</f>
        <v>104.83</v>
      </c>
      <c r="O70" s="855">
        <f>(AI70*KFC!$B$27+KFC!$C$27)*KFC!$C$5</f>
        <v>110.58</v>
      </c>
      <c r="P70" s="855">
        <f>(AJ70*KFC!$B$27+KFC!$C$27)*KFC!$C$5</f>
        <v>116.33</v>
      </c>
      <c r="Q70" s="855">
        <f>(AK70*KFC!$B$27+KFC!$C$27)*KFC!$C$5</f>
        <v>122.08</v>
      </c>
      <c r="R70" s="855">
        <f>(AL70*KFC!$B$27+KFC!$C$27)*KFC!$C$5</f>
        <v>127.83</v>
      </c>
      <c r="S70" s="855">
        <f>(AM70*KFC!$B$27+KFC!$C$27)*KFC!$C$5</f>
        <v>133.57999999999998</v>
      </c>
      <c r="T70" s="855">
        <f>(AN70*KFC!$B$27+KFC!$C$27)*KFC!$C$5</f>
        <v>139.32999999999998</v>
      </c>
      <c r="V70" s="851">
        <v>0.5</v>
      </c>
      <c r="W70" s="847">
        <v>42.58</v>
      </c>
      <c r="X70" s="847">
        <v>48.33</v>
      </c>
      <c r="Y70" s="847">
        <v>53.81</v>
      </c>
      <c r="Z70" s="847">
        <v>59.58</v>
      </c>
      <c r="AA70" s="847">
        <v>65.19</v>
      </c>
      <c r="AB70" s="847">
        <v>70.959999999999994</v>
      </c>
      <c r="AC70" s="847">
        <v>76.44</v>
      </c>
      <c r="AD70" s="847">
        <v>82.2</v>
      </c>
      <c r="AE70" s="847">
        <v>87.82</v>
      </c>
      <c r="AF70" s="847">
        <v>93.45</v>
      </c>
      <c r="AG70" s="847">
        <v>99.07</v>
      </c>
      <c r="AH70" s="847">
        <v>104.83</v>
      </c>
      <c r="AI70" s="848">
        <v>110.58</v>
      </c>
      <c r="AJ70" s="690">
        <f t="shared" ref="AJ70:AJ87" si="11">AI70-AH70+AI70</f>
        <v>116.33</v>
      </c>
      <c r="AK70" s="690">
        <f t="shared" ref="AK70:AP85" si="12">AJ70-AI70+AJ70</f>
        <v>122.08</v>
      </c>
      <c r="AL70" s="690">
        <f t="shared" si="12"/>
        <v>127.83</v>
      </c>
      <c r="AM70" s="690">
        <f t="shared" si="12"/>
        <v>133.57999999999998</v>
      </c>
      <c r="AN70" s="690">
        <f t="shared" si="12"/>
        <v>139.32999999999998</v>
      </c>
      <c r="AO70" s="690">
        <f t="shared" si="12"/>
        <v>145.07999999999998</v>
      </c>
      <c r="AP70" s="690">
        <f t="shared" si="12"/>
        <v>150.82999999999998</v>
      </c>
    </row>
    <row r="71" spans="1:42">
      <c r="A71" s="1816"/>
      <c r="B71" s="849">
        <v>0.6</v>
      </c>
      <c r="C71" s="855">
        <f>(W71*KFC!$B$27+KFC!$C$27)*KFC!$C$5</f>
        <v>45.26</v>
      </c>
      <c r="D71" s="855">
        <f>(X71*KFC!$B$27+KFC!$C$27)*KFC!$C$5</f>
        <v>50.87</v>
      </c>
      <c r="E71" s="855">
        <f>(Y71*KFC!$B$27+KFC!$C$27)*KFC!$C$5</f>
        <v>56.76</v>
      </c>
      <c r="F71" s="855">
        <f>(Z71*KFC!$B$27+KFC!$C$27)*KFC!$C$5</f>
        <v>62.52</v>
      </c>
      <c r="G71" s="855">
        <f>(AA71*KFC!$B$27+KFC!$C$27)*KFC!$C$5</f>
        <v>68.28</v>
      </c>
      <c r="H71" s="855">
        <f>(AB71*KFC!$B$27+KFC!$C$27)*KFC!$C$5</f>
        <v>74.040000000000006</v>
      </c>
      <c r="I71" s="855">
        <f>(AC71*KFC!$B$27+KFC!$C$27)*KFC!$C$5</f>
        <v>79.92</v>
      </c>
      <c r="J71" s="855">
        <f>(AD71*KFC!$B$27+KFC!$C$27)*KFC!$C$5</f>
        <v>85.68</v>
      </c>
      <c r="K71" s="855">
        <f>(AE71*KFC!$B$27+KFC!$C$27)*KFC!$C$5</f>
        <v>91.3</v>
      </c>
      <c r="L71" s="855">
        <f>(AF71*KFC!$B$27+KFC!$C$27)*KFC!$C$5</f>
        <v>97.06</v>
      </c>
      <c r="M71" s="855">
        <f>(AG71*KFC!$B$27+KFC!$C$27)*KFC!$C$5</f>
        <v>102.95</v>
      </c>
      <c r="N71" s="855">
        <f>(AH71*KFC!$B$27+KFC!$C$27)*KFC!$C$5</f>
        <v>108.71</v>
      </c>
      <c r="O71" s="855">
        <f>(AI71*KFC!$B$27+KFC!$C$27)*KFC!$C$5</f>
        <v>114.46</v>
      </c>
      <c r="P71" s="855">
        <f>(AJ71*KFC!$B$27+KFC!$C$27)*KFC!$C$5</f>
        <v>120.21</v>
      </c>
      <c r="Q71" s="855">
        <f>(AK71*KFC!$B$27+KFC!$C$27)*KFC!$C$5</f>
        <v>125.96</v>
      </c>
      <c r="R71" s="855">
        <f>(AL71*KFC!$B$27+KFC!$C$27)*KFC!$C$5</f>
        <v>131.70999999999998</v>
      </c>
      <c r="S71" s="855">
        <f>(AM71*KFC!$B$27+KFC!$C$27)*KFC!$C$5</f>
        <v>137.45999999999998</v>
      </c>
      <c r="T71" s="855">
        <f>(AN71*KFC!$B$27+KFC!$C$27)*KFC!$C$5</f>
        <v>143.20999999999998</v>
      </c>
      <c r="V71" s="851">
        <v>0.6</v>
      </c>
      <c r="W71" s="847">
        <v>45.26</v>
      </c>
      <c r="X71" s="847">
        <v>50.87</v>
      </c>
      <c r="Y71" s="847">
        <v>56.76</v>
      </c>
      <c r="Z71" s="847">
        <v>62.52</v>
      </c>
      <c r="AA71" s="847">
        <v>68.28</v>
      </c>
      <c r="AB71" s="847">
        <v>74.040000000000006</v>
      </c>
      <c r="AC71" s="847">
        <v>79.92</v>
      </c>
      <c r="AD71" s="847">
        <v>85.68</v>
      </c>
      <c r="AE71" s="847">
        <v>91.3</v>
      </c>
      <c r="AF71" s="847">
        <v>97.06</v>
      </c>
      <c r="AG71" s="847">
        <v>102.95</v>
      </c>
      <c r="AH71" s="847">
        <v>108.71</v>
      </c>
      <c r="AI71" s="848">
        <v>114.46</v>
      </c>
      <c r="AJ71" s="690">
        <f t="shared" si="11"/>
        <v>120.21</v>
      </c>
      <c r="AK71" s="690">
        <f t="shared" si="12"/>
        <v>125.96</v>
      </c>
      <c r="AL71" s="690">
        <f t="shared" si="12"/>
        <v>131.70999999999998</v>
      </c>
      <c r="AM71" s="690">
        <f t="shared" si="12"/>
        <v>137.45999999999998</v>
      </c>
      <c r="AN71" s="690">
        <f t="shared" si="12"/>
        <v>143.20999999999998</v>
      </c>
      <c r="AO71" s="690">
        <f t="shared" si="12"/>
        <v>148.95999999999998</v>
      </c>
      <c r="AP71" s="690">
        <f t="shared" si="12"/>
        <v>154.70999999999998</v>
      </c>
    </row>
    <row r="72" spans="1:42">
      <c r="A72" s="1816"/>
      <c r="B72" s="849">
        <v>0.7</v>
      </c>
      <c r="C72" s="855">
        <f>(W72*KFC!$B$27+KFC!$C$27)*KFC!$C$5</f>
        <v>47.79</v>
      </c>
      <c r="D72" s="855">
        <f>(X72*KFC!$B$27+KFC!$C$27)*KFC!$C$5</f>
        <v>53.69</v>
      </c>
      <c r="E72" s="855">
        <f>(Y72*KFC!$B$27+KFC!$C$27)*KFC!$C$5</f>
        <v>59.58</v>
      </c>
      <c r="F72" s="855">
        <f>(Z72*KFC!$B$27+KFC!$C$27)*KFC!$C$5</f>
        <v>65.47</v>
      </c>
      <c r="G72" s="855">
        <f>(AA72*KFC!$B$27+KFC!$C$27)*KFC!$C$5</f>
        <v>71.36</v>
      </c>
      <c r="H72" s="855">
        <f>(AB72*KFC!$B$27+KFC!$C$27)*KFC!$C$5</f>
        <v>77.239999999999995</v>
      </c>
      <c r="I72" s="855">
        <f>(AC72*KFC!$B$27+KFC!$C$27)*KFC!$C$5</f>
        <v>83.14</v>
      </c>
      <c r="J72" s="855">
        <f>(AD72*KFC!$B$27+KFC!$C$27)*KFC!$C$5</f>
        <v>89.03</v>
      </c>
      <c r="K72" s="855">
        <f>(AE72*KFC!$B$27+KFC!$C$27)*KFC!$C$5</f>
        <v>94.92</v>
      </c>
      <c r="L72" s="855">
        <f>(AF72*KFC!$B$27+KFC!$C$27)*KFC!$C$5</f>
        <v>100.81</v>
      </c>
      <c r="M72" s="855">
        <f>(AG72*KFC!$B$27+KFC!$C$27)*KFC!$C$5</f>
        <v>106.69</v>
      </c>
      <c r="N72" s="855">
        <f>(AH72*KFC!$B$27+KFC!$C$27)*KFC!$C$5</f>
        <v>112.59</v>
      </c>
      <c r="O72" s="855">
        <f>(AI72*KFC!$B$27+KFC!$C$27)*KFC!$C$5</f>
        <v>118.48</v>
      </c>
      <c r="P72" s="855">
        <f>(AJ72*KFC!$B$27+KFC!$C$27)*KFC!$C$5</f>
        <v>124.37</v>
      </c>
      <c r="Q72" s="855">
        <f>(AK72*KFC!$B$27+KFC!$C$27)*KFC!$C$5</f>
        <v>130.26</v>
      </c>
      <c r="R72" s="855">
        <f>(AL72*KFC!$B$27+KFC!$C$27)*KFC!$C$5</f>
        <v>136.14999999999998</v>
      </c>
      <c r="S72" s="855">
        <f>(AM72*KFC!$B$27+KFC!$C$27)*KFC!$C$5</f>
        <v>142.03999999999996</v>
      </c>
      <c r="T72" s="855">
        <f>(AN72*KFC!$B$27+KFC!$C$27)*KFC!$C$5</f>
        <v>147.92999999999995</v>
      </c>
      <c r="V72" s="851">
        <v>0.7</v>
      </c>
      <c r="W72" s="847">
        <v>47.79</v>
      </c>
      <c r="X72" s="847">
        <v>53.69</v>
      </c>
      <c r="Y72" s="847">
        <v>59.58</v>
      </c>
      <c r="Z72" s="847">
        <v>65.47</v>
      </c>
      <c r="AA72" s="847">
        <v>71.36</v>
      </c>
      <c r="AB72" s="847">
        <v>77.239999999999995</v>
      </c>
      <c r="AC72" s="847">
        <v>83.14</v>
      </c>
      <c r="AD72" s="847">
        <v>89.03</v>
      </c>
      <c r="AE72" s="847">
        <v>94.92</v>
      </c>
      <c r="AF72" s="847">
        <v>100.81</v>
      </c>
      <c r="AG72" s="847">
        <v>106.69</v>
      </c>
      <c r="AH72" s="847">
        <v>112.59</v>
      </c>
      <c r="AI72" s="848">
        <v>118.48</v>
      </c>
      <c r="AJ72" s="690">
        <f t="shared" si="11"/>
        <v>124.37</v>
      </c>
      <c r="AK72" s="690">
        <f t="shared" si="12"/>
        <v>130.26</v>
      </c>
      <c r="AL72" s="690">
        <f t="shared" si="12"/>
        <v>136.14999999999998</v>
      </c>
      <c r="AM72" s="690">
        <f t="shared" si="12"/>
        <v>142.03999999999996</v>
      </c>
      <c r="AN72" s="690">
        <f t="shared" si="12"/>
        <v>147.92999999999995</v>
      </c>
      <c r="AO72" s="690">
        <f t="shared" si="12"/>
        <v>153.81999999999994</v>
      </c>
      <c r="AP72" s="690">
        <f t="shared" si="12"/>
        <v>159.70999999999992</v>
      </c>
    </row>
    <row r="73" spans="1:42">
      <c r="A73" s="1816"/>
      <c r="B73" s="849">
        <v>0.8</v>
      </c>
      <c r="C73" s="855">
        <f>(W73*KFC!$B$27+KFC!$C$27)*KFC!$C$5</f>
        <v>50.46</v>
      </c>
      <c r="D73" s="855">
        <f>(X73*KFC!$B$27+KFC!$C$27)*KFC!$C$5</f>
        <v>56.49</v>
      </c>
      <c r="E73" s="855">
        <f>(Y73*KFC!$B$27+KFC!$C$27)*KFC!$C$5</f>
        <v>62.38</v>
      </c>
      <c r="F73" s="855">
        <f>(Z73*KFC!$B$27+KFC!$C$27)*KFC!$C$5</f>
        <v>68.41</v>
      </c>
      <c r="G73" s="855">
        <f>(AA73*KFC!$B$27+KFC!$C$27)*KFC!$C$5</f>
        <v>74.430000000000007</v>
      </c>
      <c r="H73" s="855">
        <f>(AB73*KFC!$B$27+KFC!$C$27)*KFC!$C$5</f>
        <v>80.59</v>
      </c>
      <c r="I73" s="855">
        <f>(AC73*KFC!$B$27+KFC!$C$27)*KFC!$C$5</f>
        <v>86.48</v>
      </c>
      <c r="J73" s="855">
        <f>(AD73*KFC!$B$27+KFC!$C$27)*KFC!$C$5</f>
        <v>92.51</v>
      </c>
      <c r="K73" s="855">
        <f>(AE73*KFC!$B$27+KFC!$C$27)*KFC!$C$5</f>
        <v>98.53</v>
      </c>
      <c r="L73" s="855">
        <f>(AF73*KFC!$B$27+KFC!$C$27)*KFC!$C$5</f>
        <v>104.56</v>
      </c>
      <c r="M73" s="855">
        <f>(AG73*KFC!$B$27+KFC!$C$27)*KFC!$C$5</f>
        <v>110.58</v>
      </c>
      <c r="N73" s="855">
        <f>(AH73*KFC!$B$27+KFC!$C$27)*KFC!$C$5</f>
        <v>116.6</v>
      </c>
      <c r="O73" s="855">
        <f>(AI73*KFC!$B$27+KFC!$C$27)*KFC!$C$5</f>
        <v>122.63</v>
      </c>
      <c r="P73" s="855">
        <f>(AJ73*KFC!$B$27+KFC!$C$27)*KFC!$C$5</f>
        <v>128.66</v>
      </c>
      <c r="Q73" s="855">
        <f>(AK73*KFC!$B$27+KFC!$C$27)*KFC!$C$5</f>
        <v>134.69</v>
      </c>
      <c r="R73" s="855">
        <f>(AL73*KFC!$B$27+KFC!$C$27)*KFC!$C$5</f>
        <v>140.72</v>
      </c>
      <c r="S73" s="855">
        <f>(AM73*KFC!$B$27+KFC!$C$27)*KFC!$C$5</f>
        <v>146.75</v>
      </c>
      <c r="T73" s="855">
        <f>(AN73*KFC!$B$27+KFC!$C$27)*KFC!$C$5</f>
        <v>152.78</v>
      </c>
      <c r="V73" s="851">
        <v>0.8</v>
      </c>
      <c r="W73" s="847">
        <v>50.46</v>
      </c>
      <c r="X73" s="847">
        <v>56.49</v>
      </c>
      <c r="Y73" s="847">
        <v>62.38</v>
      </c>
      <c r="Z73" s="847">
        <v>68.41</v>
      </c>
      <c r="AA73" s="847">
        <v>74.430000000000007</v>
      </c>
      <c r="AB73" s="847">
        <v>80.59</v>
      </c>
      <c r="AC73" s="847">
        <v>86.48</v>
      </c>
      <c r="AD73" s="847">
        <v>92.51</v>
      </c>
      <c r="AE73" s="847">
        <v>98.53</v>
      </c>
      <c r="AF73" s="847">
        <v>104.56</v>
      </c>
      <c r="AG73" s="847">
        <v>110.58</v>
      </c>
      <c r="AH73" s="847">
        <v>116.6</v>
      </c>
      <c r="AI73" s="848">
        <v>122.63</v>
      </c>
      <c r="AJ73" s="690">
        <f t="shared" si="11"/>
        <v>128.66</v>
      </c>
      <c r="AK73" s="690">
        <f t="shared" si="12"/>
        <v>134.69</v>
      </c>
      <c r="AL73" s="690">
        <f t="shared" si="12"/>
        <v>140.72</v>
      </c>
      <c r="AM73" s="690">
        <f t="shared" si="12"/>
        <v>146.75</v>
      </c>
      <c r="AN73" s="690">
        <f t="shared" si="12"/>
        <v>152.78</v>
      </c>
      <c r="AO73" s="690">
        <f t="shared" si="12"/>
        <v>158.81</v>
      </c>
      <c r="AP73" s="690">
        <f t="shared" si="12"/>
        <v>164.84</v>
      </c>
    </row>
    <row r="74" spans="1:42">
      <c r="A74" s="1816"/>
      <c r="B74" s="849">
        <v>0.9</v>
      </c>
      <c r="C74" s="855">
        <f>(W74*KFC!$B$27+KFC!$C$27)*KFC!$C$5</f>
        <v>53.01</v>
      </c>
      <c r="D74" s="855">
        <f>(X74*KFC!$B$27+KFC!$C$27)*KFC!$C$5</f>
        <v>59.17</v>
      </c>
      <c r="E74" s="855">
        <f>(Y74*KFC!$B$27+KFC!$C$27)*KFC!$C$5</f>
        <v>65.34</v>
      </c>
      <c r="F74" s="855">
        <f>(Z74*KFC!$B$27+KFC!$C$27)*KFC!$C$5</f>
        <v>71.36</v>
      </c>
      <c r="G74" s="855">
        <f>(AA74*KFC!$B$27+KFC!$C$27)*KFC!$C$5</f>
        <v>77.650000000000006</v>
      </c>
      <c r="H74" s="855">
        <f>(AB74*KFC!$B$27+KFC!$C$27)*KFC!$C$5</f>
        <v>83.67</v>
      </c>
      <c r="I74" s="855">
        <f>(AC74*KFC!$B$27+KFC!$C$27)*KFC!$C$5</f>
        <v>89.83</v>
      </c>
      <c r="J74" s="855">
        <f>(AD74*KFC!$B$27+KFC!$C$27)*KFC!$C$5</f>
        <v>95.98</v>
      </c>
      <c r="K74" s="855">
        <f>(AE74*KFC!$B$27+KFC!$C$27)*KFC!$C$5</f>
        <v>102.15</v>
      </c>
      <c r="L74" s="855">
        <f>(AF74*KFC!$B$27+KFC!$C$27)*KFC!$C$5</f>
        <v>108.18</v>
      </c>
      <c r="M74" s="855">
        <f>(AG74*KFC!$B$27+KFC!$C$27)*KFC!$C$5</f>
        <v>114.46</v>
      </c>
      <c r="N74" s="855">
        <f>(AH74*KFC!$B$27+KFC!$C$27)*KFC!$C$5</f>
        <v>120.49</v>
      </c>
      <c r="O74" s="855">
        <f>(AI74*KFC!$B$27+KFC!$C$27)*KFC!$C$5</f>
        <v>126.51</v>
      </c>
      <c r="P74" s="855">
        <f>(AJ74*KFC!$B$27+KFC!$C$27)*KFC!$C$5</f>
        <v>132.53000000000003</v>
      </c>
      <c r="Q74" s="855">
        <f>(AK74*KFC!$B$27+KFC!$C$27)*KFC!$C$5</f>
        <v>138.55000000000007</v>
      </c>
      <c r="R74" s="855">
        <f>(AL74*KFC!$B$27+KFC!$C$27)*KFC!$C$5</f>
        <v>144.57000000000011</v>
      </c>
      <c r="S74" s="855">
        <f>(AM74*KFC!$B$27+KFC!$C$27)*KFC!$C$5</f>
        <v>150.59000000000015</v>
      </c>
      <c r="T74" s="855">
        <f>(AN74*KFC!$B$27+KFC!$C$27)*KFC!$C$5</f>
        <v>156.61000000000018</v>
      </c>
      <c r="V74" s="851">
        <v>0.9</v>
      </c>
      <c r="W74" s="847">
        <v>53.01</v>
      </c>
      <c r="X74" s="847">
        <v>59.17</v>
      </c>
      <c r="Y74" s="847">
        <v>65.34</v>
      </c>
      <c r="Z74" s="847">
        <v>71.36</v>
      </c>
      <c r="AA74" s="847">
        <v>77.650000000000006</v>
      </c>
      <c r="AB74" s="847">
        <v>83.67</v>
      </c>
      <c r="AC74" s="847">
        <v>89.83</v>
      </c>
      <c r="AD74" s="847">
        <v>95.98</v>
      </c>
      <c r="AE74" s="847">
        <v>102.15</v>
      </c>
      <c r="AF74" s="847">
        <v>108.18</v>
      </c>
      <c r="AG74" s="847">
        <v>114.46</v>
      </c>
      <c r="AH74" s="847">
        <v>120.49</v>
      </c>
      <c r="AI74" s="848">
        <v>126.51</v>
      </c>
      <c r="AJ74" s="690">
        <f t="shared" si="11"/>
        <v>132.53000000000003</v>
      </c>
      <c r="AK74" s="690">
        <f t="shared" si="12"/>
        <v>138.55000000000007</v>
      </c>
      <c r="AL74" s="690">
        <f t="shared" si="12"/>
        <v>144.57000000000011</v>
      </c>
      <c r="AM74" s="690">
        <f t="shared" si="12"/>
        <v>150.59000000000015</v>
      </c>
      <c r="AN74" s="690">
        <f t="shared" si="12"/>
        <v>156.61000000000018</v>
      </c>
      <c r="AO74" s="690">
        <f t="shared" si="12"/>
        <v>162.63000000000022</v>
      </c>
      <c r="AP74" s="690">
        <f t="shared" si="12"/>
        <v>168.65000000000026</v>
      </c>
    </row>
    <row r="75" spans="1:42">
      <c r="A75" s="1816"/>
      <c r="B75" s="849">
        <v>1</v>
      </c>
      <c r="C75" s="855">
        <f>(W75*KFC!$B$27+KFC!$C$27)*KFC!$C$5</f>
        <v>55.69</v>
      </c>
      <c r="D75" s="855">
        <f>(X75*KFC!$B$27+KFC!$C$27)*KFC!$C$5</f>
        <v>61.85</v>
      </c>
      <c r="E75" s="855">
        <f>(Y75*KFC!$B$27+KFC!$C$27)*KFC!$C$5</f>
        <v>68.150000000000006</v>
      </c>
      <c r="F75" s="855">
        <f>(Z75*KFC!$B$27+KFC!$C$27)*KFC!$C$5</f>
        <v>74.430000000000007</v>
      </c>
      <c r="G75" s="855">
        <f>(AA75*KFC!$B$27+KFC!$C$27)*KFC!$C$5</f>
        <v>80.73</v>
      </c>
      <c r="H75" s="855">
        <f>(AB75*KFC!$B$27+KFC!$C$27)*KFC!$C$5</f>
        <v>86.89</v>
      </c>
      <c r="I75" s="855">
        <f>(AC75*KFC!$B$27+KFC!$C$27)*KFC!$C$5</f>
        <v>93.18</v>
      </c>
      <c r="J75" s="855">
        <f>(AD75*KFC!$B$27+KFC!$C$27)*KFC!$C$5</f>
        <v>99.33</v>
      </c>
      <c r="K75" s="855">
        <f>(AE75*KFC!$B$27+KFC!$C$27)*KFC!$C$5</f>
        <v>105.63</v>
      </c>
      <c r="L75" s="855">
        <f>(AF75*KFC!$B$27+KFC!$C$27)*KFC!$C$5</f>
        <v>112.05</v>
      </c>
      <c r="M75" s="855">
        <f>(AG75*KFC!$B$27+KFC!$C$27)*KFC!$C$5</f>
        <v>118.22</v>
      </c>
      <c r="N75" s="855">
        <f>(AH75*KFC!$B$27+KFC!$C$27)*KFC!$C$5</f>
        <v>124.37</v>
      </c>
      <c r="O75" s="855">
        <f>(AI75*KFC!$B$27+KFC!$C$27)*KFC!$C$5</f>
        <v>130.53</v>
      </c>
      <c r="P75" s="855">
        <f>(AJ75*KFC!$B$27+KFC!$C$27)*KFC!$C$5</f>
        <v>136.69</v>
      </c>
      <c r="Q75" s="855">
        <f>(AK75*KFC!$B$27+KFC!$C$27)*KFC!$C$5</f>
        <v>142.85</v>
      </c>
      <c r="R75" s="855">
        <f>(AL75*KFC!$B$27+KFC!$C$27)*KFC!$C$5</f>
        <v>149.01</v>
      </c>
      <c r="S75" s="855">
        <f>(AM75*KFC!$B$27+KFC!$C$27)*KFC!$C$5</f>
        <v>155.16999999999999</v>
      </c>
      <c r="T75" s="855">
        <f>(AN75*KFC!$B$27+KFC!$C$27)*KFC!$C$5</f>
        <v>161.32999999999998</v>
      </c>
      <c r="V75" s="851">
        <v>1</v>
      </c>
      <c r="W75" s="847">
        <v>55.69</v>
      </c>
      <c r="X75" s="847">
        <v>61.85</v>
      </c>
      <c r="Y75" s="847">
        <v>68.150000000000006</v>
      </c>
      <c r="Z75" s="847">
        <v>74.430000000000007</v>
      </c>
      <c r="AA75" s="847">
        <v>80.73</v>
      </c>
      <c r="AB75" s="847">
        <v>86.89</v>
      </c>
      <c r="AC75" s="847">
        <v>93.18</v>
      </c>
      <c r="AD75" s="847">
        <v>99.33</v>
      </c>
      <c r="AE75" s="847">
        <v>105.63</v>
      </c>
      <c r="AF75" s="847">
        <v>112.05</v>
      </c>
      <c r="AG75" s="847">
        <v>118.22</v>
      </c>
      <c r="AH75" s="847">
        <v>124.37</v>
      </c>
      <c r="AI75" s="848">
        <v>130.53</v>
      </c>
      <c r="AJ75" s="690">
        <f t="shared" si="11"/>
        <v>136.69</v>
      </c>
      <c r="AK75" s="690">
        <f t="shared" si="12"/>
        <v>142.85</v>
      </c>
      <c r="AL75" s="690">
        <f t="shared" si="12"/>
        <v>149.01</v>
      </c>
      <c r="AM75" s="690">
        <f t="shared" si="12"/>
        <v>155.16999999999999</v>
      </c>
      <c r="AN75" s="690">
        <f t="shared" si="12"/>
        <v>161.32999999999998</v>
      </c>
      <c r="AO75" s="690">
        <f t="shared" si="12"/>
        <v>167.48999999999998</v>
      </c>
      <c r="AP75" s="690">
        <f t="shared" si="12"/>
        <v>173.64999999999998</v>
      </c>
    </row>
    <row r="76" spans="1:42">
      <c r="A76" s="1816"/>
      <c r="B76" s="849">
        <v>1.1000000000000001</v>
      </c>
      <c r="C76" s="855">
        <f>(W76*KFC!$B$27+KFC!$C$27)*KFC!$C$5</f>
        <v>58.23</v>
      </c>
      <c r="D76" s="855">
        <f>(X76*KFC!$B$27+KFC!$C$27)*KFC!$C$5</f>
        <v>64.67</v>
      </c>
      <c r="E76" s="855">
        <f>(Y76*KFC!$B$27+KFC!$C$27)*KFC!$C$5</f>
        <v>71.09</v>
      </c>
      <c r="F76" s="855">
        <f>(Z76*KFC!$B$27+KFC!$C$27)*KFC!$C$5</f>
        <v>77.39</v>
      </c>
      <c r="G76" s="855">
        <f>(AA76*KFC!$B$27+KFC!$C$27)*KFC!$C$5</f>
        <v>83.8</v>
      </c>
      <c r="H76" s="855">
        <f>(AB76*KFC!$B$27+KFC!$C$27)*KFC!$C$5</f>
        <v>90.24</v>
      </c>
      <c r="I76" s="855">
        <f>(AC76*KFC!$B$27+KFC!$C$27)*KFC!$C$5</f>
        <v>96.39</v>
      </c>
      <c r="J76" s="855">
        <f>(AD76*KFC!$B$27+KFC!$C$27)*KFC!$C$5</f>
        <v>102.83</v>
      </c>
      <c r="K76" s="855">
        <f>(AE76*KFC!$B$27+KFC!$C$27)*KFC!$C$5</f>
        <v>109.24</v>
      </c>
      <c r="L76" s="855">
        <f>(AF76*KFC!$B$27+KFC!$C$27)*KFC!$C$5</f>
        <v>115.54</v>
      </c>
      <c r="M76" s="855">
        <f>(AG76*KFC!$B$27+KFC!$C$27)*KFC!$C$5</f>
        <v>121.96</v>
      </c>
      <c r="N76" s="855">
        <f>(AH76*KFC!$B$27+KFC!$C$27)*KFC!$C$5</f>
        <v>128.38999999999999</v>
      </c>
      <c r="O76" s="855">
        <f>(AI76*KFC!$B$27+KFC!$C$27)*KFC!$C$5</f>
        <v>134.81</v>
      </c>
      <c r="P76" s="855">
        <f>(AJ76*KFC!$B$27+KFC!$C$27)*KFC!$C$5</f>
        <v>141.23000000000002</v>
      </c>
      <c r="Q76" s="855">
        <f>(AK76*KFC!$B$27+KFC!$C$27)*KFC!$C$5</f>
        <v>147.65000000000003</v>
      </c>
      <c r="R76" s="855">
        <f>(AL76*KFC!$B$27+KFC!$C$27)*KFC!$C$5</f>
        <v>154.07000000000005</v>
      </c>
      <c r="S76" s="855">
        <f>(AM76*KFC!$B$27+KFC!$C$27)*KFC!$C$5</f>
        <v>160.49000000000007</v>
      </c>
      <c r="T76" s="855">
        <f>(AN76*KFC!$B$27+KFC!$C$27)*KFC!$C$5</f>
        <v>166.91000000000008</v>
      </c>
      <c r="V76" s="851">
        <v>1.1000000000000001</v>
      </c>
      <c r="W76" s="847">
        <v>58.23</v>
      </c>
      <c r="X76" s="847">
        <v>64.67</v>
      </c>
      <c r="Y76" s="847">
        <v>71.09</v>
      </c>
      <c r="Z76" s="847">
        <v>77.39</v>
      </c>
      <c r="AA76" s="847">
        <v>83.8</v>
      </c>
      <c r="AB76" s="847">
        <v>90.24</v>
      </c>
      <c r="AC76" s="847">
        <v>96.39</v>
      </c>
      <c r="AD76" s="847">
        <v>102.83</v>
      </c>
      <c r="AE76" s="847">
        <v>109.24</v>
      </c>
      <c r="AF76" s="847">
        <v>115.54</v>
      </c>
      <c r="AG76" s="847">
        <v>121.96</v>
      </c>
      <c r="AH76" s="847">
        <v>128.38999999999999</v>
      </c>
      <c r="AI76" s="848">
        <v>134.81</v>
      </c>
      <c r="AJ76" s="690">
        <f t="shared" si="11"/>
        <v>141.23000000000002</v>
      </c>
      <c r="AK76" s="690">
        <f t="shared" si="12"/>
        <v>147.65000000000003</v>
      </c>
      <c r="AL76" s="690">
        <f t="shared" si="12"/>
        <v>154.07000000000005</v>
      </c>
      <c r="AM76" s="690">
        <f t="shared" si="12"/>
        <v>160.49000000000007</v>
      </c>
      <c r="AN76" s="690">
        <f t="shared" si="12"/>
        <v>166.91000000000008</v>
      </c>
      <c r="AO76" s="690">
        <f t="shared" si="12"/>
        <v>173.3300000000001</v>
      </c>
      <c r="AP76" s="690">
        <f t="shared" si="12"/>
        <v>179.75000000000011</v>
      </c>
    </row>
    <row r="77" spans="1:42">
      <c r="A77" s="1816"/>
      <c r="B77" s="849">
        <v>1.2</v>
      </c>
      <c r="C77" s="855">
        <f>(W77*KFC!$B$27+KFC!$C$27)*KFC!$C$5</f>
        <v>60.91</v>
      </c>
      <c r="D77" s="855">
        <f>(X77*KFC!$B$27+KFC!$C$27)*KFC!$C$5</f>
        <v>67.47</v>
      </c>
      <c r="E77" s="855">
        <f>(Y77*KFC!$B$27+KFC!$C$27)*KFC!$C$5</f>
        <v>73.900000000000006</v>
      </c>
      <c r="F77" s="855">
        <f>(Z77*KFC!$B$27+KFC!$C$27)*KFC!$C$5</f>
        <v>80.33</v>
      </c>
      <c r="G77" s="855">
        <f>(AA77*KFC!$B$27+KFC!$C$27)*KFC!$C$5</f>
        <v>86.89</v>
      </c>
      <c r="H77" s="855">
        <f>(AB77*KFC!$B$27+KFC!$C$27)*KFC!$C$5</f>
        <v>93.3</v>
      </c>
      <c r="I77" s="855">
        <f>(AC77*KFC!$B$27+KFC!$C$27)*KFC!$C$5</f>
        <v>99.87</v>
      </c>
      <c r="J77" s="855">
        <f>(AD77*KFC!$B$27+KFC!$C$27)*KFC!$C$5</f>
        <v>106.3</v>
      </c>
      <c r="K77" s="855">
        <f>(AE77*KFC!$B$27+KFC!$C$27)*KFC!$C$5</f>
        <v>112.86</v>
      </c>
      <c r="L77" s="855">
        <f>(AF77*KFC!$B$27+KFC!$C$27)*KFC!$C$5</f>
        <v>119.42</v>
      </c>
      <c r="M77" s="855">
        <f>(AG77*KFC!$B$27+KFC!$C$27)*KFC!$C$5</f>
        <v>125.72</v>
      </c>
      <c r="N77" s="855">
        <f>(AH77*KFC!$B$27+KFC!$C$27)*KFC!$C$5</f>
        <v>132.28</v>
      </c>
      <c r="O77" s="855">
        <f>(AI77*KFC!$B$27+KFC!$C$27)*KFC!$C$5</f>
        <v>138.82</v>
      </c>
      <c r="P77" s="855">
        <f>(AJ77*KFC!$B$27+KFC!$C$27)*KFC!$C$5</f>
        <v>145.35999999999999</v>
      </c>
      <c r="Q77" s="855">
        <f>(AK77*KFC!$B$27+KFC!$C$27)*KFC!$C$5</f>
        <v>151.89999999999998</v>
      </c>
      <c r="R77" s="855">
        <f>(AL77*KFC!$B$27+KFC!$C$27)*KFC!$C$5</f>
        <v>158.43999999999997</v>
      </c>
      <c r="S77" s="855">
        <f>(AM77*KFC!$B$27+KFC!$C$27)*KFC!$C$5</f>
        <v>164.97999999999996</v>
      </c>
      <c r="T77" s="855">
        <f>(AN77*KFC!$B$27+KFC!$C$27)*KFC!$C$5</f>
        <v>171.51999999999995</v>
      </c>
      <c r="V77" s="851">
        <v>1.2</v>
      </c>
      <c r="W77" s="847">
        <v>60.91</v>
      </c>
      <c r="X77" s="847">
        <v>67.47</v>
      </c>
      <c r="Y77" s="847">
        <v>73.900000000000006</v>
      </c>
      <c r="Z77" s="847">
        <v>80.33</v>
      </c>
      <c r="AA77" s="847">
        <v>86.89</v>
      </c>
      <c r="AB77" s="847">
        <v>93.3</v>
      </c>
      <c r="AC77" s="847">
        <v>99.87</v>
      </c>
      <c r="AD77" s="847">
        <v>106.3</v>
      </c>
      <c r="AE77" s="847">
        <v>112.86</v>
      </c>
      <c r="AF77" s="847">
        <v>119.42</v>
      </c>
      <c r="AG77" s="847">
        <v>125.72</v>
      </c>
      <c r="AH77" s="847">
        <v>132.28</v>
      </c>
      <c r="AI77" s="848">
        <v>138.82</v>
      </c>
      <c r="AJ77" s="690">
        <f t="shared" si="11"/>
        <v>145.35999999999999</v>
      </c>
      <c r="AK77" s="690">
        <f t="shared" si="12"/>
        <v>151.89999999999998</v>
      </c>
      <c r="AL77" s="690">
        <f t="shared" si="12"/>
        <v>158.43999999999997</v>
      </c>
      <c r="AM77" s="690">
        <f t="shared" si="12"/>
        <v>164.97999999999996</v>
      </c>
      <c r="AN77" s="690">
        <f t="shared" si="12"/>
        <v>171.51999999999995</v>
      </c>
      <c r="AO77" s="690">
        <f t="shared" si="12"/>
        <v>178.05999999999995</v>
      </c>
      <c r="AP77" s="690">
        <f t="shared" si="12"/>
        <v>184.59999999999994</v>
      </c>
    </row>
    <row r="78" spans="1:42">
      <c r="A78" s="1816"/>
      <c r="B78" s="849">
        <v>1.3</v>
      </c>
      <c r="C78" s="855">
        <f>(W78*KFC!$B$27+KFC!$C$27)*KFC!$C$5</f>
        <v>63.59</v>
      </c>
      <c r="D78" s="855">
        <f>(X78*KFC!$B$27+KFC!$C$27)*KFC!$C$5</f>
        <v>70.02</v>
      </c>
      <c r="E78" s="855">
        <f>(Y78*KFC!$B$27+KFC!$C$27)*KFC!$C$5</f>
        <v>76.849999999999994</v>
      </c>
      <c r="F78" s="855">
        <f>(Z78*KFC!$B$27+KFC!$C$27)*KFC!$C$5</f>
        <v>83.41</v>
      </c>
      <c r="G78" s="855">
        <f>(AA78*KFC!$B$27+KFC!$C$27)*KFC!$C$5</f>
        <v>89.83</v>
      </c>
      <c r="H78" s="855">
        <f>(AB78*KFC!$B$27+KFC!$C$27)*KFC!$C$5</f>
        <v>96.65</v>
      </c>
      <c r="I78" s="855">
        <f>(AC78*KFC!$B$27+KFC!$C$27)*KFC!$C$5</f>
        <v>103.09</v>
      </c>
      <c r="J78" s="855">
        <f>(AD78*KFC!$B$27+KFC!$C$27)*KFC!$C$5</f>
        <v>109.91</v>
      </c>
      <c r="K78" s="855">
        <f>(AE78*KFC!$B$27+KFC!$C$27)*KFC!$C$5</f>
        <v>116.48</v>
      </c>
      <c r="L78" s="855">
        <f>(AF78*KFC!$B$27+KFC!$C$27)*KFC!$C$5</f>
        <v>122.9</v>
      </c>
      <c r="M78" s="855">
        <f>(AG78*KFC!$B$27+KFC!$C$27)*KFC!$C$5</f>
        <v>129.72999999999999</v>
      </c>
      <c r="N78" s="855">
        <f>(AH78*KFC!$B$27+KFC!$C$27)*KFC!$C$5</f>
        <v>136.29</v>
      </c>
      <c r="O78" s="855">
        <f>(AI78*KFC!$B$27+KFC!$C$27)*KFC!$C$5</f>
        <v>142.84</v>
      </c>
      <c r="P78" s="855">
        <f>(AJ78*KFC!$B$27+KFC!$C$27)*KFC!$C$5</f>
        <v>149.39000000000001</v>
      </c>
      <c r="Q78" s="855">
        <f>(AK78*KFC!$B$27+KFC!$C$27)*KFC!$C$5</f>
        <v>155.94000000000003</v>
      </c>
      <c r="R78" s="855">
        <f>(AL78*KFC!$B$27+KFC!$C$27)*KFC!$C$5</f>
        <v>162.49000000000004</v>
      </c>
      <c r="S78" s="855">
        <f>(AM78*KFC!$B$27+KFC!$C$27)*KFC!$C$5</f>
        <v>169.04000000000005</v>
      </c>
      <c r="T78" s="855">
        <f>(AN78*KFC!$B$27+KFC!$C$27)*KFC!$C$5</f>
        <v>175.59000000000006</v>
      </c>
      <c r="V78" s="851">
        <v>1.3</v>
      </c>
      <c r="W78" s="847">
        <v>63.59</v>
      </c>
      <c r="X78" s="847">
        <v>70.02</v>
      </c>
      <c r="Y78" s="847">
        <v>76.849999999999994</v>
      </c>
      <c r="Z78" s="847">
        <v>83.41</v>
      </c>
      <c r="AA78" s="847">
        <v>89.83</v>
      </c>
      <c r="AB78" s="847">
        <v>96.65</v>
      </c>
      <c r="AC78" s="847">
        <v>103.09</v>
      </c>
      <c r="AD78" s="847">
        <v>109.91</v>
      </c>
      <c r="AE78" s="847">
        <v>116.48</v>
      </c>
      <c r="AF78" s="847">
        <v>122.9</v>
      </c>
      <c r="AG78" s="847">
        <v>129.72999999999999</v>
      </c>
      <c r="AH78" s="847">
        <v>136.29</v>
      </c>
      <c r="AI78" s="848">
        <v>142.84</v>
      </c>
      <c r="AJ78" s="690">
        <f t="shared" si="11"/>
        <v>149.39000000000001</v>
      </c>
      <c r="AK78" s="690">
        <f t="shared" si="12"/>
        <v>155.94000000000003</v>
      </c>
      <c r="AL78" s="690">
        <f t="shared" si="12"/>
        <v>162.49000000000004</v>
      </c>
      <c r="AM78" s="690">
        <f t="shared" si="12"/>
        <v>169.04000000000005</v>
      </c>
      <c r="AN78" s="690">
        <f t="shared" si="12"/>
        <v>175.59000000000006</v>
      </c>
      <c r="AO78" s="690">
        <f t="shared" si="12"/>
        <v>182.14000000000007</v>
      </c>
      <c r="AP78" s="690">
        <f t="shared" si="12"/>
        <v>188.69000000000008</v>
      </c>
    </row>
    <row r="79" spans="1:42">
      <c r="A79" s="1816"/>
      <c r="B79" s="849">
        <v>1.4</v>
      </c>
      <c r="C79" s="855">
        <f>(W79*KFC!$B$27+KFC!$C$27)*KFC!$C$5</f>
        <v>66.14</v>
      </c>
      <c r="D79" s="855">
        <f>(X79*KFC!$B$27+KFC!$C$27)*KFC!$C$5</f>
        <v>72.83</v>
      </c>
      <c r="E79" s="855">
        <f>(Y79*KFC!$B$27+KFC!$C$27)*KFC!$C$5</f>
        <v>79.53</v>
      </c>
      <c r="F79" s="855">
        <f>(Z79*KFC!$B$27+KFC!$C$27)*KFC!$C$5</f>
        <v>86.35</v>
      </c>
      <c r="G79" s="855">
        <f>(AA79*KFC!$B$27+KFC!$C$27)*KFC!$C$5</f>
        <v>93.04</v>
      </c>
      <c r="H79" s="855">
        <f>(AB79*KFC!$B$27+KFC!$C$27)*KFC!$C$5</f>
        <v>99.74</v>
      </c>
      <c r="I79" s="855">
        <f>(AC79*KFC!$B$27+KFC!$C$27)*KFC!$C$5</f>
        <v>106.56</v>
      </c>
      <c r="J79" s="855">
        <f>(AD79*KFC!$B$27+KFC!$C$27)*KFC!$C$5</f>
        <v>113.25</v>
      </c>
      <c r="K79" s="855">
        <f>(AE79*KFC!$B$27+KFC!$C$27)*KFC!$C$5</f>
        <v>119.95</v>
      </c>
      <c r="L79" s="855">
        <f>(AF79*KFC!$B$27+KFC!$C$27)*KFC!$C$5</f>
        <v>126.78</v>
      </c>
      <c r="M79" s="855">
        <f>(AG79*KFC!$B$27+KFC!$C$27)*KFC!$C$5</f>
        <v>133.47</v>
      </c>
      <c r="N79" s="855">
        <f>(AH79*KFC!$B$27+KFC!$C$27)*KFC!$C$5</f>
        <v>140.16</v>
      </c>
      <c r="O79" s="855">
        <f>(AI79*KFC!$B$27+KFC!$C$27)*KFC!$C$5</f>
        <v>146.85</v>
      </c>
      <c r="P79" s="855">
        <f>(AJ79*KFC!$B$27+KFC!$C$27)*KFC!$C$5</f>
        <v>153.54</v>
      </c>
      <c r="Q79" s="855">
        <f>(AK79*KFC!$B$27+KFC!$C$27)*KFC!$C$5</f>
        <v>160.22999999999999</v>
      </c>
      <c r="R79" s="855">
        <f>(AL79*KFC!$B$27+KFC!$C$27)*KFC!$C$5</f>
        <v>166.92</v>
      </c>
      <c r="S79" s="855">
        <f>(AM79*KFC!$B$27+KFC!$C$27)*KFC!$C$5</f>
        <v>173.60999999999999</v>
      </c>
      <c r="T79" s="855">
        <f>(AN79*KFC!$B$27+KFC!$C$27)*KFC!$C$5</f>
        <v>180.29999999999998</v>
      </c>
      <c r="V79" s="851">
        <v>1.4</v>
      </c>
      <c r="W79" s="847">
        <v>66.14</v>
      </c>
      <c r="X79" s="847">
        <v>72.83</v>
      </c>
      <c r="Y79" s="847">
        <v>79.53</v>
      </c>
      <c r="Z79" s="847">
        <v>86.35</v>
      </c>
      <c r="AA79" s="847">
        <v>93.04</v>
      </c>
      <c r="AB79" s="847">
        <v>99.74</v>
      </c>
      <c r="AC79" s="847">
        <v>106.56</v>
      </c>
      <c r="AD79" s="847">
        <v>113.25</v>
      </c>
      <c r="AE79" s="847">
        <v>119.95</v>
      </c>
      <c r="AF79" s="847">
        <v>126.78</v>
      </c>
      <c r="AG79" s="847">
        <v>133.47</v>
      </c>
      <c r="AH79" s="847">
        <v>140.16</v>
      </c>
      <c r="AI79" s="848">
        <v>146.85</v>
      </c>
      <c r="AJ79" s="690">
        <f t="shared" si="11"/>
        <v>153.54</v>
      </c>
      <c r="AK79" s="690">
        <f t="shared" si="12"/>
        <v>160.22999999999999</v>
      </c>
      <c r="AL79" s="690">
        <f t="shared" si="12"/>
        <v>166.92</v>
      </c>
      <c r="AM79" s="690">
        <f t="shared" si="12"/>
        <v>173.60999999999999</v>
      </c>
      <c r="AN79" s="690">
        <f t="shared" si="12"/>
        <v>180.29999999999998</v>
      </c>
      <c r="AO79" s="690">
        <f t="shared" si="12"/>
        <v>186.98999999999998</v>
      </c>
      <c r="AP79" s="690">
        <f t="shared" si="12"/>
        <v>193.67999999999998</v>
      </c>
    </row>
    <row r="80" spans="1:42">
      <c r="A80" s="1816"/>
      <c r="B80" s="849">
        <v>1.5</v>
      </c>
      <c r="C80" s="855">
        <f>(W80*KFC!$B$27+KFC!$C$27)*KFC!$C$5</f>
        <v>68.819999999999993</v>
      </c>
      <c r="D80" s="855">
        <f>(X80*KFC!$B$27+KFC!$C$27)*KFC!$C$5</f>
        <v>75.64</v>
      </c>
      <c r="E80" s="855">
        <f>(Y80*KFC!$B$27+KFC!$C$27)*KFC!$C$5</f>
        <v>82.47</v>
      </c>
      <c r="F80" s="855">
        <f>(Z80*KFC!$B$27+KFC!$C$27)*KFC!$C$5</f>
        <v>89.29</v>
      </c>
      <c r="G80" s="855">
        <f>(AA80*KFC!$B$27+KFC!$C$27)*KFC!$C$5</f>
        <v>96.13</v>
      </c>
      <c r="H80" s="855">
        <f>(AB80*KFC!$B$27+KFC!$C$27)*KFC!$C$5</f>
        <v>102.95</v>
      </c>
      <c r="I80" s="855">
        <f>(AC80*KFC!$B$27+KFC!$C$27)*KFC!$C$5</f>
        <v>109.91</v>
      </c>
      <c r="J80" s="855">
        <f>(AD80*KFC!$B$27+KFC!$C$27)*KFC!$C$5</f>
        <v>116.74</v>
      </c>
      <c r="K80" s="855">
        <f>(AE80*KFC!$B$27+KFC!$C$27)*KFC!$C$5</f>
        <v>123.57</v>
      </c>
      <c r="L80" s="855">
        <f>(AF80*KFC!$B$27+KFC!$C$27)*KFC!$C$5</f>
        <v>130.4</v>
      </c>
      <c r="M80" s="855">
        <f>(AG80*KFC!$B$27+KFC!$C$27)*KFC!$C$5</f>
        <v>137.22</v>
      </c>
      <c r="N80" s="855">
        <f>(AH80*KFC!$B$27+KFC!$C$27)*KFC!$C$5</f>
        <v>144.05000000000001</v>
      </c>
      <c r="O80" s="855">
        <f>(AI80*KFC!$B$27+KFC!$C$27)*KFC!$C$5</f>
        <v>150.87</v>
      </c>
      <c r="P80" s="855">
        <f>(AJ80*KFC!$B$27+KFC!$C$27)*KFC!$C$5</f>
        <v>157.69</v>
      </c>
      <c r="Q80" s="855">
        <f>(AK80*KFC!$B$27+KFC!$C$27)*KFC!$C$5</f>
        <v>164.51</v>
      </c>
      <c r="R80" s="855">
        <f>(AL80*KFC!$B$27+KFC!$C$27)*KFC!$C$5</f>
        <v>171.32999999999998</v>
      </c>
      <c r="S80" s="855">
        <f>(AM80*KFC!$B$27+KFC!$C$27)*KFC!$C$5</f>
        <v>178.14999999999998</v>
      </c>
      <c r="T80" s="855">
        <f>(AN80*KFC!$B$27+KFC!$C$27)*KFC!$C$5</f>
        <v>184.96999999999997</v>
      </c>
      <c r="V80" s="851">
        <v>1.5</v>
      </c>
      <c r="W80" s="847">
        <v>68.819999999999993</v>
      </c>
      <c r="X80" s="847">
        <v>75.64</v>
      </c>
      <c r="Y80" s="847">
        <v>82.47</v>
      </c>
      <c r="Z80" s="847">
        <v>89.29</v>
      </c>
      <c r="AA80" s="847">
        <v>96.13</v>
      </c>
      <c r="AB80" s="847">
        <v>102.95</v>
      </c>
      <c r="AC80" s="847">
        <v>109.91</v>
      </c>
      <c r="AD80" s="847">
        <v>116.74</v>
      </c>
      <c r="AE80" s="847">
        <v>123.57</v>
      </c>
      <c r="AF80" s="847">
        <v>130.4</v>
      </c>
      <c r="AG80" s="847">
        <v>137.22</v>
      </c>
      <c r="AH80" s="847">
        <v>144.05000000000001</v>
      </c>
      <c r="AI80" s="848">
        <v>150.87</v>
      </c>
      <c r="AJ80" s="690">
        <f t="shared" si="11"/>
        <v>157.69</v>
      </c>
      <c r="AK80" s="690">
        <f t="shared" si="12"/>
        <v>164.51</v>
      </c>
      <c r="AL80" s="690">
        <f t="shared" si="12"/>
        <v>171.32999999999998</v>
      </c>
      <c r="AM80" s="690">
        <f t="shared" si="12"/>
        <v>178.14999999999998</v>
      </c>
      <c r="AN80" s="690">
        <f t="shared" si="12"/>
        <v>184.96999999999997</v>
      </c>
      <c r="AO80" s="690">
        <f t="shared" si="12"/>
        <v>191.78999999999996</v>
      </c>
      <c r="AP80" s="690">
        <f t="shared" si="12"/>
        <v>198.60999999999996</v>
      </c>
    </row>
    <row r="81" spans="1:42">
      <c r="A81" s="1816"/>
      <c r="B81" s="849">
        <v>1.6</v>
      </c>
      <c r="C81" s="855">
        <f>(W81*KFC!$B$27+KFC!$C$27)*KFC!$C$5</f>
        <v>71.36</v>
      </c>
      <c r="D81" s="855">
        <f>(X81*KFC!$B$27+KFC!$C$27)*KFC!$C$5</f>
        <v>78.45</v>
      </c>
      <c r="E81" s="855">
        <f>(Y81*KFC!$B$27+KFC!$C$27)*KFC!$C$5</f>
        <v>85.27</v>
      </c>
      <c r="F81" s="855">
        <f>(Z81*KFC!$B$27+KFC!$C$27)*KFC!$C$5</f>
        <v>92.38</v>
      </c>
      <c r="G81" s="855">
        <f>(AA81*KFC!$B$27+KFC!$C$27)*KFC!$C$5</f>
        <v>99.2</v>
      </c>
      <c r="H81" s="855">
        <f>(AB81*KFC!$B$27+KFC!$C$27)*KFC!$C$5</f>
        <v>106.3</v>
      </c>
      <c r="I81" s="855">
        <f>(AC81*KFC!$B$27+KFC!$C$27)*KFC!$C$5</f>
        <v>113.13</v>
      </c>
      <c r="J81" s="855">
        <f>(AD81*KFC!$B$27+KFC!$C$27)*KFC!$C$5</f>
        <v>120.23</v>
      </c>
      <c r="K81" s="855">
        <f>(AE81*KFC!$B$27+KFC!$C$27)*KFC!$C$5</f>
        <v>127.05</v>
      </c>
      <c r="L81" s="855">
        <f>(AF81*KFC!$B$27+KFC!$C$27)*KFC!$C$5</f>
        <v>134.13999999999999</v>
      </c>
      <c r="M81" s="855">
        <f>(AG81*KFC!$B$27+KFC!$C$27)*KFC!$C$5</f>
        <v>140.97</v>
      </c>
      <c r="N81" s="855">
        <f>(AH81*KFC!$B$27+KFC!$C$27)*KFC!$C$5</f>
        <v>148.06</v>
      </c>
      <c r="O81" s="855">
        <f>(AI81*KFC!$B$27+KFC!$C$27)*KFC!$C$5</f>
        <v>155.16999999999999</v>
      </c>
      <c r="P81" s="855">
        <f>(AJ81*KFC!$B$27+KFC!$C$27)*KFC!$C$5</f>
        <v>162.27999999999997</v>
      </c>
      <c r="Q81" s="855">
        <f>(AK81*KFC!$B$27+KFC!$C$27)*KFC!$C$5</f>
        <v>169.38999999999996</v>
      </c>
      <c r="R81" s="855">
        <f>(AL81*KFC!$B$27+KFC!$C$27)*KFC!$C$5</f>
        <v>176.49999999999994</v>
      </c>
      <c r="S81" s="855">
        <f>(AM81*KFC!$B$27+KFC!$C$27)*KFC!$C$5</f>
        <v>183.60999999999993</v>
      </c>
      <c r="T81" s="855">
        <f>(AN81*KFC!$B$27+KFC!$C$27)*KFC!$C$5</f>
        <v>190.71999999999991</v>
      </c>
      <c r="V81" s="851">
        <v>1.6</v>
      </c>
      <c r="W81" s="847">
        <v>71.36</v>
      </c>
      <c r="X81" s="847">
        <v>78.45</v>
      </c>
      <c r="Y81" s="847">
        <v>85.27</v>
      </c>
      <c r="Z81" s="847">
        <v>92.38</v>
      </c>
      <c r="AA81" s="847">
        <v>99.2</v>
      </c>
      <c r="AB81" s="847">
        <v>106.3</v>
      </c>
      <c r="AC81" s="847">
        <v>113.13</v>
      </c>
      <c r="AD81" s="847">
        <v>120.23</v>
      </c>
      <c r="AE81" s="847">
        <v>127.05</v>
      </c>
      <c r="AF81" s="847">
        <v>134.13999999999999</v>
      </c>
      <c r="AG81" s="847">
        <v>140.97</v>
      </c>
      <c r="AH81" s="847">
        <v>148.06</v>
      </c>
      <c r="AI81" s="848">
        <v>155.16999999999999</v>
      </c>
      <c r="AJ81" s="690">
        <f t="shared" si="11"/>
        <v>162.27999999999997</v>
      </c>
      <c r="AK81" s="690">
        <f t="shared" si="12"/>
        <v>169.38999999999996</v>
      </c>
      <c r="AL81" s="690">
        <f t="shared" si="12"/>
        <v>176.49999999999994</v>
      </c>
      <c r="AM81" s="690">
        <f t="shared" si="12"/>
        <v>183.60999999999993</v>
      </c>
      <c r="AN81" s="690">
        <f t="shared" si="12"/>
        <v>190.71999999999991</v>
      </c>
      <c r="AO81" s="690">
        <f t="shared" si="12"/>
        <v>197.8299999999999</v>
      </c>
      <c r="AP81" s="690">
        <f t="shared" si="12"/>
        <v>204.93999999999988</v>
      </c>
    </row>
    <row r="82" spans="1:42">
      <c r="A82" s="1816"/>
      <c r="B82" s="849">
        <v>1.7</v>
      </c>
      <c r="C82" s="855">
        <f>(W82*KFC!$B$27+KFC!$C$27)*KFC!$C$5</f>
        <v>74.040000000000006</v>
      </c>
      <c r="D82" s="855">
        <f>(X82*KFC!$B$27+KFC!$C$27)*KFC!$C$5</f>
        <v>81</v>
      </c>
      <c r="E82" s="855">
        <f>(Y82*KFC!$B$27+KFC!$C$27)*KFC!$C$5</f>
        <v>88.23</v>
      </c>
      <c r="F82" s="855">
        <f>(Z82*KFC!$B$27+KFC!$C$27)*KFC!$C$5</f>
        <v>95.32</v>
      </c>
      <c r="G82" s="855">
        <f>(AA82*KFC!$B$27+KFC!$C$27)*KFC!$C$5</f>
        <v>102.28</v>
      </c>
      <c r="H82" s="855">
        <f>(AB82*KFC!$B$27+KFC!$C$27)*KFC!$C$5</f>
        <v>109.37</v>
      </c>
      <c r="I82" s="855">
        <f>(AC82*KFC!$B$27+KFC!$C$27)*KFC!$C$5</f>
        <v>116.6</v>
      </c>
      <c r="J82" s="855">
        <f>(AD82*KFC!$B$27+KFC!$C$27)*KFC!$C$5</f>
        <v>123.57</v>
      </c>
      <c r="K82" s="855">
        <f>(AE82*KFC!$B$27+KFC!$C$27)*KFC!$C$5</f>
        <v>130.66</v>
      </c>
      <c r="L82" s="855">
        <f>(AF82*KFC!$B$27+KFC!$C$27)*KFC!$C$5</f>
        <v>137.76</v>
      </c>
      <c r="M82" s="855">
        <f>(AG82*KFC!$B$27+KFC!$C$27)*KFC!$C$5</f>
        <v>144.85</v>
      </c>
      <c r="N82" s="855">
        <f>(AH82*KFC!$B$27+KFC!$C$27)*KFC!$C$5</f>
        <v>151.94999999999999</v>
      </c>
      <c r="O82" s="855">
        <f>(AI82*KFC!$B$27+KFC!$C$27)*KFC!$C$5</f>
        <v>159.05000000000001</v>
      </c>
      <c r="P82" s="855">
        <f>(AJ82*KFC!$B$27+KFC!$C$27)*KFC!$C$5</f>
        <v>166.15000000000003</v>
      </c>
      <c r="Q82" s="855">
        <f>(AK82*KFC!$B$27+KFC!$C$27)*KFC!$C$5</f>
        <v>173.25000000000006</v>
      </c>
      <c r="R82" s="855">
        <f>(AL82*KFC!$B$27+KFC!$C$27)*KFC!$C$5</f>
        <v>180.35000000000008</v>
      </c>
      <c r="S82" s="855">
        <f>(AM82*KFC!$B$27+KFC!$C$27)*KFC!$C$5</f>
        <v>187.4500000000001</v>
      </c>
      <c r="T82" s="855">
        <f>(AN82*KFC!$B$27+KFC!$C$27)*KFC!$C$5</f>
        <v>194.55000000000013</v>
      </c>
      <c r="V82" s="851">
        <v>1.7</v>
      </c>
      <c r="W82" s="847">
        <v>74.040000000000006</v>
      </c>
      <c r="X82" s="847">
        <v>81</v>
      </c>
      <c r="Y82" s="847">
        <v>88.23</v>
      </c>
      <c r="Z82" s="847">
        <v>95.32</v>
      </c>
      <c r="AA82" s="847">
        <v>102.28</v>
      </c>
      <c r="AB82" s="847">
        <v>109.37</v>
      </c>
      <c r="AC82" s="847">
        <v>116.6</v>
      </c>
      <c r="AD82" s="847">
        <v>123.57</v>
      </c>
      <c r="AE82" s="847">
        <v>130.66</v>
      </c>
      <c r="AF82" s="847">
        <v>137.76</v>
      </c>
      <c r="AG82" s="847">
        <v>144.85</v>
      </c>
      <c r="AH82" s="847">
        <v>151.94999999999999</v>
      </c>
      <c r="AI82" s="848">
        <v>159.05000000000001</v>
      </c>
      <c r="AJ82" s="690">
        <f t="shared" si="11"/>
        <v>166.15000000000003</v>
      </c>
      <c r="AK82" s="690">
        <f t="shared" si="12"/>
        <v>173.25000000000006</v>
      </c>
      <c r="AL82" s="690">
        <f t="shared" si="12"/>
        <v>180.35000000000008</v>
      </c>
      <c r="AM82" s="690">
        <f t="shared" si="12"/>
        <v>187.4500000000001</v>
      </c>
      <c r="AN82" s="690">
        <f t="shared" si="12"/>
        <v>194.55000000000013</v>
      </c>
      <c r="AO82" s="690">
        <f t="shared" si="12"/>
        <v>201.65000000000015</v>
      </c>
      <c r="AP82" s="690">
        <f t="shared" si="12"/>
        <v>208.75000000000017</v>
      </c>
    </row>
    <row r="83" spans="1:42">
      <c r="A83" s="1816"/>
      <c r="B83" s="849">
        <v>1.8</v>
      </c>
      <c r="C83" s="855">
        <f>(W83*KFC!$B$27+KFC!$C$27)*KFC!$C$5</f>
        <v>76.58</v>
      </c>
      <c r="D83" s="855">
        <f>(X83*KFC!$B$27+KFC!$C$27)*KFC!$C$5</f>
        <v>83.8</v>
      </c>
      <c r="E83" s="855">
        <f>(Y83*KFC!$B$27+KFC!$C$27)*KFC!$C$5</f>
        <v>91.04</v>
      </c>
      <c r="F83" s="855">
        <f>(Z83*KFC!$B$27+KFC!$C$27)*KFC!$C$5</f>
        <v>98.27</v>
      </c>
      <c r="G83" s="855">
        <f>(AA83*KFC!$B$27+KFC!$C$27)*KFC!$C$5</f>
        <v>105.5</v>
      </c>
      <c r="H83" s="855">
        <f>(AB83*KFC!$B$27+KFC!$C$27)*KFC!$C$5</f>
        <v>112.59</v>
      </c>
      <c r="I83" s="855">
        <f>(AC83*KFC!$B$27+KFC!$C$27)*KFC!$C$5</f>
        <v>119.82</v>
      </c>
      <c r="J83" s="855">
        <f>(AD83*KFC!$B$27+KFC!$C$27)*KFC!$C$5</f>
        <v>127.05</v>
      </c>
      <c r="K83" s="855">
        <f>(AE83*KFC!$B$27+KFC!$C$27)*KFC!$C$5</f>
        <v>134.28</v>
      </c>
      <c r="L83" s="855">
        <f>(AF83*KFC!$B$27+KFC!$C$27)*KFC!$C$5</f>
        <v>141.5</v>
      </c>
      <c r="M83" s="855">
        <f>(AG83*KFC!$B$27+KFC!$C$27)*KFC!$C$5</f>
        <v>148.61000000000001</v>
      </c>
      <c r="N83" s="855">
        <f>(AH83*KFC!$B$27+KFC!$C$27)*KFC!$C$5</f>
        <v>155.83000000000001</v>
      </c>
      <c r="O83" s="855">
        <f>(AI83*KFC!$B$27+KFC!$C$27)*KFC!$C$5</f>
        <v>163.07</v>
      </c>
      <c r="P83" s="855">
        <f>(AJ83*KFC!$B$27+KFC!$C$27)*KFC!$C$5</f>
        <v>170.30999999999997</v>
      </c>
      <c r="Q83" s="855">
        <f>(AK83*KFC!$B$27+KFC!$C$27)*KFC!$C$5</f>
        <v>177.54999999999995</v>
      </c>
      <c r="R83" s="855">
        <f>(AL83*KFC!$B$27+KFC!$C$27)*KFC!$C$5</f>
        <v>184.78999999999994</v>
      </c>
      <c r="S83" s="855">
        <f>(AM83*KFC!$B$27+KFC!$C$27)*KFC!$C$5</f>
        <v>192.02999999999992</v>
      </c>
      <c r="T83" s="855">
        <f>(AN83*KFC!$B$27+KFC!$C$27)*KFC!$C$5</f>
        <v>199.2699999999999</v>
      </c>
      <c r="V83" s="851">
        <v>1.8</v>
      </c>
      <c r="W83" s="847">
        <v>76.58</v>
      </c>
      <c r="X83" s="847">
        <v>83.8</v>
      </c>
      <c r="Y83" s="847">
        <v>91.04</v>
      </c>
      <c r="Z83" s="847">
        <v>98.27</v>
      </c>
      <c r="AA83" s="847">
        <v>105.5</v>
      </c>
      <c r="AB83" s="847">
        <v>112.59</v>
      </c>
      <c r="AC83" s="847">
        <v>119.82</v>
      </c>
      <c r="AD83" s="847">
        <v>127.05</v>
      </c>
      <c r="AE83" s="847">
        <v>134.28</v>
      </c>
      <c r="AF83" s="847">
        <v>141.5</v>
      </c>
      <c r="AG83" s="847">
        <v>148.61000000000001</v>
      </c>
      <c r="AH83" s="847">
        <v>155.83000000000001</v>
      </c>
      <c r="AI83" s="848">
        <v>163.07</v>
      </c>
      <c r="AJ83" s="690">
        <f t="shared" si="11"/>
        <v>170.30999999999997</v>
      </c>
      <c r="AK83" s="690">
        <f t="shared" si="12"/>
        <v>177.54999999999995</v>
      </c>
      <c r="AL83" s="690">
        <f t="shared" si="12"/>
        <v>184.78999999999994</v>
      </c>
      <c r="AM83" s="690">
        <f t="shared" si="12"/>
        <v>192.02999999999992</v>
      </c>
      <c r="AN83" s="690">
        <f t="shared" si="12"/>
        <v>199.2699999999999</v>
      </c>
      <c r="AO83" s="690">
        <f t="shared" si="12"/>
        <v>206.50999999999988</v>
      </c>
      <c r="AP83" s="690">
        <f t="shared" si="12"/>
        <v>213.74999999999986</v>
      </c>
    </row>
    <row r="84" spans="1:42">
      <c r="A84" s="1816"/>
      <c r="B84" s="849">
        <v>1.9</v>
      </c>
      <c r="C84" s="855">
        <f>(W84*KFC!$B$27+KFC!$C$27)*KFC!$C$5</f>
        <v>79.25</v>
      </c>
      <c r="D84" s="855">
        <f>(X84*KFC!$B$27+KFC!$C$27)*KFC!$C$5</f>
        <v>86.61</v>
      </c>
      <c r="E84" s="855">
        <f>(Y84*KFC!$B$27+KFC!$C$27)*KFC!$C$5</f>
        <v>93.85</v>
      </c>
      <c r="F84" s="855">
        <f>(Z84*KFC!$B$27+KFC!$C$27)*KFC!$C$5</f>
        <v>101.21</v>
      </c>
      <c r="G84" s="855">
        <f>(AA84*KFC!$B$27+KFC!$C$27)*KFC!$C$5</f>
        <v>108.57</v>
      </c>
      <c r="H84" s="855">
        <f>(AB84*KFC!$B$27+KFC!$C$27)*KFC!$C$5</f>
        <v>115.93</v>
      </c>
      <c r="I84" s="855">
        <f>(AC84*KFC!$B$27+KFC!$C$27)*KFC!$C$5</f>
        <v>123.17</v>
      </c>
      <c r="J84" s="855">
        <f>(AD84*KFC!$B$27+KFC!$C$27)*KFC!$C$5</f>
        <v>130.53</v>
      </c>
      <c r="K84" s="855">
        <f>(AE84*KFC!$B$27+KFC!$C$27)*KFC!$C$5</f>
        <v>137.9</v>
      </c>
      <c r="L84" s="855">
        <f>(AF84*KFC!$B$27+KFC!$C$27)*KFC!$C$5</f>
        <v>145.26</v>
      </c>
      <c r="M84" s="855">
        <f>(AG84*KFC!$B$27+KFC!$C$27)*KFC!$C$5</f>
        <v>152.49</v>
      </c>
      <c r="N84" s="855">
        <f>(AH84*KFC!$B$27+KFC!$C$27)*KFC!$C$5</f>
        <v>159.85</v>
      </c>
      <c r="O84" s="855">
        <f>(AI84*KFC!$B$27+KFC!$C$27)*KFC!$C$5</f>
        <v>167.21</v>
      </c>
      <c r="P84" s="855">
        <f>(AJ84*KFC!$B$27+KFC!$C$27)*KFC!$C$5</f>
        <v>174.57000000000002</v>
      </c>
      <c r="Q84" s="855">
        <f>(AK84*KFC!$B$27+KFC!$C$27)*KFC!$C$5</f>
        <v>181.93000000000004</v>
      </c>
      <c r="R84" s="855">
        <f>(AL84*KFC!$B$27+KFC!$C$27)*KFC!$C$5</f>
        <v>189.29000000000005</v>
      </c>
      <c r="S84" s="855">
        <f>(AM84*KFC!$B$27+KFC!$C$27)*KFC!$C$5</f>
        <v>196.65000000000006</v>
      </c>
      <c r="T84" s="855">
        <f>(AN84*KFC!$B$27+KFC!$C$27)*KFC!$C$5</f>
        <v>204.01000000000008</v>
      </c>
      <c r="V84" s="851">
        <v>1.9</v>
      </c>
      <c r="W84" s="847">
        <v>79.25</v>
      </c>
      <c r="X84" s="847">
        <v>86.61</v>
      </c>
      <c r="Y84" s="847">
        <v>93.85</v>
      </c>
      <c r="Z84" s="847">
        <v>101.21</v>
      </c>
      <c r="AA84" s="847">
        <v>108.57</v>
      </c>
      <c r="AB84" s="847">
        <v>115.93</v>
      </c>
      <c r="AC84" s="847">
        <v>123.17</v>
      </c>
      <c r="AD84" s="847">
        <v>130.53</v>
      </c>
      <c r="AE84" s="847">
        <v>137.9</v>
      </c>
      <c r="AF84" s="847">
        <v>145.26</v>
      </c>
      <c r="AG84" s="847">
        <v>152.49</v>
      </c>
      <c r="AH84" s="847">
        <v>159.85</v>
      </c>
      <c r="AI84" s="848">
        <v>167.21</v>
      </c>
      <c r="AJ84" s="690">
        <f t="shared" si="11"/>
        <v>174.57000000000002</v>
      </c>
      <c r="AK84" s="690">
        <f t="shared" si="12"/>
        <v>181.93000000000004</v>
      </c>
      <c r="AL84" s="690">
        <f t="shared" si="12"/>
        <v>189.29000000000005</v>
      </c>
      <c r="AM84" s="690">
        <f t="shared" si="12"/>
        <v>196.65000000000006</v>
      </c>
      <c r="AN84" s="690">
        <f t="shared" si="12"/>
        <v>204.01000000000008</v>
      </c>
      <c r="AO84" s="690">
        <f t="shared" si="12"/>
        <v>211.37000000000009</v>
      </c>
      <c r="AP84" s="690">
        <f t="shared" si="12"/>
        <v>218.7300000000001</v>
      </c>
    </row>
    <row r="85" spans="1:42">
      <c r="A85" s="1816"/>
      <c r="B85" s="849">
        <v>2</v>
      </c>
      <c r="C85" s="855">
        <f>(W85*KFC!$B$27+KFC!$C$27)*KFC!$C$5</f>
        <v>81.93</v>
      </c>
      <c r="D85" s="855">
        <f>(X85*KFC!$B$27+KFC!$C$27)*KFC!$C$5</f>
        <v>89.29</v>
      </c>
      <c r="E85" s="855">
        <f>(Y85*KFC!$B$27+KFC!$C$27)*KFC!$C$5</f>
        <v>96.8</v>
      </c>
      <c r="F85" s="855">
        <f>(Z85*KFC!$B$27+KFC!$C$27)*KFC!$C$5</f>
        <v>104.16</v>
      </c>
      <c r="G85" s="855">
        <f>(AA85*KFC!$B$27+KFC!$C$27)*KFC!$C$5</f>
        <v>111.66</v>
      </c>
      <c r="H85" s="855">
        <f>(AB85*KFC!$B$27+KFC!$C$27)*KFC!$C$5</f>
        <v>119.02</v>
      </c>
      <c r="I85" s="855">
        <f>(AC85*KFC!$B$27+KFC!$C$27)*KFC!$C$5</f>
        <v>126.51</v>
      </c>
      <c r="J85" s="855">
        <f>(AD85*KFC!$B$27+KFC!$C$27)*KFC!$C$5</f>
        <v>133.88</v>
      </c>
      <c r="K85" s="855">
        <f>(AE85*KFC!$B$27+KFC!$C$27)*KFC!$C$5</f>
        <v>141.5</v>
      </c>
      <c r="L85" s="855">
        <f>(AF85*KFC!$B$27+KFC!$C$27)*KFC!$C$5</f>
        <v>148.87</v>
      </c>
      <c r="M85" s="855">
        <f>(AG85*KFC!$B$27+KFC!$C$27)*KFC!$C$5</f>
        <v>156.38</v>
      </c>
      <c r="N85" s="855">
        <f>(AH85*KFC!$B$27+KFC!$C$27)*KFC!$C$5</f>
        <v>163.74</v>
      </c>
      <c r="O85" s="855">
        <f>(AI85*KFC!$B$27+KFC!$C$27)*KFC!$C$5</f>
        <v>171.1</v>
      </c>
      <c r="P85" s="855">
        <f>(AJ85*KFC!$B$27+KFC!$C$27)*KFC!$C$5</f>
        <v>178.45999999999998</v>
      </c>
      <c r="Q85" s="855">
        <f>(AK85*KFC!$B$27+KFC!$C$27)*KFC!$C$5</f>
        <v>185.81999999999996</v>
      </c>
      <c r="R85" s="855">
        <f>(AL85*KFC!$B$27+KFC!$C$27)*KFC!$C$5</f>
        <v>193.17999999999995</v>
      </c>
      <c r="S85" s="855">
        <f>(AM85*KFC!$B$27+KFC!$C$27)*KFC!$C$5</f>
        <v>200.53999999999994</v>
      </c>
      <c r="T85" s="855">
        <f>(AN85*KFC!$B$27+KFC!$C$27)*KFC!$C$5</f>
        <v>207.89999999999992</v>
      </c>
      <c r="V85" s="851">
        <v>2</v>
      </c>
      <c r="W85" s="847">
        <v>81.93</v>
      </c>
      <c r="X85" s="847">
        <v>89.29</v>
      </c>
      <c r="Y85" s="847">
        <v>96.8</v>
      </c>
      <c r="Z85" s="847">
        <v>104.16</v>
      </c>
      <c r="AA85" s="847">
        <v>111.66</v>
      </c>
      <c r="AB85" s="847">
        <v>119.02</v>
      </c>
      <c r="AC85" s="847">
        <v>126.51</v>
      </c>
      <c r="AD85" s="847">
        <v>133.88</v>
      </c>
      <c r="AE85" s="847">
        <v>141.5</v>
      </c>
      <c r="AF85" s="847">
        <v>148.87</v>
      </c>
      <c r="AG85" s="847">
        <v>156.38</v>
      </c>
      <c r="AH85" s="847">
        <v>163.74</v>
      </c>
      <c r="AI85" s="848">
        <v>171.1</v>
      </c>
      <c r="AJ85" s="690">
        <f t="shared" si="11"/>
        <v>178.45999999999998</v>
      </c>
      <c r="AK85" s="690">
        <f t="shared" si="12"/>
        <v>185.81999999999996</v>
      </c>
      <c r="AL85" s="690">
        <f t="shared" si="12"/>
        <v>193.17999999999995</v>
      </c>
      <c r="AM85" s="690">
        <f t="shared" si="12"/>
        <v>200.53999999999994</v>
      </c>
      <c r="AN85" s="690">
        <f t="shared" si="12"/>
        <v>207.89999999999992</v>
      </c>
      <c r="AO85" s="690">
        <f t="shared" si="12"/>
        <v>215.25999999999991</v>
      </c>
      <c r="AP85" s="690">
        <f t="shared" si="12"/>
        <v>222.61999999999989</v>
      </c>
    </row>
    <row r="86" spans="1:42">
      <c r="A86" s="1816"/>
      <c r="B86" s="849">
        <v>2.1</v>
      </c>
      <c r="C86" s="855">
        <f>(W86*KFC!$B$27+KFC!$C$27)*KFC!$C$5</f>
        <v>84.61</v>
      </c>
      <c r="D86" s="855">
        <f>(X86*KFC!$B$27+KFC!$C$27)*KFC!$C$5</f>
        <v>91.97</v>
      </c>
      <c r="E86" s="855">
        <f>(Y86*KFC!$B$27+KFC!$C$27)*KFC!$C$5</f>
        <v>99.74</v>
      </c>
      <c r="F86" s="855">
        <f>(Z86*KFC!$B$27+KFC!$C$27)*KFC!$C$5</f>
        <v>107.1</v>
      </c>
      <c r="G86" s="855">
        <f>(AA86*KFC!$B$27+KFC!$C$27)*KFC!$C$5</f>
        <v>114.72</v>
      </c>
      <c r="H86" s="855">
        <f>(AB86*KFC!$B$27+KFC!$C$27)*KFC!$C$5</f>
        <v>122.09</v>
      </c>
      <c r="I86" s="855">
        <f>(AC86*KFC!$B$27+KFC!$C$27)*KFC!$C$5</f>
        <v>129.86000000000001</v>
      </c>
      <c r="J86" s="855">
        <f>(AD86*KFC!$B$27+KFC!$C$27)*KFC!$C$5</f>
        <v>137.22</v>
      </c>
      <c r="K86" s="855">
        <f>(AE86*KFC!$B$27+KFC!$C$27)*KFC!$C$5</f>
        <v>145.12</v>
      </c>
      <c r="L86" s="855">
        <f>(AF86*KFC!$B$27+KFC!$C$27)*KFC!$C$5</f>
        <v>152.49</v>
      </c>
      <c r="M86" s="855">
        <f>(AG86*KFC!$B$27+KFC!$C$27)*KFC!$C$5</f>
        <v>160.24</v>
      </c>
      <c r="N86" s="855">
        <f>(AH86*KFC!$B$27+KFC!$C$27)*KFC!$C$5</f>
        <v>167.61</v>
      </c>
      <c r="O86" s="855">
        <f>(AI86*KFC!$B$27+KFC!$C$27)*KFC!$C$5</f>
        <v>174.97</v>
      </c>
      <c r="P86" s="855">
        <f>(AJ86*KFC!$B$27+KFC!$C$27)*KFC!$C$5</f>
        <v>182.32999999999998</v>
      </c>
      <c r="Q86" s="855">
        <f>(AK86*KFC!$B$27+KFC!$C$27)*KFC!$C$5</f>
        <v>189.68999999999997</v>
      </c>
      <c r="R86" s="855">
        <f>(AL86*KFC!$B$27+KFC!$C$27)*KFC!$C$5</f>
        <v>197.04999999999995</v>
      </c>
      <c r="S86" s="855">
        <f>(AM86*KFC!$B$27+KFC!$C$27)*KFC!$C$5</f>
        <v>204.40999999999994</v>
      </c>
      <c r="T86" s="855">
        <f>(AN86*KFC!$B$27+KFC!$C$27)*KFC!$C$5</f>
        <v>211.76999999999992</v>
      </c>
      <c r="V86" s="851">
        <v>2.1</v>
      </c>
      <c r="W86" s="847">
        <v>84.61</v>
      </c>
      <c r="X86" s="847">
        <v>91.97</v>
      </c>
      <c r="Y86" s="847">
        <v>99.74</v>
      </c>
      <c r="Z86" s="847">
        <v>107.1</v>
      </c>
      <c r="AA86" s="847">
        <v>114.72</v>
      </c>
      <c r="AB86" s="847">
        <v>122.09</v>
      </c>
      <c r="AC86" s="847">
        <v>129.86000000000001</v>
      </c>
      <c r="AD86" s="847">
        <v>137.22</v>
      </c>
      <c r="AE86" s="847">
        <v>145.12</v>
      </c>
      <c r="AF86" s="847">
        <v>152.49</v>
      </c>
      <c r="AG86" s="847">
        <v>160.24</v>
      </c>
      <c r="AH86" s="847">
        <v>167.61</v>
      </c>
      <c r="AI86" s="848">
        <v>174.97</v>
      </c>
      <c r="AJ86" s="690">
        <f t="shared" si="11"/>
        <v>182.32999999999998</v>
      </c>
      <c r="AK86" s="690">
        <f t="shared" ref="AK86:AP87" si="13">AJ86-AI86+AJ86</f>
        <v>189.68999999999997</v>
      </c>
      <c r="AL86" s="690">
        <f t="shared" si="13"/>
        <v>197.04999999999995</v>
      </c>
      <c r="AM86" s="690">
        <f t="shared" si="13"/>
        <v>204.40999999999994</v>
      </c>
      <c r="AN86" s="690">
        <f t="shared" si="13"/>
        <v>211.76999999999992</v>
      </c>
      <c r="AO86" s="690">
        <f t="shared" si="13"/>
        <v>219.12999999999991</v>
      </c>
      <c r="AP86" s="690">
        <f t="shared" si="13"/>
        <v>226.4899999999999</v>
      </c>
    </row>
    <row r="87" spans="1:42" ht="13.8" thickBot="1">
      <c r="A87" s="1817"/>
      <c r="B87" s="849">
        <v>2.2000000000000002</v>
      </c>
      <c r="C87" s="855">
        <f>(W87*KFC!$B$27+KFC!$C$27)*KFC!$C$5</f>
        <v>87.29</v>
      </c>
      <c r="D87" s="855">
        <f>(X87*KFC!$B$27+KFC!$C$27)*KFC!$C$5</f>
        <v>94.65</v>
      </c>
      <c r="E87" s="855">
        <f>(Y87*KFC!$B$27+KFC!$C$27)*KFC!$C$5</f>
        <v>102.68</v>
      </c>
      <c r="F87" s="855">
        <f>(Z87*KFC!$B$27+KFC!$C$27)*KFC!$C$5</f>
        <v>110.04</v>
      </c>
      <c r="G87" s="855">
        <f>(AA87*KFC!$B$27+KFC!$C$27)*KFC!$C$5</f>
        <v>117.81</v>
      </c>
      <c r="H87" s="855">
        <f>(AB87*KFC!$B$27+KFC!$C$27)*KFC!$C$5</f>
        <v>125.17</v>
      </c>
      <c r="I87" s="855">
        <f>(AC87*KFC!$B$27+KFC!$C$27)*KFC!$C$5</f>
        <v>133.19999999999999</v>
      </c>
      <c r="J87" s="855">
        <f>(AD87*KFC!$B$27+KFC!$C$27)*KFC!$C$5</f>
        <v>140.57</v>
      </c>
      <c r="K87" s="855">
        <f>(AE87*KFC!$B$27+KFC!$C$27)*KFC!$C$5</f>
        <v>148.72999999999999</v>
      </c>
      <c r="L87" s="855">
        <f>(AF87*KFC!$B$27+KFC!$C$27)*KFC!$C$5</f>
        <v>156.09</v>
      </c>
      <c r="M87" s="855">
        <f>(AG87*KFC!$B$27+KFC!$C$27)*KFC!$C$5</f>
        <v>164.13</v>
      </c>
      <c r="N87" s="855">
        <f>(AH87*KFC!$B$27+KFC!$C$27)*KFC!$C$5</f>
        <v>171.5</v>
      </c>
      <c r="O87" s="855">
        <f>(AI87*KFC!$B$27+KFC!$C$27)*KFC!$C$5</f>
        <v>178.86</v>
      </c>
      <c r="P87" s="855">
        <f>(AJ87*KFC!$B$27+KFC!$C$27)*KFC!$C$5</f>
        <v>186.22000000000003</v>
      </c>
      <c r="Q87" s="855">
        <f>(AK87*KFC!$B$27+KFC!$C$27)*KFC!$C$5</f>
        <v>193.58000000000004</v>
      </c>
      <c r="R87" s="855">
        <f>(AL87*KFC!$B$27+KFC!$C$27)*KFC!$C$5</f>
        <v>200.94000000000005</v>
      </c>
      <c r="S87" s="855">
        <f>(AM87*KFC!$B$27+KFC!$C$27)*KFC!$C$5</f>
        <v>208.30000000000007</v>
      </c>
      <c r="T87" s="855">
        <f>(AN87*KFC!$B$27+KFC!$C$27)*KFC!$C$5</f>
        <v>215.66000000000008</v>
      </c>
      <c r="V87" s="851">
        <v>2.2000000000000002</v>
      </c>
      <c r="W87" s="847">
        <v>87.29</v>
      </c>
      <c r="X87" s="847">
        <v>94.65</v>
      </c>
      <c r="Y87" s="847">
        <v>102.68</v>
      </c>
      <c r="Z87" s="847">
        <v>110.04</v>
      </c>
      <c r="AA87" s="847">
        <v>117.81</v>
      </c>
      <c r="AB87" s="847">
        <v>125.17</v>
      </c>
      <c r="AC87" s="847">
        <v>133.19999999999999</v>
      </c>
      <c r="AD87" s="847">
        <v>140.57</v>
      </c>
      <c r="AE87" s="847">
        <v>148.72999999999999</v>
      </c>
      <c r="AF87" s="847">
        <v>156.09</v>
      </c>
      <c r="AG87" s="847">
        <v>164.13</v>
      </c>
      <c r="AH87" s="847">
        <v>171.5</v>
      </c>
      <c r="AI87" s="848">
        <v>178.86</v>
      </c>
      <c r="AJ87" s="690">
        <f t="shared" si="11"/>
        <v>186.22000000000003</v>
      </c>
      <c r="AK87" s="690">
        <f t="shared" si="13"/>
        <v>193.58000000000004</v>
      </c>
      <c r="AL87" s="690">
        <f t="shared" si="13"/>
        <v>200.94000000000005</v>
      </c>
      <c r="AM87" s="690">
        <f t="shared" si="13"/>
        <v>208.30000000000007</v>
      </c>
      <c r="AN87" s="690">
        <f t="shared" si="13"/>
        <v>215.66000000000008</v>
      </c>
      <c r="AO87" s="690">
        <f t="shared" si="13"/>
        <v>223.0200000000001</v>
      </c>
      <c r="AP87" s="690">
        <f t="shared" si="13"/>
        <v>230.38000000000011</v>
      </c>
    </row>
    <row r="88" spans="1:42" ht="13.8" thickBot="1">
      <c r="A88" s="249"/>
      <c r="B88" s="249"/>
      <c r="C88" s="249"/>
      <c r="D88" s="249"/>
      <c r="E88" s="249"/>
      <c r="F88" s="249"/>
      <c r="G88" s="249"/>
      <c r="H88" s="249"/>
      <c r="I88" s="249"/>
      <c r="J88" s="249"/>
      <c r="K88" s="249"/>
      <c r="L88" s="249"/>
    </row>
    <row r="89" spans="1:42" ht="13.95" customHeight="1" thickBot="1">
      <c r="A89" s="1413" t="s">
        <v>319</v>
      </c>
      <c r="B89" s="1415"/>
      <c r="C89" s="1534" t="s">
        <v>207</v>
      </c>
      <c r="D89" s="1535"/>
      <c r="E89" s="1535"/>
      <c r="F89" s="1535"/>
      <c r="G89" s="1535"/>
      <c r="H89" s="1535"/>
      <c r="I89" s="1535"/>
      <c r="J89" s="1535"/>
      <c r="K89" s="1535"/>
      <c r="L89" s="1535"/>
      <c r="M89" s="1535"/>
      <c r="N89" s="1535"/>
      <c r="O89" s="1535"/>
      <c r="P89" s="1535"/>
      <c r="Q89" s="1535"/>
      <c r="R89" s="1535"/>
      <c r="S89" s="1535"/>
      <c r="T89" s="1535"/>
    </row>
    <row r="90" spans="1:42" ht="13.8" thickBot="1">
      <c r="A90" s="1803"/>
      <c r="B90" s="1802"/>
      <c r="C90" s="428">
        <v>0.4</v>
      </c>
      <c r="D90" s="428">
        <v>0.5</v>
      </c>
      <c r="E90" s="428">
        <v>0.6</v>
      </c>
      <c r="F90" s="428">
        <v>0.7</v>
      </c>
      <c r="G90" s="428">
        <v>0.8</v>
      </c>
      <c r="H90" s="428">
        <v>0.9</v>
      </c>
      <c r="I90" s="428">
        <v>1</v>
      </c>
      <c r="J90" s="428">
        <v>1.1000000000000001</v>
      </c>
      <c r="K90" s="428">
        <v>1.2</v>
      </c>
      <c r="L90" s="428">
        <v>1.3</v>
      </c>
      <c r="M90" s="428">
        <v>1.4</v>
      </c>
      <c r="N90" s="428">
        <v>1.5</v>
      </c>
      <c r="O90" s="428">
        <v>1.6</v>
      </c>
      <c r="P90" s="428">
        <v>1.7</v>
      </c>
      <c r="Q90" s="428">
        <v>1.8</v>
      </c>
      <c r="R90" s="428">
        <v>1.9</v>
      </c>
      <c r="S90" s="428">
        <v>2</v>
      </c>
      <c r="T90" s="428">
        <v>2.1</v>
      </c>
      <c r="V90" s="850"/>
      <c r="W90" s="851">
        <v>0.4</v>
      </c>
      <c r="X90" s="851">
        <v>0.5</v>
      </c>
      <c r="Y90" s="851">
        <v>0.6</v>
      </c>
      <c r="Z90" s="851">
        <v>0.7</v>
      </c>
      <c r="AA90" s="851">
        <v>0.8</v>
      </c>
      <c r="AB90" s="851">
        <v>0.9</v>
      </c>
      <c r="AC90" s="851">
        <v>1</v>
      </c>
      <c r="AD90" s="851">
        <v>1.1000000000000001</v>
      </c>
      <c r="AE90" s="851">
        <v>1.2</v>
      </c>
      <c r="AF90" s="851">
        <v>1.3</v>
      </c>
      <c r="AG90" s="851">
        <v>1.4</v>
      </c>
      <c r="AH90" s="851">
        <v>1.5</v>
      </c>
      <c r="AI90" s="852">
        <v>1.6</v>
      </c>
      <c r="AJ90" s="853">
        <v>1.7</v>
      </c>
      <c r="AK90" s="853">
        <v>1.8</v>
      </c>
      <c r="AL90" s="853">
        <v>1.9</v>
      </c>
      <c r="AM90" s="853">
        <v>2</v>
      </c>
      <c r="AN90" s="853">
        <v>2.1</v>
      </c>
      <c r="AO90" s="853">
        <v>2.2000000000000002</v>
      </c>
      <c r="AP90" s="853">
        <v>2.2999999999999998</v>
      </c>
    </row>
    <row r="91" spans="1:42" ht="13.2" customHeight="1">
      <c r="A91" s="1815" t="s">
        <v>3</v>
      </c>
      <c r="B91" s="849">
        <v>0.5</v>
      </c>
      <c r="C91" s="855">
        <f>(W91*KFC!$B$27+KFC!$C$27)*KFC!$C$5</f>
        <v>49.13</v>
      </c>
      <c r="D91" s="855">
        <f>(X91*KFC!$B$27+KFC!$C$27)*KFC!$C$5</f>
        <v>56.1</v>
      </c>
      <c r="E91" s="855">
        <f>(Y91*KFC!$B$27+KFC!$C$27)*KFC!$C$5</f>
        <v>63.05</v>
      </c>
      <c r="F91" s="855">
        <f>(Z91*KFC!$B$27+KFC!$C$27)*KFC!$C$5</f>
        <v>70.02</v>
      </c>
      <c r="G91" s="855">
        <f>(AA91*KFC!$B$27+KFC!$C$27)*KFC!$C$5</f>
        <v>77.11</v>
      </c>
      <c r="H91" s="855">
        <f>(AB91*KFC!$B$27+KFC!$C$27)*KFC!$C$5</f>
        <v>84.21</v>
      </c>
      <c r="I91" s="855">
        <f>(AC91*KFC!$B$27+KFC!$C$27)*KFC!$C$5</f>
        <v>91.04</v>
      </c>
      <c r="J91" s="855">
        <f>(AD91*KFC!$B$27+KFC!$C$27)*KFC!$C$5</f>
        <v>98.13</v>
      </c>
      <c r="K91" s="855">
        <f>(AE91*KFC!$B$27+KFC!$C$27)*KFC!$C$5</f>
        <v>105.09</v>
      </c>
      <c r="L91" s="855">
        <f>(AF91*KFC!$B$27+KFC!$C$27)*KFC!$C$5</f>
        <v>112.19</v>
      </c>
      <c r="M91" s="855">
        <f>(AG91*KFC!$B$27+KFC!$C$27)*KFC!$C$5</f>
        <v>119.02</v>
      </c>
      <c r="N91" s="855">
        <f>(AH91*KFC!$B$27+KFC!$C$27)*KFC!$C$5</f>
        <v>126.11</v>
      </c>
      <c r="O91" s="855">
        <f>(AI91*KFC!$B$27+KFC!$C$27)*KFC!$C$5</f>
        <v>133.19999999999999</v>
      </c>
      <c r="P91" s="855">
        <f>(AJ91*KFC!$B$27+KFC!$C$27)*KFC!$C$5</f>
        <v>140.28999999999996</v>
      </c>
      <c r="Q91" s="855">
        <f>(AK91*KFC!$B$27+KFC!$C$27)*KFC!$C$5</f>
        <v>147.37999999999994</v>
      </c>
      <c r="R91" s="855">
        <f>(AL91*KFC!$B$27+KFC!$C$27)*KFC!$C$5</f>
        <v>154.46999999999991</v>
      </c>
      <c r="S91" s="855">
        <f>(AM91*KFC!$B$27+KFC!$C$27)*KFC!$C$5</f>
        <v>161.55999999999989</v>
      </c>
      <c r="T91" s="855">
        <f>(AN91*KFC!$B$27+KFC!$C$27)*KFC!$C$5</f>
        <v>168.64999999999986</v>
      </c>
      <c r="V91" s="851">
        <v>0.5</v>
      </c>
      <c r="W91" s="847">
        <v>49.13</v>
      </c>
      <c r="X91" s="847">
        <v>56.1</v>
      </c>
      <c r="Y91" s="847">
        <v>63.05</v>
      </c>
      <c r="Z91" s="847">
        <v>70.02</v>
      </c>
      <c r="AA91" s="847">
        <v>77.11</v>
      </c>
      <c r="AB91" s="847">
        <v>84.21</v>
      </c>
      <c r="AC91" s="847">
        <v>91.04</v>
      </c>
      <c r="AD91" s="847">
        <v>98.13</v>
      </c>
      <c r="AE91" s="847">
        <v>105.09</v>
      </c>
      <c r="AF91" s="847">
        <v>112.19</v>
      </c>
      <c r="AG91" s="847">
        <v>119.02</v>
      </c>
      <c r="AH91" s="847">
        <v>126.11</v>
      </c>
      <c r="AI91" s="848">
        <v>133.19999999999999</v>
      </c>
      <c r="AJ91" s="690">
        <f t="shared" ref="AJ91:AJ108" si="14">AI91-AH91+AI91</f>
        <v>140.28999999999996</v>
      </c>
      <c r="AK91" s="690">
        <f t="shared" ref="AK91:AP106" si="15">AJ91-AI91+AJ91</f>
        <v>147.37999999999994</v>
      </c>
      <c r="AL91" s="690">
        <f t="shared" si="15"/>
        <v>154.46999999999991</v>
      </c>
      <c r="AM91" s="690">
        <f t="shared" si="15"/>
        <v>161.55999999999989</v>
      </c>
      <c r="AN91" s="690">
        <f t="shared" si="15"/>
        <v>168.64999999999986</v>
      </c>
      <c r="AO91" s="690">
        <f t="shared" si="15"/>
        <v>175.73999999999984</v>
      </c>
      <c r="AP91" s="690">
        <f t="shared" si="15"/>
        <v>182.82999999999981</v>
      </c>
    </row>
    <row r="92" spans="1:42">
      <c r="A92" s="1816"/>
      <c r="B92" s="849">
        <v>0.6</v>
      </c>
      <c r="C92" s="855">
        <f>(W92*KFC!$B$27+KFC!$C$27)*KFC!$C$5</f>
        <v>52.62</v>
      </c>
      <c r="D92" s="855">
        <f>(X92*KFC!$B$27+KFC!$C$27)*KFC!$C$5</f>
        <v>59.7</v>
      </c>
      <c r="E92" s="855">
        <f>(Y92*KFC!$B$27+KFC!$C$27)*KFC!$C$5</f>
        <v>66.94</v>
      </c>
      <c r="F92" s="855">
        <f>(Z92*KFC!$B$27+KFC!$C$27)*KFC!$C$5</f>
        <v>74.040000000000006</v>
      </c>
      <c r="G92" s="855">
        <f>(AA92*KFC!$B$27+KFC!$C$27)*KFC!$C$5</f>
        <v>81.260000000000005</v>
      </c>
      <c r="H92" s="855">
        <f>(AB92*KFC!$B$27+KFC!$C$27)*KFC!$C$5</f>
        <v>88.36</v>
      </c>
      <c r="I92" s="855">
        <f>(AC92*KFC!$B$27+KFC!$C$27)*KFC!$C$5</f>
        <v>95.46</v>
      </c>
      <c r="J92" s="855">
        <f>(AD92*KFC!$B$27+KFC!$C$27)*KFC!$C$5</f>
        <v>102.68</v>
      </c>
      <c r="K92" s="855">
        <f>(AE92*KFC!$B$27+KFC!$C$27)*KFC!$C$5</f>
        <v>109.65</v>
      </c>
      <c r="L92" s="855">
        <f>(AF92*KFC!$B$27+KFC!$C$27)*KFC!$C$5</f>
        <v>116.88</v>
      </c>
      <c r="M92" s="855">
        <f>(AG92*KFC!$B$27+KFC!$C$27)*KFC!$C$5</f>
        <v>124.1</v>
      </c>
      <c r="N92" s="855">
        <f>(AH92*KFC!$B$27+KFC!$C$27)*KFC!$C$5</f>
        <v>131.19999999999999</v>
      </c>
      <c r="O92" s="855">
        <f>(AI92*KFC!$B$27+KFC!$C$27)*KFC!$C$5</f>
        <v>138.30000000000001</v>
      </c>
      <c r="P92" s="855">
        <f>(AJ92*KFC!$B$27+KFC!$C$27)*KFC!$C$5</f>
        <v>145.40000000000003</v>
      </c>
      <c r="Q92" s="855">
        <f>(AK92*KFC!$B$27+KFC!$C$27)*KFC!$C$5</f>
        <v>152.50000000000006</v>
      </c>
      <c r="R92" s="855">
        <f>(AL92*KFC!$B$27+KFC!$C$27)*KFC!$C$5</f>
        <v>159.60000000000008</v>
      </c>
      <c r="S92" s="855">
        <f>(AM92*KFC!$B$27+KFC!$C$27)*KFC!$C$5</f>
        <v>166.7000000000001</v>
      </c>
      <c r="T92" s="855">
        <f>(AN92*KFC!$B$27+KFC!$C$27)*KFC!$C$5</f>
        <v>173.80000000000013</v>
      </c>
      <c r="V92" s="851">
        <v>0.6</v>
      </c>
      <c r="W92" s="847">
        <v>52.62</v>
      </c>
      <c r="X92" s="847">
        <v>59.7</v>
      </c>
      <c r="Y92" s="847">
        <v>66.94</v>
      </c>
      <c r="Z92" s="847">
        <v>74.040000000000006</v>
      </c>
      <c r="AA92" s="847">
        <v>81.260000000000005</v>
      </c>
      <c r="AB92" s="847">
        <v>88.36</v>
      </c>
      <c r="AC92" s="847">
        <v>95.46</v>
      </c>
      <c r="AD92" s="847">
        <v>102.68</v>
      </c>
      <c r="AE92" s="847">
        <v>109.65</v>
      </c>
      <c r="AF92" s="847">
        <v>116.88</v>
      </c>
      <c r="AG92" s="847">
        <v>124.1</v>
      </c>
      <c r="AH92" s="847">
        <v>131.19999999999999</v>
      </c>
      <c r="AI92" s="848">
        <v>138.30000000000001</v>
      </c>
      <c r="AJ92" s="690">
        <f t="shared" si="14"/>
        <v>145.40000000000003</v>
      </c>
      <c r="AK92" s="690">
        <f t="shared" si="15"/>
        <v>152.50000000000006</v>
      </c>
      <c r="AL92" s="690">
        <f t="shared" si="15"/>
        <v>159.60000000000008</v>
      </c>
      <c r="AM92" s="690">
        <f t="shared" si="15"/>
        <v>166.7000000000001</v>
      </c>
      <c r="AN92" s="690">
        <f t="shared" si="15"/>
        <v>173.80000000000013</v>
      </c>
      <c r="AO92" s="690">
        <f t="shared" si="15"/>
        <v>180.90000000000015</v>
      </c>
      <c r="AP92" s="690">
        <f t="shared" si="15"/>
        <v>188.00000000000017</v>
      </c>
    </row>
    <row r="93" spans="1:42">
      <c r="A93" s="1816"/>
      <c r="B93" s="849">
        <v>0.7</v>
      </c>
      <c r="C93" s="855">
        <f>(W93*KFC!$B$27+KFC!$C$27)*KFC!$C$5</f>
        <v>56.1</v>
      </c>
      <c r="D93" s="855">
        <f>(X93*KFC!$B$27+KFC!$C$27)*KFC!$C$5</f>
        <v>63.33</v>
      </c>
      <c r="E93" s="855">
        <f>(Y93*KFC!$B$27+KFC!$C$27)*KFC!$C$5</f>
        <v>70.7</v>
      </c>
      <c r="F93" s="855">
        <f>(Z93*KFC!$B$27+KFC!$C$27)*KFC!$C$5</f>
        <v>77.91</v>
      </c>
      <c r="G93" s="855">
        <f>(AA93*KFC!$B$27+KFC!$C$27)*KFC!$C$5</f>
        <v>85.27</v>
      </c>
      <c r="H93" s="855">
        <f>(AB93*KFC!$B$27+KFC!$C$27)*KFC!$C$5</f>
        <v>92.51</v>
      </c>
      <c r="I93" s="855">
        <f>(AC93*KFC!$B$27+KFC!$C$27)*KFC!$C$5</f>
        <v>99.87</v>
      </c>
      <c r="J93" s="855">
        <f>(AD93*KFC!$B$27+KFC!$C$27)*KFC!$C$5</f>
        <v>107.1</v>
      </c>
      <c r="K93" s="855">
        <f>(AE93*KFC!$B$27+KFC!$C$27)*KFC!$C$5</f>
        <v>114.46</v>
      </c>
      <c r="L93" s="855">
        <f>(AF93*KFC!$B$27+KFC!$C$27)*KFC!$C$5</f>
        <v>121.83</v>
      </c>
      <c r="M93" s="855">
        <f>(AG93*KFC!$B$27+KFC!$C$27)*KFC!$C$5</f>
        <v>129.06</v>
      </c>
      <c r="N93" s="855">
        <f>(AH93*KFC!$B$27+KFC!$C$27)*KFC!$C$5</f>
        <v>136.43</v>
      </c>
      <c r="O93" s="855">
        <f>(AI93*KFC!$B$27+KFC!$C$27)*KFC!$C$5</f>
        <v>143.79</v>
      </c>
      <c r="P93" s="855">
        <f>(AJ93*KFC!$B$27+KFC!$C$27)*KFC!$C$5</f>
        <v>151.14999999999998</v>
      </c>
      <c r="Q93" s="855">
        <f>(AK93*KFC!$B$27+KFC!$C$27)*KFC!$C$5</f>
        <v>158.50999999999996</v>
      </c>
      <c r="R93" s="855">
        <f>(AL93*KFC!$B$27+KFC!$C$27)*KFC!$C$5</f>
        <v>165.86999999999995</v>
      </c>
      <c r="S93" s="855">
        <f>(AM93*KFC!$B$27+KFC!$C$27)*KFC!$C$5</f>
        <v>173.22999999999993</v>
      </c>
      <c r="T93" s="855">
        <f>(AN93*KFC!$B$27+KFC!$C$27)*KFC!$C$5</f>
        <v>180.58999999999992</v>
      </c>
      <c r="V93" s="851">
        <v>0.7</v>
      </c>
      <c r="W93" s="847">
        <v>56.1</v>
      </c>
      <c r="X93" s="847">
        <v>63.33</v>
      </c>
      <c r="Y93" s="847">
        <v>70.7</v>
      </c>
      <c r="Z93" s="847">
        <v>77.91</v>
      </c>
      <c r="AA93" s="847">
        <v>85.27</v>
      </c>
      <c r="AB93" s="847">
        <v>92.51</v>
      </c>
      <c r="AC93" s="847">
        <v>99.87</v>
      </c>
      <c r="AD93" s="847">
        <v>107.1</v>
      </c>
      <c r="AE93" s="847">
        <v>114.46</v>
      </c>
      <c r="AF93" s="847">
        <v>121.83</v>
      </c>
      <c r="AG93" s="847">
        <v>129.06</v>
      </c>
      <c r="AH93" s="847">
        <v>136.43</v>
      </c>
      <c r="AI93" s="848">
        <v>143.79</v>
      </c>
      <c r="AJ93" s="690">
        <f t="shared" si="14"/>
        <v>151.14999999999998</v>
      </c>
      <c r="AK93" s="690">
        <f t="shared" si="15"/>
        <v>158.50999999999996</v>
      </c>
      <c r="AL93" s="690">
        <f t="shared" si="15"/>
        <v>165.86999999999995</v>
      </c>
      <c r="AM93" s="690">
        <f t="shared" si="15"/>
        <v>173.22999999999993</v>
      </c>
      <c r="AN93" s="690">
        <f t="shared" si="15"/>
        <v>180.58999999999992</v>
      </c>
      <c r="AO93" s="690">
        <f t="shared" si="15"/>
        <v>187.9499999999999</v>
      </c>
      <c r="AP93" s="690">
        <f t="shared" si="15"/>
        <v>195.30999999999989</v>
      </c>
    </row>
    <row r="94" spans="1:42">
      <c r="A94" s="1816"/>
      <c r="B94" s="849">
        <v>0.8</v>
      </c>
      <c r="C94" s="855">
        <f>(W94*KFC!$B$27+KFC!$C$27)*KFC!$C$5</f>
        <v>59.58</v>
      </c>
      <c r="D94" s="855">
        <f>(X94*KFC!$B$27+KFC!$C$27)*KFC!$C$5</f>
        <v>66.94</v>
      </c>
      <c r="E94" s="855">
        <f>(Y94*KFC!$B$27+KFC!$C$27)*KFC!$C$5</f>
        <v>74.430000000000007</v>
      </c>
      <c r="F94" s="855">
        <f>(Z94*KFC!$B$27+KFC!$C$27)*KFC!$C$5</f>
        <v>81.93</v>
      </c>
      <c r="G94" s="855">
        <f>(AA94*KFC!$B$27+KFC!$C$27)*KFC!$C$5</f>
        <v>89.44</v>
      </c>
      <c r="H94" s="855">
        <f>(AB94*KFC!$B$27+KFC!$C$27)*KFC!$C$5</f>
        <v>96.8</v>
      </c>
      <c r="I94" s="855">
        <f>(AC94*KFC!$B$27+KFC!$C$27)*KFC!$C$5</f>
        <v>104.3</v>
      </c>
      <c r="J94" s="855">
        <f>(AD94*KFC!$B$27+KFC!$C$27)*KFC!$C$5</f>
        <v>111.66</v>
      </c>
      <c r="K94" s="855">
        <f>(AE94*KFC!$B$27+KFC!$C$27)*KFC!$C$5</f>
        <v>119.15</v>
      </c>
      <c r="L94" s="855">
        <f>(AF94*KFC!$B$27+KFC!$C$27)*KFC!$C$5</f>
        <v>126.51</v>
      </c>
      <c r="M94" s="855">
        <f>(AG94*KFC!$B$27+KFC!$C$27)*KFC!$C$5</f>
        <v>134.13999999999999</v>
      </c>
      <c r="N94" s="855">
        <f>(AH94*KFC!$B$27+KFC!$C$27)*KFC!$C$5</f>
        <v>141.5</v>
      </c>
      <c r="O94" s="855">
        <f>(AI94*KFC!$B$27+KFC!$C$27)*KFC!$C$5</f>
        <v>148.87</v>
      </c>
      <c r="P94" s="855">
        <f>(AJ94*KFC!$B$27+KFC!$C$27)*KFC!$C$5</f>
        <v>156.24</v>
      </c>
      <c r="Q94" s="855">
        <f>(AK94*KFC!$B$27+KFC!$C$27)*KFC!$C$5</f>
        <v>163.61000000000001</v>
      </c>
      <c r="R94" s="855">
        <f>(AL94*KFC!$B$27+KFC!$C$27)*KFC!$C$5</f>
        <v>170.98000000000002</v>
      </c>
      <c r="S94" s="855">
        <f>(AM94*KFC!$B$27+KFC!$C$27)*KFC!$C$5</f>
        <v>178.35000000000002</v>
      </c>
      <c r="T94" s="855">
        <f>(AN94*KFC!$B$27+KFC!$C$27)*KFC!$C$5</f>
        <v>185.72000000000003</v>
      </c>
      <c r="V94" s="851">
        <v>0.8</v>
      </c>
      <c r="W94" s="847">
        <v>59.58</v>
      </c>
      <c r="X94" s="847">
        <v>66.94</v>
      </c>
      <c r="Y94" s="847">
        <v>74.430000000000007</v>
      </c>
      <c r="Z94" s="847">
        <v>81.93</v>
      </c>
      <c r="AA94" s="847">
        <v>89.44</v>
      </c>
      <c r="AB94" s="847">
        <v>96.8</v>
      </c>
      <c r="AC94" s="847">
        <v>104.3</v>
      </c>
      <c r="AD94" s="847">
        <v>111.66</v>
      </c>
      <c r="AE94" s="847">
        <v>119.15</v>
      </c>
      <c r="AF94" s="847">
        <v>126.51</v>
      </c>
      <c r="AG94" s="847">
        <v>134.13999999999999</v>
      </c>
      <c r="AH94" s="847">
        <v>141.5</v>
      </c>
      <c r="AI94" s="848">
        <v>148.87</v>
      </c>
      <c r="AJ94" s="690">
        <f t="shared" si="14"/>
        <v>156.24</v>
      </c>
      <c r="AK94" s="690">
        <f t="shared" si="15"/>
        <v>163.61000000000001</v>
      </c>
      <c r="AL94" s="690">
        <f t="shared" si="15"/>
        <v>170.98000000000002</v>
      </c>
      <c r="AM94" s="690">
        <f t="shared" si="15"/>
        <v>178.35000000000002</v>
      </c>
      <c r="AN94" s="690">
        <f t="shared" si="15"/>
        <v>185.72000000000003</v>
      </c>
      <c r="AO94" s="690">
        <f t="shared" si="15"/>
        <v>193.09000000000003</v>
      </c>
      <c r="AP94" s="690">
        <f t="shared" si="15"/>
        <v>200.46000000000004</v>
      </c>
    </row>
    <row r="95" spans="1:42">
      <c r="A95" s="1816"/>
      <c r="B95" s="849">
        <v>0.9</v>
      </c>
      <c r="C95" s="855">
        <f>(W95*KFC!$B$27+KFC!$C$27)*KFC!$C$5</f>
        <v>63.05</v>
      </c>
      <c r="D95" s="855">
        <f>(X95*KFC!$B$27+KFC!$C$27)*KFC!$C$5</f>
        <v>70.7</v>
      </c>
      <c r="E95" s="855">
        <f>(Y95*KFC!$B$27+KFC!$C$27)*KFC!$C$5</f>
        <v>78.319999999999993</v>
      </c>
      <c r="F95" s="855">
        <f>(Z95*KFC!$B$27+KFC!$C$27)*KFC!$C$5</f>
        <v>85.82</v>
      </c>
      <c r="G95" s="855">
        <f>(AA95*KFC!$B$27+KFC!$C$27)*KFC!$C$5</f>
        <v>93.45</v>
      </c>
      <c r="H95" s="855">
        <f>(AB95*KFC!$B$27+KFC!$C$27)*KFC!$C$5</f>
        <v>101.07</v>
      </c>
      <c r="I95" s="855">
        <f>(AC95*KFC!$B$27+KFC!$C$27)*KFC!$C$5</f>
        <v>108.71</v>
      </c>
      <c r="J95" s="855">
        <f>(AD95*KFC!$B$27+KFC!$C$27)*KFC!$C$5</f>
        <v>116.21</v>
      </c>
      <c r="K95" s="855">
        <f>(AE95*KFC!$B$27+KFC!$C$27)*KFC!$C$5</f>
        <v>123.84</v>
      </c>
      <c r="L95" s="855">
        <f>(AF95*KFC!$B$27+KFC!$C$27)*KFC!$C$5</f>
        <v>131.46</v>
      </c>
      <c r="M95" s="855">
        <f>(AG95*KFC!$B$27+KFC!$C$27)*KFC!$C$5</f>
        <v>138.97</v>
      </c>
      <c r="N95" s="855">
        <f>(AH95*KFC!$B$27+KFC!$C$27)*KFC!$C$5</f>
        <v>146.59</v>
      </c>
      <c r="O95" s="855">
        <f>(AI95*KFC!$B$27+KFC!$C$27)*KFC!$C$5</f>
        <v>154.22</v>
      </c>
      <c r="P95" s="855">
        <f>(AJ95*KFC!$B$27+KFC!$C$27)*KFC!$C$5</f>
        <v>161.85</v>
      </c>
      <c r="Q95" s="855">
        <f>(AK95*KFC!$B$27+KFC!$C$27)*KFC!$C$5</f>
        <v>169.48</v>
      </c>
      <c r="R95" s="855">
        <f>(AL95*KFC!$B$27+KFC!$C$27)*KFC!$C$5</f>
        <v>177.10999999999999</v>
      </c>
      <c r="S95" s="855">
        <f>(AM95*KFC!$B$27+KFC!$C$27)*KFC!$C$5</f>
        <v>184.73999999999998</v>
      </c>
      <c r="T95" s="855">
        <f>(AN95*KFC!$B$27+KFC!$C$27)*KFC!$C$5</f>
        <v>192.36999999999998</v>
      </c>
      <c r="V95" s="851">
        <v>0.9</v>
      </c>
      <c r="W95" s="847">
        <v>63.05</v>
      </c>
      <c r="X95" s="847">
        <v>70.7</v>
      </c>
      <c r="Y95" s="847">
        <v>78.319999999999993</v>
      </c>
      <c r="Z95" s="847">
        <v>85.82</v>
      </c>
      <c r="AA95" s="847">
        <v>93.45</v>
      </c>
      <c r="AB95" s="847">
        <v>101.07</v>
      </c>
      <c r="AC95" s="847">
        <v>108.71</v>
      </c>
      <c r="AD95" s="847">
        <v>116.21</v>
      </c>
      <c r="AE95" s="847">
        <v>123.84</v>
      </c>
      <c r="AF95" s="847">
        <v>131.46</v>
      </c>
      <c r="AG95" s="847">
        <v>138.97</v>
      </c>
      <c r="AH95" s="847">
        <v>146.59</v>
      </c>
      <c r="AI95" s="848">
        <v>154.22</v>
      </c>
      <c r="AJ95" s="690">
        <f t="shared" si="14"/>
        <v>161.85</v>
      </c>
      <c r="AK95" s="690">
        <f t="shared" si="15"/>
        <v>169.48</v>
      </c>
      <c r="AL95" s="690">
        <f t="shared" si="15"/>
        <v>177.10999999999999</v>
      </c>
      <c r="AM95" s="690">
        <f t="shared" si="15"/>
        <v>184.73999999999998</v>
      </c>
      <c r="AN95" s="690">
        <f t="shared" si="15"/>
        <v>192.36999999999998</v>
      </c>
      <c r="AO95" s="690">
        <f t="shared" si="15"/>
        <v>199.99999999999997</v>
      </c>
      <c r="AP95" s="690">
        <f t="shared" si="15"/>
        <v>207.62999999999997</v>
      </c>
    </row>
    <row r="96" spans="1:42">
      <c r="A96" s="1816"/>
      <c r="B96" s="849">
        <v>1</v>
      </c>
      <c r="C96" s="855">
        <f>(W96*KFC!$B$27+KFC!$C$27)*KFC!$C$5</f>
        <v>66.680000000000007</v>
      </c>
      <c r="D96" s="855">
        <f>(X96*KFC!$B$27+KFC!$C$27)*KFC!$C$5</f>
        <v>74.3</v>
      </c>
      <c r="E96" s="855">
        <f>(Y96*KFC!$B$27+KFC!$C$27)*KFC!$C$5</f>
        <v>82.07</v>
      </c>
      <c r="F96" s="855">
        <f>(Z96*KFC!$B$27+KFC!$C$27)*KFC!$C$5</f>
        <v>89.7</v>
      </c>
      <c r="G96" s="855">
        <f>(AA96*KFC!$B$27+KFC!$C$27)*KFC!$C$5</f>
        <v>97.6</v>
      </c>
      <c r="H96" s="855">
        <f>(AB96*KFC!$B$27+KFC!$C$27)*KFC!$C$5</f>
        <v>105.22</v>
      </c>
      <c r="I96" s="855">
        <f>(AC96*KFC!$B$27+KFC!$C$27)*KFC!$C$5</f>
        <v>112.99</v>
      </c>
      <c r="J96" s="855">
        <f>(AD96*KFC!$B$27+KFC!$C$27)*KFC!$C$5</f>
        <v>120.9</v>
      </c>
      <c r="K96" s="855">
        <f>(AE96*KFC!$B$27+KFC!$C$27)*KFC!$C$5</f>
        <v>128.52000000000001</v>
      </c>
      <c r="L96" s="855">
        <f>(AF96*KFC!$B$27+KFC!$C$27)*KFC!$C$5</f>
        <v>136.29</v>
      </c>
      <c r="M96" s="855">
        <f>(AG96*KFC!$B$27+KFC!$C$27)*KFC!$C$5</f>
        <v>143.91</v>
      </c>
      <c r="N96" s="855">
        <f>(AH96*KFC!$B$27+KFC!$C$27)*KFC!$C$5</f>
        <v>151.82</v>
      </c>
      <c r="O96" s="855">
        <f>(AI96*KFC!$B$27+KFC!$C$27)*KFC!$C$5</f>
        <v>159.72</v>
      </c>
      <c r="P96" s="855">
        <f>(AJ96*KFC!$B$27+KFC!$C$27)*KFC!$C$5</f>
        <v>167.62</v>
      </c>
      <c r="Q96" s="855">
        <f>(AK96*KFC!$B$27+KFC!$C$27)*KFC!$C$5</f>
        <v>175.52</v>
      </c>
      <c r="R96" s="855">
        <f>(AL96*KFC!$B$27+KFC!$C$27)*KFC!$C$5</f>
        <v>183.42000000000002</v>
      </c>
      <c r="S96" s="855">
        <f>(AM96*KFC!$B$27+KFC!$C$27)*KFC!$C$5</f>
        <v>191.32000000000002</v>
      </c>
      <c r="T96" s="855">
        <f>(AN96*KFC!$B$27+KFC!$C$27)*KFC!$C$5</f>
        <v>199.22000000000003</v>
      </c>
      <c r="V96" s="851">
        <v>1</v>
      </c>
      <c r="W96" s="847">
        <v>66.680000000000007</v>
      </c>
      <c r="X96" s="847">
        <v>74.3</v>
      </c>
      <c r="Y96" s="847">
        <v>82.07</v>
      </c>
      <c r="Z96" s="847">
        <v>89.7</v>
      </c>
      <c r="AA96" s="847">
        <v>97.6</v>
      </c>
      <c r="AB96" s="847">
        <v>105.22</v>
      </c>
      <c r="AC96" s="847">
        <v>112.99</v>
      </c>
      <c r="AD96" s="847">
        <v>120.9</v>
      </c>
      <c r="AE96" s="847">
        <v>128.52000000000001</v>
      </c>
      <c r="AF96" s="847">
        <v>136.29</v>
      </c>
      <c r="AG96" s="847">
        <v>143.91</v>
      </c>
      <c r="AH96" s="847">
        <v>151.82</v>
      </c>
      <c r="AI96" s="848">
        <v>159.72</v>
      </c>
      <c r="AJ96" s="690">
        <f t="shared" si="14"/>
        <v>167.62</v>
      </c>
      <c r="AK96" s="690">
        <f t="shared" si="15"/>
        <v>175.52</v>
      </c>
      <c r="AL96" s="690">
        <f t="shared" si="15"/>
        <v>183.42000000000002</v>
      </c>
      <c r="AM96" s="690">
        <f t="shared" si="15"/>
        <v>191.32000000000002</v>
      </c>
      <c r="AN96" s="690">
        <f t="shared" si="15"/>
        <v>199.22000000000003</v>
      </c>
      <c r="AO96" s="690">
        <f t="shared" si="15"/>
        <v>207.12000000000003</v>
      </c>
      <c r="AP96" s="690">
        <f t="shared" si="15"/>
        <v>215.02000000000004</v>
      </c>
    </row>
    <row r="97" spans="1:42">
      <c r="A97" s="1816"/>
      <c r="B97" s="849">
        <v>1.1000000000000001</v>
      </c>
      <c r="C97" s="855">
        <f>(W97*KFC!$B$27+KFC!$C$27)*KFC!$C$5</f>
        <v>70.02</v>
      </c>
      <c r="D97" s="855">
        <f>(X97*KFC!$B$27+KFC!$C$27)*KFC!$C$5</f>
        <v>77.91</v>
      </c>
      <c r="E97" s="855">
        <f>(Y97*KFC!$B$27+KFC!$C$27)*KFC!$C$5</f>
        <v>85.82</v>
      </c>
      <c r="F97" s="855">
        <f>(Z97*KFC!$B$27+KFC!$C$27)*KFC!$C$5</f>
        <v>93.85</v>
      </c>
      <c r="G97" s="855">
        <f>(AA97*KFC!$B$27+KFC!$C$27)*KFC!$C$5</f>
        <v>101.62</v>
      </c>
      <c r="H97" s="855">
        <f>(AB97*KFC!$B$27+KFC!$C$27)*KFC!$C$5</f>
        <v>109.52</v>
      </c>
      <c r="I97" s="855">
        <f>(AC97*KFC!$B$27+KFC!$C$27)*KFC!$C$5</f>
        <v>117.4</v>
      </c>
      <c r="J97" s="855">
        <f>(AD97*KFC!$B$27+KFC!$C$27)*KFC!$C$5</f>
        <v>125.31</v>
      </c>
      <c r="K97" s="855">
        <f>(AE97*KFC!$B$27+KFC!$C$27)*KFC!$C$5</f>
        <v>133.08000000000001</v>
      </c>
      <c r="L97" s="855">
        <f>(AF97*KFC!$B$27+KFC!$C$27)*KFC!$C$5</f>
        <v>141.11000000000001</v>
      </c>
      <c r="M97" s="855">
        <f>(AG97*KFC!$B$27+KFC!$C$27)*KFC!$C$5</f>
        <v>149.01</v>
      </c>
      <c r="N97" s="855">
        <f>(AH97*KFC!$B$27+KFC!$C$27)*KFC!$C$5</f>
        <v>156.9</v>
      </c>
      <c r="O97" s="855">
        <f>(AI97*KFC!$B$27+KFC!$C$27)*KFC!$C$5</f>
        <v>164.8</v>
      </c>
      <c r="P97" s="855">
        <f>(AJ97*KFC!$B$27+KFC!$C$27)*KFC!$C$5</f>
        <v>172.70000000000002</v>
      </c>
      <c r="Q97" s="855">
        <f>(AK97*KFC!$B$27+KFC!$C$27)*KFC!$C$5</f>
        <v>180.60000000000002</v>
      </c>
      <c r="R97" s="855">
        <f>(AL97*KFC!$B$27+KFC!$C$27)*KFC!$C$5</f>
        <v>188.50000000000003</v>
      </c>
      <c r="S97" s="855">
        <f>(AM97*KFC!$B$27+KFC!$C$27)*KFC!$C$5</f>
        <v>196.40000000000003</v>
      </c>
      <c r="T97" s="855">
        <f>(AN97*KFC!$B$27+KFC!$C$27)*KFC!$C$5</f>
        <v>204.30000000000004</v>
      </c>
      <c r="V97" s="851">
        <v>1.1000000000000001</v>
      </c>
      <c r="W97" s="847">
        <v>70.02</v>
      </c>
      <c r="X97" s="847">
        <v>77.91</v>
      </c>
      <c r="Y97" s="847">
        <v>85.82</v>
      </c>
      <c r="Z97" s="847">
        <v>93.85</v>
      </c>
      <c r="AA97" s="847">
        <v>101.62</v>
      </c>
      <c r="AB97" s="847">
        <v>109.52</v>
      </c>
      <c r="AC97" s="847">
        <v>117.4</v>
      </c>
      <c r="AD97" s="847">
        <v>125.31</v>
      </c>
      <c r="AE97" s="847">
        <v>133.08000000000001</v>
      </c>
      <c r="AF97" s="847">
        <v>141.11000000000001</v>
      </c>
      <c r="AG97" s="847">
        <v>149.01</v>
      </c>
      <c r="AH97" s="847">
        <v>156.9</v>
      </c>
      <c r="AI97" s="848">
        <v>164.8</v>
      </c>
      <c r="AJ97" s="690">
        <f t="shared" si="14"/>
        <v>172.70000000000002</v>
      </c>
      <c r="AK97" s="690">
        <f t="shared" si="15"/>
        <v>180.60000000000002</v>
      </c>
      <c r="AL97" s="690">
        <f t="shared" si="15"/>
        <v>188.50000000000003</v>
      </c>
      <c r="AM97" s="690">
        <f t="shared" si="15"/>
        <v>196.40000000000003</v>
      </c>
      <c r="AN97" s="690">
        <f t="shared" si="15"/>
        <v>204.30000000000004</v>
      </c>
      <c r="AO97" s="690">
        <f t="shared" si="15"/>
        <v>212.20000000000005</v>
      </c>
      <c r="AP97" s="690">
        <f t="shared" si="15"/>
        <v>220.10000000000005</v>
      </c>
    </row>
    <row r="98" spans="1:42">
      <c r="A98" s="1816"/>
      <c r="B98" s="849">
        <v>1.2</v>
      </c>
      <c r="C98" s="855">
        <f>(W98*KFC!$B$27+KFC!$C$27)*KFC!$C$5</f>
        <v>73.5</v>
      </c>
      <c r="D98" s="855">
        <f>(X98*KFC!$B$27+KFC!$C$27)*KFC!$C$5</f>
        <v>81.53</v>
      </c>
      <c r="E98" s="855">
        <f>(Y98*KFC!$B$27+KFC!$C$27)*KFC!$C$5</f>
        <v>89.7</v>
      </c>
      <c r="F98" s="855">
        <f>(Z98*KFC!$B$27+KFC!$C$27)*KFC!$C$5</f>
        <v>97.73</v>
      </c>
      <c r="G98" s="855">
        <f>(AA98*KFC!$B$27+KFC!$C$27)*KFC!$C$5</f>
        <v>105.77</v>
      </c>
      <c r="H98" s="855">
        <f>(AB98*KFC!$B$27+KFC!$C$27)*KFC!$C$5</f>
        <v>113.8</v>
      </c>
      <c r="I98" s="855">
        <f>(AC98*KFC!$B$27+KFC!$C$27)*KFC!$C$5</f>
        <v>121.83</v>
      </c>
      <c r="J98" s="855">
        <f>(AD98*KFC!$B$27+KFC!$C$27)*KFC!$C$5</f>
        <v>129.86000000000001</v>
      </c>
      <c r="K98" s="855">
        <f>(AE98*KFC!$B$27+KFC!$C$27)*KFC!$C$5</f>
        <v>137.9</v>
      </c>
      <c r="L98" s="855">
        <f>(AF98*KFC!$B$27+KFC!$C$27)*KFC!$C$5</f>
        <v>145.93</v>
      </c>
      <c r="M98" s="855">
        <f>(AG98*KFC!$B$27+KFC!$C$27)*KFC!$C$5</f>
        <v>153.96</v>
      </c>
      <c r="N98" s="855">
        <f>(AH98*KFC!$B$27+KFC!$C$27)*KFC!$C$5</f>
        <v>161.99</v>
      </c>
      <c r="O98" s="855">
        <f>(AI98*KFC!$B$27+KFC!$C$27)*KFC!$C$5</f>
        <v>170.03</v>
      </c>
      <c r="P98" s="855">
        <f>(AJ98*KFC!$B$27+KFC!$C$27)*KFC!$C$5</f>
        <v>178.07</v>
      </c>
      <c r="Q98" s="855">
        <f>(AK98*KFC!$B$27+KFC!$C$27)*KFC!$C$5</f>
        <v>186.10999999999999</v>
      </c>
      <c r="R98" s="855">
        <f>(AL98*KFC!$B$27+KFC!$C$27)*KFC!$C$5</f>
        <v>194.14999999999998</v>
      </c>
      <c r="S98" s="855">
        <f>(AM98*KFC!$B$27+KFC!$C$27)*KFC!$C$5</f>
        <v>202.18999999999997</v>
      </c>
      <c r="T98" s="855">
        <f>(AN98*KFC!$B$27+KFC!$C$27)*KFC!$C$5</f>
        <v>210.22999999999996</v>
      </c>
      <c r="V98" s="851">
        <v>1.2</v>
      </c>
      <c r="W98" s="847">
        <v>73.5</v>
      </c>
      <c r="X98" s="847">
        <v>81.53</v>
      </c>
      <c r="Y98" s="847">
        <v>89.7</v>
      </c>
      <c r="Z98" s="847">
        <v>97.73</v>
      </c>
      <c r="AA98" s="847">
        <v>105.77</v>
      </c>
      <c r="AB98" s="847">
        <v>113.8</v>
      </c>
      <c r="AC98" s="847">
        <v>121.83</v>
      </c>
      <c r="AD98" s="847">
        <v>129.86000000000001</v>
      </c>
      <c r="AE98" s="847">
        <v>137.9</v>
      </c>
      <c r="AF98" s="847">
        <v>145.93</v>
      </c>
      <c r="AG98" s="847">
        <v>153.96</v>
      </c>
      <c r="AH98" s="847">
        <v>161.99</v>
      </c>
      <c r="AI98" s="848">
        <v>170.03</v>
      </c>
      <c r="AJ98" s="690">
        <f t="shared" si="14"/>
        <v>178.07</v>
      </c>
      <c r="AK98" s="690">
        <f t="shared" si="15"/>
        <v>186.10999999999999</v>
      </c>
      <c r="AL98" s="690">
        <f t="shared" si="15"/>
        <v>194.14999999999998</v>
      </c>
      <c r="AM98" s="690">
        <f t="shared" si="15"/>
        <v>202.18999999999997</v>
      </c>
      <c r="AN98" s="690">
        <f t="shared" si="15"/>
        <v>210.22999999999996</v>
      </c>
      <c r="AO98" s="690">
        <f t="shared" si="15"/>
        <v>218.26999999999995</v>
      </c>
      <c r="AP98" s="690">
        <f t="shared" si="15"/>
        <v>226.30999999999995</v>
      </c>
    </row>
    <row r="99" spans="1:42">
      <c r="A99" s="1816"/>
      <c r="B99" s="849">
        <v>1.3</v>
      </c>
      <c r="C99" s="855">
        <f>(W99*KFC!$B$27+KFC!$C$27)*KFC!$C$5</f>
        <v>77.11</v>
      </c>
      <c r="D99" s="855">
        <f>(X99*KFC!$B$27+KFC!$C$27)*KFC!$C$5</f>
        <v>85.27</v>
      </c>
      <c r="E99" s="855">
        <f>(Y99*KFC!$B$27+KFC!$C$27)*KFC!$C$5</f>
        <v>93.45</v>
      </c>
      <c r="F99" s="855">
        <f>(Z99*KFC!$B$27+KFC!$C$27)*KFC!$C$5</f>
        <v>101.62</v>
      </c>
      <c r="G99" s="855">
        <f>(AA99*KFC!$B$27+KFC!$C$27)*KFC!$C$5</f>
        <v>109.91</v>
      </c>
      <c r="H99" s="855">
        <f>(AB99*KFC!$B$27+KFC!$C$27)*KFC!$C$5</f>
        <v>118.07</v>
      </c>
      <c r="I99" s="855">
        <f>(AC99*KFC!$B$27+KFC!$C$27)*KFC!$C$5</f>
        <v>126.25</v>
      </c>
      <c r="J99" s="855">
        <f>(AD99*KFC!$B$27+KFC!$C$27)*KFC!$C$5</f>
        <v>134.41</v>
      </c>
      <c r="K99" s="855">
        <f>(AE99*KFC!$B$27+KFC!$C$27)*KFC!$C$5</f>
        <v>142.58000000000001</v>
      </c>
      <c r="L99" s="855">
        <f>(AF99*KFC!$B$27+KFC!$C$27)*KFC!$C$5</f>
        <v>150.74</v>
      </c>
      <c r="M99" s="855">
        <f>(AG99*KFC!$B$27+KFC!$C$27)*KFC!$C$5</f>
        <v>159.05000000000001</v>
      </c>
      <c r="N99" s="855">
        <f>(AH99*KFC!$B$27+KFC!$C$27)*KFC!$C$5</f>
        <v>167.21</v>
      </c>
      <c r="O99" s="855">
        <f>(AI99*KFC!$B$27+KFC!$C$27)*KFC!$C$5</f>
        <v>175.38</v>
      </c>
      <c r="P99" s="855">
        <f>(AJ99*KFC!$B$27+KFC!$C$27)*KFC!$C$5</f>
        <v>183.54999999999998</v>
      </c>
      <c r="Q99" s="855">
        <f>(AK99*KFC!$B$27+KFC!$C$27)*KFC!$C$5</f>
        <v>191.71999999999997</v>
      </c>
      <c r="R99" s="855">
        <f>(AL99*KFC!$B$27+KFC!$C$27)*KFC!$C$5</f>
        <v>199.88999999999996</v>
      </c>
      <c r="S99" s="855">
        <f>(AM99*KFC!$B$27+KFC!$C$27)*KFC!$C$5</f>
        <v>208.05999999999995</v>
      </c>
      <c r="T99" s="855">
        <f>(AN99*KFC!$B$27+KFC!$C$27)*KFC!$C$5</f>
        <v>216.22999999999993</v>
      </c>
      <c r="V99" s="851">
        <v>1.3</v>
      </c>
      <c r="W99" s="847">
        <v>77.11</v>
      </c>
      <c r="X99" s="847">
        <v>85.27</v>
      </c>
      <c r="Y99" s="847">
        <v>93.45</v>
      </c>
      <c r="Z99" s="847">
        <v>101.62</v>
      </c>
      <c r="AA99" s="847">
        <v>109.91</v>
      </c>
      <c r="AB99" s="847">
        <v>118.07</v>
      </c>
      <c r="AC99" s="847">
        <v>126.25</v>
      </c>
      <c r="AD99" s="847">
        <v>134.41</v>
      </c>
      <c r="AE99" s="847">
        <v>142.58000000000001</v>
      </c>
      <c r="AF99" s="847">
        <v>150.74</v>
      </c>
      <c r="AG99" s="847">
        <v>159.05000000000001</v>
      </c>
      <c r="AH99" s="847">
        <v>167.21</v>
      </c>
      <c r="AI99" s="848">
        <v>175.38</v>
      </c>
      <c r="AJ99" s="690">
        <f t="shared" si="14"/>
        <v>183.54999999999998</v>
      </c>
      <c r="AK99" s="690">
        <f t="shared" si="15"/>
        <v>191.71999999999997</v>
      </c>
      <c r="AL99" s="690">
        <f t="shared" si="15"/>
        <v>199.88999999999996</v>
      </c>
      <c r="AM99" s="690">
        <f t="shared" si="15"/>
        <v>208.05999999999995</v>
      </c>
      <c r="AN99" s="690">
        <f t="shared" si="15"/>
        <v>216.22999999999993</v>
      </c>
      <c r="AO99" s="690">
        <f t="shared" si="15"/>
        <v>224.39999999999992</v>
      </c>
      <c r="AP99" s="690">
        <f t="shared" si="15"/>
        <v>232.56999999999991</v>
      </c>
    </row>
    <row r="100" spans="1:42">
      <c r="A100" s="1816"/>
      <c r="B100" s="849">
        <v>1.4</v>
      </c>
      <c r="C100" s="855">
        <f>(W100*KFC!$B$27+KFC!$C$27)*KFC!$C$5</f>
        <v>80.59</v>
      </c>
      <c r="D100" s="855">
        <f>(X100*KFC!$B$27+KFC!$C$27)*KFC!$C$5</f>
        <v>88.89</v>
      </c>
      <c r="E100" s="855">
        <f>(Y100*KFC!$B$27+KFC!$C$27)*KFC!$C$5</f>
        <v>97.19</v>
      </c>
      <c r="F100" s="855">
        <f>(Z100*KFC!$B$27+KFC!$C$27)*KFC!$C$5</f>
        <v>105.63</v>
      </c>
      <c r="G100" s="855">
        <f>(AA100*KFC!$B$27+KFC!$C$27)*KFC!$C$5</f>
        <v>113.93</v>
      </c>
      <c r="H100" s="855">
        <f>(AB100*KFC!$B$27+KFC!$C$27)*KFC!$C$5</f>
        <v>122.37</v>
      </c>
      <c r="I100" s="855">
        <f>(AC100*KFC!$B$27+KFC!$C$27)*KFC!$C$5</f>
        <v>130.53</v>
      </c>
      <c r="J100" s="855">
        <f>(AD100*KFC!$B$27+KFC!$C$27)*KFC!$C$5</f>
        <v>138.82</v>
      </c>
      <c r="K100" s="855">
        <f>(AE100*KFC!$B$27+KFC!$C$27)*KFC!$C$5</f>
        <v>147.13999999999999</v>
      </c>
      <c r="L100" s="855">
        <f>(AF100*KFC!$B$27+KFC!$C$27)*KFC!$C$5</f>
        <v>155.56</v>
      </c>
      <c r="M100" s="855">
        <f>(AG100*KFC!$B$27+KFC!$C$27)*KFC!$C$5</f>
        <v>163.86</v>
      </c>
      <c r="N100" s="855">
        <f>(AH100*KFC!$B$27+KFC!$C$27)*KFC!$C$5</f>
        <v>172.29</v>
      </c>
      <c r="O100" s="855">
        <f>(AI100*KFC!$B$27+KFC!$C$27)*KFC!$C$5</f>
        <v>180.74</v>
      </c>
      <c r="P100" s="855">
        <f>(AJ100*KFC!$B$27+KFC!$C$27)*KFC!$C$5</f>
        <v>189.19000000000003</v>
      </c>
      <c r="Q100" s="855">
        <f>(AK100*KFC!$B$27+KFC!$C$27)*KFC!$C$5</f>
        <v>197.64000000000004</v>
      </c>
      <c r="R100" s="855">
        <f>(AL100*KFC!$B$27+KFC!$C$27)*KFC!$C$5</f>
        <v>206.09000000000006</v>
      </c>
      <c r="S100" s="855">
        <f>(AM100*KFC!$B$27+KFC!$C$27)*KFC!$C$5</f>
        <v>214.54000000000008</v>
      </c>
      <c r="T100" s="855">
        <f>(AN100*KFC!$B$27+KFC!$C$27)*KFC!$C$5</f>
        <v>222.99000000000009</v>
      </c>
      <c r="V100" s="851">
        <v>1.4</v>
      </c>
      <c r="W100" s="847">
        <v>80.59</v>
      </c>
      <c r="X100" s="847">
        <v>88.89</v>
      </c>
      <c r="Y100" s="847">
        <v>97.19</v>
      </c>
      <c r="Z100" s="847">
        <v>105.63</v>
      </c>
      <c r="AA100" s="847">
        <v>113.93</v>
      </c>
      <c r="AB100" s="847">
        <v>122.37</v>
      </c>
      <c r="AC100" s="847">
        <v>130.53</v>
      </c>
      <c r="AD100" s="847">
        <v>138.82</v>
      </c>
      <c r="AE100" s="847">
        <v>147.13999999999999</v>
      </c>
      <c r="AF100" s="847">
        <v>155.56</v>
      </c>
      <c r="AG100" s="847">
        <v>163.86</v>
      </c>
      <c r="AH100" s="847">
        <v>172.29</v>
      </c>
      <c r="AI100" s="848">
        <v>180.74</v>
      </c>
      <c r="AJ100" s="690">
        <f t="shared" si="14"/>
        <v>189.19000000000003</v>
      </c>
      <c r="AK100" s="690">
        <f t="shared" si="15"/>
        <v>197.64000000000004</v>
      </c>
      <c r="AL100" s="690">
        <f t="shared" si="15"/>
        <v>206.09000000000006</v>
      </c>
      <c r="AM100" s="690">
        <f t="shared" si="15"/>
        <v>214.54000000000008</v>
      </c>
      <c r="AN100" s="690">
        <f t="shared" si="15"/>
        <v>222.99000000000009</v>
      </c>
      <c r="AO100" s="690">
        <f t="shared" si="15"/>
        <v>231.44000000000011</v>
      </c>
      <c r="AP100" s="690">
        <f t="shared" si="15"/>
        <v>239.89000000000013</v>
      </c>
    </row>
    <row r="101" spans="1:42">
      <c r="A101" s="1816"/>
      <c r="B101" s="849">
        <v>1.5</v>
      </c>
      <c r="C101" s="855">
        <f>(W101*KFC!$B$27+KFC!$C$27)*KFC!$C$5</f>
        <v>83.94</v>
      </c>
      <c r="D101" s="855">
        <f>(X101*KFC!$B$27+KFC!$C$27)*KFC!$C$5</f>
        <v>92.51</v>
      </c>
      <c r="E101" s="855">
        <f>(Y101*KFC!$B$27+KFC!$C$27)*KFC!$C$5</f>
        <v>101.07</v>
      </c>
      <c r="F101" s="855">
        <f>(Z101*KFC!$B$27+KFC!$C$27)*KFC!$C$5</f>
        <v>109.52</v>
      </c>
      <c r="G101" s="855">
        <f>(AA101*KFC!$B$27+KFC!$C$27)*KFC!$C$5</f>
        <v>118.07</v>
      </c>
      <c r="H101" s="855">
        <f>(AB101*KFC!$B$27+KFC!$C$27)*KFC!$C$5</f>
        <v>126.38</v>
      </c>
      <c r="I101" s="855">
        <f>(AC101*KFC!$B$27+KFC!$C$27)*KFC!$C$5</f>
        <v>134.96</v>
      </c>
      <c r="J101" s="855">
        <f>(AD101*KFC!$B$27+KFC!$C$27)*KFC!$C$5</f>
        <v>143.38</v>
      </c>
      <c r="K101" s="855">
        <f>(AE101*KFC!$B$27+KFC!$C$27)*KFC!$C$5</f>
        <v>151.94999999999999</v>
      </c>
      <c r="L101" s="855">
        <f>(AF101*KFC!$B$27+KFC!$C$27)*KFC!$C$5</f>
        <v>160.52000000000001</v>
      </c>
      <c r="M101" s="855">
        <f>(AG101*KFC!$B$27+KFC!$C$27)*KFC!$C$5</f>
        <v>168.95</v>
      </c>
      <c r="N101" s="855">
        <f>(AH101*KFC!$B$27+KFC!$C$27)*KFC!$C$5</f>
        <v>177.39</v>
      </c>
      <c r="O101" s="855">
        <f>(AI101*KFC!$B$27+KFC!$C$27)*KFC!$C$5</f>
        <v>185.83</v>
      </c>
      <c r="P101" s="855">
        <f>(AJ101*KFC!$B$27+KFC!$C$27)*KFC!$C$5</f>
        <v>194.27000000000004</v>
      </c>
      <c r="Q101" s="855">
        <f>(AK101*KFC!$B$27+KFC!$C$27)*KFC!$C$5</f>
        <v>202.71000000000006</v>
      </c>
      <c r="R101" s="855">
        <f>(AL101*KFC!$B$27+KFC!$C$27)*KFC!$C$5</f>
        <v>211.15000000000009</v>
      </c>
      <c r="S101" s="855">
        <f>(AM101*KFC!$B$27+KFC!$C$27)*KFC!$C$5</f>
        <v>219.59000000000012</v>
      </c>
      <c r="T101" s="855">
        <f>(AN101*KFC!$B$27+KFC!$C$27)*KFC!$C$5</f>
        <v>228.03000000000014</v>
      </c>
      <c r="V101" s="851">
        <v>1.5</v>
      </c>
      <c r="W101" s="847">
        <v>83.94</v>
      </c>
      <c r="X101" s="847">
        <v>92.51</v>
      </c>
      <c r="Y101" s="847">
        <v>101.07</v>
      </c>
      <c r="Z101" s="847">
        <v>109.52</v>
      </c>
      <c r="AA101" s="847">
        <v>118.07</v>
      </c>
      <c r="AB101" s="847">
        <v>126.38</v>
      </c>
      <c r="AC101" s="847">
        <v>134.96</v>
      </c>
      <c r="AD101" s="847">
        <v>143.38</v>
      </c>
      <c r="AE101" s="847">
        <v>151.94999999999999</v>
      </c>
      <c r="AF101" s="847">
        <v>160.52000000000001</v>
      </c>
      <c r="AG101" s="847">
        <v>168.95</v>
      </c>
      <c r="AH101" s="847">
        <v>177.39</v>
      </c>
      <c r="AI101" s="848">
        <v>185.83</v>
      </c>
      <c r="AJ101" s="690">
        <f t="shared" si="14"/>
        <v>194.27000000000004</v>
      </c>
      <c r="AK101" s="690">
        <f t="shared" si="15"/>
        <v>202.71000000000006</v>
      </c>
      <c r="AL101" s="690">
        <f t="shared" si="15"/>
        <v>211.15000000000009</v>
      </c>
      <c r="AM101" s="690">
        <f t="shared" si="15"/>
        <v>219.59000000000012</v>
      </c>
      <c r="AN101" s="690">
        <f t="shared" si="15"/>
        <v>228.03000000000014</v>
      </c>
      <c r="AO101" s="690">
        <f t="shared" si="15"/>
        <v>236.47000000000017</v>
      </c>
      <c r="AP101" s="690">
        <f t="shared" si="15"/>
        <v>244.9100000000002</v>
      </c>
    </row>
    <row r="102" spans="1:42">
      <c r="A102" s="1816"/>
      <c r="B102" s="849">
        <v>1.6</v>
      </c>
      <c r="C102" s="855">
        <f>(W102*KFC!$B$27+KFC!$C$27)*KFC!$C$5</f>
        <v>87.56</v>
      </c>
      <c r="D102" s="855">
        <f>(X102*KFC!$B$27+KFC!$C$27)*KFC!$C$5</f>
        <v>96.13</v>
      </c>
      <c r="E102" s="855">
        <f>(Y102*KFC!$B$27+KFC!$C$27)*KFC!$C$5</f>
        <v>104.83</v>
      </c>
      <c r="F102" s="855">
        <f>(Z102*KFC!$B$27+KFC!$C$27)*KFC!$C$5</f>
        <v>113.54</v>
      </c>
      <c r="G102" s="855">
        <f>(AA102*KFC!$B$27+KFC!$C$27)*KFC!$C$5</f>
        <v>122.09</v>
      </c>
      <c r="H102" s="855">
        <f>(AB102*KFC!$B$27+KFC!$C$27)*KFC!$C$5</f>
        <v>130.66</v>
      </c>
      <c r="I102" s="855">
        <f>(AC102*KFC!$B$27+KFC!$C$27)*KFC!$C$5</f>
        <v>139.37</v>
      </c>
      <c r="J102" s="855">
        <f>(AD102*KFC!$B$27+KFC!$C$27)*KFC!$C$5</f>
        <v>148.06</v>
      </c>
      <c r="K102" s="855">
        <f>(AE102*KFC!$B$27+KFC!$C$27)*KFC!$C$5</f>
        <v>156.5</v>
      </c>
      <c r="L102" s="855">
        <f>(AF102*KFC!$B$27+KFC!$C$27)*KFC!$C$5</f>
        <v>165.21</v>
      </c>
      <c r="M102" s="855">
        <f>(AG102*KFC!$B$27+KFC!$C$27)*KFC!$C$5</f>
        <v>173.91</v>
      </c>
      <c r="N102" s="855">
        <f>(AH102*KFC!$B$27+KFC!$C$27)*KFC!$C$5</f>
        <v>182.61</v>
      </c>
      <c r="O102" s="855">
        <f>(AI102*KFC!$B$27+KFC!$C$27)*KFC!$C$5</f>
        <v>191.31</v>
      </c>
      <c r="P102" s="855">
        <f>(AJ102*KFC!$B$27+KFC!$C$27)*KFC!$C$5</f>
        <v>200.01</v>
      </c>
      <c r="Q102" s="855">
        <f>(AK102*KFC!$B$27+KFC!$C$27)*KFC!$C$5</f>
        <v>208.70999999999998</v>
      </c>
      <c r="R102" s="855">
        <f>(AL102*KFC!$B$27+KFC!$C$27)*KFC!$C$5</f>
        <v>217.40999999999997</v>
      </c>
      <c r="S102" s="855">
        <f>(AM102*KFC!$B$27+KFC!$C$27)*KFC!$C$5</f>
        <v>226.10999999999996</v>
      </c>
      <c r="T102" s="855">
        <f>(AN102*KFC!$B$27+KFC!$C$27)*KFC!$C$5</f>
        <v>234.80999999999995</v>
      </c>
      <c r="V102" s="851">
        <v>1.6</v>
      </c>
      <c r="W102" s="847">
        <v>87.56</v>
      </c>
      <c r="X102" s="847">
        <v>96.13</v>
      </c>
      <c r="Y102" s="847">
        <v>104.83</v>
      </c>
      <c r="Z102" s="847">
        <v>113.54</v>
      </c>
      <c r="AA102" s="847">
        <v>122.09</v>
      </c>
      <c r="AB102" s="847">
        <v>130.66</v>
      </c>
      <c r="AC102" s="847">
        <v>139.37</v>
      </c>
      <c r="AD102" s="847">
        <v>148.06</v>
      </c>
      <c r="AE102" s="847">
        <v>156.5</v>
      </c>
      <c r="AF102" s="847">
        <v>165.21</v>
      </c>
      <c r="AG102" s="847">
        <v>173.91</v>
      </c>
      <c r="AH102" s="847">
        <v>182.61</v>
      </c>
      <c r="AI102" s="848">
        <v>191.31</v>
      </c>
      <c r="AJ102" s="690">
        <f t="shared" si="14"/>
        <v>200.01</v>
      </c>
      <c r="AK102" s="690">
        <f t="shared" si="15"/>
        <v>208.70999999999998</v>
      </c>
      <c r="AL102" s="690">
        <f t="shared" si="15"/>
        <v>217.40999999999997</v>
      </c>
      <c r="AM102" s="690">
        <f t="shared" si="15"/>
        <v>226.10999999999996</v>
      </c>
      <c r="AN102" s="690">
        <f t="shared" si="15"/>
        <v>234.80999999999995</v>
      </c>
      <c r="AO102" s="690">
        <f t="shared" si="15"/>
        <v>243.50999999999993</v>
      </c>
      <c r="AP102" s="690">
        <f t="shared" si="15"/>
        <v>252.20999999999992</v>
      </c>
    </row>
    <row r="103" spans="1:42">
      <c r="A103" s="1816"/>
      <c r="B103" s="849">
        <v>1.7</v>
      </c>
      <c r="C103" s="855">
        <f>(W103*KFC!$B$27+KFC!$C$27)*KFC!$C$5</f>
        <v>91.04</v>
      </c>
      <c r="D103" s="855">
        <f>(X103*KFC!$B$27+KFC!$C$27)*KFC!$C$5</f>
        <v>99.87</v>
      </c>
      <c r="E103" s="855">
        <f>(Y103*KFC!$B$27+KFC!$C$27)*KFC!$C$5</f>
        <v>108.57</v>
      </c>
      <c r="F103" s="855">
        <f>(Z103*KFC!$B$27+KFC!$C$27)*KFC!$C$5</f>
        <v>117.4</v>
      </c>
      <c r="G103" s="855">
        <f>(AA103*KFC!$B$27+KFC!$C$27)*KFC!$C$5</f>
        <v>126.25</v>
      </c>
      <c r="H103" s="855">
        <f>(AB103*KFC!$B$27+KFC!$C$27)*KFC!$C$5</f>
        <v>134.96</v>
      </c>
      <c r="I103" s="855">
        <f>(AC103*KFC!$B$27+KFC!$C$27)*KFC!$C$5</f>
        <v>143.79</v>
      </c>
      <c r="J103" s="855">
        <f>(AD103*KFC!$B$27+KFC!$C$27)*KFC!$C$5</f>
        <v>152.49</v>
      </c>
      <c r="K103" s="855">
        <f>(AE103*KFC!$B$27+KFC!$C$27)*KFC!$C$5</f>
        <v>161.32</v>
      </c>
      <c r="L103" s="855">
        <f>(AF103*KFC!$B$27+KFC!$C$27)*KFC!$C$5</f>
        <v>170.15</v>
      </c>
      <c r="M103" s="855">
        <f>(AG103*KFC!$B$27+KFC!$C$27)*KFC!$C$5</f>
        <v>178.86</v>
      </c>
      <c r="N103" s="855">
        <f>(AH103*KFC!$B$27+KFC!$C$27)*KFC!$C$5</f>
        <v>187.69</v>
      </c>
      <c r="O103" s="855">
        <f>(AI103*KFC!$B$27+KFC!$C$27)*KFC!$C$5</f>
        <v>196.54</v>
      </c>
      <c r="P103" s="855">
        <f>(AJ103*KFC!$B$27+KFC!$C$27)*KFC!$C$5</f>
        <v>205.39</v>
      </c>
      <c r="Q103" s="855">
        <f>(AK103*KFC!$B$27+KFC!$C$27)*KFC!$C$5</f>
        <v>214.23999999999998</v>
      </c>
      <c r="R103" s="855">
        <f>(AL103*KFC!$B$27+KFC!$C$27)*KFC!$C$5</f>
        <v>223.08999999999997</v>
      </c>
      <c r="S103" s="855">
        <f>(AM103*KFC!$B$27+KFC!$C$27)*KFC!$C$5</f>
        <v>231.93999999999997</v>
      </c>
      <c r="T103" s="855">
        <f>(AN103*KFC!$B$27+KFC!$C$27)*KFC!$C$5</f>
        <v>240.78999999999996</v>
      </c>
      <c r="V103" s="851">
        <v>1.7</v>
      </c>
      <c r="W103" s="847">
        <v>91.04</v>
      </c>
      <c r="X103" s="847">
        <v>99.87</v>
      </c>
      <c r="Y103" s="847">
        <v>108.57</v>
      </c>
      <c r="Z103" s="847">
        <v>117.4</v>
      </c>
      <c r="AA103" s="847">
        <v>126.25</v>
      </c>
      <c r="AB103" s="847">
        <v>134.96</v>
      </c>
      <c r="AC103" s="847">
        <v>143.79</v>
      </c>
      <c r="AD103" s="847">
        <v>152.49</v>
      </c>
      <c r="AE103" s="847">
        <v>161.32</v>
      </c>
      <c r="AF103" s="847">
        <v>170.15</v>
      </c>
      <c r="AG103" s="847">
        <v>178.86</v>
      </c>
      <c r="AH103" s="847">
        <v>187.69</v>
      </c>
      <c r="AI103" s="848">
        <v>196.54</v>
      </c>
      <c r="AJ103" s="690">
        <f t="shared" si="14"/>
        <v>205.39</v>
      </c>
      <c r="AK103" s="690">
        <f t="shared" si="15"/>
        <v>214.23999999999998</v>
      </c>
      <c r="AL103" s="690">
        <f t="shared" si="15"/>
        <v>223.08999999999997</v>
      </c>
      <c r="AM103" s="690">
        <f t="shared" si="15"/>
        <v>231.93999999999997</v>
      </c>
      <c r="AN103" s="690">
        <f t="shared" si="15"/>
        <v>240.78999999999996</v>
      </c>
      <c r="AO103" s="690">
        <f t="shared" si="15"/>
        <v>249.63999999999996</v>
      </c>
      <c r="AP103" s="690">
        <f t="shared" si="15"/>
        <v>258.48999999999995</v>
      </c>
    </row>
    <row r="104" spans="1:42">
      <c r="A104" s="1816"/>
      <c r="B104" s="849">
        <v>1.8</v>
      </c>
      <c r="C104" s="855">
        <f>(W104*KFC!$B$27+KFC!$C$27)*KFC!$C$5</f>
        <v>94.51</v>
      </c>
      <c r="D104" s="855">
        <f>(X104*KFC!$B$27+KFC!$C$27)*KFC!$C$5</f>
        <v>103.49</v>
      </c>
      <c r="E104" s="855">
        <f>(Y104*KFC!$B$27+KFC!$C$27)*KFC!$C$5</f>
        <v>112.33</v>
      </c>
      <c r="F104" s="855">
        <f>(Z104*KFC!$B$27+KFC!$C$27)*KFC!$C$5</f>
        <v>121.29</v>
      </c>
      <c r="G104" s="855">
        <f>(AA104*KFC!$B$27+KFC!$C$27)*KFC!$C$5</f>
        <v>130.4</v>
      </c>
      <c r="H104" s="855">
        <f>(AB104*KFC!$B$27+KFC!$C$27)*KFC!$C$5</f>
        <v>139.22999999999999</v>
      </c>
      <c r="I104" s="855">
        <f>(AC104*KFC!$B$27+KFC!$C$27)*KFC!$C$5</f>
        <v>148.19999999999999</v>
      </c>
      <c r="J104" s="855">
        <f>(AD104*KFC!$B$27+KFC!$C$27)*KFC!$C$5</f>
        <v>157.04</v>
      </c>
      <c r="K104" s="855">
        <f>(AE104*KFC!$B$27+KFC!$C$27)*KFC!$C$5</f>
        <v>166.01</v>
      </c>
      <c r="L104" s="855">
        <f>(AF104*KFC!$B$27+KFC!$C$27)*KFC!$C$5</f>
        <v>174.84</v>
      </c>
      <c r="M104" s="855">
        <f>(AG104*KFC!$B$27+KFC!$C$27)*KFC!$C$5</f>
        <v>183.81</v>
      </c>
      <c r="N104" s="855">
        <f>(AH104*KFC!$B$27+KFC!$C$27)*KFC!$C$5</f>
        <v>192.65</v>
      </c>
      <c r="O104" s="855">
        <f>(AI104*KFC!$B$27+KFC!$C$27)*KFC!$C$5</f>
        <v>201.48</v>
      </c>
      <c r="P104" s="855">
        <f>(AJ104*KFC!$B$27+KFC!$C$27)*KFC!$C$5</f>
        <v>210.30999999999997</v>
      </c>
      <c r="Q104" s="855">
        <f>(AK104*KFC!$B$27+KFC!$C$27)*KFC!$C$5</f>
        <v>219.13999999999996</v>
      </c>
      <c r="R104" s="855">
        <f>(AL104*KFC!$B$27+KFC!$C$27)*KFC!$C$5</f>
        <v>227.96999999999994</v>
      </c>
      <c r="S104" s="855">
        <f>(AM104*KFC!$B$27+KFC!$C$27)*KFC!$C$5</f>
        <v>236.79999999999993</v>
      </c>
      <c r="T104" s="855">
        <f>(AN104*KFC!$B$27+KFC!$C$27)*KFC!$C$5</f>
        <v>245.62999999999991</v>
      </c>
      <c r="V104" s="851">
        <v>1.8</v>
      </c>
      <c r="W104" s="847">
        <v>94.51</v>
      </c>
      <c r="X104" s="847">
        <v>103.49</v>
      </c>
      <c r="Y104" s="847">
        <v>112.33</v>
      </c>
      <c r="Z104" s="847">
        <v>121.29</v>
      </c>
      <c r="AA104" s="847">
        <v>130.4</v>
      </c>
      <c r="AB104" s="847">
        <v>139.22999999999999</v>
      </c>
      <c r="AC104" s="847">
        <v>148.19999999999999</v>
      </c>
      <c r="AD104" s="847">
        <v>157.04</v>
      </c>
      <c r="AE104" s="847">
        <v>166.01</v>
      </c>
      <c r="AF104" s="847">
        <v>174.84</v>
      </c>
      <c r="AG104" s="847">
        <v>183.81</v>
      </c>
      <c r="AH104" s="847">
        <v>192.65</v>
      </c>
      <c r="AI104" s="848">
        <v>201.48</v>
      </c>
      <c r="AJ104" s="690">
        <f t="shared" si="14"/>
        <v>210.30999999999997</v>
      </c>
      <c r="AK104" s="690">
        <f t="shared" si="15"/>
        <v>219.13999999999996</v>
      </c>
      <c r="AL104" s="690">
        <f t="shared" si="15"/>
        <v>227.96999999999994</v>
      </c>
      <c r="AM104" s="690">
        <f t="shared" si="15"/>
        <v>236.79999999999993</v>
      </c>
      <c r="AN104" s="690">
        <f t="shared" si="15"/>
        <v>245.62999999999991</v>
      </c>
      <c r="AO104" s="690">
        <f t="shared" si="15"/>
        <v>254.45999999999989</v>
      </c>
      <c r="AP104" s="690">
        <f t="shared" si="15"/>
        <v>263.28999999999985</v>
      </c>
    </row>
    <row r="105" spans="1:42">
      <c r="A105" s="1816"/>
      <c r="B105" s="849">
        <v>1.9</v>
      </c>
      <c r="C105" s="855">
        <f>(W105*KFC!$B$27+KFC!$C$27)*KFC!$C$5</f>
        <v>98.13</v>
      </c>
      <c r="D105" s="855">
        <f>(X105*KFC!$B$27+KFC!$C$27)*KFC!$C$5</f>
        <v>107.1</v>
      </c>
      <c r="E105" s="855">
        <f>(Y105*KFC!$B$27+KFC!$C$27)*KFC!$C$5</f>
        <v>116.21</v>
      </c>
      <c r="F105" s="855">
        <f>(Z105*KFC!$B$27+KFC!$C$27)*KFC!$C$5</f>
        <v>125.31</v>
      </c>
      <c r="G105" s="855">
        <f>(AA105*KFC!$B$27+KFC!$C$27)*KFC!$C$5</f>
        <v>134.28</v>
      </c>
      <c r="H105" s="855">
        <f>(AB105*KFC!$B$27+KFC!$C$27)*KFC!$C$5</f>
        <v>143.38</v>
      </c>
      <c r="I105" s="855">
        <f>(AC105*KFC!$B$27+KFC!$C$27)*KFC!$C$5</f>
        <v>152.49</v>
      </c>
      <c r="J105" s="855">
        <f>(AD105*KFC!$B$27+KFC!$C$27)*KFC!$C$5</f>
        <v>161.58000000000001</v>
      </c>
      <c r="K105" s="855">
        <f>(AE105*KFC!$B$27+KFC!$C$27)*KFC!$C$5</f>
        <v>170.56</v>
      </c>
      <c r="L105" s="855">
        <f>(AF105*KFC!$B$27+KFC!$C$27)*KFC!$C$5</f>
        <v>179.8</v>
      </c>
      <c r="M105" s="855">
        <f>(AG105*KFC!$B$27+KFC!$C$27)*KFC!$C$5</f>
        <v>188.77</v>
      </c>
      <c r="N105" s="855">
        <f>(AH105*KFC!$B$27+KFC!$C$27)*KFC!$C$5</f>
        <v>198.01</v>
      </c>
      <c r="O105" s="855">
        <f>(AI105*KFC!$B$27+KFC!$C$27)*KFC!$C$5</f>
        <v>207.25</v>
      </c>
      <c r="P105" s="855">
        <f>(AJ105*KFC!$B$27+KFC!$C$27)*KFC!$C$5</f>
        <v>216.49</v>
      </c>
      <c r="Q105" s="855">
        <f>(AK105*KFC!$B$27+KFC!$C$27)*KFC!$C$5</f>
        <v>225.73000000000002</v>
      </c>
      <c r="R105" s="855">
        <f>(AL105*KFC!$B$27+KFC!$C$27)*KFC!$C$5</f>
        <v>234.97000000000003</v>
      </c>
      <c r="S105" s="855">
        <f>(AM105*KFC!$B$27+KFC!$C$27)*KFC!$C$5</f>
        <v>244.21000000000004</v>
      </c>
      <c r="T105" s="855">
        <f>(AN105*KFC!$B$27+KFC!$C$27)*KFC!$C$5</f>
        <v>253.45000000000005</v>
      </c>
      <c r="V105" s="851">
        <v>1.9</v>
      </c>
      <c r="W105" s="847">
        <v>98.13</v>
      </c>
      <c r="X105" s="847">
        <v>107.1</v>
      </c>
      <c r="Y105" s="847">
        <v>116.21</v>
      </c>
      <c r="Z105" s="847">
        <v>125.31</v>
      </c>
      <c r="AA105" s="847">
        <v>134.28</v>
      </c>
      <c r="AB105" s="847">
        <v>143.38</v>
      </c>
      <c r="AC105" s="847">
        <v>152.49</v>
      </c>
      <c r="AD105" s="847">
        <v>161.58000000000001</v>
      </c>
      <c r="AE105" s="847">
        <v>170.56</v>
      </c>
      <c r="AF105" s="847">
        <v>179.8</v>
      </c>
      <c r="AG105" s="847">
        <v>188.77</v>
      </c>
      <c r="AH105" s="847">
        <v>198.01</v>
      </c>
      <c r="AI105" s="848">
        <v>207.25</v>
      </c>
      <c r="AJ105" s="690">
        <f t="shared" si="14"/>
        <v>216.49</v>
      </c>
      <c r="AK105" s="690">
        <f t="shared" si="15"/>
        <v>225.73000000000002</v>
      </c>
      <c r="AL105" s="690">
        <f t="shared" si="15"/>
        <v>234.97000000000003</v>
      </c>
      <c r="AM105" s="690">
        <f t="shared" si="15"/>
        <v>244.21000000000004</v>
      </c>
      <c r="AN105" s="690">
        <f t="shared" si="15"/>
        <v>253.45000000000005</v>
      </c>
      <c r="AO105" s="690">
        <f t="shared" si="15"/>
        <v>262.69000000000005</v>
      </c>
      <c r="AP105" s="690">
        <f t="shared" si="15"/>
        <v>271.93000000000006</v>
      </c>
    </row>
    <row r="106" spans="1:42">
      <c r="A106" s="1816"/>
      <c r="B106" s="849">
        <v>2</v>
      </c>
      <c r="C106" s="855">
        <f>(W106*KFC!$B$27+KFC!$C$27)*KFC!$C$5</f>
        <v>101.48</v>
      </c>
      <c r="D106" s="855">
        <f>(X106*KFC!$B$27+KFC!$C$27)*KFC!$C$5</f>
        <v>110.71</v>
      </c>
      <c r="E106" s="855">
        <f>(Y106*KFC!$B$27+KFC!$C$27)*KFC!$C$5</f>
        <v>119.95</v>
      </c>
      <c r="F106" s="855">
        <f>(Z106*KFC!$B$27+KFC!$C$27)*KFC!$C$5</f>
        <v>129.19</v>
      </c>
      <c r="G106" s="855">
        <f>(AA106*KFC!$B$27+KFC!$C$27)*KFC!$C$5</f>
        <v>138.30000000000001</v>
      </c>
      <c r="H106" s="855">
        <f>(AB106*KFC!$B$27+KFC!$C$27)*KFC!$C$5</f>
        <v>147.66999999999999</v>
      </c>
      <c r="I106" s="855">
        <f>(AC106*KFC!$B$27+KFC!$C$27)*KFC!$C$5</f>
        <v>156.9</v>
      </c>
      <c r="J106" s="855">
        <f>(AD106*KFC!$B$27+KFC!$C$27)*KFC!$C$5</f>
        <v>166.14</v>
      </c>
      <c r="K106" s="855">
        <f>(AE106*KFC!$B$27+KFC!$C$27)*KFC!$C$5</f>
        <v>175.38</v>
      </c>
      <c r="L106" s="855">
        <f>(AF106*KFC!$B$27+KFC!$C$27)*KFC!$C$5</f>
        <v>184.49</v>
      </c>
      <c r="M106" s="855">
        <f>(AG106*KFC!$B$27+KFC!$C$27)*KFC!$C$5</f>
        <v>193.86</v>
      </c>
      <c r="N106" s="855">
        <f>(AH106*KFC!$B$27+KFC!$C$27)*KFC!$C$5</f>
        <v>203.08</v>
      </c>
      <c r="O106" s="855">
        <f>(AI106*KFC!$B$27+KFC!$C$27)*KFC!$C$5</f>
        <v>212.32</v>
      </c>
      <c r="P106" s="855">
        <f>(AJ106*KFC!$B$27+KFC!$C$27)*KFC!$C$5</f>
        <v>221.55999999999997</v>
      </c>
      <c r="Q106" s="855">
        <f>(AK106*KFC!$B$27+KFC!$C$27)*KFC!$C$5</f>
        <v>230.79999999999995</v>
      </c>
      <c r="R106" s="855">
        <f>(AL106*KFC!$B$27+KFC!$C$27)*KFC!$C$5</f>
        <v>240.03999999999994</v>
      </c>
      <c r="S106" s="855">
        <f>(AM106*KFC!$B$27+KFC!$C$27)*KFC!$C$5</f>
        <v>249.27999999999992</v>
      </c>
      <c r="T106" s="855">
        <f>(AN106*KFC!$B$27+KFC!$C$27)*KFC!$C$5</f>
        <v>258.51999999999987</v>
      </c>
      <c r="V106" s="851">
        <v>2</v>
      </c>
      <c r="W106" s="847">
        <v>101.48</v>
      </c>
      <c r="X106" s="847">
        <v>110.71</v>
      </c>
      <c r="Y106" s="847">
        <v>119.95</v>
      </c>
      <c r="Z106" s="847">
        <v>129.19</v>
      </c>
      <c r="AA106" s="847">
        <v>138.30000000000001</v>
      </c>
      <c r="AB106" s="847">
        <v>147.66999999999999</v>
      </c>
      <c r="AC106" s="847">
        <v>156.9</v>
      </c>
      <c r="AD106" s="847">
        <v>166.14</v>
      </c>
      <c r="AE106" s="847">
        <v>175.38</v>
      </c>
      <c r="AF106" s="847">
        <v>184.49</v>
      </c>
      <c r="AG106" s="847">
        <v>193.86</v>
      </c>
      <c r="AH106" s="847">
        <v>203.08</v>
      </c>
      <c r="AI106" s="848">
        <v>212.32</v>
      </c>
      <c r="AJ106" s="690">
        <f t="shared" si="14"/>
        <v>221.55999999999997</v>
      </c>
      <c r="AK106" s="690">
        <f t="shared" si="15"/>
        <v>230.79999999999995</v>
      </c>
      <c r="AL106" s="690">
        <f t="shared" si="15"/>
        <v>240.03999999999994</v>
      </c>
      <c r="AM106" s="690">
        <f t="shared" si="15"/>
        <v>249.27999999999992</v>
      </c>
      <c r="AN106" s="690">
        <f t="shared" si="15"/>
        <v>258.51999999999987</v>
      </c>
      <c r="AO106" s="690">
        <f t="shared" si="15"/>
        <v>267.75999999999982</v>
      </c>
      <c r="AP106" s="690">
        <f t="shared" si="15"/>
        <v>276.99999999999977</v>
      </c>
    </row>
    <row r="107" spans="1:42">
      <c r="A107" s="1816"/>
      <c r="B107" s="849">
        <v>2.1</v>
      </c>
      <c r="C107" s="855">
        <f>(W107*KFC!$B$27+KFC!$C$27)*KFC!$C$5</f>
        <v>104.83</v>
      </c>
      <c r="D107" s="855">
        <f>(X107*KFC!$B$27+KFC!$C$27)*KFC!$C$5</f>
        <v>114.33</v>
      </c>
      <c r="E107" s="855">
        <f>(Y107*KFC!$B$27+KFC!$C$27)*KFC!$C$5</f>
        <v>123.7</v>
      </c>
      <c r="F107" s="855">
        <f>(Z107*KFC!$B$27+KFC!$C$27)*KFC!$C$5</f>
        <v>133.08000000000001</v>
      </c>
      <c r="G107" s="855">
        <f>(AA107*KFC!$B$27+KFC!$C$27)*KFC!$C$5</f>
        <v>142.32</v>
      </c>
      <c r="H107" s="855">
        <f>(AB107*KFC!$B$27+KFC!$C$27)*KFC!$C$5</f>
        <v>151.94999999999999</v>
      </c>
      <c r="I107" s="855">
        <f>(AC107*KFC!$B$27+KFC!$C$27)*KFC!$C$5</f>
        <v>161.32</v>
      </c>
      <c r="J107" s="855">
        <f>(AD107*KFC!$B$27+KFC!$C$27)*KFC!$C$5</f>
        <v>170.69</v>
      </c>
      <c r="K107" s="855">
        <f>(AE107*KFC!$B$27+KFC!$C$27)*KFC!$C$5</f>
        <v>180.19</v>
      </c>
      <c r="L107" s="855">
        <f>(AF107*KFC!$B$27+KFC!$C$27)*KFC!$C$5</f>
        <v>189.17</v>
      </c>
      <c r="M107" s="855">
        <f>(AG107*KFC!$B$27+KFC!$C$27)*KFC!$C$5</f>
        <v>198.93</v>
      </c>
      <c r="N107" s="855">
        <f>(AH107*KFC!$B$27+KFC!$C$27)*KFC!$C$5</f>
        <v>208.17</v>
      </c>
      <c r="O107" s="855">
        <f>(AI107*KFC!$B$27+KFC!$C$27)*KFC!$C$5</f>
        <v>217.41</v>
      </c>
      <c r="P107" s="855">
        <f>(AJ107*KFC!$B$27+KFC!$C$27)*KFC!$C$5</f>
        <v>226.65</v>
      </c>
      <c r="Q107" s="855">
        <f>(AK107*KFC!$B$27+KFC!$C$27)*KFC!$C$5</f>
        <v>235.89000000000001</v>
      </c>
      <c r="R107" s="855">
        <f>(AL107*KFC!$B$27+KFC!$C$27)*KFC!$C$5</f>
        <v>245.13000000000002</v>
      </c>
      <c r="S107" s="855">
        <f>(AM107*KFC!$B$27+KFC!$C$27)*KFC!$C$5</f>
        <v>254.37000000000003</v>
      </c>
      <c r="T107" s="855">
        <f>(AN107*KFC!$B$27+KFC!$C$27)*KFC!$C$5</f>
        <v>263.61</v>
      </c>
      <c r="V107" s="851">
        <v>2.1</v>
      </c>
      <c r="W107" s="847">
        <v>104.83</v>
      </c>
      <c r="X107" s="847">
        <v>114.33</v>
      </c>
      <c r="Y107" s="847">
        <v>123.7</v>
      </c>
      <c r="Z107" s="847">
        <v>133.08000000000001</v>
      </c>
      <c r="AA107" s="847">
        <v>142.32</v>
      </c>
      <c r="AB107" s="847">
        <v>151.94999999999999</v>
      </c>
      <c r="AC107" s="847">
        <v>161.32</v>
      </c>
      <c r="AD107" s="847">
        <v>170.69</v>
      </c>
      <c r="AE107" s="847">
        <v>180.19</v>
      </c>
      <c r="AF107" s="847">
        <v>189.17</v>
      </c>
      <c r="AG107" s="847">
        <v>198.93</v>
      </c>
      <c r="AH107" s="847">
        <v>208.17</v>
      </c>
      <c r="AI107" s="848">
        <v>217.41</v>
      </c>
      <c r="AJ107" s="690">
        <f t="shared" si="14"/>
        <v>226.65</v>
      </c>
      <c r="AK107" s="690">
        <f t="shared" ref="AK107:AP108" si="16">AJ107-AI107+AJ107</f>
        <v>235.89000000000001</v>
      </c>
      <c r="AL107" s="690">
        <f t="shared" si="16"/>
        <v>245.13000000000002</v>
      </c>
      <c r="AM107" s="690">
        <f t="shared" si="16"/>
        <v>254.37000000000003</v>
      </c>
      <c r="AN107" s="690">
        <f t="shared" si="16"/>
        <v>263.61</v>
      </c>
      <c r="AO107" s="690">
        <f t="shared" si="16"/>
        <v>272.85000000000002</v>
      </c>
      <c r="AP107" s="690">
        <f t="shared" si="16"/>
        <v>282.09000000000003</v>
      </c>
    </row>
    <row r="108" spans="1:42" ht="13.8" thickBot="1">
      <c r="A108" s="1817"/>
      <c r="B108" s="849">
        <v>2.2000000000000002</v>
      </c>
      <c r="C108" s="855">
        <f>(W108*KFC!$B$27+KFC!$C$27)*KFC!$C$5</f>
        <v>108.18</v>
      </c>
      <c r="D108" s="855">
        <f>(X108*KFC!$B$27+KFC!$C$27)*KFC!$C$5</f>
        <v>117.95</v>
      </c>
      <c r="E108" s="855">
        <f>(Y108*KFC!$B$27+KFC!$C$27)*KFC!$C$5</f>
        <v>127.45</v>
      </c>
      <c r="F108" s="855">
        <f>(Z108*KFC!$B$27+KFC!$C$27)*KFC!$C$5</f>
        <v>136.96</v>
      </c>
      <c r="G108" s="855">
        <f>(AA108*KFC!$B$27+KFC!$C$27)*KFC!$C$5</f>
        <v>146.33000000000001</v>
      </c>
      <c r="H108" s="855">
        <f>(AB108*KFC!$B$27+KFC!$C$27)*KFC!$C$5</f>
        <v>156.22999999999999</v>
      </c>
      <c r="I108" s="855">
        <f>(AC108*KFC!$B$27+KFC!$C$27)*KFC!$C$5</f>
        <v>165.74</v>
      </c>
      <c r="J108" s="855">
        <f>(AD108*KFC!$B$27+KFC!$C$27)*KFC!$C$5</f>
        <v>175.25</v>
      </c>
      <c r="K108" s="855">
        <f>(AE108*KFC!$B$27+KFC!$C$27)*KFC!$C$5</f>
        <v>185.01</v>
      </c>
      <c r="L108" s="855">
        <f>(AF108*KFC!$B$27+KFC!$C$27)*KFC!$C$5</f>
        <v>193.86</v>
      </c>
      <c r="M108" s="855">
        <f>(AG108*KFC!$B$27+KFC!$C$27)*KFC!$C$5</f>
        <v>204.03</v>
      </c>
      <c r="N108" s="855">
        <f>(AH108*KFC!$B$27+KFC!$C$27)*KFC!$C$5</f>
        <v>213.27</v>
      </c>
      <c r="O108" s="855">
        <f>(AI108*KFC!$B$27+KFC!$C$27)*KFC!$C$5</f>
        <v>222.5</v>
      </c>
      <c r="P108" s="855">
        <f>(AJ108*KFC!$B$27+KFC!$C$27)*KFC!$C$5</f>
        <v>231.73</v>
      </c>
      <c r="Q108" s="855">
        <f>(AK108*KFC!$B$27+KFC!$C$27)*KFC!$C$5</f>
        <v>240.95999999999998</v>
      </c>
      <c r="R108" s="855">
        <f>(AL108*KFC!$B$27+KFC!$C$27)*KFC!$C$5</f>
        <v>250.18999999999997</v>
      </c>
      <c r="S108" s="855">
        <f>(AM108*KFC!$B$27+KFC!$C$27)*KFC!$C$5</f>
        <v>259.41999999999996</v>
      </c>
      <c r="T108" s="855">
        <f>(AN108*KFC!$B$27+KFC!$C$27)*KFC!$C$5</f>
        <v>268.64999999999998</v>
      </c>
      <c r="V108" s="851">
        <v>2.2000000000000002</v>
      </c>
      <c r="W108" s="847">
        <v>108.18</v>
      </c>
      <c r="X108" s="847">
        <v>117.95</v>
      </c>
      <c r="Y108" s="847">
        <v>127.45</v>
      </c>
      <c r="Z108" s="847">
        <v>136.96</v>
      </c>
      <c r="AA108" s="847">
        <v>146.33000000000001</v>
      </c>
      <c r="AB108" s="847">
        <v>156.22999999999999</v>
      </c>
      <c r="AC108" s="847">
        <v>165.74</v>
      </c>
      <c r="AD108" s="847">
        <v>175.25</v>
      </c>
      <c r="AE108" s="847">
        <v>185.01</v>
      </c>
      <c r="AF108" s="847">
        <v>193.86</v>
      </c>
      <c r="AG108" s="847">
        <v>204.03</v>
      </c>
      <c r="AH108" s="847">
        <v>213.27</v>
      </c>
      <c r="AI108" s="848">
        <v>222.5</v>
      </c>
      <c r="AJ108" s="690">
        <f t="shared" si="14"/>
        <v>231.73</v>
      </c>
      <c r="AK108" s="690">
        <f t="shared" si="16"/>
        <v>240.95999999999998</v>
      </c>
      <c r="AL108" s="690">
        <f t="shared" si="16"/>
        <v>250.18999999999997</v>
      </c>
      <c r="AM108" s="690">
        <f t="shared" si="16"/>
        <v>259.41999999999996</v>
      </c>
      <c r="AN108" s="690">
        <f t="shared" si="16"/>
        <v>268.64999999999998</v>
      </c>
      <c r="AO108" s="690">
        <f t="shared" si="16"/>
        <v>277.88</v>
      </c>
      <c r="AP108" s="690">
        <f t="shared" si="16"/>
        <v>287.11</v>
      </c>
    </row>
    <row r="109" spans="1:42" ht="13.8" thickBot="1">
      <c r="A109" s="249"/>
      <c r="B109" s="249"/>
      <c r="C109" s="249"/>
      <c r="D109" s="249"/>
      <c r="E109" s="249"/>
      <c r="F109" s="249"/>
      <c r="G109" s="249"/>
      <c r="H109" s="249"/>
      <c r="I109" s="249"/>
      <c r="J109" s="249"/>
      <c r="K109" s="249"/>
      <c r="L109" s="249"/>
    </row>
    <row r="110" spans="1:42" ht="13.95" customHeight="1" thickBot="1">
      <c r="A110" s="1413" t="s">
        <v>320</v>
      </c>
      <c r="B110" s="1415"/>
      <c r="C110" s="1534" t="s">
        <v>207</v>
      </c>
      <c r="D110" s="1535"/>
      <c r="E110" s="1535"/>
      <c r="F110" s="1535"/>
      <c r="G110" s="1535"/>
      <c r="H110" s="1535"/>
      <c r="I110" s="1535"/>
      <c r="J110" s="1535"/>
      <c r="K110" s="1535"/>
      <c r="L110" s="1535"/>
      <c r="M110" s="1535"/>
      <c r="N110" s="1535"/>
      <c r="O110" s="1535"/>
      <c r="P110" s="1535"/>
      <c r="Q110" s="1535"/>
      <c r="R110" s="1535"/>
      <c r="S110" s="1535"/>
      <c r="T110" s="1535"/>
    </row>
    <row r="111" spans="1:42" ht="13.8" thickBot="1">
      <c r="A111" s="1803"/>
      <c r="B111" s="1802"/>
      <c r="C111" s="428">
        <v>0.4</v>
      </c>
      <c r="D111" s="428">
        <v>0.5</v>
      </c>
      <c r="E111" s="428">
        <v>0.6</v>
      </c>
      <c r="F111" s="428">
        <v>0.7</v>
      </c>
      <c r="G111" s="428">
        <v>0.8</v>
      </c>
      <c r="H111" s="428">
        <v>0.9</v>
      </c>
      <c r="I111" s="428">
        <v>1</v>
      </c>
      <c r="J111" s="428">
        <v>1.1000000000000001</v>
      </c>
      <c r="K111" s="428">
        <v>1.2</v>
      </c>
      <c r="L111" s="428">
        <v>1.3</v>
      </c>
      <c r="M111" s="428">
        <v>1.4</v>
      </c>
      <c r="N111" s="428">
        <v>1.5</v>
      </c>
      <c r="O111" s="428">
        <v>1.6</v>
      </c>
      <c r="P111" s="428">
        <v>1.7</v>
      </c>
      <c r="Q111" s="428">
        <v>1.8</v>
      </c>
      <c r="R111" s="428">
        <v>1.9</v>
      </c>
      <c r="S111" s="428">
        <v>2</v>
      </c>
      <c r="T111" s="428">
        <v>2.1</v>
      </c>
      <c r="V111" s="850"/>
      <c r="W111" s="851">
        <v>0.4</v>
      </c>
      <c r="X111" s="851">
        <v>0.5</v>
      </c>
      <c r="Y111" s="851">
        <v>0.6</v>
      </c>
      <c r="Z111" s="851">
        <v>0.7</v>
      </c>
      <c r="AA111" s="851">
        <v>0.8</v>
      </c>
      <c r="AB111" s="851">
        <v>0.9</v>
      </c>
      <c r="AC111" s="851">
        <v>1</v>
      </c>
      <c r="AD111" s="851">
        <v>1.1000000000000001</v>
      </c>
      <c r="AE111" s="851">
        <v>1.2</v>
      </c>
      <c r="AF111" s="851">
        <v>1.3</v>
      </c>
      <c r="AG111" s="851">
        <v>1.4</v>
      </c>
      <c r="AH111" s="851">
        <v>1.5</v>
      </c>
      <c r="AI111" s="852">
        <v>1.6</v>
      </c>
      <c r="AJ111" s="853">
        <v>1.7</v>
      </c>
      <c r="AK111" s="853">
        <v>1.8</v>
      </c>
      <c r="AL111" s="853">
        <v>1.9</v>
      </c>
      <c r="AM111" s="853">
        <v>2</v>
      </c>
      <c r="AN111" s="853">
        <v>2.1</v>
      </c>
      <c r="AO111" s="853">
        <v>2.2000000000000002</v>
      </c>
      <c r="AP111" s="853">
        <v>2.2999999999999998</v>
      </c>
    </row>
    <row r="112" spans="1:42" ht="13.2" customHeight="1">
      <c r="A112" s="1815" t="s">
        <v>3</v>
      </c>
      <c r="B112" s="849">
        <v>0.5</v>
      </c>
      <c r="C112" s="855">
        <f>(W112*KFC!$B$27+KFC!$C$27)*KFC!$C$5</f>
        <v>57.03</v>
      </c>
      <c r="D112" s="855">
        <f>(X112*KFC!$B$27+KFC!$C$27)*KFC!$C$5</f>
        <v>64.8</v>
      </c>
      <c r="E112" s="855">
        <f>(Y112*KFC!$B$27+KFC!$C$27)*KFC!$C$5</f>
        <v>72.569999999999993</v>
      </c>
      <c r="F112" s="855">
        <f>(Z112*KFC!$B$27+KFC!$C$27)*KFC!$C$5</f>
        <v>80.349999999999994</v>
      </c>
      <c r="G112" s="855">
        <f>(AA112*KFC!$B$27+KFC!$C$27)*KFC!$C$5</f>
        <v>88.13</v>
      </c>
      <c r="H112" s="855">
        <f>(AB112*KFC!$B$27+KFC!$C$27)*KFC!$C$5</f>
        <v>96.01</v>
      </c>
      <c r="I112" s="855">
        <f>(AC112*KFC!$B$27+KFC!$C$27)*KFC!$C$5</f>
        <v>103.91</v>
      </c>
      <c r="J112" s="855">
        <f>(AD112*KFC!$B$27+KFC!$C$27)*KFC!$C$5</f>
        <v>111.56</v>
      </c>
      <c r="K112" s="855">
        <f>(AE112*KFC!$B$27+KFC!$C$27)*KFC!$C$5</f>
        <v>119.34</v>
      </c>
      <c r="L112" s="855">
        <f>(AF112*KFC!$B$27+KFC!$C$27)*KFC!$C$5</f>
        <v>127.12</v>
      </c>
      <c r="M112" s="855">
        <f>(AG112*KFC!$B$27+KFC!$C$27)*KFC!$C$5</f>
        <v>134.88999999999999</v>
      </c>
      <c r="N112" s="855">
        <f>(AH112*KFC!$B$27+KFC!$C$27)*KFC!$C$5</f>
        <v>142.66</v>
      </c>
      <c r="O112" s="855">
        <f>(AI112*KFC!$B$27+KFC!$C$27)*KFC!$C$5</f>
        <v>150.44</v>
      </c>
      <c r="P112" s="855">
        <f>(AJ112*KFC!$B$27+KFC!$C$27)*KFC!$C$5</f>
        <v>158.22</v>
      </c>
      <c r="Q112" s="855">
        <f>(AK112*KFC!$B$27+KFC!$C$27)*KFC!$C$5</f>
        <v>166</v>
      </c>
      <c r="R112" s="855">
        <f>(AL112*KFC!$B$27+KFC!$C$27)*KFC!$C$5</f>
        <v>173.78</v>
      </c>
      <c r="S112" s="855">
        <f>(AM112*KFC!$B$27+KFC!$C$27)*KFC!$C$5</f>
        <v>181.56</v>
      </c>
      <c r="T112" s="855">
        <f>(AN112*KFC!$B$27+KFC!$C$27)*KFC!$C$5</f>
        <v>189.34</v>
      </c>
      <c r="V112" s="851">
        <v>0.5</v>
      </c>
      <c r="W112" s="847">
        <v>57.03</v>
      </c>
      <c r="X112" s="847">
        <v>64.8</v>
      </c>
      <c r="Y112" s="847">
        <v>72.569999999999993</v>
      </c>
      <c r="Z112" s="847">
        <v>80.349999999999994</v>
      </c>
      <c r="AA112" s="847">
        <v>88.13</v>
      </c>
      <c r="AB112" s="847">
        <v>96.01</v>
      </c>
      <c r="AC112" s="847">
        <v>103.91</v>
      </c>
      <c r="AD112" s="847">
        <v>111.56</v>
      </c>
      <c r="AE112" s="847">
        <v>119.34</v>
      </c>
      <c r="AF112" s="847">
        <v>127.12</v>
      </c>
      <c r="AG112" s="847">
        <v>134.88999999999999</v>
      </c>
      <c r="AH112" s="847">
        <v>142.66</v>
      </c>
      <c r="AI112" s="848">
        <v>150.44</v>
      </c>
      <c r="AJ112" s="690">
        <f t="shared" ref="AJ112:AJ129" si="17">AI112-AH112+AI112</f>
        <v>158.22</v>
      </c>
      <c r="AK112" s="690">
        <f t="shared" ref="AK112:AP127" si="18">AJ112-AI112+AJ112</f>
        <v>166</v>
      </c>
      <c r="AL112" s="690">
        <f t="shared" si="18"/>
        <v>173.78</v>
      </c>
      <c r="AM112" s="690">
        <f t="shared" si="18"/>
        <v>181.56</v>
      </c>
      <c r="AN112" s="690">
        <f t="shared" si="18"/>
        <v>189.34</v>
      </c>
      <c r="AO112" s="690">
        <f t="shared" si="18"/>
        <v>197.12</v>
      </c>
      <c r="AP112" s="690">
        <f t="shared" si="18"/>
        <v>204.9</v>
      </c>
    </row>
    <row r="113" spans="1:42">
      <c r="A113" s="1816"/>
      <c r="B113" s="849">
        <v>0.6</v>
      </c>
      <c r="C113" s="855">
        <f>(W113*KFC!$B$27+KFC!$C$27)*KFC!$C$5</f>
        <v>61.26</v>
      </c>
      <c r="D113" s="855">
        <f>(X113*KFC!$B$27+KFC!$C$27)*KFC!$C$5</f>
        <v>69.150000000000006</v>
      </c>
      <c r="E113" s="855">
        <f>(Y113*KFC!$B$27+KFC!$C$27)*KFC!$C$5</f>
        <v>77.28</v>
      </c>
      <c r="F113" s="855">
        <f>(Z113*KFC!$B$27+KFC!$C$27)*KFC!$C$5</f>
        <v>85.19</v>
      </c>
      <c r="G113" s="855">
        <f>(AA113*KFC!$B$27+KFC!$C$27)*KFC!$C$5</f>
        <v>93.07</v>
      </c>
      <c r="H113" s="855">
        <f>(AB113*KFC!$B$27+KFC!$C$27)*KFC!$C$5</f>
        <v>101.2</v>
      </c>
      <c r="I113" s="855">
        <f>(AC113*KFC!$B$27+KFC!$C$27)*KFC!$C$5</f>
        <v>109.1</v>
      </c>
      <c r="J113" s="855">
        <f>(AD113*KFC!$B$27+KFC!$C$27)*KFC!$C$5</f>
        <v>117.11</v>
      </c>
      <c r="K113" s="855">
        <f>(AE113*KFC!$B$27+KFC!$C$27)*KFC!$C$5</f>
        <v>125.11</v>
      </c>
      <c r="L113" s="855">
        <f>(AF113*KFC!$B$27+KFC!$C$27)*KFC!$C$5</f>
        <v>133.01</v>
      </c>
      <c r="M113" s="855">
        <f>(AG113*KFC!$B$27+KFC!$C$27)*KFC!$C$5</f>
        <v>141.02000000000001</v>
      </c>
      <c r="N113" s="855">
        <f>(AH113*KFC!$B$27+KFC!$C$27)*KFC!$C$5</f>
        <v>149.03</v>
      </c>
      <c r="O113" s="855">
        <f>(AI113*KFC!$B$27+KFC!$C$27)*KFC!$C$5</f>
        <v>157.05000000000001</v>
      </c>
      <c r="P113" s="855">
        <f>(AJ113*KFC!$B$27+KFC!$C$27)*KFC!$C$5</f>
        <v>165.07000000000002</v>
      </c>
      <c r="Q113" s="855">
        <f>(AK113*KFC!$B$27+KFC!$C$27)*KFC!$C$5</f>
        <v>173.09000000000003</v>
      </c>
      <c r="R113" s="855">
        <f>(AL113*KFC!$B$27+KFC!$C$27)*KFC!$C$5</f>
        <v>181.11000000000004</v>
      </c>
      <c r="S113" s="855">
        <f>(AM113*KFC!$B$27+KFC!$C$27)*KFC!$C$5</f>
        <v>189.13000000000005</v>
      </c>
      <c r="T113" s="855">
        <f>(AN113*KFC!$B$27+KFC!$C$27)*KFC!$C$5</f>
        <v>197.15000000000006</v>
      </c>
      <c r="V113" s="851">
        <v>0.6</v>
      </c>
      <c r="W113" s="847">
        <v>61.26</v>
      </c>
      <c r="X113" s="847">
        <v>69.150000000000006</v>
      </c>
      <c r="Y113" s="847">
        <v>77.28</v>
      </c>
      <c r="Z113" s="847">
        <v>85.19</v>
      </c>
      <c r="AA113" s="847">
        <v>93.07</v>
      </c>
      <c r="AB113" s="847">
        <v>101.2</v>
      </c>
      <c r="AC113" s="847">
        <v>109.1</v>
      </c>
      <c r="AD113" s="847">
        <v>117.11</v>
      </c>
      <c r="AE113" s="847">
        <v>125.11</v>
      </c>
      <c r="AF113" s="847">
        <v>133.01</v>
      </c>
      <c r="AG113" s="847">
        <v>141.02000000000001</v>
      </c>
      <c r="AH113" s="847">
        <v>149.03</v>
      </c>
      <c r="AI113" s="848">
        <v>157.05000000000001</v>
      </c>
      <c r="AJ113" s="690">
        <f t="shared" si="17"/>
        <v>165.07000000000002</v>
      </c>
      <c r="AK113" s="690">
        <f t="shared" si="18"/>
        <v>173.09000000000003</v>
      </c>
      <c r="AL113" s="690">
        <f t="shared" si="18"/>
        <v>181.11000000000004</v>
      </c>
      <c r="AM113" s="690">
        <f t="shared" si="18"/>
        <v>189.13000000000005</v>
      </c>
      <c r="AN113" s="690">
        <f t="shared" si="18"/>
        <v>197.15000000000006</v>
      </c>
      <c r="AO113" s="690">
        <f t="shared" si="18"/>
        <v>205.17000000000007</v>
      </c>
      <c r="AP113" s="690">
        <f t="shared" si="18"/>
        <v>213.19000000000008</v>
      </c>
    </row>
    <row r="114" spans="1:42">
      <c r="A114" s="1816"/>
      <c r="B114" s="849">
        <v>0.7</v>
      </c>
      <c r="C114" s="855">
        <f>(W114*KFC!$B$27+KFC!$C$27)*KFC!$C$5</f>
        <v>65.27</v>
      </c>
      <c r="D114" s="855">
        <f>(X114*KFC!$B$27+KFC!$C$27)*KFC!$C$5</f>
        <v>73.52</v>
      </c>
      <c r="E114" s="855">
        <f>(Y114*KFC!$B$27+KFC!$C$27)*KFC!$C$5</f>
        <v>81.650000000000006</v>
      </c>
      <c r="F114" s="855">
        <f>(Z114*KFC!$B$27+KFC!$C$27)*KFC!$C$5</f>
        <v>89.89</v>
      </c>
      <c r="G114" s="855">
        <f>(AA114*KFC!$B$27+KFC!$C$27)*KFC!$C$5</f>
        <v>98.14</v>
      </c>
      <c r="H114" s="855">
        <f>(AB114*KFC!$B$27+KFC!$C$27)*KFC!$C$5</f>
        <v>106.14</v>
      </c>
      <c r="I114" s="855">
        <f>(AC114*KFC!$B$27+KFC!$C$27)*KFC!$C$5</f>
        <v>114.39</v>
      </c>
      <c r="J114" s="855">
        <f>(AD114*KFC!$B$27+KFC!$C$27)*KFC!$C$5</f>
        <v>122.52</v>
      </c>
      <c r="K114" s="855">
        <f>(AE114*KFC!$B$27+KFC!$C$27)*KFC!$C$5</f>
        <v>130.77000000000001</v>
      </c>
      <c r="L114" s="855">
        <f>(AF114*KFC!$B$27+KFC!$C$27)*KFC!$C$5</f>
        <v>139.02000000000001</v>
      </c>
      <c r="M114" s="855">
        <f>(AG114*KFC!$B$27+KFC!$C$27)*KFC!$C$5</f>
        <v>147.15</v>
      </c>
      <c r="N114" s="855">
        <f>(AH114*KFC!$B$27+KFC!$C$27)*KFC!$C$5</f>
        <v>155.27000000000001</v>
      </c>
      <c r="O114" s="855">
        <f>(AI114*KFC!$B$27+KFC!$C$27)*KFC!$C$5</f>
        <v>163.4</v>
      </c>
      <c r="P114" s="855">
        <f>(AJ114*KFC!$B$27+KFC!$C$27)*KFC!$C$5</f>
        <v>171.53</v>
      </c>
      <c r="Q114" s="855">
        <f>(AK114*KFC!$B$27+KFC!$C$27)*KFC!$C$5</f>
        <v>179.66</v>
      </c>
      <c r="R114" s="855">
        <f>(AL114*KFC!$B$27+KFC!$C$27)*KFC!$C$5</f>
        <v>187.79</v>
      </c>
      <c r="S114" s="855">
        <f>(AM114*KFC!$B$27+KFC!$C$27)*KFC!$C$5</f>
        <v>195.92</v>
      </c>
      <c r="T114" s="855">
        <f>(AN114*KFC!$B$27+KFC!$C$27)*KFC!$C$5</f>
        <v>204.04999999999998</v>
      </c>
      <c r="V114" s="851">
        <v>0.7</v>
      </c>
      <c r="W114" s="847">
        <v>65.27</v>
      </c>
      <c r="X114" s="847">
        <v>73.52</v>
      </c>
      <c r="Y114" s="847">
        <v>81.650000000000006</v>
      </c>
      <c r="Z114" s="847">
        <v>89.89</v>
      </c>
      <c r="AA114" s="847">
        <v>98.14</v>
      </c>
      <c r="AB114" s="847">
        <v>106.14</v>
      </c>
      <c r="AC114" s="847">
        <v>114.39</v>
      </c>
      <c r="AD114" s="847">
        <v>122.52</v>
      </c>
      <c r="AE114" s="847">
        <v>130.77000000000001</v>
      </c>
      <c r="AF114" s="847">
        <v>139.02000000000001</v>
      </c>
      <c r="AG114" s="847">
        <v>147.15</v>
      </c>
      <c r="AH114" s="847">
        <v>155.27000000000001</v>
      </c>
      <c r="AI114" s="848">
        <v>163.4</v>
      </c>
      <c r="AJ114" s="690">
        <f t="shared" si="17"/>
        <v>171.53</v>
      </c>
      <c r="AK114" s="690">
        <f t="shared" si="18"/>
        <v>179.66</v>
      </c>
      <c r="AL114" s="690">
        <f t="shared" si="18"/>
        <v>187.79</v>
      </c>
      <c r="AM114" s="690">
        <f t="shared" si="18"/>
        <v>195.92</v>
      </c>
      <c r="AN114" s="690">
        <f t="shared" si="18"/>
        <v>204.04999999999998</v>
      </c>
      <c r="AO114" s="690">
        <f t="shared" si="18"/>
        <v>212.17999999999998</v>
      </c>
      <c r="AP114" s="690">
        <f t="shared" si="18"/>
        <v>220.30999999999997</v>
      </c>
    </row>
    <row r="115" spans="1:42">
      <c r="A115" s="1816"/>
      <c r="B115" s="849">
        <v>0.8</v>
      </c>
      <c r="C115" s="855">
        <f>(W115*KFC!$B$27+KFC!$C$27)*KFC!$C$5</f>
        <v>69.39</v>
      </c>
      <c r="D115" s="855">
        <f>(X115*KFC!$B$27+KFC!$C$27)*KFC!$C$5</f>
        <v>77.75</v>
      </c>
      <c r="E115" s="855">
        <f>(Y115*KFC!$B$27+KFC!$C$27)*KFC!$C$5</f>
        <v>86.12</v>
      </c>
      <c r="F115" s="855">
        <f>(Z115*KFC!$B$27+KFC!$C$27)*KFC!$C$5</f>
        <v>94.72</v>
      </c>
      <c r="G115" s="855">
        <f>(AA115*KFC!$B$27+KFC!$C$27)*KFC!$C$5</f>
        <v>102.97</v>
      </c>
      <c r="H115" s="855">
        <f>(AB115*KFC!$B$27+KFC!$C$27)*KFC!$C$5</f>
        <v>111.33</v>
      </c>
      <c r="I115" s="855">
        <f>(AC115*KFC!$B$27+KFC!$C$27)*KFC!$C$5</f>
        <v>119.69</v>
      </c>
      <c r="J115" s="855">
        <f>(AD115*KFC!$B$27+KFC!$C$27)*KFC!$C$5</f>
        <v>128.06</v>
      </c>
      <c r="K115" s="855">
        <f>(AE115*KFC!$B$27+KFC!$C$27)*KFC!$C$5</f>
        <v>136.43</v>
      </c>
      <c r="L115" s="855">
        <f>(AF115*KFC!$B$27+KFC!$C$27)*KFC!$C$5</f>
        <v>144.80000000000001</v>
      </c>
      <c r="M115" s="855">
        <f>(AG115*KFC!$B$27+KFC!$C$27)*KFC!$C$5</f>
        <v>153.27000000000001</v>
      </c>
      <c r="N115" s="855">
        <f>(AH115*KFC!$B$27+KFC!$C$27)*KFC!$C$5</f>
        <v>161.63</v>
      </c>
      <c r="O115" s="855">
        <f>(AI115*KFC!$B$27+KFC!$C$27)*KFC!$C$5</f>
        <v>170.01</v>
      </c>
      <c r="P115" s="855">
        <f>(AJ115*KFC!$B$27+KFC!$C$27)*KFC!$C$5</f>
        <v>178.39</v>
      </c>
      <c r="Q115" s="855">
        <f>(AK115*KFC!$B$27+KFC!$C$27)*KFC!$C$5</f>
        <v>186.76999999999998</v>
      </c>
      <c r="R115" s="855">
        <f>(AL115*KFC!$B$27+KFC!$C$27)*KFC!$C$5</f>
        <v>195.14999999999998</v>
      </c>
      <c r="S115" s="855">
        <f>(AM115*KFC!$B$27+KFC!$C$27)*KFC!$C$5</f>
        <v>203.52999999999997</v>
      </c>
      <c r="T115" s="855">
        <f>(AN115*KFC!$B$27+KFC!$C$27)*KFC!$C$5</f>
        <v>211.90999999999997</v>
      </c>
      <c r="V115" s="851">
        <v>0.8</v>
      </c>
      <c r="W115" s="847">
        <v>69.39</v>
      </c>
      <c r="X115" s="847">
        <v>77.75</v>
      </c>
      <c r="Y115" s="847">
        <v>86.12</v>
      </c>
      <c r="Z115" s="847">
        <v>94.72</v>
      </c>
      <c r="AA115" s="847">
        <v>102.97</v>
      </c>
      <c r="AB115" s="847">
        <v>111.33</v>
      </c>
      <c r="AC115" s="847">
        <v>119.69</v>
      </c>
      <c r="AD115" s="847">
        <v>128.06</v>
      </c>
      <c r="AE115" s="847">
        <v>136.43</v>
      </c>
      <c r="AF115" s="847">
        <v>144.80000000000001</v>
      </c>
      <c r="AG115" s="847">
        <v>153.27000000000001</v>
      </c>
      <c r="AH115" s="847">
        <v>161.63</v>
      </c>
      <c r="AI115" s="848">
        <v>170.01</v>
      </c>
      <c r="AJ115" s="690">
        <f t="shared" si="17"/>
        <v>178.39</v>
      </c>
      <c r="AK115" s="690">
        <f t="shared" si="18"/>
        <v>186.76999999999998</v>
      </c>
      <c r="AL115" s="690">
        <f t="shared" si="18"/>
        <v>195.14999999999998</v>
      </c>
      <c r="AM115" s="690">
        <f t="shared" si="18"/>
        <v>203.52999999999997</v>
      </c>
      <c r="AN115" s="690">
        <f t="shared" si="18"/>
        <v>211.90999999999997</v>
      </c>
      <c r="AO115" s="690">
        <f t="shared" si="18"/>
        <v>220.28999999999996</v>
      </c>
      <c r="AP115" s="690">
        <f t="shared" si="18"/>
        <v>228.66999999999996</v>
      </c>
    </row>
    <row r="116" spans="1:42">
      <c r="A116" s="1816"/>
      <c r="B116" s="849">
        <v>0.9</v>
      </c>
      <c r="C116" s="855">
        <f>(W116*KFC!$B$27+KFC!$C$27)*KFC!$C$5</f>
        <v>73.52</v>
      </c>
      <c r="D116" s="855">
        <f>(X116*KFC!$B$27+KFC!$C$27)*KFC!$C$5</f>
        <v>82.11</v>
      </c>
      <c r="E116" s="855">
        <f>(Y116*KFC!$B$27+KFC!$C$27)*KFC!$C$5</f>
        <v>90.59</v>
      </c>
      <c r="F116" s="855">
        <f>(Z116*KFC!$B$27+KFC!$C$27)*KFC!$C$5</f>
        <v>99.44</v>
      </c>
      <c r="G116" s="855">
        <f>(AA116*KFC!$B$27+KFC!$C$27)*KFC!$C$5</f>
        <v>107.91</v>
      </c>
      <c r="H116" s="855">
        <f>(AB116*KFC!$B$27+KFC!$C$27)*KFC!$C$5</f>
        <v>116.52</v>
      </c>
      <c r="I116" s="855">
        <f>(AC116*KFC!$B$27+KFC!$C$27)*KFC!$C$5</f>
        <v>125.11</v>
      </c>
      <c r="J116" s="855">
        <f>(AD116*KFC!$B$27+KFC!$C$27)*KFC!$C$5</f>
        <v>133.6</v>
      </c>
      <c r="K116" s="855">
        <f>(AE116*KFC!$B$27+KFC!$C$27)*KFC!$C$5</f>
        <v>142.19</v>
      </c>
      <c r="L116" s="855">
        <f>(AF116*KFC!$B$27+KFC!$C$27)*KFC!$C$5</f>
        <v>150.80000000000001</v>
      </c>
      <c r="M116" s="855">
        <f>(AG116*KFC!$B$27+KFC!$C$27)*KFC!$C$5</f>
        <v>159.52000000000001</v>
      </c>
      <c r="N116" s="855">
        <f>(AH116*KFC!$B$27+KFC!$C$27)*KFC!$C$5</f>
        <v>168</v>
      </c>
      <c r="O116" s="855">
        <f>(AI116*KFC!$B$27+KFC!$C$27)*KFC!$C$5</f>
        <v>176.48</v>
      </c>
      <c r="P116" s="855">
        <f>(AJ116*KFC!$B$27+KFC!$C$27)*KFC!$C$5</f>
        <v>184.95999999999998</v>
      </c>
      <c r="Q116" s="855">
        <f>(AK116*KFC!$B$27+KFC!$C$27)*KFC!$C$5</f>
        <v>193.43999999999997</v>
      </c>
      <c r="R116" s="855">
        <f>(AL116*KFC!$B$27+KFC!$C$27)*KFC!$C$5</f>
        <v>201.91999999999996</v>
      </c>
      <c r="S116" s="855">
        <f>(AM116*KFC!$B$27+KFC!$C$27)*KFC!$C$5</f>
        <v>210.39999999999995</v>
      </c>
      <c r="T116" s="855">
        <f>(AN116*KFC!$B$27+KFC!$C$27)*KFC!$C$5</f>
        <v>218.87999999999994</v>
      </c>
      <c r="V116" s="851">
        <v>0.9</v>
      </c>
      <c r="W116" s="847">
        <v>73.52</v>
      </c>
      <c r="X116" s="847">
        <v>82.11</v>
      </c>
      <c r="Y116" s="847">
        <v>90.59</v>
      </c>
      <c r="Z116" s="847">
        <v>99.44</v>
      </c>
      <c r="AA116" s="847">
        <v>107.91</v>
      </c>
      <c r="AB116" s="847">
        <v>116.52</v>
      </c>
      <c r="AC116" s="847">
        <v>125.11</v>
      </c>
      <c r="AD116" s="847">
        <v>133.6</v>
      </c>
      <c r="AE116" s="847">
        <v>142.19</v>
      </c>
      <c r="AF116" s="847">
        <v>150.80000000000001</v>
      </c>
      <c r="AG116" s="847">
        <v>159.52000000000001</v>
      </c>
      <c r="AH116" s="847">
        <v>168</v>
      </c>
      <c r="AI116" s="848">
        <v>176.48</v>
      </c>
      <c r="AJ116" s="690">
        <f t="shared" si="17"/>
        <v>184.95999999999998</v>
      </c>
      <c r="AK116" s="690">
        <f t="shared" si="18"/>
        <v>193.43999999999997</v>
      </c>
      <c r="AL116" s="690">
        <f t="shared" si="18"/>
        <v>201.91999999999996</v>
      </c>
      <c r="AM116" s="690">
        <f t="shared" si="18"/>
        <v>210.39999999999995</v>
      </c>
      <c r="AN116" s="690">
        <f t="shared" si="18"/>
        <v>218.87999999999994</v>
      </c>
      <c r="AO116" s="690">
        <f t="shared" si="18"/>
        <v>227.35999999999993</v>
      </c>
      <c r="AP116" s="690">
        <f t="shared" si="18"/>
        <v>235.83999999999992</v>
      </c>
    </row>
    <row r="117" spans="1:42">
      <c r="A117" s="1816"/>
      <c r="B117" s="849">
        <v>1</v>
      </c>
      <c r="C117" s="855">
        <f>(W117*KFC!$B$27+KFC!$C$27)*KFC!$C$5</f>
        <v>77.64</v>
      </c>
      <c r="D117" s="855">
        <f>(X117*KFC!$B$27+KFC!$C$27)*KFC!$C$5</f>
        <v>86.48</v>
      </c>
      <c r="E117" s="855">
        <f>(Y117*KFC!$B$27+KFC!$C$27)*KFC!$C$5</f>
        <v>95.19</v>
      </c>
      <c r="F117" s="855">
        <f>(Z117*KFC!$B$27+KFC!$C$27)*KFC!$C$5</f>
        <v>104.03</v>
      </c>
      <c r="G117" s="855">
        <f>(AA117*KFC!$B$27+KFC!$C$27)*KFC!$C$5</f>
        <v>112.86</v>
      </c>
      <c r="H117" s="855">
        <f>(AB117*KFC!$B$27+KFC!$C$27)*KFC!$C$5</f>
        <v>121.58</v>
      </c>
      <c r="I117" s="855">
        <f>(AC117*KFC!$B$27+KFC!$C$27)*KFC!$C$5</f>
        <v>130.41</v>
      </c>
      <c r="J117" s="855">
        <f>(AD117*KFC!$B$27+KFC!$C$27)*KFC!$C$5</f>
        <v>139.13999999999999</v>
      </c>
      <c r="K117" s="855">
        <f>(AE117*KFC!$B$27+KFC!$C$27)*KFC!$C$5</f>
        <v>147.97</v>
      </c>
      <c r="L117" s="855">
        <f>(AF117*KFC!$B$27+KFC!$C$27)*KFC!$C$5</f>
        <v>156.81</v>
      </c>
      <c r="M117" s="855">
        <f>(AG117*KFC!$B$27+KFC!$C$27)*KFC!$C$5</f>
        <v>165.64</v>
      </c>
      <c r="N117" s="855">
        <f>(AH117*KFC!$B$27+KFC!$C$27)*KFC!$C$5</f>
        <v>174.36</v>
      </c>
      <c r="O117" s="855">
        <f>(AI117*KFC!$B$27+KFC!$C$27)*KFC!$C$5</f>
        <v>183.08</v>
      </c>
      <c r="P117" s="855">
        <f>(AJ117*KFC!$B$27+KFC!$C$27)*KFC!$C$5</f>
        <v>191.8</v>
      </c>
      <c r="Q117" s="855">
        <f>(AK117*KFC!$B$27+KFC!$C$27)*KFC!$C$5</f>
        <v>200.52</v>
      </c>
      <c r="R117" s="855">
        <f>(AL117*KFC!$B$27+KFC!$C$27)*KFC!$C$5</f>
        <v>209.24</v>
      </c>
      <c r="S117" s="855">
        <f>(AM117*KFC!$B$27+KFC!$C$27)*KFC!$C$5</f>
        <v>217.96</v>
      </c>
      <c r="T117" s="855">
        <f>(AN117*KFC!$B$27+KFC!$C$27)*KFC!$C$5</f>
        <v>226.68</v>
      </c>
      <c r="V117" s="851">
        <v>1</v>
      </c>
      <c r="W117" s="847">
        <v>77.64</v>
      </c>
      <c r="X117" s="847">
        <v>86.48</v>
      </c>
      <c r="Y117" s="847">
        <v>95.19</v>
      </c>
      <c r="Z117" s="847">
        <v>104.03</v>
      </c>
      <c r="AA117" s="847">
        <v>112.86</v>
      </c>
      <c r="AB117" s="847">
        <v>121.58</v>
      </c>
      <c r="AC117" s="847">
        <v>130.41</v>
      </c>
      <c r="AD117" s="847">
        <v>139.13999999999999</v>
      </c>
      <c r="AE117" s="847">
        <v>147.97</v>
      </c>
      <c r="AF117" s="847">
        <v>156.81</v>
      </c>
      <c r="AG117" s="847">
        <v>165.64</v>
      </c>
      <c r="AH117" s="847">
        <v>174.36</v>
      </c>
      <c r="AI117" s="848">
        <v>183.08</v>
      </c>
      <c r="AJ117" s="690">
        <f t="shared" si="17"/>
        <v>191.8</v>
      </c>
      <c r="AK117" s="690">
        <f t="shared" si="18"/>
        <v>200.52</v>
      </c>
      <c r="AL117" s="690">
        <f t="shared" si="18"/>
        <v>209.24</v>
      </c>
      <c r="AM117" s="690">
        <f t="shared" si="18"/>
        <v>217.96</v>
      </c>
      <c r="AN117" s="690">
        <f t="shared" si="18"/>
        <v>226.68</v>
      </c>
      <c r="AO117" s="690">
        <f t="shared" si="18"/>
        <v>235.4</v>
      </c>
      <c r="AP117" s="690">
        <f t="shared" si="18"/>
        <v>244.12</v>
      </c>
    </row>
    <row r="118" spans="1:42">
      <c r="A118" s="1816"/>
      <c r="B118" s="849">
        <v>1.1000000000000001</v>
      </c>
      <c r="C118" s="855">
        <f>(W118*KFC!$B$27+KFC!$C$27)*KFC!$C$5</f>
        <v>81.88</v>
      </c>
      <c r="D118" s="855">
        <f>(X118*KFC!$B$27+KFC!$C$27)*KFC!$C$5</f>
        <v>90.71</v>
      </c>
      <c r="E118" s="855">
        <f>(Y118*KFC!$B$27+KFC!$C$27)*KFC!$C$5</f>
        <v>99.67</v>
      </c>
      <c r="F118" s="855">
        <f>(Z118*KFC!$B$27+KFC!$C$27)*KFC!$C$5</f>
        <v>108.75</v>
      </c>
      <c r="G118" s="855">
        <f>(AA118*KFC!$B$27+KFC!$C$27)*KFC!$C$5</f>
        <v>117.69</v>
      </c>
      <c r="H118" s="855">
        <f>(AB118*KFC!$B$27+KFC!$C$27)*KFC!$C$5</f>
        <v>126.77</v>
      </c>
      <c r="I118" s="855">
        <f>(AC118*KFC!$B$27+KFC!$C$27)*KFC!$C$5</f>
        <v>135.71</v>
      </c>
      <c r="J118" s="855">
        <f>(AD118*KFC!$B$27+KFC!$C$27)*KFC!$C$5</f>
        <v>144.68</v>
      </c>
      <c r="K118" s="855">
        <f>(AE118*KFC!$B$27+KFC!$C$27)*KFC!$C$5</f>
        <v>153.74</v>
      </c>
      <c r="L118" s="855">
        <f>(AF118*KFC!$B$27+KFC!$C$27)*KFC!$C$5</f>
        <v>162.81</v>
      </c>
      <c r="M118" s="855">
        <f>(AG118*KFC!$B$27+KFC!$C$27)*KFC!$C$5</f>
        <v>171.64</v>
      </c>
      <c r="N118" s="855">
        <f>(AH118*KFC!$B$27+KFC!$C$27)*KFC!$C$5</f>
        <v>180.73</v>
      </c>
      <c r="O118" s="855">
        <f>(AI118*KFC!$B$27+KFC!$C$27)*KFC!$C$5</f>
        <v>189.79</v>
      </c>
      <c r="P118" s="855">
        <f>(AJ118*KFC!$B$27+KFC!$C$27)*KFC!$C$5</f>
        <v>198.85</v>
      </c>
      <c r="Q118" s="855">
        <f>(AK118*KFC!$B$27+KFC!$C$27)*KFC!$C$5</f>
        <v>207.91</v>
      </c>
      <c r="R118" s="855">
        <f>(AL118*KFC!$B$27+KFC!$C$27)*KFC!$C$5</f>
        <v>216.97</v>
      </c>
      <c r="S118" s="855">
        <f>(AM118*KFC!$B$27+KFC!$C$27)*KFC!$C$5</f>
        <v>226.03</v>
      </c>
      <c r="T118" s="855">
        <f>(AN118*KFC!$B$27+KFC!$C$27)*KFC!$C$5</f>
        <v>235.09</v>
      </c>
      <c r="V118" s="851">
        <v>1.1000000000000001</v>
      </c>
      <c r="W118" s="847">
        <v>81.88</v>
      </c>
      <c r="X118" s="847">
        <v>90.71</v>
      </c>
      <c r="Y118" s="847">
        <v>99.67</v>
      </c>
      <c r="Z118" s="847">
        <v>108.75</v>
      </c>
      <c r="AA118" s="847">
        <v>117.69</v>
      </c>
      <c r="AB118" s="847">
        <v>126.77</v>
      </c>
      <c r="AC118" s="847">
        <v>135.71</v>
      </c>
      <c r="AD118" s="847">
        <v>144.68</v>
      </c>
      <c r="AE118" s="847">
        <v>153.74</v>
      </c>
      <c r="AF118" s="847">
        <v>162.81</v>
      </c>
      <c r="AG118" s="847">
        <v>171.64</v>
      </c>
      <c r="AH118" s="847">
        <v>180.73</v>
      </c>
      <c r="AI118" s="848">
        <v>189.79</v>
      </c>
      <c r="AJ118" s="690">
        <f t="shared" si="17"/>
        <v>198.85</v>
      </c>
      <c r="AK118" s="690">
        <f t="shared" si="18"/>
        <v>207.91</v>
      </c>
      <c r="AL118" s="690">
        <f t="shared" si="18"/>
        <v>216.97</v>
      </c>
      <c r="AM118" s="690">
        <f t="shared" si="18"/>
        <v>226.03</v>
      </c>
      <c r="AN118" s="690">
        <f t="shared" si="18"/>
        <v>235.09</v>
      </c>
      <c r="AO118" s="690">
        <f t="shared" si="18"/>
        <v>244.15</v>
      </c>
      <c r="AP118" s="690">
        <f t="shared" si="18"/>
        <v>253.21</v>
      </c>
    </row>
    <row r="119" spans="1:42">
      <c r="A119" s="1816"/>
      <c r="B119" s="849">
        <v>1.2</v>
      </c>
      <c r="C119" s="855">
        <f>(W119*KFC!$B$27+KFC!$C$27)*KFC!$C$5</f>
        <v>85.89</v>
      </c>
      <c r="D119" s="855">
        <f>(X119*KFC!$B$27+KFC!$C$27)*KFC!$C$5</f>
        <v>95.07</v>
      </c>
      <c r="E119" s="855">
        <f>(Y119*KFC!$B$27+KFC!$C$27)*KFC!$C$5</f>
        <v>104.27</v>
      </c>
      <c r="F119" s="855">
        <f>(Z119*KFC!$B$27+KFC!$C$27)*KFC!$C$5</f>
        <v>113.57</v>
      </c>
      <c r="G119" s="855">
        <f>(AA119*KFC!$B$27+KFC!$C$27)*KFC!$C$5</f>
        <v>122.64</v>
      </c>
      <c r="H119" s="855">
        <f>(AB119*KFC!$B$27+KFC!$C$27)*KFC!$C$5</f>
        <v>131.83000000000001</v>
      </c>
      <c r="I119" s="855">
        <f>(AC119*KFC!$B$27+KFC!$C$27)*KFC!$C$5</f>
        <v>141.02000000000001</v>
      </c>
      <c r="J119" s="855">
        <f>(AD119*KFC!$B$27+KFC!$C$27)*KFC!$C$5</f>
        <v>150.33000000000001</v>
      </c>
      <c r="K119" s="855">
        <f>(AE119*KFC!$B$27+KFC!$C$27)*KFC!$C$5</f>
        <v>159.52000000000001</v>
      </c>
      <c r="L119" s="855">
        <f>(AF119*KFC!$B$27+KFC!$C$27)*KFC!$C$5</f>
        <v>168.59</v>
      </c>
      <c r="M119" s="855">
        <f>(AG119*KFC!$B$27+KFC!$C$27)*KFC!$C$5</f>
        <v>177.78</v>
      </c>
      <c r="N119" s="855">
        <f>(AH119*KFC!$B$27+KFC!$C$27)*KFC!$C$5</f>
        <v>186.96</v>
      </c>
      <c r="O119" s="855">
        <f>(AI119*KFC!$B$27+KFC!$C$27)*KFC!$C$5</f>
        <v>196.15</v>
      </c>
      <c r="P119" s="855">
        <f>(AJ119*KFC!$B$27+KFC!$C$27)*KFC!$C$5</f>
        <v>205.34</v>
      </c>
      <c r="Q119" s="855">
        <f>(AK119*KFC!$B$27+KFC!$C$27)*KFC!$C$5</f>
        <v>214.53</v>
      </c>
      <c r="R119" s="855">
        <f>(AL119*KFC!$B$27+KFC!$C$27)*KFC!$C$5</f>
        <v>223.72</v>
      </c>
      <c r="S119" s="855">
        <f>(AM119*KFC!$B$27+KFC!$C$27)*KFC!$C$5</f>
        <v>232.91</v>
      </c>
      <c r="T119" s="855">
        <f>(AN119*KFC!$B$27+KFC!$C$27)*KFC!$C$5</f>
        <v>242.1</v>
      </c>
      <c r="V119" s="851">
        <v>1.2</v>
      </c>
      <c r="W119" s="847">
        <v>85.89</v>
      </c>
      <c r="X119" s="847">
        <v>95.07</v>
      </c>
      <c r="Y119" s="847">
        <v>104.27</v>
      </c>
      <c r="Z119" s="847">
        <v>113.57</v>
      </c>
      <c r="AA119" s="847">
        <v>122.64</v>
      </c>
      <c r="AB119" s="847">
        <v>131.83000000000001</v>
      </c>
      <c r="AC119" s="847">
        <v>141.02000000000001</v>
      </c>
      <c r="AD119" s="847">
        <v>150.33000000000001</v>
      </c>
      <c r="AE119" s="847">
        <v>159.52000000000001</v>
      </c>
      <c r="AF119" s="847">
        <v>168.59</v>
      </c>
      <c r="AG119" s="847">
        <v>177.78</v>
      </c>
      <c r="AH119" s="847">
        <v>186.96</v>
      </c>
      <c r="AI119" s="848">
        <v>196.15</v>
      </c>
      <c r="AJ119" s="690">
        <f t="shared" si="17"/>
        <v>205.34</v>
      </c>
      <c r="AK119" s="690">
        <f t="shared" si="18"/>
        <v>214.53</v>
      </c>
      <c r="AL119" s="690">
        <f t="shared" si="18"/>
        <v>223.72</v>
      </c>
      <c r="AM119" s="690">
        <f t="shared" si="18"/>
        <v>232.91</v>
      </c>
      <c r="AN119" s="690">
        <f t="shared" si="18"/>
        <v>242.1</v>
      </c>
      <c r="AO119" s="690">
        <f t="shared" si="18"/>
        <v>251.29</v>
      </c>
      <c r="AP119" s="690">
        <f t="shared" si="18"/>
        <v>260.48</v>
      </c>
    </row>
    <row r="120" spans="1:42">
      <c r="A120" s="1816"/>
      <c r="B120" s="849">
        <v>1.3</v>
      </c>
      <c r="C120" s="855">
        <f>(W120*KFC!$B$27+KFC!$C$27)*KFC!$C$5</f>
        <v>90.01</v>
      </c>
      <c r="D120" s="855">
        <f>(X120*KFC!$B$27+KFC!$C$27)*KFC!$C$5</f>
        <v>99.44</v>
      </c>
      <c r="E120" s="855">
        <f>(Y120*KFC!$B$27+KFC!$C$27)*KFC!$C$5</f>
        <v>108.98</v>
      </c>
      <c r="F120" s="855">
        <f>(Z120*KFC!$B$27+KFC!$C$27)*KFC!$C$5</f>
        <v>118.28</v>
      </c>
      <c r="G120" s="855">
        <f>(AA120*KFC!$B$27+KFC!$C$27)*KFC!$C$5</f>
        <v>127.71</v>
      </c>
      <c r="H120" s="855">
        <f>(AB120*KFC!$B$27+KFC!$C$27)*KFC!$C$5</f>
        <v>136.88999999999999</v>
      </c>
      <c r="I120" s="855">
        <f>(AC120*KFC!$B$27+KFC!$C$27)*KFC!$C$5</f>
        <v>146.44</v>
      </c>
      <c r="J120" s="855">
        <f>(AD120*KFC!$B$27+KFC!$C$27)*KFC!$C$5</f>
        <v>155.74</v>
      </c>
      <c r="K120" s="855">
        <f>(AE120*KFC!$B$27+KFC!$C$27)*KFC!$C$5</f>
        <v>165.17</v>
      </c>
      <c r="L120" s="855">
        <f>(AF120*KFC!$B$27+KFC!$C$27)*KFC!$C$5</f>
        <v>174.48</v>
      </c>
      <c r="M120" s="855">
        <f>(AG120*KFC!$B$27+KFC!$C$27)*KFC!$C$5</f>
        <v>184.01</v>
      </c>
      <c r="N120" s="855">
        <f>(AH120*KFC!$B$27+KFC!$C$27)*KFC!$C$5</f>
        <v>193.33</v>
      </c>
      <c r="O120" s="855">
        <f>(AI120*KFC!$B$27+KFC!$C$27)*KFC!$C$5</f>
        <v>202.63</v>
      </c>
      <c r="P120" s="855">
        <f>(AJ120*KFC!$B$27+KFC!$C$27)*KFC!$C$5</f>
        <v>211.92999999999998</v>
      </c>
      <c r="Q120" s="855">
        <f>(AK120*KFC!$B$27+KFC!$C$27)*KFC!$C$5</f>
        <v>221.22999999999996</v>
      </c>
      <c r="R120" s="855">
        <f>(AL120*KFC!$B$27+KFC!$C$27)*KFC!$C$5</f>
        <v>230.52999999999994</v>
      </c>
      <c r="S120" s="855">
        <f>(AM120*KFC!$B$27+KFC!$C$27)*KFC!$C$5</f>
        <v>239.82999999999993</v>
      </c>
      <c r="T120" s="855">
        <f>(AN120*KFC!$B$27+KFC!$C$27)*KFC!$C$5</f>
        <v>249.12999999999991</v>
      </c>
      <c r="V120" s="851">
        <v>1.3</v>
      </c>
      <c r="W120" s="847">
        <v>90.01</v>
      </c>
      <c r="X120" s="847">
        <v>99.44</v>
      </c>
      <c r="Y120" s="847">
        <v>108.98</v>
      </c>
      <c r="Z120" s="847">
        <v>118.28</v>
      </c>
      <c r="AA120" s="847">
        <v>127.71</v>
      </c>
      <c r="AB120" s="847">
        <v>136.88999999999999</v>
      </c>
      <c r="AC120" s="847">
        <v>146.44</v>
      </c>
      <c r="AD120" s="847">
        <v>155.74</v>
      </c>
      <c r="AE120" s="847">
        <v>165.17</v>
      </c>
      <c r="AF120" s="847">
        <v>174.48</v>
      </c>
      <c r="AG120" s="847">
        <v>184.01</v>
      </c>
      <c r="AH120" s="847">
        <v>193.33</v>
      </c>
      <c r="AI120" s="848">
        <v>202.63</v>
      </c>
      <c r="AJ120" s="690">
        <f t="shared" si="17"/>
        <v>211.92999999999998</v>
      </c>
      <c r="AK120" s="690">
        <f t="shared" si="18"/>
        <v>221.22999999999996</v>
      </c>
      <c r="AL120" s="690">
        <f t="shared" si="18"/>
        <v>230.52999999999994</v>
      </c>
      <c r="AM120" s="690">
        <f t="shared" si="18"/>
        <v>239.82999999999993</v>
      </c>
      <c r="AN120" s="690">
        <f t="shared" si="18"/>
        <v>249.12999999999991</v>
      </c>
      <c r="AO120" s="690">
        <f t="shared" si="18"/>
        <v>258.42999999999989</v>
      </c>
      <c r="AP120" s="690">
        <f t="shared" si="18"/>
        <v>267.7299999999999</v>
      </c>
    </row>
    <row r="121" spans="1:42">
      <c r="A121" s="1816"/>
      <c r="B121" s="849">
        <v>1.4</v>
      </c>
      <c r="C121" s="855">
        <f>(W121*KFC!$B$27+KFC!$C$27)*KFC!$C$5</f>
        <v>94.13</v>
      </c>
      <c r="D121" s="855">
        <f>(X121*KFC!$B$27+KFC!$C$27)*KFC!$C$5</f>
        <v>103.91</v>
      </c>
      <c r="E121" s="855">
        <f>(Y121*KFC!$B$27+KFC!$C$27)*KFC!$C$5</f>
        <v>113.45</v>
      </c>
      <c r="F121" s="855">
        <f>(Z121*KFC!$B$27+KFC!$C$27)*KFC!$C$5</f>
        <v>123</v>
      </c>
      <c r="G121" s="855">
        <f>(AA121*KFC!$B$27+KFC!$C$27)*KFC!$C$5</f>
        <v>132.54</v>
      </c>
      <c r="H121" s="855">
        <f>(AB121*KFC!$B$27+KFC!$C$27)*KFC!$C$5</f>
        <v>142.19</v>
      </c>
      <c r="I121" s="855">
        <f>(AC121*KFC!$B$27+KFC!$C$27)*KFC!$C$5</f>
        <v>151.75</v>
      </c>
      <c r="J121" s="855">
        <f>(AD121*KFC!$B$27+KFC!$C$27)*KFC!$C$5</f>
        <v>161.4</v>
      </c>
      <c r="K121" s="855">
        <f>(AE121*KFC!$B$27+KFC!$C$27)*KFC!$C$5</f>
        <v>170.82</v>
      </c>
      <c r="L121" s="855">
        <f>(AF121*KFC!$B$27+KFC!$C$27)*KFC!$C$5</f>
        <v>180.48</v>
      </c>
      <c r="M121" s="855">
        <f>(AG121*KFC!$B$27+KFC!$C$27)*KFC!$C$5</f>
        <v>190.03</v>
      </c>
      <c r="N121" s="855">
        <f>(AH121*KFC!$B$27+KFC!$C$27)*KFC!$C$5</f>
        <v>199.69</v>
      </c>
      <c r="O121" s="855">
        <f>(AI121*KFC!$B$27+KFC!$C$27)*KFC!$C$5</f>
        <v>209.35</v>
      </c>
      <c r="P121" s="855">
        <f>(AJ121*KFC!$B$27+KFC!$C$27)*KFC!$C$5</f>
        <v>219.01</v>
      </c>
      <c r="Q121" s="855">
        <f>(AK121*KFC!$B$27+KFC!$C$27)*KFC!$C$5</f>
        <v>228.67</v>
      </c>
      <c r="R121" s="855">
        <f>(AL121*KFC!$B$27+KFC!$C$27)*KFC!$C$5</f>
        <v>238.32999999999998</v>
      </c>
      <c r="S121" s="855">
        <f>(AM121*KFC!$B$27+KFC!$C$27)*KFC!$C$5</f>
        <v>247.98999999999998</v>
      </c>
      <c r="T121" s="855">
        <f>(AN121*KFC!$B$27+KFC!$C$27)*KFC!$C$5</f>
        <v>257.64999999999998</v>
      </c>
      <c r="V121" s="851">
        <v>1.4</v>
      </c>
      <c r="W121" s="847">
        <v>94.13</v>
      </c>
      <c r="X121" s="847">
        <v>103.91</v>
      </c>
      <c r="Y121" s="847">
        <v>113.45</v>
      </c>
      <c r="Z121" s="847">
        <v>123</v>
      </c>
      <c r="AA121" s="847">
        <v>132.54</v>
      </c>
      <c r="AB121" s="847">
        <v>142.19</v>
      </c>
      <c r="AC121" s="847">
        <v>151.75</v>
      </c>
      <c r="AD121" s="847">
        <v>161.4</v>
      </c>
      <c r="AE121" s="847">
        <v>170.82</v>
      </c>
      <c r="AF121" s="847">
        <v>180.48</v>
      </c>
      <c r="AG121" s="847">
        <v>190.03</v>
      </c>
      <c r="AH121" s="847">
        <v>199.69</v>
      </c>
      <c r="AI121" s="848">
        <v>209.35</v>
      </c>
      <c r="AJ121" s="690">
        <f t="shared" si="17"/>
        <v>219.01</v>
      </c>
      <c r="AK121" s="690">
        <f t="shared" si="18"/>
        <v>228.67</v>
      </c>
      <c r="AL121" s="690">
        <f t="shared" si="18"/>
        <v>238.32999999999998</v>
      </c>
      <c r="AM121" s="690">
        <f t="shared" si="18"/>
        <v>247.98999999999998</v>
      </c>
      <c r="AN121" s="690">
        <f t="shared" si="18"/>
        <v>257.64999999999998</v>
      </c>
      <c r="AO121" s="690">
        <f t="shared" si="18"/>
        <v>267.30999999999995</v>
      </c>
      <c r="AP121" s="690">
        <f t="shared" si="18"/>
        <v>276.96999999999991</v>
      </c>
    </row>
    <row r="122" spans="1:42">
      <c r="A122" s="1816"/>
      <c r="B122" s="849">
        <v>1.5</v>
      </c>
      <c r="C122" s="855">
        <f>(W122*KFC!$B$27+KFC!$C$27)*KFC!$C$5</f>
        <v>98.26</v>
      </c>
      <c r="D122" s="855">
        <f>(X122*KFC!$B$27+KFC!$C$27)*KFC!$C$5</f>
        <v>108.02</v>
      </c>
      <c r="E122" s="855">
        <f>(Y122*KFC!$B$27+KFC!$C$27)*KFC!$C$5</f>
        <v>117.81</v>
      </c>
      <c r="F122" s="855">
        <f>(Z122*KFC!$B$27+KFC!$C$27)*KFC!$C$5</f>
        <v>127.71</v>
      </c>
      <c r="G122" s="855">
        <f>(AA122*KFC!$B$27+KFC!$C$27)*KFC!$C$5</f>
        <v>137.47999999999999</v>
      </c>
      <c r="H122" s="855">
        <f>(AB122*KFC!$B$27+KFC!$C$27)*KFC!$C$5</f>
        <v>147.26</v>
      </c>
      <c r="I122" s="855">
        <f>(AC122*KFC!$B$27+KFC!$C$27)*KFC!$C$5</f>
        <v>157.05000000000001</v>
      </c>
      <c r="J122" s="855">
        <f>(AD122*KFC!$B$27+KFC!$C$27)*KFC!$C$5</f>
        <v>166.81</v>
      </c>
      <c r="K122" s="855">
        <f>(AE122*KFC!$B$27+KFC!$C$27)*KFC!$C$5</f>
        <v>176.83</v>
      </c>
      <c r="L122" s="855">
        <f>(AF122*KFC!$B$27+KFC!$C$27)*KFC!$C$5</f>
        <v>186.5</v>
      </c>
      <c r="M122" s="855">
        <f>(AG122*KFC!$B$27+KFC!$C$27)*KFC!$C$5</f>
        <v>196.27</v>
      </c>
      <c r="N122" s="855">
        <f>(AH122*KFC!$B$27+KFC!$C$27)*KFC!$C$5</f>
        <v>206.05</v>
      </c>
      <c r="O122" s="855">
        <f>(AI122*KFC!$B$27+KFC!$C$27)*KFC!$C$5</f>
        <v>215.83</v>
      </c>
      <c r="P122" s="855">
        <f>(AJ122*KFC!$B$27+KFC!$C$27)*KFC!$C$5</f>
        <v>225.61</v>
      </c>
      <c r="Q122" s="855">
        <f>(AK122*KFC!$B$27+KFC!$C$27)*KFC!$C$5</f>
        <v>235.39000000000001</v>
      </c>
      <c r="R122" s="855">
        <f>(AL122*KFC!$B$27+KFC!$C$27)*KFC!$C$5</f>
        <v>245.17000000000002</v>
      </c>
      <c r="S122" s="855">
        <f>(AM122*KFC!$B$27+KFC!$C$27)*KFC!$C$5</f>
        <v>254.95000000000002</v>
      </c>
      <c r="T122" s="855">
        <f>(AN122*KFC!$B$27+KFC!$C$27)*KFC!$C$5</f>
        <v>264.73</v>
      </c>
      <c r="V122" s="851">
        <v>1.5</v>
      </c>
      <c r="W122" s="847">
        <v>98.26</v>
      </c>
      <c r="X122" s="847">
        <v>108.02</v>
      </c>
      <c r="Y122" s="847">
        <v>117.81</v>
      </c>
      <c r="Z122" s="847">
        <v>127.71</v>
      </c>
      <c r="AA122" s="847">
        <v>137.47999999999999</v>
      </c>
      <c r="AB122" s="847">
        <v>147.26</v>
      </c>
      <c r="AC122" s="847">
        <v>157.05000000000001</v>
      </c>
      <c r="AD122" s="847">
        <v>166.81</v>
      </c>
      <c r="AE122" s="847">
        <v>176.83</v>
      </c>
      <c r="AF122" s="847">
        <v>186.5</v>
      </c>
      <c r="AG122" s="847">
        <v>196.27</v>
      </c>
      <c r="AH122" s="847">
        <v>206.05</v>
      </c>
      <c r="AI122" s="848">
        <v>215.83</v>
      </c>
      <c r="AJ122" s="690">
        <f t="shared" si="17"/>
        <v>225.61</v>
      </c>
      <c r="AK122" s="690">
        <f t="shared" si="18"/>
        <v>235.39000000000001</v>
      </c>
      <c r="AL122" s="690">
        <f t="shared" si="18"/>
        <v>245.17000000000002</v>
      </c>
      <c r="AM122" s="690">
        <f t="shared" si="18"/>
        <v>254.95000000000002</v>
      </c>
      <c r="AN122" s="690">
        <f t="shared" si="18"/>
        <v>264.73</v>
      </c>
      <c r="AO122" s="690">
        <f t="shared" si="18"/>
        <v>274.51</v>
      </c>
      <c r="AP122" s="690">
        <f t="shared" si="18"/>
        <v>284.28999999999996</v>
      </c>
    </row>
    <row r="123" spans="1:42">
      <c r="A123" s="1816"/>
      <c r="B123" s="849">
        <v>1.6</v>
      </c>
      <c r="C123" s="855">
        <f>(W123*KFC!$B$27+KFC!$C$27)*KFC!$C$5</f>
        <v>102.49</v>
      </c>
      <c r="D123" s="855">
        <f>(X123*KFC!$B$27+KFC!$C$27)*KFC!$C$5</f>
        <v>112.39</v>
      </c>
      <c r="E123" s="855">
        <f>(Y123*KFC!$B$27+KFC!$C$27)*KFC!$C$5</f>
        <v>122.29</v>
      </c>
      <c r="F123" s="855">
        <f>(Z123*KFC!$B$27+KFC!$C$27)*KFC!$C$5</f>
        <v>132.43</v>
      </c>
      <c r="G123" s="855">
        <f>(AA123*KFC!$B$27+KFC!$C$27)*KFC!$C$5</f>
        <v>142.32</v>
      </c>
      <c r="H123" s="855">
        <f>(AB123*KFC!$B$27+KFC!$C$27)*KFC!$C$5</f>
        <v>152.33000000000001</v>
      </c>
      <c r="I123" s="855">
        <f>(AC123*KFC!$B$27+KFC!$C$27)*KFC!$C$5</f>
        <v>162.58000000000001</v>
      </c>
      <c r="J123" s="855">
        <f>(AD123*KFC!$B$27+KFC!$C$27)*KFC!$C$5</f>
        <v>172.47</v>
      </c>
      <c r="K123" s="855">
        <f>(AE123*KFC!$B$27+KFC!$C$27)*KFC!$C$5</f>
        <v>182.37</v>
      </c>
      <c r="L123" s="855">
        <f>(AF123*KFC!$B$27+KFC!$C$27)*KFC!$C$5</f>
        <v>192.39</v>
      </c>
      <c r="M123" s="855">
        <f>(AG123*KFC!$B$27+KFC!$C$27)*KFC!$C$5</f>
        <v>202.4</v>
      </c>
      <c r="N123" s="855">
        <f>(AH123*KFC!$B$27+KFC!$C$27)*KFC!$C$5</f>
        <v>212.42</v>
      </c>
      <c r="O123" s="855">
        <f>(AI123*KFC!$B$27+KFC!$C$27)*KFC!$C$5</f>
        <v>222.43</v>
      </c>
      <c r="P123" s="855">
        <f>(AJ123*KFC!$B$27+KFC!$C$27)*KFC!$C$5</f>
        <v>232.44000000000003</v>
      </c>
      <c r="Q123" s="855">
        <f>(AK123*KFC!$B$27+KFC!$C$27)*KFC!$C$5</f>
        <v>242.45000000000005</v>
      </c>
      <c r="R123" s="855">
        <f>(AL123*KFC!$B$27+KFC!$C$27)*KFC!$C$5</f>
        <v>252.46000000000006</v>
      </c>
      <c r="S123" s="855">
        <f>(AM123*KFC!$B$27+KFC!$C$27)*KFC!$C$5</f>
        <v>262.47000000000008</v>
      </c>
      <c r="T123" s="855">
        <f>(AN123*KFC!$B$27+KFC!$C$27)*KFC!$C$5</f>
        <v>272.48000000000013</v>
      </c>
      <c r="V123" s="851">
        <v>1.6</v>
      </c>
      <c r="W123" s="847">
        <v>102.49</v>
      </c>
      <c r="X123" s="847">
        <v>112.39</v>
      </c>
      <c r="Y123" s="847">
        <v>122.29</v>
      </c>
      <c r="Z123" s="847">
        <v>132.43</v>
      </c>
      <c r="AA123" s="847">
        <v>142.32</v>
      </c>
      <c r="AB123" s="847">
        <v>152.33000000000001</v>
      </c>
      <c r="AC123" s="847">
        <v>162.58000000000001</v>
      </c>
      <c r="AD123" s="847">
        <v>172.47</v>
      </c>
      <c r="AE123" s="847">
        <v>182.37</v>
      </c>
      <c r="AF123" s="847">
        <v>192.39</v>
      </c>
      <c r="AG123" s="847">
        <v>202.4</v>
      </c>
      <c r="AH123" s="847">
        <v>212.42</v>
      </c>
      <c r="AI123" s="848">
        <v>222.43</v>
      </c>
      <c r="AJ123" s="690">
        <f t="shared" si="17"/>
        <v>232.44000000000003</v>
      </c>
      <c r="AK123" s="690">
        <f t="shared" si="18"/>
        <v>242.45000000000005</v>
      </c>
      <c r="AL123" s="690">
        <f t="shared" si="18"/>
        <v>252.46000000000006</v>
      </c>
      <c r="AM123" s="690">
        <f t="shared" si="18"/>
        <v>262.47000000000008</v>
      </c>
      <c r="AN123" s="690">
        <f t="shared" si="18"/>
        <v>272.48000000000013</v>
      </c>
      <c r="AO123" s="690">
        <f t="shared" si="18"/>
        <v>282.49000000000018</v>
      </c>
      <c r="AP123" s="690">
        <f t="shared" si="18"/>
        <v>292.50000000000023</v>
      </c>
    </row>
    <row r="124" spans="1:42">
      <c r="A124" s="1816"/>
      <c r="B124" s="849">
        <v>1.7</v>
      </c>
      <c r="C124" s="855">
        <f>(W124*KFC!$B$27+KFC!$C$27)*KFC!$C$5</f>
        <v>106.5</v>
      </c>
      <c r="D124" s="855">
        <f>(X124*KFC!$B$27+KFC!$C$27)*KFC!$C$5</f>
        <v>116.75</v>
      </c>
      <c r="E124" s="855">
        <f>(Y124*KFC!$B$27+KFC!$C$27)*KFC!$C$5</f>
        <v>126.88</v>
      </c>
      <c r="F124" s="855">
        <f>(Z124*KFC!$B$27+KFC!$C$27)*KFC!$C$5</f>
        <v>137.13</v>
      </c>
      <c r="G124" s="855">
        <f>(AA124*KFC!$B$27+KFC!$C$27)*KFC!$C$5</f>
        <v>147.26</v>
      </c>
      <c r="H124" s="855">
        <f>(AB124*KFC!$B$27+KFC!$C$27)*KFC!$C$5</f>
        <v>157.51</v>
      </c>
      <c r="I124" s="855">
        <f>(AC124*KFC!$B$27+KFC!$C$27)*KFC!$C$5</f>
        <v>167.77</v>
      </c>
      <c r="J124" s="855">
        <f>(AD124*KFC!$B$27+KFC!$C$27)*KFC!$C$5</f>
        <v>177.89</v>
      </c>
      <c r="K124" s="855">
        <f>(AE124*KFC!$B$27+KFC!$C$27)*KFC!$C$5</f>
        <v>188.14</v>
      </c>
      <c r="L124" s="855">
        <f>(AF124*KFC!$B$27+KFC!$C$27)*KFC!$C$5</f>
        <v>198.28</v>
      </c>
      <c r="M124" s="855">
        <f>(AG124*KFC!$B$27+KFC!$C$27)*KFC!$C$5</f>
        <v>208.64</v>
      </c>
      <c r="N124" s="855">
        <f>(AH124*KFC!$B$27+KFC!$C$27)*KFC!$C$5</f>
        <v>218.77</v>
      </c>
      <c r="O124" s="855">
        <f>(AI124*KFC!$B$27+KFC!$C$27)*KFC!$C$5</f>
        <v>228.91</v>
      </c>
      <c r="P124" s="855">
        <f>(AJ124*KFC!$B$27+KFC!$C$27)*KFC!$C$5</f>
        <v>239.04999999999998</v>
      </c>
      <c r="Q124" s="855">
        <f>(AK124*KFC!$B$27+KFC!$C$27)*KFC!$C$5</f>
        <v>249.18999999999997</v>
      </c>
      <c r="R124" s="855">
        <f>(AL124*KFC!$B$27+KFC!$C$27)*KFC!$C$5</f>
        <v>259.32999999999993</v>
      </c>
      <c r="S124" s="855">
        <f>(AM124*KFC!$B$27+KFC!$C$27)*KFC!$C$5</f>
        <v>269.46999999999991</v>
      </c>
      <c r="T124" s="855">
        <f>(AN124*KFC!$B$27+KFC!$C$27)*KFC!$C$5</f>
        <v>279.6099999999999</v>
      </c>
      <c r="V124" s="851">
        <v>1.7</v>
      </c>
      <c r="W124" s="847">
        <v>106.5</v>
      </c>
      <c r="X124" s="847">
        <v>116.75</v>
      </c>
      <c r="Y124" s="847">
        <v>126.88</v>
      </c>
      <c r="Z124" s="847">
        <v>137.13</v>
      </c>
      <c r="AA124" s="847">
        <v>147.26</v>
      </c>
      <c r="AB124" s="847">
        <v>157.51</v>
      </c>
      <c r="AC124" s="847">
        <v>167.77</v>
      </c>
      <c r="AD124" s="847">
        <v>177.89</v>
      </c>
      <c r="AE124" s="847">
        <v>188.14</v>
      </c>
      <c r="AF124" s="847">
        <v>198.28</v>
      </c>
      <c r="AG124" s="847">
        <v>208.64</v>
      </c>
      <c r="AH124" s="847">
        <v>218.77</v>
      </c>
      <c r="AI124" s="848">
        <v>228.91</v>
      </c>
      <c r="AJ124" s="690">
        <f t="shared" si="17"/>
        <v>239.04999999999998</v>
      </c>
      <c r="AK124" s="690">
        <f t="shared" si="18"/>
        <v>249.18999999999997</v>
      </c>
      <c r="AL124" s="690">
        <f t="shared" si="18"/>
        <v>259.32999999999993</v>
      </c>
      <c r="AM124" s="690">
        <f t="shared" si="18"/>
        <v>269.46999999999991</v>
      </c>
      <c r="AN124" s="690">
        <f t="shared" si="18"/>
        <v>279.6099999999999</v>
      </c>
      <c r="AO124" s="690">
        <f t="shared" si="18"/>
        <v>289.74999999999989</v>
      </c>
      <c r="AP124" s="690">
        <f t="shared" si="18"/>
        <v>299.88999999999987</v>
      </c>
    </row>
    <row r="125" spans="1:42">
      <c r="A125" s="1816"/>
      <c r="B125" s="849">
        <v>1.8</v>
      </c>
      <c r="C125" s="855">
        <f>(W125*KFC!$B$27+KFC!$C$27)*KFC!$C$5</f>
        <v>110.63</v>
      </c>
      <c r="D125" s="855">
        <f>(X125*KFC!$B$27+KFC!$C$27)*KFC!$C$5</f>
        <v>120.99</v>
      </c>
      <c r="E125" s="855">
        <f>(Y125*KFC!$B$27+KFC!$C$27)*KFC!$C$5</f>
        <v>131.36000000000001</v>
      </c>
      <c r="F125" s="855">
        <f>(Z125*KFC!$B$27+KFC!$C$27)*KFC!$C$5</f>
        <v>141.96</v>
      </c>
      <c r="G125" s="855">
        <f>(AA125*KFC!$B$27+KFC!$C$27)*KFC!$C$5</f>
        <v>152.33000000000001</v>
      </c>
      <c r="H125" s="855">
        <f>(AB125*KFC!$B$27+KFC!$C$27)*KFC!$C$5</f>
        <v>162.69999999999999</v>
      </c>
      <c r="I125" s="855">
        <f>(AC125*KFC!$B$27+KFC!$C$27)*KFC!$C$5</f>
        <v>173.06</v>
      </c>
      <c r="J125" s="855">
        <f>(AD125*KFC!$B$27+KFC!$C$27)*KFC!$C$5</f>
        <v>183.42</v>
      </c>
      <c r="K125" s="855">
        <f>(AE125*KFC!$B$27+KFC!$C$27)*KFC!$C$5</f>
        <v>193.8</v>
      </c>
      <c r="L125" s="855">
        <f>(AF125*KFC!$B$27+KFC!$C$27)*KFC!$C$5</f>
        <v>204.29</v>
      </c>
      <c r="M125" s="855">
        <f>(AG125*KFC!$B$27+KFC!$C$27)*KFC!$C$5</f>
        <v>214.53</v>
      </c>
      <c r="N125" s="855">
        <f>(AH125*KFC!$B$27+KFC!$C$27)*KFC!$C$5</f>
        <v>225.02</v>
      </c>
      <c r="O125" s="855">
        <f>(AI125*KFC!$B$27+KFC!$C$27)*KFC!$C$5</f>
        <v>235.5</v>
      </c>
      <c r="P125" s="855">
        <f>(AJ125*KFC!$B$27+KFC!$C$27)*KFC!$C$5</f>
        <v>245.98</v>
      </c>
      <c r="Q125" s="855">
        <f>(AK125*KFC!$B$27+KFC!$C$27)*KFC!$C$5</f>
        <v>256.45999999999998</v>
      </c>
      <c r="R125" s="855">
        <f>(AL125*KFC!$B$27+KFC!$C$27)*KFC!$C$5</f>
        <v>266.93999999999994</v>
      </c>
      <c r="S125" s="855">
        <f>(AM125*KFC!$B$27+KFC!$C$27)*KFC!$C$5</f>
        <v>277.4199999999999</v>
      </c>
      <c r="T125" s="855">
        <f>(AN125*KFC!$B$27+KFC!$C$27)*KFC!$C$5</f>
        <v>287.89999999999986</v>
      </c>
      <c r="V125" s="851">
        <v>1.8</v>
      </c>
      <c r="W125" s="847">
        <v>110.63</v>
      </c>
      <c r="X125" s="847">
        <v>120.99</v>
      </c>
      <c r="Y125" s="847">
        <v>131.36000000000001</v>
      </c>
      <c r="Z125" s="847">
        <v>141.96</v>
      </c>
      <c r="AA125" s="847">
        <v>152.33000000000001</v>
      </c>
      <c r="AB125" s="847">
        <v>162.69999999999999</v>
      </c>
      <c r="AC125" s="847">
        <v>173.06</v>
      </c>
      <c r="AD125" s="847">
        <v>183.42</v>
      </c>
      <c r="AE125" s="847">
        <v>193.8</v>
      </c>
      <c r="AF125" s="847">
        <v>204.29</v>
      </c>
      <c r="AG125" s="847">
        <v>214.53</v>
      </c>
      <c r="AH125" s="847">
        <v>225.02</v>
      </c>
      <c r="AI125" s="848">
        <v>235.5</v>
      </c>
      <c r="AJ125" s="690">
        <f t="shared" si="17"/>
        <v>245.98</v>
      </c>
      <c r="AK125" s="690">
        <f t="shared" si="18"/>
        <v>256.45999999999998</v>
      </c>
      <c r="AL125" s="690">
        <f t="shared" si="18"/>
        <v>266.93999999999994</v>
      </c>
      <c r="AM125" s="690">
        <f t="shared" si="18"/>
        <v>277.4199999999999</v>
      </c>
      <c r="AN125" s="690">
        <f t="shared" si="18"/>
        <v>287.89999999999986</v>
      </c>
      <c r="AO125" s="690">
        <f t="shared" si="18"/>
        <v>298.37999999999982</v>
      </c>
      <c r="AP125" s="690">
        <f t="shared" si="18"/>
        <v>308.85999999999979</v>
      </c>
    </row>
    <row r="126" spans="1:42">
      <c r="A126" s="1816"/>
      <c r="B126" s="849">
        <v>1.9</v>
      </c>
      <c r="C126" s="855">
        <f>(W126*KFC!$B$27+KFC!$C$27)*KFC!$C$5</f>
        <v>114.75</v>
      </c>
      <c r="D126" s="855">
        <f>(X126*KFC!$B$27+KFC!$C$27)*KFC!$C$5</f>
        <v>125.35</v>
      </c>
      <c r="E126" s="855">
        <f>(Y126*KFC!$B$27+KFC!$C$27)*KFC!$C$5</f>
        <v>136.07</v>
      </c>
      <c r="F126" s="855">
        <f>(Z126*KFC!$B$27+KFC!$C$27)*KFC!$C$5</f>
        <v>146.66999999999999</v>
      </c>
      <c r="G126" s="855">
        <f>(AA126*KFC!$B$27+KFC!$C$27)*KFC!$C$5</f>
        <v>157.16</v>
      </c>
      <c r="H126" s="855">
        <f>(AB126*KFC!$B$27+KFC!$C$27)*KFC!$C$5</f>
        <v>167.88</v>
      </c>
      <c r="I126" s="855">
        <f>(AC126*KFC!$B$27+KFC!$C$27)*KFC!$C$5</f>
        <v>178.36</v>
      </c>
      <c r="J126" s="855">
        <f>(AD126*KFC!$B$27+KFC!$C$27)*KFC!$C$5</f>
        <v>188.85</v>
      </c>
      <c r="K126" s="855">
        <f>(AE126*KFC!$B$27+KFC!$C$27)*KFC!$C$5</f>
        <v>199.57</v>
      </c>
      <c r="L126" s="855">
        <f>(AF126*KFC!$B$27+KFC!$C$27)*KFC!$C$5</f>
        <v>210.18</v>
      </c>
      <c r="M126" s="855">
        <f>(AG126*KFC!$B$27+KFC!$C$27)*KFC!$C$5</f>
        <v>220.78</v>
      </c>
      <c r="N126" s="855">
        <f>(AH126*KFC!$B$27+KFC!$C$27)*KFC!$C$5</f>
        <v>231.38</v>
      </c>
      <c r="O126" s="855">
        <f>(AI126*KFC!$B$27+KFC!$C$27)*KFC!$C$5</f>
        <v>241.98</v>
      </c>
      <c r="P126" s="855">
        <f>(AJ126*KFC!$B$27+KFC!$C$27)*KFC!$C$5</f>
        <v>252.57999999999998</v>
      </c>
      <c r="Q126" s="855">
        <f>(AK126*KFC!$B$27+KFC!$C$27)*KFC!$C$5</f>
        <v>263.17999999999995</v>
      </c>
      <c r="R126" s="855">
        <f>(AL126*KFC!$B$27+KFC!$C$27)*KFC!$C$5</f>
        <v>273.77999999999992</v>
      </c>
      <c r="S126" s="855">
        <f>(AM126*KFC!$B$27+KFC!$C$27)*KFC!$C$5</f>
        <v>284.37999999999988</v>
      </c>
      <c r="T126" s="855">
        <f>(AN126*KFC!$B$27+KFC!$C$27)*KFC!$C$5</f>
        <v>294.97999999999985</v>
      </c>
      <c r="V126" s="851">
        <v>1.9</v>
      </c>
      <c r="W126" s="847">
        <v>114.75</v>
      </c>
      <c r="X126" s="847">
        <v>125.35</v>
      </c>
      <c r="Y126" s="847">
        <v>136.07</v>
      </c>
      <c r="Z126" s="847">
        <v>146.66999999999999</v>
      </c>
      <c r="AA126" s="847">
        <v>157.16</v>
      </c>
      <c r="AB126" s="847">
        <v>167.88</v>
      </c>
      <c r="AC126" s="847">
        <v>178.36</v>
      </c>
      <c r="AD126" s="847">
        <v>188.85</v>
      </c>
      <c r="AE126" s="847">
        <v>199.57</v>
      </c>
      <c r="AF126" s="847">
        <v>210.18</v>
      </c>
      <c r="AG126" s="847">
        <v>220.78</v>
      </c>
      <c r="AH126" s="847">
        <v>231.38</v>
      </c>
      <c r="AI126" s="848">
        <v>241.98</v>
      </c>
      <c r="AJ126" s="690">
        <f t="shared" si="17"/>
        <v>252.57999999999998</v>
      </c>
      <c r="AK126" s="690">
        <f t="shared" si="18"/>
        <v>263.17999999999995</v>
      </c>
      <c r="AL126" s="690">
        <f t="shared" si="18"/>
        <v>273.77999999999992</v>
      </c>
      <c r="AM126" s="690">
        <f t="shared" si="18"/>
        <v>284.37999999999988</v>
      </c>
      <c r="AN126" s="690">
        <f t="shared" si="18"/>
        <v>294.97999999999985</v>
      </c>
      <c r="AO126" s="690">
        <f t="shared" si="18"/>
        <v>305.57999999999981</v>
      </c>
      <c r="AP126" s="690">
        <f t="shared" si="18"/>
        <v>316.17999999999978</v>
      </c>
    </row>
    <row r="127" spans="1:42">
      <c r="A127" s="1816"/>
      <c r="B127" s="849">
        <v>2</v>
      </c>
      <c r="C127" s="855">
        <f>(W127*KFC!$B$27+KFC!$C$27)*KFC!$C$5</f>
        <v>118.87</v>
      </c>
      <c r="D127" s="855">
        <f>(X127*KFC!$B$27+KFC!$C$27)*KFC!$C$5</f>
        <v>129.71</v>
      </c>
      <c r="E127" s="855">
        <f>(Y127*KFC!$B$27+KFC!$C$27)*KFC!$C$5</f>
        <v>140.43</v>
      </c>
      <c r="F127" s="855">
        <f>(Z127*KFC!$B$27+KFC!$C$27)*KFC!$C$5</f>
        <v>151.38999999999999</v>
      </c>
      <c r="G127" s="855">
        <f>(AA127*KFC!$B$27+KFC!$C$27)*KFC!$C$5</f>
        <v>162.11000000000001</v>
      </c>
      <c r="H127" s="855">
        <f>(AB127*KFC!$B$27+KFC!$C$27)*KFC!$C$5</f>
        <v>172.95</v>
      </c>
      <c r="I127" s="855">
        <f>(AC127*KFC!$B$27+KFC!$C$27)*KFC!$C$5</f>
        <v>183.67</v>
      </c>
      <c r="J127" s="855">
        <f>(AD127*KFC!$B$27+KFC!$C$27)*KFC!$C$5</f>
        <v>194.5</v>
      </c>
      <c r="K127" s="855">
        <f>(AE127*KFC!$B$27+KFC!$C$27)*KFC!$C$5</f>
        <v>205.35</v>
      </c>
      <c r="L127" s="855">
        <f>(AF127*KFC!$B$27+KFC!$C$27)*KFC!$C$5</f>
        <v>216.18</v>
      </c>
      <c r="M127" s="855">
        <f>(AG127*KFC!$B$27+KFC!$C$27)*KFC!$C$5</f>
        <v>226.91</v>
      </c>
      <c r="N127" s="855">
        <f>(AH127*KFC!$B$27+KFC!$C$27)*KFC!$C$5</f>
        <v>237.74</v>
      </c>
      <c r="O127" s="855">
        <f>(AI127*KFC!$B$27+KFC!$C$27)*KFC!$C$5</f>
        <v>248.58</v>
      </c>
      <c r="P127" s="855">
        <f>(AJ127*KFC!$B$27+KFC!$C$27)*KFC!$C$5</f>
        <v>259.42</v>
      </c>
      <c r="Q127" s="855">
        <f>(AK127*KFC!$B$27+KFC!$C$27)*KFC!$C$5</f>
        <v>270.26</v>
      </c>
      <c r="R127" s="855">
        <f>(AL127*KFC!$B$27+KFC!$C$27)*KFC!$C$5</f>
        <v>281.09999999999997</v>
      </c>
      <c r="S127" s="855">
        <f>(AM127*KFC!$B$27+KFC!$C$27)*KFC!$C$5</f>
        <v>291.93999999999994</v>
      </c>
      <c r="T127" s="855">
        <f>(AN127*KFC!$B$27+KFC!$C$27)*KFC!$C$5</f>
        <v>302.77999999999992</v>
      </c>
      <c r="V127" s="851">
        <v>2</v>
      </c>
      <c r="W127" s="847">
        <v>118.87</v>
      </c>
      <c r="X127" s="847">
        <v>129.71</v>
      </c>
      <c r="Y127" s="847">
        <v>140.43</v>
      </c>
      <c r="Z127" s="847">
        <v>151.38999999999999</v>
      </c>
      <c r="AA127" s="847">
        <v>162.11000000000001</v>
      </c>
      <c r="AB127" s="847">
        <v>172.95</v>
      </c>
      <c r="AC127" s="847">
        <v>183.67</v>
      </c>
      <c r="AD127" s="847">
        <v>194.5</v>
      </c>
      <c r="AE127" s="847">
        <v>205.35</v>
      </c>
      <c r="AF127" s="847">
        <v>216.18</v>
      </c>
      <c r="AG127" s="847">
        <v>226.91</v>
      </c>
      <c r="AH127" s="847">
        <v>237.74</v>
      </c>
      <c r="AI127" s="848">
        <v>248.58</v>
      </c>
      <c r="AJ127" s="690">
        <f t="shared" si="17"/>
        <v>259.42</v>
      </c>
      <c r="AK127" s="690">
        <f t="shared" si="18"/>
        <v>270.26</v>
      </c>
      <c r="AL127" s="690">
        <f t="shared" si="18"/>
        <v>281.09999999999997</v>
      </c>
      <c r="AM127" s="690">
        <f t="shared" si="18"/>
        <v>291.93999999999994</v>
      </c>
      <c r="AN127" s="690">
        <f t="shared" si="18"/>
        <v>302.77999999999992</v>
      </c>
      <c r="AO127" s="690">
        <f t="shared" si="18"/>
        <v>313.61999999999989</v>
      </c>
      <c r="AP127" s="690">
        <f t="shared" si="18"/>
        <v>324.45999999999987</v>
      </c>
    </row>
    <row r="128" spans="1:42">
      <c r="A128" s="1816"/>
      <c r="B128" s="849">
        <v>2.1</v>
      </c>
      <c r="C128" s="855">
        <f>(W128*KFC!$B$27+KFC!$C$27)*KFC!$C$5</f>
        <v>123</v>
      </c>
      <c r="D128" s="855">
        <f>(X128*KFC!$B$27+KFC!$C$27)*KFC!$C$5</f>
        <v>134.07</v>
      </c>
      <c r="E128" s="855">
        <f>(Y128*KFC!$B$27+KFC!$C$27)*KFC!$C$5</f>
        <v>144.80000000000001</v>
      </c>
      <c r="F128" s="855">
        <f>(Z128*KFC!$B$27+KFC!$C$27)*KFC!$C$5</f>
        <v>156.1</v>
      </c>
      <c r="G128" s="855">
        <f>(AA128*KFC!$B$27+KFC!$C$27)*KFC!$C$5</f>
        <v>167.06</v>
      </c>
      <c r="H128" s="855">
        <f>(AB128*KFC!$B$27+KFC!$C$27)*KFC!$C$5</f>
        <v>178.01</v>
      </c>
      <c r="I128" s="855">
        <f>(AC128*KFC!$B$27+KFC!$C$27)*KFC!$C$5</f>
        <v>188.97</v>
      </c>
      <c r="J128" s="855">
        <f>(AD128*KFC!$B$27+KFC!$C$27)*KFC!$C$5</f>
        <v>200.16</v>
      </c>
      <c r="K128" s="855">
        <f>(AE128*KFC!$B$27+KFC!$C$27)*KFC!$C$5</f>
        <v>211.11</v>
      </c>
      <c r="L128" s="855">
        <f>(AF128*KFC!$B$27+KFC!$C$27)*KFC!$C$5</f>
        <v>222.19</v>
      </c>
      <c r="M128" s="855">
        <f>(AG128*KFC!$B$27+KFC!$C$27)*KFC!$C$5</f>
        <v>233.04</v>
      </c>
      <c r="N128" s="855">
        <f>(AH128*KFC!$B$27+KFC!$C$27)*KFC!$C$5</f>
        <v>244.09</v>
      </c>
      <c r="O128" s="855">
        <f>(AI128*KFC!$B$27+KFC!$C$27)*KFC!$C$5</f>
        <v>255.17</v>
      </c>
      <c r="P128" s="855">
        <f>(AJ128*KFC!$B$27+KFC!$C$27)*KFC!$C$5</f>
        <v>266.25</v>
      </c>
      <c r="Q128" s="855">
        <f>(AK128*KFC!$B$27+KFC!$C$27)*KFC!$C$5</f>
        <v>277.33000000000004</v>
      </c>
      <c r="R128" s="855">
        <f>(AL128*KFC!$B$27+KFC!$C$27)*KFC!$C$5</f>
        <v>288.41000000000008</v>
      </c>
      <c r="S128" s="855">
        <f>(AM128*KFC!$B$27+KFC!$C$27)*KFC!$C$5</f>
        <v>299.49000000000012</v>
      </c>
      <c r="T128" s="855">
        <f>(AN128*KFC!$B$27+KFC!$C$27)*KFC!$C$5</f>
        <v>310.57000000000016</v>
      </c>
      <c r="V128" s="851">
        <v>2.1</v>
      </c>
      <c r="W128" s="847">
        <v>123</v>
      </c>
      <c r="X128" s="847">
        <v>134.07</v>
      </c>
      <c r="Y128" s="847">
        <v>144.80000000000001</v>
      </c>
      <c r="Z128" s="847">
        <v>156.1</v>
      </c>
      <c r="AA128" s="847">
        <v>167.06</v>
      </c>
      <c r="AB128" s="847">
        <v>178.01</v>
      </c>
      <c r="AC128" s="847">
        <v>188.97</v>
      </c>
      <c r="AD128" s="847">
        <v>200.16</v>
      </c>
      <c r="AE128" s="847">
        <v>211.11</v>
      </c>
      <c r="AF128" s="847">
        <v>222.19</v>
      </c>
      <c r="AG128" s="847">
        <v>233.04</v>
      </c>
      <c r="AH128" s="847">
        <v>244.09</v>
      </c>
      <c r="AI128" s="848">
        <v>255.17</v>
      </c>
      <c r="AJ128" s="690">
        <f t="shared" si="17"/>
        <v>266.25</v>
      </c>
      <c r="AK128" s="690">
        <f t="shared" ref="AK128:AP129" si="19">AJ128-AI128+AJ128</f>
        <v>277.33000000000004</v>
      </c>
      <c r="AL128" s="690">
        <f t="shared" si="19"/>
        <v>288.41000000000008</v>
      </c>
      <c r="AM128" s="690">
        <f t="shared" si="19"/>
        <v>299.49000000000012</v>
      </c>
      <c r="AN128" s="690">
        <f t="shared" si="19"/>
        <v>310.57000000000016</v>
      </c>
      <c r="AO128" s="690">
        <f t="shared" si="19"/>
        <v>321.6500000000002</v>
      </c>
      <c r="AP128" s="690">
        <f t="shared" si="19"/>
        <v>332.73000000000025</v>
      </c>
    </row>
    <row r="129" spans="1:42" ht="13.8" thickBot="1">
      <c r="A129" s="1817"/>
      <c r="B129" s="849">
        <v>2.2000000000000002</v>
      </c>
      <c r="C129" s="855">
        <f>(W129*KFC!$B$27+KFC!$C$27)*KFC!$C$5</f>
        <v>127.12</v>
      </c>
      <c r="D129" s="855">
        <f>(X129*KFC!$B$27+KFC!$C$27)*KFC!$C$5</f>
        <v>138.43</v>
      </c>
      <c r="E129" s="855">
        <f>(Y129*KFC!$B$27+KFC!$C$27)*KFC!$C$5</f>
        <v>149.13999999999999</v>
      </c>
      <c r="F129" s="855">
        <f>(Z129*KFC!$B$27+KFC!$C$27)*KFC!$C$5</f>
        <v>160.81</v>
      </c>
      <c r="G129" s="855">
        <f>(AA129*KFC!$B$27+KFC!$C$27)*KFC!$C$5</f>
        <v>172</v>
      </c>
      <c r="H129" s="855">
        <f>(AB129*KFC!$B$27+KFC!$C$27)*KFC!$C$5</f>
        <v>183.08</v>
      </c>
      <c r="I129" s="855">
        <f>(AC129*KFC!$B$27+KFC!$C$27)*KFC!$C$5</f>
        <v>194.27</v>
      </c>
      <c r="J129" s="855">
        <f>(AD129*KFC!$B$27+KFC!$C$27)*KFC!$C$5</f>
        <v>205.81</v>
      </c>
      <c r="K129" s="855">
        <f>(AE129*KFC!$B$27+KFC!$C$27)*KFC!$C$5</f>
        <v>216.89</v>
      </c>
      <c r="L129" s="855">
        <f>(AF129*KFC!$B$27+KFC!$C$27)*KFC!$C$5</f>
        <v>228.2</v>
      </c>
      <c r="M129" s="855">
        <f>(AG129*KFC!$B$27+KFC!$C$27)*KFC!$C$5</f>
        <v>239.16</v>
      </c>
      <c r="N129" s="855">
        <f>(AH129*KFC!$B$27+KFC!$C$27)*KFC!$C$5</f>
        <v>250.47</v>
      </c>
      <c r="O129" s="855">
        <f>(AI129*KFC!$B$27+KFC!$C$27)*KFC!$C$5</f>
        <v>261.77</v>
      </c>
      <c r="P129" s="855">
        <f>(AJ129*KFC!$B$27+KFC!$C$27)*KFC!$C$5</f>
        <v>273.06999999999994</v>
      </c>
      <c r="Q129" s="855">
        <f>(AK129*KFC!$B$27+KFC!$C$27)*KFC!$C$5</f>
        <v>284.36999999999989</v>
      </c>
      <c r="R129" s="855">
        <f>(AL129*KFC!$B$27+KFC!$C$27)*KFC!$C$5</f>
        <v>295.66999999999985</v>
      </c>
      <c r="S129" s="855">
        <f>(AM129*KFC!$B$27+KFC!$C$27)*KFC!$C$5</f>
        <v>306.9699999999998</v>
      </c>
      <c r="T129" s="855">
        <f>(AN129*KFC!$B$27+KFC!$C$27)*KFC!$C$5</f>
        <v>318.26999999999975</v>
      </c>
      <c r="V129" s="851">
        <v>2.2000000000000002</v>
      </c>
      <c r="W129" s="847">
        <v>127.12</v>
      </c>
      <c r="X129" s="847">
        <v>138.43</v>
      </c>
      <c r="Y129" s="847">
        <v>149.13999999999999</v>
      </c>
      <c r="Z129" s="847">
        <v>160.81</v>
      </c>
      <c r="AA129" s="847">
        <v>172</v>
      </c>
      <c r="AB129" s="847">
        <v>183.08</v>
      </c>
      <c r="AC129" s="847">
        <v>194.27</v>
      </c>
      <c r="AD129" s="847">
        <v>205.81</v>
      </c>
      <c r="AE129" s="847">
        <v>216.89</v>
      </c>
      <c r="AF129" s="847">
        <v>228.2</v>
      </c>
      <c r="AG129" s="847">
        <v>239.16</v>
      </c>
      <c r="AH129" s="847">
        <v>250.47</v>
      </c>
      <c r="AI129" s="848">
        <v>261.77</v>
      </c>
      <c r="AJ129" s="690">
        <f t="shared" si="17"/>
        <v>273.06999999999994</v>
      </c>
      <c r="AK129" s="690">
        <f t="shared" si="19"/>
        <v>284.36999999999989</v>
      </c>
      <c r="AL129" s="690">
        <f t="shared" si="19"/>
        <v>295.66999999999985</v>
      </c>
      <c r="AM129" s="690">
        <f t="shared" si="19"/>
        <v>306.9699999999998</v>
      </c>
      <c r="AN129" s="690">
        <f t="shared" si="19"/>
        <v>318.26999999999975</v>
      </c>
      <c r="AO129" s="690">
        <f t="shared" si="19"/>
        <v>329.56999999999971</v>
      </c>
      <c r="AP129" s="690">
        <f t="shared" si="19"/>
        <v>340.86999999999966</v>
      </c>
    </row>
    <row r="130" spans="1:42">
      <c r="A130" s="1809" t="s">
        <v>1165</v>
      </c>
      <c r="B130" s="1809"/>
      <c r="C130" s="1809"/>
      <c r="D130" s="1809"/>
      <c r="E130" s="1809"/>
      <c r="F130" s="1809"/>
      <c r="G130" s="1809"/>
      <c r="H130" s="1809"/>
      <c r="I130" s="831">
        <v>0.15</v>
      </c>
      <c r="J130" s="438"/>
      <c r="K130" s="438"/>
      <c r="L130" s="438"/>
      <c r="M130" s="438"/>
      <c r="N130" s="438"/>
      <c r="O130" s="438"/>
      <c r="P130" s="438"/>
      <c r="Q130" s="438"/>
      <c r="R130" s="438"/>
      <c r="S130" s="438"/>
      <c r="T130" s="438"/>
    </row>
    <row r="131" spans="1:42">
      <c r="A131" s="842" t="s">
        <v>1169</v>
      </c>
      <c r="B131" s="842"/>
      <c r="C131" s="842"/>
      <c r="D131" s="842"/>
      <c r="E131" s="842"/>
      <c r="F131" s="842"/>
      <c r="G131" s="842"/>
      <c r="H131" s="842"/>
      <c r="I131" s="831"/>
      <c r="J131" s="438"/>
      <c r="K131" s="438"/>
      <c r="L131" s="438"/>
      <c r="M131" s="438"/>
      <c r="N131" s="438"/>
      <c r="O131" s="438"/>
      <c r="P131" s="438"/>
      <c r="Q131" s="438"/>
      <c r="R131" s="438"/>
      <c r="S131" s="438"/>
      <c r="T131" s="438"/>
    </row>
    <row r="132" spans="1:42">
      <c r="A132" s="842" t="s">
        <v>1177</v>
      </c>
      <c r="B132" s="842"/>
      <c r="C132" s="842"/>
      <c r="D132" s="842"/>
      <c r="E132" s="842"/>
      <c r="F132" s="842"/>
      <c r="G132" s="842"/>
      <c r="H132" s="842"/>
      <c r="I132" s="831"/>
      <c r="J132" s="438"/>
      <c r="K132" s="438"/>
      <c r="L132" s="438"/>
      <c r="M132" s="438"/>
      <c r="N132" s="438"/>
      <c r="O132" s="438"/>
      <c r="P132" s="438"/>
      <c r="Q132" s="438"/>
      <c r="R132" s="438"/>
      <c r="S132" s="438"/>
      <c r="T132" s="438"/>
    </row>
    <row r="133" spans="1:42" s="1" customFormat="1">
      <c r="A133" s="842" t="s">
        <v>1176</v>
      </c>
      <c r="B133" s="842"/>
      <c r="C133" s="842"/>
      <c r="D133" s="842"/>
      <c r="E133" s="842"/>
      <c r="F133" s="842"/>
      <c r="G133" s="842"/>
      <c r="H133" s="842"/>
      <c r="I133" s="831"/>
      <c r="J133" s="438"/>
      <c r="K133" s="438"/>
      <c r="L133" s="438"/>
    </row>
    <row r="134" spans="1:42">
      <c r="A134" s="185" t="s">
        <v>303</v>
      </c>
      <c r="B134" s="184"/>
      <c r="C134" s="438"/>
      <c r="D134" s="438"/>
      <c r="E134" s="438"/>
      <c r="F134" s="438"/>
      <c r="G134" s="438"/>
      <c r="H134" s="438"/>
      <c r="I134" s="438"/>
      <c r="J134" s="438"/>
      <c r="K134" s="438"/>
      <c r="L134" s="438"/>
      <c r="M134" s="438"/>
      <c r="N134" s="438"/>
      <c r="O134" s="438"/>
      <c r="P134" s="438"/>
      <c r="Q134" s="438"/>
      <c r="R134" s="438"/>
      <c r="S134" s="438"/>
      <c r="T134" s="438"/>
    </row>
    <row r="135" spans="1:42">
      <c r="A135" s="250" t="s">
        <v>201</v>
      </c>
      <c r="B135" s="166"/>
      <c r="C135" s="166"/>
      <c r="D135" s="166"/>
      <c r="E135" s="166"/>
      <c r="F135" s="166"/>
      <c r="G135" s="102"/>
      <c r="H135" s="102"/>
      <c r="I135" s="102"/>
      <c r="J135" s="102"/>
      <c r="K135" s="102"/>
      <c r="L135" s="102"/>
      <c r="M135" s="438"/>
      <c r="N135" s="438"/>
      <c r="O135" s="438"/>
      <c r="P135" s="438"/>
      <c r="Q135" s="438"/>
      <c r="R135" s="438"/>
      <c r="S135" s="438"/>
      <c r="T135" s="438"/>
    </row>
    <row r="136" spans="1:42">
      <c r="A136" s="3"/>
      <c r="B136" s="3"/>
      <c r="C136" s="3"/>
      <c r="D136" s="3"/>
      <c r="E136" s="3"/>
      <c r="F136" s="1"/>
      <c r="G136" s="1"/>
      <c r="H136" s="22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</row>
    <row r="137" spans="1:42">
      <c r="A137" s="3"/>
      <c r="B137" s="3"/>
      <c r="C137" s="3"/>
      <c r="D137" s="3"/>
      <c r="E137" s="3"/>
      <c r="F137" s="1"/>
      <c r="G137" s="1"/>
      <c r="H137" s="22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</row>
    <row r="138" spans="1:42">
      <c r="A138" s="3"/>
      <c r="B138" s="3"/>
      <c r="C138" s="3"/>
      <c r="D138" s="3"/>
      <c r="E138" s="3"/>
      <c r="F138" s="1"/>
      <c r="G138" s="1"/>
      <c r="H138" s="22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</row>
    <row r="139" spans="1:42">
      <c r="A139" s="3"/>
      <c r="B139" s="3"/>
      <c r="C139" s="3"/>
      <c r="D139" s="3"/>
      <c r="E139" s="3"/>
      <c r="F139" s="1"/>
      <c r="G139" s="1"/>
      <c r="H139" s="22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</row>
    <row r="140" spans="1:42">
      <c r="A140" s="3"/>
      <c r="B140" s="3"/>
      <c r="C140" s="3"/>
      <c r="D140" s="3"/>
      <c r="E140" s="3"/>
      <c r="F140" s="1"/>
      <c r="G140" s="1"/>
      <c r="H140" s="22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</row>
    <row r="141" spans="1:42" ht="18" customHeight="1">
      <c r="A141" s="1800" t="s">
        <v>1166</v>
      </c>
      <c r="B141" s="1800"/>
      <c r="C141" s="1800"/>
      <c r="D141" s="1800"/>
      <c r="E141" s="1800"/>
      <c r="F141" s="1800"/>
      <c r="G141" s="1800"/>
      <c r="H141" s="1800"/>
      <c r="I141" s="1800"/>
      <c r="J141" s="1800"/>
      <c r="K141" s="1800"/>
      <c r="L141" s="1800"/>
      <c r="M141" s="1800"/>
      <c r="N141" s="1800"/>
      <c r="O141" s="1800"/>
      <c r="P141" s="1800"/>
      <c r="Q141" s="1800"/>
      <c r="R141" s="1800"/>
      <c r="S141" s="1800"/>
      <c r="T141" s="1800"/>
    </row>
    <row r="142" spans="1:42" ht="16.2" thickBot="1">
      <c r="A142" s="1824" t="s">
        <v>685</v>
      </c>
      <c r="B142" s="1824"/>
      <c r="C142" s="1824"/>
      <c r="D142" s="1824"/>
      <c r="E142" s="1824"/>
      <c r="F142" s="1824"/>
      <c r="G142" s="1824"/>
      <c r="H142" s="1824"/>
      <c r="I142" s="1824"/>
      <c r="J142" s="1824"/>
      <c r="K142" s="1824"/>
      <c r="L142" s="1824"/>
      <c r="M142" s="1824"/>
      <c r="N142" s="1824"/>
      <c r="O142" s="1824"/>
      <c r="P142" s="1824"/>
      <c r="Q142" s="1824"/>
      <c r="R142" s="1824"/>
      <c r="S142" s="1824"/>
      <c r="T142" s="1824"/>
    </row>
    <row r="143" spans="1:42" s="1" customFormat="1" ht="14.4" customHeight="1" thickBot="1">
      <c r="A143" s="856"/>
      <c r="B143" s="856"/>
      <c r="C143" s="856"/>
      <c r="D143" s="856"/>
      <c r="E143" s="856"/>
      <c r="F143" s="856"/>
      <c r="G143" s="1665" t="s">
        <v>88</v>
      </c>
      <c r="H143" s="1666"/>
      <c r="I143" s="1810"/>
      <c r="J143" s="1114" t="s">
        <v>87</v>
      </c>
      <c r="K143" s="1006"/>
      <c r="L143" s="1006"/>
      <c r="M143" s="1006"/>
      <c r="N143" s="1006"/>
      <c r="O143" s="1006"/>
      <c r="P143" s="1115"/>
      <c r="Q143" s="1641" t="s">
        <v>24</v>
      </c>
      <c r="R143" s="1813"/>
      <c r="S143" s="856"/>
      <c r="T143" s="856"/>
    </row>
    <row r="144" spans="1:42" s="1" customFormat="1" ht="28.95" customHeight="1" thickBot="1">
      <c r="G144" s="1811" t="s">
        <v>884</v>
      </c>
      <c r="H144" s="1812"/>
      <c r="I144" s="1812"/>
      <c r="J144" s="1814" t="s">
        <v>885</v>
      </c>
      <c r="K144" s="1814"/>
      <c r="L144" s="1814"/>
      <c r="M144" s="1814"/>
      <c r="N144" s="1814"/>
      <c r="O144" s="1814"/>
      <c r="P144" s="1814"/>
      <c r="Q144" s="1807">
        <f>(107.59*KFC!$B$41+KFC!$C$41)*KFC!$C$5</f>
        <v>107.59</v>
      </c>
      <c r="R144" s="1808"/>
    </row>
    <row r="145" spans="1:20" s="1" customFormat="1" ht="30.6" customHeight="1" thickBot="1">
      <c r="A145" s="1065" t="s">
        <v>1167</v>
      </c>
      <c r="B145" s="1065"/>
      <c r="C145" s="1065"/>
      <c r="D145" s="1065"/>
      <c r="E145" s="1065"/>
      <c r="F145" s="1065"/>
      <c r="G145" s="1065"/>
      <c r="H145" s="1065"/>
      <c r="I145" s="1065"/>
      <c r="J145" s="1065"/>
      <c r="K145" s="1065"/>
      <c r="L145" s="1065"/>
      <c r="M145" s="1065"/>
      <c r="N145" s="1065"/>
      <c r="O145" s="1065"/>
      <c r="P145" s="1065"/>
      <c r="Q145" s="1065"/>
      <c r="R145" s="1065"/>
      <c r="S145" s="1065"/>
      <c r="T145" s="1065"/>
    </row>
    <row r="146" spans="1:20" s="1" customFormat="1" ht="14.4" customHeight="1" thickBot="1">
      <c r="A146" s="838"/>
      <c r="B146" s="838"/>
      <c r="C146" s="838"/>
      <c r="D146" s="838"/>
      <c r="E146" s="838"/>
      <c r="F146" s="838"/>
      <c r="G146" s="1797" t="s">
        <v>88</v>
      </c>
      <c r="H146" s="1798"/>
      <c r="I146" s="1798"/>
      <c r="J146" s="1051" t="s">
        <v>87</v>
      </c>
      <c r="K146" s="1052"/>
      <c r="L146" s="1052"/>
      <c r="M146" s="1052"/>
      <c r="N146" s="1052"/>
      <c r="O146" s="1052"/>
      <c r="P146" s="1053"/>
      <c r="Q146" s="1049" t="s">
        <v>24</v>
      </c>
      <c r="R146" s="1050"/>
      <c r="S146" s="838"/>
      <c r="T146" s="838"/>
    </row>
    <row r="147" spans="1:20" s="1" customFormat="1" ht="27" customHeight="1">
      <c r="G147" s="1653" t="s">
        <v>884</v>
      </c>
      <c r="H147" s="1654"/>
      <c r="I147" s="1654"/>
      <c r="J147" s="1804" t="s">
        <v>886</v>
      </c>
      <c r="K147" s="1804"/>
      <c r="L147" s="1804"/>
      <c r="M147" s="1804"/>
      <c r="N147" s="1804"/>
      <c r="O147" s="1804"/>
      <c r="P147" s="1804"/>
      <c r="Q147" s="1805">
        <f>(31.65*KFC!$B$41+KFC!$C$41)*KFC!$C$5</f>
        <v>31.65</v>
      </c>
      <c r="R147" s="1806"/>
    </row>
    <row r="148" spans="1:20" s="1" customFormat="1" ht="27" customHeight="1">
      <c r="G148" s="1035" t="s">
        <v>884</v>
      </c>
      <c r="H148" s="1218"/>
      <c r="I148" s="1218"/>
      <c r="J148" s="1650" t="s">
        <v>887</v>
      </c>
      <c r="K148" s="1650"/>
      <c r="L148" s="1650"/>
      <c r="M148" s="1650"/>
      <c r="N148" s="1650"/>
      <c r="O148" s="1650"/>
      <c r="P148" s="1650"/>
      <c r="Q148" s="1794">
        <f>(37.97*KFC!$B$41+KFC!$C$41)*KFC!$C$5</f>
        <v>37.97</v>
      </c>
      <c r="R148" s="1795"/>
    </row>
    <row r="149" spans="1:20" s="1" customFormat="1" ht="27" customHeight="1">
      <c r="G149" s="1035" t="s">
        <v>884</v>
      </c>
      <c r="H149" s="1218"/>
      <c r="I149" s="1218"/>
      <c r="J149" s="1650" t="s">
        <v>888</v>
      </c>
      <c r="K149" s="1650"/>
      <c r="L149" s="1650"/>
      <c r="M149" s="1650"/>
      <c r="N149" s="1650"/>
      <c r="O149" s="1650"/>
      <c r="P149" s="1650"/>
      <c r="Q149" s="1794">
        <f>(44.3*KFC!$B$41+KFC!$C$41)*KFC!$C$5</f>
        <v>44.3</v>
      </c>
      <c r="R149" s="1795"/>
    </row>
    <row r="150" spans="1:20" s="1" customFormat="1" ht="28.95" customHeight="1">
      <c r="G150" s="1035" t="s">
        <v>884</v>
      </c>
      <c r="H150" s="1218"/>
      <c r="I150" s="1218"/>
      <c r="J150" s="1650" t="s">
        <v>889</v>
      </c>
      <c r="K150" s="1650"/>
      <c r="L150" s="1650"/>
      <c r="M150" s="1650"/>
      <c r="N150" s="1650"/>
      <c r="O150" s="1650"/>
      <c r="P150" s="1650"/>
      <c r="Q150" s="1293">
        <f>(18.35*KFC!$B$41+KFC!$C$41)*KFC!$C$5</f>
        <v>18.350000000000001</v>
      </c>
      <c r="R150" s="1294"/>
    </row>
    <row r="151" spans="1:20" s="1" customFormat="1" ht="28.95" customHeight="1">
      <c r="G151" s="1035" t="s">
        <v>884</v>
      </c>
      <c r="H151" s="1218"/>
      <c r="I151" s="1218"/>
      <c r="J151" s="1650" t="s">
        <v>1006</v>
      </c>
      <c r="K151" s="1650"/>
      <c r="L151" s="1650"/>
      <c r="M151" s="1650"/>
      <c r="N151" s="1650"/>
      <c r="O151" s="1650"/>
      <c r="P151" s="1650"/>
      <c r="Q151" s="1293">
        <f>(75.95*KFC!$B$41+KFC!$C$41)*KFC!$C$5</f>
        <v>75.95</v>
      </c>
      <c r="R151" s="1294"/>
    </row>
    <row r="152" spans="1:20" s="1" customFormat="1" ht="28.95" customHeight="1" thickBot="1">
      <c r="G152" s="1036" t="s">
        <v>884</v>
      </c>
      <c r="H152" s="1564"/>
      <c r="I152" s="1564"/>
      <c r="J152" s="1556" t="s">
        <v>1054</v>
      </c>
      <c r="K152" s="1556"/>
      <c r="L152" s="1556"/>
      <c r="M152" s="1556"/>
      <c r="N152" s="1556"/>
      <c r="O152" s="1556"/>
      <c r="P152" s="1556"/>
      <c r="Q152" s="1295">
        <f>(76*KFC!$B$41+KFC!$C$41)*KFC!$C$5</f>
        <v>76</v>
      </c>
      <c r="R152" s="1296"/>
    </row>
    <row r="153" spans="1:20" s="1" customFormat="1" ht="28.95" customHeight="1">
      <c r="A153" s="549"/>
      <c r="B153" s="549"/>
      <c r="C153" s="549"/>
      <c r="D153" s="60"/>
      <c r="E153" s="60"/>
      <c r="F153" s="60"/>
      <c r="G153" s="60"/>
      <c r="H153" s="60"/>
      <c r="I153" s="60"/>
      <c r="J153" s="60"/>
      <c r="K153" s="719"/>
      <c r="L153" s="719"/>
    </row>
  </sheetData>
  <mergeCells count="55">
    <mergeCell ref="G152:I152"/>
    <mergeCell ref="J152:P152"/>
    <mergeCell ref="Q152:R152"/>
    <mergeCell ref="Q149:R149"/>
    <mergeCell ref="G150:I150"/>
    <mergeCell ref="J150:P150"/>
    <mergeCell ref="Q150:R150"/>
    <mergeCell ref="G151:I151"/>
    <mergeCell ref="J151:P151"/>
    <mergeCell ref="Q151:R151"/>
    <mergeCell ref="G149:I149"/>
    <mergeCell ref="J149:P149"/>
    <mergeCell ref="A1:T1"/>
    <mergeCell ref="A2:T2"/>
    <mergeCell ref="A130:H130"/>
    <mergeCell ref="A7:A24"/>
    <mergeCell ref="A28:A45"/>
    <mergeCell ref="A49:A66"/>
    <mergeCell ref="A70:A87"/>
    <mergeCell ref="A91:A108"/>
    <mergeCell ref="A47:B48"/>
    <mergeCell ref="A26:B27"/>
    <mergeCell ref="E4:L4"/>
    <mergeCell ref="A4:D4"/>
    <mergeCell ref="A5:B6"/>
    <mergeCell ref="A112:A129"/>
    <mergeCell ref="A89:B90"/>
    <mergeCell ref="A110:B111"/>
    <mergeCell ref="Q146:R146"/>
    <mergeCell ref="Q147:R147"/>
    <mergeCell ref="G144:I144"/>
    <mergeCell ref="Q148:R148"/>
    <mergeCell ref="G147:I147"/>
    <mergeCell ref="J144:P144"/>
    <mergeCell ref="A145:T145"/>
    <mergeCell ref="Q144:R144"/>
    <mergeCell ref="J147:P147"/>
    <mergeCell ref="G148:I148"/>
    <mergeCell ref="G146:I146"/>
    <mergeCell ref="J146:P146"/>
    <mergeCell ref="J148:P148"/>
    <mergeCell ref="G143:I143"/>
    <mergeCell ref="J143:P143"/>
    <mergeCell ref="Q143:R143"/>
    <mergeCell ref="A141:T141"/>
    <mergeCell ref="A142:T142"/>
    <mergeCell ref="C89:T89"/>
    <mergeCell ref="C110:T110"/>
    <mergeCell ref="C47:T47"/>
    <mergeCell ref="C68:T68"/>
    <mergeCell ref="A3:D3"/>
    <mergeCell ref="E3:L3"/>
    <mergeCell ref="A68:B69"/>
    <mergeCell ref="C5:T5"/>
    <mergeCell ref="C26:T26"/>
  </mergeCells>
  <hyperlinks>
    <hyperlink ref="E4" r:id="rId1" xr:uid="{A709DBA5-EC54-4C1C-B18B-28C59B0F87FB}"/>
    <hyperlink ref="E3" r:id="rId2" xr:uid="{01B0B0FB-6EE6-4CC3-9A97-C40F02B838AC}"/>
  </hyperlinks>
  <pageMargins left="0.7" right="0.7" top="0.75" bottom="0.75" header="0.3" footer="0.3"/>
  <pageSetup paperSize="9" scale="68" orientation="landscape" r:id="rId3"/>
  <rowBreaks count="4" manualBreakCount="4">
    <brk id="45" max="43" man="1"/>
    <brk id="46" max="16383" man="1"/>
    <brk id="87" max="16383" man="1"/>
    <brk id="135" max="16383" man="1"/>
  </rowBreaks>
  <legacyDrawing r:id="rId4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0D3715-D5B2-49A2-B67C-3547D9B854D9}">
  <sheetPr codeName="Лист10">
    <tabColor indexed="29"/>
  </sheetPr>
  <dimension ref="A1:AP176"/>
  <sheetViews>
    <sheetView view="pageBreakPreview" zoomScaleNormal="100" zoomScaleSheetLayoutView="100" workbookViewId="0">
      <pane ySplit="7" topLeftCell="A30" activePane="bottomLeft" state="frozen"/>
      <selection pane="bottomLeft" activeCell="F50" sqref="F50"/>
    </sheetView>
  </sheetViews>
  <sheetFormatPr defaultColWidth="9.109375" defaultRowHeight="13.2"/>
  <cols>
    <col min="1" max="14" width="6.5546875" style="1" customWidth="1"/>
    <col min="15" max="20" width="9.109375" style="1"/>
    <col min="21" max="42" width="0" style="1" hidden="1" customWidth="1"/>
    <col min="43" max="16384" width="9.109375" style="1"/>
  </cols>
  <sheetData>
    <row r="1" spans="1:42" ht="10.5" customHeight="1">
      <c r="B1" s="103"/>
      <c r="C1" s="103"/>
      <c r="D1" s="103"/>
      <c r="E1" s="10"/>
      <c r="N1" s="67"/>
    </row>
    <row r="2" spans="1:42" ht="10.5" customHeight="1">
      <c r="B2" s="103"/>
      <c r="C2" s="103"/>
      <c r="D2" s="103"/>
      <c r="E2" s="10"/>
      <c r="F2" s="56"/>
    </row>
    <row r="3" spans="1:42" ht="15.75" customHeight="1">
      <c r="A3" s="1821" t="s">
        <v>410</v>
      </c>
      <c r="B3" s="1821"/>
      <c r="C3" s="1821"/>
      <c r="D3" s="1821"/>
      <c r="E3" s="1821"/>
      <c r="F3" s="1821"/>
      <c r="G3" s="1821"/>
      <c r="H3" s="1821"/>
      <c r="I3" s="1821"/>
      <c r="J3" s="1821"/>
      <c r="K3" s="1821"/>
      <c r="L3" s="1821"/>
      <c r="M3" s="1821"/>
      <c r="N3" s="1821"/>
      <c r="O3" s="1821"/>
      <c r="P3" s="1821"/>
      <c r="Q3" s="1821"/>
      <c r="R3" s="1821"/>
      <c r="S3" s="1821"/>
      <c r="T3" s="1821"/>
    </row>
    <row r="4" spans="1:42" ht="11.25" customHeight="1">
      <c r="A4" s="1839" t="s">
        <v>252</v>
      </c>
      <c r="B4" s="1839"/>
      <c r="C4" s="1839"/>
      <c r="D4" s="1839"/>
      <c r="E4" s="1839"/>
      <c r="F4" s="1839"/>
      <c r="G4" s="1839"/>
      <c r="H4" s="1839"/>
      <c r="I4" s="1839"/>
      <c r="J4" s="1839"/>
      <c r="K4" s="1839"/>
      <c r="L4" s="1839"/>
      <c r="M4" s="1839"/>
      <c r="N4" s="1839"/>
      <c r="O4" s="1839"/>
      <c r="P4" s="1839"/>
      <c r="Q4" s="1839"/>
      <c r="R4" s="1839"/>
      <c r="S4" s="1839"/>
      <c r="T4" s="1839"/>
    </row>
    <row r="5" spans="1:42" ht="10.5" customHeight="1">
      <c r="A5" s="1839"/>
      <c r="B5" s="1839"/>
      <c r="C5" s="1839"/>
      <c r="D5" s="1839"/>
      <c r="E5" s="1839"/>
      <c r="F5" s="1839"/>
      <c r="G5" s="1839"/>
      <c r="H5" s="1839"/>
      <c r="I5" s="1839"/>
      <c r="J5" s="1839"/>
      <c r="K5" s="1839"/>
      <c r="L5" s="1839"/>
      <c r="M5" s="1839"/>
      <c r="N5" s="1839"/>
      <c r="O5" s="1839"/>
      <c r="P5" s="1839"/>
      <c r="Q5" s="1839"/>
      <c r="R5" s="1839"/>
      <c r="S5" s="1839"/>
      <c r="T5" s="1839"/>
    </row>
    <row r="6" spans="1:42" ht="18.75" customHeight="1">
      <c r="A6" s="1839"/>
      <c r="B6" s="1839"/>
      <c r="C6" s="1839"/>
      <c r="D6" s="1839"/>
      <c r="E6" s="1839"/>
      <c r="F6" s="1839"/>
      <c r="G6" s="1839"/>
      <c r="H6" s="1839"/>
      <c r="I6" s="1839"/>
      <c r="J6" s="1839"/>
      <c r="K6" s="1839"/>
      <c r="L6" s="1839"/>
      <c r="M6" s="1839"/>
      <c r="N6" s="1839"/>
      <c r="O6" s="1839"/>
      <c r="P6" s="1839"/>
      <c r="Q6" s="1839"/>
      <c r="R6" s="1839"/>
      <c r="S6" s="1839"/>
      <c r="T6" s="1839"/>
    </row>
    <row r="7" spans="1:42" ht="18.75" customHeight="1">
      <c r="A7" s="1822" t="s">
        <v>1029</v>
      </c>
      <c r="B7" s="1822"/>
      <c r="C7" s="1822"/>
      <c r="D7" s="1822"/>
      <c r="E7" s="1822"/>
      <c r="F7" s="1822"/>
      <c r="G7" s="1822"/>
      <c r="H7" s="1822"/>
      <c r="I7" s="1822"/>
      <c r="J7" s="1822"/>
      <c r="K7" s="1822"/>
      <c r="L7" s="1822"/>
      <c r="M7" s="1822"/>
      <c r="N7" s="1822"/>
      <c r="O7" s="1822"/>
      <c r="P7" s="1822"/>
      <c r="Q7" s="1822"/>
      <c r="R7" s="1822"/>
      <c r="S7" s="1822"/>
      <c r="T7" s="1822"/>
    </row>
    <row r="8" spans="1:42" ht="28.5" customHeight="1">
      <c r="A8" s="1089" t="s">
        <v>620</v>
      </c>
      <c r="B8" s="1089"/>
      <c r="C8" s="1089"/>
      <c r="D8" s="1089"/>
      <c r="E8" s="1406" t="s">
        <v>618</v>
      </c>
      <c r="F8" s="1406"/>
      <c r="G8" s="1406"/>
      <c r="H8" s="1406"/>
      <c r="I8" s="1406"/>
      <c r="J8" s="1406"/>
      <c r="K8" s="1406"/>
      <c r="L8" s="1406"/>
      <c r="M8" s="1406"/>
      <c r="N8" s="1406"/>
    </row>
    <row r="9" spans="1:42" ht="28.5" customHeight="1">
      <c r="A9" s="1089" t="s">
        <v>619</v>
      </c>
      <c r="B9" s="1089"/>
      <c r="C9" s="1089"/>
      <c r="D9" s="1089"/>
      <c r="E9" s="1406" t="s">
        <v>621</v>
      </c>
      <c r="F9" s="1406"/>
      <c r="G9" s="1406"/>
      <c r="H9" s="1406"/>
      <c r="I9" s="1406"/>
      <c r="J9" s="1406"/>
      <c r="K9" s="1406"/>
      <c r="L9" s="1406"/>
      <c r="M9" s="1406"/>
      <c r="N9" s="1406"/>
    </row>
    <row r="10" spans="1:42" ht="28.5" customHeight="1" thickBot="1">
      <c r="A10" s="1831" t="s">
        <v>611</v>
      </c>
      <c r="B10" s="1831"/>
      <c r="C10" s="1831"/>
      <c r="D10" s="1831"/>
      <c r="E10" s="1406" t="s">
        <v>613</v>
      </c>
      <c r="F10" s="1406"/>
      <c r="G10" s="1406"/>
      <c r="H10" s="1406"/>
      <c r="I10" s="1406"/>
      <c r="J10" s="1406"/>
      <c r="K10" s="1406"/>
      <c r="L10" s="1406"/>
      <c r="M10" s="1406"/>
      <c r="N10" s="1406"/>
    </row>
    <row r="11" spans="1:42" ht="14.25" customHeight="1" thickBot="1">
      <c r="A11" s="1413" t="s">
        <v>462</v>
      </c>
      <c r="B11" s="1415"/>
      <c r="C11" s="1534" t="s">
        <v>207</v>
      </c>
      <c r="D11" s="1535"/>
      <c r="E11" s="1535"/>
      <c r="F11" s="1535"/>
      <c r="G11" s="1535"/>
      <c r="H11" s="1535"/>
      <c r="I11" s="1535"/>
      <c r="J11" s="1535"/>
      <c r="K11" s="1535"/>
      <c r="L11" s="1535"/>
      <c r="M11" s="1535"/>
      <c r="N11" s="1535"/>
      <c r="O11" s="1535"/>
      <c r="P11" s="1535"/>
      <c r="Q11" s="1535"/>
      <c r="R11" s="1535"/>
      <c r="S11" s="1535"/>
      <c r="T11" s="1535"/>
    </row>
    <row r="12" spans="1:42" ht="14.25" customHeight="1" thickBot="1">
      <c r="A12" s="1416"/>
      <c r="B12" s="1418"/>
      <c r="C12" s="119">
        <v>0.4</v>
      </c>
      <c r="D12" s="119">
        <v>0.5</v>
      </c>
      <c r="E12" s="119">
        <v>0.6</v>
      </c>
      <c r="F12" s="119">
        <v>0.7</v>
      </c>
      <c r="G12" s="119">
        <v>0.8</v>
      </c>
      <c r="H12" s="119">
        <v>0.9</v>
      </c>
      <c r="I12" s="119">
        <v>1</v>
      </c>
      <c r="J12" s="119">
        <v>1.1000000000000001</v>
      </c>
      <c r="K12" s="119">
        <v>1.2</v>
      </c>
      <c r="L12" s="119">
        <v>1.3</v>
      </c>
      <c r="M12" s="119">
        <v>1.4</v>
      </c>
      <c r="N12" s="119">
        <v>1.5</v>
      </c>
      <c r="O12" s="119">
        <v>1.6</v>
      </c>
      <c r="P12" s="119">
        <v>1.7</v>
      </c>
      <c r="Q12" s="119">
        <v>1.8</v>
      </c>
      <c r="R12" s="119">
        <v>1.9</v>
      </c>
      <c r="S12" s="119">
        <v>2</v>
      </c>
      <c r="T12" s="119">
        <v>2.1</v>
      </c>
      <c r="V12" s="850"/>
      <c r="W12" s="851">
        <v>0.4</v>
      </c>
      <c r="X12" s="851">
        <v>0.5</v>
      </c>
      <c r="Y12" s="851">
        <v>0.6</v>
      </c>
      <c r="Z12" s="851">
        <v>0.7</v>
      </c>
      <c r="AA12" s="851">
        <v>0.8</v>
      </c>
      <c r="AB12" s="851">
        <v>0.9</v>
      </c>
      <c r="AC12" s="851">
        <v>1</v>
      </c>
      <c r="AD12" s="851">
        <v>1.1000000000000001</v>
      </c>
      <c r="AE12" s="851">
        <v>1.2</v>
      </c>
      <c r="AF12" s="851">
        <v>1.3</v>
      </c>
      <c r="AG12" s="851">
        <v>1.4</v>
      </c>
      <c r="AH12" s="851">
        <v>1.5</v>
      </c>
      <c r="AI12" s="852">
        <v>1.6</v>
      </c>
      <c r="AJ12" s="853">
        <v>1.7</v>
      </c>
      <c r="AK12" s="853">
        <v>1.8</v>
      </c>
      <c r="AL12" s="853">
        <v>1.9</v>
      </c>
      <c r="AM12" s="853">
        <v>2</v>
      </c>
      <c r="AN12" s="853">
        <v>2.1</v>
      </c>
      <c r="AO12" s="853">
        <v>2.2000000000000002</v>
      </c>
      <c r="AP12" s="853">
        <v>2.2999999999999998</v>
      </c>
    </row>
    <row r="13" spans="1:42" ht="14.25" customHeight="1">
      <c r="A13" s="1537" t="s">
        <v>3</v>
      </c>
      <c r="B13" s="110">
        <v>0.5</v>
      </c>
      <c r="C13" s="311">
        <f>(W13*KFC!$B$28+KFC!$C$28)*KFC!$C$5</f>
        <v>19.47</v>
      </c>
      <c r="D13" s="312">
        <f>(X13*KFC!$B$28+KFC!$C$28)*KFC!$C$5</f>
        <v>20.94</v>
      </c>
      <c r="E13" s="312">
        <f>(Y13*KFC!$B$28+KFC!$C$28)*KFC!$C$5</f>
        <v>22.41</v>
      </c>
      <c r="F13" s="312">
        <f>(Z13*KFC!$B$28+KFC!$C$28)*KFC!$C$5</f>
        <v>23.9</v>
      </c>
      <c r="G13" s="312">
        <f>(AA13*KFC!$B$28+KFC!$C$28)*KFC!$C$5</f>
        <v>25.49</v>
      </c>
      <c r="H13" s="312">
        <f>(AB13*KFC!$B$28+KFC!$C$28)*KFC!$C$5</f>
        <v>26.97</v>
      </c>
      <c r="I13" s="312">
        <f>(AC13*KFC!$B$28+KFC!$C$28)*KFC!$C$5</f>
        <v>28.44</v>
      </c>
      <c r="J13" s="312">
        <f>(AD13*KFC!$B$28+KFC!$C$28)*KFC!$C$5</f>
        <v>29.94</v>
      </c>
      <c r="K13" s="312">
        <f>(AE13*KFC!$B$28+KFC!$C$28)*KFC!$C$5</f>
        <v>31.41</v>
      </c>
      <c r="L13" s="312">
        <f>(AF13*KFC!$B$28+KFC!$C$28)*KFC!$C$5</f>
        <v>32.880000000000003</v>
      </c>
      <c r="M13" s="312">
        <f>(AG13*KFC!$B$28+KFC!$C$28)*KFC!$C$5</f>
        <v>34.369999999999997</v>
      </c>
      <c r="N13" s="312">
        <f>(AH13*KFC!$B$28+KFC!$C$28)*KFC!$C$5</f>
        <v>35.840000000000003</v>
      </c>
      <c r="O13" s="312">
        <f>(AI13*KFC!$B$28+KFC!$C$28)*KFC!$C$5</f>
        <v>37.33</v>
      </c>
      <c r="P13" s="312">
        <f>(AJ13*KFC!$B$28+KFC!$C$28)*KFC!$C$5</f>
        <v>38.819999999999993</v>
      </c>
      <c r="Q13" s="312">
        <f>(AK13*KFC!$B$28+KFC!$C$28)*KFC!$C$5</f>
        <v>40.309999999999988</v>
      </c>
      <c r="R13" s="312">
        <f>(AL13*KFC!$B$28+KFC!$C$28)*KFC!$C$5</f>
        <v>41.799999999999983</v>
      </c>
      <c r="S13" s="312">
        <f>(AM13*KFC!$B$28+KFC!$C$28)*KFC!$C$5</f>
        <v>43.289999999999978</v>
      </c>
      <c r="T13" s="312">
        <f>(AN13*KFC!$B$28+KFC!$C$28)*KFC!$C$5</f>
        <v>44.779999999999973</v>
      </c>
      <c r="V13" s="851">
        <v>0.5</v>
      </c>
      <c r="W13" s="847">
        <v>19.47</v>
      </c>
      <c r="X13" s="847">
        <v>20.94</v>
      </c>
      <c r="Y13" s="847">
        <v>22.41</v>
      </c>
      <c r="Z13" s="847">
        <v>23.9</v>
      </c>
      <c r="AA13" s="847">
        <v>25.49</v>
      </c>
      <c r="AB13" s="847">
        <v>26.97</v>
      </c>
      <c r="AC13" s="847">
        <v>28.44</v>
      </c>
      <c r="AD13" s="847">
        <v>29.94</v>
      </c>
      <c r="AE13" s="847">
        <v>31.41</v>
      </c>
      <c r="AF13" s="847">
        <v>32.880000000000003</v>
      </c>
      <c r="AG13" s="847">
        <v>34.369999999999997</v>
      </c>
      <c r="AH13" s="847">
        <v>35.840000000000003</v>
      </c>
      <c r="AI13" s="848">
        <v>37.33</v>
      </c>
      <c r="AJ13" s="690">
        <f t="shared" ref="AJ13:AJ30" si="0">AI13-AH13+AI13</f>
        <v>38.819999999999993</v>
      </c>
      <c r="AK13" s="690">
        <f t="shared" ref="AK13:AP28" si="1">AJ13-AI13+AJ13</f>
        <v>40.309999999999988</v>
      </c>
      <c r="AL13" s="690">
        <f t="shared" si="1"/>
        <v>41.799999999999983</v>
      </c>
      <c r="AM13" s="690">
        <f t="shared" si="1"/>
        <v>43.289999999999978</v>
      </c>
      <c r="AN13" s="690">
        <f t="shared" si="1"/>
        <v>44.779999999999973</v>
      </c>
      <c r="AO13" s="690">
        <f t="shared" si="1"/>
        <v>46.269999999999968</v>
      </c>
      <c r="AP13" s="690">
        <f t="shared" si="1"/>
        <v>47.759999999999962</v>
      </c>
    </row>
    <row r="14" spans="1:42" ht="14.25" customHeight="1">
      <c r="A14" s="1538"/>
      <c r="B14" s="111">
        <v>0.6</v>
      </c>
      <c r="C14" s="314">
        <f>(W14*KFC!$B$28+KFC!$C$28)*KFC!$C$5</f>
        <v>20.32</v>
      </c>
      <c r="D14" s="315">
        <f>(X14*KFC!$B$28+KFC!$C$28)*KFC!$C$5</f>
        <v>21.92</v>
      </c>
      <c r="E14" s="315">
        <f>(Y14*KFC!$B$28+KFC!$C$28)*KFC!$C$5</f>
        <v>23.4</v>
      </c>
      <c r="F14" s="315">
        <f>(Z14*KFC!$B$28+KFC!$C$28)*KFC!$C$5</f>
        <v>24.87</v>
      </c>
      <c r="G14" s="315">
        <f>(AA14*KFC!$B$28+KFC!$C$28)*KFC!$C$5</f>
        <v>26.36</v>
      </c>
      <c r="H14" s="315">
        <f>(AB14*KFC!$B$28+KFC!$C$28)*KFC!$C$5</f>
        <v>27.84</v>
      </c>
      <c r="I14" s="315">
        <f>(AC14*KFC!$B$28+KFC!$C$28)*KFC!$C$5</f>
        <v>29.44</v>
      </c>
      <c r="J14" s="315">
        <f>(AD14*KFC!$B$28+KFC!$C$28)*KFC!$C$5</f>
        <v>30.91</v>
      </c>
      <c r="K14" s="315">
        <f>(AE14*KFC!$B$28+KFC!$C$28)*KFC!$C$5</f>
        <v>32.39</v>
      </c>
      <c r="L14" s="315">
        <f>(AF14*KFC!$B$28+KFC!$C$28)*KFC!$C$5</f>
        <v>33.869999999999997</v>
      </c>
      <c r="M14" s="315">
        <f>(AG14*KFC!$B$28+KFC!$C$28)*KFC!$C$5</f>
        <v>35.340000000000003</v>
      </c>
      <c r="N14" s="315">
        <f>(AH14*KFC!$B$28+KFC!$C$28)*KFC!$C$5</f>
        <v>36.950000000000003</v>
      </c>
      <c r="O14" s="315">
        <f>(AI14*KFC!$B$28+KFC!$C$28)*KFC!$C$5</f>
        <v>38.56</v>
      </c>
      <c r="P14" s="315">
        <f>(AJ14*KFC!$B$28+KFC!$C$28)*KFC!$C$5</f>
        <v>40.17</v>
      </c>
      <c r="Q14" s="315">
        <f>(AK14*KFC!$B$28+KFC!$C$28)*KFC!$C$5</f>
        <v>41.78</v>
      </c>
      <c r="R14" s="315">
        <f>(AL14*KFC!$B$28+KFC!$C$28)*KFC!$C$5</f>
        <v>43.39</v>
      </c>
      <c r="S14" s="315">
        <f>(AM14*KFC!$B$28+KFC!$C$28)*KFC!$C$5</f>
        <v>45</v>
      </c>
      <c r="T14" s="315">
        <f>(AN14*KFC!$B$28+KFC!$C$28)*KFC!$C$5</f>
        <v>46.61</v>
      </c>
      <c r="V14" s="851">
        <v>0.6</v>
      </c>
      <c r="W14" s="847">
        <v>20.32</v>
      </c>
      <c r="X14" s="847">
        <v>21.92</v>
      </c>
      <c r="Y14" s="847">
        <v>23.4</v>
      </c>
      <c r="Z14" s="847">
        <v>24.87</v>
      </c>
      <c r="AA14" s="847">
        <v>26.36</v>
      </c>
      <c r="AB14" s="847">
        <v>27.84</v>
      </c>
      <c r="AC14" s="847">
        <v>29.44</v>
      </c>
      <c r="AD14" s="847">
        <v>30.91</v>
      </c>
      <c r="AE14" s="847">
        <v>32.39</v>
      </c>
      <c r="AF14" s="847">
        <v>33.869999999999997</v>
      </c>
      <c r="AG14" s="847">
        <v>35.340000000000003</v>
      </c>
      <c r="AH14" s="847">
        <v>36.950000000000003</v>
      </c>
      <c r="AI14" s="848">
        <v>38.56</v>
      </c>
      <c r="AJ14" s="690">
        <f t="shared" si="0"/>
        <v>40.17</v>
      </c>
      <c r="AK14" s="690">
        <f t="shared" si="1"/>
        <v>41.78</v>
      </c>
      <c r="AL14" s="690">
        <f t="shared" si="1"/>
        <v>43.39</v>
      </c>
      <c r="AM14" s="690">
        <f t="shared" si="1"/>
        <v>45</v>
      </c>
      <c r="AN14" s="690">
        <f t="shared" si="1"/>
        <v>46.61</v>
      </c>
      <c r="AO14" s="690">
        <f t="shared" si="1"/>
        <v>48.22</v>
      </c>
      <c r="AP14" s="690">
        <f t="shared" si="1"/>
        <v>49.83</v>
      </c>
    </row>
    <row r="15" spans="1:42" ht="14.25" customHeight="1">
      <c r="A15" s="1538"/>
      <c r="B15" s="111">
        <v>0.7</v>
      </c>
      <c r="C15" s="314">
        <f>(W15*KFC!$B$28+KFC!$C$28)*KFC!$C$5</f>
        <v>21.32</v>
      </c>
      <c r="D15" s="315">
        <f>(X15*KFC!$B$28+KFC!$C$28)*KFC!$C$5</f>
        <v>22.79</v>
      </c>
      <c r="E15" s="315">
        <f>(Y15*KFC!$B$28+KFC!$C$28)*KFC!$C$5</f>
        <v>24.26</v>
      </c>
      <c r="F15" s="315">
        <f>(Z15*KFC!$B$28+KFC!$C$28)*KFC!$C$5</f>
        <v>25.86</v>
      </c>
      <c r="G15" s="315">
        <f>(AA15*KFC!$B$28+KFC!$C$28)*KFC!$C$5</f>
        <v>27.34</v>
      </c>
      <c r="H15" s="315">
        <f>(AB15*KFC!$B$28+KFC!$C$28)*KFC!$C$5</f>
        <v>28.82</v>
      </c>
      <c r="I15" s="315">
        <f>(AC15*KFC!$B$28+KFC!$C$28)*KFC!$C$5</f>
        <v>30.29</v>
      </c>
      <c r="J15" s="315">
        <f>(AD15*KFC!$B$28+KFC!$C$28)*KFC!$C$5</f>
        <v>31.9</v>
      </c>
      <c r="K15" s="315">
        <f>(AE15*KFC!$B$28+KFC!$C$28)*KFC!$C$5</f>
        <v>33.380000000000003</v>
      </c>
      <c r="L15" s="315">
        <f>(AF15*KFC!$B$28+KFC!$C$28)*KFC!$C$5</f>
        <v>34.86</v>
      </c>
      <c r="M15" s="315">
        <f>(AG15*KFC!$B$28+KFC!$C$28)*KFC!$C$5</f>
        <v>36.46</v>
      </c>
      <c r="N15" s="315">
        <f>(AH15*KFC!$B$28+KFC!$C$28)*KFC!$C$5</f>
        <v>37.94</v>
      </c>
      <c r="O15" s="315">
        <f>(AI15*KFC!$B$28+KFC!$C$28)*KFC!$C$5</f>
        <v>39.42</v>
      </c>
      <c r="P15" s="315">
        <f>(AJ15*KFC!$B$28+KFC!$C$28)*KFC!$C$5</f>
        <v>40.900000000000006</v>
      </c>
      <c r="Q15" s="315">
        <f>(AK15*KFC!$B$28+KFC!$C$28)*KFC!$C$5</f>
        <v>42.38000000000001</v>
      </c>
      <c r="R15" s="315">
        <f>(AL15*KFC!$B$28+KFC!$C$28)*KFC!$C$5</f>
        <v>43.860000000000014</v>
      </c>
      <c r="S15" s="315">
        <f>(AM15*KFC!$B$28+KFC!$C$28)*KFC!$C$5</f>
        <v>45.340000000000018</v>
      </c>
      <c r="T15" s="315">
        <f>(AN15*KFC!$B$28+KFC!$C$28)*KFC!$C$5</f>
        <v>46.820000000000022</v>
      </c>
      <c r="V15" s="851">
        <v>0.7</v>
      </c>
      <c r="W15" s="847">
        <v>21.32</v>
      </c>
      <c r="X15" s="847">
        <v>22.79</v>
      </c>
      <c r="Y15" s="847">
        <v>24.26</v>
      </c>
      <c r="Z15" s="847">
        <v>25.86</v>
      </c>
      <c r="AA15" s="847">
        <v>27.34</v>
      </c>
      <c r="AB15" s="847">
        <v>28.82</v>
      </c>
      <c r="AC15" s="847">
        <v>30.29</v>
      </c>
      <c r="AD15" s="847">
        <v>31.9</v>
      </c>
      <c r="AE15" s="847">
        <v>33.380000000000003</v>
      </c>
      <c r="AF15" s="847">
        <v>34.86</v>
      </c>
      <c r="AG15" s="847">
        <v>36.46</v>
      </c>
      <c r="AH15" s="847">
        <v>37.94</v>
      </c>
      <c r="AI15" s="848">
        <v>39.42</v>
      </c>
      <c r="AJ15" s="690">
        <f t="shared" si="0"/>
        <v>40.900000000000006</v>
      </c>
      <c r="AK15" s="690">
        <f t="shared" si="1"/>
        <v>42.38000000000001</v>
      </c>
      <c r="AL15" s="690">
        <f t="shared" si="1"/>
        <v>43.860000000000014</v>
      </c>
      <c r="AM15" s="690">
        <f t="shared" si="1"/>
        <v>45.340000000000018</v>
      </c>
      <c r="AN15" s="690">
        <f t="shared" si="1"/>
        <v>46.820000000000022</v>
      </c>
      <c r="AO15" s="690">
        <f t="shared" si="1"/>
        <v>48.300000000000026</v>
      </c>
      <c r="AP15" s="690">
        <f t="shared" si="1"/>
        <v>49.78000000000003</v>
      </c>
    </row>
    <row r="16" spans="1:42" ht="14.25" customHeight="1">
      <c r="A16" s="1538"/>
      <c r="B16" s="111">
        <v>0.8</v>
      </c>
      <c r="C16" s="314">
        <f>(W16*KFC!$B$28+KFC!$C$28)*KFC!$C$5</f>
        <v>22.17</v>
      </c>
      <c r="D16" s="315">
        <f>(X16*KFC!$B$28+KFC!$C$28)*KFC!$C$5</f>
        <v>23.65</v>
      </c>
      <c r="E16" s="315">
        <f>(Y16*KFC!$B$28+KFC!$C$28)*KFC!$C$5</f>
        <v>25.25</v>
      </c>
      <c r="F16" s="315">
        <f>(Z16*KFC!$B$28+KFC!$C$28)*KFC!$C$5</f>
        <v>26.72</v>
      </c>
      <c r="G16" s="315">
        <f>(AA16*KFC!$B$28+KFC!$C$28)*KFC!$C$5</f>
        <v>28.2</v>
      </c>
      <c r="H16" s="315">
        <f>(AB16*KFC!$B$28+KFC!$C$28)*KFC!$C$5</f>
        <v>29.8</v>
      </c>
      <c r="I16" s="315">
        <f>(AC16*KFC!$B$28+KFC!$C$28)*KFC!$C$5</f>
        <v>31.29</v>
      </c>
      <c r="J16" s="315">
        <f>(AD16*KFC!$B$28+KFC!$C$28)*KFC!$C$5</f>
        <v>32.880000000000003</v>
      </c>
      <c r="K16" s="315">
        <f>(AE16*KFC!$B$28+KFC!$C$28)*KFC!$C$5</f>
        <v>34.369999999999997</v>
      </c>
      <c r="L16" s="315">
        <f>(AF16*KFC!$B$28+KFC!$C$28)*KFC!$C$5</f>
        <v>35.96</v>
      </c>
      <c r="M16" s="315">
        <f>(AG16*KFC!$B$28+KFC!$C$28)*KFC!$C$5</f>
        <v>37.44</v>
      </c>
      <c r="N16" s="315">
        <f>(AH16*KFC!$B$28+KFC!$C$28)*KFC!$C$5</f>
        <v>38.909999999999997</v>
      </c>
      <c r="O16" s="315">
        <f>(AI16*KFC!$B$28+KFC!$C$28)*KFC!$C$5</f>
        <v>40.4</v>
      </c>
      <c r="P16" s="315">
        <f>(AJ16*KFC!$B$28+KFC!$C$28)*KFC!$C$5</f>
        <v>41.89</v>
      </c>
      <c r="Q16" s="315">
        <f>(AK16*KFC!$B$28+KFC!$C$28)*KFC!$C$5</f>
        <v>43.38</v>
      </c>
      <c r="R16" s="315">
        <f>(AL16*KFC!$B$28+KFC!$C$28)*KFC!$C$5</f>
        <v>44.870000000000005</v>
      </c>
      <c r="S16" s="315">
        <f>(AM16*KFC!$B$28+KFC!$C$28)*KFC!$C$5</f>
        <v>46.360000000000007</v>
      </c>
      <c r="T16" s="315">
        <f>(AN16*KFC!$B$28+KFC!$C$28)*KFC!$C$5</f>
        <v>47.850000000000009</v>
      </c>
      <c r="V16" s="851">
        <v>0.8</v>
      </c>
      <c r="W16" s="847">
        <v>22.17</v>
      </c>
      <c r="X16" s="847">
        <v>23.65</v>
      </c>
      <c r="Y16" s="847">
        <v>25.25</v>
      </c>
      <c r="Z16" s="847">
        <v>26.72</v>
      </c>
      <c r="AA16" s="847">
        <v>28.2</v>
      </c>
      <c r="AB16" s="847">
        <v>29.8</v>
      </c>
      <c r="AC16" s="847">
        <v>31.29</v>
      </c>
      <c r="AD16" s="847">
        <v>32.880000000000003</v>
      </c>
      <c r="AE16" s="847">
        <v>34.369999999999997</v>
      </c>
      <c r="AF16" s="847">
        <v>35.96</v>
      </c>
      <c r="AG16" s="847">
        <v>37.44</v>
      </c>
      <c r="AH16" s="847">
        <v>38.909999999999997</v>
      </c>
      <c r="AI16" s="848">
        <v>40.4</v>
      </c>
      <c r="AJ16" s="690">
        <f t="shared" si="0"/>
        <v>41.89</v>
      </c>
      <c r="AK16" s="690">
        <f t="shared" si="1"/>
        <v>43.38</v>
      </c>
      <c r="AL16" s="690">
        <f t="shared" si="1"/>
        <v>44.870000000000005</v>
      </c>
      <c r="AM16" s="690">
        <f t="shared" si="1"/>
        <v>46.360000000000007</v>
      </c>
      <c r="AN16" s="690">
        <f t="shared" si="1"/>
        <v>47.850000000000009</v>
      </c>
      <c r="AO16" s="690">
        <f t="shared" si="1"/>
        <v>49.340000000000011</v>
      </c>
      <c r="AP16" s="690">
        <f t="shared" si="1"/>
        <v>50.830000000000013</v>
      </c>
    </row>
    <row r="17" spans="1:42" ht="14.25" customHeight="1">
      <c r="A17" s="1538"/>
      <c r="B17" s="111">
        <v>0.9</v>
      </c>
      <c r="C17" s="314">
        <f>(W17*KFC!$B$28+KFC!$C$28)*KFC!$C$5</f>
        <v>23.03</v>
      </c>
      <c r="D17" s="315">
        <f>(X17*KFC!$B$28+KFC!$C$28)*KFC!$C$5</f>
        <v>24.52</v>
      </c>
      <c r="E17" s="315">
        <f>(Y17*KFC!$B$28+KFC!$C$28)*KFC!$C$5</f>
        <v>26.1</v>
      </c>
      <c r="F17" s="315">
        <f>(Z17*KFC!$B$28+KFC!$C$28)*KFC!$C$5</f>
        <v>27.71</v>
      </c>
      <c r="G17" s="315">
        <f>(AA17*KFC!$B$28+KFC!$C$28)*KFC!$C$5</f>
        <v>29.19</v>
      </c>
      <c r="H17" s="315">
        <f>(AB17*KFC!$B$28+KFC!$C$28)*KFC!$C$5</f>
        <v>30.8</v>
      </c>
      <c r="I17" s="315">
        <f>(AC17*KFC!$B$28+KFC!$C$28)*KFC!$C$5</f>
        <v>32.270000000000003</v>
      </c>
      <c r="J17" s="315">
        <f>(AD17*KFC!$B$28+KFC!$C$28)*KFC!$C$5</f>
        <v>33.869999999999997</v>
      </c>
      <c r="K17" s="315">
        <f>(AE17*KFC!$B$28+KFC!$C$28)*KFC!$C$5</f>
        <v>35.340000000000003</v>
      </c>
      <c r="L17" s="315">
        <f>(AF17*KFC!$B$28+KFC!$C$28)*KFC!$C$5</f>
        <v>36.950000000000003</v>
      </c>
      <c r="M17" s="315">
        <f>(AG17*KFC!$B$28+KFC!$C$28)*KFC!$C$5</f>
        <v>38.42</v>
      </c>
      <c r="N17" s="315">
        <f>(AH17*KFC!$B$28+KFC!$C$28)*KFC!$C$5</f>
        <v>40.03</v>
      </c>
      <c r="O17" s="315">
        <f>(AI17*KFC!$B$28+KFC!$C$28)*KFC!$C$5</f>
        <v>41.63</v>
      </c>
      <c r="P17" s="315">
        <f>(AJ17*KFC!$B$28+KFC!$C$28)*KFC!$C$5</f>
        <v>43.230000000000004</v>
      </c>
      <c r="Q17" s="315">
        <f>(AK17*KFC!$B$28+KFC!$C$28)*KFC!$C$5</f>
        <v>44.830000000000005</v>
      </c>
      <c r="R17" s="315">
        <f>(AL17*KFC!$B$28+KFC!$C$28)*KFC!$C$5</f>
        <v>46.430000000000007</v>
      </c>
      <c r="S17" s="315">
        <f>(AM17*KFC!$B$28+KFC!$C$28)*KFC!$C$5</f>
        <v>48.030000000000008</v>
      </c>
      <c r="T17" s="315">
        <f>(AN17*KFC!$B$28+KFC!$C$28)*KFC!$C$5</f>
        <v>49.63000000000001</v>
      </c>
      <c r="V17" s="851">
        <v>0.9</v>
      </c>
      <c r="W17" s="847">
        <v>23.03</v>
      </c>
      <c r="X17" s="847">
        <v>24.52</v>
      </c>
      <c r="Y17" s="847">
        <v>26.1</v>
      </c>
      <c r="Z17" s="847">
        <v>27.71</v>
      </c>
      <c r="AA17" s="847">
        <v>29.19</v>
      </c>
      <c r="AB17" s="847">
        <v>30.8</v>
      </c>
      <c r="AC17" s="847">
        <v>32.270000000000003</v>
      </c>
      <c r="AD17" s="847">
        <v>33.869999999999997</v>
      </c>
      <c r="AE17" s="847">
        <v>35.340000000000003</v>
      </c>
      <c r="AF17" s="847">
        <v>36.950000000000003</v>
      </c>
      <c r="AG17" s="847">
        <v>38.42</v>
      </c>
      <c r="AH17" s="847">
        <v>40.03</v>
      </c>
      <c r="AI17" s="848">
        <v>41.63</v>
      </c>
      <c r="AJ17" s="690">
        <f t="shared" si="0"/>
        <v>43.230000000000004</v>
      </c>
      <c r="AK17" s="690">
        <f t="shared" si="1"/>
        <v>44.830000000000005</v>
      </c>
      <c r="AL17" s="690">
        <f t="shared" si="1"/>
        <v>46.430000000000007</v>
      </c>
      <c r="AM17" s="690">
        <f t="shared" si="1"/>
        <v>48.030000000000008</v>
      </c>
      <c r="AN17" s="690">
        <f t="shared" si="1"/>
        <v>49.63000000000001</v>
      </c>
      <c r="AO17" s="690">
        <f t="shared" si="1"/>
        <v>51.230000000000011</v>
      </c>
      <c r="AP17" s="690">
        <f t="shared" si="1"/>
        <v>52.830000000000013</v>
      </c>
    </row>
    <row r="18" spans="1:42" ht="14.25" customHeight="1">
      <c r="A18" s="1538"/>
      <c r="B18" s="111">
        <v>1</v>
      </c>
      <c r="C18" s="314">
        <f>(W18*KFC!$B$28+KFC!$C$28)*KFC!$C$5</f>
        <v>23.9</v>
      </c>
      <c r="D18" s="315">
        <f>(X18*KFC!$B$28+KFC!$C$28)*KFC!$C$5</f>
        <v>25.49</v>
      </c>
      <c r="E18" s="315">
        <f>(Y18*KFC!$B$28+KFC!$C$28)*KFC!$C$5</f>
        <v>26.97</v>
      </c>
      <c r="F18" s="315">
        <f>(Z18*KFC!$B$28+KFC!$C$28)*KFC!$C$5</f>
        <v>28.57</v>
      </c>
      <c r="G18" s="315">
        <f>(AA18*KFC!$B$28+KFC!$C$28)*KFC!$C$5</f>
        <v>30.18</v>
      </c>
      <c r="H18" s="315">
        <f>(AB18*KFC!$B$28+KFC!$C$28)*KFC!$C$5</f>
        <v>31.65</v>
      </c>
      <c r="I18" s="315">
        <f>(AC18*KFC!$B$28+KFC!$C$28)*KFC!$C$5</f>
        <v>33.25</v>
      </c>
      <c r="J18" s="315">
        <f>(AD18*KFC!$B$28+KFC!$C$28)*KFC!$C$5</f>
        <v>34.86</v>
      </c>
      <c r="K18" s="315">
        <f>(AE18*KFC!$B$28+KFC!$C$28)*KFC!$C$5</f>
        <v>36.33</v>
      </c>
      <c r="L18" s="315">
        <f>(AF18*KFC!$B$28+KFC!$C$28)*KFC!$C$5</f>
        <v>37.94</v>
      </c>
      <c r="M18" s="315">
        <f>(AG18*KFC!$B$28+KFC!$C$28)*KFC!$C$5</f>
        <v>39.53</v>
      </c>
      <c r="N18" s="315">
        <f>(AH18*KFC!$B$28+KFC!$C$28)*KFC!$C$5</f>
        <v>41.02</v>
      </c>
      <c r="O18" s="315">
        <f>(AI18*KFC!$B$28+KFC!$C$28)*KFC!$C$5</f>
        <v>42.49</v>
      </c>
      <c r="P18" s="315">
        <f>(AJ18*KFC!$B$28+KFC!$C$28)*KFC!$C$5</f>
        <v>43.96</v>
      </c>
      <c r="Q18" s="315">
        <f>(AK18*KFC!$B$28+KFC!$C$28)*KFC!$C$5</f>
        <v>45.43</v>
      </c>
      <c r="R18" s="315">
        <f>(AL18*KFC!$B$28+KFC!$C$28)*KFC!$C$5</f>
        <v>46.9</v>
      </c>
      <c r="S18" s="315">
        <f>(AM18*KFC!$B$28+KFC!$C$28)*KFC!$C$5</f>
        <v>48.37</v>
      </c>
      <c r="T18" s="315">
        <f>(AN18*KFC!$B$28+KFC!$C$28)*KFC!$C$5</f>
        <v>49.839999999999996</v>
      </c>
      <c r="V18" s="851">
        <v>1</v>
      </c>
      <c r="W18" s="847">
        <v>23.9</v>
      </c>
      <c r="X18" s="847">
        <v>25.49</v>
      </c>
      <c r="Y18" s="847">
        <v>26.97</v>
      </c>
      <c r="Z18" s="847">
        <v>28.57</v>
      </c>
      <c r="AA18" s="847">
        <v>30.18</v>
      </c>
      <c r="AB18" s="847">
        <v>31.65</v>
      </c>
      <c r="AC18" s="847">
        <v>33.25</v>
      </c>
      <c r="AD18" s="847">
        <v>34.86</v>
      </c>
      <c r="AE18" s="847">
        <v>36.33</v>
      </c>
      <c r="AF18" s="847">
        <v>37.94</v>
      </c>
      <c r="AG18" s="847">
        <v>39.53</v>
      </c>
      <c r="AH18" s="847">
        <v>41.02</v>
      </c>
      <c r="AI18" s="848">
        <v>42.49</v>
      </c>
      <c r="AJ18" s="690">
        <f t="shared" si="0"/>
        <v>43.96</v>
      </c>
      <c r="AK18" s="690">
        <f t="shared" si="1"/>
        <v>45.43</v>
      </c>
      <c r="AL18" s="690">
        <f t="shared" si="1"/>
        <v>46.9</v>
      </c>
      <c r="AM18" s="690">
        <f t="shared" si="1"/>
        <v>48.37</v>
      </c>
      <c r="AN18" s="690">
        <f t="shared" si="1"/>
        <v>49.839999999999996</v>
      </c>
      <c r="AO18" s="690">
        <f t="shared" si="1"/>
        <v>51.309999999999995</v>
      </c>
      <c r="AP18" s="690">
        <f t="shared" si="1"/>
        <v>52.779999999999994</v>
      </c>
    </row>
    <row r="19" spans="1:42" ht="14.25" customHeight="1">
      <c r="A19" s="1538"/>
      <c r="B19" s="111">
        <v>1.1000000000000001</v>
      </c>
      <c r="C19" s="314">
        <f>(W19*KFC!$B$28+KFC!$C$28)*KFC!$C$5</f>
        <v>24.76</v>
      </c>
      <c r="D19" s="315">
        <f>(X19*KFC!$B$28+KFC!$C$28)*KFC!$C$5</f>
        <v>26.36</v>
      </c>
      <c r="E19" s="315">
        <f>(Y19*KFC!$B$28+KFC!$C$28)*KFC!$C$5</f>
        <v>27.95</v>
      </c>
      <c r="F19" s="315">
        <f>(Z19*KFC!$B$28+KFC!$C$28)*KFC!$C$5</f>
        <v>29.56</v>
      </c>
      <c r="G19" s="315">
        <f>(AA19*KFC!$B$28+KFC!$C$28)*KFC!$C$5</f>
        <v>31.04</v>
      </c>
      <c r="H19" s="315">
        <f>(AB19*KFC!$B$28+KFC!$C$28)*KFC!$C$5</f>
        <v>32.630000000000003</v>
      </c>
      <c r="I19" s="315">
        <f>(AC19*KFC!$B$28+KFC!$C$28)*KFC!$C$5</f>
        <v>34.24</v>
      </c>
      <c r="J19" s="315">
        <f>(AD19*KFC!$B$28+KFC!$C$28)*KFC!$C$5</f>
        <v>35.840000000000003</v>
      </c>
      <c r="K19" s="315">
        <f>(AE19*KFC!$B$28+KFC!$C$28)*KFC!$C$5</f>
        <v>37.33</v>
      </c>
      <c r="L19" s="315">
        <f>(AF19*KFC!$B$28+KFC!$C$28)*KFC!$C$5</f>
        <v>38.909999999999997</v>
      </c>
      <c r="M19" s="315">
        <f>(AG19*KFC!$B$28+KFC!$C$28)*KFC!$C$5</f>
        <v>40.520000000000003</v>
      </c>
      <c r="N19" s="315">
        <f>(AH19*KFC!$B$28+KFC!$C$28)*KFC!$C$5</f>
        <v>42.12</v>
      </c>
      <c r="O19" s="315">
        <f>(AI19*KFC!$B$28+KFC!$C$28)*KFC!$C$5</f>
        <v>43.72</v>
      </c>
      <c r="P19" s="315">
        <f>(AJ19*KFC!$B$28+KFC!$C$28)*KFC!$C$5</f>
        <v>45.32</v>
      </c>
      <c r="Q19" s="315">
        <f>(AK19*KFC!$B$28+KFC!$C$28)*KFC!$C$5</f>
        <v>46.92</v>
      </c>
      <c r="R19" s="315">
        <f>(AL19*KFC!$B$28+KFC!$C$28)*KFC!$C$5</f>
        <v>48.52</v>
      </c>
      <c r="S19" s="315">
        <f>(AM19*KFC!$B$28+KFC!$C$28)*KFC!$C$5</f>
        <v>50.120000000000005</v>
      </c>
      <c r="T19" s="315">
        <f>(AN19*KFC!$B$28+KFC!$C$28)*KFC!$C$5</f>
        <v>51.720000000000006</v>
      </c>
      <c r="V19" s="851">
        <v>1.1000000000000001</v>
      </c>
      <c r="W19" s="847">
        <v>24.76</v>
      </c>
      <c r="X19" s="847">
        <v>26.36</v>
      </c>
      <c r="Y19" s="847">
        <v>27.95</v>
      </c>
      <c r="Z19" s="847">
        <v>29.56</v>
      </c>
      <c r="AA19" s="847">
        <v>31.04</v>
      </c>
      <c r="AB19" s="847">
        <v>32.630000000000003</v>
      </c>
      <c r="AC19" s="847">
        <v>34.24</v>
      </c>
      <c r="AD19" s="847">
        <v>35.840000000000003</v>
      </c>
      <c r="AE19" s="847">
        <v>37.33</v>
      </c>
      <c r="AF19" s="847">
        <v>38.909999999999997</v>
      </c>
      <c r="AG19" s="847">
        <v>40.520000000000003</v>
      </c>
      <c r="AH19" s="847">
        <v>42.12</v>
      </c>
      <c r="AI19" s="848">
        <v>43.72</v>
      </c>
      <c r="AJ19" s="690">
        <f t="shared" si="0"/>
        <v>45.32</v>
      </c>
      <c r="AK19" s="690">
        <f t="shared" si="1"/>
        <v>46.92</v>
      </c>
      <c r="AL19" s="690">
        <f t="shared" si="1"/>
        <v>48.52</v>
      </c>
      <c r="AM19" s="690">
        <f t="shared" si="1"/>
        <v>50.120000000000005</v>
      </c>
      <c r="AN19" s="690">
        <f t="shared" si="1"/>
        <v>51.720000000000006</v>
      </c>
      <c r="AO19" s="690">
        <f t="shared" si="1"/>
        <v>53.320000000000007</v>
      </c>
      <c r="AP19" s="690">
        <f t="shared" si="1"/>
        <v>54.920000000000009</v>
      </c>
    </row>
    <row r="20" spans="1:42" ht="14.25" customHeight="1">
      <c r="A20" s="1538"/>
      <c r="B20" s="111">
        <v>1.2</v>
      </c>
      <c r="C20" s="314">
        <f>(W20*KFC!$B$28+KFC!$C$28)*KFC!$C$5</f>
        <v>25.62</v>
      </c>
      <c r="D20" s="315">
        <f>(X20*KFC!$B$28+KFC!$C$28)*KFC!$C$5</f>
        <v>27.22</v>
      </c>
      <c r="E20" s="315">
        <f>(Y20*KFC!$B$28+KFC!$C$28)*KFC!$C$5</f>
        <v>28.82</v>
      </c>
      <c r="F20" s="315">
        <f>(Z20*KFC!$B$28+KFC!$C$28)*KFC!$C$5</f>
        <v>30.42</v>
      </c>
      <c r="G20" s="315">
        <f>(AA20*KFC!$B$28+KFC!$C$28)*KFC!$C$5</f>
        <v>32.03</v>
      </c>
      <c r="H20" s="315">
        <f>(AB20*KFC!$B$28+KFC!$C$28)*KFC!$C$5</f>
        <v>33.630000000000003</v>
      </c>
      <c r="I20" s="315">
        <f>(AC20*KFC!$B$28+KFC!$C$28)*KFC!$C$5</f>
        <v>35.229999999999997</v>
      </c>
      <c r="J20" s="315">
        <f>(AD20*KFC!$B$28+KFC!$C$28)*KFC!$C$5</f>
        <v>36.83</v>
      </c>
      <c r="K20" s="315">
        <f>(AE20*KFC!$B$28+KFC!$C$28)*KFC!$C$5</f>
        <v>38.42</v>
      </c>
      <c r="L20" s="315">
        <f>(AF20*KFC!$B$28+KFC!$C$28)*KFC!$C$5</f>
        <v>39.909999999999997</v>
      </c>
      <c r="M20" s="315">
        <f>(AG20*KFC!$B$28+KFC!$C$28)*KFC!$C$5</f>
        <v>41.51</v>
      </c>
      <c r="N20" s="315">
        <f>(AH20*KFC!$B$28+KFC!$C$28)*KFC!$C$5</f>
        <v>43.11</v>
      </c>
      <c r="O20" s="315">
        <f>(AI20*KFC!$B$28+KFC!$C$28)*KFC!$C$5</f>
        <v>44.71</v>
      </c>
      <c r="P20" s="315">
        <f>(AJ20*KFC!$B$28+KFC!$C$28)*KFC!$C$5</f>
        <v>46.31</v>
      </c>
      <c r="Q20" s="315">
        <f>(AK20*KFC!$B$28+KFC!$C$28)*KFC!$C$5</f>
        <v>47.910000000000004</v>
      </c>
      <c r="R20" s="315">
        <f>(AL20*KFC!$B$28+KFC!$C$28)*KFC!$C$5</f>
        <v>49.510000000000005</v>
      </c>
      <c r="S20" s="315">
        <f>(AM20*KFC!$B$28+KFC!$C$28)*KFC!$C$5</f>
        <v>51.110000000000007</v>
      </c>
      <c r="T20" s="315">
        <f>(AN20*KFC!$B$28+KFC!$C$28)*KFC!$C$5</f>
        <v>52.710000000000008</v>
      </c>
      <c r="V20" s="851">
        <v>1.2</v>
      </c>
      <c r="W20" s="847">
        <v>25.62</v>
      </c>
      <c r="X20" s="847">
        <v>27.22</v>
      </c>
      <c r="Y20" s="847">
        <v>28.82</v>
      </c>
      <c r="Z20" s="847">
        <v>30.42</v>
      </c>
      <c r="AA20" s="847">
        <v>32.03</v>
      </c>
      <c r="AB20" s="847">
        <v>33.630000000000003</v>
      </c>
      <c r="AC20" s="847">
        <v>35.229999999999997</v>
      </c>
      <c r="AD20" s="847">
        <v>36.83</v>
      </c>
      <c r="AE20" s="847">
        <v>38.42</v>
      </c>
      <c r="AF20" s="847">
        <v>39.909999999999997</v>
      </c>
      <c r="AG20" s="847">
        <v>41.51</v>
      </c>
      <c r="AH20" s="847">
        <v>43.11</v>
      </c>
      <c r="AI20" s="848">
        <v>44.71</v>
      </c>
      <c r="AJ20" s="690">
        <f t="shared" si="0"/>
        <v>46.31</v>
      </c>
      <c r="AK20" s="690">
        <f t="shared" si="1"/>
        <v>47.910000000000004</v>
      </c>
      <c r="AL20" s="690">
        <f t="shared" si="1"/>
        <v>49.510000000000005</v>
      </c>
      <c r="AM20" s="690">
        <f t="shared" si="1"/>
        <v>51.110000000000007</v>
      </c>
      <c r="AN20" s="690">
        <f t="shared" si="1"/>
        <v>52.710000000000008</v>
      </c>
      <c r="AO20" s="690">
        <f t="shared" si="1"/>
        <v>54.310000000000009</v>
      </c>
      <c r="AP20" s="690">
        <f t="shared" si="1"/>
        <v>55.910000000000011</v>
      </c>
    </row>
    <row r="21" spans="1:42" ht="14.25" customHeight="1">
      <c r="A21" s="1538"/>
      <c r="B21" s="111">
        <v>1.3</v>
      </c>
      <c r="C21" s="314">
        <f>(W21*KFC!$B$28+KFC!$C$28)*KFC!$C$5</f>
        <v>26.6</v>
      </c>
      <c r="D21" s="315">
        <f>(X21*KFC!$B$28+KFC!$C$28)*KFC!$C$5</f>
        <v>28.2</v>
      </c>
      <c r="E21" s="315">
        <f>(Y21*KFC!$B$28+KFC!$C$28)*KFC!$C$5</f>
        <v>29.8</v>
      </c>
      <c r="F21" s="315">
        <f>(Z21*KFC!$B$28+KFC!$C$28)*KFC!$C$5</f>
        <v>31.41</v>
      </c>
      <c r="G21" s="315">
        <f>(AA21*KFC!$B$28+KFC!$C$28)*KFC!$C$5</f>
        <v>33.01</v>
      </c>
      <c r="H21" s="315">
        <f>(AB21*KFC!$B$28+KFC!$C$28)*KFC!$C$5</f>
        <v>34.61</v>
      </c>
      <c r="I21" s="315">
        <f>(AC21*KFC!$B$28+KFC!$C$28)*KFC!$C$5</f>
        <v>36.21</v>
      </c>
      <c r="J21" s="315">
        <f>(AD21*KFC!$B$28+KFC!$C$28)*KFC!$C$5</f>
        <v>37.81</v>
      </c>
      <c r="K21" s="315">
        <f>(AE21*KFC!$B$28+KFC!$C$28)*KFC!$C$5</f>
        <v>39.42</v>
      </c>
      <c r="L21" s="315">
        <f>(AF21*KFC!$B$28+KFC!$C$28)*KFC!$C$5</f>
        <v>41.02</v>
      </c>
      <c r="M21" s="315">
        <f>(AG21*KFC!$B$28+KFC!$C$28)*KFC!$C$5</f>
        <v>42.61</v>
      </c>
      <c r="N21" s="315">
        <f>(AH21*KFC!$B$28+KFC!$C$28)*KFC!$C$5</f>
        <v>44.22</v>
      </c>
      <c r="O21" s="315">
        <f>(AI21*KFC!$B$28+KFC!$C$28)*KFC!$C$5</f>
        <v>45.81</v>
      </c>
      <c r="P21" s="315">
        <f>(AJ21*KFC!$B$28+KFC!$C$28)*KFC!$C$5</f>
        <v>47.400000000000006</v>
      </c>
      <c r="Q21" s="315">
        <f>(AK21*KFC!$B$28+KFC!$C$28)*KFC!$C$5</f>
        <v>48.990000000000009</v>
      </c>
      <c r="R21" s="315">
        <f>(AL21*KFC!$B$28+KFC!$C$28)*KFC!$C$5</f>
        <v>50.580000000000013</v>
      </c>
      <c r="S21" s="315">
        <f>(AM21*KFC!$B$28+KFC!$C$28)*KFC!$C$5</f>
        <v>52.170000000000016</v>
      </c>
      <c r="T21" s="315">
        <f>(AN21*KFC!$B$28+KFC!$C$28)*KFC!$C$5</f>
        <v>53.760000000000019</v>
      </c>
      <c r="V21" s="851">
        <v>1.3</v>
      </c>
      <c r="W21" s="847">
        <v>26.6</v>
      </c>
      <c r="X21" s="847">
        <v>28.2</v>
      </c>
      <c r="Y21" s="847">
        <v>29.8</v>
      </c>
      <c r="Z21" s="847">
        <v>31.41</v>
      </c>
      <c r="AA21" s="847">
        <v>33.01</v>
      </c>
      <c r="AB21" s="847">
        <v>34.61</v>
      </c>
      <c r="AC21" s="847">
        <v>36.21</v>
      </c>
      <c r="AD21" s="847">
        <v>37.81</v>
      </c>
      <c r="AE21" s="847">
        <v>39.42</v>
      </c>
      <c r="AF21" s="847">
        <v>41.02</v>
      </c>
      <c r="AG21" s="847">
        <v>42.61</v>
      </c>
      <c r="AH21" s="847">
        <v>44.22</v>
      </c>
      <c r="AI21" s="848">
        <v>45.81</v>
      </c>
      <c r="AJ21" s="690">
        <f t="shared" si="0"/>
        <v>47.400000000000006</v>
      </c>
      <c r="AK21" s="690">
        <f t="shared" si="1"/>
        <v>48.990000000000009</v>
      </c>
      <c r="AL21" s="690">
        <f t="shared" si="1"/>
        <v>50.580000000000013</v>
      </c>
      <c r="AM21" s="690">
        <f t="shared" si="1"/>
        <v>52.170000000000016</v>
      </c>
      <c r="AN21" s="690">
        <f t="shared" si="1"/>
        <v>53.760000000000019</v>
      </c>
      <c r="AO21" s="690">
        <f t="shared" si="1"/>
        <v>55.350000000000023</v>
      </c>
      <c r="AP21" s="690">
        <f t="shared" si="1"/>
        <v>56.940000000000026</v>
      </c>
    </row>
    <row r="22" spans="1:42" ht="14.25" customHeight="1">
      <c r="A22" s="1538"/>
      <c r="B22" s="111">
        <v>1.4</v>
      </c>
      <c r="C22" s="314">
        <f>(W22*KFC!$B$28+KFC!$C$28)*KFC!$C$5</f>
        <v>27.47</v>
      </c>
      <c r="D22" s="315">
        <f>(X22*KFC!$B$28+KFC!$C$28)*KFC!$C$5</f>
        <v>29.06</v>
      </c>
      <c r="E22" s="315">
        <f>(Y22*KFC!$B$28+KFC!$C$28)*KFC!$C$5</f>
        <v>30.67</v>
      </c>
      <c r="F22" s="315">
        <f>(Z22*KFC!$B$28+KFC!$C$28)*KFC!$C$5</f>
        <v>32.270000000000003</v>
      </c>
      <c r="G22" s="315">
        <f>(AA22*KFC!$B$28+KFC!$C$28)*KFC!$C$5</f>
        <v>33.869999999999997</v>
      </c>
      <c r="H22" s="315">
        <f>(AB22*KFC!$B$28+KFC!$C$28)*KFC!$C$5</f>
        <v>35.479999999999997</v>
      </c>
      <c r="I22" s="315">
        <f>(AC22*KFC!$B$28+KFC!$C$28)*KFC!$C$5</f>
        <v>37.08</v>
      </c>
      <c r="J22" s="315">
        <f>(AD22*KFC!$B$28+KFC!$C$28)*KFC!$C$5</f>
        <v>38.799999999999997</v>
      </c>
      <c r="K22" s="315">
        <f>(AE22*KFC!$B$28+KFC!$C$28)*KFC!$C$5</f>
        <v>40.4</v>
      </c>
      <c r="L22" s="315">
        <f>(AF22*KFC!$B$28+KFC!$C$28)*KFC!$C$5</f>
        <v>42</v>
      </c>
      <c r="M22" s="315">
        <f>(AG22*KFC!$B$28+KFC!$C$28)*KFC!$C$5</f>
        <v>43.61</v>
      </c>
      <c r="N22" s="315">
        <f>(AH22*KFC!$B$28+KFC!$C$28)*KFC!$C$5</f>
        <v>45.19</v>
      </c>
      <c r="O22" s="315">
        <f>(AI22*KFC!$B$28+KFC!$C$28)*KFC!$C$5</f>
        <v>46.8</v>
      </c>
      <c r="P22" s="315">
        <f>(AJ22*KFC!$B$28+KFC!$C$28)*KFC!$C$5</f>
        <v>48.41</v>
      </c>
      <c r="Q22" s="315">
        <f>(AK22*KFC!$B$28+KFC!$C$28)*KFC!$C$5</f>
        <v>50.019999999999996</v>
      </c>
      <c r="R22" s="315">
        <f>(AL22*KFC!$B$28+KFC!$C$28)*KFC!$C$5</f>
        <v>51.629999999999995</v>
      </c>
      <c r="S22" s="315">
        <f>(AM22*KFC!$B$28+KFC!$C$28)*KFC!$C$5</f>
        <v>53.239999999999995</v>
      </c>
      <c r="T22" s="315">
        <f>(AN22*KFC!$B$28+KFC!$C$28)*KFC!$C$5</f>
        <v>54.849999999999994</v>
      </c>
      <c r="V22" s="851">
        <v>1.4</v>
      </c>
      <c r="W22" s="847">
        <v>27.47</v>
      </c>
      <c r="X22" s="847">
        <v>29.06</v>
      </c>
      <c r="Y22" s="847">
        <v>30.67</v>
      </c>
      <c r="Z22" s="847">
        <v>32.270000000000003</v>
      </c>
      <c r="AA22" s="847">
        <v>33.869999999999997</v>
      </c>
      <c r="AB22" s="847">
        <v>35.479999999999997</v>
      </c>
      <c r="AC22" s="847">
        <v>37.08</v>
      </c>
      <c r="AD22" s="847">
        <v>38.799999999999997</v>
      </c>
      <c r="AE22" s="847">
        <v>40.4</v>
      </c>
      <c r="AF22" s="847">
        <v>42</v>
      </c>
      <c r="AG22" s="847">
        <v>43.61</v>
      </c>
      <c r="AH22" s="847">
        <v>45.19</v>
      </c>
      <c r="AI22" s="848">
        <v>46.8</v>
      </c>
      <c r="AJ22" s="690">
        <f t="shared" si="0"/>
        <v>48.41</v>
      </c>
      <c r="AK22" s="690">
        <f t="shared" si="1"/>
        <v>50.019999999999996</v>
      </c>
      <c r="AL22" s="690">
        <f t="shared" si="1"/>
        <v>51.629999999999995</v>
      </c>
      <c r="AM22" s="690">
        <f t="shared" si="1"/>
        <v>53.239999999999995</v>
      </c>
      <c r="AN22" s="690">
        <f t="shared" si="1"/>
        <v>54.849999999999994</v>
      </c>
      <c r="AO22" s="690">
        <f t="shared" si="1"/>
        <v>56.459999999999994</v>
      </c>
      <c r="AP22" s="690">
        <f t="shared" si="1"/>
        <v>58.069999999999993</v>
      </c>
    </row>
    <row r="23" spans="1:42" ht="14.25" customHeight="1">
      <c r="A23" s="1538"/>
      <c r="B23" s="111">
        <v>1.5</v>
      </c>
      <c r="C23" s="314">
        <f>(W23*KFC!$B$28+KFC!$C$28)*KFC!$C$5</f>
        <v>28.33</v>
      </c>
      <c r="D23" s="315">
        <f>(X23*KFC!$B$28+KFC!$C$28)*KFC!$C$5</f>
        <v>29.94</v>
      </c>
      <c r="E23" s="315">
        <f>(Y23*KFC!$B$28+KFC!$C$28)*KFC!$C$5</f>
        <v>31.53</v>
      </c>
      <c r="F23" s="315">
        <f>(Z23*KFC!$B$28+KFC!$C$28)*KFC!$C$5</f>
        <v>33.25</v>
      </c>
      <c r="G23" s="315">
        <f>(AA23*KFC!$B$28+KFC!$C$28)*KFC!$C$5</f>
        <v>34.86</v>
      </c>
      <c r="H23" s="315">
        <f>(AB23*KFC!$B$28+KFC!$C$28)*KFC!$C$5</f>
        <v>36.46</v>
      </c>
      <c r="I23" s="315">
        <f>(AC23*KFC!$B$28+KFC!$C$28)*KFC!$C$5</f>
        <v>38.06</v>
      </c>
      <c r="J23" s="315">
        <f>(AD23*KFC!$B$28+KFC!$C$28)*KFC!$C$5</f>
        <v>39.78</v>
      </c>
      <c r="K23" s="315">
        <f>(AE23*KFC!$B$28+KFC!$C$28)*KFC!$C$5</f>
        <v>41.38</v>
      </c>
      <c r="L23" s="315">
        <f>(AF23*KFC!$B$28+KFC!$C$28)*KFC!$C$5</f>
        <v>42.99</v>
      </c>
      <c r="M23" s="315">
        <f>(AG23*KFC!$B$28+KFC!$C$28)*KFC!$C$5</f>
        <v>44.58</v>
      </c>
      <c r="N23" s="315">
        <f>(AH23*KFC!$B$28+KFC!$C$28)*KFC!$C$5</f>
        <v>46.31</v>
      </c>
      <c r="O23" s="315">
        <f>(AI23*KFC!$B$28+KFC!$C$28)*KFC!$C$5</f>
        <v>48.04</v>
      </c>
      <c r="P23" s="315">
        <f>(AJ23*KFC!$B$28+KFC!$C$28)*KFC!$C$5</f>
        <v>49.769999999999996</v>
      </c>
      <c r="Q23" s="315">
        <f>(AK23*KFC!$B$28+KFC!$C$28)*KFC!$C$5</f>
        <v>51.499999999999993</v>
      </c>
      <c r="R23" s="315">
        <f>(AL23*KFC!$B$28+KFC!$C$28)*KFC!$C$5</f>
        <v>53.22999999999999</v>
      </c>
      <c r="S23" s="315">
        <f>(AM23*KFC!$B$28+KFC!$C$28)*KFC!$C$5</f>
        <v>54.959999999999987</v>
      </c>
      <c r="T23" s="315">
        <f>(AN23*KFC!$B$28+KFC!$C$28)*KFC!$C$5</f>
        <v>56.689999999999984</v>
      </c>
      <c r="V23" s="851">
        <v>1.5</v>
      </c>
      <c r="W23" s="847">
        <v>28.33</v>
      </c>
      <c r="X23" s="847">
        <v>29.94</v>
      </c>
      <c r="Y23" s="847">
        <v>31.53</v>
      </c>
      <c r="Z23" s="847">
        <v>33.25</v>
      </c>
      <c r="AA23" s="847">
        <v>34.86</v>
      </c>
      <c r="AB23" s="847">
        <v>36.46</v>
      </c>
      <c r="AC23" s="847">
        <v>38.06</v>
      </c>
      <c r="AD23" s="847">
        <v>39.78</v>
      </c>
      <c r="AE23" s="847">
        <v>41.38</v>
      </c>
      <c r="AF23" s="847">
        <v>42.99</v>
      </c>
      <c r="AG23" s="847">
        <v>44.58</v>
      </c>
      <c r="AH23" s="847">
        <v>46.31</v>
      </c>
      <c r="AI23" s="848">
        <v>48.04</v>
      </c>
      <c r="AJ23" s="690">
        <f t="shared" si="0"/>
        <v>49.769999999999996</v>
      </c>
      <c r="AK23" s="690">
        <f t="shared" si="1"/>
        <v>51.499999999999993</v>
      </c>
      <c r="AL23" s="690">
        <f t="shared" si="1"/>
        <v>53.22999999999999</v>
      </c>
      <c r="AM23" s="690">
        <f t="shared" si="1"/>
        <v>54.959999999999987</v>
      </c>
      <c r="AN23" s="690">
        <f t="shared" si="1"/>
        <v>56.689999999999984</v>
      </c>
      <c r="AO23" s="690">
        <f t="shared" si="1"/>
        <v>58.41999999999998</v>
      </c>
      <c r="AP23" s="690">
        <f t="shared" si="1"/>
        <v>60.149999999999977</v>
      </c>
    </row>
    <row r="24" spans="1:42" ht="14.25" customHeight="1">
      <c r="A24" s="1538"/>
      <c r="B24" s="111">
        <v>1.6</v>
      </c>
      <c r="C24" s="314">
        <f>(W24*KFC!$B$28+KFC!$C$28)*KFC!$C$5</f>
        <v>29.19</v>
      </c>
      <c r="D24" s="315">
        <f>(X24*KFC!$B$28+KFC!$C$28)*KFC!$C$5</f>
        <v>30.8</v>
      </c>
      <c r="E24" s="315">
        <f>(Y24*KFC!$B$28+KFC!$C$28)*KFC!$C$5</f>
        <v>32.520000000000003</v>
      </c>
      <c r="F24" s="315">
        <f>(Z24*KFC!$B$28+KFC!$C$28)*KFC!$C$5</f>
        <v>34.11</v>
      </c>
      <c r="G24" s="315">
        <f>(AA24*KFC!$B$28+KFC!$C$28)*KFC!$C$5</f>
        <v>35.840000000000003</v>
      </c>
      <c r="H24" s="315">
        <f>(AB24*KFC!$B$28+KFC!$C$28)*KFC!$C$5</f>
        <v>37.44</v>
      </c>
      <c r="I24" s="315">
        <f>(AC24*KFC!$B$28+KFC!$C$28)*KFC!$C$5</f>
        <v>39.04</v>
      </c>
      <c r="J24" s="315">
        <f>(AD24*KFC!$B$28+KFC!$C$28)*KFC!$C$5</f>
        <v>40.76</v>
      </c>
      <c r="K24" s="315">
        <f>(AE24*KFC!$B$28+KFC!$C$28)*KFC!$C$5</f>
        <v>42.37</v>
      </c>
      <c r="L24" s="315">
        <f>(AF24*KFC!$B$28+KFC!$C$28)*KFC!$C$5</f>
        <v>43.96</v>
      </c>
      <c r="M24" s="315">
        <f>(AG24*KFC!$B$28+KFC!$C$28)*KFC!$C$5</f>
        <v>45.7</v>
      </c>
      <c r="N24" s="315">
        <f>(AH24*KFC!$B$28+KFC!$C$28)*KFC!$C$5</f>
        <v>47.3</v>
      </c>
      <c r="O24" s="315">
        <f>(AI24*KFC!$B$28+KFC!$C$28)*KFC!$C$5</f>
        <v>48.89</v>
      </c>
      <c r="P24" s="315">
        <f>(AJ24*KFC!$B$28+KFC!$C$28)*KFC!$C$5</f>
        <v>50.480000000000004</v>
      </c>
      <c r="Q24" s="315">
        <f>(AK24*KFC!$B$28+KFC!$C$28)*KFC!$C$5</f>
        <v>52.070000000000007</v>
      </c>
      <c r="R24" s="315">
        <f>(AL24*KFC!$B$28+KFC!$C$28)*KFC!$C$5</f>
        <v>53.660000000000011</v>
      </c>
      <c r="S24" s="315">
        <f>(AM24*KFC!$B$28+KFC!$C$28)*KFC!$C$5</f>
        <v>55.250000000000014</v>
      </c>
      <c r="T24" s="315">
        <f>(AN24*KFC!$B$28+KFC!$C$28)*KFC!$C$5</f>
        <v>56.840000000000018</v>
      </c>
      <c r="V24" s="851">
        <v>1.6</v>
      </c>
      <c r="W24" s="847">
        <v>29.19</v>
      </c>
      <c r="X24" s="847">
        <v>30.8</v>
      </c>
      <c r="Y24" s="847">
        <v>32.520000000000003</v>
      </c>
      <c r="Z24" s="847">
        <v>34.11</v>
      </c>
      <c r="AA24" s="847">
        <v>35.840000000000003</v>
      </c>
      <c r="AB24" s="847">
        <v>37.44</v>
      </c>
      <c r="AC24" s="847">
        <v>39.04</v>
      </c>
      <c r="AD24" s="847">
        <v>40.76</v>
      </c>
      <c r="AE24" s="847">
        <v>42.37</v>
      </c>
      <c r="AF24" s="847">
        <v>43.96</v>
      </c>
      <c r="AG24" s="847">
        <v>45.7</v>
      </c>
      <c r="AH24" s="847">
        <v>47.3</v>
      </c>
      <c r="AI24" s="848">
        <v>48.89</v>
      </c>
      <c r="AJ24" s="690">
        <f t="shared" si="0"/>
        <v>50.480000000000004</v>
      </c>
      <c r="AK24" s="690">
        <f t="shared" si="1"/>
        <v>52.070000000000007</v>
      </c>
      <c r="AL24" s="690">
        <f t="shared" si="1"/>
        <v>53.660000000000011</v>
      </c>
      <c r="AM24" s="690">
        <f t="shared" si="1"/>
        <v>55.250000000000014</v>
      </c>
      <c r="AN24" s="690">
        <f t="shared" si="1"/>
        <v>56.840000000000018</v>
      </c>
      <c r="AO24" s="690">
        <f t="shared" si="1"/>
        <v>58.430000000000021</v>
      </c>
      <c r="AP24" s="690">
        <f t="shared" si="1"/>
        <v>60.020000000000024</v>
      </c>
    </row>
    <row r="25" spans="1:42" ht="14.25" customHeight="1">
      <c r="A25" s="1538"/>
      <c r="B25" s="111">
        <v>1.7</v>
      </c>
      <c r="C25" s="314">
        <f>(W25*KFC!$B$28+KFC!$C$28)*KFC!$C$5</f>
        <v>30.05</v>
      </c>
      <c r="D25" s="315">
        <f>(X25*KFC!$B$28+KFC!$C$28)*KFC!$C$5</f>
        <v>31.78</v>
      </c>
      <c r="E25" s="315">
        <f>(Y25*KFC!$B$28+KFC!$C$28)*KFC!$C$5</f>
        <v>33.380000000000003</v>
      </c>
      <c r="F25" s="315">
        <f>(Z25*KFC!$B$28+KFC!$C$28)*KFC!$C$5</f>
        <v>35.1</v>
      </c>
      <c r="G25" s="315">
        <f>(AA25*KFC!$B$28+KFC!$C$28)*KFC!$C$5</f>
        <v>36.71</v>
      </c>
      <c r="H25" s="315">
        <f>(AB25*KFC!$B$28+KFC!$C$28)*KFC!$C$5</f>
        <v>38.42</v>
      </c>
      <c r="I25" s="315">
        <f>(AC25*KFC!$B$28+KFC!$C$28)*KFC!$C$5</f>
        <v>40.03</v>
      </c>
      <c r="J25" s="315">
        <f>(AD25*KFC!$B$28+KFC!$C$28)*KFC!$C$5</f>
        <v>41.76</v>
      </c>
      <c r="K25" s="315">
        <f>(AE25*KFC!$B$28+KFC!$C$28)*KFC!$C$5</f>
        <v>43.35</v>
      </c>
      <c r="L25" s="315">
        <f>(AF25*KFC!$B$28+KFC!$C$28)*KFC!$C$5</f>
        <v>44.95</v>
      </c>
      <c r="M25" s="315">
        <f>(AG25*KFC!$B$28+KFC!$C$28)*KFC!$C$5</f>
        <v>46.68</v>
      </c>
      <c r="N25" s="315">
        <f>(AH25*KFC!$B$28+KFC!$C$28)*KFC!$C$5</f>
        <v>48.28</v>
      </c>
      <c r="O25" s="315">
        <f>(AI25*KFC!$B$28+KFC!$C$28)*KFC!$C$5</f>
        <v>49.89</v>
      </c>
      <c r="P25" s="315">
        <f>(AJ25*KFC!$B$28+KFC!$C$28)*KFC!$C$5</f>
        <v>51.5</v>
      </c>
      <c r="Q25" s="315">
        <f>(AK25*KFC!$B$28+KFC!$C$28)*KFC!$C$5</f>
        <v>53.11</v>
      </c>
      <c r="R25" s="315">
        <f>(AL25*KFC!$B$28+KFC!$C$28)*KFC!$C$5</f>
        <v>54.72</v>
      </c>
      <c r="S25" s="315">
        <f>(AM25*KFC!$B$28+KFC!$C$28)*KFC!$C$5</f>
        <v>56.33</v>
      </c>
      <c r="T25" s="315">
        <f>(AN25*KFC!$B$28+KFC!$C$28)*KFC!$C$5</f>
        <v>57.94</v>
      </c>
      <c r="V25" s="851">
        <v>1.7</v>
      </c>
      <c r="W25" s="847">
        <v>30.05</v>
      </c>
      <c r="X25" s="847">
        <v>31.78</v>
      </c>
      <c r="Y25" s="847">
        <v>33.380000000000003</v>
      </c>
      <c r="Z25" s="847">
        <v>35.1</v>
      </c>
      <c r="AA25" s="847">
        <v>36.71</v>
      </c>
      <c r="AB25" s="847">
        <v>38.42</v>
      </c>
      <c r="AC25" s="847">
        <v>40.03</v>
      </c>
      <c r="AD25" s="847">
        <v>41.76</v>
      </c>
      <c r="AE25" s="847">
        <v>43.35</v>
      </c>
      <c r="AF25" s="847">
        <v>44.95</v>
      </c>
      <c r="AG25" s="847">
        <v>46.68</v>
      </c>
      <c r="AH25" s="847">
        <v>48.28</v>
      </c>
      <c r="AI25" s="848">
        <v>49.89</v>
      </c>
      <c r="AJ25" s="690">
        <f t="shared" si="0"/>
        <v>51.5</v>
      </c>
      <c r="AK25" s="690">
        <f t="shared" si="1"/>
        <v>53.11</v>
      </c>
      <c r="AL25" s="690">
        <f t="shared" si="1"/>
        <v>54.72</v>
      </c>
      <c r="AM25" s="690">
        <f t="shared" si="1"/>
        <v>56.33</v>
      </c>
      <c r="AN25" s="690">
        <f t="shared" si="1"/>
        <v>57.94</v>
      </c>
      <c r="AO25" s="690">
        <f t="shared" si="1"/>
        <v>59.55</v>
      </c>
      <c r="AP25" s="690">
        <f t="shared" si="1"/>
        <v>61.16</v>
      </c>
    </row>
    <row r="26" spans="1:42" ht="14.25" customHeight="1">
      <c r="A26" s="1538"/>
      <c r="B26" s="111">
        <v>1.8</v>
      </c>
      <c r="C26" s="314">
        <f>(W26*KFC!$B$28+KFC!$C$28)*KFC!$C$5</f>
        <v>30.91</v>
      </c>
      <c r="D26" s="315">
        <f>(X26*KFC!$B$28+KFC!$C$28)*KFC!$C$5</f>
        <v>32.630000000000003</v>
      </c>
      <c r="E26" s="315">
        <f>(Y26*KFC!$B$28+KFC!$C$28)*KFC!$C$5</f>
        <v>34.369999999999997</v>
      </c>
      <c r="F26" s="315">
        <f>(Z26*KFC!$B$28+KFC!$C$28)*KFC!$C$5</f>
        <v>35.96</v>
      </c>
      <c r="G26" s="315">
        <f>(AA26*KFC!$B$28+KFC!$C$28)*KFC!$C$5</f>
        <v>37.68</v>
      </c>
      <c r="H26" s="315">
        <f>(AB26*KFC!$B$28+KFC!$C$28)*KFC!$C$5</f>
        <v>39.29</v>
      </c>
      <c r="I26" s="315">
        <f>(AC26*KFC!$B$28+KFC!$C$28)*KFC!$C$5</f>
        <v>41.02</v>
      </c>
      <c r="J26" s="315">
        <f>(AD26*KFC!$B$28+KFC!$C$28)*KFC!$C$5</f>
        <v>42.74</v>
      </c>
      <c r="K26" s="315">
        <f>(AE26*KFC!$B$28+KFC!$C$28)*KFC!$C$5</f>
        <v>44.34</v>
      </c>
      <c r="L26" s="315">
        <f>(AF26*KFC!$B$28+KFC!$C$28)*KFC!$C$5</f>
        <v>46.06</v>
      </c>
      <c r="M26" s="315">
        <f>(AG26*KFC!$B$28+KFC!$C$28)*KFC!$C$5</f>
        <v>47.66</v>
      </c>
      <c r="N26" s="315">
        <f>(AH26*KFC!$B$28+KFC!$C$28)*KFC!$C$5</f>
        <v>49.39</v>
      </c>
      <c r="O26" s="315">
        <f>(AI26*KFC!$B$28+KFC!$C$28)*KFC!$C$5</f>
        <v>51.11</v>
      </c>
      <c r="P26" s="315">
        <f>(AJ26*KFC!$B$28+KFC!$C$28)*KFC!$C$5</f>
        <v>52.83</v>
      </c>
      <c r="Q26" s="315">
        <f>(AK26*KFC!$B$28+KFC!$C$28)*KFC!$C$5</f>
        <v>54.55</v>
      </c>
      <c r="R26" s="315">
        <f>(AL26*KFC!$B$28+KFC!$C$28)*KFC!$C$5</f>
        <v>56.269999999999996</v>
      </c>
      <c r="S26" s="315">
        <f>(AM26*KFC!$B$28+KFC!$C$28)*KFC!$C$5</f>
        <v>57.989999999999995</v>
      </c>
      <c r="T26" s="315">
        <f>(AN26*KFC!$B$28+KFC!$C$28)*KFC!$C$5</f>
        <v>59.709999999999994</v>
      </c>
      <c r="V26" s="851">
        <v>1.8</v>
      </c>
      <c r="W26" s="847">
        <v>30.91</v>
      </c>
      <c r="X26" s="847">
        <v>32.630000000000003</v>
      </c>
      <c r="Y26" s="847">
        <v>34.369999999999997</v>
      </c>
      <c r="Z26" s="847">
        <v>35.96</v>
      </c>
      <c r="AA26" s="847">
        <v>37.68</v>
      </c>
      <c r="AB26" s="847">
        <v>39.29</v>
      </c>
      <c r="AC26" s="847">
        <v>41.02</v>
      </c>
      <c r="AD26" s="847">
        <v>42.74</v>
      </c>
      <c r="AE26" s="847">
        <v>44.34</v>
      </c>
      <c r="AF26" s="847">
        <v>46.06</v>
      </c>
      <c r="AG26" s="847">
        <v>47.66</v>
      </c>
      <c r="AH26" s="847">
        <v>49.39</v>
      </c>
      <c r="AI26" s="848">
        <v>51.11</v>
      </c>
      <c r="AJ26" s="690">
        <f t="shared" si="0"/>
        <v>52.83</v>
      </c>
      <c r="AK26" s="690">
        <f t="shared" si="1"/>
        <v>54.55</v>
      </c>
      <c r="AL26" s="690">
        <f t="shared" si="1"/>
        <v>56.269999999999996</v>
      </c>
      <c r="AM26" s="690">
        <f t="shared" si="1"/>
        <v>57.989999999999995</v>
      </c>
      <c r="AN26" s="690">
        <f t="shared" si="1"/>
        <v>59.709999999999994</v>
      </c>
      <c r="AO26" s="690">
        <f t="shared" si="1"/>
        <v>61.429999999999993</v>
      </c>
      <c r="AP26" s="690">
        <f t="shared" si="1"/>
        <v>63.149999999999991</v>
      </c>
    </row>
    <row r="27" spans="1:42" ht="14.25" customHeight="1">
      <c r="A27" s="1538"/>
      <c r="B27" s="111">
        <v>1.9</v>
      </c>
      <c r="C27" s="314">
        <f>(W27*KFC!$B$28+KFC!$C$28)*KFC!$C$5</f>
        <v>31.9</v>
      </c>
      <c r="D27" s="315">
        <f>(X27*KFC!$B$28+KFC!$C$28)*KFC!$C$5</f>
        <v>33.5</v>
      </c>
      <c r="E27" s="315">
        <f>(Y27*KFC!$B$28+KFC!$C$28)*KFC!$C$5</f>
        <v>35.229999999999997</v>
      </c>
      <c r="F27" s="315">
        <f>(Z27*KFC!$B$28+KFC!$C$28)*KFC!$C$5</f>
        <v>36.950000000000003</v>
      </c>
      <c r="G27" s="315">
        <f>(AA27*KFC!$B$28+KFC!$C$28)*KFC!$C$5</f>
        <v>38.56</v>
      </c>
      <c r="H27" s="315">
        <f>(AB27*KFC!$B$28+KFC!$C$28)*KFC!$C$5</f>
        <v>40.270000000000003</v>
      </c>
      <c r="I27" s="315">
        <f>(AC27*KFC!$B$28+KFC!$C$28)*KFC!$C$5</f>
        <v>42</v>
      </c>
      <c r="J27" s="315">
        <f>(AD27*KFC!$B$28+KFC!$C$28)*KFC!$C$5</f>
        <v>43.72</v>
      </c>
      <c r="K27" s="315">
        <f>(AE27*KFC!$B$28+KFC!$C$28)*KFC!$C$5</f>
        <v>45.33</v>
      </c>
      <c r="L27" s="315">
        <f>(AF27*KFC!$B$28+KFC!$C$28)*KFC!$C$5</f>
        <v>47.04</v>
      </c>
      <c r="M27" s="315">
        <f>(AG27*KFC!$B$28+KFC!$C$28)*KFC!$C$5</f>
        <v>48.77</v>
      </c>
      <c r="N27" s="315">
        <f>(AH27*KFC!$B$28+KFC!$C$28)*KFC!$C$5</f>
        <v>50.38</v>
      </c>
      <c r="O27" s="315">
        <f>(AI27*KFC!$B$28+KFC!$C$28)*KFC!$C$5</f>
        <v>51.98</v>
      </c>
      <c r="P27" s="315">
        <f>(AJ27*KFC!$B$28+KFC!$C$28)*KFC!$C$5</f>
        <v>53.579999999999991</v>
      </c>
      <c r="Q27" s="315">
        <f>(AK27*KFC!$B$28+KFC!$C$28)*KFC!$C$5</f>
        <v>55.179999999999986</v>
      </c>
      <c r="R27" s="315">
        <f>(AL27*KFC!$B$28+KFC!$C$28)*KFC!$C$5</f>
        <v>56.77999999999998</v>
      </c>
      <c r="S27" s="315">
        <f>(AM27*KFC!$B$28+KFC!$C$28)*KFC!$C$5</f>
        <v>58.379999999999974</v>
      </c>
      <c r="T27" s="315">
        <f>(AN27*KFC!$B$28+KFC!$C$28)*KFC!$C$5</f>
        <v>59.979999999999968</v>
      </c>
      <c r="V27" s="851">
        <v>1.9</v>
      </c>
      <c r="W27" s="847">
        <v>31.9</v>
      </c>
      <c r="X27" s="847">
        <v>33.5</v>
      </c>
      <c r="Y27" s="847">
        <v>35.229999999999997</v>
      </c>
      <c r="Z27" s="847">
        <v>36.950000000000003</v>
      </c>
      <c r="AA27" s="847">
        <v>38.56</v>
      </c>
      <c r="AB27" s="847">
        <v>40.270000000000003</v>
      </c>
      <c r="AC27" s="847">
        <v>42</v>
      </c>
      <c r="AD27" s="847">
        <v>43.72</v>
      </c>
      <c r="AE27" s="847">
        <v>45.33</v>
      </c>
      <c r="AF27" s="847">
        <v>47.04</v>
      </c>
      <c r="AG27" s="847">
        <v>48.77</v>
      </c>
      <c r="AH27" s="847">
        <v>50.38</v>
      </c>
      <c r="AI27" s="848">
        <v>51.98</v>
      </c>
      <c r="AJ27" s="690">
        <f t="shared" si="0"/>
        <v>53.579999999999991</v>
      </c>
      <c r="AK27" s="690">
        <f t="shared" si="1"/>
        <v>55.179999999999986</v>
      </c>
      <c r="AL27" s="690">
        <f t="shared" si="1"/>
        <v>56.77999999999998</v>
      </c>
      <c r="AM27" s="690">
        <f t="shared" si="1"/>
        <v>58.379999999999974</v>
      </c>
      <c r="AN27" s="690">
        <f t="shared" si="1"/>
        <v>59.979999999999968</v>
      </c>
      <c r="AO27" s="690">
        <f t="shared" si="1"/>
        <v>61.579999999999963</v>
      </c>
      <c r="AP27" s="690">
        <f t="shared" si="1"/>
        <v>63.179999999999957</v>
      </c>
    </row>
    <row r="28" spans="1:42" ht="14.25" customHeight="1">
      <c r="A28" s="1538"/>
      <c r="B28" s="111">
        <v>2</v>
      </c>
      <c r="C28" s="314">
        <f>(W28*KFC!$B$28+KFC!$C$28)*KFC!$C$5</f>
        <v>32.76</v>
      </c>
      <c r="D28" s="315">
        <f>(X28*KFC!$B$28+KFC!$C$28)*KFC!$C$5</f>
        <v>34.479999999999997</v>
      </c>
      <c r="E28" s="315">
        <f>(Y28*KFC!$B$28+KFC!$C$28)*KFC!$C$5</f>
        <v>36.090000000000003</v>
      </c>
      <c r="F28" s="315">
        <f>(Z28*KFC!$B$28+KFC!$C$28)*KFC!$C$5</f>
        <v>37.81</v>
      </c>
      <c r="G28" s="315">
        <f>(AA28*KFC!$B$28+KFC!$C$28)*KFC!$C$5</f>
        <v>39.53</v>
      </c>
      <c r="H28" s="315">
        <f>(AB28*KFC!$B$28+KFC!$C$28)*KFC!$C$5</f>
        <v>41.27</v>
      </c>
      <c r="I28" s="315">
        <f>(AC28*KFC!$B$28+KFC!$C$28)*KFC!$C$5</f>
        <v>42.99</v>
      </c>
      <c r="J28" s="315">
        <f>(AD28*KFC!$B$28+KFC!$C$28)*KFC!$C$5</f>
        <v>44.58</v>
      </c>
      <c r="K28" s="315">
        <f>(AE28*KFC!$B$28+KFC!$C$28)*KFC!$C$5</f>
        <v>46.31</v>
      </c>
      <c r="L28" s="315">
        <f>(AF28*KFC!$B$28+KFC!$C$28)*KFC!$C$5</f>
        <v>48.04</v>
      </c>
      <c r="M28" s="315">
        <f>(AG28*KFC!$B$28+KFC!$C$28)*KFC!$C$5</f>
        <v>49.76</v>
      </c>
      <c r="N28" s="315">
        <f>(AH28*KFC!$B$28+KFC!$C$28)*KFC!$C$5</f>
        <v>51.49</v>
      </c>
      <c r="O28" s="315">
        <f>(AI28*KFC!$B$28+KFC!$C$28)*KFC!$C$5</f>
        <v>53.2</v>
      </c>
      <c r="P28" s="315">
        <f>(AJ28*KFC!$B$28+KFC!$C$28)*KFC!$C$5</f>
        <v>54.910000000000004</v>
      </c>
      <c r="Q28" s="315">
        <f>(AK28*KFC!$B$28+KFC!$C$28)*KFC!$C$5</f>
        <v>56.620000000000005</v>
      </c>
      <c r="R28" s="315">
        <f>(AL28*KFC!$B$28+KFC!$C$28)*KFC!$C$5</f>
        <v>58.330000000000005</v>
      </c>
      <c r="S28" s="315">
        <f>(AM28*KFC!$B$28+KFC!$C$28)*KFC!$C$5</f>
        <v>60.040000000000006</v>
      </c>
      <c r="T28" s="315">
        <f>(AN28*KFC!$B$28+KFC!$C$28)*KFC!$C$5</f>
        <v>61.750000000000007</v>
      </c>
      <c r="V28" s="851">
        <v>2</v>
      </c>
      <c r="W28" s="847">
        <v>32.76</v>
      </c>
      <c r="X28" s="847">
        <v>34.479999999999997</v>
      </c>
      <c r="Y28" s="847">
        <v>36.090000000000003</v>
      </c>
      <c r="Z28" s="847">
        <v>37.81</v>
      </c>
      <c r="AA28" s="847">
        <v>39.53</v>
      </c>
      <c r="AB28" s="847">
        <v>41.27</v>
      </c>
      <c r="AC28" s="847">
        <v>42.99</v>
      </c>
      <c r="AD28" s="847">
        <v>44.58</v>
      </c>
      <c r="AE28" s="847">
        <v>46.31</v>
      </c>
      <c r="AF28" s="847">
        <v>48.04</v>
      </c>
      <c r="AG28" s="847">
        <v>49.76</v>
      </c>
      <c r="AH28" s="847">
        <v>51.49</v>
      </c>
      <c r="AI28" s="848">
        <v>53.2</v>
      </c>
      <c r="AJ28" s="690">
        <f t="shared" si="0"/>
        <v>54.910000000000004</v>
      </c>
      <c r="AK28" s="690">
        <f t="shared" si="1"/>
        <v>56.620000000000005</v>
      </c>
      <c r="AL28" s="690">
        <f t="shared" si="1"/>
        <v>58.330000000000005</v>
      </c>
      <c r="AM28" s="690">
        <f t="shared" si="1"/>
        <v>60.040000000000006</v>
      </c>
      <c r="AN28" s="690">
        <f t="shared" si="1"/>
        <v>61.750000000000007</v>
      </c>
      <c r="AO28" s="690">
        <f t="shared" si="1"/>
        <v>63.460000000000008</v>
      </c>
      <c r="AP28" s="690">
        <f t="shared" si="1"/>
        <v>65.170000000000016</v>
      </c>
    </row>
    <row r="29" spans="1:42" ht="14.25" customHeight="1">
      <c r="A29" s="1538"/>
      <c r="B29" s="111">
        <v>2.1</v>
      </c>
      <c r="C29" s="314">
        <f>(W29*KFC!$B$28+KFC!$C$28)*KFC!$C$5</f>
        <v>33.630000000000003</v>
      </c>
      <c r="D29" s="315">
        <f>(X29*KFC!$B$28+KFC!$C$28)*KFC!$C$5</f>
        <v>35.479999999999997</v>
      </c>
      <c r="E29" s="315">
        <f>(Y29*KFC!$B$28+KFC!$C$28)*KFC!$C$5</f>
        <v>36.950000000000003</v>
      </c>
      <c r="F29" s="315">
        <f>(Z29*KFC!$B$28+KFC!$C$28)*KFC!$C$5</f>
        <v>38.67</v>
      </c>
      <c r="G29" s="315">
        <f>(AA29*KFC!$B$28+KFC!$C$28)*KFC!$C$5</f>
        <v>40.520000000000003</v>
      </c>
      <c r="H29" s="315">
        <f>(AB29*KFC!$B$28+KFC!$C$28)*KFC!$C$5</f>
        <v>42.25</v>
      </c>
      <c r="I29" s="315">
        <f>(AC29*KFC!$B$28+KFC!$C$28)*KFC!$C$5</f>
        <v>43.96</v>
      </c>
      <c r="J29" s="315">
        <f>(AD29*KFC!$B$28+KFC!$C$28)*KFC!$C$5</f>
        <v>45.45</v>
      </c>
      <c r="K29" s="315">
        <f>(AE29*KFC!$B$28+KFC!$C$28)*KFC!$C$5</f>
        <v>47.3</v>
      </c>
      <c r="L29" s="315">
        <f>(AF29*KFC!$B$28+KFC!$C$28)*KFC!$C$5</f>
        <v>49.02</v>
      </c>
      <c r="M29" s="315">
        <f>(AG29*KFC!$B$28+KFC!$C$28)*KFC!$C$5</f>
        <v>50.74</v>
      </c>
      <c r="N29" s="315">
        <f>(AH29*KFC!$B$28+KFC!$C$28)*KFC!$C$5</f>
        <v>52.58</v>
      </c>
      <c r="O29" s="315">
        <f>(AI29*KFC!$B$28+KFC!$C$28)*KFC!$C$5</f>
        <v>54.43</v>
      </c>
      <c r="P29" s="315">
        <f>(AJ29*KFC!$B$28+KFC!$C$28)*KFC!$C$5</f>
        <v>56.28</v>
      </c>
      <c r="Q29" s="315">
        <f>(AK29*KFC!$B$28+KFC!$C$28)*KFC!$C$5</f>
        <v>58.13</v>
      </c>
      <c r="R29" s="315">
        <f>(AL29*KFC!$B$28+KFC!$C$28)*KFC!$C$5</f>
        <v>59.980000000000004</v>
      </c>
      <c r="S29" s="315">
        <f>(AM29*KFC!$B$28+KFC!$C$28)*KFC!$C$5</f>
        <v>61.830000000000005</v>
      </c>
      <c r="T29" s="315">
        <f>(AN29*KFC!$B$28+KFC!$C$28)*KFC!$C$5</f>
        <v>63.680000000000007</v>
      </c>
      <c r="V29" s="851">
        <v>2.1</v>
      </c>
      <c r="W29" s="847">
        <v>33.630000000000003</v>
      </c>
      <c r="X29" s="847">
        <v>35.479999999999997</v>
      </c>
      <c r="Y29" s="847">
        <v>36.950000000000003</v>
      </c>
      <c r="Z29" s="847">
        <v>38.67</v>
      </c>
      <c r="AA29" s="847">
        <v>40.520000000000003</v>
      </c>
      <c r="AB29" s="847">
        <v>42.25</v>
      </c>
      <c r="AC29" s="847">
        <v>43.96</v>
      </c>
      <c r="AD29" s="847">
        <v>45.45</v>
      </c>
      <c r="AE29" s="847">
        <v>47.3</v>
      </c>
      <c r="AF29" s="847">
        <v>49.02</v>
      </c>
      <c r="AG29" s="847">
        <v>50.74</v>
      </c>
      <c r="AH29" s="847">
        <v>52.58</v>
      </c>
      <c r="AI29" s="848">
        <v>54.43</v>
      </c>
      <c r="AJ29" s="690">
        <f t="shared" si="0"/>
        <v>56.28</v>
      </c>
      <c r="AK29" s="690">
        <f t="shared" ref="AK29:AP30" si="2">AJ29-AI29+AJ29</f>
        <v>58.13</v>
      </c>
      <c r="AL29" s="690">
        <f t="shared" si="2"/>
        <v>59.980000000000004</v>
      </c>
      <c r="AM29" s="690">
        <f t="shared" si="2"/>
        <v>61.830000000000005</v>
      </c>
      <c r="AN29" s="690">
        <f t="shared" si="2"/>
        <v>63.680000000000007</v>
      </c>
      <c r="AO29" s="690">
        <f t="shared" si="2"/>
        <v>65.53</v>
      </c>
      <c r="AP29" s="690">
        <f t="shared" si="2"/>
        <v>67.38</v>
      </c>
    </row>
    <row r="30" spans="1:42" ht="14.25" customHeight="1" thickBot="1">
      <c r="A30" s="1539"/>
      <c r="B30" s="112">
        <v>2.2000000000000002</v>
      </c>
      <c r="C30" s="317">
        <f>(W30*KFC!$B$28+KFC!$C$28)*KFC!$C$5</f>
        <v>34.479999999999997</v>
      </c>
      <c r="D30" s="318">
        <f>(X30*KFC!$B$28+KFC!$C$28)*KFC!$C$5</f>
        <v>36.46</v>
      </c>
      <c r="E30" s="318">
        <f>(Y30*KFC!$B$28+KFC!$C$28)*KFC!$C$5</f>
        <v>37.81</v>
      </c>
      <c r="F30" s="318">
        <f>(Z30*KFC!$B$28+KFC!$C$28)*KFC!$C$5</f>
        <v>39.53</v>
      </c>
      <c r="G30" s="318">
        <f>(AA30*KFC!$B$28+KFC!$C$28)*KFC!$C$5</f>
        <v>41.51</v>
      </c>
      <c r="H30" s="318">
        <f>(AB30*KFC!$B$28+KFC!$C$28)*KFC!$C$5</f>
        <v>43.23</v>
      </c>
      <c r="I30" s="318">
        <f>(AC30*KFC!$B$28+KFC!$C$28)*KFC!$C$5</f>
        <v>44.95</v>
      </c>
      <c r="J30" s="318">
        <f>(AD30*KFC!$B$28+KFC!$C$28)*KFC!$C$5</f>
        <v>46.31</v>
      </c>
      <c r="K30" s="318">
        <f>(AE30*KFC!$B$28+KFC!$C$28)*KFC!$C$5</f>
        <v>48.28</v>
      </c>
      <c r="L30" s="318">
        <f>(AF30*KFC!$B$28+KFC!$C$28)*KFC!$C$5</f>
        <v>50</v>
      </c>
      <c r="M30" s="318">
        <f>(AG30*KFC!$B$28+KFC!$C$28)*KFC!$C$5</f>
        <v>51.73</v>
      </c>
      <c r="N30" s="318">
        <f>(AH30*KFC!$B$28+KFC!$C$28)*KFC!$C$5</f>
        <v>53.7</v>
      </c>
      <c r="O30" s="318">
        <f>(AI30*KFC!$B$28+KFC!$C$28)*KFC!$C$5</f>
        <v>55.67</v>
      </c>
      <c r="P30" s="318">
        <f>(AJ30*KFC!$B$28+KFC!$C$28)*KFC!$C$5</f>
        <v>57.64</v>
      </c>
      <c r="Q30" s="318">
        <f>(AK30*KFC!$B$28+KFC!$C$28)*KFC!$C$5</f>
        <v>59.61</v>
      </c>
      <c r="R30" s="318">
        <f>(AL30*KFC!$B$28+KFC!$C$28)*KFC!$C$5</f>
        <v>61.58</v>
      </c>
      <c r="S30" s="318">
        <f>(AM30*KFC!$B$28+KFC!$C$28)*KFC!$C$5</f>
        <v>63.55</v>
      </c>
      <c r="T30" s="318">
        <f>(AN30*KFC!$B$28+KFC!$C$28)*KFC!$C$5</f>
        <v>65.52</v>
      </c>
      <c r="V30" s="851">
        <v>2.2000000000000002</v>
      </c>
      <c r="W30" s="847">
        <v>34.479999999999997</v>
      </c>
      <c r="X30" s="847">
        <v>36.46</v>
      </c>
      <c r="Y30" s="847">
        <v>37.81</v>
      </c>
      <c r="Z30" s="847">
        <v>39.53</v>
      </c>
      <c r="AA30" s="847">
        <v>41.51</v>
      </c>
      <c r="AB30" s="847">
        <v>43.23</v>
      </c>
      <c r="AC30" s="847">
        <v>44.95</v>
      </c>
      <c r="AD30" s="847">
        <v>46.31</v>
      </c>
      <c r="AE30" s="847">
        <v>48.28</v>
      </c>
      <c r="AF30" s="847">
        <v>50</v>
      </c>
      <c r="AG30" s="847">
        <v>51.73</v>
      </c>
      <c r="AH30" s="847">
        <v>53.7</v>
      </c>
      <c r="AI30" s="848">
        <v>55.67</v>
      </c>
      <c r="AJ30" s="690">
        <f t="shared" si="0"/>
        <v>57.64</v>
      </c>
      <c r="AK30" s="690">
        <f t="shared" si="2"/>
        <v>59.61</v>
      </c>
      <c r="AL30" s="690">
        <f t="shared" si="2"/>
        <v>61.58</v>
      </c>
      <c r="AM30" s="690">
        <f t="shared" si="2"/>
        <v>63.55</v>
      </c>
      <c r="AN30" s="690">
        <f t="shared" si="2"/>
        <v>65.52</v>
      </c>
      <c r="AO30" s="690">
        <f t="shared" si="2"/>
        <v>67.489999999999995</v>
      </c>
      <c r="AP30" s="690">
        <f t="shared" si="2"/>
        <v>69.459999999999994</v>
      </c>
    </row>
    <row r="31" spans="1:42" ht="14.25" customHeight="1" thickBot="1">
      <c r="A31" s="249"/>
      <c r="B31" s="249"/>
      <c r="C31" s="249"/>
      <c r="D31" s="249"/>
      <c r="E31" s="249"/>
      <c r="F31" s="249"/>
      <c r="G31" s="249"/>
      <c r="H31" s="249"/>
      <c r="I31" s="249"/>
      <c r="J31" s="249"/>
      <c r="K31" s="249"/>
      <c r="L31" s="249"/>
      <c r="M31" s="355"/>
      <c r="N31" s="355"/>
    </row>
    <row r="32" spans="1:42" ht="14.25" customHeight="1" thickBot="1">
      <c r="A32" s="1413" t="s">
        <v>314</v>
      </c>
      <c r="B32" s="1415"/>
      <c r="C32" s="1534" t="s">
        <v>207</v>
      </c>
      <c r="D32" s="1535"/>
      <c r="E32" s="1535"/>
      <c r="F32" s="1535"/>
      <c r="G32" s="1535"/>
      <c r="H32" s="1535"/>
      <c r="I32" s="1535"/>
      <c r="J32" s="1535"/>
      <c r="K32" s="1535"/>
      <c r="L32" s="1535"/>
      <c r="M32" s="1535"/>
      <c r="N32" s="1535"/>
      <c r="O32" s="1535"/>
      <c r="P32" s="1535"/>
      <c r="Q32" s="1535"/>
      <c r="R32" s="1535"/>
      <c r="S32" s="1535"/>
      <c r="T32" s="1535"/>
    </row>
    <row r="33" spans="1:42" ht="14.25" customHeight="1" thickBot="1">
      <c r="A33" s="1416"/>
      <c r="B33" s="1418"/>
      <c r="C33" s="428">
        <v>0.4</v>
      </c>
      <c r="D33" s="428">
        <v>0.5</v>
      </c>
      <c r="E33" s="428">
        <v>0.6</v>
      </c>
      <c r="F33" s="428">
        <v>0.7</v>
      </c>
      <c r="G33" s="428">
        <v>0.8</v>
      </c>
      <c r="H33" s="428">
        <v>0.9</v>
      </c>
      <c r="I33" s="428">
        <v>1</v>
      </c>
      <c r="J33" s="428">
        <v>1.1000000000000001</v>
      </c>
      <c r="K33" s="428">
        <v>1.2</v>
      </c>
      <c r="L33" s="428">
        <v>1.3</v>
      </c>
      <c r="M33" s="428">
        <v>1.4</v>
      </c>
      <c r="N33" s="428">
        <v>1.5</v>
      </c>
      <c r="O33" s="428">
        <v>1.6</v>
      </c>
      <c r="P33" s="428">
        <v>1.7</v>
      </c>
      <c r="Q33" s="428">
        <v>1.8</v>
      </c>
      <c r="R33" s="428">
        <v>1.9</v>
      </c>
      <c r="S33" s="428">
        <v>2</v>
      </c>
      <c r="T33" s="428">
        <v>2.1</v>
      </c>
      <c r="V33" s="850"/>
      <c r="W33" s="851">
        <v>0.4</v>
      </c>
      <c r="X33" s="851">
        <v>0.5</v>
      </c>
      <c r="Y33" s="851">
        <v>0.6</v>
      </c>
      <c r="Z33" s="851">
        <v>0.7</v>
      </c>
      <c r="AA33" s="851">
        <v>0.8</v>
      </c>
      <c r="AB33" s="851">
        <v>0.9</v>
      </c>
      <c r="AC33" s="851">
        <v>1</v>
      </c>
      <c r="AD33" s="851">
        <v>1.1000000000000001</v>
      </c>
      <c r="AE33" s="851">
        <v>1.2</v>
      </c>
      <c r="AF33" s="851">
        <v>1.3</v>
      </c>
      <c r="AG33" s="851">
        <v>1.4</v>
      </c>
      <c r="AH33" s="851">
        <v>1.5</v>
      </c>
      <c r="AI33" s="852">
        <v>1.6</v>
      </c>
      <c r="AJ33" s="853">
        <v>1.7</v>
      </c>
      <c r="AK33" s="853">
        <v>1.8</v>
      </c>
      <c r="AL33" s="853">
        <v>1.9</v>
      </c>
      <c r="AM33" s="853">
        <v>2</v>
      </c>
      <c r="AN33" s="853">
        <v>2.1</v>
      </c>
      <c r="AO33" s="853">
        <v>2.2000000000000002</v>
      </c>
      <c r="AP33" s="853">
        <v>2.2999999999999998</v>
      </c>
    </row>
    <row r="34" spans="1:42" ht="14.25" customHeight="1">
      <c r="A34" s="1815" t="s">
        <v>3</v>
      </c>
      <c r="B34" s="849">
        <v>0.5</v>
      </c>
      <c r="C34" s="311">
        <f>(W34*KFC!$B$28+KFC!$C$28)*KFC!$C$5</f>
        <v>23.03</v>
      </c>
      <c r="D34" s="312">
        <f>(X34*KFC!$B$28+KFC!$C$28)*KFC!$C$5</f>
        <v>24.87</v>
      </c>
      <c r="E34" s="312">
        <f>(Y34*KFC!$B$28+KFC!$C$28)*KFC!$C$5</f>
        <v>26.72</v>
      </c>
      <c r="F34" s="312">
        <f>(Z34*KFC!$B$28+KFC!$C$28)*KFC!$C$5</f>
        <v>28.44</v>
      </c>
      <c r="G34" s="312">
        <f>(AA34*KFC!$B$28+KFC!$C$28)*KFC!$C$5</f>
        <v>30.29</v>
      </c>
      <c r="H34" s="312">
        <f>(AB34*KFC!$B$28+KFC!$C$28)*KFC!$C$5</f>
        <v>32.14</v>
      </c>
      <c r="I34" s="312">
        <f>(AC34*KFC!$B$28+KFC!$C$28)*KFC!$C$5</f>
        <v>33.99</v>
      </c>
      <c r="J34" s="312">
        <f>(AD34*KFC!$B$28+KFC!$C$28)*KFC!$C$5</f>
        <v>35.840000000000003</v>
      </c>
      <c r="K34" s="312">
        <f>(AE34*KFC!$B$28+KFC!$C$28)*KFC!$C$5</f>
        <v>37.68</v>
      </c>
      <c r="L34" s="312">
        <f>(AF34*KFC!$B$28+KFC!$C$28)*KFC!$C$5</f>
        <v>39.42</v>
      </c>
      <c r="M34" s="312">
        <f>(AG34*KFC!$B$28+KFC!$C$28)*KFC!$C$5</f>
        <v>41.27</v>
      </c>
      <c r="N34" s="312">
        <f>(AH34*KFC!$B$28+KFC!$C$28)*KFC!$C$5</f>
        <v>43.11</v>
      </c>
      <c r="O34" s="312">
        <f>(AI34*KFC!$B$28+KFC!$C$28)*KFC!$C$5</f>
        <v>44.95</v>
      </c>
      <c r="P34" s="312">
        <f>(AJ34*KFC!$B$28+KFC!$C$28)*KFC!$C$5</f>
        <v>46.790000000000006</v>
      </c>
      <c r="Q34" s="312">
        <f>(AK34*KFC!$B$28+KFC!$C$28)*KFC!$C$5</f>
        <v>48.63000000000001</v>
      </c>
      <c r="R34" s="312">
        <f>(AL34*KFC!$B$28+KFC!$C$28)*KFC!$C$5</f>
        <v>50.470000000000013</v>
      </c>
      <c r="S34" s="312">
        <f>(AM34*KFC!$B$28+KFC!$C$28)*KFC!$C$5</f>
        <v>52.310000000000016</v>
      </c>
      <c r="T34" s="312">
        <f>(AN34*KFC!$B$28+KFC!$C$28)*KFC!$C$5</f>
        <v>54.15000000000002</v>
      </c>
      <c r="V34" s="851">
        <v>0.5</v>
      </c>
      <c r="W34" s="847">
        <v>23.03</v>
      </c>
      <c r="X34" s="847">
        <v>24.87</v>
      </c>
      <c r="Y34" s="847">
        <v>26.72</v>
      </c>
      <c r="Z34" s="847">
        <v>28.44</v>
      </c>
      <c r="AA34" s="847">
        <v>30.29</v>
      </c>
      <c r="AB34" s="847">
        <v>32.14</v>
      </c>
      <c r="AC34" s="847">
        <v>33.99</v>
      </c>
      <c r="AD34" s="847">
        <v>35.840000000000003</v>
      </c>
      <c r="AE34" s="847">
        <v>37.68</v>
      </c>
      <c r="AF34" s="847">
        <v>39.42</v>
      </c>
      <c r="AG34" s="847">
        <v>41.27</v>
      </c>
      <c r="AH34" s="847">
        <v>43.11</v>
      </c>
      <c r="AI34" s="848">
        <v>44.95</v>
      </c>
      <c r="AJ34" s="690">
        <f t="shared" ref="AJ34:AJ51" si="3">AI34-AH34+AI34</f>
        <v>46.790000000000006</v>
      </c>
      <c r="AK34" s="690">
        <f t="shared" ref="AK34:AP49" si="4">AJ34-AI34+AJ34</f>
        <v>48.63000000000001</v>
      </c>
      <c r="AL34" s="690">
        <f t="shared" si="4"/>
        <v>50.470000000000013</v>
      </c>
      <c r="AM34" s="690">
        <f t="shared" si="4"/>
        <v>52.310000000000016</v>
      </c>
      <c r="AN34" s="690">
        <f t="shared" si="4"/>
        <v>54.15000000000002</v>
      </c>
      <c r="AO34" s="690">
        <f t="shared" si="4"/>
        <v>55.990000000000023</v>
      </c>
      <c r="AP34" s="690">
        <f t="shared" si="4"/>
        <v>57.830000000000027</v>
      </c>
    </row>
    <row r="35" spans="1:42" ht="14.25" customHeight="1">
      <c r="A35" s="1816"/>
      <c r="B35" s="849">
        <v>0.6</v>
      </c>
      <c r="C35" s="314">
        <f>(W35*KFC!$B$28+KFC!$C$28)*KFC!$C$5</f>
        <v>24.01</v>
      </c>
      <c r="D35" s="315">
        <f>(X35*KFC!$B$28+KFC!$C$28)*KFC!$C$5</f>
        <v>25.86</v>
      </c>
      <c r="E35" s="315">
        <f>(Y35*KFC!$B$28+KFC!$C$28)*KFC!$C$5</f>
        <v>27.71</v>
      </c>
      <c r="F35" s="315">
        <f>(Z35*KFC!$B$28+KFC!$C$28)*KFC!$C$5</f>
        <v>29.56</v>
      </c>
      <c r="G35" s="315">
        <f>(AA35*KFC!$B$28+KFC!$C$28)*KFC!$C$5</f>
        <v>31.41</v>
      </c>
      <c r="H35" s="315">
        <f>(AB35*KFC!$B$28+KFC!$C$28)*KFC!$C$5</f>
        <v>33.25</v>
      </c>
      <c r="I35" s="315">
        <f>(AC35*KFC!$B$28+KFC!$C$28)*KFC!$C$5</f>
        <v>35.1</v>
      </c>
      <c r="J35" s="315">
        <f>(AD35*KFC!$B$28+KFC!$C$28)*KFC!$C$5</f>
        <v>36.950000000000003</v>
      </c>
      <c r="K35" s="315">
        <f>(AE35*KFC!$B$28+KFC!$C$28)*KFC!$C$5</f>
        <v>38.799999999999997</v>
      </c>
      <c r="L35" s="315">
        <f>(AF35*KFC!$B$28+KFC!$C$28)*KFC!$C$5</f>
        <v>40.65</v>
      </c>
      <c r="M35" s="315">
        <f>(AG35*KFC!$B$28+KFC!$C$28)*KFC!$C$5</f>
        <v>42.49</v>
      </c>
      <c r="N35" s="315">
        <f>(AH35*KFC!$B$28+KFC!$C$28)*KFC!$C$5</f>
        <v>44.34</v>
      </c>
      <c r="O35" s="315">
        <f>(AI35*KFC!$B$28+KFC!$C$28)*KFC!$C$5</f>
        <v>46.19</v>
      </c>
      <c r="P35" s="315">
        <f>(AJ35*KFC!$B$28+KFC!$C$28)*KFC!$C$5</f>
        <v>48.039999999999992</v>
      </c>
      <c r="Q35" s="315">
        <f>(AK35*KFC!$B$28+KFC!$C$28)*KFC!$C$5</f>
        <v>49.889999999999986</v>
      </c>
      <c r="R35" s="315">
        <f>(AL35*KFC!$B$28+KFC!$C$28)*KFC!$C$5</f>
        <v>51.739999999999981</v>
      </c>
      <c r="S35" s="315">
        <f>(AM35*KFC!$B$28+KFC!$C$28)*KFC!$C$5</f>
        <v>53.589999999999975</v>
      </c>
      <c r="T35" s="315">
        <f>(AN35*KFC!$B$28+KFC!$C$28)*KFC!$C$5</f>
        <v>55.439999999999969</v>
      </c>
      <c r="V35" s="851">
        <v>0.6</v>
      </c>
      <c r="W35" s="847">
        <v>24.01</v>
      </c>
      <c r="X35" s="847">
        <v>25.86</v>
      </c>
      <c r="Y35" s="847">
        <v>27.71</v>
      </c>
      <c r="Z35" s="847">
        <v>29.56</v>
      </c>
      <c r="AA35" s="847">
        <v>31.41</v>
      </c>
      <c r="AB35" s="847">
        <v>33.25</v>
      </c>
      <c r="AC35" s="847">
        <v>35.1</v>
      </c>
      <c r="AD35" s="847">
        <v>36.950000000000003</v>
      </c>
      <c r="AE35" s="847">
        <v>38.799999999999997</v>
      </c>
      <c r="AF35" s="847">
        <v>40.65</v>
      </c>
      <c r="AG35" s="847">
        <v>42.49</v>
      </c>
      <c r="AH35" s="847">
        <v>44.34</v>
      </c>
      <c r="AI35" s="848">
        <v>46.19</v>
      </c>
      <c r="AJ35" s="690">
        <f t="shared" si="3"/>
        <v>48.039999999999992</v>
      </c>
      <c r="AK35" s="690">
        <f t="shared" si="4"/>
        <v>49.889999999999986</v>
      </c>
      <c r="AL35" s="690">
        <f t="shared" si="4"/>
        <v>51.739999999999981</v>
      </c>
      <c r="AM35" s="690">
        <f t="shared" si="4"/>
        <v>53.589999999999975</v>
      </c>
      <c r="AN35" s="690">
        <f t="shared" si="4"/>
        <v>55.439999999999969</v>
      </c>
      <c r="AO35" s="690">
        <f t="shared" si="4"/>
        <v>57.289999999999964</v>
      </c>
      <c r="AP35" s="690">
        <f t="shared" si="4"/>
        <v>59.139999999999958</v>
      </c>
    </row>
    <row r="36" spans="1:42" ht="14.25" customHeight="1">
      <c r="A36" s="1816"/>
      <c r="B36" s="849">
        <v>0.7</v>
      </c>
      <c r="C36" s="314">
        <f>(W36*KFC!$B$28+KFC!$C$28)*KFC!$C$5</f>
        <v>24.87</v>
      </c>
      <c r="D36" s="315">
        <f>(X36*KFC!$B$28+KFC!$C$28)*KFC!$C$5</f>
        <v>26.72</v>
      </c>
      <c r="E36" s="315">
        <f>(Y36*KFC!$B$28+KFC!$C$28)*KFC!$C$5</f>
        <v>28.71</v>
      </c>
      <c r="F36" s="315">
        <f>(Z36*KFC!$B$28+KFC!$C$28)*KFC!$C$5</f>
        <v>30.56</v>
      </c>
      <c r="G36" s="315">
        <f>(AA36*KFC!$B$28+KFC!$C$28)*KFC!$C$5</f>
        <v>32.39</v>
      </c>
      <c r="H36" s="315">
        <f>(AB36*KFC!$B$28+KFC!$C$28)*KFC!$C$5</f>
        <v>34.24</v>
      </c>
      <c r="I36" s="315">
        <f>(AC36*KFC!$B$28+KFC!$C$28)*KFC!$C$5</f>
        <v>36.21</v>
      </c>
      <c r="J36" s="315">
        <f>(AD36*KFC!$B$28+KFC!$C$28)*KFC!$C$5</f>
        <v>38.06</v>
      </c>
      <c r="K36" s="315">
        <f>(AE36*KFC!$B$28+KFC!$C$28)*KFC!$C$5</f>
        <v>39.909999999999997</v>
      </c>
      <c r="L36" s="315">
        <f>(AF36*KFC!$B$28+KFC!$C$28)*KFC!$C$5</f>
        <v>41.76</v>
      </c>
      <c r="M36" s="315">
        <f>(AG36*KFC!$B$28+KFC!$C$28)*KFC!$C$5</f>
        <v>43.72</v>
      </c>
      <c r="N36" s="315">
        <f>(AH36*KFC!$B$28+KFC!$C$28)*KFC!$C$5</f>
        <v>45.57</v>
      </c>
      <c r="O36" s="315">
        <f>(AI36*KFC!$B$28+KFC!$C$28)*KFC!$C$5</f>
        <v>47.42</v>
      </c>
      <c r="P36" s="315">
        <f>(AJ36*KFC!$B$28+KFC!$C$28)*KFC!$C$5</f>
        <v>49.27</v>
      </c>
      <c r="Q36" s="315">
        <f>(AK36*KFC!$B$28+KFC!$C$28)*KFC!$C$5</f>
        <v>51.120000000000005</v>
      </c>
      <c r="R36" s="315">
        <f>(AL36*KFC!$B$28+KFC!$C$28)*KFC!$C$5</f>
        <v>52.970000000000006</v>
      </c>
      <c r="S36" s="315">
        <f>(AM36*KFC!$B$28+KFC!$C$28)*KFC!$C$5</f>
        <v>54.820000000000007</v>
      </c>
      <c r="T36" s="315">
        <f>(AN36*KFC!$B$28+KFC!$C$28)*KFC!$C$5</f>
        <v>56.670000000000009</v>
      </c>
      <c r="V36" s="851">
        <v>0.7</v>
      </c>
      <c r="W36" s="847">
        <v>24.87</v>
      </c>
      <c r="X36" s="847">
        <v>26.72</v>
      </c>
      <c r="Y36" s="847">
        <v>28.71</v>
      </c>
      <c r="Z36" s="847">
        <v>30.56</v>
      </c>
      <c r="AA36" s="847">
        <v>32.39</v>
      </c>
      <c r="AB36" s="847">
        <v>34.24</v>
      </c>
      <c r="AC36" s="847">
        <v>36.21</v>
      </c>
      <c r="AD36" s="847">
        <v>38.06</v>
      </c>
      <c r="AE36" s="847">
        <v>39.909999999999997</v>
      </c>
      <c r="AF36" s="847">
        <v>41.76</v>
      </c>
      <c r="AG36" s="847">
        <v>43.72</v>
      </c>
      <c r="AH36" s="847">
        <v>45.57</v>
      </c>
      <c r="AI36" s="848">
        <v>47.42</v>
      </c>
      <c r="AJ36" s="690">
        <f t="shared" si="3"/>
        <v>49.27</v>
      </c>
      <c r="AK36" s="690">
        <f t="shared" si="4"/>
        <v>51.120000000000005</v>
      </c>
      <c r="AL36" s="690">
        <f t="shared" si="4"/>
        <v>52.970000000000006</v>
      </c>
      <c r="AM36" s="690">
        <f t="shared" si="4"/>
        <v>54.820000000000007</v>
      </c>
      <c r="AN36" s="690">
        <f t="shared" si="4"/>
        <v>56.670000000000009</v>
      </c>
      <c r="AO36" s="690">
        <f t="shared" si="4"/>
        <v>58.52000000000001</v>
      </c>
      <c r="AP36" s="690">
        <f t="shared" si="4"/>
        <v>60.370000000000012</v>
      </c>
    </row>
    <row r="37" spans="1:42" ht="14.25" customHeight="1">
      <c r="A37" s="1816"/>
      <c r="B37" s="849">
        <v>0.8</v>
      </c>
      <c r="C37" s="314">
        <f>(W37*KFC!$B$28+KFC!$C$28)*KFC!$C$5</f>
        <v>25.86</v>
      </c>
      <c r="D37" s="315">
        <f>(X37*KFC!$B$28+KFC!$C$28)*KFC!$C$5</f>
        <v>27.71</v>
      </c>
      <c r="E37" s="315">
        <f>(Y37*KFC!$B$28+KFC!$C$28)*KFC!$C$5</f>
        <v>29.68</v>
      </c>
      <c r="F37" s="315">
        <f>(Z37*KFC!$B$28+KFC!$C$28)*KFC!$C$5</f>
        <v>31.53</v>
      </c>
      <c r="G37" s="315">
        <f>(AA37*KFC!$B$28+KFC!$C$28)*KFC!$C$5</f>
        <v>33.5</v>
      </c>
      <c r="H37" s="315">
        <f>(AB37*KFC!$B$28+KFC!$C$28)*KFC!$C$5</f>
        <v>35.340000000000003</v>
      </c>
      <c r="I37" s="315">
        <f>(AC37*KFC!$B$28+KFC!$C$28)*KFC!$C$5</f>
        <v>37.33</v>
      </c>
      <c r="J37" s="315">
        <f>(AD37*KFC!$B$28+KFC!$C$28)*KFC!$C$5</f>
        <v>39.18</v>
      </c>
      <c r="K37" s="315">
        <f>(AE37*KFC!$B$28+KFC!$C$28)*KFC!$C$5</f>
        <v>41.14</v>
      </c>
      <c r="L37" s="315">
        <f>(AF37*KFC!$B$28+KFC!$C$28)*KFC!$C$5</f>
        <v>42.99</v>
      </c>
      <c r="M37" s="315">
        <f>(AG37*KFC!$B$28+KFC!$C$28)*KFC!$C$5</f>
        <v>44.95</v>
      </c>
      <c r="N37" s="315">
        <f>(AH37*KFC!$B$28+KFC!$C$28)*KFC!$C$5</f>
        <v>46.8</v>
      </c>
      <c r="O37" s="315">
        <f>(AI37*KFC!$B$28+KFC!$C$28)*KFC!$C$5</f>
        <v>48.65</v>
      </c>
      <c r="P37" s="315">
        <f>(AJ37*KFC!$B$28+KFC!$C$28)*KFC!$C$5</f>
        <v>50.5</v>
      </c>
      <c r="Q37" s="315">
        <f>(AK37*KFC!$B$28+KFC!$C$28)*KFC!$C$5</f>
        <v>52.35</v>
      </c>
      <c r="R37" s="315">
        <f>(AL37*KFC!$B$28+KFC!$C$28)*KFC!$C$5</f>
        <v>54.2</v>
      </c>
      <c r="S37" s="315">
        <f>(AM37*KFC!$B$28+KFC!$C$28)*KFC!$C$5</f>
        <v>56.050000000000004</v>
      </c>
      <c r="T37" s="315">
        <f>(AN37*KFC!$B$28+KFC!$C$28)*KFC!$C$5</f>
        <v>57.900000000000006</v>
      </c>
      <c r="V37" s="851">
        <v>0.8</v>
      </c>
      <c r="W37" s="847">
        <v>25.86</v>
      </c>
      <c r="X37" s="847">
        <v>27.71</v>
      </c>
      <c r="Y37" s="847">
        <v>29.68</v>
      </c>
      <c r="Z37" s="847">
        <v>31.53</v>
      </c>
      <c r="AA37" s="847">
        <v>33.5</v>
      </c>
      <c r="AB37" s="847">
        <v>35.340000000000003</v>
      </c>
      <c r="AC37" s="847">
        <v>37.33</v>
      </c>
      <c r="AD37" s="847">
        <v>39.18</v>
      </c>
      <c r="AE37" s="847">
        <v>41.14</v>
      </c>
      <c r="AF37" s="847">
        <v>42.99</v>
      </c>
      <c r="AG37" s="847">
        <v>44.95</v>
      </c>
      <c r="AH37" s="847">
        <v>46.8</v>
      </c>
      <c r="AI37" s="848">
        <v>48.65</v>
      </c>
      <c r="AJ37" s="690">
        <f t="shared" si="3"/>
        <v>50.5</v>
      </c>
      <c r="AK37" s="690">
        <f t="shared" si="4"/>
        <v>52.35</v>
      </c>
      <c r="AL37" s="690">
        <f t="shared" si="4"/>
        <v>54.2</v>
      </c>
      <c r="AM37" s="690">
        <f t="shared" si="4"/>
        <v>56.050000000000004</v>
      </c>
      <c r="AN37" s="690">
        <f t="shared" si="4"/>
        <v>57.900000000000006</v>
      </c>
      <c r="AO37" s="690">
        <f t="shared" si="4"/>
        <v>59.750000000000007</v>
      </c>
      <c r="AP37" s="690">
        <f t="shared" si="4"/>
        <v>61.600000000000009</v>
      </c>
    </row>
    <row r="38" spans="1:42" ht="14.25" customHeight="1">
      <c r="A38" s="1816"/>
      <c r="B38" s="849">
        <v>0.9</v>
      </c>
      <c r="C38" s="314">
        <f>(W38*KFC!$B$28+KFC!$C$28)*KFC!$C$5</f>
        <v>26.72</v>
      </c>
      <c r="D38" s="315">
        <f>(X38*KFC!$B$28+KFC!$C$28)*KFC!$C$5</f>
        <v>28.71</v>
      </c>
      <c r="E38" s="315">
        <f>(Y38*KFC!$B$28+KFC!$C$28)*KFC!$C$5</f>
        <v>30.67</v>
      </c>
      <c r="F38" s="315">
        <f>(Z38*KFC!$B$28+KFC!$C$28)*KFC!$C$5</f>
        <v>32.520000000000003</v>
      </c>
      <c r="G38" s="315">
        <f>(AA38*KFC!$B$28+KFC!$C$28)*KFC!$C$5</f>
        <v>34.479999999999997</v>
      </c>
      <c r="H38" s="315">
        <f>(AB38*KFC!$B$28+KFC!$C$28)*KFC!$C$5</f>
        <v>36.46</v>
      </c>
      <c r="I38" s="315">
        <f>(AC38*KFC!$B$28+KFC!$C$28)*KFC!$C$5</f>
        <v>38.299999999999997</v>
      </c>
      <c r="J38" s="315">
        <f>(AD38*KFC!$B$28+KFC!$C$28)*KFC!$C$5</f>
        <v>40.270000000000003</v>
      </c>
      <c r="K38" s="315">
        <f>(AE38*KFC!$B$28+KFC!$C$28)*KFC!$C$5</f>
        <v>42.25</v>
      </c>
      <c r="L38" s="315">
        <f>(AF38*KFC!$B$28+KFC!$C$28)*KFC!$C$5</f>
        <v>44.22</v>
      </c>
      <c r="M38" s="315">
        <f>(AG38*KFC!$B$28+KFC!$C$28)*KFC!$C$5</f>
        <v>46.06</v>
      </c>
      <c r="N38" s="315">
        <f>(AH38*KFC!$B$28+KFC!$C$28)*KFC!$C$5</f>
        <v>48.04</v>
      </c>
      <c r="O38" s="315">
        <f>(AI38*KFC!$B$28+KFC!$C$28)*KFC!$C$5</f>
        <v>50</v>
      </c>
      <c r="P38" s="315">
        <f>(AJ38*KFC!$B$28+KFC!$C$28)*KFC!$C$5</f>
        <v>51.96</v>
      </c>
      <c r="Q38" s="315">
        <f>(AK38*KFC!$B$28+KFC!$C$28)*KFC!$C$5</f>
        <v>53.92</v>
      </c>
      <c r="R38" s="315">
        <f>(AL38*KFC!$B$28+KFC!$C$28)*KFC!$C$5</f>
        <v>55.88</v>
      </c>
      <c r="S38" s="315">
        <f>(AM38*KFC!$B$28+KFC!$C$28)*KFC!$C$5</f>
        <v>57.84</v>
      </c>
      <c r="T38" s="315">
        <f>(AN38*KFC!$B$28+KFC!$C$28)*KFC!$C$5</f>
        <v>59.800000000000004</v>
      </c>
      <c r="V38" s="851">
        <v>0.9</v>
      </c>
      <c r="W38" s="847">
        <v>26.72</v>
      </c>
      <c r="X38" s="847">
        <v>28.71</v>
      </c>
      <c r="Y38" s="847">
        <v>30.67</v>
      </c>
      <c r="Z38" s="847">
        <v>32.520000000000003</v>
      </c>
      <c r="AA38" s="847">
        <v>34.479999999999997</v>
      </c>
      <c r="AB38" s="847">
        <v>36.46</v>
      </c>
      <c r="AC38" s="847">
        <v>38.299999999999997</v>
      </c>
      <c r="AD38" s="847">
        <v>40.270000000000003</v>
      </c>
      <c r="AE38" s="847">
        <v>42.25</v>
      </c>
      <c r="AF38" s="847">
        <v>44.22</v>
      </c>
      <c r="AG38" s="847">
        <v>46.06</v>
      </c>
      <c r="AH38" s="847">
        <v>48.04</v>
      </c>
      <c r="AI38" s="848">
        <v>50</v>
      </c>
      <c r="AJ38" s="690">
        <f t="shared" si="3"/>
        <v>51.96</v>
      </c>
      <c r="AK38" s="690">
        <f t="shared" si="4"/>
        <v>53.92</v>
      </c>
      <c r="AL38" s="690">
        <f t="shared" si="4"/>
        <v>55.88</v>
      </c>
      <c r="AM38" s="690">
        <f t="shared" si="4"/>
        <v>57.84</v>
      </c>
      <c r="AN38" s="690">
        <f t="shared" si="4"/>
        <v>59.800000000000004</v>
      </c>
      <c r="AO38" s="690">
        <f t="shared" si="4"/>
        <v>61.760000000000005</v>
      </c>
      <c r="AP38" s="690">
        <f t="shared" si="4"/>
        <v>63.720000000000006</v>
      </c>
    </row>
    <row r="39" spans="1:42" ht="14.25" customHeight="1">
      <c r="A39" s="1816"/>
      <c r="B39" s="849">
        <v>1</v>
      </c>
      <c r="C39" s="314">
        <f>(W39*KFC!$B$28+KFC!$C$28)*KFC!$C$5</f>
        <v>27.71</v>
      </c>
      <c r="D39" s="315">
        <f>(X39*KFC!$B$28+KFC!$C$28)*KFC!$C$5</f>
        <v>29.68</v>
      </c>
      <c r="E39" s="315">
        <f>(Y39*KFC!$B$28+KFC!$C$28)*KFC!$C$5</f>
        <v>31.65</v>
      </c>
      <c r="F39" s="315">
        <f>(Z39*KFC!$B$28+KFC!$C$28)*KFC!$C$5</f>
        <v>33.5</v>
      </c>
      <c r="G39" s="315">
        <f>(AA39*KFC!$B$28+KFC!$C$28)*KFC!$C$5</f>
        <v>35.479999999999997</v>
      </c>
      <c r="H39" s="315">
        <f>(AB39*KFC!$B$28+KFC!$C$28)*KFC!$C$5</f>
        <v>37.44</v>
      </c>
      <c r="I39" s="315">
        <f>(AC39*KFC!$B$28+KFC!$C$28)*KFC!$C$5</f>
        <v>39.42</v>
      </c>
      <c r="J39" s="315">
        <f>(AD39*KFC!$B$28+KFC!$C$28)*KFC!$C$5</f>
        <v>41.38</v>
      </c>
      <c r="K39" s="315">
        <f>(AE39*KFC!$B$28+KFC!$C$28)*KFC!$C$5</f>
        <v>43.35</v>
      </c>
      <c r="L39" s="315">
        <f>(AF39*KFC!$B$28+KFC!$C$28)*KFC!$C$5</f>
        <v>45.33</v>
      </c>
      <c r="M39" s="315">
        <f>(AG39*KFC!$B$28+KFC!$C$28)*KFC!$C$5</f>
        <v>47.3</v>
      </c>
      <c r="N39" s="315">
        <f>(AH39*KFC!$B$28+KFC!$C$28)*KFC!$C$5</f>
        <v>49.27</v>
      </c>
      <c r="O39" s="315">
        <f>(AI39*KFC!$B$28+KFC!$C$28)*KFC!$C$5</f>
        <v>51.23</v>
      </c>
      <c r="P39" s="315">
        <f>(AJ39*KFC!$B$28+KFC!$C$28)*KFC!$C$5</f>
        <v>53.189999999999991</v>
      </c>
      <c r="Q39" s="315">
        <f>(AK39*KFC!$B$28+KFC!$C$28)*KFC!$C$5</f>
        <v>55.149999999999984</v>
      </c>
      <c r="R39" s="315">
        <f>(AL39*KFC!$B$28+KFC!$C$28)*KFC!$C$5</f>
        <v>57.109999999999978</v>
      </c>
      <c r="S39" s="315">
        <f>(AM39*KFC!$B$28+KFC!$C$28)*KFC!$C$5</f>
        <v>59.069999999999972</v>
      </c>
      <c r="T39" s="315">
        <f>(AN39*KFC!$B$28+KFC!$C$28)*KFC!$C$5</f>
        <v>61.029999999999966</v>
      </c>
      <c r="V39" s="851">
        <v>1</v>
      </c>
      <c r="W39" s="847">
        <v>27.71</v>
      </c>
      <c r="X39" s="847">
        <v>29.68</v>
      </c>
      <c r="Y39" s="847">
        <v>31.65</v>
      </c>
      <c r="Z39" s="847">
        <v>33.5</v>
      </c>
      <c r="AA39" s="847">
        <v>35.479999999999997</v>
      </c>
      <c r="AB39" s="847">
        <v>37.44</v>
      </c>
      <c r="AC39" s="847">
        <v>39.42</v>
      </c>
      <c r="AD39" s="847">
        <v>41.38</v>
      </c>
      <c r="AE39" s="847">
        <v>43.35</v>
      </c>
      <c r="AF39" s="847">
        <v>45.33</v>
      </c>
      <c r="AG39" s="847">
        <v>47.3</v>
      </c>
      <c r="AH39" s="847">
        <v>49.27</v>
      </c>
      <c r="AI39" s="848">
        <v>51.23</v>
      </c>
      <c r="AJ39" s="690">
        <f t="shared" si="3"/>
        <v>53.189999999999991</v>
      </c>
      <c r="AK39" s="690">
        <f t="shared" si="4"/>
        <v>55.149999999999984</v>
      </c>
      <c r="AL39" s="690">
        <f t="shared" si="4"/>
        <v>57.109999999999978</v>
      </c>
      <c r="AM39" s="690">
        <f t="shared" si="4"/>
        <v>59.069999999999972</v>
      </c>
      <c r="AN39" s="690">
        <f t="shared" si="4"/>
        <v>61.029999999999966</v>
      </c>
      <c r="AO39" s="690">
        <f t="shared" si="4"/>
        <v>62.989999999999959</v>
      </c>
      <c r="AP39" s="690">
        <f t="shared" si="4"/>
        <v>64.94999999999996</v>
      </c>
    </row>
    <row r="40" spans="1:42" ht="14.25" customHeight="1">
      <c r="A40" s="1816"/>
      <c r="B40" s="849">
        <v>1.1000000000000001</v>
      </c>
      <c r="C40" s="314">
        <f>(W40*KFC!$B$28+KFC!$C$28)*KFC!$C$5</f>
        <v>28.57</v>
      </c>
      <c r="D40" s="315">
        <f>(X40*KFC!$B$28+KFC!$C$28)*KFC!$C$5</f>
        <v>30.56</v>
      </c>
      <c r="E40" s="315">
        <f>(Y40*KFC!$B$28+KFC!$C$28)*KFC!$C$5</f>
        <v>32.630000000000003</v>
      </c>
      <c r="F40" s="315">
        <f>(Z40*KFC!$B$28+KFC!$C$28)*KFC!$C$5</f>
        <v>34.61</v>
      </c>
      <c r="G40" s="315">
        <f>(AA40*KFC!$B$28+KFC!$C$28)*KFC!$C$5</f>
        <v>36.57</v>
      </c>
      <c r="H40" s="315">
        <f>(AB40*KFC!$B$28+KFC!$C$28)*KFC!$C$5</f>
        <v>38.56</v>
      </c>
      <c r="I40" s="315">
        <f>(AC40*KFC!$B$28+KFC!$C$28)*KFC!$C$5</f>
        <v>40.520000000000003</v>
      </c>
      <c r="J40" s="315">
        <f>(AD40*KFC!$B$28+KFC!$C$28)*KFC!$C$5</f>
        <v>42.49</v>
      </c>
      <c r="K40" s="315">
        <f>(AE40*KFC!$B$28+KFC!$C$28)*KFC!$C$5</f>
        <v>44.58</v>
      </c>
      <c r="L40" s="315">
        <f>(AF40*KFC!$B$28+KFC!$C$28)*KFC!$C$5</f>
        <v>46.56</v>
      </c>
      <c r="M40" s="315">
        <f>(AG40*KFC!$B$28+KFC!$C$28)*KFC!$C$5</f>
        <v>48.53</v>
      </c>
      <c r="N40" s="315">
        <f>(AH40*KFC!$B$28+KFC!$C$28)*KFC!$C$5</f>
        <v>50.49</v>
      </c>
      <c r="O40" s="315">
        <f>(AI40*KFC!$B$28+KFC!$C$28)*KFC!$C$5</f>
        <v>52.47</v>
      </c>
      <c r="P40" s="315">
        <f>(AJ40*KFC!$B$28+KFC!$C$28)*KFC!$C$5</f>
        <v>54.449999999999996</v>
      </c>
      <c r="Q40" s="315">
        <f>(AK40*KFC!$B$28+KFC!$C$28)*KFC!$C$5</f>
        <v>56.429999999999993</v>
      </c>
      <c r="R40" s="315">
        <f>(AL40*KFC!$B$28+KFC!$C$28)*KFC!$C$5</f>
        <v>58.409999999999989</v>
      </c>
      <c r="S40" s="315">
        <f>(AM40*KFC!$B$28+KFC!$C$28)*KFC!$C$5</f>
        <v>60.389999999999986</v>
      </c>
      <c r="T40" s="315">
        <f>(AN40*KFC!$B$28+KFC!$C$28)*KFC!$C$5</f>
        <v>62.369999999999983</v>
      </c>
      <c r="V40" s="851">
        <v>1.1000000000000001</v>
      </c>
      <c r="W40" s="847">
        <v>28.57</v>
      </c>
      <c r="X40" s="847">
        <v>30.56</v>
      </c>
      <c r="Y40" s="847">
        <v>32.630000000000003</v>
      </c>
      <c r="Z40" s="847">
        <v>34.61</v>
      </c>
      <c r="AA40" s="847">
        <v>36.57</v>
      </c>
      <c r="AB40" s="847">
        <v>38.56</v>
      </c>
      <c r="AC40" s="847">
        <v>40.520000000000003</v>
      </c>
      <c r="AD40" s="847">
        <v>42.49</v>
      </c>
      <c r="AE40" s="847">
        <v>44.58</v>
      </c>
      <c r="AF40" s="847">
        <v>46.56</v>
      </c>
      <c r="AG40" s="847">
        <v>48.53</v>
      </c>
      <c r="AH40" s="847">
        <v>50.49</v>
      </c>
      <c r="AI40" s="848">
        <v>52.47</v>
      </c>
      <c r="AJ40" s="690">
        <f t="shared" si="3"/>
        <v>54.449999999999996</v>
      </c>
      <c r="AK40" s="690">
        <f t="shared" si="4"/>
        <v>56.429999999999993</v>
      </c>
      <c r="AL40" s="690">
        <f t="shared" si="4"/>
        <v>58.409999999999989</v>
      </c>
      <c r="AM40" s="690">
        <f t="shared" si="4"/>
        <v>60.389999999999986</v>
      </c>
      <c r="AN40" s="690">
        <f t="shared" si="4"/>
        <v>62.369999999999983</v>
      </c>
      <c r="AO40" s="690">
        <f t="shared" si="4"/>
        <v>64.34999999999998</v>
      </c>
      <c r="AP40" s="690">
        <f t="shared" si="4"/>
        <v>66.329999999999984</v>
      </c>
    </row>
    <row r="41" spans="1:42" ht="14.25" customHeight="1">
      <c r="A41" s="1816"/>
      <c r="B41" s="849">
        <v>1.2</v>
      </c>
      <c r="C41" s="314">
        <f>(W41*KFC!$B$28+KFC!$C$28)*KFC!$C$5</f>
        <v>29.56</v>
      </c>
      <c r="D41" s="315">
        <f>(X41*KFC!$B$28+KFC!$C$28)*KFC!$C$5</f>
        <v>31.53</v>
      </c>
      <c r="E41" s="315">
        <f>(Y41*KFC!$B$28+KFC!$C$28)*KFC!$C$5</f>
        <v>33.630000000000003</v>
      </c>
      <c r="F41" s="315">
        <f>(Z41*KFC!$B$28+KFC!$C$28)*KFC!$C$5</f>
        <v>35.6</v>
      </c>
      <c r="G41" s="315">
        <f>(AA41*KFC!$B$28+KFC!$C$28)*KFC!$C$5</f>
        <v>37.57</v>
      </c>
      <c r="H41" s="315">
        <f>(AB41*KFC!$B$28+KFC!$C$28)*KFC!$C$5</f>
        <v>39.659999999999997</v>
      </c>
      <c r="I41" s="315">
        <f>(AC41*KFC!$B$28+KFC!$C$28)*KFC!$C$5</f>
        <v>41.63</v>
      </c>
      <c r="J41" s="315">
        <f>(AD41*KFC!$B$28+KFC!$C$28)*KFC!$C$5</f>
        <v>43.61</v>
      </c>
      <c r="K41" s="315">
        <f>(AE41*KFC!$B$28+KFC!$C$28)*KFC!$C$5</f>
        <v>45.7</v>
      </c>
      <c r="L41" s="315">
        <f>(AF41*KFC!$B$28+KFC!$C$28)*KFC!$C$5</f>
        <v>47.66</v>
      </c>
      <c r="M41" s="315">
        <f>(AG41*KFC!$B$28+KFC!$C$28)*KFC!$C$5</f>
        <v>49.76</v>
      </c>
      <c r="N41" s="315">
        <f>(AH41*KFC!$B$28+KFC!$C$28)*KFC!$C$5</f>
        <v>51.73</v>
      </c>
      <c r="O41" s="315">
        <f>(AI41*KFC!$B$28+KFC!$C$28)*KFC!$C$5</f>
        <v>53.7</v>
      </c>
      <c r="P41" s="315">
        <f>(AJ41*KFC!$B$28+KFC!$C$28)*KFC!$C$5</f>
        <v>55.670000000000009</v>
      </c>
      <c r="Q41" s="315">
        <f>(AK41*KFC!$B$28+KFC!$C$28)*KFC!$C$5</f>
        <v>57.640000000000015</v>
      </c>
      <c r="R41" s="315">
        <f>(AL41*KFC!$B$28+KFC!$C$28)*KFC!$C$5</f>
        <v>59.610000000000021</v>
      </c>
      <c r="S41" s="315">
        <f>(AM41*KFC!$B$28+KFC!$C$28)*KFC!$C$5</f>
        <v>61.580000000000027</v>
      </c>
      <c r="T41" s="315">
        <f>(AN41*KFC!$B$28+KFC!$C$28)*KFC!$C$5</f>
        <v>63.550000000000033</v>
      </c>
      <c r="V41" s="851">
        <v>1.2</v>
      </c>
      <c r="W41" s="847">
        <v>29.56</v>
      </c>
      <c r="X41" s="847">
        <v>31.53</v>
      </c>
      <c r="Y41" s="847">
        <v>33.630000000000003</v>
      </c>
      <c r="Z41" s="847">
        <v>35.6</v>
      </c>
      <c r="AA41" s="847">
        <v>37.57</v>
      </c>
      <c r="AB41" s="847">
        <v>39.659999999999997</v>
      </c>
      <c r="AC41" s="847">
        <v>41.63</v>
      </c>
      <c r="AD41" s="847">
        <v>43.61</v>
      </c>
      <c r="AE41" s="847">
        <v>45.7</v>
      </c>
      <c r="AF41" s="847">
        <v>47.66</v>
      </c>
      <c r="AG41" s="847">
        <v>49.76</v>
      </c>
      <c r="AH41" s="847">
        <v>51.73</v>
      </c>
      <c r="AI41" s="848">
        <v>53.7</v>
      </c>
      <c r="AJ41" s="690">
        <f t="shared" si="3"/>
        <v>55.670000000000009</v>
      </c>
      <c r="AK41" s="690">
        <f t="shared" si="4"/>
        <v>57.640000000000015</v>
      </c>
      <c r="AL41" s="690">
        <f t="shared" si="4"/>
        <v>59.610000000000021</v>
      </c>
      <c r="AM41" s="690">
        <f t="shared" si="4"/>
        <v>61.580000000000027</v>
      </c>
      <c r="AN41" s="690">
        <f t="shared" si="4"/>
        <v>63.550000000000033</v>
      </c>
      <c r="AO41" s="690">
        <f t="shared" si="4"/>
        <v>65.520000000000039</v>
      </c>
      <c r="AP41" s="690">
        <f t="shared" si="4"/>
        <v>67.490000000000038</v>
      </c>
    </row>
    <row r="42" spans="1:42" ht="14.25" customHeight="1">
      <c r="A42" s="1816"/>
      <c r="B42" s="849">
        <v>1.3</v>
      </c>
      <c r="C42" s="314">
        <f>(W42*KFC!$B$28+KFC!$C$28)*KFC!$C$5</f>
        <v>30.42</v>
      </c>
      <c r="D42" s="315">
        <f>(X42*KFC!$B$28+KFC!$C$28)*KFC!$C$5</f>
        <v>32.520000000000003</v>
      </c>
      <c r="E42" s="315">
        <f>(Y42*KFC!$B$28+KFC!$C$28)*KFC!$C$5</f>
        <v>34.479999999999997</v>
      </c>
      <c r="F42" s="315">
        <f>(Z42*KFC!$B$28+KFC!$C$28)*KFC!$C$5</f>
        <v>36.57</v>
      </c>
      <c r="G42" s="315">
        <f>(AA42*KFC!$B$28+KFC!$C$28)*KFC!$C$5</f>
        <v>38.67</v>
      </c>
      <c r="H42" s="315">
        <f>(AB42*KFC!$B$28+KFC!$C$28)*KFC!$C$5</f>
        <v>40.65</v>
      </c>
      <c r="I42" s="315">
        <f>(AC42*KFC!$B$28+KFC!$C$28)*KFC!$C$5</f>
        <v>42.74</v>
      </c>
      <c r="J42" s="315">
        <f>(AD42*KFC!$B$28+KFC!$C$28)*KFC!$C$5</f>
        <v>44.84</v>
      </c>
      <c r="K42" s="315">
        <f>(AE42*KFC!$B$28+KFC!$C$28)*KFC!$C$5</f>
        <v>46.8</v>
      </c>
      <c r="L42" s="315">
        <f>(AF42*KFC!$B$28+KFC!$C$28)*KFC!$C$5</f>
        <v>48.89</v>
      </c>
      <c r="M42" s="315">
        <f>(AG42*KFC!$B$28+KFC!$C$28)*KFC!$C$5</f>
        <v>50.87</v>
      </c>
      <c r="N42" s="315">
        <f>(AH42*KFC!$B$28+KFC!$C$28)*KFC!$C$5</f>
        <v>52.96</v>
      </c>
      <c r="O42" s="315">
        <f>(AI42*KFC!$B$28+KFC!$C$28)*KFC!$C$5</f>
        <v>55.05</v>
      </c>
      <c r="P42" s="315">
        <f>(AJ42*KFC!$B$28+KFC!$C$28)*KFC!$C$5</f>
        <v>57.139999999999993</v>
      </c>
      <c r="Q42" s="315">
        <f>(AK42*KFC!$B$28+KFC!$C$28)*KFC!$C$5</f>
        <v>59.22999999999999</v>
      </c>
      <c r="R42" s="315">
        <f>(AL42*KFC!$B$28+KFC!$C$28)*KFC!$C$5</f>
        <v>61.319999999999986</v>
      </c>
      <c r="S42" s="315">
        <f>(AM42*KFC!$B$28+KFC!$C$28)*KFC!$C$5</f>
        <v>63.409999999999982</v>
      </c>
      <c r="T42" s="315">
        <f>(AN42*KFC!$B$28+KFC!$C$28)*KFC!$C$5</f>
        <v>65.499999999999972</v>
      </c>
      <c r="V42" s="851">
        <v>1.3</v>
      </c>
      <c r="W42" s="847">
        <v>30.42</v>
      </c>
      <c r="X42" s="847">
        <v>32.520000000000003</v>
      </c>
      <c r="Y42" s="847">
        <v>34.479999999999997</v>
      </c>
      <c r="Z42" s="847">
        <v>36.57</v>
      </c>
      <c r="AA42" s="847">
        <v>38.67</v>
      </c>
      <c r="AB42" s="847">
        <v>40.65</v>
      </c>
      <c r="AC42" s="847">
        <v>42.74</v>
      </c>
      <c r="AD42" s="847">
        <v>44.84</v>
      </c>
      <c r="AE42" s="847">
        <v>46.8</v>
      </c>
      <c r="AF42" s="847">
        <v>48.89</v>
      </c>
      <c r="AG42" s="847">
        <v>50.87</v>
      </c>
      <c r="AH42" s="847">
        <v>52.96</v>
      </c>
      <c r="AI42" s="848">
        <v>55.05</v>
      </c>
      <c r="AJ42" s="690">
        <f t="shared" si="3"/>
        <v>57.139999999999993</v>
      </c>
      <c r="AK42" s="690">
        <f t="shared" si="4"/>
        <v>59.22999999999999</v>
      </c>
      <c r="AL42" s="690">
        <f t="shared" si="4"/>
        <v>61.319999999999986</v>
      </c>
      <c r="AM42" s="690">
        <f t="shared" si="4"/>
        <v>63.409999999999982</v>
      </c>
      <c r="AN42" s="690">
        <f t="shared" si="4"/>
        <v>65.499999999999972</v>
      </c>
      <c r="AO42" s="690">
        <f t="shared" si="4"/>
        <v>67.589999999999961</v>
      </c>
      <c r="AP42" s="690">
        <f t="shared" si="4"/>
        <v>69.67999999999995</v>
      </c>
    </row>
    <row r="43" spans="1:42" ht="14.25" customHeight="1">
      <c r="A43" s="1816"/>
      <c r="B43" s="849">
        <v>1.4</v>
      </c>
      <c r="C43" s="314">
        <f>(W43*KFC!$B$28+KFC!$C$28)*KFC!$C$5</f>
        <v>31.41</v>
      </c>
      <c r="D43" s="315">
        <f>(X43*KFC!$B$28+KFC!$C$28)*KFC!$C$5</f>
        <v>33.5</v>
      </c>
      <c r="E43" s="315">
        <f>(Y43*KFC!$B$28+KFC!$C$28)*KFC!$C$5</f>
        <v>35.479999999999997</v>
      </c>
      <c r="F43" s="315">
        <f>(Z43*KFC!$B$28+KFC!$C$28)*KFC!$C$5</f>
        <v>37.57</v>
      </c>
      <c r="G43" s="315">
        <f>(AA43*KFC!$B$28+KFC!$C$28)*KFC!$C$5</f>
        <v>39.659999999999997</v>
      </c>
      <c r="H43" s="315">
        <f>(AB43*KFC!$B$28+KFC!$C$28)*KFC!$C$5</f>
        <v>41.76</v>
      </c>
      <c r="I43" s="315">
        <f>(AC43*KFC!$B$28+KFC!$C$28)*KFC!$C$5</f>
        <v>43.85</v>
      </c>
      <c r="J43" s="315">
        <f>(AD43*KFC!$B$28+KFC!$C$28)*KFC!$C$5</f>
        <v>45.95</v>
      </c>
      <c r="K43" s="315">
        <f>(AE43*KFC!$B$28+KFC!$C$28)*KFC!$C$5</f>
        <v>47.91</v>
      </c>
      <c r="L43" s="315">
        <f>(AF43*KFC!$B$28+KFC!$C$28)*KFC!$C$5</f>
        <v>50</v>
      </c>
      <c r="M43" s="315">
        <f>(AG43*KFC!$B$28+KFC!$C$28)*KFC!$C$5</f>
        <v>52.1</v>
      </c>
      <c r="N43" s="315">
        <f>(AH43*KFC!$B$28+KFC!$C$28)*KFC!$C$5</f>
        <v>54.19</v>
      </c>
      <c r="O43" s="315">
        <f>(AI43*KFC!$B$28+KFC!$C$28)*KFC!$C$5</f>
        <v>56.28</v>
      </c>
      <c r="P43" s="315">
        <f>(AJ43*KFC!$B$28+KFC!$C$28)*KFC!$C$5</f>
        <v>58.370000000000005</v>
      </c>
      <c r="Q43" s="315">
        <f>(AK43*KFC!$B$28+KFC!$C$28)*KFC!$C$5</f>
        <v>60.460000000000008</v>
      </c>
      <c r="R43" s="315">
        <f>(AL43*KFC!$B$28+KFC!$C$28)*KFC!$C$5</f>
        <v>62.550000000000011</v>
      </c>
      <c r="S43" s="315">
        <f>(AM43*KFC!$B$28+KFC!$C$28)*KFC!$C$5</f>
        <v>64.640000000000015</v>
      </c>
      <c r="T43" s="315">
        <f>(AN43*KFC!$B$28+KFC!$C$28)*KFC!$C$5</f>
        <v>66.730000000000018</v>
      </c>
      <c r="V43" s="851">
        <v>1.4</v>
      </c>
      <c r="W43" s="847">
        <v>31.41</v>
      </c>
      <c r="X43" s="847">
        <v>33.5</v>
      </c>
      <c r="Y43" s="847">
        <v>35.479999999999997</v>
      </c>
      <c r="Z43" s="847">
        <v>37.57</v>
      </c>
      <c r="AA43" s="847">
        <v>39.659999999999997</v>
      </c>
      <c r="AB43" s="847">
        <v>41.76</v>
      </c>
      <c r="AC43" s="847">
        <v>43.85</v>
      </c>
      <c r="AD43" s="847">
        <v>45.95</v>
      </c>
      <c r="AE43" s="847">
        <v>47.91</v>
      </c>
      <c r="AF43" s="847">
        <v>50</v>
      </c>
      <c r="AG43" s="847">
        <v>52.1</v>
      </c>
      <c r="AH43" s="847">
        <v>54.19</v>
      </c>
      <c r="AI43" s="848">
        <v>56.28</v>
      </c>
      <c r="AJ43" s="690">
        <f t="shared" si="3"/>
        <v>58.370000000000005</v>
      </c>
      <c r="AK43" s="690">
        <f t="shared" si="4"/>
        <v>60.460000000000008</v>
      </c>
      <c r="AL43" s="690">
        <f t="shared" si="4"/>
        <v>62.550000000000011</v>
      </c>
      <c r="AM43" s="690">
        <f t="shared" si="4"/>
        <v>64.640000000000015</v>
      </c>
      <c r="AN43" s="690">
        <f t="shared" si="4"/>
        <v>66.730000000000018</v>
      </c>
      <c r="AO43" s="690">
        <f t="shared" si="4"/>
        <v>68.820000000000022</v>
      </c>
      <c r="AP43" s="690">
        <f t="shared" si="4"/>
        <v>70.910000000000025</v>
      </c>
    </row>
    <row r="44" spans="1:42" ht="14.25" customHeight="1">
      <c r="A44" s="1816"/>
      <c r="B44" s="849">
        <v>1.5</v>
      </c>
      <c r="C44" s="314">
        <f>(W44*KFC!$B$28+KFC!$C$28)*KFC!$C$5</f>
        <v>32.270000000000003</v>
      </c>
      <c r="D44" s="315">
        <f>(X44*KFC!$B$28+KFC!$C$28)*KFC!$C$5</f>
        <v>34.369999999999997</v>
      </c>
      <c r="E44" s="315">
        <f>(Y44*KFC!$B$28+KFC!$C$28)*KFC!$C$5</f>
        <v>36.46</v>
      </c>
      <c r="F44" s="315">
        <f>(Z44*KFC!$B$28+KFC!$C$28)*KFC!$C$5</f>
        <v>38.67</v>
      </c>
      <c r="G44" s="315">
        <f>(AA44*KFC!$B$28+KFC!$C$28)*KFC!$C$5</f>
        <v>40.76</v>
      </c>
      <c r="H44" s="315">
        <f>(AB44*KFC!$B$28+KFC!$C$28)*KFC!$C$5</f>
        <v>42.87</v>
      </c>
      <c r="I44" s="315">
        <f>(AC44*KFC!$B$28+KFC!$C$28)*KFC!$C$5</f>
        <v>44.95</v>
      </c>
      <c r="J44" s="315">
        <f>(AD44*KFC!$B$28+KFC!$C$28)*KFC!$C$5</f>
        <v>47.04</v>
      </c>
      <c r="K44" s="315">
        <f>(AE44*KFC!$B$28+KFC!$C$28)*KFC!$C$5</f>
        <v>49.15</v>
      </c>
      <c r="L44" s="315">
        <f>(AF44*KFC!$B$28+KFC!$C$28)*KFC!$C$5</f>
        <v>51.23</v>
      </c>
      <c r="M44" s="315">
        <f>(AG44*KFC!$B$28+KFC!$C$28)*KFC!$C$5</f>
        <v>53.34</v>
      </c>
      <c r="N44" s="315">
        <f>(AH44*KFC!$B$28+KFC!$C$28)*KFC!$C$5</f>
        <v>55.43</v>
      </c>
      <c r="O44" s="315">
        <f>(AI44*KFC!$B$28+KFC!$C$28)*KFC!$C$5</f>
        <v>57.51</v>
      </c>
      <c r="P44" s="315">
        <f>(AJ44*KFC!$B$28+KFC!$C$28)*KFC!$C$5</f>
        <v>59.589999999999996</v>
      </c>
      <c r="Q44" s="315">
        <f>(AK44*KFC!$B$28+KFC!$C$28)*KFC!$C$5</f>
        <v>61.669999999999995</v>
      </c>
      <c r="R44" s="315">
        <f>(AL44*KFC!$B$28+KFC!$C$28)*KFC!$C$5</f>
        <v>63.749999999999993</v>
      </c>
      <c r="S44" s="315">
        <f>(AM44*KFC!$B$28+KFC!$C$28)*KFC!$C$5</f>
        <v>65.829999999999984</v>
      </c>
      <c r="T44" s="315">
        <f>(AN44*KFC!$B$28+KFC!$C$28)*KFC!$C$5</f>
        <v>67.909999999999968</v>
      </c>
      <c r="V44" s="851">
        <v>1.5</v>
      </c>
      <c r="W44" s="847">
        <v>32.270000000000003</v>
      </c>
      <c r="X44" s="847">
        <v>34.369999999999997</v>
      </c>
      <c r="Y44" s="847">
        <v>36.46</v>
      </c>
      <c r="Z44" s="847">
        <v>38.67</v>
      </c>
      <c r="AA44" s="847">
        <v>40.76</v>
      </c>
      <c r="AB44" s="847">
        <v>42.87</v>
      </c>
      <c r="AC44" s="847">
        <v>44.95</v>
      </c>
      <c r="AD44" s="847">
        <v>47.04</v>
      </c>
      <c r="AE44" s="847">
        <v>49.15</v>
      </c>
      <c r="AF44" s="847">
        <v>51.23</v>
      </c>
      <c r="AG44" s="847">
        <v>53.34</v>
      </c>
      <c r="AH44" s="847">
        <v>55.43</v>
      </c>
      <c r="AI44" s="848">
        <v>57.51</v>
      </c>
      <c r="AJ44" s="690">
        <f t="shared" si="3"/>
        <v>59.589999999999996</v>
      </c>
      <c r="AK44" s="690">
        <f t="shared" si="4"/>
        <v>61.669999999999995</v>
      </c>
      <c r="AL44" s="690">
        <f t="shared" si="4"/>
        <v>63.749999999999993</v>
      </c>
      <c r="AM44" s="690">
        <f t="shared" si="4"/>
        <v>65.829999999999984</v>
      </c>
      <c r="AN44" s="690">
        <f t="shared" si="4"/>
        <v>67.909999999999968</v>
      </c>
      <c r="AO44" s="690">
        <f t="shared" si="4"/>
        <v>69.989999999999952</v>
      </c>
      <c r="AP44" s="690">
        <f t="shared" si="4"/>
        <v>72.069999999999936</v>
      </c>
    </row>
    <row r="45" spans="1:42" ht="14.25" customHeight="1">
      <c r="A45" s="1816"/>
      <c r="B45" s="849">
        <v>1.6</v>
      </c>
      <c r="C45" s="314">
        <f>(W45*KFC!$B$28+KFC!$C$28)*KFC!$C$5</f>
        <v>33.25</v>
      </c>
      <c r="D45" s="315">
        <f>(X45*KFC!$B$28+KFC!$C$28)*KFC!$C$5</f>
        <v>35.340000000000003</v>
      </c>
      <c r="E45" s="315">
        <f>(Y45*KFC!$B$28+KFC!$C$28)*KFC!$C$5</f>
        <v>37.44</v>
      </c>
      <c r="F45" s="315">
        <f>(Z45*KFC!$B$28+KFC!$C$28)*KFC!$C$5</f>
        <v>39.659999999999997</v>
      </c>
      <c r="G45" s="315">
        <f>(AA45*KFC!$B$28+KFC!$C$28)*KFC!$C$5</f>
        <v>41.76</v>
      </c>
      <c r="H45" s="315">
        <f>(AB45*KFC!$B$28+KFC!$C$28)*KFC!$C$5</f>
        <v>43.85</v>
      </c>
      <c r="I45" s="315">
        <f>(AC45*KFC!$B$28+KFC!$C$28)*KFC!$C$5</f>
        <v>46.06</v>
      </c>
      <c r="J45" s="315">
        <f>(AD45*KFC!$B$28+KFC!$C$28)*KFC!$C$5</f>
        <v>48.15</v>
      </c>
      <c r="K45" s="315">
        <f>(AE45*KFC!$B$28+KFC!$C$28)*KFC!$C$5</f>
        <v>50.25</v>
      </c>
      <c r="L45" s="315">
        <f>(AF45*KFC!$B$28+KFC!$C$28)*KFC!$C$5</f>
        <v>52.34</v>
      </c>
      <c r="M45" s="315">
        <f>(AG45*KFC!$B$28+KFC!$C$28)*KFC!$C$5</f>
        <v>54.57</v>
      </c>
      <c r="N45" s="315">
        <f>(AH45*KFC!$B$28+KFC!$C$28)*KFC!$C$5</f>
        <v>56.66</v>
      </c>
      <c r="O45" s="315">
        <f>(AI45*KFC!$B$28+KFC!$C$28)*KFC!$C$5</f>
        <v>58.75</v>
      </c>
      <c r="P45" s="315">
        <f>(AJ45*KFC!$B$28+KFC!$C$28)*KFC!$C$5</f>
        <v>60.84</v>
      </c>
      <c r="Q45" s="315">
        <f>(AK45*KFC!$B$28+KFC!$C$28)*KFC!$C$5</f>
        <v>62.930000000000007</v>
      </c>
      <c r="R45" s="315">
        <f>(AL45*KFC!$B$28+KFC!$C$28)*KFC!$C$5</f>
        <v>65.02000000000001</v>
      </c>
      <c r="S45" s="315">
        <f>(AM45*KFC!$B$28+KFC!$C$28)*KFC!$C$5</f>
        <v>67.110000000000014</v>
      </c>
      <c r="T45" s="315">
        <f>(AN45*KFC!$B$28+KFC!$C$28)*KFC!$C$5</f>
        <v>69.200000000000017</v>
      </c>
      <c r="V45" s="851">
        <v>1.6</v>
      </c>
      <c r="W45" s="847">
        <v>33.25</v>
      </c>
      <c r="X45" s="847">
        <v>35.340000000000003</v>
      </c>
      <c r="Y45" s="847">
        <v>37.44</v>
      </c>
      <c r="Z45" s="847">
        <v>39.659999999999997</v>
      </c>
      <c r="AA45" s="847">
        <v>41.76</v>
      </c>
      <c r="AB45" s="847">
        <v>43.85</v>
      </c>
      <c r="AC45" s="847">
        <v>46.06</v>
      </c>
      <c r="AD45" s="847">
        <v>48.15</v>
      </c>
      <c r="AE45" s="847">
        <v>50.25</v>
      </c>
      <c r="AF45" s="847">
        <v>52.34</v>
      </c>
      <c r="AG45" s="847">
        <v>54.57</v>
      </c>
      <c r="AH45" s="847">
        <v>56.66</v>
      </c>
      <c r="AI45" s="848">
        <v>58.75</v>
      </c>
      <c r="AJ45" s="690">
        <f t="shared" si="3"/>
        <v>60.84</v>
      </c>
      <c r="AK45" s="690">
        <f t="shared" si="4"/>
        <v>62.930000000000007</v>
      </c>
      <c r="AL45" s="690">
        <f t="shared" si="4"/>
        <v>65.02000000000001</v>
      </c>
      <c r="AM45" s="690">
        <f t="shared" si="4"/>
        <v>67.110000000000014</v>
      </c>
      <c r="AN45" s="690">
        <f t="shared" si="4"/>
        <v>69.200000000000017</v>
      </c>
      <c r="AO45" s="690">
        <f t="shared" si="4"/>
        <v>71.29000000000002</v>
      </c>
      <c r="AP45" s="690">
        <f t="shared" si="4"/>
        <v>73.380000000000024</v>
      </c>
    </row>
    <row r="46" spans="1:42" ht="14.25" customHeight="1">
      <c r="A46" s="1816"/>
      <c r="B46" s="849">
        <v>1.7</v>
      </c>
      <c r="C46" s="314">
        <f>(W46*KFC!$B$28+KFC!$C$28)*KFC!$C$5</f>
        <v>34.11</v>
      </c>
      <c r="D46" s="315">
        <f>(X46*KFC!$B$28+KFC!$C$28)*KFC!$C$5</f>
        <v>36.33</v>
      </c>
      <c r="E46" s="315">
        <f>(Y46*KFC!$B$28+KFC!$C$28)*KFC!$C$5</f>
        <v>38.42</v>
      </c>
      <c r="F46" s="315">
        <f>(Z46*KFC!$B$28+KFC!$C$28)*KFC!$C$5</f>
        <v>40.65</v>
      </c>
      <c r="G46" s="315">
        <f>(AA46*KFC!$B$28+KFC!$C$28)*KFC!$C$5</f>
        <v>42.74</v>
      </c>
      <c r="H46" s="315">
        <f>(AB46*KFC!$B$28+KFC!$C$28)*KFC!$C$5</f>
        <v>44.95</v>
      </c>
      <c r="I46" s="315">
        <f>(AC46*KFC!$B$28+KFC!$C$28)*KFC!$C$5</f>
        <v>47.04</v>
      </c>
      <c r="J46" s="315">
        <f>(AD46*KFC!$B$28+KFC!$C$28)*KFC!$C$5</f>
        <v>49.27</v>
      </c>
      <c r="K46" s="315">
        <f>(AE46*KFC!$B$28+KFC!$C$28)*KFC!$C$5</f>
        <v>51.36</v>
      </c>
      <c r="L46" s="315">
        <f>(AF46*KFC!$B$28+KFC!$C$28)*KFC!$C$5</f>
        <v>53.58</v>
      </c>
      <c r="M46" s="315">
        <f>(AG46*KFC!$B$28+KFC!$C$28)*KFC!$C$5</f>
        <v>55.67</v>
      </c>
      <c r="N46" s="315">
        <f>(AH46*KFC!$B$28+KFC!$C$28)*KFC!$C$5</f>
        <v>57.89</v>
      </c>
      <c r="O46" s="315">
        <f>(AI46*KFC!$B$28+KFC!$C$28)*KFC!$C$5</f>
        <v>60.11</v>
      </c>
      <c r="P46" s="315">
        <f>(AJ46*KFC!$B$28+KFC!$C$28)*KFC!$C$5</f>
        <v>62.33</v>
      </c>
      <c r="Q46" s="315">
        <f>(AK46*KFC!$B$28+KFC!$C$28)*KFC!$C$5</f>
        <v>64.55</v>
      </c>
      <c r="R46" s="315">
        <f>(AL46*KFC!$B$28+KFC!$C$28)*KFC!$C$5</f>
        <v>66.77</v>
      </c>
      <c r="S46" s="315">
        <f>(AM46*KFC!$B$28+KFC!$C$28)*KFC!$C$5</f>
        <v>68.989999999999995</v>
      </c>
      <c r="T46" s="315">
        <f>(AN46*KFC!$B$28+KFC!$C$28)*KFC!$C$5</f>
        <v>71.209999999999994</v>
      </c>
      <c r="V46" s="851">
        <v>1.7</v>
      </c>
      <c r="W46" s="847">
        <v>34.11</v>
      </c>
      <c r="X46" s="847">
        <v>36.33</v>
      </c>
      <c r="Y46" s="847">
        <v>38.42</v>
      </c>
      <c r="Z46" s="847">
        <v>40.65</v>
      </c>
      <c r="AA46" s="847">
        <v>42.74</v>
      </c>
      <c r="AB46" s="847">
        <v>44.95</v>
      </c>
      <c r="AC46" s="847">
        <v>47.04</v>
      </c>
      <c r="AD46" s="847">
        <v>49.27</v>
      </c>
      <c r="AE46" s="847">
        <v>51.36</v>
      </c>
      <c r="AF46" s="847">
        <v>53.58</v>
      </c>
      <c r="AG46" s="847">
        <v>55.67</v>
      </c>
      <c r="AH46" s="847">
        <v>57.89</v>
      </c>
      <c r="AI46" s="848">
        <v>60.11</v>
      </c>
      <c r="AJ46" s="690">
        <f t="shared" si="3"/>
        <v>62.33</v>
      </c>
      <c r="AK46" s="690">
        <f t="shared" si="4"/>
        <v>64.55</v>
      </c>
      <c r="AL46" s="690">
        <f t="shared" si="4"/>
        <v>66.77</v>
      </c>
      <c r="AM46" s="690">
        <f t="shared" si="4"/>
        <v>68.989999999999995</v>
      </c>
      <c r="AN46" s="690">
        <f t="shared" si="4"/>
        <v>71.209999999999994</v>
      </c>
      <c r="AO46" s="690">
        <f t="shared" si="4"/>
        <v>73.429999999999993</v>
      </c>
      <c r="AP46" s="690">
        <f t="shared" si="4"/>
        <v>75.649999999999991</v>
      </c>
    </row>
    <row r="47" spans="1:42" ht="14.25" customHeight="1">
      <c r="A47" s="1816"/>
      <c r="B47" s="849">
        <v>1.8</v>
      </c>
      <c r="C47" s="314">
        <f>(W47*KFC!$B$28+KFC!$C$28)*KFC!$C$5</f>
        <v>35.1</v>
      </c>
      <c r="D47" s="315">
        <f>(X47*KFC!$B$28+KFC!$C$28)*KFC!$C$5</f>
        <v>37.33</v>
      </c>
      <c r="E47" s="315">
        <f>(Y47*KFC!$B$28+KFC!$C$28)*KFC!$C$5</f>
        <v>39.42</v>
      </c>
      <c r="F47" s="315">
        <f>(Z47*KFC!$B$28+KFC!$C$28)*KFC!$C$5</f>
        <v>41.63</v>
      </c>
      <c r="G47" s="315">
        <f>(AA47*KFC!$B$28+KFC!$C$28)*KFC!$C$5</f>
        <v>43.85</v>
      </c>
      <c r="H47" s="315">
        <f>(AB47*KFC!$B$28+KFC!$C$28)*KFC!$C$5</f>
        <v>46.06</v>
      </c>
      <c r="I47" s="315">
        <f>(AC47*KFC!$B$28+KFC!$C$28)*KFC!$C$5</f>
        <v>48.15</v>
      </c>
      <c r="J47" s="315">
        <f>(AD47*KFC!$B$28+KFC!$C$28)*KFC!$C$5</f>
        <v>50.38</v>
      </c>
      <c r="K47" s="315">
        <f>(AE47*KFC!$B$28+KFC!$C$28)*KFC!$C$5</f>
        <v>52.58</v>
      </c>
      <c r="L47" s="315">
        <f>(AF47*KFC!$B$28+KFC!$C$28)*KFC!$C$5</f>
        <v>54.81</v>
      </c>
      <c r="M47" s="315">
        <f>(AG47*KFC!$B$28+KFC!$C$28)*KFC!$C$5</f>
        <v>56.9</v>
      </c>
      <c r="N47" s="315">
        <f>(AH47*KFC!$B$28+KFC!$C$28)*KFC!$C$5</f>
        <v>59.12</v>
      </c>
      <c r="O47" s="315">
        <f>(AI47*KFC!$B$28+KFC!$C$28)*KFC!$C$5</f>
        <v>61.34</v>
      </c>
      <c r="P47" s="315">
        <f>(AJ47*KFC!$B$28+KFC!$C$28)*KFC!$C$5</f>
        <v>63.560000000000009</v>
      </c>
      <c r="Q47" s="315">
        <f>(AK47*KFC!$B$28+KFC!$C$28)*KFC!$C$5</f>
        <v>65.780000000000015</v>
      </c>
      <c r="R47" s="315">
        <f>(AL47*KFC!$B$28+KFC!$C$28)*KFC!$C$5</f>
        <v>68.000000000000028</v>
      </c>
      <c r="S47" s="315">
        <f>(AM47*KFC!$B$28+KFC!$C$28)*KFC!$C$5</f>
        <v>70.220000000000041</v>
      </c>
      <c r="T47" s="315">
        <f>(AN47*KFC!$B$28+KFC!$C$28)*KFC!$C$5</f>
        <v>72.440000000000055</v>
      </c>
      <c r="V47" s="851">
        <v>1.8</v>
      </c>
      <c r="W47" s="847">
        <v>35.1</v>
      </c>
      <c r="X47" s="847">
        <v>37.33</v>
      </c>
      <c r="Y47" s="847">
        <v>39.42</v>
      </c>
      <c r="Z47" s="847">
        <v>41.63</v>
      </c>
      <c r="AA47" s="847">
        <v>43.85</v>
      </c>
      <c r="AB47" s="847">
        <v>46.06</v>
      </c>
      <c r="AC47" s="847">
        <v>48.15</v>
      </c>
      <c r="AD47" s="847">
        <v>50.38</v>
      </c>
      <c r="AE47" s="847">
        <v>52.58</v>
      </c>
      <c r="AF47" s="847">
        <v>54.81</v>
      </c>
      <c r="AG47" s="847">
        <v>56.9</v>
      </c>
      <c r="AH47" s="847">
        <v>59.12</v>
      </c>
      <c r="AI47" s="848">
        <v>61.34</v>
      </c>
      <c r="AJ47" s="690">
        <f t="shared" si="3"/>
        <v>63.560000000000009</v>
      </c>
      <c r="AK47" s="690">
        <f t="shared" si="4"/>
        <v>65.780000000000015</v>
      </c>
      <c r="AL47" s="690">
        <f t="shared" si="4"/>
        <v>68.000000000000028</v>
      </c>
      <c r="AM47" s="690">
        <f t="shared" si="4"/>
        <v>70.220000000000041</v>
      </c>
      <c r="AN47" s="690">
        <f t="shared" si="4"/>
        <v>72.440000000000055</v>
      </c>
      <c r="AO47" s="690">
        <f t="shared" si="4"/>
        <v>74.660000000000068</v>
      </c>
      <c r="AP47" s="690">
        <f t="shared" si="4"/>
        <v>76.880000000000081</v>
      </c>
    </row>
    <row r="48" spans="1:42" ht="14.25" customHeight="1">
      <c r="A48" s="1816"/>
      <c r="B48" s="849">
        <v>1.9</v>
      </c>
      <c r="C48" s="314">
        <f>(W48*KFC!$B$28+KFC!$C$28)*KFC!$C$5</f>
        <v>35.96</v>
      </c>
      <c r="D48" s="315">
        <f>(X48*KFC!$B$28+KFC!$C$28)*KFC!$C$5</f>
        <v>38.18</v>
      </c>
      <c r="E48" s="315">
        <f>(Y48*KFC!$B$28+KFC!$C$28)*KFC!$C$5</f>
        <v>40.4</v>
      </c>
      <c r="F48" s="315">
        <f>(Z48*KFC!$B$28+KFC!$C$28)*KFC!$C$5</f>
        <v>42.61</v>
      </c>
      <c r="G48" s="315">
        <f>(AA48*KFC!$B$28+KFC!$C$28)*KFC!$C$5</f>
        <v>44.84</v>
      </c>
      <c r="H48" s="315">
        <f>(AB48*KFC!$B$28+KFC!$C$28)*KFC!$C$5</f>
        <v>47.04</v>
      </c>
      <c r="I48" s="315">
        <f>(AC48*KFC!$B$28+KFC!$C$28)*KFC!$C$5</f>
        <v>49.27</v>
      </c>
      <c r="J48" s="315">
        <f>(AD48*KFC!$B$28+KFC!$C$28)*KFC!$C$5</f>
        <v>51.49</v>
      </c>
      <c r="K48" s="315">
        <f>(AE48*KFC!$B$28+KFC!$C$28)*KFC!$C$5</f>
        <v>53.7</v>
      </c>
      <c r="L48" s="315">
        <f>(AF48*KFC!$B$28+KFC!$C$28)*KFC!$C$5</f>
        <v>55.92</v>
      </c>
      <c r="M48" s="315">
        <f>(AG48*KFC!$B$28+KFC!$C$28)*KFC!$C$5</f>
        <v>58.13</v>
      </c>
      <c r="N48" s="315">
        <f>(AH48*KFC!$B$28+KFC!$C$28)*KFC!$C$5</f>
        <v>60.35</v>
      </c>
      <c r="O48" s="315">
        <f>(AI48*KFC!$B$28+KFC!$C$28)*KFC!$C$5</f>
        <v>62.57</v>
      </c>
      <c r="P48" s="315">
        <f>(AJ48*KFC!$B$28+KFC!$C$28)*KFC!$C$5</f>
        <v>64.789999999999992</v>
      </c>
      <c r="Q48" s="315">
        <f>(AK48*KFC!$B$28+KFC!$C$28)*KFC!$C$5</f>
        <v>67.009999999999991</v>
      </c>
      <c r="R48" s="315">
        <f>(AL48*KFC!$B$28+KFC!$C$28)*KFC!$C$5</f>
        <v>69.22999999999999</v>
      </c>
      <c r="S48" s="315">
        <f>(AM48*KFC!$B$28+KFC!$C$28)*KFC!$C$5</f>
        <v>71.449999999999989</v>
      </c>
      <c r="T48" s="315">
        <f>(AN48*KFC!$B$28+KFC!$C$28)*KFC!$C$5</f>
        <v>73.669999999999987</v>
      </c>
      <c r="V48" s="851">
        <v>1.9</v>
      </c>
      <c r="W48" s="847">
        <v>35.96</v>
      </c>
      <c r="X48" s="847">
        <v>38.18</v>
      </c>
      <c r="Y48" s="847">
        <v>40.4</v>
      </c>
      <c r="Z48" s="847">
        <v>42.61</v>
      </c>
      <c r="AA48" s="847">
        <v>44.84</v>
      </c>
      <c r="AB48" s="847">
        <v>47.04</v>
      </c>
      <c r="AC48" s="847">
        <v>49.27</v>
      </c>
      <c r="AD48" s="847">
        <v>51.49</v>
      </c>
      <c r="AE48" s="847">
        <v>53.7</v>
      </c>
      <c r="AF48" s="847">
        <v>55.92</v>
      </c>
      <c r="AG48" s="847">
        <v>58.13</v>
      </c>
      <c r="AH48" s="847">
        <v>60.35</v>
      </c>
      <c r="AI48" s="848">
        <v>62.57</v>
      </c>
      <c r="AJ48" s="690">
        <f t="shared" si="3"/>
        <v>64.789999999999992</v>
      </c>
      <c r="AK48" s="690">
        <f t="shared" si="4"/>
        <v>67.009999999999991</v>
      </c>
      <c r="AL48" s="690">
        <f t="shared" si="4"/>
        <v>69.22999999999999</v>
      </c>
      <c r="AM48" s="690">
        <f t="shared" si="4"/>
        <v>71.449999999999989</v>
      </c>
      <c r="AN48" s="690">
        <f t="shared" si="4"/>
        <v>73.669999999999987</v>
      </c>
      <c r="AO48" s="690">
        <f t="shared" si="4"/>
        <v>75.889999999999986</v>
      </c>
      <c r="AP48" s="690">
        <f t="shared" si="4"/>
        <v>78.109999999999985</v>
      </c>
    </row>
    <row r="49" spans="1:42" ht="14.25" customHeight="1">
      <c r="A49" s="1816"/>
      <c r="B49" s="849">
        <v>2</v>
      </c>
      <c r="C49" s="314">
        <f>(W49*KFC!$B$28+KFC!$C$28)*KFC!$C$5</f>
        <v>36.950000000000003</v>
      </c>
      <c r="D49" s="315">
        <f>(X49*KFC!$B$28+KFC!$C$28)*KFC!$C$5</f>
        <v>39.18</v>
      </c>
      <c r="E49" s="315">
        <f>(Y49*KFC!$B$28+KFC!$C$28)*KFC!$C$5</f>
        <v>41.38</v>
      </c>
      <c r="F49" s="315">
        <f>(Z49*KFC!$B$28+KFC!$C$28)*KFC!$C$5</f>
        <v>43.72</v>
      </c>
      <c r="G49" s="315">
        <f>(AA49*KFC!$B$28+KFC!$C$28)*KFC!$C$5</f>
        <v>45.95</v>
      </c>
      <c r="H49" s="315">
        <f>(AB49*KFC!$B$28+KFC!$C$28)*KFC!$C$5</f>
        <v>48.15</v>
      </c>
      <c r="I49" s="315">
        <f>(AC49*KFC!$B$28+KFC!$C$28)*KFC!$C$5</f>
        <v>50.38</v>
      </c>
      <c r="J49" s="315">
        <f>(AD49*KFC!$B$28+KFC!$C$28)*KFC!$C$5</f>
        <v>52.58</v>
      </c>
      <c r="K49" s="315">
        <f>(AE49*KFC!$B$28+KFC!$C$28)*KFC!$C$5</f>
        <v>54.81</v>
      </c>
      <c r="L49" s="315">
        <f>(AF49*KFC!$B$28+KFC!$C$28)*KFC!$C$5</f>
        <v>57.15</v>
      </c>
      <c r="M49" s="315">
        <f>(AG49*KFC!$B$28+KFC!$C$28)*KFC!$C$5</f>
        <v>59.36</v>
      </c>
      <c r="N49" s="315">
        <f>(AH49*KFC!$B$28+KFC!$C$28)*KFC!$C$5</f>
        <v>61.58</v>
      </c>
      <c r="O49" s="315">
        <f>(AI49*KFC!$B$28+KFC!$C$28)*KFC!$C$5</f>
        <v>63.81</v>
      </c>
      <c r="P49" s="315">
        <f>(AJ49*KFC!$B$28+KFC!$C$28)*KFC!$C$5</f>
        <v>66.040000000000006</v>
      </c>
      <c r="Q49" s="315">
        <f>(AK49*KFC!$B$28+KFC!$C$28)*KFC!$C$5</f>
        <v>68.27000000000001</v>
      </c>
      <c r="R49" s="315">
        <f>(AL49*KFC!$B$28+KFC!$C$28)*KFC!$C$5</f>
        <v>70.500000000000014</v>
      </c>
      <c r="S49" s="315">
        <f>(AM49*KFC!$B$28+KFC!$C$28)*KFC!$C$5</f>
        <v>72.730000000000018</v>
      </c>
      <c r="T49" s="315">
        <f>(AN49*KFC!$B$28+KFC!$C$28)*KFC!$C$5</f>
        <v>74.960000000000022</v>
      </c>
      <c r="V49" s="851">
        <v>2</v>
      </c>
      <c r="W49" s="847">
        <v>36.950000000000003</v>
      </c>
      <c r="X49" s="847">
        <v>39.18</v>
      </c>
      <c r="Y49" s="847">
        <v>41.38</v>
      </c>
      <c r="Z49" s="847">
        <v>43.72</v>
      </c>
      <c r="AA49" s="847">
        <v>45.95</v>
      </c>
      <c r="AB49" s="847">
        <v>48.15</v>
      </c>
      <c r="AC49" s="847">
        <v>50.38</v>
      </c>
      <c r="AD49" s="847">
        <v>52.58</v>
      </c>
      <c r="AE49" s="847">
        <v>54.81</v>
      </c>
      <c r="AF49" s="847">
        <v>57.15</v>
      </c>
      <c r="AG49" s="847">
        <v>59.36</v>
      </c>
      <c r="AH49" s="847">
        <v>61.58</v>
      </c>
      <c r="AI49" s="848">
        <v>63.81</v>
      </c>
      <c r="AJ49" s="690">
        <f t="shared" si="3"/>
        <v>66.040000000000006</v>
      </c>
      <c r="AK49" s="690">
        <f t="shared" si="4"/>
        <v>68.27000000000001</v>
      </c>
      <c r="AL49" s="690">
        <f t="shared" si="4"/>
        <v>70.500000000000014</v>
      </c>
      <c r="AM49" s="690">
        <f t="shared" si="4"/>
        <v>72.730000000000018</v>
      </c>
      <c r="AN49" s="690">
        <f t="shared" si="4"/>
        <v>74.960000000000022</v>
      </c>
      <c r="AO49" s="690">
        <f t="shared" si="4"/>
        <v>77.190000000000026</v>
      </c>
      <c r="AP49" s="690">
        <f t="shared" si="4"/>
        <v>79.42000000000003</v>
      </c>
    </row>
    <row r="50" spans="1:42" ht="14.25" customHeight="1">
      <c r="A50" s="1816"/>
      <c r="B50" s="849">
        <v>2.1</v>
      </c>
      <c r="C50" s="314">
        <f>(W50*KFC!$B$28+KFC!$C$28)*KFC!$C$5</f>
        <v>37.94</v>
      </c>
      <c r="D50" s="315">
        <f>(X50*KFC!$B$28+KFC!$C$28)*KFC!$C$5</f>
        <v>40.15</v>
      </c>
      <c r="E50" s="315">
        <f>(Y50*KFC!$B$28+KFC!$C$28)*KFC!$C$5</f>
        <v>42.37</v>
      </c>
      <c r="F50" s="315">
        <f>(Z50*KFC!$B$28+KFC!$C$28)*KFC!$C$5</f>
        <v>44.84</v>
      </c>
      <c r="G50" s="315">
        <f>(AA50*KFC!$B$28+KFC!$C$28)*KFC!$C$5</f>
        <v>47.04</v>
      </c>
      <c r="H50" s="315">
        <f>(AB50*KFC!$B$28+KFC!$C$28)*KFC!$C$5</f>
        <v>49.27</v>
      </c>
      <c r="I50" s="315">
        <f>(AC50*KFC!$B$28+KFC!$C$28)*KFC!$C$5</f>
        <v>51.49</v>
      </c>
      <c r="J50" s="315">
        <f>(AD50*KFC!$B$28+KFC!$C$28)*KFC!$C$5</f>
        <v>53.7</v>
      </c>
      <c r="K50" s="315">
        <f>(AE50*KFC!$B$28+KFC!$C$28)*KFC!$C$5</f>
        <v>55.92</v>
      </c>
      <c r="L50" s="315">
        <f>(AF50*KFC!$B$28+KFC!$C$28)*KFC!$C$5</f>
        <v>58.38</v>
      </c>
      <c r="M50" s="315">
        <f>(AG50*KFC!$B$28+KFC!$C$28)*KFC!$C$5</f>
        <v>60.6</v>
      </c>
      <c r="N50" s="315">
        <f>(AH50*KFC!$B$28+KFC!$C$28)*KFC!$C$5</f>
        <v>62.81</v>
      </c>
      <c r="O50" s="315">
        <f>(AI50*KFC!$B$28+KFC!$C$28)*KFC!$C$5</f>
        <v>65.040000000000006</v>
      </c>
      <c r="P50" s="315">
        <f>(AJ50*KFC!$B$28+KFC!$C$28)*KFC!$C$5</f>
        <v>67.27000000000001</v>
      </c>
      <c r="Q50" s="315">
        <f>(AK50*KFC!$B$28+KFC!$C$28)*KFC!$C$5</f>
        <v>69.500000000000014</v>
      </c>
      <c r="R50" s="315">
        <f>(AL50*KFC!$B$28+KFC!$C$28)*KFC!$C$5</f>
        <v>71.730000000000018</v>
      </c>
      <c r="S50" s="315">
        <f>(AM50*KFC!$B$28+KFC!$C$28)*KFC!$C$5</f>
        <v>73.960000000000022</v>
      </c>
      <c r="T50" s="315">
        <f>(AN50*KFC!$B$28+KFC!$C$28)*KFC!$C$5</f>
        <v>76.190000000000026</v>
      </c>
      <c r="V50" s="851">
        <v>2.1</v>
      </c>
      <c r="W50" s="847">
        <v>37.94</v>
      </c>
      <c r="X50" s="847">
        <v>40.15</v>
      </c>
      <c r="Y50" s="847">
        <v>42.37</v>
      </c>
      <c r="Z50" s="847">
        <v>44.84</v>
      </c>
      <c r="AA50" s="847">
        <v>47.04</v>
      </c>
      <c r="AB50" s="847">
        <v>49.27</v>
      </c>
      <c r="AC50" s="847">
        <v>51.49</v>
      </c>
      <c r="AD50" s="847">
        <v>53.7</v>
      </c>
      <c r="AE50" s="847">
        <v>55.92</v>
      </c>
      <c r="AF50" s="847">
        <v>58.38</v>
      </c>
      <c r="AG50" s="847">
        <v>60.6</v>
      </c>
      <c r="AH50" s="847">
        <v>62.81</v>
      </c>
      <c r="AI50" s="848">
        <v>65.040000000000006</v>
      </c>
      <c r="AJ50" s="690">
        <f t="shared" si="3"/>
        <v>67.27000000000001</v>
      </c>
      <c r="AK50" s="690">
        <f t="shared" ref="AK50:AP51" si="5">AJ50-AI50+AJ50</f>
        <v>69.500000000000014</v>
      </c>
      <c r="AL50" s="690">
        <f t="shared" si="5"/>
        <v>71.730000000000018</v>
      </c>
      <c r="AM50" s="690">
        <f t="shared" si="5"/>
        <v>73.960000000000022</v>
      </c>
      <c r="AN50" s="690">
        <f t="shared" si="5"/>
        <v>76.190000000000026</v>
      </c>
      <c r="AO50" s="690">
        <f t="shared" si="5"/>
        <v>78.42000000000003</v>
      </c>
      <c r="AP50" s="690">
        <f t="shared" si="5"/>
        <v>80.650000000000034</v>
      </c>
    </row>
    <row r="51" spans="1:42" ht="14.25" customHeight="1" thickBot="1">
      <c r="A51" s="1817"/>
      <c r="B51" s="849">
        <v>2.2000000000000002</v>
      </c>
      <c r="C51" s="317">
        <f>(W51*KFC!$B$28+KFC!$C$28)*KFC!$C$5</f>
        <v>38.909999999999997</v>
      </c>
      <c r="D51" s="318">
        <f>(X51*KFC!$B$28+KFC!$C$28)*KFC!$C$5</f>
        <v>41.14</v>
      </c>
      <c r="E51" s="318">
        <f>(Y51*KFC!$B$28+KFC!$C$28)*KFC!$C$5</f>
        <v>43.35</v>
      </c>
      <c r="F51" s="318">
        <f>(Z51*KFC!$B$28+KFC!$C$28)*KFC!$C$5</f>
        <v>45.95</v>
      </c>
      <c r="G51" s="318">
        <f>(AA51*KFC!$B$28+KFC!$C$28)*KFC!$C$5</f>
        <v>48.15</v>
      </c>
      <c r="H51" s="318">
        <f>(AB51*KFC!$B$28+KFC!$C$28)*KFC!$C$5</f>
        <v>50.38</v>
      </c>
      <c r="I51" s="318">
        <f>(AC51*KFC!$B$28+KFC!$C$28)*KFC!$C$5</f>
        <v>52.58</v>
      </c>
      <c r="J51" s="318">
        <f>(AD51*KFC!$B$28+KFC!$C$28)*KFC!$C$5</f>
        <v>54.81</v>
      </c>
      <c r="K51" s="318">
        <f>(AE51*KFC!$B$28+KFC!$C$28)*KFC!$C$5</f>
        <v>57.03</v>
      </c>
      <c r="L51" s="318">
        <f>(AF51*KFC!$B$28+KFC!$C$28)*KFC!$C$5</f>
        <v>59.62</v>
      </c>
      <c r="M51" s="318">
        <f>(AG51*KFC!$B$28+KFC!$C$28)*KFC!$C$5</f>
        <v>61.82</v>
      </c>
      <c r="N51" s="318">
        <f>(AH51*KFC!$B$28+KFC!$C$28)*KFC!$C$5</f>
        <v>64.05</v>
      </c>
      <c r="O51" s="318">
        <f>(AI51*KFC!$B$28+KFC!$C$28)*KFC!$C$5</f>
        <v>66.27</v>
      </c>
      <c r="P51" s="318">
        <f>(AJ51*KFC!$B$28+KFC!$C$28)*KFC!$C$5</f>
        <v>68.489999999999995</v>
      </c>
      <c r="Q51" s="318">
        <f>(AK51*KFC!$B$28+KFC!$C$28)*KFC!$C$5</f>
        <v>70.709999999999994</v>
      </c>
      <c r="R51" s="318">
        <f>(AL51*KFC!$B$28+KFC!$C$28)*KFC!$C$5</f>
        <v>72.929999999999993</v>
      </c>
      <c r="S51" s="318">
        <f>(AM51*KFC!$B$28+KFC!$C$28)*KFC!$C$5</f>
        <v>75.149999999999991</v>
      </c>
      <c r="T51" s="318">
        <f>(AN51*KFC!$B$28+KFC!$C$28)*KFC!$C$5</f>
        <v>77.36999999999999</v>
      </c>
      <c r="V51" s="851">
        <v>2.2000000000000002</v>
      </c>
      <c r="W51" s="847">
        <v>38.909999999999997</v>
      </c>
      <c r="X51" s="847">
        <v>41.14</v>
      </c>
      <c r="Y51" s="847">
        <v>43.35</v>
      </c>
      <c r="Z51" s="847">
        <v>45.95</v>
      </c>
      <c r="AA51" s="847">
        <v>48.15</v>
      </c>
      <c r="AB51" s="847">
        <v>50.38</v>
      </c>
      <c r="AC51" s="847">
        <v>52.58</v>
      </c>
      <c r="AD51" s="847">
        <v>54.81</v>
      </c>
      <c r="AE51" s="847">
        <v>57.03</v>
      </c>
      <c r="AF51" s="847">
        <v>59.62</v>
      </c>
      <c r="AG51" s="847">
        <v>61.82</v>
      </c>
      <c r="AH51" s="847">
        <v>64.05</v>
      </c>
      <c r="AI51" s="848">
        <v>66.27</v>
      </c>
      <c r="AJ51" s="690">
        <f t="shared" si="3"/>
        <v>68.489999999999995</v>
      </c>
      <c r="AK51" s="690">
        <f t="shared" si="5"/>
        <v>70.709999999999994</v>
      </c>
      <c r="AL51" s="690">
        <f t="shared" si="5"/>
        <v>72.929999999999993</v>
      </c>
      <c r="AM51" s="690">
        <f t="shared" si="5"/>
        <v>75.149999999999991</v>
      </c>
      <c r="AN51" s="690">
        <f t="shared" si="5"/>
        <v>77.36999999999999</v>
      </c>
      <c r="AO51" s="690">
        <f t="shared" si="5"/>
        <v>79.589999999999989</v>
      </c>
      <c r="AP51" s="690">
        <f t="shared" si="5"/>
        <v>81.809999999999988</v>
      </c>
    </row>
    <row r="52" spans="1:42" ht="14.25" customHeight="1" thickBot="1">
      <c r="A52" s="249"/>
      <c r="B52" s="249"/>
      <c r="C52" s="249"/>
      <c r="D52" s="249"/>
      <c r="E52" s="249"/>
      <c r="F52" s="249"/>
      <c r="G52" s="249"/>
      <c r="H52" s="249"/>
      <c r="I52" s="249"/>
      <c r="J52" s="249"/>
      <c r="K52" s="249"/>
      <c r="L52" s="249"/>
      <c r="M52" s="161"/>
      <c r="N52" s="161"/>
    </row>
    <row r="53" spans="1:42" ht="14.25" customHeight="1" thickBot="1">
      <c r="A53" s="1413" t="s">
        <v>315</v>
      </c>
      <c r="B53" s="1415"/>
      <c r="C53" s="1534" t="s">
        <v>207</v>
      </c>
      <c r="D53" s="1535"/>
      <c r="E53" s="1535"/>
      <c r="F53" s="1535"/>
      <c r="G53" s="1535"/>
      <c r="H53" s="1535"/>
      <c r="I53" s="1535"/>
      <c r="J53" s="1535"/>
      <c r="K53" s="1535"/>
      <c r="L53" s="1535"/>
      <c r="M53" s="1535"/>
      <c r="N53" s="1535"/>
      <c r="O53" s="1535"/>
      <c r="P53" s="1535"/>
      <c r="Q53" s="1535"/>
      <c r="R53" s="1535"/>
      <c r="S53" s="1535"/>
      <c r="T53" s="1535"/>
    </row>
    <row r="54" spans="1:42" ht="14.25" customHeight="1" thickBot="1">
      <c r="A54" s="1416"/>
      <c r="B54" s="1418"/>
      <c r="C54" s="428">
        <v>0.4</v>
      </c>
      <c r="D54" s="428">
        <v>0.5</v>
      </c>
      <c r="E54" s="428">
        <v>0.6</v>
      </c>
      <c r="F54" s="428">
        <v>0.7</v>
      </c>
      <c r="G54" s="428">
        <v>0.8</v>
      </c>
      <c r="H54" s="428">
        <v>0.9</v>
      </c>
      <c r="I54" s="428">
        <v>1</v>
      </c>
      <c r="J54" s="428">
        <v>1.1000000000000001</v>
      </c>
      <c r="K54" s="428">
        <v>1.2</v>
      </c>
      <c r="L54" s="428">
        <v>1.3</v>
      </c>
      <c r="M54" s="428">
        <v>1.4</v>
      </c>
      <c r="N54" s="428">
        <v>1.5</v>
      </c>
      <c r="O54" s="428">
        <v>1.6</v>
      </c>
      <c r="P54" s="428">
        <v>1.7</v>
      </c>
      <c r="Q54" s="428">
        <v>1.8</v>
      </c>
      <c r="R54" s="428">
        <v>1.9</v>
      </c>
      <c r="S54" s="428">
        <v>2</v>
      </c>
      <c r="T54" s="428">
        <v>2.1</v>
      </c>
      <c r="V54" s="850"/>
      <c r="W54" s="851">
        <v>0.4</v>
      </c>
      <c r="X54" s="851">
        <v>0.5</v>
      </c>
      <c r="Y54" s="851">
        <v>0.6</v>
      </c>
      <c r="Z54" s="851">
        <v>0.7</v>
      </c>
      <c r="AA54" s="851">
        <v>0.8</v>
      </c>
      <c r="AB54" s="851">
        <v>0.9</v>
      </c>
      <c r="AC54" s="851">
        <v>1</v>
      </c>
      <c r="AD54" s="851">
        <v>1.1000000000000001</v>
      </c>
      <c r="AE54" s="851">
        <v>1.2</v>
      </c>
      <c r="AF54" s="851">
        <v>1.3</v>
      </c>
      <c r="AG54" s="851">
        <v>1.4</v>
      </c>
      <c r="AH54" s="851">
        <v>1.5</v>
      </c>
      <c r="AI54" s="852">
        <v>1.6</v>
      </c>
      <c r="AJ54" s="853">
        <v>1.7</v>
      </c>
      <c r="AK54" s="853">
        <v>1.8</v>
      </c>
      <c r="AL54" s="853">
        <v>1.9</v>
      </c>
      <c r="AM54" s="853">
        <v>2</v>
      </c>
      <c r="AN54" s="853">
        <v>2.1</v>
      </c>
      <c r="AO54" s="853">
        <v>2.2000000000000002</v>
      </c>
      <c r="AP54" s="853">
        <v>2.2999999999999998</v>
      </c>
    </row>
    <row r="55" spans="1:42" ht="14.25" customHeight="1">
      <c r="A55" s="1815" t="s">
        <v>3</v>
      </c>
      <c r="B55" s="849">
        <v>0.5</v>
      </c>
      <c r="C55" s="311">
        <f>(W55*KFC!$B$28+KFC!$C$28)*KFC!$C$5</f>
        <v>26.24</v>
      </c>
      <c r="D55" s="312">
        <f>(X55*KFC!$B$28+KFC!$C$28)*KFC!$C$5</f>
        <v>29.78</v>
      </c>
      <c r="E55" s="312">
        <f>(Y55*KFC!$B$28+KFC!$C$28)*KFC!$C$5</f>
        <v>33.409999999999997</v>
      </c>
      <c r="F55" s="312">
        <f>(Z55*KFC!$B$28+KFC!$C$28)*KFC!$C$5</f>
        <v>36.950000000000003</v>
      </c>
      <c r="G55" s="312">
        <f>(AA55*KFC!$B$28+KFC!$C$28)*KFC!$C$5</f>
        <v>40.49</v>
      </c>
      <c r="H55" s="312">
        <f>(AB55*KFC!$B$28+KFC!$C$28)*KFC!$C$5</f>
        <v>44.02</v>
      </c>
      <c r="I55" s="312">
        <f>(AC55*KFC!$B$28+KFC!$C$28)*KFC!$C$5</f>
        <v>47.66</v>
      </c>
      <c r="J55" s="312">
        <f>(AD55*KFC!$B$28+KFC!$C$28)*KFC!$C$5</f>
        <v>51.2</v>
      </c>
      <c r="K55" s="312">
        <f>(AE55*KFC!$B$28+KFC!$C$28)*KFC!$C$5</f>
        <v>54.73</v>
      </c>
      <c r="L55" s="312">
        <f>(AF55*KFC!$B$28+KFC!$C$28)*KFC!$C$5</f>
        <v>58.26</v>
      </c>
      <c r="M55" s="312">
        <f>(AG55*KFC!$B$28+KFC!$C$28)*KFC!$C$5</f>
        <v>61.91</v>
      </c>
      <c r="N55" s="312">
        <f>(AH55*KFC!$B$28+KFC!$C$28)*KFC!$C$5</f>
        <v>65.540000000000006</v>
      </c>
      <c r="O55" s="312">
        <f>(AI55*KFC!$B$28+KFC!$C$28)*KFC!$C$5</f>
        <v>69.180000000000007</v>
      </c>
      <c r="P55" s="312">
        <f>(AJ55*KFC!$B$28+KFC!$C$28)*KFC!$C$5</f>
        <v>72.820000000000007</v>
      </c>
      <c r="Q55" s="312">
        <f>(AK55*KFC!$B$28+KFC!$C$28)*KFC!$C$5</f>
        <v>76.460000000000008</v>
      </c>
      <c r="R55" s="312">
        <f>(AL55*KFC!$B$28+KFC!$C$28)*KFC!$C$5</f>
        <v>80.100000000000009</v>
      </c>
      <c r="S55" s="312">
        <f>(AM55*KFC!$B$28+KFC!$C$28)*KFC!$C$5</f>
        <v>83.740000000000009</v>
      </c>
      <c r="T55" s="312">
        <f>(AN55*KFC!$B$28+KFC!$C$28)*KFC!$C$5</f>
        <v>87.38000000000001</v>
      </c>
      <c r="V55" s="851">
        <v>0.5</v>
      </c>
      <c r="W55" s="847">
        <v>26.24</v>
      </c>
      <c r="X55" s="847">
        <v>29.78</v>
      </c>
      <c r="Y55" s="847">
        <v>33.409999999999997</v>
      </c>
      <c r="Z55" s="847">
        <v>36.950000000000003</v>
      </c>
      <c r="AA55" s="847">
        <v>40.49</v>
      </c>
      <c r="AB55" s="847">
        <v>44.02</v>
      </c>
      <c r="AC55" s="847">
        <v>47.66</v>
      </c>
      <c r="AD55" s="847">
        <v>51.2</v>
      </c>
      <c r="AE55" s="847">
        <v>54.73</v>
      </c>
      <c r="AF55" s="847">
        <v>58.26</v>
      </c>
      <c r="AG55" s="847">
        <v>61.91</v>
      </c>
      <c r="AH55" s="847">
        <v>65.540000000000006</v>
      </c>
      <c r="AI55" s="848">
        <v>69.180000000000007</v>
      </c>
      <c r="AJ55" s="690">
        <f t="shared" ref="AJ55:AJ72" si="6">AI55-AH55+AI55</f>
        <v>72.820000000000007</v>
      </c>
      <c r="AK55" s="690">
        <f t="shared" ref="AK55:AP70" si="7">AJ55-AI55+AJ55</f>
        <v>76.460000000000008</v>
      </c>
      <c r="AL55" s="690">
        <f t="shared" si="7"/>
        <v>80.100000000000009</v>
      </c>
      <c r="AM55" s="690">
        <f t="shared" si="7"/>
        <v>83.740000000000009</v>
      </c>
      <c r="AN55" s="690">
        <f t="shared" si="7"/>
        <v>87.38000000000001</v>
      </c>
      <c r="AO55" s="690">
        <f t="shared" si="7"/>
        <v>91.02000000000001</v>
      </c>
      <c r="AP55" s="690">
        <f t="shared" si="7"/>
        <v>94.660000000000011</v>
      </c>
    </row>
    <row r="56" spans="1:42" ht="14.25" customHeight="1">
      <c r="A56" s="1816"/>
      <c r="B56" s="849">
        <v>0.6</v>
      </c>
      <c r="C56" s="314">
        <f>(W56*KFC!$B$28+KFC!$C$28)*KFC!$C$5</f>
        <v>27.85</v>
      </c>
      <c r="D56" s="315">
        <f>(X56*KFC!$B$28+KFC!$C$28)*KFC!$C$5</f>
        <v>31.49</v>
      </c>
      <c r="E56" s="315">
        <f>(Y56*KFC!$B$28+KFC!$C$28)*KFC!$C$5</f>
        <v>35.130000000000003</v>
      </c>
      <c r="F56" s="315">
        <f>(Z56*KFC!$B$28+KFC!$C$28)*KFC!$C$5</f>
        <v>38.659999999999997</v>
      </c>
      <c r="G56" s="315">
        <f>(AA56*KFC!$B$28+KFC!$C$28)*KFC!$C$5</f>
        <v>42.2</v>
      </c>
      <c r="H56" s="315">
        <f>(AB56*KFC!$B$28+KFC!$C$28)*KFC!$C$5</f>
        <v>45.73</v>
      </c>
      <c r="I56" s="315">
        <f>(AC56*KFC!$B$28+KFC!$C$28)*KFC!$C$5</f>
        <v>49.27</v>
      </c>
      <c r="J56" s="315">
        <f>(AD56*KFC!$B$28+KFC!$C$28)*KFC!$C$5</f>
        <v>52.8</v>
      </c>
      <c r="K56" s="315">
        <f>(AE56*KFC!$B$28+KFC!$C$28)*KFC!$C$5</f>
        <v>56.44</v>
      </c>
      <c r="L56" s="315">
        <f>(AF56*KFC!$B$28+KFC!$C$28)*KFC!$C$5</f>
        <v>59.98</v>
      </c>
      <c r="M56" s="315">
        <f>(AG56*KFC!$B$28+KFC!$C$28)*KFC!$C$5</f>
        <v>63.51</v>
      </c>
      <c r="N56" s="315">
        <f>(AH56*KFC!$B$28+KFC!$C$28)*KFC!$C$5</f>
        <v>67.040000000000006</v>
      </c>
      <c r="O56" s="315">
        <f>(AI56*KFC!$B$28+KFC!$C$28)*KFC!$C$5</f>
        <v>70.58</v>
      </c>
      <c r="P56" s="315">
        <f>(AJ56*KFC!$B$28+KFC!$C$28)*KFC!$C$5</f>
        <v>74.11999999999999</v>
      </c>
      <c r="Q56" s="315">
        <f>(AK56*KFC!$B$28+KFC!$C$28)*KFC!$C$5</f>
        <v>77.659999999999982</v>
      </c>
      <c r="R56" s="315">
        <f>(AL56*KFC!$B$28+KFC!$C$28)*KFC!$C$5</f>
        <v>81.199999999999974</v>
      </c>
      <c r="S56" s="315">
        <f>(AM56*KFC!$B$28+KFC!$C$28)*KFC!$C$5</f>
        <v>84.739999999999966</v>
      </c>
      <c r="T56" s="315">
        <f>(AN56*KFC!$B$28+KFC!$C$28)*KFC!$C$5</f>
        <v>88.279999999999959</v>
      </c>
      <c r="V56" s="851">
        <v>0.6</v>
      </c>
      <c r="W56" s="847">
        <v>27.85</v>
      </c>
      <c r="X56" s="847">
        <v>31.49</v>
      </c>
      <c r="Y56" s="847">
        <v>35.130000000000003</v>
      </c>
      <c r="Z56" s="847">
        <v>38.659999999999997</v>
      </c>
      <c r="AA56" s="847">
        <v>42.2</v>
      </c>
      <c r="AB56" s="847">
        <v>45.73</v>
      </c>
      <c r="AC56" s="847">
        <v>49.27</v>
      </c>
      <c r="AD56" s="847">
        <v>52.8</v>
      </c>
      <c r="AE56" s="847">
        <v>56.44</v>
      </c>
      <c r="AF56" s="847">
        <v>59.98</v>
      </c>
      <c r="AG56" s="847">
        <v>63.51</v>
      </c>
      <c r="AH56" s="847">
        <v>67.040000000000006</v>
      </c>
      <c r="AI56" s="848">
        <v>70.58</v>
      </c>
      <c r="AJ56" s="690">
        <f t="shared" si="6"/>
        <v>74.11999999999999</v>
      </c>
      <c r="AK56" s="690">
        <f t="shared" si="7"/>
        <v>77.659999999999982</v>
      </c>
      <c r="AL56" s="690">
        <f t="shared" si="7"/>
        <v>81.199999999999974</v>
      </c>
      <c r="AM56" s="690">
        <f t="shared" si="7"/>
        <v>84.739999999999966</v>
      </c>
      <c r="AN56" s="690">
        <f t="shared" si="7"/>
        <v>88.279999999999959</v>
      </c>
      <c r="AO56" s="690">
        <f t="shared" si="7"/>
        <v>91.819999999999951</v>
      </c>
      <c r="AP56" s="690">
        <f t="shared" si="7"/>
        <v>95.359999999999943</v>
      </c>
    </row>
    <row r="57" spans="1:42" ht="14.25" customHeight="1">
      <c r="A57" s="1816"/>
      <c r="B57" s="849">
        <v>0.7</v>
      </c>
      <c r="C57" s="314">
        <f>(W57*KFC!$B$28+KFC!$C$28)*KFC!$C$5</f>
        <v>29.78</v>
      </c>
      <c r="D57" s="315">
        <f>(X57*KFC!$B$28+KFC!$C$28)*KFC!$C$5</f>
        <v>33.31</v>
      </c>
      <c r="E57" s="315">
        <f>(Y57*KFC!$B$28+KFC!$C$28)*KFC!$C$5</f>
        <v>36.840000000000003</v>
      </c>
      <c r="F57" s="315">
        <f>(Z57*KFC!$B$28+KFC!$C$28)*KFC!$C$5</f>
        <v>40.369999999999997</v>
      </c>
      <c r="G57" s="315">
        <f>(AA57*KFC!$B$28+KFC!$C$28)*KFC!$C$5</f>
        <v>43.91</v>
      </c>
      <c r="H57" s="315">
        <f>(AB57*KFC!$B$28+KFC!$C$28)*KFC!$C$5</f>
        <v>47.45</v>
      </c>
      <c r="I57" s="315">
        <f>(AC57*KFC!$B$28+KFC!$C$28)*KFC!$C$5</f>
        <v>50.98</v>
      </c>
      <c r="J57" s="315">
        <f>(AD57*KFC!$B$28+KFC!$C$28)*KFC!$C$5</f>
        <v>54.52</v>
      </c>
      <c r="K57" s="315">
        <f>(AE57*KFC!$B$28+KFC!$C$28)*KFC!$C$5</f>
        <v>58.04</v>
      </c>
      <c r="L57" s="315">
        <f>(AF57*KFC!$B$28+KFC!$C$28)*KFC!$C$5</f>
        <v>61.58</v>
      </c>
      <c r="M57" s="315">
        <f>(AG57*KFC!$B$28+KFC!$C$28)*KFC!$C$5</f>
        <v>65.12</v>
      </c>
      <c r="N57" s="315">
        <f>(AH57*KFC!$B$28+KFC!$C$28)*KFC!$C$5</f>
        <v>68.650000000000006</v>
      </c>
      <c r="O57" s="315">
        <f>(AI57*KFC!$B$28+KFC!$C$28)*KFC!$C$5</f>
        <v>72.19</v>
      </c>
      <c r="P57" s="315">
        <f>(AJ57*KFC!$B$28+KFC!$C$28)*KFC!$C$5</f>
        <v>75.72999999999999</v>
      </c>
      <c r="Q57" s="315">
        <f>(AK57*KFC!$B$28+KFC!$C$28)*KFC!$C$5</f>
        <v>79.269999999999982</v>
      </c>
      <c r="R57" s="315">
        <f>(AL57*KFC!$B$28+KFC!$C$28)*KFC!$C$5</f>
        <v>82.809999999999974</v>
      </c>
      <c r="S57" s="315">
        <f>(AM57*KFC!$B$28+KFC!$C$28)*KFC!$C$5</f>
        <v>86.349999999999966</v>
      </c>
      <c r="T57" s="315">
        <f>(AN57*KFC!$B$28+KFC!$C$28)*KFC!$C$5</f>
        <v>89.889999999999958</v>
      </c>
      <c r="V57" s="851">
        <v>0.7</v>
      </c>
      <c r="W57" s="847">
        <v>29.78</v>
      </c>
      <c r="X57" s="847">
        <v>33.31</v>
      </c>
      <c r="Y57" s="847">
        <v>36.840000000000003</v>
      </c>
      <c r="Z57" s="847">
        <v>40.369999999999997</v>
      </c>
      <c r="AA57" s="847">
        <v>43.91</v>
      </c>
      <c r="AB57" s="847">
        <v>47.45</v>
      </c>
      <c r="AC57" s="847">
        <v>50.98</v>
      </c>
      <c r="AD57" s="847">
        <v>54.52</v>
      </c>
      <c r="AE57" s="847">
        <v>58.04</v>
      </c>
      <c r="AF57" s="847">
        <v>61.58</v>
      </c>
      <c r="AG57" s="847">
        <v>65.12</v>
      </c>
      <c r="AH57" s="847">
        <v>68.650000000000006</v>
      </c>
      <c r="AI57" s="848">
        <v>72.19</v>
      </c>
      <c r="AJ57" s="690">
        <f t="shared" si="6"/>
        <v>75.72999999999999</v>
      </c>
      <c r="AK57" s="690">
        <f t="shared" si="7"/>
        <v>79.269999999999982</v>
      </c>
      <c r="AL57" s="690">
        <f t="shared" si="7"/>
        <v>82.809999999999974</v>
      </c>
      <c r="AM57" s="690">
        <f t="shared" si="7"/>
        <v>86.349999999999966</v>
      </c>
      <c r="AN57" s="690">
        <f t="shared" si="7"/>
        <v>89.889999999999958</v>
      </c>
      <c r="AO57" s="690">
        <f t="shared" si="7"/>
        <v>93.42999999999995</v>
      </c>
      <c r="AP57" s="690">
        <f t="shared" si="7"/>
        <v>96.969999999999942</v>
      </c>
    </row>
    <row r="58" spans="1:42" ht="14.25" customHeight="1">
      <c r="A58" s="1816"/>
      <c r="B58" s="849">
        <v>0.8</v>
      </c>
      <c r="C58" s="314">
        <f>(W58*KFC!$B$28+KFC!$C$28)*KFC!$C$5</f>
        <v>31.49</v>
      </c>
      <c r="D58" s="315">
        <f>(X58*KFC!$B$28+KFC!$C$28)*KFC!$C$5</f>
        <v>35.020000000000003</v>
      </c>
      <c r="E58" s="315">
        <f>(Y58*KFC!$B$28+KFC!$C$28)*KFC!$C$5</f>
        <v>38.56</v>
      </c>
      <c r="F58" s="315">
        <f>(Z58*KFC!$B$28+KFC!$C$28)*KFC!$C$5</f>
        <v>42.09</v>
      </c>
      <c r="G58" s="315">
        <f>(AA58*KFC!$B$28+KFC!$C$28)*KFC!$C$5</f>
        <v>45.62</v>
      </c>
      <c r="H58" s="315">
        <f>(AB58*KFC!$B$28+KFC!$C$28)*KFC!$C$5</f>
        <v>49.16</v>
      </c>
      <c r="I58" s="315">
        <f>(AC58*KFC!$B$28+KFC!$C$28)*KFC!$C$5</f>
        <v>52.48</v>
      </c>
      <c r="J58" s="315">
        <f>(AD58*KFC!$B$28+KFC!$C$28)*KFC!$C$5</f>
        <v>56.02</v>
      </c>
      <c r="K58" s="315">
        <f>(AE58*KFC!$B$28+KFC!$C$28)*KFC!$C$5</f>
        <v>59.55</v>
      </c>
      <c r="L58" s="315">
        <f>(AF58*KFC!$B$28+KFC!$C$28)*KFC!$C$5</f>
        <v>63.08</v>
      </c>
      <c r="M58" s="315">
        <f>(AG58*KFC!$B$28+KFC!$C$28)*KFC!$C$5</f>
        <v>66.73</v>
      </c>
      <c r="N58" s="315">
        <f>(AH58*KFC!$B$28+KFC!$C$28)*KFC!$C$5</f>
        <v>70.260000000000005</v>
      </c>
      <c r="O58" s="315">
        <f>(AI58*KFC!$B$28+KFC!$C$28)*KFC!$C$5</f>
        <v>73.790000000000006</v>
      </c>
      <c r="P58" s="315">
        <f>(AJ58*KFC!$B$28+KFC!$C$28)*KFC!$C$5</f>
        <v>77.320000000000007</v>
      </c>
      <c r="Q58" s="315">
        <f>(AK58*KFC!$B$28+KFC!$C$28)*KFC!$C$5</f>
        <v>80.850000000000009</v>
      </c>
      <c r="R58" s="315">
        <f>(AL58*KFC!$B$28+KFC!$C$28)*KFC!$C$5</f>
        <v>84.38000000000001</v>
      </c>
      <c r="S58" s="315">
        <f>(AM58*KFC!$B$28+KFC!$C$28)*KFC!$C$5</f>
        <v>87.910000000000011</v>
      </c>
      <c r="T58" s="315">
        <f>(AN58*KFC!$B$28+KFC!$C$28)*KFC!$C$5</f>
        <v>91.440000000000012</v>
      </c>
      <c r="V58" s="851">
        <v>0.8</v>
      </c>
      <c r="W58" s="847">
        <v>31.49</v>
      </c>
      <c r="X58" s="847">
        <v>35.020000000000003</v>
      </c>
      <c r="Y58" s="847">
        <v>38.56</v>
      </c>
      <c r="Z58" s="847">
        <v>42.09</v>
      </c>
      <c r="AA58" s="847">
        <v>45.62</v>
      </c>
      <c r="AB58" s="847">
        <v>49.16</v>
      </c>
      <c r="AC58" s="847">
        <v>52.48</v>
      </c>
      <c r="AD58" s="847">
        <v>56.02</v>
      </c>
      <c r="AE58" s="847">
        <v>59.55</v>
      </c>
      <c r="AF58" s="847">
        <v>63.08</v>
      </c>
      <c r="AG58" s="847">
        <v>66.73</v>
      </c>
      <c r="AH58" s="847">
        <v>70.260000000000005</v>
      </c>
      <c r="AI58" s="848">
        <v>73.790000000000006</v>
      </c>
      <c r="AJ58" s="690">
        <f t="shared" si="6"/>
        <v>77.320000000000007</v>
      </c>
      <c r="AK58" s="690">
        <f t="shared" si="7"/>
        <v>80.850000000000009</v>
      </c>
      <c r="AL58" s="690">
        <f t="shared" si="7"/>
        <v>84.38000000000001</v>
      </c>
      <c r="AM58" s="690">
        <f t="shared" si="7"/>
        <v>87.910000000000011</v>
      </c>
      <c r="AN58" s="690">
        <f t="shared" si="7"/>
        <v>91.440000000000012</v>
      </c>
      <c r="AO58" s="690">
        <f t="shared" si="7"/>
        <v>94.970000000000013</v>
      </c>
      <c r="AP58" s="690">
        <f t="shared" si="7"/>
        <v>98.500000000000014</v>
      </c>
    </row>
    <row r="59" spans="1:42" ht="14.25" customHeight="1">
      <c r="A59" s="1816"/>
      <c r="B59" s="849">
        <v>0.9</v>
      </c>
      <c r="C59" s="314">
        <f>(W59*KFC!$B$28+KFC!$C$28)*KFC!$C$5</f>
        <v>33.1</v>
      </c>
      <c r="D59" s="315">
        <f>(X59*KFC!$B$28+KFC!$C$28)*KFC!$C$5</f>
        <v>36.619999999999997</v>
      </c>
      <c r="E59" s="315">
        <f>(Y59*KFC!$B$28+KFC!$C$28)*KFC!$C$5</f>
        <v>40.159999999999997</v>
      </c>
      <c r="F59" s="315">
        <f>(Z59*KFC!$B$28+KFC!$C$28)*KFC!$C$5</f>
        <v>43.7</v>
      </c>
      <c r="G59" s="315">
        <f>(AA59*KFC!$B$28+KFC!$C$28)*KFC!$C$5</f>
        <v>47.12</v>
      </c>
      <c r="H59" s="315">
        <f>(AB59*KFC!$B$28+KFC!$C$28)*KFC!$C$5</f>
        <v>50.66</v>
      </c>
      <c r="I59" s="315">
        <f>(AC59*KFC!$B$28+KFC!$C$28)*KFC!$C$5</f>
        <v>54.19</v>
      </c>
      <c r="J59" s="315">
        <f>(AD59*KFC!$B$28+KFC!$C$28)*KFC!$C$5</f>
        <v>57.73</v>
      </c>
      <c r="K59" s="315">
        <f>(AE59*KFC!$B$28+KFC!$C$28)*KFC!$C$5</f>
        <v>61.26</v>
      </c>
      <c r="L59" s="315">
        <f>(AF59*KFC!$B$28+KFC!$C$28)*KFC!$C$5</f>
        <v>64.69</v>
      </c>
      <c r="M59" s="315">
        <f>(AG59*KFC!$B$28+KFC!$C$28)*KFC!$C$5</f>
        <v>68.22</v>
      </c>
      <c r="N59" s="315">
        <f>(AH59*KFC!$B$28+KFC!$C$28)*KFC!$C$5</f>
        <v>71.760000000000005</v>
      </c>
      <c r="O59" s="315">
        <f>(AI59*KFC!$B$28+KFC!$C$28)*KFC!$C$5</f>
        <v>75.3</v>
      </c>
      <c r="P59" s="315">
        <f>(AJ59*KFC!$B$28+KFC!$C$28)*KFC!$C$5</f>
        <v>78.839999999999989</v>
      </c>
      <c r="Q59" s="315">
        <f>(AK59*KFC!$B$28+KFC!$C$28)*KFC!$C$5</f>
        <v>82.379999999999981</v>
      </c>
      <c r="R59" s="315">
        <f>(AL59*KFC!$B$28+KFC!$C$28)*KFC!$C$5</f>
        <v>85.919999999999973</v>
      </c>
      <c r="S59" s="315">
        <f>(AM59*KFC!$B$28+KFC!$C$28)*KFC!$C$5</f>
        <v>89.459999999999965</v>
      </c>
      <c r="T59" s="315">
        <f>(AN59*KFC!$B$28+KFC!$C$28)*KFC!$C$5</f>
        <v>92.999999999999957</v>
      </c>
      <c r="V59" s="851">
        <v>0.9</v>
      </c>
      <c r="W59" s="847">
        <v>33.1</v>
      </c>
      <c r="X59" s="847">
        <v>36.619999999999997</v>
      </c>
      <c r="Y59" s="847">
        <v>40.159999999999997</v>
      </c>
      <c r="Z59" s="847">
        <v>43.7</v>
      </c>
      <c r="AA59" s="847">
        <v>47.12</v>
      </c>
      <c r="AB59" s="847">
        <v>50.66</v>
      </c>
      <c r="AC59" s="847">
        <v>54.19</v>
      </c>
      <c r="AD59" s="847">
        <v>57.73</v>
      </c>
      <c r="AE59" s="847">
        <v>61.26</v>
      </c>
      <c r="AF59" s="847">
        <v>64.69</v>
      </c>
      <c r="AG59" s="847">
        <v>68.22</v>
      </c>
      <c r="AH59" s="847">
        <v>71.760000000000005</v>
      </c>
      <c r="AI59" s="848">
        <v>75.3</v>
      </c>
      <c r="AJ59" s="690">
        <f t="shared" si="6"/>
        <v>78.839999999999989</v>
      </c>
      <c r="AK59" s="690">
        <f t="shared" si="7"/>
        <v>82.379999999999981</v>
      </c>
      <c r="AL59" s="690">
        <f t="shared" si="7"/>
        <v>85.919999999999973</v>
      </c>
      <c r="AM59" s="690">
        <f t="shared" si="7"/>
        <v>89.459999999999965</v>
      </c>
      <c r="AN59" s="690">
        <f t="shared" si="7"/>
        <v>92.999999999999957</v>
      </c>
      <c r="AO59" s="690">
        <f t="shared" si="7"/>
        <v>96.539999999999949</v>
      </c>
      <c r="AP59" s="690">
        <f t="shared" si="7"/>
        <v>100.07999999999994</v>
      </c>
    </row>
    <row r="60" spans="1:42" ht="14.25" customHeight="1">
      <c r="A60" s="1816"/>
      <c r="B60" s="849">
        <v>1</v>
      </c>
      <c r="C60" s="314">
        <f>(W60*KFC!$B$28+KFC!$C$28)*KFC!$C$5</f>
        <v>35.020000000000003</v>
      </c>
      <c r="D60" s="315">
        <f>(X60*KFC!$B$28+KFC!$C$28)*KFC!$C$5</f>
        <v>38.35</v>
      </c>
      <c r="E60" s="315">
        <f>(Y60*KFC!$B$28+KFC!$C$28)*KFC!$C$5</f>
        <v>41.87</v>
      </c>
      <c r="F60" s="315">
        <f>(Z60*KFC!$B$28+KFC!$C$28)*KFC!$C$5</f>
        <v>45.41</v>
      </c>
      <c r="G60" s="315">
        <f>(AA60*KFC!$B$28+KFC!$C$28)*KFC!$C$5</f>
        <v>48.84</v>
      </c>
      <c r="H60" s="315">
        <f>(AB60*KFC!$B$28+KFC!$C$28)*KFC!$C$5</f>
        <v>52.37</v>
      </c>
      <c r="I60" s="315">
        <f>(AC60*KFC!$B$28+KFC!$C$28)*KFC!$C$5</f>
        <v>55.9</v>
      </c>
      <c r="J60" s="315">
        <f>(AD60*KFC!$B$28+KFC!$C$28)*KFC!$C$5</f>
        <v>59.34</v>
      </c>
      <c r="K60" s="315">
        <f>(AE60*KFC!$B$28+KFC!$C$28)*KFC!$C$5</f>
        <v>62.86</v>
      </c>
      <c r="L60" s="315">
        <f>(AF60*KFC!$B$28+KFC!$C$28)*KFC!$C$5</f>
        <v>66.400000000000006</v>
      </c>
      <c r="M60" s="315">
        <f>(AG60*KFC!$B$28+KFC!$C$28)*KFC!$C$5</f>
        <v>69.83</v>
      </c>
      <c r="N60" s="315">
        <f>(AH60*KFC!$B$28+KFC!$C$28)*KFC!$C$5</f>
        <v>73.36</v>
      </c>
      <c r="O60" s="315">
        <f>(AI60*KFC!$B$28+KFC!$C$28)*KFC!$C$5</f>
        <v>76.900000000000006</v>
      </c>
      <c r="P60" s="315">
        <f>(AJ60*KFC!$B$28+KFC!$C$28)*KFC!$C$5</f>
        <v>80.440000000000012</v>
      </c>
      <c r="Q60" s="315">
        <f>(AK60*KFC!$B$28+KFC!$C$28)*KFC!$C$5</f>
        <v>83.980000000000018</v>
      </c>
      <c r="R60" s="315">
        <f>(AL60*KFC!$B$28+KFC!$C$28)*KFC!$C$5</f>
        <v>87.520000000000024</v>
      </c>
      <c r="S60" s="315">
        <f>(AM60*KFC!$B$28+KFC!$C$28)*KFC!$C$5</f>
        <v>91.060000000000031</v>
      </c>
      <c r="T60" s="315">
        <f>(AN60*KFC!$B$28+KFC!$C$28)*KFC!$C$5</f>
        <v>94.600000000000037</v>
      </c>
      <c r="V60" s="851">
        <v>1</v>
      </c>
      <c r="W60" s="847">
        <v>35.020000000000003</v>
      </c>
      <c r="X60" s="847">
        <v>38.35</v>
      </c>
      <c r="Y60" s="847">
        <v>41.87</v>
      </c>
      <c r="Z60" s="847">
        <v>45.41</v>
      </c>
      <c r="AA60" s="847">
        <v>48.84</v>
      </c>
      <c r="AB60" s="847">
        <v>52.37</v>
      </c>
      <c r="AC60" s="847">
        <v>55.9</v>
      </c>
      <c r="AD60" s="847">
        <v>59.34</v>
      </c>
      <c r="AE60" s="847">
        <v>62.86</v>
      </c>
      <c r="AF60" s="847">
        <v>66.400000000000006</v>
      </c>
      <c r="AG60" s="847">
        <v>69.83</v>
      </c>
      <c r="AH60" s="847">
        <v>73.36</v>
      </c>
      <c r="AI60" s="848">
        <v>76.900000000000006</v>
      </c>
      <c r="AJ60" s="690">
        <f t="shared" si="6"/>
        <v>80.440000000000012</v>
      </c>
      <c r="AK60" s="690">
        <f t="shared" si="7"/>
        <v>83.980000000000018</v>
      </c>
      <c r="AL60" s="690">
        <f t="shared" si="7"/>
        <v>87.520000000000024</v>
      </c>
      <c r="AM60" s="690">
        <f t="shared" si="7"/>
        <v>91.060000000000031</v>
      </c>
      <c r="AN60" s="690">
        <f t="shared" si="7"/>
        <v>94.600000000000037</v>
      </c>
      <c r="AO60" s="690">
        <f t="shared" si="7"/>
        <v>98.140000000000043</v>
      </c>
      <c r="AP60" s="690">
        <f t="shared" si="7"/>
        <v>101.68000000000005</v>
      </c>
    </row>
    <row r="61" spans="1:42" ht="14.25" customHeight="1">
      <c r="A61" s="1816"/>
      <c r="B61" s="849">
        <v>1.1000000000000001</v>
      </c>
      <c r="C61" s="314">
        <f>(W61*KFC!$B$28+KFC!$C$28)*KFC!$C$5</f>
        <v>36.619999999999997</v>
      </c>
      <c r="D61" s="315">
        <f>(X61*KFC!$B$28+KFC!$C$28)*KFC!$C$5</f>
        <v>40.159999999999997</v>
      </c>
      <c r="E61" s="315">
        <f>(Y61*KFC!$B$28+KFC!$C$28)*KFC!$C$5</f>
        <v>43.59</v>
      </c>
      <c r="F61" s="315">
        <f>(Z61*KFC!$B$28+KFC!$C$28)*KFC!$C$5</f>
        <v>47.12</v>
      </c>
      <c r="G61" s="315">
        <f>(AA61*KFC!$B$28+KFC!$C$28)*KFC!$C$5</f>
        <v>50.55</v>
      </c>
      <c r="H61" s="315">
        <f>(AB61*KFC!$B$28+KFC!$C$28)*KFC!$C$5</f>
        <v>54.09</v>
      </c>
      <c r="I61" s="315">
        <f>(AC61*KFC!$B$28+KFC!$C$28)*KFC!$C$5</f>
        <v>57.51</v>
      </c>
      <c r="J61" s="315">
        <f>(AD61*KFC!$B$28+KFC!$C$28)*KFC!$C$5</f>
        <v>61.05</v>
      </c>
      <c r="K61" s="315">
        <f>(AE61*KFC!$B$28+KFC!$C$28)*KFC!$C$5</f>
        <v>64.47</v>
      </c>
      <c r="L61" s="315">
        <f>(AF61*KFC!$B$28+KFC!$C$28)*KFC!$C$5</f>
        <v>68.010000000000005</v>
      </c>
      <c r="M61" s="315">
        <f>(AG61*KFC!$B$28+KFC!$C$28)*KFC!$C$5</f>
        <v>71.430000000000007</v>
      </c>
      <c r="N61" s="315">
        <f>(AH61*KFC!$B$28+KFC!$C$28)*KFC!$C$5</f>
        <v>74.97</v>
      </c>
      <c r="O61" s="315">
        <f>(AI61*KFC!$B$28+KFC!$C$28)*KFC!$C$5</f>
        <v>78.510000000000005</v>
      </c>
      <c r="P61" s="315">
        <f>(AJ61*KFC!$B$28+KFC!$C$28)*KFC!$C$5</f>
        <v>82.050000000000011</v>
      </c>
      <c r="Q61" s="315">
        <f>(AK61*KFC!$B$28+KFC!$C$28)*KFC!$C$5</f>
        <v>85.590000000000018</v>
      </c>
      <c r="R61" s="315">
        <f>(AL61*KFC!$B$28+KFC!$C$28)*KFC!$C$5</f>
        <v>89.130000000000024</v>
      </c>
      <c r="S61" s="315">
        <f>(AM61*KFC!$B$28+KFC!$C$28)*KFC!$C$5</f>
        <v>92.67000000000003</v>
      </c>
      <c r="T61" s="315">
        <f>(AN61*KFC!$B$28+KFC!$C$28)*KFC!$C$5</f>
        <v>96.210000000000036</v>
      </c>
      <c r="V61" s="851">
        <v>1.1000000000000001</v>
      </c>
      <c r="W61" s="847">
        <v>36.619999999999997</v>
      </c>
      <c r="X61" s="847">
        <v>40.159999999999997</v>
      </c>
      <c r="Y61" s="847">
        <v>43.59</v>
      </c>
      <c r="Z61" s="847">
        <v>47.12</v>
      </c>
      <c r="AA61" s="847">
        <v>50.55</v>
      </c>
      <c r="AB61" s="847">
        <v>54.09</v>
      </c>
      <c r="AC61" s="847">
        <v>57.51</v>
      </c>
      <c r="AD61" s="847">
        <v>61.05</v>
      </c>
      <c r="AE61" s="847">
        <v>64.47</v>
      </c>
      <c r="AF61" s="847">
        <v>68.010000000000005</v>
      </c>
      <c r="AG61" s="847">
        <v>71.430000000000007</v>
      </c>
      <c r="AH61" s="847">
        <v>74.97</v>
      </c>
      <c r="AI61" s="848">
        <v>78.510000000000005</v>
      </c>
      <c r="AJ61" s="690">
        <f t="shared" si="6"/>
        <v>82.050000000000011</v>
      </c>
      <c r="AK61" s="690">
        <f t="shared" si="7"/>
        <v>85.590000000000018</v>
      </c>
      <c r="AL61" s="690">
        <f t="shared" si="7"/>
        <v>89.130000000000024</v>
      </c>
      <c r="AM61" s="690">
        <f t="shared" si="7"/>
        <v>92.67000000000003</v>
      </c>
      <c r="AN61" s="690">
        <f t="shared" si="7"/>
        <v>96.210000000000036</v>
      </c>
      <c r="AO61" s="690">
        <f t="shared" si="7"/>
        <v>99.750000000000043</v>
      </c>
      <c r="AP61" s="690">
        <f t="shared" si="7"/>
        <v>103.29000000000005</v>
      </c>
    </row>
    <row r="62" spans="1:42" ht="14.25" customHeight="1">
      <c r="A62" s="1816"/>
      <c r="B62" s="849">
        <v>1.2</v>
      </c>
      <c r="C62" s="314">
        <f>(W62*KFC!$B$28+KFC!$C$28)*KFC!$C$5</f>
        <v>38.35</v>
      </c>
      <c r="D62" s="315">
        <f>(X62*KFC!$B$28+KFC!$C$28)*KFC!$C$5</f>
        <v>41.87</v>
      </c>
      <c r="E62" s="315">
        <f>(Y62*KFC!$B$28+KFC!$C$28)*KFC!$C$5</f>
        <v>45.31</v>
      </c>
      <c r="F62" s="315">
        <f>(Z62*KFC!$B$28+KFC!$C$28)*KFC!$C$5</f>
        <v>48.84</v>
      </c>
      <c r="G62" s="315">
        <f>(AA62*KFC!$B$28+KFC!$C$28)*KFC!$C$5</f>
        <v>52.27</v>
      </c>
      <c r="H62" s="315">
        <f>(AB62*KFC!$B$28+KFC!$C$28)*KFC!$C$5</f>
        <v>55.69</v>
      </c>
      <c r="I62" s="315">
        <f>(AC62*KFC!$B$28+KFC!$C$28)*KFC!$C$5</f>
        <v>59.23</v>
      </c>
      <c r="J62" s="315">
        <f>(AD62*KFC!$B$28+KFC!$C$28)*KFC!$C$5</f>
        <v>62.65</v>
      </c>
      <c r="K62" s="315">
        <f>(AE62*KFC!$B$28+KFC!$C$28)*KFC!$C$5</f>
        <v>66.19</v>
      </c>
      <c r="L62" s="315">
        <f>(AF62*KFC!$B$28+KFC!$C$28)*KFC!$C$5</f>
        <v>69.510000000000005</v>
      </c>
      <c r="M62" s="315">
        <f>(AG62*KFC!$B$28+KFC!$C$28)*KFC!$C$5</f>
        <v>73.040000000000006</v>
      </c>
      <c r="N62" s="315">
        <f>(AH62*KFC!$B$28+KFC!$C$28)*KFC!$C$5</f>
        <v>76.47</v>
      </c>
      <c r="O62" s="315">
        <f>(AI62*KFC!$B$28+KFC!$C$28)*KFC!$C$5</f>
        <v>79.89</v>
      </c>
      <c r="P62" s="315">
        <f>(AJ62*KFC!$B$28+KFC!$C$28)*KFC!$C$5</f>
        <v>83.31</v>
      </c>
      <c r="Q62" s="315">
        <f>(AK62*KFC!$B$28+KFC!$C$28)*KFC!$C$5</f>
        <v>86.73</v>
      </c>
      <c r="R62" s="315">
        <f>(AL62*KFC!$B$28+KFC!$C$28)*KFC!$C$5</f>
        <v>90.15</v>
      </c>
      <c r="S62" s="315">
        <f>(AM62*KFC!$B$28+KFC!$C$28)*KFC!$C$5</f>
        <v>93.570000000000007</v>
      </c>
      <c r="T62" s="315">
        <f>(AN62*KFC!$B$28+KFC!$C$28)*KFC!$C$5</f>
        <v>96.990000000000009</v>
      </c>
      <c r="V62" s="851">
        <v>1.2</v>
      </c>
      <c r="W62" s="847">
        <v>38.35</v>
      </c>
      <c r="X62" s="847">
        <v>41.87</v>
      </c>
      <c r="Y62" s="847">
        <v>45.31</v>
      </c>
      <c r="Z62" s="847">
        <v>48.84</v>
      </c>
      <c r="AA62" s="847">
        <v>52.27</v>
      </c>
      <c r="AB62" s="847">
        <v>55.69</v>
      </c>
      <c r="AC62" s="847">
        <v>59.23</v>
      </c>
      <c r="AD62" s="847">
        <v>62.65</v>
      </c>
      <c r="AE62" s="847">
        <v>66.19</v>
      </c>
      <c r="AF62" s="847">
        <v>69.510000000000005</v>
      </c>
      <c r="AG62" s="847">
        <v>73.040000000000006</v>
      </c>
      <c r="AH62" s="847">
        <v>76.47</v>
      </c>
      <c r="AI62" s="848">
        <v>79.89</v>
      </c>
      <c r="AJ62" s="690">
        <f t="shared" si="6"/>
        <v>83.31</v>
      </c>
      <c r="AK62" s="690">
        <f t="shared" si="7"/>
        <v>86.73</v>
      </c>
      <c r="AL62" s="690">
        <f t="shared" si="7"/>
        <v>90.15</v>
      </c>
      <c r="AM62" s="690">
        <f t="shared" si="7"/>
        <v>93.570000000000007</v>
      </c>
      <c r="AN62" s="690">
        <f t="shared" si="7"/>
        <v>96.990000000000009</v>
      </c>
      <c r="AO62" s="690">
        <f t="shared" si="7"/>
        <v>100.41000000000001</v>
      </c>
      <c r="AP62" s="690">
        <f t="shared" si="7"/>
        <v>103.83000000000001</v>
      </c>
    </row>
    <row r="63" spans="1:42" ht="14.25" customHeight="1">
      <c r="A63" s="1816"/>
      <c r="B63" s="849">
        <v>1.3</v>
      </c>
      <c r="C63" s="314">
        <f>(W63*KFC!$B$28+KFC!$C$28)*KFC!$C$5</f>
        <v>40.159999999999997</v>
      </c>
      <c r="D63" s="315">
        <f>(X63*KFC!$B$28+KFC!$C$28)*KFC!$C$5</f>
        <v>43.59</v>
      </c>
      <c r="E63" s="315">
        <f>(Y63*KFC!$B$28+KFC!$C$28)*KFC!$C$5</f>
        <v>47.02</v>
      </c>
      <c r="F63" s="315">
        <f>(Z63*KFC!$B$28+KFC!$C$28)*KFC!$C$5</f>
        <v>50.55</v>
      </c>
      <c r="G63" s="315">
        <f>(AA63*KFC!$B$28+KFC!$C$28)*KFC!$C$5</f>
        <v>53.98</v>
      </c>
      <c r="H63" s="315">
        <f>(AB63*KFC!$B$28+KFC!$C$28)*KFC!$C$5</f>
        <v>57.4</v>
      </c>
      <c r="I63" s="315">
        <f>(AC63*KFC!$B$28+KFC!$C$28)*KFC!$C$5</f>
        <v>60.72</v>
      </c>
      <c r="J63" s="315">
        <f>(AD63*KFC!$B$28+KFC!$C$28)*KFC!$C$5</f>
        <v>64.260000000000005</v>
      </c>
      <c r="K63" s="315">
        <f>(AE63*KFC!$B$28+KFC!$C$28)*KFC!$C$5</f>
        <v>67.680000000000007</v>
      </c>
      <c r="L63" s="315">
        <f>(AF63*KFC!$B$28+KFC!$C$28)*KFC!$C$5</f>
        <v>71.12</v>
      </c>
      <c r="M63" s="315">
        <f>(AG63*KFC!$B$28+KFC!$C$28)*KFC!$C$5</f>
        <v>74.64</v>
      </c>
      <c r="N63" s="315">
        <f>(AH63*KFC!$B$28+KFC!$C$28)*KFC!$C$5</f>
        <v>78.08</v>
      </c>
      <c r="O63" s="315">
        <f>(AI63*KFC!$B$28+KFC!$C$28)*KFC!$C$5</f>
        <v>81.5</v>
      </c>
      <c r="P63" s="315">
        <f>(AJ63*KFC!$B$28+KFC!$C$28)*KFC!$C$5</f>
        <v>84.92</v>
      </c>
      <c r="Q63" s="315">
        <f>(AK63*KFC!$B$28+KFC!$C$28)*KFC!$C$5</f>
        <v>88.34</v>
      </c>
      <c r="R63" s="315">
        <f>(AL63*KFC!$B$28+KFC!$C$28)*KFC!$C$5</f>
        <v>91.76</v>
      </c>
      <c r="S63" s="315">
        <f>(AM63*KFC!$B$28+KFC!$C$28)*KFC!$C$5</f>
        <v>95.18</v>
      </c>
      <c r="T63" s="315">
        <f>(AN63*KFC!$B$28+KFC!$C$28)*KFC!$C$5</f>
        <v>98.600000000000009</v>
      </c>
      <c r="V63" s="851">
        <v>1.3</v>
      </c>
      <c r="W63" s="847">
        <v>40.159999999999997</v>
      </c>
      <c r="X63" s="847">
        <v>43.59</v>
      </c>
      <c r="Y63" s="847">
        <v>47.02</v>
      </c>
      <c r="Z63" s="847">
        <v>50.55</v>
      </c>
      <c r="AA63" s="847">
        <v>53.98</v>
      </c>
      <c r="AB63" s="847">
        <v>57.4</v>
      </c>
      <c r="AC63" s="847">
        <v>60.72</v>
      </c>
      <c r="AD63" s="847">
        <v>64.260000000000005</v>
      </c>
      <c r="AE63" s="847">
        <v>67.680000000000007</v>
      </c>
      <c r="AF63" s="847">
        <v>71.12</v>
      </c>
      <c r="AG63" s="847">
        <v>74.64</v>
      </c>
      <c r="AH63" s="847">
        <v>78.08</v>
      </c>
      <c r="AI63" s="848">
        <v>81.5</v>
      </c>
      <c r="AJ63" s="690">
        <f t="shared" si="6"/>
        <v>84.92</v>
      </c>
      <c r="AK63" s="690">
        <f t="shared" si="7"/>
        <v>88.34</v>
      </c>
      <c r="AL63" s="690">
        <f t="shared" si="7"/>
        <v>91.76</v>
      </c>
      <c r="AM63" s="690">
        <f t="shared" si="7"/>
        <v>95.18</v>
      </c>
      <c r="AN63" s="690">
        <f t="shared" si="7"/>
        <v>98.600000000000009</v>
      </c>
      <c r="AO63" s="690">
        <f t="shared" si="7"/>
        <v>102.02000000000001</v>
      </c>
      <c r="AP63" s="690">
        <f t="shared" si="7"/>
        <v>105.44000000000001</v>
      </c>
    </row>
    <row r="64" spans="1:42" ht="14.25" customHeight="1">
      <c r="A64" s="1816"/>
      <c r="B64" s="849">
        <v>1.4</v>
      </c>
      <c r="C64" s="314">
        <f>(W64*KFC!$B$28+KFC!$C$28)*KFC!$C$5</f>
        <v>41.87</v>
      </c>
      <c r="D64" s="315">
        <f>(X64*KFC!$B$28+KFC!$C$28)*KFC!$C$5</f>
        <v>45.31</v>
      </c>
      <c r="E64" s="315">
        <f>(Y64*KFC!$B$28+KFC!$C$28)*KFC!$C$5</f>
        <v>48.73</v>
      </c>
      <c r="F64" s="315">
        <f>(Z64*KFC!$B$28+KFC!$C$28)*KFC!$C$5</f>
        <v>52.27</v>
      </c>
      <c r="G64" s="315">
        <f>(AA64*KFC!$B$28+KFC!$C$28)*KFC!$C$5</f>
        <v>55.69</v>
      </c>
      <c r="H64" s="315">
        <f>(AB64*KFC!$B$28+KFC!$C$28)*KFC!$C$5</f>
        <v>59.12</v>
      </c>
      <c r="I64" s="315">
        <f>(AC64*KFC!$B$28+KFC!$C$28)*KFC!$C$5</f>
        <v>62.44</v>
      </c>
      <c r="J64" s="315">
        <f>(AD64*KFC!$B$28+KFC!$C$28)*KFC!$C$5</f>
        <v>65.87</v>
      </c>
      <c r="K64" s="315">
        <f>(AE64*KFC!$B$28+KFC!$C$28)*KFC!$C$5</f>
        <v>69.290000000000006</v>
      </c>
      <c r="L64" s="315">
        <f>(AF64*KFC!$B$28+KFC!$C$28)*KFC!$C$5</f>
        <v>72.83</v>
      </c>
      <c r="M64" s="315">
        <f>(AG64*KFC!$B$28+KFC!$C$28)*KFC!$C$5</f>
        <v>76.25</v>
      </c>
      <c r="N64" s="315">
        <f>(AH64*KFC!$B$28+KFC!$C$28)*KFC!$C$5</f>
        <v>79.680000000000007</v>
      </c>
      <c r="O64" s="315">
        <f>(AI64*KFC!$B$28+KFC!$C$28)*KFC!$C$5</f>
        <v>83.11</v>
      </c>
      <c r="P64" s="315">
        <f>(AJ64*KFC!$B$28+KFC!$C$28)*KFC!$C$5</f>
        <v>86.539999999999992</v>
      </c>
      <c r="Q64" s="315">
        <f>(AK64*KFC!$B$28+KFC!$C$28)*KFC!$C$5</f>
        <v>89.969999999999985</v>
      </c>
      <c r="R64" s="315">
        <f>(AL64*KFC!$B$28+KFC!$C$28)*KFC!$C$5</f>
        <v>93.399999999999977</v>
      </c>
      <c r="S64" s="315">
        <f>(AM64*KFC!$B$28+KFC!$C$28)*KFC!$C$5</f>
        <v>96.82999999999997</v>
      </c>
      <c r="T64" s="315">
        <f>(AN64*KFC!$B$28+KFC!$C$28)*KFC!$C$5</f>
        <v>100.25999999999996</v>
      </c>
      <c r="V64" s="851">
        <v>1.4</v>
      </c>
      <c r="W64" s="847">
        <v>41.87</v>
      </c>
      <c r="X64" s="847">
        <v>45.31</v>
      </c>
      <c r="Y64" s="847">
        <v>48.73</v>
      </c>
      <c r="Z64" s="847">
        <v>52.27</v>
      </c>
      <c r="AA64" s="847">
        <v>55.69</v>
      </c>
      <c r="AB64" s="847">
        <v>59.12</v>
      </c>
      <c r="AC64" s="847">
        <v>62.44</v>
      </c>
      <c r="AD64" s="847">
        <v>65.87</v>
      </c>
      <c r="AE64" s="847">
        <v>69.290000000000006</v>
      </c>
      <c r="AF64" s="847">
        <v>72.83</v>
      </c>
      <c r="AG64" s="847">
        <v>76.25</v>
      </c>
      <c r="AH64" s="847">
        <v>79.680000000000007</v>
      </c>
      <c r="AI64" s="848">
        <v>83.11</v>
      </c>
      <c r="AJ64" s="690">
        <f t="shared" si="6"/>
        <v>86.539999999999992</v>
      </c>
      <c r="AK64" s="690">
        <f t="shared" si="7"/>
        <v>89.969999999999985</v>
      </c>
      <c r="AL64" s="690">
        <f t="shared" si="7"/>
        <v>93.399999999999977</v>
      </c>
      <c r="AM64" s="690">
        <f t="shared" si="7"/>
        <v>96.82999999999997</v>
      </c>
      <c r="AN64" s="690">
        <f t="shared" si="7"/>
        <v>100.25999999999996</v>
      </c>
      <c r="AO64" s="690">
        <f t="shared" si="7"/>
        <v>103.68999999999996</v>
      </c>
      <c r="AP64" s="690">
        <f t="shared" si="7"/>
        <v>107.11999999999995</v>
      </c>
    </row>
    <row r="65" spans="1:42" ht="14.25" customHeight="1">
      <c r="A65" s="1816"/>
      <c r="B65" s="849">
        <v>1.5</v>
      </c>
      <c r="C65" s="314">
        <f>(W65*KFC!$B$28+KFC!$C$28)*KFC!$C$5</f>
        <v>43.59</v>
      </c>
      <c r="D65" s="315">
        <f>(X65*KFC!$B$28+KFC!$C$28)*KFC!$C$5</f>
        <v>47.02</v>
      </c>
      <c r="E65" s="315">
        <f>(Y65*KFC!$B$28+KFC!$C$28)*KFC!$C$5</f>
        <v>50.44</v>
      </c>
      <c r="F65" s="315">
        <f>(Z65*KFC!$B$28+KFC!$C$28)*KFC!$C$5</f>
        <v>53.98</v>
      </c>
      <c r="G65" s="315">
        <f>(AA65*KFC!$B$28+KFC!$C$28)*KFC!$C$5</f>
        <v>57.4</v>
      </c>
      <c r="H65" s="315">
        <f>(AB65*KFC!$B$28+KFC!$C$28)*KFC!$C$5</f>
        <v>60.72</v>
      </c>
      <c r="I65" s="315">
        <f>(AC65*KFC!$B$28+KFC!$C$28)*KFC!$C$5</f>
        <v>64.16</v>
      </c>
      <c r="J65" s="315">
        <f>(AD65*KFC!$B$28+KFC!$C$28)*KFC!$C$5</f>
        <v>67.58</v>
      </c>
      <c r="K65" s="315">
        <f>(AE65*KFC!$B$28+KFC!$C$28)*KFC!$C$5</f>
        <v>71.010000000000005</v>
      </c>
      <c r="L65" s="315">
        <f>(AF65*KFC!$B$28+KFC!$C$28)*KFC!$C$5</f>
        <v>74.430000000000007</v>
      </c>
      <c r="M65" s="315">
        <f>(AG65*KFC!$B$28+KFC!$C$28)*KFC!$C$5</f>
        <v>77.75</v>
      </c>
      <c r="N65" s="315">
        <f>(AH65*KFC!$B$28+KFC!$C$28)*KFC!$C$5</f>
        <v>81.19</v>
      </c>
      <c r="O65" s="315">
        <f>(AI65*KFC!$B$28+KFC!$C$28)*KFC!$C$5</f>
        <v>84.61</v>
      </c>
      <c r="P65" s="315">
        <f>(AJ65*KFC!$B$28+KFC!$C$28)*KFC!$C$5</f>
        <v>88.03</v>
      </c>
      <c r="Q65" s="315">
        <f>(AK65*KFC!$B$28+KFC!$C$28)*KFC!$C$5</f>
        <v>91.45</v>
      </c>
      <c r="R65" s="315">
        <f>(AL65*KFC!$B$28+KFC!$C$28)*KFC!$C$5</f>
        <v>94.87</v>
      </c>
      <c r="S65" s="315">
        <f>(AM65*KFC!$B$28+KFC!$C$28)*KFC!$C$5</f>
        <v>98.29</v>
      </c>
      <c r="T65" s="315">
        <f>(AN65*KFC!$B$28+KFC!$C$28)*KFC!$C$5</f>
        <v>101.71000000000001</v>
      </c>
      <c r="V65" s="851">
        <v>1.5</v>
      </c>
      <c r="W65" s="847">
        <v>43.59</v>
      </c>
      <c r="X65" s="847">
        <v>47.02</v>
      </c>
      <c r="Y65" s="847">
        <v>50.44</v>
      </c>
      <c r="Z65" s="847">
        <v>53.98</v>
      </c>
      <c r="AA65" s="847">
        <v>57.4</v>
      </c>
      <c r="AB65" s="847">
        <v>60.72</v>
      </c>
      <c r="AC65" s="847">
        <v>64.16</v>
      </c>
      <c r="AD65" s="847">
        <v>67.58</v>
      </c>
      <c r="AE65" s="847">
        <v>71.010000000000005</v>
      </c>
      <c r="AF65" s="847">
        <v>74.430000000000007</v>
      </c>
      <c r="AG65" s="847">
        <v>77.75</v>
      </c>
      <c r="AH65" s="847">
        <v>81.19</v>
      </c>
      <c r="AI65" s="848">
        <v>84.61</v>
      </c>
      <c r="AJ65" s="690">
        <f t="shared" si="6"/>
        <v>88.03</v>
      </c>
      <c r="AK65" s="690">
        <f t="shared" si="7"/>
        <v>91.45</v>
      </c>
      <c r="AL65" s="690">
        <f t="shared" si="7"/>
        <v>94.87</v>
      </c>
      <c r="AM65" s="690">
        <f t="shared" si="7"/>
        <v>98.29</v>
      </c>
      <c r="AN65" s="690">
        <f t="shared" si="7"/>
        <v>101.71000000000001</v>
      </c>
      <c r="AO65" s="690">
        <f t="shared" si="7"/>
        <v>105.13000000000001</v>
      </c>
      <c r="AP65" s="690">
        <f t="shared" si="7"/>
        <v>108.55000000000001</v>
      </c>
    </row>
    <row r="66" spans="1:42" ht="14.25" customHeight="1">
      <c r="A66" s="1816"/>
      <c r="B66" s="849">
        <v>1.6</v>
      </c>
      <c r="C66" s="314">
        <f>(W66*KFC!$B$28+KFC!$C$28)*KFC!$C$5</f>
        <v>45.41</v>
      </c>
      <c r="D66" s="315">
        <f>(X66*KFC!$B$28+KFC!$C$28)*KFC!$C$5</f>
        <v>48.84</v>
      </c>
      <c r="E66" s="315">
        <f>(Y66*KFC!$B$28+KFC!$C$28)*KFC!$C$5</f>
        <v>52.27</v>
      </c>
      <c r="F66" s="315">
        <f>(Z66*KFC!$B$28+KFC!$C$28)*KFC!$C$5</f>
        <v>55.59</v>
      </c>
      <c r="G66" s="315">
        <f>(AA66*KFC!$B$28+KFC!$C$28)*KFC!$C$5</f>
        <v>58.91</v>
      </c>
      <c r="H66" s="315">
        <f>(AB66*KFC!$B$28+KFC!$C$28)*KFC!$C$5</f>
        <v>62.33</v>
      </c>
      <c r="I66" s="315">
        <f>(AC66*KFC!$B$28+KFC!$C$28)*KFC!$C$5</f>
        <v>65.760000000000005</v>
      </c>
      <c r="J66" s="315">
        <f>(AD66*KFC!$B$28+KFC!$C$28)*KFC!$C$5</f>
        <v>69.180000000000007</v>
      </c>
      <c r="K66" s="315">
        <f>(AE66*KFC!$B$28+KFC!$C$28)*KFC!$C$5</f>
        <v>72.62</v>
      </c>
      <c r="L66" s="315">
        <f>(AF66*KFC!$B$28+KFC!$C$28)*KFC!$C$5</f>
        <v>75.94</v>
      </c>
      <c r="M66" s="315">
        <f>(AG66*KFC!$B$28+KFC!$C$28)*KFC!$C$5</f>
        <v>79.36</v>
      </c>
      <c r="N66" s="315">
        <f>(AH66*KFC!$B$28+KFC!$C$28)*KFC!$C$5</f>
        <v>82.79</v>
      </c>
      <c r="O66" s="315">
        <f>(AI66*KFC!$B$28+KFC!$C$28)*KFC!$C$5</f>
        <v>86.22</v>
      </c>
      <c r="P66" s="315">
        <f>(AJ66*KFC!$B$28+KFC!$C$28)*KFC!$C$5</f>
        <v>89.649999999999991</v>
      </c>
      <c r="Q66" s="315">
        <f>(AK66*KFC!$B$28+KFC!$C$28)*KFC!$C$5</f>
        <v>93.079999999999984</v>
      </c>
      <c r="R66" s="315">
        <f>(AL66*KFC!$B$28+KFC!$C$28)*KFC!$C$5</f>
        <v>96.509999999999977</v>
      </c>
      <c r="S66" s="315">
        <f>(AM66*KFC!$B$28+KFC!$C$28)*KFC!$C$5</f>
        <v>99.939999999999969</v>
      </c>
      <c r="T66" s="315">
        <f>(AN66*KFC!$B$28+KFC!$C$28)*KFC!$C$5</f>
        <v>103.36999999999996</v>
      </c>
      <c r="V66" s="851">
        <v>1.6</v>
      </c>
      <c r="W66" s="847">
        <v>45.41</v>
      </c>
      <c r="X66" s="847">
        <v>48.84</v>
      </c>
      <c r="Y66" s="847">
        <v>52.27</v>
      </c>
      <c r="Z66" s="847">
        <v>55.59</v>
      </c>
      <c r="AA66" s="847">
        <v>58.91</v>
      </c>
      <c r="AB66" s="847">
        <v>62.33</v>
      </c>
      <c r="AC66" s="847">
        <v>65.760000000000005</v>
      </c>
      <c r="AD66" s="847">
        <v>69.180000000000007</v>
      </c>
      <c r="AE66" s="847">
        <v>72.62</v>
      </c>
      <c r="AF66" s="847">
        <v>75.94</v>
      </c>
      <c r="AG66" s="847">
        <v>79.36</v>
      </c>
      <c r="AH66" s="847">
        <v>82.79</v>
      </c>
      <c r="AI66" s="848">
        <v>86.22</v>
      </c>
      <c r="AJ66" s="690">
        <f t="shared" si="6"/>
        <v>89.649999999999991</v>
      </c>
      <c r="AK66" s="690">
        <f t="shared" si="7"/>
        <v>93.079999999999984</v>
      </c>
      <c r="AL66" s="690">
        <f t="shared" si="7"/>
        <v>96.509999999999977</v>
      </c>
      <c r="AM66" s="690">
        <f t="shared" si="7"/>
        <v>99.939999999999969</v>
      </c>
      <c r="AN66" s="690">
        <f t="shared" si="7"/>
        <v>103.36999999999996</v>
      </c>
      <c r="AO66" s="690">
        <f t="shared" si="7"/>
        <v>106.79999999999995</v>
      </c>
      <c r="AP66" s="690">
        <f t="shared" si="7"/>
        <v>110.22999999999995</v>
      </c>
    </row>
    <row r="67" spans="1:42" ht="14.25" customHeight="1">
      <c r="A67" s="1816"/>
      <c r="B67" s="849">
        <v>1.7</v>
      </c>
      <c r="C67" s="314">
        <f>(W67*KFC!$B$28+KFC!$C$28)*KFC!$C$5</f>
        <v>47.12</v>
      </c>
      <c r="D67" s="315">
        <f>(X67*KFC!$B$28+KFC!$C$28)*KFC!$C$5</f>
        <v>50.55</v>
      </c>
      <c r="E67" s="315">
        <f>(Y67*KFC!$B$28+KFC!$C$28)*KFC!$C$5</f>
        <v>53.98</v>
      </c>
      <c r="F67" s="315">
        <f>(Z67*KFC!$B$28+KFC!$C$28)*KFC!$C$5</f>
        <v>57.19</v>
      </c>
      <c r="G67" s="315">
        <f>(AA67*KFC!$B$28+KFC!$C$28)*KFC!$C$5</f>
        <v>60.62</v>
      </c>
      <c r="H67" s="315">
        <f>(AB67*KFC!$B$28+KFC!$C$28)*KFC!$C$5</f>
        <v>64.05</v>
      </c>
      <c r="I67" s="315">
        <f>(AC67*KFC!$B$28+KFC!$C$28)*KFC!$C$5</f>
        <v>67.47</v>
      </c>
      <c r="J67" s="315">
        <f>(AD67*KFC!$B$28+KFC!$C$28)*KFC!$C$5</f>
        <v>70.900000000000006</v>
      </c>
      <c r="K67" s="315">
        <f>(AE67*KFC!$B$28+KFC!$C$28)*KFC!$C$5</f>
        <v>74.22</v>
      </c>
      <c r="L67" s="315">
        <f>(AF67*KFC!$B$28+KFC!$C$28)*KFC!$C$5</f>
        <v>77.540000000000006</v>
      </c>
      <c r="M67" s="315">
        <f>(AG67*KFC!$B$28+KFC!$C$28)*KFC!$C$5</f>
        <v>80.97</v>
      </c>
      <c r="N67" s="315">
        <f>(AH67*KFC!$B$28+KFC!$C$28)*KFC!$C$5</f>
        <v>84.4</v>
      </c>
      <c r="O67" s="315">
        <f>(AI67*KFC!$B$28+KFC!$C$28)*KFC!$C$5</f>
        <v>87.82</v>
      </c>
      <c r="P67" s="315">
        <f>(AJ67*KFC!$B$28+KFC!$C$28)*KFC!$C$5</f>
        <v>91.239999999999981</v>
      </c>
      <c r="Q67" s="315">
        <f>(AK67*KFC!$B$28+KFC!$C$28)*KFC!$C$5</f>
        <v>94.659999999999968</v>
      </c>
      <c r="R67" s="315">
        <f>(AL67*KFC!$B$28+KFC!$C$28)*KFC!$C$5</f>
        <v>98.079999999999956</v>
      </c>
      <c r="S67" s="315">
        <f>(AM67*KFC!$B$28+KFC!$C$28)*KFC!$C$5</f>
        <v>101.49999999999994</v>
      </c>
      <c r="T67" s="315">
        <f>(AN67*KFC!$B$28+KFC!$C$28)*KFC!$C$5</f>
        <v>104.91999999999993</v>
      </c>
      <c r="V67" s="851">
        <v>1.7</v>
      </c>
      <c r="W67" s="847">
        <v>47.12</v>
      </c>
      <c r="X67" s="847">
        <v>50.55</v>
      </c>
      <c r="Y67" s="847">
        <v>53.98</v>
      </c>
      <c r="Z67" s="847">
        <v>57.19</v>
      </c>
      <c r="AA67" s="847">
        <v>60.62</v>
      </c>
      <c r="AB67" s="847">
        <v>64.05</v>
      </c>
      <c r="AC67" s="847">
        <v>67.47</v>
      </c>
      <c r="AD67" s="847">
        <v>70.900000000000006</v>
      </c>
      <c r="AE67" s="847">
        <v>74.22</v>
      </c>
      <c r="AF67" s="847">
        <v>77.540000000000006</v>
      </c>
      <c r="AG67" s="847">
        <v>80.97</v>
      </c>
      <c r="AH67" s="847">
        <v>84.4</v>
      </c>
      <c r="AI67" s="848">
        <v>87.82</v>
      </c>
      <c r="AJ67" s="690">
        <f t="shared" si="6"/>
        <v>91.239999999999981</v>
      </c>
      <c r="AK67" s="690">
        <f t="shared" si="7"/>
        <v>94.659999999999968</v>
      </c>
      <c r="AL67" s="690">
        <f t="shared" si="7"/>
        <v>98.079999999999956</v>
      </c>
      <c r="AM67" s="690">
        <f t="shared" si="7"/>
        <v>101.49999999999994</v>
      </c>
      <c r="AN67" s="690">
        <f t="shared" si="7"/>
        <v>104.91999999999993</v>
      </c>
      <c r="AO67" s="690">
        <f t="shared" si="7"/>
        <v>108.33999999999992</v>
      </c>
      <c r="AP67" s="690">
        <f t="shared" si="7"/>
        <v>111.75999999999991</v>
      </c>
    </row>
    <row r="68" spans="1:42" ht="14.25" customHeight="1">
      <c r="A68" s="1816"/>
      <c r="B68" s="849">
        <v>1.8</v>
      </c>
      <c r="C68" s="314">
        <f>(W68*KFC!$B$28+KFC!$C$28)*KFC!$C$5</f>
        <v>48.84</v>
      </c>
      <c r="D68" s="315">
        <f>(X68*KFC!$B$28+KFC!$C$28)*KFC!$C$5</f>
        <v>52.27</v>
      </c>
      <c r="E68" s="315">
        <f>(Y68*KFC!$B$28+KFC!$C$28)*KFC!$C$5</f>
        <v>55.69</v>
      </c>
      <c r="F68" s="315">
        <f>(Z68*KFC!$B$28+KFC!$C$28)*KFC!$C$5</f>
        <v>58.91</v>
      </c>
      <c r="G68" s="315">
        <f>(AA68*KFC!$B$28+KFC!$C$28)*KFC!$C$5</f>
        <v>62.33</v>
      </c>
      <c r="H68" s="315">
        <f>(AB68*KFC!$B$28+KFC!$C$28)*KFC!$C$5</f>
        <v>65.760000000000005</v>
      </c>
      <c r="I68" s="315">
        <f>(AC68*KFC!$B$28+KFC!$C$28)*KFC!$C$5</f>
        <v>69.180000000000007</v>
      </c>
      <c r="J68" s="315">
        <f>(AD68*KFC!$B$28+KFC!$C$28)*KFC!$C$5</f>
        <v>72.400000000000006</v>
      </c>
      <c r="K68" s="315">
        <f>(AE68*KFC!$B$28+KFC!$C$28)*KFC!$C$5</f>
        <v>75.83</v>
      </c>
      <c r="L68" s="315">
        <f>(AF68*KFC!$B$28+KFC!$C$28)*KFC!$C$5</f>
        <v>79.25</v>
      </c>
      <c r="M68" s="315">
        <f>(AG68*KFC!$B$28+KFC!$C$28)*KFC!$C$5</f>
        <v>82.47</v>
      </c>
      <c r="N68" s="315">
        <f>(AH68*KFC!$B$28+KFC!$C$28)*KFC!$C$5</f>
        <v>85.89</v>
      </c>
      <c r="O68" s="315">
        <f>(AI68*KFC!$B$28+KFC!$C$28)*KFC!$C$5</f>
        <v>89.32</v>
      </c>
      <c r="P68" s="315">
        <f>(AJ68*KFC!$B$28+KFC!$C$28)*KFC!$C$5</f>
        <v>92.749999999999986</v>
      </c>
      <c r="Q68" s="315">
        <f>(AK68*KFC!$B$28+KFC!$C$28)*KFC!$C$5</f>
        <v>96.179999999999978</v>
      </c>
      <c r="R68" s="315">
        <f>(AL68*KFC!$B$28+KFC!$C$28)*KFC!$C$5</f>
        <v>99.609999999999971</v>
      </c>
      <c r="S68" s="315">
        <f>(AM68*KFC!$B$28+KFC!$C$28)*KFC!$C$5</f>
        <v>103.03999999999996</v>
      </c>
      <c r="T68" s="315">
        <f>(AN68*KFC!$B$28+KFC!$C$28)*KFC!$C$5</f>
        <v>106.46999999999996</v>
      </c>
      <c r="V68" s="851">
        <v>1.8</v>
      </c>
      <c r="W68" s="847">
        <v>48.84</v>
      </c>
      <c r="X68" s="847">
        <v>52.27</v>
      </c>
      <c r="Y68" s="847">
        <v>55.69</v>
      </c>
      <c r="Z68" s="847">
        <v>58.91</v>
      </c>
      <c r="AA68" s="847">
        <v>62.33</v>
      </c>
      <c r="AB68" s="847">
        <v>65.760000000000005</v>
      </c>
      <c r="AC68" s="847">
        <v>69.180000000000007</v>
      </c>
      <c r="AD68" s="847">
        <v>72.400000000000006</v>
      </c>
      <c r="AE68" s="847">
        <v>75.83</v>
      </c>
      <c r="AF68" s="847">
        <v>79.25</v>
      </c>
      <c r="AG68" s="847">
        <v>82.47</v>
      </c>
      <c r="AH68" s="847">
        <v>85.89</v>
      </c>
      <c r="AI68" s="848">
        <v>89.32</v>
      </c>
      <c r="AJ68" s="690">
        <f t="shared" si="6"/>
        <v>92.749999999999986</v>
      </c>
      <c r="AK68" s="690">
        <f t="shared" si="7"/>
        <v>96.179999999999978</v>
      </c>
      <c r="AL68" s="690">
        <f t="shared" si="7"/>
        <v>99.609999999999971</v>
      </c>
      <c r="AM68" s="690">
        <f t="shared" si="7"/>
        <v>103.03999999999996</v>
      </c>
      <c r="AN68" s="690">
        <f t="shared" si="7"/>
        <v>106.46999999999996</v>
      </c>
      <c r="AO68" s="690">
        <f t="shared" si="7"/>
        <v>109.89999999999995</v>
      </c>
      <c r="AP68" s="690">
        <f t="shared" si="7"/>
        <v>113.32999999999994</v>
      </c>
    </row>
    <row r="69" spans="1:42" ht="14.25" customHeight="1">
      <c r="A69" s="1816"/>
      <c r="B69" s="849">
        <v>1.9</v>
      </c>
      <c r="C69" s="314">
        <f>(W69*KFC!$B$28+KFC!$C$28)*KFC!$C$5</f>
        <v>50.66</v>
      </c>
      <c r="D69" s="315">
        <f>(X69*KFC!$B$28+KFC!$C$28)*KFC!$C$5</f>
        <v>53.98</v>
      </c>
      <c r="E69" s="315">
        <f>(Y69*KFC!$B$28+KFC!$C$28)*KFC!$C$5</f>
        <v>57.4</v>
      </c>
      <c r="F69" s="315">
        <f>(Z69*KFC!$B$28+KFC!$C$28)*KFC!$C$5</f>
        <v>60.62</v>
      </c>
      <c r="G69" s="315">
        <f>(AA69*KFC!$B$28+KFC!$C$28)*KFC!$C$5</f>
        <v>64.05</v>
      </c>
      <c r="H69" s="315">
        <f>(AB69*KFC!$B$28+KFC!$C$28)*KFC!$C$5</f>
        <v>67.47</v>
      </c>
      <c r="I69" s="315">
        <f>(AC69*KFC!$B$28+KFC!$C$28)*KFC!$C$5</f>
        <v>70.69</v>
      </c>
      <c r="J69" s="315">
        <f>(AD69*KFC!$B$28+KFC!$C$28)*KFC!$C$5</f>
        <v>74.11</v>
      </c>
      <c r="K69" s="315">
        <f>(AE69*KFC!$B$28+KFC!$C$28)*KFC!$C$5</f>
        <v>77.44</v>
      </c>
      <c r="L69" s="315">
        <f>(AF69*KFC!$B$28+KFC!$C$28)*KFC!$C$5</f>
        <v>80.86</v>
      </c>
      <c r="M69" s="315">
        <f>(AG69*KFC!$B$28+KFC!$C$28)*KFC!$C$5</f>
        <v>84.07</v>
      </c>
      <c r="N69" s="315">
        <f>(AH69*KFC!$B$28+KFC!$C$28)*KFC!$C$5</f>
        <v>87.5</v>
      </c>
      <c r="O69" s="315">
        <f>(AI69*KFC!$B$28+KFC!$C$28)*KFC!$C$5</f>
        <v>90.93</v>
      </c>
      <c r="P69" s="315">
        <f>(AJ69*KFC!$B$28+KFC!$C$28)*KFC!$C$5</f>
        <v>94.360000000000014</v>
      </c>
      <c r="Q69" s="315">
        <f>(AK69*KFC!$B$28+KFC!$C$28)*KFC!$C$5</f>
        <v>97.79000000000002</v>
      </c>
      <c r="R69" s="315">
        <f>(AL69*KFC!$B$28+KFC!$C$28)*KFC!$C$5</f>
        <v>101.22000000000003</v>
      </c>
      <c r="S69" s="315">
        <f>(AM69*KFC!$B$28+KFC!$C$28)*KFC!$C$5</f>
        <v>104.65000000000003</v>
      </c>
      <c r="T69" s="315">
        <f>(AN69*KFC!$B$28+KFC!$C$28)*KFC!$C$5</f>
        <v>108.08000000000004</v>
      </c>
      <c r="V69" s="851">
        <v>1.9</v>
      </c>
      <c r="W69" s="847">
        <v>50.66</v>
      </c>
      <c r="X69" s="847">
        <v>53.98</v>
      </c>
      <c r="Y69" s="847">
        <v>57.4</v>
      </c>
      <c r="Z69" s="847">
        <v>60.62</v>
      </c>
      <c r="AA69" s="847">
        <v>64.05</v>
      </c>
      <c r="AB69" s="847">
        <v>67.47</v>
      </c>
      <c r="AC69" s="847">
        <v>70.69</v>
      </c>
      <c r="AD69" s="847">
        <v>74.11</v>
      </c>
      <c r="AE69" s="847">
        <v>77.44</v>
      </c>
      <c r="AF69" s="847">
        <v>80.86</v>
      </c>
      <c r="AG69" s="847">
        <v>84.07</v>
      </c>
      <c r="AH69" s="847">
        <v>87.5</v>
      </c>
      <c r="AI69" s="848">
        <v>90.93</v>
      </c>
      <c r="AJ69" s="690">
        <f t="shared" si="6"/>
        <v>94.360000000000014</v>
      </c>
      <c r="AK69" s="690">
        <f t="shared" si="7"/>
        <v>97.79000000000002</v>
      </c>
      <c r="AL69" s="690">
        <f t="shared" si="7"/>
        <v>101.22000000000003</v>
      </c>
      <c r="AM69" s="690">
        <f t="shared" si="7"/>
        <v>104.65000000000003</v>
      </c>
      <c r="AN69" s="690">
        <f t="shared" si="7"/>
        <v>108.08000000000004</v>
      </c>
      <c r="AO69" s="690">
        <f t="shared" si="7"/>
        <v>111.51000000000005</v>
      </c>
      <c r="AP69" s="690">
        <f t="shared" si="7"/>
        <v>114.94000000000005</v>
      </c>
    </row>
    <row r="70" spans="1:42" ht="14.25" customHeight="1">
      <c r="A70" s="1816"/>
      <c r="B70" s="849">
        <v>2</v>
      </c>
      <c r="C70" s="314">
        <f>(W70*KFC!$B$28+KFC!$C$28)*KFC!$C$5</f>
        <v>52.37</v>
      </c>
      <c r="D70" s="315">
        <f>(X70*KFC!$B$28+KFC!$C$28)*KFC!$C$5</f>
        <v>55.69</v>
      </c>
      <c r="E70" s="315">
        <f>(Y70*KFC!$B$28+KFC!$C$28)*KFC!$C$5</f>
        <v>59.12</v>
      </c>
      <c r="F70" s="315">
        <f>(Z70*KFC!$B$28+KFC!$C$28)*KFC!$C$5</f>
        <v>62.33</v>
      </c>
      <c r="G70" s="315">
        <f>(AA70*KFC!$B$28+KFC!$C$28)*KFC!$C$5</f>
        <v>65.760000000000005</v>
      </c>
      <c r="H70" s="315">
        <f>(AB70*KFC!$B$28+KFC!$C$28)*KFC!$C$5</f>
        <v>69.08</v>
      </c>
      <c r="I70" s="315">
        <f>(AC70*KFC!$B$28+KFC!$C$28)*KFC!$C$5</f>
        <v>72.400000000000006</v>
      </c>
      <c r="J70" s="315">
        <f>(AD70*KFC!$B$28+KFC!$C$28)*KFC!$C$5</f>
        <v>75.72</v>
      </c>
      <c r="K70" s="315">
        <f>(AE70*KFC!$B$28+KFC!$C$28)*KFC!$C$5</f>
        <v>79.150000000000006</v>
      </c>
      <c r="L70" s="315">
        <f>(AF70*KFC!$B$28+KFC!$C$28)*KFC!$C$5</f>
        <v>82.36</v>
      </c>
      <c r="M70" s="315">
        <f>(AG70*KFC!$B$28+KFC!$C$28)*KFC!$C$5</f>
        <v>85.79</v>
      </c>
      <c r="N70" s="315">
        <f>(AH70*KFC!$B$28+KFC!$C$28)*KFC!$C$5</f>
        <v>89.1</v>
      </c>
      <c r="O70" s="315">
        <f>(AI70*KFC!$B$28+KFC!$C$28)*KFC!$C$5</f>
        <v>92.43</v>
      </c>
      <c r="P70" s="315">
        <f>(AJ70*KFC!$B$28+KFC!$C$28)*KFC!$C$5</f>
        <v>95.760000000000019</v>
      </c>
      <c r="Q70" s="315">
        <f>(AK70*KFC!$B$28+KFC!$C$28)*KFC!$C$5</f>
        <v>99.090000000000032</v>
      </c>
      <c r="R70" s="315">
        <f>(AL70*KFC!$B$28+KFC!$C$28)*KFC!$C$5</f>
        <v>102.42000000000004</v>
      </c>
      <c r="S70" s="315">
        <f>(AM70*KFC!$B$28+KFC!$C$28)*KFC!$C$5</f>
        <v>105.75000000000006</v>
      </c>
      <c r="T70" s="315">
        <f>(AN70*KFC!$B$28+KFC!$C$28)*KFC!$C$5</f>
        <v>109.08000000000007</v>
      </c>
      <c r="V70" s="851">
        <v>2</v>
      </c>
      <c r="W70" s="847">
        <v>52.37</v>
      </c>
      <c r="X70" s="847">
        <v>55.69</v>
      </c>
      <c r="Y70" s="847">
        <v>59.12</v>
      </c>
      <c r="Z70" s="847">
        <v>62.33</v>
      </c>
      <c r="AA70" s="847">
        <v>65.760000000000005</v>
      </c>
      <c r="AB70" s="847">
        <v>69.08</v>
      </c>
      <c r="AC70" s="847">
        <v>72.400000000000006</v>
      </c>
      <c r="AD70" s="847">
        <v>75.72</v>
      </c>
      <c r="AE70" s="847">
        <v>79.150000000000006</v>
      </c>
      <c r="AF70" s="847">
        <v>82.36</v>
      </c>
      <c r="AG70" s="847">
        <v>85.79</v>
      </c>
      <c r="AH70" s="847">
        <v>89.1</v>
      </c>
      <c r="AI70" s="848">
        <v>92.43</v>
      </c>
      <c r="AJ70" s="690">
        <f t="shared" si="6"/>
        <v>95.760000000000019</v>
      </c>
      <c r="AK70" s="690">
        <f t="shared" si="7"/>
        <v>99.090000000000032</v>
      </c>
      <c r="AL70" s="690">
        <f t="shared" si="7"/>
        <v>102.42000000000004</v>
      </c>
      <c r="AM70" s="690">
        <f t="shared" si="7"/>
        <v>105.75000000000006</v>
      </c>
      <c r="AN70" s="690">
        <f t="shared" si="7"/>
        <v>109.08000000000007</v>
      </c>
      <c r="AO70" s="690">
        <f t="shared" si="7"/>
        <v>112.41000000000008</v>
      </c>
      <c r="AP70" s="690">
        <f t="shared" si="7"/>
        <v>115.74000000000009</v>
      </c>
    </row>
    <row r="71" spans="1:42" ht="14.25" customHeight="1">
      <c r="A71" s="1816"/>
      <c r="B71" s="849">
        <v>2.1</v>
      </c>
      <c r="C71" s="314">
        <f>(W71*KFC!$B$28+KFC!$C$28)*KFC!$C$5</f>
        <v>54.09</v>
      </c>
      <c r="D71" s="315">
        <f>(X71*KFC!$B$28+KFC!$C$28)*KFC!$C$5</f>
        <v>57.4</v>
      </c>
      <c r="E71" s="315">
        <f>(Y71*KFC!$B$28+KFC!$C$28)*KFC!$C$5</f>
        <v>60.84</v>
      </c>
      <c r="F71" s="315">
        <f>(Z71*KFC!$B$28+KFC!$C$28)*KFC!$C$5</f>
        <v>64.05</v>
      </c>
      <c r="G71" s="315">
        <f>(AA71*KFC!$B$28+KFC!$C$28)*KFC!$C$5</f>
        <v>67.47</v>
      </c>
      <c r="H71" s="315">
        <f>(AB71*KFC!$B$28+KFC!$C$28)*KFC!$C$5</f>
        <v>70.69</v>
      </c>
      <c r="I71" s="315">
        <f>(AC71*KFC!$B$28+KFC!$C$28)*KFC!$C$5</f>
        <v>74.11</v>
      </c>
      <c r="J71" s="315">
        <f>(AD71*KFC!$B$28+KFC!$C$28)*KFC!$C$5</f>
        <v>77.319999999999993</v>
      </c>
      <c r="K71" s="315">
        <f>(AE71*KFC!$B$28+KFC!$C$28)*KFC!$C$5</f>
        <v>80.86</v>
      </c>
      <c r="L71" s="315">
        <f>(AF71*KFC!$B$28+KFC!$C$28)*KFC!$C$5</f>
        <v>83.86</v>
      </c>
      <c r="M71" s="315">
        <f>(AG71*KFC!$B$28+KFC!$C$28)*KFC!$C$5</f>
        <v>87.5</v>
      </c>
      <c r="N71" s="315">
        <f>(AH71*KFC!$B$28+KFC!$C$28)*KFC!$C$5</f>
        <v>90.71</v>
      </c>
      <c r="O71" s="315">
        <f>(AI71*KFC!$B$28+KFC!$C$28)*KFC!$C$5</f>
        <v>93.92</v>
      </c>
      <c r="P71" s="315">
        <f>(AJ71*KFC!$B$28+KFC!$C$28)*KFC!$C$5</f>
        <v>97.13000000000001</v>
      </c>
      <c r="Q71" s="315">
        <f>(AK71*KFC!$B$28+KFC!$C$28)*KFC!$C$5</f>
        <v>100.34000000000002</v>
      </c>
      <c r="R71" s="315">
        <f>(AL71*KFC!$B$28+KFC!$C$28)*KFC!$C$5</f>
        <v>103.55000000000003</v>
      </c>
      <c r="S71" s="315">
        <f>(AM71*KFC!$B$28+KFC!$C$28)*KFC!$C$5</f>
        <v>106.76000000000003</v>
      </c>
      <c r="T71" s="315">
        <f>(AN71*KFC!$B$28+KFC!$C$28)*KFC!$C$5</f>
        <v>109.97000000000004</v>
      </c>
      <c r="V71" s="851">
        <v>2.1</v>
      </c>
      <c r="W71" s="847">
        <v>54.09</v>
      </c>
      <c r="X71" s="847">
        <v>57.4</v>
      </c>
      <c r="Y71" s="847">
        <v>60.84</v>
      </c>
      <c r="Z71" s="847">
        <v>64.05</v>
      </c>
      <c r="AA71" s="847">
        <v>67.47</v>
      </c>
      <c r="AB71" s="847">
        <v>70.69</v>
      </c>
      <c r="AC71" s="847">
        <v>74.11</v>
      </c>
      <c r="AD71" s="847">
        <v>77.319999999999993</v>
      </c>
      <c r="AE71" s="847">
        <v>80.86</v>
      </c>
      <c r="AF71" s="847">
        <v>83.86</v>
      </c>
      <c r="AG71" s="847">
        <v>87.5</v>
      </c>
      <c r="AH71" s="847">
        <v>90.71</v>
      </c>
      <c r="AI71" s="848">
        <v>93.92</v>
      </c>
      <c r="AJ71" s="690">
        <f t="shared" si="6"/>
        <v>97.13000000000001</v>
      </c>
      <c r="AK71" s="690">
        <f t="shared" ref="AK71:AP72" si="8">AJ71-AI71+AJ71</f>
        <v>100.34000000000002</v>
      </c>
      <c r="AL71" s="690">
        <f t="shared" si="8"/>
        <v>103.55000000000003</v>
      </c>
      <c r="AM71" s="690">
        <f t="shared" si="8"/>
        <v>106.76000000000003</v>
      </c>
      <c r="AN71" s="690">
        <f t="shared" si="8"/>
        <v>109.97000000000004</v>
      </c>
      <c r="AO71" s="690">
        <f t="shared" si="8"/>
        <v>113.18000000000005</v>
      </c>
      <c r="AP71" s="690">
        <f t="shared" si="8"/>
        <v>116.39000000000006</v>
      </c>
    </row>
    <row r="72" spans="1:42" ht="14.25" customHeight="1" thickBot="1">
      <c r="A72" s="1817"/>
      <c r="B72" s="849">
        <v>2.2000000000000002</v>
      </c>
      <c r="C72" s="317">
        <f>(W72*KFC!$B$28+KFC!$C$28)*KFC!$C$5</f>
        <v>55.8</v>
      </c>
      <c r="D72" s="318">
        <f>(X72*KFC!$B$28+KFC!$C$28)*KFC!$C$5</f>
        <v>59.12</v>
      </c>
      <c r="E72" s="318">
        <f>(Y72*KFC!$B$28+KFC!$C$28)*KFC!$C$5</f>
        <v>62.55</v>
      </c>
      <c r="F72" s="318">
        <f>(Z72*KFC!$B$28+KFC!$C$28)*KFC!$C$5</f>
        <v>65.760000000000005</v>
      </c>
      <c r="G72" s="318">
        <f>(AA72*KFC!$B$28+KFC!$C$28)*KFC!$C$5</f>
        <v>69.180000000000007</v>
      </c>
      <c r="H72" s="318">
        <f>(AB72*KFC!$B$28+KFC!$C$28)*KFC!$C$5</f>
        <v>72.290000000000006</v>
      </c>
      <c r="I72" s="318">
        <f>(AC72*KFC!$B$28+KFC!$C$28)*KFC!$C$5</f>
        <v>75.83</v>
      </c>
      <c r="J72" s="318">
        <f>(AD72*KFC!$B$28+KFC!$C$28)*KFC!$C$5</f>
        <v>78.930000000000007</v>
      </c>
      <c r="K72" s="318">
        <f>(AE72*KFC!$B$28+KFC!$C$28)*KFC!$C$5</f>
        <v>82.57</v>
      </c>
      <c r="L72" s="318">
        <f>(AF72*KFC!$B$28+KFC!$C$28)*KFC!$C$5</f>
        <v>85.35</v>
      </c>
      <c r="M72" s="318">
        <f>(AG72*KFC!$B$28+KFC!$C$28)*KFC!$C$5</f>
        <v>89.22</v>
      </c>
      <c r="N72" s="318">
        <f>(AH72*KFC!$B$28+KFC!$C$28)*KFC!$C$5</f>
        <v>92.32</v>
      </c>
      <c r="O72" s="318">
        <f>(AI72*KFC!$B$28+KFC!$C$28)*KFC!$C$5</f>
        <v>95.42</v>
      </c>
      <c r="P72" s="318">
        <f>(AJ72*KFC!$B$28+KFC!$C$28)*KFC!$C$5</f>
        <v>98.52000000000001</v>
      </c>
      <c r="Q72" s="318">
        <f>(AK72*KFC!$B$28+KFC!$C$28)*KFC!$C$5</f>
        <v>101.62000000000002</v>
      </c>
      <c r="R72" s="318">
        <f>(AL72*KFC!$B$28+KFC!$C$28)*KFC!$C$5</f>
        <v>104.72000000000003</v>
      </c>
      <c r="S72" s="318">
        <f>(AM72*KFC!$B$28+KFC!$C$28)*KFC!$C$5</f>
        <v>107.82000000000004</v>
      </c>
      <c r="T72" s="318">
        <f>(AN72*KFC!$B$28+KFC!$C$28)*KFC!$C$5</f>
        <v>110.92000000000004</v>
      </c>
      <c r="V72" s="851">
        <v>2.2000000000000002</v>
      </c>
      <c r="W72" s="847">
        <v>55.8</v>
      </c>
      <c r="X72" s="847">
        <v>59.12</v>
      </c>
      <c r="Y72" s="847">
        <v>62.55</v>
      </c>
      <c r="Z72" s="847">
        <v>65.760000000000005</v>
      </c>
      <c r="AA72" s="847">
        <v>69.180000000000007</v>
      </c>
      <c r="AB72" s="847">
        <v>72.290000000000006</v>
      </c>
      <c r="AC72" s="847">
        <v>75.83</v>
      </c>
      <c r="AD72" s="847">
        <v>78.930000000000007</v>
      </c>
      <c r="AE72" s="847">
        <v>82.57</v>
      </c>
      <c r="AF72" s="847">
        <v>85.35</v>
      </c>
      <c r="AG72" s="847">
        <v>89.22</v>
      </c>
      <c r="AH72" s="847">
        <v>92.32</v>
      </c>
      <c r="AI72" s="848">
        <v>95.42</v>
      </c>
      <c r="AJ72" s="690">
        <f t="shared" si="6"/>
        <v>98.52000000000001</v>
      </c>
      <c r="AK72" s="690">
        <f t="shared" si="8"/>
        <v>101.62000000000002</v>
      </c>
      <c r="AL72" s="690">
        <f t="shared" si="8"/>
        <v>104.72000000000003</v>
      </c>
      <c r="AM72" s="690">
        <f t="shared" si="8"/>
        <v>107.82000000000004</v>
      </c>
      <c r="AN72" s="690">
        <f t="shared" si="8"/>
        <v>110.92000000000004</v>
      </c>
      <c r="AO72" s="690">
        <f t="shared" si="8"/>
        <v>114.02000000000005</v>
      </c>
      <c r="AP72" s="690">
        <f t="shared" si="8"/>
        <v>117.12000000000006</v>
      </c>
    </row>
    <row r="73" spans="1:42" ht="14.25" customHeight="1" thickBot="1">
      <c r="A73" s="249"/>
      <c r="B73" s="249"/>
      <c r="C73" s="249"/>
      <c r="D73" s="249"/>
      <c r="E73" s="249"/>
      <c r="F73" s="249"/>
      <c r="G73" s="249"/>
      <c r="H73" s="249"/>
      <c r="I73" s="249"/>
      <c r="J73" s="249"/>
      <c r="K73" s="249"/>
      <c r="L73" s="249"/>
      <c r="M73" s="161"/>
      <c r="N73" s="161"/>
    </row>
    <row r="74" spans="1:42" ht="14.25" customHeight="1" thickBot="1">
      <c r="A74" s="1413" t="s">
        <v>318</v>
      </c>
      <c r="B74" s="1415"/>
      <c r="C74" s="1534" t="s">
        <v>207</v>
      </c>
      <c r="D74" s="1535"/>
      <c r="E74" s="1535"/>
      <c r="F74" s="1535"/>
      <c r="G74" s="1535"/>
      <c r="H74" s="1535"/>
      <c r="I74" s="1535"/>
      <c r="J74" s="1535"/>
      <c r="K74" s="1535"/>
      <c r="L74" s="1535"/>
      <c r="M74" s="1535"/>
      <c r="N74" s="1535"/>
      <c r="O74" s="1535"/>
      <c r="P74" s="1535"/>
      <c r="Q74" s="1535"/>
      <c r="R74" s="1535"/>
      <c r="S74" s="1535"/>
      <c r="T74" s="1535"/>
    </row>
    <row r="75" spans="1:42" ht="14.25" customHeight="1" thickBot="1">
      <c r="A75" s="1416"/>
      <c r="B75" s="1418"/>
      <c r="C75" s="428">
        <v>0.4</v>
      </c>
      <c r="D75" s="428">
        <v>0.5</v>
      </c>
      <c r="E75" s="428">
        <v>0.6</v>
      </c>
      <c r="F75" s="428">
        <v>0.7</v>
      </c>
      <c r="G75" s="428">
        <v>0.8</v>
      </c>
      <c r="H75" s="428">
        <v>0.9</v>
      </c>
      <c r="I75" s="428">
        <v>1</v>
      </c>
      <c r="J75" s="428">
        <v>1.1000000000000001</v>
      </c>
      <c r="K75" s="428">
        <v>1.2</v>
      </c>
      <c r="L75" s="428">
        <v>1.3</v>
      </c>
      <c r="M75" s="428">
        <v>1.4</v>
      </c>
      <c r="N75" s="428">
        <v>1.5</v>
      </c>
      <c r="O75" s="428">
        <v>1.6</v>
      </c>
      <c r="P75" s="428">
        <v>1.7</v>
      </c>
      <c r="Q75" s="428">
        <v>1.8</v>
      </c>
      <c r="R75" s="428">
        <v>1.9</v>
      </c>
      <c r="S75" s="428">
        <v>2</v>
      </c>
      <c r="T75" s="428">
        <v>2.1</v>
      </c>
      <c r="V75" s="850"/>
      <c r="W75" s="851">
        <v>0.4</v>
      </c>
      <c r="X75" s="851">
        <v>0.5</v>
      </c>
      <c r="Y75" s="851">
        <v>0.6</v>
      </c>
      <c r="Z75" s="851">
        <v>0.7</v>
      </c>
      <c r="AA75" s="851">
        <v>0.8</v>
      </c>
      <c r="AB75" s="851">
        <v>0.9</v>
      </c>
      <c r="AC75" s="851">
        <v>1</v>
      </c>
      <c r="AD75" s="851">
        <v>1.1000000000000001</v>
      </c>
      <c r="AE75" s="851">
        <v>1.2</v>
      </c>
      <c r="AF75" s="851">
        <v>1.3</v>
      </c>
      <c r="AG75" s="851">
        <v>1.4</v>
      </c>
      <c r="AH75" s="851">
        <v>1.5</v>
      </c>
      <c r="AI75" s="852">
        <v>1.6</v>
      </c>
      <c r="AJ75" s="853">
        <v>1.7</v>
      </c>
      <c r="AK75" s="853">
        <v>1.8</v>
      </c>
      <c r="AL75" s="853">
        <v>1.9</v>
      </c>
      <c r="AM75" s="853">
        <v>2</v>
      </c>
      <c r="AN75" s="853">
        <v>2.1</v>
      </c>
      <c r="AO75" s="853">
        <v>2.2000000000000002</v>
      </c>
      <c r="AP75" s="853">
        <v>2.2999999999999998</v>
      </c>
    </row>
    <row r="76" spans="1:42" ht="14.25" customHeight="1">
      <c r="A76" s="1815" t="s">
        <v>3</v>
      </c>
      <c r="B76" s="849">
        <v>0.5</v>
      </c>
      <c r="C76" s="311">
        <f>(W76*KFC!$B$28+KFC!$C$28)*KFC!$C$5</f>
        <v>30.09</v>
      </c>
      <c r="D76" s="312">
        <f>(X76*KFC!$B$28+KFC!$C$28)*KFC!$C$5</f>
        <v>34.06</v>
      </c>
      <c r="E76" s="312">
        <f>(Y76*KFC!$B$28+KFC!$C$28)*KFC!$C$5</f>
        <v>38.020000000000003</v>
      </c>
      <c r="F76" s="312">
        <f>(Z76*KFC!$B$28+KFC!$C$28)*KFC!$C$5</f>
        <v>41.87</v>
      </c>
      <c r="G76" s="312">
        <f>(AA76*KFC!$B$28+KFC!$C$28)*KFC!$C$5</f>
        <v>45.84</v>
      </c>
      <c r="H76" s="312">
        <f>(AB76*KFC!$B$28+KFC!$C$28)*KFC!$C$5</f>
        <v>49.8</v>
      </c>
      <c r="I76" s="312">
        <f>(AC76*KFC!$B$28+KFC!$C$28)*KFC!$C$5</f>
        <v>53.66</v>
      </c>
      <c r="J76" s="312">
        <f>(AD76*KFC!$B$28+KFC!$C$28)*KFC!$C$5</f>
        <v>57.62</v>
      </c>
      <c r="K76" s="312">
        <f>(AE76*KFC!$B$28+KFC!$C$28)*KFC!$C$5</f>
        <v>61.58</v>
      </c>
      <c r="L76" s="312">
        <f>(AF76*KFC!$B$28+KFC!$C$28)*KFC!$C$5</f>
        <v>65.540000000000006</v>
      </c>
      <c r="M76" s="312">
        <f>(AG76*KFC!$B$28+KFC!$C$28)*KFC!$C$5</f>
        <v>69.41</v>
      </c>
      <c r="N76" s="312">
        <f>(AH76*KFC!$B$28+KFC!$C$28)*KFC!$C$5</f>
        <v>73.36</v>
      </c>
      <c r="O76" s="312">
        <f>(AI76*KFC!$B$28+KFC!$C$28)*KFC!$C$5</f>
        <v>77.319999999999993</v>
      </c>
      <c r="P76" s="312">
        <f>(AJ76*KFC!$B$28+KFC!$C$28)*KFC!$C$5</f>
        <v>81.279999999999987</v>
      </c>
      <c r="Q76" s="312">
        <f>(AK76*KFC!$B$28+KFC!$C$28)*KFC!$C$5</f>
        <v>85.239999999999981</v>
      </c>
      <c r="R76" s="312">
        <f>(AL76*KFC!$B$28+KFC!$C$28)*KFC!$C$5</f>
        <v>89.199999999999974</v>
      </c>
      <c r="S76" s="312">
        <f>(AM76*KFC!$B$28+KFC!$C$28)*KFC!$C$5</f>
        <v>93.159999999999968</v>
      </c>
      <c r="T76" s="312">
        <f>(AN76*KFC!$B$28+KFC!$C$28)*KFC!$C$5</f>
        <v>97.119999999999962</v>
      </c>
      <c r="V76" s="851">
        <v>0.5</v>
      </c>
      <c r="W76" s="847">
        <v>30.09</v>
      </c>
      <c r="X76" s="847">
        <v>34.06</v>
      </c>
      <c r="Y76" s="847">
        <v>38.020000000000003</v>
      </c>
      <c r="Z76" s="847">
        <v>41.87</v>
      </c>
      <c r="AA76" s="847">
        <v>45.84</v>
      </c>
      <c r="AB76" s="847">
        <v>49.8</v>
      </c>
      <c r="AC76" s="847">
        <v>53.66</v>
      </c>
      <c r="AD76" s="847">
        <v>57.62</v>
      </c>
      <c r="AE76" s="847">
        <v>61.58</v>
      </c>
      <c r="AF76" s="847">
        <v>65.540000000000006</v>
      </c>
      <c r="AG76" s="847">
        <v>69.41</v>
      </c>
      <c r="AH76" s="847">
        <v>73.36</v>
      </c>
      <c r="AI76" s="848">
        <v>77.319999999999993</v>
      </c>
      <c r="AJ76" s="690">
        <f t="shared" ref="AJ76:AJ93" si="9">AI76-AH76+AI76</f>
        <v>81.279999999999987</v>
      </c>
      <c r="AK76" s="690">
        <f t="shared" ref="AK76:AP91" si="10">AJ76-AI76+AJ76</f>
        <v>85.239999999999981</v>
      </c>
      <c r="AL76" s="690">
        <f t="shared" si="10"/>
        <v>89.199999999999974</v>
      </c>
      <c r="AM76" s="690">
        <f t="shared" si="10"/>
        <v>93.159999999999968</v>
      </c>
      <c r="AN76" s="690">
        <f t="shared" si="10"/>
        <v>97.119999999999962</v>
      </c>
      <c r="AO76" s="690">
        <f t="shared" si="10"/>
        <v>101.07999999999996</v>
      </c>
      <c r="AP76" s="690">
        <f t="shared" si="10"/>
        <v>105.03999999999995</v>
      </c>
    </row>
    <row r="77" spans="1:42" ht="14.25" customHeight="1">
      <c r="A77" s="1816"/>
      <c r="B77" s="849">
        <v>0.6</v>
      </c>
      <c r="C77" s="314">
        <f>(W77*KFC!$B$28+KFC!$C$28)*KFC!$C$5</f>
        <v>32.130000000000003</v>
      </c>
      <c r="D77" s="315">
        <f>(X77*KFC!$B$28+KFC!$C$28)*KFC!$C$5</f>
        <v>35.979999999999997</v>
      </c>
      <c r="E77" s="315">
        <f>(Y77*KFC!$B$28+KFC!$C$28)*KFC!$C$5</f>
        <v>39.950000000000003</v>
      </c>
      <c r="F77" s="315">
        <f>(Z77*KFC!$B$28+KFC!$C$28)*KFC!$C$5</f>
        <v>44.02</v>
      </c>
      <c r="G77" s="315">
        <f>(AA77*KFC!$B$28+KFC!$C$28)*KFC!$C$5</f>
        <v>47.99</v>
      </c>
      <c r="H77" s="315">
        <f>(AB77*KFC!$B$28+KFC!$C$28)*KFC!$C$5</f>
        <v>51.84</v>
      </c>
      <c r="I77" s="315">
        <f>(AC77*KFC!$B$28+KFC!$C$28)*KFC!$C$5</f>
        <v>55.8</v>
      </c>
      <c r="J77" s="315">
        <f>(AD77*KFC!$B$28+KFC!$C$28)*KFC!$C$5</f>
        <v>59.77</v>
      </c>
      <c r="K77" s="315">
        <f>(AE77*KFC!$B$28+KFC!$C$28)*KFC!$C$5</f>
        <v>63.62</v>
      </c>
      <c r="L77" s="315">
        <f>(AF77*KFC!$B$28+KFC!$C$28)*KFC!$C$5</f>
        <v>67.58</v>
      </c>
      <c r="M77" s="315">
        <f>(AG77*KFC!$B$28+KFC!$C$28)*KFC!$C$5</f>
        <v>71.55</v>
      </c>
      <c r="N77" s="315">
        <f>(AH77*KFC!$B$28+KFC!$C$28)*KFC!$C$5</f>
        <v>75.400000000000006</v>
      </c>
      <c r="O77" s="315">
        <f>(AI77*KFC!$B$28+KFC!$C$28)*KFC!$C$5</f>
        <v>79.25</v>
      </c>
      <c r="P77" s="315">
        <f>(AJ77*KFC!$B$28+KFC!$C$28)*KFC!$C$5</f>
        <v>83.1</v>
      </c>
      <c r="Q77" s="315">
        <f>(AK77*KFC!$B$28+KFC!$C$28)*KFC!$C$5</f>
        <v>86.949999999999989</v>
      </c>
      <c r="R77" s="315">
        <f>(AL77*KFC!$B$28+KFC!$C$28)*KFC!$C$5</f>
        <v>90.799999999999983</v>
      </c>
      <c r="S77" s="315">
        <f>(AM77*KFC!$B$28+KFC!$C$28)*KFC!$C$5</f>
        <v>94.649999999999977</v>
      </c>
      <c r="T77" s="315">
        <f>(AN77*KFC!$B$28+KFC!$C$28)*KFC!$C$5</f>
        <v>98.499999999999972</v>
      </c>
      <c r="V77" s="851">
        <v>0.6</v>
      </c>
      <c r="W77" s="847">
        <v>32.130000000000003</v>
      </c>
      <c r="X77" s="847">
        <v>35.979999999999997</v>
      </c>
      <c r="Y77" s="847">
        <v>39.950000000000003</v>
      </c>
      <c r="Z77" s="847">
        <v>44.02</v>
      </c>
      <c r="AA77" s="847">
        <v>47.99</v>
      </c>
      <c r="AB77" s="847">
        <v>51.84</v>
      </c>
      <c r="AC77" s="847">
        <v>55.8</v>
      </c>
      <c r="AD77" s="847">
        <v>59.77</v>
      </c>
      <c r="AE77" s="847">
        <v>63.62</v>
      </c>
      <c r="AF77" s="847">
        <v>67.58</v>
      </c>
      <c r="AG77" s="847">
        <v>71.55</v>
      </c>
      <c r="AH77" s="847">
        <v>75.400000000000006</v>
      </c>
      <c r="AI77" s="848">
        <v>79.25</v>
      </c>
      <c r="AJ77" s="690">
        <f t="shared" si="9"/>
        <v>83.1</v>
      </c>
      <c r="AK77" s="690">
        <f t="shared" si="10"/>
        <v>86.949999999999989</v>
      </c>
      <c r="AL77" s="690">
        <f t="shared" si="10"/>
        <v>90.799999999999983</v>
      </c>
      <c r="AM77" s="690">
        <f t="shared" si="10"/>
        <v>94.649999999999977</v>
      </c>
      <c r="AN77" s="690">
        <f t="shared" si="10"/>
        <v>98.499999999999972</v>
      </c>
      <c r="AO77" s="690">
        <f t="shared" si="10"/>
        <v>102.34999999999997</v>
      </c>
      <c r="AP77" s="690">
        <f t="shared" si="10"/>
        <v>106.19999999999996</v>
      </c>
    </row>
    <row r="78" spans="1:42" ht="14.25" customHeight="1">
      <c r="A78" s="1816"/>
      <c r="B78" s="849">
        <v>0.7</v>
      </c>
      <c r="C78" s="314">
        <f>(W78*KFC!$B$28+KFC!$C$28)*KFC!$C$5</f>
        <v>34.17</v>
      </c>
      <c r="D78" s="315">
        <f>(X78*KFC!$B$28+KFC!$C$28)*KFC!$C$5</f>
        <v>38.130000000000003</v>
      </c>
      <c r="E78" s="315">
        <f>(Y78*KFC!$B$28+KFC!$C$28)*KFC!$C$5</f>
        <v>42.09</v>
      </c>
      <c r="F78" s="315">
        <f>(Z78*KFC!$B$28+KFC!$C$28)*KFC!$C$5</f>
        <v>45.95</v>
      </c>
      <c r="G78" s="315">
        <f>(AA78*KFC!$B$28+KFC!$C$28)*KFC!$C$5</f>
        <v>49.91</v>
      </c>
      <c r="H78" s="315">
        <f>(AB78*KFC!$B$28+KFC!$C$28)*KFC!$C$5</f>
        <v>53.88</v>
      </c>
      <c r="I78" s="315">
        <f>(AC78*KFC!$B$28+KFC!$C$28)*KFC!$C$5</f>
        <v>57.73</v>
      </c>
      <c r="J78" s="315">
        <f>(AD78*KFC!$B$28+KFC!$C$28)*KFC!$C$5</f>
        <v>61.79</v>
      </c>
      <c r="K78" s="315">
        <f>(AE78*KFC!$B$28+KFC!$C$28)*KFC!$C$5</f>
        <v>65.760000000000005</v>
      </c>
      <c r="L78" s="315">
        <f>(AF78*KFC!$B$28+KFC!$C$28)*KFC!$C$5</f>
        <v>69.72</v>
      </c>
      <c r="M78" s="315">
        <f>(AG78*KFC!$B$28+KFC!$C$28)*KFC!$C$5</f>
        <v>73.569999999999993</v>
      </c>
      <c r="N78" s="315">
        <f>(AH78*KFC!$B$28+KFC!$C$28)*KFC!$C$5</f>
        <v>77.540000000000006</v>
      </c>
      <c r="O78" s="315">
        <f>(AI78*KFC!$B$28+KFC!$C$28)*KFC!$C$5</f>
        <v>81.5</v>
      </c>
      <c r="P78" s="315">
        <f>(AJ78*KFC!$B$28+KFC!$C$28)*KFC!$C$5</f>
        <v>85.46</v>
      </c>
      <c r="Q78" s="315">
        <f>(AK78*KFC!$B$28+KFC!$C$28)*KFC!$C$5</f>
        <v>89.419999999999987</v>
      </c>
      <c r="R78" s="315">
        <f>(AL78*KFC!$B$28+KFC!$C$28)*KFC!$C$5</f>
        <v>93.379999999999981</v>
      </c>
      <c r="S78" s="315">
        <f>(AM78*KFC!$B$28+KFC!$C$28)*KFC!$C$5</f>
        <v>97.339999999999975</v>
      </c>
      <c r="T78" s="315">
        <f>(AN78*KFC!$B$28+KFC!$C$28)*KFC!$C$5</f>
        <v>101.29999999999997</v>
      </c>
      <c r="V78" s="851">
        <v>0.7</v>
      </c>
      <c r="W78" s="847">
        <v>34.17</v>
      </c>
      <c r="X78" s="847">
        <v>38.130000000000003</v>
      </c>
      <c r="Y78" s="847">
        <v>42.09</v>
      </c>
      <c r="Z78" s="847">
        <v>45.95</v>
      </c>
      <c r="AA78" s="847">
        <v>49.91</v>
      </c>
      <c r="AB78" s="847">
        <v>53.88</v>
      </c>
      <c r="AC78" s="847">
        <v>57.73</v>
      </c>
      <c r="AD78" s="847">
        <v>61.79</v>
      </c>
      <c r="AE78" s="847">
        <v>65.760000000000005</v>
      </c>
      <c r="AF78" s="847">
        <v>69.72</v>
      </c>
      <c r="AG78" s="847">
        <v>73.569999999999993</v>
      </c>
      <c r="AH78" s="847">
        <v>77.540000000000006</v>
      </c>
      <c r="AI78" s="848">
        <v>81.5</v>
      </c>
      <c r="AJ78" s="690">
        <f t="shared" si="9"/>
        <v>85.46</v>
      </c>
      <c r="AK78" s="690">
        <f t="shared" si="10"/>
        <v>89.419999999999987</v>
      </c>
      <c r="AL78" s="690">
        <f t="shared" si="10"/>
        <v>93.379999999999981</v>
      </c>
      <c r="AM78" s="690">
        <f t="shared" si="10"/>
        <v>97.339999999999975</v>
      </c>
      <c r="AN78" s="690">
        <f t="shared" si="10"/>
        <v>101.29999999999997</v>
      </c>
      <c r="AO78" s="690">
        <f t="shared" si="10"/>
        <v>105.25999999999996</v>
      </c>
      <c r="AP78" s="690">
        <f t="shared" si="10"/>
        <v>109.21999999999996</v>
      </c>
    </row>
    <row r="79" spans="1:42" ht="14.25" customHeight="1">
      <c r="A79" s="1816"/>
      <c r="B79" s="849">
        <v>0.8</v>
      </c>
      <c r="C79" s="314">
        <f>(W79*KFC!$B$28+KFC!$C$28)*KFC!$C$5</f>
        <v>36.200000000000003</v>
      </c>
      <c r="D79" s="315">
        <f>(X79*KFC!$B$28+KFC!$C$28)*KFC!$C$5</f>
        <v>40.06</v>
      </c>
      <c r="E79" s="315">
        <f>(Y79*KFC!$B$28+KFC!$C$28)*KFC!$C$5</f>
        <v>44.02</v>
      </c>
      <c r="F79" s="315">
        <f>(Z79*KFC!$B$28+KFC!$C$28)*KFC!$C$5</f>
        <v>48.09</v>
      </c>
      <c r="G79" s="315">
        <f>(AA79*KFC!$B$28+KFC!$C$28)*KFC!$C$5</f>
        <v>52.05</v>
      </c>
      <c r="H79" s="315">
        <f>(AB79*KFC!$B$28+KFC!$C$28)*KFC!$C$5</f>
        <v>55.9</v>
      </c>
      <c r="I79" s="315">
        <f>(AC79*KFC!$B$28+KFC!$C$28)*KFC!$C$5</f>
        <v>59.87</v>
      </c>
      <c r="J79" s="315">
        <f>(AD79*KFC!$B$28+KFC!$C$28)*KFC!$C$5</f>
        <v>63.83</v>
      </c>
      <c r="K79" s="315">
        <f>(AE79*KFC!$B$28+KFC!$C$28)*KFC!$C$5</f>
        <v>67.680000000000007</v>
      </c>
      <c r="L79" s="315">
        <f>(AF79*KFC!$B$28+KFC!$C$28)*KFC!$C$5</f>
        <v>71.760000000000005</v>
      </c>
      <c r="M79" s="315">
        <f>(AG79*KFC!$B$28+KFC!$C$28)*KFC!$C$5</f>
        <v>75.72</v>
      </c>
      <c r="N79" s="315">
        <f>(AH79*KFC!$B$28+KFC!$C$28)*KFC!$C$5</f>
        <v>79.680000000000007</v>
      </c>
      <c r="O79" s="315">
        <f>(AI79*KFC!$B$28+KFC!$C$28)*KFC!$C$5</f>
        <v>83.64</v>
      </c>
      <c r="P79" s="315">
        <f>(AJ79*KFC!$B$28+KFC!$C$28)*KFC!$C$5</f>
        <v>87.6</v>
      </c>
      <c r="Q79" s="315">
        <f>(AK79*KFC!$B$28+KFC!$C$28)*KFC!$C$5</f>
        <v>91.559999999999988</v>
      </c>
      <c r="R79" s="315">
        <f>(AL79*KFC!$B$28+KFC!$C$28)*KFC!$C$5</f>
        <v>95.519999999999982</v>
      </c>
      <c r="S79" s="315">
        <f>(AM79*KFC!$B$28+KFC!$C$28)*KFC!$C$5</f>
        <v>99.479999999999976</v>
      </c>
      <c r="T79" s="315">
        <f>(AN79*KFC!$B$28+KFC!$C$28)*KFC!$C$5</f>
        <v>103.43999999999997</v>
      </c>
      <c r="V79" s="851">
        <v>0.8</v>
      </c>
      <c r="W79" s="847">
        <v>36.200000000000003</v>
      </c>
      <c r="X79" s="847">
        <v>40.06</v>
      </c>
      <c r="Y79" s="847">
        <v>44.02</v>
      </c>
      <c r="Z79" s="847">
        <v>48.09</v>
      </c>
      <c r="AA79" s="847">
        <v>52.05</v>
      </c>
      <c r="AB79" s="847">
        <v>55.9</v>
      </c>
      <c r="AC79" s="847">
        <v>59.87</v>
      </c>
      <c r="AD79" s="847">
        <v>63.83</v>
      </c>
      <c r="AE79" s="847">
        <v>67.680000000000007</v>
      </c>
      <c r="AF79" s="847">
        <v>71.760000000000005</v>
      </c>
      <c r="AG79" s="847">
        <v>75.72</v>
      </c>
      <c r="AH79" s="847">
        <v>79.680000000000007</v>
      </c>
      <c r="AI79" s="848">
        <v>83.64</v>
      </c>
      <c r="AJ79" s="690">
        <f t="shared" si="9"/>
        <v>87.6</v>
      </c>
      <c r="AK79" s="690">
        <f t="shared" si="10"/>
        <v>91.559999999999988</v>
      </c>
      <c r="AL79" s="690">
        <f t="shared" si="10"/>
        <v>95.519999999999982</v>
      </c>
      <c r="AM79" s="690">
        <f t="shared" si="10"/>
        <v>99.479999999999976</v>
      </c>
      <c r="AN79" s="690">
        <f t="shared" si="10"/>
        <v>103.43999999999997</v>
      </c>
      <c r="AO79" s="690">
        <f t="shared" si="10"/>
        <v>107.39999999999996</v>
      </c>
      <c r="AP79" s="690">
        <f t="shared" si="10"/>
        <v>111.35999999999996</v>
      </c>
    </row>
    <row r="80" spans="1:42" ht="14.25" customHeight="1">
      <c r="A80" s="1816"/>
      <c r="B80" s="849">
        <v>0.9</v>
      </c>
      <c r="C80" s="314">
        <f>(W80*KFC!$B$28+KFC!$C$28)*KFC!$C$5</f>
        <v>38.130000000000003</v>
      </c>
      <c r="D80" s="315">
        <f>(X80*KFC!$B$28+KFC!$C$28)*KFC!$C$5</f>
        <v>42.2</v>
      </c>
      <c r="E80" s="315">
        <f>(Y80*KFC!$B$28+KFC!$C$28)*KFC!$C$5</f>
        <v>46.05</v>
      </c>
      <c r="F80" s="315">
        <f>(Z80*KFC!$B$28+KFC!$C$28)*KFC!$C$5</f>
        <v>50.01</v>
      </c>
      <c r="G80" s="315">
        <f>(AA80*KFC!$B$28+KFC!$C$28)*KFC!$C$5</f>
        <v>53.98</v>
      </c>
      <c r="H80" s="315">
        <f>(AB80*KFC!$B$28+KFC!$C$28)*KFC!$C$5</f>
        <v>58.04</v>
      </c>
      <c r="I80" s="315">
        <f>(AC80*KFC!$B$28+KFC!$C$28)*KFC!$C$5</f>
        <v>61.91</v>
      </c>
      <c r="J80" s="315">
        <f>(AD80*KFC!$B$28+KFC!$C$28)*KFC!$C$5</f>
        <v>65.87</v>
      </c>
      <c r="K80" s="315">
        <f>(AE80*KFC!$B$28+KFC!$C$28)*KFC!$C$5</f>
        <v>69.83</v>
      </c>
      <c r="L80" s="315">
        <f>(AF80*KFC!$B$28+KFC!$C$28)*KFC!$C$5</f>
        <v>73.900000000000006</v>
      </c>
      <c r="M80" s="315">
        <f>(AG80*KFC!$B$28+KFC!$C$28)*KFC!$C$5</f>
        <v>77.75</v>
      </c>
      <c r="N80" s="315">
        <f>(AH80*KFC!$B$28+KFC!$C$28)*KFC!$C$5</f>
        <v>81.72</v>
      </c>
      <c r="O80" s="315">
        <f>(AI80*KFC!$B$28+KFC!$C$28)*KFC!$C$5</f>
        <v>85.68</v>
      </c>
      <c r="P80" s="315">
        <f>(AJ80*KFC!$B$28+KFC!$C$28)*KFC!$C$5</f>
        <v>89.640000000000015</v>
      </c>
      <c r="Q80" s="315">
        <f>(AK80*KFC!$B$28+KFC!$C$28)*KFC!$C$5</f>
        <v>93.600000000000023</v>
      </c>
      <c r="R80" s="315">
        <f>(AL80*KFC!$B$28+KFC!$C$28)*KFC!$C$5</f>
        <v>97.560000000000031</v>
      </c>
      <c r="S80" s="315">
        <f>(AM80*KFC!$B$28+KFC!$C$28)*KFC!$C$5</f>
        <v>101.52000000000004</v>
      </c>
      <c r="T80" s="315">
        <f>(AN80*KFC!$B$28+KFC!$C$28)*KFC!$C$5</f>
        <v>105.48000000000005</v>
      </c>
      <c r="V80" s="851">
        <v>0.9</v>
      </c>
      <c r="W80" s="847">
        <v>38.130000000000003</v>
      </c>
      <c r="X80" s="847">
        <v>42.2</v>
      </c>
      <c r="Y80" s="847">
        <v>46.05</v>
      </c>
      <c r="Z80" s="847">
        <v>50.01</v>
      </c>
      <c r="AA80" s="847">
        <v>53.98</v>
      </c>
      <c r="AB80" s="847">
        <v>58.04</v>
      </c>
      <c r="AC80" s="847">
        <v>61.91</v>
      </c>
      <c r="AD80" s="847">
        <v>65.87</v>
      </c>
      <c r="AE80" s="847">
        <v>69.83</v>
      </c>
      <c r="AF80" s="847">
        <v>73.900000000000006</v>
      </c>
      <c r="AG80" s="847">
        <v>77.75</v>
      </c>
      <c r="AH80" s="847">
        <v>81.72</v>
      </c>
      <c r="AI80" s="848">
        <v>85.68</v>
      </c>
      <c r="AJ80" s="690">
        <f t="shared" si="9"/>
        <v>89.640000000000015</v>
      </c>
      <c r="AK80" s="690">
        <f t="shared" si="10"/>
        <v>93.600000000000023</v>
      </c>
      <c r="AL80" s="690">
        <f t="shared" si="10"/>
        <v>97.560000000000031</v>
      </c>
      <c r="AM80" s="690">
        <f t="shared" si="10"/>
        <v>101.52000000000004</v>
      </c>
      <c r="AN80" s="690">
        <f t="shared" si="10"/>
        <v>105.48000000000005</v>
      </c>
      <c r="AO80" s="690">
        <f t="shared" si="10"/>
        <v>109.44000000000005</v>
      </c>
      <c r="AP80" s="690">
        <f t="shared" si="10"/>
        <v>113.40000000000006</v>
      </c>
    </row>
    <row r="81" spans="1:42" ht="14.25" customHeight="1">
      <c r="A81" s="1816"/>
      <c r="B81" s="849">
        <v>1</v>
      </c>
      <c r="C81" s="314">
        <f>(W81*KFC!$B$28+KFC!$C$28)*KFC!$C$5</f>
        <v>40.159999999999997</v>
      </c>
      <c r="D81" s="315">
        <f>(X81*KFC!$B$28+KFC!$C$28)*KFC!$C$5</f>
        <v>44.12</v>
      </c>
      <c r="E81" s="315">
        <f>(Y81*KFC!$B$28+KFC!$C$28)*KFC!$C$5</f>
        <v>48.09</v>
      </c>
      <c r="F81" s="315">
        <f>(Z81*KFC!$B$28+KFC!$C$28)*KFC!$C$5</f>
        <v>52.15</v>
      </c>
      <c r="G81" s="315">
        <f>(AA81*KFC!$B$28+KFC!$C$28)*KFC!$C$5</f>
        <v>56.02</v>
      </c>
      <c r="H81" s="315">
        <f>(AB81*KFC!$B$28+KFC!$C$28)*KFC!$C$5</f>
        <v>59.98</v>
      </c>
      <c r="I81" s="315">
        <f>(AC81*KFC!$B$28+KFC!$C$28)*KFC!$C$5</f>
        <v>63.93</v>
      </c>
      <c r="J81" s="315">
        <f>(AD81*KFC!$B$28+KFC!$C$28)*KFC!$C$5</f>
        <v>68.010000000000005</v>
      </c>
      <c r="K81" s="315">
        <f>(AE81*KFC!$B$28+KFC!$C$28)*KFC!$C$5</f>
        <v>71.86</v>
      </c>
      <c r="L81" s="315">
        <f>(AF81*KFC!$B$28+KFC!$C$28)*KFC!$C$5</f>
        <v>75.83</v>
      </c>
      <c r="M81" s="315">
        <f>(AG81*KFC!$B$28+KFC!$C$28)*KFC!$C$5</f>
        <v>79.89</v>
      </c>
      <c r="N81" s="315">
        <f>(AH81*KFC!$B$28+KFC!$C$28)*KFC!$C$5</f>
        <v>83.86</v>
      </c>
      <c r="O81" s="315">
        <f>(AI81*KFC!$B$28+KFC!$C$28)*KFC!$C$5</f>
        <v>87.82</v>
      </c>
      <c r="P81" s="315">
        <f>(AJ81*KFC!$B$28+KFC!$C$28)*KFC!$C$5</f>
        <v>91.779999999999987</v>
      </c>
      <c r="Q81" s="315">
        <f>(AK81*KFC!$B$28+KFC!$C$28)*KFC!$C$5</f>
        <v>95.739999999999981</v>
      </c>
      <c r="R81" s="315">
        <f>(AL81*KFC!$B$28+KFC!$C$28)*KFC!$C$5</f>
        <v>99.699999999999974</v>
      </c>
      <c r="S81" s="315">
        <f>(AM81*KFC!$B$28+KFC!$C$28)*KFC!$C$5</f>
        <v>103.65999999999997</v>
      </c>
      <c r="T81" s="315">
        <f>(AN81*KFC!$B$28+KFC!$C$28)*KFC!$C$5</f>
        <v>107.61999999999996</v>
      </c>
      <c r="V81" s="851">
        <v>1</v>
      </c>
      <c r="W81" s="847">
        <v>40.159999999999997</v>
      </c>
      <c r="X81" s="847">
        <v>44.12</v>
      </c>
      <c r="Y81" s="847">
        <v>48.09</v>
      </c>
      <c r="Z81" s="847">
        <v>52.15</v>
      </c>
      <c r="AA81" s="847">
        <v>56.02</v>
      </c>
      <c r="AB81" s="847">
        <v>59.98</v>
      </c>
      <c r="AC81" s="847">
        <v>63.93</v>
      </c>
      <c r="AD81" s="847">
        <v>68.010000000000005</v>
      </c>
      <c r="AE81" s="847">
        <v>71.86</v>
      </c>
      <c r="AF81" s="847">
        <v>75.83</v>
      </c>
      <c r="AG81" s="847">
        <v>79.89</v>
      </c>
      <c r="AH81" s="847">
        <v>83.86</v>
      </c>
      <c r="AI81" s="848">
        <v>87.82</v>
      </c>
      <c r="AJ81" s="690">
        <f t="shared" si="9"/>
        <v>91.779999999999987</v>
      </c>
      <c r="AK81" s="690">
        <f t="shared" si="10"/>
        <v>95.739999999999981</v>
      </c>
      <c r="AL81" s="690">
        <f t="shared" si="10"/>
        <v>99.699999999999974</v>
      </c>
      <c r="AM81" s="690">
        <f t="shared" si="10"/>
        <v>103.65999999999997</v>
      </c>
      <c r="AN81" s="690">
        <f t="shared" si="10"/>
        <v>107.61999999999996</v>
      </c>
      <c r="AO81" s="690">
        <f t="shared" si="10"/>
        <v>111.57999999999996</v>
      </c>
      <c r="AP81" s="690">
        <f t="shared" si="10"/>
        <v>115.53999999999995</v>
      </c>
    </row>
    <row r="82" spans="1:42" ht="14.25" customHeight="1">
      <c r="A82" s="1816"/>
      <c r="B82" s="849">
        <v>1.1000000000000001</v>
      </c>
      <c r="C82" s="314">
        <f>(W82*KFC!$B$28+KFC!$C$28)*KFC!$C$5</f>
        <v>42.2</v>
      </c>
      <c r="D82" s="315">
        <f>(X82*KFC!$B$28+KFC!$C$28)*KFC!$C$5</f>
        <v>46.05</v>
      </c>
      <c r="E82" s="315">
        <f>(Y82*KFC!$B$28+KFC!$C$28)*KFC!$C$5</f>
        <v>50.13</v>
      </c>
      <c r="F82" s="315">
        <f>(Z82*KFC!$B$28+KFC!$C$28)*KFC!$C$5</f>
        <v>54.09</v>
      </c>
      <c r="G82" s="315">
        <f>(AA82*KFC!$B$28+KFC!$C$28)*KFC!$C$5</f>
        <v>58.04</v>
      </c>
      <c r="H82" s="315">
        <f>(AB82*KFC!$B$28+KFC!$C$28)*KFC!$C$5</f>
        <v>62.12</v>
      </c>
      <c r="I82" s="315">
        <f>(AC82*KFC!$B$28+KFC!$C$28)*KFC!$C$5</f>
        <v>65.97</v>
      </c>
      <c r="J82" s="315">
        <f>(AD82*KFC!$B$28+KFC!$C$28)*KFC!$C$5</f>
        <v>70.05</v>
      </c>
      <c r="K82" s="315">
        <f>(AE82*KFC!$B$28+KFC!$C$28)*KFC!$C$5</f>
        <v>74</v>
      </c>
      <c r="L82" s="315">
        <f>(AF82*KFC!$B$28+KFC!$C$28)*KFC!$C$5</f>
        <v>77.97</v>
      </c>
      <c r="M82" s="315">
        <f>(AG82*KFC!$B$28+KFC!$C$28)*KFC!$C$5</f>
        <v>82.04</v>
      </c>
      <c r="N82" s="315">
        <f>(AH82*KFC!$B$28+KFC!$C$28)*KFC!$C$5</f>
        <v>85.89</v>
      </c>
      <c r="O82" s="315">
        <f>(AI82*KFC!$B$28+KFC!$C$28)*KFC!$C$5</f>
        <v>89.75</v>
      </c>
      <c r="P82" s="315">
        <f>(AJ82*KFC!$B$28+KFC!$C$28)*KFC!$C$5</f>
        <v>93.61</v>
      </c>
      <c r="Q82" s="315">
        <f>(AK82*KFC!$B$28+KFC!$C$28)*KFC!$C$5</f>
        <v>97.47</v>
      </c>
      <c r="R82" s="315">
        <f>(AL82*KFC!$B$28+KFC!$C$28)*KFC!$C$5</f>
        <v>101.33</v>
      </c>
      <c r="S82" s="315">
        <f>(AM82*KFC!$B$28+KFC!$C$28)*KFC!$C$5</f>
        <v>105.19</v>
      </c>
      <c r="T82" s="315">
        <f>(AN82*KFC!$B$28+KFC!$C$28)*KFC!$C$5</f>
        <v>109.05</v>
      </c>
      <c r="V82" s="851">
        <v>1.1000000000000001</v>
      </c>
      <c r="W82" s="847">
        <v>42.2</v>
      </c>
      <c r="X82" s="847">
        <v>46.05</v>
      </c>
      <c r="Y82" s="847">
        <v>50.13</v>
      </c>
      <c r="Z82" s="847">
        <v>54.09</v>
      </c>
      <c r="AA82" s="847">
        <v>58.04</v>
      </c>
      <c r="AB82" s="847">
        <v>62.12</v>
      </c>
      <c r="AC82" s="847">
        <v>65.97</v>
      </c>
      <c r="AD82" s="847">
        <v>70.05</v>
      </c>
      <c r="AE82" s="847">
        <v>74</v>
      </c>
      <c r="AF82" s="847">
        <v>77.97</v>
      </c>
      <c r="AG82" s="847">
        <v>82.04</v>
      </c>
      <c r="AH82" s="847">
        <v>85.89</v>
      </c>
      <c r="AI82" s="848">
        <v>89.75</v>
      </c>
      <c r="AJ82" s="690">
        <f t="shared" si="9"/>
        <v>93.61</v>
      </c>
      <c r="AK82" s="690">
        <f t="shared" si="10"/>
        <v>97.47</v>
      </c>
      <c r="AL82" s="690">
        <f t="shared" si="10"/>
        <v>101.33</v>
      </c>
      <c r="AM82" s="690">
        <f t="shared" si="10"/>
        <v>105.19</v>
      </c>
      <c r="AN82" s="690">
        <f t="shared" si="10"/>
        <v>109.05</v>
      </c>
      <c r="AO82" s="690">
        <f t="shared" si="10"/>
        <v>112.91</v>
      </c>
      <c r="AP82" s="690">
        <f t="shared" si="10"/>
        <v>116.77</v>
      </c>
    </row>
    <row r="83" spans="1:42" ht="14.25" customHeight="1">
      <c r="A83" s="1816"/>
      <c r="B83" s="849">
        <v>1.2</v>
      </c>
      <c r="C83" s="314">
        <f>(W83*KFC!$B$28+KFC!$C$28)*KFC!$C$5</f>
        <v>44.12</v>
      </c>
      <c r="D83" s="315">
        <f>(X83*KFC!$B$28+KFC!$C$28)*KFC!$C$5</f>
        <v>48.2</v>
      </c>
      <c r="E83" s="315">
        <f>(Y83*KFC!$B$28+KFC!$C$28)*KFC!$C$5</f>
        <v>52.15</v>
      </c>
      <c r="F83" s="315">
        <f>(Z83*KFC!$B$28+KFC!$C$28)*KFC!$C$5</f>
        <v>56.23</v>
      </c>
      <c r="G83" s="315">
        <f>(AA83*KFC!$B$28+KFC!$C$28)*KFC!$C$5</f>
        <v>60.08</v>
      </c>
      <c r="H83" s="315">
        <f>(AB83*KFC!$B$28+KFC!$C$28)*KFC!$C$5</f>
        <v>64.05</v>
      </c>
      <c r="I83" s="315">
        <f>(AC83*KFC!$B$28+KFC!$C$28)*KFC!$C$5</f>
        <v>68.11</v>
      </c>
      <c r="J83" s="315">
        <f>(AD83*KFC!$B$28+KFC!$C$28)*KFC!$C$5</f>
        <v>72.08</v>
      </c>
      <c r="K83" s="315">
        <f>(AE83*KFC!$B$28+KFC!$C$28)*KFC!$C$5</f>
        <v>76.150000000000006</v>
      </c>
      <c r="L83" s="315">
        <f>(AF83*KFC!$B$28+KFC!$C$28)*KFC!$C$5</f>
        <v>80</v>
      </c>
      <c r="M83" s="315">
        <f>(AG83*KFC!$B$28+KFC!$C$28)*KFC!$C$5</f>
        <v>84.07</v>
      </c>
      <c r="N83" s="315">
        <f>(AH83*KFC!$B$28+KFC!$C$28)*KFC!$C$5</f>
        <v>88.03</v>
      </c>
      <c r="O83" s="315">
        <f>(AI83*KFC!$B$28+KFC!$C$28)*KFC!$C$5</f>
        <v>92</v>
      </c>
      <c r="P83" s="315">
        <f>(AJ83*KFC!$B$28+KFC!$C$28)*KFC!$C$5</f>
        <v>95.97</v>
      </c>
      <c r="Q83" s="315">
        <f>(AK83*KFC!$B$28+KFC!$C$28)*KFC!$C$5</f>
        <v>99.94</v>
      </c>
      <c r="R83" s="315">
        <f>(AL83*KFC!$B$28+KFC!$C$28)*KFC!$C$5</f>
        <v>103.91</v>
      </c>
      <c r="S83" s="315">
        <f>(AM83*KFC!$B$28+KFC!$C$28)*KFC!$C$5</f>
        <v>107.88</v>
      </c>
      <c r="T83" s="315">
        <f>(AN83*KFC!$B$28+KFC!$C$28)*KFC!$C$5</f>
        <v>111.85</v>
      </c>
      <c r="V83" s="851">
        <v>1.2</v>
      </c>
      <c r="W83" s="847">
        <v>44.12</v>
      </c>
      <c r="X83" s="847">
        <v>48.2</v>
      </c>
      <c r="Y83" s="847">
        <v>52.15</v>
      </c>
      <c r="Z83" s="847">
        <v>56.23</v>
      </c>
      <c r="AA83" s="847">
        <v>60.08</v>
      </c>
      <c r="AB83" s="847">
        <v>64.05</v>
      </c>
      <c r="AC83" s="847">
        <v>68.11</v>
      </c>
      <c r="AD83" s="847">
        <v>72.08</v>
      </c>
      <c r="AE83" s="847">
        <v>76.150000000000006</v>
      </c>
      <c r="AF83" s="847">
        <v>80</v>
      </c>
      <c r="AG83" s="847">
        <v>84.07</v>
      </c>
      <c r="AH83" s="847">
        <v>88.03</v>
      </c>
      <c r="AI83" s="848">
        <v>92</v>
      </c>
      <c r="AJ83" s="690">
        <f t="shared" si="9"/>
        <v>95.97</v>
      </c>
      <c r="AK83" s="690">
        <f t="shared" si="10"/>
        <v>99.94</v>
      </c>
      <c r="AL83" s="690">
        <f t="shared" si="10"/>
        <v>103.91</v>
      </c>
      <c r="AM83" s="690">
        <f t="shared" si="10"/>
        <v>107.88</v>
      </c>
      <c r="AN83" s="690">
        <f t="shared" si="10"/>
        <v>111.85</v>
      </c>
      <c r="AO83" s="690">
        <f t="shared" si="10"/>
        <v>115.82</v>
      </c>
      <c r="AP83" s="690">
        <f t="shared" si="10"/>
        <v>119.78999999999999</v>
      </c>
    </row>
    <row r="84" spans="1:42" ht="14.25" customHeight="1">
      <c r="A84" s="1816"/>
      <c r="B84" s="849">
        <v>1.3</v>
      </c>
      <c r="C84" s="314">
        <f>(W84*KFC!$B$28+KFC!$C$28)*KFC!$C$5</f>
        <v>46.26</v>
      </c>
      <c r="D84" s="315">
        <f>(X84*KFC!$B$28+KFC!$C$28)*KFC!$C$5</f>
        <v>50.13</v>
      </c>
      <c r="E84" s="315">
        <f>(Y84*KFC!$B$28+KFC!$C$28)*KFC!$C$5</f>
        <v>54.19</v>
      </c>
      <c r="F84" s="315">
        <f>(Z84*KFC!$B$28+KFC!$C$28)*KFC!$C$5</f>
        <v>58.16</v>
      </c>
      <c r="G84" s="315">
        <f>(AA84*KFC!$B$28+KFC!$C$28)*KFC!$C$5</f>
        <v>62.22</v>
      </c>
      <c r="H84" s="315">
        <f>(AB84*KFC!$B$28+KFC!$C$28)*KFC!$C$5</f>
        <v>66.19</v>
      </c>
      <c r="I84" s="315">
        <f>(AC84*KFC!$B$28+KFC!$C$28)*KFC!$C$5</f>
        <v>70.260000000000005</v>
      </c>
      <c r="J84" s="315">
        <f>(AD84*KFC!$B$28+KFC!$C$28)*KFC!$C$5</f>
        <v>74.11</v>
      </c>
      <c r="K84" s="315">
        <f>(AE84*KFC!$B$28+KFC!$C$28)*KFC!$C$5</f>
        <v>78.180000000000007</v>
      </c>
      <c r="L84" s="315">
        <f>(AF84*KFC!$B$28+KFC!$C$28)*KFC!$C$5</f>
        <v>82.14</v>
      </c>
      <c r="M84" s="315">
        <f>(AG84*KFC!$B$28+KFC!$C$28)*KFC!$C$5</f>
        <v>86.22</v>
      </c>
      <c r="N84" s="315">
        <f>(AH84*KFC!$B$28+KFC!$C$28)*KFC!$C$5</f>
        <v>90.07</v>
      </c>
      <c r="O84" s="315">
        <f>(AI84*KFC!$B$28+KFC!$C$28)*KFC!$C$5</f>
        <v>93.92</v>
      </c>
      <c r="P84" s="315">
        <f>(AJ84*KFC!$B$28+KFC!$C$28)*KFC!$C$5</f>
        <v>97.77000000000001</v>
      </c>
      <c r="Q84" s="315">
        <f>(AK84*KFC!$B$28+KFC!$C$28)*KFC!$C$5</f>
        <v>101.62000000000002</v>
      </c>
      <c r="R84" s="315">
        <f>(AL84*KFC!$B$28+KFC!$C$28)*KFC!$C$5</f>
        <v>105.47000000000003</v>
      </c>
      <c r="S84" s="315">
        <f>(AM84*KFC!$B$28+KFC!$C$28)*KFC!$C$5</f>
        <v>109.32000000000004</v>
      </c>
      <c r="T84" s="315">
        <f>(AN84*KFC!$B$28+KFC!$C$28)*KFC!$C$5</f>
        <v>113.17000000000004</v>
      </c>
      <c r="V84" s="851">
        <v>1.3</v>
      </c>
      <c r="W84" s="847">
        <v>46.26</v>
      </c>
      <c r="X84" s="847">
        <v>50.13</v>
      </c>
      <c r="Y84" s="847">
        <v>54.19</v>
      </c>
      <c r="Z84" s="847">
        <v>58.16</v>
      </c>
      <c r="AA84" s="847">
        <v>62.22</v>
      </c>
      <c r="AB84" s="847">
        <v>66.19</v>
      </c>
      <c r="AC84" s="847">
        <v>70.260000000000005</v>
      </c>
      <c r="AD84" s="847">
        <v>74.11</v>
      </c>
      <c r="AE84" s="847">
        <v>78.180000000000007</v>
      </c>
      <c r="AF84" s="847">
        <v>82.14</v>
      </c>
      <c r="AG84" s="847">
        <v>86.22</v>
      </c>
      <c r="AH84" s="847">
        <v>90.07</v>
      </c>
      <c r="AI84" s="848">
        <v>93.92</v>
      </c>
      <c r="AJ84" s="690">
        <f t="shared" si="9"/>
        <v>97.77000000000001</v>
      </c>
      <c r="AK84" s="690">
        <f t="shared" si="10"/>
        <v>101.62000000000002</v>
      </c>
      <c r="AL84" s="690">
        <f t="shared" si="10"/>
        <v>105.47000000000003</v>
      </c>
      <c r="AM84" s="690">
        <f t="shared" si="10"/>
        <v>109.32000000000004</v>
      </c>
      <c r="AN84" s="690">
        <f t="shared" si="10"/>
        <v>113.17000000000004</v>
      </c>
      <c r="AO84" s="690">
        <f t="shared" si="10"/>
        <v>117.02000000000005</v>
      </c>
      <c r="AP84" s="690">
        <f t="shared" si="10"/>
        <v>120.87000000000006</v>
      </c>
    </row>
    <row r="85" spans="1:42" ht="14.25" customHeight="1">
      <c r="A85" s="1816"/>
      <c r="B85" s="849">
        <v>1.4</v>
      </c>
      <c r="C85" s="314">
        <f>(W85*KFC!$B$28+KFC!$C$28)*KFC!$C$5</f>
        <v>48.2</v>
      </c>
      <c r="D85" s="315">
        <f>(X85*KFC!$B$28+KFC!$C$28)*KFC!$C$5</f>
        <v>52.27</v>
      </c>
      <c r="E85" s="315">
        <f>(Y85*KFC!$B$28+KFC!$C$28)*KFC!$C$5</f>
        <v>56.23</v>
      </c>
      <c r="F85" s="315">
        <f>(Z85*KFC!$B$28+KFC!$C$28)*KFC!$C$5</f>
        <v>60.3</v>
      </c>
      <c r="G85" s="315">
        <f>(AA85*KFC!$B$28+KFC!$C$28)*KFC!$C$5</f>
        <v>64.16</v>
      </c>
      <c r="H85" s="315">
        <f>(AB85*KFC!$B$28+KFC!$C$28)*KFC!$C$5</f>
        <v>68.22</v>
      </c>
      <c r="I85" s="315">
        <f>(AC85*KFC!$B$28+KFC!$C$28)*KFC!$C$5</f>
        <v>72.19</v>
      </c>
      <c r="J85" s="315">
        <f>(AD85*KFC!$B$28+KFC!$C$28)*KFC!$C$5</f>
        <v>76.25</v>
      </c>
      <c r="K85" s="315">
        <f>(AE85*KFC!$B$28+KFC!$C$28)*KFC!$C$5</f>
        <v>80.12</v>
      </c>
      <c r="L85" s="315">
        <f>(AF85*KFC!$B$28+KFC!$C$28)*KFC!$C$5</f>
        <v>84.18</v>
      </c>
      <c r="M85" s="315">
        <f>(AG85*KFC!$B$28+KFC!$C$28)*KFC!$C$5</f>
        <v>88.15</v>
      </c>
      <c r="N85" s="315">
        <f>(AH85*KFC!$B$28+KFC!$C$28)*KFC!$C$5</f>
        <v>92.21</v>
      </c>
      <c r="O85" s="315">
        <f>(AI85*KFC!$B$28+KFC!$C$28)*KFC!$C$5</f>
        <v>96.29</v>
      </c>
      <c r="P85" s="315">
        <f>(AJ85*KFC!$B$28+KFC!$C$28)*KFC!$C$5</f>
        <v>100.37000000000002</v>
      </c>
      <c r="Q85" s="315">
        <f>(AK85*KFC!$B$28+KFC!$C$28)*KFC!$C$5</f>
        <v>104.45000000000003</v>
      </c>
      <c r="R85" s="315">
        <f>(AL85*KFC!$B$28+KFC!$C$28)*KFC!$C$5</f>
        <v>108.53000000000004</v>
      </c>
      <c r="S85" s="315">
        <f>(AM85*KFC!$B$28+KFC!$C$28)*KFC!$C$5</f>
        <v>112.61000000000006</v>
      </c>
      <c r="T85" s="315">
        <f>(AN85*KFC!$B$28+KFC!$C$28)*KFC!$C$5</f>
        <v>116.69000000000007</v>
      </c>
      <c r="V85" s="851">
        <v>1.4</v>
      </c>
      <c r="W85" s="847">
        <v>48.2</v>
      </c>
      <c r="X85" s="847">
        <v>52.27</v>
      </c>
      <c r="Y85" s="847">
        <v>56.23</v>
      </c>
      <c r="Z85" s="847">
        <v>60.3</v>
      </c>
      <c r="AA85" s="847">
        <v>64.16</v>
      </c>
      <c r="AB85" s="847">
        <v>68.22</v>
      </c>
      <c r="AC85" s="847">
        <v>72.19</v>
      </c>
      <c r="AD85" s="847">
        <v>76.25</v>
      </c>
      <c r="AE85" s="847">
        <v>80.12</v>
      </c>
      <c r="AF85" s="847">
        <v>84.18</v>
      </c>
      <c r="AG85" s="847">
        <v>88.15</v>
      </c>
      <c r="AH85" s="847">
        <v>92.21</v>
      </c>
      <c r="AI85" s="848">
        <v>96.29</v>
      </c>
      <c r="AJ85" s="690">
        <f t="shared" si="9"/>
        <v>100.37000000000002</v>
      </c>
      <c r="AK85" s="690">
        <f t="shared" si="10"/>
        <v>104.45000000000003</v>
      </c>
      <c r="AL85" s="690">
        <f t="shared" si="10"/>
        <v>108.53000000000004</v>
      </c>
      <c r="AM85" s="690">
        <f t="shared" si="10"/>
        <v>112.61000000000006</v>
      </c>
      <c r="AN85" s="690">
        <f t="shared" si="10"/>
        <v>116.69000000000007</v>
      </c>
      <c r="AO85" s="690">
        <f t="shared" si="10"/>
        <v>120.77000000000008</v>
      </c>
      <c r="AP85" s="690">
        <f t="shared" si="10"/>
        <v>124.85000000000009</v>
      </c>
    </row>
    <row r="86" spans="1:42" ht="14.25" customHeight="1">
      <c r="A86" s="1816"/>
      <c r="B86" s="849">
        <v>1.5</v>
      </c>
      <c r="C86" s="314">
        <f>(W86*KFC!$B$28+KFC!$C$28)*KFC!$C$5</f>
        <v>50.13</v>
      </c>
      <c r="D86" s="315">
        <f>(X86*KFC!$B$28+KFC!$C$28)*KFC!$C$5</f>
        <v>54.19</v>
      </c>
      <c r="E86" s="315">
        <f>(Y86*KFC!$B$28+KFC!$C$28)*KFC!$C$5</f>
        <v>58.26</v>
      </c>
      <c r="F86" s="315">
        <f>(Z86*KFC!$B$28+KFC!$C$28)*KFC!$C$5</f>
        <v>62.22</v>
      </c>
      <c r="G86" s="315">
        <f>(AA86*KFC!$B$28+KFC!$C$28)*KFC!$C$5</f>
        <v>66.3</v>
      </c>
      <c r="H86" s="315">
        <f>(AB86*KFC!$B$28+KFC!$C$28)*KFC!$C$5</f>
        <v>70.260000000000005</v>
      </c>
      <c r="I86" s="315">
        <f>(AC86*KFC!$B$28+KFC!$C$28)*KFC!$C$5</f>
        <v>74.22</v>
      </c>
      <c r="J86" s="315">
        <f>(AD86*KFC!$B$28+KFC!$C$28)*KFC!$C$5</f>
        <v>78.290000000000006</v>
      </c>
      <c r="K86" s="315">
        <f>(AE86*KFC!$B$28+KFC!$C$28)*KFC!$C$5</f>
        <v>82.26</v>
      </c>
      <c r="L86" s="315">
        <f>(AF86*KFC!$B$28+KFC!$C$28)*KFC!$C$5</f>
        <v>86.32</v>
      </c>
      <c r="M86" s="315">
        <f>(AG86*KFC!$B$28+KFC!$C$28)*KFC!$C$5</f>
        <v>90.29</v>
      </c>
      <c r="N86" s="315">
        <f>(AH86*KFC!$B$28+KFC!$C$28)*KFC!$C$5</f>
        <v>94.35</v>
      </c>
      <c r="O86" s="315">
        <f>(AI86*KFC!$B$28+KFC!$C$28)*KFC!$C$5</f>
        <v>98.43</v>
      </c>
      <c r="P86" s="315">
        <f>(AJ86*KFC!$B$28+KFC!$C$28)*KFC!$C$5</f>
        <v>102.51000000000002</v>
      </c>
      <c r="Q86" s="315">
        <f>(AK86*KFC!$B$28+KFC!$C$28)*KFC!$C$5</f>
        <v>106.59000000000003</v>
      </c>
      <c r="R86" s="315">
        <f>(AL86*KFC!$B$28+KFC!$C$28)*KFC!$C$5</f>
        <v>110.67000000000004</v>
      </c>
      <c r="S86" s="315">
        <f>(AM86*KFC!$B$28+KFC!$C$28)*KFC!$C$5</f>
        <v>114.75000000000006</v>
      </c>
      <c r="T86" s="315">
        <f>(AN86*KFC!$B$28+KFC!$C$28)*KFC!$C$5</f>
        <v>118.83000000000007</v>
      </c>
      <c r="V86" s="851">
        <v>1.5</v>
      </c>
      <c r="W86" s="847">
        <v>50.13</v>
      </c>
      <c r="X86" s="847">
        <v>54.19</v>
      </c>
      <c r="Y86" s="847">
        <v>58.26</v>
      </c>
      <c r="Z86" s="847">
        <v>62.22</v>
      </c>
      <c r="AA86" s="847">
        <v>66.3</v>
      </c>
      <c r="AB86" s="847">
        <v>70.260000000000005</v>
      </c>
      <c r="AC86" s="847">
        <v>74.22</v>
      </c>
      <c r="AD86" s="847">
        <v>78.290000000000006</v>
      </c>
      <c r="AE86" s="847">
        <v>82.26</v>
      </c>
      <c r="AF86" s="847">
        <v>86.32</v>
      </c>
      <c r="AG86" s="847">
        <v>90.29</v>
      </c>
      <c r="AH86" s="847">
        <v>94.35</v>
      </c>
      <c r="AI86" s="848">
        <v>98.43</v>
      </c>
      <c r="AJ86" s="690">
        <f t="shared" si="9"/>
        <v>102.51000000000002</v>
      </c>
      <c r="AK86" s="690">
        <f t="shared" si="10"/>
        <v>106.59000000000003</v>
      </c>
      <c r="AL86" s="690">
        <f t="shared" si="10"/>
        <v>110.67000000000004</v>
      </c>
      <c r="AM86" s="690">
        <f t="shared" si="10"/>
        <v>114.75000000000006</v>
      </c>
      <c r="AN86" s="690">
        <f t="shared" si="10"/>
        <v>118.83000000000007</v>
      </c>
      <c r="AO86" s="690">
        <f t="shared" si="10"/>
        <v>122.91000000000008</v>
      </c>
      <c r="AP86" s="690">
        <f t="shared" si="10"/>
        <v>126.99000000000009</v>
      </c>
    </row>
    <row r="87" spans="1:42" ht="14.25" customHeight="1">
      <c r="A87" s="1816"/>
      <c r="B87" s="849">
        <v>1.6</v>
      </c>
      <c r="C87" s="314">
        <f>(W87*KFC!$B$28+KFC!$C$28)*KFC!$C$5</f>
        <v>52.27</v>
      </c>
      <c r="D87" s="315">
        <f>(X87*KFC!$B$28+KFC!$C$28)*KFC!$C$5</f>
        <v>56.23</v>
      </c>
      <c r="E87" s="315">
        <f>(Y87*KFC!$B$28+KFC!$C$28)*KFC!$C$5</f>
        <v>60.3</v>
      </c>
      <c r="F87" s="315">
        <f>(Z87*KFC!$B$28+KFC!$C$28)*KFC!$C$5</f>
        <v>64.260000000000005</v>
      </c>
      <c r="G87" s="315">
        <f>(AA87*KFC!$B$28+KFC!$C$28)*KFC!$C$5</f>
        <v>68.22</v>
      </c>
      <c r="H87" s="315">
        <f>(AB87*KFC!$B$28+KFC!$C$28)*KFC!$C$5</f>
        <v>72.290000000000006</v>
      </c>
      <c r="I87" s="315">
        <f>(AC87*KFC!$B$28+KFC!$C$28)*KFC!$C$5</f>
        <v>76.37</v>
      </c>
      <c r="J87" s="315">
        <f>(AD87*KFC!$B$28+KFC!$C$28)*KFC!$C$5</f>
        <v>80.33</v>
      </c>
      <c r="K87" s="315">
        <f>(AE87*KFC!$B$28+KFC!$C$28)*KFC!$C$5</f>
        <v>84.4</v>
      </c>
      <c r="L87" s="315">
        <f>(AF87*KFC!$B$28+KFC!$C$28)*KFC!$C$5</f>
        <v>88.46</v>
      </c>
      <c r="M87" s="315">
        <f>(AG87*KFC!$B$28+KFC!$C$28)*KFC!$C$5</f>
        <v>92.32</v>
      </c>
      <c r="N87" s="315">
        <f>(AH87*KFC!$B$28+KFC!$C$28)*KFC!$C$5</f>
        <v>96.39</v>
      </c>
      <c r="O87" s="315">
        <f>(AI87*KFC!$B$28+KFC!$C$28)*KFC!$C$5</f>
        <v>100.46</v>
      </c>
      <c r="P87" s="315">
        <f>(AJ87*KFC!$B$28+KFC!$C$28)*KFC!$C$5</f>
        <v>104.52999999999999</v>
      </c>
      <c r="Q87" s="315">
        <f>(AK87*KFC!$B$28+KFC!$C$28)*KFC!$C$5</f>
        <v>108.59999999999998</v>
      </c>
      <c r="R87" s="315">
        <f>(AL87*KFC!$B$28+KFC!$C$28)*KFC!$C$5</f>
        <v>112.66999999999997</v>
      </c>
      <c r="S87" s="315">
        <f>(AM87*KFC!$B$28+KFC!$C$28)*KFC!$C$5</f>
        <v>116.73999999999997</v>
      </c>
      <c r="T87" s="315">
        <f>(AN87*KFC!$B$28+KFC!$C$28)*KFC!$C$5</f>
        <v>120.80999999999996</v>
      </c>
      <c r="V87" s="851">
        <v>1.6</v>
      </c>
      <c r="W87" s="847">
        <v>52.27</v>
      </c>
      <c r="X87" s="847">
        <v>56.23</v>
      </c>
      <c r="Y87" s="847">
        <v>60.3</v>
      </c>
      <c r="Z87" s="847">
        <v>64.260000000000005</v>
      </c>
      <c r="AA87" s="847">
        <v>68.22</v>
      </c>
      <c r="AB87" s="847">
        <v>72.290000000000006</v>
      </c>
      <c r="AC87" s="847">
        <v>76.37</v>
      </c>
      <c r="AD87" s="847">
        <v>80.33</v>
      </c>
      <c r="AE87" s="847">
        <v>84.4</v>
      </c>
      <c r="AF87" s="847">
        <v>88.46</v>
      </c>
      <c r="AG87" s="847">
        <v>92.32</v>
      </c>
      <c r="AH87" s="847">
        <v>96.39</v>
      </c>
      <c r="AI87" s="848">
        <v>100.46</v>
      </c>
      <c r="AJ87" s="690">
        <f t="shared" si="9"/>
        <v>104.52999999999999</v>
      </c>
      <c r="AK87" s="690">
        <f t="shared" si="10"/>
        <v>108.59999999999998</v>
      </c>
      <c r="AL87" s="690">
        <f t="shared" si="10"/>
        <v>112.66999999999997</v>
      </c>
      <c r="AM87" s="690">
        <f t="shared" si="10"/>
        <v>116.73999999999997</v>
      </c>
      <c r="AN87" s="690">
        <f t="shared" si="10"/>
        <v>120.80999999999996</v>
      </c>
      <c r="AO87" s="690">
        <f t="shared" si="10"/>
        <v>124.87999999999995</v>
      </c>
      <c r="AP87" s="690">
        <f t="shared" si="10"/>
        <v>128.94999999999993</v>
      </c>
    </row>
    <row r="88" spans="1:42" ht="14.25" customHeight="1">
      <c r="A88" s="1816"/>
      <c r="B88" s="849">
        <v>1.7</v>
      </c>
      <c r="C88" s="314">
        <f>(W88*KFC!$B$28+KFC!$C$28)*KFC!$C$5</f>
        <v>54.19</v>
      </c>
      <c r="D88" s="315">
        <f>(X88*KFC!$B$28+KFC!$C$28)*KFC!$C$5</f>
        <v>58.26</v>
      </c>
      <c r="E88" s="315">
        <f>(Y88*KFC!$B$28+KFC!$C$28)*KFC!$C$5</f>
        <v>62.22</v>
      </c>
      <c r="F88" s="315">
        <f>(Z88*KFC!$B$28+KFC!$C$28)*KFC!$C$5</f>
        <v>66.3</v>
      </c>
      <c r="G88" s="315">
        <f>(AA88*KFC!$B$28+KFC!$C$28)*KFC!$C$5</f>
        <v>70.36</v>
      </c>
      <c r="H88" s="315">
        <f>(AB88*KFC!$B$28+KFC!$C$28)*KFC!$C$5</f>
        <v>74.430000000000007</v>
      </c>
      <c r="I88" s="315">
        <f>(AC88*KFC!$B$28+KFC!$C$28)*KFC!$C$5</f>
        <v>78.290000000000006</v>
      </c>
      <c r="J88" s="315">
        <f>(AD88*KFC!$B$28+KFC!$C$28)*KFC!$C$5</f>
        <v>82.36</v>
      </c>
      <c r="K88" s="315">
        <f>(AE88*KFC!$B$28+KFC!$C$28)*KFC!$C$5</f>
        <v>86.43</v>
      </c>
      <c r="L88" s="315">
        <f>(AF88*KFC!$B$28+KFC!$C$28)*KFC!$C$5</f>
        <v>90.5</v>
      </c>
      <c r="M88" s="315">
        <f>(AG88*KFC!$B$28+KFC!$C$28)*KFC!$C$5</f>
        <v>94.46</v>
      </c>
      <c r="N88" s="315">
        <f>(AH88*KFC!$B$28+KFC!$C$28)*KFC!$C$5</f>
        <v>98.53</v>
      </c>
      <c r="O88" s="315">
        <f>(AI88*KFC!$B$28+KFC!$C$28)*KFC!$C$5</f>
        <v>102.61</v>
      </c>
      <c r="P88" s="315">
        <f>(AJ88*KFC!$B$28+KFC!$C$28)*KFC!$C$5</f>
        <v>106.69</v>
      </c>
      <c r="Q88" s="315">
        <f>(AK88*KFC!$B$28+KFC!$C$28)*KFC!$C$5</f>
        <v>110.77</v>
      </c>
      <c r="R88" s="315">
        <f>(AL88*KFC!$B$28+KFC!$C$28)*KFC!$C$5</f>
        <v>114.85</v>
      </c>
      <c r="S88" s="315">
        <f>(AM88*KFC!$B$28+KFC!$C$28)*KFC!$C$5</f>
        <v>118.92999999999999</v>
      </c>
      <c r="T88" s="315">
        <f>(AN88*KFC!$B$28+KFC!$C$28)*KFC!$C$5</f>
        <v>123.00999999999999</v>
      </c>
      <c r="V88" s="851">
        <v>1.7</v>
      </c>
      <c r="W88" s="847">
        <v>54.19</v>
      </c>
      <c r="X88" s="847">
        <v>58.26</v>
      </c>
      <c r="Y88" s="847">
        <v>62.22</v>
      </c>
      <c r="Z88" s="847">
        <v>66.3</v>
      </c>
      <c r="AA88" s="847">
        <v>70.36</v>
      </c>
      <c r="AB88" s="847">
        <v>74.430000000000007</v>
      </c>
      <c r="AC88" s="847">
        <v>78.290000000000006</v>
      </c>
      <c r="AD88" s="847">
        <v>82.36</v>
      </c>
      <c r="AE88" s="847">
        <v>86.43</v>
      </c>
      <c r="AF88" s="847">
        <v>90.5</v>
      </c>
      <c r="AG88" s="847">
        <v>94.46</v>
      </c>
      <c r="AH88" s="847">
        <v>98.53</v>
      </c>
      <c r="AI88" s="848">
        <v>102.61</v>
      </c>
      <c r="AJ88" s="690">
        <f t="shared" si="9"/>
        <v>106.69</v>
      </c>
      <c r="AK88" s="690">
        <f t="shared" si="10"/>
        <v>110.77</v>
      </c>
      <c r="AL88" s="690">
        <f t="shared" si="10"/>
        <v>114.85</v>
      </c>
      <c r="AM88" s="690">
        <f t="shared" si="10"/>
        <v>118.92999999999999</v>
      </c>
      <c r="AN88" s="690">
        <f t="shared" si="10"/>
        <v>123.00999999999999</v>
      </c>
      <c r="AO88" s="690">
        <f t="shared" si="10"/>
        <v>127.08999999999999</v>
      </c>
      <c r="AP88" s="690">
        <f t="shared" si="10"/>
        <v>131.16999999999999</v>
      </c>
    </row>
    <row r="89" spans="1:42" ht="14.25" customHeight="1">
      <c r="A89" s="1816"/>
      <c r="B89" s="849">
        <v>1.8</v>
      </c>
      <c r="C89" s="314">
        <f>(W89*KFC!$B$28+KFC!$C$28)*KFC!$C$5</f>
        <v>56.23</v>
      </c>
      <c r="D89" s="315">
        <f>(X89*KFC!$B$28+KFC!$C$28)*KFC!$C$5</f>
        <v>60.3</v>
      </c>
      <c r="E89" s="315">
        <f>(Y89*KFC!$B$28+KFC!$C$28)*KFC!$C$5</f>
        <v>64.260000000000005</v>
      </c>
      <c r="F89" s="315">
        <f>(Z89*KFC!$B$28+KFC!$C$28)*KFC!$C$5</f>
        <v>68.33</v>
      </c>
      <c r="G89" s="315">
        <f>(AA89*KFC!$B$28+KFC!$C$28)*KFC!$C$5</f>
        <v>72.290000000000006</v>
      </c>
      <c r="H89" s="315">
        <f>(AB89*KFC!$B$28+KFC!$C$28)*KFC!$C$5</f>
        <v>76.37</v>
      </c>
      <c r="I89" s="315">
        <f>(AC89*KFC!$B$28+KFC!$C$28)*KFC!$C$5</f>
        <v>80.430000000000007</v>
      </c>
      <c r="J89" s="315">
        <f>(AD89*KFC!$B$28+KFC!$C$28)*KFC!$C$5</f>
        <v>84.5</v>
      </c>
      <c r="K89" s="315">
        <f>(AE89*KFC!$B$28+KFC!$C$28)*KFC!$C$5</f>
        <v>88.57</v>
      </c>
      <c r="L89" s="315">
        <f>(AF89*KFC!$B$28+KFC!$C$28)*KFC!$C$5</f>
        <v>92.43</v>
      </c>
      <c r="M89" s="315">
        <f>(AG89*KFC!$B$28+KFC!$C$28)*KFC!$C$5</f>
        <v>96.5</v>
      </c>
      <c r="N89" s="315">
        <f>(AH89*KFC!$B$28+KFC!$C$28)*KFC!$C$5</f>
        <v>100.57</v>
      </c>
      <c r="O89" s="315">
        <f>(AI89*KFC!$B$28+KFC!$C$28)*KFC!$C$5</f>
        <v>104.63</v>
      </c>
      <c r="P89" s="315">
        <f>(AJ89*KFC!$B$28+KFC!$C$28)*KFC!$C$5</f>
        <v>108.69</v>
      </c>
      <c r="Q89" s="315">
        <f>(AK89*KFC!$B$28+KFC!$C$28)*KFC!$C$5</f>
        <v>112.75</v>
      </c>
      <c r="R89" s="315">
        <f>(AL89*KFC!$B$28+KFC!$C$28)*KFC!$C$5</f>
        <v>116.81</v>
      </c>
      <c r="S89" s="315">
        <f>(AM89*KFC!$B$28+KFC!$C$28)*KFC!$C$5</f>
        <v>120.87</v>
      </c>
      <c r="T89" s="315">
        <f>(AN89*KFC!$B$28+KFC!$C$28)*KFC!$C$5</f>
        <v>124.93</v>
      </c>
      <c r="V89" s="851">
        <v>1.8</v>
      </c>
      <c r="W89" s="847">
        <v>56.23</v>
      </c>
      <c r="X89" s="847">
        <v>60.3</v>
      </c>
      <c r="Y89" s="847">
        <v>64.260000000000005</v>
      </c>
      <c r="Z89" s="847">
        <v>68.33</v>
      </c>
      <c r="AA89" s="847">
        <v>72.290000000000006</v>
      </c>
      <c r="AB89" s="847">
        <v>76.37</v>
      </c>
      <c r="AC89" s="847">
        <v>80.430000000000007</v>
      </c>
      <c r="AD89" s="847">
        <v>84.5</v>
      </c>
      <c r="AE89" s="847">
        <v>88.57</v>
      </c>
      <c r="AF89" s="847">
        <v>92.43</v>
      </c>
      <c r="AG89" s="847">
        <v>96.5</v>
      </c>
      <c r="AH89" s="847">
        <v>100.57</v>
      </c>
      <c r="AI89" s="848">
        <v>104.63</v>
      </c>
      <c r="AJ89" s="690">
        <f t="shared" si="9"/>
        <v>108.69</v>
      </c>
      <c r="AK89" s="690">
        <f t="shared" si="10"/>
        <v>112.75</v>
      </c>
      <c r="AL89" s="690">
        <f t="shared" si="10"/>
        <v>116.81</v>
      </c>
      <c r="AM89" s="690">
        <f t="shared" si="10"/>
        <v>120.87</v>
      </c>
      <c r="AN89" s="690">
        <f t="shared" si="10"/>
        <v>124.93</v>
      </c>
      <c r="AO89" s="690">
        <f t="shared" si="10"/>
        <v>128.99</v>
      </c>
      <c r="AP89" s="690">
        <f t="shared" si="10"/>
        <v>133.05000000000001</v>
      </c>
    </row>
    <row r="90" spans="1:42" ht="14.25" customHeight="1">
      <c r="A90" s="1816"/>
      <c r="B90" s="849">
        <v>1.9</v>
      </c>
      <c r="C90" s="314">
        <f>(W90*KFC!$B$28+KFC!$C$28)*KFC!$C$5</f>
        <v>58.26</v>
      </c>
      <c r="D90" s="315">
        <f>(X90*KFC!$B$28+KFC!$C$28)*KFC!$C$5</f>
        <v>62.33</v>
      </c>
      <c r="E90" s="315">
        <f>(Y90*KFC!$B$28+KFC!$C$28)*KFC!$C$5</f>
        <v>66.3</v>
      </c>
      <c r="F90" s="315">
        <f>(Z90*KFC!$B$28+KFC!$C$28)*KFC!$C$5</f>
        <v>70.36</v>
      </c>
      <c r="G90" s="315">
        <f>(AA90*KFC!$B$28+KFC!$C$28)*KFC!$C$5</f>
        <v>74.430000000000007</v>
      </c>
      <c r="H90" s="315">
        <f>(AB90*KFC!$B$28+KFC!$C$28)*KFC!$C$5</f>
        <v>78.510000000000005</v>
      </c>
      <c r="I90" s="315">
        <f>(AC90*KFC!$B$28+KFC!$C$28)*KFC!$C$5</f>
        <v>82.47</v>
      </c>
      <c r="J90" s="315">
        <f>(AD90*KFC!$B$28+KFC!$C$28)*KFC!$C$5</f>
        <v>86.54</v>
      </c>
      <c r="K90" s="315">
        <f>(AE90*KFC!$B$28+KFC!$C$28)*KFC!$C$5</f>
        <v>90.5</v>
      </c>
      <c r="L90" s="315">
        <f>(AF90*KFC!$B$28+KFC!$C$28)*KFC!$C$5</f>
        <v>94.57</v>
      </c>
      <c r="M90" s="315">
        <f>(AG90*KFC!$B$28+KFC!$C$28)*KFC!$C$5</f>
        <v>98.64</v>
      </c>
      <c r="N90" s="315">
        <f>(AH90*KFC!$B$28+KFC!$C$28)*KFC!$C$5</f>
        <v>102.71</v>
      </c>
      <c r="O90" s="315">
        <f>(AI90*KFC!$B$28+KFC!$C$28)*KFC!$C$5</f>
        <v>106.77</v>
      </c>
      <c r="P90" s="315">
        <f>(AJ90*KFC!$B$28+KFC!$C$28)*KFC!$C$5</f>
        <v>110.83</v>
      </c>
      <c r="Q90" s="315">
        <f>(AK90*KFC!$B$28+KFC!$C$28)*KFC!$C$5</f>
        <v>114.89</v>
      </c>
      <c r="R90" s="315">
        <f>(AL90*KFC!$B$28+KFC!$C$28)*KFC!$C$5</f>
        <v>118.95</v>
      </c>
      <c r="S90" s="315">
        <f>(AM90*KFC!$B$28+KFC!$C$28)*KFC!$C$5</f>
        <v>123.01</v>
      </c>
      <c r="T90" s="315">
        <f>(AN90*KFC!$B$28+KFC!$C$28)*KFC!$C$5</f>
        <v>127.07000000000001</v>
      </c>
      <c r="V90" s="851">
        <v>1.9</v>
      </c>
      <c r="W90" s="847">
        <v>58.26</v>
      </c>
      <c r="X90" s="847">
        <v>62.33</v>
      </c>
      <c r="Y90" s="847">
        <v>66.3</v>
      </c>
      <c r="Z90" s="847">
        <v>70.36</v>
      </c>
      <c r="AA90" s="847">
        <v>74.430000000000007</v>
      </c>
      <c r="AB90" s="847">
        <v>78.510000000000005</v>
      </c>
      <c r="AC90" s="847">
        <v>82.47</v>
      </c>
      <c r="AD90" s="847">
        <v>86.54</v>
      </c>
      <c r="AE90" s="847">
        <v>90.5</v>
      </c>
      <c r="AF90" s="847">
        <v>94.57</v>
      </c>
      <c r="AG90" s="847">
        <v>98.64</v>
      </c>
      <c r="AH90" s="847">
        <v>102.71</v>
      </c>
      <c r="AI90" s="848">
        <v>106.77</v>
      </c>
      <c r="AJ90" s="690">
        <f t="shared" si="9"/>
        <v>110.83</v>
      </c>
      <c r="AK90" s="690">
        <f t="shared" si="10"/>
        <v>114.89</v>
      </c>
      <c r="AL90" s="690">
        <f t="shared" si="10"/>
        <v>118.95</v>
      </c>
      <c r="AM90" s="690">
        <f t="shared" si="10"/>
        <v>123.01</v>
      </c>
      <c r="AN90" s="690">
        <f t="shared" si="10"/>
        <v>127.07000000000001</v>
      </c>
      <c r="AO90" s="690">
        <f t="shared" si="10"/>
        <v>131.13</v>
      </c>
      <c r="AP90" s="690">
        <f t="shared" si="10"/>
        <v>135.19</v>
      </c>
    </row>
    <row r="91" spans="1:42" ht="13.95" customHeight="1">
      <c r="A91" s="1816"/>
      <c r="B91" s="849">
        <v>2</v>
      </c>
      <c r="C91" s="314">
        <f>(W91*KFC!$B$28+KFC!$C$28)*KFC!$C$5</f>
        <v>60.3</v>
      </c>
      <c r="D91" s="315">
        <f>(X91*KFC!$B$28+KFC!$C$28)*KFC!$C$5</f>
        <v>64.260000000000005</v>
      </c>
      <c r="E91" s="315">
        <f>(Y91*KFC!$B$28+KFC!$C$28)*KFC!$C$5</f>
        <v>68.33</v>
      </c>
      <c r="F91" s="315">
        <f>(Z91*KFC!$B$28+KFC!$C$28)*KFC!$C$5</f>
        <v>72.400000000000006</v>
      </c>
      <c r="G91" s="315">
        <f>(AA91*KFC!$B$28+KFC!$C$28)*KFC!$C$5</f>
        <v>76.47</v>
      </c>
      <c r="H91" s="315">
        <f>(AB91*KFC!$B$28+KFC!$C$28)*KFC!$C$5</f>
        <v>80.540000000000006</v>
      </c>
      <c r="I91" s="315">
        <f>(AC91*KFC!$B$28+KFC!$C$28)*KFC!$C$5</f>
        <v>84.5</v>
      </c>
      <c r="J91" s="315">
        <f>(AD91*KFC!$B$28+KFC!$C$28)*KFC!$C$5</f>
        <v>88.57</v>
      </c>
      <c r="K91" s="315">
        <f>(AE91*KFC!$B$28+KFC!$C$28)*KFC!$C$5</f>
        <v>92.64</v>
      </c>
      <c r="L91" s="315">
        <f>(AF91*KFC!$B$28+KFC!$C$28)*KFC!$C$5</f>
        <v>96.72</v>
      </c>
      <c r="M91" s="315">
        <f>(AG91*KFC!$B$28+KFC!$C$28)*KFC!$C$5</f>
        <v>100.67</v>
      </c>
      <c r="N91" s="315">
        <f>(AH91*KFC!$B$28+KFC!$C$28)*KFC!$C$5</f>
        <v>104.75</v>
      </c>
      <c r="O91" s="315">
        <f>(AI91*KFC!$B$28+KFC!$C$28)*KFC!$C$5</f>
        <v>108.81</v>
      </c>
      <c r="P91" s="315">
        <f>(AJ91*KFC!$B$28+KFC!$C$28)*KFC!$C$5</f>
        <v>112.87</v>
      </c>
      <c r="Q91" s="315">
        <f>(AK91*KFC!$B$28+KFC!$C$28)*KFC!$C$5</f>
        <v>116.93</v>
      </c>
      <c r="R91" s="315">
        <f>(AL91*KFC!$B$28+KFC!$C$28)*KFC!$C$5</f>
        <v>120.99000000000001</v>
      </c>
      <c r="S91" s="315">
        <f>(AM91*KFC!$B$28+KFC!$C$28)*KFC!$C$5</f>
        <v>125.05000000000001</v>
      </c>
      <c r="T91" s="315">
        <f>(AN91*KFC!$B$28+KFC!$C$28)*KFC!$C$5</f>
        <v>129.11000000000001</v>
      </c>
      <c r="V91" s="851">
        <v>2</v>
      </c>
      <c r="W91" s="847">
        <v>60.3</v>
      </c>
      <c r="X91" s="847">
        <v>64.260000000000005</v>
      </c>
      <c r="Y91" s="847">
        <v>68.33</v>
      </c>
      <c r="Z91" s="847">
        <v>72.400000000000006</v>
      </c>
      <c r="AA91" s="847">
        <v>76.47</v>
      </c>
      <c r="AB91" s="847">
        <v>80.540000000000006</v>
      </c>
      <c r="AC91" s="847">
        <v>84.5</v>
      </c>
      <c r="AD91" s="847">
        <v>88.57</v>
      </c>
      <c r="AE91" s="847">
        <v>92.64</v>
      </c>
      <c r="AF91" s="847">
        <v>96.72</v>
      </c>
      <c r="AG91" s="847">
        <v>100.67</v>
      </c>
      <c r="AH91" s="847">
        <v>104.75</v>
      </c>
      <c r="AI91" s="848">
        <v>108.81</v>
      </c>
      <c r="AJ91" s="690">
        <f t="shared" si="9"/>
        <v>112.87</v>
      </c>
      <c r="AK91" s="690">
        <f t="shared" si="10"/>
        <v>116.93</v>
      </c>
      <c r="AL91" s="690">
        <f t="shared" si="10"/>
        <v>120.99000000000001</v>
      </c>
      <c r="AM91" s="690">
        <f t="shared" si="10"/>
        <v>125.05000000000001</v>
      </c>
      <c r="AN91" s="690">
        <f t="shared" si="10"/>
        <v>129.11000000000001</v>
      </c>
      <c r="AO91" s="690">
        <f t="shared" si="10"/>
        <v>133.17000000000002</v>
      </c>
      <c r="AP91" s="690">
        <f t="shared" si="10"/>
        <v>137.23000000000002</v>
      </c>
    </row>
    <row r="92" spans="1:42" ht="13.95" customHeight="1">
      <c r="A92" s="1816"/>
      <c r="B92" s="849">
        <v>2.1</v>
      </c>
      <c r="C92" s="314">
        <f>(W92*KFC!$B$28+KFC!$C$28)*KFC!$C$5</f>
        <v>62.33</v>
      </c>
      <c r="D92" s="315">
        <f>(X92*KFC!$B$28+KFC!$C$28)*KFC!$C$5</f>
        <v>66.19</v>
      </c>
      <c r="E92" s="315">
        <f>(Y92*KFC!$B$28+KFC!$C$28)*KFC!$C$5</f>
        <v>70.36</v>
      </c>
      <c r="F92" s="315">
        <f>(Z92*KFC!$B$28+KFC!$C$28)*KFC!$C$5</f>
        <v>74.430000000000007</v>
      </c>
      <c r="G92" s="315">
        <f>(AA92*KFC!$B$28+KFC!$C$28)*KFC!$C$5</f>
        <v>78.510000000000005</v>
      </c>
      <c r="H92" s="315">
        <f>(AB92*KFC!$B$28+KFC!$C$28)*KFC!$C$5</f>
        <v>82.57</v>
      </c>
      <c r="I92" s="315">
        <f>(AC92*KFC!$B$28+KFC!$C$28)*KFC!$C$5</f>
        <v>86.54</v>
      </c>
      <c r="J92" s="315">
        <f>(AD92*KFC!$B$28+KFC!$C$28)*KFC!$C$5</f>
        <v>90.6</v>
      </c>
      <c r="K92" s="315">
        <f>(AE92*KFC!$B$28+KFC!$C$28)*KFC!$C$5</f>
        <v>94.78</v>
      </c>
      <c r="L92" s="315">
        <f>(AF92*KFC!$B$28+KFC!$C$28)*KFC!$C$5</f>
        <v>98.86</v>
      </c>
      <c r="M92" s="315">
        <f>(AG92*KFC!$B$28+KFC!$C$28)*KFC!$C$5</f>
        <v>102.71</v>
      </c>
      <c r="N92" s="315">
        <f>(AH92*KFC!$B$28+KFC!$C$28)*KFC!$C$5</f>
        <v>106.77</v>
      </c>
      <c r="O92" s="315">
        <f>(AI92*KFC!$B$28+KFC!$C$28)*KFC!$C$5</f>
        <v>110.85</v>
      </c>
      <c r="P92" s="315">
        <f>(AJ92*KFC!$B$28+KFC!$C$28)*KFC!$C$5</f>
        <v>114.92999999999999</v>
      </c>
      <c r="Q92" s="315">
        <f>(AK92*KFC!$B$28+KFC!$C$28)*KFC!$C$5</f>
        <v>119.00999999999999</v>
      </c>
      <c r="R92" s="315">
        <f>(AL92*KFC!$B$28+KFC!$C$28)*KFC!$C$5</f>
        <v>123.08999999999999</v>
      </c>
      <c r="S92" s="315">
        <f>(AM92*KFC!$B$28+KFC!$C$28)*KFC!$C$5</f>
        <v>127.16999999999999</v>
      </c>
      <c r="T92" s="315">
        <f>(AN92*KFC!$B$28+KFC!$C$28)*KFC!$C$5</f>
        <v>131.25</v>
      </c>
      <c r="V92" s="851">
        <v>2.1</v>
      </c>
      <c r="W92" s="847">
        <v>62.33</v>
      </c>
      <c r="X92" s="847">
        <v>66.19</v>
      </c>
      <c r="Y92" s="847">
        <v>70.36</v>
      </c>
      <c r="Z92" s="847">
        <v>74.430000000000007</v>
      </c>
      <c r="AA92" s="847">
        <v>78.510000000000005</v>
      </c>
      <c r="AB92" s="847">
        <v>82.57</v>
      </c>
      <c r="AC92" s="847">
        <v>86.54</v>
      </c>
      <c r="AD92" s="847">
        <v>90.6</v>
      </c>
      <c r="AE92" s="847">
        <v>94.78</v>
      </c>
      <c r="AF92" s="847">
        <v>98.86</v>
      </c>
      <c r="AG92" s="847">
        <v>102.71</v>
      </c>
      <c r="AH92" s="847">
        <v>106.77</v>
      </c>
      <c r="AI92" s="848">
        <v>110.85</v>
      </c>
      <c r="AJ92" s="690">
        <f t="shared" si="9"/>
        <v>114.92999999999999</v>
      </c>
      <c r="AK92" s="690">
        <f t="shared" ref="AK92:AP93" si="11">AJ92-AI92+AJ92</f>
        <v>119.00999999999999</v>
      </c>
      <c r="AL92" s="690">
        <f t="shared" si="11"/>
        <v>123.08999999999999</v>
      </c>
      <c r="AM92" s="690">
        <f t="shared" si="11"/>
        <v>127.16999999999999</v>
      </c>
      <c r="AN92" s="690">
        <f t="shared" si="11"/>
        <v>131.25</v>
      </c>
      <c r="AO92" s="690">
        <f t="shared" si="11"/>
        <v>135.33000000000001</v>
      </c>
      <c r="AP92" s="690">
        <f t="shared" si="11"/>
        <v>139.41000000000003</v>
      </c>
    </row>
    <row r="93" spans="1:42" ht="13.95" customHeight="1" thickBot="1">
      <c r="A93" s="1817"/>
      <c r="B93" s="849">
        <v>2.2000000000000002</v>
      </c>
      <c r="C93" s="317">
        <f>(W93*KFC!$B$28+KFC!$C$28)*KFC!$C$5</f>
        <v>64.37</v>
      </c>
      <c r="D93" s="318">
        <f>(X93*KFC!$B$28+KFC!$C$28)*KFC!$C$5</f>
        <v>68.11</v>
      </c>
      <c r="E93" s="318">
        <f>(Y93*KFC!$B$28+KFC!$C$28)*KFC!$C$5</f>
        <v>72.400000000000006</v>
      </c>
      <c r="F93" s="318">
        <f>(Z93*KFC!$B$28+KFC!$C$28)*KFC!$C$5</f>
        <v>76.47</v>
      </c>
      <c r="G93" s="318">
        <f>(AA93*KFC!$B$28+KFC!$C$28)*KFC!$C$5</f>
        <v>80.540000000000006</v>
      </c>
      <c r="H93" s="318">
        <f>(AB93*KFC!$B$28+KFC!$C$28)*KFC!$C$5</f>
        <v>84.61</v>
      </c>
      <c r="I93" s="318">
        <f>(AC93*KFC!$B$28+KFC!$C$28)*KFC!$C$5</f>
        <v>88.57</v>
      </c>
      <c r="J93" s="318">
        <f>(AD93*KFC!$B$28+KFC!$C$28)*KFC!$C$5</f>
        <v>92.64</v>
      </c>
      <c r="K93" s="318">
        <f>(AE93*KFC!$B$28+KFC!$C$28)*KFC!$C$5</f>
        <v>96.93</v>
      </c>
      <c r="L93" s="318">
        <f>(AF93*KFC!$B$28+KFC!$C$28)*KFC!$C$5</f>
        <v>101</v>
      </c>
      <c r="M93" s="318">
        <f>(AG93*KFC!$B$28+KFC!$C$28)*KFC!$C$5</f>
        <v>104.75</v>
      </c>
      <c r="N93" s="318">
        <f>(AH93*KFC!$B$28+KFC!$C$28)*KFC!$C$5</f>
        <v>108.81</v>
      </c>
      <c r="O93" s="318">
        <f>(AI93*KFC!$B$28+KFC!$C$28)*KFC!$C$5</f>
        <v>112.89</v>
      </c>
      <c r="P93" s="318">
        <f>(AJ93*KFC!$B$28+KFC!$C$28)*KFC!$C$5</f>
        <v>116.97</v>
      </c>
      <c r="Q93" s="318">
        <f>(AK93*KFC!$B$28+KFC!$C$28)*KFC!$C$5</f>
        <v>121.05</v>
      </c>
      <c r="R93" s="318">
        <f>(AL93*KFC!$B$28+KFC!$C$28)*KFC!$C$5</f>
        <v>125.13</v>
      </c>
      <c r="S93" s="318">
        <f>(AM93*KFC!$B$28+KFC!$C$28)*KFC!$C$5</f>
        <v>129.20999999999998</v>
      </c>
      <c r="T93" s="318">
        <f>(AN93*KFC!$B$28+KFC!$C$28)*KFC!$C$5</f>
        <v>133.28999999999996</v>
      </c>
      <c r="V93" s="851">
        <v>2.2000000000000002</v>
      </c>
      <c r="W93" s="847">
        <v>64.37</v>
      </c>
      <c r="X93" s="847">
        <v>68.11</v>
      </c>
      <c r="Y93" s="847">
        <v>72.400000000000006</v>
      </c>
      <c r="Z93" s="847">
        <v>76.47</v>
      </c>
      <c r="AA93" s="847">
        <v>80.540000000000006</v>
      </c>
      <c r="AB93" s="847">
        <v>84.61</v>
      </c>
      <c r="AC93" s="847">
        <v>88.57</v>
      </c>
      <c r="AD93" s="847">
        <v>92.64</v>
      </c>
      <c r="AE93" s="847">
        <v>96.93</v>
      </c>
      <c r="AF93" s="847">
        <v>101</v>
      </c>
      <c r="AG93" s="847">
        <v>104.75</v>
      </c>
      <c r="AH93" s="847">
        <v>108.81</v>
      </c>
      <c r="AI93" s="848">
        <v>112.89</v>
      </c>
      <c r="AJ93" s="690">
        <f t="shared" si="9"/>
        <v>116.97</v>
      </c>
      <c r="AK93" s="690">
        <f t="shared" si="11"/>
        <v>121.05</v>
      </c>
      <c r="AL93" s="690">
        <f t="shared" si="11"/>
        <v>125.13</v>
      </c>
      <c r="AM93" s="690">
        <f t="shared" si="11"/>
        <v>129.20999999999998</v>
      </c>
      <c r="AN93" s="690">
        <f t="shared" si="11"/>
        <v>133.28999999999996</v>
      </c>
      <c r="AO93" s="690">
        <f t="shared" si="11"/>
        <v>137.36999999999995</v>
      </c>
      <c r="AP93" s="690">
        <f t="shared" si="11"/>
        <v>141.44999999999993</v>
      </c>
    </row>
    <row r="94" spans="1:42" ht="14.25" customHeight="1" thickBot="1">
      <c r="A94" s="249"/>
      <c r="B94" s="249"/>
      <c r="C94" s="358"/>
      <c r="D94" s="358"/>
      <c r="E94" s="358"/>
      <c r="F94" s="358"/>
      <c r="G94" s="358"/>
      <c r="H94" s="358"/>
      <c r="I94" s="358"/>
      <c r="J94" s="358"/>
      <c r="K94" s="358"/>
      <c r="L94" s="358"/>
      <c r="M94" s="161"/>
      <c r="N94" s="161"/>
    </row>
    <row r="95" spans="1:42" ht="14.25" customHeight="1" thickBot="1">
      <c r="A95" s="1413" t="s">
        <v>319</v>
      </c>
      <c r="B95" s="1415"/>
      <c r="C95" s="1534" t="s">
        <v>207</v>
      </c>
      <c r="D95" s="1535"/>
      <c r="E95" s="1535"/>
      <c r="F95" s="1535"/>
      <c r="G95" s="1535"/>
      <c r="H95" s="1535"/>
      <c r="I95" s="1535"/>
      <c r="J95" s="1535"/>
      <c r="K95" s="1535"/>
      <c r="L95" s="1535"/>
      <c r="M95" s="1535"/>
      <c r="N95" s="1535"/>
      <c r="O95" s="1535"/>
      <c r="P95" s="1535"/>
      <c r="Q95" s="1535"/>
      <c r="R95" s="1535"/>
      <c r="S95" s="1535"/>
      <c r="T95" s="1535"/>
    </row>
    <row r="96" spans="1:42" ht="14.25" customHeight="1" thickBot="1">
      <c r="A96" s="1416"/>
      <c r="B96" s="1418"/>
      <c r="C96" s="428">
        <v>0.4</v>
      </c>
      <c r="D96" s="428">
        <v>0.5</v>
      </c>
      <c r="E96" s="428">
        <v>0.6</v>
      </c>
      <c r="F96" s="428">
        <v>0.7</v>
      </c>
      <c r="G96" s="428">
        <v>0.8</v>
      </c>
      <c r="H96" s="428">
        <v>0.9</v>
      </c>
      <c r="I96" s="428">
        <v>1</v>
      </c>
      <c r="J96" s="428">
        <v>1.1000000000000001</v>
      </c>
      <c r="K96" s="428">
        <v>1.2</v>
      </c>
      <c r="L96" s="428">
        <v>1.3</v>
      </c>
      <c r="M96" s="428">
        <v>1.4</v>
      </c>
      <c r="N96" s="428">
        <v>1.5</v>
      </c>
      <c r="O96" s="428">
        <v>1.6</v>
      </c>
      <c r="P96" s="428">
        <v>1.7</v>
      </c>
      <c r="Q96" s="428">
        <v>1.8</v>
      </c>
      <c r="R96" s="428">
        <v>1.9</v>
      </c>
      <c r="S96" s="428">
        <v>2</v>
      </c>
      <c r="T96" s="428">
        <v>2.1</v>
      </c>
      <c r="V96" s="850"/>
      <c r="W96" s="851">
        <v>0.4</v>
      </c>
      <c r="X96" s="851">
        <v>0.5</v>
      </c>
      <c r="Y96" s="851">
        <v>0.6</v>
      </c>
      <c r="Z96" s="851">
        <v>0.7</v>
      </c>
      <c r="AA96" s="851">
        <v>0.8</v>
      </c>
      <c r="AB96" s="851">
        <v>0.9</v>
      </c>
      <c r="AC96" s="851">
        <v>1</v>
      </c>
      <c r="AD96" s="851">
        <v>1.1000000000000001</v>
      </c>
      <c r="AE96" s="851">
        <v>1.2</v>
      </c>
      <c r="AF96" s="851">
        <v>1.3</v>
      </c>
      <c r="AG96" s="851">
        <v>1.4</v>
      </c>
      <c r="AH96" s="851">
        <v>1.5</v>
      </c>
      <c r="AI96" s="852">
        <v>1.6</v>
      </c>
      <c r="AJ96" s="853">
        <v>1.7</v>
      </c>
      <c r="AK96" s="853">
        <v>1.8</v>
      </c>
      <c r="AL96" s="853">
        <v>1.9</v>
      </c>
      <c r="AM96" s="853">
        <v>2</v>
      </c>
      <c r="AN96" s="853">
        <v>2.1</v>
      </c>
      <c r="AO96" s="853">
        <v>2.2000000000000002</v>
      </c>
      <c r="AP96" s="853">
        <v>2.2999999999999998</v>
      </c>
    </row>
    <row r="97" spans="1:42" ht="14.25" customHeight="1">
      <c r="A97" s="1815" t="s">
        <v>3</v>
      </c>
      <c r="B97" s="849">
        <v>0.5</v>
      </c>
      <c r="C97" s="311">
        <f>(W97*KFC!$B$28+KFC!$C$28)*KFC!$C$5</f>
        <v>37.46</v>
      </c>
      <c r="D97" s="312">
        <f>(X97*KFC!$B$28+KFC!$C$28)*KFC!$C$5</f>
        <v>42.77</v>
      </c>
      <c r="E97" s="312">
        <f>(Y97*KFC!$B$28+KFC!$C$28)*KFC!$C$5</f>
        <v>48.3</v>
      </c>
      <c r="F97" s="312">
        <f>(Z97*KFC!$B$28+KFC!$C$28)*KFC!$C$5</f>
        <v>53.6</v>
      </c>
      <c r="G97" s="312">
        <f>(AA97*KFC!$B$28+KFC!$C$28)*KFC!$C$5</f>
        <v>58.91</v>
      </c>
      <c r="H97" s="312">
        <f>(AB97*KFC!$B$28+KFC!$C$28)*KFC!$C$5</f>
        <v>64.209999999999994</v>
      </c>
      <c r="I97" s="312">
        <f>(AC97*KFC!$B$28+KFC!$C$28)*KFC!$C$5</f>
        <v>69.739999999999995</v>
      </c>
      <c r="J97" s="312">
        <f>(AD97*KFC!$B$28+KFC!$C$28)*KFC!$C$5</f>
        <v>75.040000000000006</v>
      </c>
      <c r="K97" s="312">
        <f>(AE97*KFC!$B$28+KFC!$C$28)*KFC!$C$5</f>
        <v>80.349999999999994</v>
      </c>
      <c r="L97" s="312">
        <f>(AF97*KFC!$B$28+KFC!$C$28)*KFC!$C$5</f>
        <v>85.77</v>
      </c>
      <c r="M97" s="312">
        <f>(AG97*KFC!$B$28+KFC!$C$28)*KFC!$C$5</f>
        <v>91.19</v>
      </c>
      <c r="N97" s="312">
        <f>(AH97*KFC!$B$28+KFC!$C$28)*KFC!$C$5</f>
        <v>96.48</v>
      </c>
      <c r="O97" s="312">
        <f>(AI97*KFC!$B$28+KFC!$C$28)*KFC!$C$5</f>
        <v>101.79</v>
      </c>
      <c r="P97" s="312">
        <f>(AJ97*KFC!$B$28+KFC!$C$28)*KFC!$C$5</f>
        <v>107.10000000000001</v>
      </c>
      <c r="Q97" s="312">
        <f>(AK97*KFC!$B$28+KFC!$C$28)*KFC!$C$5</f>
        <v>112.41000000000001</v>
      </c>
      <c r="R97" s="312">
        <f>(AL97*KFC!$B$28+KFC!$C$28)*KFC!$C$5</f>
        <v>117.72000000000001</v>
      </c>
      <c r="S97" s="312">
        <f>(AM97*KFC!$B$28+KFC!$C$28)*KFC!$C$5</f>
        <v>123.03000000000002</v>
      </c>
      <c r="T97" s="312">
        <f>(AN97*KFC!$B$28+KFC!$C$28)*KFC!$C$5</f>
        <v>128.34000000000003</v>
      </c>
      <c r="V97" s="851">
        <v>0.5</v>
      </c>
      <c r="W97" s="847">
        <v>37.46</v>
      </c>
      <c r="X97" s="847">
        <v>42.77</v>
      </c>
      <c r="Y97" s="847">
        <v>48.3</v>
      </c>
      <c r="Z97" s="847">
        <v>53.6</v>
      </c>
      <c r="AA97" s="847">
        <v>58.91</v>
      </c>
      <c r="AB97" s="847">
        <v>64.209999999999994</v>
      </c>
      <c r="AC97" s="847">
        <v>69.739999999999995</v>
      </c>
      <c r="AD97" s="847">
        <v>75.040000000000006</v>
      </c>
      <c r="AE97" s="847">
        <v>80.349999999999994</v>
      </c>
      <c r="AF97" s="847">
        <v>85.77</v>
      </c>
      <c r="AG97" s="847">
        <v>91.19</v>
      </c>
      <c r="AH97" s="847">
        <v>96.48</v>
      </c>
      <c r="AI97" s="848">
        <v>101.79</v>
      </c>
      <c r="AJ97" s="690">
        <f t="shared" ref="AJ97:AJ114" si="12">AI97-AH97+AI97</f>
        <v>107.10000000000001</v>
      </c>
      <c r="AK97" s="690">
        <f t="shared" ref="AK97:AP112" si="13">AJ97-AI97+AJ97</f>
        <v>112.41000000000001</v>
      </c>
      <c r="AL97" s="690">
        <f t="shared" si="13"/>
        <v>117.72000000000001</v>
      </c>
      <c r="AM97" s="690">
        <f t="shared" si="13"/>
        <v>123.03000000000002</v>
      </c>
      <c r="AN97" s="690">
        <f t="shared" si="13"/>
        <v>128.34000000000003</v>
      </c>
      <c r="AO97" s="690">
        <f t="shared" si="13"/>
        <v>133.65000000000003</v>
      </c>
      <c r="AP97" s="690">
        <f t="shared" si="13"/>
        <v>138.96000000000004</v>
      </c>
    </row>
    <row r="98" spans="1:42" ht="14.25" customHeight="1">
      <c r="A98" s="1816"/>
      <c r="B98" s="849">
        <v>0.6</v>
      </c>
      <c r="C98" s="314">
        <f>(W98*KFC!$B$28+KFC!$C$28)*KFC!$C$5</f>
        <v>39.94</v>
      </c>
      <c r="D98" s="315">
        <f>(X98*KFC!$B$28+KFC!$C$28)*KFC!$C$5</f>
        <v>45.36</v>
      </c>
      <c r="E98" s="315">
        <f>(Y98*KFC!$B$28+KFC!$C$28)*KFC!$C$5</f>
        <v>50.66</v>
      </c>
      <c r="F98" s="315">
        <f>(Z98*KFC!$B$28+KFC!$C$28)*KFC!$C$5</f>
        <v>56.2</v>
      </c>
      <c r="G98" s="315">
        <f>(AA98*KFC!$B$28+KFC!$C$28)*KFC!$C$5</f>
        <v>61.49</v>
      </c>
      <c r="H98" s="315">
        <f>(AB98*KFC!$B$28+KFC!$C$28)*KFC!$C$5</f>
        <v>66.790000000000006</v>
      </c>
      <c r="I98" s="315">
        <f>(AC98*KFC!$B$28+KFC!$C$28)*KFC!$C$5</f>
        <v>72.33</v>
      </c>
      <c r="J98" s="315">
        <f>(AD98*KFC!$B$28+KFC!$C$28)*KFC!$C$5</f>
        <v>77.64</v>
      </c>
      <c r="K98" s="315">
        <f>(AE98*KFC!$B$28+KFC!$C$28)*KFC!$C$5</f>
        <v>82.94</v>
      </c>
      <c r="L98" s="315">
        <f>(AF98*KFC!$B$28+KFC!$C$28)*KFC!$C$5</f>
        <v>88.47</v>
      </c>
      <c r="M98" s="315">
        <f>(AG98*KFC!$B$28+KFC!$C$28)*KFC!$C$5</f>
        <v>93.78</v>
      </c>
      <c r="N98" s="315">
        <f>(AH98*KFC!$B$28+KFC!$C$28)*KFC!$C$5</f>
        <v>99.32</v>
      </c>
      <c r="O98" s="315">
        <f>(AI98*KFC!$B$28+KFC!$C$28)*KFC!$C$5</f>
        <v>104.85</v>
      </c>
      <c r="P98" s="315">
        <f>(AJ98*KFC!$B$28+KFC!$C$28)*KFC!$C$5</f>
        <v>110.38</v>
      </c>
      <c r="Q98" s="315">
        <f>(AK98*KFC!$B$28+KFC!$C$28)*KFC!$C$5</f>
        <v>115.91</v>
      </c>
      <c r="R98" s="315">
        <f>(AL98*KFC!$B$28+KFC!$C$28)*KFC!$C$5</f>
        <v>121.44</v>
      </c>
      <c r="S98" s="315">
        <f>(AM98*KFC!$B$28+KFC!$C$28)*KFC!$C$5</f>
        <v>126.97</v>
      </c>
      <c r="T98" s="315">
        <f>(AN98*KFC!$B$28+KFC!$C$28)*KFC!$C$5</f>
        <v>132.5</v>
      </c>
      <c r="V98" s="851">
        <v>0.6</v>
      </c>
      <c r="W98" s="847">
        <v>39.94</v>
      </c>
      <c r="X98" s="847">
        <v>45.36</v>
      </c>
      <c r="Y98" s="847">
        <v>50.66</v>
      </c>
      <c r="Z98" s="847">
        <v>56.2</v>
      </c>
      <c r="AA98" s="847">
        <v>61.49</v>
      </c>
      <c r="AB98" s="847">
        <v>66.790000000000006</v>
      </c>
      <c r="AC98" s="847">
        <v>72.33</v>
      </c>
      <c r="AD98" s="847">
        <v>77.64</v>
      </c>
      <c r="AE98" s="847">
        <v>82.94</v>
      </c>
      <c r="AF98" s="847">
        <v>88.47</v>
      </c>
      <c r="AG98" s="847">
        <v>93.78</v>
      </c>
      <c r="AH98" s="847">
        <v>99.32</v>
      </c>
      <c r="AI98" s="848">
        <v>104.85</v>
      </c>
      <c r="AJ98" s="690">
        <f t="shared" si="12"/>
        <v>110.38</v>
      </c>
      <c r="AK98" s="690">
        <f t="shared" si="13"/>
        <v>115.91</v>
      </c>
      <c r="AL98" s="690">
        <f t="shared" si="13"/>
        <v>121.44</v>
      </c>
      <c r="AM98" s="690">
        <f t="shared" si="13"/>
        <v>126.97</v>
      </c>
      <c r="AN98" s="690">
        <f t="shared" si="13"/>
        <v>132.5</v>
      </c>
      <c r="AO98" s="690">
        <f t="shared" si="13"/>
        <v>138.03</v>
      </c>
      <c r="AP98" s="690">
        <f t="shared" si="13"/>
        <v>143.56</v>
      </c>
    </row>
    <row r="99" spans="1:42" ht="14.25" customHeight="1">
      <c r="A99" s="1816"/>
      <c r="B99" s="849">
        <v>0.7</v>
      </c>
      <c r="C99" s="314">
        <f>(W99*KFC!$B$28+KFC!$C$28)*KFC!$C$5</f>
        <v>42.53</v>
      </c>
      <c r="D99" s="315">
        <f>(X99*KFC!$B$28+KFC!$C$28)*KFC!$C$5</f>
        <v>47.83</v>
      </c>
      <c r="E99" s="315">
        <f>(Y99*KFC!$B$28+KFC!$C$28)*KFC!$C$5</f>
        <v>53.37</v>
      </c>
      <c r="F99" s="315">
        <f>(Z99*KFC!$B$28+KFC!$C$28)*KFC!$C$5</f>
        <v>58.67</v>
      </c>
      <c r="G99" s="315">
        <f>(AA99*KFC!$B$28+KFC!$C$28)*KFC!$C$5</f>
        <v>64.09</v>
      </c>
      <c r="H99" s="315">
        <f>(AB99*KFC!$B$28+KFC!$C$28)*KFC!$C$5</f>
        <v>69.39</v>
      </c>
      <c r="I99" s="315">
        <f>(AC99*KFC!$B$28+KFC!$C$28)*KFC!$C$5</f>
        <v>74.930000000000007</v>
      </c>
      <c r="J99" s="315">
        <f>(AD99*KFC!$B$28+KFC!$C$28)*KFC!$C$5</f>
        <v>80.23</v>
      </c>
      <c r="K99" s="315">
        <f>(AE99*KFC!$B$28+KFC!$C$28)*KFC!$C$5</f>
        <v>85.77</v>
      </c>
      <c r="L99" s="315">
        <f>(AF99*KFC!$B$28+KFC!$C$28)*KFC!$C$5</f>
        <v>91.08</v>
      </c>
      <c r="M99" s="315">
        <f>(AG99*KFC!$B$28+KFC!$C$28)*KFC!$C$5</f>
        <v>96.48</v>
      </c>
      <c r="N99" s="315">
        <f>(AH99*KFC!$B$28+KFC!$C$28)*KFC!$C$5</f>
        <v>101.9</v>
      </c>
      <c r="O99" s="315">
        <f>(AI99*KFC!$B$28+KFC!$C$28)*KFC!$C$5</f>
        <v>107.32</v>
      </c>
      <c r="P99" s="315">
        <f>(AJ99*KFC!$B$28+KFC!$C$28)*KFC!$C$5</f>
        <v>112.73999999999998</v>
      </c>
      <c r="Q99" s="315">
        <f>(AK99*KFC!$B$28+KFC!$C$28)*KFC!$C$5</f>
        <v>118.15999999999997</v>
      </c>
      <c r="R99" s="315">
        <f>(AL99*KFC!$B$28+KFC!$C$28)*KFC!$C$5</f>
        <v>123.57999999999996</v>
      </c>
      <c r="S99" s="315">
        <f>(AM99*KFC!$B$28+KFC!$C$28)*KFC!$C$5</f>
        <v>128.99999999999994</v>
      </c>
      <c r="T99" s="315">
        <f>(AN99*KFC!$B$28+KFC!$C$28)*KFC!$C$5</f>
        <v>134.41999999999993</v>
      </c>
      <c r="V99" s="851">
        <v>0.7</v>
      </c>
      <c r="W99" s="847">
        <v>42.53</v>
      </c>
      <c r="X99" s="847">
        <v>47.83</v>
      </c>
      <c r="Y99" s="847">
        <v>53.37</v>
      </c>
      <c r="Z99" s="847">
        <v>58.67</v>
      </c>
      <c r="AA99" s="847">
        <v>64.09</v>
      </c>
      <c r="AB99" s="847">
        <v>69.39</v>
      </c>
      <c r="AC99" s="847">
        <v>74.930000000000007</v>
      </c>
      <c r="AD99" s="847">
        <v>80.23</v>
      </c>
      <c r="AE99" s="847">
        <v>85.77</v>
      </c>
      <c r="AF99" s="847">
        <v>91.08</v>
      </c>
      <c r="AG99" s="847">
        <v>96.48</v>
      </c>
      <c r="AH99" s="847">
        <v>101.9</v>
      </c>
      <c r="AI99" s="848">
        <v>107.32</v>
      </c>
      <c r="AJ99" s="690">
        <f t="shared" si="12"/>
        <v>112.73999999999998</v>
      </c>
      <c r="AK99" s="690">
        <f t="shared" si="13"/>
        <v>118.15999999999997</v>
      </c>
      <c r="AL99" s="690">
        <f t="shared" si="13"/>
        <v>123.57999999999996</v>
      </c>
      <c r="AM99" s="690">
        <f t="shared" si="13"/>
        <v>128.99999999999994</v>
      </c>
      <c r="AN99" s="690">
        <f t="shared" si="13"/>
        <v>134.41999999999993</v>
      </c>
      <c r="AO99" s="690">
        <f t="shared" si="13"/>
        <v>139.83999999999992</v>
      </c>
      <c r="AP99" s="690">
        <f t="shared" si="13"/>
        <v>145.25999999999991</v>
      </c>
    </row>
    <row r="100" spans="1:42" ht="14.25" customHeight="1">
      <c r="A100" s="1816"/>
      <c r="B100" s="849">
        <v>0.8</v>
      </c>
      <c r="C100" s="314">
        <f>(W100*KFC!$B$28+KFC!$C$28)*KFC!$C$5</f>
        <v>45</v>
      </c>
      <c r="D100" s="315">
        <f>(X100*KFC!$B$28+KFC!$C$28)*KFC!$C$5</f>
        <v>50.43</v>
      </c>
      <c r="E100" s="315">
        <f>(Y100*KFC!$B$28+KFC!$C$28)*KFC!$C$5</f>
        <v>55.73</v>
      </c>
      <c r="F100" s="315">
        <f>(Z100*KFC!$B$28+KFC!$C$28)*KFC!$C$5</f>
        <v>61.26</v>
      </c>
      <c r="G100" s="315">
        <f>(AA100*KFC!$B$28+KFC!$C$28)*KFC!$C$5</f>
        <v>66.680000000000007</v>
      </c>
      <c r="H100" s="315">
        <f>(AB100*KFC!$B$28+KFC!$C$28)*KFC!$C$5</f>
        <v>72.09</v>
      </c>
      <c r="I100" s="315">
        <f>(AC100*KFC!$B$28+KFC!$C$28)*KFC!$C$5</f>
        <v>77.52</v>
      </c>
      <c r="J100" s="315">
        <f>(AD100*KFC!$B$28+KFC!$C$28)*KFC!$C$5</f>
        <v>82.82</v>
      </c>
      <c r="K100" s="315">
        <f>(AE100*KFC!$B$28+KFC!$C$28)*KFC!$C$5</f>
        <v>88.36</v>
      </c>
      <c r="L100" s="315">
        <f>(AF100*KFC!$B$28+KFC!$C$28)*KFC!$C$5</f>
        <v>93.78</v>
      </c>
      <c r="M100" s="315">
        <f>(AG100*KFC!$B$28+KFC!$C$28)*KFC!$C$5</f>
        <v>99.08</v>
      </c>
      <c r="N100" s="315">
        <f>(AH100*KFC!$B$28+KFC!$C$28)*KFC!$C$5</f>
        <v>104.62</v>
      </c>
      <c r="O100" s="315">
        <f>(AI100*KFC!$B$28+KFC!$C$28)*KFC!$C$5</f>
        <v>110.16</v>
      </c>
      <c r="P100" s="315">
        <f>(AJ100*KFC!$B$28+KFC!$C$28)*KFC!$C$5</f>
        <v>115.69999999999999</v>
      </c>
      <c r="Q100" s="315">
        <f>(AK100*KFC!$B$28+KFC!$C$28)*KFC!$C$5</f>
        <v>121.23999999999998</v>
      </c>
      <c r="R100" s="315">
        <f>(AL100*KFC!$B$28+KFC!$C$28)*KFC!$C$5</f>
        <v>126.77999999999997</v>
      </c>
      <c r="S100" s="315">
        <f>(AM100*KFC!$B$28+KFC!$C$28)*KFC!$C$5</f>
        <v>132.31999999999996</v>
      </c>
      <c r="T100" s="315">
        <f>(AN100*KFC!$B$28+KFC!$C$28)*KFC!$C$5</f>
        <v>137.85999999999996</v>
      </c>
      <c r="V100" s="851">
        <v>0.8</v>
      </c>
      <c r="W100" s="847">
        <v>45</v>
      </c>
      <c r="X100" s="847">
        <v>50.43</v>
      </c>
      <c r="Y100" s="847">
        <v>55.73</v>
      </c>
      <c r="Z100" s="847">
        <v>61.26</v>
      </c>
      <c r="AA100" s="847">
        <v>66.680000000000007</v>
      </c>
      <c r="AB100" s="847">
        <v>72.09</v>
      </c>
      <c r="AC100" s="847">
        <v>77.52</v>
      </c>
      <c r="AD100" s="847">
        <v>82.82</v>
      </c>
      <c r="AE100" s="847">
        <v>88.36</v>
      </c>
      <c r="AF100" s="847">
        <v>93.78</v>
      </c>
      <c r="AG100" s="847">
        <v>99.08</v>
      </c>
      <c r="AH100" s="847">
        <v>104.62</v>
      </c>
      <c r="AI100" s="848">
        <v>110.16</v>
      </c>
      <c r="AJ100" s="690">
        <f t="shared" si="12"/>
        <v>115.69999999999999</v>
      </c>
      <c r="AK100" s="690">
        <f t="shared" si="13"/>
        <v>121.23999999999998</v>
      </c>
      <c r="AL100" s="690">
        <f t="shared" si="13"/>
        <v>126.77999999999997</v>
      </c>
      <c r="AM100" s="690">
        <f t="shared" si="13"/>
        <v>132.31999999999996</v>
      </c>
      <c r="AN100" s="690">
        <f t="shared" si="13"/>
        <v>137.85999999999996</v>
      </c>
      <c r="AO100" s="690">
        <f t="shared" si="13"/>
        <v>143.39999999999995</v>
      </c>
      <c r="AP100" s="690">
        <f t="shared" si="13"/>
        <v>148.93999999999994</v>
      </c>
    </row>
    <row r="101" spans="1:42" ht="14.25" customHeight="1">
      <c r="A101" s="1816"/>
      <c r="B101" s="849">
        <v>0.9</v>
      </c>
      <c r="C101" s="314">
        <f>(W101*KFC!$B$28+KFC!$C$28)*KFC!$C$5</f>
        <v>47.36</v>
      </c>
      <c r="D101" s="315">
        <f>(X101*KFC!$B$28+KFC!$C$28)*KFC!$C$5</f>
        <v>52.9</v>
      </c>
      <c r="E101" s="315">
        <f>(Y101*KFC!$B$28+KFC!$C$28)*KFC!$C$5</f>
        <v>58.32</v>
      </c>
      <c r="F101" s="315">
        <f>(Z101*KFC!$B$28+KFC!$C$28)*KFC!$C$5</f>
        <v>63.85</v>
      </c>
      <c r="G101" s="315">
        <f>(AA101*KFC!$B$28+KFC!$C$28)*KFC!$C$5</f>
        <v>69.150000000000006</v>
      </c>
      <c r="H101" s="315">
        <f>(AB101*KFC!$B$28+KFC!$C$28)*KFC!$C$5</f>
        <v>74.7</v>
      </c>
      <c r="I101" s="315">
        <f>(AC101*KFC!$B$28+KFC!$C$28)*KFC!$C$5</f>
        <v>80.12</v>
      </c>
      <c r="J101" s="315">
        <f>(AD101*KFC!$B$28+KFC!$C$28)*KFC!$C$5</f>
        <v>85.53</v>
      </c>
      <c r="K101" s="315">
        <f>(AE101*KFC!$B$28+KFC!$C$28)*KFC!$C$5</f>
        <v>90.94</v>
      </c>
      <c r="L101" s="315">
        <f>(AF101*KFC!$B$28+KFC!$C$28)*KFC!$C$5</f>
        <v>96.37</v>
      </c>
      <c r="M101" s="315">
        <f>(AG101*KFC!$B$28+KFC!$C$28)*KFC!$C$5</f>
        <v>101.9</v>
      </c>
      <c r="N101" s="315">
        <f>(AH101*KFC!$B$28+KFC!$C$28)*KFC!$C$5</f>
        <v>107.32</v>
      </c>
      <c r="O101" s="315">
        <f>(AI101*KFC!$B$28+KFC!$C$28)*KFC!$C$5</f>
        <v>112.74</v>
      </c>
      <c r="P101" s="315">
        <f>(AJ101*KFC!$B$28+KFC!$C$28)*KFC!$C$5</f>
        <v>118.16</v>
      </c>
      <c r="Q101" s="315">
        <f>(AK101*KFC!$B$28+KFC!$C$28)*KFC!$C$5</f>
        <v>123.58</v>
      </c>
      <c r="R101" s="315">
        <f>(AL101*KFC!$B$28+KFC!$C$28)*KFC!$C$5</f>
        <v>129</v>
      </c>
      <c r="S101" s="315">
        <f>(AM101*KFC!$B$28+KFC!$C$28)*KFC!$C$5</f>
        <v>134.42000000000002</v>
      </c>
      <c r="T101" s="315">
        <f>(AN101*KFC!$B$28+KFC!$C$28)*KFC!$C$5</f>
        <v>139.84000000000003</v>
      </c>
      <c r="V101" s="851">
        <v>0.9</v>
      </c>
      <c r="W101" s="847">
        <v>47.36</v>
      </c>
      <c r="X101" s="847">
        <v>52.9</v>
      </c>
      <c r="Y101" s="847">
        <v>58.32</v>
      </c>
      <c r="Z101" s="847">
        <v>63.85</v>
      </c>
      <c r="AA101" s="847">
        <v>69.150000000000006</v>
      </c>
      <c r="AB101" s="847">
        <v>74.7</v>
      </c>
      <c r="AC101" s="847">
        <v>80.12</v>
      </c>
      <c r="AD101" s="847">
        <v>85.53</v>
      </c>
      <c r="AE101" s="847">
        <v>90.94</v>
      </c>
      <c r="AF101" s="847">
        <v>96.37</v>
      </c>
      <c r="AG101" s="847">
        <v>101.9</v>
      </c>
      <c r="AH101" s="847">
        <v>107.32</v>
      </c>
      <c r="AI101" s="848">
        <v>112.74</v>
      </c>
      <c r="AJ101" s="690">
        <f t="shared" si="12"/>
        <v>118.16</v>
      </c>
      <c r="AK101" s="690">
        <f t="shared" si="13"/>
        <v>123.58</v>
      </c>
      <c r="AL101" s="690">
        <f t="shared" si="13"/>
        <v>129</v>
      </c>
      <c r="AM101" s="690">
        <f t="shared" si="13"/>
        <v>134.42000000000002</v>
      </c>
      <c r="AN101" s="690">
        <f t="shared" si="13"/>
        <v>139.84000000000003</v>
      </c>
      <c r="AO101" s="690">
        <f t="shared" si="13"/>
        <v>145.26000000000005</v>
      </c>
      <c r="AP101" s="690">
        <f t="shared" si="13"/>
        <v>150.68000000000006</v>
      </c>
    </row>
    <row r="102" spans="1:42" ht="14.25" customHeight="1">
      <c r="A102" s="1816"/>
      <c r="B102" s="849">
        <v>1</v>
      </c>
      <c r="C102" s="314">
        <f>(W102*KFC!$B$28+KFC!$C$28)*KFC!$C$5</f>
        <v>49.96</v>
      </c>
      <c r="D102" s="315">
        <f>(X102*KFC!$B$28+KFC!$C$28)*KFC!$C$5</f>
        <v>55.48</v>
      </c>
      <c r="E102" s="315">
        <f>(Y102*KFC!$B$28+KFC!$C$28)*KFC!$C$5</f>
        <v>60.78</v>
      </c>
      <c r="F102" s="315">
        <f>(Z102*KFC!$B$28+KFC!$C$28)*KFC!$C$5</f>
        <v>66.33</v>
      </c>
      <c r="G102" s="315">
        <f>(AA102*KFC!$B$28+KFC!$C$28)*KFC!$C$5</f>
        <v>71.75</v>
      </c>
      <c r="H102" s="315">
        <f>(AB102*KFC!$B$28+KFC!$C$28)*KFC!$C$5</f>
        <v>77.28</v>
      </c>
      <c r="I102" s="315">
        <f>(AC102*KFC!$B$28+KFC!$C$28)*KFC!$C$5</f>
        <v>82.7</v>
      </c>
      <c r="J102" s="315">
        <f>(AD102*KFC!$B$28+KFC!$C$28)*KFC!$C$5</f>
        <v>88.13</v>
      </c>
      <c r="K102" s="315">
        <f>(AE102*KFC!$B$28+KFC!$C$28)*KFC!$C$5</f>
        <v>93.66</v>
      </c>
      <c r="L102" s="315">
        <f>(AF102*KFC!$B$28+KFC!$C$28)*KFC!$C$5</f>
        <v>99.08</v>
      </c>
      <c r="M102" s="315">
        <f>(AG102*KFC!$B$28+KFC!$C$28)*KFC!$C$5</f>
        <v>104.5</v>
      </c>
      <c r="N102" s="315">
        <f>(AH102*KFC!$B$28+KFC!$C$28)*KFC!$C$5</f>
        <v>109.92</v>
      </c>
      <c r="O102" s="315">
        <f>(AI102*KFC!$B$28+KFC!$C$28)*KFC!$C$5</f>
        <v>115.34</v>
      </c>
      <c r="P102" s="315">
        <f>(AJ102*KFC!$B$28+KFC!$C$28)*KFC!$C$5</f>
        <v>120.76</v>
      </c>
      <c r="Q102" s="315">
        <f>(AK102*KFC!$B$28+KFC!$C$28)*KFC!$C$5</f>
        <v>126.18</v>
      </c>
      <c r="R102" s="315">
        <f>(AL102*KFC!$B$28+KFC!$C$28)*KFC!$C$5</f>
        <v>131.60000000000002</v>
      </c>
      <c r="S102" s="315">
        <f>(AM102*KFC!$B$28+KFC!$C$28)*KFC!$C$5</f>
        <v>137.02000000000004</v>
      </c>
      <c r="T102" s="315">
        <f>(AN102*KFC!$B$28+KFC!$C$28)*KFC!$C$5</f>
        <v>142.44000000000005</v>
      </c>
      <c r="V102" s="851">
        <v>1</v>
      </c>
      <c r="W102" s="847">
        <v>49.96</v>
      </c>
      <c r="X102" s="847">
        <v>55.48</v>
      </c>
      <c r="Y102" s="847">
        <v>60.78</v>
      </c>
      <c r="Z102" s="847">
        <v>66.33</v>
      </c>
      <c r="AA102" s="847">
        <v>71.75</v>
      </c>
      <c r="AB102" s="847">
        <v>77.28</v>
      </c>
      <c r="AC102" s="847">
        <v>82.7</v>
      </c>
      <c r="AD102" s="847">
        <v>88.13</v>
      </c>
      <c r="AE102" s="847">
        <v>93.66</v>
      </c>
      <c r="AF102" s="847">
        <v>99.08</v>
      </c>
      <c r="AG102" s="847">
        <v>104.5</v>
      </c>
      <c r="AH102" s="847">
        <v>109.92</v>
      </c>
      <c r="AI102" s="848">
        <v>115.34</v>
      </c>
      <c r="AJ102" s="690">
        <f t="shared" si="12"/>
        <v>120.76</v>
      </c>
      <c r="AK102" s="690">
        <f t="shared" si="13"/>
        <v>126.18</v>
      </c>
      <c r="AL102" s="690">
        <f t="shared" si="13"/>
        <v>131.60000000000002</v>
      </c>
      <c r="AM102" s="690">
        <f t="shared" si="13"/>
        <v>137.02000000000004</v>
      </c>
      <c r="AN102" s="690">
        <f t="shared" si="13"/>
        <v>142.44000000000005</v>
      </c>
      <c r="AO102" s="690">
        <f t="shared" si="13"/>
        <v>147.86000000000007</v>
      </c>
      <c r="AP102" s="690">
        <f t="shared" si="13"/>
        <v>153.28000000000009</v>
      </c>
    </row>
    <row r="103" spans="1:42" ht="14.25" customHeight="1">
      <c r="A103" s="1816"/>
      <c r="B103" s="849">
        <v>1.1000000000000001</v>
      </c>
      <c r="C103" s="314">
        <f>(W103*KFC!$B$28+KFC!$C$28)*KFC!$C$5</f>
        <v>52.43</v>
      </c>
      <c r="D103" s="315">
        <f>(X103*KFC!$B$28+KFC!$C$28)*KFC!$C$5</f>
        <v>57.96</v>
      </c>
      <c r="E103" s="315">
        <f>(Y103*KFC!$B$28+KFC!$C$28)*KFC!$C$5</f>
        <v>63.39</v>
      </c>
      <c r="F103" s="315">
        <f>(Z103*KFC!$B$28+KFC!$C$28)*KFC!$C$5</f>
        <v>68.92</v>
      </c>
      <c r="G103" s="315">
        <f>(AA103*KFC!$B$28+KFC!$C$28)*KFC!$C$5</f>
        <v>74.34</v>
      </c>
      <c r="H103" s="315">
        <f>(AB103*KFC!$B$28+KFC!$C$28)*KFC!$C$5</f>
        <v>79.88</v>
      </c>
      <c r="I103" s="315">
        <f>(AC103*KFC!$B$28+KFC!$C$28)*KFC!$C$5</f>
        <v>85.3</v>
      </c>
      <c r="J103" s="315">
        <f>(AD103*KFC!$B$28+KFC!$C$28)*KFC!$C$5</f>
        <v>90.71</v>
      </c>
      <c r="K103" s="315">
        <f>(AE103*KFC!$B$28+KFC!$C$28)*KFC!$C$5</f>
        <v>96.24</v>
      </c>
      <c r="L103" s="315">
        <f>(AF103*KFC!$B$28+KFC!$C$28)*KFC!$C$5</f>
        <v>101.67</v>
      </c>
      <c r="M103" s="315">
        <f>(AG103*KFC!$B$28+KFC!$C$28)*KFC!$C$5</f>
        <v>107.21</v>
      </c>
      <c r="N103" s="315">
        <f>(AH103*KFC!$B$28+KFC!$C$28)*KFC!$C$5</f>
        <v>112.62</v>
      </c>
      <c r="O103" s="315">
        <f>(AI103*KFC!$B$28+KFC!$C$28)*KFC!$C$5</f>
        <v>118.04</v>
      </c>
      <c r="P103" s="315">
        <f>(AJ103*KFC!$B$28+KFC!$C$28)*KFC!$C$5</f>
        <v>123.46000000000001</v>
      </c>
      <c r="Q103" s="315">
        <f>(AK103*KFC!$B$28+KFC!$C$28)*KFC!$C$5</f>
        <v>128.88</v>
      </c>
      <c r="R103" s="315">
        <f>(AL103*KFC!$B$28+KFC!$C$28)*KFC!$C$5</f>
        <v>134.29999999999998</v>
      </c>
      <c r="S103" s="315">
        <f>(AM103*KFC!$B$28+KFC!$C$28)*KFC!$C$5</f>
        <v>139.71999999999997</v>
      </c>
      <c r="T103" s="315">
        <f>(AN103*KFC!$B$28+KFC!$C$28)*KFC!$C$5</f>
        <v>145.13999999999996</v>
      </c>
      <c r="V103" s="851">
        <v>1.1000000000000001</v>
      </c>
      <c r="W103" s="847">
        <v>52.43</v>
      </c>
      <c r="X103" s="847">
        <v>57.96</v>
      </c>
      <c r="Y103" s="847">
        <v>63.39</v>
      </c>
      <c r="Z103" s="847">
        <v>68.92</v>
      </c>
      <c r="AA103" s="847">
        <v>74.34</v>
      </c>
      <c r="AB103" s="847">
        <v>79.88</v>
      </c>
      <c r="AC103" s="847">
        <v>85.3</v>
      </c>
      <c r="AD103" s="847">
        <v>90.71</v>
      </c>
      <c r="AE103" s="847">
        <v>96.24</v>
      </c>
      <c r="AF103" s="847">
        <v>101.67</v>
      </c>
      <c r="AG103" s="847">
        <v>107.21</v>
      </c>
      <c r="AH103" s="847">
        <v>112.62</v>
      </c>
      <c r="AI103" s="848">
        <v>118.04</v>
      </c>
      <c r="AJ103" s="690">
        <f t="shared" si="12"/>
        <v>123.46000000000001</v>
      </c>
      <c r="AK103" s="690">
        <f t="shared" si="13"/>
        <v>128.88</v>
      </c>
      <c r="AL103" s="690">
        <f t="shared" si="13"/>
        <v>134.29999999999998</v>
      </c>
      <c r="AM103" s="690">
        <f t="shared" si="13"/>
        <v>139.71999999999997</v>
      </c>
      <c r="AN103" s="690">
        <f t="shared" si="13"/>
        <v>145.13999999999996</v>
      </c>
      <c r="AO103" s="690">
        <f t="shared" si="13"/>
        <v>150.55999999999995</v>
      </c>
      <c r="AP103" s="690">
        <f t="shared" si="13"/>
        <v>155.97999999999993</v>
      </c>
    </row>
    <row r="104" spans="1:42" ht="14.25" customHeight="1">
      <c r="A104" s="1816"/>
      <c r="B104" s="849">
        <v>1.2</v>
      </c>
      <c r="C104" s="314">
        <f>(W104*KFC!$B$28+KFC!$C$28)*KFC!$C$5</f>
        <v>54.89</v>
      </c>
      <c r="D104" s="315">
        <f>(X104*KFC!$B$28+KFC!$C$28)*KFC!$C$5</f>
        <v>60.31</v>
      </c>
      <c r="E104" s="315">
        <f>(Y104*KFC!$B$28+KFC!$C$28)*KFC!$C$5</f>
        <v>65.97</v>
      </c>
      <c r="F104" s="315">
        <f>(Z104*KFC!$B$28+KFC!$C$28)*KFC!$C$5</f>
        <v>71.510000000000005</v>
      </c>
      <c r="G104" s="315">
        <f>(AA104*KFC!$B$28+KFC!$C$28)*KFC!$C$5</f>
        <v>76.930000000000007</v>
      </c>
      <c r="H104" s="315">
        <f>(AB104*KFC!$B$28+KFC!$C$28)*KFC!$C$5</f>
        <v>82.47</v>
      </c>
      <c r="I104" s="315">
        <f>(AC104*KFC!$B$28+KFC!$C$28)*KFC!$C$5</f>
        <v>87.89</v>
      </c>
      <c r="J104" s="315">
        <f>(AD104*KFC!$B$28+KFC!$C$28)*KFC!$C$5</f>
        <v>93.43</v>
      </c>
      <c r="K104" s="315">
        <f>(AE104*KFC!$B$28+KFC!$C$28)*KFC!$C$5</f>
        <v>98.85</v>
      </c>
      <c r="L104" s="315">
        <f>(AF104*KFC!$B$28+KFC!$C$28)*KFC!$C$5</f>
        <v>104.27</v>
      </c>
      <c r="M104" s="315">
        <f>(AG104*KFC!$B$28+KFC!$C$28)*KFC!$C$5</f>
        <v>109.92</v>
      </c>
      <c r="N104" s="315">
        <f>(AH104*KFC!$B$28+KFC!$C$28)*KFC!$C$5</f>
        <v>115.46</v>
      </c>
      <c r="O104" s="315">
        <f>(AI104*KFC!$B$28+KFC!$C$28)*KFC!$C$5</f>
        <v>120.99</v>
      </c>
      <c r="P104" s="315">
        <f>(AJ104*KFC!$B$28+KFC!$C$28)*KFC!$C$5</f>
        <v>126.52</v>
      </c>
      <c r="Q104" s="315">
        <f>(AK104*KFC!$B$28+KFC!$C$28)*KFC!$C$5</f>
        <v>132.05000000000001</v>
      </c>
      <c r="R104" s="315">
        <f>(AL104*KFC!$B$28+KFC!$C$28)*KFC!$C$5</f>
        <v>137.58000000000004</v>
      </c>
      <c r="S104" s="315">
        <f>(AM104*KFC!$B$28+KFC!$C$28)*KFC!$C$5</f>
        <v>143.11000000000007</v>
      </c>
      <c r="T104" s="315">
        <f>(AN104*KFC!$B$28+KFC!$C$28)*KFC!$C$5</f>
        <v>148.6400000000001</v>
      </c>
      <c r="V104" s="851">
        <v>1.2</v>
      </c>
      <c r="W104" s="847">
        <v>54.89</v>
      </c>
      <c r="X104" s="847">
        <v>60.31</v>
      </c>
      <c r="Y104" s="847">
        <v>65.97</v>
      </c>
      <c r="Z104" s="847">
        <v>71.510000000000005</v>
      </c>
      <c r="AA104" s="847">
        <v>76.930000000000007</v>
      </c>
      <c r="AB104" s="847">
        <v>82.47</v>
      </c>
      <c r="AC104" s="847">
        <v>87.89</v>
      </c>
      <c r="AD104" s="847">
        <v>93.43</v>
      </c>
      <c r="AE104" s="847">
        <v>98.85</v>
      </c>
      <c r="AF104" s="847">
        <v>104.27</v>
      </c>
      <c r="AG104" s="847">
        <v>109.92</v>
      </c>
      <c r="AH104" s="847">
        <v>115.46</v>
      </c>
      <c r="AI104" s="848">
        <v>120.99</v>
      </c>
      <c r="AJ104" s="690">
        <f t="shared" si="12"/>
        <v>126.52</v>
      </c>
      <c r="AK104" s="690">
        <f t="shared" si="13"/>
        <v>132.05000000000001</v>
      </c>
      <c r="AL104" s="690">
        <f t="shared" si="13"/>
        <v>137.58000000000004</v>
      </c>
      <c r="AM104" s="690">
        <f t="shared" si="13"/>
        <v>143.11000000000007</v>
      </c>
      <c r="AN104" s="690">
        <f t="shared" si="13"/>
        <v>148.6400000000001</v>
      </c>
      <c r="AO104" s="690">
        <f t="shared" si="13"/>
        <v>154.17000000000013</v>
      </c>
      <c r="AP104" s="690">
        <f t="shared" si="13"/>
        <v>159.70000000000016</v>
      </c>
    </row>
    <row r="105" spans="1:42" ht="14.25" customHeight="1">
      <c r="A105" s="1816"/>
      <c r="B105" s="849">
        <v>1.3</v>
      </c>
      <c r="C105" s="314">
        <f>(W105*KFC!$B$28+KFC!$C$28)*KFC!$C$5</f>
        <v>57.5</v>
      </c>
      <c r="D105" s="315">
        <f>(X105*KFC!$B$28+KFC!$C$28)*KFC!$C$5</f>
        <v>62.92</v>
      </c>
      <c r="E105" s="315">
        <f>(Y105*KFC!$B$28+KFC!$C$28)*KFC!$C$5</f>
        <v>68.45</v>
      </c>
      <c r="F105" s="315">
        <f>(Z105*KFC!$B$28+KFC!$C$28)*KFC!$C$5</f>
        <v>73.87</v>
      </c>
      <c r="G105" s="315">
        <f>(AA105*KFC!$B$28+KFC!$C$28)*KFC!$C$5</f>
        <v>79.53</v>
      </c>
      <c r="H105" s="315">
        <f>(AB105*KFC!$B$28+KFC!$C$28)*KFC!$C$5</f>
        <v>85.05</v>
      </c>
      <c r="I105" s="315">
        <f>(AC105*KFC!$B$28+KFC!$C$28)*KFC!$C$5</f>
        <v>90.48</v>
      </c>
      <c r="J105" s="315">
        <f>(AD105*KFC!$B$28+KFC!$C$28)*KFC!$C$5</f>
        <v>96.01</v>
      </c>
      <c r="K105" s="315">
        <f>(AE105*KFC!$B$28+KFC!$C$28)*KFC!$C$5</f>
        <v>101.55</v>
      </c>
      <c r="L105" s="315">
        <f>(AF105*KFC!$B$28+KFC!$C$28)*KFC!$C$5</f>
        <v>107.09</v>
      </c>
      <c r="M105" s="315">
        <f>(AG105*KFC!$B$28+KFC!$C$28)*KFC!$C$5</f>
        <v>112.51</v>
      </c>
      <c r="N105" s="315">
        <f>(AH105*KFC!$B$28+KFC!$C$28)*KFC!$C$5</f>
        <v>118.04</v>
      </c>
      <c r="O105" s="315">
        <f>(AI105*KFC!$B$28+KFC!$C$28)*KFC!$C$5</f>
        <v>123.59</v>
      </c>
      <c r="P105" s="315">
        <f>(AJ105*KFC!$B$28+KFC!$C$28)*KFC!$C$5</f>
        <v>129.13999999999999</v>
      </c>
      <c r="Q105" s="315">
        <f>(AK105*KFC!$B$28+KFC!$C$28)*KFC!$C$5</f>
        <v>134.68999999999997</v>
      </c>
      <c r="R105" s="315">
        <f>(AL105*KFC!$B$28+KFC!$C$28)*KFC!$C$5</f>
        <v>140.23999999999995</v>
      </c>
      <c r="S105" s="315">
        <f>(AM105*KFC!$B$28+KFC!$C$28)*KFC!$C$5</f>
        <v>145.78999999999994</v>
      </c>
      <c r="T105" s="315">
        <f>(AN105*KFC!$B$28+KFC!$C$28)*KFC!$C$5</f>
        <v>151.33999999999992</v>
      </c>
      <c r="V105" s="851">
        <v>1.3</v>
      </c>
      <c r="W105" s="847">
        <v>57.5</v>
      </c>
      <c r="X105" s="847">
        <v>62.92</v>
      </c>
      <c r="Y105" s="847">
        <v>68.45</v>
      </c>
      <c r="Z105" s="847">
        <v>73.87</v>
      </c>
      <c r="AA105" s="847">
        <v>79.53</v>
      </c>
      <c r="AB105" s="847">
        <v>85.05</v>
      </c>
      <c r="AC105" s="847">
        <v>90.48</v>
      </c>
      <c r="AD105" s="847">
        <v>96.01</v>
      </c>
      <c r="AE105" s="847">
        <v>101.55</v>
      </c>
      <c r="AF105" s="847">
        <v>107.09</v>
      </c>
      <c r="AG105" s="847">
        <v>112.51</v>
      </c>
      <c r="AH105" s="847">
        <v>118.04</v>
      </c>
      <c r="AI105" s="848">
        <v>123.59</v>
      </c>
      <c r="AJ105" s="690">
        <f t="shared" si="12"/>
        <v>129.13999999999999</v>
      </c>
      <c r="AK105" s="690">
        <f t="shared" si="13"/>
        <v>134.68999999999997</v>
      </c>
      <c r="AL105" s="690">
        <f t="shared" si="13"/>
        <v>140.23999999999995</v>
      </c>
      <c r="AM105" s="690">
        <f t="shared" si="13"/>
        <v>145.78999999999994</v>
      </c>
      <c r="AN105" s="690">
        <f t="shared" si="13"/>
        <v>151.33999999999992</v>
      </c>
      <c r="AO105" s="690">
        <f t="shared" si="13"/>
        <v>156.8899999999999</v>
      </c>
      <c r="AP105" s="690">
        <f t="shared" si="13"/>
        <v>162.43999999999988</v>
      </c>
    </row>
    <row r="106" spans="1:42" ht="14.25" customHeight="1">
      <c r="A106" s="1816"/>
      <c r="B106" s="849">
        <v>1.4</v>
      </c>
      <c r="C106" s="314">
        <f>(W106*KFC!$B$28+KFC!$C$28)*KFC!$C$5</f>
        <v>59.97</v>
      </c>
      <c r="D106" s="315">
        <f>(X106*KFC!$B$28+KFC!$C$28)*KFC!$C$5</f>
        <v>65.38</v>
      </c>
      <c r="E106" s="315">
        <f>(Y106*KFC!$B$28+KFC!$C$28)*KFC!$C$5</f>
        <v>71.040000000000006</v>
      </c>
      <c r="F106" s="315">
        <f>(Z106*KFC!$B$28+KFC!$C$28)*KFC!$C$5</f>
        <v>76.459999999999994</v>
      </c>
      <c r="G106" s="315">
        <f>(AA106*KFC!$B$28+KFC!$C$28)*KFC!$C$5</f>
        <v>81.99</v>
      </c>
      <c r="H106" s="315">
        <f>(AB106*KFC!$B$28+KFC!$C$28)*KFC!$C$5</f>
        <v>87.65</v>
      </c>
      <c r="I106" s="315">
        <f>(AC106*KFC!$B$28+KFC!$C$28)*KFC!$C$5</f>
        <v>93.07</v>
      </c>
      <c r="J106" s="315">
        <f>(AD106*KFC!$B$28+KFC!$C$28)*KFC!$C$5</f>
        <v>98.73</v>
      </c>
      <c r="K106" s="315">
        <f>(AE106*KFC!$B$28+KFC!$C$28)*KFC!$C$5</f>
        <v>104.15</v>
      </c>
      <c r="L106" s="315">
        <f>(AF106*KFC!$B$28+KFC!$C$28)*KFC!$C$5</f>
        <v>109.68</v>
      </c>
      <c r="M106" s="315">
        <f>(AG106*KFC!$B$28+KFC!$C$28)*KFC!$C$5</f>
        <v>115.23</v>
      </c>
      <c r="N106" s="315">
        <f>(AH106*KFC!$B$28+KFC!$C$28)*KFC!$C$5</f>
        <v>120.76</v>
      </c>
      <c r="O106" s="315">
        <f>(AI106*KFC!$B$28+KFC!$C$28)*KFC!$C$5</f>
        <v>126.28</v>
      </c>
      <c r="P106" s="315">
        <f>(AJ106*KFC!$B$28+KFC!$C$28)*KFC!$C$5</f>
        <v>131.80000000000001</v>
      </c>
      <c r="Q106" s="315">
        <f>(AK106*KFC!$B$28+KFC!$C$28)*KFC!$C$5</f>
        <v>137.32000000000002</v>
      </c>
      <c r="R106" s="315">
        <f>(AL106*KFC!$B$28+KFC!$C$28)*KFC!$C$5</f>
        <v>142.84000000000003</v>
      </c>
      <c r="S106" s="315">
        <f>(AM106*KFC!$B$28+KFC!$C$28)*KFC!$C$5</f>
        <v>148.36000000000004</v>
      </c>
      <c r="T106" s="315">
        <f>(AN106*KFC!$B$28+KFC!$C$28)*KFC!$C$5</f>
        <v>153.88000000000005</v>
      </c>
      <c r="V106" s="851">
        <v>1.4</v>
      </c>
      <c r="W106" s="847">
        <v>59.97</v>
      </c>
      <c r="X106" s="847">
        <v>65.38</v>
      </c>
      <c r="Y106" s="847">
        <v>71.040000000000006</v>
      </c>
      <c r="Z106" s="847">
        <v>76.459999999999994</v>
      </c>
      <c r="AA106" s="847">
        <v>81.99</v>
      </c>
      <c r="AB106" s="847">
        <v>87.65</v>
      </c>
      <c r="AC106" s="847">
        <v>93.07</v>
      </c>
      <c r="AD106" s="847">
        <v>98.73</v>
      </c>
      <c r="AE106" s="847">
        <v>104.15</v>
      </c>
      <c r="AF106" s="847">
        <v>109.68</v>
      </c>
      <c r="AG106" s="847">
        <v>115.23</v>
      </c>
      <c r="AH106" s="847">
        <v>120.76</v>
      </c>
      <c r="AI106" s="848">
        <v>126.28</v>
      </c>
      <c r="AJ106" s="690">
        <f t="shared" si="12"/>
        <v>131.80000000000001</v>
      </c>
      <c r="AK106" s="690">
        <f t="shared" si="13"/>
        <v>137.32000000000002</v>
      </c>
      <c r="AL106" s="690">
        <f t="shared" si="13"/>
        <v>142.84000000000003</v>
      </c>
      <c r="AM106" s="690">
        <f t="shared" si="13"/>
        <v>148.36000000000004</v>
      </c>
      <c r="AN106" s="690">
        <f t="shared" si="13"/>
        <v>153.88000000000005</v>
      </c>
      <c r="AO106" s="690">
        <f t="shared" si="13"/>
        <v>159.40000000000006</v>
      </c>
      <c r="AP106" s="690">
        <f t="shared" si="13"/>
        <v>164.92000000000007</v>
      </c>
    </row>
    <row r="107" spans="1:42" ht="14.25" customHeight="1">
      <c r="A107" s="1816"/>
      <c r="B107" s="849">
        <v>1.5</v>
      </c>
      <c r="C107" s="314">
        <f>(W107*KFC!$B$28+KFC!$C$28)*KFC!$C$5</f>
        <v>62.44</v>
      </c>
      <c r="D107" s="315">
        <f>(X107*KFC!$B$28+KFC!$C$28)*KFC!$C$5</f>
        <v>67.98</v>
      </c>
      <c r="E107" s="315">
        <f>(Y107*KFC!$B$28+KFC!$C$28)*KFC!$C$5</f>
        <v>73.52</v>
      </c>
      <c r="F107" s="315">
        <f>(Z107*KFC!$B$28+KFC!$C$28)*KFC!$C$5</f>
        <v>79.040000000000006</v>
      </c>
      <c r="G107" s="315">
        <f>(AA107*KFC!$B$28+KFC!$C$28)*KFC!$C$5</f>
        <v>84.59</v>
      </c>
      <c r="H107" s="315">
        <f>(AB107*KFC!$B$28+KFC!$C$28)*KFC!$C$5</f>
        <v>90.24</v>
      </c>
      <c r="I107" s="315">
        <f>(AC107*KFC!$B$28+KFC!$C$28)*KFC!$C$5</f>
        <v>95.66</v>
      </c>
      <c r="J107" s="315">
        <f>(AD107*KFC!$B$28+KFC!$C$28)*KFC!$C$5</f>
        <v>101.31</v>
      </c>
      <c r="K107" s="315">
        <f>(AE107*KFC!$B$28+KFC!$C$28)*KFC!$C$5</f>
        <v>106.73</v>
      </c>
      <c r="L107" s="315">
        <f>(AF107*KFC!$B$28+KFC!$C$28)*KFC!$C$5</f>
        <v>112.39</v>
      </c>
      <c r="M107" s="315">
        <f>(AG107*KFC!$B$28+KFC!$C$28)*KFC!$C$5</f>
        <v>117.81</v>
      </c>
      <c r="N107" s="315">
        <f>(AH107*KFC!$B$28+KFC!$C$28)*KFC!$C$5</f>
        <v>123.47</v>
      </c>
      <c r="O107" s="315">
        <f>(AI107*KFC!$B$28+KFC!$C$28)*KFC!$C$5</f>
        <v>129.12</v>
      </c>
      <c r="P107" s="315">
        <f>(AJ107*KFC!$B$28+KFC!$C$28)*KFC!$C$5</f>
        <v>134.77000000000001</v>
      </c>
      <c r="Q107" s="315">
        <f>(AK107*KFC!$B$28+KFC!$C$28)*KFC!$C$5</f>
        <v>140.42000000000002</v>
      </c>
      <c r="R107" s="315">
        <f>(AL107*KFC!$B$28+KFC!$C$28)*KFC!$C$5</f>
        <v>146.07000000000002</v>
      </c>
      <c r="S107" s="315">
        <f>(AM107*KFC!$B$28+KFC!$C$28)*KFC!$C$5</f>
        <v>151.72000000000003</v>
      </c>
      <c r="T107" s="315">
        <f>(AN107*KFC!$B$28+KFC!$C$28)*KFC!$C$5</f>
        <v>157.37000000000003</v>
      </c>
      <c r="V107" s="851">
        <v>1.5</v>
      </c>
      <c r="W107" s="847">
        <v>62.44</v>
      </c>
      <c r="X107" s="847">
        <v>67.98</v>
      </c>
      <c r="Y107" s="847">
        <v>73.52</v>
      </c>
      <c r="Z107" s="847">
        <v>79.040000000000006</v>
      </c>
      <c r="AA107" s="847">
        <v>84.59</v>
      </c>
      <c r="AB107" s="847">
        <v>90.24</v>
      </c>
      <c r="AC107" s="847">
        <v>95.66</v>
      </c>
      <c r="AD107" s="847">
        <v>101.31</v>
      </c>
      <c r="AE107" s="847">
        <v>106.73</v>
      </c>
      <c r="AF107" s="847">
        <v>112.39</v>
      </c>
      <c r="AG107" s="847">
        <v>117.81</v>
      </c>
      <c r="AH107" s="847">
        <v>123.47</v>
      </c>
      <c r="AI107" s="848">
        <v>129.12</v>
      </c>
      <c r="AJ107" s="690">
        <f t="shared" si="12"/>
        <v>134.77000000000001</v>
      </c>
      <c r="AK107" s="690">
        <f t="shared" si="13"/>
        <v>140.42000000000002</v>
      </c>
      <c r="AL107" s="690">
        <f t="shared" si="13"/>
        <v>146.07000000000002</v>
      </c>
      <c r="AM107" s="690">
        <f t="shared" si="13"/>
        <v>151.72000000000003</v>
      </c>
      <c r="AN107" s="690">
        <f t="shared" si="13"/>
        <v>157.37000000000003</v>
      </c>
      <c r="AO107" s="690">
        <f t="shared" si="13"/>
        <v>163.02000000000004</v>
      </c>
      <c r="AP107" s="690">
        <f t="shared" si="13"/>
        <v>168.67000000000004</v>
      </c>
    </row>
    <row r="108" spans="1:42" ht="14.25" customHeight="1">
      <c r="A108" s="1816"/>
      <c r="B108" s="849">
        <v>1.6</v>
      </c>
      <c r="C108" s="314">
        <f>(W108*KFC!$B$28+KFC!$C$28)*KFC!$C$5</f>
        <v>65.03</v>
      </c>
      <c r="D108" s="315">
        <f>(X108*KFC!$B$28+KFC!$C$28)*KFC!$C$5</f>
        <v>70.459999999999994</v>
      </c>
      <c r="E108" s="315">
        <f>(Y108*KFC!$B$28+KFC!$C$28)*KFC!$C$5</f>
        <v>76.099999999999994</v>
      </c>
      <c r="F108" s="315">
        <f>(Z108*KFC!$B$28+KFC!$C$28)*KFC!$C$5</f>
        <v>81.52</v>
      </c>
      <c r="G108" s="315">
        <f>(AA108*KFC!$B$28+KFC!$C$28)*KFC!$C$5</f>
        <v>87.18</v>
      </c>
      <c r="H108" s="315">
        <f>(AB108*KFC!$B$28+KFC!$C$28)*KFC!$C$5</f>
        <v>92.84</v>
      </c>
      <c r="I108" s="315">
        <f>(AC108*KFC!$B$28+KFC!$C$28)*KFC!$C$5</f>
        <v>98.26</v>
      </c>
      <c r="J108" s="315">
        <f>(AD108*KFC!$B$28+KFC!$C$28)*KFC!$C$5</f>
        <v>103.91</v>
      </c>
      <c r="K108" s="315">
        <f>(AE108*KFC!$B$28+KFC!$C$28)*KFC!$C$5</f>
        <v>109.45</v>
      </c>
      <c r="L108" s="315">
        <f>(AF108*KFC!$B$28+KFC!$C$28)*KFC!$C$5</f>
        <v>114.99</v>
      </c>
      <c r="M108" s="315">
        <f>(AG108*KFC!$B$28+KFC!$C$28)*KFC!$C$5</f>
        <v>120.65</v>
      </c>
      <c r="N108" s="315">
        <f>(AH108*KFC!$B$28+KFC!$C$28)*KFC!$C$5</f>
        <v>126.05</v>
      </c>
      <c r="O108" s="315">
        <f>(AI108*KFC!$B$28+KFC!$C$28)*KFC!$C$5</f>
        <v>131.47</v>
      </c>
      <c r="P108" s="315">
        <f>(AJ108*KFC!$B$28+KFC!$C$28)*KFC!$C$5</f>
        <v>136.88999999999999</v>
      </c>
      <c r="Q108" s="315">
        <f>(AK108*KFC!$B$28+KFC!$C$28)*KFC!$C$5</f>
        <v>142.30999999999997</v>
      </c>
      <c r="R108" s="315">
        <f>(AL108*KFC!$B$28+KFC!$C$28)*KFC!$C$5</f>
        <v>147.72999999999996</v>
      </c>
      <c r="S108" s="315">
        <f>(AM108*KFC!$B$28+KFC!$C$28)*KFC!$C$5</f>
        <v>153.14999999999995</v>
      </c>
      <c r="T108" s="315">
        <f>(AN108*KFC!$B$28+KFC!$C$28)*KFC!$C$5</f>
        <v>158.56999999999994</v>
      </c>
      <c r="V108" s="851">
        <v>1.6</v>
      </c>
      <c r="W108" s="847">
        <v>65.03</v>
      </c>
      <c r="X108" s="847">
        <v>70.459999999999994</v>
      </c>
      <c r="Y108" s="847">
        <v>76.099999999999994</v>
      </c>
      <c r="Z108" s="847">
        <v>81.52</v>
      </c>
      <c r="AA108" s="847">
        <v>87.18</v>
      </c>
      <c r="AB108" s="847">
        <v>92.84</v>
      </c>
      <c r="AC108" s="847">
        <v>98.26</v>
      </c>
      <c r="AD108" s="847">
        <v>103.91</v>
      </c>
      <c r="AE108" s="847">
        <v>109.45</v>
      </c>
      <c r="AF108" s="847">
        <v>114.99</v>
      </c>
      <c r="AG108" s="847">
        <v>120.65</v>
      </c>
      <c r="AH108" s="847">
        <v>126.05</v>
      </c>
      <c r="AI108" s="848">
        <v>131.47</v>
      </c>
      <c r="AJ108" s="690">
        <f t="shared" si="12"/>
        <v>136.88999999999999</v>
      </c>
      <c r="AK108" s="690">
        <f t="shared" si="13"/>
        <v>142.30999999999997</v>
      </c>
      <c r="AL108" s="690">
        <f t="shared" si="13"/>
        <v>147.72999999999996</v>
      </c>
      <c r="AM108" s="690">
        <f t="shared" si="13"/>
        <v>153.14999999999995</v>
      </c>
      <c r="AN108" s="690">
        <f t="shared" si="13"/>
        <v>158.56999999999994</v>
      </c>
      <c r="AO108" s="690">
        <f t="shared" si="13"/>
        <v>163.98999999999992</v>
      </c>
      <c r="AP108" s="690">
        <f t="shared" si="13"/>
        <v>169.40999999999991</v>
      </c>
    </row>
    <row r="109" spans="1:42" ht="14.25" customHeight="1">
      <c r="A109" s="1816"/>
      <c r="B109" s="849">
        <v>1.7</v>
      </c>
      <c r="C109" s="314">
        <f>(W109*KFC!$B$28+KFC!$C$28)*KFC!$C$5</f>
        <v>67.38</v>
      </c>
      <c r="D109" s="315">
        <f>(X109*KFC!$B$28+KFC!$C$28)*KFC!$C$5</f>
        <v>73.040000000000006</v>
      </c>
      <c r="E109" s="315">
        <f>(Y109*KFC!$B$28+KFC!$C$28)*KFC!$C$5</f>
        <v>78.569999999999993</v>
      </c>
      <c r="F109" s="315">
        <f>(Z109*KFC!$B$28+KFC!$C$28)*KFC!$C$5</f>
        <v>84.12</v>
      </c>
      <c r="G109" s="315">
        <f>(AA109*KFC!$B$28+KFC!$C$28)*KFC!$C$5</f>
        <v>89.76</v>
      </c>
      <c r="H109" s="315">
        <f>(AB109*KFC!$B$28+KFC!$C$28)*KFC!$C$5</f>
        <v>95.42</v>
      </c>
      <c r="I109" s="315">
        <f>(AC109*KFC!$B$28+KFC!$C$28)*KFC!$C$5</f>
        <v>100.84</v>
      </c>
      <c r="J109" s="315">
        <f>(AD109*KFC!$B$28+KFC!$C$28)*KFC!$C$5</f>
        <v>106.5</v>
      </c>
      <c r="K109" s="315">
        <f>(AE109*KFC!$B$28+KFC!$C$28)*KFC!$C$5</f>
        <v>112.04</v>
      </c>
      <c r="L109" s="315">
        <f>(AF109*KFC!$B$28+KFC!$C$28)*KFC!$C$5</f>
        <v>117.69</v>
      </c>
      <c r="M109" s="315">
        <f>(AG109*KFC!$B$28+KFC!$C$28)*KFC!$C$5</f>
        <v>123.23</v>
      </c>
      <c r="N109" s="315">
        <f>(AH109*KFC!$B$28+KFC!$C$28)*KFC!$C$5</f>
        <v>128.77000000000001</v>
      </c>
      <c r="O109" s="315">
        <f>(AI109*KFC!$B$28+KFC!$C$28)*KFC!$C$5</f>
        <v>134.31</v>
      </c>
      <c r="P109" s="315">
        <f>(AJ109*KFC!$B$28+KFC!$C$28)*KFC!$C$5</f>
        <v>139.85</v>
      </c>
      <c r="Q109" s="315">
        <f>(AK109*KFC!$B$28+KFC!$C$28)*KFC!$C$5</f>
        <v>145.38999999999999</v>
      </c>
      <c r="R109" s="315">
        <f>(AL109*KFC!$B$28+KFC!$C$28)*KFC!$C$5</f>
        <v>150.92999999999998</v>
      </c>
      <c r="S109" s="315">
        <f>(AM109*KFC!$B$28+KFC!$C$28)*KFC!$C$5</f>
        <v>156.46999999999997</v>
      </c>
      <c r="T109" s="315">
        <f>(AN109*KFC!$B$28+KFC!$C$28)*KFC!$C$5</f>
        <v>162.00999999999996</v>
      </c>
      <c r="V109" s="851">
        <v>1.7</v>
      </c>
      <c r="W109" s="847">
        <v>67.38</v>
      </c>
      <c r="X109" s="847">
        <v>73.040000000000006</v>
      </c>
      <c r="Y109" s="847">
        <v>78.569999999999993</v>
      </c>
      <c r="Z109" s="847">
        <v>84.12</v>
      </c>
      <c r="AA109" s="847">
        <v>89.76</v>
      </c>
      <c r="AB109" s="847">
        <v>95.42</v>
      </c>
      <c r="AC109" s="847">
        <v>100.84</v>
      </c>
      <c r="AD109" s="847">
        <v>106.5</v>
      </c>
      <c r="AE109" s="847">
        <v>112.04</v>
      </c>
      <c r="AF109" s="847">
        <v>117.69</v>
      </c>
      <c r="AG109" s="847">
        <v>123.23</v>
      </c>
      <c r="AH109" s="847">
        <v>128.77000000000001</v>
      </c>
      <c r="AI109" s="848">
        <v>134.31</v>
      </c>
      <c r="AJ109" s="690">
        <f t="shared" si="12"/>
        <v>139.85</v>
      </c>
      <c r="AK109" s="690">
        <f t="shared" si="13"/>
        <v>145.38999999999999</v>
      </c>
      <c r="AL109" s="690">
        <f t="shared" si="13"/>
        <v>150.92999999999998</v>
      </c>
      <c r="AM109" s="690">
        <f t="shared" si="13"/>
        <v>156.46999999999997</v>
      </c>
      <c r="AN109" s="690">
        <f t="shared" si="13"/>
        <v>162.00999999999996</v>
      </c>
      <c r="AO109" s="690">
        <f t="shared" si="13"/>
        <v>167.54999999999995</v>
      </c>
      <c r="AP109" s="690">
        <f t="shared" si="13"/>
        <v>173.08999999999995</v>
      </c>
    </row>
    <row r="110" spans="1:42" ht="14.25" customHeight="1">
      <c r="A110" s="1816"/>
      <c r="B110" s="849">
        <v>1.8</v>
      </c>
      <c r="C110" s="314">
        <f>(W110*KFC!$B$28+KFC!$C$28)*KFC!$C$5</f>
        <v>69.87</v>
      </c>
      <c r="D110" s="315">
        <f>(X110*KFC!$B$28+KFC!$C$28)*KFC!$C$5</f>
        <v>75.52</v>
      </c>
      <c r="E110" s="315">
        <f>(Y110*KFC!$B$28+KFC!$C$28)*KFC!$C$5</f>
        <v>81.180000000000007</v>
      </c>
      <c r="F110" s="315">
        <f>(Z110*KFC!$B$28+KFC!$C$28)*KFC!$C$5</f>
        <v>86.71</v>
      </c>
      <c r="G110" s="315">
        <f>(AA110*KFC!$B$28+KFC!$C$28)*KFC!$C$5</f>
        <v>92.37</v>
      </c>
      <c r="H110" s="315">
        <f>(AB110*KFC!$B$28+KFC!$C$28)*KFC!$C$5</f>
        <v>98.02</v>
      </c>
      <c r="I110" s="315">
        <f>(AC110*KFC!$B$28+KFC!$C$28)*KFC!$C$5</f>
        <v>103.45</v>
      </c>
      <c r="J110" s="315">
        <f>(AD110*KFC!$B$28+KFC!$C$28)*KFC!$C$5</f>
        <v>109.1</v>
      </c>
      <c r="K110" s="315">
        <f>(AE110*KFC!$B$28+KFC!$C$28)*KFC!$C$5</f>
        <v>114.75</v>
      </c>
      <c r="L110" s="315">
        <f>(AF110*KFC!$B$28+KFC!$C$28)*KFC!$C$5</f>
        <v>120.28</v>
      </c>
      <c r="M110" s="315">
        <f>(AG110*KFC!$B$28+KFC!$C$28)*KFC!$C$5</f>
        <v>125.94</v>
      </c>
      <c r="N110" s="315">
        <f>(AH110*KFC!$B$28+KFC!$C$28)*KFC!$C$5</f>
        <v>131.59</v>
      </c>
      <c r="O110" s="315">
        <f>(AI110*KFC!$B$28+KFC!$C$28)*KFC!$C$5</f>
        <v>137.25</v>
      </c>
      <c r="P110" s="315">
        <f>(AJ110*KFC!$B$28+KFC!$C$28)*KFC!$C$5</f>
        <v>142.91</v>
      </c>
      <c r="Q110" s="315">
        <f>(AK110*KFC!$B$28+KFC!$C$28)*KFC!$C$5</f>
        <v>148.57</v>
      </c>
      <c r="R110" s="315">
        <f>(AL110*KFC!$B$28+KFC!$C$28)*KFC!$C$5</f>
        <v>154.22999999999999</v>
      </c>
      <c r="S110" s="315">
        <f>(AM110*KFC!$B$28+KFC!$C$28)*KFC!$C$5</f>
        <v>159.88999999999999</v>
      </c>
      <c r="T110" s="315">
        <f>(AN110*KFC!$B$28+KFC!$C$28)*KFC!$C$5</f>
        <v>165.54999999999998</v>
      </c>
      <c r="V110" s="851">
        <v>1.8</v>
      </c>
      <c r="W110" s="847">
        <v>69.87</v>
      </c>
      <c r="X110" s="847">
        <v>75.52</v>
      </c>
      <c r="Y110" s="847">
        <v>81.180000000000007</v>
      </c>
      <c r="Z110" s="847">
        <v>86.71</v>
      </c>
      <c r="AA110" s="847">
        <v>92.37</v>
      </c>
      <c r="AB110" s="847">
        <v>98.02</v>
      </c>
      <c r="AC110" s="847">
        <v>103.45</v>
      </c>
      <c r="AD110" s="847">
        <v>109.1</v>
      </c>
      <c r="AE110" s="847">
        <v>114.75</v>
      </c>
      <c r="AF110" s="847">
        <v>120.28</v>
      </c>
      <c r="AG110" s="847">
        <v>125.94</v>
      </c>
      <c r="AH110" s="847">
        <v>131.59</v>
      </c>
      <c r="AI110" s="848">
        <v>137.25</v>
      </c>
      <c r="AJ110" s="690">
        <f t="shared" si="12"/>
        <v>142.91</v>
      </c>
      <c r="AK110" s="690">
        <f t="shared" si="13"/>
        <v>148.57</v>
      </c>
      <c r="AL110" s="690">
        <f t="shared" si="13"/>
        <v>154.22999999999999</v>
      </c>
      <c r="AM110" s="690">
        <f t="shared" si="13"/>
        <v>159.88999999999999</v>
      </c>
      <c r="AN110" s="690">
        <f t="shared" si="13"/>
        <v>165.54999999999998</v>
      </c>
      <c r="AO110" s="690">
        <f t="shared" si="13"/>
        <v>171.20999999999998</v>
      </c>
      <c r="AP110" s="690">
        <f t="shared" si="13"/>
        <v>176.86999999999998</v>
      </c>
    </row>
    <row r="111" spans="1:42" ht="14.25" customHeight="1">
      <c r="A111" s="1816"/>
      <c r="B111" s="849">
        <v>1.9</v>
      </c>
      <c r="C111" s="314">
        <f>(W111*KFC!$B$28+KFC!$C$28)*KFC!$C$5</f>
        <v>72.45</v>
      </c>
      <c r="D111" s="315">
        <f>(X111*KFC!$B$28+KFC!$C$28)*KFC!$C$5</f>
        <v>78.11</v>
      </c>
      <c r="E111" s="315">
        <f>(Y111*KFC!$B$28+KFC!$C$28)*KFC!$C$5</f>
        <v>83.76</v>
      </c>
      <c r="F111" s="315">
        <f>(Z111*KFC!$B$28+KFC!$C$28)*KFC!$C$5</f>
        <v>89.3</v>
      </c>
      <c r="G111" s="315">
        <f>(AA111*KFC!$B$28+KFC!$C$28)*KFC!$C$5</f>
        <v>94.95</v>
      </c>
      <c r="H111" s="315">
        <f>(AB111*KFC!$B$28+KFC!$C$28)*KFC!$C$5</f>
        <v>100.61</v>
      </c>
      <c r="I111" s="315">
        <f>(AC111*KFC!$B$28+KFC!$C$28)*KFC!$C$5</f>
        <v>106.03</v>
      </c>
      <c r="J111" s="315">
        <f>(AD111*KFC!$B$28+KFC!$C$28)*KFC!$C$5</f>
        <v>111.69</v>
      </c>
      <c r="K111" s="315">
        <f>(AE111*KFC!$B$28+KFC!$C$28)*KFC!$C$5</f>
        <v>117.34</v>
      </c>
      <c r="L111" s="315">
        <f>(AF111*KFC!$B$28+KFC!$C$28)*KFC!$C$5</f>
        <v>122.88</v>
      </c>
      <c r="M111" s="315">
        <f>(AG111*KFC!$B$28+KFC!$C$28)*KFC!$C$5</f>
        <v>128.53</v>
      </c>
      <c r="N111" s="315">
        <f>(AH111*KFC!$B$28+KFC!$C$28)*KFC!$C$5</f>
        <v>134.19</v>
      </c>
      <c r="O111" s="315">
        <f>(AI111*KFC!$B$28+KFC!$C$28)*KFC!$C$5</f>
        <v>139.84</v>
      </c>
      <c r="P111" s="315">
        <f>(AJ111*KFC!$B$28+KFC!$C$28)*KFC!$C$5</f>
        <v>145.49</v>
      </c>
      <c r="Q111" s="315">
        <f>(AK111*KFC!$B$28+KFC!$C$28)*KFC!$C$5</f>
        <v>151.14000000000001</v>
      </c>
      <c r="R111" s="315">
        <f>(AL111*KFC!$B$28+KFC!$C$28)*KFC!$C$5</f>
        <v>156.79000000000002</v>
      </c>
      <c r="S111" s="315">
        <f>(AM111*KFC!$B$28+KFC!$C$28)*KFC!$C$5</f>
        <v>162.44000000000003</v>
      </c>
      <c r="T111" s="315">
        <f>(AN111*KFC!$B$28+KFC!$C$28)*KFC!$C$5</f>
        <v>168.09000000000003</v>
      </c>
      <c r="V111" s="851">
        <v>1.9</v>
      </c>
      <c r="W111" s="847">
        <v>72.45</v>
      </c>
      <c r="X111" s="847">
        <v>78.11</v>
      </c>
      <c r="Y111" s="847">
        <v>83.76</v>
      </c>
      <c r="Z111" s="847">
        <v>89.3</v>
      </c>
      <c r="AA111" s="847">
        <v>94.95</v>
      </c>
      <c r="AB111" s="847">
        <v>100.61</v>
      </c>
      <c r="AC111" s="847">
        <v>106.03</v>
      </c>
      <c r="AD111" s="847">
        <v>111.69</v>
      </c>
      <c r="AE111" s="847">
        <v>117.34</v>
      </c>
      <c r="AF111" s="847">
        <v>122.88</v>
      </c>
      <c r="AG111" s="847">
        <v>128.53</v>
      </c>
      <c r="AH111" s="847">
        <v>134.19</v>
      </c>
      <c r="AI111" s="848">
        <v>139.84</v>
      </c>
      <c r="AJ111" s="690">
        <f t="shared" si="12"/>
        <v>145.49</v>
      </c>
      <c r="AK111" s="690">
        <f t="shared" si="13"/>
        <v>151.14000000000001</v>
      </c>
      <c r="AL111" s="690">
        <f t="shared" si="13"/>
        <v>156.79000000000002</v>
      </c>
      <c r="AM111" s="690">
        <f t="shared" si="13"/>
        <v>162.44000000000003</v>
      </c>
      <c r="AN111" s="690">
        <f t="shared" si="13"/>
        <v>168.09000000000003</v>
      </c>
      <c r="AO111" s="690">
        <f t="shared" si="13"/>
        <v>173.74000000000004</v>
      </c>
      <c r="AP111" s="690">
        <f t="shared" si="13"/>
        <v>179.39000000000004</v>
      </c>
    </row>
    <row r="112" spans="1:42" ht="14.25" customHeight="1">
      <c r="A112" s="1816"/>
      <c r="B112" s="849">
        <v>2</v>
      </c>
      <c r="C112" s="314">
        <f>(W112*KFC!$B$28+KFC!$C$28)*KFC!$C$5</f>
        <v>74.930000000000007</v>
      </c>
      <c r="D112" s="315">
        <f>(X112*KFC!$B$28+KFC!$C$28)*KFC!$C$5</f>
        <v>80.59</v>
      </c>
      <c r="E112" s="315">
        <f>(Y112*KFC!$B$28+KFC!$C$28)*KFC!$C$5</f>
        <v>86.12</v>
      </c>
      <c r="F112" s="315">
        <f>(Z112*KFC!$B$28+KFC!$C$28)*KFC!$C$5</f>
        <v>91.78</v>
      </c>
      <c r="G112" s="315">
        <f>(AA112*KFC!$B$28+KFC!$C$28)*KFC!$C$5</f>
        <v>97.43</v>
      </c>
      <c r="H112" s="315">
        <f>(AB112*KFC!$B$28+KFC!$C$28)*KFC!$C$5</f>
        <v>102.97</v>
      </c>
      <c r="I112" s="315">
        <f>(AC112*KFC!$B$28+KFC!$C$28)*KFC!$C$5</f>
        <v>108.75</v>
      </c>
      <c r="J112" s="315">
        <f>(AD112*KFC!$B$28+KFC!$C$28)*KFC!$C$5</f>
        <v>114.39</v>
      </c>
      <c r="K112" s="315">
        <f>(AE112*KFC!$B$28+KFC!$C$28)*KFC!$C$5</f>
        <v>120.05</v>
      </c>
      <c r="L112" s="315">
        <f>(AF112*KFC!$B$28+KFC!$C$28)*KFC!$C$5</f>
        <v>125.58</v>
      </c>
      <c r="M112" s="315">
        <f>(AG112*KFC!$B$28+KFC!$C$28)*KFC!$C$5</f>
        <v>131.24</v>
      </c>
      <c r="N112" s="315">
        <f>(AH112*KFC!$B$28+KFC!$C$28)*KFC!$C$5</f>
        <v>136.88999999999999</v>
      </c>
      <c r="O112" s="315">
        <f>(AI112*KFC!$B$28+KFC!$C$28)*KFC!$C$5</f>
        <v>142.55000000000001</v>
      </c>
      <c r="P112" s="315">
        <f>(AJ112*KFC!$B$28+KFC!$C$28)*KFC!$C$5</f>
        <v>148.21000000000004</v>
      </c>
      <c r="Q112" s="315">
        <f>(AK112*KFC!$B$28+KFC!$C$28)*KFC!$C$5</f>
        <v>153.87000000000006</v>
      </c>
      <c r="R112" s="315">
        <f>(AL112*KFC!$B$28+KFC!$C$28)*KFC!$C$5</f>
        <v>159.53000000000009</v>
      </c>
      <c r="S112" s="315">
        <f>(AM112*KFC!$B$28+KFC!$C$28)*KFC!$C$5</f>
        <v>165.19000000000011</v>
      </c>
      <c r="T112" s="315">
        <f>(AN112*KFC!$B$28+KFC!$C$28)*KFC!$C$5</f>
        <v>170.85000000000014</v>
      </c>
      <c r="V112" s="851">
        <v>2</v>
      </c>
      <c r="W112" s="847">
        <v>74.930000000000007</v>
      </c>
      <c r="X112" s="847">
        <v>80.59</v>
      </c>
      <c r="Y112" s="847">
        <v>86.12</v>
      </c>
      <c r="Z112" s="847">
        <v>91.78</v>
      </c>
      <c r="AA112" s="847">
        <v>97.43</v>
      </c>
      <c r="AB112" s="847">
        <v>102.97</v>
      </c>
      <c r="AC112" s="847">
        <v>108.75</v>
      </c>
      <c r="AD112" s="847">
        <v>114.39</v>
      </c>
      <c r="AE112" s="847">
        <v>120.05</v>
      </c>
      <c r="AF112" s="847">
        <v>125.58</v>
      </c>
      <c r="AG112" s="847">
        <v>131.24</v>
      </c>
      <c r="AH112" s="847">
        <v>136.88999999999999</v>
      </c>
      <c r="AI112" s="848">
        <v>142.55000000000001</v>
      </c>
      <c r="AJ112" s="690">
        <f t="shared" si="12"/>
        <v>148.21000000000004</v>
      </c>
      <c r="AK112" s="690">
        <f t="shared" si="13"/>
        <v>153.87000000000006</v>
      </c>
      <c r="AL112" s="690">
        <f t="shared" si="13"/>
        <v>159.53000000000009</v>
      </c>
      <c r="AM112" s="690">
        <f t="shared" si="13"/>
        <v>165.19000000000011</v>
      </c>
      <c r="AN112" s="690">
        <f t="shared" si="13"/>
        <v>170.85000000000014</v>
      </c>
      <c r="AO112" s="690">
        <f t="shared" si="13"/>
        <v>176.51000000000016</v>
      </c>
      <c r="AP112" s="690">
        <f t="shared" si="13"/>
        <v>182.17000000000019</v>
      </c>
    </row>
    <row r="113" spans="1:42" ht="14.25" customHeight="1">
      <c r="A113" s="1816"/>
      <c r="B113" s="849">
        <v>2.1</v>
      </c>
      <c r="C113" s="314">
        <f>(W113*KFC!$B$28+KFC!$C$28)*KFC!$C$5</f>
        <v>77.400000000000006</v>
      </c>
      <c r="D113" s="315">
        <f>(X113*KFC!$B$28+KFC!$C$28)*KFC!$C$5</f>
        <v>83.06</v>
      </c>
      <c r="E113" s="315">
        <f>(Y113*KFC!$B$28+KFC!$C$28)*KFC!$C$5</f>
        <v>88.47</v>
      </c>
      <c r="F113" s="315">
        <f>(Z113*KFC!$B$28+KFC!$C$28)*KFC!$C$5</f>
        <v>94.25</v>
      </c>
      <c r="G113" s="315">
        <f>(AA113*KFC!$B$28+KFC!$C$28)*KFC!$C$5</f>
        <v>99.91</v>
      </c>
      <c r="H113" s="315">
        <f>(AB113*KFC!$B$28+KFC!$C$28)*KFC!$C$5</f>
        <v>105.33</v>
      </c>
      <c r="I113" s="315">
        <f>(AC113*KFC!$B$28+KFC!$C$28)*KFC!$C$5</f>
        <v>111.45</v>
      </c>
      <c r="J113" s="315">
        <f>(AD113*KFC!$B$28+KFC!$C$28)*KFC!$C$5</f>
        <v>117.11</v>
      </c>
      <c r="K113" s="315">
        <f>(AE113*KFC!$B$28+KFC!$C$28)*KFC!$C$5</f>
        <v>122.76</v>
      </c>
      <c r="L113" s="315">
        <f>(AF113*KFC!$B$28+KFC!$C$28)*KFC!$C$5</f>
        <v>128.30000000000001</v>
      </c>
      <c r="M113" s="315">
        <f>(AG113*KFC!$B$28+KFC!$C$28)*KFC!$C$5</f>
        <v>133.94999999999999</v>
      </c>
      <c r="N113" s="315">
        <f>(AH113*KFC!$B$28+KFC!$C$28)*KFC!$C$5</f>
        <v>139.61000000000001</v>
      </c>
      <c r="O113" s="315">
        <f>(AI113*KFC!$B$28+KFC!$C$28)*KFC!$C$5</f>
        <v>145.27000000000001</v>
      </c>
      <c r="P113" s="315">
        <f>(AJ113*KFC!$B$28+KFC!$C$28)*KFC!$C$5</f>
        <v>150.93</v>
      </c>
      <c r="Q113" s="315">
        <f>(AK113*KFC!$B$28+KFC!$C$28)*KFC!$C$5</f>
        <v>156.59</v>
      </c>
      <c r="R113" s="315">
        <f>(AL113*KFC!$B$28+KFC!$C$28)*KFC!$C$5</f>
        <v>162.25</v>
      </c>
      <c r="S113" s="315">
        <f>(AM113*KFC!$B$28+KFC!$C$28)*KFC!$C$5</f>
        <v>167.91</v>
      </c>
      <c r="T113" s="315">
        <f>(AN113*KFC!$B$28+KFC!$C$28)*KFC!$C$5</f>
        <v>173.57</v>
      </c>
      <c r="V113" s="851">
        <v>2.1</v>
      </c>
      <c r="W113" s="847">
        <v>77.400000000000006</v>
      </c>
      <c r="X113" s="847">
        <v>83.06</v>
      </c>
      <c r="Y113" s="847">
        <v>88.47</v>
      </c>
      <c r="Z113" s="847">
        <v>94.25</v>
      </c>
      <c r="AA113" s="847">
        <v>99.91</v>
      </c>
      <c r="AB113" s="847">
        <v>105.33</v>
      </c>
      <c r="AC113" s="847">
        <v>111.45</v>
      </c>
      <c r="AD113" s="847">
        <v>117.11</v>
      </c>
      <c r="AE113" s="847">
        <v>122.76</v>
      </c>
      <c r="AF113" s="847">
        <v>128.30000000000001</v>
      </c>
      <c r="AG113" s="847">
        <v>133.94999999999999</v>
      </c>
      <c r="AH113" s="847">
        <v>139.61000000000001</v>
      </c>
      <c r="AI113" s="848">
        <v>145.27000000000001</v>
      </c>
      <c r="AJ113" s="690">
        <f t="shared" si="12"/>
        <v>150.93</v>
      </c>
      <c r="AK113" s="690">
        <f t="shared" ref="AK113:AP114" si="14">AJ113-AI113+AJ113</f>
        <v>156.59</v>
      </c>
      <c r="AL113" s="690">
        <f t="shared" si="14"/>
        <v>162.25</v>
      </c>
      <c r="AM113" s="690">
        <f t="shared" si="14"/>
        <v>167.91</v>
      </c>
      <c r="AN113" s="690">
        <f t="shared" si="14"/>
        <v>173.57</v>
      </c>
      <c r="AO113" s="690">
        <f t="shared" si="14"/>
        <v>179.23</v>
      </c>
      <c r="AP113" s="690">
        <f t="shared" si="14"/>
        <v>184.89</v>
      </c>
    </row>
    <row r="114" spans="1:42" ht="14.25" customHeight="1" thickBot="1">
      <c r="A114" s="1817"/>
      <c r="B114" s="849">
        <v>2.2000000000000002</v>
      </c>
      <c r="C114" s="317">
        <f>(W114*KFC!$B$28+KFC!$C$28)*KFC!$C$5</f>
        <v>79.88</v>
      </c>
      <c r="D114" s="318">
        <f>(X114*KFC!$B$28+KFC!$C$28)*KFC!$C$5</f>
        <v>85.53</v>
      </c>
      <c r="E114" s="318">
        <f>(Y114*KFC!$B$28+KFC!$C$28)*KFC!$C$5</f>
        <v>90.83</v>
      </c>
      <c r="F114" s="318">
        <f>(Z114*KFC!$B$28+KFC!$C$28)*KFC!$C$5</f>
        <v>96.72</v>
      </c>
      <c r="G114" s="318">
        <f>(AA114*KFC!$B$28+KFC!$C$28)*KFC!$C$5</f>
        <v>102.38</v>
      </c>
      <c r="H114" s="318">
        <f>(AB114*KFC!$B$28+KFC!$C$28)*KFC!$C$5</f>
        <v>107.68</v>
      </c>
      <c r="I114" s="318">
        <f>(AC114*KFC!$B$28+KFC!$C$28)*KFC!$C$5</f>
        <v>114.16</v>
      </c>
      <c r="J114" s="318">
        <f>(AD114*KFC!$B$28+KFC!$C$28)*KFC!$C$5</f>
        <v>119.81</v>
      </c>
      <c r="K114" s="318">
        <f>(AE114*KFC!$B$28+KFC!$C$28)*KFC!$C$5</f>
        <v>125.46</v>
      </c>
      <c r="L114" s="318">
        <f>(AF114*KFC!$B$28+KFC!$C$28)*KFC!$C$5</f>
        <v>131</v>
      </c>
      <c r="M114" s="318">
        <f>(AG114*KFC!$B$28+KFC!$C$28)*KFC!$C$5</f>
        <v>136.66</v>
      </c>
      <c r="N114" s="318">
        <f>(AH114*KFC!$B$28+KFC!$C$28)*KFC!$C$5</f>
        <v>142.32</v>
      </c>
      <c r="O114" s="318">
        <f>(AI114*KFC!$B$28+KFC!$C$28)*KFC!$C$5</f>
        <v>147.97</v>
      </c>
      <c r="P114" s="318">
        <f>(AJ114*KFC!$B$28+KFC!$C$28)*KFC!$C$5</f>
        <v>153.62</v>
      </c>
      <c r="Q114" s="318">
        <f>(AK114*KFC!$B$28+KFC!$C$28)*KFC!$C$5</f>
        <v>159.27000000000001</v>
      </c>
      <c r="R114" s="318">
        <f>(AL114*KFC!$B$28+KFC!$C$28)*KFC!$C$5</f>
        <v>164.92000000000002</v>
      </c>
      <c r="S114" s="318">
        <f>(AM114*KFC!$B$28+KFC!$C$28)*KFC!$C$5</f>
        <v>170.57000000000002</v>
      </c>
      <c r="T114" s="318">
        <f>(AN114*KFC!$B$28+KFC!$C$28)*KFC!$C$5</f>
        <v>176.22000000000003</v>
      </c>
      <c r="V114" s="851">
        <v>2.2000000000000002</v>
      </c>
      <c r="W114" s="847">
        <v>79.88</v>
      </c>
      <c r="X114" s="847">
        <v>85.53</v>
      </c>
      <c r="Y114" s="847">
        <v>90.83</v>
      </c>
      <c r="Z114" s="847">
        <v>96.72</v>
      </c>
      <c r="AA114" s="847">
        <v>102.38</v>
      </c>
      <c r="AB114" s="847">
        <v>107.68</v>
      </c>
      <c r="AC114" s="847">
        <v>114.16</v>
      </c>
      <c r="AD114" s="847">
        <v>119.81</v>
      </c>
      <c r="AE114" s="847">
        <v>125.46</v>
      </c>
      <c r="AF114" s="847">
        <v>131</v>
      </c>
      <c r="AG114" s="847">
        <v>136.66</v>
      </c>
      <c r="AH114" s="847">
        <v>142.32</v>
      </c>
      <c r="AI114" s="848">
        <v>147.97</v>
      </c>
      <c r="AJ114" s="690">
        <f t="shared" si="12"/>
        <v>153.62</v>
      </c>
      <c r="AK114" s="690">
        <f t="shared" si="14"/>
        <v>159.27000000000001</v>
      </c>
      <c r="AL114" s="690">
        <f t="shared" si="14"/>
        <v>164.92000000000002</v>
      </c>
      <c r="AM114" s="690">
        <f t="shared" si="14"/>
        <v>170.57000000000002</v>
      </c>
      <c r="AN114" s="690">
        <f t="shared" si="14"/>
        <v>176.22000000000003</v>
      </c>
      <c r="AO114" s="690">
        <f t="shared" si="14"/>
        <v>181.87000000000003</v>
      </c>
      <c r="AP114" s="690">
        <f t="shared" si="14"/>
        <v>187.52000000000004</v>
      </c>
    </row>
    <row r="115" spans="1:42" ht="14.25" customHeight="1" thickBot="1">
      <c r="A115" s="249"/>
      <c r="B115" s="249"/>
      <c r="C115" s="249"/>
      <c r="D115" s="249"/>
      <c r="E115" s="249"/>
      <c r="F115" s="249"/>
      <c r="G115" s="249"/>
      <c r="H115" s="249"/>
      <c r="I115" s="249"/>
      <c r="J115" s="249"/>
      <c r="K115" s="249"/>
      <c r="L115" s="249"/>
      <c r="M115" s="161"/>
      <c r="N115" s="161"/>
    </row>
    <row r="116" spans="1:42" ht="14.25" customHeight="1" thickBot="1">
      <c r="A116" s="1413" t="s">
        <v>320</v>
      </c>
      <c r="B116" s="1415"/>
      <c r="C116" s="1534" t="s">
        <v>207</v>
      </c>
      <c r="D116" s="1535"/>
      <c r="E116" s="1535"/>
      <c r="F116" s="1535"/>
      <c r="G116" s="1535"/>
      <c r="H116" s="1535"/>
      <c r="I116" s="1535"/>
      <c r="J116" s="1535"/>
      <c r="K116" s="1535"/>
      <c r="L116" s="1535"/>
      <c r="M116" s="1535"/>
      <c r="N116" s="1535"/>
      <c r="O116" s="1535"/>
      <c r="P116" s="1535"/>
      <c r="Q116" s="1535"/>
      <c r="R116" s="1535"/>
      <c r="S116" s="1535"/>
      <c r="T116" s="1535"/>
    </row>
    <row r="117" spans="1:42" ht="14.25" customHeight="1" thickBot="1">
      <c r="A117" s="1416"/>
      <c r="B117" s="1418"/>
      <c r="C117" s="428">
        <v>0.4</v>
      </c>
      <c r="D117" s="428">
        <v>0.5</v>
      </c>
      <c r="E117" s="428">
        <v>0.6</v>
      </c>
      <c r="F117" s="428">
        <v>0.7</v>
      </c>
      <c r="G117" s="428">
        <v>0.8</v>
      </c>
      <c r="H117" s="428">
        <v>0.9</v>
      </c>
      <c r="I117" s="428">
        <v>1</v>
      </c>
      <c r="J117" s="428">
        <v>1.1000000000000001</v>
      </c>
      <c r="K117" s="428">
        <v>1.2</v>
      </c>
      <c r="L117" s="428">
        <v>1.3</v>
      </c>
      <c r="M117" s="428">
        <v>1.4</v>
      </c>
      <c r="N117" s="428">
        <v>1.5</v>
      </c>
      <c r="O117" s="428">
        <v>1.6</v>
      </c>
      <c r="P117" s="428">
        <v>1.7</v>
      </c>
      <c r="Q117" s="428">
        <v>1.8</v>
      </c>
      <c r="R117" s="428">
        <v>1.9</v>
      </c>
      <c r="S117" s="428">
        <v>2</v>
      </c>
      <c r="T117" s="428">
        <v>2.1</v>
      </c>
      <c r="V117" s="850"/>
      <c r="W117" s="851">
        <v>0.4</v>
      </c>
      <c r="X117" s="851">
        <v>0.5</v>
      </c>
      <c r="Y117" s="851">
        <v>0.6</v>
      </c>
      <c r="Z117" s="851">
        <v>0.7</v>
      </c>
      <c r="AA117" s="851">
        <v>0.8</v>
      </c>
      <c r="AB117" s="851">
        <v>0.9</v>
      </c>
      <c r="AC117" s="851">
        <v>1</v>
      </c>
      <c r="AD117" s="851">
        <v>1.1000000000000001</v>
      </c>
      <c r="AE117" s="851">
        <v>1.2</v>
      </c>
      <c r="AF117" s="851">
        <v>1.3</v>
      </c>
      <c r="AG117" s="851">
        <v>1.4</v>
      </c>
      <c r="AH117" s="851">
        <v>1.5</v>
      </c>
      <c r="AI117" s="852">
        <v>1.6</v>
      </c>
      <c r="AJ117" s="853">
        <v>1.7</v>
      </c>
      <c r="AK117" s="853">
        <v>1.8</v>
      </c>
      <c r="AL117" s="853">
        <v>1.9</v>
      </c>
      <c r="AM117" s="853">
        <v>2</v>
      </c>
      <c r="AN117" s="853">
        <v>2.1</v>
      </c>
      <c r="AO117" s="853">
        <v>2.2000000000000002</v>
      </c>
      <c r="AP117" s="853">
        <v>2.2999999999999998</v>
      </c>
    </row>
    <row r="118" spans="1:42" ht="14.25" customHeight="1">
      <c r="A118" s="1815" t="s">
        <v>3</v>
      </c>
      <c r="B118" s="849">
        <v>0.5</v>
      </c>
      <c r="C118" s="311">
        <f>(W118*KFC!$B$28+KFC!$C$28)*KFC!$C$5</f>
        <v>47.6</v>
      </c>
      <c r="D118" s="312">
        <f>(X118*KFC!$B$28+KFC!$C$28)*KFC!$C$5</f>
        <v>53.6</v>
      </c>
      <c r="E118" s="312">
        <f>(Y118*KFC!$B$28+KFC!$C$28)*KFC!$C$5</f>
        <v>59.61</v>
      </c>
      <c r="F118" s="312">
        <f>(Z118*KFC!$B$28+KFC!$C$28)*KFC!$C$5</f>
        <v>65.86</v>
      </c>
      <c r="G118" s="312">
        <f>(AA118*KFC!$B$28+KFC!$C$28)*KFC!$C$5</f>
        <v>71.75</v>
      </c>
      <c r="H118" s="312">
        <f>(AB118*KFC!$B$28+KFC!$C$28)*KFC!$C$5</f>
        <v>77.75</v>
      </c>
      <c r="I118" s="312">
        <f>(AC118*KFC!$B$28+KFC!$C$28)*KFC!$C$5</f>
        <v>83.87</v>
      </c>
      <c r="J118" s="312">
        <f>(AD118*KFC!$B$28+KFC!$C$28)*KFC!$C$5</f>
        <v>89.89</v>
      </c>
      <c r="K118" s="312">
        <f>(AE118*KFC!$B$28+KFC!$C$28)*KFC!$C$5</f>
        <v>96.01</v>
      </c>
      <c r="L118" s="312">
        <f>(AF118*KFC!$B$28+KFC!$C$28)*KFC!$C$5</f>
        <v>102.02</v>
      </c>
      <c r="M118" s="312">
        <f>(AG118*KFC!$B$28+KFC!$C$28)*KFC!$C$5</f>
        <v>108.02</v>
      </c>
      <c r="N118" s="312">
        <f>(AH118*KFC!$B$28+KFC!$C$28)*KFC!$C$5</f>
        <v>114.16</v>
      </c>
      <c r="O118" s="312">
        <f>(AI118*KFC!$B$28+KFC!$C$28)*KFC!$C$5</f>
        <v>120.28</v>
      </c>
      <c r="P118" s="312">
        <f>(AJ118*KFC!$B$28+KFC!$C$28)*KFC!$C$5</f>
        <v>126.4</v>
      </c>
      <c r="Q118" s="312">
        <f>(AK118*KFC!$B$28+KFC!$C$28)*KFC!$C$5</f>
        <v>132.52000000000001</v>
      </c>
      <c r="R118" s="312">
        <f>(AL118*KFC!$B$28+KFC!$C$28)*KFC!$C$5</f>
        <v>138.64000000000001</v>
      </c>
      <c r="S118" s="312">
        <f>(AM118*KFC!$B$28+KFC!$C$28)*KFC!$C$5</f>
        <v>144.76000000000002</v>
      </c>
      <c r="T118" s="312">
        <f>(AN118*KFC!$B$28+KFC!$C$28)*KFC!$C$5</f>
        <v>150.88000000000002</v>
      </c>
      <c r="V118" s="851">
        <v>0.5</v>
      </c>
      <c r="W118" s="847">
        <v>47.6</v>
      </c>
      <c r="X118" s="847">
        <v>53.6</v>
      </c>
      <c r="Y118" s="847">
        <v>59.61</v>
      </c>
      <c r="Z118" s="847">
        <v>65.86</v>
      </c>
      <c r="AA118" s="847">
        <v>71.75</v>
      </c>
      <c r="AB118" s="847">
        <v>77.75</v>
      </c>
      <c r="AC118" s="847">
        <v>83.87</v>
      </c>
      <c r="AD118" s="847">
        <v>89.89</v>
      </c>
      <c r="AE118" s="847">
        <v>96.01</v>
      </c>
      <c r="AF118" s="847">
        <v>102.02</v>
      </c>
      <c r="AG118" s="847">
        <v>108.02</v>
      </c>
      <c r="AH118" s="847">
        <v>114.16</v>
      </c>
      <c r="AI118" s="848">
        <v>120.28</v>
      </c>
      <c r="AJ118" s="690">
        <f t="shared" ref="AJ118:AJ135" si="15">AI118-AH118+AI118</f>
        <v>126.4</v>
      </c>
      <c r="AK118" s="690">
        <f t="shared" ref="AK118:AP133" si="16">AJ118-AI118+AJ118</f>
        <v>132.52000000000001</v>
      </c>
      <c r="AL118" s="690">
        <f t="shared" si="16"/>
        <v>138.64000000000001</v>
      </c>
      <c r="AM118" s="690">
        <f t="shared" si="16"/>
        <v>144.76000000000002</v>
      </c>
      <c r="AN118" s="690">
        <f t="shared" si="16"/>
        <v>150.88000000000002</v>
      </c>
      <c r="AO118" s="690">
        <f t="shared" si="16"/>
        <v>157.00000000000003</v>
      </c>
      <c r="AP118" s="690">
        <f t="shared" si="16"/>
        <v>163.12000000000003</v>
      </c>
    </row>
    <row r="119" spans="1:42" ht="14.25" customHeight="1">
      <c r="A119" s="1816"/>
      <c r="B119" s="849">
        <v>0.6</v>
      </c>
      <c r="C119" s="314">
        <f>(W119*KFC!$B$28+KFC!$C$28)*KFC!$C$5</f>
        <v>50.66</v>
      </c>
      <c r="D119" s="315">
        <f>(X119*KFC!$B$28+KFC!$C$28)*KFC!$C$5</f>
        <v>56.91</v>
      </c>
      <c r="E119" s="315">
        <f>(Y119*KFC!$B$28+KFC!$C$28)*KFC!$C$5</f>
        <v>63.15</v>
      </c>
      <c r="F119" s="315">
        <f>(Z119*KFC!$B$28+KFC!$C$28)*KFC!$C$5</f>
        <v>69.150000000000006</v>
      </c>
      <c r="G119" s="315">
        <f>(AA119*KFC!$B$28+KFC!$C$28)*KFC!$C$5</f>
        <v>75.400000000000006</v>
      </c>
      <c r="H119" s="315">
        <f>(AB119*KFC!$B$28+KFC!$C$28)*KFC!$C$5</f>
        <v>81.41</v>
      </c>
      <c r="I119" s="315">
        <f>(AC119*KFC!$B$28+KFC!$C$28)*KFC!$C$5</f>
        <v>87.65</v>
      </c>
      <c r="J119" s="315">
        <f>(AD119*KFC!$B$28+KFC!$C$28)*KFC!$C$5</f>
        <v>93.78</v>
      </c>
      <c r="K119" s="315">
        <f>(AE119*KFC!$B$28+KFC!$C$28)*KFC!$C$5</f>
        <v>99.91</v>
      </c>
      <c r="L119" s="315">
        <f>(AF119*KFC!$B$28+KFC!$C$28)*KFC!$C$5</f>
        <v>106.03</v>
      </c>
      <c r="M119" s="315">
        <f>(AG119*KFC!$B$28+KFC!$C$28)*KFC!$C$5</f>
        <v>112.28</v>
      </c>
      <c r="N119" s="315">
        <f>(AH119*KFC!$B$28+KFC!$C$28)*KFC!$C$5</f>
        <v>118.4</v>
      </c>
      <c r="O119" s="315">
        <f>(AI119*KFC!$B$28+KFC!$C$28)*KFC!$C$5</f>
        <v>124.52</v>
      </c>
      <c r="P119" s="315">
        <f>(AJ119*KFC!$B$28+KFC!$C$28)*KFC!$C$5</f>
        <v>130.63999999999999</v>
      </c>
      <c r="Q119" s="315">
        <f>(AK119*KFC!$B$28+KFC!$C$28)*KFC!$C$5</f>
        <v>136.76</v>
      </c>
      <c r="R119" s="315">
        <f>(AL119*KFC!$B$28+KFC!$C$28)*KFC!$C$5</f>
        <v>142.88</v>
      </c>
      <c r="S119" s="315">
        <f>(AM119*KFC!$B$28+KFC!$C$28)*KFC!$C$5</f>
        <v>149</v>
      </c>
      <c r="T119" s="315">
        <f>(AN119*KFC!$B$28+KFC!$C$28)*KFC!$C$5</f>
        <v>155.12</v>
      </c>
      <c r="V119" s="851">
        <v>0.6</v>
      </c>
      <c r="W119" s="847">
        <v>50.66</v>
      </c>
      <c r="X119" s="847">
        <v>56.91</v>
      </c>
      <c r="Y119" s="847">
        <v>63.15</v>
      </c>
      <c r="Z119" s="847">
        <v>69.150000000000006</v>
      </c>
      <c r="AA119" s="847">
        <v>75.400000000000006</v>
      </c>
      <c r="AB119" s="847">
        <v>81.41</v>
      </c>
      <c r="AC119" s="847">
        <v>87.65</v>
      </c>
      <c r="AD119" s="847">
        <v>93.78</v>
      </c>
      <c r="AE119" s="847">
        <v>99.91</v>
      </c>
      <c r="AF119" s="847">
        <v>106.03</v>
      </c>
      <c r="AG119" s="847">
        <v>112.28</v>
      </c>
      <c r="AH119" s="847">
        <v>118.4</v>
      </c>
      <c r="AI119" s="848">
        <v>124.52</v>
      </c>
      <c r="AJ119" s="690">
        <f t="shared" si="15"/>
        <v>130.63999999999999</v>
      </c>
      <c r="AK119" s="690">
        <f t="shared" si="16"/>
        <v>136.76</v>
      </c>
      <c r="AL119" s="690">
        <f t="shared" si="16"/>
        <v>142.88</v>
      </c>
      <c r="AM119" s="690">
        <f t="shared" si="16"/>
        <v>149</v>
      </c>
      <c r="AN119" s="690">
        <f t="shared" si="16"/>
        <v>155.12</v>
      </c>
      <c r="AO119" s="690">
        <f t="shared" si="16"/>
        <v>161.24</v>
      </c>
      <c r="AP119" s="690">
        <f t="shared" si="16"/>
        <v>167.36</v>
      </c>
    </row>
    <row r="120" spans="1:42" ht="14.25" customHeight="1">
      <c r="A120" s="1816"/>
      <c r="B120" s="849">
        <v>0.7</v>
      </c>
      <c r="C120" s="314">
        <f>(W120*KFC!$B$28+KFC!$C$28)*KFC!$C$5</f>
        <v>53.83</v>
      </c>
      <c r="D120" s="315">
        <f>(X120*KFC!$B$28+KFC!$C$28)*KFC!$C$5</f>
        <v>60.08</v>
      </c>
      <c r="E120" s="315">
        <f>(Y120*KFC!$B$28+KFC!$C$28)*KFC!$C$5</f>
        <v>66.44</v>
      </c>
      <c r="F120" s="315">
        <f>(Z120*KFC!$B$28+KFC!$C$28)*KFC!$C$5</f>
        <v>72.569999999999993</v>
      </c>
      <c r="G120" s="315">
        <f>(AA120*KFC!$B$28+KFC!$C$28)*KFC!$C$5</f>
        <v>78.930000000000007</v>
      </c>
      <c r="H120" s="315">
        <f>(AB120*KFC!$B$28+KFC!$C$28)*KFC!$C$5</f>
        <v>85.19</v>
      </c>
      <c r="I120" s="315">
        <f>(AC120*KFC!$B$28+KFC!$C$28)*KFC!$C$5</f>
        <v>91.31</v>
      </c>
      <c r="J120" s="315">
        <f>(AD120*KFC!$B$28+KFC!$C$28)*KFC!$C$5</f>
        <v>97.67</v>
      </c>
      <c r="K120" s="315">
        <f>(AE120*KFC!$B$28+KFC!$C$28)*KFC!$C$5</f>
        <v>103.91</v>
      </c>
      <c r="L120" s="315">
        <f>(AF120*KFC!$B$28+KFC!$C$28)*KFC!$C$5</f>
        <v>110.27</v>
      </c>
      <c r="M120" s="315">
        <f>(AG120*KFC!$B$28+KFC!$C$28)*KFC!$C$5</f>
        <v>116.28</v>
      </c>
      <c r="N120" s="315">
        <f>(AH120*KFC!$B$28+KFC!$C$28)*KFC!$C$5</f>
        <v>122.52</v>
      </c>
      <c r="O120" s="315">
        <f>(AI120*KFC!$B$28+KFC!$C$28)*KFC!$C$5</f>
        <v>128.77000000000001</v>
      </c>
      <c r="P120" s="315">
        <f>(AJ120*KFC!$B$28+KFC!$C$28)*KFC!$C$5</f>
        <v>135.02000000000004</v>
      </c>
      <c r="Q120" s="315">
        <f>(AK120*KFC!$B$28+KFC!$C$28)*KFC!$C$5</f>
        <v>141.27000000000007</v>
      </c>
      <c r="R120" s="315">
        <f>(AL120*KFC!$B$28+KFC!$C$28)*KFC!$C$5</f>
        <v>147.5200000000001</v>
      </c>
      <c r="S120" s="315">
        <f>(AM120*KFC!$B$28+KFC!$C$28)*KFC!$C$5</f>
        <v>153.77000000000012</v>
      </c>
      <c r="T120" s="315">
        <f>(AN120*KFC!$B$28+KFC!$C$28)*KFC!$C$5</f>
        <v>160.02000000000015</v>
      </c>
      <c r="V120" s="851">
        <v>0.7</v>
      </c>
      <c r="W120" s="847">
        <v>53.83</v>
      </c>
      <c r="X120" s="847">
        <v>60.08</v>
      </c>
      <c r="Y120" s="847">
        <v>66.44</v>
      </c>
      <c r="Z120" s="847">
        <v>72.569999999999993</v>
      </c>
      <c r="AA120" s="847">
        <v>78.930000000000007</v>
      </c>
      <c r="AB120" s="847">
        <v>85.19</v>
      </c>
      <c r="AC120" s="847">
        <v>91.31</v>
      </c>
      <c r="AD120" s="847">
        <v>97.67</v>
      </c>
      <c r="AE120" s="847">
        <v>103.91</v>
      </c>
      <c r="AF120" s="847">
        <v>110.27</v>
      </c>
      <c r="AG120" s="847">
        <v>116.28</v>
      </c>
      <c r="AH120" s="847">
        <v>122.52</v>
      </c>
      <c r="AI120" s="848">
        <v>128.77000000000001</v>
      </c>
      <c r="AJ120" s="690">
        <f t="shared" si="15"/>
        <v>135.02000000000004</v>
      </c>
      <c r="AK120" s="690">
        <f t="shared" si="16"/>
        <v>141.27000000000007</v>
      </c>
      <c r="AL120" s="690">
        <f t="shared" si="16"/>
        <v>147.5200000000001</v>
      </c>
      <c r="AM120" s="690">
        <f t="shared" si="16"/>
        <v>153.77000000000012</v>
      </c>
      <c r="AN120" s="690">
        <f t="shared" si="16"/>
        <v>160.02000000000015</v>
      </c>
      <c r="AO120" s="690">
        <f t="shared" si="16"/>
        <v>166.27000000000018</v>
      </c>
      <c r="AP120" s="690">
        <f t="shared" si="16"/>
        <v>172.52000000000021</v>
      </c>
    </row>
    <row r="121" spans="1:42" ht="14.25" customHeight="1">
      <c r="A121" s="1816"/>
      <c r="B121" s="849">
        <v>0.8</v>
      </c>
      <c r="C121" s="314">
        <f>(W121*KFC!$B$28+KFC!$C$28)*KFC!$C$5</f>
        <v>57.03</v>
      </c>
      <c r="D121" s="315">
        <f>(X121*KFC!$B$28+KFC!$C$28)*KFC!$C$5</f>
        <v>63.39</v>
      </c>
      <c r="E121" s="315">
        <f>(Y121*KFC!$B$28+KFC!$C$28)*KFC!$C$5</f>
        <v>69.739999999999995</v>
      </c>
      <c r="F121" s="315">
        <f>(Z121*KFC!$B$28+KFC!$C$28)*KFC!$C$5</f>
        <v>76.099999999999994</v>
      </c>
      <c r="G121" s="315">
        <f>(AA121*KFC!$B$28+KFC!$C$28)*KFC!$C$5</f>
        <v>82.47</v>
      </c>
      <c r="H121" s="315">
        <f>(AB121*KFC!$B$28+KFC!$C$28)*KFC!$C$5</f>
        <v>88.71</v>
      </c>
      <c r="I121" s="315">
        <f>(AC121*KFC!$B$28+KFC!$C$28)*KFC!$C$5</f>
        <v>95.07</v>
      </c>
      <c r="J121" s="315">
        <f>(AD121*KFC!$B$28+KFC!$C$28)*KFC!$C$5</f>
        <v>101.43</v>
      </c>
      <c r="K121" s="315">
        <f>(AE121*KFC!$B$28+KFC!$C$28)*KFC!$C$5</f>
        <v>107.79</v>
      </c>
      <c r="L121" s="315">
        <f>(AF121*KFC!$B$28+KFC!$C$28)*KFC!$C$5</f>
        <v>114.16</v>
      </c>
      <c r="M121" s="315">
        <f>(AG121*KFC!$B$28+KFC!$C$28)*KFC!$C$5</f>
        <v>120.39</v>
      </c>
      <c r="N121" s="315">
        <f>(AH121*KFC!$B$28+KFC!$C$28)*KFC!$C$5</f>
        <v>126.77</v>
      </c>
      <c r="O121" s="315">
        <f>(AI121*KFC!$B$28+KFC!$C$28)*KFC!$C$5</f>
        <v>133.13</v>
      </c>
      <c r="P121" s="315">
        <f>(AJ121*KFC!$B$28+KFC!$C$28)*KFC!$C$5</f>
        <v>139.49</v>
      </c>
      <c r="Q121" s="315">
        <f>(AK121*KFC!$B$28+KFC!$C$28)*KFC!$C$5</f>
        <v>145.85000000000002</v>
      </c>
      <c r="R121" s="315">
        <f>(AL121*KFC!$B$28+KFC!$C$28)*KFC!$C$5</f>
        <v>152.21000000000004</v>
      </c>
      <c r="S121" s="315">
        <f>(AM121*KFC!$B$28+KFC!$C$28)*KFC!$C$5</f>
        <v>158.57000000000005</v>
      </c>
      <c r="T121" s="315">
        <f>(AN121*KFC!$B$28+KFC!$C$28)*KFC!$C$5</f>
        <v>164.93000000000006</v>
      </c>
      <c r="V121" s="851">
        <v>0.8</v>
      </c>
      <c r="W121" s="847">
        <v>57.03</v>
      </c>
      <c r="X121" s="847">
        <v>63.39</v>
      </c>
      <c r="Y121" s="847">
        <v>69.739999999999995</v>
      </c>
      <c r="Z121" s="847">
        <v>76.099999999999994</v>
      </c>
      <c r="AA121" s="847">
        <v>82.47</v>
      </c>
      <c r="AB121" s="847">
        <v>88.71</v>
      </c>
      <c r="AC121" s="847">
        <v>95.07</v>
      </c>
      <c r="AD121" s="847">
        <v>101.43</v>
      </c>
      <c r="AE121" s="847">
        <v>107.79</v>
      </c>
      <c r="AF121" s="847">
        <v>114.16</v>
      </c>
      <c r="AG121" s="847">
        <v>120.39</v>
      </c>
      <c r="AH121" s="847">
        <v>126.77</v>
      </c>
      <c r="AI121" s="848">
        <v>133.13</v>
      </c>
      <c r="AJ121" s="690">
        <f t="shared" si="15"/>
        <v>139.49</v>
      </c>
      <c r="AK121" s="690">
        <f t="shared" si="16"/>
        <v>145.85000000000002</v>
      </c>
      <c r="AL121" s="690">
        <f t="shared" si="16"/>
        <v>152.21000000000004</v>
      </c>
      <c r="AM121" s="690">
        <f t="shared" si="16"/>
        <v>158.57000000000005</v>
      </c>
      <c r="AN121" s="690">
        <f t="shared" si="16"/>
        <v>164.93000000000006</v>
      </c>
      <c r="AO121" s="690">
        <f t="shared" si="16"/>
        <v>171.29000000000008</v>
      </c>
      <c r="AP121" s="690">
        <f t="shared" si="16"/>
        <v>177.65000000000009</v>
      </c>
    </row>
    <row r="122" spans="1:42" ht="14.25" customHeight="1">
      <c r="A122" s="1816"/>
      <c r="B122" s="849">
        <v>0.9</v>
      </c>
      <c r="C122" s="314">
        <f>(W122*KFC!$B$28+KFC!$C$28)*KFC!$C$5</f>
        <v>60.2</v>
      </c>
      <c r="D122" s="315">
        <f>(X122*KFC!$B$28+KFC!$C$28)*KFC!$C$5</f>
        <v>66.680000000000007</v>
      </c>
      <c r="E122" s="315">
        <f>(Y122*KFC!$B$28+KFC!$C$28)*KFC!$C$5</f>
        <v>73.040000000000006</v>
      </c>
      <c r="F122" s="315">
        <f>(Z122*KFC!$B$28+KFC!$C$28)*KFC!$C$5</f>
        <v>79.53</v>
      </c>
      <c r="G122" s="315">
        <f>(AA122*KFC!$B$28+KFC!$C$28)*KFC!$C$5</f>
        <v>85.89</v>
      </c>
      <c r="H122" s="315">
        <f>(AB122*KFC!$B$28+KFC!$C$28)*KFC!$C$5</f>
        <v>92.37</v>
      </c>
      <c r="I122" s="315">
        <f>(AC122*KFC!$B$28+KFC!$C$28)*KFC!$C$5</f>
        <v>98.85</v>
      </c>
      <c r="J122" s="315">
        <f>(AD122*KFC!$B$28+KFC!$C$28)*KFC!$C$5</f>
        <v>105.21</v>
      </c>
      <c r="K122" s="315">
        <f>(AE122*KFC!$B$28+KFC!$C$28)*KFC!$C$5</f>
        <v>111.8</v>
      </c>
      <c r="L122" s="315">
        <f>(AF122*KFC!$B$28+KFC!$C$28)*KFC!$C$5</f>
        <v>118.17</v>
      </c>
      <c r="M122" s="315">
        <f>(AG122*KFC!$B$28+KFC!$C$28)*KFC!$C$5</f>
        <v>124.65</v>
      </c>
      <c r="N122" s="315">
        <f>(AH122*KFC!$B$28+KFC!$C$28)*KFC!$C$5</f>
        <v>131.12</v>
      </c>
      <c r="O122" s="315">
        <f>(AI122*KFC!$B$28+KFC!$C$28)*KFC!$C$5</f>
        <v>137.6</v>
      </c>
      <c r="P122" s="315">
        <f>(AJ122*KFC!$B$28+KFC!$C$28)*KFC!$C$5</f>
        <v>144.07999999999998</v>
      </c>
      <c r="Q122" s="315">
        <f>(AK122*KFC!$B$28+KFC!$C$28)*KFC!$C$5</f>
        <v>150.55999999999997</v>
      </c>
      <c r="R122" s="315">
        <f>(AL122*KFC!$B$28+KFC!$C$28)*KFC!$C$5</f>
        <v>157.03999999999996</v>
      </c>
      <c r="S122" s="315">
        <f>(AM122*KFC!$B$28+KFC!$C$28)*KFC!$C$5</f>
        <v>163.51999999999995</v>
      </c>
      <c r="T122" s="315">
        <f>(AN122*KFC!$B$28+KFC!$C$28)*KFC!$C$5</f>
        <v>169.99999999999994</v>
      </c>
      <c r="V122" s="851">
        <v>0.9</v>
      </c>
      <c r="W122" s="847">
        <v>60.2</v>
      </c>
      <c r="X122" s="847">
        <v>66.680000000000007</v>
      </c>
      <c r="Y122" s="847">
        <v>73.040000000000006</v>
      </c>
      <c r="Z122" s="847">
        <v>79.53</v>
      </c>
      <c r="AA122" s="847">
        <v>85.89</v>
      </c>
      <c r="AB122" s="847">
        <v>92.37</v>
      </c>
      <c r="AC122" s="847">
        <v>98.85</v>
      </c>
      <c r="AD122" s="847">
        <v>105.21</v>
      </c>
      <c r="AE122" s="847">
        <v>111.8</v>
      </c>
      <c r="AF122" s="847">
        <v>118.17</v>
      </c>
      <c r="AG122" s="847">
        <v>124.65</v>
      </c>
      <c r="AH122" s="847">
        <v>131.12</v>
      </c>
      <c r="AI122" s="848">
        <v>137.6</v>
      </c>
      <c r="AJ122" s="690">
        <f t="shared" si="15"/>
        <v>144.07999999999998</v>
      </c>
      <c r="AK122" s="690">
        <f t="shared" si="16"/>
        <v>150.55999999999997</v>
      </c>
      <c r="AL122" s="690">
        <f t="shared" si="16"/>
        <v>157.03999999999996</v>
      </c>
      <c r="AM122" s="690">
        <f t="shared" si="16"/>
        <v>163.51999999999995</v>
      </c>
      <c r="AN122" s="690">
        <f t="shared" si="16"/>
        <v>169.99999999999994</v>
      </c>
      <c r="AO122" s="690">
        <f t="shared" si="16"/>
        <v>176.47999999999993</v>
      </c>
      <c r="AP122" s="690">
        <f t="shared" si="16"/>
        <v>182.95999999999992</v>
      </c>
    </row>
    <row r="123" spans="1:42" ht="14.25" customHeight="1">
      <c r="A123" s="1816"/>
      <c r="B123" s="849">
        <v>1</v>
      </c>
      <c r="C123" s="314">
        <f>(W123*KFC!$B$28+KFC!$C$28)*KFC!$C$5</f>
        <v>63.39</v>
      </c>
      <c r="D123" s="315">
        <f>(X123*KFC!$B$28+KFC!$C$28)*KFC!$C$5</f>
        <v>69.87</v>
      </c>
      <c r="E123" s="315">
        <f>(Y123*KFC!$B$28+KFC!$C$28)*KFC!$C$5</f>
        <v>76.349999999999994</v>
      </c>
      <c r="F123" s="315">
        <f>(Z123*KFC!$B$28+KFC!$C$28)*KFC!$C$5</f>
        <v>82.94</v>
      </c>
      <c r="G123" s="315">
        <f>(AA123*KFC!$B$28+KFC!$C$28)*KFC!$C$5</f>
        <v>89.65</v>
      </c>
      <c r="H123" s="315">
        <f>(AB123*KFC!$B$28+KFC!$C$28)*KFC!$C$5</f>
        <v>96.13</v>
      </c>
      <c r="I123" s="315">
        <f>(AC123*KFC!$B$28+KFC!$C$28)*KFC!$C$5</f>
        <v>102.61</v>
      </c>
      <c r="J123" s="315">
        <f>(AD123*KFC!$B$28+KFC!$C$28)*KFC!$C$5</f>
        <v>109.1</v>
      </c>
      <c r="K123" s="315">
        <f>(AE123*KFC!$B$28+KFC!$C$28)*KFC!$C$5</f>
        <v>115.69</v>
      </c>
      <c r="L123" s="315">
        <f>(AF123*KFC!$B$28+KFC!$C$28)*KFC!$C$5</f>
        <v>122.17</v>
      </c>
      <c r="M123" s="315">
        <f>(AG123*KFC!$B$28+KFC!$C$28)*KFC!$C$5</f>
        <v>128.65</v>
      </c>
      <c r="N123" s="315">
        <f>(AH123*KFC!$B$28+KFC!$C$28)*KFC!$C$5</f>
        <v>135.12</v>
      </c>
      <c r="O123" s="315">
        <f>(AI123*KFC!$B$28+KFC!$C$28)*KFC!$C$5</f>
        <v>141.6</v>
      </c>
      <c r="P123" s="315">
        <f>(AJ123*KFC!$B$28+KFC!$C$28)*KFC!$C$5</f>
        <v>148.07999999999998</v>
      </c>
      <c r="Q123" s="315">
        <f>(AK123*KFC!$B$28+KFC!$C$28)*KFC!$C$5</f>
        <v>154.55999999999997</v>
      </c>
      <c r="R123" s="315">
        <f>(AL123*KFC!$B$28+KFC!$C$28)*KFC!$C$5</f>
        <v>161.03999999999996</v>
      </c>
      <c r="S123" s="315">
        <f>(AM123*KFC!$B$28+KFC!$C$28)*KFC!$C$5</f>
        <v>167.51999999999995</v>
      </c>
      <c r="T123" s="315">
        <f>(AN123*KFC!$B$28+KFC!$C$28)*KFC!$C$5</f>
        <v>173.99999999999994</v>
      </c>
      <c r="V123" s="851">
        <v>1</v>
      </c>
      <c r="W123" s="847">
        <v>63.39</v>
      </c>
      <c r="X123" s="847">
        <v>69.87</v>
      </c>
      <c r="Y123" s="847">
        <v>76.349999999999994</v>
      </c>
      <c r="Z123" s="847">
        <v>82.94</v>
      </c>
      <c r="AA123" s="847">
        <v>89.65</v>
      </c>
      <c r="AB123" s="847">
        <v>96.13</v>
      </c>
      <c r="AC123" s="847">
        <v>102.61</v>
      </c>
      <c r="AD123" s="847">
        <v>109.1</v>
      </c>
      <c r="AE123" s="847">
        <v>115.69</v>
      </c>
      <c r="AF123" s="847">
        <v>122.17</v>
      </c>
      <c r="AG123" s="847">
        <v>128.65</v>
      </c>
      <c r="AH123" s="847">
        <v>135.12</v>
      </c>
      <c r="AI123" s="848">
        <v>141.6</v>
      </c>
      <c r="AJ123" s="690">
        <f t="shared" si="15"/>
        <v>148.07999999999998</v>
      </c>
      <c r="AK123" s="690">
        <f t="shared" si="16"/>
        <v>154.55999999999997</v>
      </c>
      <c r="AL123" s="690">
        <f t="shared" si="16"/>
        <v>161.03999999999996</v>
      </c>
      <c r="AM123" s="690">
        <f t="shared" si="16"/>
        <v>167.51999999999995</v>
      </c>
      <c r="AN123" s="690">
        <f t="shared" si="16"/>
        <v>173.99999999999994</v>
      </c>
      <c r="AO123" s="690">
        <f t="shared" si="16"/>
        <v>180.47999999999993</v>
      </c>
      <c r="AP123" s="690">
        <f t="shared" si="16"/>
        <v>186.95999999999992</v>
      </c>
    </row>
    <row r="124" spans="1:42" ht="14.25" customHeight="1">
      <c r="A124" s="1816"/>
      <c r="B124" s="849">
        <v>1.1000000000000001</v>
      </c>
      <c r="C124" s="314">
        <f>(W124*KFC!$B$28+KFC!$C$28)*KFC!$C$5</f>
        <v>66.56</v>
      </c>
      <c r="D124" s="315">
        <f>(X124*KFC!$B$28+KFC!$C$28)*KFC!$C$5</f>
        <v>73.150000000000006</v>
      </c>
      <c r="E124" s="315">
        <f>(Y124*KFC!$B$28+KFC!$C$28)*KFC!$C$5</f>
        <v>79.88</v>
      </c>
      <c r="F124" s="315">
        <f>(Z124*KFC!$B$28+KFC!$C$28)*KFC!$C$5</f>
        <v>86.48</v>
      </c>
      <c r="G124" s="315">
        <f>(AA124*KFC!$B$28+KFC!$C$28)*KFC!$C$5</f>
        <v>93.07</v>
      </c>
      <c r="H124" s="315">
        <f>(AB124*KFC!$B$28+KFC!$C$28)*KFC!$C$5</f>
        <v>99.67</v>
      </c>
      <c r="I124" s="315">
        <f>(AC124*KFC!$B$28+KFC!$C$28)*KFC!$C$5</f>
        <v>106.39</v>
      </c>
      <c r="J124" s="315">
        <f>(AD124*KFC!$B$28+KFC!$C$28)*KFC!$C$5</f>
        <v>112.98</v>
      </c>
      <c r="K124" s="315">
        <f>(AE124*KFC!$B$28+KFC!$C$28)*KFC!$C$5</f>
        <v>119.69</v>
      </c>
      <c r="L124" s="315">
        <f>(AF124*KFC!$B$28+KFC!$C$28)*KFC!$C$5</f>
        <v>126.17</v>
      </c>
      <c r="M124" s="315">
        <f>(AG124*KFC!$B$28+KFC!$C$28)*KFC!$C$5</f>
        <v>132.9</v>
      </c>
      <c r="N124" s="315">
        <f>(AH124*KFC!$B$28+KFC!$C$28)*KFC!$C$5</f>
        <v>139.49</v>
      </c>
      <c r="O124" s="315">
        <f>(AI124*KFC!$B$28+KFC!$C$28)*KFC!$C$5</f>
        <v>146.09</v>
      </c>
      <c r="P124" s="315">
        <f>(AJ124*KFC!$B$28+KFC!$C$28)*KFC!$C$5</f>
        <v>152.69</v>
      </c>
      <c r="Q124" s="315">
        <f>(AK124*KFC!$B$28+KFC!$C$28)*KFC!$C$5</f>
        <v>159.29</v>
      </c>
      <c r="R124" s="315">
        <f>(AL124*KFC!$B$28+KFC!$C$28)*KFC!$C$5</f>
        <v>165.89</v>
      </c>
      <c r="S124" s="315">
        <f>(AM124*KFC!$B$28+KFC!$C$28)*KFC!$C$5</f>
        <v>172.48999999999998</v>
      </c>
      <c r="T124" s="315">
        <f>(AN124*KFC!$B$28+KFC!$C$28)*KFC!$C$5</f>
        <v>179.08999999999997</v>
      </c>
      <c r="V124" s="851">
        <v>1.1000000000000001</v>
      </c>
      <c r="W124" s="847">
        <v>66.56</v>
      </c>
      <c r="X124" s="847">
        <v>73.150000000000006</v>
      </c>
      <c r="Y124" s="847">
        <v>79.88</v>
      </c>
      <c r="Z124" s="847">
        <v>86.48</v>
      </c>
      <c r="AA124" s="847">
        <v>93.07</v>
      </c>
      <c r="AB124" s="847">
        <v>99.67</v>
      </c>
      <c r="AC124" s="847">
        <v>106.39</v>
      </c>
      <c r="AD124" s="847">
        <v>112.98</v>
      </c>
      <c r="AE124" s="847">
        <v>119.69</v>
      </c>
      <c r="AF124" s="847">
        <v>126.17</v>
      </c>
      <c r="AG124" s="847">
        <v>132.9</v>
      </c>
      <c r="AH124" s="847">
        <v>139.49</v>
      </c>
      <c r="AI124" s="848">
        <v>146.09</v>
      </c>
      <c r="AJ124" s="690">
        <f t="shared" si="15"/>
        <v>152.69</v>
      </c>
      <c r="AK124" s="690">
        <f t="shared" si="16"/>
        <v>159.29</v>
      </c>
      <c r="AL124" s="690">
        <f t="shared" si="16"/>
        <v>165.89</v>
      </c>
      <c r="AM124" s="690">
        <f t="shared" si="16"/>
        <v>172.48999999999998</v>
      </c>
      <c r="AN124" s="690">
        <f t="shared" si="16"/>
        <v>179.08999999999997</v>
      </c>
      <c r="AO124" s="690">
        <f t="shared" si="16"/>
        <v>185.68999999999997</v>
      </c>
      <c r="AP124" s="690">
        <f t="shared" si="16"/>
        <v>192.28999999999996</v>
      </c>
    </row>
    <row r="125" spans="1:42" ht="14.25" customHeight="1">
      <c r="A125" s="1816"/>
      <c r="B125" s="849">
        <v>1.2</v>
      </c>
      <c r="C125" s="314">
        <f>(W125*KFC!$B$28+KFC!$C$28)*KFC!$C$5</f>
        <v>69.739999999999995</v>
      </c>
      <c r="D125" s="315">
        <f>(X125*KFC!$B$28+KFC!$C$28)*KFC!$C$5</f>
        <v>76.349999999999994</v>
      </c>
      <c r="E125" s="315">
        <f>(Y125*KFC!$B$28+KFC!$C$28)*KFC!$C$5</f>
        <v>83.29</v>
      </c>
      <c r="F125" s="315">
        <f>(Z125*KFC!$B$28+KFC!$C$28)*KFC!$C$5</f>
        <v>89.89</v>
      </c>
      <c r="G125" s="315">
        <f>(AA125*KFC!$B$28+KFC!$C$28)*KFC!$C$5</f>
        <v>96.72</v>
      </c>
      <c r="H125" s="315">
        <f>(AB125*KFC!$B$28+KFC!$C$28)*KFC!$C$5</f>
        <v>103.32</v>
      </c>
      <c r="I125" s="315">
        <f>(AC125*KFC!$B$28+KFC!$C$28)*KFC!$C$5</f>
        <v>110.27</v>
      </c>
      <c r="J125" s="315">
        <f>(AD125*KFC!$B$28+KFC!$C$28)*KFC!$C$5</f>
        <v>116.87</v>
      </c>
      <c r="K125" s="315">
        <f>(AE125*KFC!$B$28+KFC!$C$28)*KFC!$C$5</f>
        <v>123.47</v>
      </c>
      <c r="L125" s="315">
        <f>(AF125*KFC!$B$28+KFC!$C$28)*KFC!$C$5</f>
        <v>130.29</v>
      </c>
      <c r="M125" s="315">
        <f>(AG125*KFC!$B$28+KFC!$C$28)*KFC!$C$5</f>
        <v>136.88999999999999</v>
      </c>
      <c r="N125" s="315">
        <f>(AH125*KFC!$B$28+KFC!$C$28)*KFC!$C$5</f>
        <v>143.84</v>
      </c>
      <c r="O125" s="315">
        <f>(AI125*KFC!$B$28+KFC!$C$28)*KFC!$C$5</f>
        <v>150.80000000000001</v>
      </c>
      <c r="P125" s="315">
        <f>(AJ125*KFC!$B$28+KFC!$C$28)*KFC!$C$5</f>
        <v>157.76000000000002</v>
      </c>
      <c r="Q125" s="315">
        <f>(AK125*KFC!$B$28+KFC!$C$28)*KFC!$C$5</f>
        <v>164.72000000000003</v>
      </c>
      <c r="R125" s="315">
        <f>(AL125*KFC!$B$28+KFC!$C$28)*KFC!$C$5</f>
        <v>171.68000000000004</v>
      </c>
      <c r="S125" s="315">
        <f>(AM125*KFC!$B$28+KFC!$C$28)*KFC!$C$5</f>
        <v>178.64000000000004</v>
      </c>
      <c r="T125" s="315">
        <f>(AN125*KFC!$B$28+KFC!$C$28)*KFC!$C$5</f>
        <v>185.60000000000005</v>
      </c>
      <c r="V125" s="851">
        <v>1.2</v>
      </c>
      <c r="W125" s="847">
        <v>69.739999999999995</v>
      </c>
      <c r="X125" s="847">
        <v>76.349999999999994</v>
      </c>
      <c r="Y125" s="847">
        <v>83.29</v>
      </c>
      <c r="Z125" s="847">
        <v>89.89</v>
      </c>
      <c r="AA125" s="847">
        <v>96.72</v>
      </c>
      <c r="AB125" s="847">
        <v>103.32</v>
      </c>
      <c r="AC125" s="847">
        <v>110.27</v>
      </c>
      <c r="AD125" s="847">
        <v>116.87</v>
      </c>
      <c r="AE125" s="847">
        <v>123.47</v>
      </c>
      <c r="AF125" s="847">
        <v>130.29</v>
      </c>
      <c r="AG125" s="847">
        <v>136.88999999999999</v>
      </c>
      <c r="AH125" s="847">
        <v>143.84</v>
      </c>
      <c r="AI125" s="848">
        <v>150.80000000000001</v>
      </c>
      <c r="AJ125" s="690">
        <f t="shared" si="15"/>
        <v>157.76000000000002</v>
      </c>
      <c r="AK125" s="690">
        <f t="shared" si="16"/>
        <v>164.72000000000003</v>
      </c>
      <c r="AL125" s="690">
        <f t="shared" si="16"/>
        <v>171.68000000000004</v>
      </c>
      <c r="AM125" s="690">
        <f t="shared" si="16"/>
        <v>178.64000000000004</v>
      </c>
      <c r="AN125" s="690">
        <f t="shared" si="16"/>
        <v>185.60000000000005</v>
      </c>
      <c r="AO125" s="690">
        <f t="shared" si="16"/>
        <v>192.56000000000006</v>
      </c>
      <c r="AP125" s="690">
        <f t="shared" si="16"/>
        <v>199.52000000000007</v>
      </c>
    </row>
    <row r="126" spans="1:42" ht="14.25" customHeight="1">
      <c r="A126" s="1816"/>
      <c r="B126" s="849">
        <v>1.3</v>
      </c>
      <c r="C126" s="314">
        <f>(W126*KFC!$B$28+KFC!$C$28)*KFC!$C$5</f>
        <v>72.92</v>
      </c>
      <c r="D126" s="315">
        <f>(X126*KFC!$B$28+KFC!$C$28)*KFC!$C$5</f>
        <v>79.64</v>
      </c>
      <c r="E126" s="315">
        <f>(Y126*KFC!$B$28+KFC!$C$28)*KFC!$C$5</f>
        <v>86.59</v>
      </c>
      <c r="F126" s="315">
        <f>(Z126*KFC!$B$28+KFC!$C$28)*KFC!$C$5</f>
        <v>93.43</v>
      </c>
      <c r="G126" s="315">
        <f>(AA126*KFC!$B$28+KFC!$C$28)*KFC!$C$5</f>
        <v>100.14</v>
      </c>
      <c r="H126" s="315">
        <f>(AB126*KFC!$B$28+KFC!$C$28)*KFC!$C$5</f>
        <v>107.09</v>
      </c>
      <c r="I126" s="315">
        <f>(AC126*KFC!$B$28+KFC!$C$28)*KFC!$C$5</f>
        <v>113.8</v>
      </c>
      <c r="J126" s="315">
        <f>(AD126*KFC!$B$28+KFC!$C$28)*KFC!$C$5</f>
        <v>120.65</v>
      </c>
      <c r="K126" s="315">
        <f>(AE126*KFC!$B$28+KFC!$C$28)*KFC!$C$5</f>
        <v>127.35</v>
      </c>
      <c r="L126" s="315">
        <f>(AF126*KFC!$B$28+KFC!$C$28)*KFC!$C$5</f>
        <v>134.31</v>
      </c>
      <c r="M126" s="315">
        <f>(AG126*KFC!$B$28+KFC!$C$28)*KFC!$C$5</f>
        <v>141.02000000000001</v>
      </c>
      <c r="N126" s="315">
        <f>(AH126*KFC!$B$28+KFC!$C$28)*KFC!$C$5</f>
        <v>147.85</v>
      </c>
      <c r="O126" s="315">
        <f>(AI126*KFC!$B$28+KFC!$C$28)*KFC!$C$5</f>
        <v>154.69</v>
      </c>
      <c r="P126" s="315">
        <f>(AJ126*KFC!$B$28+KFC!$C$28)*KFC!$C$5</f>
        <v>161.53</v>
      </c>
      <c r="Q126" s="315">
        <f>(AK126*KFC!$B$28+KFC!$C$28)*KFC!$C$5</f>
        <v>168.37</v>
      </c>
      <c r="R126" s="315">
        <f>(AL126*KFC!$B$28+KFC!$C$28)*KFC!$C$5</f>
        <v>175.21</v>
      </c>
      <c r="S126" s="315">
        <f>(AM126*KFC!$B$28+KFC!$C$28)*KFC!$C$5</f>
        <v>182.05</v>
      </c>
      <c r="T126" s="315">
        <f>(AN126*KFC!$B$28+KFC!$C$28)*KFC!$C$5</f>
        <v>188.89000000000001</v>
      </c>
      <c r="V126" s="851">
        <v>1.3</v>
      </c>
      <c r="W126" s="847">
        <v>72.92</v>
      </c>
      <c r="X126" s="847">
        <v>79.64</v>
      </c>
      <c r="Y126" s="847">
        <v>86.59</v>
      </c>
      <c r="Z126" s="847">
        <v>93.43</v>
      </c>
      <c r="AA126" s="847">
        <v>100.14</v>
      </c>
      <c r="AB126" s="847">
        <v>107.09</v>
      </c>
      <c r="AC126" s="847">
        <v>113.8</v>
      </c>
      <c r="AD126" s="847">
        <v>120.65</v>
      </c>
      <c r="AE126" s="847">
        <v>127.35</v>
      </c>
      <c r="AF126" s="847">
        <v>134.31</v>
      </c>
      <c r="AG126" s="847">
        <v>141.02000000000001</v>
      </c>
      <c r="AH126" s="847">
        <v>147.85</v>
      </c>
      <c r="AI126" s="848">
        <v>154.69</v>
      </c>
      <c r="AJ126" s="690">
        <f t="shared" si="15"/>
        <v>161.53</v>
      </c>
      <c r="AK126" s="690">
        <f t="shared" si="16"/>
        <v>168.37</v>
      </c>
      <c r="AL126" s="690">
        <f t="shared" si="16"/>
        <v>175.21</v>
      </c>
      <c r="AM126" s="690">
        <f t="shared" si="16"/>
        <v>182.05</v>
      </c>
      <c r="AN126" s="690">
        <f t="shared" si="16"/>
        <v>188.89000000000001</v>
      </c>
      <c r="AO126" s="690">
        <f t="shared" si="16"/>
        <v>195.73000000000002</v>
      </c>
      <c r="AP126" s="690">
        <f t="shared" si="16"/>
        <v>202.57000000000002</v>
      </c>
    </row>
    <row r="127" spans="1:42" ht="14.25" customHeight="1">
      <c r="A127" s="1816"/>
      <c r="B127" s="849">
        <v>1.4</v>
      </c>
      <c r="C127" s="314">
        <f>(W127*KFC!$B$28+KFC!$C$28)*KFC!$C$5</f>
        <v>76.099999999999994</v>
      </c>
      <c r="D127" s="315">
        <f>(X127*KFC!$B$28+KFC!$C$28)*KFC!$C$5</f>
        <v>82.94</v>
      </c>
      <c r="E127" s="315">
        <f>(Y127*KFC!$B$28+KFC!$C$28)*KFC!$C$5</f>
        <v>89.89</v>
      </c>
      <c r="F127" s="315">
        <f>(Z127*KFC!$B$28+KFC!$C$28)*KFC!$C$5</f>
        <v>96.83</v>
      </c>
      <c r="G127" s="315">
        <f>(AA127*KFC!$B$28+KFC!$C$28)*KFC!$C$5</f>
        <v>103.91</v>
      </c>
      <c r="H127" s="315">
        <f>(AB127*KFC!$B$28+KFC!$C$28)*KFC!$C$5</f>
        <v>110.63</v>
      </c>
      <c r="I127" s="315">
        <f>(AC127*KFC!$B$28+KFC!$C$28)*KFC!$C$5</f>
        <v>117.58</v>
      </c>
      <c r="J127" s="315">
        <f>(AD127*KFC!$B$28+KFC!$C$28)*KFC!$C$5</f>
        <v>124.52</v>
      </c>
      <c r="K127" s="315">
        <f>(AE127*KFC!$B$28+KFC!$C$28)*KFC!$C$5</f>
        <v>131.36000000000001</v>
      </c>
      <c r="L127" s="315">
        <f>(AF127*KFC!$B$28+KFC!$C$28)*KFC!$C$5</f>
        <v>138.32</v>
      </c>
      <c r="M127" s="315">
        <f>(AG127*KFC!$B$28+KFC!$C$28)*KFC!$C$5</f>
        <v>145.27000000000001</v>
      </c>
      <c r="N127" s="315">
        <f>(AH127*KFC!$B$28+KFC!$C$28)*KFC!$C$5</f>
        <v>152.09</v>
      </c>
      <c r="O127" s="315">
        <f>(AI127*KFC!$B$28+KFC!$C$28)*KFC!$C$5</f>
        <v>158.93</v>
      </c>
      <c r="P127" s="315">
        <f>(AJ127*KFC!$B$28+KFC!$C$28)*KFC!$C$5</f>
        <v>165.77</v>
      </c>
      <c r="Q127" s="315">
        <f>(AK127*KFC!$B$28+KFC!$C$28)*KFC!$C$5</f>
        <v>172.61</v>
      </c>
      <c r="R127" s="315">
        <f>(AL127*KFC!$B$28+KFC!$C$28)*KFC!$C$5</f>
        <v>179.45000000000002</v>
      </c>
      <c r="S127" s="315">
        <f>(AM127*KFC!$B$28+KFC!$C$28)*KFC!$C$5</f>
        <v>186.29000000000002</v>
      </c>
      <c r="T127" s="315">
        <f>(AN127*KFC!$B$28+KFC!$C$28)*KFC!$C$5</f>
        <v>193.13000000000002</v>
      </c>
      <c r="V127" s="851">
        <v>1.4</v>
      </c>
      <c r="W127" s="847">
        <v>76.099999999999994</v>
      </c>
      <c r="X127" s="847">
        <v>82.94</v>
      </c>
      <c r="Y127" s="847">
        <v>89.89</v>
      </c>
      <c r="Z127" s="847">
        <v>96.83</v>
      </c>
      <c r="AA127" s="847">
        <v>103.91</v>
      </c>
      <c r="AB127" s="847">
        <v>110.63</v>
      </c>
      <c r="AC127" s="847">
        <v>117.58</v>
      </c>
      <c r="AD127" s="847">
        <v>124.52</v>
      </c>
      <c r="AE127" s="847">
        <v>131.36000000000001</v>
      </c>
      <c r="AF127" s="847">
        <v>138.32</v>
      </c>
      <c r="AG127" s="847">
        <v>145.27000000000001</v>
      </c>
      <c r="AH127" s="847">
        <v>152.09</v>
      </c>
      <c r="AI127" s="848">
        <v>158.93</v>
      </c>
      <c r="AJ127" s="690">
        <f t="shared" si="15"/>
        <v>165.77</v>
      </c>
      <c r="AK127" s="690">
        <f t="shared" si="16"/>
        <v>172.61</v>
      </c>
      <c r="AL127" s="690">
        <f t="shared" si="16"/>
        <v>179.45000000000002</v>
      </c>
      <c r="AM127" s="690">
        <f t="shared" si="16"/>
        <v>186.29000000000002</v>
      </c>
      <c r="AN127" s="690">
        <f t="shared" si="16"/>
        <v>193.13000000000002</v>
      </c>
      <c r="AO127" s="690">
        <f t="shared" si="16"/>
        <v>199.97000000000003</v>
      </c>
      <c r="AP127" s="690">
        <f t="shared" si="16"/>
        <v>206.81000000000003</v>
      </c>
    </row>
    <row r="128" spans="1:42" ht="14.25" customHeight="1">
      <c r="A128" s="1816"/>
      <c r="B128" s="849">
        <v>1.5</v>
      </c>
      <c r="C128" s="314">
        <f>(W128*KFC!$B$28+KFC!$C$28)*KFC!$C$5</f>
        <v>79.3</v>
      </c>
      <c r="D128" s="315">
        <f>(X128*KFC!$B$28+KFC!$C$28)*KFC!$C$5</f>
        <v>86.12</v>
      </c>
      <c r="E128" s="315">
        <f>(Y128*KFC!$B$28+KFC!$C$28)*KFC!$C$5</f>
        <v>93.19</v>
      </c>
      <c r="F128" s="315">
        <f>(Z128*KFC!$B$28+KFC!$C$28)*KFC!$C$5</f>
        <v>100.25</v>
      </c>
      <c r="G128" s="315">
        <f>(AA128*KFC!$B$28+KFC!$C$28)*KFC!$C$5</f>
        <v>107.32</v>
      </c>
      <c r="H128" s="315">
        <f>(AB128*KFC!$B$28+KFC!$C$28)*KFC!$C$5</f>
        <v>114.27</v>
      </c>
      <c r="I128" s="315">
        <f>(AC128*KFC!$B$28+KFC!$C$28)*KFC!$C$5</f>
        <v>121.35</v>
      </c>
      <c r="J128" s="315">
        <f>(AD128*KFC!$B$28+KFC!$C$28)*KFC!$C$5</f>
        <v>128.41999999999999</v>
      </c>
      <c r="K128" s="315">
        <f>(AE128*KFC!$B$28+KFC!$C$28)*KFC!$C$5</f>
        <v>135.25</v>
      </c>
      <c r="L128" s="315">
        <f>(AF128*KFC!$B$28+KFC!$C$28)*KFC!$C$5</f>
        <v>142.32</v>
      </c>
      <c r="M128" s="315">
        <f>(AG128*KFC!$B$28+KFC!$C$28)*KFC!$C$5</f>
        <v>149.26</v>
      </c>
      <c r="N128" s="315">
        <f>(AH128*KFC!$B$28+KFC!$C$28)*KFC!$C$5</f>
        <v>156.46</v>
      </c>
      <c r="O128" s="315">
        <f>(AI128*KFC!$B$28+KFC!$C$28)*KFC!$C$5</f>
        <v>163.63999999999999</v>
      </c>
      <c r="P128" s="315">
        <f>(AJ128*KFC!$B$28+KFC!$C$28)*KFC!$C$5</f>
        <v>170.81999999999996</v>
      </c>
      <c r="Q128" s="315">
        <f>(AK128*KFC!$B$28+KFC!$C$28)*KFC!$C$5</f>
        <v>177.99999999999994</v>
      </c>
      <c r="R128" s="315">
        <f>(AL128*KFC!$B$28+KFC!$C$28)*KFC!$C$5</f>
        <v>185.17999999999992</v>
      </c>
      <c r="S128" s="315">
        <f>(AM128*KFC!$B$28+KFC!$C$28)*KFC!$C$5</f>
        <v>192.3599999999999</v>
      </c>
      <c r="T128" s="315">
        <f>(AN128*KFC!$B$28+KFC!$C$28)*KFC!$C$5</f>
        <v>199.53999999999988</v>
      </c>
      <c r="V128" s="851">
        <v>1.5</v>
      </c>
      <c r="W128" s="847">
        <v>79.3</v>
      </c>
      <c r="X128" s="847">
        <v>86.12</v>
      </c>
      <c r="Y128" s="847">
        <v>93.19</v>
      </c>
      <c r="Z128" s="847">
        <v>100.25</v>
      </c>
      <c r="AA128" s="847">
        <v>107.32</v>
      </c>
      <c r="AB128" s="847">
        <v>114.27</v>
      </c>
      <c r="AC128" s="847">
        <v>121.35</v>
      </c>
      <c r="AD128" s="847">
        <v>128.41999999999999</v>
      </c>
      <c r="AE128" s="847">
        <v>135.25</v>
      </c>
      <c r="AF128" s="847">
        <v>142.32</v>
      </c>
      <c r="AG128" s="847">
        <v>149.26</v>
      </c>
      <c r="AH128" s="847">
        <v>156.46</v>
      </c>
      <c r="AI128" s="848">
        <v>163.63999999999999</v>
      </c>
      <c r="AJ128" s="690">
        <f t="shared" si="15"/>
        <v>170.81999999999996</v>
      </c>
      <c r="AK128" s="690">
        <f t="shared" si="16"/>
        <v>177.99999999999994</v>
      </c>
      <c r="AL128" s="690">
        <f t="shared" si="16"/>
        <v>185.17999999999992</v>
      </c>
      <c r="AM128" s="690">
        <f t="shared" si="16"/>
        <v>192.3599999999999</v>
      </c>
      <c r="AN128" s="690">
        <f t="shared" si="16"/>
        <v>199.53999999999988</v>
      </c>
      <c r="AO128" s="690">
        <f t="shared" si="16"/>
        <v>206.71999999999986</v>
      </c>
      <c r="AP128" s="690">
        <f t="shared" si="16"/>
        <v>213.89999999999984</v>
      </c>
    </row>
    <row r="129" spans="1:42" ht="14.25" customHeight="1">
      <c r="A129" s="1816"/>
      <c r="B129" s="849">
        <v>1.6</v>
      </c>
      <c r="C129" s="314">
        <f>(W129*KFC!$B$28+KFC!$C$28)*KFC!$C$5</f>
        <v>82.47</v>
      </c>
      <c r="D129" s="315">
        <f>(X129*KFC!$B$28+KFC!$C$28)*KFC!$C$5</f>
        <v>89.65</v>
      </c>
      <c r="E129" s="315">
        <f>(Y129*KFC!$B$28+KFC!$C$28)*KFC!$C$5</f>
        <v>96.72</v>
      </c>
      <c r="F129" s="315">
        <f>(Z129*KFC!$B$28+KFC!$C$28)*KFC!$C$5</f>
        <v>103.91</v>
      </c>
      <c r="G129" s="315">
        <f>(AA129*KFC!$B$28+KFC!$C$28)*KFC!$C$5</f>
        <v>110.74</v>
      </c>
      <c r="H129" s="315">
        <f>(AB129*KFC!$B$28+KFC!$C$28)*KFC!$C$5</f>
        <v>117.81</v>
      </c>
      <c r="I129" s="315">
        <f>(AC129*KFC!$B$28+KFC!$C$28)*KFC!$C$5</f>
        <v>125.11</v>
      </c>
      <c r="J129" s="315">
        <f>(AD129*KFC!$B$28+KFC!$C$28)*KFC!$C$5</f>
        <v>132.06</v>
      </c>
      <c r="K129" s="315">
        <f>(AE129*KFC!$B$28+KFC!$C$28)*KFC!$C$5</f>
        <v>139.38</v>
      </c>
      <c r="L129" s="315">
        <f>(AF129*KFC!$B$28+KFC!$C$28)*KFC!$C$5</f>
        <v>146.44</v>
      </c>
      <c r="M129" s="315">
        <f>(AG129*KFC!$B$28+KFC!$C$28)*KFC!$C$5</f>
        <v>153.38</v>
      </c>
      <c r="N129" s="315">
        <f>(AH129*KFC!$B$28+KFC!$C$28)*KFC!$C$5</f>
        <v>160.44999999999999</v>
      </c>
      <c r="O129" s="315">
        <f>(AI129*KFC!$B$28+KFC!$C$28)*KFC!$C$5</f>
        <v>167.52</v>
      </c>
      <c r="P129" s="315">
        <f>(AJ129*KFC!$B$28+KFC!$C$28)*KFC!$C$5</f>
        <v>174.59000000000003</v>
      </c>
      <c r="Q129" s="315">
        <f>(AK129*KFC!$B$28+KFC!$C$28)*KFC!$C$5</f>
        <v>181.66000000000005</v>
      </c>
      <c r="R129" s="315">
        <f>(AL129*KFC!$B$28+KFC!$C$28)*KFC!$C$5</f>
        <v>188.73000000000008</v>
      </c>
      <c r="S129" s="315">
        <f>(AM129*KFC!$B$28+KFC!$C$28)*KFC!$C$5</f>
        <v>195.8000000000001</v>
      </c>
      <c r="T129" s="315">
        <f>(AN129*KFC!$B$28+KFC!$C$28)*KFC!$C$5</f>
        <v>202.87000000000012</v>
      </c>
      <c r="V129" s="851">
        <v>1.6</v>
      </c>
      <c r="W129" s="847">
        <v>82.47</v>
      </c>
      <c r="X129" s="847">
        <v>89.65</v>
      </c>
      <c r="Y129" s="847">
        <v>96.72</v>
      </c>
      <c r="Z129" s="847">
        <v>103.91</v>
      </c>
      <c r="AA129" s="847">
        <v>110.74</v>
      </c>
      <c r="AB129" s="847">
        <v>117.81</v>
      </c>
      <c r="AC129" s="847">
        <v>125.11</v>
      </c>
      <c r="AD129" s="847">
        <v>132.06</v>
      </c>
      <c r="AE129" s="847">
        <v>139.38</v>
      </c>
      <c r="AF129" s="847">
        <v>146.44</v>
      </c>
      <c r="AG129" s="847">
        <v>153.38</v>
      </c>
      <c r="AH129" s="847">
        <v>160.44999999999999</v>
      </c>
      <c r="AI129" s="848">
        <v>167.52</v>
      </c>
      <c r="AJ129" s="690">
        <f t="shared" si="15"/>
        <v>174.59000000000003</v>
      </c>
      <c r="AK129" s="690">
        <f t="shared" si="16"/>
        <v>181.66000000000005</v>
      </c>
      <c r="AL129" s="690">
        <f t="shared" si="16"/>
        <v>188.73000000000008</v>
      </c>
      <c r="AM129" s="690">
        <f t="shared" si="16"/>
        <v>195.8000000000001</v>
      </c>
      <c r="AN129" s="690">
        <f t="shared" si="16"/>
        <v>202.87000000000012</v>
      </c>
      <c r="AO129" s="690">
        <f t="shared" si="16"/>
        <v>209.94000000000014</v>
      </c>
      <c r="AP129" s="690">
        <f t="shared" si="16"/>
        <v>217.01000000000016</v>
      </c>
    </row>
    <row r="130" spans="1:42" ht="14.25" customHeight="1">
      <c r="A130" s="1816"/>
      <c r="B130" s="849">
        <v>1.7</v>
      </c>
      <c r="C130" s="314">
        <f>(W130*KFC!$B$28+KFC!$C$28)*KFC!$C$5</f>
        <v>85.53</v>
      </c>
      <c r="D130" s="315">
        <f>(X130*KFC!$B$28+KFC!$C$28)*KFC!$C$5</f>
        <v>92.84</v>
      </c>
      <c r="E130" s="315">
        <f>(Y130*KFC!$B$28+KFC!$C$28)*KFC!$C$5</f>
        <v>100.02</v>
      </c>
      <c r="F130" s="315">
        <f>(Z130*KFC!$B$28+KFC!$C$28)*KFC!$C$5</f>
        <v>107.21</v>
      </c>
      <c r="G130" s="315">
        <f>(AA130*KFC!$B$28+KFC!$C$28)*KFC!$C$5</f>
        <v>114.39</v>
      </c>
      <c r="H130" s="315">
        <f>(AB130*KFC!$B$28+KFC!$C$28)*KFC!$C$5</f>
        <v>121.58</v>
      </c>
      <c r="I130" s="315">
        <f>(AC130*KFC!$B$28+KFC!$C$28)*KFC!$C$5</f>
        <v>128.77000000000001</v>
      </c>
      <c r="J130" s="315">
        <f>(AD130*KFC!$B$28+KFC!$C$28)*KFC!$C$5</f>
        <v>136.07</v>
      </c>
      <c r="K130" s="315">
        <f>(AE130*KFC!$B$28+KFC!$C$28)*KFC!$C$5</f>
        <v>143.25</v>
      </c>
      <c r="L130" s="315">
        <f>(AF130*KFC!$B$28+KFC!$C$28)*KFC!$C$5</f>
        <v>150.44</v>
      </c>
      <c r="M130" s="315">
        <f>(AG130*KFC!$B$28+KFC!$C$28)*KFC!$C$5</f>
        <v>157.75</v>
      </c>
      <c r="N130" s="315">
        <f>(AH130*KFC!$B$28+KFC!$C$28)*KFC!$C$5</f>
        <v>164.82</v>
      </c>
      <c r="O130" s="315">
        <f>(AI130*KFC!$B$28+KFC!$C$28)*KFC!$C$5</f>
        <v>171.89</v>
      </c>
      <c r="P130" s="315">
        <f>(AJ130*KFC!$B$28+KFC!$C$28)*KFC!$C$5</f>
        <v>178.95999999999998</v>
      </c>
      <c r="Q130" s="315">
        <f>(AK130*KFC!$B$28+KFC!$C$28)*KFC!$C$5</f>
        <v>186.02999999999997</v>
      </c>
      <c r="R130" s="315">
        <f>(AL130*KFC!$B$28+KFC!$C$28)*KFC!$C$5</f>
        <v>193.09999999999997</v>
      </c>
      <c r="S130" s="315">
        <f>(AM130*KFC!$B$28+KFC!$C$28)*KFC!$C$5</f>
        <v>200.16999999999996</v>
      </c>
      <c r="T130" s="315">
        <f>(AN130*KFC!$B$28+KFC!$C$28)*KFC!$C$5</f>
        <v>207.23999999999995</v>
      </c>
      <c r="V130" s="851">
        <v>1.7</v>
      </c>
      <c r="W130" s="847">
        <v>85.53</v>
      </c>
      <c r="X130" s="847">
        <v>92.84</v>
      </c>
      <c r="Y130" s="847">
        <v>100.02</v>
      </c>
      <c r="Z130" s="847">
        <v>107.21</v>
      </c>
      <c r="AA130" s="847">
        <v>114.39</v>
      </c>
      <c r="AB130" s="847">
        <v>121.58</v>
      </c>
      <c r="AC130" s="847">
        <v>128.77000000000001</v>
      </c>
      <c r="AD130" s="847">
        <v>136.07</v>
      </c>
      <c r="AE130" s="847">
        <v>143.25</v>
      </c>
      <c r="AF130" s="847">
        <v>150.44</v>
      </c>
      <c r="AG130" s="847">
        <v>157.75</v>
      </c>
      <c r="AH130" s="847">
        <v>164.82</v>
      </c>
      <c r="AI130" s="848">
        <v>171.89</v>
      </c>
      <c r="AJ130" s="690">
        <f t="shared" si="15"/>
        <v>178.95999999999998</v>
      </c>
      <c r="AK130" s="690">
        <f t="shared" si="16"/>
        <v>186.02999999999997</v>
      </c>
      <c r="AL130" s="690">
        <f t="shared" si="16"/>
        <v>193.09999999999997</v>
      </c>
      <c r="AM130" s="690">
        <f t="shared" si="16"/>
        <v>200.16999999999996</v>
      </c>
      <c r="AN130" s="690">
        <f t="shared" si="16"/>
        <v>207.23999999999995</v>
      </c>
      <c r="AO130" s="690">
        <f t="shared" si="16"/>
        <v>214.30999999999995</v>
      </c>
      <c r="AP130" s="690">
        <f t="shared" si="16"/>
        <v>221.37999999999994</v>
      </c>
    </row>
    <row r="131" spans="1:42" ht="14.25" customHeight="1">
      <c r="A131" s="1816"/>
      <c r="B131" s="849">
        <v>1.8</v>
      </c>
      <c r="C131" s="314">
        <f>(W131*KFC!$B$28+KFC!$C$28)*KFC!$C$5</f>
        <v>88.71</v>
      </c>
      <c r="D131" s="315">
        <f>(X131*KFC!$B$28+KFC!$C$28)*KFC!$C$5</f>
        <v>96.13</v>
      </c>
      <c r="E131" s="315">
        <f>(Y131*KFC!$B$28+KFC!$C$28)*KFC!$C$5</f>
        <v>103.32</v>
      </c>
      <c r="F131" s="315">
        <f>(Z131*KFC!$B$28+KFC!$C$28)*KFC!$C$5</f>
        <v>110.63</v>
      </c>
      <c r="G131" s="315">
        <f>(AA131*KFC!$B$28+KFC!$C$28)*KFC!$C$5</f>
        <v>117.81</v>
      </c>
      <c r="H131" s="315">
        <f>(AB131*KFC!$B$28+KFC!$C$28)*KFC!$C$5</f>
        <v>125.23</v>
      </c>
      <c r="I131" s="315">
        <f>(AC131*KFC!$B$28+KFC!$C$28)*KFC!$C$5</f>
        <v>132.54</v>
      </c>
      <c r="J131" s="315">
        <f>(AD131*KFC!$B$28+KFC!$C$28)*KFC!$C$5</f>
        <v>139.72</v>
      </c>
      <c r="K131" s="315">
        <f>(AE131*KFC!$B$28+KFC!$C$28)*KFC!$C$5</f>
        <v>147.15</v>
      </c>
      <c r="L131" s="315">
        <f>(AF131*KFC!$B$28+KFC!$C$28)*KFC!$C$5</f>
        <v>154.56</v>
      </c>
      <c r="M131" s="315">
        <f>(AG131*KFC!$B$28+KFC!$C$28)*KFC!$C$5</f>
        <v>161.76</v>
      </c>
      <c r="N131" s="315">
        <f>(AH131*KFC!$B$28+KFC!$C$28)*KFC!$C$5</f>
        <v>169.18</v>
      </c>
      <c r="O131" s="315">
        <f>(AI131*KFC!$B$28+KFC!$C$28)*KFC!$C$5</f>
        <v>176.6</v>
      </c>
      <c r="P131" s="315">
        <f>(AJ131*KFC!$B$28+KFC!$C$28)*KFC!$C$5</f>
        <v>184.01999999999998</v>
      </c>
      <c r="Q131" s="315">
        <f>(AK131*KFC!$B$28+KFC!$C$28)*KFC!$C$5</f>
        <v>191.43999999999997</v>
      </c>
      <c r="R131" s="315">
        <f>(AL131*KFC!$B$28+KFC!$C$28)*KFC!$C$5</f>
        <v>198.85999999999996</v>
      </c>
      <c r="S131" s="315">
        <f>(AM131*KFC!$B$28+KFC!$C$28)*KFC!$C$5</f>
        <v>206.27999999999994</v>
      </c>
      <c r="T131" s="315">
        <f>(AN131*KFC!$B$28+KFC!$C$28)*KFC!$C$5</f>
        <v>213.69999999999993</v>
      </c>
      <c r="V131" s="851">
        <v>1.8</v>
      </c>
      <c r="W131" s="847">
        <v>88.71</v>
      </c>
      <c r="X131" s="847">
        <v>96.13</v>
      </c>
      <c r="Y131" s="847">
        <v>103.32</v>
      </c>
      <c r="Z131" s="847">
        <v>110.63</v>
      </c>
      <c r="AA131" s="847">
        <v>117.81</v>
      </c>
      <c r="AB131" s="847">
        <v>125.23</v>
      </c>
      <c r="AC131" s="847">
        <v>132.54</v>
      </c>
      <c r="AD131" s="847">
        <v>139.72</v>
      </c>
      <c r="AE131" s="847">
        <v>147.15</v>
      </c>
      <c r="AF131" s="847">
        <v>154.56</v>
      </c>
      <c r="AG131" s="847">
        <v>161.76</v>
      </c>
      <c r="AH131" s="847">
        <v>169.18</v>
      </c>
      <c r="AI131" s="848">
        <v>176.6</v>
      </c>
      <c r="AJ131" s="690">
        <f t="shared" si="15"/>
        <v>184.01999999999998</v>
      </c>
      <c r="AK131" s="690">
        <f t="shared" si="16"/>
        <v>191.43999999999997</v>
      </c>
      <c r="AL131" s="690">
        <f t="shared" si="16"/>
        <v>198.85999999999996</v>
      </c>
      <c r="AM131" s="690">
        <f t="shared" si="16"/>
        <v>206.27999999999994</v>
      </c>
      <c r="AN131" s="690">
        <f t="shared" si="16"/>
        <v>213.69999999999993</v>
      </c>
      <c r="AO131" s="690">
        <f t="shared" si="16"/>
        <v>221.11999999999992</v>
      </c>
      <c r="AP131" s="690">
        <f t="shared" si="16"/>
        <v>228.53999999999991</v>
      </c>
    </row>
    <row r="132" spans="1:42" ht="14.25" customHeight="1">
      <c r="A132" s="1816"/>
      <c r="B132" s="849">
        <v>1.9</v>
      </c>
      <c r="C132" s="314">
        <f>(W132*KFC!$B$28+KFC!$C$28)*KFC!$C$5</f>
        <v>91.9</v>
      </c>
      <c r="D132" s="315">
        <f>(X132*KFC!$B$28+KFC!$C$28)*KFC!$C$5</f>
        <v>99.44</v>
      </c>
      <c r="E132" s="315">
        <f>(Y132*KFC!$B$28+KFC!$C$28)*KFC!$C$5</f>
        <v>106.62</v>
      </c>
      <c r="F132" s="315">
        <f>(Z132*KFC!$B$28+KFC!$C$28)*KFC!$C$5</f>
        <v>114.16</v>
      </c>
      <c r="G132" s="315">
        <f>(AA132*KFC!$B$28+KFC!$C$28)*KFC!$C$5</f>
        <v>121.58</v>
      </c>
      <c r="H132" s="315">
        <f>(AB132*KFC!$B$28+KFC!$C$28)*KFC!$C$5</f>
        <v>128.77000000000001</v>
      </c>
      <c r="I132" s="315">
        <f>(AC132*KFC!$B$28+KFC!$C$28)*KFC!$C$5</f>
        <v>136.30000000000001</v>
      </c>
      <c r="J132" s="315">
        <f>(AD132*KFC!$B$28+KFC!$C$28)*KFC!$C$5</f>
        <v>143.84</v>
      </c>
      <c r="K132" s="315">
        <f>(AE132*KFC!$B$28+KFC!$C$28)*KFC!$C$5</f>
        <v>151.03</v>
      </c>
      <c r="L132" s="315">
        <f>(AF132*KFC!$B$28+KFC!$C$28)*KFC!$C$5</f>
        <v>158.46</v>
      </c>
      <c r="M132" s="315">
        <f>(AG132*KFC!$B$28+KFC!$C$28)*KFC!$C$5</f>
        <v>165.99</v>
      </c>
      <c r="N132" s="315">
        <f>(AH132*KFC!$B$28+KFC!$C$28)*KFC!$C$5</f>
        <v>173.18</v>
      </c>
      <c r="O132" s="315">
        <f>(AI132*KFC!$B$28+KFC!$C$28)*KFC!$C$5</f>
        <v>180.37</v>
      </c>
      <c r="P132" s="315">
        <f>(AJ132*KFC!$B$28+KFC!$C$28)*KFC!$C$5</f>
        <v>187.56</v>
      </c>
      <c r="Q132" s="315">
        <f>(AK132*KFC!$B$28+KFC!$C$28)*KFC!$C$5</f>
        <v>194.75</v>
      </c>
      <c r="R132" s="315">
        <f>(AL132*KFC!$B$28+KFC!$C$28)*KFC!$C$5</f>
        <v>201.94</v>
      </c>
      <c r="S132" s="315">
        <f>(AM132*KFC!$B$28+KFC!$C$28)*KFC!$C$5</f>
        <v>209.13</v>
      </c>
      <c r="T132" s="315">
        <f>(AN132*KFC!$B$28+KFC!$C$28)*KFC!$C$5</f>
        <v>216.32</v>
      </c>
      <c r="V132" s="851">
        <v>1.9</v>
      </c>
      <c r="W132" s="847">
        <v>91.9</v>
      </c>
      <c r="X132" s="847">
        <v>99.44</v>
      </c>
      <c r="Y132" s="847">
        <v>106.62</v>
      </c>
      <c r="Z132" s="847">
        <v>114.16</v>
      </c>
      <c r="AA132" s="847">
        <v>121.58</v>
      </c>
      <c r="AB132" s="847">
        <v>128.77000000000001</v>
      </c>
      <c r="AC132" s="847">
        <v>136.30000000000001</v>
      </c>
      <c r="AD132" s="847">
        <v>143.84</v>
      </c>
      <c r="AE132" s="847">
        <v>151.03</v>
      </c>
      <c r="AF132" s="847">
        <v>158.46</v>
      </c>
      <c r="AG132" s="847">
        <v>165.99</v>
      </c>
      <c r="AH132" s="847">
        <v>173.18</v>
      </c>
      <c r="AI132" s="848">
        <v>180.37</v>
      </c>
      <c r="AJ132" s="690">
        <f t="shared" si="15"/>
        <v>187.56</v>
      </c>
      <c r="AK132" s="690">
        <f t="shared" si="16"/>
        <v>194.75</v>
      </c>
      <c r="AL132" s="690">
        <f t="shared" si="16"/>
        <v>201.94</v>
      </c>
      <c r="AM132" s="690">
        <f t="shared" si="16"/>
        <v>209.13</v>
      </c>
      <c r="AN132" s="690">
        <f t="shared" si="16"/>
        <v>216.32</v>
      </c>
      <c r="AO132" s="690">
        <f t="shared" si="16"/>
        <v>223.51</v>
      </c>
      <c r="AP132" s="690">
        <f t="shared" si="16"/>
        <v>230.7</v>
      </c>
    </row>
    <row r="133" spans="1:42" ht="13.95" customHeight="1">
      <c r="A133" s="1816"/>
      <c r="B133" s="849">
        <v>2</v>
      </c>
      <c r="C133" s="314">
        <f>(W133*KFC!$B$28+KFC!$C$28)*KFC!$C$5</f>
        <v>95.07</v>
      </c>
      <c r="D133" s="315">
        <f>(X133*KFC!$B$28+KFC!$C$28)*KFC!$C$5</f>
        <v>102.61</v>
      </c>
      <c r="E133" s="315">
        <f>(Y133*KFC!$B$28+KFC!$C$28)*KFC!$C$5</f>
        <v>110.27</v>
      </c>
      <c r="F133" s="315">
        <f>(Z133*KFC!$B$28+KFC!$C$28)*KFC!$C$5</f>
        <v>117.58</v>
      </c>
      <c r="G133" s="315">
        <f>(AA133*KFC!$B$28+KFC!$C$28)*KFC!$C$5</f>
        <v>125.11</v>
      </c>
      <c r="H133" s="315">
        <f>(AB133*KFC!$B$28+KFC!$C$28)*KFC!$C$5</f>
        <v>132.54</v>
      </c>
      <c r="I133" s="315">
        <f>(AC133*KFC!$B$28+KFC!$C$28)*KFC!$C$5</f>
        <v>140.08000000000001</v>
      </c>
      <c r="J133" s="315">
        <f>(AD133*KFC!$B$28+KFC!$C$28)*KFC!$C$5</f>
        <v>147.49</v>
      </c>
      <c r="K133" s="315">
        <f>(AE133*KFC!$B$28+KFC!$C$28)*KFC!$C$5</f>
        <v>155.03</v>
      </c>
      <c r="L133" s="315">
        <f>(AF133*KFC!$B$28+KFC!$C$28)*KFC!$C$5</f>
        <v>162.58000000000001</v>
      </c>
      <c r="M133" s="315">
        <f>(AG133*KFC!$B$28+KFC!$C$28)*KFC!$C$5</f>
        <v>170.01</v>
      </c>
      <c r="N133" s="315">
        <f>(AH133*KFC!$B$28+KFC!$C$28)*KFC!$C$5</f>
        <v>177.53</v>
      </c>
      <c r="O133" s="315">
        <f>(AI133*KFC!$B$28+KFC!$C$28)*KFC!$C$5</f>
        <v>185.07</v>
      </c>
      <c r="P133" s="315">
        <f>(AJ133*KFC!$B$28+KFC!$C$28)*KFC!$C$5</f>
        <v>192.60999999999999</v>
      </c>
      <c r="Q133" s="315">
        <f>(AK133*KFC!$B$28+KFC!$C$28)*KFC!$C$5</f>
        <v>200.14999999999998</v>
      </c>
      <c r="R133" s="315">
        <f>(AL133*KFC!$B$28+KFC!$C$28)*KFC!$C$5</f>
        <v>207.68999999999997</v>
      </c>
      <c r="S133" s="315">
        <f>(AM133*KFC!$B$28+KFC!$C$28)*KFC!$C$5</f>
        <v>215.22999999999996</v>
      </c>
      <c r="T133" s="315">
        <f>(AN133*KFC!$B$28+KFC!$C$28)*KFC!$C$5</f>
        <v>222.76999999999995</v>
      </c>
      <c r="V133" s="851">
        <v>2</v>
      </c>
      <c r="W133" s="847">
        <v>95.07</v>
      </c>
      <c r="X133" s="847">
        <v>102.61</v>
      </c>
      <c r="Y133" s="847">
        <v>110.27</v>
      </c>
      <c r="Z133" s="847">
        <v>117.58</v>
      </c>
      <c r="AA133" s="847">
        <v>125.11</v>
      </c>
      <c r="AB133" s="847">
        <v>132.54</v>
      </c>
      <c r="AC133" s="847">
        <v>140.08000000000001</v>
      </c>
      <c r="AD133" s="847">
        <v>147.49</v>
      </c>
      <c r="AE133" s="847">
        <v>155.03</v>
      </c>
      <c r="AF133" s="847">
        <v>162.58000000000001</v>
      </c>
      <c r="AG133" s="847">
        <v>170.01</v>
      </c>
      <c r="AH133" s="847">
        <v>177.53</v>
      </c>
      <c r="AI133" s="848">
        <v>185.07</v>
      </c>
      <c r="AJ133" s="690">
        <f t="shared" si="15"/>
        <v>192.60999999999999</v>
      </c>
      <c r="AK133" s="690">
        <f t="shared" si="16"/>
        <v>200.14999999999998</v>
      </c>
      <c r="AL133" s="690">
        <f t="shared" si="16"/>
        <v>207.68999999999997</v>
      </c>
      <c r="AM133" s="690">
        <f t="shared" si="16"/>
        <v>215.22999999999996</v>
      </c>
      <c r="AN133" s="690">
        <f t="shared" si="16"/>
        <v>222.76999999999995</v>
      </c>
      <c r="AO133" s="690">
        <f t="shared" si="16"/>
        <v>230.30999999999995</v>
      </c>
      <c r="AP133" s="690">
        <f t="shared" si="16"/>
        <v>237.84999999999994</v>
      </c>
    </row>
    <row r="134" spans="1:42" ht="13.95" customHeight="1">
      <c r="A134" s="1816"/>
      <c r="B134" s="849">
        <v>2.1</v>
      </c>
      <c r="C134" s="314">
        <f>(W134*KFC!$B$28+KFC!$C$28)*KFC!$C$5</f>
        <v>98.26</v>
      </c>
      <c r="D134" s="315">
        <f>(X134*KFC!$B$28+KFC!$C$28)*KFC!$C$5</f>
        <v>105.8</v>
      </c>
      <c r="E134" s="315">
        <f>(Y134*KFC!$B$28+KFC!$C$28)*KFC!$C$5</f>
        <v>113.91</v>
      </c>
      <c r="F134" s="315">
        <f>(Z134*KFC!$B$28+KFC!$C$28)*KFC!$C$5</f>
        <v>120.99</v>
      </c>
      <c r="G134" s="315">
        <f>(AA134*KFC!$B$28+KFC!$C$28)*KFC!$C$5</f>
        <v>128.65</v>
      </c>
      <c r="H134" s="315">
        <f>(AB134*KFC!$B$28+KFC!$C$28)*KFC!$C$5</f>
        <v>136.30000000000001</v>
      </c>
      <c r="I134" s="315">
        <f>(AC134*KFC!$B$28+KFC!$C$28)*KFC!$C$5</f>
        <v>143.84</v>
      </c>
      <c r="J134" s="315">
        <f>(AD134*KFC!$B$28+KFC!$C$28)*KFC!$C$5</f>
        <v>151.16</v>
      </c>
      <c r="K134" s="315">
        <f>(AE134*KFC!$B$28+KFC!$C$28)*KFC!$C$5</f>
        <v>159.04</v>
      </c>
      <c r="L134" s="315">
        <f>(AF134*KFC!$B$28+KFC!$C$28)*KFC!$C$5</f>
        <v>166.7</v>
      </c>
      <c r="M134" s="315">
        <f>(AG134*KFC!$B$28+KFC!$C$28)*KFC!$C$5</f>
        <v>174.01</v>
      </c>
      <c r="N134" s="315">
        <f>(AH134*KFC!$B$28+KFC!$C$28)*KFC!$C$5</f>
        <v>181.9</v>
      </c>
      <c r="O134" s="315">
        <f>(AI134*KFC!$B$28+KFC!$C$28)*KFC!$C$5</f>
        <v>189.79</v>
      </c>
      <c r="P134" s="315">
        <f>(AJ134*KFC!$B$28+KFC!$C$28)*KFC!$C$5</f>
        <v>197.67999999999998</v>
      </c>
      <c r="Q134" s="315">
        <f>(AK134*KFC!$B$28+KFC!$C$28)*KFC!$C$5</f>
        <v>205.56999999999996</v>
      </c>
      <c r="R134" s="315">
        <f>(AL134*KFC!$B$28+KFC!$C$28)*KFC!$C$5</f>
        <v>213.45999999999995</v>
      </c>
      <c r="S134" s="315">
        <f>(AM134*KFC!$B$28+KFC!$C$28)*KFC!$C$5</f>
        <v>221.34999999999994</v>
      </c>
      <c r="T134" s="315">
        <f>(AN134*KFC!$B$28+KFC!$C$28)*KFC!$C$5</f>
        <v>229.23999999999992</v>
      </c>
      <c r="V134" s="851">
        <v>2.1</v>
      </c>
      <c r="W134" s="847">
        <v>98.26</v>
      </c>
      <c r="X134" s="847">
        <v>105.8</v>
      </c>
      <c r="Y134" s="847">
        <v>113.91</v>
      </c>
      <c r="Z134" s="847">
        <v>120.99</v>
      </c>
      <c r="AA134" s="847">
        <v>128.65</v>
      </c>
      <c r="AB134" s="847">
        <v>136.30000000000001</v>
      </c>
      <c r="AC134" s="847">
        <v>143.84</v>
      </c>
      <c r="AD134" s="847">
        <v>151.16</v>
      </c>
      <c r="AE134" s="847">
        <v>159.04</v>
      </c>
      <c r="AF134" s="847">
        <v>166.7</v>
      </c>
      <c r="AG134" s="847">
        <v>174.01</v>
      </c>
      <c r="AH134" s="847">
        <v>181.9</v>
      </c>
      <c r="AI134" s="848">
        <v>189.79</v>
      </c>
      <c r="AJ134" s="690">
        <f t="shared" si="15"/>
        <v>197.67999999999998</v>
      </c>
      <c r="AK134" s="690">
        <f t="shared" ref="AK134:AP135" si="17">AJ134-AI134+AJ134</f>
        <v>205.56999999999996</v>
      </c>
      <c r="AL134" s="690">
        <f t="shared" si="17"/>
        <v>213.45999999999995</v>
      </c>
      <c r="AM134" s="690">
        <f t="shared" si="17"/>
        <v>221.34999999999994</v>
      </c>
      <c r="AN134" s="690">
        <f t="shared" si="17"/>
        <v>229.23999999999992</v>
      </c>
      <c r="AO134" s="690">
        <f t="shared" si="17"/>
        <v>237.12999999999991</v>
      </c>
      <c r="AP134" s="690">
        <f t="shared" si="17"/>
        <v>245.0199999999999</v>
      </c>
    </row>
    <row r="135" spans="1:42" ht="13.95" customHeight="1" thickBot="1">
      <c r="A135" s="1817"/>
      <c r="B135" s="849">
        <v>2.2000000000000002</v>
      </c>
      <c r="C135" s="317">
        <f>(W135*KFC!$B$28+KFC!$C$28)*KFC!$C$5</f>
        <v>101.43</v>
      </c>
      <c r="D135" s="318">
        <f>(X135*KFC!$B$28+KFC!$C$28)*KFC!$C$5</f>
        <v>108.98</v>
      </c>
      <c r="E135" s="318">
        <f>(Y135*KFC!$B$28+KFC!$C$28)*KFC!$C$5</f>
        <v>117.58</v>
      </c>
      <c r="F135" s="318">
        <f>(Z135*KFC!$B$28+KFC!$C$28)*KFC!$C$5</f>
        <v>124.4</v>
      </c>
      <c r="G135" s="318">
        <f>(AA135*KFC!$B$28+KFC!$C$28)*KFC!$C$5</f>
        <v>132.16999999999999</v>
      </c>
      <c r="H135" s="318">
        <f>(AB135*KFC!$B$28+KFC!$C$28)*KFC!$C$5</f>
        <v>140.08000000000001</v>
      </c>
      <c r="I135" s="318">
        <f>(AC135*KFC!$B$28+KFC!$C$28)*KFC!$C$5</f>
        <v>147.62</v>
      </c>
      <c r="J135" s="318">
        <f>(AD135*KFC!$B$28+KFC!$C$28)*KFC!$C$5</f>
        <v>154.80000000000001</v>
      </c>
      <c r="K135" s="318">
        <f>(AE135*KFC!$B$28+KFC!$C$28)*KFC!$C$5</f>
        <v>163.05000000000001</v>
      </c>
      <c r="L135" s="318">
        <f>(AF135*KFC!$B$28+KFC!$C$28)*KFC!$C$5</f>
        <v>170.82</v>
      </c>
      <c r="M135" s="318">
        <f>(AG135*KFC!$B$28+KFC!$C$28)*KFC!$C$5</f>
        <v>178.01</v>
      </c>
      <c r="N135" s="318">
        <f>(AH135*KFC!$B$28+KFC!$C$28)*KFC!$C$5</f>
        <v>186.26</v>
      </c>
      <c r="O135" s="318">
        <f>(AI135*KFC!$B$28+KFC!$C$28)*KFC!$C$5</f>
        <v>194.5</v>
      </c>
      <c r="P135" s="318">
        <f>(AJ135*KFC!$B$28+KFC!$C$28)*KFC!$C$5</f>
        <v>202.74</v>
      </c>
      <c r="Q135" s="318">
        <f>(AK135*KFC!$B$28+KFC!$C$28)*KFC!$C$5</f>
        <v>210.98000000000002</v>
      </c>
      <c r="R135" s="318">
        <f>(AL135*KFC!$B$28+KFC!$C$28)*KFC!$C$5</f>
        <v>219.22000000000003</v>
      </c>
      <c r="S135" s="318">
        <f>(AM135*KFC!$B$28+KFC!$C$28)*KFC!$C$5</f>
        <v>227.46000000000004</v>
      </c>
      <c r="T135" s="318">
        <f>(AN135*KFC!$B$28+KFC!$C$28)*KFC!$C$5</f>
        <v>235.70000000000005</v>
      </c>
      <c r="V135" s="851">
        <v>2.2000000000000002</v>
      </c>
      <c r="W135" s="847">
        <v>101.43</v>
      </c>
      <c r="X135" s="847">
        <v>108.98</v>
      </c>
      <c r="Y135" s="847">
        <v>117.58</v>
      </c>
      <c r="Z135" s="847">
        <v>124.4</v>
      </c>
      <c r="AA135" s="847">
        <v>132.16999999999999</v>
      </c>
      <c r="AB135" s="847">
        <v>140.08000000000001</v>
      </c>
      <c r="AC135" s="847">
        <v>147.62</v>
      </c>
      <c r="AD135" s="847">
        <v>154.80000000000001</v>
      </c>
      <c r="AE135" s="847">
        <v>163.05000000000001</v>
      </c>
      <c r="AF135" s="847">
        <v>170.82</v>
      </c>
      <c r="AG135" s="847">
        <v>178.01</v>
      </c>
      <c r="AH135" s="847">
        <v>186.26</v>
      </c>
      <c r="AI135" s="848">
        <v>194.5</v>
      </c>
      <c r="AJ135" s="690">
        <f t="shared" si="15"/>
        <v>202.74</v>
      </c>
      <c r="AK135" s="690">
        <f t="shared" si="17"/>
        <v>210.98000000000002</v>
      </c>
      <c r="AL135" s="690">
        <f t="shared" si="17"/>
        <v>219.22000000000003</v>
      </c>
      <c r="AM135" s="690">
        <f t="shared" si="17"/>
        <v>227.46000000000004</v>
      </c>
      <c r="AN135" s="690">
        <f t="shared" si="17"/>
        <v>235.70000000000005</v>
      </c>
      <c r="AO135" s="690">
        <f t="shared" si="17"/>
        <v>243.94000000000005</v>
      </c>
      <c r="AP135" s="690">
        <f t="shared" si="17"/>
        <v>252.18000000000006</v>
      </c>
    </row>
    <row r="136" spans="1:42" ht="14.25" customHeight="1" thickBot="1">
      <c r="A136" s="349" t="s">
        <v>303</v>
      </c>
      <c r="B136" s="218"/>
      <c r="C136" s="218"/>
      <c r="D136" s="218"/>
      <c r="E136" s="218"/>
      <c r="F136" s="218"/>
      <c r="G136" s="218"/>
      <c r="H136" s="218"/>
      <c r="I136" s="218"/>
      <c r="J136" s="218"/>
      <c r="K136" s="218"/>
      <c r="L136" s="218"/>
      <c r="M136" s="161"/>
      <c r="N136" s="161"/>
    </row>
    <row r="137" spans="1:42" ht="14.25" customHeight="1">
      <c r="A137" s="5" t="s">
        <v>199</v>
      </c>
      <c r="B137" s="5"/>
      <c r="C137" s="5"/>
      <c r="D137" s="71"/>
      <c r="E137" s="71"/>
      <c r="F137" s="22"/>
      <c r="G137" s="22"/>
      <c r="H137" s="22"/>
    </row>
    <row r="138" spans="1:42" ht="14.25" customHeight="1">
      <c r="A138" s="5" t="s">
        <v>204</v>
      </c>
      <c r="B138" s="71"/>
      <c r="C138" s="71"/>
      <c r="D138" s="71"/>
      <c r="E138" s="71"/>
      <c r="F138" s="22"/>
      <c r="G138" s="22"/>
      <c r="H138" s="22"/>
    </row>
    <row r="139" spans="1:42" ht="14.25" customHeight="1">
      <c r="A139" s="1750" t="s">
        <v>391</v>
      </c>
      <c r="B139" s="1750"/>
      <c r="C139" s="1750"/>
      <c r="D139" s="1750"/>
      <c r="E139" s="1750"/>
      <c r="F139" s="1750"/>
      <c r="G139" s="1750"/>
      <c r="H139" s="1750"/>
      <c r="I139" s="1750"/>
      <c r="J139" s="327">
        <f>(16*KFC!$B$28*1.02*1.05+KFC!$C$28)*KFC!$C$5</f>
        <v>17.136000000000003</v>
      </c>
      <c r="K139" s="327" t="s">
        <v>409</v>
      </c>
      <c r="L139" s="308"/>
      <c r="M139" s="308"/>
      <c r="N139" s="308"/>
    </row>
    <row r="140" spans="1:42" ht="14.25" customHeight="1">
      <c r="A140" s="1809" t="s">
        <v>1165</v>
      </c>
      <c r="B140" s="1809"/>
      <c r="C140" s="1809"/>
      <c r="D140" s="1809"/>
      <c r="E140" s="1809"/>
      <c r="F140" s="1809"/>
      <c r="G140" s="1809"/>
      <c r="H140" s="1809"/>
      <c r="I140" s="1809"/>
      <c r="J140" s="831">
        <v>0.15</v>
      </c>
      <c r="K140" s="832"/>
      <c r="L140" s="308"/>
      <c r="M140" s="308"/>
      <c r="N140" s="308"/>
    </row>
    <row r="141" spans="1:42" ht="14.25" customHeight="1">
      <c r="A141" s="842" t="s">
        <v>1169</v>
      </c>
      <c r="B141" s="842"/>
      <c r="C141" s="842"/>
      <c r="D141" s="842"/>
      <c r="E141" s="842"/>
      <c r="F141" s="842"/>
      <c r="G141" s="842"/>
      <c r="H141" s="842"/>
      <c r="I141" s="842"/>
      <c r="J141" s="831"/>
      <c r="K141" s="832"/>
      <c r="L141" s="308"/>
      <c r="M141" s="308"/>
      <c r="N141" s="308"/>
    </row>
    <row r="142" spans="1:42" ht="14.25" customHeight="1">
      <c r="A142" s="842" t="s">
        <v>1177</v>
      </c>
      <c r="B142" s="842"/>
      <c r="C142" s="842"/>
      <c r="D142" s="842"/>
      <c r="E142" s="842"/>
      <c r="F142" s="842"/>
      <c r="G142" s="842"/>
      <c r="H142" s="842"/>
      <c r="I142" s="842"/>
      <c r="J142" s="831"/>
      <c r="K142" s="832"/>
      <c r="L142" s="308"/>
      <c r="M142" s="308"/>
      <c r="N142" s="308"/>
    </row>
    <row r="143" spans="1:42" ht="14.25" customHeight="1">
      <c r="A143" s="842" t="s">
        <v>1176</v>
      </c>
      <c r="B143" s="842"/>
      <c r="C143" s="842"/>
      <c r="D143" s="842"/>
      <c r="E143" s="842"/>
      <c r="F143" s="842"/>
      <c r="G143" s="842"/>
      <c r="H143" s="842"/>
      <c r="I143" s="842"/>
      <c r="J143" s="831"/>
      <c r="K143" s="832"/>
      <c r="L143" s="308"/>
      <c r="M143" s="308"/>
      <c r="N143" s="308"/>
    </row>
    <row r="144" spans="1:42" ht="14.25" customHeight="1">
      <c r="A144" s="1750" t="s">
        <v>352</v>
      </c>
      <c r="B144" s="1750"/>
      <c r="C144" s="1750"/>
      <c r="D144" s="1750"/>
      <c r="E144" s="1750"/>
      <c r="F144" s="1750"/>
      <c r="G144" s="1750"/>
      <c r="H144" s="1750"/>
      <c r="I144" s="1750"/>
      <c r="J144" s="1750"/>
      <c r="K144" s="1750"/>
      <c r="L144" s="1750"/>
      <c r="M144" s="1750"/>
      <c r="N144" s="1750"/>
    </row>
    <row r="145" spans="1:20" ht="14.25" customHeight="1">
      <c r="A145" s="308" t="s">
        <v>353</v>
      </c>
      <c r="B145" s="308"/>
      <c r="C145" s="308"/>
      <c r="D145" s="308"/>
      <c r="E145" s="308"/>
      <c r="F145" s="308"/>
      <c r="G145" s="308"/>
      <c r="H145" s="308"/>
      <c r="I145" s="308"/>
      <c r="J145" s="308"/>
      <c r="K145" s="308"/>
      <c r="L145" s="308"/>
      <c r="M145" s="308"/>
      <c r="N145" s="308"/>
    </row>
    <row r="146" spans="1:20" ht="14.25" customHeight="1">
      <c r="A146" s="308" t="s">
        <v>1034</v>
      </c>
      <c r="B146" s="308"/>
      <c r="C146" s="308"/>
      <c r="D146" s="308"/>
      <c r="E146" s="308"/>
      <c r="F146" s="308"/>
      <c r="G146" s="308"/>
      <c r="H146" s="308"/>
      <c r="I146" s="308"/>
      <c r="J146" s="308"/>
      <c r="K146" s="308"/>
      <c r="L146" s="308"/>
      <c r="M146" s="308"/>
      <c r="N146" s="308"/>
    </row>
    <row r="147" spans="1:20" ht="12" customHeight="1">
      <c r="A147" s="3"/>
      <c r="B147" s="3"/>
      <c r="C147" s="3"/>
      <c r="D147" s="3"/>
      <c r="E147" s="3"/>
      <c r="H147" s="22"/>
      <c r="N147" s="67"/>
    </row>
    <row r="148" spans="1:20" ht="12" customHeight="1">
      <c r="A148" s="3"/>
      <c r="B148" s="3"/>
      <c r="C148" s="3"/>
      <c r="D148" s="3"/>
      <c r="E148" s="3"/>
      <c r="H148" s="22"/>
      <c r="N148" s="67"/>
    </row>
    <row r="149" spans="1:20" ht="12" customHeight="1">
      <c r="A149" s="3"/>
      <c r="B149" s="3"/>
      <c r="C149" s="3"/>
      <c r="D149" s="3"/>
      <c r="E149" s="3"/>
      <c r="H149" s="22"/>
      <c r="N149" s="67"/>
    </row>
    <row r="150" spans="1:20" ht="12" customHeight="1">
      <c r="A150" s="3"/>
      <c r="B150" s="3"/>
      <c r="C150" s="3"/>
      <c r="D150" s="3"/>
      <c r="E150" s="3"/>
      <c r="H150" s="22"/>
      <c r="N150" s="67"/>
    </row>
    <row r="151" spans="1:20" ht="12" customHeight="1">
      <c r="A151" s="3"/>
      <c r="B151" s="3"/>
      <c r="C151" s="3"/>
      <c r="D151" s="3"/>
      <c r="E151" s="3"/>
      <c r="H151" s="22"/>
      <c r="N151" s="67"/>
    </row>
    <row r="152" spans="1:20" ht="30" customHeight="1">
      <c r="A152" s="1800" t="s">
        <v>305</v>
      </c>
      <c r="B152" s="1800"/>
      <c r="C152" s="1800"/>
      <c r="D152" s="1800"/>
      <c r="E152" s="1800"/>
      <c r="F152" s="1800"/>
      <c r="G152" s="1800"/>
      <c r="H152" s="1800"/>
      <c r="I152" s="1800"/>
      <c r="J152" s="1800"/>
      <c r="K152" s="1800"/>
      <c r="L152" s="1800"/>
      <c r="M152" s="1800"/>
      <c r="N152" s="1800"/>
      <c r="O152" s="1800"/>
      <c r="P152" s="1800"/>
      <c r="Q152" s="1800"/>
      <c r="R152" s="1800"/>
      <c r="S152" s="1800"/>
      <c r="T152" s="1800"/>
    </row>
    <row r="153" spans="1:20" ht="21.75" customHeight="1" thickBot="1">
      <c r="A153" s="1004" t="s">
        <v>306</v>
      </c>
      <c r="B153" s="1004"/>
      <c r="C153" s="1004"/>
      <c r="D153" s="1004"/>
      <c r="E153" s="1004"/>
      <c r="F153" s="1004"/>
      <c r="G153" s="1004"/>
      <c r="H153" s="1004"/>
      <c r="I153" s="1004"/>
      <c r="J153" s="1004"/>
      <c r="K153" s="1004"/>
      <c r="L153" s="1004"/>
      <c r="M153" s="1004"/>
      <c r="N153" s="1004"/>
      <c r="O153" s="1004"/>
      <c r="P153" s="1004"/>
      <c r="Q153" s="1004"/>
      <c r="R153" s="1004"/>
      <c r="S153" s="1004"/>
      <c r="T153" s="1004"/>
    </row>
    <row r="154" spans="1:20" ht="21.75" customHeight="1" thickBot="1">
      <c r="A154" s="837"/>
      <c r="B154" s="837"/>
      <c r="C154" s="837"/>
      <c r="D154" s="837"/>
      <c r="E154" s="837"/>
      <c r="F154" s="837"/>
      <c r="G154" s="1638" t="s">
        <v>88</v>
      </c>
      <c r="H154" s="1639"/>
      <c r="I154" s="1640"/>
      <c r="J154" s="1114" t="s">
        <v>87</v>
      </c>
      <c r="K154" s="1006"/>
      <c r="L154" s="1006"/>
      <c r="M154" s="1006"/>
      <c r="N154" s="1006"/>
      <c r="O154" s="1006"/>
      <c r="P154" s="1115"/>
      <c r="Q154" s="1641" t="s">
        <v>24</v>
      </c>
      <c r="R154" s="1813"/>
      <c r="S154" s="837"/>
      <c r="T154" s="837"/>
    </row>
    <row r="155" spans="1:20" ht="14.4" customHeight="1" thickBot="1">
      <c r="G155" s="1833" t="s">
        <v>884</v>
      </c>
      <c r="H155" s="1834"/>
      <c r="I155" s="1834"/>
      <c r="J155" s="1835" t="s">
        <v>885</v>
      </c>
      <c r="K155" s="1836"/>
      <c r="L155" s="1836"/>
      <c r="M155" s="1836"/>
      <c r="N155" s="1836"/>
      <c r="O155" s="1836"/>
      <c r="P155" s="1836"/>
      <c r="Q155" s="1837">
        <f>(107.59*KFC!$B$41+KFC!$C$41)*KFC!$C$5</f>
        <v>107.59</v>
      </c>
      <c r="R155" s="1838"/>
    </row>
    <row r="156" spans="1:20" ht="30.6" customHeight="1" thickBot="1">
      <c r="A156" s="1065" t="s">
        <v>1168</v>
      </c>
      <c r="B156" s="1065"/>
      <c r="C156" s="1065"/>
      <c r="D156" s="1065"/>
      <c r="E156" s="1065"/>
      <c r="F156" s="1065"/>
      <c r="G156" s="1065"/>
      <c r="H156" s="1065"/>
      <c r="I156" s="1065"/>
      <c r="J156" s="1065"/>
      <c r="K156" s="1065"/>
      <c r="L156" s="1065"/>
      <c r="M156" s="1065"/>
      <c r="N156" s="1065"/>
      <c r="O156" s="1065"/>
      <c r="P156" s="1065"/>
      <c r="Q156" s="1065"/>
      <c r="R156" s="1065"/>
      <c r="S156" s="1065"/>
      <c r="T156" s="1065"/>
    </row>
    <row r="157" spans="1:20" ht="30.6" customHeight="1" thickBot="1">
      <c r="A157" s="838"/>
      <c r="B157" s="838"/>
      <c r="C157" s="838"/>
      <c r="D157" s="838"/>
      <c r="E157" s="838"/>
      <c r="F157" s="838"/>
      <c r="G157" s="1665" t="s">
        <v>88</v>
      </c>
      <c r="H157" s="1666"/>
      <c r="I157" s="1810"/>
      <c r="J157" s="1051" t="s">
        <v>87</v>
      </c>
      <c r="K157" s="1052"/>
      <c r="L157" s="1052"/>
      <c r="M157" s="1052"/>
      <c r="N157" s="1052"/>
      <c r="O157" s="1052"/>
      <c r="P157" s="1053"/>
      <c r="Q157" s="836" t="s">
        <v>24</v>
      </c>
      <c r="R157" s="843"/>
      <c r="S157" s="838"/>
      <c r="T157" s="838"/>
    </row>
    <row r="158" spans="1:20" ht="14.4" customHeight="1">
      <c r="G158" s="1653" t="s">
        <v>884</v>
      </c>
      <c r="H158" s="1654"/>
      <c r="I158" s="1654"/>
      <c r="J158" s="1804" t="s">
        <v>886</v>
      </c>
      <c r="K158" s="1804"/>
      <c r="L158" s="1804"/>
      <c r="M158" s="1804"/>
      <c r="N158" s="1804"/>
      <c r="O158" s="1804"/>
      <c r="P158" s="1804"/>
      <c r="Q158" s="1805">
        <f>(31.65*KFC!$B$41+KFC!$C$41)*KFC!$C$5</f>
        <v>31.65</v>
      </c>
      <c r="R158" s="1806"/>
    </row>
    <row r="159" spans="1:20" ht="27" customHeight="1">
      <c r="G159" s="1035" t="s">
        <v>884</v>
      </c>
      <c r="H159" s="1218"/>
      <c r="I159" s="1218"/>
      <c r="J159" s="1650" t="s">
        <v>887</v>
      </c>
      <c r="K159" s="1650"/>
      <c r="L159" s="1650"/>
      <c r="M159" s="1650"/>
      <c r="N159" s="1650"/>
      <c r="O159" s="1650"/>
      <c r="P159" s="1650"/>
      <c r="Q159" s="1794">
        <f>(37.97*KFC!$B$41+KFC!$C$41)*KFC!$C$5</f>
        <v>37.97</v>
      </c>
      <c r="R159" s="1795"/>
    </row>
    <row r="160" spans="1:20" ht="27" customHeight="1">
      <c r="G160" s="1035" t="s">
        <v>884</v>
      </c>
      <c r="H160" s="1218"/>
      <c r="I160" s="1218"/>
      <c r="J160" s="1650" t="s">
        <v>888</v>
      </c>
      <c r="K160" s="1650"/>
      <c r="L160" s="1650"/>
      <c r="M160" s="1650"/>
      <c r="N160" s="1650"/>
      <c r="O160" s="1650"/>
      <c r="P160" s="1650"/>
      <c r="Q160" s="1794">
        <f>(44.3*KFC!$B$41+KFC!$C$41)*KFC!$C$5</f>
        <v>44.3</v>
      </c>
      <c r="R160" s="1795"/>
    </row>
    <row r="161" spans="1:18" ht="27" customHeight="1">
      <c r="G161" s="1035" t="s">
        <v>884</v>
      </c>
      <c r="H161" s="1218"/>
      <c r="I161" s="1218"/>
      <c r="J161" s="1650" t="s">
        <v>889</v>
      </c>
      <c r="K161" s="1650"/>
      <c r="L161" s="1650"/>
      <c r="M161" s="1650"/>
      <c r="N161" s="1650"/>
      <c r="O161" s="1650"/>
      <c r="P161" s="1650"/>
      <c r="Q161" s="1293">
        <f>(18.35*KFC!$B$41+KFC!$C$41)*KFC!$C$5</f>
        <v>18.350000000000001</v>
      </c>
      <c r="R161" s="1294"/>
    </row>
    <row r="162" spans="1:18" ht="28.95" customHeight="1">
      <c r="G162" s="1035" t="s">
        <v>884</v>
      </c>
      <c r="H162" s="1218"/>
      <c r="I162" s="1218"/>
      <c r="J162" s="1650" t="s">
        <v>1006</v>
      </c>
      <c r="K162" s="1650"/>
      <c r="L162" s="1650"/>
      <c r="M162" s="1650"/>
      <c r="N162" s="1650"/>
      <c r="O162" s="1650"/>
      <c r="P162" s="1650"/>
      <c r="Q162" s="1293">
        <f>(75.95*KFC!$B$41+KFC!$C$41)*KFC!$C$5</f>
        <v>75.95</v>
      </c>
      <c r="R162" s="1294"/>
    </row>
    <row r="163" spans="1:18" ht="28.95" customHeight="1" thickBot="1">
      <c r="G163" s="1036" t="s">
        <v>884</v>
      </c>
      <c r="H163" s="1564"/>
      <c r="I163" s="1564"/>
      <c r="J163" s="1556" t="s">
        <v>1054</v>
      </c>
      <c r="K163" s="1556"/>
      <c r="L163" s="1556"/>
      <c r="M163" s="1556"/>
      <c r="N163" s="1556"/>
      <c r="O163" s="1556"/>
      <c r="P163" s="1556"/>
      <c r="Q163" s="1295">
        <f>(76*KFC!$B$41+KFC!$C$41)*KFC!$C$5</f>
        <v>76</v>
      </c>
      <c r="R163" s="1296"/>
    </row>
    <row r="164" spans="1:18" ht="28.95" customHeight="1"/>
    <row r="165" spans="1:18" ht="28.95" customHeight="1">
      <c r="A165" s="549"/>
      <c r="B165" s="549"/>
      <c r="C165" s="549"/>
      <c r="D165" s="60"/>
      <c r="E165" s="60"/>
      <c r="F165" s="60"/>
      <c r="G165" s="60"/>
      <c r="H165" s="60"/>
      <c r="I165" s="60"/>
      <c r="J165" s="60"/>
      <c r="K165" s="719"/>
      <c r="L165" s="719"/>
    </row>
    <row r="166" spans="1:18">
      <c r="A166" s="1832"/>
      <c r="B166" s="1832"/>
      <c r="C166" s="1832"/>
      <c r="D166" s="1832"/>
      <c r="E166" s="1832"/>
      <c r="F166" s="1832"/>
      <c r="G166" s="1832"/>
      <c r="H166" s="1832"/>
      <c r="I166" s="1832"/>
      <c r="J166" s="1832"/>
      <c r="K166" s="1832"/>
      <c r="L166" s="1832"/>
    </row>
    <row r="176" spans="1:18">
      <c r="A176" s="23"/>
      <c r="B176" s="22"/>
      <c r="C176" s="22"/>
      <c r="D176" s="22"/>
      <c r="E176" s="22"/>
      <c r="F176" s="22"/>
      <c r="G176" s="22"/>
      <c r="H176" s="22"/>
    </row>
  </sheetData>
  <mergeCells count="62">
    <mergeCell ref="Q160:R160"/>
    <mergeCell ref="Q161:R161"/>
    <mergeCell ref="Q162:R162"/>
    <mergeCell ref="G160:I160"/>
    <mergeCell ref="G161:I161"/>
    <mergeCell ref="J160:P160"/>
    <mergeCell ref="J161:P161"/>
    <mergeCell ref="A3:T3"/>
    <mergeCell ref="A7:T7"/>
    <mergeCell ref="A152:T152"/>
    <mergeCell ref="A153:T153"/>
    <mergeCell ref="J154:P154"/>
    <mergeCell ref="Q154:R154"/>
    <mergeCell ref="C11:T11"/>
    <mergeCell ref="C32:T32"/>
    <mergeCell ref="C53:T53"/>
    <mergeCell ref="C74:T74"/>
    <mergeCell ref="A4:T6"/>
    <mergeCell ref="C95:T95"/>
    <mergeCell ref="A53:B54"/>
    <mergeCell ref="A13:A30"/>
    <mergeCell ref="A34:A51"/>
    <mergeCell ref="A74:B75"/>
    <mergeCell ref="A32:B33"/>
    <mergeCell ref="A55:A72"/>
    <mergeCell ref="E10:N10"/>
    <mergeCell ref="A8:D8"/>
    <mergeCell ref="A11:B12"/>
    <mergeCell ref="A10:D10"/>
    <mergeCell ref="E9:N9"/>
    <mergeCell ref="A9:D9"/>
    <mergeCell ref="E8:N8"/>
    <mergeCell ref="A76:A93"/>
    <mergeCell ref="A97:A114"/>
    <mergeCell ref="G154:I154"/>
    <mergeCell ref="A139:I139"/>
    <mergeCell ref="A95:B96"/>
    <mergeCell ref="A116:B117"/>
    <mergeCell ref="A144:N144"/>
    <mergeCell ref="A118:A135"/>
    <mergeCell ref="A140:I140"/>
    <mergeCell ref="C116:T116"/>
    <mergeCell ref="G155:I155"/>
    <mergeCell ref="J155:P155"/>
    <mergeCell ref="Q155:R155"/>
    <mergeCell ref="J159:P159"/>
    <mergeCell ref="A156:T156"/>
    <mergeCell ref="Q158:R158"/>
    <mergeCell ref="Q159:R159"/>
    <mergeCell ref="G158:I158"/>
    <mergeCell ref="G157:I157"/>
    <mergeCell ref="J157:P157"/>
    <mergeCell ref="J158:P158"/>
    <mergeCell ref="G159:I159"/>
    <mergeCell ref="Q163:R163"/>
    <mergeCell ref="A166:C166"/>
    <mergeCell ref="D166:J166"/>
    <mergeCell ref="K166:L166"/>
    <mergeCell ref="G162:I162"/>
    <mergeCell ref="G163:I163"/>
    <mergeCell ref="J163:P163"/>
    <mergeCell ref="J162:P162"/>
  </mergeCells>
  <phoneticPr fontId="7" type="noConversion"/>
  <hyperlinks>
    <hyperlink ref="E10" r:id="rId1" xr:uid="{FF1AABE0-65E9-4037-B47C-27CEAA7C0A73}"/>
    <hyperlink ref="E8" r:id="rId2" xr:uid="{A991CB0B-A2C9-4A24-8101-B3059628CB5C}"/>
    <hyperlink ref="E9" r:id="rId3" xr:uid="{3D961C50-C439-4C3D-A5EE-C1CA57A5338C}"/>
  </hyperlinks>
  <pageMargins left="0.19685039370078741" right="0.19685039370078741" top="0" bottom="0" header="0" footer="0"/>
  <pageSetup paperSize="9" scale="51" fitToHeight="2" orientation="portrait" verticalDpi="200" r:id="rId4"/>
  <headerFooter alignWithMargins="0"/>
  <rowBreaks count="3" manualBreakCount="3">
    <brk id="52" max="43" man="1"/>
    <brk id="93" max="43" man="1"/>
    <brk id="146" max="4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2CB9F5-B4B0-406F-AD61-C283865769B7}">
  <sheetPr>
    <tabColor rgb="FF7030A0"/>
  </sheetPr>
  <dimension ref="A1:AP159"/>
  <sheetViews>
    <sheetView view="pageBreakPreview" zoomScale="90" zoomScaleNormal="100" zoomScaleSheetLayoutView="90" workbookViewId="0">
      <pane ySplit="7" topLeftCell="A26" activePane="bottomLeft" state="frozen"/>
      <selection pane="bottomLeft" activeCell="L41" sqref="L41"/>
    </sheetView>
  </sheetViews>
  <sheetFormatPr defaultRowHeight="13.2"/>
  <cols>
    <col min="1" max="1" width="4.33203125" customWidth="1"/>
    <col min="2" max="2" width="7.44140625" customWidth="1"/>
    <col min="3" max="14" width="6.44140625" customWidth="1"/>
    <col min="21" max="42" width="0" hidden="1" customWidth="1"/>
  </cols>
  <sheetData>
    <row r="1" spans="1:42" ht="16.8">
      <c r="A1" s="1"/>
      <c r="B1" s="103"/>
      <c r="C1" s="103"/>
      <c r="D1" s="103"/>
      <c r="E1" s="10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</row>
    <row r="2" spans="1:42" ht="16.8">
      <c r="A2" s="1"/>
      <c r="B2" s="103"/>
      <c r="C2" s="103"/>
      <c r="D2" s="103"/>
      <c r="E2" s="10"/>
      <c r="F2" s="56"/>
      <c r="G2" s="1"/>
      <c r="H2" s="1"/>
      <c r="I2" s="1"/>
      <c r="J2" s="1"/>
      <c r="K2" s="1"/>
      <c r="L2" s="1"/>
      <c r="M2" s="1"/>
      <c r="N2" s="1"/>
      <c r="P2" s="1"/>
      <c r="Q2" s="1"/>
      <c r="R2" s="1"/>
      <c r="S2" s="1"/>
      <c r="T2" s="1"/>
    </row>
    <row r="3" spans="1:42" ht="16.8">
      <c r="A3" s="1821" t="s">
        <v>350</v>
      </c>
      <c r="B3" s="1821"/>
      <c r="C3" s="1821"/>
      <c r="D3" s="1821"/>
      <c r="E3" s="1821"/>
      <c r="F3" s="1821"/>
      <c r="G3" s="1821"/>
      <c r="H3" s="1821"/>
      <c r="I3" s="1821"/>
      <c r="J3" s="1821"/>
      <c r="K3" s="1821"/>
      <c r="L3" s="1821"/>
      <c r="M3" s="1821"/>
      <c r="N3" s="1821"/>
      <c r="O3" s="1821"/>
      <c r="P3" s="1821"/>
      <c r="Q3" s="1821"/>
      <c r="R3" s="1821"/>
      <c r="S3" s="1821"/>
      <c r="T3" s="1821"/>
    </row>
    <row r="4" spans="1:42" ht="13.2" customHeight="1">
      <c r="A4" s="1839" t="s">
        <v>252</v>
      </c>
      <c r="B4" s="1839"/>
      <c r="C4" s="1839"/>
      <c r="D4" s="1839"/>
      <c r="E4" s="1839"/>
      <c r="F4" s="1839"/>
      <c r="G4" s="1839"/>
      <c r="H4" s="1839"/>
      <c r="I4" s="1839"/>
      <c r="J4" s="1839"/>
      <c r="K4" s="1839"/>
      <c r="L4" s="1839"/>
      <c r="M4" s="1839"/>
      <c r="N4" s="1839"/>
      <c r="O4" s="1839"/>
      <c r="P4" s="1839"/>
      <c r="Q4" s="1839"/>
      <c r="R4" s="1839"/>
      <c r="S4" s="1839"/>
      <c r="T4" s="1839"/>
    </row>
    <row r="5" spans="1:42">
      <c r="A5" s="1839"/>
      <c r="B5" s="1839"/>
      <c r="C5" s="1839"/>
      <c r="D5" s="1839"/>
      <c r="E5" s="1839"/>
      <c r="F5" s="1839"/>
      <c r="G5" s="1839"/>
      <c r="H5" s="1839"/>
      <c r="I5" s="1839"/>
      <c r="J5" s="1839"/>
      <c r="K5" s="1839"/>
      <c r="L5" s="1839"/>
      <c r="M5" s="1839"/>
      <c r="N5" s="1839"/>
      <c r="O5" s="1839"/>
      <c r="P5" s="1839"/>
      <c r="Q5" s="1839"/>
      <c r="R5" s="1839"/>
      <c r="S5" s="1839"/>
      <c r="T5" s="1839"/>
    </row>
    <row r="6" spans="1:42">
      <c r="A6" s="1839"/>
      <c r="B6" s="1839"/>
      <c r="C6" s="1839"/>
      <c r="D6" s="1839"/>
      <c r="E6" s="1839"/>
      <c r="F6" s="1839"/>
      <c r="G6" s="1839"/>
      <c r="H6" s="1839"/>
      <c r="I6" s="1839"/>
      <c r="J6" s="1839"/>
      <c r="K6" s="1839"/>
      <c r="L6" s="1839"/>
      <c r="M6" s="1839"/>
      <c r="N6" s="1839"/>
      <c r="O6" s="1839"/>
      <c r="P6" s="1839"/>
      <c r="Q6" s="1839"/>
      <c r="R6" s="1839"/>
      <c r="S6" s="1839"/>
      <c r="T6" s="1839"/>
    </row>
    <row r="7" spans="1:42">
      <c r="A7" s="1822" t="s">
        <v>745</v>
      </c>
      <c r="B7" s="1822"/>
      <c r="C7" s="1822"/>
      <c r="D7" s="1822"/>
      <c r="E7" s="1822"/>
      <c r="F7" s="1822"/>
      <c r="G7" s="1822"/>
      <c r="H7" s="1822"/>
      <c r="I7" s="1822"/>
      <c r="J7" s="1822"/>
      <c r="K7" s="1822"/>
      <c r="L7" s="1822"/>
      <c r="M7" s="1822"/>
      <c r="N7" s="1822"/>
      <c r="O7" s="1822"/>
      <c r="P7" s="1822"/>
      <c r="Q7" s="1822"/>
      <c r="R7" s="1822"/>
      <c r="S7" s="1822"/>
      <c r="T7" s="1822"/>
    </row>
    <row r="8" spans="1:42" ht="28.5" customHeight="1">
      <c r="A8" s="1089" t="s">
        <v>593</v>
      </c>
      <c r="B8" s="1089"/>
      <c r="C8" s="1089"/>
      <c r="D8" s="1089"/>
      <c r="E8" s="1406" t="s">
        <v>618</v>
      </c>
      <c r="F8" s="1406"/>
      <c r="G8" s="1406"/>
      <c r="H8" s="1406"/>
      <c r="I8" s="1406"/>
      <c r="J8" s="1406"/>
      <c r="K8" s="1406"/>
      <c r="L8" s="1406"/>
      <c r="M8" s="1406"/>
      <c r="N8" s="1406"/>
      <c r="O8" s="1"/>
      <c r="P8" s="1"/>
      <c r="Q8" s="1"/>
      <c r="R8" s="1"/>
      <c r="S8" s="1"/>
      <c r="T8" s="1"/>
    </row>
    <row r="9" spans="1:42" ht="28.5" customHeight="1" thickBot="1">
      <c r="A9" s="1831" t="s">
        <v>611</v>
      </c>
      <c r="B9" s="1831"/>
      <c r="C9" s="1831"/>
      <c r="D9" s="1831"/>
      <c r="E9" s="1406" t="s">
        <v>613</v>
      </c>
      <c r="F9" s="1406"/>
      <c r="G9" s="1406"/>
      <c r="H9" s="1406"/>
      <c r="I9" s="1406"/>
      <c r="J9" s="1406"/>
      <c r="K9" s="1406"/>
      <c r="L9" s="1406"/>
      <c r="M9" s="1406"/>
      <c r="N9" s="1406"/>
      <c r="O9" s="1"/>
      <c r="P9" s="1"/>
      <c r="Q9" s="1"/>
      <c r="R9" s="1"/>
      <c r="S9" s="1"/>
      <c r="T9" s="1"/>
    </row>
    <row r="10" spans="1:42" ht="13.8" thickBot="1">
      <c r="A10" s="1413" t="s">
        <v>462</v>
      </c>
      <c r="B10" s="1415"/>
      <c r="C10" s="1534" t="s">
        <v>207</v>
      </c>
      <c r="D10" s="1535"/>
      <c r="E10" s="1535"/>
      <c r="F10" s="1535"/>
      <c r="G10" s="1535"/>
      <c r="H10" s="1535"/>
      <c r="I10" s="1535"/>
      <c r="J10" s="1535"/>
      <c r="K10" s="1535"/>
      <c r="L10" s="1535"/>
      <c r="M10" s="1535"/>
      <c r="N10" s="1535"/>
      <c r="O10" s="1535"/>
      <c r="P10" s="1535"/>
      <c r="Q10" s="1535"/>
      <c r="R10" s="1535"/>
      <c r="S10" s="1535"/>
      <c r="T10" s="1535"/>
    </row>
    <row r="11" spans="1:42" ht="13.8" thickBot="1">
      <c r="A11" s="1416"/>
      <c r="B11" s="1418"/>
      <c r="C11" s="119">
        <v>0.4</v>
      </c>
      <c r="D11" s="119">
        <v>0.5</v>
      </c>
      <c r="E11" s="119">
        <v>0.6</v>
      </c>
      <c r="F11" s="119">
        <v>0.7</v>
      </c>
      <c r="G11" s="119">
        <v>0.8</v>
      </c>
      <c r="H11" s="119">
        <v>0.9</v>
      </c>
      <c r="I11" s="119">
        <v>1</v>
      </c>
      <c r="J11" s="119">
        <v>1.1000000000000001</v>
      </c>
      <c r="K11" s="119">
        <v>1.2</v>
      </c>
      <c r="L11" s="119">
        <v>1.3</v>
      </c>
      <c r="M11" s="119">
        <v>1.4</v>
      </c>
      <c r="N11" s="119">
        <v>1.5</v>
      </c>
      <c r="O11" s="119">
        <v>1.6</v>
      </c>
      <c r="P11" s="119">
        <v>1.7</v>
      </c>
      <c r="Q11" s="119">
        <v>1.8</v>
      </c>
      <c r="R11" s="119">
        <v>1.9</v>
      </c>
      <c r="S11" s="119">
        <v>2</v>
      </c>
      <c r="T11" s="119">
        <v>2.1</v>
      </c>
      <c r="V11" s="850"/>
      <c r="W11" s="851">
        <v>0.4</v>
      </c>
      <c r="X11" s="851">
        <v>0.5</v>
      </c>
      <c r="Y11" s="851">
        <v>0.6</v>
      </c>
      <c r="Z11" s="851">
        <v>0.7</v>
      </c>
      <c r="AA11" s="851">
        <v>0.8</v>
      </c>
      <c r="AB11" s="851">
        <v>0.9</v>
      </c>
      <c r="AC11" s="851">
        <v>1</v>
      </c>
      <c r="AD11" s="851">
        <v>1.1000000000000001</v>
      </c>
      <c r="AE11" s="851">
        <v>1.2</v>
      </c>
      <c r="AF11" s="851">
        <v>1.3</v>
      </c>
      <c r="AG11" s="851">
        <v>1.4</v>
      </c>
      <c r="AH11" s="851">
        <v>1.5</v>
      </c>
      <c r="AI11" s="852">
        <v>1.6</v>
      </c>
      <c r="AJ11" s="853">
        <v>1.7</v>
      </c>
      <c r="AK11" s="853">
        <v>1.8</v>
      </c>
      <c r="AL11" s="853">
        <v>1.9</v>
      </c>
      <c r="AM11" s="853">
        <v>2</v>
      </c>
      <c r="AN11" s="853">
        <v>2.1</v>
      </c>
      <c r="AO11" s="853">
        <v>2.2000000000000002</v>
      </c>
      <c r="AP11" s="853">
        <v>2.2999999999999998</v>
      </c>
    </row>
    <row r="12" spans="1:42" ht="13.2" customHeight="1">
      <c r="A12" s="1537" t="s">
        <v>3</v>
      </c>
      <c r="B12" s="261">
        <v>0.5</v>
      </c>
      <c r="C12" s="311">
        <f>(W12*KFC!$B$29+KFC!$C$29)*KFC!$C$5</f>
        <v>35.4</v>
      </c>
      <c r="D12" s="312">
        <f>(X12*KFC!$B$29+KFC!$C$29)*KFC!$C$5</f>
        <v>38.630000000000003</v>
      </c>
      <c r="E12" s="312">
        <f>(Y12*KFC!$B$29+KFC!$C$29)*KFC!$C$5</f>
        <v>41.76</v>
      </c>
      <c r="F12" s="312">
        <f>(Z12*KFC!$B$29+KFC!$C$29)*KFC!$C$5</f>
        <v>44.99</v>
      </c>
      <c r="G12" s="312">
        <f>(AA12*KFC!$B$29+KFC!$C$29)*KFC!$C$5</f>
        <v>48.24</v>
      </c>
      <c r="H12" s="312">
        <f>(AB12*KFC!$B$29+KFC!$C$29)*KFC!$C$5</f>
        <v>51.47</v>
      </c>
      <c r="I12" s="312">
        <f>(AC12*KFC!$B$29+KFC!$C$29)*KFC!$C$5</f>
        <v>54.6</v>
      </c>
      <c r="J12" s="312">
        <f>(AD12*KFC!$B$29+KFC!$C$29)*KFC!$C$5</f>
        <v>57.83</v>
      </c>
      <c r="K12" s="312">
        <f>(AE12*KFC!$B$29+KFC!$C$29)*KFC!$C$5</f>
        <v>61.07</v>
      </c>
      <c r="L12" s="312">
        <f>(AF12*KFC!$B$29+KFC!$C$29)*KFC!$C$5</f>
        <v>64.31</v>
      </c>
      <c r="M12" s="312">
        <f>(AG12*KFC!$B$29+KFC!$C$29)*KFC!$C$5</f>
        <v>67.430000000000007</v>
      </c>
      <c r="N12" s="312">
        <f>(AH12*KFC!$B$29+KFC!$C$29)*KFC!$C$5</f>
        <v>70.790000000000006</v>
      </c>
      <c r="O12" s="312">
        <f>(AI12*KFC!$B$29+KFC!$C$29)*KFC!$C$5</f>
        <v>74.14</v>
      </c>
      <c r="P12" s="312">
        <f>(AJ12*KFC!$B$29+KFC!$C$29)*KFC!$C$5</f>
        <v>77.489999999999995</v>
      </c>
      <c r="Q12" s="312">
        <f>(AK12*KFC!$B$29+KFC!$C$29)*KFC!$C$5</f>
        <v>80.839999999999989</v>
      </c>
      <c r="R12" s="312">
        <f>(AL12*KFC!$B$29+KFC!$C$29)*KFC!$C$5</f>
        <v>84.189999999999984</v>
      </c>
      <c r="S12" s="312">
        <f>(AM12*KFC!$B$29+KFC!$C$29)*KFC!$C$5</f>
        <v>87.539999999999978</v>
      </c>
      <c r="T12" s="312">
        <f>(AN12*KFC!$B$29+KFC!$C$29)*KFC!$C$5</f>
        <v>90.889999999999972</v>
      </c>
      <c r="V12" s="851">
        <v>0.5</v>
      </c>
      <c r="W12" s="847">
        <v>35.4</v>
      </c>
      <c r="X12" s="847">
        <v>38.630000000000003</v>
      </c>
      <c r="Y12" s="847">
        <v>41.76</v>
      </c>
      <c r="Z12" s="847">
        <v>44.99</v>
      </c>
      <c r="AA12" s="847">
        <v>48.24</v>
      </c>
      <c r="AB12" s="847">
        <v>51.47</v>
      </c>
      <c r="AC12" s="847">
        <v>54.6</v>
      </c>
      <c r="AD12" s="847">
        <v>57.83</v>
      </c>
      <c r="AE12" s="847">
        <v>61.07</v>
      </c>
      <c r="AF12" s="847">
        <v>64.31</v>
      </c>
      <c r="AG12" s="847">
        <v>67.430000000000007</v>
      </c>
      <c r="AH12" s="847">
        <v>70.790000000000006</v>
      </c>
      <c r="AI12" s="848">
        <v>74.14</v>
      </c>
      <c r="AJ12" s="690">
        <f t="shared" ref="AJ12:AJ28" si="0">AI12-AH12+AI12</f>
        <v>77.489999999999995</v>
      </c>
      <c r="AK12" s="690">
        <f t="shared" ref="AK12:AP27" si="1">AJ12-AI12+AJ12</f>
        <v>80.839999999999989</v>
      </c>
      <c r="AL12" s="690">
        <f t="shared" si="1"/>
        <v>84.189999999999984</v>
      </c>
      <c r="AM12" s="690">
        <f t="shared" si="1"/>
        <v>87.539999999999978</v>
      </c>
      <c r="AN12" s="690">
        <f t="shared" si="1"/>
        <v>90.889999999999972</v>
      </c>
      <c r="AO12" s="690">
        <f t="shared" si="1"/>
        <v>94.239999999999966</v>
      </c>
      <c r="AP12" s="690">
        <f t="shared" si="1"/>
        <v>97.589999999999961</v>
      </c>
    </row>
    <row r="13" spans="1:42">
      <c r="A13" s="1538"/>
      <c r="B13" s="262">
        <v>0.6</v>
      </c>
      <c r="C13" s="314">
        <f>(W13*KFC!$B$29+KFC!$C$29)*KFC!$C$5</f>
        <v>37.25</v>
      </c>
      <c r="D13" s="315">
        <f>(X13*KFC!$B$29+KFC!$C$29)*KFC!$C$5</f>
        <v>40.49</v>
      </c>
      <c r="E13" s="315">
        <f>(Y13*KFC!$B$29+KFC!$C$29)*KFC!$C$5</f>
        <v>43.72</v>
      </c>
      <c r="F13" s="315">
        <f>(Z13*KFC!$B$29+KFC!$C$29)*KFC!$C$5</f>
        <v>46.97</v>
      </c>
      <c r="G13" s="315">
        <f>(AA13*KFC!$B$29+KFC!$C$29)*KFC!$C$5</f>
        <v>50.2</v>
      </c>
      <c r="H13" s="315">
        <f>(AB13*KFC!$B$29+KFC!$C$29)*KFC!$C$5</f>
        <v>53.45</v>
      </c>
      <c r="I13" s="315">
        <f>(AC13*KFC!$B$29+KFC!$C$29)*KFC!$C$5</f>
        <v>56.91</v>
      </c>
      <c r="J13" s="315">
        <f>(AD13*KFC!$B$29+KFC!$C$29)*KFC!$C$5</f>
        <v>60.14</v>
      </c>
      <c r="K13" s="315">
        <f>(AE13*KFC!$B$29+KFC!$C$29)*KFC!$C$5</f>
        <v>63.38</v>
      </c>
      <c r="L13" s="315">
        <f>(AF13*KFC!$B$29+KFC!$C$29)*KFC!$C$5</f>
        <v>66.62</v>
      </c>
      <c r="M13" s="315">
        <f>(AG13*KFC!$B$29+KFC!$C$29)*KFC!$C$5</f>
        <v>69.739999999999995</v>
      </c>
      <c r="N13" s="315">
        <f>(AH13*KFC!$B$29+KFC!$C$29)*KFC!$C$5</f>
        <v>73.11</v>
      </c>
      <c r="O13" s="315">
        <f>(AI13*KFC!$B$29+KFC!$C$29)*KFC!$C$5</f>
        <v>76.459999999999994</v>
      </c>
      <c r="P13" s="315">
        <f>(AJ13*KFC!$B$29+KFC!$C$29)*KFC!$C$5</f>
        <v>79.809999999999988</v>
      </c>
      <c r="Q13" s="315">
        <f>(AK13*KFC!$B$29+KFC!$C$29)*KFC!$C$5</f>
        <v>83.159999999999982</v>
      </c>
      <c r="R13" s="315">
        <f>(AL13*KFC!$B$29+KFC!$C$29)*KFC!$C$5</f>
        <v>86.509999999999977</v>
      </c>
      <c r="S13" s="315">
        <f>(AM13*KFC!$B$29+KFC!$C$29)*KFC!$C$5</f>
        <v>89.859999999999971</v>
      </c>
      <c r="T13" s="315">
        <f>(AN13*KFC!$B$29+KFC!$C$29)*KFC!$C$5</f>
        <v>93.209999999999965</v>
      </c>
      <c r="V13" s="851">
        <v>0.6</v>
      </c>
      <c r="W13" s="847">
        <v>37.25</v>
      </c>
      <c r="X13" s="847">
        <v>40.49</v>
      </c>
      <c r="Y13" s="847">
        <v>43.72</v>
      </c>
      <c r="Z13" s="847">
        <v>46.97</v>
      </c>
      <c r="AA13" s="847">
        <v>50.2</v>
      </c>
      <c r="AB13" s="847">
        <v>53.45</v>
      </c>
      <c r="AC13" s="847">
        <v>56.91</v>
      </c>
      <c r="AD13" s="847">
        <v>60.14</v>
      </c>
      <c r="AE13" s="847">
        <v>63.38</v>
      </c>
      <c r="AF13" s="847">
        <v>66.62</v>
      </c>
      <c r="AG13" s="847">
        <v>69.739999999999995</v>
      </c>
      <c r="AH13" s="847">
        <v>73.11</v>
      </c>
      <c r="AI13" s="848">
        <v>76.459999999999994</v>
      </c>
      <c r="AJ13" s="690">
        <f t="shared" si="0"/>
        <v>79.809999999999988</v>
      </c>
      <c r="AK13" s="690">
        <f t="shared" si="1"/>
        <v>83.159999999999982</v>
      </c>
      <c r="AL13" s="690">
        <f t="shared" si="1"/>
        <v>86.509999999999977</v>
      </c>
      <c r="AM13" s="690">
        <f t="shared" si="1"/>
        <v>89.859999999999971</v>
      </c>
      <c r="AN13" s="690">
        <f t="shared" si="1"/>
        <v>93.209999999999965</v>
      </c>
      <c r="AO13" s="690">
        <f t="shared" si="1"/>
        <v>96.55999999999996</v>
      </c>
      <c r="AP13" s="690">
        <f t="shared" si="1"/>
        <v>99.909999999999954</v>
      </c>
    </row>
    <row r="14" spans="1:42">
      <c r="A14" s="1538"/>
      <c r="B14" s="262">
        <v>0.7</v>
      </c>
      <c r="C14" s="314">
        <f>(W14*KFC!$B$29+KFC!$C$29)*KFC!$C$5</f>
        <v>39.21</v>
      </c>
      <c r="D14" s="315">
        <f>(X14*KFC!$B$29+KFC!$C$29)*KFC!$C$5</f>
        <v>42.45</v>
      </c>
      <c r="E14" s="315">
        <f>(Y14*KFC!$B$29+KFC!$C$29)*KFC!$C$5</f>
        <v>45.69</v>
      </c>
      <c r="F14" s="315">
        <f>(Z14*KFC!$B$29+KFC!$C$29)*KFC!$C$5</f>
        <v>49.05</v>
      </c>
      <c r="G14" s="315">
        <f>(AA14*KFC!$B$29+KFC!$C$29)*KFC!$C$5</f>
        <v>52.4</v>
      </c>
      <c r="H14" s="315">
        <f>(AB14*KFC!$B$29+KFC!$C$29)*KFC!$C$5</f>
        <v>55.64</v>
      </c>
      <c r="I14" s="315">
        <f>(AC14*KFC!$B$29+KFC!$C$29)*KFC!$C$5</f>
        <v>58.99</v>
      </c>
      <c r="J14" s="315">
        <f>(AD14*KFC!$B$29+KFC!$C$29)*KFC!$C$5</f>
        <v>62.22</v>
      </c>
      <c r="K14" s="315">
        <f>(AE14*KFC!$B$29+KFC!$C$29)*KFC!$C$5</f>
        <v>65.47</v>
      </c>
      <c r="L14" s="315">
        <f>(AF14*KFC!$B$29+KFC!$C$29)*KFC!$C$5</f>
        <v>68.94</v>
      </c>
      <c r="M14" s="315">
        <f>(AG14*KFC!$B$29+KFC!$C$29)*KFC!$C$5</f>
        <v>72.180000000000007</v>
      </c>
      <c r="N14" s="315">
        <f>(AH14*KFC!$B$29+KFC!$C$29)*KFC!$C$5</f>
        <v>75.42</v>
      </c>
      <c r="O14" s="315">
        <f>(AI14*KFC!$B$29+KFC!$C$29)*KFC!$C$5</f>
        <v>78.66</v>
      </c>
      <c r="P14" s="315">
        <f>(AJ14*KFC!$B$29+KFC!$C$29)*KFC!$C$5</f>
        <v>81.899999999999991</v>
      </c>
      <c r="Q14" s="315">
        <f>(AK14*KFC!$B$29+KFC!$C$29)*KFC!$C$5</f>
        <v>85.139999999999986</v>
      </c>
      <c r="R14" s="315">
        <f>(AL14*KFC!$B$29+KFC!$C$29)*KFC!$C$5</f>
        <v>88.379999999999981</v>
      </c>
      <c r="S14" s="315">
        <f>(AM14*KFC!$B$29+KFC!$C$29)*KFC!$C$5</f>
        <v>91.619999999999976</v>
      </c>
      <c r="T14" s="315">
        <f>(AN14*KFC!$B$29+KFC!$C$29)*KFC!$C$5</f>
        <v>94.859999999999971</v>
      </c>
      <c r="V14" s="851">
        <v>0.7</v>
      </c>
      <c r="W14" s="847">
        <v>39.21</v>
      </c>
      <c r="X14" s="847">
        <v>42.45</v>
      </c>
      <c r="Y14" s="847">
        <v>45.69</v>
      </c>
      <c r="Z14" s="847">
        <v>49.05</v>
      </c>
      <c r="AA14" s="847">
        <v>52.4</v>
      </c>
      <c r="AB14" s="847">
        <v>55.64</v>
      </c>
      <c r="AC14" s="847">
        <v>58.99</v>
      </c>
      <c r="AD14" s="847">
        <v>62.22</v>
      </c>
      <c r="AE14" s="847">
        <v>65.47</v>
      </c>
      <c r="AF14" s="847">
        <v>68.94</v>
      </c>
      <c r="AG14" s="847">
        <v>72.180000000000007</v>
      </c>
      <c r="AH14" s="847">
        <v>75.42</v>
      </c>
      <c r="AI14" s="848">
        <v>78.66</v>
      </c>
      <c r="AJ14" s="690">
        <f t="shared" si="0"/>
        <v>81.899999999999991</v>
      </c>
      <c r="AK14" s="690">
        <f t="shared" si="1"/>
        <v>85.139999999999986</v>
      </c>
      <c r="AL14" s="690">
        <f t="shared" si="1"/>
        <v>88.379999999999981</v>
      </c>
      <c r="AM14" s="690">
        <f t="shared" si="1"/>
        <v>91.619999999999976</v>
      </c>
      <c r="AN14" s="690">
        <f t="shared" si="1"/>
        <v>94.859999999999971</v>
      </c>
      <c r="AO14" s="690">
        <f t="shared" si="1"/>
        <v>98.099999999999966</v>
      </c>
      <c r="AP14" s="690">
        <f t="shared" si="1"/>
        <v>101.33999999999996</v>
      </c>
    </row>
    <row r="15" spans="1:42">
      <c r="A15" s="1538"/>
      <c r="B15" s="262">
        <v>0.8</v>
      </c>
      <c r="C15" s="314">
        <f>(W15*KFC!$B$29+KFC!$C$29)*KFC!$C$5</f>
        <v>41.07</v>
      </c>
      <c r="D15" s="315">
        <f>(X15*KFC!$B$29+KFC!$C$29)*KFC!$C$5</f>
        <v>44.42</v>
      </c>
      <c r="E15" s="315">
        <f>(Y15*KFC!$B$29+KFC!$C$29)*KFC!$C$5</f>
        <v>47.66</v>
      </c>
      <c r="F15" s="315">
        <f>(Z15*KFC!$B$29+KFC!$C$29)*KFC!$C$5</f>
        <v>51.12</v>
      </c>
      <c r="G15" s="315">
        <f>(AA15*KFC!$B$29+KFC!$C$29)*KFC!$C$5</f>
        <v>54.48</v>
      </c>
      <c r="H15" s="315">
        <f>(AB15*KFC!$B$29+KFC!$C$29)*KFC!$C$5</f>
        <v>57.72</v>
      </c>
      <c r="I15" s="315">
        <f>(AC15*KFC!$B$29+KFC!$C$29)*KFC!$C$5</f>
        <v>61.07</v>
      </c>
      <c r="J15" s="315">
        <f>(AD15*KFC!$B$29+KFC!$C$29)*KFC!$C$5</f>
        <v>64.31</v>
      </c>
      <c r="K15" s="315">
        <f>(AE15*KFC!$B$29+KFC!$C$29)*KFC!$C$5</f>
        <v>67.790000000000006</v>
      </c>
      <c r="L15" s="315">
        <f>(AF15*KFC!$B$29+KFC!$C$29)*KFC!$C$5</f>
        <v>71.14</v>
      </c>
      <c r="M15" s="315">
        <f>(AG15*KFC!$B$29+KFC!$C$29)*KFC!$C$5</f>
        <v>74.37</v>
      </c>
      <c r="N15" s="315">
        <f>(AH15*KFC!$B$29+KFC!$C$29)*KFC!$C$5</f>
        <v>77.84</v>
      </c>
      <c r="O15" s="315">
        <f>(AI15*KFC!$B$29+KFC!$C$29)*KFC!$C$5</f>
        <v>81.31</v>
      </c>
      <c r="P15" s="315">
        <f>(AJ15*KFC!$B$29+KFC!$C$29)*KFC!$C$5</f>
        <v>84.78</v>
      </c>
      <c r="Q15" s="315">
        <f>(AK15*KFC!$B$29+KFC!$C$29)*KFC!$C$5</f>
        <v>88.25</v>
      </c>
      <c r="R15" s="315">
        <f>(AL15*KFC!$B$29+KFC!$C$29)*KFC!$C$5</f>
        <v>91.72</v>
      </c>
      <c r="S15" s="315">
        <f>(AM15*KFC!$B$29+KFC!$C$29)*KFC!$C$5</f>
        <v>95.19</v>
      </c>
      <c r="T15" s="315">
        <f>(AN15*KFC!$B$29+KFC!$C$29)*KFC!$C$5</f>
        <v>98.66</v>
      </c>
      <c r="V15" s="851">
        <v>0.8</v>
      </c>
      <c r="W15" s="847">
        <v>41.07</v>
      </c>
      <c r="X15" s="847">
        <v>44.42</v>
      </c>
      <c r="Y15" s="847">
        <v>47.66</v>
      </c>
      <c r="Z15" s="847">
        <v>51.12</v>
      </c>
      <c r="AA15" s="847">
        <v>54.48</v>
      </c>
      <c r="AB15" s="847">
        <v>57.72</v>
      </c>
      <c r="AC15" s="847">
        <v>61.07</v>
      </c>
      <c r="AD15" s="847">
        <v>64.31</v>
      </c>
      <c r="AE15" s="847">
        <v>67.790000000000006</v>
      </c>
      <c r="AF15" s="847">
        <v>71.14</v>
      </c>
      <c r="AG15" s="847">
        <v>74.37</v>
      </c>
      <c r="AH15" s="847">
        <v>77.84</v>
      </c>
      <c r="AI15" s="848">
        <v>81.31</v>
      </c>
      <c r="AJ15" s="690">
        <f t="shared" si="0"/>
        <v>84.78</v>
      </c>
      <c r="AK15" s="690">
        <f t="shared" si="1"/>
        <v>88.25</v>
      </c>
      <c r="AL15" s="690">
        <f t="shared" si="1"/>
        <v>91.72</v>
      </c>
      <c r="AM15" s="690">
        <f t="shared" si="1"/>
        <v>95.19</v>
      </c>
      <c r="AN15" s="690">
        <f t="shared" si="1"/>
        <v>98.66</v>
      </c>
      <c r="AO15" s="690">
        <f t="shared" si="1"/>
        <v>102.13</v>
      </c>
      <c r="AP15" s="690">
        <f t="shared" si="1"/>
        <v>105.6</v>
      </c>
    </row>
    <row r="16" spans="1:42">
      <c r="A16" s="1538"/>
      <c r="B16" s="262">
        <v>0.9</v>
      </c>
      <c r="C16" s="314">
        <f>(W16*KFC!$B$29+KFC!$C$29)*KFC!$C$5</f>
        <v>42.91</v>
      </c>
      <c r="D16" s="315">
        <f>(X16*KFC!$B$29+KFC!$C$29)*KFC!$C$5</f>
        <v>46.26</v>
      </c>
      <c r="E16" s="315">
        <f>(Y16*KFC!$B$29+KFC!$C$29)*KFC!$C$5</f>
        <v>49.62</v>
      </c>
      <c r="F16" s="315">
        <f>(Z16*KFC!$B$29+KFC!$C$29)*KFC!$C$5</f>
        <v>53.09</v>
      </c>
      <c r="G16" s="315">
        <f>(AA16*KFC!$B$29+KFC!$C$29)*KFC!$C$5</f>
        <v>56.44</v>
      </c>
      <c r="H16" s="315">
        <f>(AB16*KFC!$B$29+KFC!$C$29)*KFC!$C$5</f>
        <v>59.81</v>
      </c>
      <c r="I16" s="315">
        <f>(AC16*KFC!$B$29+KFC!$C$29)*KFC!$C$5</f>
        <v>63.27</v>
      </c>
      <c r="J16" s="315">
        <f>(AD16*KFC!$B$29+KFC!$C$29)*KFC!$C$5</f>
        <v>66.62</v>
      </c>
      <c r="K16" s="315">
        <f>(AE16*KFC!$B$29+KFC!$C$29)*KFC!$C$5</f>
        <v>69.98</v>
      </c>
      <c r="L16" s="315">
        <f>(AF16*KFC!$B$29+KFC!$C$29)*KFC!$C$5</f>
        <v>73.45</v>
      </c>
      <c r="M16" s="315">
        <f>(AG16*KFC!$B$29+KFC!$C$29)*KFC!$C$5</f>
        <v>76.8</v>
      </c>
      <c r="N16" s="315">
        <f>(AH16*KFC!$B$29+KFC!$C$29)*KFC!$C$5</f>
        <v>80.16</v>
      </c>
      <c r="O16" s="315">
        <f>(AI16*KFC!$B$29+KFC!$C$29)*KFC!$C$5</f>
        <v>83.52</v>
      </c>
      <c r="P16" s="315">
        <f>(AJ16*KFC!$B$29+KFC!$C$29)*KFC!$C$5</f>
        <v>86.88</v>
      </c>
      <c r="Q16" s="315">
        <f>(AK16*KFC!$B$29+KFC!$C$29)*KFC!$C$5</f>
        <v>90.24</v>
      </c>
      <c r="R16" s="315">
        <f>(AL16*KFC!$B$29+KFC!$C$29)*KFC!$C$5</f>
        <v>93.6</v>
      </c>
      <c r="S16" s="315">
        <f>(AM16*KFC!$B$29+KFC!$C$29)*KFC!$C$5</f>
        <v>96.96</v>
      </c>
      <c r="T16" s="315">
        <f>(AN16*KFC!$B$29+KFC!$C$29)*KFC!$C$5</f>
        <v>100.32</v>
      </c>
      <c r="V16" s="851">
        <v>0.9</v>
      </c>
      <c r="W16" s="847">
        <v>42.91</v>
      </c>
      <c r="X16" s="847">
        <v>46.26</v>
      </c>
      <c r="Y16" s="847">
        <v>49.62</v>
      </c>
      <c r="Z16" s="847">
        <v>53.09</v>
      </c>
      <c r="AA16" s="847">
        <v>56.44</v>
      </c>
      <c r="AB16" s="847">
        <v>59.81</v>
      </c>
      <c r="AC16" s="847">
        <v>63.27</v>
      </c>
      <c r="AD16" s="847">
        <v>66.62</v>
      </c>
      <c r="AE16" s="847">
        <v>69.98</v>
      </c>
      <c r="AF16" s="847">
        <v>73.45</v>
      </c>
      <c r="AG16" s="847">
        <v>76.8</v>
      </c>
      <c r="AH16" s="847">
        <v>80.16</v>
      </c>
      <c r="AI16" s="848">
        <v>83.52</v>
      </c>
      <c r="AJ16" s="690">
        <f t="shared" si="0"/>
        <v>86.88</v>
      </c>
      <c r="AK16" s="690">
        <f t="shared" si="1"/>
        <v>90.24</v>
      </c>
      <c r="AL16" s="690">
        <f t="shared" si="1"/>
        <v>93.6</v>
      </c>
      <c r="AM16" s="690">
        <f t="shared" si="1"/>
        <v>96.96</v>
      </c>
      <c r="AN16" s="690">
        <f t="shared" si="1"/>
        <v>100.32</v>
      </c>
      <c r="AO16" s="690">
        <f t="shared" si="1"/>
        <v>103.67999999999999</v>
      </c>
      <c r="AP16" s="690">
        <f t="shared" si="1"/>
        <v>107.03999999999999</v>
      </c>
    </row>
    <row r="17" spans="1:42">
      <c r="A17" s="1538"/>
      <c r="B17" s="262">
        <v>1</v>
      </c>
      <c r="C17" s="314">
        <f>(W17*KFC!$B$29+KFC!$C$29)*KFC!$C$5</f>
        <v>44.88</v>
      </c>
      <c r="D17" s="315">
        <f>(X17*KFC!$B$29+KFC!$C$29)*KFC!$C$5</f>
        <v>48.24</v>
      </c>
      <c r="E17" s="315">
        <f>(Y17*KFC!$B$29+KFC!$C$29)*KFC!$C$5</f>
        <v>51.59</v>
      </c>
      <c r="F17" s="315">
        <f>(Z17*KFC!$B$29+KFC!$C$29)*KFC!$C$5</f>
        <v>55.06</v>
      </c>
      <c r="G17" s="315">
        <f>(AA17*KFC!$B$29+KFC!$C$29)*KFC!$C$5</f>
        <v>58.53</v>
      </c>
      <c r="H17" s="315">
        <f>(AB17*KFC!$B$29+KFC!$C$29)*KFC!$C$5</f>
        <v>62</v>
      </c>
      <c r="I17" s="315">
        <f>(AC17*KFC!$B$29+KFC!$C$29)*KFC!$C$5</f>
        <v>65.349999999999994</v>
      </c>
      <c r="J17" s="315">
        <f>(AD17*KFC!$B$29+KFC!$C$29)*KFC!$C$5</f>
        <v>68.7</v>
      </c>
      <c r="K17" s="315">
        <f>(AE17*KFC!$B$29+KFC!$C$29)*KFC!$C$5</f>
        <v>72.290000000000006</v>
      </c>
      <c r="L17" s="315">
        <f>(AF17*KFC!$B$29+KFC!$C$29)*KFC!$C$5</f>
        <v>75.64</v>
      </c>
      <c r="M17" s="315">
        <f>(AG17*KFC!$B$29+KFC!$C$29)*KFC!$C$5</f>
        <v>79.12</v>
      </c>
      <c r="N17" s="315">
        <f>(AH17*KFC!$B$29+KFC!$C$29)*KFC!$C$5</f>
        <v>82.47</v>
      </c>
      <c r="O17" s="315">
        <f>(AI17*KFC!$B$29+KFC!$C$29)*KFC!$C$5</f>
        <v>85.83</v>
      </c>
      <c r="P17" s="315">
        <f>(AJ17*KFC!$B$29+KFC!$C$29)*KFC!$C$5</f>
        <v>89.19</v>
      </c>
      <c r="Q17" s="315">
        <f>(AK17*KFC!$B$29+KFC!$C$29)*KFC!$C$5</f>
        <v>92.55</v>
      </c>
      <c r="R17" s="315">
        <f>(AL17*KFC!$B$29+KFC!$C$29)*KFC!$C$5</f>
        <v>95.91</v>
      </c>
      <c r="S17" s="315">
        <f>(AM17*KFC!$B$29+KFC!$C$29)*KFC!$C$5</f>
        <v>99.27</v>
      </c>
      <c r="T17" s="315">
        <f>(AN17*KFC!$B$29+KFC!$C$29)*KFC!$C$5</f>
        <v>102.63</v>
      </c>
      <c r="V17" s="851">
        <v>1</v>
      </c>
      <c r="W17" s="847">
        <v>44.88</v>
      </c>
      <c r="X17" s="847">
        <v>48.24</v>
      </c>
      <c r="Y17" s="847">
        <v>51.59</v>
      </c>
      <c r="Z17" s="847">
        <v>55.06</v>
      </c>
      <c r="AA17" s="847">
        <v>58.53</v>
      </c>
      <c r="AB17" s="847">
        <v>62</v>
      </c>
      <c r="AC17" s="847">
        <v>65.349999999999994</v>
      </c>
      <c r="AD17" s="847">
        <v>68.7</v>
      </c>
      <c r="AE17" s="847">
        <v>72.290000000000006</v>
      </c>
      <c r="AF17" s="847">
        <v>75.64</v>
      </c>
      <c r="AG17" s="847">
        <v>79.12</v>
      </c>
      <c r="AH17" s="847">
        <v>82.47</v>
      </c>
      <c r="AI17" s="848">
        <v>85.83</v>
      </c>
      <c r="AJ17" s="690">
        <f t="shared" si="0"/>
        <v>89.19</v>
      </c>
      <c r="AK17" s="690">
        <f t="shared" si="1"/>
        <v>92.55</v>
      </c>
      <c r="AL17" s="690">
        <f t="shared" si="1"/>
        <v>95.91</v>
      </c>
      <c r="AM17" s="690">
        <f t="shared" si="1"/>
        <v>99.27</v>
      </c>
      <c r="AN17" s="690">
        <f t="shared" si="1"/>
        <v>102.63</v>
      </c>
      <c r="AO17" s="690">
        <f t="shared" si="1"/>
        <v>105.99</v>
      </c>
      <c r="AP17" s="690">
        <f t="shared" si="1"/>
        <v>109.35</v>
      </c>
    </row>
    <row r="18" spans="1:42">
      <c r="A18" s="1538"/>
      <c r="B18" s="262">
        <v>1.1000000000000001</v>
      </c>
      <c r="C18" s="314">
        <f>(W18*KFC!$B$29+KFC!$C$29)*KFC!$C$5</f>
        <v>46.73</v>
      </c>
      <c r="D18" s="315">
        <f>(X18*KFC!$B$29+KFC!$C$29)*KFC!$C$5</f>
        <v>50.2</v>
      </c>
      <c r="E18" s="315">
        <f>(Y18*KFC!$B$29+KFC!$C$29)*KFC!$C$5</f>
        <v>53.67</v>
      </c>
      <c r="F18" s="315">
        <f>(Z18*KFC!$B$29+KFC!$C$29)*KFC!$C$5</f>
        <v>57.14</v>
      </c>
      <c r="G18" s="315">
        <f>(AA18*KFC!$B$29+KFC!$C$29)*KFC!$C$5</f>
        <v>60.49</v>
      </c>
      <c r="H18" s="315">
        <f>(AB18*KFC!$B$29+KFC!$C$29)*KFC!$C$5</f>
        <v>64.08</v>
      </c>
      <c r="I18" s="315">
        <f>(AC18*KFC!$B$29+KFC!$C$29)*KFC!$C$5</f>
        <v>67.430000000000007</v>
      </c>
      <c r="J18" s="315">
        <f>(AD18*KFC!$B$29+KFC!$C$29)*KFC!$C$5</f>
        <v>71.02</v>
      </c>
      <c r="K18" s="315">
        <f>(AE18*KFC!$B$29+KFC!$C$29)*KFC!$C$5</f>
        <v>74.37</v>
      </c>
      <c r="L18" s="315">
        <f>(AF18*KFC!$B$29+KFC!$C$29)*KFC!$C$5</f>
        <v>77.959999999999994</v>
      </c>
      <c r="M18" s="315">
        <f>(AG18*KFC!$B$29+KFC!$C$29)*KFC!$C$5</f>
        <v>81.31</v>
      </c>
      <c r="N18" s="315">
        <f>(AH18*KFC!$B$29+KFC!$C$29)*KFC!$C$5</f>
        <v>84.9</v>
      </c>
      <c r="O18" s="315">
        <f>(AI18*KFC!$B$29+KFC!$C$29)*KFC!$C$5</f>
        <v>88.48</v>
      </c>
      <c r="P18" s="315">
        <f>(AJ18*KFC!$B$29+KFC!$C$29)*KFC!$C$5</f>
        <v>92.06</v>
      </c>
      <c r="Q18" s="315">
        <f>(AK18*KFC!$B$29+KFC!$C$29)*KFC!$C$5</f>
        <v>95.64</v>
      </c>
      <c r="R18" s="315">
        <f>(AL18*KFC!$B$29+KFC!$C$29)*KFC!$C$5</f>
        <v>99.22</v>
      </c>
      <c r="S18" s="315">
        <f>(AM18*KFC!$B$29+KFC!$C$29)*KFC!$C$5</f>
        <v>102.8</v>
      </c>
      <c r="T18" s="315">
        <f>(AN18*KFC!$B$29+KFC!$C$29)*KFC!$C$5</f>
        <v>106.38</v>
      </c>
      <c r="V18" s="851">
        <v>1.1000000000000001</v>
      </c>
      <c r="W18" s="847">
        <v>46.73</v>
      </c>
      <c r="X18" s="847">
        <v>50.2</v>
      </c>
      <c r="Y18" s="847">
        <v>53.67</v>
      </c>
      <c r="Z18" s="847">
        <v>57.14</v>
      </c>
      <c r="AA18" s="847">
        <v>60.49</v>
      </c>
      <c r="AB18" s="847">
        <v>64.08</v>
      </c>
      <c r="AC18" s="847">
        <v>67.430000000000007</v>
      </c>
      <c r="AD18" s="847">
        <v>71.02</v>
      </c>
      <c r="AE18" s="847">
        <v>74.37</v>
      </c>
      <c r="AF18" s="847">
        <v>77.959999999999994</v>
      </c>
      <c r="AG18" s="847">
        <v>81.31</v>
      </c>
      <c r="AH18" s="847">
        <v>84.9</v>
      </c>
      <c r="AI18" s="848">
        <v>88.48</v>
      </c>
      <c r="AJ18" s="690">
        <f t="shared" si="0"/>
        <v>92.06</v>
      </c>
      <c r="AK18" s="690">
        <f t="shared" si="1"/>
        <v>95.64</v>
      </c>
      <c r="AL18" s="690">
        <f t="shared" si="1"/>
        <v>99.22</v>
      </c>
      <c r="AM18" s="690">
        <f t="shared" si="1"/>
        <v>102.8</v>
      </c>
      <c r="AN18" s="690">
        <f t="shared" si="1"/>
        <v>106.38</v>
      </c>
      <c r="AO18" s="690">
        <f t="shared" si="1"/>
        <v>109.96</v>
      </c>
      <c r="AP18" s="690">
        <f t="shared" si="1"/>
        <v>113.53999999999999</v>
      </c>
    </row>
    <row r="19" spans="1:42">
      <c r="A19" s="1538"/>
      <c r="B19" s="262">
        <v>1.2</v>
      </c>
      <c r="C19" s="314">
        <f>(W19*KFC!$B$29+KFC!$C$29)*KFC!$C$5</f>
        <v>48.47</v>
      </c>
      <c r="D19" s="315">
        <f>(X19*KFC!$B$29+KFC!$C$29)*KFC!$C$5</f>
        <v>52.05</v>
      </c>
      <c r="E19" s="315">
        <f>(Y19*KFC!$B$29+KFC!$C$29)*KFC!$C$5</f>
        <v>55.64</v>
      </c>
      <c r="F19" s="315">
        <f>(Z19*KFC!$B$29+KFC!$C$29)*KFC!$C$5</f>
        <v>59.1</v>
      </c>
      <c r="G19" s="315">
        <f>(AA19*KFC!$B$29+KFC!$C$29)*KFC!$C$5</f>
        <v>62.7</v>
      </c>
      <c r="H19" s="315">
        <f>(AB19*KFC!$B$29+KFC!$C$29)*KFC!$C$5</f>
        <v>66.17</v>
      </c>
      <c r="I19" s="315">
        <f>(AC19*KFC!$B$29+KFC!$C$29)*KFC!$C$5</f>
        <v>69.64</v>
      </c>
      <c r="J19" s="315">
        <f>(AD19*KFC!$B$29+KFC!$C$29)*KFC!$C$5</f>
        <v>73.11</v>
      </c>
      <c r="K19" s="315">
        <f>(AE19*KFC!$B$29+KFC!$C$29)*KFC!$C$5</f>
        <v>76.680000000000007</v>
      </c>
      <c r="L19" s="315">
        <f>(AF19*KFC!$B$29+KFC!$C$29)*KFC!$C$5</f>
        <v>80.16</v>
      </c>
      <c r="M19" s="315">
        <f>(AG19*KFC!$B$29+KFC!$C$29)*KFC!$C$5</f>
        <v>83.74</v>
      </c>
      <c r="N19" s="315">
        <f>(AH19*KFC!$B$29+KFC!$C$29)*KFC!$C$5</f>
        <v>87.33</v>
      </c>
      <c r="O19" s="315">
        <f>(AI19*KFC!$B$29+KFC!$C$29)*KFC!$C$5</f>
        <v>90.92</v>
      </c>
      <c r="P19" s="315">
        <f>(AJ19*KFC!$B$29+KFC!$C$29)*KFC!$C$5</f>
        <v>94.51</v>
      </c>
      <c r="Q19" s="315">
        <f>(AK19*KFC!$B$29+KFC!$C$29)*KFC!$C$5</f>
        <v>98.100000000000009</v>
      </c>
      <c r="R19" s="315">
        <f>(AL19*KFC!$B$29+KFC!$C$29)*KFC!$C$5</f>
        <v>101.69000000000001</v>
      </c>
      <c r="S19" s="315">
        <f>(AM19*KFC!$B$29+KFC!$C$29)*KFC!$C$5</f>
        <v>105.28000000000002</v>
      </c>
      <c r="T19" s="315">
        <f>(AN19*KFC!$B$29+KFC!$C$29)*KFC!$C$5</f>
        <v>108.87000000000002</v>
      </c>
      <c r="V19" s="851">
        <v>1.2</v>
      </c>
      <c r="W19" s="847">
        <v>48.47</v>
      </c>
      <c r="X19" s="847">
        <v>52.05</v>
      </c>
      <c r="Y19" s="847">
        <v>55.64</v>
      </c>
      <c r="Z19" s="847">
        <v>59.1</v>
      </c>
      <c r="AA19" s="847">
        <v>62.7</v>
      </c>
      <c r="AB19" s="847">
        <v>66.17</v>
      </c>
      <c r="AC19" s="847">
        <v>69.64</v>
      </c>
      <c r="AD19" s="847">
        <v>73.11</v>
      </c>
      <c r="AE19" s="847">
        <v>76.680000000000007</v>
      </c>
      <c r="AF19" s="847">
        <v>80.16</v>
      </c>
      <c r="AG19" s="847">
        <v>83.74</v>
      </c>
      <c r="AH19" s="847">
        <v>87.33</v>
      </c>
      <c r="AI19" s="848">
        <v>90.92</v>
      </c>
      <c r="AJ19" s="690">
        <f t="shared" si="0"/>
        <v>94.51</v>
      </c>
      <c r="AK19" s="690">
        <f t="shared" si="1"/>
        <v>98.100000000000009</v>
      </c>
      <c r="AL19" s="690">
        <f t="shared" si="1"/>
        <v>101.69000000000001</v>
      </c>
      <c r="AM19" s="690">
        <f t="shared" si="1"/>
        <v>105.28000000000002</v>
      </c>
      <c r="AN19" s="690">
        <f t="shared" si="1"/>
        <v>108.87000000000002</v>
      </c>
      <c r="AO19" s="690">
        <f t="shared" si="1"/>
        <v>112.46000000000002</v>
      </c>
      <c r="AP19" s="690">
        <f t="shared" si="1"/>
        <v>116.05000000000003</v>
      </c>
    </row>
    <row r="20" spans="1:42">
      <c r="A20" s="1538"/>
      <c r="B20" s="262">
        <v>1.3</v>
      </c>
      <c r="C20" s="314">
        <f>(W20*KFC!$B$29+KFC!$C$29)*KFC!$C$5</f>
        <v>50.55</v>
      </c>
      <c r="D20" s="315">
        <f>(X20*KFC!$B$29+KFC!$C$29)*KFC!$C$5</f>
        <v>54.02</v>
      </c>
      <c r="E20" s="315">
        <f>(Y20*KFC!$B$29+KFC!$C$29)*KFC!$C$5</f>
        <v>57.6</v>
      </c>
      <c r="F20" s="315">
        <f>(Z20*KFC!$B$29+KFC!$C$29)*KFC!$C$5</f>
        <v>61.07</v>
      </c>
      <c r="G20" s="315">
        <f>(AA20*KFC!$B$29+KFC!$C$29)*KFC!$C$5</f>
        <v>64.66</v>
      </c>
      <c r="H20" s="315">
        <f>(AB20*KFC!$B$29+KFC!$C$29)*KFC!$C$5</f>
        <v>68.12</v>
      </c>
      <c r="I20" s="315">
        <f>(AC20*KFC!$B$29+KFC!$C$29)*KFC!$C$5</f>
        <v>71.83</v>
      </c>
      <c r="J20" s="315">
        <f>(AD20*KFC!$B$29+KFC!$C$29)*KFC!$C$5</f>
        <v>75.42</v>
      </c>
      <c r="K20" s="315">
        <f>(AE20*KFC!$B$29+KFC!$C$29)*KFC!$C$5</f>
        <v>78.89</v>
      </c>
      <c r="L20" s="315">
        <f>(AF20*KFC!$B$29+KFC!$C$29)*KFC!$C$5</f>
        <v>82.47</v>
      </c>
      <c r="M20" s="315">
        <f>(AG20*KFC!$B$29+KFC!$C$29)*KFC!$C$5</f>
        <v>86.06</v>
      </c>
      <c r="N20" s="315">
        <f>(AH20*KFC!$B$29+KFC!$C$29)*KFC!$C$5</f>
        <v>89.52</v>
      </c>
      <c r="O20" s="315">
        <f>(AI20*KFC!$B$29+KFC!$C$29)*KFC!$C$5</f>
        <v>93</v>
      </c>
      <c r="P20" s="315">
        <f>(AJ20*KFC!$B$29+KFC!$C$29)*KFC!$C$5</f>
        <v>96.48</v>
      </c>
      <c r="Q20" s="315">
        <f>(AK20*KFC!$B$29+KFC!$C$29)*KFC!$C$5</f>
        <v>99.960000000000008</v>
      </c>
      <c r="R20" s="315">
        <f>(AL20*KFC!$B$29+KFC!$C$29)*KFC!$C$5</f>
        <v>103.44000000000001</v>
      </c>
      <c r="S20" s="315">
        <f>(AM20*KFC!$B$29+KFC!$C$29)*KFC!$C$5</f>
        <v>106.92000000000002</v>
      </c>
      <c r="T20" s="315">
        <f>(AN20*KFC!$B$29+KFC!$C$29)*KFC!$C$5</f>
        <v>110.40000000000002</v>
      </c>
      <c r="V20" s="851">
        <v>1.3</v>
      </c>
      <c r="W20" s="847">
        <v>50.55</v>
      </c>
      <c r="X20" s="847">
        <v>54.02</v>
      </c>
      <c r="Y20" s="847">
        <v>57.6</v>
      </c>
      <c r="Z20" s="847">
        <v>61.07</v>
      </c>
      <c r="AA20" s="847">
        <v>64.66</v>
      </c>
      <c r="AB20" s="847">
        <v>68.12</v>
      </c>
      <c r="AC20" s="847">
        <v>71.83</v>
      </c>
      <c r="AD20" s="847">
        <v>75.42</v>
      </c>
      <c r="AE20" s="847">
        <v>78.89</v>
      </c>
      <c r="AF20" s="847">
        <v>82.47</v>
      </c>
      <c r="AG20" s="847">
        <v>86.06</v>
      </c>
      <c r="AH20" s="847">
        <v>89.52</v>
      </c>
      <c r="AI20" s="848">
        <v>93</v>
      </c>
      <c r="AJ20" s="690">
        <f t="shared" si="0"/>
        <v>96.48</v>
      </c>
      <c r="AK20" s="690">
        <f t="shared" si="1"/>
        <v>99.960000000000008</v>
      </c>
      <c r="AL20" s="690">
        <f t="shared" si="1"/>
        <v>103.44000000000001</v>
      </c>
      <c r="AM20" s="690">
        <f t="shared" si="1"/>
        <v>106.92000000000002</v>
      </c>
      <c r="AN20" s="690">
        <f t="shared" si="1"/>
        <v>110.40000000000002</v>
      </c>
      <c r="AO20" s="690">
        <f t="shared" si="1"/>
        <v>113.88000000000002</v>
      </c>
      <c r="AP20" s="690">
        <f t="shared" si="1"/>
        <v>117.36000000000003</v>
      </c>
    </row>
    <row r="21" spans="1:42">
      <c r="A21" s="1538"/>
      <c r="B21" s="262">
        <v>1.4</v>
      </c>
      <c r="C21" s="314">
        <f>(W21*KFC!$B$29+KFC!$C$29)*KFC!$C$5</f>
        <v>52.4</v>
      </c>
      <c r="D21" s="315">
        <f>(X21*KFC!$B$29+KFC!$C$29)*KFC!$C$5</f>
        <v>55.86</v>
      </c>
      <c r="E21" s="315">
        <f>(Y21*KFC!$B$29+KFC!$C$29)*KFC!$C$5</f>
        <v>59.57</v>
      </c>
      <c r="F21" s="315">
        <f>(Z21*KFC!$B$29+KFC!$C$29)*KFC!$C$5</f>
        <v>63.04</v>
      </c>
      <c r="G21" s="315">
        <f>(AA21*KFC!$B$29+KFC!$C$29)*KFC!$C$5</f>
        <v>66.75</v>
      </c>
      <c r="H21" s="315">
        <f>(AB21*KFC!$B$29+KFC!$C$29)*KFC!$C$5</f>
        <v>70.319999999999993</v>
      </c>
      <c r="I21" s="315">
        <f>(AC21*KFC!$B$29+KFC!$C$29)*KFC!$C$5</f>
        <v>74.03</v>
      </c>
      <c r="J21" s="315">
        <f>(AD21*KFC!$B$29+KFC!$C$29)*KFC!$C$5</f>
        <v>77.5</v>
      </c>
      <c r="K21" s="315">
        <f>(AE21*KFC!$B$29+KFC!$C$29)*KFC!$C$5</f>
        <v>81.209999999999994</v>
      </c>
      <c r="L21" s="315">
        <f>(AF21*KFC!$B$29+KFC!$C$29)*KFC!$C$5</f>
        <v>84.78</v>
      </c>
      <c r="M21" s="315">
        <f>(AG21*KFC!$B$29+KFC!$C$29)*KFC!$C$5</f>
        <v>88.37</v>
      </c>
      <c r="N21" s="315">
        <f>(AH21*KFC!$B$29+KFC!$C$29)*KFC!$C$5</f>
        <v>91.96</v>
      </c>
      <c r="O21" s="315">
        <f>(AI21*KFC!$B$29+KFC!$C$29)*KFC!$C$5</f>
        <v>95.54</v>
      </c>
      <c r="P21" s="315">
        <f>(AJ21*KFC!$B$29+KFC!$C$29)*KFC!$C$5</f>
        <v>99.120000000000019</v>
      </c>
      <c r="Q21" s="315">
        <f>(AK21*KFC!$B$29+KFC!$C$29)*KFC!$C$5</f>
        <v>102.70000000000003</v>
      </c>
      <c r="R21" s="315">
        <f>(AL21*KFC!$B$29+KFC!$C$29)*KFC!$C$5</f>
        <v>106.28000000000004</v>
      </c>
      <c r="S21" s="315">
        <f>(AM21*KFC!$B$29+KFC!$C$29)*KFC!$C$5</f>
        <v>109.86000000000006</v>
      </c>
      <c r="T21" s="315">
        <f>(AN21*KFC!$B$29+KFC!$C$29)*KFC!$C$5</f>
        <v>113.44000000000007</v>
      </c>
      <c r="V21" s="851">
        <v>1.4</v>
      </c>
      <c r="W21" s="847">
        <v>52.4</v>
      </c>
      <c r="X21" s="847">
        <v>55.86</v>
      </c>
      <c r="Y21" s="847">
        <v>59.57</v>
      </c>
      <c r="Z21" s="847">
        <v>63.04</v>
      </c>
      <c r="AA21" s="847">
        <v>66.75</v>
      </c>
      <c r="AB21" s="847">
        <v>70.319999999999993</v>
      </c>
      <c r="AC21" s="847">
        <v>74.03</v>
      </c>
      <c r="AD21" s="847">
        <v>77.5</v>
      </c>
      <c r="AE21" s="847">
        <v>81.209999999999994</v>
      </c>
      <c r="AF21" s="847">
        <v>84.78</v>
      </c>
      <c r="AG21" s="847">
        <v>88.37</v>
      </c>
      <c r="AH21" s="847">
        <v>91.96</v>
      </c>
      <c r="AI21" s="848">
        <v>95.54</v>
      </c>
      <c r="AJ21" s="690">
        <f t="shared" si="0"/>
        <v>99.120000000000019</v>
      </c>
      <c r="AK21" s="690">
        <f t="shared" si="1"/>
        <v>102.70000000000003</v>
      </c>
      <c r="AL21" s="690">
        <f t="shared" si="1"/>
        <v>106.28000000000004</v>
      </c>
      <c r="AM21" s="690">
        <f t="shared" si="1"/>
        <v>109.86000000000006</v>
      </c>
      <c r="AN21" s="690">
        <f t="shared" si="1"/>
        <v>113.44000000000007</v>
      </c>
      <c r="AO21" s="690">
        <f t="shared" si="1"/>
        <v>117.02000000000008</v>
      </c>
      <c r="AP21" s="690">
        <f t="shared" si="1"/>
        <v>120.60000000000009</v>
      </c>
    </row>
    <row r="22" spans="1:42">
      <c r="A22" s="1538"/>
      <c r="B22" s="262">
        <v>1.5</v>
      </c>
      <c r="C22" s="314">
        <f>(W22*KFC!$B$29+KFC!$C$29)*KFC!$C$5</f>
        <v>54.13</v>
      </c>
      <c r="D22" s="315">
        <f>(X22*KFC!$B$29+KFC!$C$29)*KFC!$C$5</f>
        <v>57.83</v>
      </c>
      <c r="E22" s="315">
        <f>(Y22*KFC!$B$29+KFC!$C$29)*KFC!$C$5</f>
        <v>61.54</v>
      </c>
      <c r="F22" s="315">
        <f>(Z22*KFC!$B$29+KFC!$C$29)*KFC!$C$5</f>
        <v>65.239999999999995</v>
      </c>
      <c r="G22" s="315">
        <f>(AA22*KFC!$B$29+KFC!$C$29)*KFC!$C$5</f>
        <v>68.7</v>
      </c>
      <c r="H22" s="315">
        <f>(AB22*KFC!$B$29+KFC!$C$29)*KFC!$C$5</f>
        <v>72.41</v>
      </c>
      <c r="I22" s="315">
        <f>(AC22*KFC!$B$29+KFC!$C$29)*KFC!$C$5</f>
        <v>76.099999999999994</v>
      </c>
      <c r="J22" s="315">
        <f>(AD22*KFC!$B$29+KFC!$C$29)*KFC!$C$5</f>
        <v>79.81</v>
      </c>
      <c r="K22" s="315">
        <f>(AE22*KFC!$B$29+KFC!$C$29)*KFC!$C$5</f>
        <v>83.29</v>
      </c>
      <c r="L22" s="315">
        <f>(AF22*KFC!$B$29+KFC!$C$29)*KFC!$C$5</f>
        <v>86.98</v>
      </c>
      <c r="M22" s="315">
        <f>(AG22*KFC!$B$29+KFC!$C$29)*KFC!$C$5</f>
        <v>90.68</v>
      </c>
      <c r="N22" s="315">
        <f>(AH22*KFC!$B$29+KFC!$C$29)*KFC!$C$5</f>
        <v>94.38</v>
      </c>
      <c r="O22" s="315">
        <f>(AI22*KFC!$B$29+KFC!$C$29)*KFC!$C$5</f>
        <v>98.08</v>
      </c>
      <c r="P22" s="315">
        <f>(AJ22*KFC!$B$29+KFC!$C$29)*KFC!$C$5</f>
        <v>101.78</v>
      </c>
      <c r="Q22" s="315">
        <f>(AK22*KFC!$B$29+KFC!$C$29)*KFC!$C$5</f>
        <v>105.48</v>
      </c>
      <c r="R22" s="315">
        <f>(AL22*KFC!$B$29+KFC!$C$29)*KFC!$C$5</f>
        <v>109.18</v>
      </c>
      <c r="S22" s="315">
        <f>(AM22*KFC!$B$29+KFC!$C$29)*KFC!$C$5</f>
        <v>112.88000000000001</v>
      </c>
      <c r="T22" s="315">
        <f>(AN22*KFC!$B$29+KFC!$C$29)*KFC!$C$5</f>
        <v>116.58000000000001</v>
      </c>
      <c r="V22" s="851">
        <v>1.5</v>
      </c>
      <c r="W22" s="847">
        <v>54.13</v>
      </c>
      <c r="X22" s="847">
        <v>57.83</v>
      </c>
      <c r="Y22" s="847">
        <v>61.54</v>
      </c>
      <c r="Z22" s="847">
        <v>65.239999999999995</v>
      </c>
      <c r="AA22" s="847">
        <v>68.7</v>
      </c>
      <c r="AB22" s="847">
        <v>72.41</v>
      </c>
      <c r="AC22" s="847">
        <v>76.099999999999994</v>
      </c>
      <c r="AD22" s="847">
        <v>79.81</v>
      </c>
      <c r="AE22" s="847">
        <v>83.29</v>
      </c>
      <c r="AF22" s="847">
        <v>86.98</v>
      </c>
      <c r="AG22" s="847">
        <v>90.68</v>
      </c>
      <c r="AH22" s="847">
        <v>94.38</v>
      </c>
      <c r="AI22" s="848">
        <v>98.08</v>
      </c>
      <c r="AJ22" s="690">
        <f t="shared" si="0"/>
        <v>101.78</v>
      </c>
      <c r="AK22" s="690">
        <f t="shared" si="1"/>
        <v>105.48</v>
      </c>
      <c r="AL22" s="690">
        <f t="shared" si="1"/>
        <v>109.18</v>
      </c>
      <c r="AM22" s="690">
        <f t="shared" si="1"/>
        <v>112.88000000000001</v>
      </c>
      <c r="AN22" s="690">
        <f t="shared" si="1"/>
        <v>116.58000000000001</v>
      </c>
      <c r="AO22" s="690">
        <f t="shared" si="1"/>
        <v>120.28000000000002</v>
      </c>
      <c r="AP22" s="690">
        <f t="shared" si="1"/>
        <v>123.98000000000002</v>
      </c>
    </row>
    <row r="23" spans="1:42">
      <c r="A23" s="1538"/>
      <c r="B23" s="262">
        <v>1.6</v>
      </c>
      <c r="C23" s="314">
        <f>(W23*KFC!$B$29+KFC!$C$29)*KFC!$C$5</f>
        <v>56.22</v>
      </c>
      <c r="D23" s="315">
        <f>(X23*KFC!$B$29+KFC!$C$29)*KFC!$C$5</f>
        <v>59.81</v>
      </c>
      <c r="E23" s="315">
        <f>(Y23*KFC!$B$29+KFC!$C$29)*KFC!$C$5</f>
        <v>63.5</v>
      </c>
      <c r="F23" s="315">
        <f>(Z23*KFC!$B$29+KFC!$C$29)*KFC!$C$5</f>
        <v>67.209999999999994</v>
      </c>
      <c r="G23" s="315">
        <f>(AA23*KFC!$B$29+KFC!$C$29)*KFC!$C$5</f>
        <v>70.900000000000006</v>
      </c>
      <c r="H23" s="315">
        <f>(AB23*KFC!$B$29+KFC!$C$29)*KFC!$C$5</f>
        <v>74.599999999999994</v>
      </c>
      <c r="I23" s="315">
        <f>(AC23*KFC!$B$29+KFC!$C$29)*KFC!$C$5</f>
        <v>78.19</v>
      </c>
      <c r="J23" s="315">
        <f>(AD23*KFC!$B$29+KFC!$C$29)*KFC!$C$5</f>
        <v>81.89</v>
      </c>
      <c r="K23" s="315">
        <f>(AE23*KFC!$B$29+KFC!$C$29)*KFC!$C$5</f>
        <v>85.6</v>
      </c>
      <c r="L23" s="315">
        <f>(AF23*KFC!$B$29+KFC!$C$29)*KFC!$C$5</f>
        <v>89.3</v>
      </c>
      <c r="M23" s="315">
        <f>(AG23*KFC!$B$29+KFC!$C$29)*KFC!$C$5</f>
        <v>93</v>
      </c>
      <c r="N23" s="315">
        <f>(AH23*KFC!$B$29+KFC!$C$29)*KFC!$C$5</f>
        <v>96.58</v>
      </c>
      <c r="O23" s="315">
        <f>(AI23*KFC!$B$29+KFC!$C$29)*KFC!$C$5</f>
        <v>100.17</v>
      </c>
      <c r="P23" s="315">
        <f>(AJ23*KFC!$B$29+KFC!$C$29)*KFC!$C$5</f>
        <v>103.76</v>
      </c>
      <c r="Q23" s="315">
        <f>(AK23*KFC!$B$29+KFC!$C$29)*KFC!$C$5</f>
        <v>107.35000000000001</v>
      </c>
      <c r="R23" s="315">
        <f>(AL23*KFC!$B$29+KFC!$C$29)*KFC!$C$5</f>
        <v>110.94000000000001</v>
      </c>
      <c r="S23" s="315">
        <f>(AM23*KFC!$B$29+KFC!$C$29)*KFC!$C$5</f>
        <v>114.53000000000002</v>
      </c>
      <c r="T23" s="315">
        <f>(AN23*KFC!$B$29+KFC!$C$29)*KFC!$C$5</f>
        <v>118.12000000000002</v>
      </c>
      <c r="V23" s="851">
        <v>1.6</v>
      </c>
      <c r="W23" s="847">
        <v>56.22</v>
      </c>
      <c r="X23" s="847">
        <v>59.81</v>
      </c>
      <c r="Y23" s="847">
        <v>63.5</v>
      </c>
      <c r="Z23" s="847">
        <v>67.209999999999994</v>
      </c>
      <c r="AA23" s="847">
        <v>70.900000000000006</v>
      </c>
      <c r="AB23" s="847">
        <v>74.599999999999994</v>
      </c>
      <c r="AC23" s="847">
        <v>78.19</v>
      </c>
      <c r="AD23" s="847">
        <v>81.89</v>
      </c>
      <c r="AE23" s="847">
        <v>85.6</v>
      </c>
      <c r="AF23" s="847">
        <v>89.3</v>
      </c>
      <c r="AG23" s="847">
        <v>93</v>
      </c>
      <c r="AH23" s="847">
        <v>96.58</v>
      </c>
      <c r="AI23" s="848">
        <v>100.17</v>
      </c>
      <c r="AJ23" s="690">
        <f t="shared" si="0"/>
        <v>103.76</v>
      </c>
      <c r="AK23" s="690">
        <f t="shared" si="1"/>
        <v>107.35000000000001</v>
      </c>
      <c r="AL23" s="690">
        <f t="shared" si="1"/>
        <v>110.94000000000001</v>
      </c>
      <c r="AM23" s="690">
        <f t="shared" si="1"/>
        <v>114.53000000000002</v>
      </c>
      <c r="AN23" s="690">
        <f t="shared" si="1"/>
        <v>118.12000000000002</v>
      </c>
      <c r="AO23" s="690">
        <f t="shared" si="1"/>
        <v>121.71000000000002</v>
      </c>
      <c r="AP23" s="690">
        <f t="shared" si="1"/>
        <v>125.30000000000003</v>
      </c>
    </row>
    <row r="24" spans="1:42">
      <c r="A24" s="1538"/>
      <c r="B24" s="262">
        <v>1.7</v>
      </c>
      <c r="C24" s="314">
        <f>(W24*KFC!$B$29+KFC!$C$29)*KFC!$C$5</f>
        <v>57.95</v>
      </c>
      <c r="D24" s="315">
        <f>(X24*KFC!$B$29+KFC!$C$29)*KFC!$C$5</f>
        <v>61.65</v>
      </c>
      <c r="E24" s="315">
        <f>(Y24*KFC!$B$29+KFC!$C$29)*KFC!$C$5</f>
        <v>65.47</v>
      </c>
      <c r="F24" s="315">
        <f>(Z24*KFC!$B$29+KFC!$C$29)*KFC!$C$5</f>
        <v>69.16</v>
      </c>
      <c r="G24" s="315">
        <f>(AA24*KFC!$B$29+KFC!$C$29)*KFC!$C$5</f>
        <v>72.87</v>
      </c>
      <c r="H24" s="315">
        <f>(AB24*KFC!$B$29+KFC!$C$29)*KFC!$C$5</f>
        <v>76.680000000000007</v>
      </c>
      <c r="I24" s="315">
        <f>(AC24*KFC!$B$29+KFC!$C$29)*KFC!$C$5</f>
        <v>80.39</v>
      </c>
      <c r="J24" s="315">
        <f>(AD24*KFC!$B$29+KFC!$C$29)*KFC!$C$5</f>
        <v>84.2</v>
      </c>
      <c r="K24" s="315">
        <f>(AE24*KFC!$B$29+KFC!$C$29)*KFC!$C$5</f>
        <v>87.79</v>
      </c>
      <c r="L24" s="315">
        <f>(AF24*KFC!$B$29+KFC!$C$29)*KFC!$C$5</f>
        <v>91.5</v>
      </c>
      <c r="M24" s="315">
        <f>(AG24*KFC!$B$29+KFC!$C$29)*KFC!$C$5</f>
        <v>95.31</v>
      </c>
      <c r="N24" s="315">
        <f>(AH24*KFC!$B$29+KFC!$C$29)*KFC!$C$5</f>
        <v>99.02</v>
      </c>
      <c r="O24" s="315">
        <f>(AI24*KFC!$B$29+KFC!$C$29)*KFC!$C$5</f>
        <v>102.71</v>
      </c>
      <c r="P24" s="315">
        <f>(AJ24*KFC!$B$29+KFC!$C$29)*KFC!$C$5</f>
        <v>106.39999999999999</v>
      </c>
      <c r="Q24" s="315">
        <f>(AK24*KFC!$B$29+KFC!$C$29)*KFC!$C$5</f>
        <v>110.08999999999999</v>
      </c>
      <c r="R24" s="315">
        <f>(AL24*KFC!$B$29+KFC!$C$29)*KFC!$C$5</f>
        <v>113.77999999999999</v>
      </c>
      <c r="S24" s="315">
        <f>(AM24*KFC!$B$29+KFC!$C$29)*KFC!$C$5</f>
        <v>117.46999999999998</v>
      </c>
      <c r="T24" s="315">
        <f>(AN24*KFC!$B$29+KFC!$C$29)*KFC!$C$5</f>
        <v>121.15999999999998</v>
      </c>
      <c r="V24" s="851">
        <v>1.7</v>
      </c>
      <c r="W24" s="847">
        <v>57.95</v>
      </c>
      <c r="X24" s="847">
        <v>61.65</v>
      </c>
      <c r="Y24" s="847">
        <v>65.47</v>
      </c>
      <c r="Z24" s="847">
        <v>69.16</v>
      </c>
      <c r="AA24" s="847">
        <v>72.87</v>
      </c>
      <c r="AB24" s="847">
        <v>76.680000000000007</v>
      </c>
      <c r="AC24" s="847">
        <v>80.39</v>
      </c>
      <c r="AD24" s="847">
        <v>84.2</v>
      </c>
      <c r="AE24" s="847">
        <v>87.79</v>
      </c>
      <c r="AF24" s="847">
        <v>91.5</v>
      </c>
      <c r="AG24" s="847">
        <v>95.31</v>
      </c>
      <c r="AH24" s="847">
        <v>99.02</v>
      </c>
      <c r="AI24" s="848">
        <v>102.71</v>
      </c>
      <c r="AJ24" s="690">
        <f t="shared" si="0"/>
        <v>106.39999999999999</v>
      </c>
      <c r="AK24" s="690">
        <f t="shared" si="1"/>
        <v>110.08999999999999</v>
      </c>
      <c r="AL24" s="690">
        <f t="shared" si="1"/>
        <v>113.77999999999999</v>
      </c>
      <c r="AM24" s="690">
        <f t="shared" si="1"/>
        <v>117.46999999999998</v>
      </c>
      <c r="AN24" s="690">
        <f t="shared" si="1"/>
        <v>121.15999999999998</v>
      </c>
      <c r="AO24" s="690">
        <f t="shared" si="1"/>
        <v>124.84999999999998</v>
      </c>
      <c r="AP24" s="690">
        <f t="shared" si="1"/>
        <v>128.53999999999996</v>
      </c>
    </row>
    <row r="25" spans="1:42">
      <c r="A25" s="1538"/>
      <c r="B25" s="262">
        <v>1.8</v>
      </c>
      <c r="C25" s="314">
        <f>(W25*KFC!$B$29+KFC!$C$29)*KFC!$C$5</f>
        <v>59.81</v>
      </c>
      <c r="D25" s="315">
        <f>(X25*KFC!$B$29+KFC!$C$29)*KFC!$C$5</f>
        <v>63.62</v>
      </c>
      <c r="E25" s="315">
        <f>(Y25*KFC!$B$29+KFC!$C$29)*KFC!$C$5</f>
        <v>67.430000000000007</v>
      </c>
      <c r="F25" s="315">
        <f>(Z25*KFC!$B$29+KFC!$C$29)*KFC!$C$5</f>
        <v>71.14</v>
      </c>
      <c r="G25" s="315">
        <f>(AA25*KFC!$B$29+KFC!$C$29)*KFC!$C$5</f>
        <v>74.95</v>
      </c>
      <c r="H25" s="315">
        <f>(AB25*KFC!$B$29+KFC!$C$29)*KFC!$C$5</f>
        <v>78.77</v>
      </c>
      <c r="I25" s="315">
        <f>(AC25*KFC!$B$29+KFC!$C$29)*KFC!$C$5</f>
        <v>82.47</v>
      </c>
      <c r="J25" s="315">
        <f>(AD25*KFC!$B$29+KFC!$C$29)*KFC!$C$5</f>
        <v>86.29</v>
      </c>
      <c r="K25" s="315">
        <f>(AE25*KFC!$B$29+KFC!$C$29)*KFC!$C$5</f>
        <v>90.1</v>
      </c>
      <c r="L25" s="315">
        <f>(AF25*KFC!$B$29+KFC!$C$29)*KFC!$C$5</f>
        <v>93.81</v>
      </c>
      <c r="M25" s="315">
        <f>(AG25*KFC!$B$29+KFC!$C$29)*KFC!$C$5</f>
        <v>97.62</v>
      </c>
      <c r="N25" s="315">
        <f>(AH25*KFC!$B$29+KFC!$C$29)*KFC!$C$5</f>
        <v>101.44</v>
      </c>
      <c r="O25" s="315">
        <f>(AI25*KFC!$B$29+KFC!$C$29)*KFC!$C$5</f>
        <v>105.26</v>
      </c>
      <c r="P25" s="315">
        <f>(AJ25*KFC!$B$29+KFC!$C$29)*KFC!$C$5</f>
        <v>109.08000000000001</v>
      </c>
      <c r="Q25" s="315">
        <f>(AK25*KFC!$B$29+KFC!$C$29)*KFC!$C$5</f>
        <v>112.90000000000002</v>
      </c>
      <c r="R25" s="315">
        <f>(AL25*KFC!$B$29+KFC!$C$29)*KFC!$C$5</f>
        <v>116.72000000000003</v>
      </c>
      <c r="S25" s="315">
        <f>(AM25*KFC!$B$29+KFC!$C$29)*KFC!$C$5</f>
        <v>120.54000000000003</v>
      </c>
      <c r="T25" s="315">
        <f>(AN25*KFC!$B$29+KFC!$C$29)*KFC!$C$5</f>
        <v>124.36000000000004</v>
      </c>
      <c r="V25" s="851">
        <v>1.8</v>
      </c>
      <c r="W25" s="847">
        <v>59.81</v>
      </c>
      <c r="X25" s="847">
        <v>63.62</v>
      </c>
      <c r="Y25" s="847">
        <v>67.430000000000007</v>
      </c>
      <c r="Z25" s="847">
        <v>71.14</v>
      </c>
      <c r="AA25" s="847">
        <v>74.95</v>
      </c>
      <c r="AB25" s="847">
        <v>78.77</v>
      </c>
      <c r="AC25" s="847">
        <v>82.47</v>
      </c>
      <c r="AD25" s="847">
        <v>86.29</v>
      </c>
      <c r="AE25" s="847">
        <v>90.1</v>
      </c>
      <c r="AF25" s="847">
        <v>93.81</v>
      </c>
      <c r="AG25" s="847">
        <v>97.62</v>
      </c>
      <c r="AH25" s="847">
        <v>101.44</v>
      </c>
      <c r="AI25" s="848">
        <v>105.26</v>
      </c>
      <c r="AJ25" s="690">
        <f t="shared" si="0"/>
        <v>109.08000000000001</v>
      </c>
      <c r="AK25" s="690">
        <f t="shared" si="1"/>
        <v>112.90000000000002</v>
      </c>
      <c r="AL25" s="690">
        <f t="shared" si="1"/>
        <v>116.72000000000003</v>
      </c>
      <c r="AM25" s="690">
        <f t="shared" si="1"/>
        <v>120.54000000000003</v>
      </c>
      <c r="AN25" s="690">
        <f t="shared" si="1"/>
        <v>124.36000000000004</v>
      </c>
      <c r="AO25" s="690">
        <f t="shared" si="1"/>
        <v>128.18000000000006</v>
      </c>
      <c r="AP25" s="690">
        <f t="shared" si="1"/>
        <v>132.00000000000009</v>
      </c>
    </row>
    <row r="26" spans="1:42">
      <c r="A26" s="1538"/>
      <c r="B26" s="262">
        <v>1.9</v>
      </c>
      <c r="C26" s="314">
        <f>(W26*KFC!$B$29+KFC!$C$29)*KFC!$C$5</f>
        <v>61.76</v>
      </c>
      <c r="D26" s="315">
        <f>(X26*KFC!$B$29+KFC!$C$29)*KFC!$C$5</f>
        <v>65.58</v>
      </c>
      <c r="E26" s="315">
        <f>(Y26*KFC!$B$29+KFC!$C$29)*KFC!$C$5</f>
        <v>69.41</v>
      </c>
      <c r="F26" s="315">
        <f>(Z26*KFC!$B$29+KFC!$C$29)*KFC!$C$5</f>
        <v>73.33</v>
      </c>
      <c r="G26" s="315">
        <f>(AA26*KFC!$B$29+KFC!$C$29)*KFC!$C$5</f>
        <v>77.150000000000006</v>
      </c>
      <c r="H26" s="315">
        <f>(AB26*KFC!$B$29+KFC!$C$29)*KFC!$C$5</f>
        <v>80.97</v>
      </c>
      <c r="I26" s="315">
        <f>(AC26*KFC!$B$29+KFC!$C$29)*KFC!$C$5</f>
        <v>84.56</v>
      </c>
      <c r="J26" s="315">
        <f>(AD26*KFC!$B$29+KFC!$C$29)*KFC!$C$5</f>
        <v>88.37</v>
      </c>
      <c r="K26" s="315">
        <f>(AE26*KFC!$B$29+KFC!$C$29)*KFC!$C$5</f>
        <v>92.19</v>
      </c>
      <c r="L26" s="315">
        <f>(AF26*KFC!$B$29+KFC!$C$29)*KFC!$C$5</f>
        <v>96</v>
      </c>
      <c r="M26" s="315">
        <f>(AG26*KFC!$B$29+KFC!$C$29)*KFC!$C$5</f>
        <v>99.81</v>
      </c>
      <c r="N26" s="315">
        <f>(AH26*KFC!$B$29+KFC!$C$29)*KFC!$C$5</f>
        <v>103.65</v>
      </c>
      <c r="O26" s="315">
        <f>(AI26*KFC!$B$29+KFC!$C$29)*KFC!$C$5</f>
        <v>107.46</v>
      </c>
      <c r="P26" s="315">
        <f>(AJ26*KFC!$B$29+KFC!$C$29)*KFC!$C$5</f>
        <v>111.26999999999998</v>
      </c>
      <c r="Q26" s="315">
        <f>(AK26*KFC!$B$29+KFC!$C$29)*KFC!$C$5</f>
        <v>115.07999999999997</v>
      </c>
      <c r="R26" s="315">
        <f>(AL26*KFC!$B$29+KFC!$C$29)*KFC!$C$5</f>
        <v>118.88999999999996</v>
      </c>
      <c r="S26" s="315">
        <f>(AM26*KFC!$B$29+KFC!$C$29)*KFC!$C$5</f>
        <v>122.69999999999995</v>
      </c>
      <c r="T26" s="315">
        <f>(AN26*KFC!$B$29+KFC!$C$29)*KFC!$C$5</f>
        <v>126.50999999999993</v>
      </c>
      <c r="V26" s="851">
        <v>1.9</v>
      </c>
      <c r="W26" s="847">
        <v>61.76</v>
      </c>
      <c r="X26" s="847">
        <v>65.58</v>
      </c>
      <c r="Y26" s="847">
        <v>69.41</v>
      </c>
      <c r="Z26" s="847">
        <v>73.33</v>
      </c>
      <c r="AA26" s="847">
        <v>77.150000000000006</v>
      </c>
      <c r="AB26" s="847">
        <v>80.97</v>
      </c>
      <c r="AC26" s="847">
        <v>84.56</v>
      </c>
      <c r="AD26" s="847">
        <v>88.37</v>
      </c>
      <c r="AE26" s="847">
        <v>92.19</v>
      </c>
      <c r="AF26" s="847">
        <v>96</v>
      </c>
      <c r="AG26" s="847">
        <v>99.81</v>
      </c>
      <c r="AH26" s="847">
        <v>103.65</v>
      </c>
      <c r="AI26" s="848">
        <v>107.46</v>
      </c>
      <c r="AJ26" s="690">
        <f t="shared" si="0"/>
        <v>111.26999999999998</v>
      </c>
      <c r="AK26" s="690">
        <f t="shared" si="1"/>
        <v>115.07999999999997</v>
      </c>
      <c r="AL26" s="690">
        <f t="shared" si="1"/>
        <v>118.88999999999996</v>
      </c>
      <c r="AM26" s="690">
        <f t="shared" si="1"/>
        <v>122.69999999999995</v>
      </c>
      <c r="AN26" s="690">
        <f t="shared" si="1"/>
        <v>126.50999999999993</v>
      </c>
      <c r="AO26" s="690">
        <f t="shared" si="1"/>
        <v>130.31999999999994</v>
      </c>
      <c r="AP26" s="690">
        <f t="shared" si="1"/>
        <v>134.12999999999994</v>
      </c>
    </row>
    <row r="27" spans="1:42">
      <c r="A27" s="1538"/>
      <c r="B27" s="262">
        <v>2</v>
      </c>
      <c r="C27" s="314">
        <f>(W27*KFC!$B$29+KFC!$C$29)*KFC!$C$5</f>
        <v>63.62</v>
      </c>
      <c r="D27" s="315">
        <f>(X27*KFC!$B$29+KFC!$C$29)*KFC!$C$5</f>
        <v>67.430000000000007</v>
      </c>
      <c r="E27" s="315">
        <f>(Y27*KFC!$B$29+KFC!$C$29)*KFC!$C$5</f>
        <v>71.47</v>
      </c>
      <c r="F27" s="315">
        <f>(Z27*KFC!$B$29+KFC!$C$29)*KFC!$C$5</f>
        <v>75.31</v>
      </c>
      <c r="G27" s="315">
        <f>(AA27*KFC!$B$29+KFC!$C$29)*KFC!$C$5</f>
        <v>79.12</v>
      </c>
      <c r="H27" s="315">
        <f>(AB27*KFC!$B$29+KFC!$C$29)*KFC!$C$5</f>
        <v>82.94</v>
      </c>
      <c r="I27" s="315">
        <f>(AC27*KFC!$B$29+KFC!$C$29)*KFC!$C$5</f>
        <v>86.87</v>
      </c>
      <c r="J27" s="315">
        <f>(AD27*KFC!$B$29+KFC!$C$29)*KFC!$C$5</f>
        <v>90.68</v>
      </c>
      <c r="K27" s="315">
        <f>(AE27*KFC!$B$29+KFC!$C$29)*KFC!$C$5</f>
        <v>94.5</v>
      </c>
      <c r="L27" s="315">
        <f>(AF27*KFC!$B$29+KFC!$C$29)*KFC!$C$5</f>
        <v>98.32</v>
      </c>
      <c r="M27" s="315">
        <f>(AG27*KFC!$B$29+KFC!$C$29)*KFC!$C$5</f>
        <v>102.25</v>
      </c>
      <c r="N27" s="315">
        <f>(AH27*KFC!$B$29+KFC!$C$29)*KFC!$C$5</f>
        <v>106.07</v>
      </c>
      <c r="O27" s="315">
        <f>(AI27*KFC!$B$29+KFC!$C$29)*KFC!$C$5</f>
        <v>109.88</v>
      </c>
      <c r="P27" s="315">
        <f>(AJ27*KFC!$B$29+KFC!$C$29)*KFC!$C$5</f>
        <v>113.69</v>
      </c>
      <c r="Q27" s="315">
        <f>(AK27*KFC!$B$29+KFC!$C$29)*KFC!$C$5</f>
        <v>117.5</v>
      </c>
      <c r="R27" s="315">
        <f>(AL27*KFC!$B$29+KFC!$C$29)*KFC!$C$5</f>
        <v>121.31</v>
      </c>
      <c r="S27" s="315">
        <f>(AM27*KFC!$B$29+KFC!$C$29)*KFC!$C$5</f>
        <v>125.12</v>
      </c>
      <c r="T27" s="315">
        <f>(AN27*KFC!$B$29+KFC!$C$29)*KFC!$C$5</f>
        <v>128.93</v>
      </c>
      <c r="V27" s="851">
        <v>2</v>
      </c>
      <c r="W27" s="847">
        <v>63.62</v>
      </c>
      <c r="X27" s="847">
        <v>67.430000000000007</v>
      </c>
      <c r="Y27" s="847">
        <v>71.47</v>
      </c>
      <c r="Z27" s="847">
        <v>75.31</v>
      </c>
      <c r="AA27" s="847">
        <v>79.12</v>
      </c>
      <c r="AB27" s="847">
        <v>82.94</v>
      </c>
      <c r="AC27" s="847">
        <v>86.87</v>
      </c>
      <c r="AD27" s="847">
        <v>90.68</v>
      </c>
      <c r="AE27" s="847">
        <v>94.5</v>
      </c>
      <c r="AF27" s="847">
        <v>98.32</v>
      </c>
      <c r="AG27" s="847">
        <v>102.25</v>
      </c>
      <c r="AH27" s="847">
        <v>106.07</v>
      </c>
      <c r="AI27" s="848">
        <v>109.88</v>
      </c>
      <c r="AJ27" s="690">
        <f t="shared" si="0"/>
        <v>113.69</v>
      </c>
      <c r="AK27" s="690">
        <f t="shared" si="1"/>
        <v>117.5</v>
      </c>
      <c r="AL27" s="690">
        <f t="shared" si="1"/>
        <v>121.31</v>
      </c>
      <c r="AM27" s="690">
        <f t="shared" si="1"/>
        <v>125.12</v>
      </c>
      <c r="AN27" s="690">
        <f t="shared" si="1"/>
        <v>128.93</v>
      </c>
      <c r="AO27" s="690">
        <f t="shared" si="1"/>
        <v>132.74</v>
      </c>
      <c r="AP27" s="690">
        <f t="shared" si="1"/>
        <v>136.55000000000001</v>
      </c>
    </row>
    <row r="28" spans="1:42">
      <c r="A28" s="1538"/>
      <c r="B28" s="262">
        <v>2.1</v>
      </c>
      <c r="C28" s="314">
        <f>(W28*KFC!$B$29+KFC!$C$29)*KFC!$C$5</f>
        <v>65.47</v>
      </c>
      <c r="D28" s="315">
        <f>(X28*KFC!$B$29+KFC!$C$29)*KFC!$C$5</f>
        <v>69.28</v>
      </c>
      <c r="E28" s="315">
        <f>(Y28*KFC!$B$29+KFC!$C$29)*KFC!$C$5</f>
        <v>73.56</v>
      </c>
      <c r="F28" s="315">
        <f>(Z28*KFC!$B$29+KFC!$C$29)*KFC!$C$5</f>
        <v>77.260000000000005</v>
      </c>
      <c r="G28" s="315">
        <f>(AA28*KFC!$B$29+KFC!$C$29)*KFC!$C$5</f>
        <v>81.08</v>
      </c>
      <c r="H28" s="315">
        <f>(AB28*KFC!$B$29+KFC!$C$29)*KFC!$C$5</f>
        <v>84.9</v>
      </c>
      <c r="I28" s="315">
        <f>(AC28*KFC!$B$29+KFC!$C$29)*KFC!$C$5</f>
        <v>89.19</v>
      </c>
      <c r="J28" s="315">
        <f>(AD28*KFC!$B$29+KFC!$C$29)*KFC!$C$5</f>
        <v>93</v>
      </c>
      <c r="K28" s="315">
        <f>(AE28*KFC!$B$29+KFC!$C$29)*KFC!$C$5</f>
        <v>96.82</v>
      </c>
      <c r="L28" s="315">
        <f>(AF28*KFC!$B$29+KFC!$C$29)*KFC!$C$5</f>
        <v>100.63</v>
      </c>
      <c r="M28" s="315">
        <f>(AG28*KFC!$B$29+KFC!$C$29)*KFC!$C$5</f>
        <v>104.67</v>
      </c>
      <c r="N28" s="315">
        <f>(AH28*KFC!$B$29+KFC!$C$29)*KFC!$C$5</f>
        <v>108.5</v>
      </c>
      <c r="O28" s="315">
        <f>(AI28*KFC!$B$29+KFC!$C$29)*KFC!$C$5</f>
        <v>112.32</v>
      </c>
      <c r="P28" s="315">
        <f>(AJ28*KFC!$B$29+KFC!$C$29)*KFC!$C$5</f>
        <v>116.13999999999999</v>
      </c>
      <c r="Q28" s="315">
        <f>(AK28*KFC!$B$29+KFC!$C$29)*KFC!$C$5</f>
        <v>119.95999999999998</v>
      </c>
      <c r="R28" s="315">
        <f>(AL28*KFC!$B$29+KFC!$C$29)*KFC!$C$5</f>
        <v>123.77999999999997</v>
      </c>
      <c r="S28" s="315">
        <f>(AM28*KFC!$B$29+KFC!$C$29)*KFC!$C$5</f>
        <v>127.59999999999997</v>
      </c>
      <c r="T28" s="315">
        <f>(AN28*KFC!$B$29+KFC!$C$29)*KFC!$C$5</f>
        <v>131.41999999999996</v>
      </c>
      <c r="V28" s="851">
        <v>2.1</v>
      </c>
      <c r="W28" s="847">
        <v>65.47</v>
      </c>
      <c r="X28" s="847">
        <v>69.28</v>
      </c>
      <c r="Y28" s="847">
        <v>73.56</v>
      </c>
      <c r="Z28" s="847">
        <v>77.260000000000005</v>
      </c>
      <c r="AA28" s="847">
        <v>81.08</v>
      </c>
      <c r="AB28" s="847">
        <v>84.9</v>
      </c>
      <c r="AC28" s="847">
        <v>89.19</v>
      </c>
      <c r="AD28" s="847">
        <v>93</v>
      </c>
      <c r="AE28" s="847">
        <v>96.82</v>
      </c>
      <c r="AF28" s="847">
        <v>100.63</v>
      </c>
      <c r="AG28" s="847">
        <v>104.67</v>
      </c>
      <c r="AH28" s="847">
        <v>108.5</v>
      </c>
      <c r="AI28" s="848">
        <v>112.32</v>
      </c>
      <c r="AJ28" s="690">
        <f t="shared" si="0"/>
        <v>116.13999999999999</v>
      </c>
      <c r="AK28" s="690">
        <f t="shared" ref="AK28:AP28" si="2">AJ28-AI28+AJ28</f>
        <v>119.95999999999998</v>
      </c>
      <c r="AL28" s="690">
        <f t="shared" si="2"/>
        <v>123.77999999999997</v>
      </c>
      <c r="AM28" s="690">
        <f t="shared" si="2"/>
        <v>127.59999999999997</v>
      </c>
      <c r="AN28" s="690">
        <f t="shared" si="2"/>
        <v>131.41999999999996</v>
      </c>
      <c r="AO28" s="690">
        <f t="shared" si="2"/>
        <v>135.23999999999995</v>
      </c>
      <c r="AP28" s="690">
        <f t="shared" si="2"/>
        <v>139.05999999999995</v>
      </c>
    </row>
    <row r="29" spans="1:42" ht="13.8" thickBot="1">
      <c r="A29" s="1539"/>
      <c r="B29" s="263">
        <v>2.2000000000000002</v>
      </c>
      <c r="C29" s="317">
        <f>(W29*KFC!$B$29+KFC!$C$29)*KFC!$C$5</f>
        <v>67.33</v>
      </c>
      <c r="D29" s="318">
        <f>(X29*KFC!$B$29+KFC!$C$29)*KFC!$C$5</f>
        <v>71.14</v>
      </c>
      <c r="E29" s="318">
        <f>(Y29*KFC!$B$29+KFC!$C$29)*KFC!$C$5</f>
        <v>75.64</v>
      </c>
      <c r="F29" s="318">
        <f>(Z29*KFC!$B$29+KFC!$C$29)*KFC!$C$5</f>
        <v>79.23</v>
      </c>
      <c r="G29" s="318">
        <f>(AA29*KFC!$B$29+KFC!$C$29)*KFC!$C$5</f>
        <v>83.04</v>
      </c>
      <c r="H29" s="318">
        <f>(AB29*KFC!$B$29+KFC!$C$29)*KFC!$C$5</f>
        <v>86.87</v>
      </c>
      <c r="I29" s="318">
        <f>(AC29*KFC!$B$29+KFC!$C$29)*KFC!$C$5</f>
        <v>91.5</v>
      </c>
      <c r="J29" s="318">
        <f>(AD29*KFC!$B$29+KFC!$C$29)*KFC!$C$5</f>
        <v>95.31</v>
      </c>
      <c r="K29" s="318">
        <f>(AE29*KFC!$B$29+KFC!$C$29)*KFC!$C$5</f>
        <v>99.13</v>
      </c>
      <c r="L29" s="318">
        <f>(AF29*KFC!$B$29+KFC!$C$29)*KFC!$C$5</f>
        <v>102.94</v>
      </c>
      <c r="M29" s="318">
        <f>(AG29*KFC!$B$29+KFC!$C$29)*KFC!$C$5</f>
        <v>107.11</v>
      </c>
      <c r="N29" s="318">
        <f>(AH29*KFC!$B$29+KFC!$C$29)*KFC!$C$5</f>
        <v>110.92</v>
      </c>
      <c r="O29" s="318">
        <f>(AI29*KFC!$B$29+KFC!$C$29)*KFC!$C$5</f>
        <v>114.74</v>
      </c>
      <c r="P29" s="318">
        <f>(AJ29*KFC!$B$29+KFC!$C$29)*KFC!$C$5</f>
        <v>118.55999999999999</v>
      </c>
      <c r="Q29" s="318">
        <f>(AK29*KFC!$B$29+KFC!$C$29)*KFC!$C$5</f>
        <v>122.37999999999998</v>
      </c>
      <c r="R29" s="318">
        <f>(AL29*KFC!$B$29+KFC!$C$29)*KFC!$C$5</f>
        <v>126.19999999999997</v>
      </c>
      <c r="S29" s="318">
        <f>(AM29*KFC!$B$29+KFC!$C$29)*KFC!$C$5</f>
        <v>130.01999999999998</v>
      </c>
      <c r="T29" s="318">
        <f>(AN29*KFC!$B$29+KFC!$C$29)*KFC!$C$5</f>
        <v>133.83999999999997</v>
      </c>
      <c r="V29" s="851">
        <v>2.2000000000000002</v>
      </c>
      <c r="W29" s="847">
        <v>67.33</v>
      </c>
      <c r="X29" s="847">
        <v>71.14</v>
      </c>
      <c r="Y29" s="847">
        <v>75.64</v>
      </c>
      <c r="Z29" s="847">
        <v>79.23</v>
      </c>
      <c r="AA29" s="847">
        <v>83.04</v>
      </c>
      <c r="AB29" s="847">
        <v>86.87</v>
      </c>
      <c r="AC29" s="847">
        <v>91.5</v>
      </c>
      <c r="AD29" s="847">
        <v>95.31</v>
      </c>
      <c r="AE29" s="847">
        <v>99.13</v>
      </c>
      <c r="AF29" s="847">
        <v>102.94</v>
      </c>
      <c r="AG29" s="847">
        <v>107.11</v>
      </c>
      <c r="AH29" s="847">
        <v>110.92</v>
      </c>
      <c r="AI29" s="848">
        <v>114.74</v>
      </c>
      <c r="AJ29" s="690">
        <f t="shared" ref="AJ29:AP29" si="3">AI29-AH29+AI29</f>
        <v>118.55999999999999</v>
      </c>
      <c r="AK29" s="690">
        <f t="shared" si="3"/>
        <v>122.37999999999998</v>
      </c>
      <c r="AL29" s="690">
        <f t="shared" si="3"/>
        <v>126.19999999999997</v>
      </c>
      <c r="AM29" s="690">
        <f t="shared" si="3"/>
        <v>130.01999999999998</v>
      </c>
      <c r="AN29" s="690">
        <f t="shared" si="3"/>
        <v>133.83999999999997</v>
      </c>
      <c r="AO29" s="690">
        <f t="shared" si="3"/>
        <v>137.65999999999997</v>
      </c>
      <c r="AP29" s="690">
        <f t="shared" si="3"/>
        <v>141.47999999999996</v>
      </c>
    </row>
    <row r="30" spans="1:42" ht="13.8" thickBot="1">
      <c r="A30" s="249"/>
      <c r="B30" s="249"/>
      <c r="C30" s="249"/>
      <c r="D30" s="249"/>
      <c r="E30" s="249"/>
      <c r="F30" s="249"/>
      <c r="G30" s="249"/>
      <c r="H30" s="249"/>
      <c r="I30" s="249"/>
      <c r="J30" s="249"/>
      <c r="K30" s="249"/>
      <c r="L30" s="249"/>
      <c r="M30" s="184"/>
      <c r="N30" s="184"/>
    </row>
    <row r="31" spans="1:42" ht="13.5" customHeight="1" thickBot="1">
      <c r="A31" s="1413" t="s">
        <v>314</v>
      </c>
      <c r="B31" s="1415"/>
      <c r="C31" s="1534" t="s">
        <v>207</v>
      </c>
      <c r="D31" s="1535"/>
      <c r="E31" s="1535"/>
      <c r="F31" s="1535"/>
      <c r="G31" s="1535"/>
      <c r="H31" s="1535"/>
      <c r="I31" s="1535"/>
      <c r="J31" s="1535"/>
      <c r="K31" s="1535"/>
      <c r="L31" s="1535"/>
      <c r="M31" s="1535"/>
      <c r="N31" s="1535"/>
      <c r="O31" s="1535"/>
      <c r="P31" s="1535"/>
      <c r="Q31" s="1535"/>
      <c r="R31" s="1535"/>
      <c r="S31" s="1535"/>
      <c r="T31" s="1535"/>
    </row>
    <row r="32" spans="1:42" ht="13.8" thickBot="1">
      <c r="A32" s="1416"/>
      <c r="B32" s="1418"/>
      <c r="C32" s="119">
        <v>0.4</v>
      </c>
      <c r="D32" s="119">
        <v>0.5</v>
      </c>
      <c r="E32" s="119">
        <v>0.6</v>
      </c>
      <c r="F32" s="119">
        <v>0.7</v>
      </c>
      <c r="G32" s="119">
        <v>0.8</v>
      </c>
      <c r="H32" s="119">
        <v>0.9</v>
      </c>
      <c r="I32" s="119">
        <v>1</v>
      </c>
      <c r="J32" s="119">
        <v>1.1000000000000001</v>
      </c>
      <c r="K32" s="119">
        <v>1.2</v>
      </c>
      <c r="L32" s="119">
        <v>1.3</v>
      </c>
      <c r="M32" s="119">
        <v>1.4</v>
      </c>
      <c r="N32" s="119">
        <v>1.5</v>
      </c>
      <c r="O32" s="119">
        <v>1.6</v>
      </c>
      <c r="P32" s="119">
        <v>1.7</v>
      </c>
      <c r="Q32" s="119">
        <v>1.8</v>
      </c>
      <c r="R32" s="119">
        <v>1.9</v>
      </c>
      <c r="S32" s="119">
        <v>2</v>
      </c>
      <c r="T32" s="119">
        <v>2.1</v>
      </c>
      <c r="V32" s="850"/>
      <c r="W32" s="851">
        <v>0.4</v>
      </c>
      <c r="X32" s="851">
        <v>0.5</v>
      </c>
      <c r="Y32" s="851">
        <v>0.6</v>
      </c>
      <c r="Z32" s="851">
        <v>0.7</v>
      </c>
      <c r="AA32" s="851">
        <v>0.8</v>
      </c>
      <c r="AB32" s="851">
        <v>0.9</v>
      </c>
      <c r="AC32" s="851">
        <v>1</v>
      </c>
      <c r="AD32" s="851">
        <v>1.1000000000000001</v>
      </c>
      <c r="AE32" s="851">
        <v>1.2</v>
      </c>
      <c r="AF32" s="851">
        <v>1.3</v>
      </c>
      <c r="AG32" s="851">
        <v>1.4</v>
      </c>
      <c r="AH32" s="851">
        <v>1.5</v>
      </c>
      <c r="AI32" s="852">
        <v>1.6</v>
      </c>
      <c r="AJ32" s="853">
        <v>1.7</v>
      </c>
      <c r="AK32" s="853">
        <v>1.8</v>
      </c>
      <c r="AL32" s="853">
        <v>1.9</v>
      </c>
      <c r="AM32" s="853">
        <v>2</v>
      </c>
      <c r="AN32" s="853">
        <v>2.1</v>
      </c>
      <c r="AO32" s="853">
        <v>2.2000000000000002</v>
      </c>
      <c r="AP32" s="853">
        <v>2.2999999999999998</v>
      </c>
    </row>
    <row r="33" spans="1:42" ht="12.75" customHeight="1">
      <c r="A33" s="1537" t="s">
        <v>3</v>
      </c>
      <c r="B33" s="261">
        <v>0.5</v>
      </c>
      <c r="C33" s="311">
        <f>(W33*KFC!$B$29+KFC!$C$29)*KFC!$C$5</f>
        <v>39.32</v>
      </c>
      <c r="D33" s="312">
        <f>(X33*KFC!$B$29+KFC!$C$29)*KFC!$C$5</f>
        <v>42.92</v>
      </c>
      <c r="E33" s="312">
        <f>(Y33*KFC!$B$29+KFC!$C$29)*KFC!$C$5</f>
        <v>46.39</v>
      </c>
      <c r="F33" s="312">
        <f>(Z33*KFC!$B$29+KFC!$C$29)*KFC!$C$5</f>
        <v>50</v>
      </c>
      <c r="G33" s="312">
        <f>(AA33*KFC!$B$29+KFC!$C$29)*KFC!$C$5</f>
        <v>53.59</v>
      </c>
      <c r="H33" s="312">
        <f>(AB33*KFC!$B$29+KFC!$C$29)*KFC!$C$5</f>
        <v>57.19</v>
      </c>
      <c r="I33" s="312">
        <f>(AC33*KFC!$B$29+KFC!$C$29)*KFC!$C$5</f>
        <v>60.66</v>
      </c>
      <c r="J33" s="312">
        <f>(AD33*KFC!$B$29+KFC!$C$29)*KFC!$C$5</f>
        <v>64.260000000000005</v>
      </c>
      <c r="K33" s="312">
        <f>(AE33*KFC!$B$29+KFC!$C$29)*KFC!$C$5</f>
        <v>67.86</v>
      </c>
      <c r="L33" s="312">
        <f>(AF33*KFC!$B$29+KFC!$C$29)*KFC!$C$5</f>
        <v>71.45</v>
      </c>
      <c r="M33" s="312">
        <f>(AG33*KFC!$B$29+KFC!$C$29)*KFC!$C$5</f>
        <v>74.930000000000007</v>
      </c>
      <c r="N33" s="312">
        <f>(AH33*KFC!$B$29+KFC!$C$29)*KFC!$C$5</f>
        <v>78.650000000000006</v>
      </c>
      <c r="O33" s="312">
        <f>(AI33*KFC!$B$29+KFC!$C$29)*KFC!$C$5</f>
        <v>82.38</v>
      </c>
      <c r="P33" s="312">
        <f>(AJ33*KFC!$B$29+KFC!$C$29)*KFC!$C$5</f>
        <v>86.109999999999985</v>
      </c>
      <c r="Q33" s="312">
        <f>(AK33*KFC!$B$29+KFC!$C$29)*KFC!$C$5</f>
        <v>89.839999999999975</v>
      </c>
      <c r="R33" s="312">
        <f>(AL33*KFC!$B$29+KFC!$C$29)*KFC!$C$5</f>
        <v>93.569999999999965</v>
      </c>
      <c r="S33" s="312">
        <f>(AM33*KFC!$B$29+KFC!$C$29)*KFC!$C$5</f>
        <v>97.299999999999955</v>
      </c>
      <c r="T33" s="312">
        <f>(AN33*KFC!$B$29+KFC!$C$29)*KFC!$C$5</f>
        <v>101.02999999999994</v>
      </c>
      <c r="V33" s="851">
        <v>0.5</v>
      </c>
      <c r="W33" s="847">
        <v>39.32</v>
      </c>
      <c r="X33" s="847">
        <v>42.92</v>
      </c>
      <c r="Y33" s="847">
        <v>46.39</v>
      </c>
      <c r="Z33" s="847">
        <v>50</v>
      </c>
      <c r="AA33" s="847">
        <v>53.59</v>
      </c>
      <c r="AB33" s="847">
        <v>57.19</v>
      </c>
      <c r="AC33" s="847">
        <v>60.66</v>
      </c>
      <c r="AD33" s="847">
        <v>64.260000000000005</v>
      </c>
      <c r="AE33" s="847">
        <v>67.86</v>
      </c>
      <c r="AF33" s="847">
        <v>71.45</v>
      </c>
      <c r="AG33" s="847">
        <v>74.930000000000007</v>
      </c>
      <c r="AH33" s="847">
        <v>78.650000000000006</v>
      </c>
      <c r="AI33" s="848">
        <v>82.38</v>
      </c>
      <c r="AJ33" s="690">
        <f t="shared" ref="AJ33:AJ49" si="4">AI33-AH33+AI33</f>
        <v>86.109999999999985</v>
      </c>
      <c r="AK33" s="690">
        <f t="shared" ref="AK33:AP48" si="5">AJ33-AI33+AJ33</f>
        <v>89.839999999999975</v>
      </c>
      <c r="AL33" s="690">
        <f t="shared" si="5"/>
        <v>93.569999999999965</v>
      </c>
      <c r="AM33" s="690">
        <f t="shared" si="5"/>
        <v>97.299999999999955</v>
      </c>
      <c r="AN33" s="690">
        <f t="shared" si="5"/>
        <v>101.02999999999994</v>
      </c>
      <c r="AO33" s="690">
        <f t="shared" si="5"/>
        <v>104.75999999999993</v>
      </c>
      <c r="AP33" s="690">
        <f t="shared" si="5"/>
        <v>108.48999999999992</v>
      </c>
    </row>
    <row r="34" spans="1:42">
      <c r="A34" s="1538"/>
      <c r="B34" s="262">
        <v>0.6</v>
      </c>
      <c r="C34" s="854">
        <f>(W34*KFC!$B$29+KFC!$C$29)*KFC!$C$5</f>
        <v>41.38</v>
      </c>
      <c r="D34" s="855">
        <f>(X34*KFC!$B$29+KFC!$C$29)*KFC!$C$5</f>
        <v>44.98</v>
      </c>
      <c r="E34" s="855">
        <f>(Y34*KFC!$B$29+KFC!$C$29)*KFC!$C$5</f>
        <v>48.58</v>
      </c>
      <c r="F34" s="855">
        <f>(Z34*KFC!$B$29+KFC!$C$29)*KFC!$C$5</f>
        <v>52.17</v>
      </c>
      <c r="G34" s="855">
        <f>(AA34*KFC!$B$29+KFC!$C$29)*KFC!$C$5</f>
        <v>55.78</v>
      </c>
      <c r="H34" s="855">
        <f>(AB34*KFC!$B$29+KFC!$C$29)*KFC!$C$5</f>
        <v>59.37</v>
      </c>
      <c r="I34" s="855">
        <f>(AC34*KFC!$B$29+KFC!$C$29)*KFC!$C$5</f>
        <v>63.23</v>
      </c>
      <c r="J34" s="855">
        <f>(AD34*KFC!$B$29+KFC!$C$29)*KFC!$C$5</f>
        <v>66.83</v>
      </c>
      <c r="K34" s="855">
        <f>(AE34*KFC!$B$29+KFC!$C$29)*KFC!$C$5</f>
        <v>70.430000000000007</v>
      </c>
      <c r="L34" s="855">
        <f>(AF34*KFC!$B$29+KFC!$C$29)*KFC!$C$5</f>
        <v>74.03</v>
      </c>
      <c r="M34" s="855">
        <f>(AG34*KFC!$B$29+KFC!$C$29)*KFC!$C$5</f>
        <v>77.5</v>
      </c>
      <c r="N34" s="855">
        <f>(AH34*KFC!$B$29+KFC!$C$29)*KFC!$C$5</f>
        <v>81.22</v>
      </c>
      <c r="O34" s="855">
        <f>(AI34*KFC!$B$29+KFC!$C$29)*KFC!$C$5</f>
        <v>84.95</v>
      </c>
      <c r="P34" s="855">
        <f>(AJ34*KFC!$B$29+KFC!$C$29)*KFC!$C$5</f>
        <v>88.68</v>
      </c>
      <c r="Q34" s="855">
        <f>(AK34*KFC!$B$29+KFC!$C$29)*KFC!$C$5</f>
        <v>92.410000000000011</v>
      </c>
      <c r="R34" s="855">
        <f>(AL34*KFC!$B$29+KFC!$C$29)*KFC!$C$5</f>
        <v>96.140000000000015</v>
      </c>
      <c r="S34" s="855">
        <f>(AM34*KFC!$B$29+KFC!$C$29)*KFC!$C$5</f>
        <v>99.870000000000019</v>
      </c>
      <c r="T34" s="855">
        <f>(AN34*KFC!$B$29+KFC!$C$29)*KFC!$C$5</f>
        <v>103.60000000000002</v>
      </c>
      <c r="V34" s="851">
        <v>0.6</v>
      </c>
      <c r="W34" s="847">
        <v>41.38</v>
      </c>
      <c r="X34" s="847">
        <v>44.98</v>
      </c>
      <c r="Y34" s="847">
        <v>48.58</v>
      </c>
      <c r="Z34" s="847">
        <v>52.17</v>
      </c>
      <c r="AA34" s="847">
        <v>55.78</v>
      </c>
      <c r="AB34" s="847">
        <v>59.37</v>
      </c>
      <c r="AC34" s="847">
        <v>63.23</v>
      </c>
      <c r="AD34" s="847">
        <v>66.83</v>
      </c>
      <c r="AE34" s="847">
        <v>70.430000000000007</v>
      </c>
      <c r="AF34" s="847">
        <v>74.03</v>
      </c>
      <c r="AG34" s="847">
        <v>77.5</v>
      </c>
      <c r="AH34" s="847">
        <v>81.22</v>
      </c>
      <c r="AI34" s="848">
        <v>84.95</v>
      </c>
      <c r="AJ34" s="690">
        <f t="shared" si="4"/>
        <v>88.68</v>
      </c>
      <c r="AK34" s="690">
        <f t="shared" si="5"/>
        <v>92.410000000000011</v>
      </c>
      <c r="AL34" s="690">
        <f t="shared" si="5"/>
        <v>96.140000000000015</v>
      </c>
      <c r="AM34" s="690">
        <f t="shared" si="5"/>
        <v>99.870000000000019</v>
      </c>
      <c r="AN34" s="690">
        <f t="shared" si="5"/>
        <v>103.60000000000002</v>
      </c>
      <c r="AO34" s="690">
        <f t="shared" si="5"/>
        <v>107.33000000000003</v>
      </c>
      <c r="AP34" s="690">
        <f t="shared" si="5"/>
        <v>111.06000000000003</v>
      </c>
    </row>
    <row r="35" spans="1:42">
      <c r="A35" s="1538"/>
      <c r="B35" s="262">
        <v>0.7</v>
      </c>
      <c r="C35" s="314">
        <f>(W35*KFC!$B$29+KFC!$C$29)*KFC!$C$5</f>
        <v>43.58</v>
      </c>
      <c r="D35" s="315">
        <f>(X35*KFC!$B$29+KFC!$C$29)*KFC!$C$5</f>
        <v>47.17</v>
      </c>
      <c r="E35" s="315">
        <f>(Y35*KFC!$B$29+KFC!$C$29)*KFC!$C$5</f>
        <v>50.77</v>
      </c>
      <c r="F35" s="315">
        <f>(Z35*KFC!$B$29+KFC!$C$29)*KFC!$C$5</f>
        <v>54.5</v>
      </c>
      <c r="G35" s="315">
        <f>(AA35*KFC!$B$29+KFC!$C$29)*KFC!$C$5</f>
        <v>58.22</v>
      </c>
      <c r="H35" s="315">
        <f>(AB35*KFC!$B$29+KFC!$C$29)*KFC!$C$5</f>
        <v>61.81</v>
      </c>
      <c r="I35" s="315">
        <f>(AC35*KFC!$B$29+KFC!$C$29)*KFC!$C$5</f>
        <v>65.540000000000006</v>
      </c>
      <c r="J35" s="315">
        <f>(AD35*KFC!$B$29+KFC!$C$29)*KFC!$C$5</f>
        <v>69.150000000000006</v>
      </c>
      <c r="K35" s="315">
        <f>(AE35*KFC!$B$29+KFC!$C$29)*KFC!$C$5</f>
        <v>72.739999999999995</v>
      </c>
      <c r="L35" s="315">
        <f>(AF35*KFC!$B$29+KFC!$C$29)*KFC!$C$5</f>
        <v>76.599999999999994</v>
      </c>
      <c r="M35" s="315">
        <f>(AG35*KFC!$B$29+KFC!$C$29)*KFC!$C$5</f>
        <v>80.2</v>
      </c>
      <c r="N35" s="315">
        <f>(AH35*KFC!$B$29+KFC!$C$29)*KFC!$C$5</f>
        <v>83.79</v>
      </c>
      <c r="O35" s="315">
        <f>(AI35*KFC!$B$29+KFC!$C$29)*KFC!$C$5</f>
        <v>87.39</v>
      </c>
      <c r="P35" s="315">
        <f>(AJ35*KFC!$B$29+KFC!$C$29)*KFC!$C$5</f>
        <v>90.99</v>
      </c>
      <c r="Q35" s="315">
        <f>(AK35*KFC!$B$29+KFC!$C$29)*KFC!$C$5</f>
        <v>94.589999999999989</v>
      </c>
      <c r="R35" s="315">
        <f>(AL35*KFC!$B$29+KFC!$C$29)*KFC!$C$5</f>
        <v>98.189999999999984</v>
      </c>
      <c r="S35" s="315">
        <f>(AM35*KFC!$B$29+KFC!$C$29)*KFC!$C$5</f>
        <v>101.78999999999998</v>
      </c>
      <c r="T35" s="315">
        <f>(AN35*KFC!$B$29+KFC!$C$29)*KFC!$C$5</f>
        <v>105.38999999999997</v>
      </c>
      <c r="V35" s="851">
        <v>0.7</v>
      </c>
      <c r="W35" s="847">
        <v>43.58</v>
      </c>
      <c r="X35" s="847">
        <v>47.17</v>
      </c>
      <c r="Y35" s="847">
        <v>50.77</v>
      </c>
      <c r="Z35" s="847">
        <v>54.5</v>
      </c>
      <c r="AA35" s="847">
        <v>58.22</v>
      </c>
      <c r="AB35" s="847">
        <v>61.81</v>
      </c>
      <c r="AC35" s="847">
        <v>65.540000000000006</v>
      </c>
      <c r="AD35" s="847">
        <v>69.150000000000006</v>
      </c>
      <c r="AE35" s="847">
        <v>72.739999999999995</v>
      </c>
      <c r="AF35" s="847">
        <v>76.599999999999994</v>
      </c>
      <c r="AG35" s="847">
        <v>80.2</v>
      </c>
      <c r="AH35" s="847">
        <v>83.79</v>
      </c>
      <c r="AI35" s="848">
        <v>87.39</v>
      </c>
      <c r="AJ35" s="690">
        <f t="shared" si="4"/>
        <v>90.99</v>
      </c>
      <c r="AK35" s="690">
        <f t="shared" si="5"/>
        <v>94.589999999999989</v>
      </c>
      <c r="AL35" s="690">
        <f t="shared" si="5"/>
        <v>98.189999999999984</v>
      </c>
      <c r="AM35" s="690">
        <f t="shared" si="5"/>
        <v>101.78999999999998</v>
      </c>
      <c r="AN35" s="690">
        <f t="shared" si="5"/>
        <v>105.38999999999997</v>
      </c>
      <c r="AO35" s="690">
        <f t="shared" si="5"/>
        <v>108.98999999999997</v>
      </c>
      <c r="AP35" s="690">
        <f t="shared" si="5"/>
        <v>112.58999999999996</v>
      </c>
    </row>
    <row r="36" spans="1:42">
      <c r="A36" s="1538"/>
      <c r="B36" s="262">
        <v>0.8</v>
      </c>
      <c r="C36" s="314">
        <f>(W36*KFC!$B$29+KFC!$C$29)*KFC!$C$5</f>
        <v>45.62</v>
      </c>
      <c r="D36" s="315">
        <f>(X36*KFC!$B$29+KFC!$C$29)*KFC!$C$5</f>
        <v>49.35</v>
      </c>
      <c r="E36" s="315">
        <f>(Y36*KFC!$B$29+KFC!$C$29)*KFC!$C$5</f>
        <v>52.94</v>
      </c>
      <c r="F36" s="315">
        <f>(Z36*KFC!$B$29+KFC!$C$29)*KFC!$C$5</f>
        <v>56.81</v>
      </c>
      <c r="G36" s="315">
        <f>(AA36*KFC!$B$29+KFC!$C$29)*KFC!$C$5</f>
        <v>60.53</v>
      </c>
      <c r="H36" s="315">
        <f>(AB36*KFC!$B$29+KFC!$C$29)*KFC!$C$5</f>
        <v>64.13</v>
      </c>
      <c r="I36" s="315">
        <f>(AC36*KFC!$B$29+KFC!$C$29)*KFC!$C$5</f>
        <v>67.86</v>
      </c>
      <c r="J36" s="315">
        <f>(AD36*KFC!$B$29+KFC!$C$29)*KFC!$C$5</f>
        <v>71.45</v>
      </c>
      <c r="K36" s="315">
        <f>(AE36*KFC!$B$29+KFC!$C$29)*KFC!$C$5</f>
        <v>75.31</v>
      </c>
      <c r="L36" s="315">
        <f>(AF36*KFC!$B$29+KFC!$C$29)*KFC!$C$5</f>
        <v>79.040000000000006</v>
      </c>
      <c r="M36" s="315">
        <f>(AG36*KFC!$B$29+KFC!$C$29)*KFC!$C$5</f>
        <v>82.65</v>
      </c>
      <c r="N36" s="315">
        <f>(AH36*KFC!$B$29+KFC!$C$29)*KFC!$C$5</f>
        <v>86.5</v>
      </c>
      <c r="O36" s="315">
        <f>(AI36*KFC!$B$29+KFC!$C$29)*KFC!$C$5</f>
        <v>90.35</v>
      </c>
      <c r="P36" s="315">
        <f>(AJ36*KFC!$B$29+KFC!$C$29)*KFC!$C$5</f>
        <v>94.199999999999989</v>
      </c>
      <c r="Q36" s="315">
        <f>(AK36*KFC!$B$29+KFC!$C$29)*KFC!$C$5</f>
        <v>98.049999999999983</v>
      </c>
      <c r="R36" s="315">
        <f>(AL36*KFC!$B$29+KFC!$C$29)*KFC!$C$5</f>
        <v>101.89999999999998</v>
      </c>
      <c r="S36" s="315">
        <f>(AM36*KFC!$B$29+KFC!$C$29)*KFC!$C$5</f>
        <v>105.74999999999997</v>
      </c>
      <c r="T36" s="315">
        <f>(AN36*KFC!$B$29+KFC!$C$29)*KFC!$C$5</f>
        <v>109.59999999999997</v>
      </c>
      <c r="V36" s="851">
        <v>0.8</v>
      </c>
      <c r="W36" s="847">
        <v>45.62</v>
      </c>
      <c r="X36" s="847">
        <v>49.35</v>
      </c>
      <c r="Y36" s="847">
        <v>52.94</v>
      </c>
      <c r="Z36" s="847">
        <v>56.81</v>
      </c>
      <c r="AA36" s="847">
        <v>60.53</v>
      </c>
      <c r="AB36" s="847">
        <v>64.13</v>
      </c>
      <c r="AC36" s="847">
        <v>67.86</v>
      </c>
      <c r="AD36" s="847">
        <v>71.45</v>
      </c>
      <c r="AE36" s="847">
        <v>75.31</v>
      </c>
      <c r="AF36" s="847">
        <v>79.040000000000006</v>
      </c>
      <c r="AG36" s="847">
        <v>82.65</v>
      </c>
      <c r="AH36" s="847">
        <v>86.5</v>
      </c>
      <c r="AI36" s="848">
        <v>90.35</v>
      </c>
      <c r="AJ36" s="690">
        <f t="shared" si="4"/>
        <v>94.199999999999989</v>
      </c>
      <c r="AK36" s="690">
        <f t="shared" si="5"/>
        <v>98.049999999999983</v>
      </c>
      <c r="AL36" s="690">
        <f t="shared" si="5"/>
        <v>101.89999999999998</v>
      </c>
      <c r="AM36" s="690">
        <f t="shared" si="5"/>
        <v>105.74999999999997</v>
      </c>
      <c r="AN36" s="690">
        <f t="shared" si="5"/>
        <v>109.59999999999997</v>
      </c>
      <c r="AO36" s="690">
        <f t="shared" si="5"/>
        <v>113.44999999999996</v>
      </c>
      <c r="AP36" s="690">
        <f t="shared" si="5"/>
        <v>117.29999999999995</v>
      </c>
    </row>
    <row r="37" spans="1:42">
      <c r="A37" s="1538"/>
      <c r="B37" s="262">
        <v>0.9</v>
      </c>
      <c r="C37" s="314">
        <f>(W37*KFC!$B$29+KFC!$C$29)*KFC!$C$5</f>
        <v>47.68</v>
      </c>
      <c r="D37" s="315">
        <f>(X37*KFC!$B$29+KFC!$C$29)*KFC!$C$5</f>
        <v>51.41</v>
      </c>
      <c r="E37" s="315">
        <f>(Y37*KFC!$B$29+KFC!$C$29)*KFC!$C$5</f>
        <v>55.14</v>
      </c>
      <c r="F37" s="315">
        <f>(Z37*KFC!$B$29+KFC!$C$29)*KFC!$C$5</f>
        <v>58.99</v>
      </c>
      <c r="G37" s="315">
        <f>(AA37*KFC!$B$29+KFC!$C$29)*KFC!$C$5</f>
        <v>62.73</v>
      </c>
      <c r="H37" s="315">
        <f>(AB37*KFC!$B$29+KFC!$C$29)*KFC!$C$5</f>
        <v>66.44</v>
      </c>
      <c r="I37" s="315">
        <f>(AC37*KFC!$B$29+KFC!$C$29)*KFC!$C$5</f>
        <v>70.3</v>
      </c>
      <c r="J37" s="315">
        <f>(AD37*KFC!$B$29+KFC!$C$29)*KFC!$C$5</f>
        <v>74.03</v>
      </c>
      <c r="K37" s="315">
        <f>(AE37*KFC!$B$29+KFC!$C$29)*KFC!$C$5</f>
        <v>77.75</v>
      </c>
      <c r="L37" s="315">
        <f>(AF37*KFC!$B$29+KFC!$C$29)*KFC!$C$5</f>
        <v>81.61</v>
      </c>
      <c r="M37" s="315">
        <f>(AG37*KFC!$B$29+KFC!$C$29)*KFC!$C$5</f>
        <v>85.34</v>
      </c>
      <c r="N37" s="315">
        <f>(AH37*KFC!$B$29+KFC!$C$29)*KFC!$C$5</f>
        <v>89.07</v>
      </c>
      <c r="O37" s="315">
        <f>(AI37*KFC!$B$29+KFC!$C$29)*KFC!$C$5</f>
        <v>92.79</v>
      </c>
      <c r="P37" s="315">
        <f>(AJ37*KFC!$B$29+KFC!$C$29)*KFC!$C$5</f>
        <v>96.510000000000019</v>
      </c>
      <c r="Q37" s="315">
        <f>(AK37*KFC!$B$29+KFC!$C$29)*KFC!$C$5</f>
        <v>100.23000000000003</v>
      </c>
      <c r="R37" s="315">
        <f>(AL37*KFC!$B$29+KFC!$C$29)*KFC!$C$5</f>
        <v>103.95000000000005</v>
      </c>
      <c r="S37" s="315">
        <f>(AM37*KFC!$B$29+KFC!$C$29)*KFC!$C$5</f>
        <v>107.67000000000006</v>
      </c>
      <c r="T37" s="315">
        <f>(AN37*KFC!$B$29+KFC!$C$29)*KFC!$C$5</f>
        <v>111.39000000000007</v>
      </c>
      <c r="V37" s="851">
        <v>0.9</v>
      </c>
      <c r="W37" s="847">
        <v>47.68</v>
      </c>
      <c r="X37" s="847">
        <v>51.41</v>
      </c>
      <c r="Y37" s="847">
        <v>55.14</v>
      </c>
      <c r="Z37" s="847">
        <v>58.99</v>
      </c>
      <c r="AA37" s="847">
        <v>62.73</v>
      </c>
      <c r="AB37" s="847">
        <v>66.44</v>
      </c>
      <c r="AC37" s="847">
        <v>70.3</v>
      </c>
      <c r="AD37" s="847">
        <v>74.03</v>
      </c>
      <c r="AE37" s="847">
        <v>77.75</v>
      </c>
      <c r="AF37" s="847">
        <v>81.61</v>
      </c>
      <c r="AG37" s="847">
        <v>85.34</v>
      </c>
      <c r="AH37" s="847">
        <v>89.07</v>
      </c>
      <c r="AI37" s="848">
        <v>92.79</v>
      </c>
      <c r="AJ37" s="690">
        <f t="shared" si="4"/>
        <v>96.510000000000019</v>
      </c>
      <c r="AK37" s="690">
        <f t="shared" si="5"/>
        <v>100.23000000000003</v>
      </c>
      <c r="AL37" s="690">
        <f t="shared" si="5"/>
        <v>103.95000000000005</v>
      </c>
      <c r="AM37" s="690">
        <f t="shared" si="5"/>
        <v>107.67000000000006</v>
      </c>
      <c r="AN37" s="690">
        <f t="shared" si="5"/>
        <v>111.39000000000007</v>
      </c>
      <c r="AO37" s="690">
        <f t="shared" si="5"/>
        <v>115.11000000000008</v>
      </c>
      <c r="AP37" s="690">
        <f t="shared" si="5"/>
        <v>118.8300000000001</v>
      </c>
    </row>
    <row r="38" spans="1:42">
      <c r="A38" s="1538"/>
      <c r="B38" s="262">
        <v>1</v>
      </c>
      <c r="C38" s="314">
        <f>(W38*KFC!$B$29+KFC!$C$29)*KFC!$C$5</f>
        <v>49.88</v>
      </c>
      <c r="D38" s="315">
        <f>(X38*KFC!$B$29+KFC!$C$29)*KFC!$C$5</f>
        <v>53.59</v>
      </c>
      <c r="E38" s="315">
        <f>(Y38*KFC!$B$29+KFC!$C$29)*KFC!$C$5</f>
        <v>57.32</v>
      </c>
      <c r="F38" s="315">
        <f>(Z38*KFC!$B$29+KFC!$C$29)*KFC!$C$5</f>
        <v>61.17</v>
      </c>
      <c r="G38" s="315">
        <f>(AA38*KFC!$B$29+KFC!$C$29)*KFC!$C$5</f>
        <v>65.03</v>
      </c>
      <c r="H38" s="315">
        <f>(AB38*KFC!$B$29+KFC!$C$29)*KFC!$C$5</f>
        <v>68.88</v>
      </c>
      <c r="I38" s="315">
        <f>(AC38*KFC!$B$29+KFC!$C$29)*KFC!$C$5</f>
        <v>72.62</v>
      </c>
      <c r="J38" s="315">
        <f>(AD38*KFC!$B$29+KFC!$C$29)*KFC!$C$5</f>
        <v>76.349999999999994</v>
      </c>
      <c r="K38" s="315">
        <f>(AE38*KFC!$B$29+KFC!$C$29)*KFC!$C$5</f>
        <v>80.33</v>
      </c>
      <c r="L38" s="315">
        <f>(AF38*KFC!$B$29+KFC!$C$29)*KFC!$C$5</f>
        <v>84.05</v>
      </c>
      <c r="M38" s="315">
        <f>(AG38*KFC!$B$29+KFC!$C$29)*KFC!$C$5</f>
        <v>87.91</v>
      </c>
      <c r="N38" s="315">
        <f>(AH38*KFC!$B$29+KFC!$C$29)*KFC!$C$5</f>
        <v>91.64</v>
      </c>
      <c r="O38" s="315">
        <f>(AI38*KFC!$B$29+KFC!$C$29)*KFC!$C$5</f>
        <v>95.36</v>
      </c>
      <c r="P38" s="315">
        <f>(AJ38*KFC!$B$29+KFC!$C$29)*KFC!$C$5</f>
        <v>99.08</v>
      </c>
      <c r="Q38" s="315">
        <f>(AK38*KFC!$B$29+KFC!$C$29)*KFC!$C$5</f>
        <v>102.8</v>
      </c>
      <c r="R38" s="315">
        <f>(AL38*KFC!$B$29+KFC!$C$29)*KFC!$C$5</f>
        <v>106.52</v>
      </c>
      <c r="S38" s="315">
        <f>(AM38*KFC!$B$29+KFC!$C$29)*KFC!$C$5</f>
        <v>110.24</v>
      </c>
      <c r="T38" s="315">
        <f>(AN38*KFC!$B$29+KFC!$C$29)*KFC!$C$5</f>
        <v>113.96</v>
      </c>
      <c r="V38" s="851">
        <v>1</v>
      </c>
      <c r="W38" s="847">
        <v>49.88</v>
      </c>
      <c r="X38" s="847">
        <v>53.59</v>
      </c>
      <c r="Y38" s="847">
        <v>57.32</v>
      </c>
      <c r="Z38" s="847">
        <v>61.17</v>
      </c>
      <c r="AA38" s="847">
        <v>65.03</v>
      </c>
      <c r="AB38" s="847">
        <v>68.88</v>
      </c>
      <c r="AC38" s="847">
        <v>72.62</v>
      </c>
      <c r="AD38" s="847">
        <v>76.349999999999994</v>
      </c>
      <c r="AE38" s="847">
        <v>80.33</v>
      </c>
      <c r="AF38" s="847">
        <v>84.05</v>
      </c>
      <c r="AG38" s="847">
        <v>87.91</v>
      </c>
      <c r="AH38" s="847">
        <v>91.64</v>
      </c>
      <c r="AI38" s="848">
        <v>95.36</v>
      </c>
      <c r="AJ38" s="690">
        <f t="shared" si="4"/>
        <v>99.08</v>
      </c>
      <c r="AK38" s="690">
        <f t="shared" si="5"/>
        <v>102.8</v>
      </c>
      <c r="AL38" s="690">
        <f t="shared" si="5"/>
        <v>106.52</v>
      </c>
      <c r="AM38" s="690">
        <f t="shared" si="5"/>
        <v>110.24</v>
      </c>
      <c r="AN38" s="690">
        <f t="shared" si="5"/>
        <v>113.96</v>
      </c>
      <c r="AO38" s="690">
        <f t="shared" si="5"/>
        <v>117.67999999999999</v>
      </c>
      <c r="AP38" s="690">
        <f t="shared" si="5"/>
        <v>121.39999999999999</v>
      </c>
    </row>
    <row r="39" spans="1:42">
      <c r="A39" s="1538"/>
      <c r="B39" s="262">
        <v>1.1000000000000001</v>
      </c>
      <c r="C39" s="314">
        <f>(W39*KFC!$B$29+KFC!$C$29)*KFC!$C$5</f>
        <v>51.92</v>
      </c>
      <c r="D39" s="315">
        <f>(X39*KFC!$B$29+KFC!$C$29)*KFC!$C$5</f>
        <v>55.78</v>
      </c>
      <c r="E39" s="315">
        <f>(Y39*KFC!$B$29+KFC!$C$29)*KFC!$C$5</f>
        <v>59.64</v>
      </c>
      <c r="F39" s="315">
        <f>(Z39*KFC!$B$29+KFC!$C$29)*KFC!$C$5</f>
        <v>63.49</v>
      </c>
      <c r="G39" s="315">
        <f>(AA39*KFC!$B$29+KFC!$C$29)*KFC!$C$5</f>
        <v>67.22</v>
      </c>
      <c r="H39" s="315">
        <f>(AB39*KFC!$B$29+KFC!$C$29)*KFC!$C$5</f>
        <v>71.2</v>
      </c>
      <c r="I39" s="315">
        <f>(AC39*KFC!$B$29+KFC!$C$29)*KFC!$C$5</f>
        <v>74.930000000000007</v>
      </c>
      <c r="J39" s="315">
        <f>(AD39*KFC!$B$29+KFC!$C$29)*KFC!$C$5</f>
        <v>78.92</v>
      </c>
      <c r="K39" s="315">
        <f>(AE39*KFC!$B$29+KFC!$C$29)*KFC!$C$5</f>
        <v>82.65</v>
      </c>
      <c r="L39" s="315">
        <f>(AF39*KFC!$B$29+KFC!$C$29)*KFC!$C$5</f>
        <v>86.63</v>
      </c>
      <c r="M39" s="315">
        <f>(AG39*KFC!$B$29+KFC!$C$29)*KFC!$C$5</f>
        <v>90.35</v>
      </c>
      <c r="N39" s="315">
        <f>(AH39*KFC!$B$29+KFC!$C$29)*KFC!$C$5</f>
        <v>94.33</v>
      </c>
      <c r="O39" s="315">
        <f>(AI39*KFC!$B$29+KFC!$C$29)*KFC!$C$5</f>
        <v>98.32</v>
      </c>
      <c r="P39" s="315">
        <f>(AJ39*KFC!$B$29+KFC!$C$29)*KFC!$C$5</f>
        <v>102.30999999999999</v>
      </c>
      <c r="Q39" s="315">
        <f>(AK39*KFC!$B$29+KFC!$C$29)*KFC!$C$5</f>
        <v>106.29999999999998</v>
      </c>
      <c r="R39" s="315">
        <f>(AL39*KFC!$B$29+KFC!$C$29)*KFC!$C$5</f>
        <v>110.28999999999998</v>
      </c>
      <c r="S39" s="315">
        <f>(AM39*KFC!$B$29+KFC!$C$29)*KFC!$C$5</f>
        <v>114.27999999999997</v>
      </c>
      <c r="T39" s="315">
        <f>(AN39*KFC!$B$29+KFC!$C$29)*KFC!$C$5</f>
        <v>118.26999999999997</v>
      </c>
      <c r="V39" s="851">
        <v>1.1000000000000001</v>
      </c>
      <c r="W39" s="847">
        <v>51.92</v>
      </c>
      <c r="X39" s="847">
        <v>55.78</v>
      </c>
      <c r="Y39" s="847">
        <v>59.64</v>
      </c>
      <c r="Z39" s="847">
        <v>63.49</v>
      </c>
      <c r="AA39" s="847">
        <v>67.22</v>
      </c>
      <c r="AB39" s="847">
        <v>71.2</v>
      </c>
      <c r="AC39" s="847">
        <v>74.930000000000007</v>
      </c>
      <c r="AD39" s="847">
        <v>78.92</v>
      </c>
      <c r="AE39" s="847">
        <v>82.65</v>
      </c>
      <c r="AF39" s="847">
        <v>86.63</v>
      </c>
      <c r="AG39" s="847">
        <v>90.35</v>
      </c>
      <c r="AH39" s="847">
        <v>94.33</v>
      </c>
      <c r="AI39" s="848">
        <v>98.32</v>
      </c>
      <c r="AJ39" s="690">
        <f t="shared" si="4"/>
        <v>102.30999999999999</v>
      </c>
      <c r="AK39" s="690">
        <f t="shared" si="5"/>
        <v>106.29999999999998</v>
      </c>
      <c r="AL39" s="690">
        <f t="shared" si="5"/>
        <v>110.28999999999998</v>
      </c>
      <c r="AM39" s="690">
        <f t="shared" si="5"/>
        <v>114.27999999999997</v>
      </c>
      <c r="AN39" s="690">
        <f t="shared" si="5"/>
        <v>118.26999999999997</v>
      </c>
      <c r="AO39" s="690">
        <f t="shared" si="5"/>
        <v>122.25999999999996</v>
      </c>
      <c r="AP39" s="690">
        <f t="shared" si="5"/>
        <v>126.24999999999996</v>
      </c>
    </row>
    <row r="40" spans="1:42">
      <c r="A40" s="1538"/>
      <c r="B40" s="262">
        <v>1.2</v>
      </c>
      <c r="C40" s="314">
        <f>(W40*KFC!$B$29+KFC!$C$29)*KFC!$C$5</f>
        <v>53.85</v>
      </c>
      <c r="D40" s="315">
        <f>(X40*KFC!$B$29+KFC!$C$29)*KFC!$C$5</f>
        <v>57.83</v>
      </c>
      <c r="E40" s="315">
        <f>(Y40*KFC!$B$29+KFC!$C$29)*KFC!$C$5</f>
        <v>61.81</v>
      </c>
      <c r="F40" s="315">
        <f>(Z40*KFC!$B$29+KFC!$C$29)*KFC!$C$5</f>
        <v>65.67</v>
      </c>
      <c r="G40" s="315">
        <f>(AA40*KFC!$B$29+KFC!$C$29)*KFC!$C$5</f>
        <v>69.66</v>
      </c>
      <c r="H40" s="315">
        <f>(AB40*KFC!$B$29+KFC!$C$29)*KFC!$C$5</f>
        <v>73.510000000000005</v>
      </c>
      <c r="I40" s="315">
        <f>(AC40*KFC!$B$29+KFC!$C$29)*KFC!$C$5</f>
        <v>77.36</v>
      </c>
      <c r="J40" s="315">
        <f>(AD40*KFC!$B$29+KFC!$C$29)*KFC!$C$5</f>
        <v>81.22</v>
      </c>
      <c r="K40" s="315">
        <f>(AE40*KFC!$B$29+KFC!$C$29)*KFC!$C$5</f>
        <v>85.22</v>
      </c>
      <c r="L40" s="315">
        <f>(AF40*KFC!$B$29+KFC!$C$29)*KFC!$C$5</f>
        <v>89.07</v>
      </c>
      <c r="M40" s="315">
        <f>(AG40*KFC!$B$29+KFC!$C$29)*KFC!$C$5</f>
        <v>93.05</v>
      </c>
      <c r="N40" s="315">
        <f>(AH40*KFC!$B$29+KFC!$C$29)*KFC!$C$5</f>
        <v>97.03</v>
      </c>
      <c r="O40" s="315">
        <f>(AI40*KFC!$B$29+KFC!$C$29)*KFC!$C$5</f>
        <v>101.01</v>
      </c>
      <c r="P40" s="315">
        <f>(AJ40*KFC!$B$29+KFC!$C$29)*KFC!$C$5</f>
        <v>104.99000000000001</v>
      </c>
      <c r="Q40" s="315">
        <f>(AK40*KFC!$B$29+KFC!$C$29)*KFC!$C$5</f>
        <v>108.97000000000001</v>
      </c>
      <c r="R40" s="315">
        <f>(AL40*KFC!$B$29+KFC!$C$29)*KFC!$C$5</f>
        <v>112.95000000000002</v>
      </c>
      <c r="S40" s="315">
        <f>(AM40*KFC!$B$29+KFC!$C$29)*KFC!$C$5</f>
        <v>116.93000000000002</v>
      </c>
      <c r="T40" s="315">
        <f>(AN40*KFC!$B$29+KFC!$C$29)*KFC!$C$5</f>
        <v>120.91000000000003</v>
      </c>
      <c r="V40" s="851">
        <v>1.2</v>
      </c>
      <c r="W40" s="847">
        <v>53.85</v>
      </c>
      <c r="X40" s="847">
        <v>57.83</v>
      </c>
      <c r="Y40" s="847">
        <v>61.81</v>
      </c>
      <c r="Z40" s="847">
        <v>65.67</v>
      </c>
      <c r="AA40" s="847">
        <v>69.66</v>
      </c>
      <c r="AB40" s="847">
        <v>73.510000000000005</v>
      </c>
      <c r="AC40" s="847">
        <v>77.36</v>
      </c>
      <c r="AD40" s="847">
        <v>81.22</v>
      </c>
      <c r="AE40" s="847">
        <v>85.22</v>
      </c>
      <c r="AF40" s="847">
        <v>89.07</v>
      </c>
      <c r="AG40" s="847">
        <v>93.05</v>
      </c>
      <c r="AH40" s="847">
        <v>97.03</v>
      </c>
      <c r="AI40" s="848">
        <v>101.01</v>
      </c>
      <c r="AJ40" s="690">
        <f t="shared" si="4"/>
        <v>104.99000000000001</v>
      </c>
      <c r="AK40" s="690">
        <f t="shared" si="5"/>
        <v>108.97000000000001</v>
      </c>
      <c r="AL40" s="690">
        <f t="shared" si="5"/>
        <v>112.95000000000002</v>
      </c>
      <c r="AM40" s="690">
        <f t="shared" si="5"/>
        <v>116.93000000000002</v>
      </c>
      <c r="AN40" s="690">
        <f t="shared" si="5"/>
        <v>120.91000000000003</v>
      </c>
      <c r="AO40" s="690">
        <f t="shared" si="5"/>
        <v>124.89000000000003</v>
      </c>
      <c r="AP40" s="690">
        <f t="shared" si="5"/>
        <v>128.87000000000003</v>
      </c>
    </row>
    <row r="41" spans="1:42">
      <c r="A41" s="1538"/>
      <c r="B41" s="262">
        <v>1.3</v>
      </c>
      <c r="C41" s="314">
        <f>(W41*KFC!$B$29+KFC!$C$29)*KFC!$C$5</f>
        <v>56.15</v>
      </c>
      <c r="D41" s="315">
        <f>(X41*KFC!$B$29+KFC!$C$29)*KFC!$C$5</f>
        <v>60.02</v>
      </c>
      <c r="E41" s="315">
        <f>(Y41*KFC!$B$29+KFC!$C$29)*KFC!$C$5</f>
        <v>64.010000000000005</v>
      </c>
      <c r="F41" s="315">
        <f>(Z41*KFC!$B$29+KFC!$C$29)*KFC!$C$5</f>
        <v>67.86</v>
      </c>
      <c r="G41" s="315">
        <f>(AA41*KFC!$B$29+KFC!$C$29)*KFC!$C$5</f>
        <v>71.84</v>
      </c>
      <c r="H41" s="315">
        <f>(AB41*KFC!$B$29+KFC!$C$29)*KFC!$C$5</f>
        <v>75.709999999999994</v>
      </c>
      <c r="I41" s="315">
        <f>(AC41*KFC!$B$29+KFC!$C$29)*KFC!$C$5</f>
        <v>79.81</v>
      </c>
      <c r="J41" s="315">
        <f>(AD41*KFC!$B$29+KFC!$C$29)*KFC!$C$5</f>
        <v>83.79</v>
      </c>
      <c r="K41" s="315">
        <f>(AE41*KFC!$B$29+KFC!$C$29)*KFC!$C$5</f>
        <v>87.64</v>
      </c>
      <c r="L41" s="315">
        <f>(AF41*KFC!$B$29+KFC!$C$29)*KFC!$C$5</f>
        <v>91.64</v>
      </c>
      <c r="M41" s="315">
        <f>(AG41*KFC!$B$29+KFC!$C$29)*KFC!$C$5</f>
        <v>95.62</v>
      </c>
      <c r="N41" s="315">
        <f>(AH41*KFC!$B$29+KFC!$C$29)*KFC!$C$5</f>
        <v>99.48</v>
      </c>
      <c r="O41" s="315">
        <f>(AI41*KFC!$B$29+KFC!$C$29)*KFC!$C$5</f>
        <v>103.33</v>
      </c>
      <c r="P41" s="315">
        <f>(AJ41*KFC!$B$29+KFC!$C$29)*KFC!$C$5</f>
        <v>107.17999999999999</v>
      </c>
      <c r="Q41" s="315">
        <f>(AK41*KFC!$B$29+KFC!$C$29)*KFC!$C$5</f>
        <v>111.02999999999999</v>
      </c>
      <c r="R41" s="315">
        <f>(AL41*KFC!$B$29+KFC!$C$29)*KFC!$C$5</f>
        <v>114.87999999999998</v>
      </c>
      <c r="S41" s="315">
        <f>(AM41*KFC!$B$29+KFC!$C$29)*KFC!$C$5</f>
        <v>118.72999999999998</v>
      </c>
      <c r="T41" s="315">
        <f>(AN41*KFC!$B$29+KFC!$C$29)*KFC!$C$5</f>
        <v>122.57999999999997</v>
      </c>
      <c r="V41" s="851">
        <v>1.3</v>
      </c>
      <c r="W41" s="847">
        <v>56.15</v>
      </c>
      <c r="X41" s="847">
        <v>60.02</v>
      </c>
      <c r="Y41" s="847">
        <v>64.010000000000005</v>
      </c>
      <c r="Z41" s="847">
        <v>67.86</v>
      </c>
      <c r="AA41" s="847">
        <v>71.84</v>
      </c>
      <c r="AB41" s="847">
        <v>75.709999999999994</v>
      </c>
      <c r="AC41" s="847">
        <v>79.81</v>
      </c>
      <c r="AD41" s="847">
        <v>83.79</v>
      </c>
      <c r="AE41" s="847">
        <v>87.64</v>
      </c>
      <c r="AF41" s="847">
        <v>91.64</v>
      </c>
      <c r="AG41" s="847">
        <v>95.62</v>
      </c>
      <c r="AH41" s="847">
        <v>99.48</v>
      </c>
      <c r="AI41" s="848">
        <v>103.33</v>
      </c>
      <c r="AJ41" s="690">
        <f t="shared" si="4"/>
        <v>107.17999999999999</v>
      </c>
      <c r="AK41" s="690">
        <f t="shared" si="5"/>
        <v>111.02999999999999</v>
      </c>
      <c r="AL41" s="690">
        <f t="shared" si="5"/>
        <v>114.87999999999998</v>
      </c>
      <c r="AM41" s="690">
        <f t="shared" si="5"/>
        <v>118.72999999999998</v>
      </c>
      <c r="AN41" s="690">
        <f t="shared" si="5"/>
        <v>122.57999999999997</v>
      </c>
      <c r="AO41" s="690">
        <f t="shared" si="5"/>
        <v>126.42999999999996</v>
      </c>
      <c r="AP41" s="690">
        <f t="shared" si="5"/>
        <v>130.27999999999997</v>
      </c>
    </row>
    <row r="42" spans="1:42">
      <c r="A42" s="1538"/>
      <c r="B42" s="262">
        <v>1.4</v>
      </c>
      <c r="C42" s="314">
        <f>(W42*KFC!$B$29+KFC!$C$29)*KFC!$C$5</f>
        <v>58.22</v>
      </c>
      <c r="D42" s="315">
        <f>(X42*KFC!$B$29+KFC!$C$29)*KFC!$C$5</f>
        <v>62.08</v>
      </c>
      <c r="E42" s="315">
        <f>(Y42*KFC!$B$29+KFC!$C$29)*KFC!$C$5</f>
        <v>66.19</v>
      </c>
      <c r="F42" s="315">
        <f>(Z42*KFC!$B$29+KFC!$C$29)*KFC!$C$5</f>
        <v>70.05</v>
      </c>
      <c r="G42" s="315">
        <f>(AA42*KFC!$B$29+KFC!$C$29)*KFC!$C$5</f>
        <v>74.150000000000006</v>
      </c>
      <c r="H42" s="315">
        <f>(AB42*KFC!$B$29+KFC!$C$29)*KFC!$C$5</f>
        <v>78.14</v>
      </c>
      <c r="I42" s="315">
        <f>(AC42*KFC!$B$29+KFC!$C$29)*KFC!$C$5</f>
        <v>82.26</v>
      </c>
      <c r="J42" s="315">
        <f>(AD42*KFC!$B$29+KFC!$C$29)*KFC!$C$5</f>
        <v>86.11</v>
      </c>
      <c r="K42" s="315">
        <f>(AE42*KFC!$B$29+KFC!$C$29)*KFC!$C$5</f>
        <v>90.22</v>
      </c>
      <c r="L42" s="315">
        <f>(AF42*KFC!$B$29+KFC!$C$29)*KFC!$C$5</f>
        <v>94.21</v>
      </c>
      <c r="M42" s="315">
        <f>(AG42*KFC!$B$29+KFC!$C$29)*KFC!$C$5</f>
        <v>98.2</v>
      </c>
      <c r="N42" s="315">
        <f>(AH42*KFC!$B$29+KFC!$C$29)*KFC!$C$5</f>
        <v>102.18</v>
      </c>
      <c r="O42" s="315">
        <f>(AI42*KFC!$B$29+KFC!$C$29)*KFC!$C$5</f>
        <v>106.16</v>
      </c>
      <c r="P42" s="315">
        <f>(AJ42*KFC!$B$29+KFC!$C$29)*KFC!$C$5</f>
        <v>110.13999999999999</v>
      </c>
      <c r="Q42" s="315">
        <f>(AK42*KFC!$B$29+KFC!$C$29)*KFC!$C$5</f>
        <v>114.11999999999998</v>
      </c>
      <c r="R42" s="315">
        <f>(AL42*KFC!$B$29+KFC!$C$29)*KFC!$C$5</f>
        <v>118.09999999999997</v>
      </c>
      <c r="S42" s="315">
        <f>(AM42*KFC!$B$29+KFC!$C$29)*KFC!$C$5</f>
        <v>122.07999999999996</v>
      </c>
      <c r="T42" s="315">
        <f>(AN42*KFC!$B$29+KFC!$C$29)*KFC!$C$5</f>
        <v>126.05999999999995</v>
      </c>
      <c r="V42" s="851">
        <v>1.4</v>
      </c>
      <c r="W42" s="847">
        <v>58.22</v>
      </c>
      <c r="X42" s="847">
        <v>62.08</v>
      </c>
      <c r="Y42" s="847">
        <v>66.19</v>
      </c>
      <c r="Z42" s="847">
        <v>70.05</v>
      </c>
      <c r="AA42" s="847">
        <v>74.150000000000006</v>
      </c>
      <c r="AB42" s="847">
        <v>78.14</v>
      </c>
      <c r="AC42" s="847">
        <v>82.26</v>
      </c>
      <c r="AD42" s="847">
        <v>86.11</v>
      </c>
      <c r="AE42" s="847">
        <v>90.22</v>
      </c>
      <c r="AF42" s="847">
        <v>94.21</v>
      </c>
      <c r="AG42" s="847">
        <v>98.2</v>
      </c>
      <c r="AH42" s="847">
        <v>102.18</v>
      </c>
      <c r="AI42" s="848">
        <v>106.16</v>
      </c>
      <c r="AJ42" s="690">
        <f t="shared" si="4"/>
        <v>110.13999999999999</v>
      </c>
      <c r="AK42" s="690">
        <f t="shared" si="5"/>
        <v>114.11999999999998</v>
      </c>
      <c r="AL42" s="690">
        <f t="shared" si="5"/>
        <v>118.09999999999997</v>
      </c>
      <c r="AM42" s="690">
        <f t="shared" si="5"/>
        <v>122.07999999999996</v>
      </c>
      <c r="AN42" s="690">
        <f t="shared" si="5"/>
        <v>126.05999999999995</v>
      </c>
      <c r="AO42" s="690">
        <f t="shared" si="5"/>
        <v>130.03999999999994</v>
      </c>
      <c r="AP42" s="690">
        <f t="shared" si="5"/>
        <v>134.01999999999992</v>
      </c>
    </row>
    <row r="43" spans="1:42">
      <c r="A43" s="1538"/>
      <c r="B43" s="262">
        <v>1.5</v>
      </c>
      <c r="C43" s="314">
        <f>(W43*KFC!$B$29+KFC!$C$29)*KFC!$C$5</f>
        <v>60.15</v>
      </c>
      <c r="D43" s="315">
        <f>(X43*KFC!$B$29+KFC!$C$29)*KFC!$C$5</f>
        <v>64.260000000000005</v>
      </c>
      <c r="E43" s="315">
        <f>(Y43*KFC!$B$29+KFC!$C$29)*KFC!$C$5</f>
        <v>68.37</v>
      </c>
      <c r="F43" s="315">
        <f>(Z43*KFC!$B$29+KFC!$C$29)*KFC!$C$5</f>
        <v>72.489999999999995</v>
      </c>
      <c r="G43" s="315">
        <f>(AA43*KFC!$B$29+KFC!$C$29)*KFC!$C$5</f>
        <v>76.349999999999994</v>
      </c>
      <c r="H43" s="315">
        <f>(AB43*KFC!$B$29+KFC!$C$29)*KFC!$C$5</f>
        <v>80.45</v>
      </c>
      <c r="I43" s="315">
        <f>(AC43*KFC!$B$29+KFC!$C$29)*KFC!$C$5</f>
        <v>84.57</v>
      </c>
      <c r="J43" s="315">
        <f>(AD43*KFC!$B$29+KFC!$C$29)*KFC!$C$5</f>
        <v>88.68</v>
      </c>
      <c r="K43" s="315">
        <f>(AE43*KFC!$B$29+KFC!$C$29)*KFC!$C$5</f>
        <v>92.54</v>
      </c>
      <c r="L43" s="315">
        <f>(AF43*KFC!$B$29+KFC!$C$29)*KFC!$C$5</f>
        <v>96.64</v>
      </c>
      <c r="M43" s="315">
        <f>(AG43*KFC!$B$29+KFC!$C$29)*KFC!$C$5</f>
        <v>100.76</v>
      </c>
      <c r="N43" s="315">
        <f>(AH43*KFC!$B$29+KFC!$C$29)*KFC!$C$5</f>
        <v>104.87</v>
      </c>
      <c r="O43" s="315">
        <f>(AI43*KFC!$B$29+KFC!$C$29)*KFC!$C$5</f>
        <v>108.99</v>
      </c>
      <c r="P43" s="315">
        <f>(AJ43*KFC!$B$29+KFC!$C$29)*KFC!$C$5</f>
        <v>113.10999999999999</v>
      </c>
      <c r="Q43" s="315">
        <f>(AK43*KFC!$B$29+KFC!$C$29)*KFC!$C$5</f>
        <v>117.22999999999998</v>
      </c>
      <c r="R43" s="315">
        <f>(AL43*KFC!$B$29+KFC!$C$29)*KFC!$C$5</f>
        <v>121.34999999999997</v>
      </c>
      <c r="S43" s="315">
        <f>(AM43*KFC!$B$29+KFC!$C$29)*KFC!$C$5</f>
        <v>125.46999999999996</v>
      </c>
      <c r="T43" s="315">
        <f>(AN43*KFC!$B$29+KFC!$C$29)*KFC!$C$5</f>
        <v>129.58999999999995</v>
      </c>
      <c r="V43" s="851">
        <v>1.5</v>
      </c>
      <c r="W43" s="847">
        <v>60.15</v>
      </c>
      <c r="X43" s="847">
        <v>64.260000000000005</v>
      </c>
      <c r="Y43" s="847">
        <v>68.37</v>
      </c>
      <c r="Z43" s="847">
        <v>72.489999999999995</v>
      </c>
      <c r="AA43" s="847">
        <v>76.349999999999994</v>
      </c>
      <c r="AB43" s="847">
        <v>80.45</v>
      </c>
      <c r="AC43" s="847">
        <v>84.57</v>
      </c>
      <c r="AD43" s="847">
        <v>88.68</v>
      </c>
      <c r="AE43" s="847">
        <v>92.54</v>
      </c>
      <c r="AF43" s="847">
        <v>96.64</v>
      </c>
      <c r="AG43" s="847">
        <v>100.76</v>
      </c>
      <c r="AH43" s="847">
        <v>104.87</v>
      </c>
      <c r="AI43" s="848">
        <v>108.99</v>
      </c>
      <c r="AJ43" s="690">
        <f t="shared" si="4"/>
        <v>113.10999999999999</v>
      </c>
      <c r="AK43" s="690">
        <f t="shared" si="5"/>
        <v>117.22999999999998</v>
      </c>
      <c r="AL43" s="690">
        <f t="shared" si="5"/>
        <v>121.34999999999997</v>
      </c>
      <c r="AM43" s="690">
        <f t="shared" si="5"/>
        <v>125.46999999999996</v>
      </c>
      <c r="AN43" s="690">
        <f t="shared" si="5"/>
        <v>129.58999999999995</v>
      </c>
      <c r="AO43" s="690">
        <f t="shared" si="5"/>
        <v>133.70999999999992</v>
      </c>
      <c r="AP43" s="690">
        <f t="shared" si="5"/>
        <v>137.8299999999999</v>
      </c>
    </row>
    <row r="44" spans="1:42">
      <c r="A44" s="1538"/>
      <c r="B44" s="262">
        <v>1.6</v>
      </c>
      <c r="C44" s="314">
        <f>(W44*KFC!$B$29+KFC!$C$29)*KFC!$C$5</f>
        <v>62.45</v>
      </c>
      <c r="D44" s="315">
        <f>(X44*KFC!$B$29+KFC!$C$29)*KFC!$C$5</f>
        <v>66.44</v>
      </c>
      <c r="E44" s="315">
        <f>(Y44*KFC!$B$29+KFC!$C$29)*KFC!$C$5</f>
        <v>70.56</v>
      </c>
      <c r="F44" s="315">
        <f>(Z44*KFC!$B$29+KFC!$C$29)*KFC!$C$5</f>
        <v>74.67</v>
      </c>
      <c r="G44" s="315">
        <f>(AA44*KFC!$B$29+KFC!$C$29)*KFC!$C$5</f>
        <v>78.790000000000006</v>
      </c>
      <c r="H44" s="315">
        <f>(AB44*KFC!$B$29+KFC!$C$29)*KFC!$C$5</f>
        <v>82.9</v>
      </c>
      <c r="I44" s="315">
        <f>(AC44*KFC!$B$29+KFC!$C$29)*KFC!$C$5</f>
        <v>86.88</v>
      </c>
      <c r="J44" s="315">
        <f>(AD44*KFC!$B$29+KFC!$C$29)*KFC!$C$5</f>
        <v>90.99</v>
      </c>
      <c r="K44" s="315">
        <f>(AE44*KFC!$B$29+KFC!$C$29)*KFC!$C$5</f>
        <v>95.11</v>
      </c>
      <c r="L44" s="315">
        <f>(AF44*KFC!$B$29+KFC!$C$29)*KFC!$C$5</f>
        <v>99.21</v>
      </c>
      <c r="M44" s="315">
        <f>(AG44*KFC!$B$29+KFC!$C$29)*KFC!$C$5</f>
        <v>103.33</v>
      </c>
      <c r="N44" s="315">
        <f>(AH44*KFC!$B$29+KFC!$C$29)*KFC!$C$5</f>
        <v>107.31</v>
      </c>
      <c r="O44" s="315">
        <f>(AI44*KFC!$B$29+KFC!$C$29)*KFC!$C$5</f>
        <v>111.3</v>
      </c>
      <c r="P44" s="315">
        <f>(AJ44*KFC!$B$29+KFC!$C$29)*KFC!$C$5</f>
        <v>115.28999999999999</v>
      </c>
      <c r="Q44" s="315">
        <f>(AK44*KFC!$B$29+KFC!$C$29)*KFC!$C$5</f>
        <v>119.27999999999999</v>
      </c>
      <c r="R44" s="315">
        <f>(AL44*KFC!$B$29+KFC!$C$29)*KFC!$C$5</f>
        <v>123.26999999999998</v>
      </c>
      <c r="S44" s="315">
        <f>(AM44*KFC!$B$29+KFC!$C$29)*KFC!$C$5</f>
        <v>127.25999999999998</v>
      </c>
      <c r="T44" s="315">
        <f>(AN44*KFC!$B$29+KFC!$C$29)*KFC!$C$5</f>
        <v>131.24999999999997</v>
      </c>
      <c r="V44" s="851">
        <v>1.6</v>
      </c>
      <c r="W44" s="847">
        <v>62.45</v>
      </c>
      <c r="X44" s="847">
        <v>66.44</v>
      </c>
      <c r="Y44" s="847">
        <v>70.56</v>
      </c>
      <c r="Z44" s="847">
        <v>74.67</v>
      </c>
      <c r="AA44" s="847">
        <v>78.790000000000006</v>
      </c>
      <c r="AB44" s="847">
        <v>82.9</v>
      </c>
      <c r="AC44" s="847">
        <v>86.88</v>
      </c>
      <c r="AD44" s="847">
        <v>90.99</v>
      </c>
      <c r="AE44" s="847">
        <v>95.11</v>
      </c>
      <c r="AF44" s="847">
        <v>99.21</v>
      </c>
      <c r="AG44" s="847">
        <v>103.33</v>
      </c>
      <c r="AH44" s="847">
        <v>107.31</v>
      </c>
      <c r="AI44" s="848">
        <v>111.3</v>
      </c>
      <c r="AJ44" s="690">
        <f t="shared" si="4"/>
        <v>115.28999999999999</v>
      </c>
      <c r="AK44" s="690">
        <f t="shared" si="5"/>
        <v>119.27999999999999</v>
      </c>
      <c r="AL44" s="690">
        <f t="shared" si="5"/>
        <v>123.26999999999998</v>
      </c>
      <c r="AM44" s="690">
        <f t="shared" si="5"/>
        <v>127.25999999999998</v>
      </c>
      <c r="AN44" s="690">
        <f t="shared" si="5"/>
        <v>131.24999999999997</v>
      </c>
      <c r="AO44" s="690">
        <f t="shared" si="5"/>
        <v>135.23999999999995</v>
      </c>
      <c r="AP44" s="690">
        <f t="shared" si="5"/>
        <v>139.22999999999993</v>
      </c>
    </row>
    <row r="45" spans="1:42">
      <c r="A45" s="1538"/>
      <c r="B45" s="262">
        <v>1.7</v>
      </c>
      <c r="C45" s="314">
        <f>(W45*KFC!$B$29+KFC!$C$29)*KFC!$C$5</f>
        <v>64.39</v>
      </c>
      <c r="D45" s="315">
        <f>(X45*KFC!$B$29+KFC!$C$29)*KFC!$C$5</f>
        <v>68.5</v>
      </c>
      <c r="E45" s="315">
        <f>(Y45*KFC!$B$29+KFC!$C$29)*KFC!$C$5</f>
        <v>72.739999999999995</v>
      </c>
      <c r="F45" s="315">
        <f>(Z45*KFC!$B$29+KFC!$C$29)*KFC!$C$5</f>
        <v>76.86</v>
      </c>
      <c r="G45" s="315">
        <f>(AA45*KFC!$B$29+KFC!$C$29)*KFC!$C$5</f>
        <v>80.97</v>
      </c>
      <c r="H45" s="315">
        <f>(AB45*KFC!$B$29+KFC!$C$29)*KFC!$C$5</f>
        <v>85.22</v>
      </c>
      <c r="I45" s="315">
        <f>(AC45*KFC!$B$29+KFC!$C$29)*KFC!$C$5</f>
        <v>89.32</v>
      </c>
      <c r="J45" s="315">
        <f>(AD45*KFC!$B$29+KFC!$C$29)*KFC!$C$5</f>
        <v>93.57</v>
      </c>
      <c r="K45" s="315">
        <f>(AE45*KFC!$B$29+KFC!$C$29)*KFC!$C$5</f>
        <v>97.55</v>
      </c>
      <c r="L45" s="315">
        <f>(AF45*KFC!$B$29+KFC!$C$29)*KFC!$C$5</f>
        <v>101.66</v>
      </c>
      <c r="M45" s="315">
        <f>(AG45*KFC!$B$29+KFC!$C$29)*KFC!$C$5</f>
        <v>105.9</v>
      </c>
      <c r="N45" s="315">
        <f>(AH45*KFC!$B$29+KFC!$C$29)*KFC!$C$5</f>
        <v>110.01</v>
      </c>
      <c r="O45" s="315">
        <f>(AI45*KFC!$B$29+KFC!$C$29)*KFC!$C$5</f>
        <v>114.14</v>
      </c>
      <c r="P45" s="315">
        <f>(AJ45*KFC!$B$29+KFC!$C$29)*KFC!$C$5</f>
        <v>118.27</v>
      </c>
      <c r="Q45" s="315">
        <f>(AK45*KFC!$B$29+KFC!$C$29)*KFC!$C$5</f>
        <v>122.39999999999999</v>
      </c>
      <c r="R45" s="315">
        <f>(AL45*KFC!$B$29+KFC!$C$29)*KFC!$C$5</f>
        <v>126.52999999999999</v>
      </c>
      <c r="S45" s="315">
        <f>(AM45*KFC!$B$29+KFC!$C$29)*KFC!$C$5</f>
        <v>130.65999999999997</v>
      </c>
      <c r="T45" s="315">
        <f>(AN45*KFC!$B$29+KFC!$C$29)*KFC!$C$5</f>
        <v>134.78999999999996</v>
      </c>
      <c r="V45" s="851">
        <v>1.7</v>
      </c>
      <c r="W45" s="847">
        <v>64.39</v>
      </c>
      <c r="X45" s="847">
        <v>68.5</v>
      </c>
      <c r="Y45" s="847">
        <v>72.739999999999995</v>
      </c>
      <c r="Z45" s="847">
        <v>76.86</v>
      </c>
      <c r="AA45" s="847">
        <v>80.97</v>
      </c>
      <c r="AB45" s="847">
        <v>85.22</v>
      </c>
      <c r="AC45" s="847">
        <v>89.32</v>
      </c>
      <c r="AD45" s="847">
        <v>93.57</v>
      </c>
      <c r="AE45" s="847">
        <v>97.55</v>
      </c>
      <c r="AF45" s="847">
        <v>101.66</v>
      </c>
      <c r="AG45" s="847">
        <v>105.9</v>
      </c>
      <c r="AH45" s="847">
        <v>110.01</v>
      </c>
      <c r="AI45" s="848">
        <v>114.14</v>
      </c>
      <c r="AJ45" s="690">
        <f t="shared" si="4"/>
        <v>118.27</v>
      </c>
      <c r="AK45" s="690">
        <f t="shared" si="5"/>
        <v>122.39999999999999</v>
      </c>
      <c r="AL45" s="690">
        <f t="shared" si="5"/>
        <v>126.52999999999999</v>
      </c>
      <c r="AM45" s="690">
        <f t="shared" si="5"/>
        <v>130.65999999999997</v>
      </c>
      <c r="AN45" s="690">
        <f t="shared" si="5"/>
        <v>134.78999999999996</v>
      </c>
      <c r="AO45" s="690">
        <f t="shared" si="5"/>
        <v>138.91999999999996</v>
      </c>
      <c r="AP45" s="690">
        <f t="shared" si="5"/>
        <v>143.04999999999995</v>
      </c>
    </row>
    <row r="46" spans="1:42">
      <c r="A46" s="1538"/>
      <c r="B46" s="262">
        <v>1.8</v>
      </c>
      <c r="C46" s="314">
        <f>(W46*KFC!$B$29+KFC!$C$29)*KFC!$C$5</f>
        <v>66.44</v>
      </c>
      <c r="D46" s="315">
        <f>(X46*KFC!$B$29+KFC!$C$29)*KFC!$C$5</f>
        <v>70.69</v>
      </c>
      <c r="E46" s="315">
        <f>(Y46*KFC!$B$29+KFC!$C$29)*KFC!$C$5</f>
        <v>74.930000000000007</v>
      </c>
      <c r="F46" s="315">
        <f>(Z46*KFC!$B$29+KFC!$C$29)*KFC!$C$5</f>
        <v>79.040000000000006</v>
      </c>
      <c r="G46" s="315">
        <f>(AA46*KFC!$B$29+KFC!$C$29)*KFC!$C$5</f>
        <v>83.29</v>
      </c>
      <c r="H46" s="315">
        <f>(AB46*KFC!$B$29+KFC!$C$29)*KFC!$C$5</f>
        <v>87.52</v>
      </c>
      <c r="I46" s="315">
        <f>(AC46*KFC!$B$29+KFC!$C$29)*KFC!$C$5</f>
        <v>91.64</v>
      </c>
      <c r="J46" s="315">
        <f>(AD46*KFC!$B$29+KFC!$C$29)*KFC!$C$5</f>
        <v>95.88</v>
      </c>
      <c r="K46" s="315">
        <f>(AE46*KFC!$B$29+KFC!$C$29)*KFC!$C$5</f>
        <v>100.12</v>
      </c>
      <c r="L46" s="315">
        <f>(AF46*KFC!$B$29+KFC!$C$29)*KFC!$C$5</f>
        <v>104.22</v>
      </c>
      <c r="M46" s="315">
        <f>(AG46*KFC!$B$29+KFC!$C$29)*KFC!$C$5</f>
        <v>108.48</v>
      </c>
      <c r="N46" s="315">
        <f>(AH46*KFC!$B$29+KFC!$C$29)*KFC!$C$5</f>
        <v>112.71</v>
      </c>
      <c r="O46" s="315">
        <f>(AI46*KFC!$B$29+KFC!$C$29)*KFC!$C$5</f>
        <v>116.95</v>
      </c>
      <c r="P46" s="315">
        <f>(AJ46*KFC!$B$29+KFC!$C$29)*KFC!$C$5</f>
        <v>121.19000000000001</v>
      </c>
      <c r="Q46" s="315">
        <f>(AK46*KFC!$B$29+KFC!$C$29)*KFC!$C$5</f>
        <v>125.43000000000002</v>
      </c>
      <c r="R46" s="315">
        <f>(AL46*KFC!$B$29+KFC!$C$29)*KFC!$C$5</f>
        <v>129.67000000000002</v>
      </c>
      <c r="S46" s="315">
        <f>(AM46*KFC!$B$29+KFC!$C$29)*KFC!$C$5</f>
        <v>133.91000000000003</v>
      </c>
      <c r="T46" s="315">
        <f>(AN46*KFC!$B$29+KFC!$C$29)*KFC!$C$5</f>
        <v>138.15000000000003</v>
      </c>
      <c r="V46" s="851">
        <v>1.8</v>
      </c>
      <c r="W46" s="847">
        <v>66.44</v>
      </c>
      <c r="X46" s="847">
        <v>70.69</v>
      </c>
      <c r="Y46" s="847">
        <v>74.930000000000007</v>
      </c>
      <c r="Z46" s="847">
        <v>79.040000000000006</v>
      </c>
      <c r="AA46" s="847">
        <v>83.29</v>
      </c>
      <c r="AB46" s="847">
        <v>87.52</v>
      </c>
      <c r="AC46" s="847">
        <v>91.64</v>
      </c>
      <c r="AD46" s="847">
        <v>95.88</v>
      </c>
      <c r="AE46" s="847">
        <v>100.12</v>
      </c>
      <c r="AF46" s="847">
        <v>104.22</v>
      </c>
      <c r="AG46" s="847">
        <v>108.48</v>
      </c>
      <c r="AH46" s="847">
        <v>112.71</v>
      </c>
      <c r="AI46" s="848">
        <v>116.95</v>
      </c>
      <c r="AJ46" s="690">
        <f t="shared" si="4"/>
        <v>121.19000000000001</v>
      </c>
      <c r="AK46" s="690">
        <f t="shared" si="5"/>
        <v>125.43000000000002</v>
      </c>
      <c r="AL46" s="690">
        <f t="shared" si="5"/>
        <v>129.67000000000002</v>
      </c>
      <c r="AM46" s="690">
        <f t="shared" si="5"/>
        <v>133.91000000000003</v>
      </c>
      <c r="AN46" s="690">
        <f t="shared" si="5"/>
        <v>138.15000000000003</v>
      </c>
      <c r="AO46" s="690">
        <f t="shared" si="5"/>
        <v>142.39000000000004</v>
      </c>
      <c r="AP46" s="690">
        <f t="shared" si="5"/>
        <v>146.63000000000005</v>
      </c>
    </row>
    <row r="47" spans="1:42">
      <c r="A47" s="1538"/>
      <c r="B47" s="262">
        <v>1.9</v>
      </c>
      <c r="C47" s="314">
        <f>(W47*KFC!$B$29+KFC!$C$29)*KFC!$C$5</f>
        <v>68.63</v>
      </c>
      <c r="D47" s="315">
        <f>(X47*KFC!$B$29+KFC!$C$29)*KFC!$C$5</f>
        <v>72.87</v>
      </c>
      <c r="E47" s="315">
        <f>(Y47*KFC!$B$29+KFC!$C$29)*KFC!$C$5</f>
        <v>77.11</v>
      </c>
      <c r="F47" s="315">
        <f>(Z47*KFC!$B$29+KFC!$C$29)*KFC!$C$5</f>
        <v>81.48</v>
      </c>
      <c r="G47" s="315">
        <f>(AA47*KFC!$B$29+KFC!$C$29)*KFC!$C$5</f>
        <v>85.72</v>
      </c>
      <c r="H47" s="315">
        <f>(AB47*KFC!$B$29+KFC!$C$29)*KFC!$C$5</f>
        <v>89.96</v>
      </c>
      <c r="I47" s="315">
        <f>(AC47*KFC!$B$29+KFC!$C$29)*KFC!$C$5</f>
        <v>93.94</v>
      </c>
      <c r="J47" s="315">
        <f>(AD47*KFC!$B$29+KFC!$C$29)*KFC!$C$5</f>
        <v>98.2</v>
      </c>
      <c r="K47" s="315">
        <f>(AE47*KFC!$B$29+KFC!$C$29)*KFC!$C$5</f>
        <v>102.43</v>
      </c>
      <c r="L47" s="315">
        <f>(AF47*KFC!$B$29+KFC!$C$29)*KFC!$C$5</f>
        <v>106.67</v>
      </c>
      <c r="M47" s="315">
        <f>(AG47*KFC!$B$29+KFC!$C$29)*KFC!$C$5</f>
        <v>110.92</v>
      </c>
      <c r="N47" s="315">
        <f>(AH47*KFC!$B$29+KFC!$C$29)*KFC!$C$5</f>
        <v>115.15</v>
      </c>
      <c r="O47" s="315">
        <f>(AI47*KFC!$B$29+KFC!$C$29)*KFC!$C$5</f>
        <v>119.4</v>
      </c>
      <c r="P47" s="315">
        <f>(AJ47*KFC!$B$29+KFC!$C$29)*KFC!$C$5</f>
        <v>123.65</v>
      </c>
      <c r="Q47" s="315">
        <f>(AK47*KFC!$B$29+KFC!$C$29)*KFC!$C$5</f>
        <v>127.9</v>
      </c>
      <c r="R47" s="315">
        <f>(AL47*KFC!$B$29+KFC!$C$29)*KFC!$C$5</f>
        <v>132.15</v>
      </c>
      <c r="S47" s="315">
        <f>(AM47*KFC!$B$29+KFC!$C$29)*KFC!$C$5</f>
        <v>136.4</v>
      </c>
      <c r="T47" s="315">
        <f>(AN47*KFC!$B$29+KFC!$C$29)*KFC!$C$5</f>
        <v>140.65</v>
      </c>
      <c r="V47" s="851">
        <v>1.9</v>
      </c>
      <c r="W47" s="847">
        <v>68.63</v>
      </c>
      <c r="X47" s="847">
        <v>72.87</v>
      </c>
      <c r="Y47" s="847">
        <v>77.11</v>
      </c>
      <c r="Z47" s="847">
        <v>81.48</v>
      </c>
      <c r="AA47" s="847">
        <v>85.72</v>
      </c>
      <c r="AB47" s="847">
        <v>89.96</v>
      </c>
      <c r="AC47" s="847">
        <v>93.94</v>
      </c>
      <c r="AD47" s="847">
        <v>98.2</v>
      </c>
      <c r="AE47" s="847">
        <v>102.43</v>
      </c>
      <c r="AF47" s="847">
        <v>106.67</v>
      </c>
      <c r="AG47" s="847">
        <v>110.92</v>
      </c>
      <c r="AH47" s="847">
        <v>115.15</v>
      </c>
      <c r="AI47" s="848">
        <v>119.4</v>
      </c>
      <c r="AJ47" s="690">
        <f t="shared" si="4"/>
        <v>123.65</v>
      </c>
      <c r="AK47" s="690">
        <f t="shared" si="5"/>
        <v>127.9</v>
      </c>
      <c r="AL47" s="690">
        <f t="shared" si="5"/>
        <v>132.15</v>
      </c>
      <c r="AM47" s="690">
        <f t="shared" si="5"/>
        <v>136.4</v>
      </c>
      <c r="AN47" s="690">
        <f t="shared" si="5"/>
        <v>140.65</v>
      </c>
      <c r="AO47" s="690">
        <f t="shared" si="5"/>
        <v>144.9</v>
      </c>
      <c r="AP47" s="690">
        <f t="shared" si="5"/>
        <v>149.15</v>
      </c>
    </row>
    <row r="48" spans="1:42">
      <c r="A48" s="1538"/>
      <c r="B48" s="262">
        <v>2</v>
      </c>
      <c r="C48" s="314">
        <f>(W48*KFC!$B$29+KFC!$C$29)*KFC!$C$5</f>
        <v>70.69</v>
      </c>
      <c r="D48" s="315">
        <f>(X48*KFC!$B$29+KFC!$C$29)*KFC!$C$5</f>
        <v>74.930000000000007</v>
      </c>
      <c r="E48" s="315">
        <f>(Y48*KFC!$B$29+KFC!$C$29)*KFC!$C$5</f>
        <v>79.430000000000007</v>
      </c>
      <c r="F48" s="315">
        <f>(Z48*KFC!$B$29+KFC!$C$29)*KFC!$C$5</f>
        <v>83.66</v>
      </c>
      <c r="G48" s="315">
        <f>(AA48*KFC!$B$29+KFC!$C$29)*KFC!$C$5</f>
        <v>87.91</v>
      </c>
      <c r="H48" s="315">
        <f>(AB48*KFC!$B$29+KFC!$C$29)*KFC!$C$5</f>
        <v>92.15</v>
      </c>
      <c r="I48" s="315">
        <f>(AC48*KFC!$B$29+KFC!$C$29)*KFC!$C$5</f>
        <v>96.52</v>
      </c>
      <c r="J48" s="315">
        <f>(AD48*KFC!$B$29+KFC!$C$29)*KFC!$C$5</f>
        <v>100.76</v>
      </c>
      <c r="K48" s="315">
        <f>(AE48*KFC!$B$29+KFC!$C$29)*KFC!$C$5</f>
        <v>105</v>
      </c>
      <c r="L48" s="315">
        <f>(AF48*KFC!$B$29+KFC!$C$29)*KFC!$C$5</f>
        <v>109.24</v>
      </c>
      <c r="M48" s="315">
        <f>(AG48*KFC!$B$29+KFC!$C$29)*KFC!$C$5</f>
        <v>113.61</v>
      </c>
      <c r="N48" s="315">
        <f>(AH48*KFC!$B$29+KFC!$C$29)*KFC!$C$5</f>
        <v>117.85</v>
      </c>
      <c r="O48" s="315">
        <f>(AI48*KFC!$B$29+KFC!$C$29)*KFC!$C$5</f>
        <v>122.09</v>
      </c>
      <c r="P48" s="315">
        <f>(AJ48*KFC!$B$29+KFC!$C$29)*KFC!$C$5</f>
        <v>126.33000000000001</v>
      </c>
      <c r="Q48" s="315">
        <f>(AK48*KFC!$B$29+KFC!$C$29)*KFC!$C$5</f>
        <v>130.57000000000002</v>
      </c>
      <c r="R48" s="315">
        <f>(AL48*KFC!$B$29+KFC!$C$29)*KFC!$C$5</f>
        <v>134.81000000000003</v>
      </c>
      <c r="S48" s="315">
        <f>(AM48*KFC!$B$29+KFC!$C$29)*KFC!$C$5</f>
        <v>139.05000000000004</v>
      </c>
      <c r="T48" s="315">
        <f>(AN48*KFC!$B$29+KFC!$C$29)*KFC!$C$5</f>
        <v>143.29000000000005</v>
      </c>
      <c r="V48" s="851">
        <v>2</v>
      </c>
      <c r="W48" s="847">
        <v>70.69</v>
      </c>
      <c r="X48" s="847">
        <v>74.930000000000007</v>
      </c>
      <c r="Y48" s="847">
        <v>79.430000000000007</v>
      </c>
      <c r="Z48" s="847">
        <v>83.66</v>
      </c>
      <c r="AA48" s="847">
        <v>87.91</v>
      </c>
      <c r="AB48" s="847">
        <v>92.15</v>
      </c>
      <c r="AC48" s="847">
        <v>96.52</v>
      </c>
      <c r="AD48" s="847">
        <v>100.76</v>
      </c>
      <c r="AE48" s="847">
        <v>105</v>
      </c>
      <c r="AF48" s="847">
        <v>109.24</v>
      </c>
      <c r="AG48" s="847">
        <v>113.61</v>
      </c>
      <c r="AH48" s="847">
        <v>117.85</v>
      </c>
      <c r="AI48" s="848">
        <v>122.09</v>
      </c>
      <c r="AJ48" s="690">
        <f t="shared" si="4"/>
        <v>126.33000000000001</v>
      </c>
      <c r="AK48" s="690">
        <f t="shared" si="5"/>
        <v>130.57000000000002</v>
      </c>
      <c r="AL48" s="690">
        <f t="shared" si="5"/>
        <v>134.81000000000003</v>
      </c>
      <c r="AM48" s="690">
        <f t="shared" si="5"/>
        <v>139.05000000000004</v>
      </c>
      <c r="AN48" s="690">
        <f t="shared" si="5"/>
        <v>143.29000000000005</v>
      </c>
      <c r="AO48" s="690">
        <f t="shared" si="5"/>
        <v>147.53000000000006</v>
      </c>
      <c r="AP48" s="690">
        <f t="shared" si="5"/>
        <v>151.77000000000007</v>
      </c>
    </row>
    <row r="49" spans="1:42">
      <c r="A49" s="1538"/>
      <c r="B49" s="262">
        <v>2.1</v>
      </c>
      <c r="C49" s="314">
        <f>(W49*KFC!$B$29+KFC!$C$29)*KFC!$C$5</f>
        <v>72.739999999999995</v>
      </c>
      <c r="D49" s="315">
        <f>(X49*KFC!$B$29+KFC!$C$29)*KFC!$C$5</f>
        <v>76.989999999999995</v>
      </c>
      <c r="E49" s="315">
        <f>(Y49*KFC!$B$29+KFC!$C$29)*KFC!$C$5</f>
        <v>81.73</v>
      </c>
      <c r="F49" s="315">
        <f>(Z49*KFC!$B$29+KFC!$C$29)*KFC!$C$5</f>
        <v>85.86</v>
      </c>
      <c r="G49" s="315">
        <f>(AA49*KFC!$B$29+KFC!$C$29)*KFC!$C$5</f>
        <v>90.09</v>
      </c>
      <c r="H49" s="315">
        <f>(AB49*KFC!$B$29+KFC!$C$29)*KFC!$C$5</f>
        <v>94.33</v>
      </c>
      <c r="I49" s="315">
        <f>(AC49*KFC!$B$29+KFC!$C$29)*KFC!$C$5</f>
        <v>99.09</v>
      </c>
      <c r="J49" s="315">
        <f>(AD49*KFC!$B$29+KFC!$C$29)*KFC!$C$5</f>
        <v>103.33</v>
      </c>
      <c r="K49" s="315">
        <f>(AE49*KFC!$B$29+KFC!$C$29)*KFC!$C$5</f>
        <v>107.56</v>
      </c>
      <c r="L49" s="315">
        <f>(AF49*KFC!$B$29+KFC!$C$29)*KFC!$C$5</f>
        <v>111.81</v>
      </c>
      <c r="M49" s="315">
        <f>(AG49*KFC!$B$29+KFC!$C$29)*KFC!$C$5</f>
        <v>116.31</v>
      </c>
      <c r="N49" s="315">
        <f>(AH49*KFC!$B$29+KFC!$C$29)*KFC!$C$5</f>
        <v>120.56</v>
      </c>
      <c r="O49" s="315">
        <f>(AI49*KFC!$B$29+KFC!$C$29)*KFC!$C$5</f>
        <v>124.79</v>
      </c>
      <c r="P49" s="315">
        <f>(AJ49*KFC!$B$29+KFC!$C$29)*KFC!$C$5</f>
        <v>129.02000000000001</v>
      </c>
      <c r="Q49" s="315">
        <f>(AK49*KFC!$B$29+KFC!$C$29)*KFC!$C$5</f>
        <v>133.25</v>
      </c>
      <c r="R49" s="315">
        <f>(AL49*KFC!$B$29+KFC!$C$29)*KFC!$C$5</f>
        <v>137.47999999999999</v>
      </c>
      <c r="S49" s="315">
        <f>(AM49*KFC!$B$29+KFC!$C$29)*KFC!$C$5</f>
        <v>141.70999999999998</v>
      </c>
      <c r="T49" s="315">
        <f>(AN49*KFC!$B$29+KFC!$C$29)*KFC!$C$5</f>
        <v>145.93999999999997</v>
      </c>
      <c r="V49" s="851">
        <v>2.1</v>
      </c>
      <c r="W49" s="847">
        <v>72.739999999999995</v>
      </c>
      <c r="X49" s="847">
        <v>76.989999999999995</v>
      </c>
      <c r="Y49" s="847">
        <v>81.73</v>
      </c>
      <c r="Z49" s="847">
        <v>85.86</v>
      </c>
      <c r="AA49" s="847">
        <v>90.09</v>
      </c>
      <c r="AB49" s="847">
        <v>94.33</v>
      </c>
      <c r="AC49" s="847">
        <v>99.09</v>
      </c>
      <c r="AD49" s="847">
        <v>103.33</v>
      </c>
      <c r="AE49" s="847">
        <v>107.56</v>
      </c>
      <c r="AF49" s="847">
        <v>111.81</v>
      </c>
      <c r="AG49" s="847">
        <v>116.31</v>
      </c>
      <c r="AH49" s="847">
        <v>120.56</v>
      </c>
      <c r="AI49" s="848">
        <v>124.79</v>
      </c>
      <c r="AJ49" s="690">
        <f t="shared" si="4"/>
        <v>129.02000000000001</v>
      </c>
      <c r="AK49" s="690">
        <f t="shared" ref="AK49:AP49" si="6">AJ49-AI49+AJ49</f>
        <v>133.25</v>
      </c>
      <c r="AL49" s="690">
        <f t="shared" si="6"/>
        <v>137.47999999999999</v>
      </c>
      <c r="AM49" s="690">
        <f t="shared" si="6"/>
        <v>141.70999999999998</v>
      </c>
      <c r="AN49" s="690">
        <f t="shared" si="6"/>
        <v>145.93999999999997</v>
      </c>
      <c r="AO49" s="690">
        <f t="shared" si="6"/>
        <v>150.16999999999996</v>
      </c>
      <c r="AP49" s="690">
        <f t="shared" si="6"/>
        <v>154.39999999999995</v>
      </c>
    </row>
    <row r="50" spans="1:42" ht="13.8" thickBot="1">
      <c r="A50" s="1539"/>
      <c r="B50" s="263">
        <v>2.2000000000000002</v>
      </c>
      <c r="C50" s="317">
        <f>(W50*KFC!$B$29+KFC!$C$29)*KFC!$C$5</f>
        <v>74.790000000000006</v>
      </c>
      <c r="D50" s="318">
        <f>(X50*KFC!$B$29+KFC!$C$29)*KFC!$C$5</f>
        <v>79.040000000000006</v>
      </c>
      <c r="E50" s="318">
        <f>(Y50*KFC!$B$29+KFC!$C$29)*KFC!$C$5</f>
        <v>84.05</v>
      </c>
      <c r="F50" s="318">
        <f>(Z50*KFC!$B$29+KFC!$C$29)*KFC!$C$5</f>
        <v>88.03</v>
      </c>
      <c r="G50" s="318">
        <f>(AA50*KFC!$B$29+KFC!$C$29)*KFC!$C$5</f>
        <v>92.28</v>
      </c>
      <c r="H50" s="318">
        <f>(AB50*KFC!$B$29+KFC!$C$29)*KFC!$C$5</f>
        <v>96.52</v>
      </c>
      <c r="I50" s="318">
        <f>(AC50*KFC!$B$29+KFC!$C$29)*KFC!$C$5</f>
        <v>101.66</v>
      </c>
      <c r="J50" s="318">
        <f>(AD50*KFC!$B$29+KFC!$C$29)*KFC!$C$5</f>
        <v>105.9</v>
      </c>
      <c r="K50" s="318">
        <f>(AE50*KFC!$B$29+KFC!$C$29)*KFC!$C$5</f>
        <v>110.13</v>
      </c>
      <c r="L50" s="318">
        <f>(AF50*KFC!$B$29+KFC!$C$29)*KFC!$C$5</f>
        <v>114.39</v>
      </c>
      <c r="M50" s="318">
        <f>(AG50*KFC!$B$29+KFC!$C$29)*KFC!$C$5</f>
        <v>119.01</v>
      </c>
      <c r="N50" s="318">
        <f>(AH50*KFC!$B$29+KFC!$C$29)*KFC!$C$5</f>
        <v>123.25</v>
      </c>
      <c r="O50" s="318">
        <f>(AI50*KFC!$B$29+KFC!$C$29)*KFC!$C$5</f>
        <v>127.49</v>
      </c>
      <c r="P50" s="318">
        <f>(AJ50*KFC!$B$29+KFC!$C$29)*KFC!$C$5</f>
        <v>131.72999999999999</v>
      </c>
      <c r="Q50" s="318">
        <f>(AK50*KFC!$B$29+KFC!$C$29)*KFC!$C$5</f>
        <v>135.96999999999997</v>
      </c>
      <c r="R50" s="318">
        <f>(AL50*KFC!$B$29+KFC!$C$29)*KFC!$C$5</f>
        <v>140.20999999999995</v>
      </c>
      <c r="S50" s="318">
        <f>(AM50*KFC!$B$29+KFC!$C$29)*KFC!$C$5</f>
        <v>144.44999999999993</v>
      </c>
      <c r="T50" s="318">
        <f>(AN50*KFC!$B$29+KFC!$C$29)*KFC!$C$5</f>
        <v>148.68999999999991</v>
      </c>
      <c r="V50" s="851">
        <v>2.2000000000000002</v>
      </c>
      <c r="W50" s="847">
        <v>74.790000000000006</v>
      </c>
      <c r="X50" s="847">
        <v>79.040000000000006</v>
      </c>
      <c r="Y50" s="847">
        <v>84.05</v>
      </c>
      <c r="Z50" s="847">
        <v>88.03</v>
      </c>
      <c r="AA50" s="847">
        <v>92.28</v>
      </c>
      <c r="AB50" s="847">
        <v>96.52</v>
      </c>
      <c r="AC50" s="847">
        <v>101.66</v>
      </c>
      <c r="AD50" s="847">
        <v>105.9</v>
      </c>
      <c r="AE50" s="847">
        <v>110.13</v>
      </c>
      <c r="AF50" s="847">
        <v>114.39</v>
      </c>
      <c r="AG50" s="847">
        <v>119.01</v>
      </c>
      <c r="AH50" s="847">
        <v>123.25</v>
      </c>
      <c r="AI50" s="848">
        <v>127.49</v>
      </c>
      <c r="AJ50" s="690">
        <f t="shared" ref="AJ50:AP50" si="7">AI50-AH50+AI50</f>
        <v>131.72999999999999</v>
      </c>
      <c r="AK50" s="690">
        <f t="shared" si="7"/>
        <v>135.96999999999997</v>
      </c>
      <c r="AL50" s="690">
        <f t="shared" si="7"/>
        <v>140.20999999999995</v>
      </c>
      <c r="AM50" s="690">
        <f t="shared" si="7"/>
        <v>144.44999999999993</v>
      </c>
      <c r="AN50" s="690">
        <f t="shared" si="7"/>
        <v>148.68999999999991</v>
      </c>
      <c r="AO50" s="690">
        <f t="shared" si="7"/>
        <v>152.92999999999989</v>
      </c>
      <c r="AP50" s="690">
        <f t="shared" si="7"/>
        <v>157.16999999999987</v>
      </c>
    </row>
    <row r="51" spans="1:42" ht="13.8" thickBot="1">
      <c r="A51" s="249"/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184"/>
      <c r="N51" s="184"/>
    </row>
    <row r="52" spans="1:42" ht="13.5" customHeight="1" thickBot="1">
      <c r="A52" s="1413" t="s">
        <v>315</v>
      </c>
      <c r="B52" s="1415"/>
      <c r="C52" s="1534" t="s">
        <v>207</v>
      </c>
      <c r="D52" s="1535"/>
      <c r="E52" s="1535"/>
      <c r="F52" s="1535"/>
      <c r="G52" s="1535"/>
      <c r="H52" s="1535"/>
      <c r="I52" s="1535"/>
      <c r="J52" s="1535"/>
      <c r="K52" s="1535"/>
      <c r="L52" s="1535"/>
      <c r="M52" s="1535"/>
      <c r="N52" s="1535"/>
      <c r="O52" s="1535"/>
      <c r="P52" s="1535"/>
      <c r="Q52" s="1535"/>
      <c r="R52" s="1535"/>
      <c r="S52" s="1535"/>
      <c r="T52" s="1535"/>
    </row>
    <row r="53" spans="1:42" ht="13.8" thickBot="1">
      <c r="A53" s="1416"/>
      <c r="B53" s="1418"/>
      <c r="C53" s="119">
        <v>0.4</v>
      </c>
      <c r="D53" s="119">
        <v>0.5</v>
      </c>
      <c r="E53" s="119">
        <v>0.6</v>
      </c>
      <c r="F53" s="119">
        <v>0.7</v>
      </c>
      <c r="G53" s="119">
        <v>0.8</v>
      </c>
      <c r="H53" s="119">
        <v>0.9</v>
      </c>
      <c r="I53" s="119">
        <v>1</v>
      </c>
      <c r="J53" s="119">
        <v>1.1000000000000001</v>
      </c>
      <c r="K53" s="119">
        <v>1.2</v>
      </c>
      <c r="L53" s="119">
        <v>1.3</v>
      </c>
      <c r="M53" s="119">
        <v>1.4</v>
      </c>
      <c r="N53" s="119">
        <v>1.5</v>
      </c>
      <c r="O53" s="119">
        <v>1.6</v>
      </c>
      <c r="P53" s="119">
        <v>1.7</v>
      </c>
      <c r="Q53" s="119">
        <v>1.8</v>
      </c>
      <c r="R53" s="119">
        <v>1.9</v>
      </c>
      <c r="S53" s="119">
        <v>2</v>
      </c>
      <c r="T53" s="119">
        <v>2.1</v>
      </c>
      <c r="V53" s="850"/>
      <c r="W53" s="851">
        <v>0.4</v>
      </c>
      <c r="X53" s="851">
        <v>0.5</v>
      </c>
      <c r="Y53" s="851">
        <v>0.6</v>
      </c>
      <c r="Z53" s="851">
        <v>0.7</v>
      </c>
      <c r="AA53" s="851">
        <v>0.8</v>
      </c>
      <c r="AB53" s="851">
        <v>0.9</v>
      </c>
      <c r="AC53" s="851">
        <v>1</v>
      </c>
      <c r="AD53" s="851">
        <v>1.1000000000000001</v>
      </c>
      <c r="AE53" s="851">
        <v>1.2</v>
      </c>
      <c r="AF53" s="851">
        <v>1.3</v>
      </c>
      <c r="AG53" s="851">
        <v>1.4</v>
      </c>
      <c r="AH53" s="851">
        <v>1.5</v>
      </c>
      <c r="AI53" s="852">
        <v>1.6</v>
      </c>
      <c r="AJ53" s="853">
        <v>1.7</v>
      </c>
      <c r="AK53" s="853">
        <v>1.8</v>
      </c>
      <c r="AL53" s="853">
        <v>1.9</v>
      </c>
      <c r="AM53" s="853">
        <v>2</v>
      </c>
      <c r="AN53" s="853">
        <v>2.1</v>
      </c>
      <c r="AO53" s="853">
        <v>2.2000000000000002</v>
      </c>
      <c r="AP53" s="853">
        <v>2.2999999999999998</v>
      </c>
    </row>
    <row r="54" spans="1:42" ht="12.75" customHeight="1">
      <c r="A54" s="1537" t="s">
        <v>3</v>
      </c>
      <c r="B54" s="261">
        <v>0.5</v>
      </c>
      <c r="C54" s="311">
        <f>(W54*KFC!$B$29+KFC!$C$29)*KFC!$C$5</f>
        <v>43.95</v>
      </c>
      <c r="D54" s="312">
        <f>(X54*KFC!$B$29+KFC!$C$29)*KFC!$C$5</f>
        <v>49.35</v>
      </c>
      <c r="E54" s="312">
        <f>(Y54*KFC!$B$29+KFC!$C$29)*KFC!$C$5</f>
        <v>54.5</v>
      </c>
      <c r="F54" s="312">
        <f>(Z54*KFC!$B$29+KFC!$C$29)*KFC!$C$5</f>
        <v>59.89</v>
      </c>
      <c r="G54" s="312">
        <f>(AA54*KFC!$B$29+KFC!$C$29)*KFC!$C$5</f>
        <v>65.290000000000006</v>
      </c>
      <c r="H54" s="312">
        <f>(AB54*KFC!$B$29+KFC!$C$29)*KFC!$C$5</f>
        <v>70.430000000000007</v>
      </c>
      <c r="I54" s="312">
        <f>(AC54*KFC!$B$29+KFC!$C$29)*KFC!$C$5</f>
        <v>75.709999999999994</v>
      </c>
      <c r="J54" s="312">
        <f>(AD54*KFC!$B$29+KFC!$C$29)*KFC!$C$5</f>
        <v>80.97</v>
      </c>
      <c r="K54" s="312">
        <f>(AE54*KFC!$B$29+KFC!$C$29)*KFC!$C$5</f>
        <v>86.24</v>
      </c>
      <c r="L54" s="312">
        <f>(AF54*KFC!$B$29+KFC!$C$29)*KFC!$C$5</f>
        <v>91.64</v>
      </c>
      <c r="M54" s="312">
        <f>(AG54*KFC!$B$29+KFC!$C$29)*KFC!$C$5</f>
        <v>96.78</v>
      </c>
      <c r="N54" s="312">
        <f>(AH54*KFC!$B$29+KFC!$C$29)*KFC!$C$5</f>
        <v>102.18</v>
      </c>
      <c r="O54" s="312">
        <f>(AI54*KFC!$B$29+KFC!$C$29)*KFC!$C$5</f>
        <v>107.56</v>
      </c>
      <c r="P54" s="312">
        <f>(AJ54*KFC!$B$29+KFC!$C$29)*KFC!$C$5</f>
        <v>112.94</v>
      </c>
      <c r="Q54" s="312">
        <f>(AK54*KFC!$B$29+KFC!$C$29)*KFC!$C$5</f>
        <v>118.32</v>
      </c>
      <c r="R54" s="312">
        <f>(AL54*KFC!$B$29+KFC!$C$29)*KFC!$C$5</f>
        <v>123.69999999999999</v>
      </c>
      <c r="S54" s="312">
        <f>(AM54*KFC!$B$29+KFC!$C$29)*KFC!$C$5</f>
        <v>129.07999999999998</v>
      </c>
      <c r="T54" s="312">
        <f>(AN54*KFC!$B$29+KFC!$C$29)*KFC!$C$5</f>
        <v>134.45999999999998</v>
      </c>
      <c r="V54" s="851">
        <v>0.5</v>
      </c>
      <c r="W54" s="847">
        <v>43.95</v>
      </c>
      <c r="X54" s="847">
        <v>49.35</v>
      </c>
      <c r="Y54" s="847">
        <v>54.5</v>
      </c>
      <c r="Z54" s="847">
        <v>59.89</v>
      </c>
      <c r="AA54" s="847">
        <v>65.290000000000006</v>
      </c>
      <c r="AB54" s="847">
        <v>70.430000000000007</v>
      </c>
      <c r="AC54" s="847">
        <v>75.709999999999994</v>
      </c>
      <c r="AD54" s="847">
        <v>80.97</v>
      </c>
      <c r="AE54" s="847">
        <v>86.24</v>
      </c>
      <c r="AF54" s="847">
        <v>91.64</v>
      </c>
      <c r="AG54" s="847">
        <v>96.78</v>
      </c>
      <c r="AH54" s="847">
        <v>102.18</v>
      </c>
      <c r="AI54" s="848">
        <v>107.56</v>
      </c>
      <c r="AJ54" s="690">
        <f t="shared" ref="AJ54:AJ70" si="8">AI54-AH54+AI54</f>
        <v>112.94</v>
      </c>
      <c r="AK54" s="690">
        <f t="shared" ref="AK54:AP69" si="9">AJ54-AI54+AJ54</f>
        <v>118.32</v>
      </c>
      <c r="AL54" s="690">
        <f t="shared" si="9"/>
        <v>123.69999999999999</v>
      </c>
      <c r="AM54" s="690">
        <f t="shared" si="9"/>
        <v>129.07999999999998</v>
      </c>
      <c r="AN54" s="690">
        <f t="shared" si="9"/>
        <v>134.45999999999998</v>
      </c>
      <c r="AO54" s="690">
        <f t="shared" si="9"/>
        <v>139.83999999999997</v>
      </c>
      <c r="AP54" s="690">
        <f t="shared" si="9"/>
        <v>145.21999999999997</v>
      </c>
    </row>
    <row r="55" spans="1:42">
      <c r="A55" s="1538"/>
      <c r="B55" s="262">
        <v>0.6</v>
      </c>
      <c r="C55" s="314">
        <f>(W55*KFC!$B$29+KFC!$C$29)*KFC!$C$5</f>
        <v>46.39</v>
      </c>
      <c r="D55" s="315">
        <f>(X55*KFC!$B$29+KFC!$C$29)*KFC!$C$5</f>
        <v>51.53</v>
      </c>
      <c r="E55" s="315">
        <f>(Y55*KFC!$B$29+KFC!$C$29)*KFC!$C$5</f>
        <v>56.94</v>
      </c>
      <c r="F55" s="315">
        <f>(Z55*KFC!$B$29+KFC!$C$29)*KFC!$C$5</f>
        <v>62.2</v>
      </c>
      <c r="G55" s="315">
        <f>(AA55*KFC!$B$29+KFC!$C$29)*KFC!$C$5</f>
        <v>67.599999999999994</v>
      </c>
      <c r="H55" s="315">
        <f>(AB55*KFC!$B$29+KFC!$C$29)*KFC!$C$5</f>
        <v>72.87</v>
      </c>
      <c r="I55" s="315">
        <f>(AC55*KFC!$B$29+KFC!$C$29)*KFC!$C$5</f>
        <v>78.27</v>
      </c>
      <c r="J55" s="315">
        <f>(AD55*KFC!$B$29+KFC!$C$29)*KFC!$C$5</f>
        <v>83.41</v>
      </c>
      <c r="K55" s="315">
        <f>(AE55*KFC!$B$29+KFC!$C$29)*KFC!$C$5</f>
        <v>88.81</v>
      </c>
      <c r="L55" s="315">
        <f>(AF55*KFC!$B$29+KFC!$C$29)*KFC!$C$5</f>
        <v>94.21</v>
      </c>
      <c r="M55" s="315">
        <f>(AG55*KFC!$B$29+KFC!$C$29)*KFC!$C$5</f>
        <v>99.48</v>
      </c>
      <c r="N55" s="315">
        <f>(AH55*KFC!$B$29+KFC!$C$29)*KFC!$C$5</f>
        <v>104.87</v>
      </c>
      <c r="O55" s="315">
        <f>(AI55*KFC!$B$29+KFC!$C$29)*KFC!$C$5</f>
        <v>110.27</v>
      </c>
      <c r="P55" s="315">
        <f>(AJ55*KFC!$B$29+KFC!$C$29)*KFC!$C$5</f>
        <v>115.66999999999999</v>
      </c>
      <c r="Q55" s="315">
        <f>(AK55*KFC!$B$29+KFC!$C$29)*KFC!$C$5</f>
        <v>121.06999999999998</v>
      </c>
      <c r="R55" s="315">
        <f>(AL55*KFC!$B$29+KFC!$C$29)*KFC!$C$5</f>
        <v>126.46999999999997</v>
      </c>
      <c r="S55" s="315">
        <f>(AM55*KFC!$B$29+KFC!$C$29)*KFC!$C$5</f>
        <v>131.86999999999995</v>
      </c>
      <c r="T55" s="315">
        <f>(AN55*KFC!$B$29+KFC!$C$29)*KFC!$C$5</f>
        <v>137.26999999999992</v>
      </c>
      <c r="V55" s="851">
        <v>0.6</v>
      </c>
      <c r="W55" s="847">
        <v>46.39</v>
      </c>
      <c r="X55" s="847">
        <v>51.53</v>
      </c>
      <c r="Y55" s="847">
        <v>56.94</v>
      </c>
      <c r="Z55" s="847">
        <v>62.2</v>
      </c>
      <c r="AA55" s="847">
        <v>67.599999999999994</v>
      </c>
      <c r="AB55" s="847">
        <v>72.87</v>
      </c>
      <c r="AC55" s="847">
        <v>78.27</v>
      </c>
      <c r="AD55" s="847">
        <v>83.41</v>
      </c>
      <c r="AE55" s="847">
        <v>88.81</v>
      </c>
      <c r="AF55" s="847">
        <v>94.21</v>
      </c>
      <c r="AG55" s="847">
        <v>99.48</v>
      </c>
      <c r="AH55" s="847">
        <v>104.87</v>
      </c>
      <c r="AI55" s="848">
        <v>110.27</v>
      </c>
      <c r="AJ55" s="690">
        <f t="shared" si="8"/>
        <v>115.66999999999999</v>
      </c>
      <c r="AK55" s="690">
        <f t="shared" si="9"/>
        <v>121.06999999999998</v>
      </c>
      <c r="AL55" s="690">
        <f t="shared" si="9"/>
        <v>126.46999999999997</v>
      </c>
      <c r="AM55" s="690">
        <f t="shared" si="9"/>
        <v>131.86999999999995</v>
      </c>
      <c r="AN55" s="690">
        <f t="shared" si="9"/>
        <v>137.26999999999992</v>
      </c>
      <c r="AO55" s="690">
        <f t="shared" si="9"/>
        <v>142.6699999999999</v>
      </c>
      <c r="AP55" s="690">
        <f t="shared" si="9"/>
        <v>148.06999999999988</v>
      </c>
    </row>
    <row r="56" spans="1:42">
      <c r="A56" s="1538"/>
      <c r="B56" s="262">
        <v>0.7</v>
      </c>
      <c r="C56" s="314">
        <f>(W56*KFC!$B$29+KFC!$C$29)*KFC!$C$5</f>
        <v>48.58</v>
      </c>
      <c r="D56" s="315">
        <f>(X56*KFC!$B$29+KFC!$C$29)*KFC!$C$5</f>
        <v>53.85</v>
      </c>
      <c r="E56" s="315">
        <f>(Y56*KFC!$B$29+KFC!$C$29)*KFC!$C$5</f>
        <v>59.24</v>
      </c>
      <c r="F56" s="315">
        <f>(Z56*KFC!$B$29+KFC!$C$29)*KFC!$C$5</f>
        <v>64.650000000000006</v>
      </c>
      <c r="G56" s="315">
        <f>(AA56*KFC!$B$29+KFC!$C$29)*KFC!$C$5</f>
        <v>69.92</v>
      </c>
      <c r="H56" s="315">
        <f>(AB56*KFC!$B$29+KFC!$C$29)*KFC!$C$5</f>
        <v>75.31</v>
      </c>
      <c r="I56" s="315">
        <f>(AC56*KFC!$B$29+KFC!$C$29)*KFC!$C$5</f>
        <v>80.58</v>
      </c>
      <c r="J56" s="315">
        <f>(AD56*KFC!$B$29+KFC!$C$29)*KFC!$C$5</f>
        <v>85.98</v>
      </c>
      <c r="K56" s="315">
        <f>(AE56*KFC!$B$29+KFC!$C$29)*KFC!$C$5</f>
        <v>91.37</v>
      </c>
      <c r="L56" s="315">
        <f>(AF56*KFC!$B$29+KFC!$C$29)*KFC!$C$5</f>
        <v>96.64</v>
      </c>
      <c r="M56" s="315">
        <f>(AG56*KFC!$B$29+KFC!$C$29)*KFC!$C$5</f>
        <v>102.05</v>
      </c>
      <c r="N56" s="315">
        <f>(AH56*KFC!$B$29+KFC!$C$29)*KFC!$C$5</f>
        <v>107.31</v>
      </c>
      <c r="O56" s="315">
        <f>(AI56*KFC!$B$29+KFC!$C$29)*KFC!$C$5</f>
        <v>112.58</v>
      </c>
      <c r="P56" s="315">
        <f>(AJ56*KFC!$B$29+KFC!$C$29)*KFC!$C$5</f>
        <v>117.85</v>
      </c>
      <c r="Q56" s="315">
        <f>(AK56*KFC!$B$29+KFC!$C$29)*KFC!$C$5</f>
        <v>123.11999999999999</v>
      </c>
      <c r="R56" s="315">
        <f>(AL56*KFC!$B$29+KFC!$C$29)*KFC!$C$5</f>
        <v>128.38999999999999</v>
      </c>
      <c r="S56" s="315">
        <f>(AM56*KFC!$B$29+KFC!$C$29)*KFC!$C$5</f>
        <v>133.65999999999997</v>
      </c>
      <c r="T56" s="315">
        <f>(AN56*KFC!$B$29+KFC!$C$29)*KFC!$C$5</f>
        <v>138.92999999999995</v>
      </c>
      <c r="V56" s="851">
        <v>0.7</v>
      </c>
      <c r="W56" s="847">
        <v>48.58</v>
      </c>
      <c r="X56" s="847">
        <v>53.85</v>
      </c>
      <c r="Y56" s="847">
        <v>59.24</v>
      </c>
      <c r="Z56" s="847">
        <v>64.650000000000006</v>
      </c>
      <c r="AA56" s="847">
        <v>69.92</v>
      </c>
      <c r="AB56" s="847">
        <v>75.31</v>
      </c>
      <c r="AC56" s="847">
        <v>80.58</v>
      </c>
      <c r="AD56" s="847">
        <v>85.98</v>
      </c>
      <c r="AE56" s="847">
        <v>91.37</v>
      </c>
      <c r="AF56" s="847">
        <v>96.64</v>
      </c>
      <c r="AG56" s="847">
        <v>102.05</v>
      </c>
      <c r="AH56" s="847">
        <v>107.31</v>
      </c>
      <c r="AI56" s="848">
        <v>112.58</v>
      </c>
      <c r="AJ56" s="690">
        <f t="shared" si="8"/>
        <v>117.85</v>
      </c>
      <c r="AK56" s="690">
        <f t="shared" si="9"/>
        <v>123.11999999999999</v>
      </c>
      <c r="AL56" s="690">
        <f t="shared" si="9"/>
        <v>128.38999999999999</v>
      </c>
      <c r="AM56" s="690">
        <f t="shared" si="9"/>
        <v>133.65999999999997</v>
      </c>
      <c r="AN56" s="690">
        <f t="shared" si="9"/>
        <v>138.92999999999995</v>
      </c>
      <c r="AO56" s="690">
        <f t="shared" si="9"/>
        <v>144.19999999999993</v>
      </c>
      <c r="AP56" s="690">
        <f t="shared" si="9"/>
        <v>149.46999999999991</v>
      </c>
    </row>
    <row r="57" spans="1:42">
      <c r="A57" s="1538"/>
      <c r="B57" s="262">
        <v>0.8</v>
      </c>
      <c r="C57" s="314">
        <f>(W57*KFC!$B$29+KFC!$C$29)*KFC!$C$5</f>
        <v>50.89</v>
      </c>
      <c r="D57" s="315">
        <f>(X57*KFC!$B$29+KFC!$C$29)*KFC!$C$5</f>
        <v>56.3</v>
      </c>
      <c r="E57" s="315">
        <f>(Y57*KFC!$B$29+KFC!$C$29)*KFC!$C$5</f>
        <v>61.56</v>
      </c>
      <c r="F57" s="315">
        <f>(Z57*KFC!$B$29+KFC!$C$29)*KFC!$C$5</f>
        <v>67.08</v>
      </c>
      <c r="G57" s="315">
        <f>(AA57*KFC!$B$29+KFC!$C$29)*KFC!$C$5</f>
        <v>72.489999999999995</v>
      </c>
      <c r="H57" s="315">
        <f>(AB57*KFC!$B$29+KFC!$C$29)*KFC!$C$5</f>
        <v>77.75</v>
      </c>
      <c r="I57" s="315">
        <f>(AC57*KFC!$B$29+KFC!$C$29)*KFC!$C$5</f>
        <v>83.15</v>
      </c>
      <c r="J57" s="315">
        <f>(AD57*KFC!$B$29+KFC!$C$29)*KFC!$C$5</f>
        <v>88.56</v>
      </c>
      <c r="K57" s="315">
        <f>(AE57*KFC!$B$29+KFC!$C$29)*KFC!$C$5</f>
        <v>93.82</v>
      </c>
      <c r="L57" s="315">
        <f>(AF57*KFC!$B$29+KFC!$C$29)*KFC!$C$5</f>
        <v>99.35</v>
      </c>
      <c r="M57" s="315">
        <f>(AG57*KFC!$B$29+KFC!$C$29)*KFC!$C$5</f>
        <v>104.75</v>
      </c>
      <c r="N57" s="315">
        <f>(AH57*KFC!$B$29+KFC!$C$29)*KFC!$C$5</f>
        <v>110.01</v>
      </c>
      <c r="O57" s="315">
        <f>(AI57*KFC!$B$29+KFC!$C$29)*KFC!$C$5</f>
        <v>115.28</v>
      </c>
      <c r="P57" s="315">
        <f>(AJ57*KFC!$B$29+KFC!$C$29)*KFC!$C$5</f>
        <v>120.55</v>
      </c>
      <c r="Q57" s="315">
        <f>(AK57*KFC!$B$29+KFC!$C$29)*KFC!$C$5</f>
        <v>125.82</v>
      </c>
      <c r="R57" s="315">
        <f>(AL57*KFC!$B$29+KFC!$C$29)*KFC!$C$5</f>
        <v>131.08999999999997</v>
      </c>
      <c r="S57" s="315">
        <f>(AM57*KFC!$B$29+KFC!$C$29)*KFC!$C$5</f>
        <v>136.35999999999996</v>
      </c>
      <c r="T57" s="315">
        <f>(AN57*KFC!$B$29+KFC!$C$29)*KFC!$C$5</f>
        <v>141.62999999999994</v>
      </c>
      <c r="V57" s="851">
        <v>0.8</v>
      </c>
      <c r="W57" s="847">
        <v>50.89</v>
      </c>
      <c r="X57" s="847">
        <v>56.3</v>
      </c>
      <c r="Y57" s="847">
        <v>61.56</v>
      </c>
      <c r="Z57" s="847">
        <v>67.08</v>
      </c>
      <c r="AA57" s="847">
        <v>72.489999999999995</v>
      </c>
      <c r="AB57" s="847">
        <v>77.75</v>
      </c>
      <c r="AC57" s="847">
        <v>83.15</v>
      </c>
      <c r="AD57" s="847">
        <v>88.56</v>
      </c>
      <c r="AE57" s="847">
        <v>93.82</v>
      </c>
      <c r="AF57" s="847">
        <v>99.35</v>
      </c>
      <c r="AG57" s="847">
        <v>104.75</v>
      </c>
      <c r="AH57" s="847">
        <v>110.01</v>
      </c>
      <c r="AI57" s="848">
        <v>115.28</v>
      </c>
      <c r="AJ57" s="690">
        <f t="shared" si="8"/>
        <v>120.55</v>
      </c>
      <c r="AK57" s="690">
        <f t="shared" si="9"/>
        <v>125.82</v>
      </c>
      <c r="AL57" s="690">
        <f t="shared" si="9"/>
        <v>131.08999999999997</v>
      </c>
      <c r="AM57" s="690">
        <f t="shared" si="9"/>
        <v>136.35999999999996</v>
      </c>
      <c r="AN57" s="690">
        <f t="shared" si="9"/>
        <v>141.62999999999994</v>
      </c>
      <c r="AO57" s="690">
        <f t="shared" si="9"/>
        <v>146.89999999999992</v>
      </c>
      <c r="AP57" s="690">
        <f t="shared" si="9"/>
        <v>152.1699999999999</v>
      </c>
    </row>
    <row r="58" spans="1:42">
      <c r="A58" s="1538"/>
      <c r="B58" s="262">
        <v>0.9</v>
      </c>
      <c r="C58" s="314">
        <f>(W58*KFC!$B$29+KFC!$C$29)*KFC!$C$5</f>
        <v>53.34</v>
      </c>
      <c r="D58" s="315">
        <f>(X58*KFC!$B$29+KFC!$C$29)*KFC!$C$5</f>
        <v>58.6</v>
      </c>
      <c r="E58" s="315">
        <f>(Y58*KFC!$B$29+KFC!$C$29)*KFC!$C$5</f>
        <v>64.010000000000005</v>
      </c>
      <c r="F58" s="315">
        <f>(Z58*KFC!$B$29+KFC!$C$29)*KFC!$C$5</f>
        <v>69.53</v>
      </c>
      <c r="G58" s="315">
        <f>(AA58*KFC!$B$29+KFC!$C$29)*KFC!$C$5</f>
        <v>74.790000000000006</v>
      </c>
      <c r="H58" s="315">
        <f>(AB58*KFC!$B$29+KFC!$C$29)*KFC!$C$5</f>
        <v>80.2</v>
      </c>
      <c r="I58" s="315">
        <f>(AC58*KFC!$B$29+KFC!$C$29)*KFC!$C$5</f>
        <v>85.72</v>
      </c>
      <c r="J58" s="315">
        <f>(AD58*KFC!$B$29+KFC!$C$29)*KFC!$C$5</f>
        <v>90.99</v>
      </c>
      <c r="K58" s="315">
        <f>(AE58*KFC!$B$29+KFC!$C$29)*KFC!$C$5</f>
        <v>96.52</v>
      </c>
      <c r="L58" s="315">
        <f>(AF58*KFC!$B$29+KFC!$C$29)*KFC!$C$5</f>
        <v>101.92</v>
      </c>
      <c r="M58" s="315">
        <f>(AG58*KFC!$B$29+KFC!$C$29)*KFC!$C$5</f>
        <v>107.18</v>
      </c>
      <c r="N58" s="315">
        <f>(AH58*KFC!$B$29+KFC!$C$29)*KFC!$C$5</f>
        <v>112.71</v>
      </c>
      <c r="O58" s="315">
        <f>(AI58*KFC!$B$29+KFC!$C$29)*KFC!$C$5</f>
        <v>118.24</v>
      </c>
      <c r="P58" s="315">
        <f>(AJ58*KFC!$B$29+KFC!$C$29)*KFC!$C$5</f>
        <v>123.77</v>
      </c>
      <c r="Q58" s="315">
        <f>(AK58*KFC!$B$29+KFC!$C$29)*KFC!$C$5</f>
        <v>129.30000000000001</v>
      </c>
      <c r="R58" s="315">
        <f>(AL58*KFC!$B$29+KFC!$C$29)*KFC!$C$5</f>
        <v>134.83000000000004</v>
      </c>
      <c r="S58" s="315">
        <f>(AM58*KFC!$B$29+KFC!$C$29)*KFC!$C$5</f>
        <v>140.36000000000007</v>
      </c>
      <c r="T58" s="315">
        <f>(AN58*KFC!$B$29+KFC!$C$29)*KFC!$C$5</f>
        <v>145.8900000000001</v>
      </c>
      <c r="V58" s="851">
        <v>0.9</v>
      </c>
      <c r="W58" s="847">
        <v>53.34</v>
      </c>
      <c r="X58" s="847">
        <v>58.6</v>
      </c>
      <c r="Y58" s="847">
        <v>64.010000000000005</v>
      </c>
      <c r="Z58" s="847">
        <v>69.53</v>
      </c>
      <c r="AA58" s="847">
        <v>74.790000000000006</v>
      </c>
      <c r="AB58" s="847">
        <v>80.2</v>
      </c>
      <c r="AC58" s="847">
        <v>85.72</v>
      </c>
      <c r="AD58" s="847">
        <v>90.99</v>
      </c>
      <c r="AE58" s="847">
        <v>96.52</v>
      </c>
      <c r="AF58" s="847">
        <v>101.92</v>
      </c>
      <c r="AG58" s="847">
        <v>107.18</v>
      </c>
      <c r="AH58" s="847">
        <v>112.71</v>
      </c>
      <c r="AI58" s="848">
        <v>118.24</v>
      </c>
      <c r="AJ58" s="690">
        <f t="shared" si="8"/>
        <v>123.77</v>
      </c>
      <c r="AK58" s="690">
        <f t="shared" si="9"/>
        <v>129.30000000000001</v>
      </c>
      <c r="AL58" s="690">
        <f t="shared" si="9"/>
        <v>134.83000000000004</v>
      </c>
      <c r="AM58" s="690">
        <f t="shared" si="9"/>
        <v>140.36000000000007</v>
      </c>
      <c r="AN58" s="690">
        <f t="shared" si="9"/>
        <v>145.8900000000001</v>
      </c>
      <c r="AO58" s="690">
        <f t="shared" si="9"/>
        <v>151.42000000000013</v>
      </c>
      <c r="AP58" s="690">
        <f t="shared" si="9"/>
        <v>156.95000000000016</v>
      </c>
    </row>
    <row r="59" spans="1:42">
      <c r="A59" s="1538"/>
      <c r="B59" s="262">
        <v>1</v>
      </c>
      <c r="C59" s="314">
        <f>(W59*KFC!$B$29+KFC!$C$29)*KFC!$C$5</f>
        <v>55.51</v>
      </c>
      <c r="D59" s="315">
        <f>(X59*KFC!$B$29+KFC!$C$29)*KFC!$C$5</f>
        <v>61.05</v>
      </c>
      <c r="E59" s="315">
        <f>(Y59*KFC!$B$29+KFC!$C$29)*KFC!$C$5</f>
        <v>66.319999999999993</v>
      </c>
      <c r="F59" s="315">
        <f>(Z59*KFC!$B$29+KFC!$C$29)*KFC!$C$5</f>
        <v>71.84</v>
      </c>
      <c r="G59" s="315">
        <f>(AA59*KFC!$B$29+KFC!$C$29)*KFC!$C$5</f>
        <v>77.36</v>
      </c>
      <c r="H59" s="315">
        <f>(AB59*KFC!$B$29+KFC!$C$29)*KFC!$C$5</f>
        <v>82.65</v>
      </c>
      <c r="I59" s="315">
        <f>(AC59*KFC!$B$29+KFC!$C$29)*KFC!$C$5</f>
        <v>88.16</v>
      </c>
      <c r="J59" s="315">
        <f>(AD59*KFC!$B$29+KFC!$C$29)*KFC!$C$5</f>
        <v>93.57</v>
      </c>
      <c r="K59" s="315">
        <f>(AE59*KFC!$B$29+KFC!$C$29)*KFC!$C$5</f>
        <v>98.96</v>
      </c>
      <c r="L59" s="315">
        <f>(AF59*KFC!$B$29+KFC!$C$29)*KFC!$C$5</f>
        <v>104.35</v>
      </c>
      <c r="M59" s="315">
        <f>(AG59*KFC!$B$29+KFC!$C$29)*KFC!$C$5</f>
        <v>109.88</v>
      </c>
      <c r="N59" s="315">
        <f>(AH59*KFC!$B$29+KFC!$C$29)*KFC!$C$5</f>
        <v>115.15</v>
      </c>
      <c r="O59" s="315">
        <f>(AI59*KFC!$B$29+KFC!$C$29)*KFC!$C$5</f>
        <v>120.41</v>
      </c>
      <c r="P59" s="315">
        <f>(AJ59*KFC!$B$29+KFC!$C$29)*KFC!$C$5</f>
        <v>125.66999999999999</v>
      </c>
      <c r="Q59" s="315">
        <f>(AK59*KFC!$B$29+KFC!$C$29)*KFC!$C$5</f>
        <v>130.92999999999998</v>
      </c>
      <c r="R59" s="315">
        <f>(AL59*KFC!$B$29+KFC!$C$29)*KFC!$C$5</f>
        <v>136.18999999999997</v>
      </c>
      <c r="S59" s="315">
        <f>(AM59*KFC!$B$29+KFC!$C$29)*KFC!$C$5</f>
        <v>141.44999999999996</v>
      </c>
      <c r="T59" s="315">
        <f>(AN59*KFC!$B$29+KFC!$C$29)*KFC!$C$5</f>
        <v>146.70999999999995</v>
      </c>
      <c r="V59" s="851">
        <v>1</v>
      </c>
      <c r="W59" s="847">
        <v>55.51</v>
      </c>
      <c r="X59" s="847">
        <v>61.05</v>
      </c>
      <c r="Y59" s="847">
        <v>66.319999999999993</v>
      </c>
      <c r="Z59" s="847">
        <v>71.84</v>
      </c>
      <c r="AA59" s="847">
        <v>77.36</v>
      </c>
      <c r="AB59" s="847">
        <v>82.65</v>
      </c>
      <c r="AC59" s="847">
        <v>88.16</v>
      </c>
      <c r="AD59" s="847">
        <v>93.57</v>
      </c>
      <c r="AE59" s="847">
        <v>98.96</v>
      </c>
      <c r="AF59" s="847">
        <v>104.35</v>
      </c>
      <c r="AG59" s="847">
        <v>109.88</v>
      </c>
      <c r="AH59" s="847">
        <v>115.15</v>
      </c>
      <c r="AI59" s="848">
        <v>120.41</v>
      </c>
      <c r="AJ59" s="690">
        <f t="shared" si="8"/>
        <v>125.66999999999999</v>
      </c>
      <c r="AK59" s="690">
        <f t="shared" si="9"/>
        <v>130.92999999999998</v>
      </c>
      <c r="AL59" s="690">
        <f t="shared" si="9"/>
        <v>136.18999999999997</v>
      </c>
      <c r="AM59" s="690">
        <f t="shared" si="9"/>
        <v>141.44999999999996</v>
      </c>
      <c r="AN59" s="690">
        <f t="shared" si="9"/>
        <v>146.70999999999995</v>
      </c>
      <c r="AO59" s="690">
        <f t="shared" si="9"/>
        <v>151.96999999999994</v>
      </c>
      <c r="AP59" s="690">
        <f t="shared" si="9"/>
        <v>157.22999999999993</v>
      </c>
    </row>
    <row r="60" spans="1:42">
      <c r="A60" s="1538"/>
      <c r="B60" s="262">
        <v>1.1000000000000001</v>
      </c>
      <c r="C60" s="314">
        <f>(W60*KFC!$B$29+KFC!$C$29)*KFC!$C$5</f>
        <v>57.83</v>
      </c>
      <c r="D60" s="315">
        <f>(X60*KFC!$B$29+KFC!$C$29)*KFC!$C$5</f>
        <v>63.37</v>
      </c>
      <c r="E60" s="315">
        <f>(Y60*KFC!$B$29+KFC!$C$29)*KFC!$C$5</f>
        <v>68.63</v>
      </c>
      <c r="F60" s="315">
        <f>(Z60*KFC!$B$29+KFC!$C$29)*KFC!$C$5</f>
        <v>74.150000000000006</v>
      </c>
      <c r="G60" s="315">
        <f>(AA60*KFC!$B$29+KFC!$C$29)*KFC!$C$5</f>
        <v>79.680000000000007</v>
      </c>
      <c r="H60" s="315">
        <f>(AB60*KFC!$B$29+KFC!$C$29)*KFC!$C$5</f>
        <v>85.22</v>
      </c>
      <c r="I60" s="315">
        <f>(AC60*KFC!$B$29+KFC!$C$29)*KFC!$C$5</f>
        <v>90.48</v>
      </c>
      <c r="J60" s="315">
        <f>(AD60*KFC!$B$29+KFC!$C$29)*KFC!$C$5</f>
        <v>96</v>
      </c>
      <c r="K60" s="315">
        <f>(AE60*KFC!$B$29+KFC!$C$29)*KFC!$C$5</f>
        <v>101.54</v>
      </c>
      <c r="L60" s="315">
        <f>(AF60*KFC!$B$29+KFC!$C$29)*KFC!$C$5</f>
        <v>107.06</v>
      </c>
      <c r="M60" s="315">
        <f>(AG60*KFC!$B$29+KFC!$C$29)*KFC!$C$5</f>
        <v>112.2</v>
      </c>
      <c r="N60" s="315">
        <f>(AH60*KFC!$B$29+KFC!$C$29)*KFC!$C$5</f>
        <v>117.85</v>
      </c>
      <c r="O60" s="315">
        <f>(AI60*KFC!$B$29+KFC!$C$29)*KFC!$C$5</f>
        <v>123.5</v>
      </c>
      <c r="P60" s="315">
        <f>(AJ60*KFC!$B$29+KFC!$C$29)*KFC!$C$5</f>
        <v>129.15</v>
      </c>
      <c r="Q60" s="315">
        <f>(AK60*KFC!$B$29+KFC!$C$29)*KFC!$C$5</f>
        <v>134.80000000000001</v>
      </c>
      <c r="R60" s="315">
        <f>(AL60*KFC!$B$29+KFC!$C$29)*KFC!$C$5</f>
        <v>140.45000000000002</v>
      </c>
      <c r="S60" s="315">
        <f>(AM60*KFC!$B$29+KFC!$C$29)*KFC!$C$5</f>
        <v>146.10000000000002</v>
      </c>
      <c r="T60" s="315">
        <f>(AN60*KFC!$B$29+KFC!$C$29)*KFC!$C$5</f>
        <v>151.75000000000003</v>
      </c>
      <c r="V60" s="851">
        <v>1.1000000000000001</v>
      </c>
      <c r="W60" s="847">
        <v>57.83</v>
      </c>
      <c r="X60" s="847">
        <v>63.37</v>
      </c>
      <c r="Y60" s="847">
        <v>68.63</v>
      </c>
      <c r="Z60" s="847">
        <v>74.150000000000006</v>
      </c>
      <c r="AA60" s="847">
        <v>79.680000000000007</v>
      </c>
      <c r="AB60" s="847">
        <v>85.22</v>
      </c>
      <c r="AC60" s="847">
        <v>90.48</v>
      </c>
      <c r="AD60" s="847">
        <v>96</v>
      </c>
      <c r="AE60" s="847">
        <v>101.54</v>
      </c>
      <c r="AF60" s="847">
        <v>107.06</v>
      </c>
      <c r="AG60" s="847">
        <v>112.2</v>
      </c>
      <c r="AH60" s="847">
        <v>117.85</v>
      </c>
      <c r="AI60" s="848">
        <v>123.5</v>
      </c>
      <c r="AJ60" s="690">
        <f t="shared" si="8"/>
        <v>129.15</v>
      </c>
      <c r="AK60" s="690">
        <f t="shared" si="9"/>
        <v>134.80000000000001</v>
      </c>
      <c r="AL60" s="690">
        <f t="shared" si="9"/>
        <v>140.45000000000002</v>
      </c>
      <c r="AM60" s="690">
        <f t="shared" si="9"/>
        <v>146.10000000000002</v>
      </c>
      <c r="AN60" s="690">
        <f t="shared" si="9"/>
        <v>151.75000000000003</v>
      </c>
      <c r="AO60" s="690">
        <f t="shared" si="9"/>
        <v>157.40000000000003</v>
      </c>
      <c r="AP60" s="690">
        <f t="shared" si="9"/>
        <v>163.05000000000004</v>
      </c>
    </row>
    <row r="61" spans="1:42">
      <c r="A61" s="1538"/>
      <c r="B61" s="262">
        <v>1.2</v>
      </c>
      <c r="C61" s="314">
        <f>(W61*KFC!$B$29+KFC!$C$29)*KFC!$C$5</f>
        <v>60.15</v>
      </c>
      <c r="D61" s="315">
        <f>(X61*KFC!$B$29+KFC!$C$29)*KFC!$C$5</f>
        <v>65.67</v>
      </c>
      <c r="E61" s="315">
        <f>(Y61*KFC!$B$29+KFC!$C$29)*KFC!$C$5</f>
        <v>71.069999999999993</v>
      </c>
      <c r="F61" s="315">
        <f>(Z61*KFC!$B$29+KFC!$C$29)*KFC!$C$5</f>
        <v>76.599999999999994</v>
      </c>
      <c r="G61" s="315">
        <f>(AA61*KFC!$B$29+KFC!$C$29)*KFC!$C$5</f>
        <v>82.01</v>
      </c>
      <c r="H61" s="315">
        <f>(AB61*KFC!$B$29+KFC!$C$29)*KFC!$C$5</f>
        <v>87.52</v>
      </c>
      <c r="I61" s="315">
        <f>(AC61*KFC!$B$29+KFC!$C$29)*KFC!$C$5</f>
        <v>93.05</v>
      </c>
      <c r="J61" s="315">
        <f>(AD61*KFC!$B$29+KFC!$C$29)*KFC!$C$5</f>
        <v>98.57</v>
      </c>
      <c r="K61" s="315">
        <f>(AE61*KFC!$B$29+KFC!$C$29)*KFC!$C$5</f>
        <v>104.1</v>
      </c>
      <c r="L61" s="315">
        <f>(AF61*KFC!$B$29+KFC!$C$29)*KFC!$C$5</f>
        <v>109.49</v>
      </c>
      <c r="M61" s="315">
        <f>(AG61*KFC!$B$29+KFC!$C$29)*KFC!$C$5</f>
        <v>115.03</v>
      </c>
      <c r="N61" s="315">
        <f>(AH61*KFC!$B$29+KFC!$C$29)*KFC!$C$5</f>
        <v>120.56</v>
      </c>
      <c r="O61" s="315">
        <f>(AI61*KFC!$B$29+KFC!$C$29)*KFC!$C$5</f>
        <v>126.07</v>
      </c>
      <c r="P61" s="315">
        <f>(AJ61*KFC!$B$29+KFC!$C$29)*KFC!$C$5</f>
        <v>131.57999999999998</v>
      </c>
      <c r="Q61" s="315">
        <f>(AK61*KFC!$B$29+KFC!$C$29)*KFC!$C$5</f>
        <v>137.08999999999997</v>
      </c>
      <c r="R61" s="315">
        <f>(AL61*KFC!$B$29+KFC!$C$29)*KFC!$C$5</f>
        <v>142.59999999999997</v>
      </c>
      <c r="S61" s="315">
        <f>(AM61*KFC!$B$29+KFC!$C$29)*KFC!$C$5</f>
        <v>148.10999999999996</v>
      </c>
      <c r="T61" s="315">
        <f>(AN61*KFC!$B$29+KFC!$C$29)*KFC!$C$5</f>
        <v>153.61999999999995</v>
      </c>
      <c r="V61" s="851">
        <v>1.2</v>
      </c>
      <c r="W61" s="847">
        <v>60.15</v>
      </c>
      <c r="X61" s="847">
        <v>65.67</v>
      </c>
      <c r="Y61" s="847">
        <v>71.069999999999993</v>
      </c>
      <c r="Z61" s="847">
        <v>76.599999999999994</v>
      </c>
      <c r="AA61" s="847">
        <v>82.01</v>
      </c>
      <c r="AB61" s="847">
        <v>87.52</v>
      </c>
      <c r="AC61" s="847">
        <v>93.05</v>
      </c>
      <c r="AD61" s="847">
        <v>98.57</v>
      </c>
      <c r="AE61" s="847">
        <v>104.1</v>
      </c>
      <c r="AF61" s="847">
        <v>109.49</v>
      </c>
      <c r="AG61" s="847">
        <v>115.03</v>
      </c>
      <c r="AH61" s="847">
        <v>120.56</v>
      </c>
      <c r="AI61" s="848">
        <v>126.07</v>
      </c>
      <c r="AJ61" s="690">
        <f t="shared" si="8"/>
        <v>131.57999999999998</v>
      </c>
      <c r="AK61" s="690">
        <f t="shared" si="9"/>
        <v>137.08999999999997</v>
      </c>
      <c r="AL61" s="690">
        <f t="shared" si="9"/>
        <v>142.59999999999997</v>
      </c>
      <c r="AM61" s="690">
        <f t="shared" si="9"/>
        <v>148.10999999999996</v>
      </c>
      <c r="AN61" s="690">
        <f t="shared" si="9"/>
        <v>153.61999999999995</v>
      </c>
      <c r="AO61" s="690">
        <f t="shared" si="9"/>
        <v>159.12999999999994</v>
      </c>
      <c r="AP61" s="690">
        <f t="shared" si="9"/>
        <v>164.63999999999993</v>
      </c>
    </row>
    <row r="62" spans="1:42">
      <c r="A62" s="1538"/>
      <c r="B62" s="262">
        <v>1.3</v>
      </c>
      <c r="C62" s="314">
        <f>(W62*KFC!$B$29+KFC!$C$29)*KFC!$C$5</f>
        <v>62.45</v>
      </c>
      <c r="D62" s="315">
        <f>(X62*KFC!$B$29+KFC!$C$29)*KFC!$C$5</f>
        <v>67.86</v>
      </c>
      <c r="E62" s="315">
        <f>(Y62*KFC!$B$29+KFC!$C$29)*KFC!$C$5</f>
        <v>73.510000000000005</v>
      </c>
      <c r="F62" s="315">
        <f>(Z62*KFC!$B$29+KFC!$C$29)*KFC!$C$5</f>
        <v>79.040000000000006</v>
      </c>
      <c r="G62" s="315">
        <f>(AA62*KFC!$B$29+KFC!$C$29)*KFC!$C$5</f>
        <v>84.57</v>
      </c>
      <c r="H62" s="315">
        <f>(AB62*KFC!$B$29+KFC!$C$29)*KFC!$C$5</f>
        <v>90.09</v>
      </c>
      <c r="I62" s="315">
        <f>(AC62*KFC!$B$29+KFC!$C$29)*KFC!$C$5</f>
        <v>95.62</v>
      </c>
      <c r="J62" s="315">
        <f>(AD62*KFC!$B$29+KFC!$C$29)*KFC!$C$5</f>
        <v>101.01</v>
      </c>
      <c r="K62" s="315">
        <f>(AE62*KFC!$B$29+KFC!$C$29)*KFC!$C$5</f>
        <v>106.54</v>
      </c>
      <c r="L62" s="315">
        <f>(AF62*KFC!$B$29+KFC!$C$29)*KFC!$C$5</f>
        <v>112.07</v>
      </c>
      <c r="M62" s="315">
        <f>(AG62*KFC!$B$29+KFC!$C$29)*KFC!$C$5</f>
        <v>121.45</v>
      </c>
      <c r="N62" s="315">
        <f>(AH62*KFC!$B$29+KFC!$C$29)*KFC!$C$5</f>
        <v>123.12</v>
      </c>
      <c r="O62" s="315">
        <f>(AI62*KFC!$B$29+KFC!$C$29)*KFC!$C$5</f>
        <v>124.79</v>
      </c>
      <c r="P62" s="315">
        <f>(AJ62*KFC!$B$29+KFC!$C$29)*KFC!$C$5</f>
        <v>126.46000000000001</v>
      </c>
      <c r="Q62" s="315">
        <f>(AK62*KFC!$B$29+KFC!$C$29)*KFC!$C$5</f>
        <v>128.13</v>
      </c>
      <c r="R62" s="315">
        <f>(AL62*KFC!$B$29+KFC!$C$29)*KFC!$C$5</f>
        <v>129.79999999999998</v>
      </c>
      <c r="S62" s="315">
        <f>(AM62*KFC!$B$29+KFC!$C$29)*KFC!$C$5</f>
        <v>131.46999999999997</v>
      </c>
      <c r="T62" s="315">
        <f>(AN62*KFC!$B$29+KFC!$C$29)*KFC!$C$5</f>
        <v>133.13999999999996</v>
      </c>
      <c r="V62" s="851">
        <v>1.3</v>
      </c>
      <c r="W62" s="847">
        <v>62.45</v>
      </c>
      <c r="X62" s="847">
        <v>67.86</v>
      </c>
      <c r="Y62" s="847">
        <v>73.510000000000005</v>
      </c>
      <c r="Z62" s="847">
        <v>79.040000000000006</v>
      </c>
      <c r="AA62" s="847">
        <v>84.57</v>
      </c>
      <c r="AB62" s="847">
        <v>90.09</v>
      </c>
      <c r="AC62" s="847">
        <v>95.62</v>
      </c>
      <c r="AD62" s="847">
        <v>101.01</v>
      </c>
      <c r="AE62" s="847">
        <v>106.54</v>
      </c>
      <c r="AF62" s="847">
        <v>112.07</v>
      </c>
      <c r="AG62" s="847">
        <v>121.45</v>
      </c>
      <c r="AH62" s="847">
        <v>123.12</v>
      </c>
      <c r="AI62" s="848">
        <v>124.79</v>
      </c>
      <c r="AJ62" s="690">
        <f t="shared" si="8"/>
        <v>126.46000000000001</v>
      </c>
      <c r="AK62" s="690">
        <f t="shared" si="9"/>
        <v>128.13</v>
      </c>
      <c r="AL62" s="690">
        <f t="shared" si="9"/>
        <v>129.79999999999998</v>
      </c>
      <c r="AM62" s="690">
        <f t="shared" si="9"/>
        <v>131.46999999999997</v>
      </c>
      <c r="AN62" s="690">
        <f t="shared" si="9"/>
        <v>133.13999999999996</v>
      </c>
      <c r="AO62" s="690">
        <f t="shared" si="9"/>
        <v>134.80999999999995</v>
      </c>
      <c r="AP62" s="690">
        <f t="shared" si="9"/>
        <v>136.47999999999993</v>
      </c>
    </row>
    <row r="63" spans="1:42">
      <c r="A63" s="1538"/>
      <c r="B63" s="262">
        <v>1.4</v>
      </c>
      <c r="C63" s="314">
        <f>(W63*KFC!$B$29+KFC!$C$29)*KFC!$C$5</f>
        <v>64.77</v>
      </c>
      <c r="D63" s="315">
        <f>(X63*KFC!$B$29+KFC!$C$29)*KFC!$C$5</f>
        <v>70.3</v>
      </c>
      <c r="E63" s="315">
        <f>(Y63*KFC!$B$29+KFC!$C$29)*KFC!$C$5</f>
        <v>75.959999999999994</v>
      </c>
      <c r="F63" s="315">
        <f>(Z63*KFC!$B$29+KFC!$C$29)*KFC!$C$5</f>
        <v>81.48</v>
      </c>
      <c r="G63" s="315">
        <f>(AA63*KFC!$B$29+KFC!$C$29)*KFC!$C$5</f>
        <v>86.88</v>
      </c>
      <c r="H63" s="315">
        <f>(AB63*KFC!$B$29+KFC!$C$29)*KFC!$C$5</f>
        <v>92.41</v>
      </c>
      <c r="I63" s="315">
        <f>(AC63*KFC!$B$29+KFC!$C$29)*KFC!$C$5</f>
        <v>98.07</v>
      </c>
      <c r="J63" s="315">
        <f>(AD63*KFC!$B$29+KFC!$C$29)*KFC!$C$5</f>
        <v>103.58</v>
      </c>
      <c r="K63" s="315">
        <f>(AE63*KFC!$B$29+KFC!$C$29)*KFC!$C$5</f>
        <v>109.12</v>
      </c>
      <c r="L63" s="315">
        <f>(AF63*KFC!$B$29+KFC!$C$29)*KFC!$C$5</f>
        <v>114.64</v>
      </c>
      <c r="M63" s="315">
        <f>(AG63*KFC!$B$29+KFC!$C$29)*KFC!$C$5</f>
        <v>120.29</v>
      </c>
      <c r="N63" s="315">
        <f>(AH63*KFC!$B$29+KFC!$C$29)*KFC!$C$5</f>
        <v>125.7</v>
      </c>
      <c r="O63" s="315">
        <f>(AI63*KFC!$B$29+KFC!$C$29)*KFC!$C$5</f>
        <v>131.09</v>
      </c>
      <c r="P63" s="315">
        <f>(AJ63*KFC!$B$29+KFC!$C$29)*KFC!$C$5</f>
        <v>136.48000000000002</v>
      </c>
      <c r="Q63" s="315">
        <f>(AK63*KFC!$B$29+KFC!$C$29)*KFC!$C$5</f>
        <v>141.87000000000003</v>
      </c>
      <c r="R63" s="315">
        <f>(AL63*KFC!$B$29+KFC!$C$29)*KFC!$C$5</f>
        <v>147.26000000000005</v>
      </c>
      <c r="S63" s="315">
        <f>(AM63*KFC!$B$29+KFC!$C$29)*KFC!$C$5</f>
        <v>152.65000000000006</v>
      </c>
      <c r="T63" s="315">
        <f>(AN63*KFC!$B$29+KFC!$C$29)*KFC!$C$5</f>
        <v>158.04000000000008</v>
      </c>
      <c r="V63" s="851">
        <v>1.4</v>
      </c>
      <c r="W63" s="847">
        <v>64.77</v>
      </c>
      <c r="X63" s="847">
        <v>70.3</v>
      </c>
      <c r="Y63" s="847">
        <v>75.959999999999994</v>
      </c>
      <c r="Z63" s="847">
        <v>81.48</v>
      </c>
      <c r="AA63" s="847">
        <v>86.88</v>
      </c>
      <c r="AB63" s="847">
        <v>92.41</v>
      </c>
      <c r="AC63" s="847">
        <v>98.07</v>
      </c>
      <c r="AD63" s="847">
        <v>103.58</v>
      </c>
      <c r="AE63" s="847">
        <v>109.12</v>
      </c>
      <c r="AF63" s="847">
        <v>114.64</v>
      </c>
      <c r="AG63" s="847">
        <v>120.29</v>
      </c>
      <c r="AH63" s="847">
        <v>125.7</v>
      </c>
      <c r="AI63" s="848">
        <v>131.09</v>
      </c>
      <c r="AJ63" s="690">
        <f t="shared" si="8"/>
        <v>136.48000000000002</v>
      </c>
      <c r="AK63" s="690">
        <f t="shared" si="9"/>
        <v>141.87000000000003</v>
      </c>
      <c r="AL63" s="690">
        <f t="shared" si="9"/>
        <v>147.26000000000005</v>
      </c>
      <c r="AM63" s="690">
        <f t="shared" si="9"/>
        <v>152.65000000000006</v>
      </c>
      <c r="AN63" s="690">
        <f t="shared" si="9"/>
        <v>158.04000000000008</v>
      </c>
      <c r="AO63" s="690">
        <f t="shared" si="9"/>
        <v>163.43000000000009</v>
      </c>
      <c r="AP63" s="690">
        <f t="shared" si="9"/>
        <v>168.82000000000011</v>
      </c>
    </row>
    <row r="64" spans="1:42">
      <c r="A64" s="1538"/>
      <c r="B64" s="262">
        <v>1.5</v>
      </c>
      <c r="C64" s="314">
        <f>(W64*KFC!$B$29+KFC!$C$29)*KFC!$C$5</f>
        <v>67.08</v>
      </c>
      <c r="D64" s="315">
        <f>(X64*KFC!$B$29+KFC!$C$29)*KFC!$C$5</f>
        <v>72.62</v>
      </c>
      <c r="E64" s="315">
        <f>(Y64*KFC!$B$29+KFC!$C$29)*KFC!$C$5</f>
        <v>78.27</v>
      </c>
      <c r="F64" s="315">
        <f>(Z64*KFC!$B$29+KFC!$C$29)*KFC!$C$5</f>
        <v>83.79</v>
      </c>
      <c r="G64" s="315">
        <f>(AA64*KFC!$B$29+KFC!$C$29)*KFC!$C$5</f>
        <v>89.32</v>
      </c>
      <c r="H64" s="315">
        <f>(AB64*KFC!$B$29+KFC!$C$29)*KFC!$C$5</f>
        <v>94.98</v>
      </c>
      <c r="I64" s="315">
        <f>(AC64*KFC!$B$29+KFC!$C$29)*KFC!$C$5</f>
        <v>100.37</v>
      </c>
      <c r="J64" s="315">
        <f>(AD64*KFC!$B$29+KFC!$C$29)*KFC!$C$5</f>
        <v>106.16</v>
      </c>
      <c r="K64" s="315">
        <f>(AE64*KFC!$B$29+KFC!$C$29)*KFC!$C$5</f>
        <v>111.56</v>
      </c>
      <c r="L64" s="315">
        <f>(AF64*KFC!$B$29+KFC!$C$29)*KFC!$C$5</f>
        <v>117.2</v>
      </c>
      <c r="M64" s="315">
        <f>(AG64*KFC!$B$29+KFC!$C$29)*KFC!$C$5</f>
        <v>122.73</v>
      </c>
      <c r="N64" s="315">
        <f>(AH64*KFC!$B$29+KFC!$C$29)*KFC!$C$5</f>
        <v>128.38999999999999</v>
      </c>
      <c r="O64" s="315">
        <f>(AI64*KFC!$B$29+KFC!$C$29)*KFC!$C$5</f>
        <v>134.05000000000001</v>
      </c>
      <c r="P64" s="315">
        <f>(AJ64*KFC!$B$29+KFC!$C$29)*KFC!$C$5</f>
        <v>139.71000000000004</v>
      </c>
      <c r="Q64" s="315">
        <f>(AK64*KFC!$B$29+KFC!$C$29)*KFC!$C$5</f>
        <v>145.37000000000006</v>
      </c>
      <c r="R64" s="315">
        <f>(AL64*KFC!$B$29+KFC!$C$29)*KFC!$C$5</f>
        <v>151.03000000000009</v>
      </c>
      <c r="S64" s="315">
        <f>(AM64*KFC!$B$29+KFC!$C$29)*KFC!$C$5</f>
        <v>156.69000000000011</v>
      </c>
      <c r="T64" s="315">
        <f>(AN64*KFC!$B$29+KFC!$C$29)*KFC!$C$5</f>
        <v>162.35000000000014</v>
      </c>
      <c r="V64" s="851">
        <v>1.5</v>
      </c>
      <c r="W64" s="847">
        <v>67.08</v>
      </c>
      <c r="X64" s="847">
        <v>72.62</v>
      </c>
      <c r="Y64" s="847">
        <v>78.27</v>
      </c>
      <c r="Z64" s="847">
        <v>83.79</v>
      </c>
      <c r="AA64" s="847">
        <v>89.32</v>
      </c>
      <c r="AB64" s="847">
        <v>94.98</v>
      </c>
      <c r="AC64" s="847">
        <v>100.37</v>
      </c>
      <c r="AD64" s="847">
        <v>106.16</v>
      </c>
      <c r="AE64" s="847">
        <v>111.56</v>
      </c>
      <c r="AF64" s="847">
        <v>117.2</v>
      </c>
      <c r="AG64" s="847">
        <v>122.73</v>
      </c>
      <c r="AH64" s="847">
        <v>128.38999999999999</v>
      </c>
      <c r="AI64" s="848">
        <v>134.05000000000001</v>
      </c>
      <c r="AJ64" s="690">
        <f t="shared" si="8"/>
        <v>139.71000000000004</v>
      </c>
      <c r="AK64" s="690">
        <f t="shared" si="9"/>
        <v>145.37000000000006</v>
      </c>
      <c r="AL64" s="690">
        <f t="shared" si="9"/>
        <v>151.03000000000009</v>
      </c>
      <c r="AM64" s="690">
        <f t="shared" si="9"/>
        <v>156.69000000000011</v>
      </c>
      <c r="AN64" s="690">
        <f t="shared" si="9"/>
        <v>162.35000000000014</v>
      </c>
      <c r="AO64" s="690">
        <f t="shared" si="9"/>
        <v>168.01000000000016</v>
      </c>
      <c r="AP64" s="690">
        <f t="shared" si="9"/>
        <v>173.67000000000019</v>
      </c>
    </row>
    <row r="65" spans="1:42">
      <c r="A65" s="1538"/>
      <c r="B65" s="262">
        <v>1.6</v>
      </c>
      <c r="C65" s="314">
        <f>(W65*KFC!$B$29+KFC!$C$29)*KFC!$C$5</f>
        <v>69.28</v>
      </c>
      <c r="D65" s="315">
        <f>(X65*KFC!$B$29+KFC!$C$29)*KFC!$C$5</f>
        <v>74.930000000000007</v>
      </c>
      <c r="E65" s="315">
        <f>(Y65*KFC!$B$29+KFC!$C$29)*KFC!$C$5</f>
        <v>80.58</v>
      </c>
      <c r="F65" s="315">
        <f>(Z65*KFC!$B$29+KFC!$C$29)*KFC!$C$5</f>
        <v>86.11</v>
      </c>
      <c r="G65" s="315">
        <f>(AA65*KFC!$B$29+KFC!$C$29)*KFC!$C$5</f>
        <v>91.77</v>
      </c>
      <c r="H65" s="315">
        <f>(AB65*KFC!$B$29+KFC!$C$29)*KFC!$C$5</f>
        <v>97.42</v>
      </c>
      <c r="I65" s="315">
        <f>(AC65*KFC!$B$29+KFC!$C$29)*KFC!$C$5</f>
        <v>102.94</v>
      </c>
      <c r="J65" s="315">
        <f>(AD65*KFC!$B$29+KFC!$C$29)*KFC!$C$5</f>
        <v>108.6</v>
      </c>
      <c r="K65" s="315">
        <f>(AE65*KFC!$B$29+KFC!$C$29)*KFC!$C$5</f>
        <v>114.14</v>
      </c>
      <c r="L65" s="315">
        <f>(AF65*KFC!$B$29+KFC!$C$29)*KFC!$C$5</f>
        <v>119.77</v>
      </c>
      <c r="M65" s="315">
        <f>(AG65*KFC!$B$29+KFC!$C$29)*KFC!$C$5</f>
        <v>125.43</v>
      </c>
      <c r="N65" s="315">
        <f>(AH65*KFC!$B$29+KFC!$C$29)*KFC!$C$5</f>
        <v>130.97</v>
      </c>
      <c r="O65" s="315">
        <f>(AI65*KFC!$B$29+KFC!$C$29)*KFC!$C$5</f>
        <v>136.47999999999999</v>
      </c>
      <c r="P65" s="315">
        <f>(AJ65*KFC!$B$29+KFC!$C$29)*KFC!$C$5</f>
        <v>141.98999999999998</v>
      </c>
      <c r="Q65" s="315">
        <f>(AK65*KFC!$B$29+KFC!$C$29)*KFC!$C$5</f>
        <v>147.49999999999997</v>
      </c>
      <c r="R65" s="315">
        <f>(AL65*KFC!$B$29+KFC!$C$29)*KFC!$C$5</f>
        <v>153.00999999999996</v>
      </c>
      <c r="S65" s="315">
        <f>(AM65*KFC!$B$29+KFC!$C$29)*KFC!$C$5</f>
        <v>158.51999999999995</v>
      </c>
      <c r="T65" s="315">
        <f>(AN65*KFC!$B$29+KFC!$C$29)*KFC!$C$5</f>
        <v>164.02999999999994</v>
      </c>
      <c r="V65" s="851">
        <v>1.6</v>
      </c>
      <c r="W65" s="847">
        <v>69.28</v>
      </c>
      <c r="X65" s="847">
        <v>74.930000000000007</v>
      </c>
      <c r="Y65" s="847">
        <v>80.58</v>
      </c>
      <c r="Z65" s="847">
        <v>86.11</v>
      </c>
      <c r="AA65" s="847">
        <v>91.77</v>
      </c>
      <c r="AB65" s="847">
        <v>97.42</v>
      </c>
      <c r="AC65" s="847">
        <v>102.94</v>
      </c>
      <c r="AD65" s="847">
        <v>108.6</v>
      </c>
      <c r="AE65" s="847">
        <v>114.14</v>
      </c>
      <c r="AF65" s="847">
        <v>119.77</v>
      </c>
      <c r="AG65" s="847">
        <v>125.43</v>
      </c>
      <c r="AH65" s="847">
        <v>130.97</v>
      </c>
      <c r="AI65" s="848">
        <v>136.47999999999999</v>
      </c>
      <c r="AJ65" s="690">
        <f t="shared" si="8"/>
        <v>141.98999999999998</v>
      </c>
      <c r="AK65" s="690">
        <f t="shared" si="9"/>
        <v>147.49999999999997</v>
      </c>
      <c r="AL65" s="690">
        <f t="shared" si="9"/>
        <v>153.00999999999996</v>
      </c>
      <c r="AM65" s="690">
        <f t="shared" si="9"/>
        <v>158.51999999999995</v>
      </c>
      <c r="AN65" s="690">
        <f t="shared" si="9"/>
        <v>164.02999999999994</v>
      </c>
      <c r="AO65" s="690">
        <f t="shared" si="9"/>
        <v>169.53999999999994</v>
      </c>
      <c r="AP65" s="690">
        <f t="shared" si="9"/>
        <v>175.04999999999993</v>
      </c>
    </row>
    <row r="66" spans="1:42">
      <c r="A66" s="1538"/>
      <c r="B66" s="262">
        <v>1.7</v>
      </c>
      <c r="C66" s="314">
        <f>(W66*KFC!$B$29+KFC!$C$29)*KFC!$C$5</f>
        <v>71.72</v>
      </c>
      <c r="D66" s="315">
        <f>(X66*KFC!$B$29+KFC!$C$29)*KFC!$C$5</f>
        <v>77.36</v>
      </c>
      <c r="E66" s="315">
        <f>(Y66*KFC!$B$29+KFC!$C$29)*KFC!$C$5</f>
        <v>83.02</v>
      </c>
      <c r="F66" s="315">
        <f>(Z66*KFC!$B$29+KFC!$C$29)*KFC!$C$5</f>
        <v>88.56</v>
      </c>
      <c r="G66" s="315">
        <f>(AA66*KFC!$B$29+KFC!$C$29)*KFC!$C$5</f>
        <v>94.21</v>
      </c>
      <c r="H66" s="315">
        <f>(AB66*KFC!$B$29+KFC!$C$29)*KFC!$C$5</f>
        <v>99.86</v>
      </c>
      <c r="I66" s="315">
        <f>(AC66*KFC!$B$29+KFC!$C$29)*KFC!$C$5</f>
        <v>105.51</v>
      </c>
      <c r="J66" s="315">
        <f>(AD66*KFC!$B$29+KFC!$C$29)*KFC!$C$5</f>
        <v>111.17</v>
      </c>
      <c r="K66" s="315">
        <f>(AE66*KFC!$B$29+KFC!$C$29)*KFC!$C$5</f>
        <v>116.82</v>
      </c>
      <c r="L66" s="315">
        <f>(AF66*KFC!$B$29+KFC!$C$29)*KFC!$C$5</f>
        <v>122.22</v>
      </c>
      <c r="M66" s="315">
        <f>(AG66*KFC!$B$29+KFC!$C$29)*KFC!$C$5</f>
        <v>128.01</v>
      </c>
      <c r="N66" s="315">
        <f>(AH66*KFC!$B$29+KFC!$C$29)*KFC!$C$5</f>
        <v>133.66999999999999</v>
      </c>
      <c r="O66" s="315">
        <f>(AI66*KFC!$B$29+KFC!$C$29)*KFC!$C$5</f>
        <v>139.31</v>
      </c>
      <c r="P66" s="315">
        <f>(AJ66*KFC!$B$29+KFC!$C$29)*KFC!$C$5</f>
        <v>144.95000000000002</v>
      </c>
      <c r="Q66" s="315">
        <f>(AK66*KFC!$B$29+KFC!$C$29)*KFC!$C$5</f>
        <v>150.59000000000003</v>
      </c>
      <c r="R66" s="315">
        <f>(AL66*KFC!$B$29+KFC!$C$29)*KFC!$C$5</f>
        <v>156.23000000000005</v>
      </c>
      <c r="S66" s="315">
        <f>(AM66*KFC!$B$29+KFC!$C$29)*KFC!$C$5</f>
        <v>161.87000000000006</v>
      </c>
      <c r="T66" s="315">
        <f>(AN66*KFC!$B$29+KFC!$C$29)*KFC!$C$5</f>
        <v>167.51000000000008</v>
      </c>
      <c r="V66" s="851">
        <v>1.7</v>
      </c>
      <c r="W66" s="847">
        <v>71.72</v>
      </c>
      <c r="X66" s="847">
        <v>77.36</v>
      </c>
      <c r="Y66" s="847">
        <v>83.02</v>
      </c>
      <c r="Z66" s="847">
        <v>88.56</v>
      </c>
      <c r="AA66" s="847">
        <v>94.21</v>
      </c>
      <c r="AB66" s="847">
        <v>99.86</v>
      </c>
      <c r="AC66" s="847">
        <v>105.51</v>
      </c>
      <c r="AD66" s="847">
        <v>111.17</v>
      </c>
      <c r="AE66" s="847">
        <v>116.82</v>
      </c>
      <c r="AF66" s="847">
        <v>122.22</v>
      </c>
      <c r="AG66" s="847">
        <v>128.01</v>
      </c>
      <c r="AH66" s="847">
        <v>133.66999999999999</v>
      </c>
      <c r="AI66" s="848">
        <v>139.31</v>
      </c>
      <c r="AJ66" s="690">
        <f t="shared" si="8"/>
        <v>144.95000000000002</v>
      </c>
      <c r="AK66" s="690">
        <f t="shared" si="9"/>
        <v>150.59000000000003</v>
      </c>
      <c r="AL66" s="690">
        <f t="shared" si="9"/>
        <v>156.23000000000005</v>
      </c>
      <c r="AM66" s="690">
        <f t="shared" si="9"/>
        <v>161.87000000000006</v>
      </c>
      <c r="AN66" s="690">
        <f t="shared" si="9"/>
        <v>167.51000000000008</v>
      </c>
      <c r="AO66" s="690">
        <f t="shared" si="9"/>
        <v>173.15000000000009</v>
      </c>
      <c r="AP66" s="690">
        <f t="shared" si="9"/>
        <v>178.79000000000011</v>
      </c>
    </row>
    <row r="67" spans="1:42">
      <c r="A67" s="1538"/>
      <c r="B67" s="262">
        <v>1.8</v>
      </c>
      <c r="C67" s="314">
        <f>(W67*KFC!$B$29+KFC!$C$29)*KFC!$C$5</f>
        <v>74.03</v>
      </c>
      <c r="D67" s="315">
        <f>(X67*KFC!$B$29+KFC!$C$29)*KFC!$C$5</f>
        <v>79.680000000000007</v>
      </c>
      <c r="E67" s="315">
        <f>(Y67*KFC!$B$29+KFC!$C$29)*KFC!$C$5</f>
        <v>85.34</v>
      </c>
      <c r="F67" s="315">
        <f>(Z67*KFC!$B$29+KFC!$C$29)*KFC!$C$5</f>
        <v>90.99</v>
      </c>
      <c r="G67" s="315">
        <f>(AA67*KFC!$B$29+KFC!$C$29)*KFC!$C$5</f>
        <v>96.64</v>
      </c>
      <c r="H67" s="315">
        <f>(AB67*KFC!$B$29+KFC!$C$29)*KFC!$C$5</f>
        <v>102.3</v>
      </c>
      <c r="I67" s="315">
        <f>(AC67*KFC!$B$29+KFC!$C$29)*KFC!$C$5</f>
        <v>107.96</v>
      </c>
      <c r="J67" s="315">
        <f>(AD67*KFC!$B$29+KFC!$C$29)*KFC!$C$5</f>
        <v>113.61</v>
      </c>
      <c r="K67" s="315">
        <f>(AE67*KFC!$B$29+KFC!$C$29)*KFC!$C$5</f>
        <v>119.27</v>
      </c>
      <c r="L67" s="315">
        <f>(AF67*KFC!$B$29+KFC!$C$29)*KFC!$C$5</f>
        <v>124.92</v>
      </c>
      <c r="M67" s="315">
        <f>(AG67*KFC!$B$29+KFC!$C$29)*KFC!$C$5</f>
        <v>130.58000000000001</v>
      </c>
      <c r="N67" s="315">
        <f>(AH67*KFC!$B$29+KFC!$C$29)*KFC!$C$5</f>
        <v>136.22999999999999</v>
      </c>
      <c r="O67" s="315">
        <f>(AI67*KFC!$B$29+KFC!$C$29)*KFC!$C$5</f>
        <v>141.88999999999999</v>
      </c>
      <c r="P67" s="315">
        <f>(AJ67*KFC!$B$29+KFC!$C$29)*KFC!$C$5</f>
        <v>147.54999999999998</v>
      </c>
      <c r="Q67" s="315">
        <f>(AK67*KFC!$B$29+KFC!$C$29)*KFC!$C$5</f>
        <v>153.20999999999998</v>
      </c>
      <c r="R67" s="315">
        <f>(AL67*KFC!$B$29+KFC!$C$29)*KFC!$C$5</f>
        <v>158.86999999999998</v>
      </c>
      <c r="S67" s="315">
        <f>(AM67*KFC!$B$29+KFC!$C$29)*KFC!$C$5</f>
        <v>164.52999999999997</v>
      </c>
      <c r="T67" s="315">
        <f>(AN67*KFC!$B$29+KFC!$C$29)*KFC!$C$5</f>
        <v>170.18999999999997</v>
      </c>
      <c r="V67" s="851">
        <v>1.8</v>
      </c>
      <c r="W67" s="847">
        <v>74.03</v>
      </c>
      <c r="X67" s="847">
        <v>79.680000000000007</v>
      </c>
      <c r="Y67" s="847">
        <v>85.34</v>
      </c>
      <c r="Z67" s="847">
        <v>90.99</v>
      </c>
      <c r="AA67" s="847">
        <v>96.64</v>
      </c>
      <c r="AB67" s="847">
        <v>102.3</v>
      </c>
      <c r="AC67" s="847">
        <v>107.96</v>
      </c>
      <c r="AD67" s="847">
        <v>113.61</v>
      </c>
      <c r="AE67" s="847">
        <v>119.27</v>
      </c>
      <c r="AF67" s="847">
        <v>124.92</v>
      </c>
      <c r="AG67" s="847">
        <v>130.58000000000001</v>
      </c>
      <c r="AH67" s="847">
        <v>136.22999999999999</v>
      </c>
      <c r="AI67" s="848">
        <v>141.88999999999999</v>
      </c>
      <c r="AJ67" s="690">
        <f t="shared" si="8"/>
        <v>147.54999999999998</v>
      </c>
      <c r="AK67" s="690">
        <f t="shared" si="9"/>
        <v>153.20999999999998</v>
      </c>
      <c r="AL67" s="690">
        <f t="shared" si="9"/>
        <v>158.86999999999998</v>
      </c>
      <c r="AM67" s="690">
        <f t="shared" si="9"/>
        <v>164.52999999999997</v>
      </c>
      <c r="AN67" s="690">
        <f t="shared" si="9"/>
        <v>170.18999999999997</v>
      </c>
      <c r="AO67" s="690">
        <f t="shared" si="9"/>
        <v>175.84999999999997</v>
      </c>
      <c r="AP67" s="690">
        <f t="shared" si="9"/>
        <v>181.50999999999996</v>
      </c>
    </row>
    <row r="68" spans="1:42">
      <c r="A68" s="1538"/>
      <c r="B68" s="262">
        <v>1.9</v>
      </c>
      <c r="C68" s="314">
        <f>(W68*KFC!$B$29+KFC!$C$29)*KFC!$C$5</f>
        <v>76.22</v>
      </c>
      <c r="D68" s="315">
        <f>(X68*KFC!$B$29+KFC!$C$29)*KFC!$C$5</f>
        <v>82.01</v>
      </c>
      <c r="E68" s="315">
        <f>(Y68*KFC!$B$29+KFC!$C$29)*KFC!$C$5</f>
        <v>87.64</v>
      </c>
      <c r="F68" s="315">
        <f>(Z68*KFC!$B$29+KFC!$C$29)*KFC!$C$5</f>
        <v>93.3</v>
      </c>
      <c r="G68" s="315">
        <f>(AA68*KFC!$B$29+KFC!$C$29)*KFC!$C$5</f>
        <v>98.96</v>
      </c>
      <c r="H68" s="315">
        <f>(AB68*KFC!$B$29+KFC!$C$29)*KFC!$C$5</f>
        <v>104.75</v>
      </c>
      <c r="I68" s="315">
        <f>(AC68*KFC!$B$29+KFC!$C$29)*KFC!$C$5</f>
        <v>110.4</v>
      </c>
      <c r="J68" s="315">
        <f>(AD68*KFC!$B$29+KFC!$C$29)*KFC!$C$5</f>
        <v>116.18</v>
      </c>
      <c r="K68" s="315">
        <f>(AE68*KFC!$B$29+KFC!$C$29)*KFC!$C$5</f>
        <v>121.84</v>
      </c>
      <c r="L68" s="315">
        <f>(AF68*KFC!$B$29+KFC!$C$29)*KFC!$C$5</f>
        <v>127.49</v>
      </c>
      <c r="M68" s="315">
        <f>(AG68*KFC!$B$29+KFC!$C$29)*KFC!$C$5</f>
        <v>133.13999999999999</v>
      </c>
      <c r="N68" s="315">
        <f>(AH68*KFC!$B$29+KFC!$C$29)*KFC!$C$5</f>
        <v>138.80000000000001</v>
      </c>
      <c r="O68" s="315">
        <f>(AI68*KFC!$B$29+KFC!$C$29)*KFC!$C$5</f>
        <v>144.46</v>
      </c>
      <c r="P68" s="315">
        <f>(AJ68*KFC!$B$29+KFC!$C$29)*KFC!$C$5</f>
        <v>150.12</v>
      </c>
      <c r="Q68" s="315">
        <f>(AK68*KFC!$B$29+KFC!$C$29)*KFC!$C$5</f>
        <v>155.78</v>
      </c>
      <c r="R68" s="315">
        <f>(AL68*KFC!$B$29+KFC!$C$29)*KFC!$C$5</f>
        <v>161.44</v>
      </c>
      <c r="S68" s="315">
        <f>(AM68*KFC!$B$29+KFC!$C$29)*KFC!$C$5</f>
        <v>167.1</v>
      </c>
      <c r="T68" s="315">
        <f>(AN68*KFC!$B$29+KFC!$C$29)*KFC!$C$5</f>
        <v>172.76</v>
      </c>
      <c r="V68" s="851">
        <v>1.9</v>
      </c>
      <c r="W68" s="847">
        <v>76.22</v>
      </c>
      <c r="X68" s="847">
        <v>82.01</v>
      </c>
      <c r="Y68" s="847">
        <v>87.64</v>
      </c>
      <c r="Z68" s="847">
        <v>93.3</v>
      </c>
      <c r="AA68" s="847">
        <v>98.96</v>
      </c>
      <c r="AB68" s="847">
        <v>104.75</v>
      </c>
      <c r="AC68" s="847">
        <v>110.4</v>
      </c>
      <c r="AD68" s="847">
        <v>116.18</v>
      </c>
      <c r="AE68" s="847">
        <v>121.84</v>
      </c>
      <c r="AF68" s="847">
        <v>127.49</v>
      </c>
      <c r="AG68" s="847">
        <v>133.13999999999999</v>
      </c>
      <c r="AH68" s="847">
        <v>138.80000000000001</v>
      </c>
      <c r="AI68" s="848">
        <v>144.46</v>
      </c>
      <c r="AJ68" s="690">
        <f t="shared" si="8"/>
        <v>150.12</v>
      </c>
      <c r="AK68" s="690">
        <f t="shared" si="9"/>
        <v>155.78</v>
      </c>
      <c r="AL68" s="690">
        <f t="shared" si="9"/>
        <v>161.44</v>
      </c>
      <c r="AM68" s="690">
        <f t="shared" si="9"/>
        <v>167.1</v>
      </c>
      <c r="AN68" s="690">
        <f t="shared" si="9"/>
        <v>172.76</v>
      </c>
      <c r="AO68" s="690">
        <f t="shared" si="9"/>
        <v>178.42</v>
      </c>
      <c r="AP68" s="690">
        <f t="shared" si="9"/>
        <v>184.07999999999998</v>
      </c>
    </row>
    <row r="69" spans="1:42">
      <c r="A69" s="1538"/>
      <c r="B69" s="262">
        <v>2</v>
      </c>
      <c r="C69" s="314">
        <f>(W69*KFC!$B$29+KFC!$C$29)*KFC!$C$5</f>
        <v>78.650000000000006</v>
      </c>
      <c r="D69" s="315">
        <f>(X69*KFC!$B$29+KFC!$C$29)*KFC!$C$5</f>
        <v>84.3</v>
      </c>
      <c r="E69" s="315">
        <f>(Y69*KFC!$B$29+KFC!$C$29)*KFC!$C$5</f>
        <v>90.09</v>
      </c>
      <c r="F69" s="315">
        <f>(Z69*KFC!$B$29+KFC!$C$29)*KFC!$C$5</f>
        <v>95.75</v>
      </c>
      <c r="G69" s="315">
        <f>(AA69*KFC!$B$29+KFC!$C$29)*KFC!$C$5</f>
        <v>101.41</v>
      </c>
      <c r="H69" s="315">
        <f>(AB69*KFC!$B$29+KFC!$C$29)*KFC!$C$5</f>
        <v>107.18</v>
      </c>
      <c r="I69" s="315">
        <f>(AC69*KFC!$B$29+KFC!$C$29)*KFC!$C$5</f>
        <v>112.84</v>
      </c>
      <c r="J69" s="315">
        <f>(AD69*KFC!$B$29+KFC!$C$29)*KFC!$C$5</f>
        <v>118.63</v>
      </c>
      <c r="K69" s="315">
        <f>(AE69*KFC!$B$29+KFC!$C$29)*KFC!$C$5</f>
        <v>124.28</v>
      </c>
      <c r="L69" s="315">
        <f>(AF69*KFC!$B$29+KFC!$C$29)*KFC!$C$5</f>
        <v>129.93</v>
      </c>
      <c r="M69" s="315">
        <f>(AG69*KFC!$B$29+KFC!$C$29)*KFC!$C$5</f>
        <v>135.84</v>
      </c>
      <c r="N69" s="315">
        <f>(AH69*KFC!$B$29+KFC!$C$29)*KFC!$C$5</f>
        <v>141.5</v>
      </c>
      <c r="O69" s="315">
        <f>(AI69*KFC!$B$29+KFC!$C$29)*KFC!$C$5</f>
        <v>147.16</v>
      </c>
      <c r="P69" s="315">
        <f>(AJ69*KFC!$B$29+KFC!$C$29)*KFC!$C$5</f>
        <v>152.82</v>
      </c>
      <c r="Q69" s="315">
        <f>(AK69*KFC!$B$29+KFC!$C$29)*KFC!$C$5</f>
        <v>158.47999999999999</v>
      </c>
      <c r="R69" s="315">
        <f>(AL69*KFC!$B$29+KFC!$C$29)*KFC!$C$5</f>
        <v>164.14</v>
      </c>
      <c r="S69" s="315">
        <f>(AM69*KFC!$B$29+KFC!$C$29)*KFC!$C$5</f>
        <v>169.79999999999998</v>
      </c>
      <c r="T69" s="315">
        <f>(AN69*KFC!$B$29+KFC!$C$29)*KFC!$C$5</f>
        <v>175.45999999999998</v>
      </c>
      <c r="V69" s="851">
        <v>2</v>
      </c>
      <c r="W69" s="847">
        <v>78.650000000000006</v>
      </c>
      <c r="X69" s="847">
        <v>84.3</v>
      </c>
      <c r="Y69" s="847">
        <v>90.09</v>
      </c>
      <c r="Z69" s="847">
        <v>95.75</v>
      </c>
      <c r="AA69" s="847">
        <v>101.41</v>
      </c>
      <c r="AB69" s="847">
        <v>107.18</v>
      </c>
      <c r="AC69" s="847">
        <v>112.84</v>
      </c>
      <c r="AD69" s="847">
        <v>118.63</v>
      </c>
      <c r="AE69" s="847">
        <v>124.28</v>
      </c>
      <c r="AF69" s="847">
        <v>129.93</v>
      </c>
      <c r="AG69" s="847">
        <v>135.84</v>
      </c>
      <c r="AH69" s="847">
        <v>141.5</v>
      </c>
      <c r="AI69" s="848">
        <v>147.16</v>
      </c>
      <c r="AJ69" s="690">
        <f t="shared" si="8"/>
        <v>152.82</v>
      </c>
      <c r="AK69" s="690">
        <f t="shared" si="9"/>
        <v>158.47999999999999</v>
      </c>
      <c r="AL69" s="690">
        <f t="shared" si="9"/>
        <v>164.14</v>
      </c>
      <c r="AM69" s="690">
        <f t="shared" si="9"/>
        <v>169.79999999999998</v>
      </c>
      <c r="AN69" s="690">
        <f t="shared" si="9"/>
        <v>175.45999999999998</v>
      </c>
      <c r="AO69" s="690">
        <f t="shared" si="9"/>
        <v>181.11999999999998</v>
      </c>
      <c r="AP69" s="690">
        <f t="shared" si="9"/>
        <v>186.77999999999997</v>
      </c>
    </row>
    <row r="70" spans="1:42">
      <c r="A70" s="1538"/>
      <c r="B70" s="262">
        <v>2.1</v>
      </c>
      <c r="C70" s="314">
        <f>(W70*KFC!$B$29+KFC!$C$29)*KFC!$C$5</f>
        <v>81.09</v>
      </c>
      <c r="D70" s="315">
        <f>(X70*KFC!$B$29+KFC!$C$29)*KFC!$C$5</f>
        <v>86.63</v>
      </c>
      <c r="E70" s="315">
        <f>(Y70*KFC!$B$29+KFC!$C$29)*KFC!$C$5</f>
        <v>92.54</v>
      </c>
      <c r="F70" s="315">
        <f>(Z70*KFC!$B$29+KFC!$C$29)*KFC!$C$5</f>
        <v>98.2</v>
      </c>
      <c r="G70" s="315">
        <f>(AA70*KFC!$B$29+KFC!$C$29)*KFC!$C$5</f>
        <v>103.85</v>
      </c>
      <c r="H70" s="315">
        <f>(AB70*KFC!$B$29+KFC!$C$29)*KFC!$C$5</f>
        <v>109.63</v>
      </c>
      <c r="I70" s="315">
        <f>(AC70*KFC!$B$29+KFC!$C$29)*KFC!$C$5</f>
        <v>115.28</v>
      </c>
      <c r="J70" s="315">
        <f>(AD70*KFC!$B$29+KFC!$C$29)*KFC!$C$5</f>
        <v>121.07</v>
      </c>
      <c r="K70" s="315">
        <f>(AE70*KFC!$B$29+KFC!$C$29)*KFC!$C$5</f>
        <v>126.71</v>
      </c>
      <c r="L70" s="315">
        <f>(AF70*KFC!$B$29+KFC!$C$29)*KFC!$C$5</f>
        <v>132.37</v>
      </c>
      <c r="M70" s="315">
        <f>(AG70*KFC!$B$29+KFC!$C$29)*KFC!$C$5</f>
        <v>138.55000000000001</v>
      </c>
      <c r="N70" s="315">
        <f>(AH70*KFC!$B$29+KFC!$C$29)*KFC!$C$5</f>
        <v>144.19999999999999</v>
      </c>
      <c r="O70" s="315">
        <f>(AI70*KFC!$B$29+KFC!$C$29)*KFC!$C$5</f>
        <v>149.86000000000001</v>
      </c>
      <c r="P70" s="315">
        <f>(AJ70*KFC!$B$29+KFC!$C$29)*KFC!$C$5</f>
        <v>155.52000000000004</v>
      </c>
      <c r="Q70" s="315">
        <f>(AK70*KFC!$B$29+KFC!$C$29)*KFC!$C$5</f>
        <v>161.18000000000006</v>
      </c>
      <c r="R70" s="315">
        <f>(AL70*KFC!$B$29+KFC!$C$29)*KFC!$C$5</f>
        <v>166.84000000000009</v>
      </c>
      <c r="S70" s="315">
        <f>(AM70*KFC!$B$29+KFC!$C$29)*KFC!$C$5</f>
        <v>172.50000000000011</v>
      </c>
      <c r="T70" s="315">
        <f>(AN70*KFC!$B$29+KFC!$C$29)*KFC!$C$5</f>
        <v>178.16000000000014</v>
      </c>
      <c r="V70" s="851">
        <v>2.1</v>
      </c>
      <c r="W70" s="847">
        <v>81.09</v>
      </c>
      <c r="X70" s="847">
        <v>86.63</v>
      </c>
      <c r="Y70" s="847">
        <v>92.54</v>
      </c>
      <c r="Z70" s="847">
        <v>98.2</v>
      </c>
      <c r="AA70" s="847">
        <v>103.85</v>
      </c>
      <c r="AB70" s="847">
        <v>109.63</v>
      </c>
      <c r="AC70" s="847">
        <v>115.28</v>
      </c>
      <c r="AD70" s="847">
        <v>121.07</v>
      </c>
      <c r="AE70" s="847">
        <v>126.71</v>
      </c>
      <c r="AF70" s="847">
        <v>132.37</v>
      </c>
      <c r="AG70" s="847">
        <v>138.55000000000001</v>
      </c>
      <c r="AH70" s="847">
        <v>144.19999999999999</v>
      </c>
      <c r="AI70" s="848">
        <v>149.86000000000001</v>
      </c>
      <c r="AJ70" s="690">
        <f t="shared" si="8"/>
        <v>155.52000000000004</v>
      </c>
      <c r="AK70" s="690">
        <f t="shared" ref="AK70:AP70" si="10">AJ70-AI70+AJ70</f>
        <v>161.18000000000006</v>
      </c>
      <c r="AL70" s="690">
        <f t="shared" si="10"/>
        <v>166.84000000000009</v>
      </c>
      <c r="AM70" s="690">
        <f t="shared" si="10"/>
        <v>172.50000000000011</v>
      </c>
      <c r="AN70" s="690">
        <f t="shared" si="10"/>
        <v>178.16000000000014</v>
      </c>
      <c r="AO70" s="690">
        <f t="shared" si="10"/>
        <v>183.82000000000016</v>
      </c>
      <c r="AP70" s="690">
        <f t="shared" si="10"/>
        <v>189.48000000000019</v>
      </c>
    </row>
    <row r="71" spans="1:42" ht="13.8" thickBot="1">
      <c r="A71" s="1539"/>
      <c r="B71" s="263">
        <v>2.2000000000000002</v>
      </c>
      <c r="C71" s="317">
        <f>(W71*KFC!$B$29+KFC!$C$29)*KFC!$C$5</f>
        <v>83.54</v>
      </c>
      <c r="D71" s="318">
        <f>(X71*KFC!$B$29+KFC!$C$29)*KFC!$C$5</f>
        <v>88.94</v>
      </c>
      <c r="E71" s="318">
        <f>(Y71*KFC!$B$29+KFC!$C$29)*KFC!$C$5</f>
        <v>94.98</v>
      </c>
      <c r="F71" s="318">
        <f>(Z71*KFC!$B$29+KFC!$C$29)*KFC!$C$5</f>
        <v>100.63</v>
      </c>
      <c r="G71" s="318">
        <f>(AA71*KFC!$B$29+KFC!$C$29)*KFC!$C$5</f>
        <v>106.28</v>
      </c>
      <c r="H71" s="318">
        <f>(AB71*KFC!$B$29+KFC!$C$29)*KFC!$C$5</f>
        <v>112.07</v>
      </c>
      <c r="I71" s="318">
        <f>(AC71*KFC!$B$29+KFC!$C$29)*KFC!$C$5</f>
        <v>117.73</v>
      </c>
      <c r="J71" s="318">
        <f>(AD71*KFC!$B$29+KFC!$C$29)*KFC!$C$5</f>
        <v>123.5</v>
      </c>
      <c r="K71" s="318">
        <f>(AE71*KFC!$B$29+KFC!$C$29)*KFC!$C$5</f>
        <v>129.16</v>
      </c>
      <c r="L71" s="318">
        <f>(AF71*KFC!$B$29+KFC!$C$29)*KFC!$C$5</f>
        <v>134.82</v>
      </c>
      <c r="M71" s="318">
        <f>(AG71*KFC!$B$29+KFC!$C$29)*KFC!$C$5</f>
        <v>141.25</v>
      </c>
      <c r="N71" s="318">
        <f>(AH71*KFC!$B$29+KFC!$C$29)*KFC!$C$5</f>
        <v>146.91</v>
      </c>
      <c r="O71" s="318">
        <f>(AI71*KFC!$B$29+KFC!$C$29)*KFC!$C$5</f>
        <v>152.54</v>
      </c>
      <c r="P71" s="318">
        <f>(AJ71*KFC!$B$29+KFC!$C$29)*KFC!$C$5</f>
        <v>158.16999999999999</v>
      </c>
      <c r="Q71" s="318">
        <f>(AK71*KFC!$B$29+KFC!$C$29)*KFC!$C$5</f>
        <v>163.79999999999998</v>
      </c>
      <c r="R71" s="318">
        <f>(AL71*KFC!$B$29+KFC!$C$29)*KFC!$C$5</f>
        <v>169.42999999999998</v>
      </c>
      <c r="S71" s="318">
        <f>(AM71*KFC!$B$29+KFC!$C$29)*KFC!$C$5</f>
        <v>175.05999999999997</v>
      </c>
      <c r="T71" s="318">
        <f>(AN71*KFC!$B$29+KFC!$C$29)*KFC!$C$5</f>
        <v>180.68999999999997</v>
      </c>
      <c r="V71" s="851">
        <v>2.2000000000000002</v>
      </c>
      <c r="W71" s="847">
        <v>83.54</v>
      </c>
      <c r="X71" s="847">
        <v>88.94</v>
      </c>
      <c r="Y71" s="847">
        <v>94.98</v>
      </c>
      <c r="Z71" s="847">
        <v>100.63</v>
      </c>
      <c r="AA71" s="847">
        <v>106.28</v>
      </c>
      <c r="AB71" s="847">
        <v>112.07</v>
      </c>
      <c r="AC71" s="847">
        <v>117.73</v>
      </c>
      <c r="AD71" s="847">
        <v>123.5</v>
      </c>
      <c r="AE71" s="847">
        <v>129.16</v>
      </c>
      <c r="AF71" s="847">
        <v>134.82</v>
      </c>
      <c r="AG71" s="847">
        <v>141.25</v>
      </c>
      <c r="AH71" s="847">
        <v>146.91</v>
      </c>
      <c r="AI71" s="848">
        <v>152.54</v>
      </c>
      <c r="AJ71" s="690">
        <f t="shared" ref="AJ71:AP71" si="11">AI71-AH71+AI71</f>
        <v>158.16999999999999</v>
      </c>
      <c r="AK71" s="690">
        <f t="shared" si="11"/>
        <v>163.79999999999998</v>
      </c>
      <c r="AL71" s="690">
        <f t="shared" si="11"/>
        <v>169.42999999999998</v>
      </c>
      <c r="AM71" s="690">
        <f t="shared" si="11"/>
        <v>175.05999999999997</v>
      </c>
      <c r="AN71" s="690">
        <f t="shared" si="11"/>
        <v>180.68999999999997</v>
      </c>
      <c r="AO71" s="690">
        <f t="shared" si="11"/>
        <v>186.31999999999996</v>
      </c>
      <c r="AP71" s="690">
        <f t="shared" si="11"/>
        <v>191.94999999999996</v>
      </c>
    </row>
    <row r="72" spans="1:42" ht="13.8" thickBot="1">
      <c r="A72" s="249"/>
      <c r="B72" s="249"/>
      <c r="C72" s="249"/>
      <c r="D72" s="249"/>
      <c r="E72" s="249"/>
      <c r="F72" s="249"/>
      <c r="G72" s="249"/>
      <c r="H72" s="249"/>
      <c r="I72" s="249"/>
      <c r="J72" s="249"/>
      <c r="K72" s="249"/>
      <c r="L72" s="249"/>
      <c r="M72" s="184"/>
      <c r="N72" s="184"/>
    </row>
    <row r="73" spans="1:42" ht="13.5" customHeight="1" thickBot="1">
      <c r="A73" s="1413" t="s">
        <v>318</v>
      </c>
      <c r="B73" s="1415"/>
      <c r="C73" s="1534" t="s">
        <v>207</v>
      </c>
      <c r="D73" s="1535"/>
      <c r="E73" s="1535"/>
      <c r="F73" s="1535"/>
      <c r="G73" s="1535"/>
      <c r="H73" s="1535"/>
      <c r="I73" s="1535"/>
      <c r="J73" s="1535"/>
      <c r="K73" s="1535"/>
      <c r="L73" s="1535"/>
      <c r="M73" s="1535"/>
      <c r="N73" s="1535"/>
      <c r="O73" s="1535"/>
      <c r="P73" s="1535"/>
      <c r="Q73" s="1535"/>
      <c r="R73" s="1535"/>
      <c r="S73" s="1535"/>
      <c r="T73" s="1535"/>
    </row>
    <row r="74" spans="1:42" ht="13.8" thickBot="1">
      <c r="A74" s="1416"/>
      <c r="B74" s="1418"/>
      <c r="C74" s="119">
        <v>0.4</v>
      </c>
      <c r="D74" s="119">
        <v>0.5</v>
      </c>
      <c r="E74" s="119">
        <v>0.6</v>
      </c>
      <c r="F74" s="119">
        <v>0.7</v>
      </c>
      <c r="G74" s="119">
        <v>0.8</v>
      </c>
      <c r="H74" s="119">
        <v>0.9</v>
      </c>
      <c r="I74" s="119">
        <v>1</v>
      </c>
      <c r="J74" s="119">
        <v>1.1000000000000001</v>
      </c>
      <c r="K74" s="119">
        <v>1.2</v>
      </c>
      <c r="L74" s="119">
        <v>1.3</v>
      </c>
      <c r="M74" s="119">
        <v>1.4</v>
      </c>
      <c r="N74" s="119">
        <v>1.5</v>
      </c>
      <c r="O74" s="119">
        <v>1.6</v>
      </c>
      <c r="P74" s="119">
        <v>1.7</v>
      </c>
      <c r="Q74" s="119">
        <v>1.8</v>
      </c>
      <c r="R74" s="119">
        <v>1.9</v>
      </c>
      <c r="S74" s="119">
        <v>2</v>
      </c>
      <c r="T74" s="119">
        <v>2.1</v>
      </c>
      <c r="V74" s="850"/>
      <c r="W74" s="851">
        <v>0.4</v>
      </c>
      <c r="X74" s="851">
        <v>0.5</v>
      </c>
      <c r="Y74" s="851">
        <v>0.6</v>
      </c>
      <c r="Z74" s="851">
        <v>0.7</v>
      </c>
      <c r="AA74" s="851">
        <v>0.8</v>
      </c>
      <c r="AB74" s="851">
        <v>0.9</v>
      </c>
      <c r="AC74" s="851">
        <v>1</v>
      </c>
      <c r="AD74" s="851">
        <v>1.1000000000000001</v>
      </c>
      <c r="AE74" s="851">
        <v>1.2</v>
      </c>
      <c r="AF74" s="851">
        <v>1.3</v>
      </c>
      <c r="AG74" s="851">
        <v>1.4</v>
      </c>
      <c r="AH74" s="851">
        <v>1.5</v>
      </c>
      <c r="AI74" s="852">
        <v>1.6</v>
      </c>
      <c r="AJ74" s="853">
        <v>1.7</v>
      </c>
      <c r="AK74" s="853">
        <v>1.8</v>
      </c>
      <c r="AL74" s="853">
        <v>1.9</v>
      </c>
      <c r="AM74" s="853">
        <v>2</v>
      </c>
      <c r="AN74" s="853">
        <v>2.1</v>
      </c>
      <c r="AO74" s="853">
        <v>2.2000000000000002</v>
      </c>
      <c r="AP74" s="853">
        <v>2.2999999999999998</v>
      </c>
    </row>
    <row r="75" spans="1:42" ht="12.75" customHeight="1">
      <c r="A75" s="1537" t="s">
        <v>3</v>
      </c>
      <c r="B75" s="261">
        <v>0.5</v>
      </c>
      <c r="C75" s="311">
        <f>(W75*KFC!$B$29+KFC!$C$29)*KFC!$C$5</f>
        <v>50.25</v>
      </c>
      <c r="D75" s="312">
        <f>(X75*KFC!$B$29+KFC!$C$29)*KFC!$C$5</f>
        <v>55.9</v>
      </c>
      <c r="E75" s="312">
        <f>(Y75*KFC!$B$29+KFC!$C$29)*KFC!$C$5</f>
        <v>61.81</v>
      </c>
      <c r="F75" s="312">
        <f>(Z75*KFC!$B$29+KFC!$C$29)*KFC!$C$5</f>
        <v>67.47</v>
      </c>
      <c r="G75" s="312">
        <f>(AA75*KFC!$B$29+KFC!$C$29)*KFC!$C$5</f>
        <v>73.13</v>
      </c>
      <c r="H75" s="312">
        <f>(AB75*KFC!$B$29+KFC!$C$29)*KFC!$C$5</f>
        <v>78.92</v>
      </c>
      <c r="I75" s="312">
        <f>(AC75*KFC!$B$29+KFC!$C$29)*KFC!$C$5</f>
        <v>84.57</v>
      </c>
      <c r="J75" s="312">
        <f>(AD75*KFC!$B$29+KFC!$C$29)*KFC!$C$5</f>
        <v>90.35</v>
      </c>
      <c r="K75" s="312">
        <f>(AE75*KFC!$B$29+KFC!$C$29)*KFC!$C$5</f>
        <v>96</v>
      </c>
      <c r="L75" s="312">
        <f>(AF75*KFC!$B$29+KFC!$C$29)*KFC!$C$5</f>
        <v>101.66</v>
      </c>
      <c r="M75" s="312">
        <f>(AG75*KFC!$B$29+KFC!$C$29)*KFC!$C$5</f>
        <v>107.56</v>
      </c>
      <c r="N75" s="312">
        <f>(AH75*KFC!$B$29+KFC!$C$29)*KFC!$C$5</f>
        <v>113.22</v>
      </c>
      <c r="O75" s="312">
        <f>(AI75*KFC!$B$29+KFC!$C$29)*KFC!$C$5</f>
        <v>118.88</v>
      </c>
      <c r="P75" s="312">
        <f>(AJ75*KFC!$B$29+KFC!$C$29)*KFC!$C$5</f>
        <v>124.53999999999999</v>
      </c>
      <c r="Q75" s="312">
        <f>(AK75*KFC!$B$29+KFC!$C$29)*KFC!$C$5</f>
        <v>130.19999999999999</v>
      </c>
      <c r="R75" s="312">
        <f>(AL75*KFC!$B$29+KFC!$C$29)*KFC!$C$5</f>
        <v>135.85999999999999</v>
      </c>
      <c r="S75" s="312">
        <f>(AM75*KFC!$B$29+KFC!$C$29)*KFC!$C$5</f>
        <v>141.51999999999998</v>
      </c>
      <c r="T75" s="312">
        <f>(AN75*KFC!$B$29+KFC!$C$29)*KFC!$C$5</f>
        <v>147.17999999999998</v>
      </c>
      <c r="V75" s="851">
        <v>0.5</v>
      </c>
      <c r="W75" s="847">
        <v>50.25</v>
      </c>
      <c r="X75" s="847">
        <v>55.9</v>
      </c>
      <c r="Y75" s="847">
        <v>61.81</v>
      </c>
      <c r="Z75" s="847">
        <v>67.47</v>
      </c>
      <c r="AA75" s="847">
        <v>73.13</v>
      </c>
      <c r="AB75" s="847">
        <v>78.92</v>
      </c>
      <c r="AC75" s="847">
        <v>84.57</v>
      </c>
      <c r="AD75" s="847">
        <v>90.35</v>
      </c>
      <c r="AE75" s="847">
        <v>96</v>
      </c>
      <c r="AF75" s="847">
        <v>101.66</v>
      </c>
      <c r="AG75" s="847">
        <v>107.56</v>
      </c>
      <c r="AH75" s="847">
        <v>113.22</v>
      </c>
      <c r="AI75" s="848">
        <v>118.88</v>
      </c>
      <c r="AJ75" s="690">
        <f t="shared" ref="AJ75:AJ91" si="12">AI75-AH75+AI75</f>
        <v>124.53999999999999</v>
      </c>
      <c r="AK75" s="690">
        <f t="shared" ref="AK75:AP90" si="13">AJ75-AI75+AJ75</f>
        <v>130.19999999999999</v>
      </c>
      <c r="AL75" s="690">
        <f t="shared" si="13"/>
        <v>135.85999999999999</v>
      </c>
      <c r="AM75" s="690">
        <f t="shared" si="13"/>
        <v>141.51999999999998</v>
      </c>
      <c r="AN75" s="690">
        <f t="shared" si="13"/>
        <v>147.17999999999998</v>
      </c>
      <c r="AO75" s="690">
        <f t="shared" si="13"/>
        <v>152.83999999999997</v>
      </c>
      <c r="AP75" s="690">
        <f t="shared" si="13"/>
        <v>158.49999999999997</v>
      </c>
    </row>
    <row r="76" spans="1:42">
      <c r="A76" s="1538"/>
      <c r="B76" s="262">
        <v>0.6</v>
      </c>
      <c r="C76" s="314">
        <f>(W76*KFC!$B$29+KFC!$C$29)*KFC!$C$5</f>
        <v>53.34</v>
      </c>
      <c r="D76" s="315">
        <f>(X76*KFC!$B$29+KFC!$C$29)*KFC!$C$5</f>
        <v>58.99</v>
      </c>
      <c r="E76" s="315">
        <f>(Y76*KFC!$B$29+KFC!$C$29)*KFC!$C$5</f>
        <v>64.77</v>
      </c>
      <c r="F76" s="315">
        <f>(Z76*KFC!$B$29+KFC!$C$29)*KFC!$C$5</f>
        <v>70.56</v>
      </c>
      <c r="G76" s="315">
        <f>(AA76*KFC!$B$29+KFC!$C$29)*KFC!$C$5</f>
        <v>76.22</v>
      </c>
      <c r="H76" s="315">
        <f>(AB76*KFC!$B$29+KFC!$C$29)*KFC!$C$5</f>
        <v>82.01</v>
      </c>
      <c r="I76" s="315">
        <f>(AC76*KFC!$B$29+KFC!$C$29)*KFC!$C$5</f>
        <v>87.91</v>
      </c>
      <c r="J76" s="315">
        <f>(AD76*KFC!$B$29+KFC!$C$29)*KFC!$C$5</f>
        <v>93.57</v>
      </c>
      <c r="K76" s="315">
        <f>(AE76*KFC!$B$29+KFC!$C$29)*KFC!$C$5</f>
        <v>99.35</v>
      </c>
      <c r="L76" s="315">
        <f>(AF76*KFC!$B$29+KFC!$C$29)*KFC!$C$5</f>
        <v>105.14</v>
      </c>
      <c r="M76" s="315">
        <f>(AG76*KFC!$B$29+KFC!$C$29)*KFC!$C$5</f>
        <v>110.78</v>
      </c>
      <c r="N76" s="315">
        <f>(AH76*KFC!$B$29+KFC!$C$29)*KFC!$C$5</f>
        <v>116.56</v>
      </c>
      <c r="O76" s="315">
        <f>(AI76*KFC!$B$29+KFC!$C$29)*KFC!$C$5</f>
        <v>122.35</v>
      </c>
      <c r="P76" s="315">
        <f>(AJ76*KFC!$B$29+KFC!$C$29)*KFC!$C$5</f>
        <v>128.13999999999999</v>
      </c>
      <c r="Q76" s="315">
        <f>(AK76*KFC!$B$29+KFC!$C$29)*KFC!$C$5</f>
        <v>133.92999999999998</v>
      </c>
      <c r="R76" s="315">
        <f>(AL76*KFC!$B$29+KFC!$C$29)*KFC!$C$5</f>
        <v>139.71999999999997</v>
      </c>
      <c r="S76" s="315">
        <f>(AM76*KFC!$B$29+KFC!$C$29)*KFC!$C$5</f>
        <v>145.50999999999996</v>
      </c>
      <c r="T76" s="315">
        <f>(AN76*KFC!$B$29+KFC!$C$29)*KFC!$C$5</f>
        <v>151.29999999999995</v>
      </c>
      <c r="V76" s="851">
        <v>0.6</v>
      </c>
      <c r="W76" s="847">
        <v>53.34</v>
      </c>
      <c r="X76" s="847">
        <v>58.99</v>
      </c>
      <c r="Y76" s="847">
        <v>64.77</v>
      </c>
      <c r="Z76" s="847">
        <v>70.56</v>
      </c>
      <c r="AA76" s="847">
        <v>76.22</v>
      </c>
      <c r="AB76" s="847">
        <v>82.01</v>
      </c>
      <c r="AC76" s="847">
        <v>87.91</v>
      </c>
      <c r="AD76" s="847">
        <v>93.57</v>
      </c>
      <c r="AE76" s="847">
        <v>99.35</v>
      </c>
      <c r="AF76" s="847">
        <v>105.14</v>
      </c>
      <c r="AG76" s="847">
        <v>110.78</v>
      </c>
      <c r="AH76" s="847">
        <v>116.56</v>
      </c>
      <c r="AI76" s="848">
        <v>122.35</v>
      </c>
      <c r="AJ76" s="690">
        <f t="shared" si="12"/>
        <v>128.13999999999999</v>
      </c>
      <c r="AK76" s="690">
        <f t="shared" si="13"/>
        <v>133.92999999999998</v>
      </c>
      <c r="AL76" s="690">
        <f t="shared" si="13"/>
        <v>139.71999999999997</v>
      </c>
      <c r="AM76" s="690">
        <f t="shared" si="13"/>
        <v>145.50999999999996</v>
      </c>
      <c r="AN76" s="690">
        <f t="shared" si="13"/>
        <v>151.29999999999995</v>
      </c>
      <c r="AO76" s="690">
        <f t="shared" si="13"/>
        <v>157.08999999999995</v>
      </c>
      <c r="AP76" s="690">
        <f t="shared" si="13"/>
        <v>162.87999999999994</v>
      </c>
    </row>
    <row r="77" spans="1:42">
      <c r="A77" s="1538"/>
      <c r="B77" s="262">
        <v>0.7</v>
      </c>
      <c r="C77" s="314">
        <f>(W77*KFC!$B$29+KFC!$C$29)*KFC!$C$5</f>
        <v>56.15</v>
      </c>
      <c r="D77" s="315">
        <f>(X77*KFC!$B$29+KFC!$C$29)*KFC!$C$5</f>
        <v>61.94</v>
      </c>
      <c r="E77" s="315">
        <f>(Y77*KFC!$B$29+KFC!$C$29)*KFC!$C$5</f>
        <v>67.73</v>
      </c>
      <c r="F77" s="315">
        <f>(Z77*KFC!$B$29+KFC!$C$29)*KFC!$C$5</f>
        <v>73.510000000000005</v>
      </c>
      <c r="G77" s="315">
        <f>(AA77*KFC!$B$29+KFC!$C$29)*KFC!$C$5</f>
        <v>79.430000000000007</v>
      </c>
      <c r="H77" s="315">
        <f>(AB77*KFC!$B$29+KFC!$C$29)*KFC!$C$5</f>
        <v>85.22</v>
      </c>
      <c r="I77" s="315">
        <f>(AC77*KFC!$B$29+KFC!$C$29)*KFC!$C$5</f>
        <v>90.99</v>
      </c>
      <c r="J77" s="315">
        <f>(AD77*KFC!$B$29+KFC!$C$29)*KFC!$C$5</f>
        <v>96.78</v>
      </c>
      <c r="K77" s="315">
        <f>(AE77*KFC!$B$29+KFC!$C$29)*KFC!$C$5</f>
        <v>102.69</v>
      </c>
      <c r="L77" s="315">
        <f>(AF77*KFC!$B$29+KFC!$C$29)*KFC!$C$5</f>
        <v>108.48</v>
      </c>
      <c r="M77" s="315">
        <f>(AG77*KFC!$B$29+KFC!$C$29)*KFC!$C$5</f>
        <v>114.26</v>
      </c>
      <c r="N77" s="315">
        <f>(AH77*KFC!$B$29+KFC!$C$29)*KFC!$C$5</f>
        <v>120.04</v>
      </c>
      <c r="O77" s="315">
        <f>(AI77*KFC!$B$29+KFC!$C$29)*KFC!$C$5</f>
        <v>125.82</v>
      </c>
      <c r="P77" s="315">
        <f>(AJ77*KFC!$B$29+KFC!$C$29)*KFC!$C$5</f>
        <v>131.59999999999997</v>
      </c>
      <c r="Q77" s="315">
        <f>(AK77*KFC!$B$29+KFC!$C$29)*KFC!$C$5</f>
        <v>137.37999999999994</v>
      </c>
      <c r="R77" s="315">
        <f>(AL77*KFC!$B$29+KFC!$C$29)*KFC!$C$5</f>
        <v>143.15999999999991</v>
      </c>
      <c r="S77" s="315">
        <f>(AM77*KFC!$B$29+KFC!$C$29)*KFC!$C$5</f>
        <v>148.93999999999988</v>
      </c>
      <c r="T77" s="315">
        <f>(AN77*KFC!$B$29+KFC!$C$29)*KFC!$C$5</f>
        <v>154.71999999999986</v>
      </c>
      <c r="V77" s="851">
        <v>0.7</v>
      </c>
      <c r="W77" s="847">
        <v>56.15</v>
      </c>
      <c r="X77" s="847">
        <v>61.94</v>
      </c>
      <c r="Y77" s="847">
        <v>67.73</v>
      </c>
      <c r="Z77" s="847">
        <v>73.510000000000005</v>
      </c>
      <c r="AA77" s="847">
        <v>79.430000000000007</v>
      </c>
      <c r="AB77" s="847">
        <v>85.22</v>
      </c>
      <c r="AC77" s="847">
        <v>90.99</v>
      </c>
      <c r="AD77" s="847">
        <v>96.78</v>
      </c>
      <c r="AE77" s="847">
        <v>102.69</v>
      </c>
      <c r="AF77" s="847">
        <v>108.48</v>
      </c>
      <c r="AG77" s="847">
        <v>114.26</v>
      </c>
      <c r="AH77" s="847">
        <v>120.04</v>
      </c>
      <c r="AI77" s="848">
        <v>125.82</v>
      </c>
      <c r="AJ77" s="690">
        <f t="shared" si="12"/>
        <v>131.59999999999997</v>
      </c>
      <c r="AK77" s="690">
        <f t="shared" si="13"/>
        <v>137.37999999999994</v>
      </c>
      <c r="AL77" s="690">
        <f t="shared" si="13"/>
        <v>143.15999999999991</v>
      </c>
      <c r="AM77" s="690">
        <f t="shared" si="13"/>
        <v>148.93999999999988</v>
      </c>
      <c r="AN77" s="690">
        <f t="shared" si="13"/>
        <v>154.71999999999986</v>
      </c>
      <c r="AO77" s="690">
        <f t="shared" si="13"/>
        <v>160.49999999999983</v>
      </c>
      <c r="AP77" s="690">
        <f t="shared" si="13"/>
        <v>166.2799999999998</v>
      </c>
    </row>
    <row r="78" spans="1:42">
      <c r="A78" s="1538"/>
      <c r="B78" s="262">
        <v>0.8</v>
      </c>
      <c r="C78" s="314">
        <f>(W78*KFC!$B$29+KFC!$C$29)*KFC!$C$5</f>
        <v>59.12</v>
      </c>
      <c r="D78" s="315">
        <f>(X78*KFC!$B$29+KFC!$C$29)*KFC!$C$5</f>
        <v>64.900000000000006</v>
      </c>
      <c r="E78" s="315">
        <f>(Y78*KFC!$B$29+KFC!$C$29)*KFC!$C$5</f>
        <v>70.94</v>
      </c>
      <c r="F78" s="315">
        <f>(Z78*KFC!$B$29+KFC!$C$29)*KFC!$C$5</f>
        <v>76.72</v>
      </c>
      <c r="G78" s="315">
        <f>(AA78*KFC!$B$29+KFC!$C$29)*KFC!$C$5</f>
        <v>82.51</v>
      </c>
      <c r="H78" s="315">
        <f>(AB78*KFC!$B$29+KFC!$C$29)*KFC!$C$5</f>
        <v>88.28</v>
      </c>
      <c r="I78" s="315">
        <f>(AC78*KFC!$B$29+KFC!$C$29)*KFC!$C$5</f>
        <v>94.33</v>
      </c>
      <c r="J78" s="315">
        <f>(AD78*KFC!$B$29+KFC!$C$29)*KFC!$C$5</f>
        <v>100.12</v>
      </c>
      <c r="K78" s="315">
        <f>(AE78*KFC!$B$29+KFC!$C$29)*KFC!$C$5</f>
        <v>105.9</v>
      </c>
      <c r="L78" s="315">
        <f>(AF78*KFC!$B$29+KFC!$C$29)*KFC!$C$5</f>
        <v>111.81</v>
      </c>
      <c r="M78" s="315">
        <f>(AG78*KFC!$B$29+KFC!$C$29)*KFC!$C$5</f>
        <v>117.73</v>
      </c>
      <c r="N78" s="315">
        <f>(AH78*KFC!$B$29+KFC!$C$29)*KFC!$C$5</f>
        <v>123.5</v>
      </c>
      <c r="O78" s="315">
        <f>(AI78*KFC!$B$29+KFC!$C$29)*KFC!$C$5</f>
        <v>129.29</v>
      </c>
      <c r="P78" s="315">
        <f>(AJ78*KFC!$B$29+KFC!$C$29)*KFC!$C$5</f>
        <v>135.07999999999998</v>
      </c>
      <c r="Q78" s="315">
        <f>(AK78*KFC!$B$29+KFC!$C$29)*KFC!$C$5</f>
        <v>140.86999999999998</v>
      </c>
      <c r="R78" s="315">
        <f>(AL78*KFC!$B$29+KFC!$C$29)*KFC!$C$5</f>
        <v>146.65999999999997</v>
      </c>
      <c r="S78" s="315">
        <f>(AM78*KFC!$B$29+KFC!$C$29)*KFC!$C$5</f>
        <v>152.44999999999996</v>
      </c>
      <c r="T78" s="315">
        <f>(AN78*KFC!$B$29+KFC!$C$29)*KFC!$C$5</f>
        <v>158.23999999999995</v>
      </c>
      <c r="V78" s="851">
        <v>0.8</v>
      </c>
      <c r="W78" s="847">
        <v>59.12</v>
      </c>
      <c r="X78" s="847">
        <v>64.900000000000006</v>
      </c>
      <c r="Y78" s="847">
        <v>70.94</v>
      </c>
      <c r="Z78" s="847">
        <v>76.72</v>
      </c>
      <c r="AA78" s="847">
        <v>82.51</v>
      </c>
      <c r="AB78" s="847">
        <v>88.28</v>
      </c>
      <c r="AC78" s="847">
        <v>94.33</v>
      </c>
      <c r="AD78" s="847">
        <v>100.12</v>
      </c>
      <c r="AE78" s="847">
        <v>105.9</v>
      </c>
      <c r="AF78" s="847">
        <v>111.81</v>
      </c>
      <c r="AG78" s="847">
        <v>117.73</v>
      </c>
      <c r="AH78" s="847">
        <v>123.5</v>
      </c>
      <c r="AI78" s="848">
        <v>129.29</v>
      </c>
      <c r="AJ78" s="690">
        <f t="shared" si="12"/>
        <v>135.07999999999998</v>
      </c>
      <c r="AK78" s="690">
        <f t="shared" si="13"/>
        <v>140.86999999999998</v>
      </c>
      <c r="AL78" s="690">
        <f t="shared" si="13"/>
        <v>146.65999999999997</v>
      </c>
      <c r="AM78" s="690">
        <f t="shared" si="13"/>
        <v>152.44999999999996</v>
      </c>
      <c r="AN78" s="690">
        <f t="shared" si="13"/>
        <v>158.23999999999995</v>
      </c>
      <c r="AO78" s="690">
        <f t="shared" si="13"/>
        <v>164.02999999999994</v>
      </c>
      <c r="AP78" s="690">
        <f t="shared" si="13"/>
        <v>169.81999999999994</v>
      </c>
    </row>
    <row r="79" spans="1:42">
      <c r="A79" s="1538"/>
      <c r="B79" s="262">
        <v>0.9</v>
      </c>
      <c r="C79" s="314">
        <f>(W79*KFC!$B$29+KFC!$C$29)*KFC!$C$5</f>
        <v>62.08</v>
      </c>
      <c r="D79" s="315">
        <f>(X79*KFC!$B$29+KFC!$C$29)*KFC!$C$5</f>
        <v>67.86</v>
      </c>
      <c r="E79" s="315">
        <f>(Y79*KFC!$B$29+KFC!$C$29)*KFC!$C$5</f>
        <v>73.900000000000006</v>
      </c>
      <c r="F79" s="315">
        <f>(Z79*KFC!$B$29+KFC!$C$29)*KFC!$C$5</f>
        <v>79.680000000000007</v>
      </c>
      <c r="G79" s="315">
        <f>(AA79*KFC!$B$29+KFC!$C$29)*KFC!$C$5</f>
        <v>85.72</v>
      </c>
      <c r="H79" s="315">
        <f>(AB79*KFC!$B$29+KFC!$C$29)*KFC!$C$5</f>
        <v>91.64</v>
      </c>
      <c r="I79" s="315">
        <f>(AC79*KFC!$B$29+KFC!$C$29)*KFC!$C$5</f>
        <v>97.42</v>
      </c>
      <c r="J79" s="315">
        <f>(AD79*KFC!$B$29+KFC!$C$29)*KFC!$C$5</f>
        <v>103.46</v>
      </c>
      <c r="K79" s="315">
        <f>(AE79*KFC!$B$29+KFC!$C$29)*KFC!$C$5</f>
        <v>109.24</v>
      </c>
      <c r="L79" s="315">
        <f>(AF79*KFC!$B$29+KFC!$C$29)*KFC!$C$5</f>
        <v>115.15</v>
      </c>
      <c r="M79" s="315">
        <f>(AG79*KFC!$B$29+KFC!$C$29)*KFC!$C$5</f>
        <v>121.07</v>
      </c>
      <c r="N79" s="315">
        <f>(AH79*KFC!$B$29+KFC!$C$29)*KFC!$C$5</f>
        <v>126.99</v>
      </c>
      <c r="O79" s="315">
        <f>(AI79*KFC!$B$29+KFC!$C$29)*KFC!$C$5</f>
        <v>132.88999999999999</v>
      </c>
      <c r="P79" s="315">
        <f>(AJ79*KFC!$B$29+KFC!$C$29)*KFC!$C$5</f>
        <v>138.78999999999996</v>
      </c>
      <c r="Q79" s="315">
        <f>(AK79*KFC!$B$29+KFC!$C$29)*KFC!$C$5</f>
        <v>144.68999999999994</v>
      </c>
      <c r="R79" s="315">
        <f>(AL79*KFC!$B$29+KFC!$C$29)*KFC!$C$5</f>
        <v>150.58999999999992</v>
      </c>
      <c r="S79" s="315">
        <f>(AM79*KFC!$B$29+KFC!$C$29)*KFC!$C$5</f>
        <v>156.4899999999999</v>
      </c>
      <c r="T79" s="315">
        <f>(AN79*KFC!$B$29+KFC!$C$29)*KFC!$C$5</f>
        <v>162.38999999999987</v>
      </c>
      <c r="V79" s="851">
        <v>0.9</v>
      </c>
      <c r="W79" s="847">
        <v>62.08</v>
      </c>
      <c r="X79" s="847">
        <v>67.86</v>
      </c>
      <c r="Y79" s="847">
        <v>73.900000000000006</v>
      </c>
      <c r="Z79" s="847">
        <v>79.680000000000007</v>
      </c>
      <c r="AA79" s="847">
        <v>85.72</v>
      </c>
      <c r="AB79" s="847">
        <v>91.64</v>
      </c>
      <c r="AC79" s="847">
        <v>97.42</v>
      </c>
      <c r="AD79" s="847">
        <v>103.46</v>
      </c>
      <c r="AE79" s="847">
        <v>109.24</v>
      </c>
      <c r="AF79" s="847">
        <v>115.15</v>
      </c>
      <c r="AG79" s="847">
        <v>121.07</v>
      </c>
      <c r="AH79" s="847">
        <v>126.99</v>
      </c>
      <c r="AI79" s="848">
        <v>132.88999999999999</v>
      </c>
      <c r="AJ79" s="690">
        <f t="shared" si="12"/>
        <v>138.78999999999996</v>
      </c>
      <c r="AK79" s="690">
        <f t="shared" si="13"/>
        <v>144.68999999999994</v>
      </c>
      <c r="AL79" s="690">
        <f t="shared" si="13"/>
        <v>150.58999999999992</v>
      </c>
      <c r="AM79" s="690">
        <f t="shared" si="13"/>
        <v>156.4899999999999</v>
      </c>
      <c r="AN79" s="690">
        <f t="shared" si="13"/>
        <v>162.38999999999987</v>
      </c>
      <c r="AO79" s="690">
        <f t="shared" si="13"/>
        <v>168.28999999999985</v>
      </c>
      <c r="AP79" s="690">
        <f t="shared" si="13"/>
        <v>174.18999999999983</v>
      </c>
    </row>
    <row r="80" spans="1:42">
      <c r="A80" s="1538"/>
      <c r="B80" s="262">
        <v>1</v>
      </c>
      <c r="C80" s="314">
        <f>(W80*KFC!$B$29+KFC!$C$29)*KFC!$C$5</f>
        <v>64.900000000000006</v>
      </c>
      <c r="D80" s="315">
        <f>(X80*KFC!$B$29+KFC!$C$29)*KFC!$C$5</f>
        <v>70.94</v>
      </c>
      <c r="E80" s="315">
        <f>(Y80*KFC!$B$29+KFC!$C$29)*KFC!$C$5</f>
        <v>76.86</v>
      </c>
      <c r="F80" s="315">
        <f>(Z80*KFC!$B$29+KFC!$C$29)*KFC!$C$5</f>
        <v>82.9</v>
      </c>
      <c r="G80" s="315">
        <f>(AA80*KFC!$B$29+KFC!$C$29)*KFC!$C$5</f>
        <v>88.81</v>
      </c>
      <c r="H80" s="315">
        <f>(AB80*KFC!$B$29+KFC!$C$29)*KFC!$C$5</f>
        <v>94.71</v>
      </c>
      <c r="I80" s="315">
        <f>(AC80*KFC!$B$29+KFC!$C$29)*KFC!$C$5</f>
        <v>100.76</v>
      </c>
      <c r="J80" s="315">
        <f>(AD80*KFC!$B$29+KFC!$C$29)*KFC!$C$5</f>
        <v>106.54</v>
      </c>
      <c r="K80" s="315">
        <f>(AE80*KFC!$B$29+KFC!$C$29)*KFC!$C$5</f>
        <v>112.58</v>
      </c>
      <c r="L80" s="315">
        <f>(AF80*KFC!$B$29+KFC!$C$29)*KFC!$C$5</f>
        <v>118.49</v>
      </c>
      <c r="M80" s="315">
        <f>(AG80*KFC!$B$29+KFC!$C$29)*KFC!$C$5</f>
        <v>124.54</v>
      </c>
      <c r="N80" s="315">
        <f>(AH80*KFC!$B$29+KFC!$C$29)*KFC!$C$5</f>
        <v>130.44999999999999</v>
      </c>
      <c r="O80" s="315">
        <f>(AI80*KFC!$B$29+KFC!$C$29)*KFC!$C$5</f>
        <v>136.35</v>
      </c>
      <c r="P80" s="315">
        <f>(AJ80*KFC!$B$29+KFC!$C$29)*KFC!$C$5</f>
        <v>142.25</v>
      </c>
      <c r="Q80" s="315">
        <f>(AK80*KFC!$B$29+KFC!$C$29)*KFC!$C$5</f>
        <v>148.15</v>
      </c>
      <c r="R80" s="315">
        <f>(AL80*KFC!$B$29+KFC!$C$29)*KFC!$C$5</f>
        <v>154.05000000000001</v>
      </c>
      <c r="S80" s="315">
        <f>(AM80*KFC!$B$29+KFC!$C$29)*KFC!$C$5</f>
        <v>159.95000000000002</v>
      </c>
      <c r="T80" s="315">
        <f>(AN80*KFC!$B$29+KFC!$C$29)*KFC!$C$5</f>
        <v>165.85000000000002</v>
      </c>
      <c r="V80" s="851">
        <v>1</v>
      </c>
      <c r="W80" s="847">
        <v>64.900000000000006</v>
      </c>
      <c r="X80" s="847">
        <v>70.94</v>
      </c>
      <c r="Y80" s="847">
        <v>76.86</v>
      </c>
      <c r="Z80" s="847">
        <v>82.9</v>
      </c>
      <c r="AA80" s="847">
        <v>88.81</v>
      </c>
      <c r="AB80" s="847">
        <v>94.71</v>
      </c>
      <c r="AC80" s="847">
        <v>100.76</v>
      </c>
      <c r="AD80" s="847">
        <v>106.54</v>
      </c>
      <c r="AE80" s="847">
        <v>112.58</v>
      </c>
      <c r="AF80" s="847">
        <v>118.49</v>
      </c>
      <c r="AG80" s="847">
        <v>124.54</v>
      </c>
      <c r="AH80" s="847">
        <v>130.44999999999999</v>
      </c>
      <c r="AI80" s="848">
        <v>136.35</v>
      </c>
      <c r="AJ80" s="690">
        <f t="shared" si="12"/>
        <v>142.25</v>
      </c>
      <c r="AK80" s="690">
        <f t="shared" si="13"/>
        <v>148.15</v>
      </c>
      <c r="AL80" s="690">
        <f t="shared" si="13"/>
        <v>154.05000000000001</v>
      </c>
      <c r="AM80" s="690">
        <f t="shared" si="13"/>
        <v>159.95000000000002</v>
      </c>
      <c r="AN80" s="690">
        <f t="shared" si="13"/>
        <v>165.85000000000002</v>
      </c>
      <c r="AO80" s="690">
        <f t="shared" si="13"/>
        <v>171.75000000000003</v>
      </c>
      <c r="AP80" s="690">
        <f t="shared" si="13"/>
        <v>177.65000000000003</v>
      </c>
    </row>
    <row r="81" spans="1:42">
      <c r="A81" s="1538"/>
      <c r="B81" s="262">
        <v>1.1000000000000001</v>
      </c>
      <c r="C81" s="314">
        <f>(W81*KFC!$B$29+KFC!$C$29)*KFC!$C$5</f>
        <v>67.86</v>
      </c>
      <c r="D81" s="315">
        <f>(X81*KFC!$B$29+KFC!$C$29)*KFC!$C$5</f>
        <v>73.900000000000006</v>
      </c>
      <c r="E81" s="315">
        <f>(Y81*KFC!$B$29+KFC!$C$29)*KFC!$C$5</f>
        <v>79.81</v>
      </c>
      <c r="F81" s="315">
        <f>(Z81*KFC!$B$29+KFC!$C$29)*KFC!$C$5</f>
        <v>85.98</v>
      </c>
      <c r="G81" s="315">
        <f>(AA81*KFC!$B$29+KFC!$C$29)*KFC!$C$5</f>
        <v>91.9</v>
      </c>
      <c r="H81" s="315">
        <f>(AB81*KFC!$B$29+KFC!$C$29)*KFC!$C$5</f>
        <v>97.92</v>
      </c>
      <c r="I81" s="315">
        <f>(AC81*KFC!$B$29+KFC!$C$29)*KFC!$C$5</f>
        <v>103.85</v>
      </c>
      <c r="J81" s="315">
        <f>(AD81*KFC!$B$29+KFC!$C$29)*KFC!$C$5</f>
        <v>109.88</v>
      </c>
      <c r="K81" s="315">
        <f>(AE81*KFC!$B$29+KFC!$C$29)*KFC!$C$5</f>
        <v>115.79</v>
      </c>
      <c r="L81" s="315">
        <f>(AF81*KFC!$B$29+KFC!$C$29)*KFC!$C$5</f>
        <v>121.97</v>
      </c>
      <c r="M81" s="315">
        <f>(AG81*KFC!$B$29+KFC!$C$29)*KFC!$C$5</f>
        <v>128.01</v>
      </c>
      <c r="N81" s="315">
        <f>(AH81*KFC!$B$29+KFC!$C$29)*KFC!$C$5</f>
        <v>133.91999999999999</v>
      </c>
      <c r="O81" s="315">
        <f>(AI81*KFC!$B$29+KFC!$C$29)*KFC!$C$5</f>
        <v>139.84</v>
      </c>
      <c r="P81" s="315">
        <f>(AJ81*KFC!$B$29+KFC!$C$29)*KFC!$C$5</f>
        <v>145.76000000000002</v>
      </c>
      <c r="Q81" s="315">
        <f>(AK81*KFC!$B$29+KFC!$C$29)*KFC!$C$5</f>
        <v>151.68000000000004</v>
      </c>
      <c r="R81" s="315">
        <f>(AL81*KFC!$B$29+KFC!$C$29)*KFC!$C$5</f>
        <v>157.60000000000005</v>
      </c>
      <c r="S81" s="315">
        <f>(AM81*KFC!$B$29+KFC!$C$29)*KFC!$C$5</f>
        <v>163.52000000000007</v>
      </c>
      <c r="T81" s="315">
        <f>(AN81*KFC!$B$29+KFC!$C$29)*KFC!$C$5</f>
        <v>169.44000000000008</v>
      </c>
      <c r="V81" s="851">
        <v>1.1000000000000001</v>
      </c>
      <c r="W81" s="847">
        <v>67.86</v>
      </c>
      <c r="X81" s="847">
        <v>73.900000000000006</v>
      </c>
      <c r="Y81" s="847">
        <v>79.81</v>
      </c>
      <c r="Z81" s="847">
        <v>85.98</v>
      </c>
      <c r="AA81" s="847">
        <v>91.9</v>
      </c>
      <c r="AB81" s="847">
        <v>97.92</v>
      </c>
      <c r="AC81" s="847">
        <v>103.85</v>
      </c>
      <c r="AD81" s="847">
        <v>109.88</v>
      </c>
      <c r="AE81" s="847">
        <v>115.79</v>
      </c>
      <c r="AF81" s="847">
        <v>121.97</v>
      </c>
      <c r="AG81" s="847">
        <v>128.01</v>
      </c>
      <c r="AH81" s="847">
        <v>133.91999999999999</v>
      </c>
      <c r="AI81" s="848">
        <v>139.84</v>
      </c>
      <c r="AJ81" s="690">
        <f t="shared" si="12"/>
        <v>145.76000000000002</v>
      </c>
      <c r="AK81" s="690">
        <f t="shared" si="13"/>
        <v>151.68000000000004</v>
      </c>
      <c r="AL81" s="690">
        <f t="shared" si="13"/>
        <v>157.60000000000005</v>
      </c>
      <c r="AM81" s="690">
        <f t="shared" si="13"/>
        <v>163.52000000000007</v>
      </c>
      <c r="AN81" s="690">
        <f t="shared" si="13"/>
        <v>169.44000000000008</v>
      </c>
      <c r="AO81" s="690">
        <f t="shared" si="13"/>
        <v>175.3600000000001</v>
      </c>
      <c r="AP81" s="690">
        <f t="shared" si="13"/>
        <v>181.28000000000011</v>
      </c>
    </row>
    <row r="82" spans="1:42">
      <c r="A82" s="1538"/>
      <c r="B82" s="262">
        <v>1.2</v>
      </c>
      <c r="C82" s="314">
        <f>(W82*KFC!$B$29+KFC!$C$29)*KFC!$C$5</f>
        <v>70.94</v>
      </c>
      <c r="D82" s="315">
        <f>(X82*KFC!$B$29+KFC!$C$29)*KFC!$C$5</f>
        <v>76.86</v>
      </c>
      <c r="E82" s="315">
        <f>(Y82*KFC!$B$29+KFC!$C$29)*KFC!$C$5</f>
        <v>83.02</v>
      </c>
      <c r="F82" s="315">
        <f>(Z82*KFC!$B$29+KFC!$C$29)*KFC!$C$5</f>
        <v>88.94</v>
      </c>
      <c r="G82" s="315">
        <f>(AA82*KFC!$B$29+KFC!$C$29)*KFC!$C$5</f>
        <v>95.11</v>
      </c>
      <c r="H82" s="315">
        <f>(AB82*KFC!$B$29+KFC!$C$29)*KFC!$C$5</f>
        <v>101.01</v>
      </c>
      <c r="I82" s="315">
        <f>(AC82*KFC!$B$29+KFC!$C$29)*KFC!$C$5</f>
        <v>107.18</v>
      </c>
      <c r="J82" s="315">
        <f>(AD82*KFC!$B$29+KFC!$C$29)*KFC!$C$5</f>
        <v>113.22</v>
      </c>
      <c r="K82" s="315">
        <f>(AE82*KFC!$B$29+KFC!$C$29)*KFC!$C$5</f>
        <v>119.27</v>
      </c>
      <c r="L82" s="315">
        <f>(AF82*KFC!$B$29+KFC!$C$29)*KFC!$C$5</f>
        <v>125.31</v>
      </c>
      <c r="M82" s="315">
        <f>(AG82*KFC!$B$29+KFC!$C$29)*KFC!$C$5</f>
        <v>131.34</v>
      </c>
      <c r="N82" s="315">
        <f>(AH82*KFC!$B$29+KFC!$C$29)*KFC!$C$5</f>
        <v>137.38999999999999</v>
      </c>
      <c r="O82" s="315">
        <f>(AI82*KFC!$B$29+KFC!$C$29)*KFC!$C$5</f>
        <v>143.43</v>
      </c>
      <c r="P82" s="315">
        <f>(AJ82*KFC!$B$29+KFC!$C$29)*KFC!$C$5</f>
        <v>149.47000000000003</v>
      </c>
      <c r="Q82" s="315">
        <f>(AK82*KFC!$B$29+KFC!$C$29)*KFC!$C$5</f>
        <v>155.51000000000005</v>
      </c>
      <c r="R82" s="315">
        <f>(AL82*KFC!$B$29+KFC!$C$29)*KFC!$C$5</f>
        <v>161.55000000000007</v>
      </c>
      <c r="S82" s="315">
        <f>(AM82*KFC!$B$29+KFC!$C$29)*KFC!$C$5</f>
        <v>167.59000000000009</v>
      </c>
      <c r="T82" s="315">
        <f>(AN82*KFC!$B$29+KFC!$C$29)*KFC!$C$5</f>
        <v>173.63000000000011</v>
      </c>
      <c r="V82" s="851">
        <v>1.2</v>
      </c>
      <c r="W82" s="847">
        <v>70.94</v>
      </c>
      <c r="X82" s="847">
        <v>76.86</v>
      </c>
      <c r="Y82" s="847">
        <v>83.02</v>
      </c>
      <c r="Z82" s="847">
        <v>88.94</v>
      </c>
      <c r="AA82" s="847">
        <v>95.11</v>
      </c>
      <c r="AB82" s="847">
        <v>101.01</v>
      </c>
      <c r="AC82" s="847">
        <v>107.18</v>
      </c>
      <c r="AD82" s="847">
        <v>113.22</v>
      </c>
      <c r="AE82" s="847">
        <v>119.27</v>
      </c>
      <c r="AF82" s="847">
        <v>125.31</v>
      </c>
      <c r="AG82" s="847">
        <v>131.34</v>
      </c>
      <c r="AH82" s="847">
        <v>137.38999999999999</v>
      </c>
      <c r="AI82" s="848">
        <v>143.43</v>
      </c>
      <c r="AJ82" s="690">
        <f t="shared" si="12"/>
        <v>149.47000000000003</v>
      </c>
      <c r="AK82" s="690">
        <f t="shared" si="13"/>
        <v>155.51000000000005</v>
      </c>
      <c r="AL82" s="690">
        <f t="shared" si="13"/>
        <v>161.55000000000007</v>
      </c>
      <c r="AM82" s="690">
        <f t="shared" si="13"/>
        <v>167.59000000000009</v>
      </c>
      <c r="AN82" s="690">
        <f t="shared" si="13"/>
        <v>173.63000000000011</v>
      </c>
      <c r="AO82" s="690">
        <f t="shared" si="13"/>
        <v>179.67000000000013</v>
      </c>
      <c r="AP82" s="690">
        <f t="shared" si="13"/>
        <v>185.71000000000015</v>
      </c>
    </row>
    <row r="83" spans="1:42">
      <c r="A83" s="1538"/>
      <c r="B83" s="262">
        <v>1.3</v>
      </c>
      <c r="C83" s="314">
        <f>(W83*KFC!$B$29+KFC!$C$29)*KFC!$C$5</f>
        <v>73.77</v>
      </c>
      <c r="D83" s="315">
        <f>(X83*KFC!$B$29+KFC!$C$29)*KFC!$C$5</f>
        <v>79.81</v>
      </c>
      <c r="E83" s="315">
        <f>(Y83*KFC!$B$29+KFC!$C$29)*KFC!$C$5</f>
        <v>85.98</v>
      </c>
      <c r="F83" s="315">
        <f>(Z83*KFC!$B$29+KFC!$C$29)*KFC!$C$5</f>
        <v>92.15</v>
      </c>
      <c r="G83" s="315">
        <f>(AA83*KFC!$B$29+KFC!$C$29)*KFC!$C$5</f>
        <v>98.07</v>
      </c>
      <c r="H83" s="315">
        <f>(AB83*KFC!$B$29+KFC!$C$29)*KFC!$C$5</f>
        <v>104.22</v>
      </c>
      <c r="I83" s="315">
        <f>(AC83*KFC!$B$29+KFC!$C$29)*KFC!$C$5</f>
        <v>110.4</v>
      </c>
      <c r="J83" s="315">
        <f>(AD83*KFC!$B$29+KFC!$C$29)*KFC!$C$5</f>
        <v>116.43</v>
      </c>
      <c r="K83" s="315">
        <f>(AE83*KFC!$B$29+KFC!$C$29)*KFC!$C$5</f>
        <v>122.61</v>
      </c>
      <c r="L83" s="315">
        <f>(AF83*KFC!$B$29+KFC!$C$29)*KFC!$C$5</f>
        <v>128.52000000000001</v>
      </c>
      <c r="M83" s="315">
        <f>(AG83*KFC!$B$29+KFC!$C$29)*KFC!$C$5</f>
        <v>134.69</v>
      </c>
      <c r="N83" s="315">
        <f>(AH83*KFC!$B$29+KFC!$C$29)*KFC!$C$5</f>
        <v>140.86000000000001</v>
      </c>
      <c r="O83" s="315">
        <f>(AI83*KFC!$B$29+KFC!$C$29)*KFC!$C$5</f>
        <v>147.03</v>
      </c>
      <c r="P83" s="315">
        <f>(AJ83*KFC!$B$29+KFC!$C$29)*KFC!$C$5</f>
        <v>153.19999999999999</v>
      </c>
      <c r="Q83" s="315">
        <f>(AK83*KFC!$B$29+KFC!$C$29)*KFC!$C$5</f>
        <v>159.36999999999998</v>
      </c>
      <c r="R83" s="315">
        <f>(AL83*KFC!$B$29+KFC!$C$29)*KFC!$C$5</f>
        <v>165.53999999999996</v>
      </c>
      <c r="S83" s="315">
        <f>(AM83*KFC!$B$29+KFC!$C$29)*KFC!$C$5</f>
        <v>171.70999999999995</v>
      </c>
      <c r="T83" s="315">
        <f>(AN83*KFC!$B$29+KFC!$C$29)*KFC!$C$5</f>
        <v>177.87999999999994</v>
      </c>
      <c r="V83" s="851">
        <v>1.3</v>
      </c>
      <c r="W83" s="847">
        <v>73.77</v>
      </c>
      <c r="X83" s="847">
        <v>79.81</v>
      </c>
      <c r="Y83" s="847">
        <v>85.98</v>
      </c>
      <c r="Z83" s="847">
        <v>92.15</v>
      </c>
      <c r="AA83" s="847">
        <v>98.07</v>
      </c>
      <c r="AB83" s="847">
        <v>104.22</v>
      </c>
      <c r="AC83" s="847">
        <v>110.4</v>
      </c>
      <c r="AD83" s="847">
        <v>116.43</v>
      </c>
      <c r="AE83" s="847">
        <v>122.61</v>
      </c>
      <c r="AF83" s="847">
        <v>128.52000000000001</v>
      </c>
      <c r="AG83" s="847">
        <v>134.69</v>
      </c>
      <c r="AH83" s="847">
        <v>140.86000000000001</v>
      </c>
      <c r="AI83" s="848">
        <v>147.03</v>
      </c>
      <c r="AJ83" s="690">
        <f t="shared" si="12"/>
        <v>153.19999999999999</v>
      </c>
      <c r="AK83" s="690">
        <f t="shared" si="13"/>
        <v>159.36999999999998</v>
      </c>
      <c r="AL83" s="690">
        <f t="shared" si="13"/>
        <v>165.53999999999996</v>
      </c>
      <c r="AM83" s="690">
        <f t="shared" si="13"/>
        <v>171.70999999999995</v>
      </c>
      <c r="AN83" s="690">
        <f t="shared" si="13"/>
        <v>177.87999999999994</v>
      </c>
      <c r="AO83" s="690">
        <f t="shared" si="13"/>
        <v>184.04999999999993</v>
      </c>
      <c r="AP83" s="690">
        <f t="shared" si="13"/>
        <v>190.21999999999991</v>
      </c>
    </row>
    <row r="84" spans="1:42">
      <c r="A84" s="1538"/>
      <c r="B84" s="262">
        <v>1.4</v>
      </c>
      <c r="C84" s="314">
        <f>(W84*KFC!$B$29+KFC!$C$29)*KFC!$C$5</f>
        <v>76.72</v>
      </c>
      <c r="D84" s="315">
        <f>(X84*KFC!$B$29+KFC!$C$29)*KFC!$C$5</f>
        <v>82.9</v>
      </c>
      <c r="E84" s="315">
        <f>(Y84*KFC!$B$29+KFC!$C$29)*KFC!$C$5</f>
        <v>88.94</v>
      </c>
      <c r="F84" s="315">
        <f>(Z84*KFC!$B$29+KFC!$C$29)*KFC!$C$5</f>
        <v>95.11</v>
      </c>
      <c r="G84" s="315">
        <f>(AA84*KFC!$B$29+KFC!$C$29)*KFC!$C$5</f>
        <v>101.28</v>
      </c>
      <c r="H84" s="315">
        <f>(AB84*KFC!$B$29+KFC!$C$29)*KFC!$C$5</f>
        <v>107.31</v>
      </c>
      <c r="I84" s="315">
        <f>(AC84*KFC!$B$29+KFC!$C$29)*KFC!$C$5</f>
        <v>113.61</v>
      </c>
      <c r="J84" s="315">
        <f>(AD84*KFC!$B$29+KFC!$C$29)*KFC!$C$5</f>
        <v>119.77</v>
      </c>
      <c r="K84" s="315">
        <f>(AE84*KFC!$B$29+KFC!$C$29)*KFC!$C$5</f>
        <v>125.95</v>
      </c>
      <c r="L84" s="315">
        <f>(AF84*KFC!$B$29+KFC!$C$29)*KFC!$C$5</f>
        <v>131.99</v>
      </c>
      <c r="M84" s="315">
        <f>(AG84*KFC!$B$29+KFC!$C$29)*KFC!$C$5</f>
        <v>138.16</v>
      </c>
      <c r="N84" s="315">
        <f>(AH84*KFC!$B$29+KFC!$C$29)*KFC!$C$5</f>
        <v>144.33000000000001</v>
      </c>
      <c r="O84" s="315">
        <f>(AI84*KFC!$B$29+KFC!$C$29)*KFC!$C$5</f>
        <v>150.5</v>
      </c>
      <c r="P84" s="315">
        <f>(AJ84*KFC!$B$29+KFC!$C$29)*KFC!$C$5</f>
        <v>156.66999999999999</v>
      </c>
      <c r="Q84" s="315">
        <f>(AK84*KFC!$B$29+KFC!$C$29)*KFC!$C$5</f>
        <v>162.83999999999997</v>
      </c>
      <c r="R84" s="315">
        <f>(AL84*KFC!$B$29+KFC!$C$29)*KFC!$C$5</f>
        <v>169.00999999999996</v>
      </c>
      <c r="S84" s="315">
        <f>(AM84*KFC!$B$29+KFC!$C$29)*KFC!$C$5</f>
        <v>175.17999999999995</v>
      </c>
      <c r="T84" s="315">
        <f>(AN84*KFC!$B$29+KFC!$C$29)*KFC!$C$5</f>
        <v>181.34999999999994</v>
      </c>
      <c r="V84" s="851">
        <v>1.4</v>
      </c>
      <c r="W84" s="847">
        <v>76.72</v>
      </c>
      <c r="X84" s="847">
        <v>82.9</v>
      </c>
      <c r="Y84" s="847">
        <v>88.94</v>
      </c>
      <c r="Z84" s="847">
        <v>95.11</v>
      </c>
      <c r="AA84" s="847">
        <v>101.28</v>
      </c>
      <c r="AB84" s="847">
        <v>107.31</v>
      </c>
      <c r="AC84" s="847">
        <v>113.61</v>
      </c>
      <c r="AD84" s="847">
        <v>119.77</v>
      </c>
      <c r="AE84" s="847">
        <v>125.95</v>
      </c>
      <c r="AF84" s="847">
        <v>131.99</v>
      </c>
      <c r="AG84" s="847">
        <v>138.16</v>
      </c>
      <c r="AH84" s="847">
        <v>144.33000000000001</v>
      </c>
      <c r="AI84" s="848">
        <v>150.5</v>
      </c>
      <c r="AJ84" s="690">
        <f t="shared" si="12"/>
        <v>156.66999999999999</v>
      </c>
      <c r="AK84" s="690">
        <f t="shared" si="13"/>
        <v>162.83999999999997</v>
      </c>
      <c r="AL84" s="690">
        <f t="shared" si="13"/>
        <v>169.00999999999996</v>
      </c>
      <c r="AM84" s="690">
        <f t="shared" si="13"/>
        <v>175.17999999999995</v>
      </c>
      <c r="AN84" s="690">
        <f t="shared" si="13"/>
        <v>181.34999999999994</v>
      </c>
      <c r="AO84" s="690">
        <f t="shared" si="13"/>
        <v>187.51999999999992</v>
      </c>
      <c r="AP84" s="690">
        <f t="shared" si="13"/>
        <v>193.68999999999991</v>
      </c>
    </row>
    <row r="85" spans="1:42">
      <c r="A85" s="1538"/>
      <c r="B85" s="262">
        <v>1.5</v>
      </c>
      <c r="C85" s="314">
        <f>(W85*KFC!$B$29+KFC!$C$29)*KFC!$C$5</f>
        <v>79.680000000000007</v>
      </c>
      <c r="D85" s="315">
        <f>(X85*KFC!$B$29+KFC!$C$29)*KFC!$C$5</f>
        <v>85.86</v>
      </c>
      <c r="E85" s="315">
        <f>(Y85*KFC!$B$29+KFC!$C$29)*KFC!$C$5</f>
        <v>91.9</v>
      </c>
      <c r="F85" s="315">
        <f>(Z85*KFC!$B$29+KFC!$C$29)*KFC!$C$5</f>
        <v>98.2</v>
      </c>
      <c r="G85" s="315">
        <f>(AA85*KFC!$B$29+KFC!$C$29)*KFC!$C$5</f>
        <v>104.35</v>
      </c>
      <c r="H85" s="315">
        <f>(AB85*KFC!$B$29+KFC!$C$29)*KFC!$C$5</f>
        <v>110.65</v>
      </c>
      <c r="I85" s="315">
        <f>(AC85*KFC!$B$29+KFC!$C$29)*KFC!$C$5</f>
        <v>116.82</v>
      </c>
      <c r="J85" s="315">
        <f>(AD85*KFC!$B$29+KFC!$C$29)*KFC!$C$5</f>
        <v>122.86</v>
      </c>
      <c r="K85" s="315">
        <f>(AE85*KFC!$B$29+KFC!$C$29)*KFC!$C$5</f>
        <v>129.16</v>
      </c>
      <c r="L85" s="315">
        <f>(AF85*KFC!$B$29+KFC!$C$29)*KFC!$C$5</f>
        <v>135.33000000000001</v>
      </c>
      <c r="M85" s="315">
        <f>(AG85*KFC!$B$29+KFC!$C$29)*KFC!$C$5</f>
        <v>141.62</v>
      </c>
      <c r="N85" s="315">
        <f>(AH85*KFC!$B$29+KFC!$C$29)*KFC!$C$5</f>
        <v>147.80000000000001</v>
      </c>
      <c r="O85" s="315">
        <f>(AI85*KFC!$B$29+KFC!$C$29)*KFC!$C$5</f>
        <v>153.97</v>
      </c>
      <c r="P85" s="315">
        <f>(AJ85*KFC!$B$29+KFC!$C$29)*KFC!$C$5</f>
        <v>160.13999999999999</v>
      </c>
      <c r="Q85" s="315">
        <f>(AK85*KFC!$B$29+KFC!$C$29)*KFC!$C$5</f>
        <v>166.30999999999997</v>
      </c>
      <c r="R85" s="315">
        <f>(AL85*KFC!$B$29+KFC!$C$29)*KFC!$C$5</f>
        <v>172.47999999999996</v>
      </c>
      <c r="S85" s="315">
        <f>(AM85*KFC!$B$29+KFC!$C$29)*KFC!$C$5</f>
        <v>178.64999999999995</v>
      </c>
      <c r="T85" s="315">
        <f>(AN85*KFC!$B$29+KFC!$C$29)*KFC!$C$5</f>
        <v>184.81999999999994</v>
      </c>
      <c r="V85" s="851">
        <v>1.5</v>
      </c>
      <c r="W85" s="847">
        <v>79.680000000000007</v>
      </c>
      <c r="X85" s="847">
        <v>85.86</v>
      </c>
      <c r="Y85" s="847">
        <v>91.9</v>
      </c>
      <c r="Z85" s="847">
        <v>98.2</v>
      </c>
      <c r="AA85" s="847">
        <v>104.35</v>
      </c>
      <c r="AB85" s="847">
        <v>110.65</v>
      </c>
      <c r="AC85" s="847">
        <v>116.82</v>
      </c>
      <c r="AD85" s="847">
        <v>122.86</v>
      </c>
      <c r="AE85" s="847">
        <v>129.16</v>
      </c>
      <c r="AF85" s="847">
        <v>135.33000000000001</v>
      </c>
      <c r="AG85" s="847">
        <v>141.62</v>
      </c>
      <c r="AH85" s="847">
        <v>147.80000000000001</v>
      </c>
      <c r="AI85" s="848">
        <v>153.97</v>
      </c>
      <c r="AJ85" s="690">
        <f t="shared" si="12"/>
        <v>160.13999999999999</v>
      </c>
      <c r="AK85" s="690">
        <f t="shared" si="13"/>
        <v>166.30999999999997</v>
      </c>
      <c r="AL85" s="690">
        <f t="shared" si="13"/>
        <v>172.47999999999996</v>
      </c>
      <c r="AM85" s="690">
        <f t="shared" si="13"/>
        <v>178.64999999999995</v>
      </c>
      <c r="AN85" s="690">
        <f t="shared" si="13"/>
        <v>184.81999999999994</v>
      </c>
      <c r="AO85" s="690">
        <f t="shared" si="13"/>
        <v>190.98999999999992</v>
      </c>
      <c r="AP85" s="690">
        <f t="shared" si="13"/>
        <v>197.15999999999991</v>
      </c>
    </row>
    <row r="86" spans="1:42">
      <c r="A86" s="1538"/>
      <c r="B86" s="262">
        <v>1.6</v>
      </c>
      <c r="C86" s="314">
        <f>(W86*KFC!$B$29+KFC!$C$29)*KFC!$C$5</f>
        <v>82.51</v>
      </c>
      <c r="D86" s="315">
        <f>(X86*KFC!$B$29+KFC!$C$29)*KFC!$C$5</f>
        <v>88.81</v>
      </c>
      <c r="E86" s="315">
        <f>(Y86*KFC!$B$29+KFC!$C$29)*KFC!$C$5</f>
        <v>95.11</v>
      </c>
      <c r="F86" s="315">
        <f>(Z86*KFC!$B$29+KFC!$C$29)*KFC!$C$5</f>
        <v>101.28</v>
      </c>
      <c r="G86" s="315">
        <f>(AA86*KFC!$B$29+KFC!$C$29)*KFC!$C$5</f>
        <v>107.56</v>
      </c>
      <c r="H86" s="315">
        <f>(AB86*KFC!$B$29+KFC!$C$29)*KFC!$C$5</f>
        <v>113.74</v>
      </c>
      <c r="I86" s="315">
        <f>(AC86*KFC!$B$29+KFC!$C$29)*KFC!$C$5</f>
        <v>120.04</v>
      </c>
      <c r="J86" s="315">
        <f>(AD86*KFC!$B$29+KFC!$C$29)*KFC!$C$5</f>
        <v>126.2</v>
      </c>
      <c r="K86" s="315">
        <f>(AE86*KFC!$B$29+KFC!$C$29)*KFC!$C$5</f>
        <v>132.5</v>
      </c>
      <c r="L86" s="315">
        <f>(AF86*KFC!$B$29+KFC!$C$29)*KFC!$C$5</f>
        <v>138.80000000000001</v>
      </c>
      <c r="M86" s="315">
        <f>(AG86*KFC!$B$29+KFC!$C$29)*KFC!$C$5</f>
        <v>144.97</v>
      </c>
      <c r="N86" s="315">
        <f>(AH86*KFC!$B$29+KFC!$C$29)*KFC!$C$5</f>
        <v>151.26</v>
      </c>
      <c r="O86" s="315">
        <f>(AI86*KFC!$B$29+KFC!$C$29)*KFC!$C$5</f>
        <v>157.56</v>
      </c>
      <c r="P86" s="315">
        <f>(AJ86*KFC!$B$29+KFC!$C$29)*KFC!$C$5</f>
        <v>163.86</v>
      </c>
      <c r="Q86" s="315">
        <f>(AK86*KFC!$B$29+KFC!$C$29)*KFC!$C$5</f>
        <v>170.16000000000003</v>
      </c>
      <c r="R86" s="315">
        <f>(AL86*KFC!$B$29+KFC!$C$29)*KFC!$C$5</f>
        <v>176.46000000000004</v>
      </c>
      <c r="S86" s="315">
        <f>(AM86*KFC!$B$29+KFC!$C$29)*KFC!$C$5</f>
        <v>182.76000000000005</v>
      </c>
      <c r="T86" s="315">
        <f>(AN86*KFC!$B$29+KFC!$C$29)*KFC!$C$5</f>
        <v>189.06000000000006</v>
      </c>
      <c r="V86" s="851">
        <v>1.6</v>
      </c>
      <c r="W86" s="847">
        <v>82.51</v>
      </c>
      <c r="X86" s="847">
        <v>88.81</v>
      </c>
      <c r="Y86" s="847">
        <v>95.11</v>
      </c>
      <c r="Z86" s="847">
        <v>101.28</v>
      </c>
      <c r="AA86" s="847">
        <v>107.56</v>
      </c>
      <c r="AB86" s="847">
        <v>113.74</v>
      </c>
      <c r="AC86" s="847">
        <v>120.04</v>
      </c>
      <c r="AD86" s="847">
        <v>126.2</v>
      </c>
      <c r="AE86" s="847">
        <v>132.5</v>
      </c>
      <c r="AF86" s="847">
        <v>138.80000000000001</v>
      </c>
      <c r="AG86" s="847">
        <v>144.97</v>
      </c>
      <c r="AH86" s="847">
        <v>151.26</v>
      </c>
      <c r="AI86" s="848">
        <v>157.56</v>
      </c>
      <c r="AJ86" s="690">
        <f t="shared" si="12"/>
        <v>163.86</v>
      </c>
      <c r="AK86" s="690">
        <f t="shared" si="13"/>
        <v>170.16000000000003</v>
      </c>
      <c r="AL86" s="690">
        <f t="shared" si="13"/>
        <v>176.46000000000004</v>
      </c>
      <c r="AM86" s="690">
        <f t="shared" si="13"/>
        <v>182.76000000000005</v>
      </c>
      <c r="AN86" s="690">
        <f t="shared" si="13"/>
        <v>189.06000000000006</v>
      </c>
      <c r="AO86" s="690">
        <f t="shared" si="13"/>
        <v>195.36000000000007</v>
      </c>
      <c r="AP86" s="690">
        <f t="shared" si="13"/>
        <v>201.66000000000008</v>
      </c>
    </row>
    <row r="87" spans="1:42">
      <c r="A87" s="1538"/>
      <c r="B87" s="262">
        <v>1.7</v>
      </c>
      <c r="C87" s="314">
        <f>(W87*KFC!$B$29+KFC!$C$29)*KFC!$C$5</f>
        <v>85.47</v>
      </c>
      <c r="D87" s="315">
        <f>(X87*KFC!$B$29+KFC!$C$29)*KFC!$C$5</f>
        <v>91.77</v>
      </c>
      <c r="E87" s="315">
        <f>(Y87*KFC!$B$29+KFC!$C$29)*KFC!$C$5</f>
        <v>98.07</v>
      </c>
      <c r="F87" s="315">
        <f>(Z87*KFC!$B$29+KFC!$C$29)*KFC!$C$5</f>
        <v>104.35</v>
      </c>
      <c r="G87" s="315">
        <f>(AA87*KFC!$B$29+KFC!$C$29)*KFC!$C$5</f>
        <v>110.65</v>
      </c>
      <c r="H87" s="315">
        <f>(AB87*KFC!$B$29+KFC!$C$29)*KFC!$C$5</f>
        <v>116.95</v>
      </c>
      <c r="I87" s="315">
        <f>(AC87*KFC!$B$29+KFC!$C$29)*KFC!$C$5</f>
        <v>123.25</v>
      </c>
      <c r="J87" s="315">
        <f>(AD87*KFC!$B$29+KFC!$C$29)*KFC!$C$5</f>
        <v>129.55000000000001</v>
      </c>
      <c r="K87" s="315">
        <f>(AE87*KFC!$B$29+KFC!$C$29)*KFC!$C$5</f>
        <v>135.84</v>
      </c>
      <c r="L87" s="315">
        <f>(AF87*KFC!$B$29+KFC!$C$29)*KFC!$C$5</f>
        <v>142.13999999999999</v>
      </c>
      <c r="M87" s="315">
        <f>(AG87*KFC!$B$29+KFC!$C$29)*KFC!$C$5</f>
        <v>148.44</v>
      </c>
      <c r="N87" s="315">
        <f>(AH87*KFC!$B$29+KFC!$C$29)*KFC!$C$5</f>
        <v>154.61000000000001</v>
      </c>
      <c r="O87" s="315">
        <f>(AI87*KFC!$B$29+KFC!$C$29)*KFC!$C$5</f>
        <v>160.78</v>
      </c>
      <c r="P87" s="315">
        <f>(AJ87*KFC!$B$29+KFC!$C$29)*KFC!$C$5</f>
        <v>166.95</v>
      </c>
      <c r="Q87" s="315">
        <f>(AK87*KFC!$B$29+KFC!$C$29)*KFC!$C$5</f>
        <v>173.11999999999998</v>
      </c>
      <c r="R87" s="315">
        <f>(AL87*KFC!$B$29+KFC!$C$29)*KFC!$C$5</f>
        <v>179.28999999999996</v>
      </c>
      <c r="S87" s="315">
        <f>(AM87*KFC!$B$29+KFC!$C$29)*KFC!$C$5</f>
        <v>185.45999999999995</v>
      </c>
      <c r="T87" s="315">
        <f>(AN87*KFC!$B$29+KFC!$C$29)*KFC!$C$5</f>
        <v>191.62999999999994</v>
      </c>
      <c r="V87" s="851">
        <v>1.7</v>
      </c>
      <c r="W87" s="847">
        <v>85.47</v>
      </c>
      <c r="X87" s="847">
        <v>91.77</v>
      </c>
      <c r="Y87" s="847">
        <v>98.07</v>
      </c>
      <c r="Z87" s="847">
        <v>104.35</v>
      </c>
      <c r="AA87" s="847">
        <v>110.65</v>
      </c>
      <c r="AB87" s="847">
        <v>116.95</v>
      </c>
      <c r="AC87" s="847">
        <v>123.25</v>
      </c>
      <c r="AD87" s="847">
        <v>129.55000000000001</v>
      </c>
      <c r="AE87" s="847">
        <v>135.84</v>
      </c>
      <c r="AF87" s="847">
        <v>142.13999999999999</v>
      </c>
      <c r="AG87" s="847">
        <v>148.44</v>
      </c>
      <c r="AH87" s="847">
        <v>154.61000000000001</v>
      </c>
      <c r="AI87" s="848">
        <v>160.78</v>
      </c>
      <c r="AJ87" s="690">
        <f t="shared" si="12"/>
        <v>166.95</v>
      </c>
      <c r="AK87" s="690">
        <f t="shared" si="13"/>
        <v>173.11999999999998</v>
      </c>
      <c r="AL87" s="690">
        <f t="shared" si="13"/>
        <v>179.28999999999996</v>
      </c>
      <c r="AM87" s="690">
        <f t="shared" si="13"/>
        <v>185.45999999999995</v>
      </c>
      <c r="AN87" s="690">
        <f t="shared" si="13"/>
        <v>191.62999999999994</v>
      </c>
      <c r="AO87" s="690">
        <f t="shared" si="13"/>
        <v>197.79999999999993</v>
      </c>
      <c r="AP87" s="690">
        <f t="shared" si="13"/>
        <v>203.96999999999991</v>
      </c>
    </row>
    <row r="88" spans="1:42">
      <c r="A88" s="1538"/>
      <c r="B88" s="262">
        <v>1.8</v>
      </c>
      <c r="C88" s="314">
        <f>(W88*KFC!$B$29+KFC!$C$29)*KFC!$C$5</f>
        <v>88.56</v>
      </c>
      <c r="D88" s="315">
        <f>(X88*KFC!$B$29+KFC!$C$29)*KFC!$C$5</f>
        <v>94.71</v>
      </c>
      <c r="E88" s="315">
        <f>(Y88*KFC!$B$29+KFC!$C$29)*KFC!$C$5</f>
        <v>101.01</v>
      </c>
      <c r="F88" s="315">
        <f>(Z88*KFC!$B$29+KFC!$C$29)*KFC!$C$5</f>
        <v>107.56</v>
      </c>
      <c r="G88" s="315">
        <f>(AA88*KFC!$B$29+KFC!$C$29)*KFC!$C$5</f>
        <v>113.74</v>
      </c>
      <c r="H88" s="315">
        <f>(AB88*KFC!$B$29+KFC!$C$29)*KFC!$C$5</f>
        <v>120.04</v>
      </c>
      <c r="I88" s="315">
        <f>(AC88*KFC!$B$29+KFC!$C$29)*KFC!$C$5</f>
        <v>126.34</v>
      </c>
      <c r="J88" s="315">
        <f>(AD88*KFC!$B$29+KFC!$C$29)*KFC!$C$5</f>
        <v>132.76</v>
      </c>
      <c r="K88" s="315">
        <f>(AE88*KFC!$B$29+KFC!$C$29)*KFC!$C$5</f>
        <v>139.05000000000001</v>
      </c>
      <c r="L88" s="315">
        <f>(AF88*KFC!$B$29+KFC!$C$29)*KFC!$C$5</f>
        <v>145.35</v>
      </c>
      <c r="M88" s="315">
        <f>(AG88*KFC!$B$29+KFC!$C$29)*KFC!$C$5</f>
        <v>151.78</v>
      </c>
      <c r="N88" s="315">
        <f>(AH88*KFC!$B$29+KFC!$C$29)*KFC!$C$5</f>
        <v>158.08000000000001</v>
      </c>
      <c r="O88" s="315">
        <f>(AI88*KFC!$B$29+KFC!$C$29)*KFC!$C$5</f>
        <v>164.38</v>
      </c>
      <c r="P88" s="315">
        <f>(AJ88*KFC!$B$29+KFC!$C$29)*KFC!$C$5</f>
        <v>170.67999999999998</v>
      </c>
      <c r="Q88" s="315">
        <f>(AK88*KFC!$B$29+KFC!$C$29)*KFC!$C$5</f>
        <v>176.97999999999996</v>
      </c>
      <c r="R88" s="315">
        <f>(AL88*KFC!$B$29+KFC!$C$29)*KFC!$C$5</f>
        <v>183.27999999999994</v>
      </c>
      <c r="S88" s="315">
        <f>(AM88*KFC!$B$29+KFC!$C$29)*KFC!$C$5</f>
        <v>189.57999999999993</v>
      </c>
      <c r="T88" s="315">
        <f>(AN88*KFC!$B$29+KFC!$C$29)*KFC!$C$5</f>
        <v>195.87999999999991</v>
      </c>
      <c r="V88" s="851">
        <v>1.8</v>
      </c>
      <c r="W88" s="847">
        <v>88.56</v>
      </c>
      <c r="X88" s="847">
        <v>94.71</v>
      </c>
      <c r="Y88" s="847">
        <v>101.01</v>
      </c>
      <c r="Z88" s="847">
        <v>107.56</v>
      </c>
      <c r="AA88" s="847">
        <v>113.74</v>
      </c>
      <c r="AB88" s="847">
        <v>120.04</v>
      </c>
      <c r="AC88" s="847">
        <v>126.34</v>
      </c>
      <c r="AD88" s="847">
        <v>132.76</v>
      </c>
      <c r="AE88" s="847">
        <v>139.05000000000001</v>
      </c>
      <c r="AF88" s="847">
        <v>145.35</v>
      </c>
      <c r="AG88" s="847">
        <v>151.78</v>
      </c>
      <c r="AH88" s="847">
        <v>158.08000000000001</v>
      </c>
      <c r="AI88" s="848">
        <v>164.38</v>
      </c>
      <c r="AJ88" s="690">
        <f t="shared" si="12"/>
        <v>170.67999999999998</v>
      </c>
      <c r="AK88" s="690">
        <f t="shared" si="13"/>
        <v>176.97999999999996</v>
      </c>
      <c r="AL88" s="690">
        <f t="shared" si="13"/>
        <v>183.27999999999994</v>
      </c>
      <c r="AM88" s="690">
        <f t="shared" si="13"/>
        <v>189.57999999999993</v>
      </c>
      <c r="AN88" s="690">
        <f t="shared" si="13"/>
        <v>195.87999999999991</v>
      </c>
      <c r="AO88" s="690">
        <f t="shared" si="13"/>
        <v>202.17999999999989</v>
      </c>
      <c r="AP88" s="690">
        <f t="shared" si="13"/>
        <v>208.47999999999988</v>
      </c>
    </row>
    <row r="89" spans="1:42">
      <c r="A89" s="1538"/>
      <c r="B89" s="262">
        <v>1.9</v>
      </c>
      <c r="C89" s="314">
        <f>(W89*KFC!$B$29+KFC!$C$29)*KFC!$C$5</f>
        <v>91.37</v>
      </c>
      <c r="D89" s="315">
        <f>(X89*KFC!$B$29+KFC!$C$29)*KFC!$C$5</f>
        <v>97.8</v>
      </c>
      <c r="E89" s="315">
        <f>(Y89*KFC!$B$29+KFC!$C$29)*KFC!$C$5</f>
        <v>104.22</v>
      </c>
      <c r="F89" s="315">
        <f>(Z89*KFC!$B$29+KFC!$C$29)*KFC!$C$5</f>
        <v>110.52</v>
      </c>
      <c r="G89" s="315">
        <f>(AA89*KFC!$B$29+KFC!$C$29)*KFC!$C$5</f>
        <v>116.95</v>
      </c>
      <c r="H89" s="315">
        <f>(AB89*KFC!$B$29+KFC!$C$29)*KFC!$C$5</f>
        <v>123.25</v>
      </c>
      <c r="I89" s="315">
        <f>(AC89*KFC!$B$29+KFC!$C$29)*KFC!$C$5</f>
        <v>129.68</v>
      </c>
      <c r="J89" s="315">
        <f>(AD89*KFC!$B$29+KFC!$C$29)*KFC!$C$5</f>
        <v>136.1</v>
      </c>
      <c r="K89" s="315">
        <f>(AE89*KFC!$B$29+KFC!$C$29)*KFC!$C$5</f>
        <v>142.4</v>
      </c>
      <c r="L89" s="315">
        <f>(AF89*KFC!$B$29+KFC!$C$29)*KFC!$C$5</f>
        <v>148.83000000000001</v>
      </c>
      <c r="M89" s="315">
        <f>(AG89*KFC!$B$29+KFC!$C$29)*KFC!$C$5</f>
        <v>155.12</v>
      </c>
      <c r="N89" s="315">
        <f>(AH89*KFC!$B$29+KFC!$C$29)*KFC!$C$5</f>
        <v>161.54</v>
      </c>
      <c r="O89" s="315">
        <f>(AI89*KFC!$B$29+KFC!$C$29)*KFC!$C$5</f>
        <v>167.97</v>
      </c>
      <c r="P89" s="315">
        <f>(AJ89*KFC!$B$29+KFC!$C$29)*KFC!$C$5</f>
        <v>174.4</v>
      </c>
      <c r="Q89" s="315">
        <f>(AK89*KFC!$B$29+KFC!$C$29)*KFC!$C$5</f>
        <v>180.83</v>
      </c>
      <c r="R89" s="315">
        <f>(AL89*KFC!$B$29+KFC!$C$29)*KFC!$C$5</f>
        <v>187.26000000000002</v>
      </c>
      <c r="S89" s="315">
        <f>(AM89*KFC!$B$29+KFC!$C$29)*KFC!$C$5</f>
        <v>193.69000000000003</v>
      </c>
      <c r="T89" s="315">
        <f>(AN89*KFC!$B$29+KFC!$C$29)*KFC!$C$5</f>
        <v>200.12000000000003</v>
      </c>
      <c r="V89" s="851">
        <v>1.9</v>
      </c>
      <c r="W89" s="847">
        <v>91.37</v>
      </c>
      <c r="X89" s="847">
        <v>97.8</v>
      </c>
      <c r="Y89" s="847">
        <v>104.22</v>
      </c>
      <c r="Z89" s="847">
        <v>110.52</v>
      </c>
      <c r="AA89" s="847">
        <v>116.95</v>
      </c>
      <c r="AB89" s="847">
        <v>123.25</v>
      </c>
      <c r="AC89" s="847">
        <v>129.68</v>
      </c>
      <c r="AD89" s="847">
        <v>136.1</v>
      </c>
      <c r="AE89" s="847">
        <v>142.4</v>
      </c>
      <c r="AF89" s="847">
        <v>148.83000000000001</v>
      </c>
      <c r="AG89" s="847">
        <v>155.12</v>
      </c>
      <c r="AH89" s="847">
        <v>161.54</v>
      </c>
      <c r="AI89" s="848">
        <v>167.97</v>
      </c>
      <c r="AJ89" s="690">
        <f t="shared" si="12"/>
        <v>174.4</v>
      </c>
      <c r="AK89" s="690">
        <f t="shared" si="13"/>
        <v>180.83</v>
      </c>
      <c r="AL89" s="690">
        <f t="shared" si="13"/>
        <v>187.26000000000002</v>
      </c>
      <c r="AM89" s="690">
        <f t="shared" si="13"/>
        <v>193.69000000000003</v>
      </c>
      <c r="AN89" s="690">
        <f t="shared" si="13"/>
        <v>200.12000000000003</v>
      </c>
      <c r="AO89" s="690">
        <f t="shared" si="13"/>
        <v>206.55000000000004</v>
      </c>
      <c r="AP89" s="690">
        <f t="shared" si="13"/>
        <v>212.98000000000005</v>
      </c>
    </row>
    <row r="90" spans="1:42">
      <c r="A90" s="1538"/>
      <c r="B90" s="262">
        <v>2</v>
      </c>
      <c r="C90" s="314">
        <f>(W90*KFC!$B$29+KFC!$C$29)*KFC!$C$5</f>
        <v>94.33</v>
      </c>
      <c r="D90" s="315">
        <f>(X90*KFC!$B$29+KFC!$C$29)*KFC!$C$5</f>
        <v>100.76</v>
      </c>
      <c r="E90" s="315">
        <f>(Y90*KFC!$B$29+KFC!$C$29)*KFC!$C$5</f>
        <v>107.18</v>
      </c>
      <c r="F90" s="315">
        <f>(Z90*KFC!$B$29+KFC!$C$29)*KFC!$C$5</f>
        <v>113.61</v>
      </c>
      <c r="G90" s="315">
        <f>(AA90*KFC!$B$29+KFC!$C$29)*KFC!$C$5</f>
        <v>120.04</v>
      </c>
      <c r="H90" s="315">
        <f>(AB90*KFC!$B$29+KFC!$C$29)*KFC!$C$5</f>
        <v>126.59</v>
      </c>
      <c r="I90" s="315">
        <f>(AC90*KFC!$B$29+KFC!$C$29)*KFC!$C$5</f>
        <v>132.76</v>
      </c>
      <c r="J90" s="315">
        <f>(AD90*KFC!$B$29+KFC!$C$29)*KFC!$C$5</f>
        <v>139.31</v>
      </c>
      <c r="K90" s="315">
        <f>(AE90*KFC!$B$29+KFC!$C$29)*KFC!$C$5</f>
        <v>145.74</v>
      </c>
      <c r="L90" s="315">
        <f>(AF90*KFC!$B$29+KFC!$C$29)*KFC!$C$5</f>
        <v>152.16999999999999</v>
      </c>
      <c r="M90" s="315">
        <f>(AG90*KFC!$B$29+KFC!$C$29)*KFC!$C$5</f>
        <v>158.59</v>
      </c>
      <c r="N90" s="315">
        <f>(AH90*KFC!$B$29+KFC!$C$29)*KFC!$C$5</f>
        <v>165.02</v>
      </c>
      <c r="O90" s="315">
        <f>(AI90*KFC!$B$29+KFC!$C$29)*KFC!$C$5</f>
        <v>171.44</v>
      </c>
      <c r="P90" s="315">
        <f>(AJ90*KFC!$B$29+KFC!$C$29)*KFC!$C$5</f>
        <v>177.85999999999999</v>
      </c>
      <c r="Q90" s="315">
        <f>(AK90*KFC!$B$29+KFC!$C$29)*KFC!$C$5</f>
        <v>184.27999999999997</v>
      </c>
      <c r="R90" s="315">
        <f>(AL90*KFC!$B$29+KFC!$C$29)*KFC!$C$5</f>
        <v>190.69999999999996</v>
      </c>
      <c r="S90" s="315">
        <f>(AM90*KFC!$B$29+KFC!$C$29)*KFC!$C$5</f>
        <v>197.11999999999995</v>
      </c>
      <c r="T90" s="315">
        <f>(AN90*KFC!$B$29+KFC!$C$29)*KFC!$C$5</f>
        <v>203.53999999999994</v>
      </c>
      <c r="V90" s="851">
        <v>2</v>
      </c>
      <c r="W90" s="847">
        <v>94.33</v>
      </c>
      <c r="X90" s="847">
        <v>100.76</v>
      </c>
      <c r="Y90" s="847">
        <v>107.18</v>
      </c>
      <c r="Z90" s="847">
        <v>113.61</v>
      </c>
      <c r="AA90" s="847">
        <v>120.04</v>
      </c>
      <c r="AB90" s="847">
        <v>126.59</v>
      </c>
      <c r="AC90" s="847">
        <v>132.76</v>
      </c>
      <c r="AD90" s="847">
        <v>139.31</v>
      </c>
      <c r="AE90" s="847">
        <v>145.74</v>
      </c>
      <c r="AF90" s="847">
        <v>152.16999999999999</v>
      </c>
      <c r="AG90" s="847">
        <v>158.59</v>
      </c>
      <c r="AH90" s="847">
        <v>165.02</v>
      </c>
      <c r="AI90" s="848">
        <v>171.44</v>
      </c>
      <c r="AJ90" s="690">
        <f t="shared" si="12"/>
        <v>177.85999999999999</v>
      </c>
      <c r="AK90" s="690">
        <f t="shared" si="13"/>
        <v>184.27999999999997</v>
      </c>
      <c r="AL90" s="690">
        <f t="shared" si="13"/>
        <v>190.69999999999996</v>
      </c>
      <c r="AM90" s="690">
        <f t="shared" si="13"/>
        <v>197.11999999999995</v>
      </c>
      <c r="AN90" s="690">
        <f t="shared" si="13"/>
        <v>203.53999999999994</v>
      </c>
      <c r="AO90" s="690">
        <f t="shared" si="13"/>
        <v>209.95999999999992</v>
      </c>
      <c r="AP90" s="690">
        <f t="shared" si="13"/>
        <v>216.37999999999991</v>
      </c>
    </row>
    <row r="91" spans="1:42">
      <c r="A91" s="1538"/>
      <c r="B91" s="262">
        <v>2.1</v>
      </c>
      <c r="C91" s="314">
        <f>(W91*KFC!$B$29+KFC!$C$29)*KFC!$C$5</f>
        <v>97.28</v>
      </c>
      <c r="D91" s="315">
        <f>(X91*KFC!$B$29+KFC!$C$29)*KFC!$C$5</f>
        <v>103.71</v>
      </c>
      <c r="E91" s="315">
        <f>(Y91*KFC!$B$29+KFC!$C$29)*KFC!$C$5</f>
        <v>110.13</v>
      </c>
      <c r="F91" s="315">
        <f>(Z91*KFC!$B$29+KFC!$C$29)*KFC!$C$5</f>
        <v>116.7</v>
      </c>
      <c r="G91" s="315">
        <f>(AA91*KFC!$B$29+KFC!$C$29)*KFC!$C$5</f>
        <v>123.12</v>
      </c>
      <c r="H91" s="315">
        <f>(AB91*KFC!$B$29+KFC!$C$29)*KFC!$C$5</f>
        <v>129.93</v>
      </c>
      <c r="I91" s="315">
        <f>(AC91*KFC!$B$29+KFC!$C$29)*KFC!$C$5</f>
        <v>135.84</v>
      </c>
      <c r="J91" s="315">
        <f>(AD91*KFC!$B$29+KFC!$C$29)*KFC!$C$5</f>
        <v>142.53</v>
      </c>
      <c r="K91" s="315">
        <f>(AE91*KFC!$B$29+KFC!$C$29)*KFC!$C$5</f>
        <v>149.08000000000001</v>
      </c>
      <c r="L91" s="315">
        <f>(AF91*KFC!$B$29+KFC!$C$29)*KFC!$C$5</f>
        <v>155.51</v>
      </c>
      <c r="M91" s="315">
        <f>(AG91*KFC!$B$29+KFC!$C$29)*KFC!$C$5</f>
        <v>162.06</v>
      </c>
      <c r="N91" s="315">
        <f>(AH91*KFC!$B$29+KFC!$C$29)*KFC!$C$5</f>
        <v>168.48</v>
      </c>
      <c r="O91" s="315">
        <f>(AI91*KFC!$B$29+KFC!$C$29)*KFC!$C$5</f>
        <v>174.91</v>
      </c>
      <c r="P91" s="315">
        <f>(AJ91*KFC!$B$29+KFC!$C$29)*KFC!$C$5</f>
        <v>181.34</v>
      </c>
      <c r="Q91" s="315">
        <f>(AK91*KFC!$B$29+KFC!$C$29)*KFC!$C$5</f>
        <v>187.77</v>
      </c>
      <c r="R91" s="315">
        <f>(AL91*KFC!$B$29+KFC!$C$29)*KFC!$C$5</f>
        <v>194.20000000000002</v>
      </c>
      <c r="S91" s="315">
        <f>(AM91*KFC!$B$29+KFC!$C$29)*KFC!$C$5</f>
        <v>200.63000000000002</v>
      </c>
      <c r="T91" s="315">
        <f>(AN91*KFC!$B$29+KFC!$C$29)*KFC!$C$5</f>
        <v>207.06000000000003</v>
      </c>
      <c r="V91" s="851">
        <v>2.1</v>
      </c>
      <c r="W91" s="847">
        <v>97.28</v>
      </c>
      <c r="X91" s="847">
        <v>103.71</v>
      </c>
      <c r="Y91" s="847">
        <v>110.13</v>
      </c>
      <c r="Z91" s="847">
        <v>116.7</v>
      </c>
      <c r="AA91" s="847">
        <v>123.12</v>
      </c>
      <c r="AB91" s="847">
        <v>129.93</v>
      </c>
      <c r="AC91" s="847">
        <v>135.84</v>
      </c>
      <c r="AD91" s="847">
        <v>142.53</v>
      </c>
      <c r="AE91" s="847">
        <v>149.08000000000001</v>
      </c>
      <c r="AF91" s="847">
        <v>155.51</v>
      </c>
      <c r="AG91" s="847">
        <v>162.06</v>
      </c>
      <c r="AH91" s="847">
        <v>168.48</v>
      </c>
      <c r="AI91" s="848">
        <v>174.91</v>
      </c>
      <c r="AJ91" s="690">
        <f t="shared" si="12"/>
        <v>181.34</v>
      </c>
      <c r="AK91" s="690">
        <f t="shared" ref="AK91:AP91" si="14">AJ91-AI91+AJ91</f>
        <v>187.77</v>
      </c>
      <c r="AL91" s="690">
        <f t="shared" si="14"/>
        <v>194.20000000000002</v>
      </c>
      <c r="AM91" s="690">
        <f t="shared" si="14"/>
        <v>200.63000000000002</v>
      </c>
      <c r="AN91" s="690">
        <f t="shared" si="14"/>
        <v>207.06000000000003</v>
      </c>
      <c r="AO91" s="690">
        <f t="shared" si="14"/>
        <v>213.49000000000004</v>
      </c>
      <c r="AP91" s="690">
        <f t="shared" si="14"/>
        <v>219.92000000000004</v>
      </c>
    </row>
    <row r="92" spans="1:42" ht="13.8" thickBot="1">
      <c r="A92" s="1539"/>
      <c r="B92" s="263">
        <v>2.2000000000000002</v>
      </c>
      <c r="C92" s="317">
        <f>(W92*KFC!$B$29+KFC!$C$29)*KFC!$C$5</f>
        <v>100.24</v>
      </c>
      <c r="D92" s="318">
        <f>(X92*KFC!$B$29+KFC!$C$29)*KFC!$C$5</f>
        <v>106.67</v>
      </c>
      <c r="E92" s="318">
        <f>(Y92*KFC!$B$29+KFC!$C$29)*KFC!$C$5</f>
        <v>113.1</v>
      </c>
      <c r="F92" s="318">
        <f>(Z92*KFC!$B$29+KFC!$C$29)*KFC!$C$5</f>
        <v>119.77</v>
      </c>
      <c r="G92" s="318">
        <f>(AA92*KFC!$B$29+KFC!$C$29)*KFC!$C$5</f>
        <v>126.2</v>
      </c>
      <c r="H92" s="318">
        <f>(AB92*KFC!$B$29+KFC!$C$29)*KFC!$C$5</f>
        <v>133.27000000000001</v>
      </c>
      <c r="I92" s="318">
        <f>(AC92*KFC!$B$29+KFC!$C$29)*KFC!$C$5</f>
        <v>138.93</v>
      </c>
      <c r="J92" s="318">
        <f>(AD92*KFC!$B$29+KFC!$C$29)*KFC!$C$5</f>
        <v>145.74</v>
      </c>
      <c r="K92" s="318">
        <f>(AE92*KFC!$B$29+KFC!$C$29)*KFC!$C$5</f>
        <v>152.41999999999999</v>
      </c>
      <c r="L92" s="318">
        <f>(AF92*KFC!$B$29+KFC!$C$29)*KFC!$C$5</f>
        <v>158.84</v>
      </c>
      <c r="M92" s="318">
        <f>(AG92*KFC!$B$29+KFC!$C$29)*KFC!$C$5</f>
        <v>165.54</v>
      </c>
      <c r="N92" s="318">
        <f>(AH92*KFC!$B$29+KFC!$C$29)*KFC!$C$5</f>
        <v>171.97</v>
      </c>
      <c r="O92" s="318">
        <f>(AI92*KFC!$B$29+KFC!$C$29)*KFC!$C$5</f>
        <v>178.4</v>
      </c>
      <c r="P92" s="318">
        <f>(AJ92*KFC!$B$29+KFC!$C$29)*KFC!$C$5</f>
        <v>184.83</v>
      </c>
      <c r="Q92" s="318">
        <f>(AK92*KFC!$B$29+KFC!$C$29)*KFC!$C$5</f>
        <v>191.26000000000002</v>
      </c>
      <c r="R92" s="318">
        <f>(AL92*KFC!$B$29+KFC!$C$29)*KFC!$C$5</f>
        <v>197.69000000000003</v>
      </c>
      <c r="S92" s="318">
        <f>(AM92*KFC!$B$29+KFC!$C$29)*KFC!$C$5</f>
        <v>204.12000000000003</v>
      </c>
      <c r="T92" s="318">
        <f>(AN92*KFC!$B$29+KFC!$C$29)*KFC!$C$5</f>
        <v>210.55000000000004</v>
      </c>
      <c r="V92" s="851">
        <v>2.2000000000000002</v>
      </c>
      <c r="W92" s="847">
        <v>100.24</v>
      </c>
      <c r="X92" s="847">
        <v>106.67</v>
      </c>
      <c r="Y92" s="847">
        <v>113.1</v>
      </c>
      <c r="Z92" s="847">
        <v>119.77</v>
      </c>
      <c r="AA92" s="847">
        <v>126.2</v>
      </c>
      <c r="AB92" s="847">
        <v>133.27000000000001</v>
      </c>
      <c r="AC92" s="847">
        <v>138.93</v>
      </c>
      <c r="AD92" s="847">
        <v>145.74</v>
      </c>
      <c r="AE92" s="847">
        <v>152.41999999999999</v>
      </c>
      <c r="AF92" s="847">
        <v>158.84</v>
      </c>
      <c r="AG92" s="847">
        <v>165.54</v>
      </c>
      <c r="AH92" s="847">
        <v>171.97</v>
      </c>
      <c r="AI92" s="848">
        <v>178.4</v>
      </c>
      <c r="AJ92" s="690">
        <f t="shared" ref="AJ92:AP92" si="15">AI92-AH92+AI92</f>
        <v>184.83</v>
      </c>
      <c r="AK92" s="690">
        <f t="shared" si="15"/>
        <v>191.26000000000002</v>
      </c>
      <c r="AL92" s="690">
        <f t="shared" si="15"/>
        <v>197.69000000000003</v>
      </c>
      <c r="AM92" s="690">
        <f t="shared" si="15"/>
        <v>204.12000000000003</v>
      </c>
      <c r="AN92" s="690">
        <f t="shared" si="15"/>
        <v>210.55000000000004</v>
      </c>
      <c r="AO92" s="690">
        <f t="shared" si="15"/>
        <v>216.98000000000005</v>
      </c>
      <c r="AP92" s="690">
        <f t="shared" si="15"/>
        <v>223.41000000000005</v>
      </c>
    </row>
    <row r="93" spans="1:42" ht="13.8" thickBot="1">
      <c r="A93" s="249"/>
      <c r="B93" s="249"/>
      <c r="C93" s="249"/>
      <c r="D93" s="249"/>
      <c r="E93" s="249"/>
      <c r="F93" s="249"/>
      <c r="G93" s="249"/>
      <c r="H93" s="249"/>
      <c r="I93" s="249"/>
      <c r="J93" s="249"/>
      <c r="K93" s="249"/>
      <c r="L93" s="249"/>
      <c r="M93" s="184"/>
      <c r="N93" s="184"/>
    </row>
    <row r="94" spans="1:42" ht="13.5" customHeight="1" thickBot="1">
      <c r="A94" s="1413" t="s">
        <v>319</v>
      </c>
      <c r="B94" s="1415"/>
      <c r="C94" s="1534" t="s">
        <v>207</v>
      </c>
      <c r="D94" s="1535"/>
      <c r="E94" s="1535"/>
      <c r="F94" s="1535"/>
      <c r="G94" s="1535"/>
      <c r="H94" s="1535"/>
      <c r="I94" s="1535"/>
      <c r="J94" s="1535"/>
      <c r="K94" s="1535"/>
      <c r="L94" s="1535"/>
      <c r="M94" s="1535"/>
      <c r="N94" s="1535"/>
      <c r="O94" s="1535"/>
      <c r="P94" s="1535"/>
      <c r="Q94" s="1535"/>
      <c r="R94" s="1535"/>
      <c r="S94" s="1535"/>
      <c r="T94" s="1535"/>
    </row>
    <row r="95" spans="1:42" ht="13.8" thickBot="1">
      <c r="A95" s="1416"/>
      <c r="B95" s="1418"/>
      <c r="C95" s="119">
        <v>0.4</v>
      </c>
      <c r="D95" s="119">
        <v>0.5</v>
      </c>
      <c r="E95" s="119">
        <v>0.6</v>
      </c>
      <c r="F95" s="119">
        <v>0.7</v>
      </c>
      <c r="G95" s="119">
        <v>0.8</v>
      </c>
      <c r="H95" s="119">
        <v>0.9</v>
      </c>
      <c r="I95" s="119">
        <v>1</v>
      </c>
      <c r="J95" s="119">
        <v>1.1000000000000001</v>
      </c>
      <c r="K95" s="119">
        <v>1.2</v>
      </c>
      <c r="L95" s="119">
        <v>1.3</v>
      </c>
      <c r="M95" s="119">
        <v>1.4</v>
      </c>
      <c r="N95" s="119">
        <v>1.5</v>
      </c>
      <c r="O95" s="119">
        <v>1.6</v>
      </c>
      <c r="P95" s="119">
        <v>1.7</v>
      </c>
      <c r="Q95" s="119">
        <v>1.8</v>
      </c>
      <c r="R95" s="119">
        <v>1.9</v>
      </c>
      <c r="S95" s="119">
        <v>2</v>
      </c>
      <c r="T95" s="119">
        <v>2.1</v>
      </c>
      <c r="V95" s="850"/>
      <c r="W95" s="851">
        <v>0.4</v>
      </c>
      <c r="X95" s="851">
        <v>0.5</v>
      </c>
      <c r="Y95" s="851">
        <v>0.6</v>
      </c>
      <c r="Z95" s="851">
        <v>0.7</v>
      </c>
      <c r="AA95" s="851">
        <v>0.8</v>
      </c>
      <c r="AB95" s="851">
        <v>0.9</v>
      </c>
      <c r="AC95" s="851">
        <v>1</v>
      </c>
      <c r="AD95" s="851">
        <v>1.1000000000000001</v>
      </c>
      <c r="AE95" s="851">
        <v>1.2</v>
      </c>
      <c r="AF95" s="851">
        <v>1.3</v>
      </c>
      <c r="AG95" s="851">
        <v>1.4</v>
      </c>
      <c r="AH95" s="851">
        <v>1.5</v>
      </c>
      <c r="AI95" s="852">
        <v>1.6</v>
      </c>
      <c r="AJ95" s="853">
        <v>1.7</v>
      </c>
      <c r="AK95" s="853">
        <v>1.8</v>
      </c>
      <c r="AL95" s="853">
        <v>1.9</v>
      </c>
      <c r="AM95" s="853">
        <v>2</v>
      </c>
      <c r="AN95" s="853">
        <v>2.1</v>
      </c>
      <c r="AO95" s="853">
        <v>2.2000000000000002</v>
      </c>
      <c r="AP95" s="853">
        <v>2.2999999999999998</v>
      </c>
    </row>
    <row r="96" spans="1:42" ht="12.75" customHeight="1">
      <c r="A96" s="1537" t="s">
        <v>3</v>
      </c>
      <c r="B96" s="261">
        <v>0.5</v>
      </c>
      <c r="C96" s="311">
        <f>(W96*KFC!$B$29+KFC!$C$29)*KFC!$C$5</f>
        <v>55.01</v>
      </c>
      <c r="D96" s="312">
        <f>(X96*KFC!$B$29+KFC!$C$29)*KFC!$C$5</f>
        <v>61.81</v>
      </c>
      <c r="E96" s="312">
        <f>(Y96*KFC!$B$29+KFC!$C$29)*KFC!$C$5</f>
        <v>68.37</v>
      </c>
      <c r="F96" s="312">
        <f>(Z96*KFC!$B$29+KFC!$C$29)*KFC!$C$5</f>
        <v>75.180000000000007</v>
      </c>
      <c r="G96" s="312">
        <f>(AA96*KFC!$B$29+KFC!$C$29)*KFC!$C$5</f>
        <v>81.86</v>
      </c>
      <c r="H96" s="312">
        <f>(AB96*KFC!$B$29+KFC!$C$29)*KFC!$C$5</f>
        <v>88.68</v>
      </c>
      <c r="I96" s="312">
        <f>(AC96*KFC!$B$29+KFC!$C$29)*KFC!$C$5</f>
        <v>95.24</v>
      </c>
      <c r="J96" s="312">
        <f>(AD96*KFC!$B$29+KFC!$C$29)*KFC!$C$5</f>
        <v>102.05</v>
      </c>
      <c r="K96" s="312">
        <f>(AE96*KFC!$B$29+KFC!$C$29)*KFC!$C$5</f>
        <v>108.73</v>
      </c>
      <c r="L96" s="312">
        <f>(AF96*KFC!$B$29+KFC!$C$29)*KFC!$C$5</f>
        <v>115.54</v>
      </c>
      <c r="M96" s="312">
        <f>(AG96*KFC!$B$29+KFC!$C$29)*KFC!$C$5</f>
        <v>122.09</v>
      </c>
      <c r="N96" s="312">
        <f>(AH96*KFC!$B$29+KFC!$C$29)*KFC!$C$5</f>
        <v>128.91</v>
      </c>
      <c r="O96" s="312">
        <f>(AI96*KFC!$B$29+KFC!$C$29)*KFC!$C$5</f>
        <v>135.71</v>
      </c>
      <c r="P96" s="312">
        <f>(AJ96*KFC!$B$29+KFC!$C$29)*KFC!$C$5</f>
        <v>142.51000000000002</v>
      </c>
      <c r="Q96" s="312">
        <f>(AK96*KFC!$B$29+KFC!$C$29)*KFC!$C$5</f>
        <v>149.31000000000003</v>
      </c>
      <c r="R96" s="312">
        <f>(AL96*KFC!$B$29+KFC!$C$29)*KFC!$C$5</f>
        <v>156.11000000000004</v>
      </c>
      <c r="S96" s="312">
        <f>(AM96*KFC!$B$29+KFC!$C$29)*KFC!$C$5</f>
        <v>162.91000000000005</v>
      </c>
      <c r="T96" s="312">
        <f>(AN96*KFC!$B$29+KFC!$C$29)*KFC!$C$5</f>
        <v>169.71000000000006</v>
      </c>
      <c r="V96" s="851">
        <v>0.5</v>
      </c>
      <c r="W96" s="847">
        <v>55.01</v>
      </c>
      <c r="X96" s="847">
        <v>61.81</v>
      </c>
      <c r="Y96" s="847">
        <v>68.37</v>
      </c>
      <c r="Z96" s="847">
        <v>75.180000000000007</v>
      </c>
      <c r="AA96" s="847">
        <v>81.86</v>
      </c>
      <c r="AB96" s="847">
        <v>88.68</v>
      </c>
      <c r="AC96" s="847">
        <v>95.24</v>
      </c>
      <c r="AD96" s="847">
        <v>102.05</v>
      </c>
      <c r="AE96" s="847">
        <v>108.73</v>
      </c>
      <c r="AF96" s="847">
        <v>115.54</v>
      </c>
      <c r="AG96" s="847">
        <v>122.09</v>
      </c>
      <c r="AH96" s="847">
        <v>128.91</v>
      </c>
      <c r="AI96" s="848">
        <v>135.71</v>
      </c>
      <c r="AJ96" s="690">
        <f t="shared" ref="AJ96:AJ112" si="16">AI96-AH96+AI96</f>
        <v>142.51000000000002</v>
      </c>
      <c r="AK96" s="690">
        <f t="shared" ref="AK96:AP111" si="17">AJ96-AI96+AJ96</f>
        <v>149.31000000000003</v>
      </c>
      <c r="AL96" s="690">
        <f t="shared" si="17"/>
        <v>156.11000000000004</v>
      </c>
      <c r="AM96" s="690">
        <f t="shared" si="17"/>
        <v>162.91000000000005</v>
      </c>
      <c r="AN96" s="690">
        <f t="shared" si="17"/>
        <v>169.71000000000006</v>
      </c>
      <c r="AO96" s="690">
        <f t="shared" si="17"/>
        <v>176.51000000000008</v>
      </c>
      <c r="AP96" s="690">
        <f t="shared" si="17"/>
        <v>183.31000000000009</v>
      </c>
    </row>
    <row r="97" spans="1:42">
      <c r="A97" s="1538"/>
      <c r="B97" s="262">
        <v>0.6</v>
      </c>
      <c r="C97" s="314">
        <f>(W97*KFC!$B$29+KFC!$C$29)*KFC!$C$5</f>
        <v>58.22</v>
      </c>
      <c r="D97" s="315">
        <f>(X97*KFC!$B$29+KFC!$C$29)*KFC!$C$5</f>
        <v>65.03</v>
      </c>
      <c r="E97" s="315">
        <f>(Y97*KFC!$B$29+KFC!$C$29)*KFC!$C$5</f>
        <v>71.84</v>
      </c>
      <c r="F97" s="315">
        <f>(Z97*KFC!$B$29+KFC!$C$29)*KFC!$C$5</f>
        <v>78.790000000000006</v>
      </c>
      <c r="G97" s="315">
        <f>(AA97*KFC!$B$29+KFC!$C$29)*KFC!$C$5</f>
        <v>85.47</v>
      </c>
      <c r="H97" s="315">
        <f>(AB97*KFC!$B$29+KFC!$C$29)*KFC!$C$5</f>
        <v>92.41</v>
      </c>
      <c r="I97" s="315">
        <f>(AC97*KFC!$B$29+KFC!$C$29)*KFC!$C$5</f>
        <v>99.21</v>
      </c>
      <c r="J97" s="315">
        <f>(AD97*KFC!$B$29+KFC!$C$29)*KFC!$C$5</f>
        <v>106.16</v>
      </c>
      <c r="K97" s="315">
        <f>(AE97*KFC!$B$29+KFC!$C$29)*KFC!$C$5</f>
        <v>112.84</v>
      </c>
      <c r="L97" s="315">
        <f>(AF97*KFC!$B$29+KFC!$C$29)*KFC!$C$5</f>
        <v>119.77</v>
      </c>
      <c r="M97" s="315">
        <f>(AG97*KFC!$B$29+KFC!$C$29)*KFC!$C$5</f>
        <v>126.59</v>
      </c>
      <c r="N97" s="315">
        <f>(AH97*KFC!$B$29+KFC!$C$29)*KFC!$C$5</f>
        <v>133.41</v>
      </c>
      <c r="O97" s="315">
        <f>(AI97*KFC!$B$29+KFC!$C$29)*KFC!$C$5</f>
        <v>140.22</v>
      </c>
      <c r="P97" s="315">
        <f>(AJ97*KFC!$B$29+KFC!$C$29)*KFC!$C$5</f>
        <v>147.03</v>
      </c>
      <c r="Q97" s="315">
        <f>(AK97*KFC!$B$29+KFC!$C$29)*KFC!$C$5</f>
        <v>153.84</v>
      </c>
      <c r="R97" s="315">
        <f>(AL97*KFC!$B$29+KFC!$C$29)*KFC!$C$5</f>
        <v>160.65</v>
      </c>
      <c r="S97" s="315">
        <f>(AM97*KFC!$B$29+KFC!$C$29)*KFC!$C$5</f>
        <v>167.46</v>
      </c>
      <c r="T97" s="315">
        <f>(AN97*KFC!$B$29+KFC!$C$29)*KFC!$C$5</f>
        <v>174.27</v>
      </c>
      <c r="V97" s="851">
        <v>0.6</v>
      </c>
      <c r="W97" s="847">
        <v>58.22</v>
      </c>
      <c r="X97" s="847">
        <v>65.03</v>
      </c>
      <c r="Y97" s="847">
        <v>71.84</v>
      </c>
      <c r="Z97" s="847">
        <v>78.790000000000006</v>
      </c>
      <c r="AA97" s="847">
        <v>85.47</v>
      </c>
      <c r="AB97" s="847">
        <v>92.41</v>
      </c>
      <c r="AC97" s="847">
        <v>99.21</v>
      </c>
      <c r="AD97" s="847">
        <v>106.16</v>
      </c>
      <c r="AE97" s="847">
        <v>112.84</v>
      </c>
      <c r="AF97" s="847">
        <v>119.77</v>
      </c>
      <c r="AG97" s="847">
        <v>126.59</v>
      </c>
      <c r="AH97" s="847">
        <v>133.41</v>
      </c>
      <c r="AI97" s="848">
        <v>140.22</v>
      </c>
      <c r="AJ97" s="690">
        <f t="shared" si="16"/>
        <v>147.03</v>
      </c>
      <c r="AK97" s="690">
        <f t="shared" si="17"/>
        <v>153.84</v>
      </c>
      <c r="AL97" s="690">
        <f t="shared" si="17"/>
        <v>160.65</v>
      </c>
      <c r="AM97" s="690">
        <f t="shared" si="17"/>
        <v>167.46</v>
      </c>
      <c r="AN97" s="690">
        <f t="shared" si="17"/>
        <v>174.27</v>
      </c>
      <c r="AO97" s="690">
        <f t="shared" si="17"/>
        <v>181.08</v>
      </c>
      <c r="AP97" s="690">
        <f t="shared" si="17"/>
        <v>187.89000000000001</v>
      </c>
    </row>
    <row r="98" spans="1:42">
      <c r="A98" s="1538"/>
      <c r="B98" s="262">
        <v>0.7</v>
      </c>
      <c r="C98" s="314">
        <f>(W98*KFC!$B$29+KFC!$C$29)*KFC!$C$5</f>
        <v>61.3</v>
      </c>
      <c r="D98" s="315">
        <f>(X98*KFC!$B$29+KFC!$C$29)*KFC!$C$5</f>
        <v>68.239999999999995</v>
      </c>
      <c r="E98" s="315">
        <f>(Y98*KFC!$B$29+KFC!$C$29)*KFC!$C$5</f>
        <v>75.31</v>
      </c>
      <c r="F98" s="315">
        <f>(Z98*KFC!$B$29+KFC!$C$29)*KFC!$C$5</f>
        <v>82.26</v>
      </c>
      <c r="G98" s="315">
        <f>(AA98*KFC!$B$29+KFC!$C$29)*KFC!$C$5</f>
        <v>89.07</v>
      </c>
      <c r="H98" s="315">
        <f>(AB98*KFC!$B$29+KFC!$C$29)*KFC!$C$5</f>
        <v>96.14</v>
      </c>
      <c r="I98" s="315">
        <f>(AC98*KFC!$B$29+KFC!$C$29)*KFC!$C$5</f>
        <v>103.07</v>
      </c>
      <c r="J98" s="315">
        <f>(AD98*KFC!$B$29+KFC!$C$29)*KFC!$C$5</f>
        <v>110.01</v>
      </c>
      <c r="K98" s="315">
        <f>(AE98*KFC!$B$29+KFC!$C$29)*KFC!$C$5</f>
        <v>116.95</v>
      </c>
      <c r="L98" s="315">
        <f>(AF98*KFC!$B$29+KFC!$C$29)*KFC!$C$5</f>
        <v>124.03</v>
      </c>
      <c r="M98" s="315">
        <f>(AG98*KFC!$B$29+KFC!$C$29)*KFC!$C$5</f>
        <v>130.97</v>
      </c>
      <c r="N98" s="315">
        <f>(AH98*KFC!$B$29+KFC!$C$29)*KFC!$C$5</f>
        <v>137.91</v>
      </c>
      <c r="O98" s="315">
        <f>(AI98*KFC!$B$29+KFC!$C$29)*KFC!$C$5</f>
        <v>144.84</v>
      </c>
      <c r="P98" s="315">
        <f>(AJ98*KFC!$B$29+KFC!$C$29)*KFC!$C$5</f>
        <v>151.77000000000001</v>
      </c>
      <c r="Q98" s="315">
        <f>(AK98*KFC!$B$29+KFC!$C$29)*KFC!$C$5</f>
        <v>158.70000000000002</v>
      </c>
      <c r="R98" s="315">
        <f>(AL98*KFC!$B$29+KFC!$C$29)*KFC!$C$5</f>
        <v>165.63000000000002</v>
      </c>
      <c r="S98" s="315">
        <f>(AM98*KFC!$B$29+KFC!$C$29)*KFC!$C$5</f>
        <v>172.56000000000003</v>
      </c>
      <c r="T98" s="315">
        <f>(AN98*KFC!$B$29+KFC!$C$29)*KFC!$C$5</f>
        <v>179.49000000000004</v>
      </c>
      <c r="V98" s="851">
        <v>0.7</v>
      </c>
      <c r="W98" s="847">
        <v>61.3</v>
      </c>
      <c r="X98" s="847">
        <v>68.239999999999995</v>
      </c>
      <c r="Y98" s="847">
        <v>75.31</v>
      </c>
      <c r="Z98" s="847">
        <v>82.26</v>
      </c>
      <c r="AA98" s="847">
        <v>89.07</v>
      </c>
      <c r="AB98" s="847">
        <v>96.14</v>
      </c>
      <c r="AC98" s="847">
        <v>103.07</v>
      </c>
      <c r="AD98" s="847">
        <v>110.01</v>
      </c>
      <c r="AE98" s="847">
        <v>116.95</v>
      </c>
      <c r="AF98" s="847">
        <v>124.03</v>
      </c>
      <c r="AG98" s="847">
        <v>130.97</v>
      </c>
      <c r="AH98" s="847">
        <v>137.91</v>
      </c>
      <c r="AI98" s="848">
        <v>144.84</v>
      </c>
      <c r="AJ98" s="690">
        <f t="shared" si="16"/>
        <v>151.77000000000001</v>
      </c>
      <c r="AK98" s="690">
        <f t="shared" si="17"/>
        <v>158.70000000000002</v>
      </c>
      <c r="AL98" s="690">
        <f t="shared" si="17"/>
        <v>165.63000000000002</v>
      </c>
      <c r="AM98" s="690">
        <f t="shared" si="17"/>
        <v>172.56000000000003</v>
      </c>
      <c r="AN98" s="690">
        <f t="shared" si="17"/>
        <v>179.49000000000004</v>
      </c>
      <c r="AO98" s="690">
        <f t="shared" si="17"/>
        <v>186.42000000000004</v>
      </c>
      <c r="AP98" s="690">
        <f t="shared" si="17"/>
        <v>193.35000000000005</v>
      </c>
    </row>
    <row r="99" spans="1:42">
      <c r="A99" s="1538"/>
      <c r="B99" s="262">
        <v>0.8</v>
      </c>
      <c r="C99" s="314">
        <f>(W99*KFC!$B$29+KFC!$C$29)*KFC!$C$5</f>
        <v>64.39</v>
      </c>
      <c r="D99" s="315">
        <f>(X99*KFC!$B$29+KFC!$C$29)*KFC!$C$5</f>
        <v>71.45</v>
      </c>
      <c r="E99" s="315">
        <f>(Y99*KFC!$B$29+KFC!$C$29)*KFC!$C$5</f>
        <v>78.650000000000006</v>
      </c>
      <c r="F99" s="315">
        <f>(Z99*KFC!$B$29+KFC!$C$29)*KFC!$C$5</f>
        <v>85.72</v>
      </c>
      <c r="G99" s="315">
        <f>(AA99*KFC!$B$29+KFC!$C$29)*KFC!$C$5</f>
        <v>92.79</v>
      </c>
      <c r="H99" s="315">
        <f>(AB99*KFC!$B$29+KFC!$C$29)*KFC!$C$5</f>
        <v>99.86</v>
      </c>
      <c r="I99" s="315">
        <f>(AC99*KFC!$B$29+KFC!$C$29)*KFC!$C$5</f>
        <v>107.06</v>
      </c>
      <c r="J99" s="315">
        <f>(AD99*KFC!$B$29+KFC!$C$29)*KFC!$C$5</f>
        <v>114.14</v>
      </c>
      <c r="K99" s="315">
        <f>(AE99*KFC!$B$29+KFC!$C$29)*KFC!$C$5</f>
        <v>121.2</v>
      </c>
      <c r="L99" s="315">
        <f>(AF99*KFC!$B$29+KFC!$C$29)*KFC!$C$5</f>
        <v>128.27000000000001</v>
      </c>
      <c r="M99" s="315">
        <f>(AG99*KFC!$B$29+KFC!$C$29)*KFC!$C$5</f>
        <v>135.33000000000001</v>
      </c>
      <c r="N99" s="315">
        <f>(AH99*KFC!$B$29+KFC!$C$29)*KFC!$C$5</f>
        <v>142.4</v>
      </c>
      <c r="O99" s="315">
        <f>(AI99*KFC!$B$29+KFC!$C$29)*KFC!$C$5</f>
        <v>149.47999999999999</v>
      </c>
      <c r="P99" s="315">
        <f>(AJ99*KFC!$B$29+KFC!$C$29)*KFC!$C$5</f>
        <v>156.55999999999997</v>
      </c>
      <c r="Q99" s="315">
        <f>(AK99*KFC!$B$29+KFC!$C$29)*KFC!$C$5</f>
        <v>163.63999999999996</v>
      </c>
      <c r="R99" s="315">
        <f>(AL99*KFC!$B$29+KFC!$C$29)*KFC!$C$5</f>
        <v>170.71999999999994</v>
      </c>
      <c r="S99" s="315">
        <f>(AM99*KFC!$B$29+KFC!$C$29)*KFC!$C$5</f>
        <v>177.79999999999993</v>
      </c>
      <c r="T99" s="315">
        <f>(AN99*KFC!$B$29+KFC!$C$29)*KFC!$C$5</f>
        <v>184.87999999999991</v>
      </c>
      <c r="V99" s="851">
        <v>0.8</v>
      </c>
      <c r="W99" s="847">
        <v>64.39</v>
      </c>
      <c r="X99" s="847">
        <v>71.45</v>
      </c>
      <c r="Y99" s="847">
        <v>78.650000000000006</v>
      </c>
      <c r="Z99" s="847">
        <v>85.72</v>
      </c>
      <c r="AA99" s="847">
        <v>92.79</v>
      </c>
      <c r="AB99" s="847">
        <v>99.86</v>
      </c>
      <c r="AC99" s="847">
        <v>107.06</v>
      </c>
      <c r="AD99" s="847">
        <v>114.14</v>
      </c>
      <c r="AE99" s="847">
        <v>121.2</v>
      </c>
      <c r="AF99" s="847">
        <v>128.27000000000001</v>
      </c>
      <c r="AG99" s="847">
        <v>135.33000000000001</v>
      </c>
      <c r="AH99" s="847">
        <v>142.4</v>
      </c>
      <c r="AI99" s="848">
        <v>149.47999999999999</v>
      </c>
      <c r="AJ99" s="690">
        <f t="shared" si="16"/>
        <v>156.55999999999997</v>
      </c>
      <c r="AK99" s="690">
        <f t="shared" si="17"/>
        <v>163.63999999999996</v>
      </c>
      <c r="AL99" s="690">
        <f t="shared" si="17"/>
        <v>170.71999999999994</v>
      </c>
      <c r="AM99" s="690">
        <f t="shared" si="17"/>
        <v>177.79999999999993</v>
      </c>
      <c r="AN99" s="690">
        <f t="shared" si="17"/>
        <v>184.87999999999991</v>
      </c>
      <c r="AO99" s="690">
        <f t="shared" si="17"/>
        <v>191.95999999999989</v>
      </c>
      <c r="AP99" s="690">
        <f t="shared" si="17"/>
        <v>199.03999999999988</v>
      </c>
    </row>
    <row r="100" spans="1:42">
      <c r="A100" s="1538"/>
      <c r="B100" s="262">
        <v>0.9</v>
      </c>
      <c r="C100" s="314">
        <f>(W100*KFC!$B$29+KFC!$C$29)*KFC!$C$5</f>
        <v>67.599999999999994</v>
      </c>
      <c r="D100" s="315">
        <f>(X100*KFC!$B$29+KFC!$C$29)*KFC!$C$5</f>
        <v>74.790000000000006</v>
      </c>
      <c r="E100" s="315">
        <f>(Y100*KFC!$B$29+KFC!$C$29)*KFC!$C$5</f>
        <v>82.01</v>
      </c>
      <c r="F100" s="315">
        <f>(Z100*KFC!$B$29+KFC!$C$29)*KFC!$C$5</f>
        <v>89.32</v>
      </c>
      <c r="G100" s="315">
        <f>(AA100*KFC!$B$29+KFC!$C$29)*KFC!$C$5</f>
        <v>96.52</v>
      </c>
      <c r="H100" s="315">
        <f>(AB100*KFC!$B$29+KFC!$C$29)*KFC!$C$5</f>
        <v>103.58</v>
      </c>
      <c r="I100" s="315">
        <f>(AC100*KFC!$B$29+KFC!$C$29)*KFC!$C$5</f>
        <v>110.78</v>
      </c>
      <c r="J100" s="315">
        <f>(AD100*KFC!$B$29+KFC!$C$29)*KFC!$C$5</f>
        <v>117.99</v>
      </c>
      <c r="K100" s="315">
        <f>(AE100*KFC!$B$29+KFC!$C$29)*KFC!$C$5</f>
        <v>125.31</v>
      </c>
      <c r="L100" s="315">
        <f>(AF100*KFC!$B$29+KFC!$C$29)*KFC!$C$5</f>
        <v>132.5</v>
      </c>
      <c r="M100" s="315">
        <f>(AG100*KFC!$B$29+KFC!$C$29)*KFC!$C$5</f>
        <v>139.69</v>
      </c>
      <c r="N100" s="315">
        <f>(AH100*KFC!$B$29+KFC!$C$29)*KFC!$C$5</f>
        <v>147.03</v>
      </c>
      <c r="O100" s="315">
        <f>(AI100*KFC!$B$29+KFC!$C$29)*KFC!$C$5</f>
        <v>154.35</v>
      </c>
      <c r="P100" s="315">
        <f>(AJ100*KFC!$B$29+KFC!$C$29)*KFC!$C$5</f>
        <v>161.66999999999999</v>
      </c>
      <c r="Q100" s="315">
        <f>(AK100*KFC!$B$29+KFC!$C$29)*KFC!$C$5</f>
        <v>168.98999999999998</v>
      </c>
      <c r="R100" s="315">
        <f>(AL100*KFC!$B$29+KFC!$C$29)*KFC!$C$5</f>
        <v>176.30999999999997</v>
      </c>
      <c r="S100" s="315">
        <f>(AM100*KFC!$B$29+KFC!$C$29)*KFC!$C$5</f>
        <v>183.62999999999997</v>
      </c>
      <c r="T100" s="315">
        <f>(AN100*KFC!$B$29+KFC!$C$29)*KFC!$C$5</f>
        <v>190.94999999999996</v>
      </c>
      <c r="V100" s="851">
        <v>0.9</v>
      </c>
      <c r="W100" s="847">
        <v>67.599999999999994</v>
      </c>
      <c r="X100" s="847">
        <v>74.790000000000006</v>
      </c>
      <c r="Y100" s="847">
        <v>82.01</v>
      </c>
      <c r="Z100" s="847">
        <v>89.32</v>
      </c>
      <c r="AA100" s="847">
        <v>96.52</v>
      </c>
      <c r="AB100" s="847">
        <v>103.58</v>
      </c>
      <c r="AC100" s="847">
        <v>110.78</v>
      </c>
      <c r="AD100" s="847">
        <v>117.99</v>
      </c>
      <c r="AE100" s="847">
        <v>125.31</v>
      </c>
      <c r="AF100" s="847">
        <v>132.5</v>
      </c>
      <c r="AG100" s="847">
        <v>139.69</v>
      </c>
      <c r="AH100" s="847">
        <v>147.03</v>
      </c>
      <c r="AI100" s="848">
        <v>154.35</v>
      </c>
      <c r="AJ100" s="690">
        <f t="shared" si="16"/>
        <v>161.66999999999999</v>
      </c>
      <c r="AK100" s="690">
        <f t="shared" si="17"/>
        <v>168.98999999999998</v>
      </c>
      <c r="AL100" s="690">
        <f t="shared" si="17"/>
        <v>176.30999999999997</v>
      </c>
      <c r="AM100" s="690">
        <f t="shared" si="17"/>
        <v>183.62999999999997</v>
      </c>
      <c r="AN100" s="690">
        <f t="shared" si="17"/>
        <v>190.94999999999996</v>
      </c>
      <c r="AO100" s="690">
        <f t="shared" si="17"/>
        <v>198.26999999999995</v>
      </c>
      <c r="AP100" s="690">
        <f t="shared" si="17"/>
        <v>205.58999999999995</v>
      </c>
    </row>
    <row r="101" spans="1:42">
      <c r="A101" s="1538"/>
      <c r="B101" s="262">
        <v>1</v>
      </c>
      <c r="C101" s="314">
        <f>(W101*KFC!$B$29+KFC!$C$29)*KFC!$C$5</f>
        <v>70.69</v>
      </c>
      <c r="D101" s="315">
        <f>(X101*KFC!$B$29+KFC!$C$29)*KFC!$C$5</f>
        <v>78.14</v>
      </c>
      <c r="E101" s="315">
        <f>(Y101*KFC!$B$29+KFC!$C$29)*KFC!$C$5</f>
        <v>85.34</v>
      </c>
      <c r="F101" s="315">
        <f>(Z101*KFC!$B$29+KFC!$C$29)*KFC!$C$5</f>
        <v>92.79</v>
      </c>
      <c r="G101" s="315">
        <f>(AA101*KFC!$B$29+KFC!$C$29)*KFC!$C$5</f>
        <v>100.12</v>
      </c>
      <c r="H101" s="315">
        <f>(AB101*KFC!$B$29+KFC!$C$29)*KFC!$C$5</f>
        <v>107.31</v>
      </c>
      <c r="I101" s="315">
        <f>(AC101*KFC!$B$29+KFC!$C$29)*KFC!$C$5</f>
        <v>114.78</v>
      </c>
      <c r="J101" s="315">
        <f>(AD101*KFC!$B$29+KFC!$C$29)*KFC!$C$5</f>
        <v>122.09</v>
      </c>
      <c r="K101" s="315">
        <f>(AE101*KFC!$B$29+KFC!$C$29)*KFC!$C$5</f>
        <v>129.41</v>
      </c>
      <c r="L101" s="315">
        <f>(AF101*KFC!$B$29+KFC!$C$29)*KFC!$C$5</f>
        <v>136.75</v>
      </c>
      <c r="M101" s="315">
        <f>(AG101*KFC!$B$29+KFC!$C$29)*KFC!$C$5</f>
        <v>144.07</v>
      </c>
      <c r="N101" s="315">
        <f>(AH101*KFC!$B$29+KFC!$C$29)*KFC!$C$5</f>
        <v>151.4</v>
      </c>
      <c r="O101" s="315">
        <f>(AI101*KFC!$B$29+KFC!$C$29)*KFC!$C$5</f>
        <v>158.72</v>
      </c>
      <c r="P101" s="315">
        <f>(AJ101*KFC!$B$29+KFC!$C$29)*KFC!$C$5</f>
        <v>166.04</v>
      </c>
      <c r="Q101" s="315">
        <f>(AK101*KFC!$B$29+KFC!$C$29)*KFC!$C$5</f>
        <v>173.35999999999999</v>
      </c>
      <c r="R101" s="315">
        <f>(AL101*KFC!$B$29+KFC!$C$29)*KFC!$C$5</f>
        <v>180.67999999999998</v>
      </c>
      <c r="S101" s="315">
        <f>(AM101*KFC!$B$29+KFC!$C$29)*KFC!$C$5</f>
        <v>187.99999999999997</v>
      </c>
      <c r="T101" s="315">
        <f>(AN101*KFC!$B$29+KFC!$C$29)*KFC!$C$5</f>
        <v>195.31999999999996</v>
      </c>
      <c r="V101" s="851">
        <v>1</v>
      </c>
      <c r="W101" s="847">
        <v>70.69</v>
      </c>
      <c r="X101" s="847">
        <v>78.14</v>
      </c>
      <c r="Y101" s="847">
        <v>85.34</v>
      </c>
      <c r="Z101" s="847">
        <v>92.79</v>
      </c>
      <c r="AA101" s="847">
        <v>100.12</v>
      </c>
      <c r="AB101" s="847">
        <v>107.31</v>
      </c>
      <c r="AC101" s="847">
        <v>114.78</v>
      </c>
      <c r="AD101" s="847">
        <v>122.09</v>
      </c>
      <c r="AE101" s="847">
        <v>129.41</v>
      </c>
      <c r="AF101" s="847">
        <v>136.75</v>
      </c>
      <c r="AG101" s="847">
        <v>144.07</v>
      </c>
      <c r="AH101" s="847">
        <v>151.4</v>
      </c>
      <c r="AI101" s="848">
        <v>158.72</v>
      </c>
      <c r="AJ101" s="690">
        <f t="shared" si="16"/>
        <v>166.04</v>
      </c>
      <c r="AK101" s="690">
        <f t="shared" si="17"/>
        <v>173.35999999999999</v>
      </c>
      <c r="AL101" s="690">
        <f t="shared" si="17"/>
        <v>180.67999999999998</v>
      </c>
      <c r="AM101" s="690">
        <f t="shared" si="17"/>
        <v>187.99999999999997</v>
      </c>
      <c r="AN101" s="690">
        <f t="shared" si="17"/>
        <v>195.31999999999996</v>
      </c>
      <c r="AO101" s="690">
        <f t="shared" si="17"/>
        <v>202.63999999999996</v>
      </c>
      <c r="AP101" s="690">
        <f t="shared" si="17"/>
        <v>209.95999999999995</v>
      </c>
    </row>
    <row r="102" spans="1:42">
      <c r="A102" s="1538"/>
      <c r="B102" s="262">
        <v>1.1000000000000001</v>
      </c>
      <c r="C102" s="314">
        <f>(W102*KFC!$B$29+KFC!$C$29)*KFC!$C$5</f>
        <v>73.900000000000006</v>
      </c>
      <c r="D102" s="315">
        <f>(X102*KFC!$B$29+KFC!$C$29)*KFC!$C$5</f>
        <v>81.22</v>
      </c>
      <c r="E102" s="315">
        <f>(Y102*KFC!$B$29+KFC!$C$29)*KFC!$C$5</f>
        <v>88.81</v>
      </c>
      <c r="F102" s="315">
        <f>(Z102*KFC!$B$29+KFC!$C$29)*KFC!$C$5</f>
        <v>96.14</v>
      </c>
      <c r="G102" s="315">
        <f>(AA102*KFC!$B$29+KFC!$C$29)*KFC!$C$5</f>
        <v>103.71</v>
      </c>
      <c r="H102" s="315">
        <f>(AB102*KFC!$B$29+KFC!$C$29)*KFC!$C$5</f>
        <v>111.17</v>
      </c>
      <c r="I102" s="315">
        <f>(AC102*KFC!$B$29+KFC!$C$29)*KFC!$C$5</f>
        <v>118.63</v>
      </c>
      <c r="J102" s="315">
        <f>(AD102*KFC!$B$29+KFC!$C$29)*KFC!$C$5</f>
        <v>126.07</v>
      </c>
      <c r="K102" s="315">
        <f>(AE102*KFC!$B$29+KFC!$C$29)*KFC!$C$5</f>
        <v>133.66999999999999</v>
      </c>
      <c r="L102" s="315">
        <f>(AF102*KFC!$B$29+KFC!$C$29)*KFC!$C$5</f>
        <v>140.97999999999999</v>
      </c>
      <c r="M102" s="315">
        <f>(AG102*KFC!$B$29+KFC!$C$29)*KFC!$C$5</f>
        <v>148.56</v>
      </c>
      <c r="N102" s="315">
        <f>(AH102*KFC!$B$29+KFC!$C$29)*KFC!$C$5</f>
        <v>155.9</v>
      </c>
      <c r="O102" s="315">
        <f>(AI102*KFC!$B$29+KFC!$C$29)*KFC!$C$5</f>
        <v>163.22</v>
      </c>
      <c r="P102" s="315">
        <f>(AJ102*KFC!$B$29+KFC!$C$29)*KFC!$C$5</f>
        <v>170.54</v>
      </c>
      <c r="Q102" s="315">
        <f>(AK102*KFC!$B$29+KFC!$C$29)*KFC!$C$5</f>
        <v>177.85999999999999</v>
      </c>
      <c r="R102" s="315">
        <f>(AL102*KFC!$B$29+KFC!$C$29)*KFC!$C$5</f>
        <v>185.17999999999998</v>
      </c>
      <c r="S102" s="315">
        <f>(AM102*KFC!$B$29+KFC!$C$29)*KFC!$C$5</f>
        <v>192.49999999999997</v>
      </c>
      <c r="T102" s="315">
        <f>(AN102*KFC!$B$29+KFC!$C$29)*KFC!$C$5</f>
        <v>199.81999999999996</v>
      </c>
      <c r="V102" s="851">
        <v>1.1000000000000001</v>
      </c>
      <c r="W102" s="847">
        <v>73.900000000000006</v>
      </c>
      <c r="X102" s="847">
        <v>81.22</v>
      </c>
      <c r="Y102" s="847">
        <v>88.81</v>
      </c>
      <c r="Z102" s="847">
        <v>96.14</v>
      </c>
      <c r="AA102" s="847">
        <v>103.71</v>
      </c>
      <c r="AB102" s="847">
        <v>111.17</v>
      </c>
      <c r="AC102" s="847">
        <v>118.63</v>
      </c>
      <c r="AD102" s="847">
        <v>126.07</v>
      </c>
      <c r="AE102" s="847">
        <v>133.66999999999999</v>
      </c>
      <c r="AF102" s="847">
        <v>140.97999999999999</v>
      </c>
      <c r="AG102" s="847">
        <v>148.56</v>
      </c>
      <c r="AH102" s="847">
        <v>155.9</v>
      </c>
      <c r="AI102" s="848">
        <v>163.22</v>
      </c>
      <c r="AJ102" s="690">
        <f t="shared" si="16"/>
        <v>170.54</v>
      </c>
      <c r="AK102" s="690">
        <f t="shared" si="17"/>
        <v>177.85999999999999</v>
      </c>
      <c r="AL102" s="690">
        <f t="shared" si="17"/>
        <v>185.17999999999998</v>
      </c>
      <c r="AM102" s="690">
        <f t="shared" si="17"/>
        <v>192.49999999999997</v>
      </c>
      <c r="AN102" s="690">
        <f t="shared" si="17"/>
        <v>199.81999999999996</v>
      </c>
      <c r="AO102" s="690">
        <f t="shared" si="17"/>
        <v>207.13999999999996</v>
      </c>
      <c r="AP102" s="690">
        <f t="shared" si="17"/>
        <v>214.45999999999995</v>
      </c>
    </row>
    <row r="103" spans="1:42">
      <c r="A103" s="1538"/>
      <c r="B103" s="262">
        <v>1.2</v>
      </c>
      <c r="C103" s="314">
        <f>(W103*KFC!$B$29+KFC!$C$29)*KFC!$C$5</f>
        <v>76.989999999999995</v>
      </c>
      <c r="D103" s="315">
        <f>(X103*KFC!$B$29+KFC!$C$29)*KFC!$C$5</f>
        <v>84.57</v>
      </c>
      <c r="E103" s="315">
        <f>(Y103*KFC!$B$29+KFC!$C$29)*KFC!$C$5</f>
        <v>92.15</v>
      </c>
      <c r="F103" s="315">
        <f>(Z103*KFC!$B$29+KFC!$C$29)*KFC!$C$5</f>
        <v>99.86</v>
      </c>
      <c r="G103" s="315">
        <f>(AA103*KFC!$B$29+KFC!$C$29)*KFC!$C$5</f>
        <v>107.31</v>
      </c>
      <c r="H103" s="315">
        <f>(AB103*KFC!$B$29+KFC!$C$29)*KFC!$C$5</f>
        <v>114.9</v>
      </c>
      <c r="I103" s="315">
        <f>(AC103*KFC!$B$29+KFC!$C$29)*KFC!$C$5</f>
        <v>122.48</v>
      </c>
      <c r="J103" s="315">
        <f>(AD103*KFC!$B$29+KFC!$C$29)*KFC!$C$5</f>
        <v>130.19999999999999</v>
      </c>
      <c r="K103" s="315">
        <f>(AE103*KFC!$B$29+KFC!$C$29)*KFC!$C$5</f>
        <v>137.63999999999999</v>
      </c>
      <c r="L103" s="315">
        <f>(AF103*KFC!$B$29+KFC!$C$29)*KFC!$C$5</f>
        <v>145.22999999999999</v>
      </c>
      <c r="M103" s="315">
        <f>(AG103*KFC!$B$29+KFC!$C$29)*KFC!$C$5</f>
        <v>152.82</v>
      </c>
      <c r="N103" s="315">
        <f>(AH103*KFC!$B$29+KFC!$C$29)*KFC!$C$5</f>
        <v>160.52000000000001</v>
      </c>
      <c r="O103" s="315">
        <f>(AI103*KFC!$B$29+KFC!$C$29)*KFC!$C$5</f>
        <v>168.23</v>
      </c>
      <c r="P103" s="315">
        <f>(AJ103*KFC!$B$29+KFC!$C$29)*KFC!$C$5</f>
        <v>175.93999999999997</v>
      </c>
      <c r="Q103" s="315">
        <f>(AK103*KFC!$B$29+KFC!$C$29)*KFC!$C$5</f>
        <v>183.64999999999995</v>
      </c>
      <c r="R103" s="315">
        <f>(AL103*KFC!$B$29+KFC!$C$29)*KFC!$C$5</f>
        <v>191.35999999999993</v>
      </c>
      <c r="S103" s="315">
        <f>(AM103*KFC!$B$29+KFC!$C$29)*KFC!$C$5</f>
        <v>199.06999999999991</v>
      </c>
      <c r="T103" s="315">
        <f>(AN103*KFC!$B$29+KFC!$C$29)*KFC!$C$5</f>
        <v>206.77999999999989</v>
      </c>
      <c r="V103" s="851">
        <v>1.2</v>
      </c>
      <c r="W103" s="847">
        <v>76.989999999999995</v>
      </c>
      <c r="X103" s="847">
        <v>84.57</v>
      </c>
      <c r="Y103" s="847">
        <v>92.15</v>
      </c>
      <c r="Z103" s="847">
        <v>99.86</v>
      </c>
      <c r="AA103" s="847">
        <v>107.31</v>
      </c>
      <c r="AB103" s="847">
        <v>114.9</v>
      </c>
      <c r="AC103" s="847">
        <v>122.48</v>
      </c>
      <c r="AD103" s="847">
        <v>130.19999999999999</v>
      </c>
      <c r="AE103" s="847">
        <v>137.63999999999999</v>
      </c>
      <c r="AF103" s="847">
        <v>145.22999999999999</v>
      </c>
      <c r="AG103" s="847">
        <v>152.82</v>
      </c>
      <c r="AH103" s="847">
        <v>160.52000000000001</v>
      </c>
      <c r="AI103" s="848">
        <v>168.23</v>
      </c>
      <c r="AJ103" s="690">
        <f t="shared" si="16"/>
        <v>175.93999999999997</v>
      </c>
      <c r="AK103" s="690">
        <f t="shared" si="17"/>
        <v>183.64999999999995</v>
      </c>
      <c r="AL103" s="690">
        <f t="shared" si="17"/>
        <v>191.35999999999993</v>
      </c>
      <c r="AM103" s="690">
        <f t="shared" si="17"/>
        <v>199.06999999999991</v>
      </c>
      <c r="AN103" s="690">
        <f t="shared" si="17"/>
        <v>206.77999999999989</v>
      </c>
      <c r="AO103" s="690">
        <f t="shared" si="17"/>
        <v>214.48999999999987</v>
      </c>
      <c r="AP103" s="690">
        <f t="shared" si="17"/>
        <v>222.19999999999985</v>
      </c>
    </row>
    <row r="104" spans="1:42">
      <c r="A104" s="1538"/>
      <c r="B104" s="262">
        <v>1.3</v>
      </c>
      <c r="C104" s="314">
        <f>(W104*KFC!$B$29+KFC!$C$29)*KFC!$C$5</f>
        <v>80.2</v>
      </c>
      <c r="D104" s="315">
        <f>(X104*KFC!$B$29+KFC!$C$29)*KFC!$C$5</f>
        <v>87.91</v>
      </c>
      <c r="E104" s="315">
        <f>(Y104*KFC!$B$29+KFC!$C$29)*KFC!$C$5</f>
        <v>95.62</v>
      </c>
      <c r="F104" s="315">
        <f>(Z104*KFC!$B$29+KFC!$C$29)*KFC!$C$5</f>
        <v>103.33</v>
      </c>
      <c r="G104" s="315">
        <f>(AA104*KFC!$B$29+KFC!$C$29)*KFC!$C$5</f>
        <v>110.92</v>
      </c>
      <c r="H104" s="315">
        <f>(AB104*KFC!$B$29+KFC!$C$29)*KFC!$C$5</f>
        <v>118.63</v>
      </c>
      <c r="I104" s="315">
        <f>(AC104*KFC!$B$29+KFC!$C$29)*KFC!$C$5</f>
        <v>126.34</v>
      </c>
      <c r="J104" s="315">
        <f>(AD104*KFC!$B$29+KFC!$C$29)*KFC!$C$5</f>
        <v>134.05000000000001</v>
      </c>
      <c r="K104" s="315">
        <f>(AE104*KFC!$B$29+KFC!$C$29)*KFC!$C$5</f>
        <v>141.76</v>
      </c>
      <c r="L104" s="315">
        <f>(AF104*KFC!$B$29+KFC!$C$29)*KFC!$C$5</f>
        <v>149.47999999999999</v>
      </c>
      <c r="M104" s="315">
        <f>(AG104*KFC!$B$29+KFC!$C$29)*KFC!$C$5</f>
        <v>157.19</v>
      </c>
      <c r="N104" s="315">
        <f>(AH104*KFC!$B$29+KFC!$C$29)*KFC!$C$5</f>
        <v>164.89</v>
      </c>
      <c r="O104" s="315">
        <f>(AI104*KFC!$B$29+KFC!$C$29)*KFC!$C$5</f>
        <v>172.61</v>
      </c>
      <c r="P104" s="315">
        <f>(AJ104*KFC!$B$29+KFC!$C$29)*KFC!$C$5</f>
        <v>180.33000000000004</v>
      </c>
      <c r="Q104" s="315">
        <f>(AK104*KFC!$B$29+KFC!$C$29)*KFC!$C$5</f>
        <v>188.05000000000007</v>
      </c>
      <c r="R104" s="315">
        <f>(AL104*KFC!$B$29+KFC!$C$29)*KFC!$C$5</f>
        <v>195.7700000000001</v>
      </c>
      <c r="S104" s="315">
        <f>(AM104*KFC!$B$29+KFC!$C$29)*KFC!$C$5</f>
        <v>203.49000000000012</v>
      </c>
      <c r="T104" s="315">
        <f>(AN104*KFC!$B$29+KFC!$C$29)*KFC!$C$5</f>
        <v>211.21000000000015</v>
      </c>
      <c r="V104" s="851">
        <v>1.3</v>
      </c>
      <c r="W104" s="847">
        <v>80.2</v>
      </c>
      <c r="X104" s="847">
        <v>87.91</v>
      </c>
      <c r="Y104" s="847">
        <v>95.62</v>
      </c>
      <c r="Z104" s="847">
        <v>103.33</v>
      </c>
      <c r="AA104" s="847">
        <v>110.92</v>
      </c>
      <c r="AB104" s="847">
        <v>118.63</v>
      </c>
      <c r="AC104" s="847">
        <v>126.34</v>
      </c>
      <c r="AD104" s="847">
        <v>134.05000000000001</v>
      </c>
      <c r="AE104" s="847">
        <v>141.76</v>
      </c>
      <c r="AF104" s="847">
        <v>149.47999999999999</v>
      </c>
      <c r="AG104" s="847">
        <v>157.19</v>
      </c>
      <c r="AH104" s="847">
        <v>164.89</v>
      </c>
      <c r="AI104" s="848">
        <v>172.61</v>
      </c>
      <c r="AJ104" s="690">
        <f t="shared" si="16"/>
        <v>180.33000000000004</v>
      </c>
      <c r="AK104" s="690">
        <f t="shared" si="17"/>
        <v>188.05000000000007</v>
      </c>
      <c r="AL104" s="690">
        <f t="shared" si="17"/>
        <v>195.7700000000001</v>
      </c>
      <c r="AM104" s="690">
        <f t="shared" si="17"/>
        <v>203.49000000000012</v>
      </c>
      <c r="AN104" s="690">
        <f t="shared" si="17"/>
        <v>211.21000000000015</v>
      </c>
      <c r="AO104" s="690">
        <f t="shared" si="17"/>
        <v>218.93000000000018</v>
      </c>
      <c r="AP104" s="690">
        <f t="shared" si="17"/>
        <v>226.6500000000002</v>
      </c>
    </row>
    <row r="105" spans="1:42">
      <c r="A105" s="1538"/>
      <c r="B105" s="262">
        <v>1.4</v>
      </c>
      <c r="C105" s="314">
        <f>(W105*KFC!$B$29+KFC!$C$29)*KFC!$C$5</f>
        <v>83.29</v>
      </c>
      <c r="D105" s="315">
        <f>(X105*KFC!$B$29+KFC!$C$29)*KFC!$C$5</f>
        <v>91.12</v>
      </c>
      <c r="E105" s="315">
        <f>(Y105*KFC!$B$29+KFC!$C$29)*KFC!$C$5</f>
        <v>98.96</v>
      </c>
      <c r="F105" s="315">
        <f>(Z105*KFC!$B$29+KFC!$C$29)*KFC!$C$5</f>
        <v>106.8</v>
      </c>
      <c r="G105" s="315">
        <f>(AA105*KFC!$B$29+KFC!$C$29)*KFC!$C$5</f>
        <v>114.64</v>
      </c>
      <c r="H105" s="315">
        <f>(AB105*KFC!$B$29+KFC!$C$29)*KFC!$C$5</f>
        <v>122.48</v>
      </c>
      <c r="I105" s="315">
        <f>(AC105*KFC!$B$29+KFC!$C$29)*KFC!$C$5</f>
        <v>130.33000000000001</v>
      </c>
      <c r="J105" s="315">
        <f>(AD105*KFC!$B$29+KFC!$C$29)*KFC!$C$5</f>
        <v>138.16</v>
      </c>
      <c r="K105" s="315">
        <f>(AE105*KFC!$B$29+KFC!$C$29)*KFC!$C$5</f>
        <v>145.99</v>
      </c>
      <c r="L105" s="315">
        <f>(AF105*KFC!$B$29+KFC!$C$29)*KFC!$C$5</f>
        <v>153.71</v>
      </c>
      <c r="M105" s="315">
        <f>(AG105*KFC!$B$29+KFC!$C$29)*KFC!$C$5</f>
        <v>161.54</v>
      </c>
      <c r="N105" s="315">
        <f>(AH105*KFC!$B$29+KFC!$C$29)*KFC!$C$5</f>
        <v>170.68</v>
      </c>
      <c r="O105" s="315">
        <f>(AI105*KFC!$B$29+KFC!$C$29)*KFC!$C$5</f>
        <v>179.8</v>
      </c>
      <c r="P105" s="315">
        <f>(AJ105*KFC!$B$29+KFC!$C$29)*KFC!$C$5</f>
        <v>188.92000000000002</v>
      </c>
      <c r="Q105" s="315">
        <f>(AK105*KFC!$B$29+KFC!$C$29)*KFC!$C$5</f>
        <v>198.04000000000002</v>
      </c>
      <c r="R105" s="315">
        <f>(AL105*KFC!$B$29+KFC!$C$29)*KFC!$C$5</f>
        <v>207.16000000000003</v>
      </c>
      <c r="S105" s="315">
        <f>(AM105*KFC!$B$29+KFC!$C$29)*KFC!$C$5</f>
        <v>216.28000000000003</v>
      </c>
      <c r="T105" s="315">
        <f>(AN105*KFC!$B$29+KFC!$C$29)*KFC!$C$5</f>
        <v>225.40000000000003</v>
      </c>
      <c r="V105" s="851">
        <v>1.4</v>
      </c>
      <c r="W105" s="847">
        <v>83.29</v>
      </c>
      <c r="X105" s="847">
        <v>91.12</v>
      </c>
      <c r="Y105" s="847">
        <v>98.96</v>
      </c>
      <c r="Z105" s="847">
        <v>106.8</v>
      </c>
      <c r="AA105" s="847">
        <v>114.64</v>
      </c>
      <c r="AB105" s="847">
        <v>122.48</v>
      </c>
      <c r="AC105" s="847">
        <v>130.33000000000001</v>
      </c>
      <c r="AD105" s="847">
        <v>138.16</v>
      </c>
      <c r="AE105" s="847">
        <v>145.99</v>
      </c>
      <c r="AF105" s="847">
        <v>153.71</v>
      </c>
      <c r="AG105" s="847">
        <v>161.54</v>
      </c>
      <c r="AH105" s="847">
        <v>170.68</v>
      </c>
      <c r="AI105" s="848">
        <v>179.8</v>
      </c>
      <c r="AJ105" s="690">
        <f t="shared" si="16"/>
        <v>188.92000000000002</v>
      </c>
      <c r="AK105" s="690">
        <f t="shared" si="17"/>
        <v>198.04000000000002</v>
      </c>
      <c r="AL105" s="690">
        <f t="shared" si="17"/>
        <v>207.16000000000003</v>
      </c>
      <c r="AM105" s="690">
        <f t="shared" si="17"/>
        <v>216.28000000000003</v>
      </c>
      <c r="AN105" s="690">
        <f t="shared" si="17"/>
        <v>225.40000000000003</v>
      </c>
      <c r="AO105" s="690">
        <f t="shared" si="17"/>
        <v>234.52000000000004</v>
      </c>
      <c r="AP105" s="690">
        <f t="shared" si="17"/>
        <v>243.64000000000004</v>
      </c>
    </row>
    <row r="106" spans="1:42">
      <c r="A106" s="1538"/>
      <c r="B106" s="262">
        <v>1.5</v>
      </c>
      <c r="C106" s="314">
        <f>(W106*KFC!$B$29+KFC!$C$29)*KFC!$C$5</f>
        <v>86.5</v>
      </c>
      <c r="D106" s="315">
        <f>(X106*KFC!$B$29+KFC!$C$29)*KFC!$C$5</f>
        <v>94.46</v>
      </c>
      <c r="E106" s="315">
        <f>(Y106*KFC!$B$29+KFC!$C$29)*KFC!$C$5</f>
        <v>102.3</v>
      </c>
      <c r="F106" s="315">
        <f>(Z106*KFC!$B$29+KFC!$C$29)*KFC!$C$5</f>
        <v>110.4</v>
      </c>
      <c r="G106" s="315">
        <f>(AA106*KFC!$B$29+KFC!$C$29)*KFC!$C$5</f>
        <v>118.24</v>
      </c>
      <c r="H106" s="315">
        <f>(AB106*KFC!$B$29+KFC!$C$29)*KFC!$C$5</f>
        <v>126.2</v>
      </c>
      <c r="I106" s="315">
        <f>(AC106*KFC!$B$29+KFC!$C$29)*KFC!$C$5</f>
        <v>134.18</v>
      </c>
      <c r="J106" s="315">
        <f>(AD106*KFC!$B$29+KFC!$C$29)*KFC!$C$5</f>
        <v>142.13999999999999</v>
      </c>
      <c r="K106" s="315">
        <f>(AE106*KFC!$B$29+KFC!$C$29)*KFC!$C$5</f>
        <v>150.12</v>
      </c>
      <c r="L106" s="315">
        <f>(AF106*KFC!$B$29+KFC!$C$29)*KFC!$C$5</f>
        <v>157.94999999999999</v>
      </c>
      <c r="M106" s="315">
        <f>(AG106*KFC!$B$29+KFC!$C$29)*KFC!$C$5</f>
        <v>165.92</v>
      </c>
      <c r="N106" s="315">
        <f>(AH106*KFC!$B$29+KFC!$C$29)*KFC!$C$5</f>
        <v>174.02</v>
      </c>
      <c r="O106" s="315">
        <f>(AI106*KFC!$B$29+KFC!$C$29)*KFC!$C$5</f>
        <v>182.11</v>
      </c>
      <c r="P106" s="315">
        <f>(AJ106*KFC!$B$29+KFC!$C$29)*KFC!$C$5</f>
        <v>190.20000000000002</v>
      </c>
      <c r="Q106" s="315">
        <f>(AK106*KFC!$B$29+KFC!$C$29)*KFC!$C$5</f>
        <v>198.29000000000002</v>
      </c>
      <c r="R106" s="315">
        <f>(AL106*KFC!$B$29+KFC!$C$29)*KFC!$C$5</f>
        <v>206.38000000000002</v>
      </c>
      <c r="S106" s="315">
        <f>(AM106*KFC!$B$29+KFC!$C$29)*KFC!$C$5</f>
        <v>214.47000000000003</v>
      </c>
      <c r="T106" s="315">
        <f>(AN106*KFC!$B$29+KFC!$C$29)*KFC!$C$5</f>
        <v>222.56000000000003</v>
      </c>
      <c r="V106" s="851">
        <v>1.5</v>
      </c>
      <c r="W106" s="847">
        <v>86.5</v>
      </c>
      <c r="X106" s="847">
        <v>94.46</v>
      </c>
      <c r="Y106" s="847">
        <v>102.3</v>
      </c>
      <c r="Z106" s="847">
        <v>110.4</v>
      </c>
      <c r="AA106" s="847">
        <v>118.24</v>
      </c>
      <c r="AB106" s="847">
        <v>126.2</v>
      </c>
      <c r="AC106" s="847">
        <v>134.18</v>
      </c>
      <c r="AD106" s="847">
        <v>142.13999999999999</v>
      </c>
      <c r="AE106" s="847">
        <v>150.12</v>
      </c>
      <c r="AF106" s="847">
        <v>157.94999999999999</v>
      </c>
      <c r="AG106" s="847">
        <v>165.92</v>
      </c>
      <c r="AH106" s="847">
        <v>174.02</v>
      </c>
      <c r="AI106" s="848">
        <v>182.11</v>
      </c>
      <c r="AJ106" s="690">
        <f t="shared" si="16"/>
        <v>190.20000000000002</v>
      </c>
      <c r="AK106" s="690">
        <f t="shared" si="17"/>
        <v>198.29000000000002</v>
      </c>
      <c r="AL106" s="690">
        <f t="shared" si="17"/>
        <v>206.38000000000002</v>
      </c>
      <c r="AM106" s="690">
        <f t="shared" si="17"/>
        <v>214.47000000000003</v>
      </c>
      <c r="AN106" s="690">
        <f t="shared" si="17"/>
        <v>222.56000000000003</v>
      </c>
      <c r="AO106" s="690">
        <f t="shared" si="17"/>
        <v>230.65000000000003</v>
      </c>
      <c r="AP106" s="690">
        <f t="shared" si="17"/>
        <v>238.74000000000004</v>
      </c>
    </row>
    <row r="107" spans="1:42">
      <c r="A107" s="1538"/>
      <c r="B107" s="262">
        <v>1.6</v>
      </c>
      <c r="C107" s="314">
        <f>(W107*KFC!$B$29+KFC!$C$29)*KFC!$C$5</f>
        <v>89.58</v>
      </c>
      <c r="D107" s="315">
        <f>(X107*KFC!$B$29+KFC!$C$29)*KFC!$C$5</f>
        <v>97.55</v>
      </c>
      <c r="E107" s="315">
        <f>(Y107*KFC!$B$29+KFC!$C$29)*KFC!$C$5</f>
        <v>105.78</v>
      </c>
      <c r="F107" s="315">
        <f>(Z107*KFC!$B$29+KFC!$C$29)*KFC!$C$5</f>
        <v>113.74</v>
      </c>
      <c r="G107" s="315">
        <f>(AA107*KFC!$B$29+KFC!$C$29)*KFC!$C$5</f>
        <v>121.97</v>
      </c>
      <c r="H107" s="315">
        <f>(AB107*KFC!$B$29+KFC!$C$29)*KFC!$C$5</f>
        <v>129.93</v>
      </c>
      <c r="I107" s="315">
        <f>(AC107*KFC!$B$29+KFC!$C$29)*KFC!$C$5</f>
        <v>138.03</v>
      </c>
      <c r="J107" s="315">
        <f>(AD107*KFC!$B$29+KFC!$C$29)*KFC!$C$5</f>
        <v>146.12</v>
      </c>
      <c r="K107" s="315">
        <f>(AE107*KFC!$B$29+KFC!$C$29)*KFC!$C$5</f>
        <v>154.22</v>
      </c>
      <c r="L107" s="315">
        <f>(AF107*KFC!$B$29+KFC!$C$29)*KFC!$C$5</f>
        <v>162.33000000000001</v>
      </c>
      <c r="M107" s="315">
        <f>(AG107*KFC!$B$29+KFC!$C$29)*KFC!$C$5</f>
        <v>170.42</v>
      </c>
      <c r="N107" s="315">
        <f>(AH107*KFC!$B$29+KFC!$C$29)*KFC!$C$5</f>
        <v>178.4</v>
      </c>
      <c r="O107" s="315">
        <f>(AI107*KFC!$B$29+KFC!$C$29)*KFC!$C$5</f>
        <v>186.35</v>
      </c>
      <c r="P107" s="315">
        <f>(AJ107*KFC!$B$29+KFC!$C$29)*KFC!$C$5</f>
        <v>194.29999999999998</v>
      </c>
      <c r="Q107" s="315">
        <f>(AK107*KFC!$B$29+KFC!$C$29)*KFC!$C$5</f>
        <v>202.24999999999997</v>
      </c>
      <c r="R107" s="315">
        <f>(AL107*KFC!$B$29+KFC!$C$29)*KFC!$C$5</f>
        <v>210.19999999999996</v>
      </c>
      <c r="S107" s="315">
        <f>(AM107*KFC!$B$29+KFC!$C$29)*KFC!$C$5</f>
        <v>218.14999999999995</v>
      </c>
      <c r="T107" s="315">
        <f>(AN107*KFC!$B$29+KFC!$C$29)*KFC!$C$5</f>
        <v>226.09999999999994</v>
      </c>
      <c r="V107" s="851">
        <v>1.6</v>
      </c>
      <c r="W107" s="847">
        <v>89.58</v>
      </c>
      <c r="X107" s="847">
        <v>97.55</v>
      </c>
      <c r="Y107" s="847">
        <v>105.78</v>
      </c>
      <c r="Z107" s="847">
        <v>113.74</v>
      </c>
      <c r="AA107" s="847">
        <v>121.97</v>
      </c>
      <c r="AB107" s="847">
        <v>129.93</v>
      </c>
      <c r="AC107" s="847">
        <v>138.03</v>
      </c>
      <c r="AD107" s="847">
        <v>146.12</v>
      </c>
      <c r="AE107" s="847">
        <v>154.22</v>
      </c>
      <c r="AF107" s="847">
        <v>162.33000000000001</v>
      </c>
      <c r="AG107" s="847">
        <v>170.42</v>
      </c>
      <c r="AH107" s="847">
        <v>178.4</v>
      </c>
      <c r="AI107" s="848">
        <v>186.35</v>
      </c>
      <c r="AJ107" s="690">
        <f t="shared" si="16"/>
        <v>194.29999999999998</v>
      </c>
      <c r="AK107" s="690">
        <f t="shared" si="17"/>
        <v>202.24999999999997</v>
      </c>
      <c r="AL107" s="690">
        <f t="shared" si="17"/>
        <v>210.19999999999996</v>
      </c>
      <c r="AM107" s="690">
        <f t="shared" si="17"/>
        <v>218.14999999999995</v>
      </c>
      <c r="AN107" s="690">
        <f t="shared" si="17"/>
        <v>226.09999999999994</v>
      </c>
      <c r="AO107" s="690">
        <f t="shared" si="17"/>
        <v>234.04999999999993</v>
      </c>
      <c r="AP107" s="690">
        <f t="shared" si="17"/>
        <v>241.99999999999991</v>
      </c>
    </row>
    <row r="108" spans="1:42">
      <c r="A108" s="1538"/>
      <c r="B108" s="262">
        <v>1.7</v>
      </c>
      <c r="C108" s="314">
        <f>(W108*KFC!$B$29+KFC!$C$29)*KFC!$C$5</f>
        <v>92.79</v>
      </c>
      <c r="D108" s="315">
        <f>(X108*KFC!$B$29+KFC!$C$29)*KFC!$C$5</f>
        <v>100.88</v>
      </c>
      <c r="E108" s="315">
        <f>(Y108*KFC!$B$29+KFC!$C$29)*KFC!$C$5</f>
        <v>109.12</v>
      </c>
      <c r="F108" s="315">
        <f>(Z108*KFC!$B$29+KFC!$C$29)*KFC!$C$5</f>
        <v>117.47</v>
      </c>
      <c r="G108" s="315">
        <f>(AA108*KFC!$B$29+KFC!$C$29)*KFC!$C$5</f>
        <v>125.56</v>
      </c>
      <c r="H108" s="315">
        <f>(AB108*KFC!$B$29+KFC!$C$29)*KFC!$C$5</f>
        <v>133.79</v>
      </c>
      <c r="I108" s="315">
        <f>(AC108*KFC!$B$29+KFC!$C$29)*KFC!$C$5</f>
        <v>141.88999999999999</v>
      </c>
      <c r="J108" s="315">
        <f>(AD108*KFC!$B$29+KFC!$C$29)*KFC!$C$5</f>
        <v>150.12</v>
      </c>
      <c r="K108" s="315">
        <f>(AE108*KFC!$B$29+KFC!$C$29)*KFC!$C$5</f>
        <v>158.33000000000001</v>
      </c>
      <c r="L108" s="315">
        <f>(AF108*KFC!$B$29+KFC!$C$29)*KFC!$C$5</f>
        <v>166.56</v>
      </c>
      <c r="M108" s="315">
        <f>(AG108*KFC!$B$29+KFC!$C$29)*KFC!$C$5</f>
        <v>174.78</v>
      </c>
      <c r="N108" s="315">
        <f>(AH108*KFC!$B$29+KFC!$C$29)*KFC!$C$5</f>
        <v>183.02</v>
      </c>
      <c r="O108" s="315">
        <f>(AI108*KFC!$B$29+KFC!$C$29)*KFC!$C$5</f>
        <v>191.25</v>
      </c>
      <c r="P108" s="315">
        <f>(AJ108*KFC!$B$29+KFC!$C$29)*KFC!$C$5</f>
        <v>199.48</v>
      </c>
      <c r="Q108" s="315">
        <f>(AK108*KFC!$B$29+KFC!$C$29)*KFC!$C$5</f>
        <v>207.70999999999998</v>
      </c>
      <c r="R108" s="315">
        <f>(AL108*KFC!$B$29+KFC!$C$29)*KFC!$C$5</f>
        <v>215.93999999999997</v>
      </c>
      <c r="S108" s="315">
        <f>(AM108*KFC!$B$29+KFC!$C$29)*KFC!$C$5</f>
        <v>224.16999999999996</v>
      </c>
      <c r="T108" s="315">
        <f>(AN108*KFC!$B$29+KFC!$C$29)*KFC!$C$5</f>
        <v>232.39999999999995</v>
      </c>
      <c r="V108" s="851">
        <v>1.7</v>
      </c>
      <c r="W108" s="847">
        <v>92.79</v>
      </c>
      <c r="X108" s="847">
        <v>100.88</v>
      </c>
      <c r="Y108" s="847">
        <v>109.12</v>
      </c>
      <c r="Z108" s="847">
        <v>117.47</v>
      </c>
      <c r="AA108" s="847">
        <v>125.56</v>
      </c>
      <c r="AB108" s="847">
        <v>133.79</v>
      </c>
      <c r="AC108" s="847">
        <v>141.88999999999999</v>
      </c>
      <c r="AD108" s="847">
        <v>150.12</v>
      </c>
      <c r="AE108" s="847">
        <v>158.33000000000001</v>
      </c>
      <c r="AF108" s="847">
        <v>166.56</v>
      </c>
      <c r="AG108" s="847">
        <v>174.78</v>
      </c>
      <c r="AH108" s="847">
        <v>183.02</v>
      </c>
      <c r="AI108" s="848">
        <v>191.25</v>
      </c>
      <c r="AJ108" s="690">
        <f t="shared" si="16"/>
        <v>199.48</v>
      </c>
      <c r="AK108" s="690">
        <f t="shared" si="17"/>
        <v>207.70999999999998</v>
      </c>
      <c r="AL108" s="690">
        <f t="shared" si="17"/>
        <v>215.93999999999997</v>
      </c>
      <c r="AM108" s="690">
        <f t="shared" si="17"/>
        <v>224.16999999999996</v>
      </c>
      <c r="AN108" s="690">
        <f t="shared" si="17"/>
        <v>232.39999999999995</v>
      </c>
      <c r="AO108" s="690">
        <f t="shared" si="17"/>
        <v>240.62999999999994</v>
      </c>
      <c r="AP108" s="690">
        <f t="shared" si="17"/>
        <v>248.85999999999993</v>
      </c>
    </row>
    <row r="109" spans="1:42">
      <c r="A109" s="1538"/>
      <c r="B109" s="262">
        <v>1.8</v>
      </c>
      <c r="C109" s="314">
        <f>(W109*KFC!$B$29+KFC!$C$29)*KFC!$C$5</f>
        <v>95.88</v>
      </c>
      <c r="D109" s="315">
        <f>(X109*KFC!$B$29+KFC!$C$29)*KFC!$C$5</f>
        <v>104.22</v>
      </c>
      <c r="E109" s="315">
        <f>(Y109*KFC!$B$29+KFC!$C$29)*KFC!$C$5</f>
        <v>112.58</v>
      </c>
      <c r="F109" s="315">
        <f>(Z109*KFC!$B$29+KFC!$C$29)*KFC!$C$5</f>
        <v>120.81</v>
      </c>
      <c r="G109" s="315">
        <f>(AA109*KFC!$B$29+KFC!$C$29)*KFC!$C$5</f>
        <v>129.16</v>
      </c>
      <c r="H109" s="315">
        <f>(AB109*KFC!$B$29+KFC!$C$29)*KFC!$C$5</f>
        <v>137.52000000000001</v>
      </c>
      <c r="I109" s="315">
        <f>(AC109*KFC!$B$29+KFC!$C$29)*KFC!$C$5</f>
        <v>145.87</v>
      </c>
      <c r="J109" s="315">
        <f>(AD109*KFC!$B$29+KFC!$C$29)*KFC!$C$5</f>
        <v>154.22</v>
      </c>
      <c r="K109" s="315">
        <f>(AE109*KFC!$B$29+KFC!$C$29)*KFC!$C$5</f>
        <v>162.58000000000001</v>
      </c>
      <c r="L109" s="315">
        <f>(AF109*KFC!$B$29+KFC!$C$29)*KFC!$C$5</f>
        <v>170.8</v>
      </c>
      <c r="M109" s="315">
        <f>(AG109*KFC!$B$29+KFC!$C$29)*KFC!$C$5</f>
        <v>179.16</v>
      </c>
      <c r="N109" s="315">
        <f>(AH109*KFC!$B$29+KFC!$C$29)*KFC!$C$5</f>
        <v>187.51</v>
      </c>
      <c r="O109" s="315">
        <f>(AI109*KFC!$B$29+KFC!$C$29)*KFC!$C$5</f>
        <v>195.87</v>
      </c>
      <c r="P109" s="315">
        <f>(AJ109*KFC!$B$29+KFC!$C$29)*KFC!$C$5</f>
        <v>204.23000000000002</v>
      </c>
      <c r="Q109" s="315">
        <f>(AK109*KFC!$B$29+KFC!$C$29)*KFC!$C$5</f>
        <v>212.59000000000003</v>
      </c>
      <c r="R109" s="315">
        <f>(AL109*KFC!$B$29+KFC!$C$29)*KFC!$C$5</f>
        <v>220.95000000000005</v>
      </c>
      <c r="S109" s="315">
        <f>(AM109*KFC!$B$29+KFC!$C$29)*KFC!$C$5</f>
        <v>229.31000000000006</v>
      </c>
      <c r="T109" s="315">
        <f>(AN109*KFC!$B$29+KFC!$C$29)*KFC!$C$5</f>
        <v>237.67000000000007</v>
      </c>
      <c r="V109" s="851">
        <v>1.8</v>
      </c>
      <c r="W109" s="847">
        <v>95.88</v>
      </c>
      <c r="X109" s="847">
        <v>104.22</v>
      </c>
      <c r="Y109" s="847">
        <v>112.58</v>
      </c>
      <c r="Z109" s="847">
        <v>120.81</v>
      </c>
      <c r="AA109" s="847">
        <v>129.16</v>
      </c>
      <c r="AB109" s="847">
        <v>137.52000000000001</v>
      </c>
      <c r="AC109" s="847">
        <v>145.87</v>
      </c>
      <c r="AD109" s="847">
        <v>154.22</v>
      </c>
      <c r="AE109" s="847">
        <v>162.58000000000001</v>
      </c>
      <c r="AF109" s="847">
        <v>170.8</v>
      </c>
      <c r="AG109" s="847">
        <v>179.16</v>
      </c>
      <c r="AH109" s="847">
        <v>187.51</v>
      </c>
      <c r="AI109" s="848">
        <v>195.87</v>
      </c>
      <c r="AJ109" s="690">
        <f t="shared" si="16"/>
        <v>204.23000000000002</v>
      </c>
      <c r="AK109" s="690">
        <f t="shared" si="17"/>
        <v>212.59000000000003</v>
      </c>
      <c r="AL109" s="690">
        <f t="shared" si="17"/>
        <v>220.95000000000005</v>
      </c>
      <c r="AM109" s="690">
        <f t="shared" si="17"/>
        <v>229.31000000000006</v>
      </c>
      <c r="AN109" s="690">
        <f t="shared" si="17"/>
        <v>237.67000000000007</v>
      </c>
      <c r="AO109" s="690">
        <f t="shared" si="17"/>
        <v>246.03000000000009</v>
      </c>
      <c r="AP109" s="690">
        <f t="shared" si="17"/>
        <v>254.3900000000001</v>
      </c>
    </row>
    <row r="110" spans="1:42">
      <c r="A110" s="1538"/>
      <c r="B110" s="262">
        <v>1.9</v>
      </c>
      <c r="C110" s="314">
        <f>(W110*KFC!$B$29+KFC!$C$29)*KFC!$C$5</f>
        <v>98.96</v>
      </c>
      <c r="D110" s="315">
        <f>(X110*KFC!$B$29+KFC!$C$29)*KFC!$C$5</f>
        <v>107.56</v>
      </c>
      <c r="E110" s="315">
        <f>(Y110*KFC!$B$29+KFC!$C$29)*KFC!$C$5</f>
        <v>116.06</v>
      </c>
      <c r="F110" s="315">
        <f>(Z110*KFC!$B$29+KFC!$C$29)*KFC!$C$5</f>
        <v>124.28</v>
      </c>
      <c r="G110" s="315">
        <f>(AA110*KFC!$B$29+KFC!$C$29)*KFC!$C$5</f>
        <v>132.76</v>
      </c>
      <c r="H110" s="315">
        <f>(AB110*KFC!$B$29+KFC!$C$29)*KFC!$C$5</f>
        <v>141.25</v>
      </c>
      <c r="I110" s="315">
        <f>(AC110*KFC!$B$29+KFC!$C$29)*KFC!$C$5</f>
        <v>149.86000000000001</v>
      </c>
      <c r="J110" s="315">
        <f>(AD110*KFC!$B$29+KFC!$C$29)*KFC!$C$5</f>
        <v>158.08000000000001</v>
      </c>
      <c r="K110" s="315">
        <f>(AE110*KFC!$B$29+KFC!$C$29)*KFC!$C$5</f>
        <v>166.56</v>
      </c>
      <c r="L110" s="315">
        <f>(AF110*KFC!$B$29+KFC!$C$29)*KFC!$C$5</f>
        <v>175.04</v>
      </c>
      <c r="M110" s="315">
        <f>(AG110*KFC!$B$29+KFC!$C$29)*KFC!$C$5</f>
        <v>183.53</v>
      </c>
      <c r="N110" s="315">
        <f>(AH110*KFC!$B$29+KFC!$C$29)*KFC!$C$5</f>
        <v>191.89</v>
      </c>
      <c r="O110" s="315">
        <f>(AI110*KFC!$B$29+KFC!$C$29)*KFC!$C$5</f>
        <v>200.24</v>
      </c>
      <c r="P110" s="315">
        <f>(AJ110*KFC!$B$29+KFC!$C$29)*KFC!$C$5</f>
        <v>208.59000000000003</v>
      </c>
      <c r="Q110" s="315">
        <f>(AK110*KFC!$B$29+KFC!$C$29)*KFC!$C$5</f>
        <v>216.94000000000005</v>
      </c>
      <c r="R110" s="315">
        <f>(AL110*KFC!$B$29+KFC!$C$29)*KFC!$C$5</f>
        <v>225.29000000000008</v>
      </c>
      <c r="S110" s="315">
        <f>(AM110*KFC!$B$29+KFC!$C$29)*KFC!$C$5</f>
        <v>233.6400000000001</v>
      </c>
      <c r="T110" s="315">
        <f>(AN110*KFC!$B$29+KFC!$C$29)*KFC!$C$5</f>
        <v>241.99000000000012</v>
      </c>
      <c r="V110" s="851">
        <v>1.9</v>
      </c>
      <c r="W110" s="847">
        <v>98.96</v>
      </c>
      <c r="X110" s="847">
        <v>107.56</v>
      </c>
      <c r="Y110" s="847">
        <v>116.06</v>
      </c>
      <c r="Z110" s="847">
        <v>124.28</v>
      </c>
      <c r="AA110" s="847">
        <v>132.76</v>
      </c>
      <c r="AB110" s="847">
        <v>141.25</v>
      </c>
      <c r="AC110" s="847">
        <v>149.86000000000001</v>
      </c>
      <c r="AD110" s="847">
        <v>158.08000000000001</v>
      </c>
      <c r="AE110" s="847">
        <v>166.56</v>
      </c>
      <c r="AF110" s="847">
        <v>175.04</v>
      </c>
      <c r="AG110" s="847">
        <v>183.53</v>
      </c>
      <c r="AH110" s="847">
        <v>191.89</v>
      </c>
      <c r="AI110" s="848">
        <v>200.24</v>
      </c>
      <c r="AJ110" s="690">
        <f t="shared" si="16"/>
        <v>208.59000000000003</v>
      </c>
      <c r="AK110" s="690">
        <f t="shared" si="17"/>
        <v>216.94000000000005</v>
      </c>
      <c r="AL110" s="690">
        <f t="shared" si="17"/>
        <v>225.29000000000008</v>
      </c>
      <c r="AM110" s="690">
        <f t="shared" si="17"/>
        <v>233.6400000000001</v>
      </c>
      <c r="AN110" s="690">
        <f t="shared" si="17"/>
        <v>241.99000000000012</v>
      </c>
      <c r="AO110" s="690">
        <f t="shared" si="17"/>
        <v>250.34000000000015</v>
      </c>
      <c r="AP110" s="690">
        <f t="shared" si="17"/>
        <v>258.69000000000017</v>
      </c>
    </row>
    <row r="111" spans="1:42">
      <c r="A111" s="1538"/>
      <c r="B111" s="262">
        <v>2</v>
      </c>
      <c r="C111" s="314">
        <f>(W111*KFC!$B$29+KFC!$C$29)*KFC!$C$5</f>
        <v>102.18</v>
      </c>
      <c r="D111" s="315">
        <f>(X111*KFC!$B$29+KFC!$C$29)*KFC!$C$5</f>
        <v>110.78</v>
      </c>
      <c r="E111" s="315">
        <f>(Y111*KFC!$B$29+KFC!$C$29)*KFC!$C$5</f>
        <v>119.27</v>
      </c>
      <c r="F111" s="315">
        <f>(Z111*KFC!$B$29+KFC!$C$29)*KFC!$C$5</f>
        <v>128.01</v>
      </c>
      <c r="G111" s="315">
        <f>(AA111*KFC!$B$29+KFC!$C$29)*KFC!$C$5</f>
        <v>136.47999999999999</v>
      </c>
      <c r="H111" s="315">
        <f>(AB111*KFC!$B$29+KFC!$C$29)*KFC!$C$5</f>
        <v>145.1</v>
      </c>
      <c r="I111" s="315">
        <f>(AC111*KFC!$B$29+KFC!$C$29)*KFC!$C$5</f>
        <v>153.58000000000001</v>
      </c>
      <c r="J111" s="315">
        <f>(AD111*KFC!$B$29+KFC!$C$29)*KFC!$C$5</f>
        <v>162.18</v>
      </c>
      <c r="K111" s="315">
        <f>(AE111*KFC!$B$29+KFC!$C$29)*KFC!$C$5</f>
        <v>170.68</v>
      </c>
      <c r="L111" s="315">
        <f>(AF111*KFC!$B$29+KFC!$C$29)*KFC!$C$5</f>
        <v>179.29</v>
      </c>
      <c r="M111" s="315">
        <f>(AG111*KFC!$B$29+KFC!$C$29)*KFC!$C$5</f>
        <v>187.76</v>
      </c>
      <c r="N111" s="315">
        <f>(AH111*KFC!$B$29+KFC!$C$29)*KFC!$C$5</f>
        <v>196.51</v>
      </c>
      <c r="O111" s="315">
        <f>(AI111*KFC!$B$29+KFC!$C$29)*KFC!$C$5</f>
        <v>205.24</v>
      </c>
      <c r="P111" s="315">
        <f>(AJ111*KFC!$B$29+KFC!$C$29)*KFC!$C$5</f>
        <v>213.97000000000003</v>
      </c>
      <c r="Q111" s="315">
        <f>(AK111*KFC!$B$29+KFC!$C$29)*KFC!$C$5</f>
        <v>222.70000000000005</v>
      </c>
      <c r="R111" s="315">
        <f>(AL111*KFC!$B$29+KFC!$C$29)*KFC!$C$5</f>
        <v>231.43000000000006</v>
      </c>
      <c r="S111" s="315">
        <f>(AM111*KFC!$B$29+KFC!$C$29)*KFC!$C$5</f>
        <v>240.16000000000008</v>
      </c>
      <c r="T111" s="315">
        <f>(AN111*KFC!$B$29+KFC!$C$29)*KFC!$C$5</f>
        <v>248.8900000000001</v>
      </c>
      <c r="V111" s="851">
        <v>2</v>
      </c>
      <c r="W111" s="847">
        <v>102.18</v>
      </c>
      <c r="X111" s="847">
        <v>110.78</v>
      </c>
      <c r="Y111" s="847">
        <v>119.27</v>
      </c>
      <c r="Z111" s="847">
        <v>128.01</v>
      </c>
      <c r="AA111" s="847">
        <v>136.47999999999999</v>
      </c>
      <c r="AB111" s="847">
        <v>145.1</v>
      </c>
      <c r="AC111" s="847">
        <v>153.58000000000001</v>
      </c>
      <c r="AD111" s="847">
        <v>162.18</v>
      </c>
      <c r="AE111" s="847">
        <v>170.68</v>
      </c>
      <c r="AF111" s="847">
        <v>179.29</v>
      </c>
      <c r="AG111" s="847">
        <v>187.76</v>
      </c>
      <c r="AH111" s="847">
        <v>196.51</v>
      </c>
      <c r="AI111" s="848">
        <v>205.24</v>
      </c>
      <c r="AJ111" s="690">
        <f t="shared" si="16"/>
        <v>213.97000000000003</v>
      </c>
      <c r="AK111" s="690">
        <f t="shared" si="17"/>
        <v>222.70000000000005</v>
      </c>
      <c r="AL111" s="690">
        <f t="shared" si="17"/>
        <v>231.43000000000006</v>
      </c>
      <c r="AM111" s="690">
        <f t="shared" si="17"/>
        <v>240.16000000000008</v>
      </c>
      <c r="AN111" s="690">
        <f t="shared" si="17"/>
        <v>248.8900000000001</v>
      </c>
      <c r="AO111" s="690">
        <f t="shared" si="17"/>
        <v>257.62000000000012</v>
      </c>
      <c r="AP111" s="690">
        <f t="shared" si="17"/>
        <v>266.35000000000014</v>
      </c>
    </row>
    <row r="112" spans="1:42">
      <c r="A112" s="1538"/>
      <c r="B112" s="262">
        <v>2.1</v>
      </c>
      <c r="C112" s="314">
        <f>(W112*KFC!$B$29+KFC!$C$29)*KFC!$C$5</f>
        <v>105.39</v>
      </c>
      <c r="D112" s="315">
        <f>(X112*KFC!$B$29+KFC!$C$29)*KFC!$C$5</f>
        <v>113.99</v>
      </c>
      <c r="E112" s="315">
        <f>(Y112*KFC!$B$29+KFC!$C$29)*KFC!$C$5</f>
        <v>122.48</v>
      </c>
      <c r="F112" s="315">
        <f>(Z112*KFC!$B$29+KFC!$C$29)*KFC!$C$5</f>
        <v>131.72999999999999</v>
      </c>
      <c r="G112" s="315">
        <f>(AA112*KFC!$B$29+KFC!$C$29)*KFC!$C$5</f>
        <v>140.22</v>
      </c>
      <c r="H112" s="315">
        <f>(AB112*KFC!$B$29+KFC!$C$29)*KFC!$C$5</f>
        <v>148.94999999999999</v>
      </c>
      <c r="I112" s="315">
        <f>(AC112*KFC!$B$29+KFC!$C$29)*KFC!$C$5</f>
        <v>157.31</v>
      </c>
      <c r="J112" s="315">
        <f>(AD112*KFC!$B$29+KFC!$C$29)*KFC!$C$5</f>
        <v>166.31</v>
      </c>
      <c r="K112" s="315">
        <f>(AE112*KFC!$B$29+KFC!$C$29)*KFC!$C$5</f>
        <v>174.78</v>
      </c>
      <c r="L112" s="315">
        <f>(AF112*KFC!$B$29+KFC!$C$29)*KFC!$C$5</f>
        <v>183.53</v>
      </c>
      <c r="M112" s="315">
        <f>(AG112*KFC!$B$29+KFC!$C$29)*KFC!$C$5</f>
        <v>192.01</v>
      </c>
      <c r="N112" s="315">
        <f>(AH112*KFC!$B$29+KFC!$C$29)*KFC!$C$5</f>
        <v>201.14</v>
      </c>
      <c r="O112" s="315">
        <f>(AI112*KFC!$B$29+KFC!$C$29)*KFC!$C$5</f>
        <v>210.25</v>
      </c>
      <c r="P112" s="315">
        <f>(AJ112*KFC!$B$29+KFC!$C$29)*KFC!$C$5</f>
        <v>219.36</v>
      </c>
      <c r="Q112" s="315">
        <f>(AK112*KFC!$B$29+KFC!$C$29)*KFC!$C$5</f>
        <v>228.47000000000003</v>
      </c>
      <c r="R112" s="315">
        <f>(AL112*KFC!$B$29+KFC!$C$29)*KFC!$C$5</f>
        <v>237.58000000000004</v>
      </c>
      <c r="S112" s="315">
        <f>(AM112*KFC!$B$29+KFC!$C$29)*KFC!$C$5</f>
        <v>246.69000000000005</v>
      </c>
      <c r="T112" s="315">
        <f>(AN112*KFC!$B$29+KFC!$C$29)*KFC!$C$5</f>
        <v>255.80000000000007</v>
      </c>
      <c r="V112" s="851">
        <v>2.1</v>
      </c>
      <c r="W112" s="847">
        <v>105.39</v>
      </c>
      <c r="X112" s="847">
        <v>113.99</v>
      </c>
      <c r="Y112" s="847">
        <v>122.48</v>
      </c>
      <c r="Z112" s="847">
        <v>131.72999999999999</v>
      </c>
      <c r="AA112" s="847">
        <v>140.22</v>
      </c>
      <c r="AB112" s="847">
        <v>148.94999999999999</v>
      </c>
      <c r="AC112" s="847">
        <v>157.31</v>
      </c>
      <c r="AD112" s="847">
        <v>166.31</v>
      </c>
      <c r="AE112" s="847">
        <v>174.78</v>
      </c>
      <c r="AF112" s="847">
        <v>183.53</v>
      </c>
      <c r="AG112" s="847">
        <v>192.01</v>
      </c>
      <c r="AH112" s="847">
        <v>201.14</v>
      </c>
      <c r="AI112" s="848">
        <v>210.25</v>
      </c>
      <c r="AJ112" s="690">
        <f t="shared" si="16"/>
        <v>219.36</v>
      </c>
      <c r="AK112" s="690">
        <f t="shared" ref="AK112:AP112" si="18">AJ112-AI112+AJ112</f>
        <v>228.47000000000003</v>
      </c>
      <c r="AL112" s="690">
        <f t="shared" si="18"/>
        <v>237.58000000000004</v>
      </c>
      <c r="AM112" s="690">
        <f t="shared" si="18"/>
        <v>246.69000000000005</v>
      </c>
      <c r="AN112" s="690">
        <f t="shared" si="18"/>
        <v>255.80000000000007</v>
      </c>
      <c r="AO112" s="690">
        <f t="shared" si="18"/>
        <v>264.91000000000008</v>
      </c>
      <c r="AP112" s="690">
        <f t="shared" si="18"/>
        <v>274.0200000000001</v>
      </c>
    </row>
    <row r="113" spans="1:42" ht="13.8" thickBot="1">
      <c r="A113" s="1539"/>
      <c r="B113" s="263">
        <v>2.2000000000000002</v>
      </c>
      <c r="C113" s="317">
        <f>(W113*KFC!$B$29+KFC!$C$29)*KFC!$C$5</f>
        <v>108.6</v>
      </c>
      <c r="D113" s="318">
        <f>(X113*KFC!$B$29+KFC!$C$29)*KFC!$C$5</f>
        <v>117.2</v>
      </c>
      <c r="E113" s="318">
        <f>(Y113*KFC!$B$29+KFC!$C$29)*KFC!$C$5</f>
        <v>125.7</v>
      </c>
      <c r="F113" s="318">
        <f>(Z113*KFC!$B$29+KFC!$C$29)*KFC!$C$5</f>
        <v>135.46</v>
      </c>
      <c r="G113" s="318">
        <f>(AA113*KFC!$B$29+KFC!$C$29)*KFC!$C$5</f>
        <v>143.94</v>
      </c>
      <c r="H113" s="318">
        <f>(AB113*KFC!$B$29+KFC!$C$29)*KFC!$C$5</f>
        <v>152.82</v>
      </c>
      <c r="I113" s="318">
        <f>(AC113*KFC!$B$29+KFC!$C$29)*KFC!$C$5</f>
        <v>161.04</v>
      </c>
      <c r="J113" s="318">
        <f>(AD113*KFC!$B$29+KFC!$C$29)*KFC!$C$5</f>
        <v>170.42</v>
      </c>
      <c r="K113" s="318">
        <f>(AE113*KFC!$B$29+KFC!$C$29)*KFC!$C$5</f>
        <v>178.9</v>
      </c>
      <c r="L113" s="318">
        <f>(AF113*KFC!$B$29+KFC!$C$29)*KFC!$C$5</f>
        <v>187.76</v>
      </c>
      <c r="M113" s="318">
        <f>(AG113*KFC!$B$29+KFC!$C$29)*KFC!$C$5</f>
        <v>196.25</v>
      </c>
      <c r="N113" s="318">
        <f>(AH113*KFC!$B$29+KFC!$C$29)*KFC!$C$5</f>
        <v>205.76</v>
      </c>
      <c r="O113" s="318">
        <f>(AI113*KFC!$B$29+KFC!$C$29)*KFC!$C$5</f>
        <v>215.27</v>
      </c>
      <c r="P113" s="318">
        <f>(AJ113*KFC!$B$29+KFC!$C$29)*KFC!$C$5</f>
        <v>224.78000000000003</v>
      </c>
      <c r="Q113" s="318">
        <f>(AK113*KFC!$B$29+KFC!$C$29)*KFC!$C$5</f>
        <v>234.29000000000005</v>
      </c>
      <c r="R113" s="318">
        <f>(AL113*KFC!$B$29+KFC!$C$29)*KFC!$C$5</f>
        <v>243.80000000000007</v>
      </c>
      <c r="S113" s="318">
        <f>(AM113*KFC!$B$29+KFC!$C$29)*KFC!$C$5</f>
        <v>253.31000000000009</v>
      </c>
      <c r="T113" s="318">
        <f>(AN113*KFC!$B$29+KFC!$C$29)*KFC!$C$5</f>
        <v>262.82000000000011</v>
      </c>
      <c r="V113" s="851">
        <v>2.2000000000000002</v>
      </c>
      <c r="W113" s="847">
        <v>108.6</v>
      </c>
      <c r="X113" s="847">
        <v>117.2</v>
      </c>
      <c r="Y113" s="847">
        <v>125.7</v>
      </c>
      <c r="Z113" s="847">
        <v>135.46</v>
      </c>
      <c r="AA113" s="847">
        <v>143.94</v>
      </c>
      <c r="AB113" s="847">
        <v>152.82</v>
      </c>
      <c r="AC113" s="847">
        <v>161.04</v>
      </c>
      <c r="AD113" s="847">
        <v>170.42</v>
      </c>
      <c r="AE113" s="847">
        <v>178.9</v>
      </c>
      <c r="AF113" s="847">
        <v>187.76</v>
      </c>
      <c r="AG113" s="847">
        <v>196.25</v>
      </c>
      <c r="AH113" s="847">
        <v>205.76</v>
      </c>
      <c r="AI113" s="848">
        <v>215.27</v>
      </c>
      <c r="AJ113" s="690">
        <f t="shared" ref="AJ113:AP113" si="19">AI113-AH113+AI113</f>
        <v>224.78000000000003</v>
      </c>
      <c r="AK113" s="690">
        <f t="shared" si="19"/>
        <v>234.29000000000005</v>
      </c>
      <c r="AL113" s="690">
        <f t="shared" si="19"/>
        <v>243.80000000000007</v>
      </c>
      <c r="AM113" s="690">
        <f t="shared" si="19"/>
        <v>253.31000000000009</v>
      </c>
      <c r="AN113" s="690">
        <f t="shared" si="19"/>
        <v>262.82000000000011</v>
      </c>
      <c r="AO113" s="690">
        <f t="shared" si="19"/>
        <v>272.33000000000015</v>
      </c>
      <c r="AP113" s="690">
        <f t="shared" si="19"/>
        <v>281.8400000000002</v>
      </c>
    </row>
    <row r="114" spans="1:42" ht="13.8" thickBot="1">
      <c r="A114" s="249"/>
      <c r="B114" s="249"/>
      <c r="C114" s="249"/>
      <c r="D114" s="249"/>
      <c r="E114" s="249"/>
      <c r="F114" s="249"/>
      <c r="G114" s="249"/>
      <c r="H114" s="249"/>
      <c r="I114" s="249"/>
      <c r="J114" s="249"/>
      <c r="K114" s="249"/>
      <c r="L114" s="249"/>
      <c r="M114" s="184"/>
      <c r="N114" s="184"/>
    </row>
    <row r="115" spans="1:42" ht="13.5" customHeight="1" thickBot="1">
      <c r="A115" s="1413" t="s">
        <v>320</v>
      </c>
      <c r="B115" s="1415"/>
      <c r="C115" s="1534" t="s">
        <v>207</v>
      </c>
      <c r="D115" s="1535"/>
      <c r="E115" s="1535"/>
      <c r="F115" s="1535"/>
      <c r="G115" s="1535"/>
      <c r="H115" s="1535"/>
      <c r="I115" s="1535"/>
      <c r="J115" s="1535"/>
      <c r="K115" s="1535"/>
      <c r="L115" s="1535"/>
      <c r="M115" s="1535"/>
      <c r="N115" s="1535"/>
      <c r="O115" s="1535"/>
      <c r="P115" s="1535"/>
      <c r="Q115" s="1535"/>
      <c r="R115" s="1535"/>
      <c r="S115" s="1535"/>
      <c r="T115" s="1535"/>
    </row>
    <row r="116" spans="1:42" ht="13.8" thickBot="1">
      <c r="A116" s="1416"/>
      <c r="B116" s="1418"/>
      <c r="C116" s="119">
        <v>0.4</v>
      </c>
      <c r="D116" s="119">
        <v>0.5</v>
      </c>
      <c r="E116" s="119">
        <v>0.6</v>
      </c>
      <c r="F116" s="119">
        <v>0.7</v>
      </c>
      <c r="G116" s="119">
        <v>0.8</v>
      </c>
      <c r="H116" s="119">
        <v>0.9</v>
      </c>
      <c r="I116" s="119">
        <v>1</v>
      </c>
      <c r="J116" s="119">
        <v>1.1000000000000001</v>
      </c>
      <c r="K116" s="119">
        <v>1.2</v>
      </c>
      <c r="L116" s="119">
        <v>1.3</v>
      </c>
      <c r="M116" s="119">
        <v>1.4</v>
      </c>
      <c r="N116" s="119">
        <v>1.5</v>
      </c>
      <c r="O116" s="119">
        <v>1.6</v>
      </c>
      <c r="P116" s="119">
        <v>1.7</v>
      </c>
      <c r="Q116" s="119">
        <v>1.8</v>
      </c>
      <c r="R116" s="119">
        <v>1.9</v>
      </c>
      <c r="S116" s="119">
        <v>2</v>
      </c>
      <c r="T116" s="119">
        <v>2.1</v>
      </c>
      <c r="V116" s="850"/>
      <c r="W116" s="857">
        <v>0.4</v>
      </c>
      <c r="X116" s="857">
        <v>0.5</v>
      </c>
      <c r="Y116" s="857">
        <v>0.6</v>
      </c>
      <c r="Z116" s="857">
        <v>0.7</v>
      </c>
      <c r="AA116" s="857">
        <v>0.8</v>
      </c>
      <c r="AB116" s="857">
        <v>0.9</v>
      </c>
      <c r="AC116" s="857">
        <v>1</v>
      </c>
      <c r="AD116" s="857">
        <v>1.1000000000000001</v>
      </c>
      <c r="AE116" s="857">
        <v>1.2</v>
      </c>
      <c r="AF116" s="857">
        <v>1.3</v>
      </c>
      <c r="AG116" s="857">
        <v>1.4</v>
      </c>
      <c r="AH116" s="857">
        <v>1.5</v>
      </c>
      <c r="AI116" s="857">
        <v>1.6</v>
      </c>
      <c r="AJ116" s="857">
        <v>1.7</v>
      </c>
      <c r="AK116" s="857">
        <v>1.8</v>
      </c>
      <c r="AL116" s="857">
        <v>1.9</v>
      </c>
      <c r="AM116" s="857">
        <v>2</v>
      </c>
      <c r="AN116" s="857">
        <v>2.1</v>
      </c>
      <c r="AO116" s="857">
        <v>2.2000000000000002</v>
      </c>
      <c r="AP116" s="857">
        <v>2.2999999999999998</v>
      </c>
    </row>
    <row r="117" spans="1:42" ht="12.75" customHeight="1">
      <c r="A117" s="1537" t="s">
        <v>3</v>
      </c>
      <c r="B117" s="261">
        <v>0.5</v>
      </c>
      <c r="C117" s="311">
        <f>(W117*KFC!$B$29+KFC!$C$29)*KFC!$C$5</f>
        <v>63.39</v>
      </c>
      <c r="D117" s="312">
        <f>(X117*KFC!$B$29+KFC!$C$29)*KFC!$C$5</f>
        <v>70.569999999999993</v>
      </c>
      <c r="E117" s="312">
        <f>(Y117*KFC!$B$29+KFC!$C$29)*KFC!$C$5</f>
        <v>77.75</v>
      </c>
      <c r="F117" s="312">
        <f>(Z117*KFC!$B$29+KFC!$C$29)*KFC!$C$5</f>
        <v>85.05</v>
      </c>
      <c r="G117" s="312">
        <f>(AA117*KFC!$B$29+KFC!$C$29)*KFC!$C$5</f>
        <v>92.25</v>
      </c>
      <c r="H117" s="312">
        <f>(AB117*KFC!$B$29+KFC!$C$29)*KFC!$C$5</f>
        <v>99.44</v>
      </c>
      <c r="I117" s="312">
        <f>(AC117*KFC!$B$29+KFC!$C$29)*KFC!$C$5</f>
        <v>106.62</v>
      </c>
      <c r="J117" s="312">
        <f>(AD117*KFC!$B$29+KFC!$C$29)*KFC!$C$5</f>
        <v>113.8</v>
      </c>
      <c r="K117" s="312">
        <f>(AE117*KFC!$B$29+KFC!$C$29)*KFC!$C$5</f>
        <v>120.99</v>
      </c>
      <c r="L117" s="312">
        <f>(AF117*KFC!$B$29+KFC!$C$29)*KFC!$C$5</f>
        <v>128.18</v>
      </c>
      <c r="M117" s="312">
        <f>(AG117*KFC!$B$29+KFC!$C$29)*KFC!$C$5</f>
        <v>135.6</v>
      </c>
      <c r="N117" s="312">
        <f>(AH117*KFC!$B$29+KFC!$C$29)*KFC!$C$5</f>
        <v>142.66</v>
      </c>
      <c r="O117" s="312">
        <f>(AI117*KFC!$B$29+KFC!$C$29)*KFC!$C$5</f>
        <v>149.72999999999999</v>
      </c>
      <c r="P117" s="312">
        <f>(AJ117*KFC!$B$29+KFC!$C$29)*KFC!$C$5</f>
        <v>156.79999999999998</v>
      </c>
      <c r="Q117" s="312">
        <f>(AK117*KFC!$B$29+KFC!$C$29)*KFC!$C$5</f>
        <v>163.86999999999998</v>
      </c>
      <c r="R117" s="312">
        <f>(AL117*KFC!$B$29+KFC!$C$29)*KFC!$C$5</f>
        <v>170.93999999999997</v>
      </c>
      <c r="S117" s="312">
        <f>(AM117*KFC!$B$29+KFC!$C$29)*KFC!$C$5</f>
        <v>178.00999999999996</v>
      </c>
      <c r="T117" s="312">
        <f>(AN117*KFC!$B$29+KFC!$C$29)*KFC!$C$5</f>
        <v>185.07999999999996</v>
      </c>
      <c r="V117" s="852">
        <v>0.5</v>
      </c>
      <c r="W117" s="858">
        <v>63.39</v>
      </c>
      <c r="X117" s="858">
        <v>70.569999999999993</v>
      </c>
      <c r="Y117" s="858">
        <v>77.75</v>
      </c>
      <c r="Z117" s="858">
        <v>85.05</v>
      </c>
      <c r="AA117" s="858">
        <v>92.25</v>
      </c>
      <c r="AB117" s="858">
        <v>99.44</v>
      </c>
      <c r="AC117" s="858">
        <v>106.62</v>
      </c>
      <c r="AD117" s="858">
        <v>113.8</v>
      </c>
      <c r="AE117" s="858">
        <v>120.99</v>
      </c>
      <c r="AF117" s="858">
        <v>128.18</v>
      </c>
      <c r="AG117" s="858">
        <v>135.6</v>
      </c>
      <c r="AH117" s="858">
        <v>142.66</v>
      </c>
      <c r="AI117" s="858">
        <v>149.72999999999999</v>
      </c>
      <c r="AJ117" s="690">
        <f t="shared" ref="AJ117:AJ134" si="20">AI117-AH117+AI117</f>
        <v>156.79999999999998</v>
      </c>
      <c r="AK117" s="690">
        <f t="shared" ref="AK117:AP132" si="21">AJ117-AI117+AJ117</f>
        <v>163.86999999999998</v>
      </c>
      <c r="AL117" s="690">
        <f t="shared" si="21"/>
        <v>170.93999999999997</v>
      </c>
      <c r="AM117" s="690">
        <f t="shared" si="21"/>
        <v>178.00999999999996</v>
      </c>
      <c r="AN117" s="690">
        <f t="shared" si="21"/>
        <v>185.07999999999996</v>
      </c>
      <c r="AO117" s="690">
        <f t="shared" si="21"/>
        <v>192.14999999999995</v>
      </c>
      <c r="AP117" s="690">
        <f t="shared" si="21"/>
        <v>199.21999999999994</v>
      </c>
    </row>
    <row r="118" spans="1:42">
      <c r="A118" s="1538"/>
      <c r="B118" s="262">
        <v>0.6</v>
      </c>
      <c r="C118" s="314">
        <f>(W118*KFC!$B$29+KFC!$C$29)*KFC!$C$5</f>
        <v>67.03</v>
      </c>
      <c r="D118" s="315">
        <f>(X118*KFC!$B$29+KFC!$C$29)*KFC!$C$5</f>
        <v>74.459999999999994</v>
      </c>
      <c r="E118" s="315">
        <f>(Y118*KFC!$B$29+KFC!$C$29)*KFC!$C$5</f>
        <v>81.99</v>
      </c>
      <c r="F118" s="315">
        <f>(Z118*KFC!$B$29+KFC!$C$29)*KFC!$C$5</f>
        <v>89.3</v>
      </c>
      <c r="G118" s="315">
        <f>(AA118*KFC!$B$29+KFC!$C$29)*KFC!$C$5</f>
        <v>96.83</v>
      </c>
      <c r="H118" s="315">
        <f>(AB118*KFC!$B$29+KFC!$C$29)*KFC!$C$5</f>
        <v>104.27</v>
      </c>
      <c r="I118" s="315">
        <f>(AC118*KFC!$B$29+KFC!$C$29)*KFC!$C$5</f>
        <v>111.8</v>
      </c>
      <c r="J118" s="315">
        <f>(AD118*KFC!$B$29+KFC!$C$29)*KFC!$C$5</f>
        <v>119.1</v>
      </c>
      <c r="K118" s="315">
        <f>(AE118*KFC!$B$29+KFC!$C$29)*KFC!$C$5</f>
        <v>126.65</v>
      </c>
      <c r="L118" s="315">
        <f>(AF118*KFC!$B$29+KFC!$C$29)*KFC!$C$5</f>
        <v>134.19</v>
      </c>
      <c r="M118" s="315">
        <f>(AG118*KFC!$B$29+KFC!$C$29)*KFC!$C$5</f>
        <v>141.49</v>
      </c>
      <c r="N118" s="315">
        <f>(AH118*KFC!$B$29+KFC!$C$29)*KFC!$C$5</f>
        <v>149.03</v>
      </c>
      <c r="O118" s="315">
        <f>(AI118*KFC!$B$29+KFC!$C$29)*KFC!$C$5</f>
        <v>156.58000000000001</v>
      </c>
      <c r="P118" s="315">
        <f>(AJ118*KFC!$B$29+KFC!$C$29)*KFC!$C$5</f>
        <v>164.13000000000002</v>
      </c>
      <c r="Q118" s="315">
        <f>(AK118*KFC!$B$29+KFC!$C$29)*KFC!$C$5</f>
        <v>171.68000000000004</v>
      </c>
      <c r="R118" s="315">
        <f>(AL118*KFC!$B$29+KFC!$C$29)*KFC!$C$5</f>
        <v>179.23000000000005</v>
      </c>
      <c r="S118" s="315">
        <f>(AM118*KFC!$B$29+KFC!$C$29)*KFC!$C$5</f>
        <v>186.78000000000006</v>
      </c>
      <c r="T118" s="315">
        <f>(AN118*KFC!$B$29+KFC!$C$29)*KFC!$C$5</f>
        <v>194.33000000000007</v>
      </c>
      <c r="V118" s="852">
        <v>0.6</v>
      </c>
      <c r="W118" s="858">
        <v>67.03</v>
      </c>
      <c r="X118" s="858">
        <v>74.459999999999994</v>
      </c>
      <c r="Y118" s="858">
        <v>81.99</v>
      </c>
      <c r="Z118" s="858">
        <v>89.3</v>
      </c>
      <c r="AA118" s="858">
        <v>96.83</v>
      </c>
      <c r="AB118" s="858">
        <v>104.27</v>
      </c>
      <c r="AC118" s="858">
        <v>111.8</v>
      </c>
      <c r="AD118" s="858">
        <v>119.1</v>
      </c>
      <c r="AE118" s="858">
        <v>126.65</v>
      </c>
      <c r="AF118" s="858">
        <v>134.19</v>
      </c>
      <c r="AG118" s="858">
        <v>141.49</v>
      </c>
      <c r="AH118" s="858">
        <v>149.03</v>
      </c>
      <c r="AI118" s="858">
        <v>156.58000000000001</v>
      </c>
      <c r="AJ118" s="690">
        <f t="shared" si="20"/>
        <v>164.13000000000002</v>
      </c>
      <c r="AK118" s="690">
        <f t="shared" si="21"/>
        <v>171.68000000000004</v>
      </c>
      <c r="AL118" s="690">
        <f t="shared" si="21"/>
        <v>179.23000000000005</v>
      </c>
      <c r="AM118" s="690">
        <f t="shared" si="21"/>
        <v>186.78000000000006</v>
      </c>
      <c r="AN118" s="690">
        <f t="shared" si="21"/>
        <v>194.33000000000007</v>
      </c>
      <c r="AO118" s="690">
        <f t="shared" si="21"/>
        <v>201.88000000000008</v>
      </c>
      <c r="AP118" s="690">
        <f t="shared" si="21"/>
        <v>209.43000000000009</v>
      </c>
    </row>
    <row r="119" spans="1:42">
      <c r="A119" s="1538"/>
      <c r="B119" s="262">
        <v>0.7</v>
      </c>
      <c r="C119" s="314">
        <f>(W119*KFC!$B$29+KFC!$C$29)*KFC!$C$5</f>
        <v>70.92</v>
      </c>
      <c r="D119" s="315">
        <f>(X119*KFC!$B$29+KFC!$C$29)*KFC!$C$5</f>
        <v>78.569999999999993</v>
      </c>
      <c r="E119" s="315">
        <f>(Y119*KFC!$B$29+KFC!$C$29)*KFC!$C$5</f>
        <v>86.12</v>
      </c>
      <c r="F119" s="315">
        <f>(Z119*KFC!$B$29+KFC!$C$29)*KFC!$C$5</f>
        <v>93.78</v>
      </c>
      <c r="G119" s="315">
        <f>(AA119*KFC!$B$29+KFC!$C$29)*KFC!$C$5</f>
        <v>101.55</v>
      </c>
      <c r="H119" s="315">
        <f>(AB119*KFC!$B$29+KFC!$C$29)*KFC!$C$5</f>
        <v>109.21</v>
      </c>
      <c r="I119" s="315">
        <f>(AC119*KFC!$B$29+KFC!$C$29)*KFC!$C$5</f>
        <v>116.99</v>
      </c>
      <c r="J119" s="315">
        <f>(AD119*KFC!$B$29+KFC!$C$29)*KFC!$C$5</f>
        <v>124.65</v>
      </c>
      <c r="K119" s="315">
        <f>(AE119*KFC!$B$29+KFC!$C$29)*KFC!$C$5</f>
        <v>132.43</v>
      </c>
      <c r="L119" s="315">
        <f>(AF119*KFC!$B$29+KFC!$C$29)*KFC!$C$5</f>
        <v>139.97</v>
      </c>
      <c r="M119" s="315">
        <f>(AG119*KFC!$B$29+KFC!$C$29)*KFC!$C$5</f>
        <v>147.74</v>
      </c>
      <c r="N119" s="315">
        <f>(AH119*KFC!$B$29+KFC!$C$29)*KFC!$C$5</f>
        <v>156.46</v>
      </c>
      <c r="O119" s="315">
        <f>(AI119*KFC!$B$29+KFC!$C$29)*KFC!$C$5</f>
        <v>165.17</v>
      </c>
      <c r="P119" s="315">
        <f>(AJ119*KFC!$B$29+KFC!$C$29)*KFC!$C$5</f>
        <v>173.87999999999997</v>
      </c>
      <c r="Q119" s="315">
        <f>(AK119*KFC!$B$29+KFC!$C$29)*KFC!$C$5</f>
        <v>182.58999999999995</v>
      </c>
      <c r="R119" s="315">
        <f>(AL119*KFC!$B$29+KFC!$C$29)*KFC!$C$5</f>
        <v>191.29999999999993</v>
      </c>
      <c r="S119" s="315">
        <f>(AM119*KFC!$B$29+KFC!$C$29)*KFC!$C$5</f>
        <v>200.00999999999991</v>
      </c>
      <c r="T119" s="315">
        <f>(AN119*KFC!$B$29+KFC!$C$29)*KFC!$C$5</f>
        <v>208.71999999999989</v>
      </c>
      <c r="V119" s="852">
        <v>0.7</v>
      </c>
      <c r="W119" s="858">
        <v>70.92</v>
      </c>
      <c r="X119" s="858">
        <v>78.569999999999993</v>
      </c>
      <c r="Y119" s="858">
        <v>86.12</v>
      </c>
      <c r="Z119" s="858">
        <v>93.78</v>
      </c>
      <c r="AA119" s="858">
        <v>101.55</v>
      </c>
      <c r="AB119" s="858">
        <v>109.21</v>
      </c>
      <c r="AC119" s="858">
        <v>116.99</v>
      </c>
      <c r="AD119" s="858">
        <v>124.65</v>
      </c>
      <c r="AE119" s="858">
        <v>132.43</v>
      </c>
      <c r="AF119" s="858">
        <v>139.97</v>
      </c>
      <c r="AG119" s="858">
        <v>147.74</v>
      </c>
      <c r="AH119" s="858">
        <v>156.46</v>
      </c>
      <c r="AI119" s="858">
        <v>165.17</v>
      </c>
      <c r="AJ119" s="690">
        <f t="shared" si="20"/>
        <v>173.87999999999997</v>
      </c>
      <c r="AK119" s="690">
        <f t="shared" si="21"/>
        <v>182.58999999999995</v>
      </c>
      <c r="AL119" s="690">
        <f t="shared" si="21"/>
        <v>191.29999999999993</v>
      </c>
      <c r="AM119" s="690">
        <f t="shared" si="21"/>
        <v>200.00999999999991</v>
      </c>
      <c r="AN119" s="690">
        <f t="shared" si="21"/>
        <v>208.71999999999989</v>
      </c>
      <c r="AO119" s="690">
        <f t="shared" si="21"/>
        <v>217.42999999999986</v>
      </c>
      <c r="AP119" s="690">
        <f t="shared" si="21"/>
        <v>226.13999999999984</v>
      </c>
    </row>
    <row r="120" spans="1:42">
      <c r="A120" s="1538"/>
      <c r="B120" s="262">
        <v>0.8</v>
      </c>
      <c r="C120" s="314">
        <f>(W120*KFC!$B$29+KFC!$C$29)*KFC!$C$5</f>
        <v>74.459999999999994</v>
      </c>
      <c r="D120" s="315">
        <f>(X120*KFC!$B$29+KFC!$C$29)*KFC!$C$5</f>
        <v>82.47</v>
      </c>
      <c r="E120" s="315">
        <f>(Y120*KFC!$B$29+KFC!$C$29)*KFC!$C$5</f>
        <v>90.35</v>
      </c>
      <c r="F120" s="315">
        <f>(Z120*KFC!$B$29+KFC!$C$29)*KFC!$C$5</f>
        <v>98.26</v>
      </c>
      <c r="G120" s="315">
        <f>(AA120*KFC!$B$29+KFC!$C$29)*KFC!$C$5</f>
        <v>106.14</v>
      </c>
      <c r="H120" s="315">
        <f>(AB120*KFC!$B$29+KFC!$C$29)*KFC!$C$5</f>
        <v>114.16</v>
      </c>
      <c r="I120" s="315">
        <f>(AC120*KFC!$B$29+KFC!$C$29)*KFC!$C$5</f>
        <v>122.05</v>
      </c>
      <c r="J120" s="315">
        <f>(AD120*KFC!$B$29+KFC!$C$29)*KFC!$C$5</f>
        <v>129.94999999999999</v>
      </c>
      <c r="K120" s="315">
        <f>(AE120*KFC!$B$29+KFC!$C$29)*KFC!$C$5</f>
        <v>137.83000000000001</v>
      </c>
      <c r="L120" s="315">
        <f>(AF120*KFC!$B$29+KFC!$C$29)*KFC!$C$5</f>
        <v>145.86000000000001</v>
      </c>
      <c r="M120" s="315">
        <f>(AG120*KFC!$B$29+KFC!$C$29)*KFC!$C$5</f>
        <v>153.74</v>
      </c>
      <c r="N120" s="315">
        <f>(AH120*KFC!$B$29+KFC!$C$29)*KFC!$C$5</f>
        <v>161.63</v>
      </c>
      <c r="O120" s="315">
        <f>(AI120*KFC!$B$29+KFC!$C$29)*KFC!$C$5</f>
        <v>169.53</v>
      </c>
      <c r="P120" s="315">
        <f>(AJ120*KFC!$B$29+KFC!$C$29)*KFC!$C$5</f>
        <v>177.43</v>
      </c>
      <c r="Q120" s="315">
        <f>(AK120*KFC!$B$29+KFC!$C$29)*KFC!$C$5</f>
        <v>185.33</v>
      </c>
      <c r="R120" s="315">
        <f>(AL120*KFC!$B$29+KFC!$C$29)*KFC!$C$5</f>
        <v>193.23000000000002</v>
      </c>
      <c r="S120" s="315">
        <f>(AM120*KFC!$B$29+KFC!$C$29)*KFC!$C$5</f>
        <v>201.13000000000002</v>
      </c>
      <c r="T120" s="315">
        <f>(AN120*KFC!$B$29+KFC!$C$29)*KFC!$C$5</f>
        <v>209.03000000000003</v>
      </c>
      <c r="V120" s="852">
        <v>0.8</v>
      </c>
      <c r="W120" s="858">
        <v>74.459999999999994</v>
      </c>
      <c r="X120" s="858">
        <v>82.47</v>
      </c>
      <c r="Y120" s="858">
        <v>90.35</v>
      </c>
      <c r="Z120" s="858">
        <v>98.26</v>
      </c>
      <c r="AA120" s="858">
        <v>106.14</v>
      </c>
      <c r="AB120" s="858">
        <v>114.16</v>
      </c>
      <c r="AC120" s="858">
        <v>122.05</v>
      </c>
      <c r="AD120" s="858">
        <v>129.94999999999999</v>
      </c>
      <c r="AE120" s="858">
        <v>137.83000000000001</v>
      </c>
      <c r="AF120" s="858">
        <v>145.86000000000001</v>
      </c>
      <c r="AG120" s="858">
        <v>153.74</v>
      </c>
      <c r="AH120" s="858">
        <v>161.63</v>
      </c>
      <c r="AI120" s="858">
        <v>169.53</v>
      </c>
      <c r="AJ120" s="690">
        <f t="shared" si="20"/>
        <v>177.43</v>
      </c>
      <c r="AK120" s="690">
        <f t="shared" si="21"/>
        <v>185.33</v>
      </c>
      <c r="AL120" s="690">
        <f t="shared" si="21"/>
        <v>193.23000000000002</v>
      </c>
      <c r="AM120" s="690">
        <f t="shared" si="21"/>
        <v>201.13000000000002</v>
      </c>
      <c r="AN120" s="690">
        <f t="shared" si="21"/>
        <v>209.03000000000003</v>
      </c>
      <c r="AO120" s="690">
        <f t="shared" si="21"/>
        <v>216.93000000000004</v>
      </c>
      <c r="AP120" s="690">
        <f t="shared" si="21"/>
        <v>224.83000000000004</v>
      </c>
    </row>
    <row r="121" spans="1:42">
      <c r="A121" s="1538"/>
      <c r="B121" s="262">
        <v>0.9</v>
      </c>
      <c r="C121" s="314">
        <f>(W121*KFC!$B$29+KFC!$C$29)*KFC!$C$5</f>
        <v>78.11</v>
      </c>
      <c r="D121" s="315">
        <f>(X121*KFC!$B$29+KFC!$C$29)*KFC!$C$5</f>
        <v>86.48</v>
      </c>
      <c r="E121" s="315">
        <f>(Y121*KFC!$B$29+KFC!$C$29)*KFC!$C$5</f>
        <v>94.48</v>
      </c>
      <c r="F121" s="315">
        <f>(Z121*KFC!$B$29+KFC!$C$29)*KFC!$C$5</f>
        <v>102.72</v>
      </c>
      <c r="G121" s="315">
        <f>(AA121*KFC!$B$29+KFC!$C$29)*KFC!$C$5</f>
        <v>110.74</v>
      </c>
      <c r="H121" s="315">
        <f>(AB121*KFC!$B$29+KFC!$C$29)*KFC!$C$5</f>
        <v>118.99</v>
      </c>
      <c r="I121" s="315">
        <f>(AC121*KFC!$B$29+KFC!$C$29)*KFC!$C$5</f>
        <v>127.12</v>
      </c>
      <c r="J121" s="315">
        <f>(AD121*KFC!$B$29+KFC!$C$29)*KFC!$C$5</f>
        <v>135.25</v>
      </c>
      <c r="K121" s="315">
        <f>(AE121*KFC!$B$29+KFC!$C$29)*KFC!$C$5</f>
        <v>143.49</v>
      </c>
      <c r="L121" s="315">
        <f>(AF121*KFC!$B$29+KFC!$C$29)*KFC!$C$5</f>
        <v>151.75</v>
      </c>
      <c r="M121" s="315">
        <f>(AG121*KFC!$B$29+KFC!$C$29)*KFC!$C$5</f>
        <v>159.75</v>
      </c>
      <c r="N121" s="315">
        <f>(AH121*KFC!$B$29+KFC!$C$29)*KFC!$C$5</f>
        <v>168</v>
      </c>
      <c r="O121" s="315">
        <f>(AI121*KFC!$B$29+KFC!$C$29)*KFC!$C$5</f>
        <v>176.24</v>
      </c>
      <c r="P121" s="315">
        <f>(AJ121*KFC!$B$29+KFC!$C$29)*KFC!$C$5</f>
        <v>184.48000000000002</v>
      </c>
      <c r="Q121" s="315">
        <f>(AK121*KFC!$B$29+KFC!$C$29)*KFC!$C$5</f>
        <v>192.72000000000003</v>
      </c>
      <c r="R121" s="315">
        <f>(AL121*KFC!$B$29+KFC!$C$29)*KFC!$C$5</f>
        <v>200.96000000000004</v>
      </c>
      <c r="S121" s="315">
        <f>(AM121*KFC!$B$29+KFC!$C$29)*KFC!$C$5</f>
        <v>209.20000000000005</v>
      </c>
      <c r="T121" s="315">
        <f>(AN121*KFC!$B$29+KFC!$C$29)*KFC!$C$5</f>
        <v>217.44000000000005</v>
      </c>
      <c r="V121" s="852">
        <v>0.9</v>
      </c>
      <c r="W121" s="858">
        <v>78.11</v>
      </c>
      <c r="X121" s="858">
        <v>86.48</v>
      </c>
      <c r="Y121" s="858">
        <v>94.48</v>
      </c>
      <c r="Z121" s="858">
        <v>102.72</v>
      </c>
      <c r="AA121" s="858">
        <v>110.74</v>
      </c>
      <c r="AB121" s="858">
        <v>118.99</v>
      </c>
      <c r="AC121" s="858">
        <v>127.12</v>
      </c>
      <c r="AD121" s="858">
        <v>135.25</v>
      </c>
      <c r="AE121" s="858">
        <v>143.49</v>
      </c>
      <c r="AF121" s="858">
        <v>151.75</v>
      </c>
      <c r="AG121" s="858">
        <v>159.75</v>
      </c>
      <c r="AH121" s="858">
        <v>168</v>
      </c>
      <c r="AI121" s="858">
        <v>176.24</v>
      </c>
      <c r="AJ121" s="690">
        <f t="shared" si="20"/>
        <v>184.48000000000002</v>
      </c>
      <c r="AK121" s="690">
        <f t="shared" si="21"/>
        <v>192.72000000000003</v>
      </c>
      <c r="AL121" s="690">
        <f t="shared" si="21"/>
        <v>200.96000000000004</v>
      </c>
      <c r="AM121" s="690">
        <f t="shared" si="21"/>
        <v>209.20000000000005</v>
      </c>
      <c r="AN121" s="690">
        <f t="shared" si="21"/>
        <v>217.44000000000005</v>
      </c>
      <c r="AO121" s="690">
        <f t="shared" si="21"/>
        <v>225.68000000000006</v>
      </c>
      <c r="AP121" s="690">
        <f t="shared" si="21"/>
        <v>233.92000000000007</v>
      </c>
    </row>
    <row r="122" spans="1:42">
      <c r="A122" s="1538"/>
      <c r="B122" s="262">
        <v>1</v>
      </c>
      <c r="C122" s="314">
        <f>(W122*KFC!$B$29+KFC!$C$29)*KFC!$C$5</f>
        <v>81.99</v>
      </c>
      <c r="D122" s="315">
        <f>(X122*KFC!$B$29+KFC!$C$29)*KFC!$C$5</f>
        <v>90.35</v>
      </c>
      <c r="E122" s="315">
        <f>(Y122*KFC!$B$29+KFC!$C$29)*KFC!$C$5</f>
        <v>98.73</v>
      </c>
      <c r="F122" s="315">
        <f>(Z122*KFC!$B$29+KFC!$C$29)*KFC!$C$5</f>
        <v>107.21</v>
      </c>
      <c r="G122" s="315">
        <f>(AA122*KFC!$B$29+KFC!$C$29)*KFC!$C$5</f>
        <v>115.57</v>
      </c>
      <c r="H122" s="315">
        <f>(AB122*KFC!$B$29+KFC!$C$29)*KFC!$C$5</f>
        <v>123.93</v>
      </c>
      <c r="I122" s="315">
        <f>(AC122*KFC!$B$29+KFC!$C$29)*KFC!$C$5</f>
        <v>132.43</v>
      </c>
      <c r="J122" s="315">
        <f>(AD122*KFC!$B$29+KFC!$C$29)*KFC!$C$5</f>
        <v>140.78</v>
      </c>
      <c r="K122" s="315">
        <f>(AE122*KFC!$B$29+KFC!$C$29)*KFC!$C$5</f>
        <v>149.13999999999999</v>
      </c>
      <c r="L122" s="315">
        <f>(AF122*KFC!$B$29+KFC!$C$29)*KFC!$C$5</f>
        <v>157.51</v>
      </c>
      <c r="M122" s="315">
        <f>(AG122*KFC!$B$29+KFC!$C$29)*KFC!$C$5</f>
        <v>165.99</v>
      </c>
      <c r="N122" s="315">
        <f>(AH122*KFC!$B$29+KFC!$C$29)*KFC!$C$5</f>
        <v>174.36</v>
      </c>
      <c r="O122" s="315">
        <f>(AI122*KFC!$B$29+KFC!$C$29)*KFC!$C$5</f>
        <v>182.72</v>
      </c>
      <c r="P122" s="315">
        <f>(AJ122*KFC!$B$29+KFC!$C$29)*KFC!$C$5</f>
        <v>191.07999999999998</v>
      </c>
      <c r="Q122" s="315">
        <f>(AK122*KFC!$B$29+KFC!$C$29)*KFC!$C$5</f>
        <v>199.43999999999997</v>
      </c>
      <c r="R122" s="315">
        <f>(AL122*KFC!$B$29+KFC!$C$29)*KFC!$C$5</f>
        <v>207.79999999999995</v>
      </c>
      <c r="S122" s="315">
        <f>(AM122*KFC!$B$29+KFC!$C$29)*KFC!$C$5</f>
        <v>216.15999999999994</v>
      </c>
      <c r="T122" s="315">
        <f>(AN122*KFC!$B$29+KFC!$C$29)*KFC!$C$5</f>
        <v>224.51999999999992</v>
      </c>
      <c r="V122" s="852">
        <v>1</v>
      </c>
      <c r="W122" s="858">
        <v>81.99</v>
      </c>
      <c r="X122" s="858">
        <v>90.35</v>
      </c>
      <c r="Y122" s="858">
        <v>98.73</v>
      </c>
      <c r="Z122" s="858">
        <v>107.21</v>
      </c>
      <c r="AA122" s="858">
        <v>115.57</v>
      </c>
      <c r="AB122" s="858">
        <v>123.93</v>
      </c>
      <c r="AC122" s="858">
        <v>132.43</v>
      </c>
      <c r="AD122" s="858">
        <v>140.78</v>
      </c>
      <c r="AE122" s="858">
        <v>149.13999999999999</v>
      </c>
      <c r="AF122" s="858">
        <v>157.51</v>
      </c>
      <c r="AG122" s="858">
        <v>165.99</v>
      </c>
      <c r="AH122" s="858">
        <v>174.36</v>
      </c>
      <c r="AI122" s="858">
        <v>182.72</v>
      </c>
      <c r="AJ122" s="690">
        <f t="shared" si="20"/>
        <v>191.07999999999998</v>
      </c>
      <c r="AK122" s="690">
        <f t="shared" si="21"/>
        <v>199.43999999999997</v>
      </c>
      <c r="AL122" s="690">
        <f t="shared" si="21"/>
        <v>207.79999999999995</v>
      </c>
      <c r="AM122" s="690">
        <f t="shared" si="21"/>
        <v>216.15999999999994</v>
      </c>
      <c r="AN122" s="690">
        <f t="shared" si="21"/>
        <v>224.51999999999992</v>
      </c>
      <c r="AO122" s="690">
        <f t="shared" si="21"/>
        <v>232.87999999999991</v>
      </c>
      <c r="AP122" s="690">
        <f t="shared" si="21"/>
        <v>241.2399999999999</v>
      </c>
    </row>
    <row r="123" spans="1:42">
      <c r="A123" s="1538"/>
      <c r="B123" s="262">
        <v>1.1000000000000001</v>
      </c>
      <c r="C123" s="314">
        <f>(W123*KFC!$B$29+KFC!$C$29)*KFC!$C$5</f>
        <v>85.53</v>
      </c>
      <c r="D123" s="315">
        <f>(X123*KFC!$B$29+KFC!$C$29)*KFC!$C$5</f>
        <v>94.36</v>
      </c>
      <c r="E123" s="315">
        <f>(Y123*KFC!$B$29+KFC!$C$29)*KFC!$C$5</f>
        <v>102.86</v>
      </c>
      <c r="F123" s="315">
        <f>(Z123*KFC!$B$29+KFC!$C$29)*KFC!$C$5</f>
        <v>111.56</v>
      </c>
      <c r="G123" s="315">
        <f>(AA123*KFC!$B$29+KFC!$C$29)*KFC!$C$5</f>
        <v>120.16</v>
      </c>
      <c r="H123" s="315">
        <f>(AB123*KFC!$B$29+KFC!$C$29)*KFC!$C$5</f>
        <v>128.77000000000001</v>
      </c>
      <c r="I123" s="315">
        <f>(AC123*KFC!$B$29+KFC!$C$29)*KFC!$C$5</f>
        <v>137.47999999999999</v>
      </c>
      <c r="J123" s="315">
        <f>(AD123*KFC!$B$29+KFC!$C$29)*KFC!$C$5</f>
        <v>146.09</v>
      </c>
      <c r="K123" s="315">
        <f>(AE123*KFC!$B$29+KFC!$C$29)*KFC!$C$5</f>
        <v>155.99</v>
      </c>
      <c r="L123" s="315">
        <f>(AF123*KFC!$B$29+KFC!$C$29)*KFC!$C$5</f>
        <v>163.4</v>
      </c>
      <c r="M123" s="315">
        <f>(AG123*KFC!$B$29+KFC!$C$29)*KFC!$C$5</f>
        <v>172</v>
      </c>
      <c r="N123" s="315">
        <f>(AH123*KFC!$B$29+KFC!$C$29)*KFC!$C$5</f>
        <v>180.73</v>
      </c>
      <c r="O123" s="315">
        <f>(AI123*KFC!$B$29+KFC!$C$29)*KFC!$C$5</f>
        <v>189.44</v>
      </c>
      <c r="P123" s="315">
        <f>(AJ123*KFC!$B$29+KFC!$C$29)*KFC!$C$5</f>
        <v>198.15</v>
      </c>
      <c r="Q123" s="315">
        <f>(AK123*KFC!$B$29+KFC!$C$29)*KFC!$C$5</f>
        <v>206.86</v>
      </c>
      <c r="R123" s="315">
        <f>(AL123*KFC!$B$29+KFC!$C$29)*KFC!$C$5</f>
        <v>215.57000000000002</v>
      </c>
      <c r="S123" s="315">
        <f>(AM123*KFC!$B$29+KFC!$C$29)*KFC!$C$5</f>
        <v>224.28000000000003</v>
      </c>
      <c r="T123" s="315">
        <f>(AN123*KFC!$B$29+KFC!$C$29)*KFC!$C$5</f>
        <v>232.99000000000004</v>
      </c>
      <c r="V123" s="852">
        <v>1.1000000000000001</v>
      </c>
      <c r="W123" s="858">
        <v>85.53</v>
      </c>
      <c r="X123" s="858">
        <v>94.36</v>
      </c>
      <c r="Y123" s="858">
        <v>102.86</v>
      </c>
      <c r="Z123" s="858">
        <v>111.56</v>
      </c>
      <c r="AA123" s="858">
        <v>120.16</v>
      </c>
      <c r="AB123" s="858">
        <v>128.77000000000001</v>
      </c>
      <c r="AC123" s="858">
        <v>137.47999999999999</v>
      </c>
      <c r="AD123" s="858">
        <v>146.09</v>
      </c>
      <c r="AE123" s="858">
        <v>155.99</v>
      </c>
      <c r="AF123" s="858">
        <v>163.4</v>
      </c>
      <c r="AG123" s="858">
        <v>172</v>
      </c>
      <c r="AH123" s="858">
        <v>180.73</v>
      </c>
      <c r="AI123" s="858">
        <v>189.44</v>
      </c>
      <c r="AJ123" s="690">
        <f t="shared" si="20"/>
        <v>198.15</v>
      </c>
      <c r="AK123" s="690">
        <f t="shared" si="21"/>
        <v>206.86</v>
      </c>
      <c r="AL123" s="690">
        <f t="shared" si="21"/>
        <v>215.57000000000002</v>
      </c>
      <c r="AM123" s="690">
        <f t="shared" si="21"/>
        <v>224.28000000000003</v>
      </c>
      <c r="AN123" s="690">
        <f t="shared" si="21"/>
        <v>232.99000000000004</v>
      </c>
      <c r="AO123" s="690">
        <f t="shared" si="21"/>
        <v>241.70000000000005</v>
      </c>
      <c r="AP123" s="690">
        <f t="shared" si="21"/>
        <v>250.41000000000005</v>
      </c>
    </row>
    <row r="124" spans="1:42">
      <c r="A124" s="1538"/>
      <c r="B124" s="262">
        <v>1.2</v>
      </c>
      <c r="C124" s="314">
        <f>(W124*KFC!$B$29+KFC!$C$29)*KFC!$C$5</f>
        <v>89.18</v>
      </c>
      <c r="D124" s="315">
        <f>(X124*KFC!$B$29+KFC!$C$29)*KFC!$C$5</f>
        <v>98.14</v>
      </c>
      <c r="E124" s="315">
        <f>(Y124*KFC!$B$29+KFC!$C$29)*KFC!$C$5</f>
        <v>107.09</v>
      </c>
      <c r="F124" s="315">
        <f>(Z124*KFC!$B$29+KFC!$C$29)*KFC!$C$5</f>
        <v>116.05</v>
      </c>
      <c r="G124" s="315">
        <f>(AA124*KFC!$B$29+KFC!$C$29)*KFC!$C$5</f>
        <v>124.88</v>
      </c>
      <c r="H124" s="315">
        <f>(AB124*KFC!$B$29+KFC!$C$29)*KFC!$C$5</f>
        <v>133.72</v>
      </c>
      <c r="I124" s="315">
        <f>(AC124*KFC!$B$29+KFC!$C$29)*KFC!$C$5</f>
        <v>142.66</v>
      </c>
      <c r="J124" s="315">
        <f>(AD124*KFC!$B$29+KFC!$C$29)*KFC!$C$5</f>
        <v>151.62</v>
      </c>
      <c r="K124" s="315">
        <f>(AE124*KFC!$B$29+KFC!$C$29)*KFC!$C$5</f>
        <v>160.34</v>
      </c>
      <c r="L124" s="315">
        <f>(AF124*KFC!$B$29+KFC!$C$29)*KFC!$C$5</f>
        <v>169.29</v>
      </c>
      <c r="M124" s="315">
        <f>(AG124*KFC!$B$29+KFC!$C$29)*KFC!$C$5</f>
        <v>178.12</v>
      </c>
      <c r="N124" s="315">
        <f>(AH124*KFC!$B$29+KFC!$C$29)*KFC!$C$5</f>
        <v>186.96</v>
      </c>
      <c r="O124" s="315">
        <f>(AI124*KFC!$B$29+KFC!$C$29)*KFC!$C$5</f>
        <v>195.79</v>
      </c>
      <c r="P124" s="315">
        <f>(AJ124*KFC!$B$29+KFC!$C$29)*KFC!$C$5</f>
        <v>204.61999999999998</v>
      </c>
      <c r="Q124" s="315">
        <f>(AK124*KFC!$B$29+KFC!$C$29)*KFC!$C$5</f>
        <v>213.44999999999996</v>
      </c>
      <c r="R124" s="315">
        <f>(AL124*KFC!$B$29+KFC!$C$29)*KFC!$C$5</f>
        <v>222.27999999999994</v>
      </c>
      <c r="S124" s="315">
        <f>(AM124*KFC!$B$29+KFC!$C$29)*KFC!$C$5</f>
        <v>231.10999999999993</v>
      </c>
      <c r="T124" s="315">
        <f>(AN124*KFC!$B$29+KFC!$C$29)*KFC!$C$5</f>
        <v>239.93999999999991</v>
      </c>
      <c r="V124" s="852">
        <v>1.2</v>
      </c>
      <c r="W124" s="858">
        <v>89.18</v>
      </c>
      <c r="X124" s="858">
        <v>98.14</v>
      </c>
      <c r="Y124" s="858">
        <v>107.09</v>
      </c>
      <c r="Z124" s="858">
        <v>116.05</v>
      </c>
      <c r="AA124" s="858">
        <v>124.88</v>
      </c>
      <c r="AB124" s="858">
        <v>133.72</v>
      </c>
      <c r="AC124" s="858">
        <v>142.66</v>
      </c>
      <c r="AD124" s="858">
        <v>151.62</v>
      </c>
      <c r="AE124" s="858">
        <v>160.34</v>
      </c>
      <c r="AF124" s="858">
        <v>169.29</v>
      </c>
      <c r="AG124" s="858">
        <v>178.12</v>
      </c>
      <c r="AH124" s="858">
        <v>186.96</v>
      </c>
      <c r="AI124" s="858">
        <v>195.79</v>
      </c>
      <c r="AJ124" s="690">
        <f t="shared" si="20"/>
        <v>204.61999999999998</v>
      </c>
      <c r="AK124" s="690">
        <f t="shared" si="21"/>
        <v>213.44999999999996</v>
      </c>
      <c r="AL124" s="690">
        <f t="shared" si="21"/>
        <v>222.27999999999994</v>
      </c>
      <c r="AM124" s="690">
        <f t="shared" si="21"/>
        <v>231.10999999999993</v>
      </c>
      <c r="AN124" s="690">
        <f t="shared" si="21"/>
        <v>239.93999999999991</v>
      </c>
      <c r="AO124" s="690">
        <f t="shared" si="21"/>
        <v>248.7699999999999</v>
      </c>
      <c r="AP124" s="690">
        <f t="shared" si="21"/>
        <v>257.59999999999991</v>
      </c>
    </row>
    <row r="125" spans="1:42">
      <c r="A125" s="1538"/>
      <c r="B125" s="262">
        <v>1.3</v>
      </c>
      <c r="C125" s="314">
        <f>(W125*KFC!$B$29+KFC!$C$29)*KFC!$C$5</f>
        <v>93.07</v>
      </c>
      <c r="D125" s="315">
        <f>(X125*KFC!$B$29+KFC!$C$29)*KFC!$C$5</f>
        <v>102.02</v>
      </c>
      <c r="E125" s="315">
        <f>(Y125*KFC!$B$29+KFC!$C$29)*KFC!$C$5</f>
        <v>111.22</v>
      </c>
      <c r="F125" s="315">
        <f>(Z125*KFC!$B$29+KFC!$C$29)*KFC!$C$5</f>
        <v>120.28</v>
      </c>
      <c r="G125" s="315">
        <f>(AA125*KFC!$B$29+KFC!$C$29)*KFC!$C$5</f>
        <v>129.47999999999999</v>
      </c>
      <c r="H125" s="315">
        <f>(AB125*KFC!$B$29+KFC!$C$29)*KFC!$C$5</f>
        <v>138.79</v>
      </c>
      <c r="I125" s="315">
        <f>(AC125*KFC!$B$29+KFC!$C$29)*KFC!$C$5</f>
        <v>147.74</v>
      </c>
      <c r="J125" s="315">
        <f>(AD125*KFC!$B$29+KFC!$C$29)*KFC!$C$5</f>
        <v>156.91999999999999</v>
      </c>
      <c r="K125" s="315">
        <f>(AE125*KFC!$B$29+KFC!$C$29)*KFC!$C$5</f>
        <v>165.99</v>
      </c>
      <c r="L125" s="315">
        <f>(AF125*KFC!$B$29+KFC!$C$29)*KFC!$C$5</f>
        <v>175.18</v>
      </c>
      <c r="M125" s="315">
        <f>(AG125*KFC!$B$29+KFC!$C$29)*KFC!$C$5</f>
        <v>184.14</v>
      </c>
      <c r="N125" s="315">
        <f>(AH125*KFC!$B$29+KFC!$C$29)*KFC!$C$5</f>
        <v>193.33</v>
      </c>
      <c r="O125" s="315">
        <f>(AI125*KFC!$B$29+KFC!$C$29)*KFC!$C$5</f>
        <v>202.51</v>
      </c>
      <c r="P125" s="315">
        <f>(AJ125*KFC!$B$29+KFC!$C$29)*KFC!$C$5</f>
        <v>211.68999999999997</v>
      </c>
      <c r="Q125" s="315">
        <f>(AK125*KFC!$B$29+KFC!$C$29)*KFC!$C$5</f>
        <v>220.86999999999995</v>
      </c>
      <c r="R125" s="315">
        <f>(AL125*KFC!$B$29+KFC!$C$29)*KFC!$C$5</f>
        <v>230.04999999999993</v>
      </c>
      <c r="S125" s="315">
        <f>(AM125*KFC!$B$29+KFC!$C$29)*KFC!$C$5</f>
        <v>239.2299999999999</v>
      </c>
      <c r="T125" s="315">
        <f>(AN125*KFC!$B$29+KFC!$C$29)*KFC!$C$5</f>
        <v>248.40999999999988</v>
      </c>
      <c r="V125" s="852">
        <v>1.3</v>
      </c>
      <c r="W125" s="858">
        <v>93.07</v>
      </c>
      <c r="X125" s="858">
        <v>102.02</v>
      </c>
      <c r="Y125" s="858">
        <v>111.22</v>
      </c>
      <c r="Z125" s="858">
        <v>120.28</v>
      </c>
      <c r="AA125" s="858">
        <v>129.47999999999999</v>
      </c>
      <c r="AB125" s="858">
        <v>138.79</v>
      </c>
      <c r="AC125" s="858">
        <v>147.74</v>
      </c>
      <c r="AD125" s="858">
        <v>156.91999999999999</v>
      </c>
      <c r="AE125" s="858">
        <v>165.99</v>
      </c>
      <c r="AF125" s="858">
        <v>175.18</v>
      </c>
      <c r="AG125" s="858">
        <v>184.14</v>
      </c>
      <c r="AH125" s="858">
        <v>193.33</v>
      </c>
      <c r="AI125" s="858">
        <v>202.51</v>
      </c>
      <c r="AJ125" s="690">
        <f t="shared" si="20"/>
        <v>211.68999999999997</v>
      </c>
      <c r="AK125" s="690">
        <f t="shared" si="21"/>
        <v>220.86999999999995</v>
      </c>
      <c r="AL125" s="690">
        <f t="shared" si="21"/>
        <v>230.04999999999993</v>
      </c>
      <c r="AM125" s="690">
        <f t="shared" si="21"/>
        <v>239.2299999999999</v>
      </c>
      <c r="AN125" s="690">
        <f t="shared" si="21"/>
        <v>248.40999999999988</v>
      </c>
      <c r="AO125" s="690">
        <f t="shared" si="21"/>
        <v>257.58999999999986</v>
      </c>
      <c r="AP125" s="690">
        <f t="shared" si="21"/>
        <v>266.76999999999987</v>
      </c>
    </row>
    <row r="126" spans="1:42">
      <c r="A126" s="1538"/>
      <c r="B126" s="262">
        <v>1.4</v>
      </c>
      <c r="C126" s="314">
        <f>(W126*KFC!$B$29+KFC!$C$29)*KFC!$C$5</f>
        <v>96.72</v>
      </c>
      <c r="D126" s="315">
        <f>(X126*KFC!$B$29+KFC!$C$29)*KFC!$C$5</f>
        <v>106.03</v>
      </c>
      <c r="E126" s="315">
        <f>(Y126*KFC!$B$29+KFC!$C$29)*KFC!$C$5</f>
        <v>115.46</v>
      </c>
      <c r="F126" s="315">
        <f>(Z126*KFC!$B$29+KFC!$C$29)*KFC!$C$5</f>
        <v>124.76</v>
      </c>
      <c r="G126" s="315">
        <f>(AA126*KFC!$B$29+KFC!$C$29)*KFC!$C$5</f>
        <v>134.19</v>
      </c>
      <c r="H126" s="315">
        <f>(AB126*KFC!$B$29+KFC!$C$29)*KFC!$C$5</f>
        <v>143.49</v>
      </c>
      <c r="I126" s="315">
        <f>(AC126*KFC!$B$29+KFC!$C$29)*KFC!$C$5</f>
        <v>153.04</v>
      </c>
      <c r="J126" s="315">
        <f>(AD126*KFC!$B$29+KFC!$C$29)*KFC!$C$5</f>
        <v>162.22999999999999</v>
      </c>
      <c r="K126" s="315">
        <f>(AE126*KFC!$B$29+KFC!$C$29)*KFC!$C$5</f>
        <v>171.64</v>
      </c>
      <c r="L126" s="315">
        <f>(AF126*KFC!$B$29+KFC!$C$29)*KFC!$C$5</f>
        <v>180.96</v>
      </c>
      <c r="M126" s="315">
        <f>(AG126*KFC!$B$29+KFC!$C$29)*KFC!$C$5</f>
        <v>190.38</v>
      </c>
      <c r="N126" s="315">
        <f>(AH126*KFC!$B$29+KFC!$C$29)*KFC!$C$5</f>
        <v>199.69</v>
      </c>
      <c r="O126" s="315">
        <f>(AI126*KFC!$B$29+KFC!$C$29)*KFC!$C$5</f>
        <v>209</v>
      </c>
      <c r="P126" s="315">
        <f>(AJ126*KFC!$B$29+KFC!$C$29)*KFC!$C$5</f>
        <v>218.31</v>
      </c>
      <c r="Q126" s="315">
        <f>(AK126*KFC!$B$29+KFC!$C$29)*KFC!$C$5</f>
        <v>227.62</v>
      </c>
      <c r="R126" s="315">
        <f>(AL126*KFC!$B$29+KFC!$C$29)*KFC!$C$5</f>
        <v>236.93</v>
      </c>
      <c r="S126" s="315">
        <f>(AM126*KFC!$B$29+KFC!$C$29)*KFC!$C$5</f>
        <v>246.24</v>
      </c>
      <c r="T126" s="315">
        <f>(AN126*KFC!$B$29+KFC!$C$29)*KFC!$C$5</f>
        <v>255.55</v>
      </c>
      <c r="V126" s="852">
        <v>1.4</v>
      </c>
      <c r="W126" s="858">
        <v>96.72</v>
      </c>
      <c r="X126" s="858">
        <v>106.03</v>
      </c>
      <c r="Y126" s="858">
        <v>115.46</v>
      </c>
      <c r="Z126" s="858">
        <v>124.76</v>
      </c>
      <c r="AA126" s="858">
        <v>134.19</v>
      </c>
      <c r="AB126" s="858">
        <v>143.49</v>
      </c>
      <c r="AC126" s="858">
        <v>153.04</v>
      </c>
      <c r="AD126" s="858">
        <v>162.22999999999999</v>
      </c>
      <c r="AE126" s="858">
        <v>171.64</v>
      </c>
      <c r="AF126" s="858">
        <v>180.96</v>
      </c>
      <c r="AG126" s="858">
        <v>190.38</v>
      </c>
      <c r="AH126" s="858">
        <v>199.69</v>
      </c>
      <c r="AI126" s="858">
        <v>209</v>
      </c>
      <c r="AJ126" s="690">
        <f t="shared" si="20"/>
        <v>218.31</v>
      </c>
      <c r="AK126" s="690">
        <f t="shared" si="21"/>
        <v>227.62</v>
      </c>
      <c r="AL126" s="690">
        <f t="shared" si="21"/>
        <v>236.93</v>
      </c>
      <c r="AM126" s="690">
        <f t="shared" si="21"/>
        <v>246.24</v>
      </c>
      <c r="AN126" s="690">
        <f t="shared" si="21"/>
        <v>255.55</v>
      </c>
      <c r="AO126" s="690">
        <f t="shared" si="21"/>
        <v>264.86</v>
      </c>
      <c r="AP126" s="690">
        <f t="shared" si="21"/>
        <v>274.17</v>
      </c>
    </row>
    <row r="127" spans="1:42">
      <c r="A127" s="1538"/>
      <c r="B127" s="262">
        <v>1.5</v>
      </c>
      <c r="C127" s="314">
        <f>(W127*KFC!$B$29+KFC!$C$29)*KFC!$C$5</f>
        <v>100.25</v>
      </c>
      <c r="D127" s="315">
        <f>(X127*KFC!$B$29+KFC!$C$29)*KFC!$C$5</f>
        <v>109.92</v>
      </c>
      <c r="E127" s="315">
        <f>(Y127*KFC!$B$29+KFC!$C$29)*KFC!$C$5</f>
        <v>119.69</v>
      </c>
      <c r="F127" s="315">
        <f>(Z127*KFC!$B$29+KFC!$C$29)*KFC!$C$5</f>
        <v>129.22999999999999</v>
      </c>
      <c r="G127" s="315">
        <f>(AA127*KFC!$B$29+KFC!$C$29)*KFC!$C$5</f>
        <v>138.9</v>
      </c>
      <c r="H127" s="315">
        <f>(AB127*KFC!$B$29+KFC!$C$29)*KFC!$C$5</f>
        <v>148.44</v>
      </c>
      <c r="I127" s="315">
        <f>(AC127*KFC!$B$29+KFC!$C$29)*KFC!$C$5</f>
        <v>158.1</v>
      </c>
      <c r="J127" s="315">
        <f>(AD127*KFC!$B$29+KFC!$C$29)*KFC!$C$5</f>
        <v>167.77</v>
      </c>
      <c r="K127" s="315">
        <f>(AE127*KFC!$B$29+KFC!$C$29)*KFC!$C$5</f>
        <v>177.19</v>
      </c>
      <c r="L127" s="315">
        <f>(AF127*KFC!$B$29+KFC!$C$29)*KFC!$C$5</f>
        <v>186.85</v>
      </c>
      <c r="M127" s="315">
        <f>(AG127*KFC!$B$29+KFC!$C$29)*KFC!$C$5</f>
        <v>196.38</v>
      </c>
      <c r="N127" s="315">
        <f>(AH127*KFC!$B$29+KFC!$C$29)*KFC!$C$5</f>
        <v>206.05</v>
      </c>
      <c r="O127" s="315">
        <f>(AI127*KFC!$B$29+KFC!$C$29)*KFC!$C$5</f>
        <v>215.71</v>
      </c>
      <c r="P127" s="315">
        <f>(AJ127*KFC!$B$29+KFC!$C$29)*KFC!$C$5</f>
        <v>225.37</v>
      </c>
      <c r="Q127" s="315">
        <f>(AK127*KFC!$B$29+KFC!$C$29)*KFC!$C$5</f>
        <v>235.03</v>
      </c>
      <c r="R127" s="315">
        <f>(AL127*KFC!$B$29+KFC!$C$29)*KFC!$C$5</f>
        <v>244.69</v>
      </c>
      <c r="S127" s="315">
        <f>(AM127*KFC!$B$29+KFC!$C$29)*KFC!$C$5</f>
        <v>254.35</v>
      </c>
      <c r="T127" s="315">
        <f>(AN127*KFC!$B$29+KFC!$C$29)*KFC!$C$5</f>
        <v>264.01</v>
      </c>
      <c r="V127" s="852">
        <v>1.5</v>
      </c>
      <c r="W127" s="858">
        <v>100.25</v>
      </c>
      <c r="X127" s="858">
        <v>109.92</v>
      </c>
      <c r="Y127" s="858">
        <v>119.69</v>
      </c>
      <c r="Z127" s="858">
        <v>129.22999999999999</v>
      </c>
      <c r="AA127" s="858">
        <v>138.9</v>
      </c>
      <c r="AB127" s="858">
        <v>148.44</v>
      </c>
      <c r="AC127" s="858">
        <v>158.1</v>
      </c>
      <c r="AD127" s="858">
        <v>167.77</v>
      </c>
      <c r="AE127" s="858">
        <v>177.19</v>
      </c>
      <c r="AF127" s="858">
        <v>186.85</v>
      </c>
      <c r="AG127" s="858">
        <v>196.38</v>
      </c>
      <c r="AH127" s="858">
        <v>206.05</v>
      </c>
      <c r="AI127" s="858">
        <v>215.71</v>
      </c>
      <c r="AJ127" s="690">
        <f t="shared" si="20"/>
        <v>225.37</v>
      </c>
      <c r="AK127" s="690">
        <f t="shared" si="21"/>
        <v>235.03</v>
      </c>
      <c r="AL127" s="690">
        <f t="shared" si="21"/>
        <v>244.69</v>
      </c>
      <c r="AM127" s="690">
        <f t="shared" si="21"/>
        <v>254.35</v>
      </c>
      <c r="AN127" s="690">
        <f t="shared" si="21"/>
        <v>264.01</v>
      </c>
      <c r="AO127" s="690">
        <f t="shared" si="21"/>
        <v>273.66999999999996</v>
      </c>
      <c r="AP127" s="690">
        <f t="shared" si="21"/>
        <v>283.32999999999993</v>
      </c>
    </row>
    <row r="128" spans="1:42">
      <c r="A128" s="1538"/>
      <c r="B128" s="262">
        <v>1.6</v>
      </c>
      <c r="C128" s="314">
        <f>(W128*KFC!$B$29+KFC!$C$29)*KFC!$C$5</f>
        <v>104.15</v>
      </c>
      <c r="D128" s="315">
        <f>(X128*KFC!$B$29+KFC!$C$29)*KFC!$C$5</f>
        <v>113.91</v>
      </c>
      <c r="E128" s="315">
        <f>(Y128*KFC!$B$29+KFC!$C$29)*KFC!$C$5</f>
        <v>123.82</v>
      </c>
      <c r="F128" s="315">
        <f>(Z128*KFC!$B$29+KFC!$C$29)*KFC!$C$5</f>
        <v>133.6</v>
      </c>
      <c r="G128" s="315">
        <f>(AA128*KFC!$B$29+KFC!$C$29)*KFC!$C$5</f>
        <v>143.49</v>
      </c>
      <c r="H128" s="315">
        <f>(AB128*KFC!$B$29+KFC!$C$29)*KFC!$C$5</f>
        <v>153.27000000000001</v>
      </c>
      <c r="I128" s="315">
        <f>(AC128*KFC!$B$29+KFC!$C$29)*KFC!$C$5</f>
        <v>163.05000000000001</v>
      </c>
      <c r="J128" s="315">
        <f>(AD128*KFC!$B$29+KFC!$C$29)*KFC!$C$5</f>
        <v>173.06</v>
      </c>
      <c r="K128" s="315">
        <f>(AE128*KFC!$B$29+KFC!$C$29)*KFC!$C$5</f>
        <v>182.84</v>
      </c>
      <c r="L128" s="315">
        <f>(AF128*KFC!$B$29+KFC!$C$29)*KFC!$C$5</f>
        <v>192.74</v>
      </c>
      <c r="M128" s="315">
        <f>(AG128*KFC!$B$29+KFC!$C$29)*KFC!$C$5</f>
        <v>202.63</v>
      </c>
      <c r="N128" s="315">
        <f>(AH128*KFC!$B$29+KFC!$C$29)*KFC!$C$5</f>
        <v>212.42</v>
      </c>
      <c r="O128" s="315">
        <f>(AI128*KFC!$B$29+KFC!$C$29)*KFC!$C$5</f>
        <v>222.19</v>
      </c>
      <c r="P128" s="315">
        <f>(AJ128*KFC!$B$29+KFC!$C$29)*KFC!$C$5</f>
        <v>231.96</v>
      </c>
      <c r="Q128" s="315">
        <f>(AK128*KFC!$B$29+KFC!$C$29)*KFC!$C$5</f>
        <v>241.73000000000002</v>
      </c>
      <c r="R128" s="315">
        <f>(AL128*KFC!$B$29+KFC!$C$29)*KFC!$C$5</f>
        <v>251.50000000000003</v>
      </c>
      <c r="S128" s="315">
        <f>(AM128*KFC!$B$29+KFC!$C$29)*KFC!$C$5</f>
        <v>261.27000000000004</v>
      </c>
      <c r="T128" s="315">
        <f>(AN128*KFC!$B$29+KFC!$C$29)*KFC!$C$5</f>
        <v>271.04000000000008</v>
      </c>
      <c r="V128" s="852">
        <v>1.6</v>
      </c>
      <c r="W128" s="858">
        <v>104.15</v>
      </c>
      <c r="X128" s="858">
        <v>113.91</v>
      </c>
      <c r="Y128" s="858">
        <v>123.82</v>
      </c>
      <c r="Z128" s="858">
        <v>133.6</v>
      </c>
      <c r="AA128" s="858">
        <v>143.49</v>
      </c>
      <c r="AB128" s="858">
        <v>153.27000000000001</v>
      </c>
      <c r="AC128" s="858">
        <v>163.05000000000001</v>
      </c>
      <c r="AD128" s="858">
        <v>173.06</v>
      </c>
      <c r="AE128" s="858">
        <v>182.84</v>
      </c>
      <c r="AF128" s="858">
        <v>192.74</v>
      </c>
      <c r="AG128" s="858">
        <v>202.63</v>
      </c>
      <c r="AH128" s="858">
        <v>212.42</v>
      </c>
      <c r="AI128" s="858">
        <v>222.19</v>
      </c>
      <c r="AJ128" s="690">
        <f t="shared" si="20"/>
        <v>231.96</v>
      </c>
      <c r="AK128" s="690">
        <f t="shared" si="21"/>
        <v>241.73000000000002</v>
      </c>
      <c r="AL128" s="690">
        <f t="shared" si="21"/>
        <v>251.50000000000003</v>
      </c>
      <c r="AM128" s="690">
        <f t="shared" si="21"/>
        <v>261.27000000000004</v>
      </c>
      <c r="AN128" s="690">
        <f t="shared" si="21"/>
        <v>271.04000000000008</v>
      </c>
      <c r="AO128" s="690">
        <f t="shared" si="21"/>
        <v>280.81000000000012</v>
      </c>
      <c r="AP128" s="690">
        <f t="shared" si="21"/>
        <v>290.58000000000015</v>
      </c>
    </row>
    <row r="129" spans="1:42">
      <c r="A129" s="1538"/>
      <c r="B129" s="262">
        <v>1.7</v>
      </c>
      <c r="C129" s="314">
        <f>(W129*KFC!$B$29+KFC!$C$29)*KFC!$C$5</f>
        <v>107.79</v>
      </c>
      <c r="D129" s="315">
        <f>(X129*KFC!$B$29+KFC!$C$29)*KFC!$C$5</f>
        <v>117.81</v>
      </c>
      <c r="E129" s="315">
        <f>(Y129*KFC!$B$29+KFC!$C$29)*KFC!$C$5</f>
        <v>127.94</v>
      </c>
      <c r="F129" s="315">
        <f>(Z129*KFC!$B$29+KFC!$C$29)*KFC!$C$5</f>
        <v>138.06</v>
      </c>
      <c r="G129" s="315">
        <f>(AA129*KFC!$B$29+KFC!$C$29)*KFC!$C$5</f>
        <v>148.21</v>
      </c>
      <c r="H129" s="315">
        <f>(AB129*KFC!$B$29+KFC!$C$29)*KFC!$C$5</f>
        <v>158.22</v>
      </c>
      <c r="I129" s="315">
        <f>(AC129*KFC!$B$29+KFC!$C$29)*KFC!$C$5</f>
        <v>168.24</v>
      </c>
      <c r="J129" s="315">
        <f>(AD129*KFC!$B$29+KFC!$C$29)*KFC!$C$5</f>
        <v>178.36</v>
      </c>
      <c r="K129" s="315">
        <f>(AE129*KFC!$B$29+KFC!$C$29)*KFC!$C$5</f>
        <v>188.5</v>
      </c>
      <c r="L129" s="315">
        <f>(AF129*KFC!$B$29+KFC!$C$29)*KFC!$C$5</f>
        <v>198.51</v>
      </c>
      <c r="M129" s="315">
        <f>(AG129*KFC!$B$29+KFC!$C$29)*KFC!$C$5</f>
        <v>208.64</v>
      </c>
      <c r="N129" s="315">
        <f>(AH129*KFC!$B$29+KFC!$C$29)*KFC!$C$5</f>
        <v>218.77</v>
      </c>
      <c r="O129" s="315">
        <f>(AI129*KFC!$B$29+KFC!$C$29)*KFC!$C$5</f>
        <v>228.91</v>
      </c>
      <c r="P129" s="315">
        <f>(AJ129*KFC!$B$29+KFC!$C$29)*KFC!$C$5</f>
        <v>239.04999999999998</v>
      </c>
      <c r="Q129" s="315">
        <f>(AK129*KFC!$B$29+KFC!$C$29)*KFC!$C$5</f>
        <v>249.18999999999997</v>
      </c>
      <c r="R129" s="315">
        <f>(AL129*KFC!$B$29+KFC!$C$29)*KFC!$C$5</f>
        <v>259.32999999999993</v>
      </c>
      <c r="S129" s="315">
        <f>(AM129*KFC!$B$29+KFC!$C$29)*KFC!$C$5</f>
        <v>269.46999999999991</v>
      </c>
      <c r="T129" s="315">
        <f>(AN129*KFC!$B$29+KFC!$C$29)*KFC!$C$5</f>
        <v>279.6099999999999</v>
      </c>
      <c r="V129" s="852">
        <v>1.7</v>
      </c>
      <c r="W129" s="858">
        <v>107.79</v>
      </c>
      <c r="X129" s="858">
        <v>117.81</v>
      </c>
      <c r="Y129" s="858">
        <v>127.94</v>
      </c>
      <c r="Z129" s="858">
        <v>138.06</v>
      </c>
      <c r="AA129" s="858">
        <v>148.21</v>
      </c>
      <c r="AB129" s="858">
        <v>158.22</v>
      </c>
      <c r="AC129" s="858">
        <v>168.24</v>
      </c>
      <c r="AD129" s="858">
        <v>178.36</v>
      </c>
      <c r="AE129" s="858">
        <v>188.5</v>
      </c>
      <c r="AF129" s="858">
        <v>198.51</v>
      </c>
      <c r="AG129" s="858">
        <v>208.64</v>
      </c>
      <c r="AH129" s="858">
        <v>218.77</v>
      </c>
      <c r="AI129" s="858">
        <v>228.91</v>
      </c>
      <c r="AJ129" s="690">
        <f t="shared" si="20"/>
        <v>239.04999999999998</v>
      </c>
      <c r="AK129" s="690">
        <f t="shared" si="21"/>
        <v>249.18999999999997</v>
      </c>
      <c r="AL129" s="690">
        <f t="shared" si="21"/>
        <v>259.32999999999993</v>
      </c>
      <c r="AM129" s="690">
        <f t="shared" si="21"/>
        <v>269.46999999999991</v>
      </c>
      <c r="AN129" s="690">
        <f t="shared" si="21"/>
        <v>279.6099999999999</v>
      </c>
      <c r="AO129" s="690">
        <f t="shared" si="21"/>
        <v>289.74999999999989</v>
      </c>
      <c r="AP129" s="690">
        <f t="shared" si="21"/>
        <v>299.88999999999987</v>
      </c>
    </row>
    <row r="130" spans="1:42">
      <c r="A130" s="1538"/>
      <c r="B130" s="262">
        <v>1.8</v>
      </c>
      <c r="C130" s="314">
        <f>(W130*KFC!$B$29+KFC!$C$29)*KFC!$C$5</f>
        <v>111.33</v>
      </c>
      <c r="D130" s="315">
        <f>(X130*KFC!$B$29+KFC!$C$29)*KFC!$C$5</f>
        <v>121.71</v>
      </c>
      <c r="E130" s="315">
        <f>(Y130*KFC!$B$29+KFC!$C$29)*KFC!$C$5</f>
        <v>132.06</v>
      </c>
      <c r="F130" s="315">
        <f>(Z130*KFC!$B$29+KFC!$C$29)*KFC!$C$5</f>
        <v>142.55000000000001</v>
      </c>
      <c r="G130" s="315">
        <f>(AA130*KFC!$B$29+KFC!$C$29)*KFC!$C$5</f>
        <v>152.68</v>
      </c>
      <c r="H130" s="315">
        <f>(AB130*KFC!$B$29+KFC!$C$29)*KFC!$C$5</f>
        <v>163.05000000000001</v>
      </c>
      <c r="I130" s="315">
        <f>(AC130*KFC!$B$29+KFC!$C$29)*KFC!$C$5</f>
        <v>173.29</v>
      </c>
      <c r="J130" s="315">
        <f>(AD130*KFC!$B$29+KFC!$C$29)*KFC!$C$5</f>
        <v>183.67</v>
      </c>
      <c r="K130" s="315">
        <f>(AE130*KFC!$B$29+KFC!$C$29)*KFC!$C$5</f>
        <v>194.27</v>
      </c>
      <c r="L130" s="315">
        <f>(AF130*KFC!$B$29+KFC!$C$29)*KFC!$C$5</f>
        <v>204.4</v>
      </c>
      <c r="M130" s="315">
        <f>(AG130*KFC!$B$29+KFC!$C$29)*KFC!$C$5</f>
        <v>214.78</v>
      </c>
      <c r="N130" s="315">
        <f>(AH130*KFC!$B$29+KFC!$C$29)*KFC!$C$5</f>
        <v>225.02</v>
      </c>
      <c r="O130" s="315">
        <f>(AI130*KFC!$B$29+KFC!$C$29)*KFC!$C$5</f>
        <v>235.26</v>
      </c>
      <c r="P130" s="315">
        <f>(AJ130*KFC!$B$29+KFC!$C$29)*KFC!$C$5</f>
        <v>245.49999999999997</v>
      </c>
      <c r="Q130" s="315">
        <f>(AK130*KFC!$B$29+KFC!$C$29)*KFC!$C$5</f>
        <v>255.73999999999995</v>
      </c>
      <c r="R130" s="315">
        <f>(AL130*KFC!$B$29+KFC!$C$29)*KFC!$C$5</f>
        <v>265.9799999999999</v>
      </c>
      <c r="S130" s="315">
        <f>(AM130*KFC!$B$29+KFC!$C$29)*KFC!$C$5</f>
        <v>276.21999999999986</v>
      </c>
      <c r="T130" s="315">
        <f>(AN130*KFC!$B$29+KFC!$C$29)*KFC!$C$5</f>
        <v>286.45999999999981</v>
      </c>
      <c r="V130" s="852">
        <v>1.8</v>
      </c>
      <c r="W130" s="858">
        <v>111.33</v>
      </c>
      <c r="X130" s="858">
        <v>121.71</v>
      </c>
      <c r="Y130" s="858">
        <v>132.06</v>
      </c>
      <c r="Z130" s="858">
        <v>142.55000000000001</v>
      </c>
      <c r="AA130" s="858">
        <v>152.68</v>
      </c>
      <c r="AB130" s="858">
        <v>163.05000000000001</v>
      </c>
      <c r="AC130" s="858">
        <v>173.29</v>
      </c>
      <c r="AD130" s="858">
        <v>183.67</v>
      </c>
      <c r="AE130" s="858">
        <v>194.27</v>
      </c>
      <c r="AF130" s="858">
        <v>204.4</v>
      </c>
      <c r="AG130" s="858">
        <v>214.78</v>
      </c>
      <c r="AH130" s="858">
        <v>225.02</v>
      </c>
      <c r="AI130" s="858">
        <v>235.26</v>
      </c>
      <c r="AJ130" s="690">
        <f t="shared" si="20"/>
        <v>245.49999999999997</v>
      </c>
      <c r="AK130" s="690">
        <f t="shared" si="21"/>
        <v>255.73999999999995</v>
      </c>
      <c r="AL130" s="690">
        <f t="shared" si="21"/>
        <v>265.9799999999999</v>
      </c>
      <c r="AM130" s="690">
        <f t="shared" si="21"/>
        <v>276.21999999999986</v>
      </c>
      <c r="AN130" s="690">
        <f t="shared" si="21"/>
        <v>286.45999999999981</v>
      </c>
      <c r="AO130" s="690">
        <f t="shared" si="21"/>
        <v>296.69999999999976</v>
      </c>
      <c r="AP130" s="690">
        <f t="shared" si="21"/>
        <v>306.93999999999971</v>
      </c>
    </row>
    <row r="131" spans="1:42">
      <c r="A131" s="1538"/>
      <c r="B131" s="262">
        <v>1.9</v>
      </c>
      <c r="C131" s="314">
        <f>(W131*KFC!$B$29+KFC!$C$29)*KFC!$C$5</f>
        <v>115.23</v>
      </c>
      <c r="D131" s="315">
        <f>(X131*KFC!$B$29+KFC!$C$29)*KFC!$C$5</f>
        <v>125.58</v>
      </c>
      <c r="E131" s="315">
        <f>(Y131*KFC!$B$29+KFC!$C$29)*KFC!$C$5</f>
        <v>136.30000000000001</v>
      </c>
      <c r="F131" s="315">
        <f>(Z131*KFC!$B$29+KFC!$C$29)*KFC!$C$5</f>
        <v>146.91</v>
      </c>
      <c r="G131" s="315">
        <f>(AA131*KFC!$B$29+KFC!$C$29)*KFC!$C$5</f>
        <v>157.4</v>
      </c>
      <c r="H131" s="315">
        <f>(AB131*KFC!$B$29+KFC!$C$29)*KFC!$C$5</f>
        <v>168</v>
      </c>
      <c r="I131" s="315">
        <f>(AC131*KFC!$B$29+KFC!$C$29)*KFC!$C$5</f>
        <v>178.71</v>
      </c>
      <c r="J131" s="315">
        <f>(AD131*KFC!$B$29+KFC!$C$29)*KFC!$C$5</f>
        <v>189.08</v>
      </c>
      <c r="K131" s="315">
        <f>(AE131*KFC!$B$29+KFC!$C$29)*KFC!$C$5</f>
        <v>199.69</v>
      </c>
      <c r="L131" s="315">
        <f>(AF131*KFC!$B$29+KFC!$C$29)*KFC!$C$5</f>
        <v>210.41</v>
      </c>
      <c r="M131" s="315">
        <f>(AG131*KFC!$B$29+KFC!$C$29)*KFC!$C$5</f>
        <v>220.78</v>
      </c>
      <c r="N131" s="315">
        <f>(AH131*KFC!$B$29+KFC!$C$29)*KFC!$C$5</f>
        <v>231.38</v>
      </c>
      <c r="O131" s="315">
        <f>(AI131*KFC!$B$29+KFC!$C$29)*KFC!$C$5</f>
        <v>241.98</v>
      </c>
      <c r="P131" s="315">
        <f>(AJ131*KFC!$B$29+KFC!$C$29)*KFC!$C$5</f>
        <v>252.57999999999998</v>
      </c>
      <c r="Q131" s="315">
        <f>(AK131*KFC!$B$29+KFC!$C$29)*KFC!$C$5</f>
        <v>263.17999999999995</v>
      </c>
      <c r="R131" s="315">
        <f>(AL131*KFC!$B$29+KFC!$C$29)*KFC!$C$5</f>
        <v>273.77999999999992</v>
      </c>
      <c r="S131" s="315">
        <f>(AM131*KFC!$B$29+KFC!$C$29)*KFC!$C$5</f>
        <v>284.37999999999988</v>
      </c>
      <c r="T131" s="315">
        <f>(AN131*KFC!$B$29+KFC!$C$29)*KFC!$C$5</f>
        <v>294.97999999999985</v>
      </c>
      <c r="V131" s="852">
        <v>1.9</v>
      </c>
      <c r="W131" s="858">
        <v>115.23</v>
      </c>
      <c r="X131" s="858">
        <v>125.58</v>
      </c>
      <c r="Y131" s="858">
        <v>136.30000000000001</v>
      </c>
      <c r="Z131" s="858">
        <v>146.91</v>
      </c>
      <c r="AA131" s="858">
        <v>157.4</v>
      </c>
      <c r="AB131" s="858">
        <v>168</v>
      </c>
      <c r="AC131" s="858">
        <v>178.71</v>
      </c>
      <c r="AD131" s="858">
        <v>189.08</v>
      </c>
      <c r="AE131" s="858">
        <v>199.69</v>
      </c>
      <c r="AF131" s="858">
        <v>210.41</v>
      </c>
      <c r="AG131" s="858">
        <v>220.78</v>
      </c>
      <c r="AH131" s="858">
        <v>231.38</v>
      </c>
      <c r="AI131" s="858">
        <v>241.98</v>
      </c>
      <c r="AJ131" s="690">
        <f t="shared" si="20"/>
        <v>252.57999999999998</v>
      </c>
      <c r="AK131" s="690">
        <f t="shared" si="21"/>
        <v>263.17999999999995</v>
      </c>
      <c r="AL131" s="690">
        <f t="shared" si="21"/>
        <v>273.77999999999992</v>
      </c>
      <c r="AM131" s="690">
        <f t="shared" si="21"/>
        <v>284.37999999999988</v>
      </c>
      <c r="AN131" s="690">
        <f t="shared" si="21"/>
        <v>294.97999999999985</v>
      </c>
      <c r="AO131" s="690">
        <f t="shared" si="21"/>
        <v>305.57999999999981</v>
      </c>
      <c r="AP131" s="690">
        <f t="shared" si="21"/>
        <v>316.17999999999978</v>
      </c>
    </row>
    <row r="132" spans="1:42">
      <c r="A132" s="1538"/>
      <c r="B132" s="262">
        <v>2</v>
      </c>
      <c r="C132" s="314">
        <f>(W132*KFC!$B$29+KFC!$C$29)*KFC!$C$5</f>
        <v>118.87</v>
      </c>
      <c r="D132" s="315">
        <f>(X132*KFC!$B$29+KFC!$C$29)*KFC!$C$5</f>
        <v>129.71</v>
      </c>
      <c r="E132" s="315">
        <f>(Y132*KFC!$B$29+KFC!$C$29)*KFC!$C$5</f>
        <v>140.43</v>
      </c>
      <c r="F132" s="315">
        <f>(Z132*KFC!$B$29+KFC!$C$29)*KFC!$C$5</f>
        <v>151.38999999999999</v>
      </c>
      <c r="G132" s="315">
        <f>(AA132*KFC!$B$29+KFC!$C$29)*KFC!$C$5</f>
        <v>162.11000000000001</v>
      </c>
      <c r="H132" s="315">
        <f>(AB132*KFC!$B$29+KFC!$C$29)*KFC!$C$5</f>
        <v>172.95</v>
      </c>
      <c r="I132" s="315">
        <f>(AC132*KFC!$B$29+KFC!$C$29)*KFC!$C$5</f>
        <v>183.67</v>
      </c>
      <c r="J132" s="315">
        <f>(AD132*KFC!$B$29+KFC!$C$29)*KFC!$C$5</f>
        <v>194.5</v>
      </c>
      <c r="K132" s="315">
        <f>(AE132*KFC!$B$29+KFC!$C$29)*KFC!$C$5</f>
        <v>205.35</v>
      </c>
      <c r="L132" s="315">
        <f>(AF132*KFC!$B$29+KFC!$C$29)*KFC!$C$5</f>
        <v>216.18</v>
      </c>
      <c r="M132" s="315">
        <f>(AG132*KFC!$B$29+KFC!$C$29)*KFC!$C$5</f>
        <v>226.91</v>
      </c>
      <c r="N132" s="315">
        <f>(AH132*KFC!$B$29+KFC!$C$29)*KFC!$C$5</f>
        <v>237.74</v>
      </c>
      <c r="O132" s="315">
        <f>(AI132*KFC!$B$29+KFC!$C$29)*KFC!$C$5</f>
        <v>248.58</v>
      </c>
      <c r="P132" s="315">
        <f>(AJ132*KFC!$B$29+KFC!$C$29)*KFC!$C$5</f>
        <v>259.42</v>
      </c>
      <c r="Q132" s="315">
        <f>(AK132*KFC!$B$29+KFC!$C$29)*KFC!$C$5</f>
        <v>270.26</v>
      </c>
      <c r="R132" s="315">
        <f>(AL132*KFC!$B$29+KFC!$C$29)*KFC!$C$5</f>
        <v>281.09999999999997</v>
      </c>
      <c r="S132" s="315">
        <f>(AM132*KFC!$B$29+KFC!$C$29)*KFC!$C$5</f>
        <v>291.93999999999994</v>
      </c>
      <c r="T132" s="315">
        <f>(AN132*KFC!$B$29+KFC!$C$29)*KFC!$C$5</f>
        <v>302.77999999999992</v>
      </c>
      <c r="V132" s="852">
        <v>2</v>
      </c>
      <c r="W132" s="858">
        <v>118.87</v>
      </c>
      <c r="X132" s="858">
        <v>129.71</v>
      </c>
      <c r="Y132" s="858">
        <v>140.43</v>
      </c>
      <c r="Z132" s="858">
        <v>151.38999999999999</v>
      </c>
      <c r="AA132" s="858">
        <v>162.11000000000001</v>
      </c>
      <c r="AB132" s="858">
        <v>172.95</v>
      </c>
      <c r="AC132" s="858">
        <v>183.67</v>
      </c>
      <c r="AD132" s="858">
        <v>194.5</v>
      </c>
      <c r="AE132" s="858">
        <v>205.35</v>
      </c>
      <c r="AF132" s="858">
        <v>216.18</v>
      </c>
      <c r="AG132" s="858">
        <v>226.91</v>
      </c>
      <c r="AH132" s="858">
        <v>237.74</v>
      </c>
      <c r="AI132" s="858">
        <v>248.58</v>
      </c>
      <c r="AJ132" s="690">
        <f t="shared" si="20"/>
        <v>259.42</v>
      </c>
      <c r="AK132" s="690">
        <f t="shared" si="21"/>
        <v>270.26</v>
      </c>
      <c r="AL132" s="690">
        <f t="shared" si="21"/>
        <v>281.09999999999997</v>
      </c>
      <c r="AM132" s="690">
        <f t="shared" si="21"/>
        <v>291.93999999999994</v>
      </c>
      <c r="AN132" s="690">
        <f t="shared" si="21"/>
        <v>302.77999999999992</v>
      </c>
      <c r="AO132" s="690">
        <f t="shared" si="21"/>
        <v>313.61999999999989</v>
      </c>
      <c r="AP132" s="690">
        <f t="shared" si="21"/>
        <v>324.45999999999987</v>
      </c>
    </row>
    <row r="133" spans="1:42">
      <c r="A133" s="1538"/>
      <c r="B133" s="262">
        <v>2.1</v>
      </c>
      <c r="C133" s="314">
        <f>(W133*KFC!$B$29+KFC!$C$29)*KFC!$C$5</f>
        <v>122.52</v>
      </c>
      <c r="D133" s="315">
        <f>(X133*KFC!$B$29+KFC!$C$29)*KFC!$C$5</f>
        <v>133.83000000000001</v>
      </c>
      <c r="E133" s="315">
        <f>(Y133*KFC!$B$29+KFC!$C$29)*KFC!$C$5</f>
        <v>144.55000000000001</v>
      </c>
      <c r="F133" s="315">
        <f>(Z133*KFC!$B$29+KFC!$C$29)*KFC!$C$5</f>
        <v>155.87</v>
      </c>
      <c r="G133" s="315">
        <f>(AA133*KFC!$B$29+KFC!$C$29)*KFC!$C$5</f>
        <v>166.81</v>
      </c>
      <c r="H133" s="315">
        <f>(AB133*KFC!$B$29+KFC!$C$29)*KFC!$C$5</f>
        <v>177.89</v>
      </c>
      <c r="I133" s="315">
        <f>(AC133*KFC!$B$29+KFC!$C$29)*KFC!$C$5</f>
        <v>188.61</v>
      </c>
      <c r="J133" s="315">
        <f>(AD133*KFC!$B$29+KFC!$C$29)*KFC!$C$5</f>
        <v>199.92</v>
      </c>
      <c r="K133" s="315">
        <f>(AE133*KFC!$B$29+KFC!$C$29)*KFC!$C$5</f>
        <v>211</v>
      </c>
      <c r="L133" s="315">
        <f>(AF133*KFC!$B$29+KFC!$C$29)*KFC!$C$5</f>
        <v>221.96</v>
      </c>
      <c r="M133" s="315">
        <f>(AG133*KFC!$B$29+KFC!$C$29)*KFC!$C$5</f>
        <v>233.04</v>
      </c>
      <c r="N133" s="315">
        <f>(AH133*KFC!$B$29+KFC!$C$29)*KFC!$C$5</f>
        <v>244.09</v>
      </c>
      <c r="O133" s="315">
        <f>(AI133*KFC!$B$29+KFC!$C$29)*KFC!$C$5</f>
        <v>255.17</v>
      </c>
      <c r="P133" s="315">
        <f>(AJ133*KFC!$B$29+KFC!$C$29)*KFC!$C$5</f>
        <v>266.25</v>
      </c>
      <c r="Q133" s="315">
        <f>(AK133*KFC!$B$29+KFC!$C$29)*KFC!$C$5</f>
        <v>277.33000000000004</v>
      </c>
      <c r="R133" s="315">
        <f>(AL133*KFC!$B$29+KFC!$C$29)*KFC!$C$5</f>
        <v>288.41000000000008</v>
      </c>
      <c r="S133" s="315">
        <f>(AM133*KFC!$B$29+KFC!$C$29)*KFC!$C$5</f>
        <v>299.49000000000012</v>
      </c>
      <c r="T133" s="315">
        <f>(AN133*KFC!$B$29+KFC!$C$29)*KFC!$C$5</f>
        <v>310.57000000000016</v>
      </c>
      <c r="V133" s="852">
        <v>2.1</v>
      </c>
      <c r="W133" s="858">
        <v>122.52</v>
      </c>
      <c r="X133" s="858">
        <v>133.83000000000001</v>
      </c>
      <c r="Y133" s="858">
        <v>144.55000000000001</v>
      </c>
      <c r="Z133" s="858">
        <v>155.87</v>
      </c>
      <c r="AA133" s="858">
        <v>166.81</v>
      </c>
      <c r="AB133" s="858">
        <v>177.89</v>
      </c>
      <c r="AC133" s="858">
        <v>188.61</v>
      </c>
      <c r="AD133" s="858">
        <v>199.92</v>
      </c>
      <c r="AE133" s="858">
        <v>211</v>
      </c>
      <c r="AF133" s="858">
        <v>221.96</v>
      </c>
      <c r="AG133" s="858">
        <v>233.04</v>
      </c>
      <c r="AH133" s="858">
        <v>244.09</v>
      </c>
      <c r="AI133" s="858">
        <v>255.17</v>
      </c>
      <c r="AJ133" s="690">
        <f t="shared" si="20"/>
        <v>266.25</v>
      </c>
      <c r="AK133" s="690">
        <f t="shared" ref="AK133:AP134" si="22">AJ133-AI133+AJ133</f>
        <v>277.33000000000004</v>
      </c>
      <c r="AL133" s="690">
        <f t="shared" si="22"/>
        <v>288.41000000000008</v>
      </c>
      <c r="AM133" s="690">
        <f t="shared" si="22"/>
        <v>299.49000000000012</v>
      </c>
      <c r="AN133" s="690">
        <f t="shared" si="22"/>
        <v>310.57000000000016</v>
      </c>
      <c r="AO133" s="690">
        <f t="shared" si="22"/>
        <v>321.6500000000002</v>
      </c>
      <c r="AP133" s="690">
        <f t="shared" si="22"/>
        <v>332.73000000000025</v>
      </c>
    </row>
    <row r="134" spans="1:42" ht="13.8" thickBot="1">
      <c r="A134" s="1539"/>
      <c r="B134" s="263">
        <v>2.2000000000000002</v>
      </c>
      <c r="C134" s="317">
        <f>(W134*KFC!$B$29+KFC!$C$29)*KFC!$C$5</f>
        <v>126.17</v>
      </c>
      <c r="D134" s="318">
        <f>(X134*KFC!$B$29+KFC!$C$29)*KFC!$C$5</f>
        <v>137.94999999999999</v>
      </c>
      <c r="E134" s="318">
        <f>(Y134*KFC!$B$29+KFC!$C$29)*KFC!$C$5</f>
        <v>148.66999999999999</v>
      </c>
      <c r="F134" s="318">
        <f>(Z134*KFC!$B$29+KFC!$C$29)*KFC!$C$5</f>
        <v>160.34</v>
      </c>
      <c r="G134" s="318">
        <f>(AA134*KFC!$B$29+KFC!$C$29)*KFC!$C$5</f>
        <v>171.53</v>
      </c>
      <c r="H134" s="318">
        <f>(AB134*KFC!$B$29+KFC!$C$29)*KFC!$C$5</f>
        <v>182.84</v>
      </c>
      <c r="I134" s="318">
        <f>(AC134*KFC!$B$29+KFC!$C$29)*KFC!$C$5</f>
        <v>193.57</v>
      </c>
      <c r="J134" s="318">
        <f>(AD134*KFC!$B$29+KFC!$C$29)*KFC!$C$5</f>
        <v>205.35</v>
      </c>
      <c r="K134" s="318">
        <f>(AE134*KFC!$B$29+KFC!$C$29)*KFC!$C$5</f>
        <v>216.66</v>
      </c>
      <c r="L134" s="318">
        <f>(AF134*KFC!$B$29+KFC!$C$29)*KFC!$C$5</f>
        <v>227.73</v>
      </c>
      <c r="M134" s="318">
        <f>(AG134*KFC!$B$29+KFC!$C$29)*KFC!$C$5</f>
        <v>239.16</v>
      </c>
      <c r="N134" s="318">
        <f>(AH134*KFC!$B$29+KFC!$C$29)*KFC!$C$5</f>
        <v>250.47</v>
      </c>
      <c r="O134" s="318">
        <f>(AI134*KFC!$B$29+KFC!$C$29)*KFC!$C$5</f>
        <v>261.77</v>
      </c>
      <c r="P134" s="318">
        <f>(AJ134*KFC!$B$29+KFC!$C$29)*KFC!$C$5</f>
        <v>273.06999999999994</v>
      </c>
      <c r="Q134" s="318">
        <f>(AK134*KFC!$B$29+KFC!$C$29)*KFC!$C$5</f>
        <v>284.36999999999989</v>
      </c>
      <c r="R134" s="318">
        <f>(AL134*KFC!$B$29+KFC!$C$29)*KFC!$C$5</f>
        <v>295.66999999999985</v>
      </c>
      <c r="S134" s="318">
        <f>(AM134*KFC!$B$29+KFC!$C$29)*KFC!$C$5</f>
        <v>306.9699999999998</v>
      </c>
      <c r="T134" s="318">
        <f>(AN134*KFC!$B$29+KFC!$C$29)*KFC!$C$5</f>
        <v>318.26999999999975</v>
      </c>
      <c r="V134" s="852">
        <v>2.2000000000000002</v>
      </c>
      <c r="W134" s="858">
        <v>126.17</v>
      </c>
      <c r="X134" s="858">
        <v>137.94999999999999</v>
      </c>
      <c r="Y134" s="858">
        <v>148.66999999999999</v>
      </c>
      <c r="Z134" s="858">
        <v>160.34</v>
      </c>
      <c r="AA134" s="858">
        <v>171.53</v>
      </c>
      <c r="AB134" s="858">
        <v>182.84</v>
      </c>
      <c r="AC134" s="858">
        <v>193.57</v>
      </c>
      <c r="AD134" s="858">
        <v>205.35</v>
      </c>
      <c r="AE134" s="858">
        <v>216.66</v>
      </c>
      <c r="AF134" s="858">
        <v>227.73</v>
      </c>
      <c r="AG134" s="858">
        <v>239.16</v>
      </c>
      <c r="AH134" s="858">
        <v>250.47</v>
      </c>
      <c r="AI134" s="858">
        <v>261.77</v>
      </c>
      <c r="AJ134" s="690">
        <f t="shared" si="20"/>
        <v>273.06999999999994</v>
      </c>
      <c r="AK134" s="690">
        <f t="shared" si="22"/>
        <v>284.36999999999989</v>
      </c>
      <c r="AL134" s="690">
        <f t="shared" si="22"/>
        <v>295.66999999999985</v>
      </c>
      <c r="AM134" s="690">
        <f t="shared" si="22"/>
        <v>306.9699999999998</v>
      </c>
      <c r="AN134" s="690">
        <f t="shared" si="22"/>
        <v>318.26999999999975</v>
      </c>
      <c r="AO134" s="690">
        <f t="shared" si="22"/>
        <v>329.56999999999971</v>
      </c>
      <c r="AP134" s="690">
        <f t="shared" si="22"/>
        <v>340.86999999999966</v>
      </c>
    </row>
    <row r="135" spans="1:42">
      <c r="A135" s="1809" t="s">
        <v>1165</v>
      </c>
      <c r="B135" s="1809"/>
      <c r="C135" s="1809"/>
      <c r="D135" s="1809"/>
      <c r="E135" s="1809"/>
      <c r="F135" s="1809"/>
      <c r="G135" s="1809"/>
      <c r="H135" s="1809"/>
      <c r="I135" s="1809"/>
      <c r="J135" s="831">
        <v>0.15</v>
      </c>
      <c r="K135" s="832"/>
      <c r="L135" s="438"/>
      <c r="M135" s="438"/>
      <c r="N135" s="438"/>
      <c r="O135" s="438"/>
      <c r="P135" s="438"/>
      <c r="Q135" s="438"/>
      <c r="R135" s="438"/>
      <c r="S135" s="438"/>
      <c r="T135" s="438"/>
      <c r="V135" s="859"/>
      <c r="W135" s="860"/>
      <c r="X135" s="860"/>
      <c r="Y135" s="860"/>
      <c r="Z135" s="860"/>
      <c r="AA135" s="860"/>
      <c r="AB135" s="860"/>
      <c r="AC135" s="860"/>
      <c r="AD135" s="860"/>
      <c r="AE135" s="860"/>
      <c r="AF135" s="860"/>
      <c r="AG135" s="860"/>
      <c r="AH135" s="860"/>
      <c r="AI135" s="860"/>
      <c r="AJ135" s="861"/>
      <c r="AK135" s="861"/>
      <c r="AL135" s="861"/>
      <c r="AM135" s="861"/>
      <c r="AN135" s="861"/>
      <c r="AO135" s="861"/>
      <c r="AP135" s="861"/>
    </row>
    <row r="136" spans="1:42">
      <c r="A136" s="842" t="s">
        <v>1169</v>
      </c>
      <c r="B136" s="842"/>
      <c r="C136" s="842"/>
      <c r="D136" s="842"/>
      <c r="E136" s="842"/>
      <c r="F136" s="842"/>
      <c r="G136" s="842"/>
      <c r="H136" s="842"/>
      <c r="I136" s="842"/>
      <c r="J136" s="831"/>
      <c r="K136" s="832"/>
      <c r="L136" s="438"/>
      <c r="M136" s="438"/>
      <c r="N136" s="438"/>
      <c r="O136" s="438"/>
      <c r="P136" s="438"/>
      <c r="Q136" s="438"/>
      <c r="R136" s="438"/>
      <c r="S136" s="438"/>
      <c r="T136" s="438"/>
      <c r="V136" s="859"/>
      <c r="W136" s="860"/>
      <c r="X136" s="860"/>
      <c r="Y136" s="860"/>
      <c r="Z136" s="860"/>
      <c r="AA136" s="860"/>
      <c r="AB136" s="860"/>
      <c r="AC136" s="860"/>
      <c r="AD136" s="860"/>
      <c r="AE136" s="860"/>
      <c r="AF136" s="860"/>
      <c r="AG136" s="860"/>
      <c r="AH136" s="860"/>
      <c r="AI136" s="860"/>
      <c r="AJ136" s="861"/>
      <c r="AK136" s="861"/>
      <c r="AL136" s="861"/>
      <c r="AM136" s="861"/>
      <c r="AN136" s="861"/>
      <c r="AO136" s="861"/>
      <c r="AP136" s="861"/>
    </row>
    <row r="137" spans="1:42">
      <c r="A137" s="842" t="s">
        <v>1177</v>
      </c>
      <c r="B137" s="842"/>
      <c r="C137" s="842"/>
      <c r="D137" s="842"/>
      <c r="E137" s="842"/>
      <c r="F137" s="842"/>
      <c r="G137" s="842"/>
      <c r="H137" s="842"/>
      <c r="I137" s="842"/>
      <c r="J137" s="831"/>
      <c r="K137" s="832"/>
      <c r="L137" s="438"/>
      <c r="M137" s="438"/>
      <c r="N137" s="438"/>
      <c r="O137" s="438"/>
      <c r="P137" s="438"/>
      <c r="Q137" s="438"/>
      <c r="R137" s="438"/>
      <c r="S137" s="438"/>
      <c r="T137" s="438"/>
      <c r="V137" s="859"/>
      <c r="W137" s="860"/>
      <c r="X137" s="860"/>
      <c r="Y137" s="860"/>
      <c r="Z137" s="860"/>
      <c r="AA137" s="860"/>
      <c r="AB137" s="860"/>
      <c r="AC137" s="860"/>
      <c r="AD137" s="860"/>
      <c r="AE137" s="860"/>
      <c r="AF137" s="860"/>
      <c r="AG137" s="860"/>
      <c r="AH137" s="860"/>
      <c r="AI137" s="860"/>
      <c r="AJ137" s="861"/>
      <c r="AK137" s="861"/>
      <c r="AL137" s="861"/>
      <c r="AM137" s="861"/>
      <c r="AN137" s="861"/>
      <c r="AO137" s="861"/>
      <c r="AP137" s="861"/>
    </row>
    <row r="138" spans="1:42">
      <c r="A138" s="842" t="s">
        <v>1176</v>
      </c>
      <c r="B138" s="842"/>
      <c r="C138" s="842"/>
      <c r="D138" s="842"/>
      <c r="E138" s="842"/>
      <c r="F138" s="842"/>
      <c r="G138" s="842"/>
      <c r="H138" s="842"/>
      <c r="I138" s="842"/>
      <c r="J138" s="831"/>
      <c r="K138" s="832"/>
      <c r="L138" s="438"/>
      <c r="M138" s="438"/>
      <c r="N138" s="438"/>
      <c r="O138" s="438"/>
      <c r="P138" s="438"/>
      <c r="Q138" s="438"/>
      <c r="R138" s="438"/>
      <c r="S138" s="438"/>
      <c r="T138" s="438"/>
      <c r="V138" s="859"/>
      <c r="W138" s="860"/>
      <c r="X138" s="860"/>
      <c r="Y138" s="860"/>
      <c r="Z138" s="860"/>
      <c r="AA138" s="860"/>
      <c r="AB138" s="860"/>
      <c r="AC138" s="860"/>
      <c r="AD138" s="860"/>
      <c r="AE138" s="860"/>
      <c r="AF138" s="860"/>
      <c r="AG138" s="860"/>
      <c r="AH138" s="860"/>
      <c r="AI138" s="860"/>
      <c r="AJ138" s="861"/>
      <c r="AK138" s="861"/>
      <c r="AL138" s="861"/>
      <c r="AM138" s="861"/>
      <c r="AN138" s="861"/>
      <c r="AO138" s="861"/>
      <c r="AP138" s="861"/>
    </row>
    <row r="139" spans="1:42" ht="13.8" thickBot="1">
      <c r="A139" s="868" t="s">
        <v>303</v>
      </c>
      <c r="B139" s="355"/>
      <c r="C139" s="355"/>
      <c r="D139" s="355"/>
      <c r="E139" s="355"/>
      <c r="F139" s="355"/>
      <c r="G139" s="355"/>
      <c r="H139" s="355"/>
      <c r="I139" s="355"/>
      <c r="J139" s="355"/>
      <c r="K139" s="355"/>
      <c r="L139" s="355"/>
      <c r="M139" s="184"/>
      <c r="N139" s="184"/>
      <c r="O139" s="1"/>
      <c r="P139" s="1"/>
      <c r="Q139" s="1"/>
      <c r="R139" s="1"/>
      <c r="S139" s="1"/>
      <c r="T139" s="1"/>
    </row>
    <row r="140" spans="1:42">
      <c r="A140" s="1533" t="s">
        <v>210</v>
      </c>
      <c r="B140" s="1533"/>
      <c r="C140" s="1533"/>
      <c r="D140" s="1533"/>
      <c r="E140" s="1533"/>
      <c r="F140" s="1533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</row>
    <row r="141" spans="1:42">
      <c r="A141" s="5" t="s">
        <v>199</v>
      </c>
      <c r="B141" s="5"/>
      <c r="C141" s="5"/>
      <c r="D141" s="71"/>
      <c r="E141" s="71"/>
      <c r="F141" s="22"/>
      <c r="G141" s="22"/>
      <c r="H141" s="22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</row>
    <row r="142" spans="1:42">
      <c r="A142" s="5" t="s">
        <v>204</v>
      </c>
      <c r="B142" s="71"/>
      <c r="C142" s="71"/>
      <c r="D142" s="71"/>
      <c r="E142" s="71"/>
      <c r="F142" s="22"/>
      <c r="G142" s="22"/>
      <c r="H142" s="22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</row>
    <row r="143" spans="1:42">
      <c r="A143" s="3"/>
      <c r="B143" s="3"/>
      <c r="C143" s="3"/>
      <c r="D143" s="3"/>
      <c r="E143" s="3"/>
      <c r="F143" s="1"/>
      <c r="G143" s="1"/>
      <c r="H143" s="22"/>
      <c r="I143" s="1"/>
      <c r="J143" s="1"/>
      <c r="K143" s="1"/>
      <c r="L143" s="1"/>
      <c r="M143" s="1"/>
      <c r="N143" s="67"/>
      <c r="O143" s="1"/>
      <c r="P143" s="1"/>
      <c r="Q143" s="1"/>
      <c r="R143" s="1"/>
      <c r="S143" s="1"/>
      <c r="T143" s="1"/>
    </row>
    <row r="144" spans="1:42">
      <c r="A144" s="3"/>
      <c r="B144" s="3"/>
      <c r="C144" s="3"/>
      <c r="D144" s="3"/>
      <c r="E144" s="3"/>
      <c r="F144" s="1"/>
      <c r="G144" s="1"/>
      <c r="H144" s="22"/>
      <c r="I144" s="1"/>
      <c r="J144" s="1"/>
      <c r="K144" s="1"/>
      <c r="L144" s="1"/>
      <c r="M144" s="1"/>
      <c r="N144" s="67"/>
      <c r="O144" s="1"/>
      <c r="P144" s="1"/>
      <c r="Q144" s="1"/>
      <c r="R144" s="1"/>
      <c r="S144" s="1"/>
      <c r="T144" s="1"/>
    </row>
    <row r="145" spans="1:20">
      <c r="A145" s="3"/>
      <c r="B145" s="3"/>
      <c r="C145" s="3"/>
      <c r="D145" s="3"/>
      <c r="E145" s="3"/>
      <c r="F145" s="1"/>
      <c r="G145" s="1"/>
      <c r="H145" s="22"/>
      <c r="I145" s="1"/>
      <c r="J145" s="1"/>
      <c r="K145" s="1"/>
      <c r="L145" s="1"/>
      <c r="M145" s="1"/>
      <c r="N145" s="67"/>
      <c r="O145" s="1"/>
      <c r="P145" s="1"/>
      <c r="Q145" s="1"/>
      <c r="R145" s="1"/>
      <c r="S145" s="1"/>
      <c r="T145" s="1"/>
    </row>
    <row r="146" spans="1:20">
      <c r="A146" s="3"/>
      <c r="B146" s="3"/>
      <c r="C146" s="3"/>
      <c r="D146" s="3"/>
      <c r="E146" s="3"/>
      <c r="F146" s="1"/>
      <c r="G146" s="1"/>
      <c r="H146" s="22"/>
      <c r="I146" s="1"/>
      <c r="J146" s="1"/>
      <c r="K146" s="1"/>
      <c r="L146" s="1"/>
      <c r="M146" s="1"/>
      <c r="N146" s="67"/>
      <c r="O146" s="1"/>
      <c r="P146" s="1"/>
      <c r="Q146" s="1"/>
      <c r="R146" s="1"/>
      <c r="S146" s="1"/>
      <c r="T146" s="1"/>
    </row>
    <row r="147" spans="1:20">
      <c r="A147" s="3"/>
      <c r="B147" s="3"/>
      <c r="C147" s="3"/>
      <c r="D147" s="3"/>
      <c r="E147" s="3"/>
      <c r="F147" s="1"/>
      <c r="G147" s="1"/>
      <c r="H147" s="22"/>
      <c r="I147" s="1"/>
      <c r="J147" s="1"/>
      <c r="K147" s="1"/>
      <c r="L147" s="1"/>
      <c r="M147" s="1"/>
      <c r="N147" s="67"/>
      <c r="O147" s="1"/>
      <c r="P147" s="1"/>
      <c r="Q147" s="1"/>
      <c r="R147" s="1"/>
      <c r="S147" s="1"/>
      <c r="T147" s="1"/>
    </row>
    <row r="148" spans="1:20" ht="18" customHeight="1">
      <c r="A148" s="1800" t="s">
        <v>1170</v>
      </c>
      <c r="B148" s="1800"/>
      <c r="C148" s="1800"/>
      <c r="D148" s="1800"/>
      <c r="E148" s="1800"/>
      <c r="F148" s="1800"/>
      <c r="G148" s="1800"/>
      <c r="H148" s="1800"/>
      <c r="I148" s="1800"/>
      <c r="J148" s="1800"/>
      <c r="K148" s="1800"/>
      <c r="L148" s="1800"/>
      <c r="M148" s="1800"/>
      <c r="N148" s="1800"/>
      <c r="O148" s="1800"/>
      <c r="P148" s="1800"/>
      <c r="Q148" s="1800"/>
      <c r="R148" s="1800"/>
      <c r="S148" s="1800"/>
      <c r="T148" s="1800"/>
    </row>
    <row r="149" spans="1:20" ht="16.2" thickBot="1">
      <c r="A149" s="1004" t="s">
        <v>1171</v>
      </c>
      <c r="B149" s="1004"/>
      <c r="C149" s="1004"/>
      <c r="D149" s="1004"/>
      <c r="E149" s="1004"/>
      <c r="F149" s="1004"/>
      <c r="G149" s="1004"/>
      <c r="H149" s="1004"/>
      <c r="I149" s="1004"/>
      <c r="J149" s="1004"/>
      <c r="K149" s="1004"/>
      <c r="L149" s="1004"/>
      <c r="M149" s="1004"/>
      <c r="N149" s="1004"/>
      <c r="O149" s="1004"/>
      <c r="P149" s="1004"/>
      <c r="Q149" s="1004"/>
      <c r="R149" s="1004"/>
      <c r="S149" s="1004"/>
      <c r="T149" s="1004"/>
    </row>
    <row r="150" spans="1:20" ht="42" customHeight="1" thickBot="1">
      <c r="A150" s="837"/>
      <c r="B150" s="837"/>
      <c r="C150" s="837"/>
      <c r="D150" s="837"/>
      <c r="E150" s="837"/>
      <c r="F150" s="1528" t="s">
        <v>88</v>
      </c>
      <c r="G150" s="1101"/>
      <c r="H150" s="1101"/>
      <c r="I150" s="1114" t="s">
        <v>87</v>
      </c>
      <c r="J150" s="1006"/>
      <c r="K150" s="1006"/>
      <c r="L150" s="1006"/>
      <c r="M150" s="1006"/>
      <c r="N150" s="1006"/>
      <c r="O150" s="1006"/>
      <c r="P150" s="1006"/>
      <c r="Q150" s="1115"/>
      <c r="R150" s="1641" t="s">
        <v>24</v>
      </c>
      <c r="S150" s="1642"/>
      <c r="T150" s="837"/>
    </row>
    <row r="151" spans="1:20" s="1" customFormat="1" ht="34.950000000000003" customHeight="1" thickBot="1">
      <c r="F151" s="1833" t="s">
        <v>884</v>
      </c>
      <c r="G151" s="1834"/>
      <c r="H151" s="1834"/>
      <c r="I151" s="1814" t="s">
        <v>885</v>
      </c>
      <c r="J151" s="1814"/>
      <c r="K151" s="1814"/>
      <c r="L151" s="1814"/>
      <c r="M151" s="1814"/>
      <c r="N151" s="1814"/>
      <c r="O151" s="1814"/>
      <c r="P151" s="1814"/>
      <c r="Q151" s="1814"/>
      <c r="R151" s="1840">
        <f>(107.59*KFC!$B$41+KFC!$C$41)*KFC!$C$5</f>
        <v>107.59</v>
      </c>
      <c r="S151" s="1838"/>
    </row>
    <row r="152" spans="1:20" s="1" customFormat="1" ht="31.2" customHeight="1" thickBot="1">
      <c r="A152" s="1065" t="s">
        <v>1172</v>
      </c>
      <c r="B152" s="1065"/>
      <c r="C152" s="1065"/>
      <c r="D152" s="1065"/>
      <c r="E152" s="1065"/>
      <c r="F152" s="1065"/>
      <c r="G152" s="1065"/>
      <c r="H152" s="1065"/>
      <c r="I152" s="1065"/>
      <c r="J152" s="1065"/>
      <c r="K152" s="1065"/>
      <c r="L152" s="1065"/>
      <c r="M152" s="1065"/>
      <c r="N152" s="1065"/>
      <c r="O152" s="1065"/>
      <c r="P152" s="1065"/>
      <c r="Q152" s="1065"/>
      <c r="R152" s="1065"/>
      <c r="S152" s="1065"/>
      <c r="T152" s="1065"/>
    </row>
    <row r="153" spans="1:20" s="1" customFormat="1" ht="31.2" customHeight="1" thickBot="1">
      <c r="A153" s="838"/>
      <c r="B153" s="838"/>
      <c r="C153" s="838"/>
      <c r="D153" s="838"/>
      <c r="E153" s="838"/>
      <c r="F153" s="1797" t="s">
        <v>88</v>
      </c>
      <c r="G153" s="1798"/>
      <c r="H153" s="1798"/>
      <c r="I153" s="1051" t="s">
        <v>87</v>
      </c>
      <c r="J153" s="1052"/>
      <c r="K153" s="1052"/>
      <c r="L153" s="1052"/>
      <c r="M153" s="1052"/>
      <c r="N153" s="1052"/>
      <c r="O153" s="1052"/>
      <c r="P153" s="1052"/>
      <c r="Q153" s="1053"/>
      <c r="R153" s="1049" t="s">
        <v>24</v>
      </c>
      <c r="S153" s="1050"/>
      <c r="T153" s="838"/>
    </row>
    <row r="154" spans="1:20" s="1" customFormat="1" ht="13.95" customHeight="1">
      <c r="F154" s="1653" t="s">
        <v>884</v>
      </c>
      <c r="G154" s="1654"/>
      <c r="H154" s="1654"/>
      <c r="I154" s="1804" t="s">
        <v>886</v>
      </c>
      <c r="J154" s="1804"/>
      <c r="K154" s="1804"/>
      <c r="L154" s="1804"/>
      <c r="M154" s="1804"/>
      <c r="N154" s="1804"/>
      <c r="O154" s="1804"/>
      <c r="P154" s="1804"/>
      <c r="Q154" s="1804"/>
      <c r="R154" s="1805">
        <f>(31.65*KFC!$B$41+KFC!$C$41)*KFC!$C$5</f>
        <v>31.65</v>
      </c>
      <c r="S154" s="1806"/>
    </row>
    <row r="155" spans="1:20" s="1" customFormat="1" ht="27.6" customHeight="1">
      <c r="F155" s="1035" t="s">
        <v>884</v>
      </c>
      <c r="G155" s="1218"/>
      <c r="H155" s="1218"/>
      <c r="I155" s="1650" t="s">
        <v>887</v>
      </c>
      <c r="J155" s="1650"/>
      <c r="K155" s="1650"/>
      <c r="L155" s="1650"/>
      <c r="M155" s="1650"/>
      <c r="N155" s="1650"/>
      <c r="O155" s="1650"/>
      <c r="P155" s="1650"/>
      <c r="Q155" s="1650"/>
      <c r="R155" s="1794">
        <f>(37.97*KFC!$B$41+KFC!$C$41)*KFC!$C$5</f>
        <v>37.97</v>
      </c>
      <c r="S155" s="1795"/>
    </row>
    <row r="156" spans="1:20" s="1" customFormat="1" ht="27.6" customHeight="1">
      <c r="F156" s="1035" t="s">
        <v>884</v>
      </c>
      <c r="G156" s="1218"/>
      <c r="H156" s="1218"/>
      <c r="I156" s="1650" t="s">
        <v>888</v>
      </c>
      <c r="J156" s="1650"/>
      <c r="K156" s="1650"/>
      <c r="L156" s="1650"/>
      <c r="M156" s="1650"/>
      <c r="N156" s="1650"/>
      <c r="O156" s="1650"/>
      <c r="P156" s="1650"/>
      <c r="Q156" s="1650"/>
      <c r="R156" s="1794">
        <f>(44.3*KFC!$B$41+KFC!$C$41)*KFC!$C$5</f>
        <v>44.3</v>
      </c>
      <c r="S156" s="1795"/>
    </row>
    <row r="157" spans="1:20" s="1" customFormat="1" ht="27.6" customHeight="1">
      <c r="F157" s="1035" t="s">
        <v>884</v>
      </c>
      <c r="G157" s="1218"/>
      <c r="H157" s="1218"/>
      <c r="I157" s="1650" t="s">
        <v>889</v>
      </c>
      <c r="J157" s="1650"/>
      <c r="K157" s="1650"/>
      <c r="L157" s="1650"/>
      <c r="M157" s="1650"/>
      <c r="N157" s="1650"/>
      <c r="O157" s="1650"/>
      <c r="P157" s="1650"/>
      <c r="Q157" s="1650"/>
      <c r="R157" s="1293">
        <f>(18.35*KFC!$B$41+KFC!$C$41)*KFC!$C$5</f>
        <v>18.350000000000001</v>
      </c>
      <c r="S157" s="1294"/>
    </row>
    <row r="158" spans="1:20" s="1" customFormat="1" ht="31.2" customHeight="1">
      <c r="F158" s="1035" t="s">
        <v>884</v>
      </c>
      <c r="G158" s="1218"/>
      <c r="H158" s="1218"/>
      <c r="I158" s="1650" t="s">
        <v>1006</v>
      </c>
      <c r="J158" s="1650"/>
      <c r="K158" s="1650"/>
      <c r="L158" s="1650"/>
      <c r="M158" s="1650"/>
      <c r="N158" s="1650"/>
      <c r="O158" s="1650"/>
      <c r="P158" s="1650"/>
      <c r="Q158" s="1650"/>
      <c r="R158" s="1293">
        <f>(75.95*KFC!$B$41+KFC!$C$41)*KFC!$C$5</f>
        <v>75.95</v>
      </c>
      <c r="S158" s="1294"/>
    </row>
    <row r="159" spans="1:20" s="1" customFormat="1" ht="28.95" customHeight="1" thickBot="1">
      <c r="F159" s="1036" t="s">
        <v>884</v>
      </c>
      <c r="G159" s="1564"/>
      <c r="H159" s="1564"/>
      <c r="I159" s="1556" t="s">
        <v>1054</v>
      </c>
      <c r="J159" s="1556"/>
      <c r="K159" s="1556"/>
      <c r="L159" s="1556"/>
      <c r="M159" s="1556"/>
      <c r="N159" s="1556"/>
      <c r="O159" s="1556"/>
      <c r="P159" s="1556"/>
      <c r="Q159" s="1556"/>
      <c r="R159" s="1295">
        <f>(76*KFC!$B$41+KFC!$C$41)*KFC!$C$5</f>
        <v>76</v>
      </c>
      <c r="S159" s="1296"/>
    </row>
  </sheetData>
  <mergeCells count="57">
    <mergeCell ref="A3:T3"/>
    <mergeCell ref="A7:T7"/>
    <mergeCell ref="A135:I135"/>
    <mergeCell ref="A148:T148"/>
    <mergeCell ref="C31:T31"/>
    <mergeCell ref="C52:T52"/>
    <mergeCell ref="C73:T73"/>
    <mergeCell ref="A4:T6"/>
    <mergeCell ref="A10:B11"/>
    <mergeCell ref="A12:A29"/>
    <mergeCell ref="A52:B53"/>
    <mergeCell ref="A73:B74"/>
    <mergeCell ref="A31:B32"/>
    <mergeCell ref="A33:A50"/>
    <mergeCell ref="A54:A71"/>
    <mergeCell ref="A75:A92"/>
    <mergeCell ref="F153:H153"/>
    <mergeCell ref="F155:H155"/>
    <mergeCell ref="F154:H154"/>
    <mergeCell ref="R158:S158"/>
    <mergeCell ref="I154:Q154"/>
    <mergeCell ref="I155:Q155"/>
    <mergeCell ref="I156:Q156"/>
    <mergeCell ref="I158:Q158"/>
    <mergeCell ref="I157:Q157"/>
    <mergeCell ref="R153:S153"/>
    <mergeCell ref="R154:S154"/>
    <mergeCell ref="R155:S155"/>
    <mergeCell ref="R156:S156"/>
    <mergeCell ref="R157:S157"/>
    <mergeCell ref="A94:B95"/>
    <mergeCell ref="C94:T94"/>
    <mergeCell ref="C115:T115"/>
    <mergeCell ref="A96:A113"/>
    <mergeCell ref="A117:A134"/>
    <mergeCell ref="A115:B116"/>
    <mergeCell ref="A152:T152"/>
    <mergeCell ref="F159:H159"/>
    <mergeCell ref="I159:Q159"/>
    <mergeCell ref="A140:F140"/>
    <mergeCell ref="I153:Q153"/>
    <mergeCell ref="R151:S151"/>
    <mergeCell ref="A149:T149"/>
    <mergeCell ref="I150:Q150"/>
    <mergeCell ref="R150:S150"/>
    <mergeCell ref="F150:H150"/>
    <mergeCell ref="I151:Q151"/>
    <mergeCell ref="F151:H151"/>
    <mergeCell ref="R159:S159"/>
    <mergeCell ref="F156:H156"/>
    <mergeCell ref="F157:H157"/>
    <mergeCell ref="F158:H158"/>
    <mergeCell ref="A8:D8"/>
    <mergeCell ref="E8:N8"/>
    <mergeCell ref="A9:D9"/>
    <mergeCell ref="E9:N9"/>
    <mergeCell ref="C10:T10"/>
  </mergeCells>
  <hyperlinks>
    <hyperlink ref="A140" location="'Макс. возможные размеры изделий'!R1C1" display=" - Максимально допустимые размеры изделия можно посмотреть в ТАБЛИЦЕ" xr:uid="{EF44DDB4-C503-42FA-9025-994F6C79989D}"/>
    <hyperlink ref="E9" r:id="rId1" xr:uid="{52630F18-B176-4264-B72B-783D08E3066D}"/>
    <hyperlink ref="E8" r:id="rId2" xr:uid="{9732A8CD-8F56-4009-A7B8-72594285BDE8}"/>
  </hyperlinks>
  <pageMargins left="0.7" right="0.7" top="0.75" bottom="0.75" header="0.3" footer="0.3"/>
  <pageSetup paperSize="9" scale="45" orientation="portrait" r:id="rId3"/>
  <rowBreaks count="2" manualBreakCount="2">
    <brk id="51" max="16383" man="1"/>
    <brk id="92" min="1" max="4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F32B39-0457-42DF-A633-69CAE116F016}">
  <sheetPr>
    <tabColor rgb="FF7030A0"/>
  </sheetPr>
  <dimension ref="A1:P249"/>
  <sheetViews>
    <sheetView view="pageBreakPreview" topLeftCell="A3" zoomScaleNormal="100" zoomScaleSheetLayoutView="100" workbookViewId="0">
      <selection activeCell="F17" sqref="F17"/>
    </sheetView>
  </sheetViews>
  <sheetFormatPr defaultRowHeight="13.2"/>
  <cols>
    <col min="1" max="1" width="7.44140625" customWidth="1"/>
    <col min="2" max="2" width="10.6640625" customWidth="1"/>
  </cols>
  <sheetData>
    <row r="1" spans="1:16" ht="18">
      <c r="A1" s="1"/>
      <c r="B1" s="1"/>
      <c r="C1" s="1"/>
      <c r="D1" s="121"/>
      <c r="E1" s="121"/>
      <c r="F1" s="121"/>
      <c r="G1" s="214"/>
      <c r="H1" s="102"/>
      <c r="I1" s="102"/>
      <c r="J1" s="102"/>
      <c r="K1" s="102"/>
      <c r="L1" s="67"/>
    </row>
    <row r="2" spans="1:16" ht="18">
      <c r="A2" s="1848" t="s">
        <v>317</v>
      </c>
      <c r="B2" s="1848"/>
      <c r="C2" s="1848"/>
      <c r="D2" s="1848"/>
      <c r="E2" s="1848"/>
      <c r="F2" s="1848"/>
      <c r="G2" s="1848"/>
      <c r="H2" s="1848"/>
      <c r="I2" s="1848"/>
      <c r="J2" s="1848"/>
      <c r="K2" s="1848"/>
      <c r="L2" s="1848"/>
    </row>
    <row r="3" spans="1:16">
      <c r="A3" s="1849" t="s">
        <v>321</v>
      </c>
      <c r="B3" s="1849"/>
      <c r="C3" s="1849"/>
      <c r="D3" s="1849"/>
      <c r="E3" s="1849"/>
      <c r="F3" s="1849"/>
      <c r="G3" s="1849"/>
      <c r="H3" s="1849"/>
      <c r="I3" s="1849"/>
      <c r="J3" s="1849"/>
      <c r="K3" s="1849"/>
      <c r="L3" s="1849"/>
    </row>
    <row r="4" spans="1:16" ht="16.5" customHeight="1">
      <c r="A4" s="1847" t="s">
        <v>324</v>
      </c>
      <c r="B4" s="1847"/>
      <c r="C4" s="1847"/>
      <c r="D4" s="1847"/>
      <c r="E4" s="1847"/>
      <c r="F4" s="1847"/>
      <c r="G4" s="1847"/>
      <c r="H4" s="1847"/>
      <c r="I4" s="1847"/>
      <c r="J4" s="1847"/>
      <c r="K4" s="1847"/>
      <c r="L4" s="1847"/>
    </row>
    <row r="5" spans="1:16" ht="31.5" customHeight="1">
      <c r="A5" s="1089" t="s">
        <v>593</v>
      </c>
      <c r="B5" s="1089"/>
      <c r="C5" s="1089"/>
      <c r="D5" s="1406" t="s">
        <v>622</v>
      </c>
      <c r="E5" s="1406"/>
      <c r="F5" s="1406"/>
      <c r="G5" s="1406"/>
      <c r="H5" s="1406"/>
      <c r="I5" s="1406"/>
      <c r="J5" s="1406"/>
      <c r="K5" s="1406"/>
      <c r="L5" s="1406"/>
      <c r="M5" s="440"/>
      <c r="N5" s="440"/>
      <c r="O5" s="440"/>
      <c r="P5" s="440"/>
    </row>
    <row r="6" spans="1:16" ht="19.5" customHeight="1" thickBot="1">
      <c r="A6" s="1089" t="s">
        <v>611</v>
      </c>
      <c r="B6" s="1089"/>
      <c r="C6" s="1089"/>
      <c r="D6" s="1406" t="s">
        <v>613</v>
      </c>
      <c r="E6" s="1406"/>
      <c r="F6" s="1406"/>
      <c r="G6" s="1406"/>
      <c r="H6" s="1406"/>
      <c r="I6" s="1406"/>
      <c r="J6" s="1406"/>
      <c r="K6" s="1406"/>
      <c r="L6" s="1406"/>
      <c r="M6" s="440"/>
      <c r="N6" s="440"/>
      <c r="O6" s="440"/>
      <c r="P6" s="440"/>
    </row>
    <row r="7" spans="1:16" ht="16.5" customHeight="1" thickBot="1">
      <c r="A7" s="1413" t="s">
        <v>462</v>
      </c>
      <c r="B7" s="1415"/>
      <c r="C7" s="1534" t="s">
        <v>207</v>
      </c>
      <c r="D7" s="1535"/>
      <c r="E7" s="1535"/>
      <c r="F7" s="1535"/>
      <c r="G7" s="1535"/>
      <c r="H7" s="1536"/>
      <c r="I7" s="701"/>
      <c r="J7" s="701"/>
      <c r="K7" s="700"/>
      <c r="L7" s="700"/>
    </row>
    <row r="8" spans="1:16" ht="16.5" customHeight="1" thickBot="1">
      <c r="A8" s="1803"/>
      <c r="B8" s="1802"/>
      <c r="C8" s="730">
        <v>0.38300000000000001</v>
      </c>
      <c r="D8" s="119">
        <v>0.6</v>
      </c>
      <c r="E8" s="119">
        <v>0.7</v>
      </c>
      <c r="F8" s="119">
        <v>0.8</v>
      </c>
      <c r="G8" s="119">
        <v>0.9</v>
      </c>
      <c r="H8" s="120">
        <v>1</v>
      </c>
      <c r="I8" s="701"/>
      <c r="J8" s="701"/>
      <c r="K8" s="701"/>
      <c r="L8" s="701"/>
    </row>
    <row r="9" spans="1:16" ht="16.5" customHeight="1">
      <c r="A9" s="1850" t="s">
        <v>46</v>
      </c>
      <c r="B9" s="226">
        <v>0.5</v>
      </c>
      <c r="C9" s="205">
        <f t="shared" ref="C9:H9" si="0">C24-C24*6/100</f>
        <v>61.923139199999987</v>
      </c>
      <c r="D9" s="206">
        <f t="shared" si="0"/>
        <v>69.86200319999999</v>
      </c>
      <c r="E9" s="206">
        <f t="shared" si="0"/>
        <v>76.848203519999998</v>
      </c>
      <c r="F9" s="206">
        <f t="shared" si="0"/>
        <v>83.834403839999965</v>
      </c>
      <c r="G9" s="206">
        <f t="shared" si="0"/>
        <v>90.820604159999988</v>
      </c>
      <c r="H9" s="207">
        <f t="shared" si="0"/>
        <v>97.806804479999983</v>
      </c>
      <c r="I9" s="702"/>
      <c r="J9" s="702"/>
      <c r="K9" s="702"/>
      <c r="L9" s="702"/>
    </row>
    <row r="10" spans="1:16" ht="16.5" customHeight="1">
      <c r="A10" s="1851"/>
      <c r="B10" s="224">
        <v>0.6</v>
      </c>
      <c r="C10" s="208">
        <f t="shared" ref="C10:H10" si="1">C25-C25*6/100</f>
        <v>65.257462079999996</v>
      </c>
      <c r="D10" s="209">
        <f t="shared" si="1"/>
        <v>72.243662399999991</v>
      </c>
      <c r="E10" s="209">
        <f t="shared" si="1"/>
        <v>79.229862719999971</v>
      </c>
      <c r="F10" s="209">
        <f t="shared" si="1"/>
        <v>86.21606303999998</v>
      </c>
      <c r="G10" s="209">
        <f t="shared" si="1"/>
        <v>93.202263359999989</v>
      </c>
      <c r="H10" s="210">
        <f t="shared" si="1"/>
        <v>100.18846367999998</v>
      </c>
      <c r="I10" s="702"/>
      <c r="J10" s="702"/>
      <c r="K10" s="702"/>
      <c r="L10" s="702"/>
    </row>
    <row r="11" spans="1:16" ht="16.5" customHeight="1">
      <c r="A11" s="1851"/>
      <c r="B11" s="224">
        <v>0.7</v>
      </c>
      <c r="C11" s="208">
        <f t="shared" ref="C11:H11" si="2">C26-C26*6/100</f>
        <v>67.639121279999998</v>
      </c>
      <c r="D11" s="209">
        <f t="shared" si="2"/>
        <v>74.625321599999978</v>
      </c>
      <c r="E11" s="209">
        <f t="shared" si="2"/>
        <v>81.611521919999973</v>
      </c>
      <c r="F11" s="209">
        <f t="shared" si="2"/>
        <v>88.597722239999996</v>
      </c>
      <c r="G11" s="209">
        <f t="shared" si="2"/>
        <v>95.583922559999991</v>
      </c>
      <c r="H11" s="210">
        <f t="shared" si="2"/>
        <v>102.57012287999997</v>
      </c>
      <c r="I11" s="702"/>
      <c r="J11" s="702"/>
      <c r="K11" s="702"/>
      <c r="L11" s="702"/>
    </row>
    <row r="12" spans="1:16" ht="16.5" customHeight="1">
      <c r="A12" s="1851"/>
      <c r="B12" s="224">
        <v>0.8</v>
      </c>
      <c r="C12" s="208">
        <f t="shared" ref="C12:H12" si="3">C27-C27*6/100</f>
        <v>69.86200319999999</v>
      </c>
      <c r="D12" s="209">
        <f t="shared" si="3"/>
        <v>76.848203519999998</v>
      </c>
      <c r="E12" s="209">
        <f t="shared" si="3"/>
        <v>83.834403839999965</v>
      </c>
      <c r="F12" s="209">
        <f t="shared" si="3"/>
        <v>90.820604159999988</v>
      </c>
      <c r="G12" s="209">
        <f t="shared" si="3"/>
        <v>97.806804479999983</v>
      </c>
      <c r="H12" s="210">
        <f t="shared" si="3"/>
        <v>104.79300480000001</v>
      </c>
      <c r="I12" s="702"/>
      <c r="J12" s="702"/>
      <c r="K12" s="702"/>
      <c r="L12" s="702"/>
    </row>
    <row r="13" spans="1:16" ht="16.5" customHeight="1">
      <c r="A13" s="1851"/>
      <c r="B13" s="224">
        <v>0.9</v>
      </c>
      <c r="C13" s="208">
        <f t="shared" ref="C13:H13" si="4">C28-C28*6/100</f>
        <v>72.243662399999991</v>
      </c>
      <c r="D13" s="209">
        <f t="shared" si="4"/>
        <v>79.229862719999971</v>
      </c>
      <c r="E13" s="209">
        <f t="shared" si="4"/>
        <v>86.21606303999998</v>
      </c>
      <c r="F13" s="209">
        <f t="shared" si="4"/>
        <v>93.202263359999989</v>
      </c>
      <c r="G13" s="209">
        <f t="shared" si="4"/>
        <v>100.18846367999998</v>
      </c>
      <c r="H13" s="210">
        <f t="shared" si="4"/>
        <v>107.17466399999996</v>
      </c>
      <c r="I13" s="702"/>
      <c r="J13" s="702"/>
      <c r="K13" s="702"/>
      <c r="L13" s="702"/>
    </row>
    <row r="14" spans="1:16" ht="16.5" customHeight="1">
      <c r="A14" s="1851"/>
      <c r="B14" s="224">
        <v>1</v>
      </c>
      <c r="C14" s="208">
        <f t="shared" ref="C14:H14" si="5">C29-C29*6/100</f>
        <v>74.625321599999978</v>
      </c>
      <c r="D14" s="209">
        <f t="shared" si="5"/>
        <v>81.611521919999973</v>
      </c>
      <c r="E14" s="209">
        <f t="shared" si="5"/>
        <v>88.597722239999996</v>
      </c>
      <c r="F14" s="209">
        <f t="shared" si="5"/>
        <v>95.583922559999991</v>
      </c>
      <c r="G14" s="209">
        <f t="shared" si="5"/>
        <v>102.57012287999997</v>
      </c>
      <c r="H14" s="210">
        <f t="shared" si="5"/>
        <v>109.55632319999997</v>
      </c>
      <c r="I14" s="702"/>
      <c r="J14" s="702"/>
      <c r="K14" s="702"/>
      <c r="L14" s="702"/>
    </row>
    <row r="15" spans="1:16" ht="16.5" customHeight="1">
      <c r="A15" s="1851"/>
      <c r="B15" s="224">
        <v>1.1000000000000001</v>
      </c>
      <c r="C15" s="208">
        <f t="shared" ref="C15:H15" si="6">C30-C30*6/100</f>
        <v>76.848203519999998</v>
      </c>
      <c r="D15" s="209">
        <f t="shared" si="6"/>
        <v>83.834403839999965</v>
      </c>
      <c r="E15" s="209">
        <f t="shared" si="6"/>
        <v>90.820604159999988</v>
      </c>
      <c r="F15" s="209">
        <f t="shared" si="6"/>
        <v>97.806804479999983</v>
      </c>
      <c r="G15" s="209">
        <f t="shared" si="6"/>
        <v>104.79300480000001</v>
      </c>
      <c r="H15" s="210">
        <f t="shared" si="6"/>
        <v>111.77920512</v>
      </c>
      <c r="I15" s="702"/>
      <c r="J15" s="702"/>
      <c r="K15" s="702"/>
      <c r="L15" s="702"/>
    </row>
    <row r="16" spans="1:16" ht="16.5" customHeight="1">
      <c r="A16" s="1851"/>
      <c r="B16" s="224">
        <v>1.2</v>
      </c>
      <c r="C16" s="208">
        <f t="shared" ref="C16:H16" si="7">C31-C31*6/100</f>
        <v>79.229862719999971</v>
      </c>
      <c r="D16" s="209">
        <f t="shared" si="7"/>
        <v>86.21606303999998</v>
      </c>
      <c r="E16" s="209">
        <f t="shared" si="7"/>
        <v>93.202263359999989</v>
      </c>
      <c r="F16" s="209">
        <f t="shared" si="7"/>
        <v>100.18846367999998</v>
      </c>
      <c r="G16" s="209">
        <f t="shared" si="7"/>
        <v>107.17466399999996</v>
      </c>
      <c r="H16" s="210">
        <f t="shared" si="7"/>
        <v>114.16086431999999</v>
      </c>
      <c r="I16" s="702"/>
      <c r="J16" s="702"/>
      <c r="K16" s="702"/>
      <c r="L16" s="702"/>
    </row>
    <row r="17" spans="1:12" ht="16.5" customHeight="1">
      <c r="A17" s="1851"/>
      <c r="B17" s="224">
        <v>1.3</v>
      </c>
      <c r="C17" s="208">
        <f t="shared" ref="C17:H17" si="8">C32-C32*6/100</f>
        <v>81.611521919999973</v>
      </c>
      <c r="D17" s="209">
        <f t="shared" si="8"/>
        <v>88.597722239999996</v>
      </c>
      <c r="E17" s="209">
        <f t="shared" si="8"/>
        <v>95.583922559999991</v>
      </c>
      <c r="F17" s="209">
        <f t="shared" si="8"/>
        <v>102.57012287999997</v>
      </c>
      <c r="G17" s="209">
        <f t="shared" si="8"/>
        <v>109.55632319999997</v>
      </c>
      <c r="H17" s="210">
        <f t="shared" si="8"/>
        <v>116.54252352</v>
      </c>
      <c r="I17" s="702"/>
      <c r="J17" s="702"/>
      <c r="K17" s="702"/>
      <c r="L17" s="702"/>
    </row>
    <row r="18" spans="1:12" ht="16.5" customHeight="1">
      <c r="A18" s="1851"/>
      <c r="B18" s="224">
        <v>1.4</v>
      </c>
      <c r="C18" s="208">
        <f t="shared" ref="C18:H18" si="9">C33-C33*6/100</f>
        <v>83.834403839999965</v>
      </c>
      <c r="D18" s="209">
        <f t="shared" si="9"/>
        <v>90.820604159999988</v>
      </c>
      <c r="E18" s="209">
        <f t="shared" si="9"/>
        <v>97.806804479999983</v>
      </c>
      <c r="F18" s="209">
        <f t="shared" si="9"/>
        <v>104.79300480000001</v>
      </c>
      <c r="G18" s="209">
        <f t="shared" si="9"/>
        <v>111.77920512</v>
      </c>
      <c r="H18" s="210">
        <f t="shared" si="9"/>
        <v>118.76540543999997</v>
      </c>
      <c r="I18" s="702"/>
      <c r="J18" s="702"/>
      <c r="K18" s="702"/>
      <c r="L18" s="702"/>
    </row>
    <row r="19" spans="1:12" ht="16.5" customHeight="1">
      <c r="A19" s="1851"/>
      <c r="B19" s="224">
        <v>1.5</v>
      </c>
      <c r="C19" s="208">
        <f t="shared" ref="C19:H19" si="10">C34-C34*6/100</f>
        <v>86.21606303999998</v>
      </c>
      <c r="D19" s="209">
        <f t="shared" si="10"/>
        <v>93.202263359999989</v>
      </c>
      <c r="E19" s="209">
        <f t="shared" si="10"/>
        <v>100.18846367999998</v>
      </c>
      <c r="F19" s="209">
        <f t="shared" si="10"/>
        <v>107.17466399999996</v>
      </c>
      <c r="G19" s="209">
        <f t="shared" si="10"/>
        <v>114.16086431999999</v>
      </c>
      <c r="H19" s="210">
        <f t="shared" si="10"/>
        <v>121.14706463999997</v>
      </c>
      <c r="I19" s="702"/>
      <c r="J19" s="702"/>
      <c r="K19" s="702"/>
      <c r="L19" s="702"/>
    </row>
    <row r="20" spans="1:12" ht="16.5" customHeight="1" thickBot="1">
      <c r="A20" s="1852"/>
      <c r="B20" s="225">
        <v>1.6</v>
      </c>
      <c r="C20" s="211">
        <f t="shared" ref="C20:H20" si="11">C35-C35*6/100</f>
        <v>88.597722239999996</v>
      </c>
      <c r="D20" s="212">
        <f t="shared" si="11"/>
        <v>95.583922559999991</v>
      </c>
      <c r="E20" s="212">
        <f t="shared" si="11"/>
        <v>102.57012287999997</v>
      </c>
      <c r="F20" s="212">
        <f t="shared" si="11"/>
        <v>109.55632319999997</v>
      </c>
      <c r="G20" s="212">
        <f t="shared" si="11"/>
        <v>116.54252352</v>
      </c>
      <c r="H20" s="213">
        <f t="shared" si="11"/>
        <v>123.52872383999997</v>
      </c>
      <c r="I20" s="702"/>
      <c r="J20" s="702"/>
      <c r="K20" s="702"/>
      <c r="L20" s="702"/>
    </row>
    <row r="21" spans="1:12" ht="16.5" customHeight="1" thickBot="1">
      <c r="A21" s="388"/>
      <c r="B21" s="388"/>
      <c r="C21" s="388"/>
      <c r="D21" s="388"/>
      <c r="E21" s="388"/>
      <c r="F21" s="388"/>
      <c r="G21" s="388"/>
      <c r="H21" s="388"/>
      <c r="I21" s="716"/>
      <c r="J21" s="716"/>
      <c r="K21" s="716"/>
      <c r="L21" s="716"/>
    </row>
    <row r="22" spans="1:12" ht="16.5" customHeight="1" thickBot="1">
      <c r="A22" s="1413" t="s">
        <v>314</v>
      </c>
      <c r="B22" s="1415"/>
      <c r="C22" s="1534" t="s">
        <v>207</v>
      </c>
      <c r="D22" s="1535"/>
      <c r="E22" s="1535"/>
      <c r="F22" s="1535"/>
      <c r="G22" s="1535"/>
      <c r="H22" s="1536"/>
      <c r="I22" s="701"/>
      <c r="J22" s="701"/>
      <c r="K22" s="700"/>
      <c r="L22" s="700"/>
    </row>
    <row r="23" spans="1:12" ht="16.5" customHeight="1" thickBot="1">
      <c r="A23" s="1803"/>
      <c r="B23" s="1802"/>
      <c r="C23" s="730">
        <v>0.38300000000000001</v>
      </c>
      <c r="D23" s="119">
        <v>0.6</v>
      </c>
      <c r="E23" s="119">
        <v>0.7</v>
      </c>
      <c r="F23" s="119">
        <v>0.8</v>
      </c>
      <c r="G23" s="119">
        <v>0.9</v>
      </c>
      <c r="H23" s="120">
        <v>1</v>
      </c>
      <c r="I23" s="701"/>
      <c r="J23" s="701"/>
      <c r="K23" s="701"/>
      <c r="L23" s="701"/>
    </row>
    <row r="24" spans="1:12" ht="16.5" customHeight="1">
      <c r="A24" s="1850" t="s">
        <v>46</v>
      </c>
      <c r="B24" s="232">
        <v>0.5</v>
      </c>
      <c r="C24" s="205">
        <f>(39*KFC!$B$42*1.02*1.2*1.15*1.2+KFC!$C$42)*KFC!$C$5</f>
        <v>65.875679999999988</v>
      </c>
      <c r="D24" s="206">
        <f>(44*KFC!$B$42*1.02*1.2*1.15*1.2+KFC!$C$42)*KFC!$C$5</f>
        <v>74.321279999999987</v>
      </c>
      <c r="E24" s="206">
        <f>(48.4*KFC!$B$42*1.02*1.2*1.15*1.2+KFC!$C$42)*KFC!$C$5</f>
        <v>81.753407999999993</v>
      </c>
      <c r="F24" s="206">
        <f>(52.8*KFC!$B$42*1.02*1.2*1.15*1.2+KFC!$C$42)*KFC!$C$5</f>
        <v>89.185535999999971</v>
      </c>
      <c r="G24" s="206">
        <f>(57.2*KFC!$B$42*1.02*1.2*1.15*1.2+KFC!$C$42)*KFC!$C$5</f>
        <v>96.617663999999991</v>
      </c>
      <c r="H24" s="207">
        <f>(61.6*KFC!$B$42*1.02*1.2*1.15*1.2+KFC!$C$42)*KFC!$C$5</f>
        <v>104.04979199999998</v>
      </c>
      <c r="I24" s="702"/>
      <c r="J24" s="702"/>
      <c r="K24" s="702"/>
      <c r="L24" s="702"/>
    </row>
    <row r="25" spans="1:12" ht="16.5" customHeight="1">
      <c r="A25" s="1851"/>
      <c r="B25" s="230">
        <v>0.6</v>
      </c>
      <c r="C25" s="208">
        <f>(41.1*KFC!$B$42*1.02*1.2*1.15*1.2+KFC!$C$42)*KFC!$C$5</f>
        <v>69.422832</v>
      </c>
      <c r="D25" s="209">
        <f>(45.5*KFC!$B$42*1.02*1.2*1.15*1.2+KFC!$C$42)*KFC!$C$5</f>
        <v>76.854959999999991</v>
      </c>
      <c r="E25" s="209">
        <f>(49.9*KFC!$B$42*1.02*1.2*1.15*1.2+KFC!$C$42)*KFC!$C$5</f>
        <v>84.287087999999969</v>
      </c>
      <c r="F25" s="209">
        <f>(54.3*KFC!$B$42*1.02*1.2*1.15*1.2+KFC!$C$42)*KFC!$C$5</f>
        <v>91.719215999999975</v>
      </c>
      <c r="G25" s="209">
        <f>(58.7*KFC!$B$42*1.02*1.2*1.15*1.2+KFC!$C$42)*KFC!$C$5</f>
        <v>99.15134399999998</v>
      </c>
      <c r="H25" s="210">
        <f>(63.1*KFC!$B$42*1.02*1.2*1.15*1.2+KFC!$C$42)*KFC!$C$5</f>
        <v>106.58347199999999</v>
      </c>
      <c r="I25" s="702"/>
      <c r="J25" s="702"/>
      <c r="K25" s="702"/>
      <c r="L25" s="702"/>
    </row>
    <row r="26" spans="1:12" ht="16.5" customHeight="1">
      <c r="A26" s="1851"/>
      <c r="B26" s="230">
        <v>0.7</v>
      </c>
      <c r="C26" s="208">
        <f>(42.6*KFC!$B$42*1.02*1.2*1.15*1.2+KFC!$C$42)*KFC!$C$5</f>
        <v>71.956512000000004</v>
      </c>
      <c r="D26" s="209">
        <f>(47*KFC!$B$42*1.02*1.2*1.15*1.2+KFC!$C$42)*KFC!$C$5</f>
        <v>79.388639999999981</v>
      </c>
      <c r="E26" s="209">
        <f>(51.4*KFC!$B$42*1.02*1.2*1.15*1.2+KFC!$C$42)*KFC!$C$5</f>
        <v>86.820767999999973</v>
      </c>
      <c r="F26" s="209">
        <f>(55.8*KFC!$B$42*1.02*1.2*1.15*1.2+KFC!$C$42)*KFC!$C$5</f>
        <v>94.252895999999993</v>
      </c>
      <c r="G26" s="209">
        <f>(60.2*KFC!$B$42*1.02*1.2*1.15*1.2+KFC!$C$42)*KFC!$C$5</f>
        <v>101.68502399999998</v>
      </c>
      <c r="H26" s="210">
        <f>(64.6*KFC!$B$42*1.02*1.2*1.15*1.2+KFC!$C$42)*KFC!$C$5</f>
        <v>109.11715199999998</v>
      </c>
      <c r="I26" s="702"/>
      <c r="J26" s="702"/>
      <c r="K26" s="702"/>
      <c r="L26" s="702"/>
    </row>
    <row r="27" spans="1:12" ht="16.5" customHeight="1">
      <c r="A27" s="1851"/>
      <c r="B27" s="230">
        <v>0.8</v>
      </c>
      <c r="C27" s="208">
        <f>(44*KFC!$B$42*1.02*1.2*1.15*1.2+KFC!$C$42)*KFC!$C$5</f>
        <v>74.321279999999987</v>
      </c>
      <c r="D27" s="209">
        <f>(48.4*KFC!$B$42*1.02*1.2*1.15*1.2+KFC!$C$42)*KFC!$C$5</f>
        <v>81.753407999999993</v>
      </c>
      <c r="E27" s="209">
        <f>(52.8*KFC!$B$42*1.02*1.2*1.15*1.2+KFC!$C$42)*KFC!$C$5</f>
        <v>89.185535999999971</v>
      </c>
      <c r="F27" s="209">
        <f>(57.2*KFC!$B$42*1.02*1.2*1.15*1.2+KFC!$C$42)*KFC!$C$5</f>
        <v>96.617663999999991</v>
      </c>
      <c r="G27" s="209">
        <f>(61.6*KFC!$B$42*1.02*1.2*1.15*1.2+KFC!$C$42)*KFC!$C$5</f>
        <v>104.04979199999998</v>
      </c>
      <c r="H27" s="210">
        <f>(66*KFC!$B$42*1.02*1.2*1.15*1.2+KFC!$C$42)*KFC!$C$5</f>
        <v>111.48192</v>
      </c>
      <c r="I27" s="702"/>
      <c r="J27" s="702"/>
      <c r="K27" s="702"/>
      <c r="L27" s="702"/>
    </row>
    <row r="28" spans="1:12" ht="16.5" customHeight="1">
      <c r="A28" s="1851"/>
      <c r="B28" s="230">
        <v>0.9</v>
      </c>
      <c r="C28" s="208">
        <f>(45.5*KFC!$B$42*1.02*1.2*1.15*1.2+KFC!$C$42)*KFC!$C$5</f>
        <v>76.854959999999991</v>
      </c>
      <c r="D28" s="209">
        <f>(49.9*KFC!$B$42*1.02*1.2*1.15*1.2+KFC!$C$42)*KFC!$C$5</f>
        <v>84.287087999999969</v>
      </c>
      <c r="E28" s="209">
        <f>(54.3*KFC!$B$42*1.02*1.2*1.15*1.2+KFC!$C$42)*KFC!$C$5</f>
        <v>91.719215999999975</v>
      </c>
      <c r="F28" s="209">
        <f>(58.7*KFC!$B$42*1.02*1.2*1.15*1.2+KFC!$C$42)*KFC!$C$5</f>
        <v>99.15134399999998</v>
      </c>
      <c r="G28" s="209">
        <f>(63.1*KFC!$B$42*1.02*1.2*1.15*1.2+KFC!$C$42)*KFC!$C$5</f>
        <v>106.58347199999999</v>
      </c>
      <c r="H28" s="210">
        <f>(67.5*KFC!$B$42*1.02*1.2*1.15*1.2+KFC!$C$42)*KFC!$C$5</f>
        <v>114.01559999999996</v>
      </c>
      <c r="I28" s="702"/>
      <c r="J28" s="702"/>
      <c r="K28" s="702"/>
      <c r="L28" s="702"/>
    </row>
    <row r="29" spans="1:12" ht="16.5" customHeight="1">
      <c r="A29" s="1851"/>
      <c r="B29" s="230">
        <v>1</v>
      </c>
      <c r="C29" s="208">
        <f>(47*KFC!$B$42*1.02*1.2*1.15*1.2+KFC!$C$42)*KFC!$C$5</f>
        <v>79.388639999999981</v>
      </c>
      <c r="D29" s="209">
        <f>(51.4*KFC!$B$42*1.02*1.2*1.15*1.2+KFC!$C$42)*KFC!$C$5</f>
        <v>86.820767999999973</v>
      </c>
      <c r="E29" s="209">
        <f>(55.8*KFC!$B$42*1.02*1.2*1.15*1.2+KFC!$C$42)*KFC!$C$5</f>
        <v>94.252895999999993</v>
      </c>
      <c r="F29" s="209">
        <f>(60.2*KFC!$B$42*1.02*1.2*1.15*1.2+KFC!$C$42)*KFC!$C$5</f>
        <v>101.68502399999998</v>
      </c>
      <c r="G29" s="209">
        <f>(64.6*KFC!$B$42*1.02*1.2*1.15*1.2+KFC!$C$42)*KFC!$C$5</f>
        <v>109.11715199999998</v>
      </c>
      <c r="H29" s="210">
        <f>(69*KFC!$B$42*1.02*1.2*1.15*1.2+KFC!$C$42)*KFC!$C$5</f>
        <v>116.54927999999997</v>
      </c>
      <c r="I29" s="702"/>
      <c r="J29" s="702"/>
      <c r="K29" s="702"/>
      <c r="L29" s="702"/>
    </row>
    <row r="30" spans="1:12" ht="16.5" customHeight="1">
      <c r="A30" s="1851"/>
      <c r="B30" s="230">
        <v>1.1000000000000001</v>
      </c>
      <c r="C30" s="208">
        <f>(48.4*KFC!$B$42*1.02*1.2*1.15*1.2+KFC!$C$42)*KFC!$C$5</f>
        <v>81.753407999999993</v>
      </c>
      <c r="D30" s="209">
        <f>(52.8*KFC!$B$42*1.02*1.2*1.15*1.2+KFC!$C$42)*KFC!$C$5</f>
        <v>89.185535999999971</v>
      </c>
      <c r="E30" s="209">
        <f>(57.2*KFC!$B$42*1.02*1.2*1.15*1.2+KFC!$C$42)*KFC!$C$5</f>
        <v>96.617663999999991</v>
      </c>
      <c r="F30" s="209">
        <f>(61.6*KFC!$B$42*1.02*1.2*1.15*1.2+KFC!$C$42)*KFC!$C$5</f>
        <v>104.04979199999998</v>
      </c>
      <c r="G30" s="209">
        <f>(66*KFC!$B$42*1.02*1.2*1.15*1.2+KFC!$C$42)*KFC!$C$5</f>
        <v>111.48192</v>
      </c>
      <c r="H30" s="210">
        <f>(70.4*KFC!$B$42*1.02*1.2*1.15*1.2+KFC!$C$42)*KFC!$C$5</f>
        <v>118.91404799999999</v>
      </c>
      <c r="I30" s="702"/>
      <c r="J30" s="702"/>
      <c r="K30" s="702"/>
      <c r="L30" s="702"/>
    </row>
    <row r="31" spans="1:12" ht="16.5" customHeight="1">
      <c r="A31" s="1851"/>
      <c r="B31" s="230">
        <v>1.2</v>
      </c>
      <c r="C31" s="208">
        <f>(49.9*KFC!$B$42*1.02*1.2*1.15*1.2+KFC!$C$42)*KFC!$C$5</f>
        <v>84.287087999999969</v>
      </c>
      <c r="D31" s="209">
        <f>(54.3*KFC!$B$42*1.02*1.2*1.15*1.2+KFC!$C$42)*KFC!$C$5</f>
        <v>91.719215999999975</v>
      </c>
      <c r="E31" s="209">
        <f>(58.7*KFC!$B$42*1.02*1.2*1.15*1.2+KFC!$C$42)*KFC!$C$5</f>
        <v>99.15134399999998</v>
      </c>
      <c r="F31" s="209">
        <f>(63.1*KFC!$B$42*1.02*1.2*1.15*1.2+KFC!$C$42)*KFC!$C$5</f>
        <v>106.58347199999999</v>
      </c>
      <c r="G31" s="209">
        <f>(67.5*KFC!$B$42*1.02*1.2*1.15*1.2+KFC!$C$42)*KFC!$C$5</f>
        <v>114.01559999999996</v>
      </c>
      <c r="H31" s="210">
        <f>(71.9*KFC!$B$42*1.02*1.2*1.15*1.2+KFC!$C$42)*KFC!$C$5</f>
        <v>121.44772799999998</v>
      </c>
      <c r="I31" s="702"/>
      <c r="J31" s="702"/>
      <c r="K31" s="702"/>
      <c r="L31" s="702"/>
    </row>
    <row r="32" spans="1:12" ht="16.5" customHeight="1">
      <c r="A32" s="1851"/>
      <c r="B32" s="230">
        <v>1.3</v>
      </c>
      <c r="C32" s="208">
        <f>(51.4*KFC!$B$42*1.02*1.2*1.15*1.2+KFC!$C$42)*KFC!$C$5</f>
        <v>86.820767999999973</v>
      </c>
      <c r="D32" s="209">
        <f>(55.8*KFC!$B$42*1.02*1.2*1.15*1.2+KFC!$C$42)*KFC!$C$5</f>
        <v>94.252895999999993</v>
      </c>
      <c r="E32" s="209">
        <f>(60.2*KFC!$B$42*1.02*1.2*1.15*1.2+KFC!$C$42)*KFC!$C$5</f>
        <v>101.68502399999998</v>
      </c>
      <c r="F32" s="209">
        <f>(64.6*KFC!$B$42*1.02*1.2*1.15*1.2+KFC!$C$42)*KFC!$C$5</f>
        <v>109.11715199999998</v>
      </c>
      <c r="G32" s="209">
        <f>(69*KFC!$B$42*1.02*1.2*1.15*1.2+KFC!$C$42)*KFC!$C$5</f>
        <v>116.54927999999997</v>
      </c>
      <c r="H32" s="210">
        <f>(73.4*KFC!$B$42*1.02*1.2*1.15*1.2+KFC!$C$42)*KFC!$C$5</f>
        <v>123.981408</v>
      </c>
      <c r="I32" s="702"/>
      <c r="J32" s="702"/>
      <c r="K32" s="702"/>
      <c r="L32" s="702"/>
    </row>
    <row r="33" spans="1:12" ht="16.5" customHeight="1">
      <c r="A33" s="1851"/>
      <c r="B33" s="230">
        <v>1.4</v>
      </c>
      <c r="C33" s="208">
        <f>(52.8*KFC!$B$42*1.02*1.2*1.15*1.2+KFC!$C$42)*KFC!$C$5</f>
        <v>89.185535999999971</v>
      </c>
      <c r="D33" s="209">
        <f>(57.2*KFC!$B$42*1.02*1.2*1.15*1.2+KFC!$C$42)*KFC!$C$5</f>
        <v>96.617663999999991</v>
      </c>
      <c r="E33" s="209">
        <f>(61.6*KFC!$B$42*1.02*1.2*1.15*1.2+KFC!$C$42)*KFC!$C$5</f>
        <v>104.04979199999998</v>
      </c>
      <c r="F33" s="209">
        <f>(66*KFC!$B$42*1.02*1.2*1.15*1.2+KFC!$C$42)*KFC!$C$5</f>
        <v>111.48192</v>
      </c>
      <c r="G33" s="209">
        <f>(70.4*KFC!$B$42*1.02*1.2*1.15*1.2+KFC!$C$42)*KFC!$C$5</f>
        <v>118.91404799999999</v>
      </c>
      <c r="H33" s="210">
        <f>(74.8*KFC!$B$42*1.02*1.2*1.15*1.2+KFC!$C$42)*KFC!$C$5</f>
        <v>126.34617599999997</v>
      </c>
      <c r="I33" s="702"/>
      <c r="J33" s="702"/>
      <c r="K33" s="702"/>
      <c r="L33" s="702"/>
    </row>
    <row r="34" spans="1:12" ht="16.5" customHeight="1">
      <c r="A34" s="1851"/>
      <c r="B34" s="230">
        <v>1.5</v>
      </c>
      <c r="C34" s="208">
        <f>(54.3*KFC!$B$42*1.02*1.2*1.15*1.2+KFC!$C$42)*KFC!$C$5</f>
        <v>91.719215999999975</v>
      </c>
      <c r="D34" s="209">
        <f>(58.7*KFC!$B$42*1.02*1.2*1.15*1.2+KFC!$C$42)*KFC!$C$5</f>
        <v>99.15134399999998</v>
      </c>
      <c r="E34" s="209">
        <f>(63.1*KFC!$B$42*1.02*1.2*1.15*1.2+KFC!$C$42)*KFC!$C$5</f>
        <v>106.58347199999999</v>
      </c>
      <c r="F34" s="209">
        <f>(67.5*KFC!$B$42*1.02*1.2*1.15*1.2+KFC!$C$42)*KFC!$C$5</f>
        <v>114.01559999999996</v>
      </c>
      <c r="G34" s="209">
        <f>(71.9*KFC!$B$42*1.02*1.2*1.15*1.2+KFC!$C$42)*KFC!$C$5</f>
        <v>121.44772799999998</v>
      </c>
      <c r="H34" s="210">
        <f>(76.3*KFC!$B$42*1.02*1.2*1.15*1.2+KFC!$C$42)*KFC!$C$5</f>
        <v>128.87985599999996</v>
      </c>
      <c r="I34" s="702"/>
      <c r="J34" s="702"/>
      <c r="K34" s="702"/>
      <c r="L34" s="702"/>
    </row>
    <row r="35" spans="1:12" ht="16.5" customHeight="1" thickBot="1">
      <c r="A35" s="1852"/>
      <c r="B35" s="231">
        <v>1.6</v>
      </c>
      <c r="C35" s="211">
        <f>(55.8*KFC!$B$42*1.02*1.2*1.15*1.2+KFC!$C$42)*KFC!$C$5</f>
        <v>94.252895999999993</v>
      </c>
      <c r="D35" s="212">
        <f>(60.2*KFC!$B$42*1.02*1.2*1.15*1.2+KFC!$C$42)*KFC!$C$5</f>
        <v>101.68502399999998</v>
      </c>
      <c r="E35" s="212">
        <f>(64.6*KFC!$B$42*1.02*1.2*1.15*1.2+KFC!$C$42)*KFC!$C$5</f>
        <v>109.11715199999998</v>
      </c>
      <c r="F35" s="212">
        <f>(69*KFC!$B$42*1.02*1.2*1.15*1.2+KFC!$C$42)*KFC!$C$5</f>
        <v>116.54927999999997</v>
      </c>
      <c r="G35" s="212">
        <f>(73.4*KFC!$B$42*1.02*1.2*1.15*1.2+KFC!$C$42)*KFC!$C$5</f>
        <v>123.981408</v>
      </c>
      <c r="H35" s="213">
        <f>(77.8*KFC!$B$42*1.02*1.2*1.15*1.2+KFC!$C$42)*KFC!$C$5</f>
        <v>131.41353599999997</v>
      </c>
      <c r="I35" s="702"/>
      <c r="J35" s="702"/>
      <c r="K35" s="702"/>
      <c r="L35" s="702"/>
    </row>
    <row r="36" spans="1:12" ht="16.5" customHeight="1" thickBot="1">
      <c r="A36" s="215"/>
      <c r="B36" s="215"/>
      <c r="C36" s="215"/>
      <c r="D36" s="215"/>
      <c r="E36" s="215"/>
      <c r="F36" s="215"/>
      <c r="G36" s="215"/>
      <c r="H36" s="703"/>
    </row>
    <row r="37" spans="1:12" ht="16.5" customHeight="1" thickBot="1">
      <c r="A37" s="1413" t="s">
        <v>315</v>
      </c>
      <c r="B37" s="1415"/>
      <c r="C37" s="1534" t="s">
        <v>207</v>
      </c>
      <c r="D37" s="1535"/>
      <c r="E37" s="1535"/>
      <c r="F37" s="1535"/>
      <c r="G37" s="1535"/>
      <c r="H37" s="1536"/>
      <c r="I37" s="701"/>
      <c r="J37" s="701"/>
      <c r="K37" s="700"/>
      <c r="L37" s="700"/>
    </row>
    <row r="38" spans="1:12" ht="16.5" customHeight="1" thickBot="1">
      <c r="A38" s="1803"/>
      <c r="B38" s="1802"/>
      <c r="C38" s="730">
        <v>0.38300000000000001</v>
      </c>
      <c r="D38" s="119">
        <v>0.6</v>
      </c>
      <c r="E38" s="119">
        <v>0.7</v>
      </c>
      <c r="F38" s="119">
        <v>0.8</v>
      </c>
      <c r="G38" s="119">
        <v>0.9</v>
      </c>
      <c r="H38" s="120">
        <v>1</v>
      </c>
      <c r="I38" s="701"/>
      <c r="J38" s="701"/>
      <c r="K38" s="701"/>
      <c r="L38" s="701"/>
    </row>
    <row r="39" spans="1:12" ht="16.5" customHeight="1">
      <c r="A39" s="1850" t="s">
        <v>46</v>
      </c>
      <c r="B39" s="232">
        <v>0.5</v>
      </c>
      <c r="C39" s="205">
        <f>(46.7*KFC!$B$42*1.02*1.2*1.15*1.2+KFC!$C$42)*KFC!$C$5</f>
        <v>78.881904000000006</v>
      </c>
      <c r="D39" s="206">
        <f>(52.7*KFC!$B$42*1.02*1.2*1.15*1.2+KFC!$C$42)*KFC!$C$5</f>
        <v>89.016623999999993</v>
      </c>
      <c r="E39" s="206">
        <f>(58.6*KFC!$B$42*1.02*1.2*1.15*1.2+KFC!$C$42)*KFC!$C$5</f>
        <v>98.982431999999974</v>
      </c>
      <c r="F39" s="206">
        <f>(64.6*KFC!$B$42*1.02*1.2*1.15*1.2+KFC!$C$42)*KFC!$C$5</f>
        <v>109.11715199999998</v>
      </c>
      <c r="G39" s="206">
        <f>(70.6*KFC!$B$42*1.02*1.2*1.15*1.2+KFC!$C$42)*KFC!$C$5</f>
        <v>119.25187199999999</v>
      </c>
      <c r="H39" s="207">
        <f>(76.7*KFC!$B$42*1.02*1.2*1.15*1.2+KFC!$C$42)*KFC!$C$5</f>
        <v>129.55550399999998</v>
      </c>
      <c r="I39" s="702"/>
      <c r="J39" s="702"/>
      <c r="K39" s="702"/>
      <c r="L39" s="702"/>
    </row>
    <row r="40" spans="1:12" ht="16.5" customHeight="1">
      <c r="A40" s="1851"/>
      <c r="B40" s="230">
        <v>0.6</v>
      </c>
      <c r="C40" s="208">
        <f>(48.1*KFC!$B$42*1.02*1.2*1.15*1.2+KFC!$C$42)*KFC!$C$5</f>
        <v>81.24667199999999</v>
      </c>
      <c r="D40" s="209">
        <f>(54.1*KFC!$B$42*1.02*1.2*1.15*1.2+KFC!$C$42)*KFC!$C$5</f>
        <v>91.381391999999991</v>
      </c>
      <c r="E40" s="209">
        <f>(60*KFC!$B$42*1.02*1.2*1.15*1.2+KFC!$C$42)*KFC!$C$5</f>
        <v>101.34719999999999</v>
      </c>
      <c r="F40" s="209">
        <f>(66*KFC!$B$42*1.02*1.2*1.15*1.2+KFC!$C$42)*KFC!$C$5</f>
        <v>111.48192</v>
      </c>
      <c r="G40" s="209">
        <f>(72*KFC!$B$42*1.02*1.2*1.15*1.2+KFC!$C$42)*KFC!$C$5</f>
        <v>121.61663999999998</v>
      </c>
      <c r="H40" s="210">
        <f>(78.1*KFC!$B$42*1.02*1.2*1.15*1.2+KFC!$C$42)*KFC!$C$5</f>
        <v>131.92027199999998</v>
      </c>
      <c r="I40" s="702"/>
      <c r="J40" s="702"/>
      <c r="K40" s="702"/>
      <c r="L40" s="702"/>
    </row>
    <row r="41" spans="1:12" ht="16.5" customHeight="1">
      <c r="A41" s="1851"/>
      <c r="B41" s="230">
        <v>0.7</v>
      </c>
      <c r="C41" s="208">
        <f>(49.5*KFC!$B$42*1.02*1.2*1.15*1.2+KFC!$C$42)*KFC!$C$5</f>
        <v>83.611439999999988</v>
      </c>
      <c r="D41" s="209">
        <f>(55.5*KFC!$B$42*1.02*1.2*1.15*1.2+KFC!$C$42)*KFC!$C$5</f>
        <v>93.746159999999989</v>
      </c>
      <c r="E41" s="209">
        <f>(61.3*KFC!$B$42*1.02*1.2*1.15*1.2+KFC!$C$42)*KFC!$C$5</f>
        <v>103.54305599999999</v>
      </c>
      <c r="F41" s="209">
        <f>(67.4*KFC!$B$42*1.02*1.2*1.15*1.2+KFC!$C$42)*KFC!$C$5</f>
        <v>113.846688</v>
      </c>
      <c r="G41" s="209">
        <f>(73.4*KFC!$B$42*1.02*1.2*1.15*1.2+KFC!$C$42)*KFC!$C$5</f>
        <v>123.981408</v>
      </c>
      <c r="H41" s="210">
        <f>(79.5*KFC!$B$42*1.02*1.2*1.15*1.2+KFC!$C$42)*KFC!$C$5</f>
        <v>134.28504000000001</v>
      </c>
      <c r="I41" s="702"/>
      <c r="J41" s="702"/>
      <c r="K41" s="702"/>
      <c r="L41" s="702"/>
    </row>
    <row r="42" spans="1:12" ht="16.5" customHeight="1">
      <c r="A42" s="1851"/>
      <c r="B42" s="230">
        <v>0.8</v>
      </c>
      <c r="C42" s="208">
        <f>(50.9*KFC!$B$42*1.02*1.2*1.15*1.2+KFC!$C$42)*KFC!$C$5</f>
        <v>85.976207999999971</v>
      </c>
      <c r="D42" s="209">
        <f>(56.9*KFC!$B$42*1.02*1.2*1.15*1.2+KFC!$C$42)*KFC!$C$5</f>
        <v>96.110927999999973</v>
      </c>
      <c r="E42" s="209">
        <f>(62.7*KFC!$B$42*1.02*1.2*1.15*1.2+KFC!$C$42)*KFC!$C$5</f>
        <v>105.90782399999999</v>
      </c>
      <c r="F42" s="209">
        <f>(68.8*KFC!$B$42*1.02*1.2*1.15*1.2+KFC!$C$42)*KFC!$C$5</f>
        <v>116.21145599999998</v>
      </c>
      <c r="G42" s="209">
        <f>(74.8*KFC!$B$42*1.02*1.2*1.15*1.2+KFC!$C$42)*KFC!$C$5</f>
        <v>126.34617599999997</v>
      </c>
      <c r="H42" s="210">
        <f>(80.9*KFC!$B$42*1.02*1.2*1.15*1.2+KFC!$C$42)*KFC!$C$5</f>
        <v>136.64980799999998</v>
      </c>
      <c r="I42" s="702"/>
      <c r="J42" s="702"/>
      <c r="K42" s="702"/>
      <c r="L42" s="702"/>
    </row>
    <row r="43" spans="1:12" ht="16.5" customHeight="1">
      <c r="A43" s="1851"/>
      <c r="B43" s="230">
        <v>0.9</v>
      </c>
      <c r="C43" s="208">
        <f>(52.3*KFC!$B$42*1.02*1.2*1.15*1.2+KFC!$C$42)*KFC!$C$5</f>
        <v>88.340975999999984</v>
      </c>
      <c r="D43" s="209">
        <f>(58.3*KFC!$B$42*1.02*1.2*1.15*1.2+KFC!$C$42)*KFC!$C$5</f>
        <v>98.475695999999999</v>
      </c>
      <c r="E43" s="209">
        <f>(64.1*KFC!$B$42*1.02*1.2*1.15*1.2+KFC!$C$42)*KFC!$C$5</f>
        <v>108.27259199999996</v>
      </c>
      <c r="F43" s="209">
        <f>(70.2*KFC!$B$42*1.02*1.2*1.15*1.2+KFC!$C$42)*KFC!$C$5</f>
        <v>118.57622399999997</v>
      </c>
      <c r="G43" s="209">
        <f>(76.2*KFC!$B$42*1.02*1.2*1.15*1.2+KFC!$C$42)*KFC!$C$5</f>
        <v>128.71094399999998</v>
      </c>
      <c r="H43" s="210">
        <f>(82.3*KFC!$B$42*1.02*1.2*1.15*1.2+KFC!$C$42)*KFC!$C$5</f>
        <v>139.01457599999998</v>
      </c>
      <c r="I43" s="702"/>
      <c r="J43" s="702"/>
      <c r="K43" s="702"/>
      <c r="L43" s="702"/>
    </row>
    <row r="44" spans="1:12" ht="16.5" customHeight="1">
      <c r="A44" s="1851"/>
      <c r="B44" s="230">
        <v>1</v>
      </c>
      <c r="C44" s="208">
        <f>(53.7*KFC!$B$42*1.02*1.2*1.15*1.2+KFC!$C$42)*KFC!$C$5</f>
        <v>90.705743999999981</v>
      </c>
      <c r="D44" s="209">
        <f>(59.7*KFC!$B$42*1.02*1.2*1.15*1.2+KFC!$C$42)*KFC!$C$5</f>
        <v>100.84046399999998</v>
      </c>
      <c r="E44" s="209">
        <f>(65.5*KFC!$B$42*1.02*1.2*1.15*1.2+KFC!$C$42)*KFC!$C$5</f>
        <v>110.63735999999999</v>
      </c>
      <c r="F44" s="209">
        <f>(71.6*KFC!$B$42*1.02*1.2*1.15*1.2+KFC!$C$42)*KFC!$C$5</f>
        <v>120.94099199999998</v>
      </c>
      <c r="G44" s="209">
        <f>(77.6*KFC!$B$42*1.02*1.2*1.15*1.2+KFC!$C$42)*KFC!$C$5</f>
        <v>131.07571199999998</v>
      </c>
      <c r="H44" s="210">
        <f>(83.7*KFC!$B$42*1.02*1.2*1.15*1.2+KFC!$C$42)*KFC!$C$5</f>
        <v>141.379344</v>
      </c>
      <c r="I44" s="702"/>
      <c r="J44" s="702"/>
      <c r="K44" s="702"/>
      <c r="L44" s="702"/>
    </row>
    <row r="45" spans="1:12" ht="16.5" customHeight="1">
      <c r="A45" s="1851"/>
      <c r="B45" s="230">
        <v>1.1000000000000001</v>
      </c>
      <c r="C45" s="208">
        <f>(55.1*KFC!$B$42*1.02*1.2*1.15*1.2+KFC!$C$42)*KFC!$C$5</f>
        <v>93.070512000000008</v>
      </c>
      <c r="D45" s="209">
        <f>(61.1*KFC!$B$42*1.02*1.2*1.15*1.2+KFC!$C$42)*KFC!$C$5</f>
        <v>103.20523199999998</v>
      </c>
      <c r="E45" s="209">
        <f>(66.9*KFC!$B$42*1.02*1.2*1.15*1.2+KFC!$C$42)*KFC!$C$5</f>
        <v>113.002128</v>
      </c>
      <c r="F45" s="209">
        <f>(73*KFC!$B$42*1.02*1.2*1.15*1.2+KFC!$C$42)*KFC!$C$5</f>
        <v>123.30575999999999</v>
      </c>
      <c r="G45" s="209">
        <f>(79*KFC!$B$42*1.02*1.2*1.15*1.2+KFC!$C$42)*KFC!$C$5</f>
        <v>133.44047999999998</v>
      </c>
      <c r="H45" s="210">
        <f>(85*KFC!$B$42*1.02*1.2*1.15*1.2+KFC!$C$42)*KFC!$C$5</f>
        <v>143.5752</v>
      </c>
      <c r="I45" s="702"/>
      <c r="J45" s="702"/>
      <c r="K45" s="702"/>
      <c r="L45" s="702"/>
    </row>
    <row r="46" spans="1:12" ht="16.5" customHeight="1">
      <c r="A46" s="1851"/>
      <c r="B46" s="230">
        <v>1.2</v>
      </c>
      <c r="C46" s="208">
        <f>(56.5*KFC!$B$42*1.02*1.2*1.15*1.2+KFC!$C$42)*KFC!$C$5</f>
        <v>95.435279999999992</v>
      </c>
      <c r="D46" s="209">
        <f>(62.5*KFC!$B$42*1.02*1.2*1.15*1.2+KFC!$C$42)*KFC!$C$5</f>
        <v>105.57</v>
      </c>
      <c r="E46" s="209">
        <f>(68.3*KFC!$B$42*1.02*1.2*1.15*1.2+KFC!$C$42)*KFC!$C$5</f>
        <v>115.36689599999998</v>
      </c>
      <c r="F46" s="209">
        <f>(74.4*KFC!$B$42*1.02*1.2*1.15*1.2+KFC!$C$42)*KFC!$C$5</f>
        <v>125.67052799999999</v>
      </c>
      <c r="G46" s="209">
        <f>(80.4*KFC!$B$42*1.02*1.2*1.15*1.2+KFC!$C$42)*KFC!$C$5</f>
        <v>135.80524800000001</v>
      </c>
      <c r="H46" s="210">
        <f>(86.4*KFC!$B$42*1.02*1.2*1.15*1.2+KFC!$C$42)*KFC!$C$5</f>
        <v>145.93996800000002</v>
      </c>
      <c r="I46" s="702"/>
      <c r="J46" s="702"/>
      <c r="K46" s="702"/>
      <c r="L46" s="702"/>
    </row>
    <row r="47" spans="1:12" ht="16.5" customHeight="1">
      <c r="A47" s="1851"/>
      <c r="B47" s="230">
        <v>1.3</v>
      </c>
      <c r="C47" s="208">
        <f>(57.9*KFC!$B$42*1.02*1.2*1.15*1.2+KFC!$C$42)*KFC!$C$5</f>
        <v>97.800047999999975</v>
      </c>
      <c r="D47" s="209">
        <f>(63.9*KFC!$B$42*1.02*1.2*1.15*1.2+KFC!$C$42)*KFC!$C$5</f>
        <v>107.93476799999999</v>
      </c>
      <c r="E47" s="209">
        <f>(69.7*KFC!$B$42*1.02*1.2*1.15*1.2+KFC!$C$42)*KFC!$C$5</f>
        <v>117.73166400000001</v>
      </c>
      <c r="F47" s="209">
        <f>(75.8*KFC!$B$42*1.02*1.2*1.15*1.2+KFC!$C$42)*KFC!$C$5</f>
        <v>128.03529599999999</v>
      </c>
      <c r="G47" s="209">
        <f>(81.8*KFC!$B$42*1.02*1.2*1.15*1.2+KFC!$C$42)*KFC!$C$5</f>
        <v>138.17001599999995</v>
      </c>
      <c r="H47" s="210">
        <f>(87.8*KFC!$B$42*1.02*1.2*1.15*1.2+KFC!$C$42)*KFC!$C$5</f>
        <v>148.30473599999996</v>
      </c>
      <c r="I47" s="702"/>
      <c r="J47" s="702"/>
      <c r="K47" s="702"/>
      <c r="L47" s="702"/>
    </row>
    <row r="48" spans="1:12" ht="16.5" customHeight="1">
      <c r="A48" s="1851"/>
      <c r="B48" s="230">
        <v>1.4</v>
      </c>
      <c r="C48" s="208">
        <f>(59.3*KFC!$B$42*1.02*1.2*1.15*1.2+KFC!$C$42)*KFC!$C$5</f>
        <v>100.16481599999999</v>
      </c>
      <c r="D48" s="209">
        <f>(65.3*KFC!$B$42*1.02*1.2*1.15*1.2+KFC!$C$42)*KFC!$C$5</f>
        <v>110.29953599999996</v>
      </c>
      <c r="E48" s="209">
        <f>(71.1*KFC!$B$42*1.02*1.2*1.15*1.2+KFC!$C$42)*KFC!$C$5</f>
        <v>120.09643199999996</v>
      </c>
      <c r="F48" s="209">
        <f>(77.1*KFC!$B$42*1.02*1.2*1.15*1.2+KFC!$C$42)*KFC!$C$5</f>
        <v>130.23115199999998</v>
      </c>
      <c r="G48" s="209">
        <f>(83.2*KFC!$B$42*1.02*1.2*1.15*1.2+KFC!$C$42)*KFC!$C$5</f>
        <v>140.53478399999997</v>
      </c>
      <c r="H48" s="210">
        <f>(89.2*KFC!$B$42*1.02*1.2*1.15*1.2+KFC!$C$42)*KFC!$C$5</f>
        <v>150.66950399999999</v>
      </c>
      <c r="I48" s="702"/>
      <c r="J48" s="702"/>
      <c r="K48" s="702"/>
      <c r="L48" s="702"/>
    </row>
    <row r="49" spans="1:12" ht="16.5" customHeight="1">
      <c r="A49" s="1851"/>
      <c r="B49" s="230">
        <v>1.5</v>
      </c>
      <c r="C49" s="208">
        <f>(60.6*KFC!$B$42*1.02*1.2*1.15*1.2+KFC!$C$42)*KFC!$C$5</f>
        <v>102.36067200000001</v>
      </c>
      <c r="D49" s="209">
        <f>(66.7*KFC!$B$42*1.02*1.2*1.15*1.2+KFC!$C$42)*KFC!$C$5</f>
        <v>112.66430399999999</v>
      </c>
      <c r="E49" s="209">
        <f>(72.5*KFC!$B$42*1.02*1.2*1.15*1.2+KFC!$C$42)*KFC!$C$5</f>
        <v>122.46119999999998</v>
      </c>
      <c r="F49" s="209">
        <f>(78.5*KFC!$B$42*1.02*1.2*1.15*1.2+KFC!$C$42)*KFC!$C$5</f>
        <v>132.59592000000001</v>
      </c>
      <c r="G49" s="209">
        <f>(84.6*KFC!$B$42*1.02*1.2*1.15*1.2+KFC!$C$42)*KFC!$C$5</f>
        <v>142.89955199999997</v>
      </c>
      <c r="H49" s="210">
        <f>(90.6*KFC!$B$42*1.02*1.2*1.15*1.2+KFC!$C$42)*KFC!$C$5</f>
        <v>153.03427199999999</v>
      </c>
      <c r="I49" s="702"/>
      <c r="J49" s="702"/>
      <c r="K49" s="702"/>
      <c r="L49" s="702"/>
    </row>
    <row r="50" spans="1:12" ht="16.5" customHeight="1" thickBot="1">
      <c r="A50" s="1852"/>
      <c r="B50" s="231">
        <v>1.6</v>
      </c>
      <c r="C50" s="211">
        <f>(62*KFC!$B$42*1.02*1.2*1.15*1.2+KFC!$C$42)*KFC!$C$5</f>
        <v>104.72543999999999</v>
      </c>
      <c r="D50" s="212">
        <f>(68.1*KFC!$B$42*1.02*1.2*1.15*1.2+KFC!$C$42)*KFC!$C$5</f>
        <v>115.02907199999997</v>
      </c>
      <c r="E50" s="212">
        <f>(73.9*KFC!$B$42*1.02*1.2*1.15*1.2+KFC!$C$42)*KFC!$C$5</f>
        <v>124.82596799999999</v>
      </c>
      <c r="F50" s="212">
        <f>(79.9*KFC!$B$42*1.02*1.2*1.15*1.2+KFC!$C$42)*KFC!$C$5</f>
        <v>134.96068799999998</v>
      </c>
      <c r="G50" s="212">
        <f>(86*KFC!$B$42*1.02*1.2*1.15*1.2+KFC!$C$42)*KFC!$C$5</f>
        <v>145.26431999999997</v>
      </c>
      <c r="H50" s="213">
        <f>(92*KFC!$B$42*1.02*1.2*1.15*1.2+KFC!$C$42)*KFC!$C$5</f>
        <v>155.39903999999999</v>
      </c>
      <c r="I50" s="702"/>
      <c r="J50" s="702"/>
      <c r="K50" s="702"/>
      <c r="L50" s="702"/>
    </row>
    <row r="51" spans="1:12" ht="16.5" customHeight="1" thickBot="1">
      <c r="A51" s="216"/>
      <c r="B51" s="215"/>
      <c r="C51" s="215"/>
      <c r="D51" s="215"/>
      <c r="E51" s="215"/>
      <c r="F51" s="215"/>
      <c r="G51" s="215"/>
      <c r="H51" s="703"/>
    </row>
    <row r="52" spans="1:12" ht="16.5" customHeight="1" thickBot="1">
      <c r="A52" s="1413" t="s">
        <v>318</v>
      </c>
      <c r="B52" s="1415"/>
      <c r="C52" s="1534" t="s">
        <v>207</v>
      </c>
      <c r="D52" s="1535"/>
      <c r="E52" s="1535"/>
      <c r="F52" s="1535"/>
      <c r="G52" s="1535"/>
      <c r="H52" s="1536"/>
      <c r="I52" s="701"/>
      <c r="J52" s="701"/>
      <c r="K52" s="700"/>
      <c r="L52" s="700"/>
    </row>
    <row r="53" spans="1:12" ht="16.5" customHeight="1" thickBot="1">
      <c r="A53" s="1803"/>
      <c r="B53" s="1802"/>
      <c r="C53" s="730">
        <v>0.38300000000000001</v>
      </c>
      <c r="D53" s="119">
        <v>0.6</v>
      </c>
      <c r="E53" s="119">
        <v>0.7</v>
      </c>
      <c r="F53" s="119">
        <v>0.8</v>
      </c>
      <c r="G53" s="119">
        <v>0.9</v>
      </c>
      <c r="H53" s="120">
        <v>1</v>
      </c>
      <c r="I53" s="701"/>
      <c r="J53" s="701"/>
      <c r="K53" s="701"/>
      <c r="L53" s="701"/>
    </row>
    <row r="54" spans="1:12" ht="16.5" customHeight="1">
      <c r="A54" s="1850" t="s">
        <v>46</v>
      </c>
      <c r="B54" s="232">
        <v>0.5</v>
      </c>
      <c r="C54" s="205">
        <f>(48.9*KFC!$B$42*1.02*1.2*1.15*1.2+KFC!$C$42)*KFC!$C$5</f>
        <v>82.597967999999995</v>
      </c>
      <c r="D54" s="206">
        <f>(55.4*KFC!$B$42*1.02*1.2*1.15*1.2+KFC!$C$42)*KFC!$C$5</f>
        <v>93.577247999999983</v>
      </c>
      <c r="E54" s="206">
        <f>(61.8*KFC!$B$42*1.02*1.2*1.15*1.2+KFC!$C$42)*KFC!$C$5</f>
        <v>104.38761599999997</v>
      </c>
      <c r="F54" s="206">
        <f>(68.3*KFC!$B$42*1.02*1.2*1.15*1.2+KFC!$C$42)*KFC!$C$5</f>
        <v>115.36689599999998</v>
      </c>
      <c r="G54" s="206">
        <f>F54-E54+F54</f>
        <v>126.346176</v>
      </c>
      <c r="H54" s="207">
        <f>G54-F54+G54</f>
        <v>137.32545600000003</v>
      </c>
      <c r="I54" s="702"/>
      <c r="J54" s="702"/>
      <c r="K54" s="702"/>
      <c r="L54" s="702"/>
    </row>
    <row r="55" spans="1:12" ht="16.5" customHeight="1">
      <c r="A55" s="1851"/>
      <c r="B55" s="230">
        <v>0.6</v>
      </c>
      <c r="C55" s="208">
        <f>(50.2*KFC!$B$42*1.02*1.2*1.15*1.2+KFC!$C$42)*KFC!$C$5</f>
        <v>84.793823999999987</v>
      </c>
      <c r="D55" s="209">
        <f>(56.8*KFC!$B$42*1.02*1.2*1.15*1.2+KFC!$C$42)*KFC!$C$5</f>
        <v>95.942015999999995</v>
      </c>
      <c r="E55" s="209">
        <f>(63.1*KFC!$B$42*1.02*1.2*1.15*1.2+KFC!$C$42)*KFC!$C$5</f>
        <v>106.58347199999999</v>
      </c>
      <c r="F55" s="209">
        <f>(69.7*KFC!$B$42*1.02*1.2*1.15*1.2+KFC!$C$42)*KFC!$C$5</f>
        <v>117.73166400000001</v>
      </c>
      <c r="G55" s="209">
        <f t="shared" ref="G55:G65" si="12">F55-E55+F55</f>
        <v>128.87985600000002</v>
      </c>
      <c r="H55" s="210">
        <f t="shared" ref="H55:H65" si="13">G55-F55+G55</f>
        <v>140.02804800000001</v>
      </c>
      <c r="I55" s="702"/>
      <c r="J55" s="702"/>
      <c r="K55" s="702"/>
      <c r="L55" s="702"/>
    </row>
    <row r="56" spans="1:12" ht="16.5" customHeight="1">
      <c r="A56" s="1851"/>
      <c r="B56" s="230">
        <v>0.7</v>
      </c>
      <c r="C56" s="208">
        <f>(51.6*KFC!$B$42*1.02*1.2*1.15*1.2+KFC!$C$42)*KFC!$C$5</f>
        <v>87.158591999999999</v>
      </c>
      <c r="D56" s="209">
        <f>(58.1*KFC!$B$42*1.02*1.2*1.15*1.2+KFC!$C$42)*KFC!$C$5</f>
        <v>98.137872000000002</v>
      </c>
      <c r="E56" s="209">
        <f>(64.5*KFC!$B$42*1.02*1.2*1.15*1.2+KFC!$C$42)*KFC!$C$5</f>
        <v>108.94824</v>
      </c>
      <c r="F56" s="209">
        <f>(71*KFC!$B$42*1.02*1.2*1.15*1.2+KFC!$C$42)*KFC!$C$5</f>
        <v>119.92751999999997</v>
      </c>
      <c r="G56" s="209">
        <f t="shared" si="12"/>
        <v>130.90679999999995</v>
      </c>
      <c r="H56" s="210">
        <f t="shared" si="13"/>
        <v>141.88607999999994</v>
      </c>
      <c r="I56" s="702"/>
      <c r="J56" s="702"/>
      <c r="K56" s="702"/>
      <c r="L56" s="702"/>
    </row>
    <row r="57" spans="1:12" ht="16.5" customHeight="1">
      <c r="A57" s="1851"/>
      <c r="B57" s="230">
        <v>0.8</v>
      </c>
      <c r="C57" s="208">
        <f>(52.9*KFC!$B$42*1.02*1.2*1.15*1.2+KFC!$C$42)*KFC!$C$5</f>
        <v>89.354448000000005</v>
      </c>
      <c r="D57" s="209">
        <f>(59.5*KFC!$B$42*1.02*1.2*1.15*1.2+KFC!$C$42)*KFC!$C$5</f>
        <v>100.50263999999997</v>
      </c>
      <c r="E57" s="209">
        <f>(65.8*KFC!$B$42*1.02*1.2*1.15*1.2+KFC!$C$42)*KFC!$C$5</f>
        <v>111.14409599999998</v>
      </c>
      <c r="F57" s="209">
        <f>(72.4*KFC!$B$42*1.02*1.2*1.15*1.2+KFC!$C$42)*KFC!$C$5</f>
        <v>122.292288</v>
      </c>
      <c r="G57" s="209">
        <f t="shared" si="12"/>
        <v>133.44048000000004</v>
      </c>
      <c r="H57" s="210">
        <f t="shared" si="13"/>
        <v>144.58867200000009</v>
      </c>
      <c r="I57" s="702"/>
      <c r="J57" s="702"/>
      <c r="K57" s="702"/>
      <c r="L57" s="702"/>
    </row>
    <row r="58" spans="1:12" ht="16.5" customHeight="1">
      <c r="A58" s="1851"/>
      <c r="B58" s="230">
        <v>0.9</v>
      </c>
      <c r="C58" s="208">
        <f>(54.3*KFC!$B$42*1.02*1.2*1.15*1.2+KFC!$C$42)*KFC!$C$5</f>
        <v>91.719215999999975</v>
      </c>
      <c r="D58" s="209">
        <f>(60.9*KFC!$B$42*1.02*1.2*1.15*1.2+KFC!$C$42)*KFC!$C$5</f>
        <v>102.86740799999998</v>
      </c>
      <c r="E58" s="209">
        <f>(67.2*KFC!$B$42*1.02*1.2*1.15*1.2+KFC!$C$42)*KFC!$C$5</f>
        <v>113.508864</v>
      </c>
      <c r="F58" s="209">
        <f>(73.8*KFC!$B$42*1.02*1.2*1.15*1.2+KFC!$C$42)*KFC!$C$5</f>
        <v>124.65705599999998</v>
      </c>
      <c r="G58" s="209">
        <f t="shared" si="12"/>
        <v>135.80524799999995</v>
      </c>
      <c r="H58" s="210">
        <f t="shared" si="13"/>
        <v>146.95343999999992</v>
      </c>
      <c r="I58" s="702"/>
      <c r="J58" s="702"/>
      <c r="K58" s="702"/>
      <c r="L58" s="702"/>
    </row>
    <row r="59" spans="1:12" ht="16.5" customHeight="1">
      <c r="A59" s="1851"/>
      <c r="B59" s="230">
        <v>1</v>
      </c>
      <c r="C59" s="208">
        <f>(55.7*KFC!$B$42*1.02*1.2*1.15*1.2+KFC!$C$42)*KFC!$C$5</f>
        <v>94.083983999999987</v>
      </c>
      <c r="D59" s="209">
        <f>(62.2*KFC!$B$42*1.02*1.2*1.15*1.2+KFC!$C$42)*KFC!$C$5</f>
        <v>105.06326399999999</v>
      </c>
      <c r="E59" s="209">
        <f>(68.6*KFC!$B$42*1.02*1.2*1.15*1.2+KFC!$C$42)*KFC!$C$5</f>
        <v>115.87363199999997</v>
      </c>
      <c r="F59" s="209">
        <f>(75.1*KFC!$B$42*1.02*1.2*1.15*1.2+KFC!$C$42)*KFC!$C$5</f>
        <v>126.85291199999995</v>
      </c>
      <c r="G59" s="209">
        <f t="shared" si="12"/>
        <v>137.83219199999991</v>
      </c>
      <c r="H59" s="210">
        <f t="shared" si="13"/>
        <v>148.81147199999987</v>
      </c>
      <c r="I59" s="702"/>
      <c r="J59" s="702"/>
      <c r="K59" s="702"/>
      <c r="L59" s="702"/>
    </row>
    <row r="60" spans="1:12" ht="16.5" customHeight="1">
      <c r="A60" s="1851"/>
      <c r="B60" s="230">
        <v>1.1000000000000001</v>
      </c>
      <c r="C60" s="208">
        <f>(57*KFC!$B$42*1.02*1.2*1.15*1.2+KFC!$C$42)*KFC!$C$5</f>
        <v>96.279839999999993</v>
      </c>
      <c r="D60" s="209">
        <f>(63.6*KFC!$B$42*1.02*1.2*1.15*1.2+KFC!$C$42)*KFC!$C$5</f>
        <v>107.42803199999999</v>
      </c>
      <c r="E60" s="209">
        <f>(69.9*KFC!$B$42*1.02*1.2*1.15*1.2+KFC!$C$42)*KFC!$C$5</f>
        <v>118.06948799999998</v>
      </c>
      <c r="F60" s="209">
        <f>(76.5*KFC!$B$42*1.02*1.2*1.15*1.2+KFC!$C$42)*KFC!$C$5</f>
        <v>129.21767999999997</v>
      </c>
      <c r="G60" s="209">
        <f t="shared" si="12"/>
        <v>140.36587199999997</v>
      </c>
      <c r="H60" s="210">
        <f t="shared" si="13"/>
        <v>151.51406399999996</v>
      </c>
      <c r="I60" s="702"/>
      <c r="J60" s="702"/>
      <c r="K60" s="702"/>
      <c r="L60" s="702"/>
    </row>
    <row r="61" spans="1:12" ht="16.5" customHeight="1">
      <c r="A61" s="1851"/>
      <c r="B61" s="230">
        <v>1.2</v>
      </c>
      <c r="C61" s="208">
        <f>(58.4*KFC!$B$42*1.02*1.2*1.15*1.2+KFC!$C$42)*KFC!$C$5</f>
        <v>98.644607999999991</v>
      </c>
      <c r="D61" s="209">
        <f>(64.9*KFC!$B$42*1.02*1.2*1.15*1.2+KFC!$C$42)*KFC!$C$5</f>
        <v>109.62388799999999</v>
      </c>
      <c r="E61" s="209">
        <f>(71.3*KFC!$B$42*1.02*1.2*1.15*1.2+KFC!$C$42)*KFC!$C$5</f>
        <v>120.43425599999998</v>
      </c>
      <c r="F61" s="209">
        <f>(77.8*KFC!$B$42*1.02*1.2*1.15*1.2+KFC!$C$42)*KFC!$C$5</f>
        <v>131.41353599999997</v>
      </c>
      <c r="G61" s="209">
        <f t="shared" si="12"/>
        <v>142.39281599999995</v>
      </c>
      <c r="H61" s="210">
        <f t="shared" si="13"/>
        <v>153.37209599999994</v>
      </c>
      <c r="I61" s="702"/>
      <c r="J61" s="702"/>
      <c r="K61" s="702"/>
      <c r="L61" s="702"/>
    </row>
    <row r="62" spans="1:12" ht="16.5" customHeight="1">
      <c r="A62" s="1851"/>
      <c r="B62" s="230">
        <v>1.3</v>
      </c>
      <c r="C62" s="208">
        <f>(59.7*KFC!$B$42*1.02*1.2*1.15*1.2+KFC!$C$42)*KFC!$C$5</f>
        <v>100.84046399999998</v>
      </c>
      <c r="D62" s="209">
        <f>(66.3*KFC!$B$42*1.02*1.2*1.15*1.2+KFC!$C$42)*KFC!$C$5</f>
        <v>111.98865600000001</v>
      </c>
      <c r="E62" s="209">
        <f>(72.6*KFC!$B$42*1.02*1.2*1.15*1.2+KFC!$C$42)*KFC!$C$5</f>
        <v>122.63011199999998</v>
      </c>
      <c r="F62" s="209">
        <f>(79.2*KFC!$B$42*1.02*1.2*1.15*1.2+KFC!$C$42)*KFC!$C$5</f>
        <v>133.77830399999999</v>
      </c>
      <c r="G62" s="209">
        <f t="shared" si="12"/>
        <v>144.92649599999999</v>
      </c>
      <c r="H62" s="210">
        <f t="shared" si="13"/>
        <v>156.07468799999998</v>
      </c>
      <c r="I62" s="702"/>
      <c r="J62" s="702"/>
      <c r="K62" s="702"/>
      <c r="L62" s="702"/>
    </row>
    <row r="63" spans="1:12" ht="16.5" customHeight="1">
      <c r="A63" s="1851"/>
      <c r="B63" s="230">
        <v>1.4</v>
      </c>
      <c r="C63" s="208">
        <f>(61.1*KFC!$B$42*1.02*1.2*1.15*1.2+KFC!$C$42)*KFC!$C$5</f>
        <v>103.20523199999998</v>
      </c>
      <c r="D63" s="209">
        <f>(67.7*KFC!$B$42*1.02*1.2*1.15*1.2+KFC!$C$42)*KFC!$C$5</f>
        <v>114.35342399999999</v>
      </c>
      <c r="E63" s="209">
        <f>(74*KFC!$B$42*1.02*1.2*1.15*1.2+KFC!$C$42)*KFC!$C$5</f>
        <v>124.99487999999999</v>
      </c>
      <c r="F63" s="209">
        <f>(80.5*KFC!$B$42*1.02*1.2*1.15*1.2+KFC!$C$42)*KFC!$C$5</f>
        <v>135.97415999999998</v>
      </c>
      <c r="G63" s="209">
        <f t="shared" si="12"/>
        <v>146.95343999999997</v>
      </c>
      <c r="H63" s="210">
        <f t="shared" si="13"/>
        <v>157.93271999999996</v>
      </c>
      <c r="I63" s="702"/>
      <c r="J63" s="702"/>
      <c r="K63" s="702"/>
      <c r="L63" s="702"/>
    </row>
    <row r="64" spans="1:12" ht="16.5" customHeight="1">
      <c r="A64" s="1851"/>
      <c r="B64" s="230">
        <v>1.5</v>
      </c>
      <c r="C64" s="208">
        <f>(62.4*KFC!$B$42*1.02*1.2*1.15*1.2+KFC!$C$42)*KFC!$C$5</f>
        <v>105.40108799999997</v>
      </c>
      <c r="D64" s="209">
        <f>(69*KFC!$B$42*1.02*1.2*1.15*1.2+KFC!$C$42)*KFC!$C$5</f>
        <v>116.54927999999997</v>
      </c>
      <c r="E64" s="209">
        <f>(75.3*KFC!$B$42*1.02*1.2*1.15*1.2+KFC!$C$42)*KFC!$C$5</f>
        <v>127.19073599999997</v>
      </c>
      <c r="F64" s="209">
        <f>(81.9*KFC!$B$42*1.02*1.2*1.15*1.2+KFC!$C$42)*KFC!$C$5</f>
        <v>138.33892800000001</v>
      </c>
      <c r="G64" s="209">
        <f t="shared" si="12"/>
        <v>149.48712000000006</v>
      </c>
      <c r="H64" s="210">
        <f t="shared" si="13"/>
        <v>160.63531200000011</v>
      </c>
      <c r="I64" s="702"/>
      <c r="J64" s="702"/>
      <c r="K64" s="702"/>
      <c r="L64" s="702"/>
    </row>
    <row r="65" spans="1:12" ht="16.5" customHeight="1" thickBot="1">
      <c r="A65" s="1852"/>
      <c r="B65" s="231">
        <v>1.6</v>
      </c>
      <c r="C65" s="211">
        <f>(63.8*KFC!$B$42*1.02*1.2*1.15*1.2+KFC!$C$42)*KFC!$C$5</f>
        <v>107.76585599999997</v>
      </c>
      <c r="D65" s="212">
        <f>(70.4*KFC!$B$42*1.02*1.2*1.15*1.2+KFC!$C$42)*KFC!$C$5</f>
        <v>118.91404799999999</v>
      </c>
      <c r="E65" s="212">
        <f>(76.7*KFC!$B$42*1.02*1.2*1.15*1.2+KFC!$C$42)*KFC!$C$5</f>
        <v>129.55550399999998</v>
      </c>
      <c r="F65" s="212">
        <f>(83.3*KFC!$B$42*1.02*1.2*1.15*1.2+KFC!$C$42)*KFC!$C$5</f>
        <v>140.70369599999998</v>
      </c>
      <c r="G65" s="212">
        <f t="shared" si="12"/>
        <v>151.85188799999997</v>
      </c>
      <c r="H65" s="213">
        <f t="shared" si="13"/>
        <v>163.00007999999997</v>
      </c>
      <c r="I65" s="702"/>
      <c r="J65" s="702"/>
      <c r="K65" s="702"/>
      <c r="L65" s="702"/>
    </row>
    <row r="66" spans="1:12" ht="16.5" customHeight="1" thickBot="1">
      <c r="A66" s="216"/>
      <c r="B66" s="215"/>
      <c r="C66" s="217"/>
      <c r="D66" s="217"/>
      <c r="E66" s="217"/>
      <c r="F66" s="217"/>
      <c r="G66" s="217"/>
      <c r="H66" s="713"/>
      <c r="I66" s="717"/>
      <c r="J66" s="717"/>
      <c r="K66" s="717"/>
      <c r="L66" s="717"/>
    </row>
    <row r="67" spans="1:12" ht="16.5" customHeight="1" thickBot="1">
      <c r="A67" s="1413" t="s">
        <v>319</v>
      </c>
      <c r="B67" s="1415"/>
      <c r="C67" s="1534" t="s">
        <v>207</v>
      </c>
      <c r="D67" s="1535"/>
      <c r="E67" s="1535"/>
      <c r="F67" s="1535"/>
      <c r="G67" s="1535"/>
      <c r="H67" s="1536"/>
      <c r="I67" s="701"/>
      <c r="J67" s="701"/>
      <c r="K67" s="700"/>
      <c r="L67" s="700"/>
    </row>
    <row r="68" spans="1:12" ht="16.5" customHeight="1" thickBot="1">
      <c r="A68" s="1803"/>
      <c r="B68" s="1802"/>
      <c r="C68" s="730">
        <v>0.38300000000000001</v>
      </c>
      <c r="D68" s="119">
        <v>0.6</v>
      </c>
      <c r="E68" s="119">
        <v>0.7</v>
      </c>
      <c r="F68" s="119">
        <v>0.8</v>
      </c>
      <c r="G68" s="119">
        <v>0.9</v>
      </c>
      <c r="H68" s="120">
        <v>1</v>
      </c>
      <c r="I68" s="701"/>
      <c r="J68" s="701"/>
      <c r="K68" s="701"/>
      <c r="L68" s="701"/>
    </row>
    <row r="69" spans="1:12" ht="16.5" customHeight="1">
      <c r="A69" s="1850" t="s">
        <v>46</v>
      </c>
      <c r="B69" s="232">
        <v>0.5</v>
      </c>
      <c r="C69" s="205">
        <f>(60.1*KFC!$B$42*1.02*1.2*1.15+KFC!$C$42)*KFC!$C$5</f>
        <v>84.596759999999989</v>
      </c>
      <c r="D69" s="206">
        <f>(69.1*KFC!$B$42*1.02*1.2*1.15+KFC!$C$42)*KFC!$C$5</f>
        <v>97.265159999999995</v>
      </c>
      <c r="E69" s="206">
        <f>(77.9*KFC!$B$42*1.02*1.2*1.15+KFC!$C$42)*KFC!$C$5</f>
        <v>109.65204</v>
      </c>
      <c r="F69" s="206">
        <f>(86.9*KFC!$B$42*1.02*1.2*1.15+KFC!$C$42)*KFC!$C$5</f>
        <v>122.32043999999999</v>
      </c>
      <c r="G69" s="206">
        <f>(95.9*KFC!$B$42*1.02*1.2*1.15+KFC!$C$42)*KFC!$C$5</f>
        <v>134.98884000000001</v>
      </c>
      <c r="H69" s="207">
        <f>(104.9*KFC!$B$42*1.02*1.2*1.15+KFC!$C$42)*KFC!$C$5</f>
        <v>147.65724</v>
      </c>
      <c r="I69" s="702"/>
      <c r="J69" s="702"/>
      <c r="K69" s="702"/>
      <c r="L69" s="702"/>
    </row>
    <row r="70" spans="1:12" ht="16.5" customHeight="1">
      <c r="A70" s="1851"/>
      <c r="B70" s="230">
        <v>0.6</v>
      </c>
      <c r="C70" s="208">
        <f>(61.4*KFC!$B$42*1.02*1.2*1.15+KFC!$C$42)*KFC!$C$5</f>
        <v>86.426639999999992</v>
      </c>
      <c r="D70" s="209">
        <f>(70.4*KFC!$B$42*1.02*1.2*1.15+KFC!$C$42)*KFC!$C$5</f>
        <v>99.095039999999997</v>
      </c>
      <c r="E70" s="209">
        <f>(79.2*KFC!$B$42*1.02*1.2*1.15+KFC!$C$42)*KFC!$C$5</f>
        <v>111.48192</v>
      </c>
      <c r="F70" s="209">
        <f>(88.2*KFC!$B$42*1.02*1.2*1.15+KFC!$C$42)*KFC!$C$5</f>
        <v>124.15031999999999</v>
      </c>
      <c r="G70" s="209">
        <f>(97.2*KFC!$B$42*1.02*1.2*1.15+KFC!$C$42)*KFC!$C$5</f>
        <v>136.81871999999998</v>
      </c>
      <c r="H70" s="210">
        <f>(106.2*KFC!$B$42*1.02*1.2*1.15+KFC!$C$42)*KFC!$C$5</f>
        <v>149.48711999999998</v>
      </c>
      <c r="I70" s="702"/>
      <c r="J70" s="702"/>
      <c r="K70" s="702"/>
      <c r="L70" s="702"/>
    </row>
    <row r="71" spans="1:12" ht="16.5" customHeight="1">
      <c r="A71" s="1851"/>
      <c r="B71" s="230">
        <v>0.7</v>
      </c>
      <c r="C71" s="208">
        <f>(62.7*KFC!$B$42*1.02*1.2*1.15+KFC!$C$42)*KFC!$C$5</f>
        <v>88.256519999999995</v>
      </c>
      <c r="D71" s="209">
        <f>(71.7*KFC!$B$42*1.02*1.2*1.15+KFC!$C$42)*KFC!$C$5</f>
        <v>100.92492</v>
      </c>
      <c r="E71" s="209">
        <f>(80.5*KFC!$B$42*1.02*1.2*1.15+KFC!$C$42)*KFC!$C$5</f>
        <v>113.31179999999999</v>
      </c>
      <c r="F71" s="209">
        <f>(89.5*KFC!$B$42*1.02*1.2*1.15+KFC!$C$42)*KFC!$C$5</f>
        <v>125.9802</v>
      </c>
      <c r="G71" s="209">
        <f>(98.5*KFC!$B$42*1.02*1.2*1.15+KFC!$C$42)*KFC!$C$5</f>
        <v>138.64859999999999</v>
      </c>
      <c r="H71" s="210">
        <f>(107.4*KFC!$B$42*1.02*1.2*1.15+KFC!$C$42)*KFC!$C$5</f>
        <v>151.17623999999998</v>
      </c>
      <c r="I71" s="702"/>
      <c r="J71" s="702"/>
      <c r="K71" s="702"/>
      <c r="L71" s="702"/>
    </row>
    <row r="72" spans="1:12" ht="16.5" customHeight="1">
      <c r="A72" s="1851"/>
      <c r="B72" s="230">
        <v>0.8</v>
      </c>
      <c r="C72" s="208">
        <f>(64*KFC!$B$42*1.02*1.2*1.15+KFC!$C$42)*KFC!$C$5</f>
        <v>90.086399999999998</v>
      </c>
      <c r="D72" s="209">
        <f>(73*KFC!$B$42*1.02*1.2*1.15+KFC!$C$42)*KFC!$C$5</f>
        <v>102.7548</v>
      </c>
      <c r="E72" s="209">
        <f>(81.8*KFC!$B$42*1.02*1.2*1.15+KFC!$C$42)*KFC!$C$5</f>
        <v>115.14167999999997</v>
      </c>
      <c r="F72" s="209">
        <f>(90.7*KFC!$B$42*1.02*1.2*1.15+KFC!$C$42)*KFC!$C$5</f>
        <v>127.66932</v>
      </c>
      <c r="G72" s="209">
        <f>(99.7*KFC!$B$42*1.02*1.2*1.15+KFC!$C$42)*KFC!$C$5</f>
        <v>140.33771999999999</v>
      </c>
      <c r="H72" s="210">
        <f>(108.7*KFC!$B$42*1.02*1.2*1.15+KFC!$C$42)*KFC!$C$5</f>
        <v>153.00611999999998</v>
      </c>
      <c r="I72" s="702"/>
      <c r="J72" s="702"/>
      <c r="K72" s="702"/>
      <c r="L72" s="702"/>
    </row>
    <row r="73" spans="1:12" ht="16.5" customHeight="1">
      <c r="A73" s="1851"/>
      <c r="B73" s="230">
        <v>0.9</v>
      </c>
      <c r="C73" s="208">
        <f>(65.3*KFC!$B$42*1.02*1.2*1.15+KFC!$C$42)*KFC!$C$5</f>
        <v>91.916279999999972</v>
      </c>
      <c r="D73" s="209">
        <f>(74.3*KFC!$B$42*1.02*1.2*1.15+KFC!$C$42)*KFC!$C$5</f>
        <v>104.58467999999999</v>
      </c>
      <c r="E73" s="209">
        <f>(83*KFC!$B$42*1.02*1.2*1.15+KFC!$C$42)*KFC!$C$5</f>
        <v>116.8308</v>
      </c>
      <c r="F73" s="209">
        <f>(92*KFC!$B$42*1.02*1.2*1.15+KFC!$C$42)*KFC!$C$5</f>
        <v>129.4992</v>
      </c>
      <c r="G73" s="209">
        <f>(101*KFC!$B$42*1.02*1.2*1.15+KFC!$C$42)*KFC!$C$5</f>
        <v>142.16759999999999</v>
      </c>
      <c r="H73" s="210">
        <f>(110*KFC!$B$42*1.02*1.2*1.15+KFC!$C$42)*KFC!$C$5</f>
        <v>154.83599999999998</v>
      </c>
      <c r="I73" s="702"/>
      <c r="J73" s="702"/>
      <c r="K73" s="702"/>
      <c r="L73" s="702"/>
    </row>
    <row r="74" spans="1:12" ht="16.5" customHeight="1">
      <c r="A74" s="1851"/>
      <c r="B74" s="230">
        <v>1</v>
      </c>
      <c r="C74" s="208">
        <f>(66.6*KFC!$B$42*1.02*1.2*1.15+KFC!$C$42)*KFC!$C$5</f>
        <v>93.746159999999989</v>
      </c>
      <c r="D74" s="209">
        <f>(75.6*KFC!$B$42*1.02*1.2*1.15+KFC!$C$42)*KFC!$C$5</f>
        <v>106.41455999999998</v>
      </c>
      <c r="E74" s="209">
        <f>(84.3*KFC!$B$42*1.02*1.2*1.15+KFC!$C$42)*KFC!$C$5</f>
        <v>118.66067999999999</v>
      </c>
      <c r="F74" s="209">
        <f>(93.3*KFC!$B$42*1.02*1.2*1.15+KFC!$C$42)*KFC!$C$5</f>
        <v>131.32907999999998</v>
      </c>
      <c r="G74" s="209">
        <f>(102.3*KFC!$B$42*1.02*1.2*1.15+KFC!$C$42)*KFC!$C$5</f>
        <v>143.99748</v>
      </c>
      <c r="H74" s="210">
        <f>(111.3*KFC!$B$42*1.02*1.2*1.15+KFC!$C$42)*KFC!$C$5</f>
        <v>156.66587999999999</v>
      </c>
      <c r="I74" s="702"/>
      <c r="J74" s="702"/>
      <c r="K74" s="702"/>
      <c r="L74" s="702"/>
    </row>
    <row r="75" spans="1:12" ht="16.5" customHeight="1">
      <c r="A75" s="1851"/>
      <c r="B75" s="230">
        <v>1.1000000000000001</v>
      </c>
      <c r="C75" s="208">
        <f>(67.8*KFC!$B$42*1.02*1.2*1.15+KFC!$C$42)*KFC!$C$5</f>
        <v>95.435279999999977</v>
      </c>
      <c r="D75" s="209">
        <f>(76.8*KFC!$B$42*1.02*1.2*1.15+KFC!$C$42)*KFC!$C$5</f>
        <v>108.10367999999998</v>
      </c>
      <c r="E75" s="209">
        <f>(85.6*KFC!$B$42*1.02*1.2*1.15+KFC!$C$42)*KFC!$C$5</f>
        <v>120.49055999999999</v>
      </c>
      <c r="F75" s="209">
        <f>(94.6*KFC!$B$42*1.02*1.2*1.15+KFC!$C$42)*KFC!$C$5</f>
        <v>133.15895999999995</v>
      </c>
      <c r="G75" s="209">
        <f>(103.6*KFC!$B$42*1.02*1.2*1.15+KFC!$C$42)*KFC!$C$5</f>
        <v>145.82736</v>
      </c>
      <c r="H75" s="210">
        <f>(112.6*KFC!$B$42*1.02*1.2*1.15+KFC!$C$42)*KFC!$C$5</f>
        <v>158.49575999999996</v>
      </c>
      <c r="I75" s="702"/>
      <c r="J75" s="702"/>
      <c r="K75" s="702"/>
      <c r="L75" s="702"/>
    </row>
    <row r="76" spans="1:12" ht="16.5" customHeight="1">
      <c r="A76" s="1851"/>
      <c r="B76" s="230">
        <v>1.2</v>
      </c>
      <c r="C76" s="208">
        <f>(69.1*KFC!$B$42*1.02*1.2*1.15+KFC!$C$42)*KFC!$C$5</f>
        <v>97.265159999999995</v>
      </c>
      <c r="D76" s="209">
        <f>(78.1*KFC!$B$42*1.02*1.2*1.15+KFC!$C$42)*KFC!$C$5</f>
        <v>109.93355999999999</v>
      </c>
      <c r="E76" s="209">
        <f>(86.9*KFC!$B$42*1.02*1.2*1.15+KFC!$C$42)*KFC!$C$5</f>
        <v>122.32043999999999</v>
      </c>
      <c r="F76" s="209">
        <f>(95.9*KFC!$B$42*1.02*1.2*1.15+KFC!$C$42)*KFC!$C$5</f>
        <v>134.98884000000001</v>
      </c>
      <c r="G76" s="209">
        <f>(104.9*KFC!$B$42*1.02*1.2*1.15+KFC!$C$42)*KFC!$C$5</f>
        <v>147.65724</v>
      </c>
      <c r="H76" s="210">
        <f>(113.9*KFC!$B$42*1.02*1.2*1.15+KFC!$C$42)*KFC!$C$5</f>
        <v>160.32563999999999</v>
      </c>
      <c r="I76" s="702"/>
      <c r="J76" s="702"/>
      <c r="K76" s="702"/>
      <c r="L76" s="702"/>
    </row>
    <row r="77" spans="1:12" ht="16.5" customHeight="1">
      <c r="A77" s="1851"/>
      <c r="B77" s="230">
        <v>1.3</v>
      </c>
      <c r="C77" s="208">
        <f>(70.4*KFC!$B$42*1.02*1.2*1.15+KFC!$C$42)*KFC!$C$5</f>
        <v>99.095039999999997</v>
      </c>
      <c r="D77" s="209">
        <f>(79.4*KFC!$B$42*1.02*1.2*1.15+KFC!$C$42)*KFC!$C$5</f>
        <v>111.76344</v>
      </c>
      <c r="E77" s="209">
        <f>(88.2*KFC!$B$42*1.02*1.2*1.15+KFC!$C$42)*KFC!$C$5</f>
        <v>124.15031999999999</v>
      </c>
      <c r="F77" s="209">
        <f>(97.2*KFC!$B$42*1.02*1.2*1.15+KFC!$C$42)*KFC!$C$5</f>
        <v>136.81871999999998</v>
      </c>
      <c r="G77" s="209">
        <f>(106.2*KFC!$B$42*1.02*1.2*1.15+KFC!$C$42)*KFC!$C$5</f>
        <v>149.48711999999998</v>
      </c>
      <c r="H77" s="210">
        <f>(115.1*KFC!$B$42*1.02*1.2*1.15+KFC!$C$42)*KFC!$C$5</f>
        <v>162.01475999999997</v>
      </c>
      <c r="I77" s="702"/>
      <c r="J77" s="702"/>
      <c r="K77" s="702"/>
      <c r="L77" s="702"/>
    </row>
    <row r="78" spans="1:12" ht="16.5" customHeight="1">
      <c r="A78" s="1851"/>
      <c r="B78" s="230">
        <v>1.4</v>
      </c>
      <c r="C78" s="208">
        <f>(71.7*KFC!$B$42*1.02*1.2*1.15+KFC!$C$42)*KFC!$C$5</f>
        <v>100.92492</v>
      </c>
      <c r="D78" s="209">
        <f>(80.7*KFC!$B$42*1.02*1.2*1.15+KFC!$C$42)*KFC!$C$5</f>
        <v>113.59332000000001</v>
      </c>
      <c r="E78" s="209">
        <f>(89.5*KFC!$B$42*1.02*1.2*1.15+KFC!$C$42)*KFC!$C$5</f>
        <v>125.9802</v>
      </c>
      <c r="F78" s="209">
        <f>(98.5*KFC!$B$42*1.02*1.2*1.15+KFC!$C$42)*KFC!$C$5</f>
        <v>138.64859999999999</v>
      </c>
      <c r="G78" s="209">
        <f>(107.4*KFC!$B$42*1.02*1.2*1.15+KFC!$C$42)*KFC!$C$5</f>
        <v>151.17623999999998</v>
      </c>
      <c r="H78" s="210">
        <f>(116.4*KFC!$B$42*1.02*1.2*1.15+KFC!$C$42)*KFC!$C$5</f>
        <v>163.84464</v>
      </c>
      <c r="I78" s="702"/>
      <c r="J78" s="702"/>
      <c r="K78" s="702"/>
      <c r="L78" s="702"/>
    </row>
    <row r="79" spans="1:12" ht="16.5" customHeight="1">
      <c r="A79" s="1851"/>
      <c r="B79" s="230">
        <v>1.5</v>
      </c>
      <c r="C79" s="208">
        <f>(73*KFC!$B$42*1.02*1.2*1.15+KFC!$C$42)*KFC!$C$5</f>
        <v>102.7548</v>
      </c>
      <c r="D79" s="209">
        <f>(82*KFC!$B$42*1.02*1.2*1.15+KFC!$C$42)*KFC!$C$5</f>
        <v>115.42319999999998</v>
      </c>
      <c r="E79" s="209">
        <f>(90.7*KFC!$B$42*1.02*1.2*1.15+KFC!$C$42)*KFC!$C$5</f>
        <v>127.66932</v>
      </c>
      <c r="F79" s="209">
        <f>(99.7*KFC!$B$42*1.02*1.2*1.15+KFC!$C$42)*KFC!$C$5</f>
        <v>140.33771999999999</v>
      </c>
      <c r="G79" s="209">
        <f>(108.7*KFC!$B$42*1.02*1.2*1.15+KFC!$C$42)*KFC!$C$5</f>
        <v>153.00611999999998</v>
      </c>
      <c r="H79" s="210">
        <f>(117.7*KFC!$B$42*1.02*1.2*1.15+KFC!$C$42)*KFC!$C$5</f>
        <v>165.67451999999997</v>
      </c>
      <c r="I79" s="702"/>
      <c r="J79" s="702"/>
      <c r="K79" s="702"/>
      <c r="L79" s="702"/>
    </row>
    <row r="80" spans="1:12" ht="16.5" customHeight="1" thickBot="1">
      <c r="A80" s="1852"/>
      <c r="B80" s="231">
        <v>1.6</v>
      </c>
      <c r="C80" s="211">
        <f>(74.3*KFC!$B$42*1.02*1.2*1.15+KFC!$C$42)*KFC!$C$5</f>
        <v>104.58467999999999</v>
      </c>
      <c r="D80" s="212">
        <f>(83.3*KFC!$B$42*1.02*1.2*1.15+KFC!$C$42)*KFC!$C$5</f>
        <v>117.25307999999998</v>
      </c>
      <c r="E80" s="212">
        <f>(92*KFC!$B$42*1.02*1.2*1.15+KFC!$C$42)*KFC!$C$5</f>
        <v>129.4992</v>
      </c>
      <c r="F80" s="212">
        <f>(101*KFC!$B$42*1.02*1.2*1.15+KFC!$C$42)*KFC!$C$5</f>
        <v>142.16759999999999</v>
      </c>
      <c r="G80" s="212">
        <f>(110*KFC!$B$42*1.02*1.2*1.15+KFC!$C$42)*KFC!$C$5</f>
        <v>154.83599999999998</v>
      </c>
      <c r="H80" s="213">
        <f>(119*KFC!$B$42*1.02*1.2*1.15+KFC!$C$42)*KFC!$C$5</f>
        <v>167.50439999999995</v>
      </c>
      <c r="I80" s="702"/>
      <c r="J80" s="702"/>
      <c r="K80" s="702"/>
      <c r="L80" s="702"/>
    </row>
    <row r="81" spans="1:12" ht="16.5" customHeight="1" thickBot="1">
      <c r="A81" s="216"/>
      <c r="B81" s="215"/>
      <c r="C81" s="215"/>
      <c r="D81" s="215"/>
      <c r="E81" s="215"/>
      <c r="F81" s="215"/>
      <c r="G81" s="215"/>
      <c r="H81" s="703"/>
    </row>
    <row r="82" spans="1:12" ht="16.5" customHeight="1" thickBot="1">
      <c r="A82" s="1413" t="s">
        <v>320</v>
      </c>
      <c r="B82" s="1415"/>
      <c r="C82" s="1534" t="s">
        <v>207</v>
      </c>
      <c r="D82" s="1535"/>
      <c r="E82" s="1535"/>
      <c r="F82" s="1535"/>
      <c r="G82" s="1535"/>
      <c r="H82" s="1536"/>
      <c r="I82" s="701"/>
      <c r="J82" s="701"/>
      <c r="K82" s="700"/>
      <c r="L82" s="700"/>
    </row>
    <row r="83" spans="1:12" ht="16.5" customHeight="1" thickBot="1">
      <c r="A83" s="1803"/>
      <c r="B83" s="1802"/>
      <c r="C83" s="730">
        <v>0.38300000000000001</v>
      </c>
      <c r="D83" s="119">
        <v>0.6</v>
      </c>
      <c r="E83" s="119">
        <v>0.7</v>
      </c>
      <c r="F83" s="119">
        <v>0.8</v>
      </c>
      <c r="G83" s="119">
        <v>0.9</v>
      </c>
      <c r="H83" s="120">
        <v>1</v>
      </c>
      <c r="I83" s="701"/>
      <c r="J83" s="701"/>
      <c r="K83" s="701"/>
      <c r="L83" s="701"/>
    </row>
    <row r="84" spans="1:12" ht="16.5" customHeight="1">
      <c r="A84" s="1853" t="s">
        <v>46</v>
      </c>
      <c r="B84" s="232">
        <v>0.5</v>
      </c>
      <c r="C84" s="205">
        <f>(75.1*KFC!$B$42*1.02*1.2*1.15+KFC!$C$42)*KFC!$C$5</f>
        <v>105.71075999999996</v>
      </c>
      <c r="D84" s="206">
        <f>(87.1*KFC!$B$42*1.02*1.2*1.15+KFC!$C$42)*KFC!$C$5</f>
        <v>122.60195999999999</v>
      </c>
      <c r="E84" s="206">
        <f>(99*KFC!$B$42*1.02*1.2*1.15+KFC!$C$42)*KFC!$C$5</f>
        <v>139.35239999999999</v>
      </c>
      <c r="F84" s="206">
        <f>(111*KFC!$B$42*1.02*1.2*1.15+KFC!$C$42)*KFC!$C$5</f>
        <v>156.24359999999999</v>
      </c>
      <c r="G84" s="206">
        <f>(123.1*KFC!$B$42*1.02*1.2*1.15+KFC!$C$42)*KFC!$C$5</f>
        <v>173.27555999999998</v>
      </c>
      <c r="H84" s="207">
        <f>(135.1*KFC!$B$42*1.02*1.2*1.15+KFC!$C$42)*KFC!$C$5</f>
        <v>190.16675999999995</v>
      </c>
      <c r="I84" s="702"/>
      <c r="J84" s="702"/>
      <c r="K84" s="702"/>
      <c r="L84" s="702"/>
    </row>
    <row r="85" spans="1:12" ht="16.5" customHeight="1">
      <c r="A85" s="1854"/>
      <c r="B85" s="230">
        <v>0.6</v>
      </c>
      <c r="C85" s="208">
        <f>(76.3*KFC!$B$42*1.02*1.2*1.15+KFC!$C$42)*KFC!$C$5</f>
        <v>107.39987999999997</v>
      </c>
      <c r="D85" s="209">
        <f>(88.4*KFC!$B$42*1.02*1.2*1.15+KFC!$C$42)*KFC!$C$5</f>
        <v>124.43183999999999</v>
      </c>
      <c r="E85" s="209">
        <f>(100.2*KFC!$B$42*1.02*1.2*1.15+KFC!$C$42)*KFC!$C$5</f>
        <v>141.04151999999999</v>
      </c>
      <c r="F85" s="209">
        <f>(112.3*KFC!$B$42*1.02*1.2*1.15+KFC!$C$42)*KFC!$C$5</f>
        <v>158.07347999999999</v>
      </c>
      <c r="G85" s="209">
        <f>(124.3*KFC!$B$42*1.02*1.2*1.15+KFC!$C$42)*KFC!$C$5</f>
        <v>174.96467999999999</v>
      </c>
      <c r="H85" s="210">
        <f>(136.4*KFC!$B$42*1.02*1.2*1.15+KFC!$C$42)*KFC!$C$5</f>
        <v>191.99664000000001</v>
      </c>
      <c r="I85" s="702"/>
      <c r="J85" s="702"/>
      <c r="K85" s="702"/>
      <c r="L85" s="702"/>
    </row>
    <row r="86" spans="1:12" ht="16.5" customHeight="1">
      <c r="A86" s="1854"/>
      <c r="B86" s="230">
        <v>0.7</v>
      </c>
      <c r="C86" s="208">
        <f>(77.6*KFC!$B$42*1.02*1.2*1.15+KFC!$C$42)*KFC!$C$5</f>
        <v>109.22975999999998</v>
      </c>
      <c r="D86" s="209">
        <f>(89.6*KFC!$B$42*1.02*1.2*1.15+KFC!$C$42)*KFC!$C$5</f>
        <v>126.12095999999997</v>
      </c>
      <c r="E86" s="209">
        <f>(101.5*KFC!$B$42*1.02*1.2*1.15+KFC!$C$42)*KFC!$C$5</f>
        <v>142.87139999999997</v>
      </c>
      <c r="F86" s="209">
        <f>(113.5*KFC!$B$42*1.02*1.2*1.15+KFC!$C$42)*KFC!$C$5</f>
        <v>159.76259999999996</v>
      </c>
      <c r="G86" s="209">
        <f>(125.6*KFC!$B$42*1.02*1.2*1.15+KFC!$C$42)*KFC!$C$5</f>
        <v>176.79455999999999</v>
      </c>
      <c r="H86" s="210">
        <f>(137.6*KFC!$B$42*1.02*1.2*1.15+KFC!$C$42)*KFC!$C$5</f>
        <v>193.68575999999999</v>
      </c>
      <c r="I86" s="702"/>
      <c r="J86" s="702"/>
      <c r="K86" s="702"/>
      <c r="L86" s="702"/>
    </row>
    <row r="87" spans="1:12" ht="16.5" customHeight="1">
      <c r="A87" s="1854"/>
      <c r="B87" s="230">
        <v>0.8</v>
      </c>
      <c r="C87" s="208">
        <f>(78.8*KFC!$B$42*1.02*1.2*1.15+KFC!$C$42)*KFC!$C$5</f>
        <v>110.91887999999999</v>
      </c>
      <c r="D87" s="209">
        <f>(90.9*KFC!$B$42*1.02*1.2*1.15+KFC!$C$42)*KFC!$C$5</f>
        <v>127.95083999999999</v>
      </c>
      <c r="E87" s="209">
        <f>(102.7*KFC!$B$42*1.02*1.2*1.15+KFC!$C$42)*KFC!$C$5</f>
        <v>144.56052</v>
      </c>
      <c r="F87" s="209">
        <f>(114.8*KFC!$B$42*1.02*1.2*1.15+KFC!$C$42)*KFC!$C$5</f>
        <v>161.59247999999997</v>
      </c>
      <c r="G87" s="209">
        <f>(126.8*KFC!$B$42*1.02*1.2*1.15+KFC!$C$42)*KFC!$C$5</f>
        <v>178.48367999999999</v>
      </c>
      <c r="H87" s="210">
        <f>(138.9*KFC!$B$42*1.02*1.2*1.15+KFC!$C$42)*KFC!$C$5</f>
        <v>195.51563999999999</v>
      </c>
      <c r="I87" s="702"/>
      <c r="J87" s="702"/>
      <c r="K87" s="702"/>
      <c r="L87" s="702"/>
    </row>
    <row r="88" spans="1:12" ht="16.5" customHeight="1">
      <c r="A88" s="1854"/>
      <c r="B88" s="230">
        <v>0.9</v>
      </c>
      <c r="C88" s="208">
        <f>(80*KFC!$B$42*1.02*1.2*1.15+KFC!$C$42)*KFC!$C$5</f>
        <v>112.60799999999998</v>
      </c>
      <c r="D88" s="209">
        <f>(92.1*KFC!$B$42*1.02*1.2*1.15+KFC!$C$42)*KFC!$C$5</f>
        <v>129.63995999999997</v>
      </c>
      <c r="E88" s="209">
        <f>(104*KFC!$B$42*1.02*1.2*1.15+KFC!$C$42)*KFC!$C$5</f>
        <v>146.39039999999997</v>
      </c>
      <c r="F88" s="209">
        <f>(116*KFC!$B$42*1.02*1.2*1.15+KFC!$C$42)*KFC!$C$5</f>
        <v>163.2816</v>
      </c>
      <c r="G88" s="209">
        <f>(128.1*KFC!$B$42*1.02*1.2*1.15+KFC!$C$42)*KFC!$C$5</f>
        <v>180.31356</v>
      </c>
      <c r="H88" s="210">
        <f>(140.1*KFC!$B$42*1.02*1.2*1.15+KFC!$C$42)*KFC!$C$5</f>
        <v>197.20475999999996</v>
      </c>
      <c r="I88" s="702"/>
      <c r="J88" s="702"/>
      <c r="K88" s="702"/>
      <c r="L88" s="702"/>
    </row>
    <row r="89" spans="1:12" ht="16.5" customHeight="1">
      <c r="A89" s="1854"/>
      <c r="B89" s="230">
        <v>1</v>
      </c>
      <c r="C89" s="208">
        <f>(81.3*KFC!$B$42*1.02*1.2*1.15+KFC!$C$42)*KFC!$C$5</f>
        <v>114.43787999999999</v>
      </c>
      <c r="D89" s="209">
        <f>(93.4*KFC!$B$42*1.02*1.2*1.15+KFC!$C$42)*KFC!$C$5</f>
        <v>131.46984</v>
      </c>
      <c r="E89" s="209">
        <f>(105.2*KFC!$B$42*1.02*1.2*1.15+KFC!$C$42)*KFC!$C$5</f>
        <v>148.07952</v>
      </c>
      <c r="F89" s="209">
        <f>(117.3*KFC!$B$42*1.02*1.2*1.15+KFC!$C$42)*KFC!$C$5</f>
        <v>165.11147999999997</v>
      </c>
      <c r="G89" s="209">
        <f>(129.3*KFC!$B$42*1.02*1.2*1.15+KFC!$C$42)*KFC!$C$5</f>
        <v>182.00268</v>
      </c>
      <c r="H89" s="210">
        <f>(141.4*KFC!$B$42*1.02*1.2*1.15+KFC!$C$42)*KFC!$C$5</f>
        <v>199.03464</v>
      </c>
      <c r="I89" s="702"/>
      <c r="J89" s="702"/>
      <c r="K89" s="702"/>
      <c r="L89" s="702"/>
    </row>
    <row r="90" spans="1:12" ht="16.5" customHeight="1">
      <c r="A90" s="1854"/>
      <c r="B90" s="230">
        <v>1.1000000000000001</v>
      </c>
      <c r="C90" s="208">
        <f>(82.5*KFC!$B$42*1.02*1.2*1.15+KFC!$C$42)*KFC!$C$5</f>
        <v>116.127</v>
      </c>
      <c r="D90" s="209">
        <f>(94.6*KFC!$B$42*1.02*1.2*1.15+KFC!$C$42)*KFC!$C$5</f>
        <v>133.15895999999995</v>
      </c>
      <c r="E90" s="209">
        <f>(106.4*KFC!$B$42*1.02*1.2*1.15+KFC!$C$42)*KFC!$C$5</f>
        <v>149.76863999999998</v>
      </c>
      <c r="F90" s="209">
        <f>(118.5*KFC!$B$42*1.02*1.2*1.15+KFC!$C$42)*KFC!$C$5</f>
        <v>166.8006</v>
      </c>
      <c r="G90" s="209">
        <f>(130.6*KFC!$B$42*1.02*1.2*1.15+KFC!$C$42)*KFC!$C$5</f>
        <v>183.83255999999994</v>
      </c>
      <c r="H90" s="210">
        <f>(142.6*KFC!$B$42*1.02*1.2*1.15+KFC!$C$42)*KFC!$C$5</f>
        <v>200.72375999999997</v>
      </c>
      <c r="I90" s="702"/>
      <c r="J90" s="702"/>
      <c r="K90" s="702"/>
      <c r="L90" s="702"/>
    </row>
    <row r="91" spans="1:12" ht="16.5" customHeight="1">
      <c r="A91" s="1854"/>
      <c r="B91" s="230">
        <v>1.2</v>
      </c>
      <c r="C91" s="208">
        <f>(83.8*KFC!$B$42*1.02*1.2*1.15+KFC!$C$42)*KFC!$C$5</f>
        <v>117.95687999999998</v>
      </c>
      <c r="D91" s="209">
        <f>(95.8*KFC!$B$42*1.02*1.2*1.15+KFC!$C$42)*KFC!$C$5</f>
        <v>134.84807999999998</v>
      </c>
      <c r="E91" s="209">
        <f>(107.7*KFC!$B$42*1.02*1.2*1.15+KFC!$C$42)*KFC!$C$5</f>
        <v>151.59851999999998</v>
      </c>
      <c r="F91" s="209">
        <f>(119.8*KFC!$B$42*1.02*1.2*1.15+KFC!$C$42)*KFC!$C$5</f>
        <v>168.63047999999998</v>
      </c>
      <c r="G91" s="209">
        <f>(131.8*KFC!$B$42*1.02*1.2*1.15+KFC!$C$42)*KFC!$C$5</f>
        <v>185.52168</v>
      </c>
      <c r="H91" s="210">
        <f>(143.9*KFC!$B$42*1.02*1.2*1.15+KFC!$C$42)*KFC!$C$5</f>
        <v>202.55364000000003</v>
      </c>
      <c r="I91" s="702"/>
      <c r="J91" s="702"/>
      <c r="K91" s="702"/>
      <c r="L91" s="702"/>
    </row>
    <row r="92" spans="1:12" ht="16.5" customHeight="1">
      <c r="A92" s="1854"/>
      <c r="B92" s="230">
        <v>1.3</v>
      </c>
      <c r="C92" s="208">
        <f>(85*KFC!$B$42*1.02*1.2*1.15+KFC!$C$42)*KFC!$C$5</f>
        <v>119.646</v>
      </c>
      <c r="D92" s="209">
        <f>(97.1*KFC!$B$42*1.02*1.2*1.15+KFC!$C$42)*KFC!$C$5</f>
        <v>136.67795999999998</v>
      </c>
      <c r="E92" s="209">
        <f>(108.9*KFC!$B$42*1.02*1.2*1.15+KFC!$C$42)*KFC!$C$5</f>
        <v>153.28763999999998</v>
      </c>
      <c r="F92" s="209">
        <f>(121*KFC!$B$42*1.02*1.2*1.15+KFC!$C$42)*KFC!$C$5</f>
        <v>170.31959999999998</v>
      </c>
      <c r="G92" s="209">
        <f>(133.1*KFC!$B$42*1.02*1.2*1.15+KFC!$C$42)*KFC!$C$5</f>
        <v>187.35155999999998</v>
      </c>
      <c r="H92" s="210">
        <f>(145.1*KFC!$B$42*1.02*1.2*1.15+KFC!$C$42)*KFC!$C$5</f>
        <v>204.24276</v>
      </c>
      <c r="I92" s="702"/>
      <c r="J92" s="702"/>
      <c r="K92" s="702"/>
      <c r="L92" s="702"/>
    </row>
    <row r="93" spans="1:12" ht="16.5" customHeight="1">
      <c r="A93" s="1854"/>
      <c r="B93" s="230">
        <v>1.4</v>
      </c>
      <c r="C93" s="208">
        <f>(86.3*KFC!$B$42*1.02*1.2*1.15+KFC!$C$42)*KFC!$C$5</f>
        <v>121.47587999999998</v>
      </c>
      <c r="D93" s="209">
        <f>(98.3*KFC!$B$42*1.02*1.2*1.15+KFC!$C$42)*KFC!$C$5</f>
        <v>138.36707999999999</v>
      </c>
      <c r="E93" s="209">
        <f>(110.2*KFC!$B$42*1.02*1.2*1.15+KFC!$C$42)*KFC!$C$5</f>
        <v>155.11752000000001</v>
      </c>
      <c r="F93" s="209">
        <f>(122.3*KFC!$B$42*1.02*1.2*1.15+KFC!$C$42)*KFC!$C$5</f>
        <v>172.14947999999998</v>
      </c>
      <c r="G93" s="209">
        <f>(134.3*KFC!$B$42*1.02*1.2*1.15+KFC!$C$42)*KFC!$C$5</f>
        <v>189.04068000000001</v>
      </c>
      <c r="H93" s="210">
        <f>(146.4*KFC!$B$42*1.02*1.2*1.15+KFC!$C$42)*KFC!$C$5</f>
        <v>206.07263999999998</v>
      </c>
      <c r="I93" s="702"/>
      <c r="J93" s="702"/>
      <c r="K93" s="702"/>
      <c r="L93" s="702"/>
    </row>
    <row r="94" spans="1:12" ht="16.5" customHeight="1">
      <c r="A94" s="1854"/>
      <c r="B94" s="230">
        <v>1.5</v>
      </c>
      <c r="C94" s="208">
        <f>(87.5*KFC!$B$42*1.02*1.2*1.15+KFC!$C$42)*KFC!$C$5</f>
        <v>123.16499999999998</v>
      </c>
      <c r="D94" s="209">
        <f>(99.6*KFC!$B$42*1.02*1.2*1.15+KFC!$C$42)*KFC!$C$5</f>
        <v>140.19695999999999</v>
      </c>
      <c r="E94" s="209">
        <f>(111.4*KFC!$B$42*1.02*1.2*1.15+KFC!$C$42)*KFC!$C$5</f>
        <v>156.80663999999999</v>
      </c>
      <c r="F94" s="209">
        <f>(123.5*KFC!$B$42*1.02*1.2*1.15+KFC!$C$42)*KFC!$C$5</f>
        <v>173.83859999999999</v>
      </c>
      <c r="G94" s="209">
        <f>(135.6*KFC!$B$42*1.02*1.2*1.15+KFC!$C$42)*KFC!$C$5</f>
        <v>190.87055999999995</v>
      </c>
      <c r="H94" s="210">
        <f>(147.6*KFC!$B$42*1.02*1.2*1.15+KFC!$C$42)*KFC!$C$5</f>
        <v>207.76175999999998</v>
      </c>
      <c r="I94" s="702"/>
      <c r="J94" s="702"/>
      <c r="K94" s="702"/>
      <c r="L94" s="702"/>
    </row>
    <row r="95" spans="1:12" ht="16.5" customHeight="1" thickBot="1">
      <c r="A95" s="1855"/>
      <c r="B95" s="231">
        <v>1.6</v>
      </c>
      <c r="C95" s="211">
        <f>(88.8*KFC!$B$42*1.02*1.2*1.15+KFC!$C$42)*KFC!$C$5</f>
        <v>124.99487999999998</v>
      </c>
      <c r="D95" s="212">
        <f>(100.8*KFC!$B$42*1.02*1.2*1.15+KFC!$C$42)*KFC!$C$5</f>
        <v>141.88607999999999</v>
      </c>
      <c r="E95" s="212">
        <f>(112.7*KFC!$B$42*1.02*1.2*1.15+KFC!$C$42)*KFC!$C$5</f>
        <v>158.63652000000002</v>
      </c>
      <c r="F95" s="212">
        <f>(124.7*KFC!$B$42*1.02*1.2*1.15+KFC!$C$42)*KFC!$C$5</f>
        <v>175.52771999999999</v>
      </c>
      <c r="G95" s="212">
        <f>(136.8*KFC!$B$42*1.02*1.2*1.15+KFC!$C$42)*KFC!$C$5</f>
        <v>192.55967999999999</v>
      </c>
      <c r="H95" s="213">
        <f>(148.9*KFC!$B$42*1.02*1.2*1.15+KFC!$C$42)*KFC!$C$5</f>
        <v>209.59163999999998</v>
      </c>
      <c r="I95" s="702"/>
      <c r="J95" s="702"/>
      <c r="K95" s="702"/>
      <c r="L95" s="702"/>
    </row>
    <row r="96" spans="1:12" ht="13.8" thickBot="1">
      <c r="A96" s="349" t="s">
        <v>303</v>
      </c>
      <c r="B96" s="218"/>
      <c r="C96" s="218"/>
      <c r="D96" s="218"/>
      <c r="E96" s="218"/>
      <c r="F96" s="218"/>
      <c r="G96" s="218"/>
      <c r="H96" s="218"/>
      <c r="I96" s="714"/>
      <c r="J96" s="462"/>
      <c r="K96" s="462"/>
      <c r="L96" s="462"/>
    </row>
    <row r="97" spans="1:12" ht="14.4" thickBot="1">
      <c r="A97" s="219" t="s">
        <v>131</v>
      </c>
      <c r="B97" s="219"/>
      <c r="C97" s="220"/>
      <c r="D97" s="161"/>
      <c r="E97" s="221" t="s">
        <v>326</v>
      </c>
      <c r="F97" s="363">
        <f>(12*KFC!$B$42*1.02*1.15+KFC!$C$42)*KFC!$C$5</f>
        <v>14.075999999999999</v>
      </c>
      <c r="G97" s="222" t="s">
        <v>325</v>
      </c>
      <c r="H97" s="161"/>
      <c r="I97" s="715"/>
      <c r="J97" s="462"/>
      <c r="K97" s="462"/>
      <c r="L97" s="462"/>
    </row>
    <row r="98" spans="1:12" ht="13.8" thickBot="1">
      <c r="A98" s="223"/>
      <c r="B98" s="223"/>
      <c r="C98" s="220"/>
      <c r="D98" s="161"/>
      <c r="E98" s="221" t="s">
        <v>327</v>
      </c>
      <c r="F98" s="363">
        <f>(13*KFC!$B$42*1.02*1.15+KFC!$C$42)*KFC!$C$5</f>
        <v>15.248999999999999</v>
      </c>
      <c r="G98" s="222" t="s">
        <v>325</v>
      </c>
      <c r="H98" s="161"/>
      <c r="I98" s="161"/>
      <c r="J98" s="355"/>
      <c r="K98" s="355"/>
      <c r="L98" s="355"/>
    </row>
    <row r="99" spans="1:12">
      <c r="A99" s="350"/>
      <c r="B99" s="350"/>
      <c r="C99" s="351"/>
      <c r="D99" s="352"/>
      <c r="E99" s="353" t="s">
        <v>328</v>
      </c>
      <c r="F99" s="364">
        <f>(14*KFC!$B$42*1.02*1.15+KFC!$C$42)*KFC!$C$5</f>
        <v>16.422000000000001</v>
      </c>
      <c r="G99" s="354" t="s">
        <v>325</v>
      </c>
      <c r="H99" s="352"/>
      <c r="I99" s="352"/>
      <c r="J99" s="352"/>
      <c r="K99" s="352"/>
      <c r="L99" s="352"/>
    </row>
    <row r="100" spans="1:12" ht="13.8" thickBot="1">
      <c r="A100" s="355"/>
      <c r="B100" s="355"/>
      <c r="C100" s="355"/>
      <c r="D100" s="355"/>
      <c r="E100" s="355"/>
      <c r="F100" s="355"/>
      <c r="G100" s="355"/>
      <c r="H100" s="355"/>
      <c r="I100" s="355"/>
      <c r="J100" s="355"/>
      <c r="K100" s="355"/>
      <c r="L100" s="356"/>
    </row>
    <row r="101" spans="1:12" ht="13.8" thickBot="1">
      <c r="A101" s="161"/>
      <c r="B101" s="161"/>
      <c r="C101" s="161"/>
      <c r="D101" s="161"/>
      <c r="E101" s="161"/>
      <c r="F101" s="161"/>
      <c r="G101" s="161"/>
      <c r="H101" s="161"/>
      <c r="I101" s="161"/>
      <c r="J101" s="161"/>
      <c r="K101" s="161"/>
      <c r="L101" s="357"/>
    </row>
    <row r="102" spans="1:12" ht="13.8" thickBot="1">
      <c r="A102" s="161"/>
      <c r="B102" s="161"/>
      <c r="C102" s="161"/>
      <c r="D102" s="161"/>
      <c r="E102" s="161"/>
      <c r="F102" s="161"/>
      <c r="G102" s="161"/>
      <c r="H102" s="161"/>
      <c r="I102" s="161"/>
      <c r="J102" s="161"/>
      <c r="K102" s="161"/>
      <c r="L102" s="357"/>
    </row>
    <row r="103" spans="1:12" ht="13.8" thickBot="1">
      <c r="A103" s="161"/>
      <c r="B103" s="161"/>
      <c r="C103" s="161"/>
      <c r="D103" s="161"/>
      <c r="E103" s="161"/>
      <c r="F103" s="161"/>
      <c r="G103" s="161"/>
      <c r="H103" s="161"/>
      <c r="I103" s="161"/>
      <c r="J103" s="161"/>
      <c r="K103" s="161"/>
      <c r="L103" s="357"/>
    </row>
    <row r="104" spans="1:12" ht="13.8" thickBot="1">
      <c r="A104" s="161"/>
      <c r="B104" s="161"/>
      <c r="C104" s="161"/>
      <c r="D104" s="161"/>
      <c r="E104" s="161"/>
      <c r="F104" s="161"/>
      <c r="G104" s="161"/>
      <c r="H104" s="161"/>
      <c r="I104" s="161"/>
      <c r="J104" s="161"/>
      <c r="K104" s="161"/>
      <c r="L104" s="357"/>
    </row>
    <row r="105" spans="1:12" ht="13.8" thickBot="1">
      <c r="A105" s="161"/>
      <c r="B105" s="161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</row>
    <row r="106" spans="1:12" ht="24.75" customHeight="1" thickBot="1">
      <c r="A106" s="1860" t="s">
        <v>711</v>
      </c>
      <c r="B106" s="1860"/>
      <c r="C106" s="1860"/>
      <c r="D106" s="1860"/>
      <c r="E106" s="1860"/>
      <c r="F106" s="1860"/>
      <c r="G106" s="1860"/>
      <c r="H106" s="1860"/>
      <c r="I106" s="1860"/>
      <c r="J106" s="1860"/>
      <c r="K106" s="1860"/>
      <c r="L106" s="1860"/>
    </row>
    <row r="107" spans="1:12" ht="35.25" customHeight="1" thickBot="1">
      <c r="A107" s="1861" t="s">
        <v>396</v>
      </c>
      <c r="B107" s="1862"/>
      <c r="C107" s="1862" t="s">
        <v>397</v>
      </c>
      <c r="D107" s="1862"/>
      <c r="E107" s="1862" t="s">
        <v>398</v>
      </c>
      <c r="F107" s="1862"/>
      <c r="G107" s="1862" t="s">
        <v>712</v>
      </c>
      <c r="H107" s="1863"/>
      <c r="I107" s="1861" t="s">
        <v>1046</v>
      </c>
      <c r="J107" s="1866"/>
      <c r="K107" s="1870" t="s">
        <v>399</v>
      </c>
      <c r="L107" s="1866"/>
    </row>
    <row r="108" spans="1:12" ht="12.75" customHeight="1" thickBot="1">
      <c r="A108" s="1858" t="s">
        <v>713</v>
      </c>
      <c r="B108" s="1856"/>
      <c r="C108" s="1856" t="s">
        <v>714</v>
      </c>
      <c r="D108" s="1856"/>
      <c r="E108" s="1856" t="s">
        <v>715</v>
      </c>
      <c r="F108" s="1857"/>
      <c r="G108" s="1858" t="s">
        <v>716</v>
      </c>
      <c r="H108" s="1859"/>
      <c r="I108" s="1867" t="s">
        <v>717</v>
      </c>
      <c r="J108" s="1868"/>
      <c r="K108" s="1869" t="s">
        <v>1047</v>
      </c>
      <c r="L108" s="1859"/>
    </row>
    <row r="109" spans="1:12" ht="13.95" customHeight="1">
      <c r="A109" s="1864" t="s">
        <v>465</v>
      </c>
      <c r="B109" s="1865"/>
      <c r="C109" s="1871" t="s">
        <v>394</v>
      </c>
      <c r="D109" s="1872"/>
      <c r="E109" s="1864" t="s">
        <v>167</v>
      </c>
      <c r="F109" s="1865"/>
      <c r="G109" s="1844" t="s">
        <v>466</v>
      </c>
      <c r="H109" s="1845"/>
      <c r="I109" s="1841" t="s">
        <v>718</v>
      </c>
      <c r="J109" s="1842"/>
      <c r="K109" s="1864" t="s">
        <v>32</v>
      </c>
      <c r="L109" s="1865"/>
    </row>
    <row r="110" spans="1:12" ht="13.95" customHeight="1">
      <c r="A110" s="1841" t="s">
        <v>162</v>
      </c>
      <c r="B110" s="1846"/>
      <c r="C110" s="1844" t="s">
        <v>395</v>
      </c>
      <c r="D110" s="1845"/>
      <c r="E110" s="1841" t="s">
        <v>402</v>
      </c>
      <c r="F110" s="1846"/>
      <c r="G110" s="1844" t="s">
        <v>747</v>
      </c>
      <c r="H110" s="1845"/>
      <c r="I110" s="1841" t="s">
        <v>60</v>
      </c>
      <c r="J110" s="1842"/>
      <c r="K110" s="1841" t="s">
        <v>161</v>
      </c>
      <c r="L110" s="1846"/>
    </row>
    <row r="111" spans="1:12" ht="13.95" customHeight="1">
      <c r="A111" s="1841" t="s">
        <v>76</v>
      </c>
      <c r="B111" s="1846"/>
      <c r="C111" s="1844"/>
      <c r="D111" s="1845"/>
      <c r="E111" s="1841" t="s">
        <v>373</v>
      </c>
      <c r="F111" s="1846"/>
      <c r="G111" s="1844" t="s">
        <v>467</v>
      </c>
      <c r="H111" s="1845"/>
      <c r="I111" s="1841" t="s">
        <v>722</v>
      </c>
      <c r="J111" s="1842"/>
      <c r="K111" s="1841" t="s">
        <v>464</v>
      </c>
      <c r="L111" s="1846"/>
    </row>
    <row r="112" spans="1:12" ht="12.75" customHeight="1">
      <c r="A112" s="1841" t="s">
        <v>164</v>
      </c>
      <c r="B112" s="1846"/>
      <c r="C112" s="1844"/>
      <c r="D112" s="1845"/>
      <c r="E112" s="1841" t="s">
        <v>165</v>
      </c>
      <c r="F112" s="1846"/>
      <c r="G112" s="1844" t="s">
        <v>62</v>
      </c>
      <c r="H112" s="1845"/>
      <c r="I112" s="1841" t="s">
        <v>370</v>
      </c>
      <c r="J112" s="1842"/>
      <c r="K112" s="1841" t="s">
        <v>719</v>
      </c>
      <c r="L112" s="1846"/>
    </row>
    <row r="113" spans="1:12" ht="12.75" customHeight="1">
      <c r="A113" s="1841" t="s">
        <v>156</v>
      </c>
      <c r="B113" s="1846"/>
      <c r="C113" s="1844"/>
      <c r="D113" s="1845"/>
      <c r="E113" s="1841" t="s">
        <v>80</v>
      </c>
      <c r="F113" s="1846"/>
      <c r="G113" s="1844" t="s">
        <v>63</v>
      </c>
      <c r="H113" s="1845"/>
      <c r="I113" s="1841" t="s">
        <v>116</v>
      </c>
      <c r="J113" s="1842"/>
      <c r="K113" s="1841" t="s">
        <v>742</v>
      </c>
      <c r="L113" s="1846"/>
    </row>
    <row r="114" spans="1:12" ht="12.75" customHeight="1">
      <c r="A114" s="1841" t="s">
        <v>468</v>
      </c>
      <c r="B114" s="1846"/>
      <c r="C114" s="1844" t="s">
        <v>401</v>
      </c>
      <c r="D114" s="1845"/>
      <c r="E114" s="1841" t="s">
        <v>404</v>
      </c>
      <c r="F114" s="1846"/>
      <c r="G114" s="1844" t="s">
        <v>720</v>
      </c>
      <c r="H114" s="1845"/>
      <c r="I114" s="1841" t="s">
        <v>11</v>
      </c>
      <c r="J114" s="1842"/>
      <c r="K114" s="1841" t="s">
        <v>69</v>
      </c>
      <c r="L114" s="1846"/>
    </row>
    <row r="115" spans="1:12" ht="13.2" customHeight="1">
      <c r="A115" s="1841" t="s">
        <v>469</v>
      </c>
      <c r="B115" s="1846"/>
      <c r="C115" s="1844"/>
      <c r="D115" s="1845"/>
      <c r="E115" s="1841" t="s">
        <v>741</v>
      </c>
      <c r="F115" s="1846"/>
      <c r="G115" s="1844" t="s">
        <v>400</v>
      </c>
      <c r="H115" s="1845"/>
      <c r="I115" s="1841" t="s">
        <v>723</v>
      </c>
      <c r="J115" s="1842"/>
      <c r="K115" s="1841" t="s">
        <v>721</v>
      </c>
      <c r="L115" s="1846"/>
    </row>
    <row r="116" spans="1:12" ht="12.75" customHeight="1">
      <c r="A116" s="1841" t="s">
        <v>58</v>
      </c>
      <c r="B116" s="1846"/>
      <c r="C116" s="1844"/>
      <c r="D116" s="1845"/>
      <c r="E116" s="1844" t="s">
        <v>393</v>
      </c>
      <c r="F116" s="1845"/>
      <c r="G116" s="1844" t="s">
        <v>740</v>
      </c>
      <c r="H116" s="1845"/>
      <c r="I116" s="1841" t="s">
        <v>724</v>
      </c>
      <c r="J116" s="1842"/>
      <c r="K116" s="1841" t="s">
        <v>153</v>
      </c>
      <c r="L116" s="1846"/>
    </row>
    <row r="117" spans="1:12" ht="12.75" customHeight="1">
      <c r="A117" s="1841" t="s">
        <v>151</v>
      </c>
      <c r="B117" s="1846"/>
      <c r="C117" s="1844"/>
      <c r="D117" s="1845"/>
      <c r="E117" s="1844" t="s">
        <v>371</v>
      </c>
      <c r="F117" s="1845"/>
      <c r="G117" s="1844" t="s">
        <v>472</v>
      </c>
      <c r="H117" s="1845"/>
      <c r="I117" s="1841" t="s">
        <v>351</v>
      </c>
      <c r="J117" s="1842"/>
      <c r="K117" s="1841" t="s">
        <v>169</v>
      </c>
      <c r="L117" s="1846"/>
    </row>
    <row r="118" spans="1:12" ht="13.95" customHeight="1">
      <c r="A118" s="1841" t="s">
        <v>166</v>
      </c>
      <c r="B118" s="1846"/>
      <c r="C118" s="1844"/>
      <c r="D118" s="1845"/>
      <c r="E118" s="1844" t="s">
        <v>375</v>
      </c>
      <c r="F118" s="1845"/>
      <c r="G118" s="1844" t="s">
        <v>749</v>
      </c>
      <c r="H118" s="1845"/>
      <c r="I118" s="1841" t="s">
        <v>725</v>
      </c>
      <c r="J118" s="1842"/>
      <c r="K118" s="1841" t="s">
        <v>84</v>
      </c>
      <c r="L118" s="1846"/>
    </row>
    <row r="119" spans="1:12" ht="12.75" customHeight="1">
      <c r="A119" s="1841" t="s">
        <v>82</v>
      </c>
      <c r="B119" s="1846"/>
      <c r="C119" s="1844"/>
      <c r="D119" s="1845"/>
      <c r="E119" s="1844" t="s">
        <v>372</v>
      </c>
      <c r="F119" s="1845"/>
      <c r="G119" s="1841" t="s">
        <v>429</v>
      </c>
      <c r="H119" s="1842"/>
      <c r="I119" s="1841" t="s">
        <v>726</v>
      </c>
      <c r="J119" s="1842"/>
      <c r="K119" s="1841" t="s">
        <v>59</v>
      </c>
      <c r="L119" s="1846"/>
    </row>
    <row r="120" spans="1:12" ht="12.75" customHeight="1">
      <c r="A120" s="1841" t="s">
        <v>473</v>
      </c>
      <c r="B120" s="1846"/>
      <c r="C120" s="1844"/>
      <c r="D120" s="1845"/>
      <c r="E120" s="1844" t="s">
        <v>97</v>
      </c>
      <c r="F120" s="1845"/>
      <c r="G120" s="1841" t="s">
        <v>1053</v>
      </c>
      <c r="H120" s="1842"/>
      <c r="I120" s="1841" t="s">
        <v>728</v>
      </c>
      <c r="J120" s="1842"/>
      <c r="K120" s="1841" t="s">
        <v>470</v>
      </c>
      <c r="L120" s="1846"/>
    </row>
    <row r="121" spans="1:12" ht="12.75" customHeight="1">
      <c r="A121" s="1841" t="s">
        <v>160</v>
      </c>
      <c r="B121" s="1846"/>
      <c r="C121" s="1844"/>
      <c r="D121" s="1845"/>
      <c r="E121" s="1844" t="s">
        <v>85</v>
      </c>
      <c r="F121" s="1845"/>
      <c r="G121" s="1841" t="s">
        <v>1052</v>
      </c>
      <c r="H121" s="1842"/>
      <c r="I121" s="1841" t="s">
        <v>444</v>
      </c>
      <c r="J121" s="1842"/>
      <c r="K121" s="1841" t="s">
        <v>81</v>
      </c>
      <c r="L121" s="1846"/>
    </row>
    <row r="122" spans="1:12">
      <c r="A122" s="1841" t="s">
        <v>159</v>
      </c>
      <c r="B122" s="1846"/>
      <c r="C122" s="1844"/>
      <c r="D122" s="1845"/>
      <c r="E122" s="1844" t="s">
        <v>96</v>
      </c>
      <c r="F122" s="1845"/>
      <c r="G122" s="1841"/>
      <c r="H122" s="1842"/>
      <c r="I122" s="1841"/>
      <c r="J122" s="1842"/>
      <c r="K122" s="1841" t="s">
        <v>83</v>
      </c>
      <c r="L122" s="1846"/>
    </row>
    <row r="123" spans="1:12" ht="12.75" customHeight="1">
      <c r="A123" s="1841" t="s">
        <v>79</v>
      </c>
      <c r="B123" s="1846"/>
      <c r="C123" s="1844"/>
      <c r="D123" s="1845"/>
      <c r="E123" s="1841"/>
      <c r="F123" s="1846"/>
      <c r="G123" s="1841"/>
      <c r="H123" s="1842"/>
      <c r="I123" s="1841"/>
      <c r="J123" s="1842"/>
      <c r="K123" s="1841" t="s">
        <v>403</v>
      </c>
      <c r="L123" s="1846"/>
    </row>
    <row r="124" spans="1:12" ht="13.95" customHeight="1">
      <c r="A124" s="1841" t="s">
        <v>70</v>
      </c>
      <c r="B124" s="1846"/>
      <c r="C124" s="1844"/>
      <c r="D124" s="1845"/>
      <c r="E124" s="1841"/>
      <c r="F124" s="1846"/>
      <c r="G124" s="1841"/>
      <c r="H124" s="1842"/>
      <c r="I124" s="1841"/>
      <c r="J124" s="1842"/>
      <c r="K124" s="1841" t="s">
        <v>148</v>
      </c>
      <c r="L124" s="1846"/>
    </row>
    <row r="125" spans="1:12" ht="13.95" customHeight="1">
      <c r="A125" s="1841" t="s">
        <v>75</v>
      </c>
      <c r="B125" s="1846"/>
      <c r="C125" s="1844"/>
      <c r="D125" s="1845"/>
      <c r="E125" s="1841"/>
      <c r="F125" s="1846"/>
      <c r="G125" s="1841"/>
      <c r="H125" s="1842"/>
      <c r="I125" s="1841"/>
      <c r="J125" s="1842"/>
      <c r="K125" s="1841" t="s">
        <v>170</v>
      </c>
      <c r="L125" s="1846"/>
    </row>
    <row r="126" spans="1:12" ht="13.95" customHeight="1">
      <c r="A126" s="1841" t="s">
        <v>405</v>
      </c>
      <c r="B126" s="1846"/>
      <c r="C126" s="1844"/>
      <c r="D126" s="1845"/>
      <c r="E126" s="1841"/>
      <c r="F126" s="1846"/>
      <c r="G126" s="1841"/>
      <c r="H126" s="1842"/>
      <c r="I126" s="1841"/>
      <c r="J126" s="1846"/>
      <c r="K126" s="1841" t="s">
        <v>74</v>
      </c>
      <c r="L126" s="1846"/>
    </row>
    <row r="127" spans="1:12" ht="13.2" customHeight="1">
      <c r="A127" s="1841" t="s">
        <v>57</v>
      </c>
      <c r="B127" s="1846"/>
      <c r="C127" s="1844"/>
      <c r="D127" s="1845"/>
      <c r="E127" s="1841"/>
      <c r="F127" s="1846"/>
      <c r="G127" s="1841"/>
      <c r="H127" s="1842"/>
      <c r="I127" s="1841"/>
      <c r="J127" s="1842"/>
      <c r="K127" s="1841" t="s">
        <v>471</v>
      </c>
      <c r="L127" s="1846"/>
    </row>
    <row r="128" spans="1:12" ht="12.75" customHeight="1">
      <c r="A128" s="1841" t="s">
        <v>150</v>
      </c>
      <c r="B128" s="1846"/>
      <c r="C128" s="1844"/>
      <c r="D128" s="1845"/>
      <c r="E128" s="1841"/>
      <c r="F128" s="1846"/>
      <c r="G128" s="1841"/>
      <c r="H128" s="1842"/>
      <c r="I128" s="1841"/>
      <c r="J128" s="1842"/>
      <c r="K128" s="1841" t="s">
        <v>727</v>
      </c>
      <c r="L128" s="1846"/>
    </row>
    <row r="129" spans="1:12" ht="13.95" customHeight="1">
      <c r="A129" s="1841" t="s">
        <v>729</v>
      </c>
      <c r="B129" s="1846"/>
      <c r="C129" s="1844"/>
      <c r="D129" s="1845"/>
      <c r="E129" s="1841"/>
      <c r="F129" s="1846"/>
      <c r="G129" s="1841"/>
      <c r="H129" s="1842"/>
      <c r="I129" s="1841"/>
      <c r="J129" s="1842"/>
      <c r="K129" s="1841" t="s">
        <v>157</v>
      </c>
      <c r="L129" s="1846"/>
    </row>
    <row r="130" spans="1:12" ht="13.95" customHeight="1">
      <c r="A130" s="1841" t="s">
        <v>65</v>
      </c>
      <c r="B130" s="1846"/>
      <c r="C130" s="1844"/>
      <c r="D130" s="1845"/>
      <c r="E130" s="1841"/>
      <c r="F130" s="1846"/>
      <c r="G130" s="1841"/>
      <c r="H130" s="1842"/>
      <c r="I130" s="1841"/>
      <c r="J130" s="1842"/>
      <c r="K130" s="1841" t="s">
        <v>171</v>
      </c>
      <c r="L130" s="1846"/>
    </row>
    <row r="131" spans="1:12" ht="13.2" customHeight="1">
      <c r="A131" s="1841" t="s">
        <v>200</v>
      </c>
      <c r="B131" s="1846"/>
      <c r="C131" s="1844"/>
      <c r="D131" s="1845"/>
      <c r="E131" s="1841"/>
      <c r="F131" s="1846"/>
      <c r="G131" s="1841"/>
      <c r="H131" s="1842"/>
      <c r="I131" s="1841"/>
      <c r="J131" s="1842"/>
      <c r="K131" s="1841" t="s">
        <v>64</v>
      </c>
      <c r="L131" s="1846"/>
    </row>
    <row r="132" spans="1:12">
      <c r="A132" s="1841" t="s">
        <v>61</v>
      </c>
      <c r="B132" s="1846"/>
      <c r="C132" s="1844"/>
      <c r="D132" s="1845"/>
      <c r="E132" s="1841"/>
      <c r="F132" s="1846"/>
      <c r="G132" s="1841"/>
      <c r="H132" s="1842"/>
      <c r="I132" s="1841"/>
      <c r="J132" s="1842"/>
      <c r="K132" s="1841" t="s">
        <v>743</v>
      </c>
      <c r="L132" s="1846"/>
    </row>
    <row r="133" spans="1:12">
      <c r="A133" s="1841" t="s">
        <v>98</v>
      </c>
      <c r="B133" s="1846"/>
      <c r="C133" s="1844"/>
      <c r="D133" s="1845"/>
      <c r="E133" s="1841"/>
      <c r="F133" s="1846"/>
      <c r="G133" s="1841"/>
      <c r="H133" s="1842"/>
      <c r="I133" s="1841"/>
      <c r="J133" s="1846"/>
      <c r="K133" s="1841" t="s">
        <v>163</v>
      </c>
      <c r="L133" s="1846"/>
    </row>
    <row r="134" spans="1:12" ht="13.95" customHeight="1">
      <c r="A134" s="1841" t="s">
        <v>474</v>
      </c>
      <c r="B134" s="1846"/>
      <c r="C134" s="1844"/>
      <c r="D134" s="1845"/>
      <c r="E134" s="1841"/>
      <c r="F134" s="1846"/>
      <c r="G134" s="1841"/>
      <c r="H134" s="1842"/>
      <c r="I134" s="1841"/>
      <c r="J134" s="1846"/>
      <c r="K134" s="1841" t="s">
        <v>158</v>
      </c>
      <c r="L134" s="1846"/>
    </row>
    <row r="135" spans="1:12">
      <c r="A135" s="1841" t="s">
        <v>730</v>
      </c>
      <c r="B135" s="1846"/>
      <c r="C135" s="1844"/>
      <c r="D135" s="1845"/>
      <c r="E135" s="1841"/>
      <c r="F135" s="1846"/>
      <c r="G135" s="1841"/>
      <c r="H135" s="1842"/>
      <c r="I135" s="1841"/>
      <c r="J135" s="1846"/>
      <c r="K135" s="1841" t="s">
        <v>71</v>
      </c>
      <c r="L135" s="1846"/>
    </row>
    <row r="136" spans="1:12" ht="12.75" customHeight="1">
      <c r="A136" s="1841" t="s">
        <v>106</v>
      </c>
      <c r="B136" s="1846"/>
      <c r="C136" s="1844"/>
      <c r="D136" s="1845"/>
      <c r="E136" s="1841"/>
      <c r="F136" s="1846"/>
      <c r="G136" s="1841"/>
      <c r="H136" s="1842"/>
      <c r="I136" s="1841"/>
      <c r="J136" s="1846"/>
      <c r="K136" s="1841" t="s">
        <v>72</v>
      </c>
      <c r="L136" s="1846"/>
    </row>
    <row r="137" spans="1:12" ht="12.75" customHeight="1">
      <c r="A137" s="1841" t="s">
        <v>154</v>
      </c>
      <c r="B137" s="1846"/>
      <c r="C137" s="1844"/>
      <c r="D137" s="1845"/>
      <c r="E137" s="1841"/>
      <c r="F137" s="1846"/>
      <c r="G137" s="1841"/>
      <c r="H137" s="1842"/>
      <c r="I137" s="1841"/>
      <c r="J137" s="1846"/>
      <c r="K137" s="1841" t="s">
        <v>731</v>
      </c>
      <c r="L137" s="1846"/>
    </row>
    <row r="138" spans="1:12">
      <c r="A138" s="1841" t="s">
        <v>117</v>
      </c>
      <c r="B138" s="1846"/>
      <c r="C138" s="1844"/>
      <c r="D138" s="1845"/>
      <c r="E138" s="1841"/>
      <c r="F138" s="1846"/>
      <c r="G138" s="1841"/>
      <c r="H138" s="1842"/>
      <c r="I138" s="1841"/>
      <c r="J138" s="1846"/>
      <c r="K138" s="1841" t="s">
        <v>155</v>
      </c>
      <c r="L138" s="1846"/>
    </row>
    <row r="139" spans="1:12">
      <c r="A139" s="1841"/>
      <c r="B139" s="1846"/>
      <c r="C139" s="1844"/>
      <c r="D139" s="1845"/>
      <c r="E139" s="1841"/>
      <c r="F139" s="1846"/>
      <c r="G139" s="1841"/>
      <c r="H139" s="1842"/>
      <c r="I139" s="1841"/>
      <c r="J139" s="1846"/>
      <c r="K139" s="1841" t="s">
        <v>443</v>
      </c>
      <c r="L139" s="1846"/>
    </row>
    <row r="140" spans="1:12">
      <c r="A140" s="1841"/>
      <c r="B140" s="1846"/>
      <c r="C140" s="1844"/>
      <c r="D140" s="1845"/>
      <c r="E140" s="1841"/>
      <c r="F140" s="1846"/>
      <c r="G140" s="1841"/>
      <c r="H140" s="1842"/>
      <c r="I140" s="1841"/>
      <c r="J140" s="1846"/>
      <c r="K140" s="1841" t="s">
        <v>108</v>
      </c>
      <c r="L140" s="1846"/>
    </row>
    <row r="141" spans="1:12">
      <c r="A141" s="1841"/>
      <c r="B141" s="1846"/>
      <c r="C141" s="1844"/>
      <c r="D141" s="1845"/>
      <c r="E141" s="1841"/>
      <c r="F141" s="1846"/>
      <c r="G141" s="1841"/>
      <c r="H141" s="1842"/>
      <c r="I141" s="1841"/>
      <c r="J141" s="1846"/>
      <c r="K141" s="1841" t="s">
        <v>78</v>
      </c>
      <c r="L141" s="1846"/>
    </row>
    <row r="142" spans="1:12" ht="12.75" customHeight="1">
      <c r="A142" s="1841"/>
      <c r="B142" s="1846"/>
      <c r="C142" s="1844"/>
      <c r="D142" s="1845"/>
      <c r="E142" s="1841"/>
      <c r="F142" s="1846"/>
      <c r="G142" s="1841"/>
      <c r="H142" s="1842"/>
      <c r="I142" s="1841"/>
      <c r="J142" s="1846"/>
      <c r="K142" s="1841" t="s">
        <v>149</v>
      </c>
      <c r="L142" s="1846"/>
    </row>
    <row r="143" spans="1:12">
      <c r="A143" s="1841"/>
      <c r="B143" s="1846"/>
      <c r="C143" s="1844"/>
      <c r="D143" s="1845"/>
      <c r="E143" s="1841"/>
      <c r="F143" s="1846"/>
      <c r="G143" s="1841"/>
      <c r="H143" s="1842"/>
      <c r="I143" s="1841"/>
      <c r="J143" s="1846"/>
      <c r="K143" s="1841" t="s">
        <v>732</v>
      </c>
      <c r="L143" s="1846"/>
    </row>
    <row r="144" spans="1:12" ht="13.95" customHeight="1">
      <c r="A144" s="1841"/>
      <c r="B144" s="1846"/>
      <c r="C144" s="1844"/>
      <c r="D144" s="1845"/>
      <c r="E144" s="1841"/>
      <c r="F144" s="1846"/>
      <c r="G144" s="1841"/>
      <c r="H144" s="1842"/>
      <c r="I144" s="1841"/>
      <c r="J144" s="1846"/>
      <c r="K144" s="1841" t="s">
        <v>73</v>
      </c>
      <c r="L144" s="1846"/>
    </row>
    <row r="145" spans="1:12" ht="13.95" customHeight="1">
      <c r="A145" s="1841"/>
      <c r="B145" s="1846"/>
      <c r="C145" s="1844"/>
      <c r="D145" s="1845"/>
      <c r="E145" s="1841"/>
      <c r="F145" s="1846"/>
      <c r="G145" s="1841"/>
      <c r="H145" s="1842"/>
      <c r="I145" s="1841"/>
      <c r="J145" s="1846"/>
      <c r="K145" s="1841" t="s">
        <v>733</v>
      </c>
      <c r="L145" s="1846"/>
    </row>
    <row r="146" spans="1:12" ht="13.2" customHeight="1">
      <c r="A146" s="1841"/>
      <c r="B146" s="1846"/>
      <c r="C146" s="1844"/>
      <c r="D146" s="1845"/>
      <c r="E146" s="1841"/>
      <c r="F146" s="1846"/>
      <c r="G146" s="1841"/>
      <c r="H146" s="1842"/>
      <c r="I146" s="1841"/>
      <c r="J146" s="1846"/>
      <c r="K146" s="1841" t="s">
        <v>406</v>
      </c>
      <c r="L146" s="1846"/>
    </row>
    <row r="147" spans="1:12" ht="13.2" customHeight="1">
      <c r="A147" s="1841"/>
      <c r="B147" s="1846"/>
      <c r="C147" s="1844"/>
      <c r="D147" s="1845"/>
      <c r="E147" s="1841"/>
      <c r="F147" s="1846"/>
      <c r="G147" s="1841"/>
      <c r="H147" s="1842"/>
      <c r="I147" s="1841"/>
      <c r="J147" s="1846"/>
      <c r="K147" s="1841" t="s">
        <v>407</v>
      </c>
      <c r="L147" s="1846"/>
    </row>
    <row r="148" spans="1:12">
      <c r="A148" s="1841"/>
      <c r="B148" s="1846"/>
      <c r="C148" s="1844"/>
      <c r="D148" s="1845"/>
      <c r="E148" s="1841"/>
      <c r="F148" s="1846"/>
      <c r="G148" s="1841"/>
      <c r="H148" s="1842"/>
      <c r="I148" s="1841"/>
      <c r="J148" s="1846"/>
      <c r="K148" s="1841" t="s">
        <v>168</v>
      </c>
      <c r="L148" s="1846"/>
    </row>
    <row r="149" spans="1:12">
      <c r="A149" s="1841"/>
      <c r="B149" s="1846"/>
      <c r="C149" s="1844"/>
      <c r="D149" s="1845"/>
      <c r="E149" s="1841"/>
      <c r="F149" s="1846"/>
      <c r="G149" s="1841"/>
      <c r="H149" s="1842"/>
      <c r="I149" s="1841"/>
      <c r="J149" s="1846"/>
      <c r="K149" s="1841" t="s">
        <v>56</v>
      </c>
      <c r="L149" s="1846"/>
    </row>
    <row r="150" spans="1:12">
      <c r="A150" s="1841"/>
      <c r="B150" s="1846"/>
      <c r="C150" s="1844"/>
      <c r="D150" s="1845"/>
      <c r="E150" s="1841"/>
      <c r="F150" s="1846"/>
      <c r="G150" s="1841"/>
      <c r="H150" s="1842"/>
      <c r="I150" s="1841"/>
      <c r="J150" s="1846"/>
      <c r="K150" s="1841" t="s">
        <v>374</v>
      </c>
      <c r="L150" s="1846"/>
    </row>
    <row r="151" spans="1:12">
      <c r="A151" s="1841"/>
      <c r="B151" s="1846"/>
      <c r="C151" s="1844"/>
      <c r="D151" s="1845"/>
      <c r="E151" s="1841"/>
      <c r="F151" s="1846"/>
      <c r="G151" s="1841"/>
      <c r="H151" s="1842"/>
      <c r="I151" s="1841"/>
      <c r="J151" s="1846"/>
      <c r="K151" s="1841" t="s">
        <v>45</v>
      </c>
      <c r="L151" s="1846"/>
    </row>
    <row r="152" spans="1:12">
      <c r="A152" s="1841"/>
      <c r="B152" s="1846"/>
      <c r="C152" s="1844"/>
      <c r="D152" s="1845"/>
      <c r="E152" s="1841"/>
      <c r="F152" s="1846"/>
      <c r="G152" s="1841"/>
      <c r="H152" s="1842"/>
      <c r="I152" s="1841"/>
      <c r="J152" s="1846"/>
      <c r="K152" s="1841" t="s">
        <v>77</v>
      </c>
      <c r="L152" s="1846"/>
    </row>
    <row r="153" spans="1:12">
      <c r="A153" s="1841"/>
      <c r="B153" s="1846"/>
      <c r="C153" s="1844"/>
      <c r="D153" s="1845"/>
      <c r="E153" s="1841"/>
      <c r="F153" s="1846"/>
      <c r="G153" s="1841"/>
      <c r="H153" s="1842"/>
      <c r="I153" s="1841"/>
      <c r="J153" s="1846"/>
      <c r="K153" s="1841" t="s">
        <v>172</v>
      </c>
      <c r="L153" s="1846"/>
    </row>
    <row r="154" spans="1:12">
      <c r="A154" s="1841"/>
      <c r="B154" s="1846"/>
      <c r="C154" s="1844"/>
      <c r="D154" s="1845"/>
      <c r="E154" s="1841"/>
      <c r="F154" s="1846"/>
      <c r="G154" s="1841"/>
      <c r="H154" s="1842"/>
      <c r="I154" s="1841"/>
      <c r="J154" s="1846"/>
      <c r="K154" s="1841" t="s">
        <v>152</v>
      </c>
      <c r="L154" s="1846"/>
    </row>
    <row r="155" spans="1:12">
      <c r="A155" s="1841"/>
      <c r="B155" s="1846"/>
      <c r="C155" s="1844"/>
      <c r="D155" s="1845"/>
      <c r="E155" s="1841"/>
      <c r="F155" s="1846"/>
      <c r="G155" s="1841"/>
      <c r="H155" s="1842"/>
      <c r="I155" s="1841"/>
      <c r="J155" s="1846"/>
      <c r="K155" s="1841" t="s">
        <v>734</v>
      </c>
      <c r="L155" s="1846"/>
    </row>
    <row r="156" spans="1:12">
      <c r="A156" s="1841"/>
      <c r="B156" s="1846"/>
      <c r="C156" s="1844"/>
      <c r="D156" s="1845"/>
      <c r="E156" s="1841"/>
      <c r="F156" s="1846"/>
      <c r="G156" s="1841"/>
      <c r="H156" s="1842"/>
      <c r="I156" s="1841"/>
      <c r="J156" s="1846"/>
      <c r="K156" s="1841" t="s">
        <v>408</v>
      </c>
      <c r="L156" s="1846"/>
    </row>
    <row r="157" spans="1:12">
      <c r="A157" s="1874"/>
      <c r="B157" s="1874"/>
      <c r="C157" s="1874"/>
      <c r="D157" s="1874"/>
      <c r="E157" s="1874"/>
      <c r="F157" s="1874"/>
      <c r="G157" s="1874"/>
      <c r="H157" s="1874"/>
      <c r="I157" s="1874"/>
      <c r="J157" s="1874"/>
      <c r="K157" s="1874" t="s">
        <v>475</v>
      </c>
      <c r="L157" s="1874"/>
    </row>
    <row r="158" spans="1:12" ht="13.8" thickBot="1">
      <c r="A158" s="1843"/>
      <c r="B158" s="1843"/>
      <c r="C158" s="1843"/>
      <c r="D158" s="1843"/>
      <c r="E158" s="1843"/>
      <c r="F158" s="1843"/>
      <c r="G158" s="1843"/>
      <c r="H158" s="1843"/>
      <c r="I158" s="1843"/>
      <c r="J158" s="1843"/>
      <c r="K158" s="1873" t="s">
        <v>1051</v>
      </c>
      <c r="L158" s="1873"/>
    </row>
    <row r="159" spans="1:12" ht="13.8" thickBot="1">
      <c r="A159" s="1878" t="s">
        <v>735</v>
      </c>
      <c r="B159" s="1879"/>
      <c r="C159" s="1882" t="s">
        <v>207</v>
      </c>
      <c r="D159" s="1883"/>
      <c r="E159" s="1883"/>
      <c r="F159" s="1883"/>
      <c r="G159" s="1883"/>
      <c r="H159" s="1884"/>
      <c r="I159" s="705"/>
      <c r="J159" s="705"/>
      <c r="K159" s="704"/>
      <c r="L159" s="704"/>
    </row>
    <row r="160" spans="1:12" ht="13.8" thickBot="1">
      <c r="A160" s="1880"/>
      <c r="B160" s="1881"/>
      <c r="C160" s="731">
        <v>0.38300000000000001</v>
      </c>
      <c r="D160" s="469">
        <v>0.6</v>
      </c>
      <c r="E160" s="469">
        <v>0.7</v>
      </c>
      <c r="F160" s="469">
        <v>0.8</v>
      </c>
      <c r="G160" s="469">
        <v>0.9</v>
      </c>
      <c r="H160" s="707">
        <v>1</v>
      </c>
      <c r="I160" s="705"/>
      <c r="J160" s="705"/>
      <c r="K160" s="705"/>
      <c r="L160" s="705"/>
    </row>
    <row r="161" spans="1:12">
      <c r="A161" s="1875" t="s">
        <v>46</v>
      </c>
      <c r="B161" s="470">
        <v>0.5</v>
      </c>
      <c r="C161" s="471"/>
      <c r="D161" s="472"/>
      <c r="E161" s="472"/>
      <c r="F161" s="472"/>
      <c r="G161" s="472"/>
      <c r="H161" s="473"/>
      <c r="I161" s="706"/>
      <c r="J161" s="706"/>
      <c r="K161" s="706"/>
      <c r="L161" s="706"/>
    </row>
    <row r="162" spans="1:12">
      <c r="A162" s="1876"/>
      <c r="B162" s="474">
        <v>0.6</v>
      </c>
      <c r="C162" s="475"/>
      <c r="D162" s="476"/>
      <c r="E162" s="476"/>
      <c r="F162" s="476"/>
      <c r="G162" s="476"/>
      <c r="H162" s="477"/>
      <c r="I162" s="706"/>
      <c r="J162" s="706"/>
      <c r="K162" s="706"/>
      <c r="L162" s="706"/>
    </row>
    <row r="163" spans="1:12">
      <c r="A163" s="1876"/>
      <c r="B163" s="474">
        <v>0.7</v>
      </c>
      <c r="C163" s="475"/>
      <c r="D163" s="476"/>
      <c r="E163" s="476"/>
      <c r="F163" s="476"/>
      <c r="G163" s="476"/>
      <c r="H163" s="477"/>
      <c r="I163" s="706"/>
      <c r="J163" s="706"/>
      <c r="K163" s="706"/>
      <c r="L163" s="706"/>
    </row>
    <row r="164" spans="1:12">
      <c r="A164" s="1876"/>
      <c r="B164" s="474">
        <v>0.8</v>
      </c>
      <c r="C164" s="475"/>
      <c r="D164" s="476"/>
      <c r="E164" s="476"/>
      <c r="F164" s="476"/>
      <c r="G164" s="476"/>
      <c r="H164" s="477"/>
      <c r="I164" s="706"/>
      <c r="J164" s="706"/>
      <c r="K164" s="706"/>
      <c r="L164" s="706"/>
    </row>
    <row r="165" spans="1:12">
      <c r="A165" s="1876"/>
      <c r="B165" s="474">
        <v>0.9</v>
      </c>
      <c r="C165" s="475"/>
      <c r="D165" s="476"/>
      <c r="E165" s="476"/>
      <c r="F165" s="476"/>
      <c r="G165" s="476"/>
      <c r="H165" s="477"/>
      <c r="I165" s="706"/>
      <c r="J165" s="706"/>
      <c r="K165" s="706"/>
      <c r="L165" s="706"/>
    </row>
    <row r="166" spans="1:12">
      <c r="A166" s="1876"/>
      <c r="B166" s="474">
        <v>1</v>
      </c>
      <c r="C166" s="475"/>
      <c r="D166" s="476"/>
      <c r="E166" s="476"/>
      <c r="F166" s="476"/>
      <c r="G166" s="476"/>
      <c r="H166" s="477"/>
      <c r="I166" s="706"/>
      <c r="J166" s="706"/>
      <c r="K166" s="706"/>
      <c r="L166" s="706"/>
    </row>
    <row r="167" spans="1:12">
      <c r="A167" s="1876"/>
      <c r="B167" s="474">
        <v>1.1000000000000001</v>
      </c>
      <c r="C167" s="475"/>
      <c r="D167" s="476"/>
      <c r="E167" s="476"/>
      <c r="F167" s="476"/>
      <c r="G167" s="476"/>
      <c r="H167" s="477"/>
      <c r="I167" s="706"/>
      <c r="J167" s="706"/>
      <c r="K167" s="706"/>
      <c r="L167" s="706"/>
    </row>
    <row r="168" spans="1:12">
      <c r="A168" s="1876"/>
      <c r="B168" s="474">
        <v>1.2</v>
      </c>
      <c r="C168" s="475"/>
      <c r="D168" s="476"/>
      <c r="E168" s="476"/>
      <c r="F168" s="476"/>
      <c r="G168" s="476"/>
      <c r="H168" s="477"/>
      <c r="I168" s="706"/>
      <c r="J168" s="706"/>
      <c r="K168" s="706"/>
      <c r="L168" s="706"/>
    </row>
    <row r="169" spans="1:12">
      <c r="A169" s="1876"/>
      <c r="B169" s="474">
        <v>1.3</v>
      </c>
      <c r="C169" s="475"/>
      <c r="D169" s="476"/>
      <c r="E169" s="476"/>
      <c r="F169" s="476"/>
      <c r="G169" s="476"/>
      <c r="H169" s="477"/>
      <c r="I169" s="706"/>
      <c r="J169" s="706"/>
      <c r="K169" s="706"/>
      <c r="L169" s="706"/>
    </row>
    <row r="170" spans="1:12">
      <c r="A170" s="1876"/>
      <c r="B170" s="474">
        <v>1.4</v>
      </c>
      <c r="C170" s="475"/>
      <c r="D170" s="476"/>
      <c r="E170" s="476"/>
      <c r="F170" s="476"/>
      <c r="G170" s="476"/>
      <c r="H170" s="477"/>
      <c r="I170" s="706"/>
      <c r="J170" s="706"/>
      <c r="K170" s="706"/>
      <c r="L170" s="706"/>
    </row>
    <row r="171" spans="1:12">
      <c r="A171" s="1876"/>
      <c r="B171" s="474">
        <v>1.5</v>
      </c>
      <c r="C171" s="475"/>
      <c r="D171" s="476"/>
      <c r="E171" s="476"/>
      <c r="F171" s="476"/>
      <c r="G171" s="476"/>
      <c r="H171" s="477"/>
      <c r="I171" s="706"/>
      <c r="J171" s="706"/>
      <c r="K171" s="706"/>
      <c r="L171" s="706"/>
    </row>
    <row r="172" spans="1:12" ht="13.8" thickBot="1">
      <c r="A172" s="1877"/>
      <c r="B172" s="478">
        <v>1.6</v>
      </c>
      <c r="C172" s="479"/>
      <c r="D172" s="480"/>
      <c r="E172" s="480"/>
      <c r="F172" s="480"/>
      <c r="G172" s="480"/>
      <c r="H172" s="481"/>
      <c r="I172" s="706"/>
      <c r="J172" s="706"/>
      <c r="K172" s="706"/>
      <c r="L172" s="706"/>
    </row>
    <row r="174" spans="1:12" ht="13.8" thickBot="1"/>
    <row r="175" spans="1:12" ht="13.8" thickBot="1">
      <c r="A175" s="1878" t="s">
        <v>736</v>
      </c>
      <c r="B175" s="1879"/>
      <c r="C175" s="1882" t="s">
        <v>207</v>
      </c>
      <c r="D175" s="1883"/>
      <c r="E175" s="1883"/>
      <c r="F175" s="1883"/>
      <c r="G175" s="1883"/>
      <c r="H175" s="1884"/>
      <c r="I175" s="705"/>
      <c r="J175" s="705"/>
      <c r="K175" s="704"/>
      <c r="L175" s="704"/>
    </row>
    <row r="176" spans="1:12" ht="13.8" thickBot="1">
      <c r="A176" s="1880"/>
      <c r="B176" s="1881"/>
      <c r="C176" s="731">
        <v>0.38300000000000001</v>
      </c>
      <c r="D176" s="469">
        <v>0.6</v>
      </c>
      <c r="E176" s="469">
        <v>0.7</v>
      </c>
      <c r="F176" s="469">
        <v>0.8</v>
      </c>
      <c r="G176" s="469">
        <v>0.9</v>
      </c>
      <c r="H176" s="707">
        <v>1</v>
      </c>
      <c r="I176" s="705"/>
      <c r="J176" s="705"/>
      <c r="K176" s="705"/>
      <c r="L176" s="705"/>
    </row>
    <row r="177" spans="1:12">
      <c r="A177" s="1875" t="s">
        <v>46</v>
      </c>
      <c r="B177" s="470">
        <v>0.5</v>
      </c>
      <c r="C177" s="482"/>
      <c r="D177" s="483"/>
      <c r="E177" s="483"/>
      <c r="F177" s="483"/>
      <c r="G177" s="483"/>
      <c r="H177" s="484"/>
      <c r="I177" s="706"/>
      <c r="J177" s="706"/>
      <c r="K177" s="706"/>
      <c r="L177" s="706"/>
    </row>
    <row r="178" spans="1:12">
      <c r="A178" s="1876"/>
      <c r="B178" s="474">
        <v>0.6</v>
      </c>
      <c r="C178" s="485"/>
      <c r="D178" s="486"/>
      <c r="E178" s="486"/>
      <c r="F178" s="486"/>
      <c r="G178" s="486"/>
      <c r="H178" s="487"/>
      <c r="I178" s="706"/>
      <c r="J178" s="706"/>
      <c r="K178" s="706"/>
      <c r="L178" s="706"/>
    </row>
    <row r="179" spans="1:12">
      <c r="A179" s="1876"/>
      <c r="B179" s="474">
        <v>0.7</v>
      </c>
      <c r="C179" s="485"/>
      <c r="D179" s="486"/>
      <c r="E179" s="486"/>
      <c r="F179" s="486"/>
      <c r="G179" s="486"/>
      <c r="H179" s="487"/>
      <c r="I179" s="706"/>
      <c r="J179" s="706"/>
      <c r="K179" s="706"/>
      <c r="L179" s="706"/>
    </row>
    <row r="180" spans="1:12">
      <c r="A180" s="1876"/>
      <c r="B180" s="474">
        <v>0.8</v>
      </c>
      <c r="C180" s="475"/>
      <c r="D180" s="476"/>
      <c r="E180" s="476"/>
      <c r="F180" s="476"/>
      <c r="G180" s="476"/>
      <c r="H180" s="477"/>
      <c r="I180" s="706"/>
      <c r="J180" s="706"/>
      <c r="K180" s="706"/>
      <c r="L180" s="706"/>
    </row>
    <row r="181" spans="1:12">
      <c r="A181" s="1876"/>
      <c r="B181" s="474">
        <v>0.9</v>
      </c>
      <c r="C181" s="475"/>
      <c r="D181" s="476"/>
      <c r="E181" s="476"/>
      <c r="F181" s="476"/>
      <c r="G181" s="476"/>
      <c r="H181" s="477"/>
      <c r="I181" s="706"/>
      <c r="J181" s="706"/>
      <c r="K181" s="706"/>
      <c r="L181" s="706"/>
    </row>
    <row r="182" spans="1:12">
      <c r="A182" s="1876"/>
      <c r="B182" s="474">
        <v>1</v>
      </c>
      <c r="C182" s="475"/>
      <c r="D182" s="476"/>
      <c r="E182" s="476"/>
      <c r="F182" s="476"/>
      <c r="G182" s="476"/>
      <c r="H182" s="477"/>
      <c r="I182" s="706"/>
      <c r="J182" s="706"/>
      <c r="K182" s="706"/>
      <c r="L182" s="706"/>
    </row>
    <row r="183" spans="1:12">
      <c r="A183" s="1876"/>
      <c r="B183" s="474">
        <v>1.1000000000000001</v>
      </c>
      <c r="C183" s="475"/>
      <c r="D183" s="476"/>
      <c r="E183" s="476"/>
      <c r="F183" s="476"/>
      <c r="G183" s="476"/>
      <c r="H183" s="477"/>
      <c r="I183" s="706"/>
      <c r="J183" s="706"/>
      <c r="K183" s="706"/>
      <c r="L183" s="706"/>
    </row>
    <row r="184" spans="1:12">
      <c r="A184" s="1876"/>
      <c r="B184" s="474">
        <v>1.2</v>
      </c>
      <c r="C184" s="475"/>
      <c r="D184" s="476"/>
      <c r="E184" s="476"/>
      <c r="F184" s="476"/>
      <c r="G184" s="476"/>
      <c r="H184" s="477"/>
      <c r="I184" s="706"/>
      <c r="J184" s="706"/>
      <c r="K184" s="706"/>
      <c r="L184" s="706"/>
    </row>
    <row r="185" spans="1:12">
      <c r="A185" s="1876"/>
      <c r="B185" s="474">
        <v>1.3</v>
      </c>
      <c r="C185" s="475"/>
      <c r="D185" s="476"/>
      <c r="E185" s="476"/>
      <c r="F185" s="476"/>
      <c r="G185" s="476"/>
      <c r="H185" s="477"/>
      <c r="I185" s="706"/>
      <c r="J185" s="706"/>
      <c r="K185" s="706"/>
      <c r="L185" s="706"/>
    </row>
    <row r="186" spans="1:12">
      <c r="A186" s="1876"/>
      <c r="B186" s="474">
        <v>1.4</v>
      </c>
      <c r="C186" s="475"/>
      <c r="D186" s="476"/>
      <c r="E186" s="476"/>
      <c r="F186" s="476"/>
      <c r="G186" s="476"/>
      <c r="H186" s="477"/>
      <c r="I186" s="706"/>
      <c r="J186" s="706"/>
      <c r="K186" s="706"/>
      <c r="L186" s="706"/>
    </row>
    <row r="187" spans="1:12">
      <c r="A187" s="1876"/>
      <c r="B187" s="474">
        <v>1.5</v>
      </c>
      <c r="C187" s="475"/>
      <c r="D187" s="476"/>
      <c r="E187" s="476"/>
      <c r="F187" s="476"/>
      <c r="G187" s="476"/>
      <c r="H187" s="477"/>
      <c r="I187" s="706"/>
      <c r="J187" s="706"/>
      <c r="K187" s="706"/>
      <c r="L187" s="706"/>
    </row>
    <row r="188" spans="1:12" ht="13.8" thickBot="1">
      <c r="A188" s="1877"/>
      <c r="B188" s="478">
        <v>1.6</v>
      </c>
      <c r="C188" s="479"/>
      <c r="D188" s="480"/>
      <c r="E188" s="480"/>
      <c r="F188" s="480"/>
      <c r="G188" s="480"/>
      <c r="H188" s="481"/>
      <c r="I188" s="706"/>
      <c r="J188" s="706"/>
      <c r="K188" s="706"/>
      <c r="L188" s="706"/>
    </row>
    <row r="190" spans="1:12" ht="13.8" thickBot="1"/>
    <row r="191" spans="1:12" ht="13.8" thickBot="1">
      <c r="A191" s="1878" t="s">
        <v>737</v>
      </c>
      <c r="B191" s="1879"/>
      <c r="C191" s="1882" t="s">
        <v>207</v>
      </c>
      <c r="D191" s="1883"/>
      <c r="E191" s="1883"/>
      <c r="F191" s="1883"/>
      <c r="G191" s="1883"/>
      <c r="H191" s="1884"/>
      <c r="I191" s="705"/>
      <c r="J191" s="705"/>
      <c r="K191" s="704"/>
      <c r="L191" s="704"/>
    </row>
    <row r="192" spans="1:12" ht="13.8" thickBot="1">
      <c r="A192" s="1880"/>
      <c r="B192" s="1881"/>
      <c r="C192" s="731">
        <v>0.38300000000000001</v>
      </c>
      <c r="D192" s="469">
        <v>0.6</v>
      </c>
      <c r="E192" s="469">
        <v>0.7</v>
      </c>
      <c r="F192" s="469">
        <v>0.8</v>
      </c>
      <c r="G192" s="469">
        <v>0.9</v>
      </c>
      <c r="H192" s="707">
        <v>1</v>
      </c>
      <c r="I192" s="705"/>
      <c r="J192" s="705"/>
      <c r="K192" s="705"/>
      <c r="L192" s="705"/>
    </row>
    <row r="193" spans="1:12">
      <c r="A193" s="1875" t="s">
        <v>46</v>
      </c>
      <c r="B193" s="470">
        <v>0.5</v>
      </c>
      <c r="C193" s="482"/>
      <c r="D193" s="483"/>
      <c r="E193" s="483"/>
      <c r="F193" s="483"/>
      <c r="G193" s="483"/>
      <c r="H193" s="484"/>
      <c r="I193" s="706"/>
      <c r="J193" s="706"/>
      <c r="K193" s="706"/>
      <c r="L193" s="706"/>
    </row>
    <row r="194" spans="1:12">
      <c r="A194" s="1876"/>
      <c r="B194" s="474">
        <v>0.6</v>
      </c>
      <c r="C194" s="485"/>
      <c r="D194" s="486"/>
      <c r="E194" s="486"/>
      <c r="F194" s="486"/>
      <c r="G194" s="486"/>
      <c r="H194" s="487"/>
      <c r="I194" s="706"/>
      <c r="J194" s="706"/>
      <c r="K194" s="706"/>
      <c r="L194" s="706"/>
    </row>
    <row r="195" spans="1:12">
      <c r="A195" s="1876"/>
      <c r="B195" s="474">
        <v>0.7</v>
      </c>
      <c r="C195" s="485"/>
      <c r="D195" s="486"/>
      <c r="E195" s="486"/>
      <c r="F195" s="486"/>
      <c r="G195" s="486"/>
      <c r="H195" s="487"/>
      <c r="I195" s="706"/>
      <c r="J195" s="706"/>
      <c r="K195" s="706"/>
      <c r="L195" s="706"/>
    </row>
    <row r="196" spans="1:12">
      <c r="A196" s="1876"/>
      <c r="B196" s="474">
        <v>0.8</v>
      </c>
      <c r="C196" s="485"/>
      <c r="D196" s="486"/>
      <c r="E196" s="486"/>
      <c r="F196" s="486"/>
      <c r="G196" s="486"/>
      <c r="H196" s="487"/>
      <c r="I196" s="706"/>
      <c r="J196" s="706"/>
      <c r="K196" s="706"/>
      <c r="L196" s="706"/>
    </row>
    <row r="197" spans="1:12">
      <c r="A197" s="1876"/>
      <c r="B197" s="474">
        <v>0.9</v>
      </c>
      <c r="C197" s="485"/>
      <c r="D197" s="486"/>
      <c r="E197" s="486"/>
      <c r="F197" s="486"/>
      <c r="G197" s="486"/>
      <c r="H197" s="487"/>
      <c r="I197" s="706"/>
      <c r="J197" s="706"/>
      <c r="K197" s="706"/>
      <c r="L197" s="706"/>
    </row>
    <row r="198" spans="1:12">
      <c r="A198" s="1876"/>
      <c r="B198" s="474">
        <v>1</v>
      </c>
      <c r="C198" s="485"/>
      <c r="D198" s="486"/>
      <c r="E198" s="486"/>
      <c r="F198" s="486"/>
      <c r="G198" s="486"/>
      <c r="H198" s="487"/>
      <c r="I198" s="706"/>
      <c r="J198" s="706"/>
      <c r="K198" s="706"/>
      <c r="L198" s="706"/>
    </row>
    <row r="199" spans="1:12">
      <c r="A199" s="1876"/>
      <c r="B199" s="474">
        <v>1.1000000000000001</v>
      </c>
      <c r="C199" s="475"/>
      <c r="D199" s="476"/>
      <c r="E199" s="476"/>
      <c r="F199" s="476"/>
      <c r="G199" s="476"/>
      <c r="H199" s="477"/>
      <c r="I199" s="706"/>
      <c r="J199" s="706"/>
      <c r="K199" s="706"/>
      <c r="L199" s="706"/>
    </row>
    <row r="200" spans="1:12">
      <c r="A200" s="1876"/>
      <c r="B200" s="488">
        <v>1.1599999999999999</v>
      </c>
      <c r="C200" s="475"/>
      <c r="D200" s="476"/>
      <c r="E200" s="476"/>
      <c r="F200" s="476"/>
      <c r="G200" s="476"/>
      <c r="H200" s="477"/>
      <c r="I200" s="706"/>
      <c r="J200" s="706"/>
      <c r="K200" s="706"/>
      <c r="L200" s="706"/>
    </row>
    <row r="201" spans="1:12">
      <c r="A201" s="1876"/>
      <c r="B201" s="474">
        <v>1.3</v>
      </c>
      <c r="C201" s="475"/>
      <c r="D201" s="476"/>
      <c r="E201" s="476"/>
      <c r="F201" s="476"/>
      <c r="G201" s="476"/>
      <c r="H201" s="477"/>
      <c r="I201" s="706"/>
      <c r="J201" s="706"/>
      <c r="K201" s="706"/>
      <c r="L201" s="706"/>
    </row>
    <row r="202" spans="1:12">
      <c r="A202" s="1876"/>
      <c r="B202" s="474">
        <v>1.4</v>
      </c>
      <c r="C202" s="475"/>
      <c r="D202" s="476"/>
      <c r="E202" s="476"/>
      <c r="F202" s="476"/>
      <c r="G202" s="476"/>
      <c r="H202" s="477"/>
      <c r="I202" s="706"/>
      <c r="J202" s="706"/>
      <c r="K202" s="706"/>
      <c r="L202" s="706"/>
    </row>
    <row r="203" spans="1:12">
      <c r="A203" s="1876"/>
      <c r="B203" s="474">
        <v>1.5</v>
      </c>
      <c r="C203" s="475"/>
      <c r="D203" s="476"/>
      <c r="E203" s="476"/>
      <c r="F203" s="476"/>
      <c r="G203" s="476"/>
      <c r="H203" s="477"/>
      <c r="I203" s="706"/>
      <c r="J203" s="706"/>
      <c r="K203" s="706"/>
      <c r="L203" s="706"/>
    </row>
    <row r="204" spans="1:12" ht="13.8" thickBot="1">
      <c r="A204" s="1877"/>
      <c r="B204" s="478">
        <v>1.6</v>
      </c>
      <c r="C204" s="479"/>
      <c r="D204" s="480"/>
      <c r="E204" s="480"/>
      <c r="F204" s="480"/>
      <c r="G204" s="480"/>
      <c r="H204" s="481"/>
      <c r="I204" s="706"/>
      <c r="J204" s="706"/>
      <c r="K204" s="706"/>
      <c r="L204" s="706"/>
    </row>
    <row r="206" spans="1:12" ht="13.8" thickBot="1"/>
    <row r="207" spans="1:12" ht="13.8" thickBot="1">
      <c r="A207" s="1878" t="s">
        <v>738</v>
      </c>
      <c r="B207" s="1879"/>
      <c r="C207" s="1882" t="s">
        <v>207</v>
      </c>
      <c r="D207" s="1883"/>
      <c r="E207" s="1883"/>
      <c r="F207" s="1883"/>
      <c r="G207" s="1883"/>
      <c r="H207" s="1884"/>
      <c r="I207" s="705"/>
      <c r="J207" s="705"/>
      <c r="K207" s="704"/>
      <c r="L207" s="704"/>
    </row>
    <row r="208" spans="1:12" ht="13.8" thickBot="1">
      <c r="A208" s="1880"/>
      <c r="B208" s="1881"/>
      <c r="C208" s="731">
        <v>0.38300000000000001</v>
      </c>
      <c r="D208" s="469">
        <v>0.6</v>
      </c>
      <c r="E208" s="469">
        <v>0.7</v>
      </c>
      <c r="F208" s="469">
        <v>0.8</v>
      </c>
      <c r="G208" s="469">
        <v>0.9</v>
      </c>
      <c r="H208" s="707">
        <v>1</v>
      </c>
      <c r="I208" s="705"/>
      <c r="J208" s="705"/>
      <c r="K208" s="705"/>
      <c r="L208" s="705"/>
    </row>
    <row r="209" spans="1:12">
      <c r="A209" s="1875" t="s">
        <v>46</v>
      </c>
      <c r="B209" s="470">
        <v>0.5</v>
      </c>
      <c r="C209" s="482"/>
      <c r="D209" s="483"/>
      <c r="E209" s="483"/>
      <c r="F209" s="483"/>
      <c r="G209" s="483"/>
      <c r="H209" s="484"/>
      <c r="I209" s="706"/>
      <c r="J209" s="706"/>
      <c r="K209" s="706"/>
      <c r="L209" s="706"/>
    </row>
    <row r="210" spans="1:12">
      <c r="A210" s="1876"/>
      <c r="B210" s="474">
        <v>0.6</v>
      </c>
      <c r="C210" s="485"/>
      <c r="D210" s="486"/>
      <c r="E210" s="486"/>
      <c r="F210" s="486"/>
      <c r="G210" s="486"/>
      <c r="H210" s="487"/>
      <c r="I210" s="706"/>
      <c r="J210" s="706"/>
      <c r="K210" s="706"/>
      <c r="L210" s="706"/>
    </row>
    <row r="211" spans="1:12">
      <c r="A211" s="1876"/>
      <c r="B211" s="474">
        <v>0.7</v>
      </c>
      <c r="C211" s="485"/>
      <c r="D211" s="486"/>
      <c r="E211" s="486"/>
      <c r="F211" s="486"/>
      <c r="G211" s="486"/>
      <c r="H211" s="487"/>
      <c r="I211" s="706"/>
      <c r="J211" s="706"/>
      <c r="K211" s="706"/>
      <c r="L211" s="706"/>
    </row>
    <row r="212" spans="1:12">
      <c r="A212" s="1876"/>
      <c r="B212" s="474">
        <v>0.8</v>
      </c>
      <c r="C212" s="485"/>
      <c r="D212" s="486"/>
      <c r="E212" s="486"/>
      <c r="F212" s="486"/>
      <c r="G212" s="486"/>
      <c r="H212" s="487"/>
      <c r="I212" s="706"/>
      <c r="J212" s="706"/>
      <c r="K212" s="706"/>
      <c r="L212" s="706"/>
    </row>
    <row r="213" spans="1:12">
      <c r="A213" s="1876"/>
      <c r="B213" s="474">
        <v>0.9</v>
      </c>
      <c r="C213" s="485"/>
      <c r="D213" s="486"/>
      <c r="E213" s="486"/>
      <c r="F213" s="486"/>
      <c r="G213" s="486"/>
      <c r="H213" s="487"/>
      <c r="I213" s="706"/>
      <c r="J213" s="706"/>
      <c r="K213" s="706"/>
      <c r="L213" s="706"/>
    </row>
    <row r="214" spans="1:12">
      <c r="A214" s="1876"/>
      <c r="B214" s="474">
        <v>1</v>
      </c>
      <c r="C214" s="485"/>
      <c r="D214" s="486"/>
      <c r="E214" s="486"/>
      <c r="F214" s="486"/>
      <c r="G214" s="486"/>
      <c r="H214" s="487"/>
      <c r="I214" s="706"/>
      <c r="J214" s="706"/>
      <c r="K214" s="706"/>
      <c r="L214" s="706"/>
    </row>
    <row r="215" spans="1:12">
      <c r="A215" s="1876"/>
      <c r="B215" s="474">
        <v>1.1000000000000001</v>
      </c>
      <c r="C215" s="485"/>
      <c r="D215" s="486"/>
      <c r="E215" s="486"/>
      <c r="F215" s="486"/>
      <c r="G215" s="486"/>
      <c r="H215" s="487"/>
      <c r="I215" s="706"/>
      <c r="J215" s="706"/>
      <c r="K215" s="706"/>
      <c r="L215" s="706"/>
    </row>
    <row r="216" spans="1:12">
      <c r="A216" s="1876"/>
      <c r="B216" s="488">
        <v>1.1599999999999999</v>
      </c>
      <c r="C216" s="485"/>
      <c r="D216" s="486"/>
      <c r="E216" s="486"/>
      <c r="F216" s="486"/>
      <c r="G216" s="486"/>
      <c r="H216" s="487"/>
      <c r="I216" s="706"/>
      <c r="J216" s="706"/>
      <c r="K216" s="706"/>
      <c r="L216" s="706"/>
    </row>
    <row r="217" spans="1:12">
      <c r="A217" s="1876"/>
      <c r="B217" s="474">
        <v>1.3</v>
      </c>
      <c r="C217" s="475"/>
      <c r="D217" s="476"/>
      <c r="E217" s="476"/>
      <c r="F217" s="476"/>
      <c r="G217" s="476"/>
      <c r="H217" s="477"/>
      <c r="I217" s="706"/>
      <c r="J217" s="706"/>
      <c r="K217" s="706"/>
      <c r="L217" s="706"/>
    </row>
    <row r="218" spans="1:12">
      <c r="A218" s="1876"/>
      <c r="B218" s="474">
        <v>1.4</v>
      </c>
      <c r="C218" s="475"/>
      <c r="D218" s="476"/>
      <c r="E218" s="476"/>
      <c r="F218" s="476"/>
      <c r="G218" s="476"/>
      <c r="H218" s="477"/>
      <c r="I218" s="706"/>
      <c r="J218" s="706"/>
      <c r="K218" s="706"/>
      <c r="L218" s="706"/>
    </row>
    <row r="219" spans="1:12">
      <c r="A219" s="1876"/>
      <c r="B219" s="474">
        <v>1.5</v>
      </c>
      <c r="C219" s="475"/>
      <c r="D219" s="476"/>
      <c r="E219" s="476"/>
      <c r="F219" s="476"/>
      <c r="G219" s="476"/>
      <c r="H219" s="477"/>
      <c r="I219" s="706"/>
      <c r="J219" s="706"/>
      <c r="K219" s="706"/>
      <c r="L219" s="706"/>
    </row>
    <row r="220" spans="1:12" ht="13.8" thickBot="1">
      <c r="A220" s="1877"/>
      <c r="B220" s="478">
        <v>1.6</v>
      </c>
      <c r="C220" s="479"/>
      <c r="D220" s="480"/>
      <c r="E220" s="480"/>
      <c r="F220" s="480"/>
      <c r="G220" s="480"/>
      <c r="H220" s="481"/>
      <c r="I220" s="706"/>
      <c r="J220" s="706"/>
      <c r="K220" s="706"/>
      <c r="L220" s="706"/>
    </row>
    <row r="221" spans="1:12" ht="13.8" thickBot="1"/>
    <row r="222" spans="1:12" ht="13.8" thickBot="1">
      <c r="A222" s="1878" t="s">
        <v>739</v>
      </c>
      <c r="B222" s="1879"/>
      <c r="C222" s="1882" t="s">
        <v>207</v>
      </c>
      <c r="D222" s="1883"/>
      <c r="E222" s="1883"/>
      <c r="F222" s="1883"/>
      <c r="G222" s="1883"/>
      <c r="H222" s="1884"/>
      <c r="I222" s="705"/>
      <c r="J222" s="705"/>
      <c r="K222" s="704"/>
      <c r="L222" s="704"/>
    </row>
    <row r="223" spans="1:12" ht="13.8" thickBot="1">
      <c r="A223" s="1880"/>
      <c r="B223" s="1881"/>
      <c r="C223" s="731">
        <v>0.38300000000000001</v>
      </c>
      <c r="D223" s="469">
        <v>0.6</v>
      </c>
      <c r="E223" s="469">
        <v>0.7</v>
      </c>
      <c r="F223" s="469">
        <v>0.8</v>
      </c>
      <c r="G223" s="469">
        <v>0.9</v>
      </c>
      <c r="H223" s="707">
        <v>1</v>
      </c>
      <c r="I223" s="705"/>
      <c r="J223" s="705"/>
      <c r="K223" s="705"/>
      <c r="L223" s="705"/>
    </row>
    <row r="224" spans="1:12">
      <c r="A224" s="1875" t="s">
        <v>46</v>
      </c>
      <c r="B224" s="470">
        <v>0.5</v>
      </c>
      <c r="C224" s="482"/>
      <c r="D224" s="483"/>
      <c r="E224" s="483"/>
      <c r="F224" s="483"/>
      <c r="G224" s="483"/>
      <c r="H224" s="484"/>
      <c r="I224" s="706"/>
      <c r="J224" s="706"/>
      <c r="K224" s="706"/>
      <c r="L224" s="706"/>
    </row>
    <row r="225" spans="1:12">
      <c r="A225" s="1876"/>
      <c r="B225" s="474">
        <v>0.6</v>
      </c>
      <c r="C225" s="485"/>
      <c r="D225" s="486"/>
      <c r="E225" s="486"/>
      <c r="F225" s="486"/>
      <c r="G225" s="486"/>
      <c r="H225" s="487"/>
      <c r="I225" s="706"/>
      <c r="J225" s="706"/>
      <c r="K225" s="706"/>
      <c r="L225" s="706"/>
    </row>
    <row r="226" spans="1:12">
      <c r="A226" s="1876"/>
      <c r="B226" s="474">
        <v>0.7</v>
      </c>
      <c r="C226" s="485"/>
      <c r="D226" s="486"/>
      <c r="E226" s="486"/>
      <c r="F226" s="486"/>
      <c r="G226" s="486"/>
      <c r="H226" s="487"/>
      <c r="I226" s="706"/>
      <c r="J226" s="706"/>
      <c r="K226" s="706"/>
      <c r="L226" s="706"/>
    </row>
    <row r="227" spans="1:12">
      <c r="A227" s="1876"/>
      <c r="B227" s="474">
        <v>0.8</v>
      </c>
      <c r="C227" s="485"/>
      <c r="D227" s="486"/>
      <c r="E227" s="486"/>
      <c r="F227" s="486"/>
      <c r="G227" s="486"/>
      <c r="H227" s="487"/>
      <c r="I227" s="706"/>
      <c r="J227" s="706"/>
      <c r="K227" s="706"/>
      <c r="L227" s="706"/>
    </row>
    <row r="228" spans="1:12">
      <c r="A228" s="1876"/>
      <c r="B228" s="474">
        <v>0.9</v>
      </c>
      <c r="C228" s="485"/>
      <c r="D228" s="486"/>
      <c r="E228" s="486"/>
      <c r="F228" s="486"/>
      <c r="G228" s="486"/>
      <c r="H228" s="487"/>
      <c r="I228" s="706"/>
      <c r="J228" s="706"/>
      <c r="K228" s="706"/>
      <c r="L228" s="706"/>
    </row>
    <row r="229" spans="1:12">
      <c r="A229" s="1876"/>
      <c r="B229" s="474">
        <v>1</v>
      </c>
      <c r="C229" s="485"/>
      <c r="D229" s="486"/>
      <c r="E229" s="486"/>
      <c r="F229" s="486"/>
      <c r="G229" s="486"/>
      <c r="H229" s="487"/>
      <c r="I229" s="706"/>
      <c r="J229" s="706"/>
      <c r="K229" s="706"/>
      <c r="L229" s="706"/>
    </row>
    <row r="230" spans="1:12">
      <c r="A230" s="1876"/>
      <c r="B230" s="474">
        <v>1.1000000000000001</v>
      </c>
      <c r="C230" s="485"/>
      <c r="D230" s="486"/>
      <c r="E230" s="486"/>
      <c r="F230" s="486"/>
      <c r="G230" s="486"/>
      <c r="H230" s="487"/>
      <c r="I230" s="706"/>
      <c r="J230" s="706"/>
      <c r="K230" s="706"/>
      <c r="L230" s="706"/>
    </row>
    <row r="231" spans="1:12">
      <c r="A231" s="1876"/>
      <c r="B231" s="718">
        <v>1.21</v>
      </c>
      <c r="C231" s="485"/>
      <c r="D231" s="486"/>
      <c r="E231" s="486"/>
      <c r="F231" s="486"/>
      <c r="G231" s="486"/>
      <c r="H231" s="487"/>
      <c r="I231" s="706"/>
      <c r="J231" s="706"/>
      <c r="K231" s="706"/>
      <c r="L231" s="706"/>
    </row>
    <row r="232" spans="1:12">
      <c r="A232" s="1876"/>
      <c r="B232" s="474">
        <v>1.4</v>
      </c>
      <c r="C232" s="475"/>
      <c r="D232" s="476"/>
      <c r="E232" s="476"/>
      <c r="F232" s="476"/>
      <c r="G232" s="476"/>
      <c r="H232" s="477"/>
      <c r="I232" s="706"/>
      <c r="J232" s="706"/>
      <c r="K232" s="706"/>
      <c r="L232" s="706"/>
    </row>
    <row r="233" spans="1:12">
      <c r="A233" s="1876"/>
      <c r="B233" s="474">
        <v>1.5</v>
      </c>
      <c r="C233" s="475"/>
      <c r="D233" s="476"/>
      <c r="E233" s="476"/>
      <c r="F233" s="476"/>
      <c r="G233" s="476"/>
      <c r="H233" s="477"/>
      <c r="I233" s="706"/>
      <c r="J233" s="706"/>
      <c r="K233" s="706"/>
      <c r="L233" s="706"/>
    </row>
    <row r="234" spans="1:12" ht="13.8" thickBot="1">
      <c r="A234" s="1877"/>
      <c r="B234" s="478">
        <v>1.6</v>
      </c>
      <c r="C234" s="479"/>
      <c r="D234" s="480"/>
      <c r="E234" s="480"/>
      <c r="F234" s="480"/>
      <c r="G234" s="480"/>
      <c r="H234" s="481"/>
      <c r="I234" s="706"/>
      <c r="J234" s="706"/>
      <c r="K234" s="706"/>
      <c r="L234" s="706"/>
    </row>
    <row r="235" spans="1:12" ht="13.8" thickBot="1"/>
    <row r="236" spans="1:12" ht="13.8" thickBot="1">
      <c r="A236" s="1878" t="s">
        <v>1048</v>
      </c>
      <c r="B236" s="1879"/>
      <c r="C236" s="1882" t="s">
        <v>207</v>
      </c>
      <c r="D236" s="1883"/>
      <c r="E236" s="1883"/>
      <c r="F236" s="1883"/>
      <c r="G236" s="1883"/>
      <c r="H236" s="1884"/>
      <c r="I236" s="705"/>
      <c r="J236" s="705"/>
      <c r="K236" s="704"/>
    </row>
    <row r="237" spans="1:12" ht="13.8" thickBot="1">
      <c r="A237" s="1880"/>
      <c r="B237" s="1881"/>
      <c r="C237" s="731">
        <v>0.38300000000000001</v>
      </c>
      <c r="D237" s="469">
        <v>0.6</v>
      </c>
      <c r="E237" s="469">
        <v>0.7</v>
      </c>
      <c r="F237" s="469">
        <v>0.8</v>
      </c>
      <c r="G237" s="469">
        <v>0.9</v>
      </c>
      <c r="H237" s="707">
        <v>1</v>
      </c>
      <c r="I237" s="705"/>
      <c r="J237" s="705"/>
      <c r="K237" s="705"/>
    </row>
    <row r="238" spans="1:12">
      <c r="A238" s="1875" t="s">
        <v>46</v>
      </c>
      <c r="B238" s="470">
        <v>0.5</v>
      </c>
      <c r="C238" s="482"/>
      <c r="D238" s="483"/>
      <c r="E238" s="483"/>
      <c r="F238" s="483"/>
      <c r="G238" s="483"/>
      <c r="H238" s="484"/>
      <c r="I238" s="706"/>
      <c r="J238" s="706"/>
      <c r="K238" s="706"/>
    </row>
    <row r="239" spans="1:12">
      <c r="A239" s="1876"/>
      <c r="B239" s="474">
        <v>0.6</v>
      </c>
      <c r="C239" s="485"/>
      <c r="D239" s="486"/>
      <c r="E239" s="486"/>
      <c r="F239" s="486"/>
      <c r="G239" s="486"/>
      <c r="H239" s="487"/>
      <c r="I239" s="706"/>
      <c r="J239" s="706"/>
      <c r="K239" s="706"/>
    </row>
    <row r="240" spans="1:12">
      <c r="A240" s="1876"/>
      <c r="B240" s="474">
        <v>0.7</v>
      </c>
      <c r="C240" s="485"/>
      <c r="D240" s="486"/>
      <c r="E240" s="486"/>
      <c r="F240" s="486"/>
      <c r="G240" s="486"/>
      <c r="H240" s="487"/>
      <c r="I240" s="706"/>
      <c r="J240" s="706"/>
      <c r="K240" s="706"/>
    </row>
    <row r="241" spans="1:11">
      <c r="A241" s="1876"/>
      <c r="B241" s="474">
        <v>0.8</v>
      </c>
      <c r="C241" s="485"/>
      <c r="D241" s="486"/>
      <c r="E241" s="486"/>
      <c r="F241" s="486"/>
      <c r="G241" s="486"/>
      <c r="H241" s="487"/>
      <c r="I241" s="706"/>
      <c r="J241" s="706"/>
      <c r="K241" s="706"/>
    </row>
    <row r="242" spans="1:11">
      <c r="A242" s="1876"/>
      <c r="B242" s="474">
        <v>0.9</v>
      </c>
      <c r="C242" s="485"/>
      <c r="D242" s="486"/>
      <c r="E242" s="486"/>
      <c r="F242" s="486"/>
      <c r="G242" s="486"/>
      <c r="H242" s="487"/>
      <c r="I242" s="706"/>
      <c r="J242" s="706"/>
      <c r="K242" s="706"/>
    </row>
    <row r="243" spans="1:11">
      <c r="A243" s="1876"/>
      <c r="B243" s="474">
        <v>1</v>
      </c>
      <c r="C243" s="485"/>
      <c r="D243" s="486"/>
      <c r="E243" s="486"/>
      <c r="F243" s="486"/>
      <c r="G243" s="486"/>
      <c r="H243" s="487"/>
      <c r="I243" s="706"/>
      <c r="J243" s="706"/>
      <c r="K243" s="706"/>
    </row>
    <row r="244" spans="1:11">
      <c r="A244" s="1876"/>
      <c r="B244" s="474">
        <v>1.1000000000000001</v>
      </c>
      <c r="C244" s="485"/>
      <c r="D244" s="486"/>
      <c r="E244" s="486"/>
      <c r="F244" s="486"/>
      <c r="G244" s="486"/>
      <c r="H244" s="487"/>
      <c r="I244" s="706"/>
      <c r="J244" s="706"/>
      <c r="K244" s="706"/>
    </row>
    <row r="245" spans="1:11">
      <c r="A245" s="1876"/>
      <c r="B245" s="474">
        <v>1.2</v>
      </c>
      <c r="C245" s="485"/>
      <c r="D245" s="486"/>
      <c r="E245" s="486"/>
      <c r="F245" s="486"/>
      <c r="G245" s="486"/>
      <c r="H245" s="487"/>
      <c r="I245" s="706"/>
      <c r="J245" s="706"/>
      <c r="K245" s="706"/>
    </row>
    <row r="246" spans="1:11">
      <c r="A246" s="1876"/>
      <c r="B246" s="488">
        <v>1.36</v>
      </c>
      <c r="C246" s="485"/>
      <c r="D246" s="486"/>
      <c r="E246" s="486"/>
      <c r="F246" s="486"/>
      <c r="G246" s="486"/>
      <c r="H246" s="487"/>
      <c r="I246" s="706"/>
      <c r="J246" s="706"/>
      <c r="K246" s="706"/>
    </row>
    <row r="247" spans="1:11">
      <c r="A247" s="1876"/>
      <c r="B247" s="474">
        <v>1.4</v>
      </c>
      <c r="C247" s="475"/>
      <c r="D247" s="476"/>
      <c r="E247" s="476"/>
      <c r="F247" s="476"/>
      <c r="G247" s="476"/>
      <c r="H247" s="477"/>
      <c r="I247" s="706"/>
      <c r="J247" s="706"/>
      <c r="K247" s="706"/>
    </row>
    <row r="248" spans="1:11">
      <c r="A248" s="1876"/>
      <c r="B248" s="474">
        <v>1.5</v>
      </c>
      <c r="C248" s="475"/>
      <c r="D248" s="476"/>
      <c r="E248" s="476"/>
      <c r="F248" s="476"/>
      <c r="G248" s="476"/>
      <c r="H248" s="477"/>
      <c r="I248" s="706"/>
      <c r="J248" s="706"/>
      <c r="K248" s="706"/>
    </row>
    <row r="249" spans="1:11" ht="13.8" thickBot="1">
      <c r="A249" s="1877"/>
      <c r="B249" s="478">
        <v>1.6</v>
      </c>
      <c r="C249" s="479"/>
      <c r="D249" s="480"/>
      <c r="E249" s="480"/>
      <c r="F249" s="480"/>
      <c r="G249" s="480"/>
      <c r="H249" s="481"/>
      <c r="I249" s="706"/>
      <c r="J249" s="706"/>
      <c r="K249" s="706"/>
    </row>
  </sheetData>
  <mergeCells count="356">
    <mergeCell ref="E149:F149"/>
    <mergeCell ref="I155:J155"/>
    <mergeCell ref="I151:J151"/>
    <mergeCell ref="I152:J152"/>
    <mergeCell ref="I153:J153"/>
    <mergeCell ref="I154:J154"/>
    <mergeCell ref="I144:J144"/>
    <mergeCell ref="I145:J145"/>
    <mergeCell ref="I146:J146"/>
    <mergeCell ref="I147:J147"/>
    <mergeCell ref="I148:J148"/>
    <mergeCell ref="I150:J150"/>
    <mergeCell ref="G153:H153"/>
    <mergeCell ref="G154:H154"/>
    <mergeCell ref="A238:A249"/>
    <mergeCell ref="C222:H222"/>
    <mergeCell ref="C207:H207"/>
    <mergeCell ref="I115:J115"/>
    <mergeCell ref="I119:J119"/>
    <mergeCell ref="G127:H127"/>
    <mergeCell ref="G128:H128"/>
    <mergeCell ref="G129:H129"/>
    <mergeCell ref="I131:J131"/>
    <mergeCell ref="I132:J132"/>
    <mergeCell ref="A207:B208"/>
    <mergeCell ref="A209:A220"/>
    <mergeCell ref="A222:B223"/>
    <mergeCell ref="I125:J125"/>
    <mergeCell ref="I126:J126"/>
    <mergeCell ref="I127:J127"/>
    <mergeCell ref="I128:J128"/>
    <mergeCell ref="I129:J129"/>
    <mergeCell ref="A148:B148"/>
    <mergeCell ref="C148:D148"/>
    <mergeCell ref="E148:F148"/>
    <mergeCell ref="A149:B149"/>
    <mergeCell ref="C149:D149"/>
    <mergeCell ref="A177:A188"/>
    <mergeCell ref="K150:L150"/>
    <mergeCell ref="A236:B237"/>
    <mergeCell ref="C236:H236"/>
    <mergeCell ref="I133:J133"/>
    <mergeCell ref="I134:J134"/>
    <mergeCell ref="I135:J135"/>
    <mergeCell ref="I139:J139"/>
    <mergeCell ref="I113:J113"/>
    <mergeCell ref="I122:J122"/>
    <mergeCell ref="I123:J123"/>
    <mergeCell ref="I124:J124"/>
    <mergeCell ref="I136:J136"/>
    <mergeCell ref="I137:J137"/>
    <mergeCell ref="I114:J114"/>
    <mergeCell ref="I138:J138"/>
    <mergeCell ref="I140:J140"/>
    <mergeCell ref="I141:J141"/>
    <mergeCell ref="I142:J142"/>
    <mergeCell ref="I143:J143"/>
    <mergeCell ref="A224:A234"/>
    <mergeCell ref="A193:A204"/>
    <mergeCell ref="I156:J156"/>
    <mergeCell ref="I157:J157"/>
    <mergeCell ref="I149:J149"/>
    <mergeCell ref="K126:L126"/>
    <mergeCell ref="K127:L127"/>
    <mergeCell ref="K128:L128"/>
    <mergeCell ref="K129:L129"/>
    <mergeCell ref="K130:L130"/>
    <mergeCell ref="K131:L131"/>
    <mergeCell ref="K141:L141"/>
    <mergeCell ref="K142:L142"/>
    <mergeCell ref="K145:L145"/>
    <mergeCell ref="K137:L137"/>
    <mergeCell ref="K138:L138"/>
    <mergeCell ref="K139:L139"/>
    <mergeCell ref="K136:L136"/>
    <mergeCell ref="K133:L133"/>
    <mergeCell ref="K134:L134"/>
    <mergeCell ref="K135:L135"/>
    <mergeCell ref="A191:B192"/>
    <mergeCell ref="C191:H191"/>
    <mergeCell ref="A157:B157"/>
    <mergeCell ref="C157:D157"/>
    <mergeCell ref="E157:F157"/>
    <mergeCell ref="G157:H157"/>
    <mergeCell ref="C175:H175"/>
    <mergeCell ref="A159:B160"/>
    <mergeCell ref="A158:B158"/>
    <mergeCell ref="C159:H159"/>
    <mergeCell ref="A154:B154"/>
    <mergeCell ref="C154:D154"/>
    <mergeCell ref="A156:B156"/>
    <mergeCell ref="A161:A172"/>
    <mergeCell ref="A175:B176"/>
    <mergeCell ref="K155:L155"/>
    <mergeCell ref="G155:H155"/>
    <mergeCell ref="A155:B155"/>
    <mergeCell ref="K156:L156"/>
    <mergeCell ref="E155:F155"/>
    <mergeCell ref="C156:D156"/>
    <mergeCell ref="E156:F156"/>
    <mergeCell ref="G156:H156"/>
    <mergeCell ref="C155:D155"/>
    <mergeCell ref="K153:L153"/>
    <mergeCell ref="K154:L154"/>
    <mergeCell ref="K158:L158"/>
    <mergeCell ref="K157:L157"/>
    <mergeCell ref="K114:L114"/>
    <mergeCell ref="K117:L117"/>
    <mergeCell ref="K118:L118"/>
    <mergeCell ref="K119:L119"/>
    <mergeCell ref="K120:L120"/>
    <mergeCell ref="K121:L121"/>
    <mergeCell ref="K115:L115"/>
    <mergeCell ref="K116:L116"/>
    <mergeCell ref="K132:L132"/>
    <mergeCell ref="K146:L146"/>
    <mergeCell ref="K147:L147"/>
    <mergeCell ref="K148:L148"/>
    <mergeCell ref="K149:L149"/>
    <mergeCell ref="K143:L143"/>
    <mergeCell ref="K144:L144"/>
    <mergeCell ref="K122:L122"/>
    <mergeCell ref="K123:L123"/>
    <mergeCell ref="K124:L124"/>
    <mergeCell ref="K125:L125"/>
    <mergeCell ref="K152:L152"/>
    <mergeCell ref="K151:L151"/>
    <mergeCell ref="K140:L140"/>
    <mergeCell ref="E154:F154"/>
    <mergeCell ref="A142:B142"/>
    <mergeCell ref="C142:D142"/>
    <mergeCell ref="G142:H142"/>
    <mergeCell ref="E142:F142"/>
    <mergeCell ref="G149:H149"/>
    <mergeCell ref="A150:B150"/>
    <mergeCell ref="C150:D150"/>
    <mergeCell ref="E150:F150"/>
    <mergeCell ref="G150:H150"/>
    <mergeCell ref="A147:B147"/>
    <mergeCell ref="C147:D147"/>
    <mergeCell ref="E147:F147"/>
    <mergeCell ref="G147:H147"/>
    <mergeCell ref="A151:B151"/>
    <mergeCell ref="C151:D151"/>
    <mergeCell ref="E151:F151"/>
    <mergeCell ref="C153:D153"/>
    <mergeCell ref="A152:B152"/>
    <mergeCell ref="C152:D152"/>
    <mergeCell ref="E152:F152"/>
    <mergeCell ref="G152:H152"/>
    <mergeCell ref="A153:B153"/>
    <mergeCell ref="E153:F153"/>
    <mergeCell ref="G138:H138"/>
    <mergeCell ref="A139:B139"/>
    <mergeCell ref="C139:D139"/>
    <mergeCell ref="E139:F139"/>
    <mergeCell ref="G139:H139"/>
    <mergeCell ref="A146:B146"/>
    <mergeCell ref="C146:D146"/>
    <mergeCell ref="E146:F146"/>
    <mergeCell ref="G146:H146"/>
    <mergeCell ref="A141:B141"/>
    <mergeCell ref="C141:D141"/>
    <mergeCell ref="E141:F141"/>
    <mergeCell ref="G141:H141"/>
    <mergeCell ref="G143:H143"/>
    <mergeCell ref="A144:B144"/>
    <mergeCell ref="C144:D144"/>
    <mergeCell ref="E144:F144"/>
    <mergeCell ref="G144:H144"/>
    <mergeCell ref="E143:F143"/>
    <mergeCell ref="A143:B143"/>
    <mergeCell ref="C143:D143"/>
    <mergeCell ref="A145:B145"/>
    <mergeCell ref="C145:D145"/>
    <mergeCell ref="E145:F145"/>
    <mergeCell ref="G140:H140"/>
    <mergeCell ref="A133:B133"/>
    <mergeCell ref="C133:D133"/>
    <mergeCell ref="E133:F133"/>
    <mergeCell ref="G133:H133"/>
    <mergeCell ref="A134:B134"/>
    <mergeCell ref="C134:D134"/>
    <mergeCell ref="E134:F134"/>
    <mergeCell ref="G134:H134"/>
    <mergeCell ref="A135:B135"/>
    <mergeCell ref="C135:D135"/>
    <mergeCell ref="E135:F135"/>
    <mergeCell ref="G135:H135"/>
    <mergeCell ref="A136:B136"/>
    <mergeCell ref="C136:D136"/>
    <mergeCell ref="E136:F136"/>
    <mergeCell ref="G136:H136"/>
    <mergeCell ref="A137:B137"/>
    <mergeCell ref="C137:D137"/>
    <mergeCell ref="E137:F137"/>
    <mergeCell ref="G137:H137"/>
    <mergeCell ref="A138:B138"/>
    <mergeCell ref="C138:D138"/>
    <mergeCell ref="E138:F138"/>
    <mergeCell ref="A130:B130"/>
    <mergeCell ref="C130:D130"/>
    <mergeCell ref="E130:F130"/>
    <mergeCell ref="A131:B131"/>
    <mergeCell ref="C131:D131"/>
    <mergeCell ref="E131:F131"/>
    <mergeCell ref="A140:B140"/>
    <mergeCell ref="C140:D140"/>
    <mergeCell ref="E140:F140"/>
    <mergeCell ref="A126:B126"/>
    <mergeCell ref="C126:D126"/>
    <mergeCell ref="A118:B118"/>
    <mergeCell ref="C118:D118"/>
    <mergeCell ref="A122:B122"/>
    <mergeCell ref="A124:B124"/>
    <mergeCell ref="C124:D124"/>
    <mergeCell ref="E115:F115"/>
    <mergeCell ref="A132:B132"/>
    <mergeCell ref="C132:D132"/>
    <mergeCell ref="E132:F132"/>
    <mergeCell ref="A128:B128"/>
    <mergeCell ref="A123:B123"/>
    <mergeCell ref="A115:B115"/>
    <mergeCell ref="C115:D115"/>
    <mergeCell ref="C123:D123"/>
    <mergeCell ref="A127:B127"/>
    <mergeCell ref="A125:B125"/>
    <mergeCell ref="A117:B117"/>
    <mergeCell ref="A120:B120"/>
    <mergeCell ref="C127:D127"/>
    <mergeCell ref="A129:B129"/>
    <mergeCell ref="C129:D129"/>
    <mergeCell ref="E129:F129"/>
    <mergeCell ref="E127:F127"/>
    <mergeCell ref="E123:F123"/>
    <mergeCell ref="C121:D121"/>
    <mergeCell ref="E121:F121"/>
    <mergeCell ref="C122:D122"/>
    <mergeCell ref="E124:F124"/>
    <mergeCell ref="E125:F125"/>
    <mergeCell ref="G126:H126"/>
    <mergeCell ref="E114:F114"/>
    <mergeCell ref="C116:D116"/>
    <mergeCell ref="G120:H120"/>
    <mergeCell ref="G121:H121"/>
    <mergeCell ref="G116:H116"/>
    <mergeCell ref="G118:H118"/>
    <mergeCell ref="G115:H115"/>
    <mergeCell ref="G114:H114"/>
    <mergeCell ref="A114:B114"/>
    <mergeCell ref="C114:D114"/>
    <mergeCell ref="E113:F113"/>
    <mergeCell ref="C113:D113"/>
    <mergeCell ref="C125:D125"/>
    <mergeCell ref="C120:D120"/>
    <mergeCell ref="E122:F122"/>
    <mergeCell ref="A121:B121"/>
    <mergeCell ref="E120:F120"/>
    <mergeCell ref="A116:B116"/>
    <mergeCell ref="E119:F119"/>
    <mergeCell ref="C117:D117"/>
    <mergeCell ref="A112:B112"/>
    <mergeCell ref="C112:D112"/>
    <mergeCell ref="E112:F112"/>
    <mergeCell ref="E111:F111"/>
    <mergeCell ref="E110:F110"/>
    <mergeCell ref="K110:L110"/>
    <mergeCell ref="G113:H113"/>
    <mergeCell ref="K113:L113"/>
    <mergeCell ref="G112:H112"/>
    <mergeCell ref="K111:L111"/>
    <mergeCell ref="A111:B111"/>
    <mergeCell ref="C111:D111"/>
    <mergeCell ref="A110:B110"/>
    <mergeCell ref="G110:H110"/>
    <mergeCell ref="C110:D110"/>
    <mergeCell ref="K112:L112"/>
    <mergeCell ref="G111:H111"/>
    <mergeCell ref="A113:B113"/>
    <mergeCell ref="I110:J110"/>
    <mergeCell ref="I111:J111"/>
    <mergeCell ref="I112:J112"/>
    <mergeCell ref="K109:L109"/>
    <mergeCell ref="A108:B108"/>
    <mergeCell ref="E109:F109"/>
    <mergeCell ref="I107:J107"/>
    <mergeCell ref="I108:J108"/>
    <mergeCell ref="K108:L108"/>
    <mergeCell ref="K107:L107"/>
    <mergeCell ref="A109:B109"/>
    <mergeCell ref="C109:D109"/>
    <mergeCell ref="I109:J109"/>
    <mergeCell ref="G109:H109"/>
    <mergeCell ref="A52:B53"/>
    <mergeCell ref="A67:B68"/>
    <mergeCell ref="A37:B38"/>
    <mergeCell ref="E108:F108"/>
    <mergeCell ref="G108:H108"/>
    <mergeCell ref="A82:B83"/>
    <mergeCell ref="A69:A80"/>
    <mergeCell ref="A106:L106"/>
    <mergeCell ref="A107:B107"/>
    <mergeCell ref="C107:D107"/>
    <mergeCell ref="E107:F107"/>
    <mergeCell ref="G107:H107"/>
    <mergeCell ref="C67:H67"/>
    <mergeCell ref="C82:H82"/>
    <mergeCell ref="C108:D108"/>
    <mergeCell ref="A4:L4"/>
    <mergeCell ref="A2:L2"/>
    <mergeCell ref="A3:L3"/>
    <mergeCell ref="A22:B23"/>
    <mergeCell ref="A24:A35"/>
    <mergeCell ref="C7:H7"/>
    <mergeCell ref="C22:H22"/>
    <mergeCell ref="A119:B119"/>
    <mergeCell ref="C119:D119"/>
    <mergeCell ref="E118:F118"/>
    <mergeCell ref="G119:H119"/>
    <mergeCell ref="E116:F116"/>
    <mergeCell ref="G117:H117"/>
    <mergeCell ref="A5:C5"/>
    <mergeCell ref="A6:C6"/>
    <mergeCell ref="D5:L5"/>
    <mergeCell ref="D6:L6"/>
    <mergeCell ref="A39:A50"/>
    <mergeCell ref="A54:A65"/>
    <mergeCell ref="A7:B8"/>
    <mergeCell ref="C37:H37"/>
    <mergeCell ref="C52:H52"/>
    <mergeCell ref="A9:A20"/>
    <mergeCell ref="A84:A95"/>
    <mergeCell ref="G131:H131"/>
    <mergeCell ref="G125:H125"/>
    <mergeCell ref="I117:J117"/>
    <mergeCell ref="I118:J118"/>
    <mergeCell ref="I116:J116"/>
    <mergeCell ref="I120:J120"/>
    <mergeCell ref="I121:J121"/>
    <mergeCell ref="I130:J130"/>
    <mergeCell ref="C158:D158"/>
    <mergeCell ref="E158:F158"/>
    <mergeCell ref="G158:H158"/>
    <mergeCell ref="I158:J158"/>
    <mergeCell ref="G130:H130"/>
    <mergeCell ref="G132:H132"/>
    <mergeCell ref="G145:H145"/>
    <mergeCell ref="G151:H151"/>
    <mergeCell ref="G148:H148"/>
    <mergeCell ref="G122:H122"/>
    <mergeCell ref="G123:H123"/>
    <mergeCell ref="G124:H124"/>
    <mergeCell ref="E117:F117"/>
    <mergeCell ref="C128:D128"/>
    <mergeCell ref="E128:F128"/>
    <mergeCell ref="E126:F126"/>
  </mergeCells>
  <hyperlinks>
    <hyperlink ref="D6" r:id="rId1" xr:uid="{957B7B43-3952-452B-8492-865B5FA6949F}"/>
    <hyperlink ref="D5" r:id="rId2" xr:uid="{C6F21AAD-0C60-4841-AEC9-3AB97C936405}"/>
  </hyperlinks>
  <pageMargins left="0.7" right="0.7" top="0.75" bottom="0.75" header="0.3" footer="0.3"/>
  <pageSetup paperSize="9" scale="83" orientation="portrait" r:id="rId3"/>
  <rowBreaks count="4" manualBreakCount="4">
    <brk id="50" max="11" man="1"/>
    <brk id="99" max="11" man="1"/>
    <brk id="158" max="11" man="1"/>
    <brk id="221" max="11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611EA9-2B9C-41BB-BDB3-BD853669B684}">
  <sheetPr codeName="Лист12">
    <tabColor rgb="FF00B050"/>
  </sheetPr>
  <dimension ref="A1:AC248"/>
  <sheetViews>
    <sheetView view="pageBreakPreview" zoomScale="75" zoomScaleNormal="100" zoomScaleSheetLayoutView="75" workbookViewId="0">
      <pane ySplit="8" topLeftCell="A9" activePane="bottomLeft" state="frozen"/>
      <selection pane="bottomLeft" activeCell="V17" sqref="V17"/>
    </sheetView>
  </sheetViews>
  <sheetFormatPr defaultColWidth="9.109375" defaultRowHeight="13.2"/>
  <cols>
    <col min="1" max="29" width="5.6640625" style="3" customWidth="1"/>
    <col min="30" max="16384" width="9.109375" style="3"/>
  </cols>
  <sheetData>
    <row r="1" spans="1:29" ht="10.5" customHeight="1">
      <c r="A1" s="5"/>
      <c r="B1" s="10"/>
      <c r="C1" s="10"/>
      <c r="D1" s="10"/>
      <c r="E1" s="10"/>
      <c r="AC1" s="67" t="s">
        <v>440</v>
      </c>
    </row>
    <row r="2" spans="1:29" ht="10.5" customHeight="1">
      <c r="A2" s="1"/>
      <c r="B2" s="10"/>
      <c r="C2" s="10"/>
      <c r="D2" s="10"/>
      <c r="E2" s="10"/>
      <c r="AC2" s="67" t="s">
        <v>22</v>
      </c>
    </row>
    <row r="3" spans="1:29" ht="10.5" customHeight="1">
      <c r="A3" s="5"/>
      <c r="B3" s="10"/>
      <c r="C3" s="10"/>
      <c r="D3" s="10"/>
      <c r="E3" s="10"/>
      <c r="AC3" s="67" t="s">
        <v>129</v>
      </c>
    </row>
    <row r="4" spans="1:29" ht="10.5" customHeight="1">
      <c r="A4" s="5"/>
      <c r="B4" s="10"/>
      <c r="C4" s="10"/>
      <c r="D4" s="10"/>
      <c r="E4" s="10"/>
      <c r="AC4" s="67" t="s">
        <v>68</v>
      </c>
    </row>
    <row r="5" spans="1:29" ht="10.5" customHeight="1">
      <c r="A5" s="5"/>
      <c r="B5" s="10"/>
      <c r="C5" s="10"/>
      <c r="D5" s="10"/>
      <c r="E5" s="10"/>
      <c r="AC5" s="72"/>
    </row>
    <row r="6" spans="1:29" ht="10.5" customHeight="1">
      <c r="A6" s="1"/>
      <c r="B6" s="10"/>
      <c r="C6" s="10"/>
      <c r="D6" s="10"/>
      <c r="E6" s="10"/>
    </row>
    <row r="7" spans="1:29" ht="19.5" customHeight="1">
      <c r="A7" s="1821" t="s">
        <v>205</v>
      </c>
      <c r="B7" s="1821"/>
      <c r="C7" s="1821"/>
      <c r="D7" s="1821"/>
      <c r="E7" s="1821"/>
      <c r="F7" s="1821"/>
      <c r="G7" s="1821"/>
      <c r="H7" s="1821"/>
      <c r="I7" s="1821"/>
      <c r="J7" s="1821"/>
      <c r="K7" s="1821"/>
      <c r="L7" s="1821"/>
      <c r="M7" s="1821"/>
      <c r="N7" s="1821"/>
      <c r="O7" s="1821"/>
      <c r="P7" s="1821"/>
      <c r="Q7" s="1821"/>
      <c r="R7" s="1821"/>
      <c r="S7" s="1821"/>
      <c r="T7" s="1821"/>
      <c r="U7" s="1821"/>
      <c r="V7" s="1821"/>
      <c r="W7" s="1821"/>
      <c r="X7" s="1821"/>
      <c r="Y7" s="1821"/>
      <c r="Z7" s="1821"/>
      <c r="AA7" s="1821"/>
      <c r="AB7" s="1821"/>
      <c r="AC7" s="1821"/>
    </row>
    <row r="8" spans="1:29" ht="3.75" customHeight="1" thickBot="1">
      <c r="A8" s="1821"/>
      <c r="B8" s="1821"/>
      <c r="C8" s="1821"/>
      <c r="D8" s="1821"/>
      <c r="E8" s="1821"/>
      <c r="F8" s="1821"/>
    </row>
    <row r="9" spans="1:29" ht="13.8" thickBot="1">
      <c r="A9" s="1413" t="s">
        <v>462</v>
      </c>
      <c r="B9" s="1601"/>
      <c r="C9" s="1787" t="s">
        <v>207</v>
      </c>
      <c r="D9" s="1788"/>
      <c r="E9" s="1788"/>
      <c r="F9" s="1788"/>
      <c r="G9" s="1788"/>
      <c r="H9" s="1788"/>
      <c r="I9" s="1788"/>
      <c r="J9" s="1788"/>
      <c r="K9" s="1788"/>
      <c r="L9" s="1788"/>
      <c r="M9" s="1788"/>
      <c r="N9" s="1788"/>
      <c r="O9" s="1788"/>
      <c r="P9" s="1788"/>
      <c r="Q9" s="1788"/>
      <c r="R9" s="1788"/>
      <c r="S9" s="1788"/>
      <c r="T9" s="1788"/>
      <c r="U9" s="1788"/>
      <c r="V9" s="1788"/>
      <c r="W9" s="1788"/>
      <c r="X9" s="1788"/>
      <c r="Y9" s="1788"/>
      <c r="Z9" s="1788"/>
      <c r="AA9" s="1788"/>
      <c r="AB9" s="1788"/>
      <c r="AC9" s="1885"/>
    </row>
    <row r="10" spans="1:29" ht="13.8" thickBot="1">
      <c r="A10" s="1543"/>
      <c r="B10" s="1602"/>
      <c r="C10" s="633">
        <v>0.4</v>
      </c>
      <c r="D10" s="634">
        <v>0.5</v>
      </c>
      <c r="E10" s="634">
        <v>0.6</v>
      </c>
      <c r="F10" s="634">
        <v>0.7</v>
      </c>
      <c r="G10" s="634">
        <v>0.8</v>
      </c>
      <c r="H10" s="634">
        <v>0.9</v>
      </c>
      <c r="I10" s="634">
        <v>1</v>
      </c>
      <c r="J10" s="634">
        <v>1.1000000000000001</v>
      </c>
      <c r="K10" s="634">
        <v>1.2</v>
      </c>
      <c r="L10" s="634">
        <v>1.3</v>
      </c>
      <c r="M10" s="634">
        <v>1.4</v>
      </c>
      <c r="N10" s="634">
        <v>1.5</v>
      </c>
      <c r="O10" s="634">
        <v>1.6</v>
      </c>
      <c r="P10" s="634">
        <v>1.7</v>
      </c>
      <c r="Q10" s="634">
        <v>1.8</v>
      </c>
      <c r="R10" s="634">
        <v>1.9</v>
      </c>
      <c r="S10" s="634">
        <v>2</v>
      </c>
      <c r="T10" s="634">
        <v>2.1</v>
      </c>
      <c r="U10" s="634">
        <v>2.2000000000000002</v>
      </c>
      <c r="V10" s="634">
        <v>2.2999999999999998</v>
      </c>
      <c r="W10" s="634">
        <v>2.4</v>
      </c>
      <c r="X10" s="634">
        <v>2.5</v>
      </c>
      <c r="Y10" s="634">
        <v>2.6</v>
      </c>
      <c r="Z10" s="634">
        <v>2.7</v>
      </c>
      <c r="AA10" s="634">
        <v>2.8</v>
      </c>
      <c r="AB10" s="634">
        <v>2.9</v>
      </c>
      <c r="AC10" s="635">
        <v>3</v>
      </c>
    </row>
    <row r="11" spans="1:29" ht="13.2" customHeight="1">
      <c r="A11" s="1537" t="s">
        <v>3</v>
      </c>
      <c r="B11" s="636">
        <v>0.5</v>
      </c>
      <c r="C11" s="274">
        <f>(8.9*KFC!$B$30+KFC!$C$30)*KFC!$C$5</f>
        <v>8.9</v>
      </c>
      <c r="D11" s="301">
        <f>(9.2*KFC!$B$30+KFC!$C$30)*KFC!$C$5</f>
        <v>9.1999999999999993</v>
      </c>
      <c r="E11" s="301">
        <f>(9.5*KFC!$B$30+KFC!$C$30)*KFC!$C$5</f>
        <v>9.5</v>
      </c>
      <c r="F11" s="301">
        <f>(9.7*KFC!$B$30+KFC!$C$30)*KFC!$C$5</f>
        <v>9.6999999999999993</v>
      </c>
      <c r="G11" s="301">
        <f>(10*KFC!$B$30+KFC!$C$30)*KFC!$C$5</f>
        <v>10</v>
      </c>
      <c r="H11" s="301">
        <f>(10.2*KFC!$B$30+KFC!$C$30)*KFC!$C$5</f>
        <v>10.199999999999999</v>
      </c>
      <c r="I11" s="301">
        <f>(10.5*KFC!$B$30+KFC!$C$30)*KFC!$C$5</f>
        <v>10.5</v>
      </c>
      <c r="J11" s="301">
        <f>(10.8*KFC!$B$30+KFC!$C$30)*KFC!$C$5</f>
        <v>10.8</v>
      </c>
      <c r="K11" s="301">
        <f>(11*KFC!$B$30+KFC!$C$30)*KFC!$C$5</f>
        <v>11</v>
      </c>
      <c r="L11" s="301">
        <f>(11.3*KFC!$B$30+KFC!$C$30)*KFC!$C$5</f>
        <v>11.3</v>
      </c>
      <c r="M11" s="301">
        <f>(11.5*KFC!$B$30+KFC!$C$30)*KFC!$C$5</f>
        <v>11.5</v>
      </c>
      <c r="N11" s="301">
        <f>(11.8*KFC!$B$30+KFC!$C$30)*KFC!$C$5</f>
        <v>11.8</v>
      </c>
      <c r="O11" s="301">
        <f>(12*KFC!$B$30+KFC!$C$30)*KFC!$C$5</f>
        <v>12</v>
      </c>
      <c r="P11" s="301">
        <f>(12.3*KFC!$B$30+KFC!$C$30)*KFC!$C$5</f>
        <v>12.3</v>
      </c>
      <c r="Q11" s="301">
        <f>(12.6*KFC!$B$30+KFC!$C$30)*KFC!$C$5</f>
        <v>12.6</v>
      </c>
      <c r="R11" s="301">
        <f>(12.8*KFC!$B$30+KFC!$C$30)*KFC!$C$5</f>
        <v>12.8</v>
      </c>
      <c r="S11" s="301">
        <f>(13.1*KFC!$B$30+KFC!$C$30)*KFC!$C$5</f>
        <v>13.1</v>
      </c>
      <c r="T11" s="301">
        <f>(13.3*KFC!$B$30+KFC!$C$30)*KFC!$C$5</f>
        <v>13.3</v>
      </c>
      <c r="U11" s="301">
        <f>(13.6*KFC!$B$30+KFC!$C$30)*KFC!$C$5</f>
        <v>13.6</v>
      </c>
      <c r="V11" s="301">
        <f>(13.9*KFC!$B$30+KFC!$C$30)*KFC!$C$5</f>
        <v>13.9</v>
      </c>
      <c r="W11" s="301">
        <f>(14.1*KFC!$B$30+KFC!$C$30)*KFC!$C$5</f>
        <v>14.1</v>
      </c>
      <c r="X11" s="301">
        <f>(14.4*KFC!$B$30+KFC!$C$30)*KFC!$C$5</f>
        <v>14.4</v>
      </c>
      <c r="Y11" s="301">
        <f>(14.6*KFC!$B$30+KFC!$C$30)*KFC!$C$5</f>
        <v>14.6</v>
      </c>
      <c r="Z11" s="301">
        <f>(14.9*KFC!$B$30+KFC!$C$30)*KFC!$C$5</f>
        <v>14.9</v>
      </c>
      <c r="AA11" s="301">
        <f>(15.1*KFC!$B$30+KFC!$C$30)*KFC!$C$5</f>
        <v>15.1</v>
      </c>
      <c r="AB11" s="301">
        <f>(15.4*KFC!$B$30+KFC!$C$30)*KFC!$C$5</f>
        <v>15.4</v>
      </c>
      <c r="AC11" s="302">
        <f>(15.7*KFC!$B$30+KFC!$C$30)*KFC!$C$5</f>
        <v>15.7</v>
      </c>
    </row>
    <row r="12" spans="1:29">
      <c r="A12" s="1538"/>
      <c r="B12" s="637">
        <v>0.6</v>
      </c>
      <c r="C12" s="303">
        <f>(9.1*KFC!$B$30+KFC!$C$30)*KFC!$C$5</f>
        <v>9.1</v>
      </c>
      <c r="D12" s="300">
        <f>(9.5*KFC!$B$30+KFC!$C$30)*KFC!$C$5</f>
        <v>9.5</v>
      </c>
      <c r="E12" s="300">
        <f>(9.8*KFC!$B$30+KFC!$C$30)*KFC!$C$5</f>
        <v>9.8000000000000007</v>
      </c>
      <c r="F12" s="300">
        <f>(10.1*KFC!$B$30+KFC!$C$30)*KFC!$C$5</f>
        <v>10.1</v>
      </c>
      <c r="G12" s="300">
        <f>(10.4*KFC!$B$30+KFC!$C$30)*KFC!$C$5</f>
        <v>10.4</v>
      </c>
      <c r="H12" s="300">
        <f>(10.7*KFC!$B$30+KFC!$C$30)*KFC!$C$5</f>
        <v>10.7</v>
      </c>
      <c r="I12" s="300">
        <f>(11*KFC!$B$30+KFC!$C$30)*KFC!$C$5</f>
        <v>11</v>
      </c>
      <c r="J12" s="300">
        <f>(11.4*KFC!$B$30+KFC!$C$30)*KFC!$C$5</f>
        <v>11.4</v>
      </c>
      <c r="K12" s="300">
        <f>(11.7*KFC!$B$30+KFC!$C$30)*KFC!$C$5</f>
        <v>11.7</v>
      </c>
      <c r="L12" s="300">
        <f>(12*KFC!$B$30+KFC!$C$30)*KFC!$C$5</f>
        <v>12</v>
      </c>
      <c r="M12" s="300">
        <f>(12.3*KFC!$B$30+KFC!$C$30)*KFC!$C$5</f>
        <v>12.3</v>
      </c>
      <c r="N12" s="300">
        <f>(12.6*KFC!$B$30+KFC!$C$30)*KFC!$C$5</f>
        <v>12.6</v>
      </c>
      <c r="O12" s="300">
        <f>(13*KFC!$B$30+KFC!$C$30)*KFC!$C$5</f>
        <v>13</v>
      </c>
      <c r="P12" s="300">
        <f>(13.3*KFC!$B$30+KFC!$C$30)*KFC!$C$5</f>
        <v>13.3</v>
      </c>
      <c r="Q12" s="300">
        <f>(13.6*KFC!$B$30+KFC!$C$30)*KFC!$C$5</f>
        <v>13.6</v>
      </c>
      <c r="R12" s="300">
        <f>(13.9*KFC!$B$30+KFC!$C$30)*KFC!$C$5</f>
        <v>13.9</v>
      </c>
      <c r="S12" s="300">
        <f>(14.2*KFC!$B$30+KFC!$C$30)*KFC!$C$5</f>
        <v>14.2</v>
      </c>
      <c r="T12" s="300">
        <f>(14.5*KFC!$B$30+KFC!$C$30)*KFC!$C$5</f>
        <v>14.5</v>
      </c>
      <c r="U12" s="300">
        <f>(14.9*KFC!$B$30+KFC!$C$30)*KFC!$C$5</f>
        <v>14.9</v>
      </c>
      <c r="V12" s="300">
        <f>(15.2*KFC!$B$30+KFC!$C$30)*KFC!$C$5</f>
        <v>15.2</v>
      </c>
      <c r="W12" s="300">
        <f>(15.5*KFC!$B$30+KFC!$C$30)*KFC!$C$5</f>
        <v>15.5</v>
      </c>
      <c r="X12" s="300">
        <f>(15.8*KFC!$B$30+KFC!$C$30)*KFC!$C$5</f>
        <v>15.8</v>
      </c>
      <c r="Y12" s="300">
        <f>(16.1*KFC!$B$30+KFC!$C$30)*KFC!$C$5</f>
        <v>16.100000000000001</v>
      </c>
      <c r="Z12" s="300">
        <f>(16.5*KFC!$B$30+KFC!$C$30)*KFC!$C$5</f>
        <v>16.5</v>
      </c>
      <c r="AA12" s="300">
        <f>(16.8*KFC!$B$30+KFC!$C$30)*KFC!$C$5</f>
        <v>16.8</v>
      </c>
      <c r="AB12" s="300">
        <f>(17.1*KFC!$B$30+KFC!$C$30)*KFC!$C$5</f>
        <v>17.100000000000001</v>
      </c>
      <c r="AC12" s="304">
        <f>(17.4*KFC!$B$30+KFC!$C$30)*KFC!$C$5</f>
        <v>17.399999999999999</v>
      </c>
    </row>
    <row r="13" spans="1:29">
      <c r="A13" s="1538"/>
      <c r="B13" s="637">
        <v>0.7</v>
      </c>
      <c r="C13" s="303">
        <f>(9.3*KFC!$B$30+KFC!$C$30)*KFC!$C$5</f>
        <v>9.3000000000000007</v>
      </c>
      <c r="D13" s="300">
        <f>(9.7*KFC!$B$30+KFC!$C$30)*KFC!$C$5</f>
        <v>9.6999999999999993</v>
      </c>
      <c r="E13" s="300">
        <f>(10.1*KFC!$B$30+KFC!$C$30)*KFC!$C$5</f>
        <v>10.1</v>
      </c>
      <c r="F13" s="300">
        <f>(10.5*KFC!$B$30+KFC!$C$30)*KFC!$C$5</f>
        <v>10.5</v>
      </c>
      <c r="G13" s="300">
        <f>(10.8*KFC!$B$30+KFC!$C$30)*KFC!$C$5</f>
        <v>10.8</v>
      </c>
      <c r="H13" s="300">
        <f>(11.2*KFC!$B$30+KFC!$C$30)*KFC!$C$5</f>
        <v>11.2</v>
      </c>
      <c r="I13" s="300">
        <f>(11.6*KFC!$B$30+KFC!$C$30)*KFC!$C$5</f>
        <v>11.6</v>
      </c>
      <c r="J13" s="300">
        <f>(12*KFC!$B$30+KFC!$C$30)*KFC!$C$5</f>
        <v>12</v>
      </c>
      <c r="K13" s="300">
        <f>(12.4*KFC!$B$30+KFC!$C$30)*KFC!$C$5</f>
        <v>12.4</v>
      </c>
      <c r="L13" s="300">
        <f>(12.7*KFC!$B$30+KFC!$C$30)*KFC!$C$5</f>
        <v>12.7</v>
      </c>
      <c r="M13" s="300">
        <f>(13.1*KFC!$B$30+KFC!$C$30)*KFC!$C$5</f>
        <v>13.1</v>
      </c>
      <c r="N13" s="300">
        <f>(13.5*KFC!$B$30+KFC!$C$30)*KFC!$C$5</f>
        <v>13.5</v>
      </c>
      <c r="O13" s="300">
        <f>(13.9*KFC!$B$30+KFC!$C$30)*KFC!$C$5</f>
        <v>13.9</v>
      </c>
      <c r="P13" s="300">
        <f>(14.2*KFC!$B$30+KFC!$C$30)*KFC!$C$5</f>
        <v>14.2</v>
      </c>
      <c r="Q13" s="300">
        <f>(14.6*KFC!$B$30+KFC!$C$30)*KFC!$C$5</f>
        <v>14.6</v>
      </c>
      <c r="R13" s="300">
        <f>(15*KFC!$B$30+KFC!$C$30)*KFC!$C$5</f>
        <v>15</v>
      </c>
      <c r="S13" s="300">
        <f>(15.4*KFC!$B$30+KFC!$C$30)*KFC!$C$5</f>
        <v>15.4</v>
      </c>
      <c r="T13" s="300">
        <f>(15.8*KFC!$B$30+KFC!$C$30)*KFC!$C$5</f>
        <v>15.8</v>
      </c>
      <c r="U13" s="300">
        <f>(16.1*KFC!$B$30+KFC!$C$30)*KFC!$C$5</f>
        <v>16.100000000000001</v>
      </c>
      <c r="V13" s="300">
        <f>(16.5*KFC!$B$30+KFC!$C$30)*KFC!$C$5</f>
        <v>16.5</v>
      </c>
      <c r="W13" s="300">
        <f>(16.9*KFC!$B$30+KFC!$C$30)*KFC!$C$5</f>
        <v>16.899999999999999</v>
      </c>
      <c r="X13" s="300">
        <f>(17.3*KFC!$B$30+KFC!$C$30)*KFC!$C$5</f>
        <v>17.3</v>
      </c>
      <c r="Y13" s="300">
        <f>(17.7*KFC!$B$30+KFC!$C$30)*KFC!$C$5</f>
        <v>17.7</v>
      </c>
      <c r="Z13" s="300">
        <f>(18*KFC!$B$30+KFC!$C$30)*KFC!$C$5</f>
        <v>18</v>
      </c>
      <c r="AA13" s="300">
        <f>(18.4*KFC!$B$30+KFC!$C$30)*KFC!$C$5</f>
        <v>18.399999999999999</v>
      </c>
      <c r="AB13" s="300">
        <f>(18.8*KFC!$B$30+KFC!$C$30)*KFC!$C$5</f>
        <v>18.8</v>
      </c>
      <c r="AC13" s="304">
        <f>(19.2*KFC!$B$30+KFC!$C$30)*KFC!$C$5</f>
        <v>19.2</v>
      </c>
    </row>
    <row r="14" spans="1:29">
      <c r="A14" s="1538"/>
      <c r="B14" s="637">
        <v>0.8</v>
      </c>
      <c r="C14" s="303">
        <f>(9.5*KFC!$B$30+KFC!$C$30)*KFC!$C$5</f>
        <v>9.5</v>
      </c>
      <c r="D14" s="300">
        <f>(9.9*KFC!$B$30+KFC!$C$30)*KFC!$C$5</f>
        <v>9.9</v>
      </c>
      <c r="E14" s="300">
        <f>(10.4*KFC!$B$30+KFC!$C$30)*KFC!$C$5</f>
        <v>10.4</v>
      </c>
      <c r="F14" s="300">
        <f>(10.8*KFC!$B$30+KFC!$C$30)*KFC!$C$5</f>
        <v>10.8</v>
      </c>
      <c r="G14" s="300">
        <f>(11.3*KFC!$B$30+KFC!$C$30)*KFC!$C$5</f>
        <v>11.3</v>
      </c>
      <c r="H14" s="300">
        <f>(11.7*KFC!$B$30+KFC!$C$30)*KFC!$C$5</f>
        <v>11.7</v>
      </c>
      <c r="I14" s="300">
        <f>(12.1*KFC!$B$30+KFC!$C$30)*KFC!$C$5</f>
        <v>12.1</v>
      </c>
      <c r="J14" s="300">
        <f>(12.6*KFC!$B$30+KFC!$C$30)*KFC!$C$5</f>
        <v>12.6</v>
      </c>
      <c r="K14" s="300">
        <f>(13*KFC!$B$30+KFC!$C$30)*KFC!$C$5</f>
        <v>13</v>
      </c>
      <c r="L14" s="300">
        <f>(13.5*KFC!$B$30+KFC!$C$30)*KFC!$C$5</f>
        <v>13.5</v>
      </c>
      <c r="M14" s="300">
        <f>(13.9*KFC!$B$30+KFC!$C$30)*KFC!$C$5</f>
        <v>13.9</v>
      </c>
      <c r="N14" s="300">
        <f>(14.3*KFC!$B$30+KFC!$C$30)*KFC!$C$5</f>
        <v>14.3</v>
      </c>
      <c r="O14" s="300">
        <f>(14.8*KFC!$B$30+KFC!$C$30)*KFC!$C$5</f>
        <v>14.8</v>
      </c>
      <c r="P14" s="300">
        <f>(15.2*KFC!$B$30+KFC!$C$30)*KFC!$C$5</f>
        <v>15.2</v>
      </c>
      <c r="Q14" s="300">
        <f>(15.7*KFC!$B$30+KFC!$C$30)*KFC!$C$5</f>
        <v>15.7</v>
      </c>
      <c r="R14" s="300">
        <f>(16.1*KFC!$B$30+KFC!$C$30)*KFC!$C$5</f>
        <v>16.100000000000001</v>
      </c>
      <c r="S14" s="300">
        <f>(16.5*KFC!$B$30+KFC!$C$30)*KFC!$C$5</f>
        <v>16.5</v>
      </c>
      <c r="T14" s="300">
        <f>(17*KFC!$B$30+KFC!$C$30)*KFC!$C$5</f>
        <v>17</v>
      </c>
      <c r="U14" s="300">
        <f>(17.4*KFC!$B$30+KFC!$C$30)*KFC!$C$5</f>
        <v>17.399999999999999</v>
      </c>
      <c r="V14" s="300">
        <f>(17.9*KFC!$B$30+KFC!$C$30)*KFC!$C$5</f>
        <v>17.899999999999999</v>
      </c>
      <c r="W14" s="300">
        <f>(18.3*KFC!$B$30+KFC!$C$30)*KFC!$C$5</f>
        <v>18.3</v>
      </c>
      <c r="X14" s="300">
        <f>(18.7*KFC!$B$30+KFC!$C$30)*KFC!$C$5</f>
        <v>18.7</v>
      </c>
      <c r="Y14" s="300">
        <f>(19.2*KFC!$B$30+KFC!$C$30)*KFC!$C$5</f>
        <v>19.2</v>
      </c>
      <c r="Z14" s="300">
        <f>(19.6*KFC!$B$30+KFC!$C$30)*KFC!$C$5</f>
        <v>19.600000000000001</v>
      </c>
      <c r="AA14" s="300">
        <f>(20.1*KFC!$B$30+KFC!$C$30)*KFC!$C$5</f>
        <v>20.100000000000001</v>
      </c>
      <c r="AB14" s="300">
        <f>(20.5*KFC!$B$30+KFC!$C$30)*KFC!$C$5</f>
        <v>20.5</v>
      </c>
      <c r="AC14" s="304">
        <f>(20.9*KFC!$B$30+KFC!$C$30)*KFC!$C$5</f>
        <v>20.9</v>
      </c>
    </row>
    <row r="15" spans="1:29">
      <c r="A15" s="1538"/>
      <c r="B15" s="637">
        <v>0.9</v>
      </c>
      <c r="C15" s="303">
        <f>(9.7*KFC!$B$30+KFC!$C$30)*KFC!$C$5</f>
        <v>9.6999999999999993</v>
      </c>
      <c r="D15" s="300">
        <f>(10.2*KFC!$B$30+KFC!$C$30)*KFC!$C$5</f>
        <v>10.199999999999999</v>
      </c>
      <c r="E15" s="300">
        <f>(10.7*KFC!$B$30+KFC!$C$30)*KFC!$C$5</f>
        <v>10.7</v>
      </c>
      <c r="F15" s="300">
        <f>(11.2*KFC!$B$30+KFC!$C$30)*KFC!$C$5</f>
        <v>11.2</v>
      </c>
      <c r="G15" s="300">
        <f>(11.7*KFC!$B$30+KFC!$C$30)*KFC!$C$5</f>
        <v>11.7</v>
      </c>
      <c r="H15" s="300">
        <f>(12.2*KFC!$B$30+KFC!$C$30)*KFC!$C$5</f>
        <v>12.2</v>
      </c>
      <c r="I15" s="300">
        <f>(12.7*KFC!$B$30+KFC!$C$30)*KFC!$C$5</f>
        <v>12.7</v>
      </c>
      <c r="J15" s="300">
        <f>(13.2*KFC!$B$30+KFC!$C$30)*KFC!$C$5</f>
        <v>13.2</v>
      </c>
      <c r="K15" s="300">
        <f>(13.7*KFC!$B$30+KFC!$C$30)*KFC!$C$5</f>
        <v>13.7</v>
      </c>
      <c r="L15" s="300">
        <f>(14.2*KFC!$B$30+KFC!$C$30)*KFC!$C$5</f>
        <v>14.2</v>
      </c>
      <c r="M15" s="300">
        <f>(14.7*KFC!$B$30+KFC!$C$30)*KFC!$C$5</f>
        <v>14.7</v>
      </c>
      <c r="N15" s="300">
        <f>(15.2*KFC!$B$30+KFC!$C$30)*KFC!$C$5</f>
        <v>15.2</v>
      </c>
      <c r="O15" s="300">
        <f>(15.7*KFC!$B$30+KFC!$C$30)*KFC!$C$5</f>
        <v>15.7</v>
      </c>
      <c r="P15" s="300">
        <f>(16.2*KFC!$B$30+KFC!$C$30)*KFC!$C$5</f>
        <v>16.2</v>
      </c>
      <c r="Q15" s="300">
        <f>(16.7*KFC!$B$30+KFC!$C$30)*KFC!$C$5</f>
        <v>16.7</v>
      </c>
      <c r="R15" s="300">
        <f>(17.2*KFC!$B$30+KFC!$C$30)*KFC!$C$5</f>
        <v>17.2</v>
      </c>
      <c r="S15" s="300">
        <f>(17.7*KFC!$B$30+KFC!$C$30)*KFC!$C$5</f>
        <v>17.7</v>
      </c>
      <c r="T15" s="300">
        <f>(18.2*KFC!$B$30+KFC!$C$30)*KFC!$C$5</f>
        <v>18.2</v>
      </c>
      <c r="U15" s="300">
        <f>(18.7*KFC!$B$30+KFC!$C$30)*KFC!$C$5</f>
        <v>18.7</v>
      </c>
      <c r="V15" s="300">
        <f>(19.2*KFC!$B$30+KFC!$C$30)*KFC!$C$5</f>
        <v>19.2</v>
      </c>
      <c r="W15" s="300">
        <f>(19.7*KFC!$B$30+KFC!$C$30)*KFC!$C$5</f>
        <v>19.7</v>
      </c>
      <c r="X15" s="300">
        <f>(20.2*KFC!$B$30+KFC!$C$30)*KFC!$C$5</f>
        <v>20.2</v>
      </c>
      <c r="Y15" s="300">
        <f>(20.7*KFC!$B$30+KFC!$C$30)*KFC!$C$5</f>
        <v>20.7</v>
      </c>
      <c r="Z15" s="300">
        <f>(21.2*KFC!$B$30+KFC!$C$30)*KFC!$C$5</f>
        <v>21.2</v>
      </c>
      <c r="AA15" s="300">
        <f>(21.7*KFC!$B$30+KFC!$C$30)*KFC!$C$5</f>
        <v>21.7</v>
      </c>
      <c r="AB15" s="300">
        <f>(22.2*KFC!$B$30+KFC!$C$30)*KFC!$C$5</f>
        <v>22.2</v>
      </c>
      <c r="AC15" s="304">
        <f>(22.7*KFC!$B$30+KFC!$C$30)*KFC!$C$5</f>
        <v>22.7</v>
      </c>
    </row>
    <row r="16" spans="1:29">
      <c r="A16" s="1538"/>
      <c r="B16" s="637">
        <v>1</v>
      </c>
      <c r="C16" s="303">
        <f>(9.9*KFC!$B$30+KFC!$C$30)*KFC!$C$5</f>
        <v>9.9</v>
      </c>
      <c r="D16" s="300">
        <f>(10.4*KFC!$B$30+KFC!$C$30)*KFC!$C$5</f>
        <v>10.4</v>
      </c>
      <c r="E16" s="300">
        <f>(11*KFC!$B$30+KFC!$C$30)*KFC!$C$5</f>
        <v>11</v>
      </c>
      <c r="F16" s="300">
        <f>(11.6*KFC!$B$30+KFC!$C$30)*KFC!$C$5</f>
        <v>11.6</v>
      </c>
      <c r="G16" s="300">
        <f>(12.1*KFC!$B$30+KFC!$C$30)*KFC!$C$5</f>
        <v>12.1</v>
      </c>
      <c r="H16" s="300">
        <f>(12.7*KFC!$B$30+KFC!$C$30)*KFC!$C$5</f>
        <v>12.7</v>
      </c>
      <c r="I16" s="300">
        <f>(13.2*KFC!$B$30+KFC!$C$30)*KFC!$C$5</f>
        <v>13.2</v>
      </c>
      <c r="J16" s="300">
        <f>(13.8*KFC!$B$30+KFC!$C$30)*KFC!$C$5</f>
        <v>13.8</v>
      </c>
      <c r="K16" s="300">
        <f>(14.4*KFC!$B$30+KFC!$C$30)*KFC!$C$5</f>
        <v>14.4</v>
      </c>
      <c r="L16" s="300">
        <f>(14.9*KFC!$B$30+KFC!$C$30)*KFC!$C$5</f>
        <v>14.9</v>
      </c>
      <c r="M16" s="300">
        <f>(15.5*KFC!$B$30+KFC!$C$30)*KFC!$C$5</f>
        <v>15.5</v>
      </c>
      <c r="N16" s="300">
        <f>(16*KFC!$B$30+KFC!$C$30)*KFC!$C$5</f>
        <v>16</v>
      </c>
      <c r="O16" s="300">
        <f>(16.6*KFC!$B$30+KFC!$C$30)*KFC!$C$5</f>
        <v>16.600000000000001</v>
      </c>
      <c r="P16" s="300">
        <f>(17.2*KFC!$B$30+KFC!$C$30)*KFC!$C$5</f>
        <v>17.2</v>
      </c>
      <c r="Q16" s="300">
        <f>(17.7*KFC!$B$30+KFC!$C$30)*KFC!$C$5</f>
        <v>17.7</v>
      </c>
      <c r="R16" s="300">
        <f>(18.3*KFC!$B$30+KFC!$C$30)*KFC!$C$5</f>
        <v>18.3</v>
      </c>
      <c r="S16" s="300">
        <f>(18.8*KFC!$B$30+KFC!$C$30)*KFC!$C$5</f>
        <v>18.8</v>
      </c>
      <c r="T16" s="300">
        <f>(19.4*KFC!$B$30+KFC!$C$30)*KFC!$C$5</f>
        <v>19.399999999999999</v>
      </c>
      <c r="U16" s="300">
        <f>(20*KFC!$B$30+KFC!$C$30)*KFC!$C$5</f>
        <v>20</v>
      </c>
      <c r="V16" s="300">
        <f>(20.5*KFC!$B$30+KFC!$C$30)*KFC!$C$5</f>
        <v>20.5</v>
      </c>
      <c r="W16" s="300">
        <f>(21.1*KFC!$B$30+KFC!$C$30)*KFC!$C$5</f>
        <v>21.1</v>
      </c>
      <c r="X16" s="300">
        <f>(21.6*KFC!$B$30+KFC!$C$30)*KFC!$C$5</f>
        <v>21.6</v>
      </c>
      <c r="Y16" s="300">
        <f>(22.2*KFC!$B$30+KFC!$C$30)*KFC!$C$5</f>
        <v>22.2</v>
      </c>
      <c r="Z16" s="300">
        <f>(22.8*KFC!$B$30+KFC!$C$30)*KFC!$C$5</f>
        <v>22.8</v>
      </c>
      <c r="AA16" s="300">
        <f>(23.3*KFC!$B$30+KFC!$C$30)*KFC!$C$5</f>
        <v>23.3</v>
      </c>
      <c r="AB16" s="300">
        <f>(23.9*KFC!$B$30+KFC!$C$30)*KFC!$C$5</f>
        <v>23.9</v>
      </c>
      <c r="AC16" s="304">
        <f>(24.4*KFC!$B$30+KFC!$C$30)*KFC!$C$5</f>
        <v>24.4</v>
      </c>
    </row>
    <row r="17" spans="1:29">
      <c r="A17" s="1538"/>
      <c r="B17" s="637">
        <v>1.1000000000000001</v>
      </c>
      <c r="C17" s="303">
        <f>(10.1*KFC!$B$30+KFC!$C$30)*KFC!$C$5</f>
        <v>10.1</v>
      </c>
      <c r="D17" s="300">
        <f>(10.7*KFC!$B$30+KFC!$C$30)*KFC!$C$5</f>
        <v>10.7</v>
      </c>
      <c r="E17" s="300">
        <f>(11.3*KFC!$B$30+KFC!$C$30)*KFC!$C$5</f>
        <v>11.3</v>
      </c>
      <c r="F17" s="300">
        <f>(11.9*KFC!$B$30+KFC!$C$30)*KFC!$C$5</f>
        <v>11.9</v>
      </c>
      <c r="G17" s="300">
        <f>(12.5*KFC!$B$30+KFC!$C$30)*KFC!$C$5</f>
        <v>12.5</v>
      </c>
      <c r="H17" s="300">
        <f>(13.2*KFC!$B$30+KFC!$C$30)*KFC!$C$5</f>
        <v>13.2</v>
      </c>
      <c r="I17" s="300">
        <f>(13.8*KFC!$B$30+KFC!$C$30)*KFC!$C$5</f>
        <v>13.8</v>
      </c>
      <c r="J17" s="300">
        <f>(14.4*KFC!$B$30+KFC!$C$30)*KFC!$C$5</f>
        <v>14.4</v>
      </c>
      <c r="K17" s="300">
        <f>(15*KFC!$B$30+KFC!$C$30)*KFC!$C$5</f>
        <v>15</v>
      </c>
      <c r="L17" s="300">
        <f>(15.7*KFC!$B$30+KFC!$C$30)*KFC!$C$5</f>
        <v>15.7</v>
      </c>
      <c r="M17" s="300">
        <f>(16.3*KFC!$B$30+KFC!$C$30)*KFC!$C$5</f>
        <v>16.3</v>
      </c>
      <c r="N17" s="300">
        <f>(16.9*KFC!$B$30+KFC!$C$30)*KFC!$C$5</f>
        <v>16.899999999999999</v>
      </c>
      <c r="O17" s="300">
        <f>(17.5*KFC!$B$30+KFC!$C$30)*KFC!$C$5</f>
        <v>17.5</v>
      </c>
      <c r="P17" s="300">
        <f>(18.1*KFC!$B$30+KFC!$C$30)*KFC!$C$5</f>
        <v>18.100000000000001</v>
      </c>
      <c r="Q17" s="300">
        <f>(18.8*KFC!$B$30+KFC!$C$30)*KFC!$C$5</f>
        <v>18.8</v>
      </c>
      <c r="R17" s="300">
        <f>(19.4*KFC!$B$30+KFC!$C$30)*KFC!$C$5</f>
        <v>19.399999999999999</v>
      </c>
      <c r="S17" s="300">
        <f>(20*KFC!$B$30+KFC!$C$30)*KFC!$C$5</f>
        <v>20</v>
      </c>
      <c r="T17" s="300">
        <f>(20.6*KFC!$B$30+KFC!$C$30)*KFC!$C$5</f>
        <v>20.6</v>
      </c>
      <c r="U17" s="300">
        <f>(21.2*KFC!$B$30+KFC!$C$30)*KFC!$C$5</f>
        <v>21.2</v>
      </c>
      <c r="V17" s="300">
        <f>(21.9*KFC!$B$30+KFC!$C$30)*KFC!$C$5</f>
        <v>21.9</v>
      </c>
      <c r="W17" s="300">
        <f>(22.5*KFC!$B$30+KFC!$C$30)*KFC!$C$5</f>
        <v>22.5</v>
      </c>
      <c r="X17" s="300">
        <f>(23.1*KFC!$B$30+KFC!$C$30)*KFC!$C$5</f>
        <v>23.1</v>
      </c>
      <c r="Y17" s="300">
        <f>(23.7*KFC!$B$30+KFC!$C$30)*KFC!$C$5</f>
        <v>23.7</v>
      </c>
      <c r="Z17" s="300">
        <f>(24.3*KFC!$B$30+KFC!$C$30)*KFC!$C$5</f>
        <v>24.3</v>
      </c>
      <c r="AA17" s="300">
        <f>(25*KFC!$B$30+KFC!$C$30)*KFC!$C$5</f>
        <v>25</v>
      </c>
      <c r="AB17" s="300">
        <f>(25.6*KFC!$B$30+KFC!$C$30)*KFC!$C$5</f>
        <v>25.6</v>
      </c>
      <c r="AC17" s="304">
        <f>(26.2*KFC!$B$30+KFC!$C$30)*KFC!$C$5</f>
        <v>26.2</v>
      </c>
    </row>
    <row r="18" spans="1:29">
      <c r="A18" s="1538"/>
      <c r="B18" s="637">
        <v>1.2</v>
      </c>
      <c r="C18" s="303">
        <f>(10.3*KFC!$B$30+KFC!$C$30)*KFC!$C$5</f>
        <v>10.3</v>
      </c>
      <c r="D18" s="300">
        <f>(10.9*KFC!$B$30+KFC!$C$30)*KFC!$C$5</f>
        <v>10.9</v>
      </c>
      <c r="E18" s="300">
        <f>(11.6*KFC!$B$30+KFC!$C$30)*KFC!$C$5</f>
        <v>11.6</v>
      </c>
      <c r="F18" s="300">
        <f>(12.3*KFC!$B$30+KFC!$C$30)*KFC!$C$5</f>
        <v>12.3</v>
      </c>
      <c r="G18" s="300">
        <f>(13*KFC!$B$30+KFC!$C$30)*KFC!$C$5</f>
        <v>13</v>
      </c>
      <c r="H18" s="300">
        <f>(13.7*KFC!$B$30+KFC!$C$30)*KFC!$C$5</f>
        <v>13.7</v>
      </c>
      <c r="I18" s="300">
        <f>(14.3*KFC!$B$30+KFC!$C$30)*KFC!$C$5</f>
        <v>14.3</v>
      </c>
      <c r="J18" s="300">
        <f>(15*KFC!$B$30+KFC!$C$30)*KFC!$C$5</f>
        <v>15</v>
      </c>
      <c r="K18" s="300">
        <f>(15.7*KFC!$B$30+KFC!$C$30)*KFC!$C$5</f>
        <v>15.7</v>
      </c>
      <c r="L18" s="300">
        <f>(16.4*KFC!$B$30+KFC!$C$30)*KFC!$C$5</f>
        <v>16.399999999999999</v>
      </c>
      <c r="M18" s="300">
        <f>(17.1*KFC!$B$30+KFC!$C$30)*KFC!$C$5</f>
        <v>17.100000000000001</v>
      </c>
      <c r="N18" s="300">
        <f>(17.7*KFC!$B$30+KFC!$C$30)*KFC!$C$5</f>
        <v>17.7</v>
      </c>
      <c r="O18" s="300">
        <f>(18.4*KFC!$B$30+KFC!$C$30)*KFC!$C$5</f>
        <v>18.399999999999999</v>
      </c>
      <c r="P18" s="300">
        <f>(19.1*KFC!$B$30+KFC!$C$30)*KFC!$C$5</f>
        <v>19.100000000000001</v>
      </c>
      <c r="Q18" s="300">
        <f>(19.8*KFC!$B$30+KFC!$C$30)*KFC!$C$5</f>
        <v>19.8</v>
      </c>
      <c r="R18" s="300">
        <f>(20.5*KFC!$B$30+KFC!$C$30)*KFC!$C$5</f>
        <v>20.5</v>
      </c>
      <c r="S18" s="300">
        <f>(21.2*KFC!$B$30+KFC!$C$30)*KFC!$C$5</f>
        <v>21.2</v>
      </c>
      <c r="T18" s="300">
        <f>(21.8*KFC!$B$30+KFC!$C$30)*KFC!$C$5</f>
        <v>21.8</v>
      </c>
      <c r="U18" s="300">
        <f>(22.5*KFC!$B$30+KFC!$C$30)*KFC!$C$5</f>
        <v>22.5</v>
      </c>
      <c r="V18" s="300">
        <f>(23.2*KFC!$B$30+KFC!$C$30)*KFC!$C$5</f>
        <v>23.2</v>
      </c>
      <c r="W18" s="300">
        <f>(23.9*KFC!$B$30+KFC!$C$30)*KFC!$C$5</f>
        <v>23.9</v>
      </c>
      <c r="X18" s="300">
        <f>(24.6*KFC!$B$30+KFC!$C$30)*KFC!$C$5</f>
        <v>24.6</v>
      </c>
      <c r="Y18" s="300">
        <f>(25.2*KFC!$B$30+KFC!$C$30)*KFC!$C$5</f>
        <v>25.2</v>
      </c>
      <c r="Z18" s="300">
        <f>(25.9*KFC!$B$30+KFC!$C$30)*KFC!$C$5</f>
        <v>25.9</v>
      </c>
      <c r="AA18" s="300">
        <f>(26.6*KFC!$B$30+KFC!$C$30)*KFC!$C$5</f>
        <v>26.6</v>
      </c>
      <c r="AB18" s="300">
        <f>(27.3*KFC!$B$30+KFC!$C$30)*KFC!$C$5</f>
        <v>27.3</v>
      </c>
      <c r="AC18" s="304">
        <f>(28*KFC!$B$30+KFC!$C$30)*KFC!$C$5</f>
        <v>28</v>
      </c>
    </row>
    <row r="19" spans="1:29">
      <c r="A19" s="1538"/>
      <c r="B19" s="637">
        <v>1.3</v>
      </c>
      <c r="C19" s="303">
        <f>(10.4*KFC!$B$30+KFC!$C$30)*KFC!$C$5</f>
        <v>10.4</v>
      </c>
      <c r="D19" s="300">
        <f>(11.2*KFC!$B$30+KFC!$C$30)*KFC!$C$5</f>
        <v>11.2</v>
      </c>
      <c r="E19" s="300">
        <f>(11.9*KFC!$B$30+KFC!$C$30)*KFC!$C$5</f>
        <v>11.9</v>
      </c>
      <c r="F19" s="300">
        <f>(12.7*KFC!$B$30+KFC!$C$30)*KFC!$C$5</f>
        <v>12.7</v>
      </c>
      <c r="G19" s="300">
        <f>(13.4*KFC!$B$30+KFC!$C$30)*KFC!$C$5</f>
        <v>13.4</v>
      </c>
      <c r="H19" s="300">
        <f>(14.1*KFC!$B$30+KFC!$C$30)*KFC!$C$5</f>
        <v>14.1</v>
      </c>
      <c r="I19" s="300">
        <f>(14.9*KFC!$B$30+KFC!$C$30)*KFC!$C$5</f>
        <v>14.9</v>
      </c>
      <c r="J19" s="300">
        <f>(15.6*KFC!$B$30+KFC!$C$30)*KFC!$C$5</f>
        <v>15.6</v>
      </c>
      <c r="K19" s="300">
        <f>(16.4*KFC!$B$30+KFC!$C$30)*KFC!$C$5</f>
        <v>16.399999999999999</v>
      </c>
      <c r="L19" s="300">
        <f>(17.1*KFC!$B$30+KFC!$C$30)*KFC!$C$5</f>
        <v>17.100000000000001</v>
      </c>
      <c r="M19" s="300">
        <f>(17.9*KFC!$B$30+KFC!$C$30)*KFC!$C$5</f>
        <v>17.899999999999999</v>
      </c>
      <c r="N19" s="300">
        <f>(18.6*KFC!$B$30+KFC!$C$30)*KFC!$C$5</f>
        <v>18.600000000000001</v>
      </c>
      <c r="O19" s="300">
        <f>(19.3*KFC!$B$30+KFC!$C$30)*KFC!$C$5</f>
        <v>19.3</v>
      </c>
      <c r="P19" s="300">
        <f>(20.1*KFC!$B$30+KFC!$C$30)*KFC!$C$5</f>
        <v>20.100000000000001</v>
      </c>
      <c r="Q19" s="300">
        <f>(20.8*KFC!$B$30+KFC!$C$30)*KFC!$C$5</f>
        <v>20.8</v>
      </c>
      <c r="R19" s="300">
        <f>(21.6*KFC!$B$30+KFC!$C$30)*KFC!$C$5</f>
        <v>21.6</v>
      </c>
      <c r="S19" s="300">
        <f>(22.3*KFC!$B$30+KFC!$C$30)*KFC!$C$5</f>
        <v>22.3</v>
      </c>
      <c r="T19" s="300">
        <f>(23*KFC!$B$30+KFC!$C$30)*KFC!$C$5</f>
        <v>23</v>
      </c>
      <c r="U19" s="300">
        <f>(23.8*KFC!$B$30+KFC!$C$30)*KFC!$C$5</f>
        <v>23.8</v>
      </c>
      <c r="V19" s="300">
        <f>(24.5*KFC!$B$30+KFC!$C$30)*KFC!$C$5</f>
        <v>24.5</v>
      </c>
      <c r="W19" s="300">
        <f>(25.3*KFC!$B$30+KFC!$C$30)*KFC!$C$5</f>
        <v>25.3</v>
      </c>
      <c r="X19" s="300">
        <f>(26*KFC!$B$30+KFC!$C$30)*KFC!$C$5</f>
        <v>26</v>
      </c>
      <c r="Y19" s="300">
        <f>(26.8*KFC!$B$30+KFC!$C$30)*KFC!$C$5</f>
        <v>26.8</v>
      </c>
      <c r="Z19" s="300">
        <f>(27.5*KFC!$B$30+KFC!$C$30)*KFC!$C$5</f>
        <v>27.5</v>
      </c>
      <c r="AA19" s="300">
        <f>(28.2*KFC!$B$30+KFC!$C$30)*KFC!$C$5</f>
        <v>28.2</v>
      </c>
      <c r="AB19" s="300">
        <f>(29*KFC!$B$30+KFC!$C$30)*KFC!$C$5</f>
        <v>29</v>
      </c>
      <c r="AC19" s="304">
        <f>(29.7*KFC!$B$30+KFC!$C$30)*KFC!$C$5</f>
        <v>29.7</v>
      </c>
    </row>
    <row r="20" spans="1:29">
      <c r="A20" s="1538"/>
      <c r="B20" s="637">
        <v>1.4</v>
      </c>
      <c r="C20" s="303">
        <f>(10.6*KFC!$B$30+KFC!$C$30)*KFC!$C$5</f>
        <v>10.6</v>
      </c>
      <c r="D20" s="300">
        <f>(11.4*KFC!$B$30+KFC!$C$30)*KFC!$C$5</f>
        <v>11.4</v>
      </c>
      <c r="E20" s="300">
        <f>(12.2*KFC!$B$30+KFC!$C$30)*KFC!$C$5</f>
        <v>12.2</v>
      </c>
      <c r="F20" s="300">
        <f>(13*KFC!$B$30+KFC!$C$30)*KFC!$C$5</f>
        <v>13</v>
      </c>
      <c r="G20" s="300">
        <f>(13.8*KFC!$B$30+KFC!$C$30)*KFC!$C$5</f>
        <v>13.8</v>
      </c>
      <c r="H20" s="300">
        <f>(14.6*KFC!$B$30+KFC!$C$30)*KFC!$C$5</f>
        <v>14.6</v>
      </c>
      <c r="I20" s="300">
        <f>(15.4*KFC!$B$30+KFC!$C$30)*KFC!$C$5</f>
        <v>15.4</v>
      </c>
      <c r="J20" s="300">
        <f>(16.2*KFC!$B$30+KFC!$C$30)*KFC!$C$5</f>
        <v>16.2</v>
      </c>
      <c r="K20" s="300">
        <f>(17*KFC!$B$30+KFC!$C$30)*KFC!$C$5</f>
        <v>17</v>
      </c>
      <c r="L20" s="300">
        <f>(17.8*KFC!$B$30+KFC!$C$30)*KFC!$C$5</f>
        <v>17.8</v>
      </c>
      <c r="M20" s="300">
        <f>(18.6*KFC!$B$30+KFC!$C$30)*KFC!$C$5</f>
        <v>18.600000000000001</v>
      </c>
      <c r="N20" s="300">
        <f>(19.4*KFC!$B$30+KFC!$C$30)*KFC!$C$5</f>
        <v>19.399999999999999</v>
      </c>
      <c r="O20" s="300">
        <f>(20.3*KFC!$B$30+KFC!$C$30)*KFC!$C$5</f>
        <v>20.3</v>
      </c>
      <c r="P20" s="300">
        <f>(21.1*KFC!$B$30+KFC!$C$30)*KFC!$C$5</f>
        <v>21.1</v>
      </c>
      <c r="Q20" s="300">
        <f>(21.9*KFC!$B$30+KFC!$C$30)*KFC!$C$5</f>
        <v>21.9</v>
      </c>
      <c r="R20" s="300">
        <f>(22.7*KFC!$B$30+KFC!$C$30)*KFC!$C$5</f>
        <v>22.7</v>
      </c>
      <c r="S20" s="300">
        <f>(23.5*KFC!$B$30+KFC!$C$30)*KFC!$C$5</f>
        <v>23.5</v>
      </c>
      <c r="T20" s="300">
        <f>(24.3*KFC!$B$30+KFC!$C$30)*KFC!$C$5</f>
        <v>24.3</v>
      </c>
      <c r="U20" s="300">
        <f>(25.1*KFC!$B$30+KFC!$C$30)*KFC!$C$5</f>
        <v>25.1</v>
      </c>
      <c r="V20" s="300">
        <f>(25.9*KFC!$B$30+KFC!$C$30)*KFC!$C$5</f>
        <v>25.9</v>
      </c>
      <c r="W20" s="300">
        <f>(26.7*KFC!$B$30+KFC!$C$30)*KFC!$C$5</f>
        <v>26.7</v>
      </c>
      <c r="X20" s="300">
        <f>(27.5*KFC!$B$30+KFC!$C$30)*KFC!$C$5</f>
        <v>27.5</v>
      </c>
      <c r="Y20" s="300">
        <f>(28.3*KFC!$B$30+KFC!$C$30)*KFC!$C$5</f>
        <v>28.3</v>
      </c>
      <c r="Z20" s="300">
        <f>(29.1*KFC!$B$30+KFC!$C$30)*KFC!$C$5</f>
        <v>29.1</v>
      </c>
      <c r="AA20" s="300">
        <f>(29.9*KFC!$B$30+KFC!$C$30)*KFC!$C$5</f>
        <v>29.9</v>
      </c>
      <c r="AB20" s="300">
        <f>(30.7*KFC!$B$30+KFC!$C$30)*KFC!$C$5</f>
        <v>30.7</v>
      </c>
      <c r="AC20" s="304">
        <f>(31.5*KFC!$B$30+KFC!$C$30)*KFC!$C$5</f>
        <v>31.5</v>
      </c>
    </row>
    <row r="21" spans="1:29">
      <c r="A21" s="1538"/>
      <c r="B21" s="637">
        <v>1.5</v>
      </c>
      <c r="C21" s="303">
        <f>(10.8*KFC!$B$30+KFC!$C$30)*KFC!$C$5</f>
        <v>10.8</v>
      </c>
      <c r="D21" s="300">
        <f>(11.7*KFC!$B$30+KFC!$C$30)*KFC!$C$5</f>
        <v>11.7</v>
      </c>
      <c r="E21" s="300">
        <f>(12.5*KFC!$B$30+KFC!$C$30)*KFC!$C$5</f>
        <v>12.5</v>
      </c>
      <c r="F21" s="300">
        <f>(13.4*KFC!$B$30+KFC!$C$30)*KFC!$C$5</f>
        <v>13.4</v>
      </c>
      <c r="G21" s="300">
        <f>(14.3*KFC!$B$30+KFC!$C$30)*KFC!$C$5</f>
        <v>14.3</v>
      </c>
      <c r="H21" s="300">
        <f>(15.1*KFC!$B$30+KFC!$C$30)*KFC!$C$5</f>
        <v>15.1</v>
      </c>
      <c r="I21" s="300">
        <f>(16*KFC!$B$30+KFC!$C$30)*KFC!$C$5</f>
        <v>16</v>
      </c>
      <c r="J21" s="300">
        <f>(16.8*KFC!$B$30+KFC!$C$30)*KFC!$C$5</f>
        <v>16.8</v>
      </c>
      <c r="K21" s="300">
        <f>(17.7*KFC!$B$30+KFC!$C$30)*KFC!$C$5</f>
        <v>17.7</v>
      </c>
      <c r="L21" s="300">
        <f>(18.6*KFC!$B$30+KFC!$C$30)*KFC!$C$5</f>
        <v>18.600000000000001</v>
      </c>
      <c r="M21" s="300">
        <f>(19.4*KFC!$B$30+KFC!$C$30)*KFC!$C$5</f>
        <v>19.399999999999999</v>
      </c>
      <c r="N21" s="300">
        <f>(20.3*KFC!$B$30+KFC!$C$30)*KFC!$C$5</f>
        <v>20.3</v>
      </c>
      <c r="O21" s="300">
        <f>(21.2*KFC!$B$30+KFC!$C$30)*KFC!$C$5</f>
        <v>21.2</v>
      </c>
      <c r="P21" s="300">
        <f>(22*KFC!$B$30+KFC!$C$30)*KFC!$C$5</f>
        <v>22</v>
      </c>
      <c r="Q21" s="300">
        <f>(22.9*KFC!$B$30+KFC!$C$30)*KFC!$C$5</f>
        <v>22.9</v>
      </c>
      <c r="R21" s="300">
        <f>(23.7*KFC!$B$30+KFC!$C$30)*KFC!$C$5</f>
        <v>23.7</v>
      </c>
      <c r="S21" s="300">
        <f>(24.6*KFC!$B$30+KFC!$C$30)*KFC!$C$5</f>
        <v>24.6</v>
      </c>
      <c r="T21" s="300">
        <f>(25.5*KFC!$B$30+KFC!$C$30)*KFC!$C$5</f>
        <v>25.5</v>
      </c>
      <c r="U21" s="300">
        <f>(26.3*KFC!$B$30+KFC!$C$30)*KFC!$C$5</f>
        <v>26.3</v>
      </c>
      <c r="V21" s="300">
        <f>(27.2*KFC!$B$30+KFC!$C$30)*KFC!$C$5</f>
        <v>27.2</v>
      </c>
      <c r="W21" s="300">
        <f>(28.1*KFC!$B$30+KFC!$C$30)*KFC!$C$5</f>
        <v>28.1</v>
      </c>
      <c r="X21" s="300">
        <f>(28.9*KFC!$B$30+KFC!$C$30)*KFC!$C$5</f>
        <v>28.9</v>
      </c>
      <c r="Y21" s="300">
        <f>(29.8*KFC!$B$30+KFC!$C$30)*KFC!$C$5</f>
        <v>29.8</v>
      </c>
      <c r="Z21" s="300">
        <f>(30.7*KFC!$B$30+KFC!$C$30)*KFC!$C$5</f>
        <v>30.7</v>
      </c>
      <c r="AA21" s="300">
        <f>(31.5*KFC!$B$30+KFC!$C$30)*KFC!$C$5</f>
        <v>31.5</v>
      </c>
      <c r="AB21" s="300">
        <f>(32.4*KFC!$B$30+KFC!$C$30)*KFC!$C$5</f>
        <v>32.4</v>
      </c>
      <c r="AC21" s="304">
        <f>(33.2*KFC!$B$30+KFC!$C$30)*KFC!$C$5</f>
        <v>33.200000000000003</v>
      </c>
    </row>
    <row r="22" spans="1:29">
      <c r="A22" s="1538"/>
      <c r="B22" s="637">
        <v>1.6</v>
      </c>
      <c r="C22" s="303">
        <f>(11*KFC!$B$30+KFC!$C$30)*KFC!$C$5</f>
        <v>11</v>
      </c>
      <c r="D22" s="300">
        <f>(11.9*KFC!$B$30+KFC!$C$30)*KFC!$C$5</f>
        <v>11.9</v>
      </c>
      <c r="E22" s="300">
        <f>(12.8*KFC!$B$30+KFC!$C$30)*KFC!$C$5</f>
        <v>12.8</v>
      </c>
      <c r="F22" s="300">
        <f>(13.8*KFC!$B$30+KFC!$C$30)*KFC!$C$5</f>
        <v>13.8</v>
      </c>
      <c r="G22" s="300">
        <f>(14.7*KFC!$B$30+KFC!$C$30)*KFC!$C$5</f>
        <v>14.7</v>
      </c>
      <c r="H22" s="300">
        <f>(15.6*KFC!$B$30+KFC!$C$30)*KFC!$C$5</f>
        <v>15.6</v>
      </c>
      <c r="I22" s="300">
        <f>(16.5*KFC!$B$30+KFC!$C$30)*KFC!$C$5</f>
        <v>16.5</v>
      </c>
      <c r="J22" s="300">
        <f>(17.5*KFC!$B$30+KFC!$C$30)*KFC!$C$5</f>
        <v>17.5</v>
      </c>
      <c r="K22" s="300">
        <f>(18.4*KFC!$B$30+KFC!$C$30)*KFC!$C$5</f>
        <v>18.399999999999999</v>
      </c>
      <c r="L22" s="300">
        <f>(19.3*KFC!$B$30+KFC!$C$30)*KFC!$C$5</f>
        <v>19.3</v>
      </c>
      <c r="M22" s="300">
        <f>(20.2*KFC!$B$30+KFC!$C$30)*KFC!$C$5</f>
        <v>20.2</v>
      </c>
      <c r="N22" s="300">
        <f>(21.2*KFC!$B$30+KFC!$C$30)*KFC!$C$5</f>
        <v>21.2</v>
      </c>
      <c r="O22" s="300">
        <f>(22.1*KFC!$B$30+KFC!$C$30)*KFC!$C$5</f>
        <v>22.1</v>
      </c>
      <c r="P22" s="300">
        <f>(23*KFC!$B$30+KFC!$C$30)*KFC!$C$5</f>
        <v>23</v>
      </c>
      <c r="Q22" s="300">
        <f>(23.9*KFC!$B$30+KFC!$C$30)*KFC!$C$5</f>
        <v>23.9</v>
      </c>
      <c r="R22" s="300">
        <f>(24.8*KFC!$B$30+KFC!$C$30)*KFC!$C$5</f>
        <v>24.8</v>
      </c>
      <c r="S22" s="300">
        <f>(25.8*KFC!$B$30+KFC!$C$30)*KFC!$C$5</f>
        <v>25.8</v>
      </c>
      <c r="T22" s="300">
        <f>(26.7*KFC!$B$30+KFC!$C$30)*KFC!$C$5</f>
        <v>26.7</v>
      </c>
      <c r="U22" s="300">
        <f>(27.6*KFC!$B$30+KFC!$C$30)*KFC!$C$5</f>
        <v>27.6</v>
      </c>
      <c r="V22" s="300">
        <f>(28.5*KFC!$B$30+KFC!$C$30)*KFC!$C$5</f>
        <v>28.5</v>
      </c>
      <c r="W22" s="300">
        <f>(29.5*KFC!$B$30+KFC!$C$30)*KFC!$C$5</f>
        <v>29.5</v>
      </c>
      <c r="X22" s="300">
        <f>(30.4*KFC!$B$30+KFC!$C$30)*KFC!$C$5</f>
        <v>30.4</v>
      </c>
      <c r="Y22" s="300">
        <f>(31.3*KFC!$B$30+KFC!$C$30)*KFC!$C$5</f>
        <v>31.3</v>
      </c>
      <c r="Z22" s="300">
        <f>(32.2*KFC!$B$30+KFC!$C$30)*KFC!$C$5</f>
        <v>32.200000000000003</v>
      </c>
      <c r="AA22" s="300">
        <f>(33.2*KFC!$B$30+KFC!$C$30)*KFC!$C$5</f>
        <v>33.200000000000003</v>
      </c>
      <c r="AB22" s="300">
        <f>(34.1*KFC!$B$30+KFC!$C$30)*KFC!$C$5</f>
        <v>34.1</v>
      </c>
      <c r="AC22" s="304">
        <f>(35*KFC!$B$30+KFC!$C$30)*KFC!$C$5</f>
        <v>35</v>
      </c>
    </row>
    <row r="23" spans="1:29">
      <c r="A23" s="1538"/>
      <c r="B23" s="637">
        <v>1.7</v>
      </c>
      <c r="C23" s="303">
        <f>(11.2*KFC!$B$30+KFC!$C$30)*KFC!$C$5</f>
        <v>11.2</v>
      </c>
      <c r="D23" s="300">
        <f>(12.2*KFC!$B$30+KFC!$C$30)*KFC!$C$5</f>
        <v>12.2</v>
      </c>
      <c r="E23" s="300">
        <f>(13.2*KFC!$B$30+KFC!$C$30)*KFC!$C$5</f>
        <v>13.2</v>
      </c>
      <c r="F23" s="300">
        <f>(14.1*KFC!$B$30+KFC!$C$30)*KFC!$C$5</f>
        <v>14.1</v>
      </c>
      <c r="G23" s="300">
        <f>(15.1*KFC!$B$30+KFC!$C$30)*KFC!$C$5</f>
        <v>15.1</v>
      </c>
      <c r="H23" s="300">
        <f>(16.1*KFC!$B$30+KFC!$C$30)*KFC!$C$5</f>
        <v>16.100000000000001</v>
      </c>
      <c r="I23" s="300">
        <f>(17.1*KFC!$B$30+KFC!$C$30)*KFC!$C$5</f>
        <v>17.100000000000001</v>
      </c>
      <c r="J23" s="300">
        <f>(18.1*KFC!$B$30+KFC!$C$30)*KFC!$C$5</f>
        <v>18.100000000000001</v>
      </c>
      <c r="K23" s="300">
        <f>(19.1*KFC!$B$30+KFC!$C$30)*KFC!$C$5</f>
        <v>19.100000000000001</v>
      </c>
      <c r="L23" s="300">
        <f>(20*KFC!$B$30+KFC!$C$30)*KFC!$C$5</f>
        <v>20</v>
      </c>
      <c r="M23" s="300">
        <f>(21*KFC!$B$30+KFC!$C$30)*KFC!$C$5</f>
        <v>21</v>
      </c>
      <c r="N23" s="300">
        <f>(22*KFC!$B$30+KFC!$C$30)*KFC!$C$5</f>
        <v>22</v>
      </c>
      <c r="O23" s="300">
        <f>(23*KFC!$B$30+KFC!$C$30)*KFC!$C$5</f>
        <v>23</v>
      </c>
      <c r="P23" s="300">
        <f>(24*KFC!$B$30+KFC!$C$30)*KFC!$C$5</f>
        <v>24</v>
      </c>
      <c r="Q23" s="300">
        <f>(25*KFC!$B$30+KFC!$C$30)*KFC!$C$5</f>
        <v>25</v>
      </c>
      <c r="R23" s="300">
        <f>(25.9*KFC!$B$30+KFC!$C$30)*KFC!$C$5</f>
        <v>25.9</v>
      </c>
      <c r="S23" s="300">
        <f>(26.9*KFC!$B$30+KFC!$C$30)*KFC!$C$5</f>
        <v>26.9</v>
      </c>
      <c r="T23" s="300">
        <f>(27.9*KFC!$B$30+KFC!$C$30)*KFC!$C$5</f>
        <v>27.9</v>
      </c>
      <c r="U23" s="300">
        <f>(28.9*KFC!$B$30+KFC!$C$30)*KFC!$C$5</f>
        <v>28.9</v>
      </c>
      <c r="V23" s="300">
        <f>(29.9*KFC!$B$30+KFC!$C$30)*KFC!$C$5</f>
        <v>29.9</v>
      </c>
      <c r="W23" s="300">
        <f>(30.9*KFC!$B$30+KFC!$C$30)*KFC!$C$5</f>
        <v>30.9</v>
      </c>
      <c r="X23" s="300">
        <f>(31.8*KFC!$B$30+KFC!$C$30)*KFC!$C$5</f>
        <v>31.8</v>
      </c>
      <c r="Y23" s="300">
        <f>(32.8*KFC!$B$30+KFC!$C$30)*KFC!$C$5</f>
        <v>32.799999999999997</v>
      </c>
      <c r="Z23" s="300">
        <f>(33.8*KFC!$B$30+KFC!$C$30)*KFC!$C$5</f>
        <v>33.799999999999997</v>
      </c>
      <c r="AA23" s="300">
        <f>(34.8*KFC!$B$30+KFC!$C$30)*KFC!$C$5</f>
        <v>34.799999999999997</v>
      </c>
      <c r="AB23" s="300">
        <f>(35.8*KFC!$B$30+KFC!$C$30)*KFC!$C$5</f>
        <v>35.799999999999997</v>
      </c>
      <c r="AC23" s="304">
        <f>(36.8*KFC!$B$30+KFC!$C$30)*KFC!$C$5</f>
        <v>36.799999999999997</v>
      </c>
    </row>
    <row r="24" spans="1:29">
      <c r="A24" s="1538"/>
      <c r="B24" s="637">
        <v>1.8</v>
      </c>
      <c r="C24" s="303">
        <f>(11.4*KFC!$B$30+KFC!$C$30)*KFC!$C$5</f>
        <v>11.4</v>
      </c>
      <c r="D24" s="300">
        <f>(12.4*KFC!$B$30+KFC!$C$30)*KFC!$C$5</f>
        <v>12.4</v>
      </c>
      <c r="E24" s="300">
        <f>(13.5*KFC!$B$30+KFC!$C$30)*KFC!$C$5</f>
        <v>13.5</v>
      </c>
      <c r="F24" s="300">
        <f>(14.5*KFC!$B$30+KFC!$C$30)*KFC!$C$5</f>
        <v>14.5</v>
      </c>
      <c r="G24" s="300">
        <f>(15.5*KFC!$B$30+KFC!$C$30)*KFC!$C$5</f>
        <v>15.5</v>
      </c>
      <c r="H24" s="300">
        <f>(16.6*KFC!$B$30+KFC!$C$30)*KFC!$C$5</f>
        <v>16.600000000000001</v>
      </c>
      <c r="I24" s="300">
        <f>(17.6*KFC!$B$30+KFC!$C$30)*KFC!$C$5</f>
        <v>17.600000000000001</v>
      </c>
      <c r="J24" s="300">
        <f>(18.7*KFC!$B$30+KFC!$C$30)*KFC!$C$5</f>
        <v>18.7</v>
      </c>
      <c r="K24" s="300">
        <f>(19.7*KFC!$B$30+KFC!$C$30)*KFC!$C$5</f>
        <v>19.7</v>
      </c>
      <c r="L24" s="300">
        <f>(20.8*KFC!$B$30+KFC!$C$30)*KFC!$C$5</f>
        <v>20.8</v>
      </c>
      <c r="M24" s="300">
        <f>(21.8*KFC!$B$30+KFC!$C$30)*KFC!$C$5</f>
        <v>21.8</v>
      </c>
      <c r="N24" s="300">
        <f>(22.9*KFC!$B$30+KFC!$C$30)*KFC!$C$5</f>
        <v>22.9</v>
      </c>
      <c r="O24" s="300">
        <f>(23.9*KFC!$B$30+KFC!$C$30)*KFC!$C$5</f>
        <v>23.9</v>
      </c>
      <c r="P24" s="300">
        <f>(24.9*KFC!$B$30+KFC!$C$30)*KFC!$C$5</f>
        <v>24.9</v>
      </c>
      <c r="Q24" s="300">
        <f>(26*KFC!$B$30+KFC!$C$30)*KFC!$C$5</f>
        <v>26</v>
      </c>
      <c r="R24" s="300">
        <f>(27*KFC!$B$30+KFC!$C$30)*KFC!$C$5</f>
        <v>27</v>
      </c>
      <c r="S24" s="300">
        <f>(28.1*KFC!$B$30+KFC!$C$30)*KFC!$C$5</f>
        <v>28.1</v>
      </c>
      <c r="T24" s="300">
        <f>(29.1*KFC!$B$30+KFC!$C$30)*KFC!$C$5</f>
        <v>29.1</v>
      </c>
      <c r="U24" s="300">
        <f>(30.2*KFC!$B$30+KFC!$C$30)*KFC!$C$5</f>
        <v>30.2</v>
      </c>
      <c r="V24" s="300">
        <f>(31.2*KFC!$B$30+KFC!$C$30)*KFC!$C$5</f>
        <v>31.2</v>
      </c>
      <c r="W24" s="300">
        <f>(32.2*KFC!$B$30+KFC!$C$30)*KFC!$C$5</f>
        <v>32.200000000000003</v>
      </c>
      <c r="X24" s="300">
        <f>(33.3*KFC!$B$30+KFC!$C$30)*KFC!$C$5</f>
        <v>33.299999999999997</v>
      </c>
      <c r="Y24" s="300">
        <f>(34.3*KFC!$B$30+KFC!$C$30)*KFC!$C$5</f>
        <v>34.299999999999997</v>
      </c>
      <c r="Z24" s="300">
        <f>(35.4*KFC!$B$30+KFC!$C$30)*KFC!$C$5</f>
        <v>35.4</v>
      </c>
      <c r="AA24" s="300">
        <f>(36.4*KFC!$B$30+KFC!$C$30)*KFC!$C$5</f>
        <v>36.4</v>
      </c>
      <c r="AB24" s="300">
        <f>(37.5*KFC!$B$30+KFC!$C$30)*KFC!$C$5</f>
        <v>37.5</v>
      </c>
      <c r="AC24" s="304">
        <f>(38.5*KFC!$B$30+KFC!$C$30)*KFC!$C$5</f>
        <v>38.5</v>
      </c>
    </row>
    <row r="25" spans="1:29">
      <c r="A25" s="1538"/>
      <c r="B25" s="637">
        <v>1.9</v>
      </c>
      <c r="C25" s="303">
        <f>(11.6*KFC!$B$30+KFC!$C$30)*KFC!$C$5</f>
        <v>11.6</v>
      </c>
      <c r="D25" s="300">
        <f>(12.7*KFC!$B$30+KFC!$C$30)*KFC!$C$5</f>
        <v>12.7</v>
      </c>
      <c r="E25" s="300">
        <f>(13.8*KFC!$B$30+KFC!$C$30)*KFC!$C$5</f>
        <v>13.8</v>
      </c>
      <c r="F25" s="300">
        <f>(14.9*KFC!$B$30+KFC!$C$30)*KFC!$C$5</f>
        <v>14.9</v>
      </c>
      <c r="G25" s="300">
        <f>(16*KFC!$B$30+KFC!$C$30)*KFC!$C$5</f>
        <v>16</v>
      </c>
      <c r="H25" s="300">
        <f>(17.1*KFC!$B$30+KFC!$C$30)*KFC!$C$5</f>
        <v>17.100000000000001</v>
      </c>
      <c r="I25" s="300">
        <f>(18.2*KFC!$B$30+KFC!$C$30)*KFC!$C$5</f>
        <v>18.2</v>
      </c>
      <c r="J25" s="300">
        <f>(19.3*KFC!$B$30+KFC!$C$30)*KFC!$C$5</f>
        <v>19.3</v>
      </c>
      <c r="K25" s="300">
        <f>(20.4*KFC!$B$30+KFC!$C$30)*KFC!$C$5</f>
        <v>20.399999999999999</v>
      </c>
      <c r="L25" s="300">
        <f>(21.5*KFC!$B$30+KFC!$C$30)*KFC!$C$5</f>
        <v>21.5</v>
      </c>
      <c r="M25" s="300">
        <f>(22.6*KFC!$B$30+KFC!$C$30)*KFC!$C$5</f>
        <v>22.6</v>
      </c>
      <c r="N25" s="300">
        <f>(23.7*KFC!$B$30+KFC!$C$30)*KFC!$C$5</f>
        <v>23.7</v>
      </c>
      <c r="O25" s="300">
        <f>(24.8*KFC!$B$30+KFC!$C$30)*KFC!$C$5</f>
        <v>24.8</v>
      </c>
      <c r="P25" s="300">
        <f>(25.9*KFC!$B$30+KFC!$C$30)*KFC!$C$5</f>
        <v>25.9</v>
      </c>
      <c r="Q25" s="300">
        <f>(27*KFC!$B$30+KFC!$C$30)*KFC!$C$5</f>
        <v>27</v>
      </c>
      <c r="R25" s="300">
        <f>(28.1*KFC!$B$30+KFC!$C$30)*KFC!$C$5</f>
        <v>28.1</v>
      </c>
      <c r="S25" s="300">
        <f>(29.2*KFC!$B$30+KFC!$C$30)*KFC!$C$5</f>
        <v>29.2</v>
      </c>
      <c r="T25" s="300">
        <f>(30.3*KFC!$B$30+KFC!$C$30)*KFC!$C$5</f>
        <v>30.3</v>
      </c>
      <c r="U25" s="300">
        <f>(31.4*KFC!$B$30+KFC!$C$30)*KFC!$C$5</f>
        <v>31.4</v>
      </c>
      <c r="V25" s="300">
        <f>(32.5*KFC!$B$30+KFC!$C$30)*KFC!$C$5</f>
        <v>32.5</v>
      </c>
      <c r="W25" s="300">
        <f>(33.6*KFC!$B$30+KFC!$C$30)*KFC!$C$5</f>
        <v>33.6</v>
      </c>
      <c r="X25" s="300">
        <f>(34.7*KFC!$B$30+KFC!$C$30)*KFC!$C$5</f>
        <v>34.700000000000003</v>
      </c>
      <c r="Y25" s="300">
        <f>(35.9*KFC!$B$30+KFC!$C$30)*KFC!$C$5</f>
        <v>35.9</v>
      </c>
      <c r="Z25" s="300">
        <f>(37*KFC!$B$30+KFC!$C$30)*KFC!$C$5</f>
        <v>37</v>
      </c>
      <c r="AA25" s="300">
        <f>(38.1*KFC!$B$30+KFC!$C$30)*KFC!$C$5</f>
        <v>38.1</v>
      </c>
      <c r="AB25" s="300">
        <f>(39.2*KFC!$B$30+KFC!$C$30)*KFC!$C$5</f>
        <v>39.200000000000003</v>
      </c>
      <c r="AC25" s="304">
        <f>(40.3*KFC!$B$30+KFC!$C$30)*KFC!$C$5</f>
        <v>40.299999999999997</v>
      </c>
    </row>
    <row r="26" spans="1:29">
      <c r="A26" s="1538"/>
      <c r="B26" s="637">
        <v>2</v>
      </c>
      <c r="C26" s="303">
        <f>(11.7*KFC!$B$30+KFC!$C$30)*KFC!$C$5</f>
        <v>11.7</v>
      </c>
      <c r="D26" s="300">
        <f>(12.9*KFC!$B$30+KFC!$C$30)*KFC!$C$5</f>
        <v>12.9</v>
      </c>
      <c r="E26" s="300">
        <f>(14.1*KFC!$B$30+KFC!$C$30)*KFC!$C$5</f>
        <v>14.1</v>
      </c>
      <c r="F26" s="300">
        <f>(15.2*KFC!$B$30+KFC!$C$30)*KFC!$C$5</f>
        <v>15.2</v>
      </c>
      <c r="G26" s="300">
        <f>(16.4*KFC!$B$30+KFC!$C$30)*KFC!$C$5</f>
        <v>16.399999999999999</v>
      </c>
      <c r="H26" s="300">
        <f>(17.6*KFC!$B$30+KFC!$C$30)*KFC!$C$5</f>
        <v>17.600000000000001</v>
      </c>
      <c r="I26" s="300">
        <f>(18.7*KFC!$B$30+KFC!$C$30)*KFC!$C$5</f>
        <v>18.7</v>
      </c>
      <c r="J26" s="300">
        <f>(19.9*KFC!$B$30+KFC!$C$30)*KFC!$C$5</f>
        <v>19.899999999999999</v>
      </c>
      <c r="K26" s="300">
        <f>(21.1*KFC!$B$30+KFC!$C$30)*KFC!$C$5</f>
        <v>21.1</v>
      </c>
      <c r="L26" s="300">
        <f>(22.2*KFC!$B$30+KFC!$C$30)*KFC!$C$5</f>
        <v>22.2</v>
      </c>
      <c r="M26" s="300">
        <f>(23.4*KFC!$B$30+KFC!$C$30)*KFC!$C$5</f>
        <v>23.4</v>
      </c>
      <c r="N26" s="300">
        <f>(24.6*KFC!$B$30+KFC!$C$30)*KFC!$C$5</f>
        <v>24.6</v>
      </c>
      <c r="O26" s="300">
        <f>(25.7*KFC!$B$30+KFC!$C$30)*KFC!$C$5</f>
        <v>25.7</v>
      </c>
      <c r="P26" s="300">
        <f>(26.9*KFC!$B$30+KFC!$C$30)*KFC!$C$5</f>
        <v>26.9</v>
      </c>
      <c r="Q26" s="300">
        <f>(28.1*KFC!$B$30+KFC!$C$30)*KFC!$C$5</f>
        <v>28.1</v>
      </c>
      <c r="R26" s="300">
        <f>(29.2*KFC!$B$30+KFC!$C$30)*KFC!$C$5</f>
        <v>29.2</v>
      </c>
      <c r="S26" s="300">
        <f>(30.4*KFC!$B$30+KFC!$C$30)*KFC!$C$5</f>
        <v>30.4</v>
      </c>
      <c r="T26" s="300">
        <f>(31.5*KFC!$B$30+KFC!$C$30)*KFC!$C$5</f>
        <v>31.5</v>
      </c>
      <c r="U26" s="300">
        <f>(32.7*KFC!$B$30+KFC!$C$30)*KFC!$C$5</f>
        <v>32.700000000000003</v>
      </c>
      <c r="V26" s="300">
        <f>(33.9*KFC!$B$30+KFC!$C$30)*KFC!$C$5</f>
        <v>33.9</v>
      </c>
      <c r="W26" s="300">
        <f>(35*KFC!$B$30+KFC!$C$30)*KFC!$C$5</f>
        <v>35</v>
      </c>
      <c r="X26" s="300">
        <f>(36.2*KFC!$B$30+KFC!$C$30)*KFC!$C$5</f>
        <v>36.200000000000003</v>
      </c>
      <c r="Y26" s="300">
        <f>(37.4*KFC!$B$30+KFC!$C$30)*KFC!$C$5</f>
        <v>37.4</v>
      </c>
      <c r="Z26" s="300">
        <f>(38.5*KFC!$B$30+KFC!$C$30)*KFC!$C$5</f>
        <v>38.5</v>
      </c>
      <c r="AA26" s="300">
        <f>(39.7*KFC!$B$30+KFC!$C$30)*KFC!$C$5</f>
        <v>39.700000000000003</v>
      </c>
      <c r="AB26" s="300">
        <f>(40.9*KFC!$B$30+KFC!$C$30)*KFC!$C$5</f>
        <v>40.9</v>
      </c>
      <c r="AC26" s="304">
        <f>(42*KFC!$B$30+KFC!$C$30)*KFC!$C$5</f>
        <v>42</v>
      </c>
    </row>
    <row r="27" spans="1:29">
      <c r="A27" s="1538"/>
      <c r="B27" s="637">
        <v>2.1</v>
      </c>
      <c r="C27" s="303">
        <f>(11.9*KFC!$B$30+KFC!$C$30)*KFC!$C$5</f>
        <v>11.9</v>
      </c>
      <c r="D27" s="300">
        <f>(13.2*KFC!$B$30+KFC!$C$30)*KFC!$C$5</f>
        <v>13.2</v>
      </c>
      <c r="E27" s="300">
        <f>(14.4*KFC!$B$30+KFC!$C$30)*KFC!$C$5</f>
        <v>14.4</v>
      </c>
      <c r="F27" s="300">
        <f>(15.6*KFC!$B$30+KFC!$C$30)*KFC!$C$5</f>
        <v>15.6</v>
      </c>
      <c r="G27" s="300">
        <f>(16.8*KFC!$B$30+KFC!$C$30)*KFC!$C$5</f>
        <v>16.8</v>
      </c>
      <c r="H27" s="300">
        <f>(18.1*KFC!$B$30+KFC!$C$30)*KFC!$C$5</f>
        <v>18.100000000000001</v>
      </c>
      <c r="I27" s="300">
        <f>(19.3*KFC!$B$30+KFC!$C$30)*KFC!$C$5</f>
        <v>19.3</v>
      </c>
      <c r="J27" s="300">
        <f>(20.5*KFC!$B$30+KFC!$C$30)*KFC!$C$5</f>
        <v>20.5</v>
      </c>
      <c r="K27" s="300">
        <f>(21.7*KFC!$B$30+KFC!$C$30)*KFC!$C$5</f>
        <v>21.7</v>
      </c>
      <c r="L27" s="300">
        <f>(23*KFC!$B$30+KFC!$C$30)*KFC!$C$5</f>
        <v>23</v>
      </c>
      <c r="M27" s="300">
        <f>(24.2*KFC!$B$30+KFC!$C$30)*KFC!$C$5</f>
        <v>24.2</v>
      </c>
      <c r="N27" s="300">
        <f>(25.4*KFC!$B$30+KFC!$C$30)*KFC!$C$5</f>
        <v>25.4</v>
      </c>
      <c r="O27" s="300">
        <f>(26.6*KFC!$B$30+KFC!$C$30)*KFC!$C$5</f>
        <v>26.6</v>
      </c>
      <c r="P27" s="300">
        <f>(27.9*KFC!$B$30+KFC!$C$30)*KFC!$C$5</f>
        <v>27.9</v>
      </c>
      <c r="Q27" s="300">
        <f>(29.1*KFC!$B$30+KFC!$C$30)*KFC!$C$5</f>
        <v>29.1</v>
      </c>
      <c r="R27" s="300">
        <f>(30.3*KFC!$B$30+KFC!$C$30)*KFC!$C$5</f>
        <v>30.3</v>
      </c>
      <c r="S27" s="300">
        <f>(31.5*KFC!$B$30+KFC!$C$30)*KFC!$C$5</f>
        <v>31.5</v>
      </c>
      <c r="T27" s="300">
        <f>(32.8*KFC!$B$30+KFC!$C$30)*KFC!$C$5</f>
        <v>32.799999999999997</v>
      </c>
      <c r="U27" s="300">
        <f>(34*KFC!$B$30+KFC!$C$30)*KFC!$C$5</f>
        <v>34</v>
      </c>
      <c r="V27" s="300">
        <f>(35.2*KFC!$B$30+KFC!$C$30)*KFC!$C$5</f>
        <v>35.200000000000003</v>
      </c>
      <c r="W27" s="300">
        <f>(36.4*KFC!$B$30+KFC!$C$30)*KFC!$C$5</f>
        <v>36.4</v>
      </c>
      <c r="X27" s="300">
        <f>(37.7*KFC!$B$30+KFC!$C$30)*KFC!$C$5</f>
        <v>37.700000000000003</v>
      </c>
      <c r="Y27" s="300">
        <f>(38.9*KFC!$B$30+KFC!$C$30)*KFC!$C$5</f>
        <v>38.9</v>
      </c>
      <c r="Z27" s="300">
        <f>(40.1*KFC!$B$30+KFC!$C$30)*KFC!$C$5</f>
        <v>40.1</v>
      </c>
      <c r="AA27" s="300">
        <f>(41.3*KFC!$B$30+KFC!$C$30)*KFC!$C$5</f>
        <v>41.3</v>
      </c>
      <c r="AB27" s="300">
        <f>(42.6*KFC!$B$30+KFC!$C$30)*KFC!$C$5</f>
        <v>42.6</v>
      </c>
      <c r="AC27" s="304">
        <f>(43.8*KFC!$B$30+KFC!$C$30)*KFC!$C$5</f>
        <v>43.8</v>
      </c>
    </row>
    <row r="28" spans="1:29">
      <c r="A28" s="1538"/>
      <c r="B28" s="637">
        <v>2.2000000000000002</v>
      </c>
      <c r="C28" s="303">
        <f>(12.1*KFC!$B$30+KFC!$C$30)*KFC!$C$5</f>
        <v>12.1</v>
      </c>
      <c r="D28" s="300">
        <f>(13.4*KFC!$B$30+KFC!$C$30)*KFC!$C$5</f>
        <v>13.4</v>
      </c>
      <c r="E28" s="300">
        <f>(14.7*KFC!$B$30+KFC!$C$30)*KFC!$C$5</f>
        <v>14.7</v>
      </c>
      <c r="F28" s="300">
        <f>(16*KFC!$B$30+KFC!$C$30)*KFC!$C$5</f>
        <v>16</v>
      </c>
      <c r="G28" s="300">
        <f>(17.3*KFC!$B$30+KFC!$C$30)*KFC!$C$5</f>
        <v>17.3</v>
      </c>
      <c r="H28" s="300">
        <f>(18.5*KFC!$B$30+KFC!$C$30)*KFC!$C$5</f>
        <v>18.5</v>
      </c>
      <c r="I28" s="300">
        <f>(19.8*KFC!$B$30+KFC!$C$30)*KFC!$C$5</f>
        <v>19.8</v>
      </c>
      <c r="J28" s="300">
        <f>(21.1*KFC!$B$30+KFC!$C$30)*KFC!$C$5</f>
        <v>21.1</v>
      </c>
      <c r="K28" s="300">
        <f>(22.4*KFC!$B$30+KFC!$C$30)*KFC!$C$5</f>
        <v>22.4</v>
      </c>
      <c r="L28" s="300">
        <f>(23.7*KFC!$B$30+KFC!$C$30)*KFC!$C$5</f>
        <v>23.7</v>
      </c>
      <c r="M28" s="300">
        <f>(25*KFC!$B$30+KFC!$C$30)*KFC!$C$5</f>
        <v>25</v>
      </c>
      <c r="N28" s="300">
        <f>(26.3*KFC!$B$30+KFC!$C$30)*KFC!$C$5</f>
        <v>26.3</v>
      </c>
      <c r="O28" s="300">
        <f>(27.5*KFC!$B$30+KFC!$C$30)*KFC!$C$5</f>
        <v>27.5</v>
      </c>
      <c r="P28" s="300">
        <f>(28.8*KFC!$B$30+KFC!$C$30)*KFC!$C$5</f>
        <v>28.8</v>
      </c>
      <c r="Q28" s="300">
        <f>(30.1*KFC!$B$30+KFC!$C$30)*KFC!$C$5</f>
        <v>30.1</v>
      </c>
      <c r="R28" s="300">
        <f>(31.4*KFC!$B$30+KFC!$C$30)*KFC!$C$5</f>
        <v>31.4</v>
      </c>
      <c r="S28" s="300">
        <f>(32.7*KFC!$B$30+KFC!$C$30)*KFC!$C$5</f>
        <v>32.700000000000003</v>
      </c>
      <c r="T28" s="300">
        <f>(34*KFC!$B$30+KFC!$C$30)*KFC!$C$5</f>
        <v>34</v>
      </c>
      <c r="U28" s="300">
        <f>(35.3*KFC!$B$30+KFC!$C$30)*KFC!$C$5</f>
        <v>35.299999999999997</v>
      </c>
      <c r="V28" s="300">
        <f>(36.5*KFC!$B$30+KFC!$C$30)*KFC!$C$5</f>
        <v>36.5</v>
      </c>
      <c r="W28" s="300">
        <f>(37.8*KFC!$B$30+KFC!$C$30)*KFC!$C$5</f>
        <v>37.799999999999997</v>
      </c>
      <c r="X28" s="300">
        <f>(39.1*KFC!$B$30+KFC!$C$30)*KFC!$C$5</f>
        <v>39.1</v>
      </c>
      <c r="Y28" s="300">
        <f>(40.4*KFC!$B$30+KFC!$C$30)*KFC!$C$5</f>
        <v>40.4</v>
      </c>
      <c r="Z28" s="300">
        <f>(41.7*KFC!$B$30+KFC!$C$30)*KFC!$C$5</f>
        <v>41.7</v>
      </c>
      <c r="AA28" s="300">
        <f>(43*KFC!$B$30+KFC!$C$30)*KFC!$C$5</f>
        <v>43</v>
      </c>
      <c r="AB28" s="300">
        <f>(44.3*KFC!$B$30+KFC!$C$30)*KFC!$C$5</f>
        <v>44.3</v>
      </c>
      <c r="AC28" s="304">
        <f>(45.5*KFC!$B$30+KFC!$C$30)*KFC!$C$5</f>
        <v>45.5</v>
      </c>
    </row>
    <row r="29" spans="1:29">
      <c r="A29" s="1538"/>
      <c r="B29" s="637">
        <v>2.2999999999999998</v>
      </c>
      <c r="C29" s="303">
        <f>(12.3*KFC!$B$30+KFC!$C$30)*KFC!$C$5</f>
        <v>12.3</v>
      </c>
      <c r="D29" s="300">
        <f>(13.6*KFC!$B$30+KFC!$C$30)*KFC!$C$5</f>
        <v>13.6</v>
      </c>
      <c r="E29" s="300">
        <f>(15*KFC!$B$30+KFC!$C$30)*KFC!$C$5</f>
        <v>15</v>
      </c>
      <c r="F29" s="300">
        <f>(16.3*KFC!$B$30+KFC!$C$30)*KFC!$C$5</f>
        <v>16.3</v>
      </c>
      <c r="G29" s="300">
        <f>(17.7*KFC!$B$30+KFC!$C$30)*KFC!$C$5</f>
        <v>17.7</v>
      </c>
      <c r="H29" s="300">
        <f>(19*KFC!$B$30+KFC!$C$30)*KFC!$C$5</f>
        <v>19</v>
      </c>
      <c r="I29" s="300">
        <f>(20.4*KFC!$B$30+KFC!$C$30)*KFC!$C$5</f>
        <v>20.399999999999999</v>
      </c>
      <c r="J29" s="300">
        <f>(21.7*KFC!$B$30+KFC!$C$30)*KFC!$C$5</f>
        <v>21.7</v>
      </c>
      <c r="K29" s="300">
        <f>(23.1*KFC!$B$30+KFC!$C$30)*KFC!$C$5</f>
        <v>23.1</v>
      </c>
      <c r="L29" s="300">
        <f>(24.4*KFC!$B$30+KFC!$C$30)*KFC!$C$5</f>
        <v>24.4</v>
      </c>
      <c r="M29" s="300">
        <f>(25.8*KFC!$B$30+KFC!$C$30)*KFC!$C$5</f>
        <v>25.8</v>
      </c>
      <c r="N29" s="300">
        <f>(27.1*KFC!$B$30+KFC!$C$30)*KFC!$C$5</f>
        <v>27.1</v>
      </c>
      <c r="O29" s="300">
        <f>(28.5*KFC!$B$30+KFC!$C$30)*KFC!$C$5</f>
        <v>28.5</v>
      </c>
      <c r="P29" s="300">
        <f>(29.8*KFC!$B$30+KFC!$C$30)*KFC!$C$5</f>
        <v>29.8</v>
      </c>
      <c r="Q29" s="300">
        <f>(31.1*KFC!$B$30+KFC!$C$30)*KFC!$C$5</f>
        <v>31.1</v>
      </c>
      <c r="R29" s="300">
        <f>(32.5*KFC!$B$30+KFC!$C$30)*KFC!$C$5</f>
        <v>32.5</v>
      </c>
      <c r="S29" s="300">
        <f>(33.8*KFC!$B$30+KFC!$C$30)*KFC!$C$5</f>
        <v>33.799999999999997</v>
      </c>
      <c r="T29" s="300">
        <f>(35.2*KFC!$B$30+KFC!$C$30)*KFC!$C$5</f>
        <v>35.200000000000003</v>
      </c>
      <c r="U29" s="300">
        <f>(36.5*KFC!$B$30+KFC!$C$30)*KFC!$C$5</f>
        <v>36.5</v>
      </c>
      <c r="V29" s="300">
        <f>(37.9*KFC!$B$30+KFC!$C$30)*KFC!$C$5</f>
        <v>37.9</v>
      </c>
      <c r="W29" s="300">
        <f>(39.2*KFC!$B$30+KFC!$C$30)*KFC!$C$5</f>
        <v>39.200000000000003</v>
      </c>
      <c r="X29" s="300">
        <f>(40.6*KFC!$B$30+KFC!$C$30)*KFC!$C$5</f>
        <v>40.6</v>
      </c>
      <c r="Y29" s="300">
        <f>(41.9*KFC!$B$30+KFC!$C$30)*KFC!$C$5</f>
        <v>41.9</v>
      </c>
      <c r="Z29" s="300">
        <f>(43.3*KFC!$B$30+KFC!$C$30)*KFC!$C$5</f>
        <v>43.3</v>
      </c>
      <c r="AA29" s="300">
        <f>(44.6*KFC!$B$30+KFC!$C$30)*KFC!$C$5</f>
        <v>44.6</v>
      </c>
      <c r="AB29" s="300">
        <f>(46*KFC!$B$30+KFC!$C$30)*KFC!$C$5</f>
        <v>46</v>
      </c>
      <c r="AC29" s="304">
        <f>(47.3*KFC!$B$30+KFC!$C$30)*KFC!$C$5</f>
        <v>47.3</v>
      </c>
    </row>
    <row r="30" spans="1:29">
      <c r="A30" s="1538"/>
      <c r="B30" s="637">
        <v>2.4</v>
      </c>
      <c r="C30" s="303">
        <f>(12.5*KFC!$B$30+KFC!$C$30)*KFC!$C$5</f>
        <v>12.5</v>
      </c>
      <c r="D30" s="300">
        <f>(13.9*KFC!$B$30+KFC!$C$30)*KFC!$C$5</f>
        <v>13.9</v>
      </c>
      <c r="E30" s="300">
        <f>(15.3*KFC!$B$30+KFC!$C$30)*KFC!$C$5</f>
        <v>15.3</v>
      </c>
      <c r="F30" s="300">
        <f>(16.7*KFC!$B$30+KFC!$C$30)*KFC!$C$5</f>
        <v>16.7</v>
      </c>
      <c r="G30" s="300">
        <f>(18.1*KFC!$B$30+KFC!$C$30)*KFC!$C$5</f>
        <v>18.100000000000001</v>
      </c>
      <c r="H30" s="300">
        <f>(19.5*KFC!$B$30+KFC!$C$30)*KFC!$C$5</f>
        <v>19.5</v>
      </c>
      <c r="I30" s="300">
        <f>(20.9*KFC!$B$30+KFC!$C$30)*KFC!$C$5</f>
        <v>20.9</v>
      </c>
      <c r="J30" s="300">
        <f>(22.3*KFC!$B$30+KFC!$C$30)*KFC!$C$5</f>
        <v>22.3</v>
      </c>
      <c r="K30" s="300">
        <f>(23.7*KFC!$B$30+KFC!$C$30)*KFC!$C$5</f>
        <v>23.7</v>
      </c>
      <c r="L30" s="300">
        <f>(25.1*KFC!$B$30+KFC!$C$30)*KFC!$C$5</f>
        <v>25.1</v>
      </c>
      <c r="M30" s="300">
        <f>(26.6*KFC!$B$30+KFC!$C$30)*KFC!$C$5</f>
        <v>26.6</v>
      </c>
      <c r="N30" s="300">
        <f>(28*KFC!$B$30+KFC!$C$30)*KFC!$C$5</f>
        <v>28</v>
      </c>
      <c r="O30" s="300">
        <f>(29.4*KFC!$B$30+KFC!$C$30)*KFC!$C$5</f>
        <v>29.4</v>
      </c>
      <c r="P30" s="300">
        <f>(30.8*KFC!$B$30+KFC!$C$30)*KFC!$C$5</f>
        <v>30.8</v>
      </c>
      <c r="Q30" s="300">
        <f>(32.2*KFC!$B$30+KFC!$C$30)*KFC!$C$5</f>
        <v>32.200000000000003</v>
      </c>
      <c r="R30" s="300">
        <f>(33.6*KFC!$B$30+KFC!$C$30)*KFC!$C$5</f>
        <v>33.6</v>
      </c>
      <c r="S30" s="300">
        <f>(35*KFC!$B$30+KFC!$C$30)*KFC!$C$5</f>
        <v>35</v>
      </c>
      <c r="T30" s="300">
        <f>(36.4*KFC!$B$30+KFC!$C$30)*KFC!$C$5</f>
        <v>36.4</v>
      </c>
      <c r="U30" s="300">
        <f>(37.8*KFC!$B$30+KFC!$C$30)*KFC!$C$5</f>
        <v>37.799999999999997</v>
      </c>
      <c r="V30" s="300">
        <f>(39.2*KFC!$B$30+KFC!$C$30)*KFC!$C$5</f>
        <v>39.200000000000003</v>
      </c>
      <c r="W30" s="300">
        <f>(40.6*KFC!$B$30+KFC!$C$30)*KFC!$C$5</f>
        <v>40.6</v>
      </c>
      <c r="X30" s="300">
        <f>(42*KFC!$B$30+KFC!$C$30)*KFC!$C$5</f>
        <v>42</v>
      </c>
      <c r="Y30" s="300">
        <f>(43.4*KFC!$B$30+KFC!$C$30)*KFC!$C$5</f>
        <v>43.4</v>
      </c>
      <c r="Z30" s="300">
        <f>(44.8*KFC!$B$30+KFC!$C$30)*KFC!$C$5</f>
        <v>44.8</v>
      </c>
      <c r="AA30" s="300">
        <f>(46.2*KFC!$B$30+KFC!$C$30)*KFC!$C$5</f>
        <v>46.2</v>
      </c>
      <c r="AB30" s="300">
        <f>(47.7*KFC!$B$30+KFC!$C$30)*KFC!$C$5</f>
        <v>47.7</v>
      </c>
      <c r="AC30" s="304">
        <f>(49.1*KFC!$B$30+KFC!$C$30)*KFC!$C$5</f>
        <v>49.1</v>
      </c>
    </row>
    <row r="31" spans="1:29">
      <c r="A31" s="1538"/>
      <c r="B31" s="637">
        <v>2.5</v>
      </c>
      <c r="C31" s="303">
        <f>(12.7*KFC!$B$30+KFC!$C$30)*KFC!$C$5</f>
        <v>12.7</v>
      </c>
      <c r="D31" s="300">
        <f>(14.1*KFC!$B$30+KFC!$C$30)*KFC!$C$5</f>
        <v>14.1</v>
      </c>
      <c r="E31" s="300">
        <f>(15.6*KFC!$B$30+KFC!$C$30)*KFC!$C$5</f>
        <v>15.6</v>
      </c>
      <c r="F31" s="300">
        <f>(17.1*KFC!$B$30+KFC!$C$30)*KFC!$C$5</f>
        <v>17.100000000000001</v>
      </c>
      <c r="G31" s="300">
        <f>(18.5*KFC!$B$30+KFC!$C$30)*KFC!$C$5</f>
        <v>18.5</v>
      </c>
      <c r="H31" s="300">
        <f>(20*KFC!$B$30+KFC!$C$30)*KFC!$C$5</f>
        <v>20</v>
      </c>
      <c r="I31" s="300">
        <f>(21.5*KFC!$B$30+KFC!$C$30)*KFC!$C$5</f>
        <v>21.5</v>
      </c>
      <c r="J31" s="300">
        <f>(22.9*KFC!$B$30+KFC!$C$30)*KFC!$C$5</f>
        <v>22.9</v>
      </c>
      <c r="K31" s="300">
        <f>(24.4*KFC!$B$30+KFC!$C$30)*KFC!$C$5</f>
        <v>24.4</v>
      </c>
      <c r="L31" s="300">
        <f>(25.9*KFC!$B$30+KFC!$C$30)*KFC!$C$5</f>
        <v>25.9</v>
      </c>
      <c r="M31" s="300">
        <f>(27.3*KFC!$B$30+KFC!$C$30)*KFC!$C$5</f>
        <v>27.3</v>
      </c>
      <c r="N31" s="300">
        <f>(28.8*KFC!$B$30+KFC!$C$30)*KFC!$C$5</f>
        <v>28.8</v>
      </c>
      <c r="O31" s="300">
        <f>(30.3*KFC!$B$30+KFC!$C$30)*KFC!$C$5</f>
        <v>30.3</v>
      </c>
      <c r="P31" s="300">
        <f>(31.7*KFC!$B$30+KFC!$C$30)*KFC!$C$5</f>
        <v>31.7</v>
      </c>
      <c r="Q31" s="300">
        <f>(33.2*KFC!$B$30+KFC!$C$30)*KFC!$C$5</f>
        <v>33.200000000000003</v>
      </c>
      <c r="R31" s="300">
        <f>(34.7*KFC!$B$30+KFC!$C$30)*KFC!$C$5</f>
        <v>34.700000000000003</v>
      </c>
      <c r="S31" s="300">
        <f>(36.1*KFC!$B$30+KFC!$C$30)*KFC!$C$5</f>
        <v>36.1</v>
      </c>
      <c r="T31" s="300">
        <f>(37.6*KFC!$B$30+KFC!$C$30)*KFC!$C$5</f>
        <v>37.6</v>
      </c>
      <c r="U31" s="300">
        <f>(39.1*KFC!$B$30+KFC!$C$30)*KFC!$C$5</f>
        <v>39.1</v>
      </c>
      <c r="V31" s="300">
        <f>(40.5*KFC!$B$30+KFC!$C$30)*KFC!$C$5</f>
        <v>40.5</v>
      </c>
      <c r="W31" s="300">
        <f>(42*KFC!$B$30+KFC!$C$30)*KFC!$C$5</f>
        <v>42</v>
      </c>
      <c r="X31" s="300">
        <f>(43.5*KFC!$B$30+KFC!$C$30)*KFC!$C$5</f>
        <v>43.5</v>
      </c>
      <c r="Y31" s="300">
        <f>(45*KFC!$B$30+KFC!$C$30)*KFC!$C$5</f>
        <v>45</v>
      </c>
      <c r="Z31" s="300">
        <f>(46.4*KFC!$B$30+KFC!$C$30)*KFC!$C$5</f>
        <v>46.4</v>
      </c>
      <c r="AA31" s="300">
        <f>(47.9*KFC!$B$30+KFC!$C$30)*KFC!$C$5</f>
        <v>47.9</v>
      </c>
      <c r="AB31" s="300">
        <f>(49.4*KFC!$B$30+KFC!$C$30)*KFC!$C$5</f>
        <v>49.4</v>
      </c>
      <c r="AC31" s="304">
        <f>(50.8*KFC!$B$30+KFC!$C$30)*KFC!$C$5</f>
        <v>50.8</v>
      </c>
    </row>
    <row r="32" spans="1:29">
      <c r="A32" s="1538"/>
      <c r="B32" s="637">
        <v>2.6</v>
      </c>
      <c r="C32" s="303">
        <f>(12.9*KFC!$B$30+KFC!$C$30)*KFC!$C$5</f>
        <v>12.9</v>
      </c>
      <c r="D32" s="300">
        <f>(14.4*KFC!$B$30+KFC!$C$30)*KFC!$C$5</f>
        <v>14.4</v>
      </c>
      <c r="E32" s="300">
        <f>(15.9*KFC!$B$30+KFC!$C$30)*KFC!$C$5</f>
        <v>15.9</v>
      </c>
      <c r="F32" s="300">
        <f>(17.4*KFC!$B$30+KFC!$C$30)*KFC!$C$5</f>
        <v>17.399999999999999</v>
      </c>
      <c r="G32" s="300">
        <f>(19*KFC!$B$30+KFC!$C$30)*KFC!$C$5</f>
        <v>19</v>
      </c>
      <c r="H32" s="300">
        <f>(20.5*KFC!$B$30+KFC!$C$30)*KFC!$C$5</f>
        <v>20.5</v>
      </c>
      <c r="I32" s="300">
        <f>(22*KFC!$B$30+KFC!$C$30)*KFC!$C$5</f>
        <v>22</v>
      </c>
      <c r="J32" s="300">
        <f>(23.6*KFC!$B$30+KFC!$C$30)*KFC!$C$5</f>
        <v>23.6</v>
      </c>
      <c r="K32" s="300">
        <f>(25.1*KFC!$B$30+KFC!$C$30)*KFC!$C$5</f>
        <v>25.1</v>
      </c>
      <c r="L32" s="300">
        <f>(26.6*KFC!$B$30+KFC!$C$30)*KFC!$C$5</f>
        <v>26.6</v>
      </c>
      <c r="M32" s="300">
        <f>(28.1*KFC!$B$30+KFC!$C$30)*KFC!$C$5</f>
        <v>28.1</v>
      </c>
      <c r="N32" s="300">
        <f>(29.7*KFC!$B$30+KFC!$C$30)*KFC!$C$5</f>
        <v>29.7</v>
      </c>
      <c r="O32" s="300">
        <f>(31.2*KFC!$B$30+KFC!$C$30)*KFC!$C$5</f>
        <v>31.2</v>
      </c>
      <c r="P32" s="300">
        <f>(32.7*KFC!$B$30+KFC!$C$30)*KFC!$C$5</f>
        <v>32.700000000000003</v>
      </c>
      <c r="Q32" s="300">
        <f>(34.2*KFC!$B$30+KFC!$C$30)*KFC!$C$5</f>
        <v>34.200000000000003</v>
      </c>
      <c r="R32" s="300">
        <f>(35.8*KFC!$B$30+KFC!$C$30)*KFC!$C$5</f>
        <v>35.799999999999997</v>
      </c>
      <c r="S32" s="300">
        <f>(37.3*KFC!$B$30+KFC!$C$30)*KFC!$C$5</f>
        <v>37.299999999999997</v>
      </c>
      <c r="T32" s="300">
        <f>(38.8*KFC!$B$30+KFC!$C$30)*KFC!$C$5</f>
        <v>38.799999999999997</v>
      </c>
      <c r="U32" s="300">
        <f>(40.4*KFC!$B$30+KFC!$C$30)*KFC!$C$5</f>
        <v>40.4</v>
      </c>
      <c r="V32" s="300">
        <f>(41.9*KFC!$B$30+KFC!$C$30)*KFC!$C$5</f>
        <v>41.9</v>
      </c>
      <c r="W32" s="300">
        <f>(43.4*KFC!$B$30+KFC!$C$30)*KFC!$C$5</f>
        <v>43.4</v>
      </c>
      <c r="X32" s="300">
        <f>(44.9*KFC!$B$30+KFC!$C$30)*KFC!$C$5</f>
        <v>44.9</v>
      </c>
      <c r="Y32" s="300">
        <f>(46.5*KFC!$B$30+KFC!$C$30)*KFC!$C$5</f>
        <v>46.5</v>
      </c>
      <c r="Z32" s="300">
        <f>(48*KFC!$B$30+KFC!$C$30)*KFC!$C$5</f>
        <v>48</v>
      </c>
      <c r="AA32" s="300">
        <f>(49.5*KFC!$B$30+KFC!$C$30)*KFC!$C$5</f>
        <v>49.5</v>
      </c>
      <c r="AB32" s="300">
        <f>(51*KFC!$B$30+KFC!$C$30)*KFC!$C$5</f>
        <v>51</v>
      </c>
      <c r="AC32" s="304">
        <f>(52.6*KFC!$B$30+KFC!$C$30)*KFC!$C$5</f>
        <v>52.6</v>
      </c>
    </row>
    <row r="33" spans="1:29">
      <c r="A33" s="1538"/>
      <c r="B33" s="637">
        <v>2.7</v>
      </c>
      <c r="C33" s="303">
        <f>(13*KFC!$B$30+KFC!$C$30)*KFC!$C$5</f>
        <v>13</v>
      </c>
      <c r="D33" s="300">
        <f>(14.6*KFC!$B$30+KFC!$C$30)*KFC!$C$5</f>
        <v>14.6</v>
      </c>
      <c r="E33" s="300">
        <f>(16.2*KFC!$B$30+KFC!$C$30)*KFC!$C$5</f>
        <v>16.2</v>
      </c>
      <c r="F33" s="300">
        <f>(17.8*KFC!$B$30+KFC!$C$30)*KFC!$C$5</f>
        <v>17.8</v>
      </c>
      <c r="G33" s="300">
        <f>(19.4*KFC!$B$30+KFC!$C$30)*KFC!$C$5</f>
        <v>19.399999999999999</v>
      </c>
      <c r="H33" s="300">
        <f>(21*KFC!$B$30+KFC!$C$30)*KFC!$C$5</f>
        <v>21</v>
      </c>
      <c r="I33" s="300">
        <f>(22.6*KFC!$B$30+KFC!$C$30)*KFC!$C$5</f>
        <v>22.6</v>
      </c>
      <c r="J33" s="300">
        <f>(24.2*KFC!$B$30+KFC!$C$30)*KFC!$C$5</f>
        <v>24.2</v>
      </c>
      <c r="K33" s="300">
        <f>(25.8*KFC!$B$30+KFC!$C$30)*KFC!$C$5</f>
        <v>25.8</v>
      </c>
      <c r="L33" s="300">
        <f>(27.3*KFC!$B$30+KFC!$C$30)*KFC!$C$5</f>
        <v>27.3</v>
      </c>
      <c r="M33" s="300">
        <f>(28.9*KFC!$B$30+KFC!$C$30)*KFC!$C$5</f>
        <v>28.9</v>
      </c>
      <c r="N33" s="300">
        <f>(30.5*KFC!$B$30+KFC!$C$30)*KFC!$C$5</f>
        <v>30.5</v>
      </c>
      <c r="O33" s="300">
        <f>(32.1*KFC!$B$30+KFC!$C$30)*KFC!$C$5</f>
        <v>32.1</v>
      </c>
      <c r="P33" s="300">
        <f>(33.7*KFC!$B$30+KFC!$C$30)*KFC!$C$5</f>
        <v>33.700000000000003</v>
      </c>
      <c r="Q33" s="300">
        <f>(35.3*KFC!$B$30+KFC!$C$30)*KFC!$C$5</f>
        <v>35.299999999999997</v>
      </c>
      <c r="R33" s="300">
        <f>(36.9*KFC!$B$30+KFC!$C$30)*KFC!$C$5</f>
        <v>36.9</v>
      </c>
      <c r="S33" s="300">
        <f>(38.5*KFC!$B$30+KFC!$C$30)*KFC!$C$5</f>
        <v>38.5</v>
      </c>
      <c r="T33" s="300">
        <f>(40*KFC!$B$30+KFC!$C$30)*KFC!$C$5</f>
        <v>40</v>
      </c>
      <c r="U33" s="300">
        <f>(41.6*KFC!$B$30+KFC!$C$30)*KFC!$C$5</f>
        <v>41.6</v>
      </c>
      <c r="V33" s="300">
        <f>(43.2*KFC!$B$30+KFC!$C$30)*KFC!$C$5</f>
        <v>43.2</v>
      </c>
      <c r="W33" s="300">
        <f>(44.8*KFC!$B$30+KFC!$C$30)*KFC!$C$5</f>
        <v>44.8</v>
      </c>
      <c r="X33" s="300">
        <f>(46.4*KFC!$B$30+KFC!$C$30)*KFC!$C$5</f>
        <v>46.4</v>
      </c>
      <c r="Y33" s="300">
        <f>(48*KFC!$B$30+KFC!$C$30)*KFC!$C$5</f>
        <v>48</v>
      </c>
      <c r="Z33" s="300">
        <f>(49.6*KFC!$B$30+KFC!$C$30)*KFC!$C$5</f>
        <v>49.6</v>
      </c>
      <c r="AA33" s="300">
        <f>(51.2*KFC!$B$30+KFC!$C$30)*KFC!$C$5</f>
        <v>51.2</v>
      </c>
      <c r="AB33" s="300">
        <f>(52.7*KFC!$B$30+KFC!$C$30)*KFC!$C$5</f>
        <v>52.7</v>
      </c>
      <c r="AC33" s="304">
        <f>(54.3*KFC!$B$30+KFC!$C$30)*KFC!$C$5</f>
        <v>54.3</v>
      </c>
    </row>
    <row r="34" spans="1:29">
      <c r="A34" s="1538"/>
      <c r="B34" s="637">
        <v>2.8</v>
      </c>
      <c r="C34" s="303">
        <f>(13.2*KFC!$B$30+KFC!$C$30)*KFC!$C$5</f>
        <v>13.2</v>
      </c>
      <c r="D34" s="300">
        <f>(14.9*KFC!$B$30+KFC!$C$30)*KFC!$C$5</f>
        <v>14.9</v>
      </c>
      <c r="E34" s="300">
        <f>(16.5*KFC!$B$30+KFC!$C$30)*KFC!$C$5</f>
        <v>16.5</v>
      </c>
      <c r="F34" s="300">
        <f>(18.2*KFC!$B$30+KFC!$C$30)*KFC!$C$5</f>
        <v>18.2</v>
      </c>
      <c r="G34" s="300">
        <f>(19.8*KFC!$B$30+KFC!$C$30)*KFC!$C$5</f>
        <v>19.8</v>
      </c>
      <c r="H34" s="300">
        <f>(21.5*KFC!$B$30+KFC!$C$30)*KFC!$C$5</f>
        <v>21.5</v>
      </c>
      <c r="I34" s="300">
        <f>(23.1*KFC!$B$30+KFC!$C$30)*KFC!$C$5</f>
        <v>23.1</v>
      </c>
      <c r="J34" s="300">
        <f>(24.8*KFC!$B$30+KFC!$C$30)*KFC!$C$5</f>
        <v>24.8</v>
      </c>
      <c r="K34" s="300">
        <f>(26.4*KFC!$B$30+KFC!$C$30)*KFC!$C$5</f>
        <v>26.4</v>
      </c>
      <c r="L34" s="300">
        <f>(28.1*KFC!$B$30+KFC!$C$30)*KFC!$C$5</f>
        <v>28.1</v>
      </c>
      <c r="M34" s="300">
        <f>(29.7*KFC!$B$30+KFC!$C$30)*KFC!$C$5</f>
        <v>29.7</v>
      </c>
      <c r="N34" s="300">
        <f>(31.4*KFC!$B$30+KFC!$C$30)*KFC!$C$5</f>
        <v>31.4</v>
      </c>
      <c r="O34" s="300">
        <f>(33*KFC!$B$30+KFC!$C$30)*KFC!$C$5</f>
        <v>33</v>
      </c>
      <c r="P34" s="300">
        <f>(34.7*KFC!$B$30+KFC!$C$30)*KFC!$C$5</f>
        <v>34.700000000000003</v>
      </c>
      <c r="Q34" s="300">
        <f>(36.3*KFC!$B$30+KFC!$C$30)*KFC!$C$5</f>
        <v>36.299999999999997</v>
      </c>
      <c r="R34" s="300">
        <f>(38*KFC!$B$30+KFC!$C$30)*KFC!$C$5</f>
        <v>38</v>
      </c>
      <c r="S34" s="300">
        <f>(39.6*KFC!$B$30+KFC!$C$30)*KFC!$C$5</f>
        <v>39.6</v>
      </c>
      <c r="T34" s="300">
        <f>(41.3*KFC!$B$30+KFC!$C$30)*KFC!$C$5</f>
        <v>41.3</v>
      </c>
      <c r="U34" s="300">
        <f>(42.9*KFC!$B$30+KFC!$C$30)*KFC!$C$5</f>
        <v>42.9</v>
      </c>
      <c r="V34" s="300">
        <f>(44.6*KFC!$B$30+KFC!$C$30)*KFC!$C$5</f>
        <v>44.6</v>
      </c>
      <c r="W34" s="300">
        <f>(46.2*KFC!$B$30+KFC!$C$30)*KFC!$C$5</f>
        <v>46.2</v>
      </c>
      <c r="X34" s="300">
        <f>(47.9*KFC!$B$30+KFC!$C$30)*KFC!$C$5</f>
        <v>47.9</v>
      </c>
      <c r="Y34" s="300">
        <f>(49.5*KFC!$B$30+KFC!$C$30)*KFC!$C$5</f>
        <v>49.5</v>
      </c>
      <c r="Z34" s="300">
        <f>(51.1*KFC!$B$30+KFC!$C$30)*KFC!$C$5</f>
        <v>51.1</v>
      </c>
      <c r="AA34" s="300">
        <f>(52.8*KFC!$B$30+KFC!$C$30)*KFC!$C$5</f>
        <v>52.8</v>
      </c>
      <c r="AB34" s="300">
        <f>(54.4*KFC!$B$30+KFC!$C$30)*KFC!$C$5</f>
        <v>54.4</v>
      </c>
      <c r="AC34" s="304">
        <f>(56.1*KFC!$B$30+KFC!$C$30)*KFC!$C$5</f>
        <v>56.1</v>
      </c>
    </row>
    <row r="35" spans="1:29">
      <c r="A35" s="1538"/>
      <c r="B35" s="637">
        <v>2.9</v>
      </c>
      <c r="C35" s="303">
        <f>(13.4*KFC!$B$30+KFC!$C$30)*KFC!$C$5</f>
        <v>13.4</v>
      </c>
      <c r="D35" s="300">
        <f>(15.1*KFC!$B$30+KFC!$C$30)*KFC!$C$5</f>
        <v>15.1</v>
      </c>
      <c r="E35" s="300">
        <f>(16.8*KFC!$B$30+KFC!$C$30)*KFC!$C$5</f>
        <v>16.8</v>
      </c>
      <c r="F35" s="300">
        <f>(18.5*KFC!$B$30+KFC!$C$30)*KFC!$C$5</f>
        <v>18.5</v>
      </c>
      <c r="G35" s="300">
        <f>(20.3*KFC!$B$30+KFC!$C$30)*KFC!$C$5</f>
        <v>20.3</v>
      </c>
      <c r="H35" s="300">
        <f>(22*KFC!$B$30+KFC!$C$30)*KFC!$C$5</f>
        <v>22</v>
      </c>
      <c r="I35" s="300">
        <f>(23.7*KFC!$B$30+KFC!$C$30)*KFC!$C$5</f>
        <v>23.7</v>
      </c>
      <c r="J35" s="300">
        <f>(25.4*KFC!$B$30+KFC!$C$30)*KFC!$C$5</f>
        <v>25.4</v>
      </c>
      <c r="K35" s="300">
        <f>(27.1*KFC!$B$30+KFC!$C$30)*KFC!$C$5</f>
        <v>27.1</v>
      </c>
      <c r="L35" s="300">
        <f>(28.8*KFC!$B$30+KFC!$C$30)*KFC!$C$5</f>
        <v>28.8</v>
      </c>
      <c r="M35" s="300">
        <f>(30.5*KFC!$B$30+KFC!$C$30)*KFC!$C$5</f>
        <v>30.5</v>
      </c>
      <c r="N35" s="300">
        <f>(32.2*KFC!$B$30+KFC!$C$30)*KFC!$C$5</f>
        <v>32.200000000000003</v>
      </c>
      <c r="O35" s="300">
        <f>(33.9*KFC!$B$30+KFC!$C$30)*KFC!$C$5</f>
        <v>33.9</v>
      </c>
      <c r="P35" s="300">
        <f>(35.6*KFC!$B$30+KFC!$C$30)*KFC!$C$5</f>
        <v>35.6</v>
      </c>
      <c r="Q35" s="300">
        <f>(37.3*KFC!$B$30+KFC!$C$30)*KFC!$C$5</f>
        <v>37.299999999999997</v>
      </c>
      <c r="R35" s="300">
        <f>(39.1*KFC!$B$30+KFC!$C$30)*KFC!$C$5</f>
        <v>39.1</v>
      </c>
      <c r="S35" s="300">
        <f>(40.8*KFC!$B$30+KFC!$C$30)*KFC!$C$5</f>
        <v>40.799999999999997</v>
      </c>
      <c r="T35" s="300">
        <f>(42.5*KFC!$B$30+KFC!$C$30)*KFC!$C$5</f>
        <v>42.5</v>
      </c>
      <c r="U35" s="300">
        <f>(44.2*KFC!$B$30+KFC!$C$30)*KFC!$C$5</f>
        <v>44.2</v>
      </c>
      <c r="V35" s="300">
        <f>(45.9*KFC!$B$30+KFC!$C$30)*KFC!$C$5</f>
        <v>45.9</v>
      </c>
      <c r="W35" s="300">
        <f>(47.6*KFC!$B$30+KFC!$C$30)*KFC!$C$5</f>
        <v>47.6</v>
      </c>
      <c r="X35" s="300">
        <f>(49.3*KFC!$B$30+KFC!$C$30)*KFC!$C$5</f>
        <v>49.3</v>
      </c>
      <c r="Y35" s="300">
        <f>(51*KFC!$B$30+KFC!$C$30)*KFC!$C$5</f>
        <v>51</v>
      </c>
      <c r="Z35" s="300">
        <f>(52.7*KFC!$B$30+KFC!$C$30)*KFC!$C$5</f>
        <v>52.7</v>
      </c>
      <c r="AA35" s="300">
        <f>(54.4*KFC!$B$30+KFC!$C$30)*KFC!$C$5</f>
        <v>54.4</v>
      </c>
      <c r="AB35" s="300">
        <f>(56.1*KFC!$B$30+KFC!$C$30)*KFC!$C$5</f>
        <v>56.1</v>
      </c>
      <c r="AC35" s="304">
        <f>(57.9*KFC!$B$30+KFC!$C$30)*KFC!$C$5</f>
        <v>57.9</v>
      </c>
    </row>
    <row r="36" spans="1:29">
      <c r="A36" s="1538"/>
      <c r="B36" s="637">
        <v>3</v>
      </c>
      <c r="C36" s="303">
        <f>(13.6*KFC!$B$30+KFC!$C$30)*KFC!$C$5</f>
        <v>13.6</v>
      </c>
      <c r="D36" s="300">
        <f>(15.4*KFC!$B$30+KFC!$C$30)*KFC!$C$5</f>
        <v>15.4</v>
      </c>
      <c r="E36" s="300">
        <f>(17.1*KFC!$B$30+KFC!$C$30)*KFC!$C$5</f>
        <v>17.100000000000001</v>
      </c>
      <c r="F36" s="300">
        <f>(18.9*KFC!$B$30+KFC!$C$30)*KFC!$C$5</f>
        <v>18.899999999999999</v>
      </c>
      <c r="G36" s="300">
        <f>(20.7*KFC!$B$30+KFC!$C$30)*KFC!$C$5</f>
        <v>20.7</v>
      </c>
      <c r="H36" s="300">
        <f>(22.5*KFC!$B$30+KFC!$C$30)*KFC!$C$5</f>
        <v>22.5</v>
      </c>
      <c r="I36" s="300">
        <f>(24.2*KFC!$B$30+KFC!$C$30)*KFC!$C$5</f>
        <v>24.2</v>
      </c>
      <c r="J36" s="300">
        <f>(26*KFC!$B$30+KFC!$C$30)*KFC!$C$5</f>
        <v>26</v>
      </c>
      <c r="K36" s="300">
        <f>(27.8*KFC!$B$30+KFC!$C$30)*KFC!$C$5</f>
        <v>27.8</v>
      </c>
      <c r="L36" s="300">
        <f>(29.5*KFC!$B$30+KFC!$C$30)*KFC!$C$5</f>
        <v>29.5</v>
      </c>
      <c r="M36" s="300">
        <f>(31.3*KFC!$B$30+KFC!$C$30)*KFC!$C$5</f>
        <v>31.3</v>
      </c>
      <c r="N36" s="300">
        <f>(33.1*KFC!$B$30+KFC!$C$30)*KFC!$C$5</f>
        <v>33.1</v>
      </c>
      <c r="O36" s="300">
        <f>(34.8*KFC!$B$30+KFC!$C$30)*KFC!$C$5</f>
        <v>34.799999999999997</v>
      </c>
      <c r="P36" s="300">
        <f>(36.6*KFC!$B$30+KFC!$C$30)*KFC!$C$5</f>
        <v>36.6</v>
      </c>
      <c r="Q36" s="300">
        <f>(38.4*KFC!$B$30+KFC!$C$30)*KFC!$C$5</f>
        <v>38.4</v>
      </c>
      <c r="R36" s="300">
        <f>(40.1*KFC!$B$30+KFC!$C$30)*KFC!$C$5</f>
        <v>40.1</v>
      </c>
      <c r="S36" s="300">
        <f>(41.9*KFC!$B$30+KFC!$C$30)*KFC!$C$5</f>
        <v>41.9</v>
      </c>
      <c r="T36" s="300">
        <f>(43.7*KFC!$B$30+KFC!$C$30)*KFC!$C$5</f>
        <v>43.7</v>
      </c>
      <c r="U36" s="300">
        <f>(45.5*KFC!$B$30+KFC!$C$30)*KFC!$C$5</f>
        <v>45.5</v>
      </c>
      <c r="V36" s="300">
        <f>(47.2*KFC!$B$30+KFC!$C$30)*KFC!$C$5</f>
        <v>47.2</v>
      </c>
      <c r="W36" s="300">
        <f>(49*KFC!$B$30+KFC!$C$30)*KFC!$C$5</f>
        <v>49</v>
      </c>
      <c r="X36" s="300">
        <f>(50.8*KFC!$B$30+KFC!$C$30)*KFC!$C$5</f>
        <v>50.8</v>
      </c>
      <c r="Y36" s="300">
        <f>(52.5*KFC!$B$30+KFC!$C$30)*KFC!$C$5</f>
        <v>52.5</v>
      </c>
      <c r="Z36" s="300">
        <f>(54.3*KFC!$B$30+KFC!$C$30)*KFC!$C$5</f>
        <v>54.3</v>
      </c>
      <c r="AA36" s="300">
        <f>(56.1*KFC!$B$30+KFC!$C$30)*KFC!$C$5</f>
        <v>56.1</v>
      </c>
      <c r="AB36" s="300">
        <f>(57.8*KFC!$B$30+KFC!$C$30)*KFC!$C$5</f>
        <v>57.8</v>
      </c>
      <c r="AC36" s="304">
        <f>(59.6*KFC!$B$30+KFC!$C$30)*KFC!$C$5</f>
        <v>59.6</v>
      </c>
    </row>
    <row r="37" spans="1:29">
      <c r="A37" s="1538"/>
      <c r="B37" s="637">
        <v>3.1</v>
      </c>
      <c r="C37" s="303">
        <f>(13.8*KFC!$B$30+KFC!$C$30)*KFC!$C$5</f>
        <v>13.8</v>
      </c>
      <c r="D37" s="300">
        <f>(15.6*KFC!$B$30+KFC!$C$30)*KFC!$C$5</f>
        <v>15.6</v>
      </c>
      <c r="E37" s="300">
        <f>(17.5*KFC!$B$30+KFC!$C$30)*KFC!$C$5</f>
        <v>17.5</v>
      </c>
      <c r="F37" s="300">
        <f>(19.3*KFC!$B$30+KFC!$C$30)*KFC!$C$5</f>
        <v>19.3</v>
      </c>
      <c r="G37" s="300">
        <f>(21.1*KFC!$B$30+KFC!$C$30)*KFC!$C$5</f>
        <v>21.1</v>
      </c>
      <c r="H37" s="300">
        <f>(22.9*KFC!$B$30+KFC!$C$30)*KFC!$C$5</f>
        <v>22.9</v>
      </c>
      <c r="I37" s="300">
        <f>(24.8*KFC!$B$30+KFC!$C$30)*KFC!$C$5</f>
        <v>24.8</v>
      </c>
      <c r="J37" s="300">
        <f>(26.6*KFC!$B$30+KFC!$C$30)*KFC!$C$5</f>
        <v>26.6</v>
      </c>
      <c r="K37" s="300">
        <f>(28.4*KFC!$B$30+KFC!$C$30)*KFC!$C$5</f>
        <v>28.4</v>
      </c>
      <c r="L37" s="300">
        <f>(30.3*KFC!$B$30+KFC!$C$30)*KFC!$C$5</f>
        <v>30.3</v>
      </c>
      <c r="M37" s="300">
        <f>(32.1*KFC!$B$30+KFC!$C$30)*KFC!$C$5</f>
        <v>32.1</v>
      </c>
      <c r="N37" s="300">
        <f>(33.9*KFC!$B$30+KFC!$C$30)*KFC!$C$5</f>
        <v>33.9</v>
      </c>
      <c r="O37" s="300">
        <f>(35.8*KFC!$B$30+KFC!$C$30)*KFC!$C$5</f>
        <v>35.799999999999997</v>
      </c>
      <c r="P37" s="300">
        <f>(37.6*KFC!$B$30+KFC!$C$30)*KFC!$C$5</f>
        <v>37.6</v>
      </c>
      <c r="Q37" s="300">
        <f>(39.4*KFC!$B$30+KFC!$C$30)*KFC!$C$5</f>
        <v>39.4</v>
      </c>
      <c r="R37" s="300">
        <f>(41.2*KFC!$B$30+KFC!$C$30)*KFC!$C$5</f>
        <v>41.2</v>
      </c>
      <c r="S37" s="300">
        <f>(43.1*KFC!$B$30+KFC!$C$30)*KFC!$C$5</f>
        <v>43.1</v>
      </c>
      <c r="T37" s="300">
        <f>(44.9*KFC!$B$30+KFC!$C$30)*KFC!$C$5</f>
        <v>44.9</v>
      </c>
      <c r="U37" s="300">
        <f>(46.7*KFC!$B$30+KFC!$C$30)*KFC!$C$5</f>
        <v>46.7</v>
      </c>
      <c r="V37" s="300">
        <f>(48.6*KFC!$B$30+KFC!$C$30)*KFC!$C$5</f>
        <v>48.6</v>
      </c>
      <c r="W37" s="300">
        <f>(50.4*KFC!$B$30+KFC!$C$30)*KFC!$C$5</f>
        <v>50.4</v>
      </c>
      <c r="X37" s="300">
        <f>(52.2*KFC!$B$30+KFC!$C$30)*KFC!$C$5</f>
        <v>52.2</v>
      </c>
      <c r="Y37" s="300">
        <f>(54*KFC!$B$30+KFC!$C$30)*KFC!$C$5</f>
        <v>54</v>
      </c>
      <c r="Z37" s="300">
        <f>(55.9*KFC!$B$30+KFC!$C$30)*KFC!$C$5</f>
        <v>55.9</v>
      </c>
      <c r="AA37" s="300">
        <f>(57.7*KFC!$B$30+KFC!$C$30)*KFC!$C$5</f>
        <v>57.7</v>
      </c>
      <c r="AB37" s="300">
        <f>(59.5*KFC!$B$30+KFC!$C$30)*KFC!$C$5</f>
        <v>59.5</v>
      </c>
      <c r="AC37" s="304">
        <f>(61.4*KFC!$B$30+KFC!$C$30)*KFC!$C$5</f>
        <v>61.4</v>
      </c>
    </row>
    <row r="38" spans="1:29">
      <c r="A38" s="1538"/>
      <c r="B38" s="637">
        <v>3.2</v>
      </c>
      <c r="C38" s="303">
        <f>(14*KFC!$B$30+KFC!$C$30)*KFC!$C$5</f>
        <v>14</v>
      </c>
      <c r="D38" s="300">
        <f>(15.9*KFC!$B$30+KFC!$C$30)*KFC!$C$5</f>
        <v>15.9</v>
      </c>
      <c r="E38" s="300">
        <f>(17.8*KFC!$B$30+KFC!$C$30)*KFC!$C$5</f>
        <v>17.8</v>
      </c>
      <c r="F38" s="300">
        <f>(19.7*KFC!$B$30+KFC!$C$30)*KFC!$C$5</f>
        <v>19.7</v>
      </c>
      <c r="G38" s="300">
        <f>(21.5*KFC!$B$30+KFC!$C$30)*KFC!$C$5</f>
        <v>21.5</v>
      </c>
      <c r="H38" s="300">
        <f>(23.4*KFC!$B$30+KFC!$C$30)*KFC!$C$5</f>
        <v>23.4</v>
      </c>
      <c r="I38" s="300">
        <f>(25.3*KFC!$B$30+KFC!$C$30)*KFC!$C$5</f>
        <v>25.3</v>
      </c>
      <c r="J38" s="300">
        <f>(27.2*KFC!$B$30+KFC!$C$30)*KFC!$C$5</f>
        <v>27.2</v>
      </c>
      <c r="K38" s="300">
        <f>(29.1*KFC!$B$30+KFC!$C$30)*KFC!$C$5</f>
        <v>29.1</v>
      </c>
      <c r="L38" s="300">
        <f>(31*KFC!$B$30+KFC!$C$30)*KFC!$C$5</f>
        <v>31</v>
      </c>
      <c r="M38" s="300">
        <f>(32.9*KFC!$B$30+KFC!$C$30)*KFC!$C$5</f>
        <v>32.9</v>
      </c>
      <c r="N38" s="300">
        <f>(34.8*KFC!$B$30+KFC!$C$30)*KFC!$C$5</f>
        <v>34.799999999999997</v>
      </c>
      <c r="O38" s="300">
        <f>(36.7*KFC!$B$30+KFC!$C$30)*KFC!$C$5</f>
        <v>36.700000000000003</v>
      </c>
      <c r="P38" s="300">
        <f>(38.6*KFC!$B$30+KFC!$C$30)*KFC!$C$5</f>
        <v>38.6</v>
      </c>
      <c r="Q38" s="300">
        <f>(40.4*KFC!$B$30+KFC!$C$30)*KFC!$C$5</f>
        <v>40.4</v>
      </c>
      <c r="R38" s="300">
        <f>(42.3*KFC!$B$30+KFC!$C$30)*KFC!$C$5</f>
        <v>42.3</v>
      </c>
      <c r="S38" s="300">
        <f>(44.2*KFC!$B$30+KFC!$C$30)*KFC!$C$5</f>
        <v>44.2</v>
      </c>
      <c r="T38" s="300">
        <f>(46.1*KFC!$B$30+KFC!$C$30)*KFC!$C$5</f>
        <v>46.1</v>
      </c>
      <c r="U38" s="300">
        <f>(48*KFC!$B$30+KFC!$C$30)*KFC!$C$5</f>
        <v>48</v>
      </c>
      <c r="V38" s="300">
        <f>(49.9*KFC!$B$30+KFC!$C$30)*KFC!$C$5</f>
        <v>49.9</v>
      </c>
      <c r="W38" s="300">
        <f>(51.8*KFC!$B$30+KFC!$C$30)*KFC!$C$5</f>
        <v>51.8</v>
      </c>
      <c r="X38" s="300">
        <f>(53.7*KFC!$B$30+KFC!$C$30)*KFC!$C$5</f>
        <v>53.7</v>
      </c>
      <c r="Y38" s="300">
        <f>(55.6*KFC!$B$30+KFC!$C$30)*KFC!$C$5</f>
        <v>55.6</v>
      </c>
      <c r="Z38" s="300">
        <f>(57.5*KFC!$B$30+KFC!$C$30)*KFC!$C$5</f>
        <v>57.5</v>
      </c>
      <c r="AA38" s="300">
        <f>(59.3*KFC!$B$30+KFC!$C$30)*KFC!$C$5</f>
        <v>59.3</v>
      </c>
      <c r="AB38" s="300">
        <f>(61.2*KFC!$B$30+KFC!$C$30)*KFC!$C$5</f>
        <v>61.2</v>
      </c>
      <c r="AC38" s="304">
        <f>(63.1*KFC!$B$30+KFC!$C$30)*KFC!$C$5</f>
        <v>63.1</v>
      </c>
    </row>
    <row r="39" spans="1:29">
      <c r="A39" s="1538"/>
      <c r="B39" s="637">
        <v>3.3</v>
      </c>
      <c r="C39" s="303">
        <f>(14.2*KFC!$B$30+KFC!$C$30)*KFC!$C$5</f>
        <v>14.2</v>
      </c>
      <c r="D39" s="300">
        <f>(16.1*KFC!$B$30+KFC!$C$30)*KFC!$C$5</f>
        <v>16.100000000000001</v>
      </c>
      <c r="E39" s="300">
        <f>(18.1*KFC!$B$30+KFC!$C$30)*KFC!$C$5</f>
        <v>18.100000000000001</v>
      </c>
      <c r="F39" s="300">
        <f>(20*KFC!$B$30+KFC!$C$30)*KFC!$C$5</f>
        <v>20</v>
      </c>
      <c r="G39" s="300">
        <f>(22*KFC!$B$30+KFC!$C$30)*KFC!$C$5</f>
        <v>22</v>
      </c>
      <c r="H39" s="300">
        <f>(23.9*KFC!$B$30+KFC!$C$30)*KFC!$C$5</f>
        <v>23.9</v>
      </c>
      <c r="I39" s="300">
        <f>(25.9*KFC!$B$30+KFC!$C$30)*KFC!$C$5</f>
        <v>25.9</v>
      </c>
      <c r="J39" s="300">
        <f>(27.8*KFC!$B$30+KFC!$C$30)*KFC!$C$5</f>
        <v>27.8</v>
      </c>
      <c r="K39" s="300">
        <f>(29.8*KFC!$B$30+KFC!$C$30)*KFC!$C$5</f>
        <v>29.8</v>
      </c>
      <c r="L39" s="300">
        <f>(31.7*KFC!$B$30+KFC!$C$30)*KFC!$C$5</f>
        <v>31.7</v>
      </c>
      <c r="M39" s="300">
        <f>(33.7*KFC!$B$30+KFC!$C$30)*KFC!$C$5</f>
        <v>33.700000000000003</v>
      </c>
      <c r="N39" s="300">
        <f>(35.6*KFC!$B$30+KFC!$C$30)*KFC!$C$5</f>
        <v>35.6</v>
      </c>
      <c r="O39" s="300">
        <f>(37.6*KFC!$B$30+KFC!$C$30)*KFC!$C$5</f>
        <v>37.6</v>
      </c>
      <c r="P39" s="300">
        <f>(39.5*KFC!$B$30+KFC!$C$30)*KFC!$C$5</f>
        <v>39.5</v>
      </c>
      <c r="Q39" s="300">
        <f>(41.5*KFC!$B$30+KFC!$C$30)*KFC!$C$5</f>
        <v>41.5</v>
      </c>
      <c r="R39" s="300">
        <f>(43.4*KFC!$B$30+KFC!$C$30)*KFC!$C$5</f>
        <v>43.4</v>
      </c>
      <c r="S39" s="300">
        <f>(45.4*KFC!$B$30+KFC!$C$30)*KFC!$C$5</f>
        <v>45.4</v>
      </c>
      <c r="T39" s="300">
        <f>(47.3*KFC!$B$30+KFC!$C$30)*KFC!$C$5</f>
        <v>47.3</v>
      </c>
      <c r="U39" s="300">
        <f>(49.3*KFC!$B$30+KFC!$C$30)*KFC!$C$5</f>
        <v>49.3</v>
      </c>
      <c r="V39" s="300">
        <f>(51.2*KFC!$B$30+KFC!$C$30)*KFC!$C$5</f>
        <v>51.2</v>
      </c>
      <c r="W39" s="300">
        <f>(53.2*KFC!$B$30+KFC!$C$30)*KFC!$C$5</f>
        <v>53.2</v>
      </c>
      <c r="X39" s="300">
        <f>(55.1*KFC!$B$30+KFC!$C$30)*KFC!$C$5</f>
        <v>55.1</v>
      </c>
      <c r="Y39" s="300">
        <f>(57.1*KFC!$B$30+KFC!$C$30)*KFC!$C$5</f>
        <v>57.1</v>
      </c>
      <c r="Z39" s="300">
        <f>(59*KFC!$B$30+KFC!$C$30)*KFC!$C$5</f>
        <v>59</v>
      </c>
      <c r="AA39" s="300">
        <f>(61*KFC!$B$30+KFC!$C$30)*KFC!$C$5</f>
        <v>61</v>
      </c>
      <c r="AB39" s="300">
        <f>(62.9*KFC!$B$30+KFC!$C$30)*KFC!$C$5</f>
        <v>62.9</v>
      </c>
      <c r="AC39" s="304">
        <f>(64.9*KFC!$B$30+KFC!$C$30)*KFC!$C$5</f>
        <v>64.900000000000006</v>
      </c>
    </row>
    <row r="40" spans="1:29">
      <c r="A40" s="1538"/>
      <c r="B40" s="637">
        <v>3.4</v>
      </c>
      <c r="C40" s="303">
        <f>(14.4*KFC!$B$30+KFC!$C$30)*KFC!$C$5</f>
        <v>14.4</v>
      </c>
      <c r="D40" s="300">
        <f>(16.4*KFC!$B$30+KFC!$C$30)*KFC!$C$5</f>
        <v>16.399999999999999</v>
      </c>
      <c r="E40" s="300">
        <f>(18.4*KFC!$B$30+KFC!$C$30)*KFC!$C$5</f>
        <v>18.399999999999999</v>
      </c>
      <c r="F40" s="300">
        <f>(20.4*KFC!$B$30+KFC!$C$30)*KFC!$C$5</f>
        <v>20.399999999999999</v>
      </c>
      <c r="G40" s="300">
        <f>(22.4*KFC!$B$30+KFC!$C$30)*KFC!$C$5</f>
        <v>22.4</v>
      </c>
      <c r="H40" s="300">
        <f>(24.4*KFC!$B$30+KFC!$C$30)*KFC!$C$5</f>
        <v>24.4</v>
      </c>
      <c r="I40" s="300">
        <f>(26.4*KFC!$B$30+KFC!$C$30)*KFC!$C$5</f>
        <v>26.4</v>
      </c>
      <c r="J40" s="300">
        <f>(28.4*KFC!$B$30+KFC!$C$30)*KFC!$C$5</f>
        <v>28.4</v>
      </c>
      <c r="K40" s="300">
        <f>(30.4*KFC!$B$30+KFC!$C$30)*KFC!$C$5</f>
        <v>30.4</v>
      </c>
      <c r="L40" s="300">
        <f>(32.5*KFC!$B$30+KFC!$C$30)*KFC!$C$5</f>
        <v>32.5</v>
      </c>
      <c r="M40" s="300">
        <f>(34.5*KFC!$B$30+KFC!$C$30)*KFC!$C$5</f>
        <v>34.5</v>
      </c>
      <c r="N40" s="300">
        <f>(36.5*KFC!$B$30+KFC!$C$30)*KFC!$C$5</f>
        <v>36.5</v>
      </c>
      <c r="O40" s="300">
        <f>(38.5*KFC!$B$30+KFC!$C$30)*KFC!$C$5</f>
        <v>38.5</v>
      </c>
      <c r="P40" s="300">
        <f>(40.5*KFC!$B$30+KFC!$C$30)*KFC!$C$5</f>
        <v>40.5</v>
      </c>
      <c r="Q40" s="300">
        <f>(42.5*KFC!$B$30+KFC!$C$30)*KFC!$C$5</f>
        <v>42.5</v>
      </c>
      <c r="R40" s="300">
        <f>(44.5*KFC!$B$30+KFC!$C$30)*KFC!$C$5</f>
        <v>44.5</v>
      </c>
      <c r="S40" s="300">
        <f>(46.5*KFC!$B$30+KFC!$C$30)*KFC!$C$5</f>
        <v>46.5</v>
      </c>
      <c r="T40" s="300">
        <f>(48.5*KFC!$B$30+KFC!$C$30)*KFC!$C$5</f>
        <v>48.5</v>
      </c>
      <c r="U40" s="300">
        <f>(50.6*KFC!$B$30+KFC!$C$30)*KFC!$C$5</f>
        <v>50.6</v>
      </c>
      <c r="V40" s="300">
        <f>(52.6*KFC!$B$30+KFC!$C$30)*KFC!$C$5</f>
        <v>52.6</v>
      </c>
      <c r="W40" s="300">
        <f>(54.6*KFC!$B$30+KFC!$C$30)*KFC!$C$5</f>
        <v>54.6</v>
      </c>
      <c r="X40" s="300">
        <f>(56.6*KFC!$B$30+KFC!$C$30)*KFC!$C$5</f>
        <v>56.6</v>
      </c>
      <c r="Y40" s="300">
        <f>(58.6*KFC!$B$30+KFC!$C$30)*KFC!$C$5</f>
        <v>58.6</v>
      </c>
      <c r="Z40" s="300">
        <f>(60.6*KFC!$B$30+KFC!$C$30)*KFC!$C$5</f>
        <v>60.6</v>
      </c>
      <c r="AA40" s="300">
        <f>(62.6*KFC!$B$30+KFC!$C$30)*KFC!$C$5</f>
        <v>62.6</v>
      </c>
      <c r="AB40" s="300">
        <f>(64.6*KFC!$B$30+KFC!$C$30)*KFC!$C$5</f>
        <v>64.599999999999994</v>
      </c>
      <c r="AC40" s="304">
        <f>(66.6*KFC!$B$30+KFC!$C$30)*KFC!$C$5</f>
        <v>66.599999999999994</v>
      </c>
    </row>
    <row r="41" spans="1:29">
      <c r="A41" s="1538"/>
      <c r="B41" s="637">
        <v>3.5</v>
      </c>
      <c r="C41" s="303">
        <f>(14.5*KFC!$B$30+KFC!$C$30)*KFC!$C$5</f>
        <v>14.5</v>
      </c>
      <c r="D41" s="300">
        <f>(16.6*KFC!$B$30+KFC!$C$30)*KFC!$C$5</f>
        <v>16.600000000000001</v>
      </c>
      <c r="E41" s="300">
        <f>(18.7*KFC!$B$30+KFC!$C$30)*KFC!$C$5</f>
        <v>18.7</v>
      </c>
      <c r="F41" s="300">
        <f>(20.8*KFC!$B$30+KFC!$C$30)*KFC!$C$5</f>
        <v>20.8</v>
      </c>
      <c r="G41" s="300">
        <f>(22.8*KFC!$B$30+KFC!$C$30)*KFC!$C$5</f>
        <v>22.8</v>
      </c>
      <c r="H41" s="300">
        <f>(24.9*KFC!$B$30+KFC!$C$30)*KFC!$C$5</f>
        <v>24.9</v>
      </c>
      <c r="I41" s="300">
        <f>(27*KFC!$B$30+KFC!$C$30)*KFC!$C$5</f>
        <v>27</v>
      </c>
      <c r="J41" s="300">
        <f>(29*KFC!$B$30+KFC!$C$30)*KFC!$C$5</f>
        <v>29</v>
      </c>
      <c r="K41" s="300">
        <f>(31.1*KFC!$B$30+KFC!$C$30)*KFC!$C$5</f>
        <v>31.1</v>
      </c>
      <c r="L41" s="300">
        <f>(33.2*KFC!$B$30+KFC!$C$30)*KFC!$C$5</f>
        <v>33.200000000000003</v>
      </c>
      <c r="M41" s="300">
        <f>(35.3*KFC!$B$30+KFC!$C$30)*KFC!$C$5</f>
        <v>35.299999999999997</v>
      </c>
      <c r="N41" s="300">
        <f>(37.3*KFC!$B$30+KFC!$C$30)*KFC!$C$5</f>
        <v>37.299999999999997</v>
      </c>
      <c r="O41" s="300">
        <f>(39.4*KFC!$B$30+KFC!$C$30)*KFC!$C$5</f>
        <v>39.4</v>
      </c>
      <c r="P41" s="300">
        <f>(41.5*KFC!$B$30+KFC!$C$30)*KFC!$C$5</f>
        <v>41.5</v>
      </c>
      <c r="Q41" s="300">
        <f>(43.5*KFC!$B$30+KFC!$C$30)*KFC!$C$5</f>
        <v>43.5</v>
      </c>
      <c r="R41" s="300">
        <f>(45.6*KFC!$B$30+KFC!$C$30)*KFC!$C$5</f>
        <v>45.6</v>
      </c>
      <c r="S41" s="300">
        <f>(47.7*KFC!$B$30+KFC!$C$30)*KFC!$C$5</f>
        <v>47.7</v>
      </c>
      <c r="T41" s="300">
        <f>(49.8*KFC!$B$30+KFC!$C$30)*KFC!$C$5</f>
        <v>49.8</v>
      </c>
      <c r="U41" s="300">
        <f>(51.8*KFC!$B$30+KFC!$C$30)*KFC!$C$5</f>
        <v>51.8</v>
      </c>
      <c r="V41" s="300">
        <f>(53.9*KFC!$B$30+KFC!$C$30)*KFC!$C$5</f>
        <v>53.9</v>
      </c>
      <c r="W41" s="300">
        <f>(56*KFC!$B$30+KFC!$C$30)*KFC!$C$5</f>
        <v>56</v>
      </c>
      <c r="X41" s="300">
        <f>(58*KFC!$B$30+KFC!$C$30)*KFC!$C$5</f>
        <v>58</v>
      </c>
      <c r="Y41" s="300">
        <f>(60.1*KFC!$B$30+KFC!$C$30)*KFC!$C$5</f>
        <v>60.1</v>
      </c>
      <c r="Z41" s="300">
        <f>(62.2*KFC!$B$30+KFC!$C$30)*KFC!$C$5</f>
        <v>62.2</v>
      </c>
      <c r="AA41" s="300">
        <f>(64.3*KFC!$B$30+KFC!$C$30)*KFC!$C$5</f>
        <v>64.3</v>
      </c>
      <c r="AB41" s="300">
        <f>(66.3*KFC!$B$30+KFC!$C$30)*KFC!$C$5</f>
        <v>66.3</v>
      </c>
      <c r="AC41" s="304">
        <f>(68.4*KFC!$B$30+KFC!$C$30)*KFC!$C$5</f>
        <v>68.400000000000006</v>
      </c>
    </row>
    <row r="42" spans="1:29">
      <c r="A42" s="1538"/>
      <c r="B42" s="637">
        <v>3.6</v>
      </c>
      <c r="C42" s="303">
        <f>(14.7*KFC!$B$30+KFC!$C$30)*KFC!$C$5</f>
        <v>14.7</v>
      </c>
      <c r="D42" s="300">
        <f>(16.9*KFC!$B$30+KFC!$C$30)*KFC!$C$5</f>
        <v>16.899999999999999</v>
      </c>
      <c r="E42" s="300">
        <f>(19*KFC!$B$30+KFC!$C$30)*KFC!$C$5</f>
        <v>19</v>
      </c>
      <c r="F42" s="300">
        <f>(21.1*KFC!$B$30+KFC!$C$30)*KFC!$C$5</f>
        <v>21.1</v>
      </c>
      <c r="G42" s="300">
        <f>(23.3*KFC!$B$30+KFC!$C$30)*KFC!$C$5</f>
        <v>23.3</v>
      </c>
      <c r="H42" s="300">
        <f>(25.4*KFC!$B$30+KFC!$C$30)*KFC!$C$5</f>
        <v>25.4</v>
      </c>
      <c r="I42" s="300">
        <f>(27.5*KFC!$B$30+KFC!$C$30)*KFC!$C$5</f>
        <v>27.5</v>
      </c>
      <c r="J42" s="300">
        <f>(29.6*KFC!$B$30+KFC!$C$30)*KFC!$C$5</f>
        <v>29.6</v>
      </c>
      <c r="K42" s="300">
        <f>(31.8*KFC!$B$30+KFC!$C$30)*KFC!$C$5</f>
        <v>31.8</v>
      </c>
      <c r="L42" s="300">
        <f>(33.9*KFC!$B$30+KFC!$C$30)*KFC!$C$5</f>
        <v>33.9</v>
      </c>
      <c r="M42" s="300">
        <f>(36*KFC!$B$30+KFC!$C$30)*KFC!$C$5</f>
        <v>36</v>
      </c>
      <c r="N42" s="300">
        <f>(38.2*KFC!$B$30+KFC!$C$30)*KFC!$C$5</f>
        <v>38.200000000000003</v>
      </c>
      <c r="O42" s="300">
        <f>(40.3*KFC!$B$30+KFC!$C$30)*KFC!$C$5</f>
        <v>40.299999999999997</v>
      </c>
      <c r="P42" s="300">
        <f>(42.4*KFC!$B$30+KFC!$C$30)*KFC!$C$5</f>
        <v>42.4</v>
      </c>
      <c r="Q42" s="300">
        <f>(44.6*KFC!$B$30+KFC!$C$30)*KFC!$C$5</f>
        <v>44.6</v>
      </c>
      <c r="R42" s="300">
        <f>(46.7*KFC!$B$30+KFC!$C$30)*KFC!$C$5</f>
        <v>46.7</v>
      </c>
      <c r="S42" s="300">
        <f>(48.8*KFC!$B$30+KFC!$C$30)*KFC!$C$5</f>
        <v>48.8</v>
      </c>
      <c r="T42" s="300">
        <f>(51*KFC!$B$30+KFC!$C$30)*KFC!$C$5</f>
        <v>51</v>
      </c>
      <c r="U42" s="300">
        <f>(53.1*KFC!$B$30+KFC!$C$30)*KFC!$C$5</f>
        <v>53.1</v>
      </c>
      <c r="V42" s="300">
        <f>(55.2*KFC!$B$30+KFC!$C$30)*KFC!$C$5</f>
        <v>55.2</v>
      </c>
      <c r="W42" s="300">
        <f>(57.4*KFC!$B$30+KFC!$C$30)*KFC!$C$5</f>
        <v>57.4</v>
      </c>
      <c r="X42" s="300">
        <f>(59.5*KFC!$B$30+KFC!$C$30)*KFC!$C$5</f>
        <v>59.5</v>
      </c>
      <c r="Y42" s="300">
        <f>(61.6*KFC!$B$30+KFC!$C$30)*KFC!$C$5</f>
        <v>61.6</v>
      </c>
      <c r="Z42" s="300">
        <f>(63.8*KFC!$B$30+KFC!$C$30)*KFC!$C$5</f>
        <v>63.8</v>
      </c>
      <c r="AA42" s="300">
        <f>(65.9*KFC!$B$30+KFC!$C$30)*KFC!$C$5</f>
        <v>65.900000000000006</v>
      </c>
      <c r="AB42" s="300">
        <f>(68*KFC!$B$30+KFC!$C$30)*KFC!$C$5</f>
        <v>68</v>
      </c>
      <c r="AC42" s="304">
        <f>(70.2*KFC!$B$30+KFC!$C$30)*KFC!$C$5</f>
        <v>70.2</v>
      </c>
    </row>
    <row r="43" spans="1:29">
      <c r="A43" s="1538"/>
      <c r="B43" s="637">
        <v>3.7</v>
      </c>
      <c r="C43" s="303">
        <f>(14.9*KFC!$B$30+KFC!$C$30)*KFC!$C$5</f>
        <v>14.9</v>
      </c>
      <c r="D43" s="300">
        <f>(17.1*KFC!$B$30+KFC!$C$30)*KFC!$C$5</f>
        <v>17.100000000000001</v>
      </c>
      <c r="E43" s="300">
        <f>(19.3*KFC!$B$30+KFC!$C$30)*KFC!$C$5</f>
        <v>19.3</v>
      </c>
      <c r="F43" s="300">
        <f>(21.5*KFC!$B$30+KFC!$C$30)*KFC!$C$5</f>
        <v>21.5</v>
      </c>
      <c r="G43" s="300">
        <f>(23.7*KFC!$B$30+KFC!$C$30)*KFC!$C$5</f>
        <v>23.7</v>
      </c>
      <c r="H43" s="300">
        <f>(25.9*KFC!$B$30+KFC!$C$30)*KFC!$C$5</f>
        <v>25.9</v>
      </c>
      <c r="I43" s="300">
        <f>(28.1*KFC!$B$30+KFC!$C$30)*KFC!$C$5</f>
        <v>28.1</v>
      </c>
      <c r="J43" s="300">
        <f>(30.3*KFC!$B$30+KFC!$C$30)*KFC!$C$5</f>
        <v>30.3</v>
      </c>
      <c r="K43" s="300">
        <f>(32.5*KFC!$B$30+KFC!$C$30)*KFC!$C$5</f>
        <v>32.5</v>
      </c>
      <c r="L43" s="300">
        <f>(34.6*KFC!$B$30+KFC!$C$30)*KFC!$C$5</f>
        <v>34.6</v>
      </c>
      <c r="M43" s="300">
        <f>(36.8*KFC!$B$30+KFC!$C$30)*KFC!$C$5</f>
        <v>36.799999999999997</v>
      </c>
      <c r="N43" s="300">
        <f>(39*KFC!$B$30+KFC!$C$30)*KFC!$C$5</f>
        <v>39</v>
      </c>
      <c r="O43" s="300">
        <f>(41.2*KFC!$B$30+KFC!$C$30)*KFC!$C$5</f>
        <v>41.2</v>
      </c>
      <c r="P43" s="300">
        <f>(43.4*KFC!$B$30+KFC!$C$30)*KFC!$C$5</f>
        <v>43.4</v>
      </c>
      <c r="Q43" s="300">
        <f>(45.6*KFC!$B$30+KFC!$C$30)*KFC!$C$5</f>
        <v>45.6</v>
      </c>
      <c r="R43" s="300">
        <f>(47.8*KFC!$B$30+KFC!$C$30)*KFC!$C$5</f>
        <v>47.8</v>
      </c>
      <c r="S43" s="300">
        <f>(50*KFC!$B$30+KFC!$C$30)*KFC!$C$5</f>
        <v>50</v>
      </c>
      <c r="T43" s="300">
        <f>(52.2*KFC!$B$30+KFC!$C$30)*KFC!$C$5</f>
        <v>52.2</v>
      </c>
      <c r="U43" s="300">
        <f>(54.4*KFC!$B$30+KFC!$C$30)*KFC!$C$5</f>
        <v>54.4</v>
      </c>
      <c r="V43" s="300">
        <f>(56.6*KFC!$B$30+KFC!$C$30)*KFC!$C$5</f>
        <v>56.6</v>
      </c>
      <c r="W43" s="300">
        <f>(58.8*KFC!$B$30+KFC!$C$30)*KFC!$C$5</f>
        <v>58.8</v>
      </c>
      <c r="X43" s="300">
        <f>(61*KFC!$B$30+KFC!$C$30)*KFC!$C$5</f>
        <v>61</v>
      </c>
      <c r="Y43" s="300">
        <f>(63.1*KFC!$B$30+KFC!$C$30)*KFC!$C$5</f>
        <v>63.1</v>
      </c>
      <c r="Z43" s="300">
        <f>(65.3*KFC!$B$30+KFC!$C$30)*KFC!$C$5</f>
        <v>65.3</v>
      </c>
      <c r="AA43" s="300">
        <f>(67.5*KFC!$B$30+KFC!$C$30)*KFC!$C$5</f>
        <v>67.5</v>
      </c>
      <c r="AB43" s="300">
        <f>(69.7*KFC!$B$30+KFC!$C$30)*KFC!$C$5</f>
        <v>69.7</v>
      </c>
      <c r="AC43" s="304">
        <f>(71.9*KFC!$B$30+KFC!$C$30)*KFC!$C$5</f>
        <v>71.900000000000006</v>
      </c>
    </row>
    <row r="44" spans="1:29">
      <c r="A44" s="1538"/>
      <c r="B44" s="637">
        <v>3.8</v>
      </c>
      <c r="C44" s="303">
        <f>(15.1*KFC!$B$30+KFC!$C$30)*KFC!$C$5</f>
        <v>15.1</v>
      </c>
      <c r="D44" s="300">
        <f>(17.4*KFC!$B$30+KFC!$C$30)*KFC!$C$5</f>
        <v>17.399999999999999</v>
      </c>
      <c r="E44" s="300">
        <f>(19.6*KFC!$B$30+KFC!$C$30)*KFC!$C$5</f>
        <v>19.600000000000001</v>
      </c>
      <c r="F44" s="300">
        <f>(21.9*KFC!$B$30+KFC!$C$30)*KFC!$C$5</f>
        <v>21.9</v>
      </c>
      <c r="G44" s="300">
        <f>(24.1*KFC!$B$30+KFC!$C$30)*KFC!$C$5</f>
        <v>24.1</v>
      </c>
      <c r="H44" s="300">
        <f>(26.4*KFC!$B$30+KFC!$C$30)*KFC!$C$5</f>
        <v>26.4</v>
      </c>
      <c r="I44" s="300">
        <f>(28.6*KFC!$B$30+KFC!$C$30)*KFC!$C$5</f>
        <v>28.6</v>
      </c>
      <c r="J44" s="300">
        <f>(30.9*KFC!$B$30+KFC!$C$30)*KFC!$C$5</f>
        <v>30.9</v>
      </c>
      <c r="K44" s="300">
        <f>(33.1*KFC!$B$30+KFC!$C$30)*KFC!$C$5</f>
        <v>33.1</v>
      </c>
      <c r="L44" s="300">
        <f>(35.4*KFC!$B$30+KFC!$C$30)*KFC!$C$5</f>
        <v>35.4</v>
      </c>
      <c r="M44" s="300">
        <f>(37.6*KFC!$B$30+KFC!$C$30)*KFC!$C$5</f>
        <v>37.6</v>
      </c>
      <c r="N44" s="300">
        <f>(39.9*KFC!$B$30+KFC!$C$30)*KFC!$C$5</f>
        <v>39.9</v>
      </c>
      <c r="O44" s="300">
        <f>(42.1*KFC!$B$30+KFC!$C$30)*KFC!$C$5</f>
        <v>42.1</v>
      </c>
      <c r="P44" s="300">
        <f>(44.4*KFC!$B$30+KFC!$C$30)*KFC!$C$5</f>
        <v>44.4</v>
      </c>
      <c r="Q44" s="300">
        <f>(46.6*KFC!$B$30+KFC!$C$30)*KFC!$C$5</f>
        <v>46.6</v>
      </c>
      <c r="R44" s="300">
        <f>(48.9*KFC!$B$30+KFC!$C$30)*KFC!$C$5</f>
        <v>48.9</v>
      </c>
      <c r="S44" s="300">
        <f>(51.1*KFC!$B$30+KFC!$C$30)*KFC!$C$5</f>
        <v>51.1</v>
      </c>
      <c r="T44" s="300">
        <f>(53.4*KFC!$B$30+KFC!$C$30)*KFC!$C$5</f>
        <v>53.4</v>
      </c>
      <c r="U44" s="300">
        <f>(55.7*KFC!$B$30+KFC!$C$30)*KFC!$C$5</f>
        <v>55.7</v>
      </c>
      <c r="V44" s="300">
        <f>(57.9*KFC!$B$30+KFC!$C$30)*KFC!$C$5</f>
        <v>57.9</v>
      </c>
      <c r="W44" s="300">
        <f>(60.2*KFC!$B$30+KFC!$C$30)*KFC!$C$5</f>
        <v>60.2</v>
      </c>
      <c r="X44" s="300">
        <f>(62.4*KFC!$B$30+KFC!$C$30)*KFC!$C$5</f>
        <v>62.4</v>
      </c>
      <c r="Y44" s="300">
        <f>(64.7*KFC!$B$30+KFC!$C$30)*KFC!$C$5</f>
        <v>64.7</v>
      </c>
      <c r="Z44" s="300">
        <f>(66.9*KFC!$B$30+KFC!$C$30)*KFC!$C$5</f>
        <v>66.900000000000006</v>
      </c>
      <c r="AA44" s="300">
        <f>(69.2*KFC!$B$30+KFC!$C$30)*KFC!$C$5</f>
        <v>69.2</v>
      </c>
      <c r="AB44" s="300">
        <f>(71.4*KFC!$B$30+KFC!$C$30)*KFC!$C$5</f>
        <v>71.400000000000006</v>
      </c>
      <c r="AC44" s="304">
        <f>(73.7*KFC!$B$30+KFC!$C$30)*KFC!$C$5</f>
        <v>73.7</v>
      </c>
    </row>
    <row r="45" spans="1:29">
      <c r="A45" s="1538"/>
      <c r="B45" s="637">
        <v>3.9</v>
      </c>
      <c r="C45" s="303">
        <f>(15.3*KFC!$B$30+KFC!$C$30)*KFC!$C$5</f>
        <v>15.3</v>
      </c>
      <c r="D45" s="300">
        <f>(17.6*KFC!$B$30+KFC!$C$30)*KFC!$C$5</f>
        <v>17.600000000000001</v>
      </c>
      <c r="E45" s="300">
        <f>(19.9*KFC!$B$30+KFC!$C$30)*KFC!$C$5</f>
        <v>19.899999999999999</v>
      </c>
      <c r="F45" s="300">
        <f>(22.2*KFC!$B$30+KFC!$C$30)*KFC!$C$5</f>
        <v>22.2</v>
      </c>
      <c r="G45" s="300">
        <f>(24.5*KFC!$B$30+KFC!$C$30)*KFC!$C$5</f>
        <v>24.5</v>
      </c>
      <c r="H45" s="300">
        <f>(26.9*KFC!$B$30+KFC!$C$30)*KFC!$C$5</f>
        <v>26.9</v>
      </c>
      <c r="I45" s="300">
        <f>(29.2*KFC!$B$30+KFC!$C$30)*KFC!$C$5</f>
        <v>29.2</v>
      </c>
      <c r="J45" s="300">
        <f>(31.5*KFC!$B$30+KFC!$C$30)*KFC!$C$5</f>
        <v>31.5</v>
      </c>
      <c r="K45" s="300">
        <f>(33.8*KFC!$B$30+KFC!$C$30)*KFC!$C$5</f>
        <v>33.799999999999997</v>
      </c>
      <c r="L45" s="300">
        <f>(36.1*KFC!$B$30+KFC!$C$30)*KFC!$C$5</f>
        <v>36.1</v>
      </c>
      <c r="M45" s="300">
        <f>(38.4*KFC!$B$30+KFC!$C$30)*KFC!$C$5</f>
        <v>38.4</v>
      </c>
      <c r="N45" s="300">
        <f>(40.7*KFC!$B$30+KFC!$C$30)*KFC!$C$5</f>
        <v>40.700000000000003</v>
      </c>
      <c r="O45" s="300">
        <f>(43*KFC!$B$30+KFC!$C$30)*KFC!$C$5</f>
        <v>43</v>
      </c>
      <c r="P45" s="300">
        <f>(45.4*KFC!$B$30+KFC!$C$30)*KFC!$C$5</f>
        <v>45.4</v>
      </c>
      <c r="Q45" s="300">
        <f>(47.7*KFC!$B$30+KFC!$C$30)*KFC!$C$5</f>
        <v>47.7</v>
      </c>
      <c r="R45" s="300">
        <f>(50*KFC!$B$30+KFC!$C$30)*KFC!$C$5</f>
        <v>50</v>
      </c>
      <c r="S45" s="300">
        <f>(52.3*KFC!$B$30+KFC!$C$30)*KFC!$C$5</f>
        <v>52.3</v>
      </c>
      <c r="T45" s="300">
        <f>(54.6*KFC!$B$30+KFC!$C$30)*KFC!$C$5</f>
        <v>54.6</v>
      </c>
      <c r="U45" s="300">
        <f>(56.9*KFC!$B$30+KFC!$C$30)*KFC!$C$5</f>
        <v>56.9</v>
      </c>
      <c r="V45" s="300">
        <f>(59.2*KFC!$B$30+KFC!$C$30)*KFC!$C$5</f>
        <v>59.2</v>
      </c>
      <c r="W45" s="300">
        <f>(61.6*KFC!$B$30+KFC!$C$30)*KFC!$C$5</f>
        <v>61.6</v>
      </c>
      <c r="X45" s="300">
        <f>(63.9*KFC!$B$30+KFC!$C$30)*KFC!$C$5</f>
        <v>63.9</v>
      </c>
      <c r="Y45" s="300">
        <f>(66.2*KFC!$B$30+KFC!$C$30)*KFC!$C$5</f>
        <v>66.2</v>
      </c>
      <c r="Z45" s="300">
        <f>(68.5*KFC!$B$30+KFC!$C$30)*KFC!$C$5</f>
        <v>68.5</v>
      </c>
      <c r="AA45" s="300">
        <f>(70.8*KFC!$B$30+KFC!$C$30)*KFC!$C$5</f>
        <v>70.8</v>
      </c>
      <c r="AB45" s="300">
        <f>(73.1*KFC!$B$30+KFC!$C$30)*KFC!$C$5</f>
        <v>73.099999999999994</v>
      </c>
      <c r="AC45" s="304">
        <f>(75.4*KFC!$B$30+KFC!$C$30)*KFC!$C$5</f>
        <v>75.400000000000006</v>
      </c>
    </row>
    <row r="46" spans="1:29">
      <c r="A46" s="1538"/>
      <c r="B46" s="637">
        <v>4</v>
      </c>
      <c r="C46" s="303">
        <f>(15.5*KFC!$B$30+KFC!$C$30)*KFC!$C$5</f>
        <v>15.5</v>
      </c>
      <c r="D46" s="300">
        <f>(17.8*KFC!$B$30+KFC!$C$30)*KFC!$C$5</f>
        <v>17.8</v>
      </c>
      <c r="E46" s="300">
        <f>(20.2*KFC!$B$30+KFC!$C$30)*KFC!$C$5</f>
        <v>20.2</v>
      </c>
      <c r="F46" s="300">
        <f>(22.6*KFC!$B$30+KFC!$C$30)*KFC!$C$5</f>
        <v>22.6</v>
      </c>
      <c r="G46" s="300">
        <f>(25*KFC!$B$30+KFC!$C$30)*KFC!$C$5</f>
        <v>25</v>
      </c>
      <c r="H46" s="300">
        <f>(27.3*KFC!$B$30+KFC!$C$30)*KFC!$C$5</f>
        <v>27.3</v>
      </c>
      <c r="I46" s="300">
        <f>(29.7*KFC!$B$30+KFC!$C$30)*KFC!$C$5</f>
        <v>29.7</v>
      </c>
      <c r="J46" s="300">
        <f>(32.1*KFC!$B$30+KFC!$C$30)*KFC!$C$5</f>
        <v>32.1</v>
      </c>
      <c r="K46" s="300">
        <f>(34.5*KFC!$B$30+KFC!$C$30)*KFC!$C$5</f>
        <v>34.5</v>
      </c>
      <c r="L46" s="300">
        <f>(36.8*KFC!$B$30+KFC!$C$30)*KFC!$C$5</f>
        <v>36.799999999999997</v>
      </c>
      <c r="M46" s="300">
        <f>(39.2*KFC!$B$30+KFC!$C$30)*KFC!$C$5</f>
        <v>39.200000000000003</v>
      </c>
      <c r="N46" s="300">
        <f>(41.6*KFC!$B$30+KFC!$C$30)*KFC!$C$5</f>
        <v>41.6</v>
      </c>
      <c r="O46" s="300">
        <f>(44*KFC!$B$30+KFC!$C$30)*KFC!$C$5</f>
        <v>44</v>
      </c>
      <c r="P46" s="300">
        <f>(46.3*KFC!$B$30+KFC!$C$30)*KFC!$C$5</f>
        <v>46.3</v>
      </c>
      <c r="Q46" s="300">
        <f>(48.7*KFC!$B$30+KFC!$C$30)*KFC!$C$5</f>
        <v>48.7</v>
      </c>
      <c r="R46" s="300">
        <f>(51.1*KFC!$B$30+KFC!$C$30)*KFC!$C$5</f>
        <v>51.1</v>
      </c>
      <c r="S46" s="300">
        <f>(53.5*KFC!$B$30+KFC!$C$30)*KFC!$C$5</f>
        <v>53.5</v>
      </c>
      <c r="T46" s="300">
        <f>(55.8*KFC!$B$30+KFC!$C$30)*KFC!$C$5</f>
        <v>55.8</v>
      </c>
      <c r="U46" s="300">
        <f>(58.2*KFC!$B$30+KFC!$C$30)*KFC!$C$5</f>
        <v>58.2</v>
      </c>
      <c r="V46" s="300">
        <f>(60.6*KFC!$B$30+KFC!$C$30)*KFC!$C$5</f>
        <v>60.6</v>
      </c>
      <c r="W46" s="300">
        <f>(62.9*KFC!$B$30+KFC!$C$30)*KFC!$C$5</f>
        <v>62.9</v>
      </c>
      <c r="X46" s="300">
        <f>(65.3*KFC!$B$30+KFC!$C$30)*KFC!$C$5</f>
        <v>65.3</v>
      </c>
      <c r="Y46" s="300">
        <f>(67.7*KFC!$B$30+KFC!$C$30)*KFC!$C$5</f>
        <v>67.7</v>
      </c>
      <c r="Z46" s="300">
        <f>(70.1*KFC!$B$30+KFC!$C$30)*KFC!$C$5</f>
        <v>70.099999999999994</v>
      </c>
      <c r="AA46" s="300">
        <f>(72.4*KFC!$B$30+KFC!$C$30)*KFC!$C$5</f>
        <v>72.400000000000006</v>
      </c>
      <c r="AB46" s="300">
        <f>(74.8*KFC!$B$30+KFC!$C$30)*KFC!$C$5</f>
        <v>74.8</v>
      </c>
      <c r="AC46" s="304">
        <f>(77.2*KFC!$B$30+KFC!$C$30)*KFC!$C$5</f>
        <v>77.2</v>
      </c>
    </row>
    <row r="47" spans="1:29" ht="13.8" thickBot="1">
      <c r="A47" s="1539"/>
      <c r="B47" s="638">
        <v>4.05</v>
      </c>
      <c r="C47" s="305">
        <f>(15.7*KFC!$B$30+KFC!$C$30)*KFC!$C$5</f>
        <v>15.7</v>
      </c>
      <c r="D47" s="306">
        <f>(18.1*KFC!$B$30+KFC!$C$30)*KFC!$C$5</f>
        <v>18.100000000000001</v>
      </c>
      <c r="E47" s="306">
        <f>(20.5*KFC!$B$30+KFC!$C$30)*KFC!$C$5</f>
        <v>20.5</v>
      </c>
      <c r="F47" s="306">
        <f>(23*KFC!$B$30+KFC!$C$30)*KFC!$C$5</f>
        <v>23</v>
      </c>
      <c r="G47" s="306">
        <f>(25.4*KFC!$B$30+KFC!$C$30)*KFC!$C$5</f>
        <v>25.4</v>
      </c>
      <c r="H47" s="306">
        <f>(27.8*KFC!$B$30+KFC!$C$30)*KFC!$C$5</f>
        <v>27.8</v>
      </c>
      <c r="I47" s="306">
        <f>(30.3*KFC!$B$30+KFC!$C$30)*KFC!$C$5</f>
        <v>30.3</v>
      </c>
      <c r="J47" s="306">
        <f>(32.7*KFC!$B$30+KFC!$C$30)*KFC!$C$5</f>
        <v>32.700000000000003</v>
      </c>
      <c r="K47" s="306">
        <f>(35.1*KFC!$B$30+KFC!$C$30)*KFC!$C$5</f>
        <v>35.1</v>
      </c>
      <c r="L47" s="306">
        <f>(37.6*KFC!$B$30+KFC!$C$30)*KFC!$C$5</f>
        <v>37.6</v>
      </c>
      <c r="M47" s="306">
        <f>(40*KFC!$B$30+KFC!$C$30)*KFC!$C$5</f>
        <v>40</v>
      </c>
      <c r="N47" s="306">
        <f>(42.4*KFC!$B$30+KFC!$C$30)*KFC!$C$5</f>
        <v>42.4</v>
      </c>
      <c r="O47" s="306">
        <f>(44.9*KFC!$B$30+KFC!$C$30)*KFC!$C$5</f>
        <v>44.9</v>
      </c>
      <c r="P47" s="306">
        <f>(47.3*KFC!$B$30+KFC!$C$30)*KFC!$C$5</f>
        <v>47.3</v>
      </c>
      <c r="Q47" s="306">
        <f>(49.7*KFC!$B$30+KFC!$C$30)*KFC!$C$5</f>
        <v>49.7</v>
      </c>
      <c r="R47" s="306">
        <f>(52.2*KFC!$B$30+KFC!$C$30)*KFC!$C$5</f>
        <v>52.2</v>
      </c>
      <c r="S47" s="306">
        <f>(54.6*KFC!$B$30+KFC!$C$30)*KFC!$C$5</f>
        <v>54.6</v>
      </c>
      <c r="T47" s="306">
        <f>(57*KFC!$B$30+KFC!$C$30)*KFC!$C$5</f>
        <v>57</v>
      </c>
      <c r="U47" s="306">
        <f>(59.5*KFC!$B$30+KFC!$C$30)*KFC!$C$5</f>
        <v>59.5</v>
      </c>
      <c r="V47" s="306">
        <f>(61.9*KFC!$B$30+KFC!$C$30)*KFC!$C$5</f>
        <v>61.9</v>
      </c>
      <c r="W47" s="306">
        <f>(64.3*KFC!$B$30+KFC!$C$30)*KFC!$C$5</f>
        <v>64.3</v>
      </c>
      <c r="X47" s="306">
        <f>(66.8*KFC!$B$30+KFC!$C$30)*KFC!$C$5</f>
        <v>66.8</v>
      </c>
      <c r="Y47" s="306">
        <f>(69.2*KFC!$B$30+KFC!$C$30)*KFC!$C$5</f>
        <v>69.2</v>
      </c>
      <c r="Z47" s="306">
        <f>(71.6*KFC!$B$30+KFC!$C$30)*KFC!$C$5</f>
        <v>71.599999999999994</v>
      </c>
      <c r="AA47" s="306">
        <f>(74.1*KFC!$B$30+KFC!$C$30)*KFC!$C$5</f>
        <v>74.099999999999994</v>
      </c>
      <c r="AB47" s="306">
        <f>(76.5*KFC!$B$30+KFC!$C$30)*KFC!$C$5</f>
        <v>76.5</v>
      </c>
      <c r="AC47" s="307">
        <f>(78.9*KFC!$B$30+KFC!$C$30)*KFC!$C$5</f>
        <v>78.900000000000006</v>
      </c>
    </row>
    <row r="48" spans="1:29" ht="17.399999999999999" thickBot="1">
      <c r="A48" s="387"/>
      <c r="B48" s="387"/>
      <c r="C48" s="387"/>
      <c r="D48" s="387"/>
      <c r="E48" s="387"/>
      <c r="F48" s="387"/>
    </row>
    <row r="49" spans="1:29" ht="13.5" customHeight="1" thickBot="1">
      <c r="A49" s="1413" t="s">
        <v>314</v>
      </c>
      <c r="B49" s="1601"/>
      <c r="C49" s="1787" t="s">
        <v>207</v>
      </c>
      <c r="D49" s="1788"/>
      <c r="E49" s="1788"/>
      <c r="F49" s="1788"/>
      <c r="G49" s="1788"/>
      <c r="H49" s="1788"/>
      <c r="I49" s="1788"/>
      <c r="J49" s="1788"/>
      <c r="K49" s="1788"/>
      <c r="L49" s="1788"/>
      <c r="M49" s="1788"/>
      <c r="N49" s="1788"/>
      <c r="O49" s="1788"/>
      <c r="P49" s="1788"/>
      <c r="Q49" s="1788"/>
      <c r="R49" s="1788"/>
      <c r="S49" s="1788"/>
      <c r="T49" s="1788"/>
      <c r="U49" s="1788"/>
      <c r="V49" s="1788"/>
      <c r="W49" s="1788"/>
      <c r="X49" s="1788"/>
      <c r="Y49" s="1788"/>
      <c r="Z49" s="1788"/>
      <c r="AA49" s="1788"/>
      <c r="AB49" s="1788"/>
      <c r="AC49" s="1885"/>
    </row>
    <row r="50" spans="1:29" ht="13.8" thickBot="1">
      <c r="A50" s="1543"/>
      <c r="B50" s="1602"/>
      <c r="C50" s="633">
        <v>0.4</v>
      </c>
      <c r="D50" s="634">
        <v>0.5</v>
      </c>
      <c r="E50" s="634">
        <v>0.6</v>
      </c>
      <c r="F50" s="634">
        <v>0.7</v>
      </c>
      <c r="G50" s="634">
        <v>0.8</v>
      </c>
      <c r="H50" s="634">
        <v>0.9</v>
      </c>
      <c r="I50" s="634">
        <v>1</v>
      </c>
      <c r="J50" s="634">
        <v>1.1000000000000001</v>
      </c>
      <c r="K50" s="634">
        <v>1.2</v>
      </c>
      <c r="L50" s="634">
        <v>1.3</v>
      </c>
      <c r="M50" s="634">
        <v>1.4</v>
      </c>
      <c r="N50" s="634">
        <v>1.5</v>
      </c>
      <c r="O50" s="634">
        <v>1.6</v>
      </c>
      <c r="P50" s="634">
        <v>1.7</v>
      </c>
      <c r="Q50" s="634">
        <v>1.8</v>
      </c>
      <c r="R50" s="634">
        <v>1.9</v>
      </c>
      <c r="S50" s="634">
        <v>2</v>
      </c>
      <c r="T50" s="634">
        <v>2.1</v>
      </c>
      <c r="U50" s="634">
        <v>2.2000000000000002</v>
      </c>
      <c r="V50" s="634">
        <v>2.2999999999999998</v>
      </c>
      <c r="W50" s="634">
        <v>2.4</v>
      </c>
      <c r="X50" s="634">
        <v>2.5</v>
      </c>
      <c r="Y50" s="634">
        <v>2.6</v>
      </c>
      <c r="Z50" s="634">
        <v>2.7</v>
      </c>
      <c r="AA50" s="634">
        <v>2.8</v>
      </c>
      <c r="AB50" s="634">
        <v>2.9</v>
      </c>
      <c r="AC50" s="635">
        <v>3</v>
      </c>
    </row>
    <row r="51" spans="1:29" ht="12.75" customHeight="1">
      <c r="A51" s="1537" t="s">
        <v>3</v>
      </c>
      <c r="B51" s="636">
        <v>0.5</v>
      </c>
      <c r="C51" s="274">
        <f>(10*KFC!$B$30+KFC!$C$30)*KFC!$C$5</f>
        <v>10</v>
      </c>
      <c r="D51" s="301">
        <f>(10.4*KFC!$B$30+KFC!$C$30)*KFC!$C$5</f>
        <v>10.4</v>
      </c>
      <c r="E51" s="301">
        <f>(10.9*KFC!$B$30+KFC!$C$30)*KFC!$C$5</f>
        <v>10.9</v>
      </c>
      <c r="F51" s="301">
        <f>(11.3*KFC!$B$30+KFC!$C$30)*KFC!$C$5</f>
        <v>11.3</v>
      </c>
      <c r="G51" s="301">
        <f>(11.7*KFC!$B$30+KFC!$C$30)*KFC!$C$5</f>
        <v>11.7</v>
      </c>
      <c r="H51" s="301">
        <f>(12.1*KFC!$B$30+KFC!$C$30)*KFC!$C$5</f>
        <v>12.1</v>
      </c>
      <c r="I51" s="301">
        <f>(12.6*KFC!$B$30+KFC!$C$30)*KFC!$C$5</f>
        <v>12.6</v>
      </c>
      <c r="J51" s="301">
        <f>(13*KFC!$B$30+KFC!$C$30)*KFC!$C$5</f>
        <v>13</v>
      </c>
      <c r="K51" s="301">
        <f>(13.4*KFC!$B$30+KFC!$C$30)*KFC!$C$5</f>
        <v>13.4</v>
      </c>
      <c r="L51" s="301">
        <f>(13.8*KFC!$B$30+KFC!$C$30)*KFC!$C$5</f>
        <v>13.8</v>
      </c>
      <c r="M51" s="301">
        <f>(14.3*KFC!$B$30+KFC!$C$30)*KFC!$C$5</f>
        <v>14.3</v>
      </c>
      <c r="N51" s="301">
        <f>(14.7*KFC!$B$30+KFC!$C$30)*KFC!$C$5</f>
        <v>14.7</v>
      </c>
      <c r="O51" s="301">
        <f>(15.1*KFC!$B$30+KFC!$C$30)*KFC!$C$5</f>
        <v>15.1</v>
      </c>
      <c r="P51" s="301">
        <f>(15.5*KFC!$B$30+KFC!$C$30)*KFC!$C$5</f>
        <v>15.5</v>
      </c>
      <c r="Q51" s="301">
        <f>(16*KFC!$B$30+KFC!$C$30)*KFC!$C$5</f>
        <v>16</v>
      </c>
      <c r="R51" s="301">
        <f>(16.4*KFC!$B$30+KFC!$C$30)*KFC!$C$5</f>
        <v>16.399999999999999</v>
      </c>
      <c r="S51" s="301">
        <f>(16.8*KFC!$B$30+KFC!$C$30)*KFC!$C$5</f>
        <v>16.8</v>
      </c>
      <c r="T51" s="301">
        <f>(17.2*KFC!$B$30+KFC!$C$30)*KFC!$C$5</f>
        <v>17.2</v>
      </c>
      <c r="U51" s="301">
        <f>(17.7*KFC!$B$30+KFC!$C$30)*KFC!$C$5</f>
        <v>17.7</v>
      </c>
      <c r="V51" s="301">
        <f>(18.1*KFC!$B$30+KFC!$C$30)*KFC!$C$5</f>
        <v>18.100000000000001</v>
      </c>
      <c r="W51" s="301">
        <f>(18.5*KFC!$B$30+KFC!$C$30)*KFC!$C$5</f>
        <v>18.5</v>
      </c>
      <c r="X51" s="301">
        <f>(18.9*KFC!$B$30+KFC!$C$30)*KFC!$C$5</f>
        <v>18.899999999999999</v>
      </c>
      <c r="Y51" s="301">
        <f>(19.4*KFC!$B$30+KFC!$C$30)*KFC!$C$5</f>
        <v>19.399999999999999</v>
      </c>
      <c r="Z51" s="301">
        <f>(19.8*KFC!$B$30+KFC!$C$30)*KFC!$C$5</f>
        <v>19.8</v>
      </c>
      <c r="AA51" s="301">
        <f>(20.2*KFC!$B$30+KFC!$C$30)*KFC!$C$5</f>
        <v>20.2</v>
      </c>
      <c r="AB51" s="301">
        <f>(20.6*KFC!$B$30+KFC!$C$30)*KFC!$C$5</f>
        <v>20.6</v>
      </c>
      <c r="AC51" s="302">
        <f>(21.1*KFC!$B$30+KFC!$C$30)*KFC!$C$5</f>
        <v>21.1</v>
      </c>
    </row>
    <row r="52" spans="1:29">
      <c r="A52" s="1538"/>
      <c r="B52" s="637">
        <v>0.6</v>
      </c>
      <c r="C52" s="303">
        <f>(10.3*KFC!$B$30+KFC!$C$30)*KFC!$C$5</f>
        <v>10.3</v>
      </c>
      <c r="D52" s="300">
        <f>(10.8*KFC!$B$30+KFC!$C$30)*KFC!$C$5</f>
        <v>10.8</v>
      </c>
      <c r="E52" s="300">
        <f>(11.3*KFC!$B$30+KFC!$C$30)*KFC!$C$5</f>
        <v>11.3</v>
      </c>
      <c r="F52" s="300">
        <f>(11.8*KFC!$B$30+KFC!$C$30)*KFC!$C$5</f>
        <v>11.8</v>
      </c>
      <c r="G52" s="300">
        <f>(12.3*KFC!$B$30+KFC!$C$30)*KFC!$C$5</f>
        <v>12.3</v>
      </c>
      <c r="H52" s="300">
        <f>(12.8*KFC!$B$30+KFC!$C$30)*KFC!$C$5</f>
        <v>12.8</v>
      </c>
      <c r="I52" s="300">
        <f>(13.2*KFC!$B$30+KFC!$C$30)*KFC!$C$5</f>
        <v>13.2</v>
      </c>
      <c r="J52" s="300">
        <f>(13.7*KFC!$B$30+KFC!$C$30)*KFC!$C$5</f>
        <v>13.7</v>
      </c>
      <c r="K52" s="300">
        <f>(14.2*KFC!$B$30+KFC!$C$30)*KFC!$C$5</f>
        <v>14.2</v>
      </c>
      <c r="L52" s="300">
        <f>(14.7*KFC!$B$30+KFC!$C$30)*KFC!$C$5</f>
        <v>14.7</v>
      </c>
      <c r="M52" s="300">
        <f>(15.2*KFC!$B$30+KFC!$C$30)*KFC!$C$5</f>
        <v>15.2</v>
      </c>
      <c r="N52" s="300">
        <f>(15.7*KFC!$B$30+KFC!$C$30)*KFC!$C$5</f>
        <v>15.7</v>
      </c>
      <c r="O52" s="300">
        <f>(16.2*KFC!$B$30+KFC!$C$30)*KFC!$C$5</f>
        <v>16.2</v>
      </c>
      <c r="P52" s="300">
        <f>(16.7*KFC!$B$30+KFC!$C$30)*KFC!$C$5</f>
        <v>16.7</v>
      </c>
      <c r="Q52" s="300">
        <f>(17.2*KFC!$B$30+KFC!$C$30)*KFC!$C$5</f>
        <v>17.2</v>
      </c>
      <c r="R52" s="300">
        <f>(17.6*KFC!$B$30+KFC!$C$30)*KFC!$C$5</f>
        <v>17.600000000000001</v>
      </c>
      <c r="S52" s="300">
        <f>(18.1*KFC!$B$30+KFC!$C$30)*KFC!$C$5</f>
        <v>18.100000000000001</v>
      </c>
      <c r="T52" s="300">
        <f>(18.6*KFC!$B$30+KFC!$C$30)*KFC!$C$5</f>
        <v>18.600000000000001</v>
      </c>
      <c r="U52" s="300">
        <f>(19.1*KFC!$B$30+KFC!$C$30)*KFC!$C$5</f>
        <v>19.100000000000001</v>
      </c>
      <c r="V52" s="300">
        <f>(19.6*KFC!$B$30+KFC!$C$30)*KFC!$C$5</f>
        <v>19.600000000000001</v>
      </c>
      <c r="W52" s="300">
        <f>(20.1*KFC!$B$30+KFC!$C$30)*KFC!$C$5</f>
        <v>20.100000000000001</v>
      </c>
      <c r="X52" s="300">
        <f>(20.6*KFC!$B$30+KFC!$C$30)*KFC!$C$5</f>
        <v>20.6</v>
      </c>
      <c r="Y52" s="300">
        <f>(21.1*KFC!$B$30+KFC!$C$30)*KFC!$C$5</f>
        <v>21.1</v>
      </c>
      <c r="Z52" s="300">
        <f>(21.6*KFC!$B$30+KFC!$C$30)*KFC!$C$5</f>
        <v>21.6</v>
      </c>
      <c r="AA52" s="300">
        <f>(22*KFC!$B$30+KFC!$C$30)*KFC!$C$5</f>
        <v>22</v>
      </c>
      <c r="AB52" s="300">
        <f>(22.5*KFC!$B$30+KFC!$C$30)*KFC!$C$5</f>
        <v>22.5</v>
      </c>
      <c r="AC52" s="304">
        <f>(23*KFC!$B$30+KFC!$C$30)*KFC!$C$5</f>
        <v>23</v>
      </c>
    </row>
    <row r="53" spans="1:29">
      <c r="A53" s="1538"/>
      <c r="B53" s="637">
        <v>0.7</v>
      </c>
      <c r="C53" s="303">
        <f>(10.6*KFC!$B$30+KFC!$C$30)*KFC!$C$5</f>
        <v>10.6</v>
      </c>
      <c r="D53" s="300">
        <f>(11.2*KFC!$B$30+KFC!$C$30)*KFC!$C$5</f>
        <v>11.2</v>
      </c>
      <c r="E53" s="300">
        <f>(11.7*KFC!$B$30+KFC!$C$30)*KFC!$C$5</f>
        <v>11.7</v>
      </c>
      <c r="F53" s="300">
        <f>(12.3*KFC!$B$30+KFC!$C$30)*KFC!$C$5</f>
        <v>12.3</v>
      </c>
      <c r="G53" s="300">
        <f>(12.8*KFC!$B$30+KFC!$C$30)*KFC!$C$5</f>
        <v>12.8</v>
      </c>
      <c r="H53" s="300">
        <f>(13.4*KFC!$B$30+KFC!$C$30)*KFC!$C$5</f>
        <v>13.4</v>
      </c>
      <c r="I53" s="300">
        <f>(13.9*KFC!$B$30+KFC!$C$30)*KFC!$C$5</f>
        <v>13.9</v>
      </c>
      <c r="J53" s="300">
        <f>(14.5*KFC!$B$30+KFC!$C$30)*KFC!$C$5</f>
        <v>14.5</v>
      </c>
      <c r="K53" s="300">
        <f>(15*KFC!$B$30+KFC!$C$30)*KFC!$C$5</f>
        <v>15</v>
      </c>
      <c r="L53" s="300">
        <f>(15.6*KFC!$B$30+KFC!$C$30)*KFC!$C$5</f>
        <v>15.6</v>
      </c>
      <c r="M53" s="300">
        <f>(16.1*KFC!$B$30+KFC!$C$30)*KFC!$C$5</f>
        <v>16.100000000000001</v>
      </c>
      <c r="N53" s="300">
        <f>(16.7*KFC!$B$30+KFC!$C$30)*KFC!$C$5</f>
        <v>16.7</v>
      </c>
      <c r="O53" s="300">
        <f>(17.3*KFC!$B$30+KFC!$C$30)*KFC!$C$5</f>
        <v>17.3</v>
      </c>
      <c r="P53" s="300">
        <f>(17.8*KFC!$B$30+KFC!$C$30)*KFC!$C$5</f>
        <v>17.8</v>
      </c>
      <c r="Q53" s="300">
        <f>(18.4*KFC!$B$30+KFC!$C$30)*KFC!$C$5</f>
        <v>18.399999999999999</v>
      </c>
      <c r="R53" s="300">
        <f>(18.9*KFC!$B$30+KFC!$C$30)*KFC!$C$5</f>
        <v>18.899999999999999</v>
      </c>
      <c r="S53" s="300">
        <f>(19.5*KFC!$B$30+KFC!$C$30)*KFC!$C$5</f>
        <v>19.5</v>
      </c>
      <c r="T53" s="300">
        <f>(20*KFC!$B$30+KFC!$C$30)*KFC!$C$5</f>
        <v>20</v>
      </c>
      <c r="U53" s="300">
        <f>(20.6*KFC!$B$30+KFC!$C$30)*KFC!$C$5</f>
        <v>20.6</v>
      </c>
      <c r="V53" s="300">
        <f>(21.1*KFC!$B$30+KFC!$C$30)*KFC!$C$5</f>
        <v>21.1</v>
      </c>
      <c r="W53" s="300">
        <f>(21.7*KFC!$B$30+KFC!$C$30)*KFC!$C$5</f>
        <v>21.7</v>
      </c>
      <c r="X53" s="300">
        <f>(22.2*KFC!$B$30+KFC!$C$30)*KFC!$C$5</f>
        <v>22.2</v>
      </c>
      <c r="Y53" s="300">
        <f>(22.8*KFC!$B$30+KFC!$C$30)*KFC!$C$5</f>
        <v>22.8</v>
      </c>
      <c r="Z53" s="300">
        <f>(23.3*KFC!$B$30+KFC!$C$30)*KFC!$C$5</f>
        <v>23.3</v>
      </c>
      <c r="AA53" s="300">
        <f>(23.9*KFC!$B$30+KFC!$C$30)*KFC!$C$5</f>
        <v>23.9</v>
      </c>
      <c r="AB53" s="300">
        <f>(24.4*KFC!$B$30+KFC!$C$30)*KFC!$C$5</f>
        <v>24.4</v>
      </c>
      <c r="AC53" s="304">
        <f>(25*KFC!$B$30+KFC!$C$30)*KFC!$C$5</f>
        <v>25</v>
      </c>
    </row>
    <row r="54" spans="1:29">
      <c r="A54" s="1538"/>
      <c r="B54" s="637">
        <v>0.8</v>
      </c>
      <c r="C54" s="303">
        <f>(10.9*KFC!$B$30+KFC!$C$30)*KFC!$C$5</f>
        <v>10.9</v>
      </c>
      <c r="D54" s="300">
        <f>(11.5*KFC!$B$30+KFC!$C$30)*KFC!$C$5</f>
        <v>11.5</v>
      </c>
      <c r="E54" s="300">
        <f>(12.2*KFC!$B$30+KFC!$C$30)*KFC!$C$5</f>
        <v>12.2</v>
      </c>
      <c r="F54" s="300">
        <f>(12.8*KFC!$B$30+KFC!$C$30)*KFC!$C$5</f>
        <v>12.8</v>
      </c>
      <c r="G54" s="300">
        <f>(13.4*KFC!$B$30+KFC!$C$30)*KFC!$C$5</f>
        <v>13.4</v>
      </c>
      <c r="H54" s="300">
        <f>(14*KFC!$B$30+KFC!$C$30)*KFC!$C$5</f>
        <v>14</v>
      </c>
      <c r="I54" s="300">
        <f>(14.6*KFC!$B$30+KFC!$C$30)*KFC!$C$5</f>
        <v>14.6</v>
      </c>
      <c r="J54" s="300">
        <f>(15.2*KFC!$B$30+KFC!$C$30)*KFC!$C$5</f>
        <v>15.2</v>
      </c>
      <c r="K54" s="300">
        <f>(15.9*KFC!$B$30+KFC!$C$30)*KFC!$C$5</f>
        <v>15.9</v>
      </c>
      <c r="L54" s="300">
        <f>(16.5*KFC!$B$30+KFC!$C$30)*KFC!$C$5</f>
        <v>16.5</v>
      </c>
      <c r="M54" s="300">
        <f>(17.1*KFC!$B$30+KFC!$C$30)*KFC!$C$5</f>
        <v>17.100000000000001</v>
      </c>
      <c r="N54" s="300">
        <f>(17.7*KFC!$B$30+KFC!$C$30)*KFC!$C$5</f>
        <v>17.7</v>
      </c>
      <c r="O54" s="300">
        <f>(18.3*KFC!$B$30+KFC!$C$30)*KFC!$C$5</f>
        <v>18.3</v>
      </c>
      <c r="P54" s="300">
        <f>(18.9*KFC!$B$30+KFC!$C$30)*KFC!$C$5</f>
        <v>18.899999999999999</v>
      </c>
      <c r="Q54" s="300">
        <f>(19.6*KFC!$B$30+KFC!$C$30)*KFC!$C$5</f>
        <v>19.600000000000001</v>
      </c>
      <c r="R54" s="300">
        <f>(20.2*KFC!$B$30+KFC!$C$30)*KFC!$C$5</f>
        <v>20.2</v>
      </c>
      <c r="S54" s="300">
        <f>(20.8*KFC!$B$30+KFC!$C$30)*KFC!$C$5</f>
        <v>20.8</v>
      </c>
      <c r="T54" s="300">
        <f>(21.4*KFC!$B$30+KFC!$C$30)*KFC!$C$5</f>
        <v>21.4</v>
      </c>
      <c r="U54" s="300">
        <f>(22*KFC!$B$30+KFC!$C$30)*KFC!$C$5</f>
        <v>22</v>
      </c>
      <c r="V54" s="300">
        <f>(22.7*KFC!$B$30+KFC!$C$30)*KFC!$C$5</f>
        <v>22.7</v>
      </c>
      <c r="W54" s="300">
        <f>(23.3*KFC!$B$30+KFC!$C$30)*KFC!$C$5</f>
        <v>23.3</v>
      </c>
      <c r="X54" s="300">
        <f>(23.9*KFC!$B$30+KFC!$C$30)*KFC!$C$5</f>
        <v>23.9</v>
      </c>
      <c r="Y54" s="300">
        <f>(24.5*KFC!$B$30+KFC!$C$30)*KFC!$C$5</f>
        <v>24.5</v>
      </c>
      <c r="Z54" s="300">
        <f>(25.1*KFC!$B$30+KFC!$C$30)*KFC!$C$5</f>
        <v>25.1</v>
      </c>
      <c r="AA54" s="300">
        <f>(25.7*KFC!$B$30+KFC!$C$30)*KFC!$C$5</f>
        <v>25.7</v>
      </c>
      <c r="AB54" s="300">
        <f>(26.4*KFC!$B$30+KFC!$C$30)*KFC!$C$5</f>
        <v>26.4</v>
      </c>
      <c r="AC54" s="304">
        <f>(27*KFC!$B$30+KFC!$C$30)*KFC!$C$5</f>
        <v>27</v>
      </c>
    </row>
    <row r="55" spans="1:29">
      <c r="A55" s="1538"/>
      <c r="B55" s="637">
        <v>0.9</v>
      </c>
      <c r="C55" s="303">
        <f>(11.2*KFC!$B$30+KFC!$C$30)*KFC!$C$5</f>
        <v>11.2</v>
      </c>
      <c r="D55" s="300">
        <f>(11.9*KFC!$B$30+KFC!$C$30)*KFC!$C$5</f>
        <v>11.9</v>
      </c>
      <c r="E55" s="300">
        <f>(12.6*KFC!$B$30+KFC!$C$30)*KFC!$C$5</f>
        <v>12.6</v>
      </c>
      <c r="F55" s="300">
        <f>(13.3*KFC!$B$30+KFC!$C$30)*KFC!$C$5</f>
        <v>13.3</v>
      </c>
      <c r="G55" s="300">
        <f>(14*KFC!$B$30+KFC!$C$30)*KFC!$C$5</f>
        <v>14</v>
      </c>
      <c r="H55" s="300">
        <f>(14.6*KFC!$B$30+KFC!$C$30)*KFC!$C$5</f>
        <v>14.6</v>
      </c>
      <c r="I55" s="300">
        <f>(15.3*KFC!$B$30+KFC!$C$30)*KFC!$C$5</f>
        <v>15.3</v>
      </c>
      <c r="J55" s="300">
        <f>(16*KFC!$B$30+KFC!$C$30)*KFC!$C$5</f>
        <v>16</v>
      </c>
      <c r="K55" s="300">
        <f>(16.7*KFC!$B$30+KFC!$C$30)*KFC!$C$5</f>
        <v>16.7</v>
      </c>
      <c r="L55" s="300">
        <f>(17.4*KFC!$B$30+KFC!$C$30)*KFC!$C$5</f>
        <v>17.399999999999999</v>
      </c>
      <c r="M55" s="300">
        <f>(18*KFC!$B$30+KFC!$C$30)*KFC!$C$5</f>
        <v>18</v>
      </c>
      <c r="N55" s="300">
        <f>(18.7*KFC!$B$30+KFC!$C$30)*KFC!$C$5</f>
        <v>18.7</v>
      </c>
      <c r="O55" s="300">
        <f>(19.4*KFC!$B$30+KFC!$C$30)*KFC!$C$5</f>
        <v>19.399999999999999</v>
      </c>
      <c r="P55" s="300">
        <f>(20.1*KFC!$B$30+KFC!$C$30)*KFC!$C$5</f>
        <v>20.100000000000001</v>
      </c>
      <c r="Q55" s="300">
        <f>(20.8*KFC!$B$30+KFC!$C$30)*KFC!$C$5</f>
        <v>20.8</v>
      </c>
      <c r="R55" s="300">
        <f>(21.5*KFC!$B$30+KFC!$C$30)*KFC!$C$5</f>
        <v>21.5</v>
      </c>
      <c r="S55" s="300">
        <f>(22.1*KFC!$B$30+KFC!$C$30)*KFC!$C$5</f>
        <v>22.1</v>
      </c>
      <c r="T55" s="300">
        <f>(22.8*KFC!$B$30+KFC!$C$30)*KFC!$C$5</f>
        <v>22.8</v>
      </c>
      <c r="U55" s="300">
        <f>(23.5*KFC!$B$30+KFC!$C$30)*KFC!$C$5</f>
        <v>23.5</v>
      </c>
      <c r="V55" s="300">
        <f>(24.2*KFC!$B$30+KFC!$C$30)*KFC!$C$5</f>
        <v>24.2</v>
      </c>
      <c r="W55" s="300">
        <f>(24.9*KFC!$B$30+KFC!$C$30)*KFC!$C$5</f>
        <v>24.9</v>
      </c>
      <c r="X55" s="300">
        <f>(25.5*KFC!$B$30+KFC!$C$30)*KFC!$C$5</f>
        <v>25.5</v>
      </c>
      <c r="Y55" s="300">
        <f>(26.2*KFC!$B$30+KFC!$C$30)*KFC!$C$5</f>
        <v>26.2</v>
      </c>
      <c r="Z55" s="300">
        <f>(26.9*KFC!$B$30+KFC!$C$30)*KFC!$C$5</f>
        <v>26.9</v>
      </c>
      <c r="AA55" s="300">
        <f>(27.6*KFC!$B$30+KFC!$C$30)*KFC!$C$5</f>
        <v>27.6</v>
      </c>
      <c r="AB55" s="300">
        <f>(28.3*KFC!$B$30+KFC!$C$30)*KFC!$C$5</f>
        <v>28.3</v>
      </c>
      <c r="AC55" s="304">
        <f>(28.9*KFC!$B$30+KFC!$C$30)*KFC!$C$5</f>
        <v>28.9</v>
      </c>
    </row>
    <row r="56" spans="1:29">
      <c r="A56" s="1538"/>
      <c r="B56" s="637">
        <v>1</v>
      </c>
      <c r="C56" s="303">
        <f>(11.5*KFC!$B$30+KFC!$C$30)*KFC!$C$5</f>
        <v>11.5</v>
      </c>
      <c r="D56" s="300">
        <f>(12.3*KFC!$B$30+KFC!$C$30)*KFC!$C$5</f>
        <v>12.3</v>
      </c>
      <c r="E56" s="300">
        <f>(13*KFC!$B$30+KFC!$C$30)*KFC!$C$5</f>
        <v>13</v>
      </c>
      <c r="F56" s="300">
        <f>(13.8*KFC!$B$30+KFC!$C$30)*KFC!$C$5</f>
        <v>13.8</v>
      </c>
      <c r="G56" s="300">
        <f>(14.5*KFC!$B$30+KFC!$C$30)*KFC!$C$5</f>
        <v>14.5</v>
      </c>
      <c r="H56" s="300">
        <f>(15.3*KFC!$B$30+KFC!$C$30)*KFC!$C$5</f>
        <v>15.3</v>
      </c>
      <c r="I56" s="300">
        <f>(16*KFC!$B$30+KFC!$C$30)*KFC!$C$5</f>
        <v>16</v>
      </c>
      <c r="J56" s="300">
        <f>(16.8*KFC!$B$30+KFC!$C$30)*KFC!$C$5</f>
        <v>16.8</v>
      </c>
      <c r="K56" s="300">
        <f>(17.5*KFC!$B$30+KFC!$C$30)*KFC!$C$5</f>
        <v>17.5</v>
      </c>
      <c r="L56" s="300">
        <f>(18.2*KFC!$B$30+KFC!$C$30)*KFC!$C$5</f>
        <v>18.2</v>
      </c>
      <c r="M56" s="300">
        <f>(19*KFC!$B$30+KFC!$C$30)*KFC!$C$5</f>
        <v>19</v>
      </c>
      <c r="N56" s="300">
        <f>(19.7*KFC!$B$30+KFC!$C$30)*KFC!$C$5</f>
        <v>19.7</v>
      </c>
      <c r="O56" s="300">
        <f>(20.5*KFC!$B$30+KFC!$C$30)*KFC!$C$5</f>
        <v>20.5</v>
      </c>
      <c r="P56" s="300">
        <f>(21.2*KFC!$B$30+KFC!$C$30)*KFC!$C$5</f>
        <v>21.2</v>
      </c>
      <c r="Q56" s="300">
        <f>(22*KFC!$B$30+KFC!$C$30)*KFC!$C$5</f>
        <v>22</v>
      </c>
      <c r="R56" s="300">
        <f>(22.7*KFC!$B$30+KFC!$C$30)*KFC!$C$5</f>
        <v>22.7</v>
      </c>
      <c r="S56" s="300">
        <f>(23.5*KFC!$B$30+KFC!$C$30)*KFC!$C$5</f>
        <v>23.5</v>
      </c>
      <c r="T56" s="300">
        <f>(24.2*KFC!$B$30+KFC!$C$30)*KFC!$C$5</f>
        <v>24.2</v>
      </c>
      <c r="U56" s="300">
        <f>(25*KFC!$B$30+KFC!$C$30)*KFC!$C$5</f>
        <v>25</v>
      </c>
      <c r="V56" s="300">
        <f>(25.7*KFC!$B$30+KFC!$C$30)*KFC!$C$5</f>
        <v>25.7</v>
      </c>
      <c r="W56" s="300">
        <f>(26.4*KFC!$B$30+KFC!$C$30)*KFC!$C$5</f>
        <v>26.4</v>
      </c>
      <c r="X56" s="300">
        <f>(27.2*KFC!$B$30+KFC!$C$30)*KFC!$C$5</f>
        <v>27.2</v>
      </c>
      <c r="Y56" s="300">
        <f>(27.9*KFC!$B$30+KFC!$C$30)*KFC!$C$5</f>
        <v>27.9</v>
      </c>
      <c r="Z56" s="300">
        <f>(28.7*KFC!$B$30+KFC!$C$30)*KFC!$C$5</f>
        <v>28.7</v>
      </c>
      <c r="AA56" s="300">
        <f>(29.4*KFC!$B$30+KFC!$C$30)*KFC!$C$5</f>
        <v>29.4</v>
      </c>
      <c r="AB56" s="300">
        <f>(30.2*KFC!$B$30+KFC!$C$30)*KFC!$C$5</f>
        <v>30.2</v>
      </c>
      <c r="AC56" s="304">
        <f>(30.9*KFC!$B$30+KFC!$C$30)*KFC!$C$5</f>
        <v>30.9</v>
      </c>
    </row>
    <row r="57" spans="1:29">
      <c r="A57" s="1538"/>
      <c r="B57" s="637">
        <v>1.1000000000000001</v>
      </c>
      <c r="C57" s="303">
        <f>(11.8*KFC!$B$30+KFC!$C$30)*KFC!$C$5</f>
        <v>11.8</v>
      </c>
      <c r="D57" s="300">
        <f>(12.7*KFC!$B$30+KFC!$C$30)*KFC!$C$5</f>
        <v>12.7</v>
      </c>
      <c r="E57" s="300">
        <f>(13.5*KFC!$B$30+KFC!$C$30)*KFC!$C$5</f>
        <v>13.5</v>
      </c>
      <c r="F57" s="300">
        <f>(14.3*KFC!$B$30+KFC!$C$30)*KFC!$C$5</f>
        <v>14.3</v>
      </c>
      <c r="G57" s="300">
        <f>(15.1*KFC!$B$30+KFC!$C$30)*KFC!$C$5</f>
        <v>15.1</v>
      </c>
      <c r="H57" s="300">
        <f>(15.9*KFC!$B$30+KFC!$C$30)*KFC!$C$5</f>
        <v>15.9</v>
      </c>
      <c r="I57" s="300">
        <f>(16.7*KFC!$B$30+KFC!$C$30)*KFC!$C$5</f>
        <v>16.7</v>
      </c>
      <c r="J57" s="300">
        <f>(17.5*KFC!$B$30+KFC!$C$30)*KFC!$C$5</f>
        <v>17.5</v>
      </c>
      <c r="K57" s="300">
        <f>(18.3*KFC!$B$30+KFC!$C$30)*KFC!$C$5</f>
        <v>18.3</v>
      </c>
      <c r="L57" s="300">
        <f>(19.1*KFC!$B$30+KFC!$C$30)*KFC!$C$5</f>
        <v>19.100000000000001</v>
      </c>
      <c r="M57" s="300">
        <f>(19.9*KFC!$B$30+KFC!$C$30)*KFC!$C$5</f>
        <v>19.899999999999999</v>
      </c>
      <c r="N57" s="300">
        <f>(20.7*KFC!$B$30+KFC!$C$30)*KFC!$C$5</f>
        <v>20.7</v>
      </c>
      <c r="O57" s="300">
        <f>(21.6*KFC!$B$30+KFC!$C$30)*KFC!$C$5</f>
        <v>21.6</v>
      </c>
      <c r="P57" s="300">
        <f>(22.4*KFC!$B$30+KFC!$C$30)*KFC!$C$5</f>
        <v>22.4</v>
      </c>
      <c r="Q57" s="300">
        <f>(23.2*KFC!$B$30+KFC!$C$30)*KFC!$C$5</f>
        <v>23.2</v>
      </c>
      <c r="R57" s="300">
        <f>(24*KFC!$B$30+KFC!$C$30)*KFC!$C$5</f>
        <v>24</v>
      </c>
      <c r="S57" s="300">
        <f>(24.8*KFC!$B$30+KFC!$C$30)*KFC!$C$5</f>
        <v>24.8</v>
      </c>
      <c r="T57" s="300">
        <f>(25.6*KFC!$B$30+KFC!$C$30)*KFC!$C$5</f>
        <v>25.6</v>
      </c>
      <c r="U57" s="300">
        <f>(26.4*KFC!$B$30+KFC!$C$30)*KFC!$C$5</f>
        <v>26.4</v>
      </c>
      <c r="V57" s="300">
        <f>(27.2*KFC!$B$30+KFC!$C$30)*KFC!$C$5</f>
        <v>27.2</v>
      </c>
      <c r="W57" s="300">
        <f>(28*KFC!$B$30+KFC!$C$30)*KFC!$C$5</f>
        <v>28</v>
      </c>
      <c r="X57" s="300">
        <f>(28.8*KFC!$B$30+KFC!$C$30)*KFC!$C$5</f>
        <v>28.8</v>
      </c>
      <c r="Y57" s="300">
        <f>(29.7*KFC!$B$30+KFC!$C$30)*KFC!$C$5</f>
        <v>29.7</v>
      </c>
      <c r="Z57" s="300">
        <f>(30.5*KFC!$B$30+KFC!$C$30)*KFC!$C$5</f>
        <v>30.5</v>
      </c>
      <c r="AA57" s="300">
        <f>(31.3*KFC!$B$30+KFC!$C$30)*KFC!$C$5</f>
        <v>31.3</v>
      </c>
      <c r="AB57" s="300">
        <f>(32.1*KFC!$B$30+KFC!$C$30)*KFC!$C$5</f>
        <v>32.1</v>
      </c>
      <c r="AC57" s="304">
        <f>(32.9*KFC!$B$30+KFC!$C$30)*KFC!$C$5</f>
        <v>32.9</v>
      </c>
    </row>
    <row r="58" spans="1:29">
      <c r="A58" s="1538"/>
      <c r="B58" s="637">
        <v>1.2</v>
      </c>
      <c r="C58" s="303">
        <f>(12.1*KFC!$B$30+KFC!$C$30)*KFC!$C$5</f>
        <v>12.1</v>
      </c>
      <c r="D58" s="300">
        <f>(13*KFC!$B$30+KFC!$C$30)*KFC!$C$5</f>
        <v>13</v>
      </c>
      <c r="E58" s="300">
        <f>(13.9*KFC!$B$30+KFC!$C$30)*KFC!$C$5</f>
        <v>13.9</v>
      </c>
      <c r="F58" s="300">
        <f>(14.8*KFC!$B$30+KFC!$C$30)*KFC!$C$5</f>
        <v>14.8</v>
      </c>
      <c r="G58" s="300">
        <f>(15.6*KFC!$B$30+KFC!$C$30)*KFC!$C$5</f>
        <v>15.6</v>
      </c>
      <c r="H58" s="300">
        <f>(16.5*KFC!$B$30+KFC!$C$30)*KFC!$C$5</f>
        <v>16.5</v>
      </c>
      <c r="I58" s="300">
        <f>(17.4*KFC!$B$30+KFC!$C$30)*KFC!$C$5</f>
        <v>17.399999999999999</v>
      </c>
      <c r="J58" s="300">
        <f>(18.3*KFC!$B$30+KFC!$C$30)*KFC!$C$5</f>
        <v>18.3</v>
      </c>
      <c r="K58" s="300">
        <f>(19.1*KFC!$B$30+KFC!$C$30)*KFC!$C$5</f>
        <v>19.100000000000001</v>
      </c>
      <c r="L58" s="300">
        <f>(20*KFC!$B$30+KFC!$C$30)*KFC!$C$5</f>
        <v>20</v>
      </c>
      <c r="M58" s="300">
        <f>(20.9*KFC!$B$30+KFC!$C$30)*KFC!$C$5</f>
        <v>20.9</v>
      </c>
      <c r="N58" s="300">
        <f>(21.8*KFC!$B$30+KFC!$C$30)*KFC!$C$5</f>
        <v>21.8</v>
      </c>
      <c r="O58" s="300">
        <f>(22.6*KFC!$B$30+KFC!$C$30)*KFC!$C$5</f>
        <v>22.6</v>
      </c>
      <c r="P58" s="300">
        <f>(23.5*KFC!$B$30+KFC!$C$30)*KFC!$C$5</f>
        <v>23.5</v>
      </c>
      <c r="Q58" s="300">
        <f>(24.4*KFC!$B$30+KFC!$C$30)*KFC!$C$5</f>
        <v>24.4</v>
      </c>
      <c r="R58" s="300">
        <f>(25.3*KFC!$B$30+KFC!$C$30)*KFC!$C$5</f>
        <v>25.3</v>
      </c>
      <c r="S58" s="300">
        <f>(26.1*KFC!$B$30+KFC!$C$30)*KFC!$C$5</f>
        <v>26.1</v>
      </c>
      <c r="T58" s="300">
        <f>(27*KFC!$B$30+KFC!$C$30)*KFC!$C$5</f>
        <v>27</v>
      </c>
      <c r="U58" s="300">
        <f>(27.9*KFC!$B$30+KFC!$C$30)*KFC!$C$5</f>
        <v>27.9</v>
      </c>
      <c r="V58" s="300">
        <f>(28.8*KFC!$B$30+KFC!$C$30)*KFC!$C$5</f>
        <v>28.8</v>
      </c>
      <c r="W58" s="300">
        <f>(29.6*KFC!$B$30+KFC!$C$30)*KFC!$C$5</f>
        <v>29.6</v>
      </c>
      <c r="X58" s="300">
        <f>(30.5*KFC!$B$30+KFC!$C$30)*KFC!$C$5</f>
        <v>30.5</v>
      </c>
      <c r="Y58" s="300">
        <f>(31.4*KFC!$B$30+KFC!$C$30)*KFC!$C$5</f>
        <v>31.4</v>
      </c>
      <c r="Z58" s="300">
        <f>(32.2*KFC!$B$30+KFC!$C$30)*KFC!$C$5</f>
        <v>32.200000000000003</v>
      </c>
      <c r="AA58" s="300">
        <f>(33.1*KFC!$B$30+KFC!$C$30)*KFC!$C$5</f>
        <v>33.1</v>
      </c>
      <c r="AB58" s="300">
        <f>(34*KFC!$B$30+KFC!$C$30)*KFC!$C$5</f>
        <v>34</v>
      </c>
      <c r="AC58" s="304">
        <f>(34.9*KFC!$B$30+KFC!$C$30)*KFC!$C$5</f>
        <v>34.9</v>
      </c>
    </row>
    <row r="59" spans="1:29">
      <c r="A59" s="1538"/>
      <c r="B59" s="637">
        <v>1.3</v>
      </c>
      <c r="C59" s="303">
        <f>(12.5*KFC!$B$30+KFC!$C$30)*KFC!$C$5</f>
        <v>12.5</v>
      </c>
      <c r="D59" s="300">
        <f>(13.4*KFC!$B$30+KFC!$C$30)*KFC!$C$5</f>
        <v>13.4</v>
      </c>
      <c r="E59" s="300">
        <f>(14.3*KFC!$B$30+KFC!$C$30)*KFC!$C$5</f>
        <v>14.3</v>
      </c>
      <c r="F59" s="300">
        <f>(15.3*KFC!$B$30+KFC!$C$30)*KFC!$C$5</f>
        <v>15.3</v>
      </c>
      <c r="G59" s="300">
        <f>(16.2*KFC!$B$30+KFC!$C$30)*KFC!$C$5</f>
        <v>16.2</v>
      </c>
      <c r="H59" s="300">
        <f>(17.1*KFC!$B$30+KFC!$C$30)*KFC!$C$5</f>
        <v>17.100000000000001</v>
      </c>
      <c r="I59" s="300">
        <f>(18.1*KFC!$B$30+KFC!$C$30)*KFC!$C$5</f>
        <v>18.100000000000001</v>
      </c>
      <c r="J59" s="300">
        <f>(19*KFC!$B$30+KFC!$C$30)*KFC!$C$5</f>
        <v>19</v>
      </c>
      <c r="K59" s="300">
        <f>(20*KFC!$B$30+KFC!$C$30)*KFC!$C$5</f>
        <v>20</v>
      </c>
      <c r="L59" s="300">
        <f>(20.9*KFC!$B$30+KFC!$C$30)*KFC!$C$5</f>
        <v>20.9</v>
      </c>
      <c r="M59" s="300">
        <f>(21.8*KFC!$B$30+KFC!$C$30)*KFC!$C$5</f>
        <v>21.8</v>
      </c>
      <c r="N59" s="300">
        <f>(22.8*KFC!$B$30+KFC!$C$30)*KFC!$C$5</f>
        <v>22.8</v>
      </c>
      <c r="O59" s="300">
        <f>(23.7*KFC!$B$30+KFC!$C$30)*KFC!$C$5</f>
        <v>23.7</v>
      </c>
      <c r="P59" s="300">
        <f>(24.6*KFC!$B$30+KFC!$C$30)*KFC!$C$5</f>
        <v>24.6</v>
      </c>
      <c r="Q59" s="300">
        <f>(25.6*KFC!$B$30+KFC!$C$30)*KFC!$C$5</f>
        <v>25.6</v>
      </c>
      <c r="R59" s="300">
        <f>(26.5*KFC!$B$30+KFC!$C$30)*KFC!$C$5</f>
        <v>26.5</v>
      </c>
      <c r="S59" s="300">
        <f>(27.5*KFC!$B$30+KFC!$C$30)*KFC!$C$5</f>
        <v>27.5</v>
      </c>
      <c r="T59" s="300">
        <f>(28.4*KFC!$B$30+KFC!$C$30)*KFC!$C$5</f>
        <v>28.4</v>
      </c>
      <c r="U59" s="300">
        <f>(29.3*KFC!$B$30+KFC!$C$30)*KFC!$C$5</f>
        <v>29.3</v>
      </c>
      <c r="V59" s="300">
        <f>(30.3*KFC!$B$30+KFC!$C$30)*KFC!$C$5</f>
        <v>30.3</v>
      </c>
      <c r="W59" s="300">
        <f>(31.2*KFC!$B$30+KFC!$C$30)*KFC!$C$5</f>
        <v>31.2</v>
      </c>
      <c r="X59" s="300">
        <f>(32.2*KFC!$B$30+KFC!$C$30)*KFC!$C$5</f>
        <v>32.200000000000003</v>
      </c>
      <c r="Y59" s="300">
        <f>(33.1*KFC!$B$30+KFC!$C$30)*KFC!$C$5</f>
        <v>33.1</v>
      </c>
      <c r="Z59" s="300">
        <f>(34*KFC!$B$30+KFC!$C$30)*KFC!$C$5</f>
        <v>34</v>
      </c>
      <c r="AA59" s="300">
        <f>(35*KFC!$B$30+KFC!$C$30)*KFC!$C$5</f>
        <v>35</v>
      </c>
      <c r="AB59" s="300">
        <f>(35.9*KFC!$B$30+KFC!$C$30)*KFC!$C$5</f>
        <v>35.9</v>
      </c>
      <c r="AC59" s="304">
        <f>(36.8*KFC!$B$30+KFC!$C$30)*KFC!$C$5</f>
        <v>36.799999999999997</v>
      </c>
    </row>
    <row r="60" spans="1:29">
      <c r="A60" s="1538"/>
      <c r="B60" s="637">
        <v>1.4</v>
      </c>
      <c r="C60" s="303">
        <f>(12.8*KFC!$B$30+KFC!$C$30)*KFC!$C$5</f>
        <v>12.8</v>
      </c>
      <c r="D60" s="300">
        <f>(13.8*KFC!$B$30+KFC!$C$30)*KFC!$C$5</f>
        <v>13.8</v>
      </c>
      <c r="E60" s="300">
        <f>(14.8*KFC!$B$30+KFC!$C$30)*KFC!$C$5</f>
        <v>14.8</v>
      </c>
      <c r="F60" s="300">
        <f>(15.8*KFC!$B$30+KFC!$C$30)*KFC!$C$5</f>
        <v>15.8</v>
      </c>
      <c r="G60" s="300">
        <f>(16.8*KFC!$B$30+KFC!$C$30)*KFC!$C$5</f>
        <v>16.8</v>
      </c>
      <c r="H60" s="300">
        <f>(17.8*KFC!$B$30+KFC!$C$30)*KFC!$C$5</f>
        <v>17.8</v>
      </c>
      <c r="I60" s="300">
        <f>(18.8*KFC!$B$30+KFC!$C$30)*KFC!$C$5</f>
        <v>18.8</v>
      </c>
      <c r="J60" s="300">
        <f>(19.8*KFC!$B$30+KFC!$C$30)*KFC!$C$5</f>
        <v>19.8</v>
      </c>
      <c r="K60" s="300">
        <f>(20.8*KFC!$B$30+KFC!$C$30)*KFC!$C$5</f>
        <v>20.8</v>
      </c>
      <c r="L60" s="300">
        <f>(21.8*KFC!$B$30+KFC!$C$30)*KFC!$C$5</f>
        <v>21.8</v>
      </c>
      <c r="M60" s="300">
        <f>(22.8*KFC!$B$30+KFC!$C$30)*KFC!$C$5</f>
        <v>22.8</v>
      </c>
      <c r="N60" s="300">
        <f>(23.8*KFC!$B$30+KFC!$C$30)*KFC!$C$5</f>
        <v>23.8</v>
      </c>
      <c r="O60" s="300">
        <f>(24.8*KFC!$B$30+KFC!$C$30)*KFC!$C$5</f>
        <v>24.8</v>
      </c>
      <c r="P60" s="300">
        <f>(25.8*KFC!$B$30+KFC!$C$30)*KFC!$C$5</f>
        <v>25.8</v>
      </c>
      <c r="Q60" s="300">
        <f>(26.8*KFC!$B$30+KFC!$C$30)*KFC!$C$5</f>
        <v>26.8</v>
      </c>
      <c r="R60" s="300">
        <f>(27.8*KFC!$B$30+KFC!$C$30)*KFC!$C$5</f>
        <v>27.8</v>
      </c>
      <c r="S60" s="300">
        <f>(28.8*KFC!$B$30+KFC!$C$30)*KFC!$C$5</f>
        <v>28.8</v>
      </c>
      <c r="T60" s="300">
        <f>(29.8*KFC!$B$30+KFC!$C$30)*KFC!$C$5</f>
        <v>29.8</v>
      </c>
      <c r="U60" s="300">
        <f>(30.8*KFC!$B$30+KFC!$C$30)*KFC!$C$5</f>
        <v>30.8</v>
      </c>
      <c r="V60" s="300">
        <f>(31.8*KFC!$B$30+KFC!$C$30)*KFC!$C$5</f>
        <v>31.8</v>
      </c>
      <c r="W60" s="300">
        <f>(32.8*KFC!$B$30+KFC!$C$30)*KFC!$C$5</f>
        <v>32.799999999999997</v>
      </c>
      <c r="X60" s="300">
        <f>(33.8*KFC!$B$30+KFC!$C$30)*KFC!$C$5</f>
        <v>33.799999999999997</v>
      </c>
      <c r="Y60" s="300">
        <f>(34.8*KFC!$B$30+KFC!$C$30)*KFC!$C$5</f>
        <v>34.799999999999997</v>
      </c>
      <c r="Z60" s="300">
        <f>(35.8*KFC!$B$30+KFC!$C$30)*KFC!$C$5</f>
        <v>35.799999999999997</v>
      </c>
      <c r="AA60" s="300">
        <f>(36.8*KFC!$B$30+KFC!$C$30)*KFC!$C$5</f>
        <v>36.799999999999997</v>
      </c>
      <c r="AB60" s="300">
        <f>(37.8*KFC!$B$30+KFC!$C$30)*KFC!$C$5</f>
        <v>37.799999999999997</v>
      </c>
      <c r="AC60" s="304">
        <f>(38.8*KFC!$B$30+KFC!$C$30)*KFC!$C$5</f>
        <v>38.799999999999997</v>
      </c>
    </row>
    <row r="61" spans="1:29">
      <c r="A61" s="1538"/>
      <c r="B61" s="637">
        <v>1.5</v>
      </c>
      <c r="C61" s="303">
        <f>(13.1*KFC!$B$30+KFC!$C$30)*KFC!$C$5</f>
        <v>13.1</v>
      </c>
      <c r="D61" s="300">
        <f>(14.1*KFC!$B$30+KFC!$C$30)*KFC!$C$5</f>
        <v>14.1</v>
      </c>
      <c r="E61" s="300">
        <f>(15.2*KFC!$B$30+KFC!$C$30)*KFC!$C$5</f>
        <v>15.2</v>
      </c>
      <c r="F61" s="300">
        <f>(16.3*KFC!$B$30+KFC!$C$30)*KFC!$C$5</f>
        <v>16.3</v>
      </c>
      <c r="G61" s="300">
        <f>(17.3*KFC!$B$30+KFC!$C$30)*KFC!$C$5</f>
        <v>17.3</v>
      </c>
      <c r="H61" s="300">
        <f>(18.4*KFC!$B$30+KFC!$C$30)*KFC!$C$5</f>
        <v>18.399999999999999</v>
      </c>
      <c r="I61" s="300">
        <f>(19.5*KFC!$B$30+KFC!$C$30)*KFC!$C$5</f>
        <v>19.5</v>
      </c>
      <c r="J61" s="300">
        <f>(20.5*KFC!$B$30+KFC!$C$30)*KFC!$C$5</f>
        <v>20.5</v>
      </c>
      <c r="K61" s="300">
        <f>(21.6*KFC!$B$30+KFC!$C$30)*KFC!$C$5</f>
        <v>21.6</v>
      </c>
      <c r="L61" s="300">
        <f>(22.7*KFC!$B$30+KFC!$C$30)*KFC!$C$5</f>
        <v>22.7</v>
      </c>
      <c r="M61" s="300">
        <f>(23.7*KFC!$B$30+KFC!$C$30)*KFC!$C$5</f>
        <v>23.7</v>
      </c>
      <c r="N61" s="300">
        <f>(24.8*KFC!$B$30+KFC!$C$30)*KFC!$C$5</f>
        <v>24.8</v>
      </c>
      <c r="O61" s="300">
        <f>(25.9*KFC!$B$30+KFC!$C$30)*KFC!$C$5</f>
        <v>25.9</v>
      </c>
      <c r="P61" s="300">
        <f>(26.9*KFC!$B$30+KFC!$C$30)*KFC!$C$5</f>
        <v>26.9</v>
      </c>
      <c r="Q61" s="300">
        <f>(28*KFC!$B$30+KFC!$C$30)*KFC!$C$5</f>
        <v>28</v>
      </c>
      <c r="R61" s="300">
        <f>(29.1*KFC!$B$30+KFC!$C$30)*KFC!$C$5</f>
        <v>29.1</v>
      </c>
      <c r="S61" s="300">
        <f>(30.1*KFC!$B$30+KFC!$C$30)*KFC!$C$5</f>
        <v>30.1</v>
      </c>
      <c r="T61" s="300">
        <f>(31.2*KFC!$B$30+KFC!$C$30)*KFC!$C$5</f>
        <v>31.2</v>
      </c>
      <c r="U61" s="300">
        <f>(32.3*KFC!$B$30+KFC!$C$30)*KFC!$C$5</f>
        <v>32.299999999999997</v>
      </c>
      <c r="V61" s="300">
        <f>(33.3*KFC!$B$30+KFC!$C$30)*KFC!$C$5</f>
        <v>33.299999999999997</v>
      </c>
      <c r="W61" s="300">
        <f>(34.4*KFC!$B$30+KFC!$C$30)*KFC!$C$5</f>
        <v>34.4</v>
      </c>
      <c r="X61" s="300">
        <f>(35.5*KFC!$B$30+KFC!$C$30)*KFC!$C$5</f>
        <v>35.5</v>
      </c>
      <c r="Y61" s="300">
        <f>(36.5*KFC!$B$30+KFC!$C$30)*KFC!$C$5</f>
        <v>36.5</v>
      </c>
      <c r="Z61" s="300">
        <f>(37.6*KFC!$B$30+KFC!$C$30)*KFC!$C$5</f>
        <v>37.6</v>
      </c>
      <c r="AA61" s="300">
        <f>(38.7*KFC!$B$30+KFC!$C$30)*KFC!$C$5</f>
        <v>38.700000000000003</v>
      </c>
      <c r="AB61" s="300">
        <f>(39.7*KFC!$B$30+KFC!$C$30)*KFC!$C$5</f>
        <v>39.700000000000003</v>
      </c>
      <c r="AC61" s="304">
        <f>(40.8*KFC!$B$30+KFC!$C$30)*KFC!$C$5</f>
        <v>40.799999999999997</v>
      </c>
    </row>
    <row r="62" spans="1:29">
      <c r="A62" s="1538"/>
      <c r="B62" s="637">
        <v>1.6</v>
      </c>
      <c r="C62" s="303">
        <f>(13.4*KFC!$B$30+KFC!$C$30)*KFC!$C$5</f>
        <v>13.4</v>
      </c>
      <c r="D62" s="300">
        <f>(14.5*KFC!$B$30+KFC!$C$30)*KFC!$C$5</f>
        <v>14.5</v>
      </c>
      <c r="E62" s="300">
        <f>(15.6*KFC!$B$30+KFC!$C$30)*KFC!$C$5</f>
        <v>15.6</v>
      </c>
      <c r="F62" s="300">
        <f>(16.8*KFC!$B$30+KFC!$C$30)*KFC!$C$5</f>
        <v>16.8</v>
      </c>
      <c r="G62" s="300">
        <f>(17.9*KFC!$B$30+KFC!$C$30)*KFC!$C$5</f>
        <v>17.899999999999999</v>
      </c>
      <c r="H62" s="300">
        <f>(19*KFC!$B$30+KFC!$C$30)*KFC!$C$5</f>
        <v>19</v>
      </c>
      <c r="I62" s="300">
        <f>(20.2*KFC!$B$30+KFC!$C$30)*KFC!$C$5</f>
        <v>20.2</v>
      </c>
      <c r="J62" s="300">
        <f>(21.3*KFC!$B$30+KFC!$C$30)*KFC!$C$5</f>
        <v>21.3</v>
      </c>
      <c r="K62" s="300">
        <f>(22.4*KFC!$B$30+KFC!$C$30)*KFC!$C$5</f>
        <v>22.4</v>
      </c>
      <c r="L62" s="300">
        <f>(23.5*KFC!$B$30+KFC!$C$30)*KFC!$C$5</f>
        <v>23.5</v>
      </c>
      <c r="M62" s="300">
        <f>(24.7*KFC!$B$30+KFC!$C$30)*KFC!$C$5</f>
        <v>24.7</v>
      </c>
      <c r="N62" s="300">
        <f>(25.8*KFC!$B$30+KFC!$C$30)*KFC!$C$5</f>
        <v>25.8</v>
      </c>
      <c r="O62" s="300">
        <f>(26.9*KFC!$B$30+KFC!$C$30)*KFC!$C$5</f>
        <v>26.9</v>
      </c>
      <c r="P62" s="300">
        <f>(28.1*KFC!$B$30+KFC!$C$30)*KFC!$C$5</f>
        <v>28.1</v>
      </c>
      <c r="Q62" s="300">
        <f>(29.2*KFC!$B$30+KFC!$C$30)*KFC!$C$5</f>
        <v>29.2</v>
      </c>
      <c r="R62" s="300">
        <f>(30.3*KFC!$B$30+KFC!$C$30)*KFC!$C$5</f>
        <v>30.3</v>
      </c>
      <c r="S62" s="300">
        <f>(31.5*KFC!$B$30+KFC!$C$30)*KFC!$C$5</f>
        <v>31.5</v>
      </c>
      <c r="T62" s="300">
        <f>(32.6*KFC!$B$30+KFC!$C$30)*KFC!$C$5</f>
        <v>32.6</v>
      </c>
      <c r="U62" s="300">
        <f>(33.7*KFC!$B$30+KFC!$C$30)*KFC!$C$5</f>
        <v>33.700000000000003</v>
      </c>
      <c r="V62" s="300">
        <f>(34.9*KFC!$B$30+KFC!$C$30)*KFC!$C$5</f>
        <v>34.9</v>
      </c>
      <c r="W62" s="300">
        <f>(36*KFC!$B$30+KFC!$C$30)*KFC!$C$5</f>
        <v>36</v>
      </c>
      <c r="X62" s="300">
        <f>(37.1*KFC!$B$30+KFC!$C$30)*KFC!$C$5</f>
        <v>37.1</v>
      </c>
      <c r="Y62" s="300">
        <f>(38.2*KFC!$B$30+KFC!$C$30)*KFC!$C$5</f>
        <v>38.200000000000003</v>
      </c>
      <c r="Z62" s="300">
        <f>(39.4*KFC!$B$30+KFC!$C$30)*KFC!$C$5</f>
        <v>39.4</v>
      </c>
      <c r="AA62" s="300">
        <f>(40.5*KFC!$B$30+KFC!$C$30)*KFC!$C$5</f>
        <v>40.5</v>
      </c>
      <c r="AB62" s="300">
        <f>(41.6*KFC!$B$30+KFC!$C$30)*KFC!$C$5</f>
        <v>41.6</v>
      </c>
      <c r="AC62" s="304">
        <f>(42.8*KFC!$B$30+KFC!$C$30)*KFC!$C$5</f>
        <v>42.8</v>
      </c>
    </row>
    <row r="63" spans="1:29">
      <c r="A63" s="1538"/>
      <c r="B63" s="637">
        <v>1.7</v>
      </c>
      <c r="C63" s="303">
        <f>(13.7*KFC!$B$30+KFC!$C$30)*KFC!$C$5</f>
        <v>13.7</v>
      </c>
      <c r="D63" s="300">
        <f>(14.9*KFC!$B$30+KFC!$C$30)*KFC!$C$5</f>
        <v>14.9</v>
      </c>
      <c r="E63" s="300">
        <f>(16.1*KFC!$B$30+KFC!$C$30)*KFC!$C$5</f>
        <v>16.100000000000001</v>
      </c>
      <c r="F63" s="300">
        <f>(17.3*KFC!$B$30+KFC!$C$30)*KFC!$C$5</f>
        <v>17.3</v>
      </c>
      <c r="G63" s="300">
        <f>(18.5*KFC!$B$30+KFC!$C$30)*KFC!$C$5</f>
        <v>18.5</v>
      </c>
      <c r="H63" s="300">
        <f>(19.7*KFC!$B$30+KFC!$C$30)*KFC!$C$5</f>
        <v>19.7</v>
      </c>
      <c r="I63" s="300">
        <f>(20.9*KFC!$B$30+KFC!$C$30)*KFC!$C$5</f>
        <v>20.9</v>
      </c>
      <c r="J63" s="300">
        <f>(22*KFC!$B$30+KFC!$C$30)*KFC!$C$5</f>
        <v>22</v>
      </c>
      <c r="K63" s="300">
        <f>(23.2*KFC!$B$30+KFC!$C$30)*KFC!$C$5</f>
        <v>23.2</v>
      </c>
      <c r="L63" s="300">
        <f>(24.4*KFC!$B$30+KFC!$C$30)*KFC!$C$5</f>
        <v>24.4</v>
      </c>
      <c r="M63" s="300">
        <f>(25.6*KFC!$B$30+KFC!$C$30)*KFC!$C$5</f>
        <v>25.6</v>
      </c>
      <c r="N63" s="300">
        <f>(26.8*KFC!$B$30+KFC!$C$30)*KFC!$C$5</f>
        <v>26.8</v>
      </c>
      <c r="O63" s="300">
        <f>(28*KFC!$B$30+KFC!$C$30)*KFC!$C$5</f>
        <v>28</v>
      </c>
      <c r="P63" s="300">
        <f>(29.2*KFC!$B$30+KFC!$C$30)*KFC!$C$5</f>
        <v>29.2</v>
      </c>
      <c r="Q63" s="300">
        <f>(30.4*KFC!$B$30+KFC!$C$30)*KFC!$C$5</f>
        <v>30.4</v>
      </c>
      <c r="R63" s="300">
        <f>(31.6*KFC!$B$30+KFC!$C$30)*KFC!$C$5</f>
        <v>31.6</v>
      </c>
      <c r="S63" s="300">
        <f>(32.8*KFC!$B$30+KFC!$C$30)*KFC!$C$5</f>
        <v>32.799999999999997</v>
      </c>
      <c r="T63" s="300">
        <f>(34*KFC!$B$30+KFC!$C$30)*KFC!$C$5</f>
        <v>34</v>
      </c>
      <c r="U63" s="300">
        <f>(35.2*KFC!$B$30+KFC!$C$30)*KFC!$C$5</f>
        <v>35.200000000000003</v>
      </c>
      <c r="V63" s="300">
        <f>(36.4*KFC!$B$30+KFC!$C$30)*KFC!$C$5</f>
        <v>36.4</v>
      </c>
      <c r="W63" s="300">
        <f>(37.6*KFC!$B$30+KFC!$C$30)*KFC!$C$5</f>
        <v>37.6</v>
      </c>
      <c r="X63" s="300">
        <f>(38.8*KFC!$B$30+KFC!$C$30)*KFC!$C$5</f>
        <v>38.799999999999997</v>
      </c>
      <c r="Y63" s="300">
        <f>(40*KFC!$B$30+KFC!$C$30)*KFC!$C$5</f>
        <v>40</v>
      </c>
      <c r="Z63" s="300">
        <f>(41.2*KFC!$B$30+KFC!$C$30)*KFC!$C$5</f>
        <v>41.2</v>
      </c>
      <c r="AA63" s="300">
        <f>(42.3*KFC!$B$30+KFC!$C$30)*KFC!$C$5</f>
        <v>42.3</v>
      </c>
      <c r="AB63" s="300">
        <f>(43.5*KFC!$B$30+KFC!$C$30)*KFC!$C$5</f>
        <v>43.5</v>
      </c>
      <c r="AC63" s="304">
        <f>(44.7*KFC!$B$30+KFC!$C$30)*KFC!$C$5</f>
        <v>44.7</v>
      </c>
    </row>
    <row r="64" spans="1:29">
      <c r="A64" s="1538"/>
      <c r="B64" s="637">
        <v>1.8</v>
      </c>
      <c r="C64" s="303">
        <f>(14*KFC!$B$30+KFC!$C$30)*KFC!$C$5</f>
        <v>14</v>
      </c>
      <c r="D64" s="300">
        <f>(15.2*KFC!$B$30+KFC!$C$30)*KFC!$C$5</f>
        <v>15.2</v>
      </c>
      <c r="E64" s="300">
        <f>(16.5*KFC!$B$30+KFC!$C$30)*KFC!$C$5</f>
        <v>16.5</v>
      </c>
      <c r="F64" s="300">
        <f>(17.8*KFC!$B$30+KFC!$C$30)*KFC!$C$5</f>
        <v>17.8</v>
      </c>
      <c r="G64" s="300">
        <f>(19*KFC!$B$30+KFC!$C$30)*KFC!$C$5</f>
        <v>19</v>
      </c>
      <c r="H64" s="300">
        <f>(20.3*KFC!$B$30+KFC!$C$30)*KFC!$C$5</f>
        <v>20.3</v>
      </c>
      <c r="I64" s="300">
        <f>(21.5*KFC!$B$30+KFC!$C$30)*KFC!$C$5</f>
        <v>21.5</v>
      </c>
      <c r="J64" s="300">
        <f>(22.8*KFC!$B$30+KFC!$C$30)*KFC!$C$5</f>
        <v>22.8</v>
      </c>
      <c r="K64" s="300">
        <f>(24.1*KFC!$B$30+KFC!$C$30)*KFC!$C$5</f>
        <v>24.1</v>
      </c>
      <c r="L64" s="300">
        <f>(25.3*KFC!$B$30+KFC!$C$30)*KFC!$C$5</f>
        <v>25.3</v>
      </c>
      <c r="M64" s="300">
        <f>(26.6*KFC!$B$30+KFC!$C$30)*KFC!$C$5</f>
        <v>26.6</v>
      </c>
      <c r="N64" s="300">
        <f>(27.8*KFC!$B$30+KFC!$C$30)*KFC!$C$5</f>
        <v>27.8</v>
      </c>
      <c r="O64" s="300">
        <f>(29.1*KFC!$B$30+KFC!$C$30)*KFC!$C$5</f>
        <v>29.1</v>
      </c>
      <c r="P64" s="300">
        <f>(30.4*KFC!$B$30+KFC!$C$30)*KFC!$C$5</f>
        <v>30.4</v>
      </c>
      <c r="Q64" s="300">
        <f>(31.6*KFC!$B$30+KFC!$C$30)*KFC!$C$5</f>
        <v>31.6</v>
      </c>
      <c r="R64" s="300">
        <f>(32.9*KFC!$B$30+KFC!$C$30)*KFC!$C$5</f>
        <v>32.9</v>
      </c>
      <c r="S64" s="300">
        <f>(34.1*KFC!$B$30+KFC!$C$30)*KFC!$C$5</f>
        <v>34.1</v>
      </c>
      <c r="T64" s="300">
        <f>(35.4*KFC!$B$30+KFC!$C$30)*KFC!$C$5</f>
        <v>35.4</v>
      </c>
      <c r="U64" s="300">
        <f>(36.6*KFC!$B$30+KFC!$C$30)*KFC!$C$5</f>
        <v>36.6</v>
      </c>
      <c r="V64" s="300">
        <f>(37.9*KFC!$B$30+KFC!$C$30)*KFC!$C$5</f>
        <v>37.9</v>
      </c>
      <c r="W64" s="300">
        <f>(39.2*KFC!$B$30+KFC!$C$30)*KFC!$C$5</f>
        <v>39.200000000000003</v>
      </c>
      <c r="X64" s="300">
        <f>(40.4*KFC!$B$30+KFC!$C$30)*KFC!$C$5</f>
        <v>40.4</v>
      </c>
      <c r="Y64" s="300">
        <f>(41.7*KFC!$B$30+KFC!$C$30)*KFC!$C$5</f>
        <v>41.7</v>
      </c>
      <c r="Z64" s="300">
        <f>(42.9*KFC!$B$30+KFC!$C$30)*KFC!$C$5</f>
        <v>42.9</v>
      </c>
      <c r="AA64" s="300">
        <f>(44.2*KFC!$B$30+KFC!$C$30)*KFC!$C$5</f>
        <v>44.2</v>
      </c>
      <c r="AB64" s="300">
        <f>(45.5*KFC!$B$30+KFC!$C$30)*KFC!$C$5</f>
        <v>45.5</v>
      </c>
      <c r="AC64" s="304">
        <f>(46.7*KFC!$B$30+KFC!$C$30)*KFC!$C$5</f>
        <v>46.7</v>
      </c>
    </row>
    <row r="65" spans="1:29">
      <c r="A65" s="1538"/>
      <c r="B65" s="637">
        <v>1.9</v>
      </c>
      <c r="C65" s="303">
        <f>(14.3*KFC!$B$30+KFC!$C$30)*KFC!$C$5</f>
        <v>14.3</v>
      </c>
      <c r="D65" s="300">
        <f>(15.6*KFC!$B$30+KFC!$C$30)*KFC!$C$5</f>
        <v>15.6</v>
      </c>
      <c r="E65" s="300">
        <f>(16.9*KFC!$B$30+KFC!$C$30)*KFC!$C$5</f>
        <v>16.899999999999999</v>
      </c>
      <c r="F65" s="300">
        <f>(18.3*KFC!$B$30+KFC!$C$30)*KFC!$C$5</f>
        <v>18.3</v>
      </c>
      <c r="G65" s="300">
        <f>(19.6*KFC!$B$30+KFC!$C$30)*KFC!$C$5</f>
        <v>19.600000000000001</v>
      </c>
      <c r="H65" s="300">
        <f>(20.9*KFC!$B$30+KFC!$C$30)*KFC!$C$5</f>
        <v>20.9</v>
      </c>
      <c r="I65" s="300">
        <f>(22.2*KFC!$B$30+KFC!$C$30)*KFC!$C$5</f>
        <v>22.2</v>
      </c>
      <c r="J65" s="300">
        <f>(23.6*KFC!$B$30+KFC!$C$30)*KFC!$C$5</f>
        <v>23.6</v>
      </c>
      <c r="K65" s="300">
        <f>(24.9*KFC!$B$30+KFC!$C$30)*KFC!$C$5</f>
        <v>24.9</v>
      </c>
      <c r="L65" s="300">
        <f>(26.2*KFC!$B$30+KFC!$C$30)*KFC!$C$5</f>
        <v>26.2</v>
      </c>
      <c r="M65" s="300">
        <f>(27.5*KFC!$B$30+KFC!$C$30)*KFC!$C$5</f>
        <v>27.5</v>
      </c>
      <c r="N65" s="300">
        <f>(28.8*KFC!$B$30+KFC!$C$30)*KFC!$C$5</f>
        <v>28.8</v>
      </c>
      <c r="O65" s="300">
        <f>(30.2*KFC!$B$30+KFC!$C$30)*KFC!$C$5</f>
        <v>30.2</v>
      </c>
      <c r="P65" s="300">
        <f>(31.5*KFC!$B$30+KFC!$C$30)*KFC!$C$5</f>
        <v>31.5</v>
      </c>
      <c r="Q65" s="300">
        <f>(32.8*KFC!$B$30+KFC!$C$30)*KFC!$C$5</f>
        <v>32.799999999999997</v>
      </c>
      <c r="R65" s="300">
        <f>(34.1*KFC!$B$30+KFC!$C$30)*KFC!$C$5</f>
        <v>34.1</v>
      </c>
      <c r="S65" s="300">
        <f>(35.5*KFC!$B$30+KFC!$C$30)*KFC!$C$5</f>
        <v>35.5</v>
      </c>
      <c r="T65" s="300">
        <f>(36.8*KFC!$B$30+KFC!$C$30)*KFC!$C$5</f>
        <v>36.799999999999997</v>
      </c>
      <c r="U65" s="300">
        <f>(38.1*KFC!$B$30+KFC!$C$30)*KFC!$C$5</f>
        <v>38.1</v>
      </c>
      <c r="V65" s="300">
        <f>(39.4*KFC!$B$30+KFC!$C$30)*KFC!$C$5</f>
        <v>39.4</v>
      </c>
      <c r="W65" s="300">
        <f>(40.7*KFC!$B$30+KFC!$C$30)*KFC!$C$5</f>
        <v>40.700000000000003</v>
      </c>
      <c r="X65" s="300">
        <f>(42.1*KFC!$B$30+KFC!$C$30)*KFC!$C$5</f>
        <v>42.1</v>
      </c>
      <c r="Y65" s="300">
        <f>(43.4*KFC!$B$30+KFC!$C$30)*KFC!$C$5</f>
        <v>43.4</v>
      </c>
      <c r="Z65" s="300">
        <f>(44.7*KFC!$B$30+KFC!$C$30)*KFC!$C$5</f>
        <v>44.7</v>
      </c>
      <c r="AA65" s="300">
        <f>(46*KFC!$B$30+KFC!$C$30)*KFC!$C$5</f>
        <v>46</v>
      </c>
      <c r="AB65" s="300">
        <f>(47.4*KFC!$B$30+KFC!$C$30)*KFC!$C$5</f>
        <v>47.4</v>
      </c>
      <c r="AC65" s="304">
        <f>(48.7*KFC!$B$30+KFC!$C$30)*KFC!$C$5</f>
        <v>48.7</v>
      </c>
    </row>
    <row r="66" spans="1:29">
      <c r="A66" s="1538"/>
      <c r="B66" s="637">
        <v>2</v>
      </c>
      <c r="C66" s="303">
        <f>(14.6*KFC!$B$30+KFC!$C$30)*KFC!$C$5</f>
        <v>14.6</v>
      </c>
      <c r="D66" s="300">
        <f>(16*KFC!$B$30+KFC!$C$30)*KFC!$C$5</f>
        <v>16</v>
      </c>
      <c r="E66" s="300">
        <f>(17.4*KFC!$B$30+KFC!$C$30)*KFC!$C$5</f>
        <v>17.399999999999999</v>
      </c>
      <c r="F66" s="300">
        <f>(18.8*KFC!$B$30+KFC!$C$30)*KFC!$C$5</f>
        <v>18.8</v>
      </c>
      <c r="G66" s="300">
        <f>(20.2*KFC!$B$30+KFC!$C$30)*KFC!$C$5</f>
        <v>20.2</v>
      </c>
      <c r="H66" s="300">
        <f>(21.5*KFC!$B$30+KFC!$C$30)*KFC!$C$5</f>
        <v>21.5</v>
      </c>
      <c r="I66" s="300">
        <f>(22.9*KFC!$B$30+KFC!$C$30)*KFC!$C$5</f>
        <v>22.9</v>
      </c>
      <c r="J66" s="300">
        <f>(24.3*KFC!$B$30+KFC!$C$30)*KFC!$C$5</f>
        <v>24.3</v>
      </c>
      <c r="K66" s="300">
        <f>(25.7*KFC!$B$30+KFC!$C$30)*KFC!$C$5</f>
        <v>25.7</v>
      </c>
      <c r="L66" s="300">
        <f>(27.1*KFC!$B$30+KFC!$C$30)*KFC!$C$5</f>
        <v>27.1</v>
      </c>
      <c r="M66" s="300">
        <f>(28.5*KFC!$B$30+KFC!$C$30)*KFC!$C$5</f>
        <v>28.5</v>
      </c>
      <c r="N66" s="300">
        <f>(29.9*KFC!$B$30+KFC!$C$30)*KFC!$C$5</f>
        <v>29.9</v>
      </c>
      <c r="O66" s="300">
        <f>(31.2*KFC!$B$30+KFC!$C$30)*KFC!$C$5</f>
        <v>31.2</v>
      </c>
      <c r="P66" s="300">
        <f>(32.6*KFC!$B$30+KFC!$C$30)*KFC!$C$5</f>
        <v>32.6</v>
      </c>
      <c r="Q66" s="300">
        <f>(34*KFC!$B$30+KFC!$C$30)*KFC!$C$5</f>
        <v>34</v>
      </c>
      <c r="R66" s="300">
        <f>(35.4*KFC!$B$30+KFC!$C$30)*KFC!$C$5</f>
        <v>35.4</v>
      </c>
      <c r="S66" s="300">
        <f>(36.8*KFC!$B$30+KFC!$C$30)*KFC!$C$5</f>
        <v>36.799999999999997</v>
      </c>
      <c r="T66" s="300">
        <f>(38.2*KFC!$B$30+KFC!$C$30)*KFC!$C$5</f>
        <v>38.200000000000003</v>
      </c>
      <c r="U66" s="300">
        <f>(39.6*KFC!$B$30+KFC!$C$30)*KFC!$C$5</f>
        <v>39.6</v>
      </c>
      <c r="V66" s="300">
        <f>(41*KFC!$B$30+KFC!$C$30)*KFC!$C$5</f>
        <v>41</v>
      </c>
      <c r="W66" s="300">
        <f>(42.3*KFC!$B$30+KFC!$C$30)*KFC!$C$5</f>
        <v>42.3</v>
      </c>
      <c r="X66" s="300">
        <f>(43.7*KFC!$B$30+KFC!$C$30)*KFC!$C$5</f>
        <v>43.7</v>
      </c>
      <c r="Y66" s="300">
        <f>(45.1*KFC!$B$30+KFC!$C$30)*KFC!$C$5</f>
        <v>45.1</v>
      </c>
      <c r="Z66" s="300">
        <f>(46.5*KFC!$B$30+KFC!$C$30)*KFC!$C$5</f>
        <v>46.5</v>
      </c>
      <c r="AA66" s="300">
        <f>(47.9*KFC!$B$30+KFC!$C$30)*KFC!$C$5</f>
        <v>47.9</v>
      </c>
      <c r="AB66" s="300">
        <f>(49.3*KFC!$B$30+KFC!$C$30)*KFC!$C$5</f>
        <v>49.3</v>
      </c>
      <c r="AC66" s="304">
        <f>(50.7*KFC!$B$30+KFC!$C$30)*KFC!$C$5</f>
        <v>50.7</v>
      </c>
    </row>
    <row r="67" spans="1:29">
      <c r="A67" s="1538"/>
      <c r="B67" s="637">
        <v>2.1</v>
      </c>
      <c r="C67" s="303">
        <f>(14.9*KFC!$B$30+KFC!$C$30)*KFC!$C$5</f>
        <v>14.9</v>
      </c>
      <c r="D67" s="300">
        <f>(16.4*KFC!$B$30+KFC!$C$30)*KFC!$C$5</f>
        <v>16.399999999999999</v>
      </c>
      <c r="E67" s="300">
        <f>(17.8*KFC!$B$30+KFC!$C$30)*KFC!$C$5</f>
        <v>17.8</v>
      </c>
      <c r="F67" s="300">
        <f>(19.3*KFC!$B$30+KFC!$C$30)*KFC!$C$5</f>
        <v>19.3</v>
      </c>
      <c r="G67" s="300">
        <f>(20.7*KFC!$B$30+KFC!$C$30)*KFC!$C$5</f>
        <v>20.7</v>
      </c>
      <c r="H67" s="300">
        <f>(22.2*KFC!$B$30+KFC!$C$30)*KFC!$C$5</f>
        <v>22.2</v>
      </c>
      <c r="I67" s="300">
        <f>(23.6*KFC!$B$30+KFC!$C$30)*KFC!$C$5</f>
        <v>23.6</v>
      </c>
      <c r="J67" s="300">
        <f>(25.1*KFC!$B$30+KFC!$C$30)*KFC!$C$5</f>
        <v>25.1</v>
      </c>
      <c r="K67" s="300">
        <f>(26.5*KFC!$B$30+KFC!$C$30)*KFC!$C$5</f>
        <v>26.5</v>
      </c>
      <c r="L67" s="300">
        <f>(28*KFC!$B$30+KFC!$C$30)*KFC!$C$5</f>
        <v>28</v>
      </c>
      <c r="M67" s="300">
        <f>(29.4*KFC!$B$30+KFC!$C$30)*KFC!$C$5</f>
        <v>29.4</v>
      </c>
      <c r="N67" s="300">
        <f>(30.9*KFC!$B$30+KFC!$C$30)*KFC!$C$5</f>
        <v>30.9</v>
      </c>
      <c r="O67" s="300">
        <f>(32.3*KFC!$B$30+KFC!$C$30)*KFC!$C$5</f>
        <v>32.299999999999997</v>
      </c>
      <c r="P67" s="300">
        <f>(33.8*KFC!$B$30+KFC!$C$30)*KFC!$C$5</f>
        <v>33.799999999999997</v>
      </c>
      <c r="Q67" s="300">
        <f>(35.2*KFC!$B$30+KFC!$C$30)*KFC!$C$5</f>
        <v>35.200000000000003</v>
      </c>
      <c r="R67" s="300">
        <f>(36.7*KFC!$B$30+KFC!$C$30)*KFC!$C$5</f>
        <v>36.700000000000003</v>
      </c>
      <c r="S67" s="300">
        <f>(38.1*KFC!$B$30+KFC!$C$30)*KFC!$C$5</f>
        <v>38.1</v>
      </c>
      <c r="T67" s="300">
        <f>(39.6*KFC!$B$30+KFC!$C$30)*KFC!$C$5</f>
        <v>39.6</v>
      </c>
      <c r="U67" s="300">
        <f>(41*KFC!$B$30+KFC!$C$30)*KFC!$C$5</f>
        <v>41</v>
      </c>
      <c r="V67" s="300">
        <f>(42.5*KFC!$B$30+KFC!$C$30)*KFC!$C$5</f>
        <v>42.5</v>
      </c>
      <c r="W67" s="300">
        <f>(43.9*KFC!$B$30+KFC!$C$30)*KFC!$C$5</f>
        <v>43.9</v>
      </c>
      <c r="X67" s="300">
        <f>(45.4*KFC!$B$30+KFC!$C$30)*KFC!$C$5</f>
        <v>45.4</v>
      </c>
      <c r="Y67" s="300">
        <f>(46.8*KFC!$B$30+KFC!$C$30)*KFC!$C$5</f>
        <v>46.8</v>
      </c>
      <c r="Z67" s="300">
        <f>(48.3*KFC!$B$30+KFC!$C$30)*KFC!$C$5</f>
        <v>48.3</v>
      </c>
      <c r="AA67" s="300">
        <f>(49.7*KFC!$B$30+KFC!$C$30)*KFC!$C$5</f>
        <v>49.7</v>
      </c>
      <c r="AB67" s="300">
        <f>(51.2*KFC!$B$30+KFC!$C$30)*KFC!$C$5</f>
        <v>51.2</v>
      </c>
      <c r="AC67" s="304">
        <f>(52.6*KFC!$B$30+KFC!$C$30)*KFC!$C$5</f>
        <v>52.6</v>
      </c>
    </row>
    <row r="68" spans="1:29">
      <c r="A68" s="1538"/>
      <c r="B68" s="637">
        <v>2.2000000000000002</v>
      </c>
      <c r="C68" s="303">
        <f>(15.2*KFC!$B$30+KFC!$C$30)*KFC!$C$5</f>
        <v>15.2</v>
      </c>
      <c r="D68" s="300">
        <f>(16.7*KFC!$B$30+KFC!$C$30)*KFC!$C$5</f>
        <v>16.7</v>
      </c>
      <c r="E68" s="300">
        <f>(18.2*KFC!$B$30+KFC!$C$30)*KFC!$C$5</f>
        <v>18.2</v>
      </c>
      <c r="F68" s="300">
        <f>(19.8*KFC!$B$30+KFC!$C$30)*KFC!$C$5</f>
        <v>19.8</v>
      </c>
      <c r="G68" s="300">
        <f>(21.3*KFC!$B$30+KFC!$C$30)*KFC!$C$5</f>
        <v>21.3</v>
      </c>
      <c r="H68" s="300">
        <f>(22.8*KFC!$B$30+KFC!$C$30)*KFC!$C$5</f>
        <v>22.8</v>
      </c>
      <c r="I68" s="300">
        <f>(24.3*KFC!$B$30+KFC!$C$30)*KFC!$C$5</f>
        <v>24.3</v>
      </c>
      <c r="J68" s="300">
        <f>(25.8*KFC!$B$30+KFC!$C$30)*KFC!$C$5</f>
        <v>25.8</v>
      </c>
      <c r="K68" s="300">
        <f>(27.3*KFC!$B$30+KFC!$C$30)*KFC!$C$5</f>
        <v>27.3</v>
      </c>
      <c r="L68" s="300">
        <f>(28.9*KFC!$B$30+KFC!$C$30)*KFC!$C$5</f>
        <v>28.9</v>
      </c>
      <c r="M68" s="300">
        <f>(30.4*KFC!$B$30+KFC!$C$30)*KFC!$C$5</f>
        <v>30.4</v>
      </c>
      <c r="N68" s="300">
        <f>(31.9*KFC!$B$30+KFC!$C$30)*KFC!$C$5</f>
        <v>31.9</v>
      </c>
      <c r="O68" s="300">
        <f>(33.4*KFC!$B$30+KFC!$C$30)*KFC!$C$5</f>
        <v>33.4</v>
      </c>
      <c r="P68" s="300">
        <f>(34.9*KFC!$B$30+KFC!$C$30)*KFC!$C$5</f>
        <v>34.9</v>
      </c>
      <c r="Q68" s="300">
        <f>(36.4*KFC!$B$30+KFC!$C$30)*KFC!$C$5</f>
        <v>36.4</v>
      </c>
      <c r="R68" s="300">
        <f>(37.9*KFC!$B$30+KFC!$C$30)*KFC!$C$5</f>
        <v>37.9</v>
      </c>
      <c r="S68" s="300">
        <f>(39.5*KFC!$B$30+KFC!$C$30)*KFC!$C$5</f>
        <v>39.5</v>
      </c>
      <c r="T68" s="300">
        <f>(41*KFC!$B$30+KFC!$C$30)*KFC!$C$5</f>
        <v>41</v>
      </c>
      <c r="U68" s="300">
        <f>(42.5*KFC!$B$30+KFC!$C$30)*KFC!$C$5</f>
        <v>42.5</v>
      </c>
      <c r="V68" s="300">
        <f>(44*KFC!$B$30+KFC!$C$30)*KFC!$C$5</f>
        <v>44</v>
      </c>
      <c r="W68" s="300">
        <f>(45.5*KFC!$B$30+KFC!$C$30)*KFC!$C$5</f>
        <v>45.5</v>
      </c>
      <c r="X68" s="300">
        <f>(47*KFC!$B$30+KFC!$C$30)*KFC!$C$5</f>
        <v>47</v>
      </c>
      <c r="Y68" s="300">
        <f>(48.5*KFC!$B$30+KFC!$C$30)*KFC!$C$5</f>
        <v>48.5</v>
      </c>
      <c r="Z68" s="300">
        <f>(50.1*KFC!$B$30+KFC!$C$30)*KFC!$C$5</f>
        <v>50.1</v>
      </c>
      <c r="AA68" s="300">
        <f>(51.6*KFC!$B$30+KFC!$C$30)*KFC!$C$5</f>
        <v>51.6</v>
      </c>
      <c r="AB68" s="300">
        <f>(53.1*KFC!$B$30+KFC!$C$30)*KFC!$C$5</f>
        <v>53.1</v>
      </c>
      <c r="AC68" s="304">
        <f>(54.6*KFC!$B$30+KFC!$C$30)*KFC!$C$5</f>
        <v>54.6</v>
      </c>
    </row>
    <row r="69" spans="1:29">
      <c r="A69" s="1538"/>
      <c r="B69" s="637">
        <v>2.2999999999999998</v>
      </c>
      <c r="C69" s="303">
        <f>(15.5*KFC!$B$30+KFC!$C$30)*KFC!$C$5</f>
        <v>15.5</v>
      </c>
      <c r="D69" s="300">
        <f>(17.1*KFC!$B$30+KFC!$C$30)*KFC!$C$5</f>
        <v>17.100000000000001</v>
      </c>
      <c r="E69" s="300">
        <f>(18.7*KFC!$B$30+KFC!$C$30)*KFC!$C$5</f>
        <v>18.7</v>
      </c>
      <c r="F69" s="300">
        <f>(20.3*KFC!$B$30+KFC!$C$30)*KFC!$C$5</f>
        <v>20.3</v>
      </c>
      <c r="G69" s="300">
        <f>(21.8*KFC!$B$30+KFC!$C$30)*KFC!$C$5</f>
        <v>21.8</v>
      </c>
      <c r="H69" s="300">
        <f>(23.4*KFC!$B$30+KFC!$C$30)*KFC!$C$5</f>
        <v>23.4</v>
      </c>
      <c r="I69" s="300">
        <f>(25*KFC!$B$30+KFC!$C$30)*KFC!$C$5</f>
        <v>25</v>
      </c>
      <c r="J69" s="300">
        <f>(26.6*KFC!$B$30+KFC!$C$30)*KFC!$C$5</f>
        <v>26.6</v>
      </c>
      <c r="K69" s="300">
        <f>(28.2*KFC!$B$30+KFC!$C$30)*KFC!$C$5</f>
        <v>28.2</v>
      </c>
      <c r="L69" s="300">
        <f>(29.7*KFC!$B$30+KFC!$C$30)*KFC!$C$5</f>
        <v>29.7</v>
      </c>
      <c r="M69" s="300">
        <f>(31.3*KFC!$B$30+KFC!$C$30)*KFC!$C$5</f>
        <v>31.3</v>
      </c>
      <c r="N69" s="300">
        <f>(32.9*KFC!$B$30+KFC!$C$30)*KFC!$C$5</f>
        <v>32.9</v>
      </c>
      <c r="O69" s="300">
        <f>(34.5*KFC!$B$30+KFC!$C$30)*KFC!$C$5</f>
        <v>34.5</v>
      </c>
      <c r="P69" s="300">
        <f>(36.1*KFC!$B$30+KFC!$C$30)*KFC!$C$5</f>
        <v>36.1</v>
      </c>
      <c r="Q69" s="300">
        <f>(37.6*KFC!$B$30+KFC!$C$30)*KFC!$C$5</f>
        <v>37.6</v>
      </c>
      <c r="R69" s="300">
        <f>(39.2*KFC!$B$30+KFC!$C$30)*KFC!$C$5</f>
        <v>39.200000000000003</v>
      </c>
      <c r="S69" s="300">
        <f>(40.8*KFC!$B$30+KFC!$C$30)*KFC!$C$5</f>
        <v>40.799999999999997</v>
      </c>
      <c r="T69" s="300">
        <f>(42.4*KFC!$B$30+KFC!$C$30)*KFC!$C$5</f>
        <v>42.4</v>
      </c>
      <c r="U69" s="300">
        <f>(43.9*KFC!$B$30+KFC!$C$30)*KFC!$C$5</f>
        <v>43.9</v>
      </c>
      <c r="V69" s="300">
        <f>(45.5*KFC!$B$30+KFC!$C$30)*KFC!$C$5</f>
        <v>45.5</v>
      </c>
      <c r="W69" s="300">
        <f>(47.1*KFC!$B$30+KFC!$C$30)*KFC!$C$5</f>
        <v>47.1</v>
      </c>
      <c r="X69" s="300">
        <f>(48.7*KFC!$B$30+KFC!$C$30)*KFC!$C$5</f>
        <v>48.7</v>
      </c>
      <c r="Y69" s="300">
        <f>(50.3*KFC!$B$30+KFC!$C$30)*KFC!$C$5</f>
        <v>50.3</v>
      </c>
      <c r="Z69" s="300">
        <f>(51.8*KFC!$B$30+KFC!$C$30)*KFC!$C$5</f>
        <v>51.8</v>
      </c>
      <c r="AA69" s="300">
        <f>(53.4*KFC!$B$30+KFC!$C$30)*KFC!$C$5</f>
        <v>53.4</v>
      </c>
      <c r="AB69" s="300">
        <f>(55*KFC!$B$30+KFC!$C$30)*KFC!$C$5</f>
        <v>55</v>
      </c>
      <c r="AC69" s="304">
        <f>(56.6*KFC!$B$30+KFC!$C$30)*KFC!$C$5</f>
        <v>56.6</v>
      </c>
    </row>
    <row r="70" spans="1:29">
      <c r="A70" s="1538"/>
      <c r="B70" s="637">
        <v>2.4</v>
      </c>
      <c r="C70" s="303">
        <f>(15.8*KFC!$B$30+KFC!$C$30)*KFC!$C$5</f>
        <v>15.8</v>
      </c>
      <c r="D70" s="300">
        <f>(17.5*KFC!$B$30+KFC!$C$30)*KFC!$C$5</f>
        <v>17.5</v>
      </c>
      <c r="E70" s="300">
        <f>(19.1*KFC!$B$30+KFC!$C$30)*KFC!$C$5</f>
        <v>19.100000000000001</v>
      </c>
      <c r="F70" s="300">
        <f>(20.8*KFC!$B$30+KFC!$C$30)*KFC!$C$5</f>
        <v>20.8</v>
      </c>
      <c r="G70" s="300">
        <f>(22.4*KFC!$B$30+KFC!$C$30)*KFC!$C$5</f>
        <v>22.4</v>
      </c>
      <c r="H70" s="300">
        <f>(24*KFC!$B$30+KFC!$C$30)*KFC!$C$5</f>
        <v>24</v>
      </c>
      <c r="I70" s="300">
        <f>(25.7*KFC!$B$30+KFC!$C$30)*KFC!$C$5</f>
        <v>25.7</v>
      </c>
      <c r="J70" s="300">
        <f>(27.3*KFC!$B$30+KFC!$C$30)*KFC!$C$5</f>
        <v>27.3</v>
      </c>
      <c r="K70" s="300">
        <f>(29*KFC!$B$30+KFC!$C$30)*KFC!$C$5</f>
        <v>29</v>
      </c>
      <c r="L70" s="300">
        <f>(30.6*KFC!$B$30+KFC!$C$30)*KFC!$C$5</f>
        <v>30.6</v>
      </c>
      <c r="M70" s="300">
        <f>(32.3*KFC!$B$30+KFC!$C$30)*KFC!$C$5</f>
        <v>32.299999999999997</v>
      </c>
      <c r="N70" s="300">
        <f>(33.9*KFC!$B$30+KFC!$C$30)*KFC!$C$5</f>
        <v>33.9</v>
      </c>
      <c r="O70" s="300">
        <f>(35.5*KFC!$B$30+KFC!$C$30)*KFC!$C$5</f>
        <v>35.5</v>
      </c>
      <c r="P70" s="300">
        <f>(37.2*KFC!$B$30+KFC!$C$30)*KFC!$C$5</f>
        <v>37.200000000000003</v>
      </c>
      <c r="Q70" s="300">
        <f>(38.8*KFC!$B$30+KFC!$C$30)*KFC!$C$5</f>
        <v>38.799999999999997</v>
      </c>
      <c r="R70" s="300">
        <f>(40.5*KFC!$B$30+KFC!$C$30)*KFC!$C$5</f>
        <v>40.5</v>
      </c>
      <c r="S70" s="300">
        <f>(42.1*KFC!$B$30+KFC!$C$30)*KFC!$C$5</f>
        <v>42.1</v>
      </c>
      <c r="T70" s="300">
        <f>(43.8*KFC!$B$30+KFC!$C$30)*KFC!$C$5</f>
        <v>43.8</v>
      </c>
      <c r="U70" s="300">
        <f>(45.4*KFC!$B$30+KFC!$C$30)*KFC!$C$5</f>
        <v>45.4</v>
      </c>
      <c r="V70" s="300">
        <f>(47.1*KFC!$B$30+KFC!$C$30)*KFC!$C$5</f>
        <v>47.1</v>
      </c>
      <c r="W70" s="300">
        <f>(48.7*KFC!$B$30+KFC!$C$30)*KFC!$C$5</f>
        <v>48.7</v>
      </c>
      <c r="X70" s="300">
        <f>(50.3*KFC!$B$30+KFC!$C$30)*KFC!$C$5</f>
        <v>50.3</v>
      </c>
      <c r="Y70" s="300">
        <f>(52*KFC!$B$30+KFC!$C$30)*KFC!$C$5</f>
        <v>52</v>
      </c>
      <c r="Z70" s="300">
        <f>(53.6*KFC!$B$30+KFC!$C$30)*KFC!$C$5</f>
        <v>53.6</v>
      </c>
      <c r="AA70" s="300">
        <f>(55.3*KFC!$B$30+KFC!$C$30)*KFC!$C$5</f>
        <v>55.3</v>
      </c>
      <c r="AB70" s="300">
        <f>(56.9*KFC!$B$30+KFC!$C$30)*KFC!$C$5</f>
        <v>56.9</v>
      </c>
      <c r="AC70" s="304">
        <f>(58.6*KFC!$B$30+KFC!$C$30)*KFC!$C$5</f>
        <v>58.6</v>
      </c>
    </row>
    <row r="71" spans="1:29">
      <c r="A71" s="1538"/>
      <c r="B71" s="637">
        <v>2.5</v>
      </c>
      <c r="C71" s="303">
        <f>(16.1*KFC!$B$30+KFC!$C$30)*KFC!$C$5</f>
        <v>16.100000000000001</v>
      </c>
      <c r="D71" s="300">
        <f>(17.8*KFC!$B$30+KFC!$C$30)*KFC!$C$5</f>
        <v>17.8</v>
      </c>
      <c r="E71" s="300">
        <f>(19.6*KFC!$B$30+KFC!$C$30)*KFC!$C$5</f>
        <v>19.600000000000001</v>
      </c>
      <c r="F71" s="300">
        <f>(21.3*KFC!$B$30+KFC!$C$30)*KFC!$C$5</f>
        <v>21.3</v>
      </c>
      <c r="G71" s="300">
        <f>(23*KFC!$B$30+KFC!$C$30)*KFC!$C$5</f>
        <v>23</v>
      </c>
      <c r="H71" s="300">
        <f>(24.7*KFC!$B$30+KFC!$C$30)*KFC!$C$5</f>
        <v>24.7</v>
      </c>
      <c r="I71" s="300">
        <f>(26.4*KFC!$B$30+KFC!$C$30)*KFC!$C$5</f>
        <v>26.4</v>
      </c>
      <c r="J71" s="300">
        <f>(28.1*KFC!$B$30+KFC!$C$30)*KFC!$C$5</f>
        <v>28.1</v>
      </c>
      <c r="K71" s="300">
        <f>(29.8*KFC!$B$30+KFC!$C$30)*KFC!$C$5</f>
        <v>29.8</v>
      </c>
      <c r="L71" s="300">
        <f>(31.5*KFC!$B$30+KFC!$C$30)*KFC!$C$5</f>
        <v>31.5</v>
      </c>
      <c r="M71" s="300">
        <f>(33.2*KFC!$B$30+KFC!$C$30)*KFC!$C$5</f>
        <v>33.200000000000003</v>
      </c>
      <c r="N71" s="300">
        <f>(34.9*KFC!$B$30+KFC!$C$30)*KFC!$C$5</f>
        <v>34.9</v>
      </c>
      <c r="O71" s="300">
        <f>(36.6*KFC!$B$30+KFC!$C$30)*KFC!$C$5</f>
        <v>36.6</v>
      </c>
      <c r="P71" s="300">
        <f>(38.3*KFC!$B$30+KFC!$C$30)*KFC!$C$5</f>
        <v>38.299999999999997</v>
      </c>
      <c r="Q71" s="300">
        <f>(40*KFC!$B$30+KFC!$C$30)*KFC!$C$5</f>
        <v>40</v>
      </c>
      <c r="R71" s="300">
        <f>(41.7*KFC!$B$30+KFC!$C$30)*KFC!$C$5</f>
        <v>41.7</v>
      </c>
      <c r="S71" s="300">
        <f>(43.5*KFC!$B$30+KFC!$C$30)*KFC!$C$5</f>
        <v>43.5</v>
      </c>
      <c r="T71" s="300">
        <f>(45.2*KFC!$B$30+KFC!$C$30)*KFC!$C$5</f>
        <v>45.2</v>
      </c>
      <c r="U71" s="300">
        <f>(46.9*KFC!$B$30+KFC!$C$30)*KFC!$C$5</f>
        <v>46.9</v>
      </c>
      <c r="V71" s="300">
        <f>(48.6*KFC!$B$30+KFC!$C$30)*KFC!$C$5</f>
        <v>48.6</v>
      </c>
      <c r="W71" s="300">
        <f>(50.3*KFC!$B$30+KFC!$C$30)*KFC!$C$5</f>
        <v>50.3</v>
      </c>
      <c r="X71" s="300">
        <f>(52*KFC!$B$30+KFC!$C$30)*KFC!$C$5</f>
        <v>52</v>
      </c>
      <c r="Y71" s="300">
        <f>(53.7*KFC!$B$30+KFC!$C$30)*KFC!$C$5</f>
        <v>53.7</v>
      </c>
      <c r="Z71" s="300">
        <f>(55.4*KFC!$B$30+KFC!$C$30)*KFC!$C$5</f>
        <v>55.4</v>
      </c>
      <c r="AA71" s="300">
        <f>(57.1*KFC!$B$30+KFC!$C$30)*KFC!$C$5</f>
        <v>57.1</v>
      </c>
      <c r="AB71" s="300">
        <f>(58.8*KFC!$B$30+KFC!$C$30)*KFC!$C$5</f>
        <v>58.8</v>
      </c>
      <c r="AC71" s="304">
        <f>(60.5*KFC!$B$30+KFC!$C$30)*KFC!$C$5</f>
        <v>60.5</v>
      </c>
    </row>
    <row r="72" spans="1:29">
      <c r="A72" s="1538"/>
      <c r="B72" s="637">
        <v>2.6</v>
      </c>
      <c r="C72" s="303">
        <f>(16.4*KFC!$B$30+KFC!$C$30)*KFC!$C$5</f>
        <v>16.399999999999999</v>
      </c>
      <c r="D72" s="300">
        <f>(18.2*KFC!$B$30+KFC!$C$30)*KFC!$C$5</f>
        <v>18.2</v>
      </c>
      <c r="E72" s="300">
        <f>(20*KFC!$B$30+KFC!$C$30)*KFC!$C$5</f>
        <v>20</v>
      </c>
      <c r="F72" s="300">
        <f>(21.8*KFC!$B$30+KFC!$C$30)*KFC!$C$5</f>
        <v>21.8</v>
      </c>
      <c r="G72" s="300">
        <f>(23.5*KFC!$B$30+KFC!$C$30)*KFC!$C$5</f>
        <v>23.5</v>
      </c>
      <c r="H72" s="300">
        <f>(25.3*KFC!$B$30+KFC!$C$30)*KFC!$C$5</f>
        <v>25.3</v>
      </c>
      <c r="I72" s="300">
        <f>(27.1*KFC!$B$30+KFC!$C$30)*KFC!$C$5</f>
        <v>27.1</v>
      </c>
      <c r="J72" s="300">
        <f>(28.8*KFC!$B$30+KFC!$C$30)*KFC!$C$5</f>
        <v>28.8</v>
      </c>
      <c r="K72" s="300">
        <f>(30.6*KFC!$B$30+KFC!$C$30)*KFC!$C$5</f>
        <v>30.6</v>
      </c>
      <c r="L72" s="300">
        <f>(32.4*KFC!$B$30+KFC!$C$30)*KFC!$C$5</f>
        <v>32.4</v>
      </c>
      <c r="M72" s="300">
        <f>(34.2*KFC!$B$30+KFC!$C$30)*KFC!$C$5</f>
        <v>34.200000000000003</v>
      </c>
      <c r="N72" s="300">
        <f>(35.9*KFC!$B$30+KFC!$C$30)*KFC!$C$5</f>
        <v>35.9</v>
      </c>
      <c r="O72" s="300">
        <f>(37.7*KFC!$B$30+KFC!$C$30)*KFC!$C$5</f>
        <v>37.700000000000003</v>
      </c>
      <c r="P72" s="300">
        <f>(39.5*KFC!$B$30+KFC!$C$30)*KFC!$C$5</f>
        <v>39.5</v>
      </c>
      <c r="Q72" s="300">
        <f>(41.2*KFC!$B$30+KFC!$C$30)*KFC!$C$5</f>
        <v>41.2</v>
      </c>
      <c r="R72" s="300">
        <f>(43*KFC!$B$30+KFC!$C$30)*KFC!$C$5</f>
        <v>43</v>
      </c>
      <c r="S72" s="300">
        <f>(44.8*KFC!$B$30+KFC!$C$30)*KFC!$C$5</f>
        <v>44.8</v>
      </c>
      <c r="T72" s="300">
        <f>(46.6*KFC!$B$30+KFC!$C$30)*KFC!$C$5</f>
        <v>46.6</v>
      </c>
      <c r="U72" s="300">
        <f>(48.3*KFC!$B$30+KFC!$C$30)*KFC!$C$5</f>
        <v>48.3</v>
      </c>
      <c r="V72" s="300">
        <f>(50.1*KFC!$B$30+KFC!$C$30)*KFC!$C$5</f>
        <v>50.1</v>
      </c>
      <c r="W72" s="300">
        <f>(51.9*KFC!$B$30+KFC!$C$30)*KFC!$C$5</f>
        <v>51.9</v>
      </c>
      <c r="X72" s="300">
        <f>(53.6*KFC!$B$30+KFC!$C$30)*KFC!$C$5</f>
        <v>53.6</v>
      </c>
      <c r="Y72" s="300">
        <f>(55.4*KFC!$B$30+KFC!$C$30)*KFC!$C$5</f>
        <v>55.4</v>
      </c>
      <c r="Z72" s="300">
        <f>(57.2*KFC!$B$30+KFC!$C$30)*KFC!$C$5</f>
        <v>57.2</v>
      </c>
      <c r="AA72" s="300">
        <f>(59*KFC!$B$30+KFC!$C$30)*KFC!$C$5</f>
        <v>59</v>
      </c>
      <c r="AB72" s="300">
        <f>(60.7*KFC!$B$30+KFC!$C$30)*KFC!$C$5</f>
        <v>60.7</v>
      </c>
      <c r="AC72" s="304">
        <f>(62.5*KFC!$B$30+KFC!$C$30)*KFC!$C$5</f>
        <v>62.5</v>
      </c>
    </row>
    <row r="73" spans="1:29">
      <c r="A73" s="1538"/>
      <c r="B73" s="637">
        <v>2.7</v>
      </c>
      <c r="C73" s="303">
        <f>(16.8*KFC!$B$30+KFC!$C$30)*KFC!$C$5</f>
        <v>16.8</v>
      </c>
      <c r="D73" s="300">
        <f>(18.6*KFC!$B$30+KFC!$C$30)*KFC!$C$5</f>
        <v>18.600000000000001</v>
      </c>
      <c r="E73" s="300">
        <f>(20.4*KFC!$B$30+KFC!$C$30)*KFC!$C$5</f>
        <v>20.399999999999999</v>
      </c>
      <c r="F73" s="300">
        <f>(22.3*KFC!$B$30+KFC!$C$30)*KFC!$C$5</f>
        <v>22.3</v>
      </c>
      <c r="G73" s="300">
        <f>(24.1*KFC!$B$30+KFC!$C$30)*KFC!$C$5</f>
        <v>24.1</v>
      </c>
      <c r="H73" s="300">
        <f>(25.9*KFC!$B$30+KFC!$C$30)*KFC!$C$5</f>
        <v>25.9</v>
      </c>
      <c r="I73" s="300">
        <f>(27.8*KFC!$B$30+KFC!$C$30)*KFC!$C$5</f>
        <v>27.8</v>
      </c>
      <c r="J73" s="300">
        <f>(29.6*KFC!$B$30+KFC!$C$30)*KFC!$C$5</f>
        <v>29.6</v>
      </c>
      <c r="K73" s="300">
        <f>(31.4*KFC!$B$30+KFC!$C$30)*KFC!$C$5</f>
        <v>31.4</v>
      </c>
      <c r="L73" s="300">
        <f>(33.3*KFC!$B$30+KFC!$C$30)*KFC!$C$5</f>
        <v>33.299999999999997</v>
      </c>
      <c r="M73" s="300">
        <f>(35.1*KFC!$B$30+KFC!$C$30)*KFC!$C$5</f>
        <v>35.1</v>
      </c>
      <c r="N73" s="300">
        <f>(36.9*KFC!$B$30+KFC!$C$30)*KFC!$C$5</f>
        <v>36.9</v>
      </c>
      <c r="O73" s="300">
        <f>(38.8*KFC!$B$30+KFC!$C$30)*KFC!$C$5</f>
        <v>38.799999999999997</v>
      </c>
      <c r="P73" s="300">
        <f>(40.6*KFC!$B$30+KFC!$C$30)*KFC!$C$5</f>
        <v>40.6</v>
      </c>
      <c r="Q73" s="300">
        <f>(42.4*KFC!$B$30+KFC!$C$30)*KFC!$C$5</f>
        <v>42.4</v>
      </c>
      <c r="R73" s="300">
        <f>(44.3*KFC!$B$30+KFC!$C$30)*KFC!$C$5</f>
        <v>44.3</v>
      </c>
      <c r="S73" s="300">
        <f>(46.1*KFC!$B$30+KFC!$C$30)*KFC!$C$5</f>
        <v>46.1</v>
      </c>
      <c r="T73" s="300">
        <f>(48*KFC!$B$30+KFC!$C$30)*KFC!$C$5</f>
        <v>48</v>
      </c>
      <c r="U73" s="300">
        <f>(49.8*KFC!$B$30+KFC!$C$30)*KFC!$C$5</f>
        <v>49.8</v>
      </c>
      <c r="V73" s="300">
        <f>(51.6*KFC!$B$30+KFC!$C$30)*KFC!$C$5</f>
        <v>51.6</v>
      </c>
      <c r="W73" s="300">
        <f>(53.5*KFC!$B$30+KFC!$C$30)*KFC!$C$5</f>
        <v>53.5</v>
      </c>
      <c r="X73" s="300">
        <f>(55.3*KFC!$B$30+KFC!$C$30)*KFC!$C$5</f>
        <v>55.3</v>
      </c>
      <c r="Y73" s="300">
        <f>(57.1*KFC!$B$30+KFC!$C$30)*KFC!$C$5</f>
        <v>57.1</v>
      </c>
      <c r="Z73" s="300">
        <f>(59*KFC!$B$30+KFC!$C$30)*KFC!$C$5</f>
        <v>59</v>
      </c>
      <c r="AA73" s="300">
        <f>(60.8*KFC!$B$30+KFC!$C$30)*KFC!$C$5</f>
        <v>60.8</v>
      </c>
      <c r="AB73" s="300">
        <f>(62.6*KFC!$B$30+KFC!$C$30)*KFC!$C$5</f>
        <v>62.6</v>
      </c>
      <c r="AC73" s="304">
        <f>(64.5*KFC!$B$30+KFC!$C$30)*KFC!$C$5</f>
        <v>64.5</v>
      </c>
    </row>
    <row r="74" spans="1:29">
      <c r="A74" s="1538"/>
      <c r="B74" s="637">
        <v>2.8</v>
      </c>
      <c r="C74" s="303">
        <f>(17.1*KFC!$B$30+KFC!$C$30)*KFC!$C$5</f>
        <v>17.100000000000001</v>
      </c>
      <c r="D74" s="300">
        <f>(19*KFC!$B$30+KFC!$C$30)*KFC!$C$5</f>
        <v>19</v>
      </c>
      <c r="E74" s="300">
        <f>(20.9*KFC!$B$30+KFC!$C$30)*KFC!$C$5</f>
        <v>20.9</v>
      </c>
      <c r="F74" s="300">
        <f>(22.8*KFC!$B$30+KFC!$C$30)*KFC!$C$5</f>
        <v>22.8</v>
      </c>
      <c r="G74" s="300">
        <f>(24.7*KFC!$B$30+KFC!$C$30)*KFC!$C$5</f>
        <v>24.7</v>
      </c>
      <c r="H74" s="300">
        <f>(26.6*KFC!$B$30+KFC!$C$30)*KFC!$C$5</f>
        <v>26.6</v>
      </c>
      <c r="I74" s="300">
        <f>(28.5*KFC!$B$30+KFC!$C$30)*KFC!$C$5</f>
        <v>28.5</v>
      </c>
      <c r="J74" s="300">
        <f>(30.4*KFC!$B$30+KFC!$C$30)*KFC!$C$5</f>
        <v>30.4</v>
      </c>
      <c r="K74" s="300">
        <f>(32.3*KFC!$B$30+KFC!$C$30)*KFC!$C$5</f>
        <v>32.299999999999997</v>
      </c>
      <c r="L74" s="300">
        <f>(34.2*KFC!$B$30+KFC!$C$30)*KFC!$C$5</f>
        <v>34.200000000000003</v>
      </c>
      <c r="M74" s="300">
        <f>(36.1*KFC!$B$30+KFC!$C$30)*KFC!$C$5</f>
        <v>36.1</v>
      </c>
      <c r="N74" s="300">
        <f>(38*KFC!$B$30+KFC!$C$30)*KFC!$C$5</f>
        <v>38</v>
      </c>
      <c r="O74" s="300">
        <f>(39.9*KFC!$B$30+KFC!$C$30)*KFC!$C$5</f>
        <v>39.9</v>
      </c>
      <c r="P74" s="300">
        <f>(41.8*KFC!$B$30+KFC!$C$30)*KFC!$C$5</f>
        <v>41.8</v>
      </c>
      <c r="Q74" s="300">
        <f>(43.7*KFC!$B$30+KFC!$C$30)*KFC!$C$5</f>
        <v>43.7</v>
      </c>
      <c r="R74" s="300">
        <f>(45.6*KFC!$B$30+KFC!$C$30)*KFC!$C$5</f>
        <v>45.6</v>
      </c>
      <c r="S74" s="300">
        <f>(47.5*KFC!$B$30+KFC!$C$30)*KFC!$C$5</f>
        <v>47.5</v>
      </c>
      <c r="T74" s="300">
        <f>(49.4*KFC!$B$30+KFC!$C$30)*KFC!$C$5</f>
        <v>49.4</v>
      </c>
      <c r="U74" s="300">
        <f>(51.3*KFC!$B$30+KFC!$C$30)*KFC!$C$5</f>
        <v>51.3</v>
      </c>
      <c r="V74" s="300">
        <f>(53.2*KFC!$B$30+KFC!$C$30)*KFC!$C$5</f>
        <v>53.2</v>
      </c>
      <c r="W74" s="300">
        <f>(55.1*KFC!$B$30+KFC!$C$30)*KFC!$C$5</f>
        <v>55.1</v>
      </c>
      <c r="X74" s="300">
        <f>(57*KFC!$B$30+KFC!$C$30)*KFC!$C$5</f>
        <v>57</v>
      </c>
      <c r="Y74" s="300">
        <f>(58.8*KFC!$B$30+KFC!$C$30)*KFC!$C$5</f>
        <v>58.8</v>
      </c>
      <c r="Z74" s="300">
        <f>(60.7*KFC!$B$30+KFC!$C$30)*KFC!$C$5</f>
        <v>60.7</v>
      </c>
      <c r="AA74" s="300">
        <f>(62.6*KFC!$B$30+KFC!$C$30)*KFC!$C$5</f>
        <v>62.6</v>
      </c>
      <c r="AB74" s="300">
        <f>(64.5*KFC!$B$30+KFC!$C$30)*KFC!$C$5</f>
        <v>64.5</v>
      </c>
      <c r="AC74" s="304">
        <f>(66.4*KFC!$B$30+KFC!$C$30)*KFC!$C$5</f>
        <v>66.400000000000006</v>
      </c>
    </row>
    <row r="75" spans="1:29">
      <c r="A75" s="1538"/>
      <c r="B75" s="637">
        <v>2.9</v>
      </c>
      <c r="C75" s="303">
        <f>(17.4*KFC!$B$30+KFC!$C$30)*KFC!$C$5</f>
        <v>17.399999999999999</v>
      </c>
      <c r="D75" s="300">
        <f>(19.3*KFC!$B$30+KFC!$C$30)*KFC!$C$5</f>
        <v>19.3</v>
      </c>
      <c r="E75" s="300">
        <f>(21.3*KFC!$B$30+KFC!$C$30)*KFC!$C$5</f>
        <v>21.3</v>
      </c>
      <c r="F75" s="300">
        <f>(23.3*KFC!$B$30+KFC!$C$30)*KFC!$C$5</f>
        <v>23.3</v>
      </c>
      <c r="G75" s="300">
        <f>(25.2*KFC!$B$30+KFC!$C$30)*KFC!$C$5</f>
        <v>25.2</v>
      </c>
      <c r="H75" s="300">
        <f>(27.2*KFC!$B$30+KFC!$C$30)*KFC!$C$5</f>
        <v>27.2</v>
      </c>
      <c r="I75" s="300">
        <f>(29.1*KFC!$B$30+KFC!$C$30)*KFC!$C$5</f>
        <v>29.1</v>
      </c>
      <c r="J75" s="300">
        <f>(31.1*KFC!$B$30+KFC!$C$30)*KFC!$C$5</f>
        <v>31.1</v>
      </c>
      <c r="K75" s="300">
        <f>(33.1*KFC!$B$30+KFC!$C$30)*KFC!$C$5</f>
        <v>33.1</v>
      </c>
      <c r="L75" s="300">
        <f>(35*KFC!$B$30+KFC!$C$30)*KFC!$C$5</f>
        <v>35</v>
      </c>
      <c r="M75" s="300">
        <f>(37*KFC!$B$30+KFC!$C$30)*KFC!$C$5</f>
        <v>37</v>
      </c>
      <c r="N75" s="300">
        <f>(39*KFC!$B$30+KFC!$C$30)*KFC!$C$5</f>
        <v>39</v>
      </c>
      <c r="O75" s="300">
        <f>(40.9*KFC!$B$30+KFC!$C$30)*KFC!$C$5</f>
        <v>40.9</v>
      </c>
      <c r="P75" s="300">
        <f>(42.9*KFC!$B$30+KFC!$C$30)*KFC!$C$5</f>
        <v>42.9</v>
      </c>
      <c r="Q75" s="300">
        <f>(44.9*KFC!$B$30+KFC!$C$30)*KFC!$C$5</f>
        <v>44.9</v>
      </c>
      <c r="R75" s="300">
        <f>(46.8*KFC!$B$30+KFC!$C$30)*KFC!$C$5</f>
        <v>46.8</v>
      </c>
      <c r="S75" s="300">
        <f>(48.8*KFC!$B$30+KFC!$C$30)*KFC!$C$5</f>
        <v>48.8</v>
      </c>
      <c r="T75" s="300">
        <f>(50.7*KFC!$B$30+KFC!$C$30)*KFC!$C$5</f>
        <v>50.7</v>
      </c>
      <c r="U75" s="300">
        <f>(52.7*KFC!$B$30+KFC!$C$30)*KFC!$C$5</f>
        <v>52.7</v>
      </c>
      <c r="V75" s="300">
        <f>(54.7*KFC!$B$30+KFC!$C$30)*KFC!$C$5</f>
        <v>54.7</v>
      </c>
      <c r="W75" s="300">
        <f>(56.6*KFC!$B$30+KFC!$C$30)*KFC!$C$5</f>
        <v>56.6</v>
      </c>
      <c r="X75" s="300">
        <f>(58.6*KFC!$B$30+KFC!$C$30)*KFC!$C$5</f>
        <v>58.6</v>
      </c>
      <c r="Y75" s="300">
        <f>(60.6*KFC!$B$30+KFC!$C$30)*KFC!$C$5</f>
        <v>60.6</v>
      </c>
      <c r="Z75" s="300">
        <f>(62.5*KFC!$B$30+KFC!$C$30)*KFC!$C$5</f>
        <v>62.5</v>
      </c>
      <c r="AA75" s="300">
        <f>(64.5*KFC!$B$30+KFC!$C$30)*KFC!$C$5</f>
        <v>64.5</v>
      </c>
      <c r="AB75" s="300">
        <f>(66.5*KFC!$B$30+KFC!$C$30)*KFC!$C$5</f>
        <v>66.5</v>
      </c>
      <c r="AC75" s="304">
        <f>(68.4*KFC!$B$30+KFC!$C$30)*KFC!$C$5</f>
        <v>68.400000000000006</v>
      </c>
    </row>
    <row r="76" spans="1:29">
      <c r="A76" s="1538"/>
      <c r="B76" s="637">
        <v>3</v>
      </c>
      <c r="C76" s="303">
        <f>(17.7*KFC!$B$30+KFC!$C$30)*KFC!$C$5</f>
        <v>17.7</v>
      </c>
      <c r="D76" s="300">
        <f>(19.7*KFC!$B$30+KFC!$C$30)*KFC!$C$5</f>
        <v>19.7</v>
      </c>
      <c r="E76" s="300">
        <f>(21.7*KFC!$B$30+KFC!$C$30)*KFC!$C$5</f>
        <v>21.7</v>
      </c>
      <c r="F76" s="300">
        <f>(23.8*KFC!$B$30+KFC!$C$30)*KFC!$C$5</f>
        <v>23.8</v>
      </c>
      <c r="G76" s="300">
        <f>(25.8*KFC!$B$30+KFC!$C$30)*KFC!$C$5</f>
        <v>25.8</v>
      </c>
      <c r="H76" s="300">
        <f>(27.8*KFC!$B$30+KFC!$C$30)*KFC!$C$5</f>
        <v>27.8</v>
      </c>
      <c r="I76" s="300">
        <f>(29.8*KFC!$B$30+KFC!$C$30)*KFC!$C$5</f>
        <v>29.8</v>
      </c>
      <c r="J76" s="300">
        <f>(31.9*KFC!$B$30+KFC!$C$30)*KFC!$C$5</f>
        <v>31.9</v>
      </c>
      <c r="K76" s="300">
        <f>(33.9*KFC!$B$30+KFC!$C$30)*KFC!$C$5</f>
        <v>33.9</v>
      </c>
      <c r="L76" s="300">
        <f>(35.9*KFC!$B$30+KFC!$C$30)*KFC!$C$5</f>
        <v>35.9</v>
      </c>
      <c r="M76" s="300">
        <f>(38*KFC!$B$30+KFC!$C$30)*KFC!$C$5</f>
        <v>38</v>
      </c>
      <c r="N76" s="300">
        <f>(40*KFC!$B$30+KFC!$C$30)*KFC!$C$5</f>
        <v>40</v>
      </c>
      <c r="O76" s="300">
        <f>(42*KFC!$B$30+KFC!$C$30)*KFC!$C$5</f>
        <v>42</v>
      </c>
      <c r="P76" s="300">
        <f>(44*KFC!$B$30+KFC!$C$30)*KFC!$C$5</f>
        <v>44</v>
      </c>
      <c r="Q76" s="300">
        <f>(46.1*KFC!$B$30+KFC!$C$30)*KFC!$C$5</f>
        <v>46.1</v>
      </c>
      <c r="R76" s="300">
        <f>(48.1*KFC!$B$30+KFC!$C$30)*KFC!$C$5</f>
        <v>48.1</v>
      </c>
      <c r="S76" s="300">
        <f>(50.1*KFC!$B$30+KFC!$C$30)*KFC!$C$5</f>
        <v>50.1</v>
      </c>
      <c r="T76" s="300">
        <f>(52.1*KFC!$B$30+KFC!$C$30)*KFC!$C$5</f>
        <v>52.1</v>
      </c>
      <c r="U76" s="300">
        <f>(54.2*KFC!$B$30+KFC!$C$30)*KFC!$C$5</f>
        <v>54.2</v>
      </c>
      <c r="V76" s="300">
        <f>(56.2*KFC!$B$30+KFC!$C$30)*KFC!$C$5</f>
        <v>56.2</v>
      </c>
      <c r="W76" s="300">
        <f>(58.2*KFC!$B$30+KFC!$C$30)*KFC!$C$5</f>
        <v>58.2</v>
      </c>
      <c r="X76" s="300">
        <f>(60.3*KFC!$B$30+KFC!$C$30)*KFC!$C$5</f>
        <v>60.3</v>
      </c>
      <c r="Y76" s="300">
        <f>(62.3*KFC!$B$30+KFC!$C$30)*KFC!$C$5</f>
        <v>62.3</v>
      </c>
      <c r="Z76" s="300">
        <f>(64.3*KFC!$B$30+KFC!$C$30)*KFC!$C$5</f>
        <v>64.3</v>
      </c>
      <c r="AA76" s="300">
        <f>(66.3*KFC!$B$30+KFC!$C$30)*KFC!$C$5</f>
        <v>66.3</v>
      </c>
      <c r="AB76" s="300">
        <f>(68.4*KFC!$B$30+KFC!$C$30)*KFC!$C$5</f>
        <v>68.400000000000006</v>
      </c>
      <c r="AC76" s="304">
        <f>(70.4*KFC!$B$30+KFC!$C$30)*KFC!$C$5</f>
        <v>70.400000000000006</v>
      </c>
    </row>
    <row r="77" spans="1:29">
      <c r="A77" s="1538"/>
      <c r="B77" s="637">
        <v>3.1</v>
      </c>
      <c r="C77" s="303">
        <f>(18*KFC!$B$30+KFC!$C$30)*KFC!$C$5</f>
        <v>18</v>
      </c>
      <c r="D77" s="300">
        <f>(20.1*KFC!$B$30+KFC!$C$30)*KFC!$C$5</f>
        <v>20.100000000000001</v>
      </c>
      <c r="E77" s="300">
        <f>(22.2*KFC!$B$30+KFC!$C$30)*KFC!$C$5</f>
        <v>22.2</v>
      </c>
      <c r="F77" s="300">
        <f>(24.3*KFC!$B$30+KFC!$C$30)*KFC!$C$5</f>
        <v>24.3</v>
      </c>
      <c r="G77" s="300">
        <f>(26.3*KFC!$B$30+KFC!$C$30)*KFC!$C$5</f>
        <v>26.3</v>
      </c>
      <c r="H77" s="300">
        <f>(28.4*KFC!$B$30+KFC!$C$30)*KFC!$C$5</f>
        <v>28.4</v>
      </c>
      <c r="I77" s="300">
        <f>(30.5*KFC!$B$30+KFC!$C$30)*KFC!$C$5</f>
        <v>30.5</v>
      </c>
      <c r="J77" s="300">
        <f>(32.6*KFC!$B$30+KFC!$C$30)*KFC!$C$5</f>
        <v>32.6</v>
      </c>
      <c r="K77" s="300">
        <f>(34.7*KFC!$B$30+KFC!$C$30)*KFC!$C$5</f>
        <v>34.700000000000003</v>
      </c>
      <c r="L77" s="300">
        <f>(36.8*KFC!$B$30+KFC!$C$30)*KFC!$C$5</f>
        <v>36.799999999999997</v>
      </c>
      <c r="M77" s="300">
        <f>(38.9*KFC!$B$30+KFC!$C$30)*KFC!$C$5</f>
        <v>38.9</v>
      </c>
      <c r="N77" s="300">
        <f>(41*KFC!$B$30+KFC!$C$30)*KFC!$C$5</f>
        <v>41</v>
      </c>
      <c r="O77" s="300">
        <f>(43.1*KFC!$B$30+KFC!$C$30)*KFC!$C$5</f>
        <v>43.1</v>
      </c>
      <c r="P77" s="300">
        <f>(45.2*KFC!$B$30+KFC!$C$30)*KFC!$C$5</f>
        <v>45.2</v>
      </c>
      <c r="Q77" s="300">
        <f>(47.3*KFC!$B$30+KFC!$C$30)*KFC!$C$5</f>
        <v>47.3</v>
      </c>
      <c r="R77" s="300">
        <f>(49.4*KFC!$B$30+KFC!$C$30)*KFC!$C$5</f>
        <v>49.4</v>
      </c>
      <c r="S77" s="300">
        <f>(51.5*KFC!$B$30+KFC!$C$30)*KFC!$C$5</f>
        <v>51.5</v>
      </c>
      <c r="T77" s="300">
        <f>(53.5*KFC!$B$30+KFC!$C$30)*KFC!$C$5</f>
        <v>53.5</v>
      </c>
      <c r="U77" s="300">
        <f>(55.6*KFC!$B$30+KFC!$C$30)*KFC!$C$5</f>
        <v>55.6</v>
      </c>
      <c r="V77" s="300">
        <f>(57.7*KFC!$B$30+KFC!$C$30)*KFC!$C$5</f>
        <v>57.7</v>
      </c>
      <c r="W77" s="300">
        <f>(59.8*KFC!$B$30+KFC!$C$30)*KFC!$C$5</f>
        <v>59.8</v>
      </c>
      <c r="X77" s="300">
        <f>(61.9*KFC!$B$30+KFC!$C$30)*KFC!$C$5</f>
        <v>61.9</v>
      </c>
      <c r="Y77" s="300">
        <f>(64*KFC!$B$30+KFC!$C$30)*KFC!$C$5</f>
        <v>64</v>
      </c>
      <c r="Z77" s="300">
        <f>(66.1*KFC!$B$30+KFC!$C$30)*KFC!$C$5</f>
        <v>66.099999999999994</v>
      </c>
      <c r="AA77" s="300">
        <f>(68.2*KFC!$B$30+KFC!$C$30)*KFC!$C$5</f>
        <v>68.2</v>
      </c>
      <c r="AB77" s="300">
        <f>(70.3*KFC!$B$30+KFC!$C$30)*KFC!$C$5</f>
        <v>70.3</v>
      </c>
      <c r="AC77" s="304">
        <f>(72.4*KFC!$B$30+KFC!$C$30)*KFC!$C$5</f>
        <v>72.400000000000006</v>
      </c>
    </row>
    <row r="78" spans="1:29">
      <c r="A78" s="1538"/>
      <c r="B78" s="637">
        <v>3.2</v>
      </c>
      <c r="C78" s="303">
        <f>(18.3*KFC!$B$30+KFC!$C$30)*KFC!$C$5</f>
        <v>18.3</v>
      </c>
      <c r="D78" s="300">
        <f>(20.4*KFC!$B$30+KFC!$C$30)*KFC!$C$5</f>
        <v>20.399999999999999</v>
      </c>
      <c r="E78" s="300">
        <f>(22.6*KFC!$B$30+KFC!$C$30)*KFC!$C$5</f>
        <v>22.6</v>
      </c>
      <c r="F78" s="300">
        <f>(24.8*KFC!$B$30+KFC!$C$30)*KFC!$C$5</f>
        <v>24.8</v>
      </c>
      <c r="G78" s="300">
        <f>(26.9*KFC!$B$30+KFC!$C$30)*KFC!$C$5</f>
        <v>26.9</v>
      </c>
      <c r="H78" s="300">
        <f>(29.1*KFC!$B$30+KFC!$C$30)*KFC!$C$5</f>
        <v>29.1</v>
      </c>
      <c r="I78" s="300">
        <f>(31.2*KFC!$B$30+KFC!$C$30)*KFC!$C$5</f>
        <v>31.2</v>
      </c>
      <c r="J78" s="300">
        <f>(33.4*KFC!$B$30+KFC!$C$30)*KFC!$C$5</f>
        <v>33.4</v>
      </c>
      <c r="K78" s="300">
        <f>(35.5*KFC!$B$30+KFC!$C$30)*KFC!$C$5</f>
        <v>35.5</v>
      </c>
      <c r="L78" s="300">
        <f>(37.7*KFC!$B$30+KFC!$C$30)*KFC!$C$5</f>
        <v>37.700000000000003</v>
      </c>
      <c r="M78" s="300">
        <f>(39.8*KFC!$B$30+KFC!$C$30)*KFC!$C$5</f>
        <v>39.799999999999997</v>
      </c>
      <c r="N78" s="300">
        <f>(42*KFC!$B$30+KFC!$C$30)*KFC!$C$5</f>
        <v>42</v>
      </c>
      <c r="O78" s="300">
        <f>(44.2*KFC!$B$30+KFC!$C$30)*KFC!$C$5</f>
        <v>44.2</v>
      </c>
      <c r="P78" s="300">
        <f>(46.3*KFC!$B$30+KFC!$C$30)*KFC!$C$5</f>
        <v>46.3</v>
      </c>
      <c r="Q78" s="300">
        <f>(48.5*KFC!$B$30+KFC!$C$30)*KFC!$C$5</f>
        <v>48.5</v>
      </c>
      <c r="R78" s="300">
        <f>(50.6*KFC!$B$30+KFC!$C$30)*KFC!$C$5</f>
        <v>50.6</v>
      </c>
      <c r="S78" s="300">
        <f>(52.8*KFC!$B$30+KFC!$C$30)*KFC!$C$5</f>
        <v>52.8</v>
      </c>
      <c r="T78" s="300">
        <f>(54.9*KFC!$B$30+KFC!$C$30)*KFC!$C$5</f>
        <v>54.9</v>
      </c>
      <c r="U78" s="300">
        <f>(57.1*KFC!$B$30+KFC!$C$30)*KFC!$C$5</f>
        <v>57.1</v>
      </c>
      <c r="V78" s="300">
        <f>(59.3*KFC!$B$30+KFC!$C$30)*KFC!$C$5</f>
        <v>59.3</v>
      </c>
      <c r="W78" s="300">
        <f>(61.4*KFC!$B$30+KFC!$C$30)*KFC!$C$5</f>
        <v>61.4</v>
      </c>
      <c r="X78" s="300">
        <f>(63.6*KFC!$B$30+KFC!$C$30)*KFC!$C$5</f>
        <v>63.6</v>
      </c>
      <c r="Y78" s="300">
        <f>(65.7*KFC!$B$30+KFC!$C$30)*KFC!$C$5</f>
        <v>65.7</v>
      </c>
      <c r="Z78" s="300">
        <f>(67.9*KFC!$B$30+KFC!$C$30)*KFC!$C$5</f>
        <v>67.900000000000006</v>
      </c>
      <c r="AA78" s="300">
        <f>(70*KFC!$B$30+KFC!$C$30)*KFC!$C$5</f>
        <v>70</v>
      </c>
      <c r="AB78" s="300">
        <f>(72.2*KFC!$B$30+KFC!$C$30)*KFC!$C$5</f>
        <v>72.2</v>
      </c>
      <c r="AC78" s="304">
        <f>(74.3*KFC!$B$30+KFC!$C$30)*KFC!$C$5</f>
        <v>74.3</v>
      </c>
    </row>
    <row r="79" spans="1:29">
      <c r="A79" s="1538"/>
      <c r="B79" s="637">
        <v>3.3</v>
      </c>
      <c r="C79" s="303">
        <f>(18.6*KFC!$B$30+KFC!$C$30)*KFC!$C$5</f>
        <v>18.600000000000001</v>
      </c>
      <c r="D79" s="300">
        <f>(20.8*KFC!$B$30+KFC!$C$30)*KFC!$C$5</f>
        <v>20.8</v>
      </c>
      <c r="E79" s="300">
        <f>(23*KFC!$B$30+KFC!$C$30)*KFC!$C$5</f>
        <v>23</v>
      </c>
      <c r="F79" s="300">
        <f>(25.3*KFC!$B$30+KFC!$C$30)*KFC!$C$5</f>
        <v>25.3</v>
      </c>
      <c r="G79" s="300">
        <f>(27.5*KFC!$B$30+KFC!$C$30)*KFC!$C$5</f>
        <v>27.5</v>
      </c>
      <c r="H79" s="300">
        <f>(29.7*KFC!$B$30+KFC!$C$30)*KFC!$C$5</f>
        <v>29.7</v>
      </c>
      <c r="I79" s="300">
        <f>(31.9*KFC!$B$30+KFC!$C$30)*KFC!$C$5</f>
        <v>31.9</v>
      </c>
      <c r="J79" s="300">
        <f>(34.1*KFC!$B$30+KFC!$C$30)*KFC!$C$5</f>
        <v>34.1</v>
      </c>
      <c r="K79" s="300">
        <f>(36.4*KFC!$B$30+KFC!$C$30)*KFC!$C$5</f>
        <v>36.4</v>
      </c>
      <c r="L79" s="300">
        <f>(38.6*KFC!$B$30+KFC!$C$30)*KFC!$C$5</f>
        <v>38.6</v>
      </c>
      <c r="M79" s="300">
        <f>(40.8*KFC!$B$30+KFC!$C$30)*KFC!$C$5</f>
        <v>40.799999999999997</v>
      </c>
      <c r="N79" s="300">
        <f>(43*KFC!$B$30+KFC!$C$30)*KFC!$C$5</f>
        <v>43</v>
      </c>
      <c r="O79" s="300">
        <f>(45.2*KFC!$B$30+KFC!$C$30)*KFC!$C$5</f>
        <v>45.2</v>
      </c>
      <c r="P79" s="300">
        <f>(47.5*KFC!$B$30+KFC!$C$30)*KFC!$C$5</f>
        <v>47.5</v>
      </c>
      <c r="Q79" s="300">
        <f>(49.7*KFC!$B$30+KFC!$C$30)*KFC!$C$5</f>
        <v>49.7</v>
      </c>
      <c r="R79" s="300">
        <f>(51.9*KFC!$B$30+KFC!$C$30)*KFC!$C$5</f>
        <v>51.9</v>
      </c>
      <c r="S79" s="300">
        <f>(54.1*KFC!$B$30+KFC!$C$30)*KFC!$C$5</f>
        <v>54.1</v>
      </c>
      <c r="T79" s="300">
        <f>(56.3*KFC!$B$30+KFC!$C$30)*KFC!$C$5</f>
        <v>56.3</v>
      </c>
      <c r="U79" s="300">
        <f>(58.6*KFC!$B$30+KFC!$C$30)*KFC!$C$5</f>
        <v>58.6</v>
      </c>
      <c r="V79" s="300">
        <f>(60.8*KFC!$B$30+KFC!$C$30)*KFC!$C$5</f>
        <v>60.8</v>
      </c>
      <c r="W79" s="300">
        <f>(63*KFC!$B$30+KFC!$C$30)*KFC!$C$5</f>
        <v>63</v>
      </c>
      <c r="X79" s="300">
        <f>(65.2*KFC!$B$30+KFC!$C$30)*KFC!$C$5</f>
        <v>65.2</v>
      </c>
      <c r="Y79" s="300">
        <f>(67.4*KFC!$B$30+KFC!$C$30)*KFC!$C$5</f>
        <v>67.400000000000006</v>
      </c>
      <c r="Z79" s="300">
        <f>(69.7*KFC!$B$30+KFC!$C$30)*KFC!$C$5</f>
        <v>69.7</v>
      </c>
      <c r="AA79" s="300">
        <f>(71.9*KFC!$B$30+KFC!$C$30)*KFC!$C$5</f>
        <v>71.900000000000006</v>
      </c>
      <c r="AB79" s="300">
        <f>(74.1*KFC!$B$30+KFC!$C$30)*KFC!$C$5</f>
        <v>74.099999999999994</v>
      </c>
      <c r="AC79" s="304">
        <f>(76.3*KFC!$B$30+KFC!$C$30)*KFC!$C$5</f>
        <v>76.3</v>
      </c>
    </row>
    <row r="80" spans="1:29">
      <c r="A80" s="1538"/>
      <c r="B80" s="637">
        <v>3.4</v>
      </c>
      <c r="C80" s="303">
        <f>(18.9*KFC!$B$30+KFC!$C$30)*KFC!$C$5</f>
        <v>18.899999999999999</v>
      </c>
      <c r="D80" s="300">
        <f>(21.2*KFC!$B$30+KFC!$C$30)*KFC!$C$5</f>
        <v>21.2</v>
      </c>
      <c r="E80" s="300">
        <f>(23.5*KFC!$B$30+KFC!$C$30)*KFC!$C$5</f>
        <v>23.5</v>
      </c>
      <c r="F80" s="300">
        <f>(25.8*KFC!$B$30+KFC!$C$30)*KFC!$C$5</f>
        <v>25.8</v>
      </c>
      <c r="G80" s="300">
        <f>(28*KFC!$B$30+KFC!$C$30)*KFC!$C$5</f>
        <v>28</v>
      </c>
      <c r="H80" s="300">
        <f>(30.3*KFC!$B$30+KFC!$C$30)*KFC!$C$5</f>
        <v>30.3</v>
      </c>
      <c r="I80" s="300">
        <f>(32.6*KFC!$B$30+KFC!$C$30)*KFC!$C$5</f>
        <v>32.6</v>
      </c>
      <c r="J80" s="300">
        <f>(34.9*KFC!$B$30+KFC!$C$30)*KFC!$C$5</f>
        <v>34.9</v>
      </c>
      <c r="K80" s="300">
        <f>(37.2*KFC!$B$30+KFC!$C$30)*KFC!$C$5</f>
        <v>37.200000000000003</v>
      </c>
      <c r="L80" s="300">
        <f>(39.5*KFC!$B$30+KFC!$C$30)*KFC!$C$5</f>
        <v>39.5</v>
      </c>
      <c r="M80" s="300">
        <f>(41.7*KFC!$B$30+KFC!$C$30)*KFC!$C$5</f>
        <v>41.7</v>
      </c>
      <c r="N80" s="300">
        <f>(44*KFC!$B$30+KFC!$C$30)*KFC!$C$5</f>
        <v>44</v>
      </c>
      <c r="O80" s="300">
        <f>(46.3*KFC!$B$30+KFC!$C$30)*KFC!$C$5</f>
        <v>46.3</v>
      </c>
      <c r="P80" s="300">
        <f>(48.6*KFC!$B$30+KFC!$C$30)*KFC!$C$5</f>
        <v>48.6</v>
      </c>
      <c r="Q80" s="300">
        <f>(50.9*KFC!$B$30+KFC!$C$30)*KFC!$C$5</f>
        <v>50.9</v>
      </c>
      <c r="R80" s="300">
        <f>(53.2*KFC!$B$30+KFC!$C$30)*KFC!$C$5</f>
        <v>53.2</v>
      </c>
      <c r="S80" s="300">
        <f>(55.4*KFC!$B$30+KFC!$C$30)*KFC!$C$5</f>
        <v>55.4</v>
      </c>
      <c r="T80" s="300">
        <f>(57.7*KFC!$B$30+KFC!$C$30)*KFC!$C$5</f>
        <v>57.7</v>
      </c>
      <c r="U80" s="300">
        <f>(60*KFC!$B$30+KFC!$C$30)*KFC!$C$5</f>
        <v>60</v>
      </c>
      <c r="V80" s="300">
        <f>(62.3*KFC!$B$30+KFC!$C$30)*KFC!$C$5</f>
        <v>62.3</v>
      </c>
      <c r="W80" s="300">
        <f>(64.6*KFC!$B$30+KFC!$C$30)*KFC!$C$5</f>
        <v>64.599999999999994</v>
      </c>
      <c r="X80" s="300">
        <f>(66.9*KFC!$B$30+KFC!$C$30)*KFC!$C$5</f>
        <v>66.900000000000006</v>
      </c>
      <c r="Y80" s="300">
        <f>(69.2*KFC!$B$30+KFC!$C$30)*KFC!$C$5</f>
        <v>69.2</v>
      </c>
      <c r="Z80" s="300">
        <f>(71.4*KFC!$B$30+KFC!$C$30)*KFC!$C$5</f>
        <v>71.400000000000006</v>
      </c>
      <c r="AA80" s="300">
        <f>(73.7*KFC!$B$30+KFC!$C$30)*KFC!$C$5</f>
        <v>73.7</v>
      </c>
      <c r="AB80" s="300">
        <f>(76*KFC!$B$30+KFC!$C$30)*KFC!$C$5</f>
        <v>76</v>
      </c>
      <c r="AC80" s="304">
        <f>(78.3*KFC!$B$30+KFC!$C$30)*KFC!$C$5</f>
        <v>78.3</v>
      </c>
    </row>
    <row r="81" spans="1:29">
      <c r="A81" s="1538"/>
      <c r="B81" s="637">
        <v>3.5</v>
      </c>
      <c r="C81" s="303">
        <f>(19.2*KFC!$B$30+KFC!$C$30)*KFC!$C$5</f>
        <v>19.2</v>
      </c>
      <c r="D81" s="300">
        <f>(21.6*KFC!$B$30+KFC!$C$30)*KFC!$C$5</f>
        <v>21.6</v>
      </c>
      <c r="E81" s="300">
        <f>(23.9*KFC!$B$30+KFC!$C$30)*KFC!$C$5</f>
        <v>23.9</v>
      </c>
      <c r="F81" s="300">
        <f>(26.3*KFC!$B$30+KFC!$C$30)*KFC!$C$5</f>
        <v>26.3</v>
      </c>
      <c r="G81" s="300">
        <f>(28.6*KFC!$B$30+KFC!$C$30)*KFC!$C$5</f>
        <v>28.6</v>
      </c>
      <c r="H81" s="300">
        <f>(31*KFC!$B$30+KFC!$C$30)*KFC!$C$5</f>
        <v>31</v>
      </c>
      <c r="I81" s="300">
        <f>(33.3*KFC!$B$30+KFC!$C$30)*KFC!$C$5</f>
        <v>33.299999999999997</v>
      </c>
      <c r="J81" s="300">
        <f>(35.6*KFC!$B$30+KFC!$C$30)*KFC!$C$5</f>
        <v>35.6</v>
      </c>
      <c r="K81" s="300">
        <f>(38*KFC!$B$30+KFC!$C$30)*KFC!$C$5</f>
        <v>38</v>
      </c>
      <c r="L81" s="300">
        <f>(40.3*KFC!$B$30+KFC!$C$30)*KFC!$C$5</f>
        <v>40.299999999999997</v>
      </c>
      <c r="M81" s="300">
        <f>(42.7*KFC!$B$30+KFC!$C$30)*KFC!$C$5</f>
        <v>42.7</v>
      </c>
      <c r="N81" s="300">
        <f>(45*KFC!$B$30+KFC!$C$30)*KFC!$C$5</f>
        <v>45</v>
      </c>
      <c r="O81" s="300">
        <f>(47.4*KFC!$B$30+KFC!$C$30)*KFC!$C$5</f>
        <v>47.4</v>
      </c>
      <c r="P81" s="300">
        <f>(49.7*KFC!$B$30+KFC!$C$30)*KFC!$C$5</f>
        <v>49.7</v>
      </c>
      <c r="Q81" s="300">
        <f>(52.1*KFC!$B$30+KFC!$C$30)*KFC!$C$5</f>
        <v>52.1</v>
      </c>
      <c r="R81" s="300">
        <f>(54.4*KFC!$B$30+KFC!$C$30)*KFC!$C$5</f>
        <v>54.4</v>
      </c>
      <c r="S81" s="300">
        <f>(56.8*KFC!$B$30+KFC!$C$30)*KFC!$C$5</f>
        <v>56.8</v>
      </c>
      <c r="T81" s="300">
        <f>(59.1*KFC!$B$30+KFC!$C$30)*KFC!$C$5</f>
        <v>59.1</v>
      </c>
      <c r="U81" s="300">
        <f>(61.5*KFC!$B$30+KFC!$C$30)*KFC!$C$5</f>
        <v>61.5</v>
      </c>
      <c r="V81" s="300">
        <f>(63.8*KFC!$B$30+KFC!$C$30)*KFC!$C$5</f>
        <v>63.8</v>
      </c>
      <c r="W81" s="300">
        <f>(66.2*KFC!$B$30+KFC!$C$30)*KFC!$C$5</f>
        <v>66.2</v>
      </c>
      <c r="X81" s="300">
        <f>(68.5*KFC!$B$30+KFC!$C$30)*KFC!$C$5</f>
        <v>68.5</v>
      </c>
      <c r="Y81" s="300">
        <f>(70.9*KFC!$B$30+KFC!$C$30)*KFC!$C$5</f>
        <v>70.900000000000006</v>
      </c>
      <c r="Z81" s="300">
        <f>(73.2*KFC!$B$30+KFC!$C$30)*KFC!$C$5</f>
        <v>73.2</v>
      </c>
      <c r="AA81" s="300">
        <f>(75.6*KFC!$B$30+KFC!$C$30)*KFC!$C$5</f>
        <v>75.599999999999994</v>
      </c>
      <c r="AB81" s="300">
        <f>(77.9*KFC!$B$30+KFC!$C$30)*KFC!$C$5</f>
        <v>77.900000000000006</v>
      </c>
      <c r="AC81" s="304">
        <f>(80.3*KFC!$B$30+KFC!$C$30)*KFC!$C$5</f>
        <v>80.3</v>
      </c>
    </row>
    <row r="82" spans="1:29">
      <c r="A82" s="1538"/>
      <c r="B82" s="637">
        <v>3.6</v>
      </c>
      <c r="C82" s="303">
        <f>(19.5*KFC!$B$30+KFC!$C$30)*KFC!$C$5</f>
        <v>19.5</v>
      </c>
      <c r="D82" s="300">
        <f>(21.9*KFC!$B$30+KFC!$C$30)*KFC!$C$5</f>
        <v>21.9</v>
      </c>
      <c r="E82" s="300">
        <f>(24.3*KFC!$B$30+KFC!$C$30)*KFC!$C$5</f>
        <v>24.3</v>
      </c>
      <c r="F82" s="300">
        <f>(26.8*KFC!$B$30+KFC!$C$30)*KFC!$C$5</f>
        <v>26.8</v>
      </c>
      <c r="G82" s="300">
        <f>(29.2*KFC!$B$30+KFC!$C$30)*KFC!$C$5</f>
        <v>29.2</v>
      </c>
      <c r="H82" s="300">
        <f>(31.6*KFC!$B$30+KFC!$C$30)*KFC!$C$5</f>
        <v>31.6</v>
      </c>
      <c r="I82" s="300">
        <f>(34*KFC!$B$30+KFC!$C$30)*KFC!$C$5</f>
        <v>34</v>
      </c>
      <c r="J82" s="300">
        <f>(36.4*KFC!$B$30+KFC!$C$30)*KFC!$C$5</f>
        <v>36.4</v>
      </c>
      <c r="K82" s="300">
        <f>(38.8*KFC!$B$30+KFC!$C$30)*KFC!$C$5</f>
        <v>38.799999999999997</v>
      </c>
      <c r="L82" s="300">
        <f>(41.2*KFC!$B$30+KFC!$C$30)*KFC!$C$5</f>
        <v>41.2</v>
      </c>
      <c r="M82" s="300">
        <f>(43.6*KFC!$B$30+KFC!$C$30)*KFC!$C$5</f>
        <v>43.6</v>
      </c>
      <c r="N82" s="300">
        <f>(46.1*KFC!$B$30+KFC!$C$30)*KFC!$C$5</f>
        <v>46.1</v>
      </c>
      <c r="O82" s="300">
        <f>(48.5*KFC!$B$30+KFC!$C$30)*KFC!$C$5</f>
        <v>48.5</v>
      </c>
      <c r="P82" s="300">
        <f>(50.9*KFC!$B$30+KFC!$C$30)*KFC!$C$5</f>
        <v>50.9</v>
      </c>
      <c r="Q82" s="300">
        <f>(53.3*KFC!$B$30+KFC!$C$30)*KFC!$C$5</f>
        <v>53.3</v>
      </c>
      <c r="R82" s="300">
        <f>(55.7*KFC!$B$30+KFC!$C$30)*KFC!$C$5</f>
        <v>55.7</v>
      </c>
      <c r="S82" s="300">
        <f>(58.1*KFC!$B$30+KFC!$C$30)*KFC!$C$5</f>
        <v>58.1</v>
      </c>
      <c r="T82" s="300">
        <f>(60.5*KFC!$B$30+KFC!$C$30)*KFC!$C$5</f>
        <v>60.5</v>
      </c>
      <c r="U82" s="300">
        <f>(62.9*KFC!$B$30+KFC!$C$30)*KFC!$C$5</f>
        <v>62.9</v>
      </c>
      <c r="V82" s="300">
        <f>(65.4*KFC!$B$30+KFC!$C$30)*KFC!$C$5</f>
        <v>65.400000000000006</v>
      </c>
      <c r="W82" s="300">
        <f>(67.8*KFC!$B$30+KFC!$C$30)*KFC!$C$5</f>
        <v>67.8</v>
      </c>
      <c r="X82" s="300">
        <f>(70.2*KFC!$B$30+KFC!$C$30)*KFC!$C$5</f>
        <v>70.2</v>
      </c>
      <c r="Y82" s="300">
        <f>(72.6*KFC!$B$30+KFC!$C$30)*KFC!$C$5</f>
        <v>72.599999999999994</v>
      </c>
      <c r="Z82" s="300">
        <f>(75*KFC!$B$30+KFC!$C$30)*KFC!$C$5</f>
        <v>75</v>
      </c>
      <c r="AA82" s="300">
        <f>(77.4*KFC!$B$30+KFC!$C$30)*KFC!$C$5</f>
        <v>77.400000000000006</v>
      </c>
      <c r="AB82" s="300">
        <f>(79.8*KFC!$B$30+KFC!$C$30)*KFC!$C$5</f>
        <v>79.8</v>
      </c>
      <c r="AC82" s="304">
        <f>(82.2*KFC!$B$30+KFC!$C$30)*KFC!$C$5</f>
        <v>82.2</v>
      </c>
    </row>
    <row r="83" spans="1:29">
      <c r="A83" s="1538"/>
      <c r="B83" s="637">
        <v>3.7</v>
      </c>
      <c r="C83" s="303">
        <f>(19.8*KFC!$B$30+KFC!$C$30)*KFC!$C$5</f>
        <v>19.8</v>
      </c>
      <c r="D83" s="300">
        <f>(22.3*KFC!$B$30+KFC!$C$30)*KFC!$C$5</f>
        <v>22.3</v>
      </c>
      <c r="E83" s="300">
        <f>(24.8*KFC!$B$30+KFC!$C$30)*KFC!$C$5</f>
        <v>24.8</v>
      </c>
      <c r="F83" s="300">
        <f>(27.3*KFC!$B$30+KFC!$C$30)*KFC!$C$5</f>
        <v>27.3</v>
      </c>
      <c r="G83" s="300">
        <f>(29.7*KFC!$B$30+KFC!$C$30)*KFC!$C$5</f>
        <v>29.7</v>
      </c>
      <c r="H83" s="300">
        <f>(32.2*KFC!$B$30+KFC!$C$30)*KFC!$C$5</f>
        <v>32.200000000000003</v>
      </c>
      <c r="I83" s="300">
        <f>(34.7*KFC!$B$30+KFC!$C$30)*KFC!$C$5</f>
        <v>34.700000000000003</v>
      </c>
      <c r="J83" s="300">
        <f>(37.2*KFC!$B$30+KFC!$C$30)*KFC!$C$5</f>
        <v>37.200000000000003</v>
      </c>
      <c r="K83" s="300">
        <f>(39.6*KFC!$B$30+KFC!$C$30)*KFC!$C$5</f>
        <v>39.6</v>
      </c>
      <c r="L83" s="300">
        <f>(42.1*KFC!$B$30+KFC!$C$30)*KFC!$C$5</f>
        <v>42.1</v>
      </c>
      <c r="M83" s="300">
        <f>(44.6*KFC!$B$30+KFC!$C$30)*KFC!$C$5</f>
        <v>44.6</v>
      </c>
      <c r="N83" s="300">
        <f>(47.1*KFC!$B$30+KFC!$C$30)*KFC!$C$5</f>
        <v>47.1</v>
      </c>
      <c r="O83" s="300">
        <f>(49.5*KFC!$B$30+KFC!$C$30)*KFC!$C$5</f>
        <v>49.5</v>
      </c>
      <c r="P83" s="300">
        <f>(52*KFC!$B$30+KFC!$C$30)*KFC!$C$5</f>
        <v>52</v>
      </c>
      <c r="Q83" s="300">
        <f>(54.5*KFC!$B$30+KFC!$C$30)*KFC!$C$5</f>
        <v>54.5</v>
      </c>
      <c r="R83" s="300">
        <f>(57*KFC!$B$30+KFC!$C$30)*KFC!$C$5</f>
        <v>57</v>
      </c>
      <c r="S83" s="300">
        <f>(59.4*KFC!$B$30+KFC!$C$30)*KFC!$C$5</f>
        <v>59.4</v>
      </c>
      <c r="T83" s="300">
        <f>(61.9*KFC!$B$30+KFC!$C$30)*KFC!$C$5</f>
        <v>61.9</v>
      </c>
      <c r="U83" s="300">
        <f>(64.4*KFC!$B$30+KFC!$C$30)*KFC!$C$5</f>
        <v>64.400000000000006</v>
      </c>
      <c r="V83" s="300">
        <f>(66.9*KFC!$B$30+KFC!$C$30)*KFC!$C$5</f>
        <v>66.900000000000006</v>
      </c>
      <c r="W83" s="300">
        <f>(69.4*KFC!$B$30+KFC!$C$30)*KFC!$C$5</f>
        <v>69.400000000000006</v>
      </c>
      <c r="X83" s="300">
        <f>(71.8*KFC!$B$30+KFC!$C$30)*KFC!$C$5</f>
        <v>71.8</v>
      </c>
      <c r="Y83" s="300">
        <f>(74.3*KFC!$B$30+KFC!$C$30)*KFC!$C$5</f>
        <v>74.3</v>
      </c>
      <c r="Z83" s="300">
        <f>(76.8*KFC!$B$30+KFC!$C$30)*KFC!$C$5</f>
        <v>76.8</v>
      </c>
      <c r="AA83" s="300">
        <f>(79.3*KFC!$B$30+KFC!$C$30)*KFC!$C$5</f>
        <v>79.3</v>
      </c>
      <c r="AB83" s="300">
        <f>(81.7*KFC!$B$30+KFC!$C$30)*KFC!$C$5</f>
        <v>81.7</v>
      </c>
      <c r="AC83" s="304">
        <f>(84.2*KFC!$B$30+KFC!$C$30)*KFC!$C$5</f>
        <v>84.2</v>
      </c>
    </row>
    <row r="84" spans="1:29">
      <c r="A84" s="1538"/>
      <c r="B84" s="637">
        <v>3.8</v>
      </c>
      <c r="C84" s="303">
        <f>(20.1*KFC!$B$30+KFC!$C$30)*KFC!$C$5</f>
        <v>20.100000000000001</v>
      </c>
      <c r="D84" s="300">
        <f>(22.7*KFC!$B$30+KFC!$C$30)*KFC!$C$5</f>
        <v>22.7</v>
      </c>
      <c r="E84" s="300">
        <f>(25.2*KFC!$B$30+KFC!$C$30)*KFC!$C$5</f>
        <v>25.2</v>
      </c>
      <c r="F84" s="300">
        <f>(27.8*KFC!$B$30+KFC!$C$30)*KFC!$C$5</f>
        <v>27.8</v>
      </c>
      <c r="G84" s="300">
        <f>(30.3*KFC!$B$30+KFC!$C$30)*KFC!$C$5</f>
        <v>30.3</v>
      </c>
      <c r="H84" s="300">
        <f>(32.8*KFC!$B$30+KFC!$C$30)*KFC!$C$5</f>
        <v>32.799999999999997</v>
      </c>
      <c r="I84" s="300">
        <f>(35.4*KFC!$B$30+KFC!$C$30)*KFC!$C$5</f>
        <v>35.4</v>
      </c>
      <c r="J84" s="300">
        <f>(37.9*KFC!$B$30+KFC!$C$30)*KFC!$C$5</f>
        <v>37.9</v>
      </c>
      <c r="K84" s="300">
        <f>(40.5*KFC!$B$30+KFC!$C$30)*KFC!$C$5</f>
        <v>40.5</v>
      </c>
      <c r="L84" s="300">
        <f>(43*KFC!$B$30+KFC!$C$30)*KFC!$C$5</f>
        <v>43</v>
      </c>
      <c r="M84" s="300">
        <f>(45.5*KFC!$B$30+KFC!$C$30)*KFC!$C$5</f>
        <v>45.5</v>
      </c>
      <c r="N84" s="300">
        <f>(48.1*KFC!$B$30+KFC!$C$30)*KFC!$C$5</f>
        <v>48.1</v>
      </c>
      <c r="O84" s="300">
        <f>(50.6*KFC!$B$30+KFC!$C$30)*KFC!$C$5</f>
        <v>50.6</v>
      </c>
      <c r="P84" s="300">
        <f>(53.2*KFC!$B$30+KFC!$C$30)*KFC!$C$5</f>
        <v>53.2</v>
      </c>
      <c r="Q84" s="300">
        <f>(55.7*KFC!$B$30+KFC!$C$30)*KFC!$C$5</f>
        <v>55.7</v>
      </c>
      <c r="R84" s="300">
        <f>(58.2*KFC!$B$30+KFC!$C$30)*KFC!$C$5</f>
        <v>58.2</v>
      </c>
      <c r="S84" s="300">
        <f>(60.8*KFC!$B$30+KFC!$C$30)*KFC!$C$5</f>
        <v>60.8</v>
      </c>
      <c r="T84" s="300">
        <f>(63.3*KFC!$B$30+KFC!$C$30)*KFC!$C$5</f>
        <v>63.3</v>
      </c>
      <c r="U84" s="300">
        <f>(65.9*KFC!$B$30+KFC!$C$30)*KFC!$C$5</f>
        <v>65.900000000000006</v>
      </c>
      <c r="V84" s="300">
        <f>(68.4*KFC!$B$30+KFC!$C$30)*KFC!$C$5</f>
        <v>68.400000000000006</v>
      </c>
      <c r="W84" s="300">
        <f>(70.9*KFC!$B$30+KFC!$C$30)*KFC!$C$5</f>
        <v>70.900000000000006</v>
      </c>
      <c r="X84" s="300">
        <f>(73.5*KFC!$B$30+KFC!$C$30)*KFC!$C$5</f>
        <v>73.5</v>
      </c>
      <c r="Y84" s="300">
        <f>(76*KFC!$B$30+KFC!$C$30)*KFC!$C$5</f>
        <v>76</v>
      </c>
      <c r="Z84" s="300">
        <f>(78.6*KFC!$B$30+KFC!$C$30)*KFC!$C$5</f>
        <v>78.599999999999994</v>
      </c>
      <c r="AA84" s="300">
        <f>(81.1*KFC!$B$30+KFC!$C$30)*KFC!$C$5</f>
        <v>81.099999999999994</v>
      </c>
      <c r="AB84" s="300">
        <f>(83.6*KFC!$B$30+KFC!$C$30)*KFC!$C$5</f>
        <v>83.6</v>
      </c>
      <c r="AC84" s="304">
        <f>(86.2*KFC!$B$30+KFC!$C$30)*KFC!$C$5</f>
        <v>86.2</v>
      </c>
    </row>
    <row r="85" spans="1:29">
      <c r="A85" s="1538"/>
      <c r="B85" s="637">
        <v>3.9</v>
      </c>
      <c r="C85" s="303">
        <f>(20.4*KFC!$B$30+KFC!$C$30)*KFC!$C$5</f>
        <v>20.399999999999999</v>
      </c>
      <c r="D85" s="300">
        <f>(23*KFC!$B$30+KFC!$C$30)*KFC!$C$5</f>
        <v>23</v>
      </c>
      <c r="E85" s="300">
        <f>(25.6*KFC!$B$30+KFC!$C$30)*KFC!$C$5</f>
        <v>25.6</v>
      </c>
      <c r="F85" s="300">
        <f>(28.3*KFC!$B$30+KFC!$C$30)*KFC!$C$5</f>
        <v>28.3</v>
      </c>
      <c r="G85" s="300">
        <f>(30.9*KFC!$B$30+KFC!$C$30)*KFC!$C$5</f>
        <v>30.9</v>
      </c>
      <c r="H85" s="300">
        <f>(33.5*KFC!$B$30+KFC!$C$30)*KFC!$C$5</f>
        <v>33.5</v>
      </c>
      <c r="I85" s="300">
        <f>(36.1*KFC!$B$30+KFC!$C$30)*KFC!$C$5</f>
        <v>36.1</v>
      </c>
      <c r="J85" s="300">
        <f>(38.7*KFC!$B$30+KFC!$C$30)*KFC!$C$5</f>
        <v>38.700000000000003</v>
      </c>
      <c r="K85" s="300">
        <f>(41.3*KFC!$B$30+KFC!$C$30)*KFC!$C$5</f>
        <v>41.3</v>
      </c>
      <c r="L85" s="300">
        <f>(43.9*KFC!$B$30+KFC!$C$30)*KFC!$C$5</f>
        <v>43.9</v>
      </c>
      <c r="M85" s="300">
        <f>(46.5*KFC!$B$30+KFC!$C$30)*KFC!$C$5</f>
        <v>46.5</v>
      </c>
      <c r="N85" s="300">
        <f>(49.1*KFC!$B$30+KFC!$C$30)*KFC!$C$5</f>
        <v>49.1</v>
      </c>
      <c r="O85" s="300">
        <f>(51.7*KFC!$B$30+KFC!$C$30)*KFC!$C$5</f>
        <v>51.7</v>
      </c>
      <c r="P85" s="300">
        <f>(54.3*KFC!$B$30+KFC!$C$30)*KFC!$C$5</f>
        <v>54.3</v>
      </c>
      <c r="Q85" s="300">
        <f>(56.9*KFC!$B$30+KFC!$C$30)*KFC!$C$5</f>
        <v>56.9</v>
      </c>
      <c r="R85" s="300">
        <f>(59.5*KFC!$B$30+KFC!$C$30)*KFC!$C$5</f>
        <v>59.5</v>
      </c>
      <c r="S85" s="300">
        <f>(62.1*KFC!$B$30+KFC!$C$30)*KFC!$C$5</f>
        <v>62.1</v>
      </c>
      <c r="T85" s="300">
        <f>(64.7*KFC!$B$30+KFC!$C$30)*KFC!$C$5</f>
        <v>64.7</v>
      </c>
      <c r="U85" s="300">
        <f>(67.3*KFC!$B$30+KFC!$C$30)*KFC!$C$5</f>
        <v>67.3</v>
      </c>
      <c r="V85" s="300">
        <f>(69.9*KFC!$B$30+KFC!$C$30)*KFC!$C$5</f>
        <v>69.900000000000006</v>
      </c>
      <c r="W85" s="300">
        <f>(72.5*KFC!$B$30+KFC!$C$30)*KFC!$C$5</f>
        <v>72.5</v>
      </c>
      <c r="X85" s="300">
        <f>(75.1*KFC!$B$30+KFC!$C$30)*KFC!$C$5</f>
        <v>75.099999999999994</v>
      </c>
      <c r="Y85" s="300">
        <f>(77.7*KFC!$B$30+KFC!$C$30)*KFC!$C$5</f>
        <v>77.7</v>
      </c>
      <c r="Z85" s="300">
        <f>(80.3*KFC!$B$30+KFC!$C$30)*KFC!$C$5</f>
        <v>80.3</v>
      </c>
      <c r="AA85" s="300">
        <f>(82.9*KFC!$B$30+KFC!$C$30)*KFC!$C$5</f>
        <v>82.9</v>
      </c>
      <c r="AB85" s="300">
        <f>(85.6*KFC!$B$30+KFC!$C$30)*KFC!$C$5</f>
        <v>85.6</v>
      </c>
      <c r="AC85" s="304">
        <f>(88.2*KFC!$B$30+KFC!$C$30)*KFC!$C$5</f>
        <v>88.2</v>
      </c>
    </row>
    <row r="86" spans="1:29">
      <c r="A86" s="1538"/>
      <c r="B86" s="637">
        <v>4</v>
      </c>
      <c r="C86" s="303">
        <f>(20.7*KFC!$B$30+KFC!$C$30)*KFC!$C$5</f>
        <v>20.7</v>
      </c>
      <c r="D86" s="300">
        <f>(23.4*KFC!$B$30+KFC!$C$30)*KFC!$C$5</f>
        <v>23.4</v>
      </c>
      <c r="E86" s="300">
        <f>(26.1*KFC!$B$30+KFC!$C$30)*KFC!$C$5</f>
        <v>26.1</v>
      </c>
      <c r="F86" s="300">
        <f>(28.8*KFC!$B$30+KFC!$C$30)*KFC!$C$5</f>
        <v>28.8</v>
      </c>
      <c r="G86" s="300">
        <f>(31.4*KFC!$B$30+KFC!$C$30)*KFC!$C$5</f>
        <v>31.4</v>
      </c>
      <c r="H86" s="300">
        <f>(34.1*KFC!$B$30+KFC!$C$30)*KFC!$C$5</f>
        <v>34.1</v>
      </c>
      <c r="I86" s="300">
        <f>(36.8*KFC!$B$30+KFC!$C$30)*KFC!$C$5</f>
        <v>36.799999999999997</v>
      </c>
      <c r="J86" s="300">
        <f>(39.4*KFC!$B$30+KFC!$C$30)*KFC!$C$5</f>
        <v>39.4</v>
      </c>
      <c r="K86" s="300">
        <f>(42.1*KFC!$B$30+KFC!$C$30)*KFC!$C$5</f>
        <v>42.1</v>
      </c>
      <c r="L86" s="300">
        <f>(44.8*KFC!$B$30+KFC!$C$30)*KFC!$C$5</f>
        <v>44.8</v>
      </c>
      <c r="M86" s="300">
        <f>(47.4*KFC!$B$30+KFC!$C$30)*KFC!$C$5</f>
        <v>47.4</v>
      </c>
      <c r="N86" s="300">
        <f>(50.1*KFC!$B$30+KFC!$C$30)*KFC!$C$5</f>
        <v>50.1</v>
      </c>
      <c r="O86" s="300">
        <f>(52.8*KFC!$B$30+KFC!$C$30)*KFC!$C$5</f>
        <v>52.8</v>
      </c>
      <c r="P86" s="300">
        <f>(55.4*KFC!$B$30+KFC!$C$30)*KFC!$C$5</f>
        <v>55.4</v>
      </c>
      <c r="Q86" s="300">
        <f>(58.1*KFC!$B$30+KFC!$C$30)*KFC!$C$5</f>
        <v>58.1</v>
      </c>
      <c r="R86" s="300">
        <f>(60.8*KFC!$B$30+KFC!$C$30)*KFC!$C$5</f>
        <v>60.8</v>
      </c>
      <c r="S86" s="300">
        <f>(63.4*KFC!$B$30+KFC!$C$30)*KFC!$C$5</f>
        <v>63.4</v>
      </c>
      <c r="T86" s="300">
        <f>(66.1*KFC!$B$30+KFC!$C$30)*KFC!$C$5</f>
        <v>66.099999999999994</v>
      </c>
      <c r="U86" s="300">
        <f>(68.8*KFC!$B$30+KFC!$C$30)*KFC!$C$5</f>
        <v>68.8</v>
      </c>
      <c r="V86" s="300">
        <f>(71.5*KFC!$B$30+KFC!$C$30)*KFC!$C$5</f>
        <v>71.5</v>
      </c>
      <c r="W86" s="300">
        <f>(74.1*KFC!$B$30+KFC!$C$30)*KFC!$C$5</f>
        <v>74.099999999999994</v>
      </c>
      <c r="X86" s="300">
        <f>(76.8*KFC!$B$30+KFC!$C$30)*KFC!$C$5</f>
        <v>76.8</v>
      </c>
      <c r="Y86" s="300">
        <f>(79.5*KFC!$B$30+KFC!$C$30)*KFC!$C$5</f>
        <v>79.5</v>
      </c>
      <c r="Z86" s="300">
        <f>(82.1*KFC!$B$30+KFC!$C$30)*KFC!$C$5</f>
        <v>82.1</v>
      </c>
      <c r="AA86" s="300">
        <f>(84.8*KFC!$B$30+KFC!$C$30)*KFC!$C$5</f>
        <v>84.8</v>
      </c>
      <c r="AB86" s="300">
        <f>(87.5*KFC!$B$30+KFC!$C$30)*KFC!$C$5</f>
        <v>87.5</v>
      </c>
      <c r="AC86" s="304">
        <f>(90.1*KFC!$B$30+KFC!$C$30)*KFC!$C$5</f>
        <v>90.1</v>
      </c>
    </row>
    <row r="87" spans="1:29" ht="13.8" thickBot="1">
      <c r="A87" s="1539"/>
      <c r="B87" s="638">
        <v>4.05</v>
      </c>
      <c r="C87" s="303">
        <f>(21.1*KFC!$B$30+KFC!$C$30)*KFC!$C$5</f>
        <v>21.1</v>
      </c>
      <c r="D87" s="306">
        <f>(23.8*KFC!$B$30+KFC!$C$30)*KFC!$C$5</f>
        <v>23.8</v>
      </c>
      <c r="E87" s="306">
        <f>(26.5*KFC!$B$30+KFC!$C$30)*KFC!$C$5</f>
        <v>26.5</v>
      </c>
      <c r="F87" s="306">
        <f>(29.3*KFC!$B$30+KFC!$C$30)*KFC!$C$5</f>
        <v>29.3</v>
      </c>
      <c r="G87" s="306">
        <f>(32*KFC!$B$30+KFC!$C$30)*KFC!$C$5</f>
        <v>32</v>
      </c>
      <c r="H87" s="306">
        <f>(34.7*KFC!$B$30+KFC!$C$30)*KFC!$C$5</f>
        <v>34.700000000000003</v>
      </c>
      <c r="I87" s="306">
        <f>(37.4*KFC!$B$30+KFC!$C$30)*KFC!$C$5</f>
        <v>37.4</v>
      </c>
      <c r="J87" s="306">
        <f>(40.2*KFC!$B$30+KFC!$C$30)*KFC!$C$5</f>
        <v>40.200000000000003</v>
      </c>
      <c r="K87" s="306">
        <f>(42.9*KFC!$B$30+KFC!$C$30)*KFC!$C$5</f>
        <v>42.9</v>
      </c>
      <c r="L87" s="306">
        <f>(45.6*KFC!$B$30+KFC!$C$30)*KFC!$C$5</f>
        <v>45.6</v>
      </c>
      <c r="M87" s="306">
        <f>(48.4*KFC!$B$30+KFC!$C$30)*KFC!$C$5</f>
        <v>48.4</v>
      </c>
      <c r="N87" s="306">
        <f>(51.1*KFC!$B$30+KFC!$C$30)*KFC!$C$5</f>
        <v>51.1</v>
      </c>
      <c r="O87" s="306">
        <f>(53.8*KFC!$B$30+KFC!$C$30)*KFC!$C$5</f>
        <v>53.8</v>
      </c>
      <c r="P87" s="306">
        <f>(56.6*KFC!$B$30+KFC!$C$30)*KFC!$C$5</f>
        <v>56.6</v>
      </c>
      <c r="Q87" s="306">
        <f>(59.3*KFC!$B$30+KFC!$C$30)*KFC!$C$5</f>
        <v>59.3</v>
      </c>
      <c r="R87" s="306">
        <f>(62*KFC!$B$30+KFC!$C$30)*KFC!$C$5</f>
        <v>62</v>
      </c>
      <c r="S87" s="306">
        <f>(64.8*KFC!$B$30+KFC!$C$30)*KFC!$C$5</f>
        <v>64.8</v>
      </c>
      <c r="T87" s="306">
        <f>(67.5*KFC!$B$30+KFC!$C$30)*KFC!$C$5</f>
        <v>67.5</v>
      </c>
      <c r="U87" s="306">
        <f>(70.2*KFC!$B$30+KFC!$C$30)*KFC!$C$5</f>
        <v>70.2</v>
      </c>
      <c r="V87" s="306">
        <f>(73*KFC!$B$30+KFC!$C$30)*KFC!$C$5</f>
        <v>73</v>
      </c>
      <c r="W87" s="306">
        <f>(75.7*KFC!$B$30+KFC!$C$30)*KFC!$C$5</f>
        <v>75.7</v>
      </c>
      <c r="X87" s="306">
        <f>(78.4*KFC!$B$30+KFC!$C$30)*KFC!$C$5</f>
        <v>78.400000000000006</v>
      </c>
      <c r="Y87" s="306">
        <f>(81.2*KFC!$B$30+KFC!$C$30)*KFC!$C$5</f>
        <v>81.2</v>
      </c>
      <c r="Z87" s="306">
        <f>(83.9*KFC!$B$30+KFC!$C$30)*KFC!$C$5</f>
        <v>83.9</v>
      </c>
      <c r="AA87" s="306">
        <f>(86.6*KFC!$B$30+KFC!$C$30)*KFC!$C$5</f>
        <v>86.6</v>
      </c>
      <c r="AB87" s="306">
        <f>(89.4*KFC!$B$30+KFC!$C$30)*KFC!$C$5</f>
        <v>89.4</v>
      </c>
      <c r="AC87" s="307">
        <f>(92.1*KFC!$B$30+KFC!$C$30)*KFC!$C$5</f>
        <v>92.1</v>
      </c>
    </row>
    <row r="88" spans="1:29" ht="13.8" thickBot="1">
      <c r="A88" s="216"/>
      <c r="B88" s="216"/>
      <c r="C88" s="215"/>
      <c r="D88" s="215"/>
      <c r="E88" s="215"/>
      <c r="F88" s="215"/>
      <c r="G88" s="215"/>
      <c r="H88" s="215"/>
      <c r="I88" s="215"/>
      <c r="J88" s="215"/>
      <c r="K88" s="215"/>
      <c r="L88" s="215"/>
      <c r="M88" s="215"/>
      <c r="N88" s="215"/>
      <c r="O88" s="215"/>
      <c r="P88" s="215"/>
      <c r="Q88" s="215"/>
      <c r="R88" s="215"/>
      <c r="S88" s="215"/>
      <c r="T88" s="215"/>
      <c r="U88" s="215"/>
      <c r="V88" s="215"/>
      <c r="W88" s="215"/>
      <c r="X88" s="215"/>
      <c r="Y88" s="215"/>
      <c r="Z88" s="215"/>
      <c r="AA88" s="215"/>
      <c r="AB88" s="215"/>
      <c r="AC88" s="215"/>
    </row>
    <row r="89" spans="1:29" ht="13.5" customHeight="1" thickBot="1">
      <c r="A89" s="1413" t="s">
        <v>315</v>
      </c>
      <c r="B89" s="1542"/>
      <c r="C89" s="1787" t="s">
        <v>207</v>
      </c>
      <c r="D89" s="1788"/>
      <c r="E89" s="1788"/>
      <c r="F89" s="1788"/>
      <c r="G89" s="1788"/>
      <c r="H89" s="1788"/>
      <c r="I89" s="1788"/>
      <c r="J89" s="1788"/>
      <c r="K89" s="1788"/>
      <c r="L89" s="1788"/>
      <c r="M89" s="1788"/>
      <c r="N89" s="1788"/>
      <c r="O89" s="1788"/>
      <c r="P89" s="1788"/>
      <c r="Q89" s="1788"/>
      <c r="R89" s="1788"/>
      <c r="S89" s="1788"/>
      <c r="T89" s="1788"/>
      <c r="U89" s="1788"/>
      <c r="V89" s="1788"/>
      <c r="W89" s="1788"/>
      <c r="X89" s="1788"/>
      <c r="Y89" s="1788"/>
      <c r="Z89" s="1788"/>
      <c r="AA89" s="1788"/>
      <c r="AB89" s="1788"/>
      <c r="AC89" s="1885"/>
    </row>
    <row r="90" spans="1:29" ht="13.8" thickBot="1">
      <c r="A90" s="1543"/>
      <c r="B90" s="1544"/>
      <c r="C90" s="633">
        <v>0.4</v>
      </c>
      <c r="D90" s="634">
        <v>0.5</v>
      </c>
      <c r="E90" s="634">
        <v>0.6</v>
      </c>
      <c r="F90" s="634">
        <v>0.7</v>
      </c>
      <c r="G90" s="634">
        <v>0.8</v>
      </c>
      <c r="H90" s="634">
        <v>0.9</v>
      </c>
      <c r="I90" s="634">
        <v>1</v>
      </c>
      <c r="J90" s="634">
        <v>1.1000000000000001</v>
      </c>
      <c r="K90" s="634">
        <v>1.2</v>
      </c>
      <c r="L90" s="634">
        <v>1.3</v>
      </c>
      <c r="M90" s="634">
        <v>1.4</v>
      </c>
      <c r="N90" s="634">
        <v>1.5</v>
      </c>
      <c r="O90" s="634">
        <v>1.6</v>
      </c>
      <c r="P90" s="634">
        <v>1.7</v>
      </c>
      <c r="Q90" s="634">
        <v>1.8</v>
      </c>
      <c r="R90" s="634">
        <v>1.9</v>
      </c>
      <c r="S90" s="634">
        <v>2</v>
      </c>
      <c r="T90" s="634">
        <v>2.1</v>
      </c>
      <c r="U90" s="634">
        <v>2.2000000000000002</v>
      </c>
      <c r="V90" s="634">
        <v>2.2999999999999998</v>
      </c>
      <c r="W90" s="634">
        <v>2.4</v>
      </c>
      <c r="X90" s="634">
        <v>2.5</v>
      </c>
      <c r="Y90" s="634">
        <v>2.6</v>
      </c>
      <c r="Z90" s="634">
        <v>2.7</v>
      </c>
      <c r="AA90" s="634">
        <v>2.8</v>
      </c>
      <c r="AB90" s="634">
        <v>2.9</v>
      </c>
      <c r="AC90" s="635">
        <v>3</v>
      </c>
    </row>
    <row r="91" spans="1:29" ht="12.75" customHeight="1">
      <c r="A91" s="1537" t="s">
        <v>3</v>
      </c>
      <c r="B91" s="636">
        <v>0.5</v>
      </c>
      <c r="C91" s="274">
        <f>(11.2*KFC!$B$30+KFC!$C$30)*KFC!$C$5</f>
        <v>11.2</v>
      </c>
      <c r="D91" s="301">
        <f>(12*KFC!$B$30+KFC!$C$30)*KFC!$C$5</f>
        <v>12</v>
      </c>
      <c r="E91" s="301">
        <f>(12.8*KFC!$B$30+KFC!$C$30)*KFC!$C$5</f>
        <v>12.8</v>
      </c>
      <c r="F91" s="301">
        <f>(13.5*KFC!$B$30+KFC!$C$30)*KFC!$C$5</f>
        <v>13.5</v>
      </c>
      <c r="G91" s="301">
        <f>(14.3*KFC!$B$30+KFC!$C$30)*KFC!$C$5</f>
        <v>14.3</v>
      </c>
      <c r="H91" s="301">
        <f>(15.1*KFC!$B$30+KFC!$C$30)*KFC!$C$5</f>
        <v>15.1</v>
      </c>
      <c r="I91" s="301">
        <f>(15.9*KFC!$B$30+KFC!$C$30)*KFC!$C$5</f>
        <v>15.9</v>
      </c>
      <c r="J91" s="301">
        <f>(16.7*KFC!$B$30+KFC!$C$30)*KFC!$C$5</f>
        <v>16.7</v>
      </c>
      <c r="K91" s="301">
        <f>(17.5*KFC!$B$30+KFC!$C$30)*KFC!$C$5</f>
        <v>17.5</v>
      </c>
      <c r="L91" s="301">
        <f>(18.2*KFC!$B$30+KFC!$C$30)*KFC!$C$5</f>
        <v>18.2</v>
      </c>
      <c r="M91" s="301">
        <f>(19*KFC!$B$30+KFC!$C$30)*KFC!$C$5</f>
        <v>19</v>
      </c>
      <c r="N91" s="301">
        <f>(19.8*KFC!$B$30+KFC!$C$30)*KFC!$C$5</f>
        <v>19.8</v>
      </c>
      <c r="O91" s="301">
        <f>(20.6*KFC!$B$30+KFC!$C$30)*KFC!$C$5</f>
        <v>20.6</v>
      </c>
      <c r="P91" s="301">
        <f>(21.4*KFC!$B$30+KFC!$C$30)*KFC!$C$5</f>
        <v>21.4</v>
      </c>
      <c r="Q91" s="301">
        <f>(22.2*KFC!$B$30+KFC!$C$30)*KFC!$C$5</f>
        <v>22.2</v>
      </c>
      <c r="R91" s="301">
        <f>(23*KFC!$B$30+KFC!$C$30)*KFC!$C$5</f>
        <v>23</v>
      </c>
      <c r="S91" s="301">
        <f>(23.7*KFC!$B$30+KFC!$C$30)*KFC!$C$5</f>
        <v>23.7</v>
      </c>
      <c r="T91" s="301">
        <f>(24.5*KFC!$B$30+KFC!$C$30)*KFC!$C$5</f>
        <v>24.5</v>
      </c>
      <c r="U91" s="301">
        <f>(25.3*KFC!$B$30+KFC!$C$30)*KFC!$C$5</f>
        <v>25.3</v>
      </c>
      <c r="V91" s="301">
        <f>(26.1*KFC!$B$30+KFC!$C$30)*KFC!$C$5</f>
        <v>26.1</v>
      </c>
      <c r="W91" s="301">
        <f>(26.9*KFC!$B$30+KFC!$C$30)*KFC!$C$5</f>
        <v>26.9</v>
      </c>
      <c r="X91" s="301">
        <f>(27.7*KFC!$B$30+KFC!$C$30)*KFC!$C$5</f>
        <v>27.7</v>
      </c>
      <c r="Y91" s="301">
        <f>(28.4*KFC!$B$30+KFC!$C$30)*KFC!$C$5</f>
        <v>28.4</v>
      </c>
      <c r="Z91" s="301">
        <f>(29.2*KFC!$B$30+KFC!$C$30)*KFC!$C$5</f>
        <v>29.2</v>
      </c>
      <c r="AA91" s="301">
        <f>(30*KFC!$B$30+KFC!$C$30)*KFC!$C$5</f>
        <v>30</v>
      </c>
      <c r="AB91" s="301">
        <f>(30.8*KFC!$B$30+KFC!$C$30)*KFC!$C$5</f>
        <v>30.8</v>
      </c>
      <c r="AC91" s="302">
        <f>(31.6*KFC!$B$30+KFC!$C$30)*KFC!$C$5</f>
        <v>31.6</v>
      </c>
    </row>
    <row r="92" spans="1:29">
      <c r="A92" s="1538"/>
      <c r="B92" s="637">
        <v>0.6</v>
      </c>
      <c r="C92" s="303">
        <f>(11.8*KFC!$B$30+KFC!$C$30)*KFC!$C$5</f>
        <v>11.8</v>
      </c>
      <c r="D92" s="300">
        <f>(12.7*KFC!$B$30+KFC!$C$30)*KFC!$C$5</f>
        <v>12.7</v>
      </c>
      <c r="E92" s="300">
        <f>(13.6*KFC!$B$30+KFC!$C$30)*KFC!$C$5</f>
        <v>13.6</v>
      </c>
      <c r="F92" s="300">
        <f>(14.6*KFC!$B$30+KFC!$C$30)*KFC!$C$5</f>
        <v>14.6</v>
      </c>
      <c r="G92" s="300">
        <f>(15.5*KFC!$B$30+KFC!$C$30)*KFC!$C$5</f>
        <v>15.5</v>
      </c>
      <c r="H92" s="300">
        <f>(16.4*KFC!$B$30+KFC!$C$30)*KFC!$C$5</f>
        <v>16.399999999999999</v>
      </c>
      <c r="I92" s="300">
        <f>(17.4*KFC!$B$30+KFC!$C$30)*KFC!$C$5</f>
        <v>17.399999999999999</v>
      </c>
      <c r="J92" s="300">
        <f>(18.3*KFC!$B$30+KFC!$C$30)*KFC!$C$5</f>
        <v>18.3</v>
      </c>
      <c r="K92" s="300">
        <f>(19.3*KFC!$B$30+KFC!$C$30)*KFC!$C$5</f>
        <v>19.3</v>
      </c>
      <c r="L92" s="300">
        <f>(20.2*KFC!$B$30+KFC!$C$30)*KFC!$C$5</f>
        <v>20.2</v>
      </c>
      <c r="M92" s="300">
        <f>(21.1*KFC!$B$30+KFC!$C$30)*KFC!$C$5</f>
        <v>21.1</v>
      </c>
      <c r="N92" s="300">
        <f>(22.1*KFC!$B$30+KFC!$C$30)*KFC!$C$5</f>
        <v>22.1</v>
      </c>
      <c r="O92" s="300">
        <f>(23*KFC!$B$30+KFC!$C$30)*KFC!$C$5</f>
        <v>23</v>
      </c>
      <c r="P92" s="300">
        <f>(24*KFC!$B$30+KFC!$C$30)*KFC!$C$5</f>
        <v>24</v>
      </c>
      <c r="Q92" s="300">
        <f>(24.9*KFC!$B$30+KFC!$C$30)*KFC!$C$5</f>
        <v>24.9</v>
      </c>
      <c r="R92" s="300">
        <f>(25.8*KFC!$B$30+KFC!$C$30)*KFC!$C$5</f>
        <v>25.8</v>
      </c>
      <c r="S92" s="300">
        <f>(26.8*KFC!$B$30+KFC!$C$30)*KFC!$C$5</f>
        <v>26.8</v>
      </c>
      <c r="T92" s="300">
        <f>(27.7*KFC!$B$30+KFC!$C$30)*KFC!$C$5</f>
        <v>27.7</v>
      </c>
      <c r="U92" s="300">
        <f>(28.7*KFC!$B$30+KFC!$C$30)*KFC!$C$5</f>
        <v>28.7</v>
      </c>
      <c r="V92" s="300">
        <f>(29.6*KFC!$B$30+KFC!$C$30)*KFC!$C$5</f>
        <v>29.6</v>
      </c>
      <c r="W92" s="300">
        <f>(30.5*KFC!$B$30+KFC!$C$30)*KFC!$C$5</f>
        <v>30.5</v>
      </c>
      <c r="X92" s="300">
        <f>(31.5*KFC!$B$30+KFC!$C$30)*KFC!$C$5</f>
        <v>31.5</v>
      </c>
      <c r="Y92" s="300">
        <f>(32.4*KFC!$B$30+KFC!$C$30)*KFC!$C$5</f>
        <v>32.4</v>
      </c>
      <c r="Z92" s="300">
        <f>(33.4*KFC!$B$30+KFC!$C$30)*KFC!$C$5</f>
        <v>33.4</v>
      </c>
      <c r="AA92" s="300">
        <f>(34.3*KFC!$B$30+KFC!$C$30)*KFC!$C$5</f>
        <v>34.299999999999997</v>
      </c>
      <c r="AB92" s="300">
        <f>(35.2*KFC!$B$30+KFC!$C$30)*KFC!$C$5</f>
        <v>35.200000000000003</v>
      </c>
      <c r="AC92" s="304">
        <f>(36.2*KFC!$B$30+KFC!$C$30)*KFC!$C$5</f>
        <v>36.200000000000003</v>
      </c>
    </row>
    <row r="93" spans="1:29">
      <c r="A93" s="1538"/>
      <c r="B93" s="637">
        <v>0.7</v>
      </c>
      <c r="C93" s="303">
        <f>(12.3*KFC!$B$30+KFC!$C$30)*KFC!$C$5</f>
        <v>12.3</v>
      </c>
      <c r="D93" s="300">
        <f>(13.4*KFC!$B$30+KFC!$C$30)*KFC!$C$5</f>
        <v>13.4</v>
      </c>
      <c r="E93" s="300">
        <f>(14.5*KFC!$B$30+KFC!$C$30)*KFC!$C$5</f>
        <v>14.5</v>
      </c>
      <c r="F93" s="300">
        <f>(15.6*KFC!$B$30+KFC!$C$30)*KFC!$C$5</f>
        <v>15.6</v>
      </c>
      <c r="G93" s="300">
        <f>(16.7*KFC!$B$30+KFC!$C$30)*KFC!$C$5</f>
        <v>16.7</v>
      </c>
      <c r="H93" s="300">
        <f>(17.8*KFC!$B$30+KFC!$C$30)*KFC!$C$5</f>
        <v>17.8</v>
      </c>
      <c r="I93" s="300">
        <f>(18.9*KFC!$B$30+KFC!$C$30)*KFC!$C$5</f>
        <v>18.899999999999999</v>
      </c>
      <c r="J93" s="300">
        <f>(20*KFC!$B$30+KFC!$C$30)*KFC!$C$5</f>
        <v>20</v>
      </c>
      <c r="K93" s="300">
        <f>(21.1*KFC!$B$30+KFC!$C$30)*KFC!$C$5</f>
        <v>21.1</v>
      </c>
      <c r="L93" s="300">
        <f>(22.2*KFC!$B$30+KFC!$C$30)*KFC!$C$5</f>
        <v>22.2</v>
      </c>
      <c r="M93" s="300">
        <f>(23.3*KFC!$B$30+KFC!$C$30)*KFC!$C$5</f>
        <v>23.3</v>
      </c>
      <c r="N93" s="300">
        <f>(24.4*KFC!$B$30+KFC!$C$30)*KFC!$C$5</f>
        <v>24.4</v>
      </c>
      <c r="O93" s="300">
        <f>(25.5*KFC!$B$30+KFC!$C$30)*KFC!$C$5</f>
        <v>25.5</v>
      </c>
      <c r="P93" s="300">
        <f>(26.6*KFC!$B$30+KFC!$C$30)*KFC!$C$5</f>
        <v>26.6</v>
      </c>
      <c r="Q93" s="300">
        <f>(27.6*KFC!$B$30+KFC!$C$30)*KFC!$C$5</f>
        <v>27.6</v>
      </c>
      <c r="R93" s="300">
        <f>(28.7*KFC!$B$30+KFC!$C$30)*KFC!$C$5</f>
        <v>28.7</v>
      </c>
      <c r="S93" s="300">
        <f>(29.8*KFC!$B$30+KFC!$C$30)*KFC!$C$5</f>
        <v>29.8</v>
      </c>
      <c r="T93" s="300">
        <f>(30.9*KFC!$B$30+KFC!$C$30)*KFC!$C$5</f>
        <v>30.9</v>
      </c>
      <c r="U93" s="300">
        <f>(32*KFC!$B$30+KFC!$C$30)*KFC!$C$5</f>
        <v>32</v>
      </c>
      <c r="V93" s="300">
        <f>(33.1*KFC!$B$30+KFC!$C$30)*KFC!$C$5</f>
        <v>33.1</v>
      </c>
      <c r="W93" s="300">
        <f>(34.2*KFC!$B$30+KFC!$C$30)*KFC!$C$5</f>
        <v>34.200000000000003</v>
      </c>
      <c r="X93" s="300">
        <f>(35.3*KFC!$B$30+KFC!$C$30)*KFC!$C$5</f>
        <v>35.299999999999997</v>
      </c>
      <c r="Y93" s="300">
        <f>(36.4*KFC!$B$30+KFC!$C$30)*KFC!$C$5</f>
        <v>36.4</v>
      </c>
      <c r="Z93" s="300">
        <f>(37.5*KFC!$B$30+KFC!$C$30)*KFC!$C$5</f>
        <v>37.5</v>
      </c>
      <c r="AA93" s="300">
        <f>(38.6*KFC!$B$30+KFC!$C$30)*KFC!$C$5</f>
        <v>38.6</v>
      </c>
      <c r="AB93" s="300">
        <f>(39.7*KFC!$B$30+KFC!$C$30)*KFC!$C$5</f>
        <v>39.700000000000003</v>
      </c>
      <c r="AC93" s="304">
        <f>(40.8*KFC!$B$30+KFC!$C$30)*KFC!$C$5</f>
        <v>40.799999999999997</v>
      </c>
    </row>
    <row r="94" spans="1:29">
      <c r="A94" s="1538"/>
      <c r="B94" s="637">
        <v>0.8</v>
      </c>
      <c r="C94" s="303">
        <f>(12.9*KFC!$B$30+KFC!$C$30)*KFC!$C$5</f>
        <v>12.9</v>
      </c>
      <c r="D94" s="300">
        <f>(14.1*KFC!$B$30+KFC!$C$30)*KFC!$C$5</f>
        <v>14.1</v>
      </c>
      <c r="E94" s="300">
        <f>(15.4*KFC!$B$30+KFC!$C$30)*KFC!$C$5</f>
        <v>15.4</v>
      </c>
      <c r="F94" s="300">
        <f>(16.6*KFC!$B$30+KFC!$C$30)*KFC!$C$5</f>
        <v>16.600000000000001</v>
      </c>
      <c r="G94" s="300">
        <f>(17.9*KFC!$B$30+KFC!$C$30)*KFC!$C$5</f>
        <v>17.899999999999999</v>
      </c>
      <c r="H94" s="300">
        <f>(19.1*KFC!$B$30+KFC!$C$30)*KFC!$C$5</f>
        <v>19.100000000000001</v>
      </c>
      <c r="I94" s="300">
        <f>(20.4*KFC!$B$30+KFC!$C$30)*KFC!$C$5</f>
        <v>20.399999999999999</v>
      </c>
      <c r="J94" s="300">
        <f>(21.6*KFC!$B$30+KFC!$C$30)*KFC!$C$5</f>
        <v>21.6</v>
      </c>
      <c r="K94" s="300">
        <f>(22.9*KFC!$B$30+KFC!$C$30)*KFC!$C$5</f>
        <v>22.9</v>
      </c>
      <c r="L94" s="300">
        <f>(24.1*KFC!$B$30+KFC!$C$30)*KFC!$C$5</f>
        <v>24.1</v>
      </c>
      <c r="M94" s="300">
        <f>(25.4*KFC!$B$30+KFC!$C$30)*KFC!$C$5</f>
        <v>25.4</v>
      </c>
      <c r="N94" s="300">
        <f>(26.6*KFC!$B$30+KFC!$C$30)*KFC!$C$5</f>
        <v>26.6</v>
      </c>
      <c r="O94" s="300">
        <f>(27.9*KFC!$B$30+KFC!$C$30)*KFC!$C$5</f>
        <v>27.9</v>
      </c>
      <c r="P94" s="300">
        <f>(29.1*KFC!$B$30+KFC!$C$30)*KFC!$C$5</f>
        <v>29.1</v>
      </c>
      <c r="Q94" s="300">
        <f>(30.4*KFC!$B$30+KFC!$C$30)*KFC!$C$5</f>
        <v>30.4</v>
      </c>
      <c r="R94" s="300">
        <f>(31.6*KFC!$B$30+KFC!$C$30)*KFC!$C$5</f>
        <v>31.6</v>
      </c>
      <c r="S94" s="300">
        <f>(32.9*KFC!$B$30+KFC!$C$30)*KFC!$C$5</f>
        <v>32.9</v>
      </c>
      <c r="T94" s="300">
        <f>(34.1*KFC!$B$30+KFC!$C$30)*KFC!$C$5</f>
        <v>34.1</v>
      </c>
      <c r="U94" s="300">
        <f>(35.4*KFC!$B$30+KFC!$C$30)*KFC!$C$5</f>
        <v>35.4</v>
      </c>
      <c r="V94" s="300">
        <f>(36.6*KFC!$B$30+KFC!$C$30)*KFC!$C$5</f>
        <v>36.6</v>
      </c>
      <c r="W94" s="300">
        <f>(37.9*KFC!$B$30+KFC!$C$30)*KFC!$C$5</f>
        <v>37.9</v>
      </c>
      <c r="X94" s="300">
        <f>(39.1*KFC!$B$30+KFC!$C$30)*KFC!$C$5</f>
        <v>39.1</v>
      </c>
      <c r="Y94" s="300">
        <f>(40.4*KFC!$B$30+KFC!$C$30)*KFC!$C$5</f>
        <v>40.4</v>
      </c>
      <c r="Z94" s="300">
        <f>(41.6*KFC!$B$30+KFC!$C$30)*KFC!$C$5</f>
        <v>41.6</v>
      </c>
      <c r="AA94" s="300">
        <f>(42.9*KFC!$B$30+KFC!$C$30)*KFC!$C$5</f>
        <v>42.9</v>
      </c>
      <c r="AB94" s="300">
        <f>(44.1*KFC!$B$30+KFC!$C$30)*KFC!$C$5</f>
        <v>44.1</v>
      </c>
      <c r="AC94" s="304">
        <f>(45.4*KFC!$B$30+KFC!$C$30)*KFC!$C$5</f>
        <v>45.4</v>
      </c>
    </row>
    <row r="95" spans="1:29">
      <c r="A95" s="1538"/>
      <c r="B95" s="637">
        <v>0.9</v>
      </c>
      <c r="C95" s="303">
        <f>(13.5*KFC!$B$30+KFC!$C$30)*KFC!$C$5</f>
        <v>13.5</v>
      </c>
      <c r="D95" s="300">
        <f>(14.9*KFC!$B$30+KFC!$C$30)*KFC!$C$5</f>
        <v>14.9</v>
      </c>
      <c r="E95" s="300">
        <f>(16.3*KFC!$B$30+KFC!$C$30)*KFC!$C$5</f>
        <v>16.3</v>
      </c>
      <c r="F95" s="300">
        <f>(17.7*KFC!$B$30+KFC!$C$30)*KFC!$C$5</f>
        <v>17.7</v>
      </c>
      <c r="G95" s="300">
        <f>(19.1*KFC!$B$30+KFC!$C$30)*KFC!$C$5</f>
        <v>19.100000000000001</v>
      </c>
      <c r="H95" s="300">
        <f>(20.5*KFC!$B$30+KFC!$C$30)*KFC!$C$5</f>
        <v>20.5</v>
      </c>
      <c r="I95" s="300">
        <f>(21.9*KFC!$B$30+KFC!$C$30)*KFC!$C$5</f>
        <v>21.9</v>
      </c>
      <c r="J95" s="300">
        <f>(23.3*KFC!$B$30+KFC!$C$30)*KFC!$C$5</f>
        <v>23.3</v>
      </c>
      <c r="K95" s="300">
        <f>(24.7*KFC!$B$30+KFC!$C$30)*KFC!$C$5</f>
        <v>24.7</v>
      </c>
      <c r="L95" s="300">
        <f>(26.1*KFC!$B$30+KFC!$C$30)*KFC!$C$5</f>
        <v>26.1</v>
      </c>
      <c r="M95" s="300">
        <f>(27.5*KFC!$B$30+KFC!$C$30)*KFC!$C$5</f>
        <v>27.5</v>
      </c>
      <c r="N95" s="300">
        <f>(28.9*KFC!$B$30+KFC!$C$30)*KFC!$C$5</f>
        <v>28.9</v>
      </c>
      <c r="O95" s="300">
        <f>(30.3*KFC!$B$30+KFC!$C$30)*KFC!$C$5</f>
        <v>30.3</v>
      </c>
      <c r="P95" s="300">
        <f>(31.7*KFC!$B$30+KFC!$C$30)*KFC!$C$5</f>
        <v>31.7</v>
      </c>
      <c r="Q95" s="300">
        <f>(33.1*KFC!$B$30+KFC!$C$30)*KFC!$C$5</f>
        <v>33.1</v>
      </c>
      <c r="R95" s="300">
        <f>(34.5*KFC!$B$30+KFC!$C$30)*KFC!$C$5</f>
        <v>34.5</v>
      </c>
      <c r="S95" s="300">
        <f>(35.9*KFC!$B$30+KFC!$C$30)*KFC!$C$5</f>
        <v>35.9</v>
      </c>
      <c r="T95" s="300">
        <f>(37.3*KFC!$B$30+KFC!$C$30)*KFC!$C$5</f>
        <v>37.299999999999997</v>
      </c>
      <c r="U95" s="300">
        <f>(38.8*KFC!$B$30+KFC!$C$30)*KFC!$C$5</f>
        <v>38.799999999999997</v>
      </c>
      <c r="V95" s="300">
        <f>(40.2*KFC!$B$30+KFC!$C$30)*KFC!$C$5</f>
        <v>40.200000000000003</v>
      </c>
      <c r="W95" s="300">
        <f>(41.6*KFC!$B$30+KFC!$C$30)*KFC!$C$5</f>
        <v>41.6</v>
      </c>
      <c r="X95" s="300">
        <f>(43*KFC!$B$30+KFC!$C$30)*KFC!$C$5</f>
        <v>43</v>
      </c>
      <c r="Y95" s="300">
        <f>(44.4*KFC!$B$30+KFC!$C$30)*KFC!$C$5</f>
        <v>44.4</v>
      </c>
      <c r="Z95" s="300">
        <f>(45.8*KFC!$B$30+KFC!$C$30)*KFC!$C$5</f>
        <v>45.8</v>
      </c>
      <c r="AA95" s="300">
        <f>(47.2*KFC!$B$30+KFC!$C$30)*KFC!$C$5</f>
        <v>47.2</v>
      </c>
      <c r="AB95" s="300">
        <f>(48.6*KFC!$B$30+KFC!$C$30)*KFC!$C$5</f>
        <v>48.6</v>
      </c>
      <c r="AC95" s="304">
        <f>(50*KFC!$B$30+KFC!$C$30)*KFC!$C$5</f>
        <v>50</v>
      </c>
    </row>
    <row r="96" spans="1:29">
      <c r="A96" s="1538"/>
      <c r="B96" s="637">
        <v>1</v>
      </c>
      <c r="C96" s="303">
        <f>(14*KFC!$B$30+KFC!$C$30)*KFC!$C$5</f>
        <v>14</v>
      </c>
      <c r="D96" s="300">
        <f>(15.6*KFC!$B$30+KFC!$C$30)*KFC!$C$5</f>
        <v>15.6</v>
      </c>
      <c r="E96" s="300">
        <f>(17.1*KFC!$B$30+KFC!$C$30)*KFC!$C$5</f>
        <v>17.100000000000001</v>
      </c>
      <c r="F96" s="300">
        <f>(18.7*KFC!$B$30+KFC!$C$30)*KFC!$C$5</f>
        <v>18.7</v>
      </c>
      <c r="G96" s="300">
        <f>(20.3*KFC!$B$30+KFC!$C$30)*KFC!$C$5</f>
        <v>20.3</v>
      </c>
      <c r="H96" s="300">
        <f>(21.8*KFC!$B$30+KFC!$C$30)*KFC!$C$5</f>
        <v>21.8</v>
      </c>
      <c r="I96" s="300">
        <f>(23.4*KFC!$B$30+KFC!$C$30)*KFC!$C$5</f>
        <v>23.4</v>
      </c>
      <c r="J96" s="300">
        <f>(24.9*KFC!$B$30+KFC!$C$30)*KFC!$C$5</f>
        <v>24.9</v>
      </c>
      <c r="K96" s="300">
        <f>(26.5*KFC!$B$30+KFC!$C$30)*KFC!$C$5</f>
        <v>26.5</v>
      </c>
      <c r="L96" s="300">
        <f>(28.1*KFC!$B$30+KFC!$C$30)*KFC!$C$5</f>
        <v>28.1</v>
      </c>
      <c r="M96" s="300">
        <f>(29.6*KFC!$B$30+KFC!$C$30)*KFC!$C$5</f>
        <v>29.6</v>
      </c>
      <c r="N96" s="300">
        <f>(31.2*KFC!$B$30+KFC!$C$30)*KFC!$C$5</f>
        <v>31.2</v>
      </c>
      <c r="O96" s="300">
        <f>(32.7*KFC!$B$30+KFC!$C$30)*KFC!$C$5</f>
        <v>32.700000000000003</v>
      </c>
      <c r="P96" s="300">
        <f>(34.3*KFC!$B$30+KFC!$C$30)*KFC!$C$5</f>
        <v>34.299999999999997</v>
      </c>
      <c r="Q96" s="300">
        <f>(35.9*KFC!$B$30+KFC!$C$30)*KFC!$C$5</f>
        <v>35.9</v>
      </c>
      <c r="R96" s="300">
        <f>(37.4*KFC!$B$30+KFC!$C$30)*KFC!$C$5</f>
        <v>37.4</v>
      </c>
      <c r="S96" s="300">
        <f>(39*KFC!$B$30+KFC!$C$30)*KFC!$C$5</f>
        <v>39</v>
      </c>
      <c r="T96" s="300">
        <f>(40.6*KFC!$B$30+KFC!$C$30)*KFC!$C$5</f>
        <v>40.6</v>
      </c>
      <c r="U96" s="300">
        <f>(42.1*KFC!$B$30+KFC!$C$30)*KFC!$C$5</f>
        <v>42.1</v>
      </c>
      <c r="V96" s="300">
        <f>(43.7*KFC!$B$30+KFC!$C$30)*KFC!$C$5</f>
        <v>43.7</v>
      </c>
      <c r="W96" s="300">
        <f>(45.2*KFC!$B$30+KFC!$C$30)*KFC!$C$5</f>
        <v>45.2</v>
      </c>
      <c r="X96" s="300">
        <f>(46.8*KFC!$B$30+KFC!$C$30)*KFC!$C$5</f>
        <v>46.8</v>
      </c>
      <c r="Y96" s="300">
        <f>(48.4*KFC!$B$30+KFC!$C$30)*KFC!$C$5</f>
        <v>48.4</v>
      </c>
      <c r="Z96" s="300">
        <f>(49.9*KFC!$B$30+KFC!$C$30)*KFC!$C$5</f>
        <v>49.9</v>
      </c>
      <c r="AA96" s="300">
        <f>(51.5*KFC!$B$30+KFC!$C$30)*KFC!$C$5</f>
        <v>51.5</v>
      </c>
      <c r="AB96" s="300">
        <f>(53*KFC!$B$30+KFC!$C$30)*KFC!$C$5</f>
        <v>53</v>
      </c>
      <c r="AC96" s="304">
        <f>(54.6*KFC!$B$30+KFC!$C$30)*KFC!$C$5</f>
        <v>54.6</v>
      </c>
    </row>
    <row r="97" spans="1:29">
      <c r="A97" s="1538"/>
      <c r="B97" s="637">
        <v>1.1000000000000001</v>
      </c>
      <c r="C97" s="303">
        <f>(14.6*KFC!$B$30+KFC!$C$30)*KFC!$C$5</f>
        <v>14.6</v>
      </c>
      <c r="D97" s="300">
        <f>(16.3*KFC!$B$30+KFC!$C$30)*KFC!$C$5</f>
        <v>16.3</v>
      </c>
      <c r="E97" s="300">
        <f>(18*KFC!$B$30+KFC!$C$30)*KFC!$C$5</f>
        <v>18</v>
      </c>
      <c r="F97" s="300">
        <f>(19.7*KFC!$B$30+KFC!$C$30)*KFC!$C$5</f>
        <v>19.7</v>
      </c>
      <c r="G97" s="300">
        <f>(21.4*KFC!$B$30+KFC!$C$30)*KFC!$C$5</f>
        <v>21.4</v>
      </c>
      <c r="H97" s="300">
        <f>(23.2*KFC!$B$30+KFC!$C$30)*KFC!$C$5</f>
        <v>23.2</v>
      </c>
      <c r="I97" s="300">
        <f>(24.9*KFC!$B$30+KFC!$C$30)*KFC!$C$5</f>
        <v>24.9</v>
      </c>
      <c r="J97" s="300">
        <f>(26.6*KFC!$B$30+KFC!$C$30)*KFC!$C$5</f>
        <v>26.6</v>
      </c>
      <c r="K97" s="300">
        <f>(28.3*KFC!$B$30+KFC!$C$30)*KFC!$C$5</f>
        <v>28.3</v>
      </c>
      <c r="L97" s="300">
        <f>(30*KFC!$B$30+KFC!$C$30)*KFC!$C$5</f>
        <v>30</v>
      </c>
      <c r="M97" s="300">
        <f>(31.7*KFC!$B$30+KFC!$C$30)*KFC!$C$5</f>
        <v>31.7</v>
      </c>
      <c r="N97" s="300">
        <f>(33.5*KFC!$B$30+KFC!$C$30)*KFC!$C$5</f>
        <v>33.5</v>
      </c>
      <c r="O97" s="300">
        <f>(35.2*KFC!$B$30+KFC!$C$30)*KFC!$C$5</f>
        <v>35.200000000000003</v>
      </c>
      <c r="P97" s="300">
        <f>(36.9*KFC!$B$30+KFC!$C$30)*KFC!$C$5</f>
        <v>36.9</v>
      </c>
      <c r="Q97" s="300">
        <f>(38.6*KFC!$B$30+KFC!$C$30)*KFC!$C$5</f>
        <v>38.6</v>
      </c>
      <c r="R97" s="300">
        <f>(40.3*KFC!$B$30+KFC!$C$30)*KFC!$C$5</f>
        <v>40.299999999999997</v>
      </c>
      <c r="S97" s="300">
        <f>(42*KFC!$B$30+KFC!$C$30)*KFC!$C$5</f>
        <v>42</v>
      </c>
      <c r="T97" s="300">
        <f>(43.8*KFC!$B$30+KFC!$C$30)*KFC!$C$5</f>
        <v>43.8</v>
      </c>
      <c r="U97" s="300">
        <f>(45.5*KFC!$B$30+KFC!$C$30)*KFC!$C$5</f>
        <v>45.5</v>
      </c>
      <c r="V97" s="300">
        <f>(47.2*KFC!$B$30+KFC!$C$30)*KFC!$C$5</f>
        <v>47.2</v>
      </c>
      <c r="W97" s="300">
        <f>(48.9*KFC!$B$30+KFC!$C$30)*KFC!$C$5</f>
        <v>48.9</v>
      </c>
      <c r="X97" s="300">
        <f>(50.6*KFC!$B$30+KFC!$C$30)*KFC!$C$5</f>
        <v>50.6</v>
      </c>
      <c r="Y97" s="300">
        <f>(52.3*KFC!$B$30+KFC!$C$30)*KFC!$C$5</f>
        <v>52.3</v>
      </c>
      <c r="Z97" s="300">
        <f>(54.1*KFC!$B$30+KFC!$C$30)*KFC!$C$5</f>
        <v>54.1</v>
      </c>
      <c r="AA97" s="300">
        <f>(55.8*KFC!$B$30+KFC!$C$30)*KFC!$C$5</f>
        <v>55.8</v>
      </c>
      <c r="AB97" s="300">
        <f>(57.5*KFC!$B$30+KFC!$C$30)*KFC!$C$5</f>
        <v>57.5</v>
      </c>
      <c r="AC97" s="304">
        <f>(59.2*KFC!$B$30+KFC!$C$30)*KFC!$C$5</f>
        <v>59.2</v>
      </c>
    </row>
    <row r="98" spans="1:29">
      <c r="A98" s="1538"/>
      <c r="B98" s="637">
        <v>1.2</v>
      </c>
      <c r="C98" s="303">
        <f>(15.1*KFC!$B$30+KFC!$C$30)*KFC!$C$5</f>
        <v>15.1</v>
      </c>
      <c r="D98" s="300">
        <f>(17*KFC!$B$30+KFC!$C$30)*KFC!$C$5</f>
        <v>17</v>
      </c>
      <c r="E98" s="300">
        <f>(18.9*KFC!$B$30+KFC!$C$30)*KFC!$C$5</f>
        <v>18.899999999999999</v>
      </c>
      <c r="F98" s="300">
        <f>(20.8*KFC!$B$30+KFC!$C$30)*KFC!$C$5</f>
        <v>20.8</v>
      </c>
      <c r="G98" s="300">
        <f>(22.6*KFC!$B$30+KFC!$C$30)*KFC!$C$5</f>
        <v>22.6</v>
      </c>
      <c r="H98" s="300">
        <f>(24.5*KFC!$B$30+KFC!$C$30)*KFC!$C$5</f>
        <v>24.5</v>
      </c>
      <c r="I98" s="300">
        <f>(26.4*KFC!$B$30+KFC!$C$30)*KFC!$C$5</f>
        <v>26.4</v>
      </c>
      <c r="J98" s="300">
        <f>(28.3*KFC!$B$30+KFC!$C$30)*KFC!$C$5</f>
        <v>28.3</v>
      </c>
      <c r="K98" s="300">
        <f>(30.1*KFC!$B$30+KFC!$C$30)*KFC!$C$5</f>
        <v>30.1</v>
      </c>
      <c r="L98" s="300">
        <f>(32*KFC!$B$30+KFC!$C$30)*KFC!$C$5</f>
        <v>32</v>
      </c>
      <c r="M98" s="300">
        <f>(33.9*KFC!$B$30+KFC!$C$30)*KFC!$C$5</f>
        <v>33.9</v>
      </c>
      <c r="N98" s="300">
        <f>(35.7*KFC!$B$30+KFC!$C$30)*KFC!$C$5</f>
        <v>35.700000000000003</v>
      </c>
      <c r="O98" s="300">
        <f>(37.6*KFC!$B$30+KFC!$C$30)*KFC!$C$5</f>
        <v>37.6</v>
      </c>
      <c r="P98" s="300">
        <f>(39.5*KFC!$B$30+KFC!$C$30)*KFC!$C$5</f>
        <v>39.5</v>
      </c>
      <c r="Q98" s="300">
        <f>(41.4*KFC!$B$30+KFC!$C$30)*KFC!$C$5</f>
        <v>41.4</v>
      </c>
      <c r="R98" s="300">
        <f>(43.2*KFC!$B$30+KFC!$C$30)*KFC!$C$5</f>
        <v>43.2</v>
      </c>
      <c r="S98" s="300">
        <f>(45.1*KFC!$B$30+KFC!$C$30)*KFC!$C$5</f>
        <v>45.1</v>
      </c>
      <c r="T98" s="300">
        <f>(47*KFC!$B$30+KFC!$C$30)*KFC!$C$5</f>
        <v>47</v>
      </c>
      <c r="U98" s="300">
        <f>(48.8*KFC!$B$30+KFC!$C$30)*KFC!$C$5</f>
        <v>48.8</v>
      </c>
      <c r="V98" s="300">
        <f>(50.7*KFC!$B$30+KFC!$C$30)*KFC!$C$5</f>
        <v>50.7</v>
      </c>
      <c r="W98" s="300">
        <f>(52.6*KFC!$B$30+KFC!$C$30)*KFC!$C$5</f>
        <v>52.6</v>
      </c>
      <c r="X98" s="300">
        <f>(54.5*KFC!$B$30+KFC!$C$30)*KFC!$C$5</f>
        <v>54.5</v>
      </c>
      <c r="Y98" s="300">
        <f>(56.3*KFC!$B$30+KFC!$C$30)*KFC!$C$5</f>
        <v>56.3</v>
      </c>
      <c r="Z98" s="300">
        <f>(58.2*KFC!$B$30+KFC!$C$30)*KFC!$C$5</f>
        <v>58.2</v>
      </c>
      <c r="AA98" s="300">
        <f>(60.1*KFC!$B$30+KFC!$C$30)*KFC!$C$5</f>
        <v>60.1</v>
      </c>
      <c r="AB98" s="300">
        <f>(61.9*KFC!$B$30+KFC!$C$30)*KFC!$C$5</f>
        <v>61.9</v>
      </c>
      <c r="AC98" s="304">
        <f>(63.8*KFC!$B$30+KFC!$C$30)*KFC!$C$5</f>
        <v>63.8</v>
      </c>
    </row>
    <row r="99" spans="1:29">
      <c r="A99" s="1538"/>
      <c r="B99" s="637">
        <v>1.3</v>
      </c>
      <c r="C99" s="303">
        <f>(15.7*KFC!$B$30+KFC!$C$30)*KFC!$C$5</f>
        <v>15.7</v>
      </c>
      <c r="D99" s="300">
        <f>(17.7*KFC!$B$30+KFC!$C$30)*KFC!$C$5</f>
        <v>17.7</v>
      </c>
      <c r="E99" s="300">
        <f>(19.8*KFC!$B$30+KFC!$C$30)*KFC!$C$5</f>
        <v>19.8</v>
      </c>
      <c r="F99" s="300">
        <f>(21.8*KFC!$B$30+KFC!$C$30)*KFC!$C$5</f>
        <v>21.8</v>
      </c>
      <c r="G99" s="300">
        <f>(23.8*KFC!$B$30+KFC!$C$30)*KFC!$C$5</f>
        <v>23.8</v>
      </c>
      <c r="H99" s="300">
        <f>(25.9*KFC!$B$30+KFC!$C$30)*KFC!$C$5</f>
        <v>25.9</v>
      </c>
      <c r="I99" s="300">
        <f>(27.9*KFC!$B$30+KFC!$C$30)*KFC!$C$5</f>
        <v>27.9</v>
      </c>
      <c r="J99" s="300">
        <f>(29.9*KFC!$B$30+KFC!$C$30)*KFC!$C$5</f>
        <v>29.9</v>
      </c>
      <c r="K99" s="300">
        <f>(31.9*KFC!$B$30+KFC!$C$30)*KFC!$C$5</f>
        <v>31.9</v>
      </c>
      <c r="L99" s="300">
        <f>(34*KFC!$B$30+KFC!$C$30)*KFC!$C$5</f>
        <v>34</v>
      </c>
      <c r="M99" s="300">
        <f>(36*KFC!$B$30+KFC!$C$30)*KFC!$C$5</f>
        <v>36</v>
      </c>
      <c r="N99" s="300">
        <f>(38*KFC!$B$30+KFC!$C$30)*KFC!$C$5</f>
        <v>38</v>
      </c>
      <c r="O99" s="300">
        <f>(40*KFC!$B$30+KFC!$C$30)*KFC!$C$5</f>
        <v>40</v>
      </c>
      <c r="P99" s="300">
        <f>(42.1*KFC!$B$30+KFC!$C$30)*KFC!$C$5</f>
        <v>42.1</v>
      </c>
      <c r="Q99" s="300">
        <f>(44.1*KFC!$B$30+KFC!$C$30)*KFC!$C$5</f>
        <v>44.1</v>
      </c>
      <c r="R99" s="300">
        <f>(46.1*KFC!$B$30+KFC!$C$30)*KFC!$C$5</f>
        <v>46.1</v>
      </c>
      <c r="S99" s="300">
        <f>(48.2*KFC!$B$30+KFC!$C$30)*KFC!$C$5</f>
        <v>48.2</v>
      </c>
      <c r="T99" s="300">
        <f>(50.2*KFC!$B$30+KFC!$C$30)*KFC!$C$5</f>
        <v>50.2</v>
      </c>
      <c r="U99" s="300">
        <f>(52.2*KFC!$B$30+KFC!$C$30)*KFC!$C$5</f>
        <v>52.2</v>
      </c>
      <c r="V99" s="300">
        <f>(54.2*KFC!$B$30+KFC!$C$30)*KFC!$C$5</f>
        <v>54.2</v>
      </c>
      <c r="W99" s="300">
        <f>(56.3*KFC!$B$30+KFC!$C$30)*KFC!$C$5</f>
        <v>56.3</v>
      </c>
      <c r="X99" s="300">
        <f>(58.3*KFC!$B$30+KFC!$C$30)*KFC!$C$5</f>
        <v>58.3</v>
      </c>
      <c r="Y99" s="300">
        <f>(60.3*KFC!$B$30+KFC!$C$30)*KFC!$C$5</f>
        <v>60.3</v>
      </c>
      <c r="Z99" s="300">
        <f>(62.3*KFC!$B$30+KFC!$C$30)*KFC!$C$5</f>
        <v>62.3</v>
      </c>
      <c r="AA99" s="300">
        <f>(64.4*KFC!$B$30+KFC!$C$30)*KFC!$C$5</f>
        <v>64.400000000000006</v>
      </c>
      <c r="AB99" s="300">
        <f>(66.4*KFC!$B$30+KFC!$C$30)*KFC!$C$5</f>
        <v>66.400000000000006</v>
      </c>
      <c r="AC99" s="304">
        <f>(68.4*KFC!$B$30+KFC!$C$30)*KFC!$C$5</f>
        <v>68.400000000000006</v>
      </c>
    </row>
    <row r="100" spans="1:29">
      <c r="A100" s="1538"/>
      <c r="B100" s="637">
        <v>1.4</v>
      </c>
      <c r="C100" s="303">
        <f>(16.3*KFC!$B$30+KFC!$C$30)*KFC!$C$5</f>
        <v>16.3</v>
      </c>
      <c r="D100" s="300">
        <f>(18.5*KFC!$B$30+KFC!$C$30)*KFC!$C$5</f>
        <v>18.5</v>
      </c>
      <c r="E100" s="300">
        <f>(20.6*KFC!$B$30+KFC!$C$30)*KFC!$C$5</f>
        <v>20.6</v>
      </c>
      <c r="F100" s="300">
        <f>(22.8*KFC!$B$30+KFC!$C$30)*KFC!$C$5</f>
        <v>22.8</v>
      </c>
      <c r="G100" s="300">
        <f>(25*KFC!$B$30+KFC!$C$30)*KFC!$C$5</f>
        <v>25</v>
      </c>
      <c r="H100" s="300">
        <f>(27.2*KFC!$B$30+KFC!$C$30)*KFC!$C$5</f>
        <v>27.2</v>
      </c>
      <c r="I100" s="300">
        <f>(29.4*KFC!$B$30+KFC!$C$30)*KFC!$C$5</f>
        <v>29.4</v>
      </c>
      <c r="J100" s="300">
        <f>(31.6*KFC!$B$30+KFC!$C$30)*KFC!$C$5</f>
        <v>31.6</v>
      </c>
      <c r="K100" s="300">
        <f>(33.7*KFC!$B$30+KFC!$C$30)*KFC!$C$5</f>
        <v>33.700000000000003</v>
      </c>
      <c r="L100" s="300">
        <f>(35.9*KFC!$B$30+KFC!$C$30)*KFC!$C$5</f>
        <v>35.9</v>
      </c>
      <c r="M100" s="300">
        <f>(38.1*KFC!$B$30+KFC!$C$30)*KFC!$C$5</f>
        <v>38.1</v>
      </c>
      <c r="N100" s="300">
        <f>(40.3*KFC!$B$30+KFC!$C$30)*KFC!$C$5</f>
        <v>40.299999999999997</v>
      </c>
      <c r="O100" s="300">
        <f>(42.5*KFC!$B$30+KFC!$C$30)*KFC!$C$5</f>
        <v>42.5</v>
      </c>
      <c r="P100" s="300">
        <f>(44.7*KFC!$B$30+KFC!$C$30)*KFC!$C$5</f>
        <v>44.7</v>
      </c>
      <c r="Q100" s="300">
        <f>(46.8*KFC!$B$30+KFC!$C$30)*KFC!$C$5</f>
        <v>46.8</v>
      </c>
      <c r="R100" s="300">
        <f>(49*KFC!$B$30+KFC!$C$30)*KFC!$C$5</f>
        <v>49</v>
      </c>
      <c r="S100" s="300">
        <f>(51.2*KFC!$B$30+KFC!$C$30)*KFC!$C$5</f>
        <v>51.2</v>
      </c>
      <c r="T100" s="300">
        <f>(53.4*KFC!$B$30+KFC!$C$30)*KFC!$C$5</f>
        <v>53.4</v>
      </c>
      <c r="U100" s="300">
        <f>(55.6*KFC!$B$30+KFC!$C$30)*KFC!$C$5</f>
        <v>55.6</v>
      </c>
      <c r="V100" s="300">
        <f>(57.7*KFC!$B$30+KFC!$C$30)*KFC!$C$5</f>
        <v>57.7</v>
      </c>
      <c r="W100" s="300">
        <f>(59.9*KFC!$B$30+KFC!$C$30)*KFC!$C$5</f>
        <v>59.9</v>
      </c>
      <c r="X100" s="300">
        <f>(62.1*KFC!$B$30+KFC!$C$30)*KFC!$C$5</f>
        <v>62.1</v>
      </c>
      <c r="Y100" s="300">
        <f>(64.3*KFC!$B$30+KFC!$C$30)*KFC!$C$5</f>
        <v>64.3</v>
      </c>
      <c r="Z100" s="300">
        <f>(66.5*KFC!$B$30+KFC!$C$30)*KFC!$C$5</f>
        <v>66.5</v>
      </c>
      <c r="AA100" s="300">
        <f>(68.7*KFC!$B$30+KFC!$C$30)*KFC!$C$5</f>
        <v>68.7</v>
      </c>
      <c r="AB100" s="300">
        <f>(70.8*KFC!$B$30+KFC!$C$30)*KFC!$C$5</f>
        <v>70.8</v>
      </c>
      <c r="AC100" s="304">
        <f>(73*KFC!$B$30+KFC!$C$30)*KFC!$C$5</f>
        <v>73</v>
      </c>
    </row>
    <row r="101" spans="1:29">
      <c r="A101" s="1538"/>
      <c r="B101" s="637">
        <v>1.5</v>
      </c>
      <c r="C101" s="303">
        <f>(16.8*KFC!$B$30+KFC!$C$30)*KFC!$C$5</f>
        <v>16.8</v>
      </c>
      <c r="D101" s="300">
        <f>(19.2*KFC!$B$30+KFC!$C$30)*KFC!$C$5</f>
        <v>19.2</v>
      </c>
      <c r="E101" s="300">
        <f>(21.5*KFC!$B$30+KFC!$C$30)*KFC!$C$5</f>
        <v>21.5</v>
      </c>
      <c r="F101" s="300">
        <f>(23.9*KFC!$B$30+KFC!$C$30)*KFC!$C$5</f>
        <v>23.9</v>
      </c>
      <c r="G101" s="300">
        <f>(26.2*KFC!$B$30+KFC!$C$30)*KFC!$C$5</f>
        <v>26.2</v>
      </c>
      <c r="H101" s="300">
        <f>(28.5*KFC!$B$30+KFC!$C$30)*KFC!$C$5</f>
        <v>28.5</v>
      </c>
      <c r="I101" s="300">
        <f>(30.9*KFC!$B$30+KFC!$C$30)*KFC!$C$5</f>
        <v>30.9</v>
      </c>
      <c r="J101" s="300">
        <f>(33.2*KFC!$B$30+KFC!$C$30)*KFC!$C$5</f>
        <v>33.200000000000003</v>
      </c>
      <c r="K101" s="300">
        <f>(35.6*KFC!$B$30+KFC!$C$30)*KFC!$C$5</f>
        <v>35.6</v>
      </c>
      <c r="L101" s="300">
        <f>(37.9*KFC!$B$30+KFC!$C$30)*KFC!$C$5</f>
        <v>37.9</v>
      </c>
      <c r="M101" s="300">
        <f>(40.2*KFC!$B$30+KFC!$C$30)*KFC!$C$5</f>
        <v>40.200000000000003</v>
      </c>
      <c r="N101" s="300">
        <f>(42.6*KFC!$B$30+KFC!$C$30)*KFC!$C$5</f>
        <v>42.6</v>
      </c>
      <c r="O101" s="300">
        <f>(44.9*KFC!$B$30+KFC!$C$30)*KFC!$C$5</f>
        <v>44.9</v>
      </c>
      <c r="P101" s="300">
        <f>(47.2*KFC!$B$30+KFC!$C$30)*KFC!$C$5</f>
        <v>47.2</v>
      </c>
      <c r="Q101" s="300">
        <f>(49.6*KFC!$B$30+KFC!$C$30)*KFC!$C$5</f>
        <v>49.6</v>
      </c>
      <c r="R101" s="300">
        <f>(51.9*KFC!$B$30+KFC!$C$30)*KFC!$C$5</f>
        <v>51.9</v>
      </c>
      <c r="S101" s="300">
        <f>(54.3*KFC!$B$30+KFC!$C$30)*KFC!$C$5</f>
        <v>54.3</v>
      </c>
      <c r="T101" s="300">
        <f>(56.6*KFC!$B$30+KFC!$C$30)*KFC!$C$5</f>
        <v>56.6</v>
      </c>
      <c r="U101" s="300">
        <f>(58.9*KFC!$B$30+KFC!$C$30)*KFC!$C$5</f>
        <v>58.9</v>
      </c>
      <c r="V101" s="300">
        <f>(61.3*KFC!$B$30+KFC!$C$30)*KFC!$C$5</f>
        <v>61.3</v>
      </c>
      <c r="W101" s="300">
        <f>(63.6*KFC!$B$30+KFC!$C$30)*KFC!$C$5</f>
        <v>63.6</v>
      </c>
      <c r="X101" s="300">
        <f>(65.9*KFC!$B$30+KFC!$C$30)*KFC!$C$5</f>
        <v>65.900000000000006</v>
      </c>
      <c r="Y101" s="300">
        <f>(68.3*KFC!$B$30+KFC!$C$30)*KFC!$C$5</f>
        <v>68.3</v>
      </c>
      <c r="Z101" s="300">
        <f>(70.6*KFC!$B$30+KFC!$C$30)*KFC!$C$5</f>
        <v>70.599999999999994</v>
      </c>
      <c r="AA101" s="300">
        <f>(73*KFC!$B$30+KFC!$C$30)*KFC!$C$5</f>
        <v>73</v>
      </c>
      <c r="AB101" s="300">
        <f>(75.3*KFC!$B$30+KFC!$C$30)*KFC!$C$5</f>
        <v>75.3</v>
      </c>
      <c r="AC101" s="304">
        <f>(77.6*KFC!$B$30+KFC!$C$30)*KFC!$C$5</f>
        <v>77.599999999999994</v>
      </c>
    </row>
    <row r="102" spans="1:29">
      <c r="A102" s="1538"/>
      <c r="B102" s="637">
        <v>1.6</v>
      </c>
      <c r="C102" s="303">
        <f>(17.4*KFC!$B$30+KFC!$C$30)*KFC!$C$5</f>
        <v>17.399999999999999</v>
      </c>
      <c r="D102" s="300">
        <f>(19.9*KFC!$B$30+KFC!$C$30)*KFC!$C$5</f>
        <v>19.899999999999999</v>
      </c>
      <c r="E102" s="300">
        <f>(22.4*KFC!$B$30+KFC!$C$30)*KFC!$C$5</f>
        <v>22.4</v>
      </c>
      <c r="F102" s="300">
        <f>(24.9*KFC!$B$30+KFC!$C$30)*KFC!$C$5</f>
        <v>24.9</v>
      </c>
      <c r="G102" s="300">
        <f>(27.4*KFC!$B$30+KFC!$C$30)*KFC!$C$5</f>
        <v>27.4</v>
      </c>
      <c r="H102" s="300">
        <f>(29.9*KFC!$B$30+KFC!$C$30)*KFC!$C$5</f>
        <v>29.9</v>
      </c>
      <c r="I102" s="300">
        <f>(32.4*KFC!$B$30+KFC!$C$30)*KFC!$C$5</f>
        <v>32.4</v>
      </c>
      <c r="J102" s="300">
        <f>(34.9*KFC!$B$30+KFC!$C$30)*KFC!$C$5</f>
        <v>34.9</v>
      </c>
      <c r="K102" s="300">
        <f>(37.4*KFC!$B$30+KFC!$C$30)*KFC!$C$5</f>
        <v>37.4</v>
      </c>
      <c r="L102" s="300">
        <f>(39.9*KFC!$B$30+KFC!$C$30)*KFC!$C$5</f>
        <v>39.9</v>
      </c>
      <c r="M102" s="300">
        <f>(42.3*KFC!$B$30+KFC!$C$30)*KFC!$C$5</f>
        <v>42.3</v>
      </c>
      <c r="N102" s="300">
        <f>(44.8*KFC!$B$30+KFC!$C$30)*KFC!$C$5</f>
        <v>44.8</v>
      </c>
      <c r="O102" s="300">
        <f>(47.3*KFC!$B$30+KFC!$C$30)*KFC!$C$5</f>
        <v>47.3</v>
      </c>
      <c r="P102" s="300">
        <f>(49.8*KFC!$B$30+KFC!$C$30)*KFC!$C$5</f>
        <v>49.8</v>
      </c>
      <c r="Q102" s="300">
        <f>(52.3*KFC!$B$30+KFC!$C$30)*KFC!$C$5</f>
        <v>52.3</v>
      </c>
      <c r="R102" s="300">
        <f>(54.8*KFC!$B$30+KFC!$C$30)*KFC!$C$5</f>
        <v>54.8</v>
      </c>
      <c r="S102" s="300">
        <f>(57.3*KFC!$B$30+KFC!$C$30)*KFC!$C$5</f>
        <v>57.3</v>
      </c>
      <c r="T102" s="300">
        <f>(59.8*KFC!$B$30+KFC!$C$30)*KFC!$C$5</f>
        <v>59.8</v>
      </c>
      <c r="U102" s="300">
        <f>(62.3*KFC!$B$30+KFC!$C$30)*KFC!$C$5</f>
        <v>62.3</v>
      </c>
      <c r="V102" s="300">
        <f>(64.8*KFC!$B$30+KFC!$C$30)*KFC!$C$5</f>
        <v>64.8</v>
      </c>
      <c r="W102" s="300">
        <f>(67.3*KFC!$B$30+KFC!$C$30)*KFC!$C$5</f>
        <v>67.3</v>
      </c>
      <c r="X102" s="300">
        <f>(69.8*KFC!$B$30+KFC!$C$30)*KFC!$C$5</f>
        <v>69.8</v>
      </c>
      <c r="Y102" s="300">
        <f>(72.3*KFC!$B$30+KFC!$C$30)*KFC!$C$5</f>
        <v>72.3</v>
      </c>
      <c r="Z102" s="300">
        <f>(74.8*KFC!$B$30+KFC!$C$30)*KFC!$C$5</f>
        <v>74.8</v>
      </c>
      <c r="AA102" s="300">
        <f>(77.3*KFC!$B$30+KFC!$C$30)*KFC!$C$5</f>
        <v>77.3</v>
      </c>
      <c r="AB102" s="300">
        <f>(79.7*KFC!$B$30+KFC!$C$30)*KFC!$C$5</f>
        <v>79.7</v>
      </c>
      <c r="AC102" s="304">
        <f>(82.2*KFC!$B$30+KFC!$C$30)*KFC!$C$5</f>
        <v>82.2</v>
      </c>
    </row>
    <row r="103" spans="1:29">
      <c r="A103" s="1538"/>
      <c r="B103" s="637">
        <v>1.7</v>
      </c>
      <c r="C103" s="303">
        <f>(18*KFC!$B$30+KFC!$C$30)*KFC!$C$5</f>
        <v>18</v>
      </c>
      <c r="D103" s="300">
        <f>(20.6*KFC!$B$30+KFC!$C$30)*KFC!$C$5</f>
        <v>20.6</v>
      </c>
      <c r="E103" s="300">
        <f>(23.3*KFC!$B$30+KFC!$C$30)*KFC!$C$5</f>
        <v>23.3</v>
      </c>
      <c r="F103" s="300">
        <f>(25.9*KFC!$B$30+KFC!$C$30)*KFC!$C$5</f>
        <v>25.9</v>
      </c>
      <c r="G103" s="300">
        <f>(28.6*KFC!$B$30+KFC!$C$30)*KFC!$C$5</f>
        <v>28.6</v>
      </c>
      <c r="H103" s="300">
        <f>(31.2*KFC!$B$30+KFC!$C$30)*KFC!$C$5</f>
        <v>31.2</v>
      </c>
      <c r="I103" s="300">
        <f>(33.9*KFC!$B$30+KFC!$C$30)*KFC!$C$5</f>
        <v>33.9</v>
      </c>
      <c r="J103" s="300">
        <f>(36.5*KFC!$B$30+KFC!$C$30)*KFC!$C$5</f>
        <v>36.5</v>
      </c>
      <c r="K103" s="300">
        <f>(39.2*KFC!$B$30+KFC!$C$30)*KFC!$C$5</f>
        <v>39.200000000000003</v>
      </c>
      <c r="L103" s="300">
        <f>(41.8*KFC!$B$30+KFC!$C$30)*KFC!$C$5</f>
        <v>41.8</v>
      </c>
      <c r="M103" s="300">
        <f>(44.5*KFC!$B$30+KFC!$C$30)*KFC!$C$5</f>
        <v>44.5</v>
      </c>
      <c r="N103" s="300">
        <f>(47.1*KFC!$B$30+KFC!$C$30)*KFC!$C$5</f>
        <v>47.1</v>
      </c>
      <c r="O103" s="300">
        <f>(49.8*KFC!$B$30+KFC!$C$30)*KFC!$C$5</f>
        <v>49.8</v>
      </c>
      <c r="P103" s="300">
        <f>(52.4*KFC!$B$30+KFC!$C$30)*KFC!$C$5</f>
        <v>52.4</v>
      </c>
      <c r="Q103" s="300">
        <f>(55.1*KFC!$B$30+KFC!$C$30)*KFC!$C$5</f>
        <v>55.1</v>
      </c>
      <c r="R103" s="300">
        <f>(57.7*KFC!$B$30+KFC!$C$30)*KFC!$C$5</f>
        <v>57.7</v>
      </c>
      <c r="S103" s="300">
        <f>(60.4*KFC!$B$30+KFC!$C$30)*KFC!$C$5</f>
        <v>60.4</v>
      </c>
      <c r="T103" s="300">
        <f>(63*KFC!$B$30+KFC!$C$30)*KFC!$C$5</f>
        <v>63</v>
      </c>
      <c r="U103" s="300">
        <f>(65.7*KFC!$B$30+KFC!$C$30)*KFC!$C$5</f>
        <v>65.7</v>
      </c>
      <c r="V103" s="300">
        <f>(68.3*KFC!$B$30+KFC!$C$30)*KFC!$C$5</f>
        <v>68.3</v>
      </c>
      <c r="W103" s="300">
        <f>(71*KFC!$B$30+KFC!$C$30)*KFC!$C$5</f>
        <v>71</v>
      </c>
      <c r="X103" s="300">
        <f>(73.6*KFC!$B$30+KFC!$C$30)*KFC!$C$5</f>
        <v>73.599999999999994</v>
      </c>
      <c r="Y103" s="300">
        <f>(76.2*KFC!$B$30+KFC!$C$30)*KFC!$C$5</f>
        <v>76.2</v>
      </c>
      <c r="Z103" s="300">
        <f>(78.9*KFC!$B$30+KFC!$C$30)*KFC!$C$5</f>
        <v>78.900000000000006</v>
      </c>
      <c r="AA103" s="300">
        <f>(81.5*KFC!$B$30+KFC!$C$30)*KFC!$C$5</f>
        <v>81.5</v>
      </c>
      <c r="AB103" s="300">
        <f>(84.2*KFC!$B$30+KFC!$C$30)*KFC!$C$5</f>
        <v>84.2</v>
      </c>
      <c r="AC103" s="304">
        <f>(86.8*KFC!$B$30+KFC!$C$30)*KFC!$C$5</f>
        <v>86.8</v>
      </c>
    </row>
    <row r="104" spans="1:29">
      <c r="A104" s="1538"/>
      <c r="B104" s="637">
        <v>1.8</v>
      </c>
      <c r="C104" s="303">
        <f>(18.5*KFC!$B$30+KFC!$C$30)*KFC!$C$5</f>
        <v>18.5</v>
      </c>
      <c r="D104" s="300">
        <f>(21.4*KFC!$B$30+KFC!$C$30)*KFC!$C$5</f>
        <v>21.4</v>
      </c>
      <c r="E104" s="300">
        <f>(24.2*KFC!$B$30+KFC!$C$30)*KFC!$C$5</f>
        <v>24.2</v>
      </c>
      <c r="F104" s="300">
        <f>(27*KFC!$B$30+KFC!$C$30)*KFC!$C$5</f>
        <v>27</v>
      </c>
      <c r="G104" s="300">
        <f>(29.8*KFC!$B$30+KFC!$C$30)*KFC!$C$5</f>
        <v>29.8</v>
      </c>
      <c r="H104" s="300">
        <f>(32.6*KFC!$B$30+KFC!$C$30)*KFC!$C$5</f>
        <v>32.6</v>
      </c>
      <c r="I104" s="300">
        <f>(35.4*KFC!$B$30+KFC!$C$30)*KFC!$C$5</f>
        <v>35.4</v>
      </c>
      <c r="J104" s="300">
        <f>(38.2*KFC!$B$30+KFC!$C$30)*KFC!$C$5</f>
        <v>38.200000000000003</v>
      </c>
      <c r="K104" s="300">
        <f>(41*KFC!$B$30+KFC!$C$30)*KFC!$C$5</f>
        <v>41</v>
      </c>
      <c r="L104" s="300">
        <f>(43.8*KFC!$B$30+KFC!$C$30)*KFC!$C$5</f>
        <v>43.8</v>
      </c>
      <c r="M104" s="300">
        <f>(46.6*KFC!$B$30+KFC!$C$30)*KFC!$C$5</f>
        <v>46.6</v>
      </c>
      <c r="N104" s="300">
        <f>(49.4*KFC!$B$30+KFC!$C$30)*KFC!$C$5</f>
        <v>49.4</v>
      </c>
      <c r="O104" s="300">
        <f>(52.2*KFC!$B$30+KFC!$C$30)*KFC!$C$5</f>
        <v>52.2</v>
      </c>
      <c r="P104" s="300">
        <f>(55*KFC!$B$30+KFC!$C$30)*KFC!$C$5</f>
        <v>55</v>
      </c>
      <c r="Q104" s="300">
        <f>(57.8*KFC!$B$30+KFC!$C$30)*KFC!$C$5</f>
        <v>57.8</v>
      </c>
      <c r="R104" s="300">
        <f>(60.6*KFC!$B$30+KFC!$C$30)*KFC!$C$5</f>
        <v>60.6</v>
      </c>
      <c r="S104" s="300">
        <f>(63.4*KFC!$B$30+KFC!$C$30)*KFC!$C$5</f>
        <v>63.4</v>
      </c>
      <c r="T104" s="300">
        <f>(66.2*KFC!$B$30+KFC!$C$30)*KFC!$C$5</f>
        <v>66.2</v>
      </c>
      <c r="U104" s="300">
        <f>(69*KFC!$B$30+KFC!$C$30)*KFC!$C$5</f>
        <v>69</v>
      </c>
      <c r="V104" s="300">
        <f>(71.8*KFC!$B$30+KFC!$C$30)*KFC!$C$5</f>
        <v>71.8</v>
      </c>
      <c r="W104" s="300">
        <f>(74.6*KFC!$B$30+KFC!$C$30)*KFC!$C$5</f>
        <v>74.599999999999994</v>
      </c>
      <c r="X104" s="300">
        <f>(77.4*KFC!$B$30+KFC!$C$30)*KFC!$C$5</f>
        <v>77.400000000000006</v>
      </c>
      <c r="Y104" s="300">
        <f>(80.2*KFC!$B$30+KFC!$C$30)*KFC!$C$5</f>
        <v>80.2</v>
      </c>
      <c r="Z104" s="300">
        <f>(83*KFC!$B$30+KFC!$C$30)*KFC!$C$5</f>
        <v>83</v>
      </c>
      <c r="AA104" s="300">
        <f>(85.8*KFC!$B$30+KFC!$C$30)*KFC!$C$5</f>
        <v>85.8</v>
      </c>
      <c r="AB104" s="300">
        <f>(88.6*KFC!$B$30+KFC!$C$30)*KFC!$C$5</f>
        <v>88.6</v>
      </c>
      <c r="AC104" s="304">
        <f>(91.4*KFC!$B$30+KFC!$C$30)*KFC!$C$5</f>
        <v>91.4</v>
      </c>
    </row>
    <row r="105" spans="1:29">
      <c r="A105" s="1538"/>
      <c r="B105" s="637">
        <v>1.9</v>
      </c>
      <c r="C105" s="303">
        <f>(19.1*KFC!$B$30+KFC!$C$30)*KFC!$C$5</f>
        <v>19.100000000000001</v>
      </c>
      <c r="D105" s="300">
        <f>(22.1*KFC!$B$30+KFC!$C$30)*KFC!$C$5</f>
        <v>22.1</v>
      </c>
      <c r="E105" s="300">
        <f>(25*KFC!$B$30+KFC!$C$30)*KFC!$C$5</f>
        <v>25</v>
      </c>
      <c r="F105" s="300">
        <f>(28*KFC!$B$30+KFC!$C$30)*KFC!$C$5</f>
        <v>28</v>
      </c>
      <c r="G105" s="300">
        <f>(31*KFC!$B$30+KFC!$C$30)*KFC!$C$5</f>
        <v>31</v>
      </c>
      <c r="H105" s="300">
        <f>(33.9*KFC!$B$30+KFC!$C$30)*KFC!$C$5</f>
        <v>33.9</v>
      </c>
      <c r="I105" s="300">
        <f>(36.9*KFC!$B$30+KFC!$C$30)*KFC!$C$5</f>
        <v>36.9</v>
      </c>
      <c r="J105" s="300">
        <f>(39.8*KFC!$B$30+KFC!$C$30)*KFC!$C$5</f>
        <v>39.799999999999997</v>
      </c>
      <c r="K105" s="300">
        <f>(42.8*KFC!$B$30+KFC!$C$30)*KFC!$C$5</f>
        <v>42.8</v>
      </c>
      <c r="L105" s="300">
        <f>(45.7*KFC!$B$30+KFC!$C$30)*KFC!$C$5</f>
        <v>45.7</v>
      </c>
      <c r="M105" s="300">
        <f>(48.7*KFC!$B$30+KFC!$C$30)*KFC!$C$5</f>
        <v>48.7</v>
      </c>
      <c r="N105" s="300">
        <f>(51.7*KFC!$B$30+KFC!$C$30)*KFC!$C$5</f>
        <v>51.7</v>
      </c>
      <c r="O105" s="300">
        <f>(54.6*KFC!$B$30+KFC!$C$30)*KFC!$C$5</f>
        <v>54.6</v>
      </c>
      <c r="P105" s="300">
        <f>(57.6*KFC!$B$30+KFC!$C$30)*KFC!$C$5</f>
        <v>57.6</v>
      </c>
      <c r="Q105" s="300">
        <f>(60.5*KFC!$B$30+KFC!$C$30)*KFC!$C$5</f>
        <v>60.5</v>
      </c>
      <c r="R105" s="300">
        <f>(63.5*KFC!$B$30+KFC!$C$30)*KFC!$C$5</f>
        <v>63.5</v>
      </c>
      <c r="S105" s="300">
        <f>(66.5*KFC!$B$30+KFC!$C$30)*KFC!$C$5</f>
        <v>66.5</v>
      </c>
      <c r="T105" s="300">
        <f>(69.4*KFC!$B$30+KFC!$C$30)*KFC!$C$5</f>
        <v>69.400000000000006</v>
      </c>
      <c r="U105" s="300">
        <f>(72.4*KFC!$B$30+KFC!$C$30)*KFC!$C$5</f>
        <v>72.400000000000006</v>
      </c>
      <c r="V105" s="300">
        <f>(75.3*KFC!$B$30+KFC!$C$30)*KFC!$C$5</f>
        <v>75.3</v>
      </c>
      <c r="W105" s="300">
        <f>(78.3*KFC!$B$30+KFC!$C$30)*KFC!$C$5</f>
        <v>78.3</v>
      </c>
      <c r="X105" s="300">
        <f>(81.3*KFC!$B$30+KFC!$C$30)*KFC!$C$5</f>
        <v>81.3</v>
      </c>
      <c r="Y105" s="300">
        <f>(84.2*KFC!$B$30+KFC!$C$30)*KFC!$C$5</f>
        <v>84.2</v>
      </c>
      <c r="Z105" s="300">
        <f>(87.2*KFC!$B$30+KFC!$C$30)*KFC!$C$5</f>
        <v>87.2</v>
      </c>
      <c r="AA105" s="300">
        <f>(90.1*KFC!$B$30+KFC!$C$30)*KFC!$C$5</f>
        <v>90.1</v>
      </c>
      <c r="AB105" s="300">
        <f>(93.1*KFC!$B$30+KFC!$C$30)*KFC!$C$5</f>
        <v>93.1</v>
      </c>
      <c r="AC105" s="304">
        <f>(96.1*KFC!$B$30+KFC!$C$30)*KFC!$C$5</f>
        <v>96.1</v>
      </c>
    </row>
    <row r="106" spans="1:29">
      <c r="A106" s="1538"/>
      <c r="B106" s="637">
        <v>2</v>
      </c>
      <c r="C106" s="303">
        <f>(19.7*KFC!$B$30+KFC!$C$30)*KFC!$C$5</f>
        <v>19.7</v>
      </c>
      <c r="D106" s="300">
        <f>(22.8*KFC!$B$30+KFC!$C$30)*KFC!$C$5</f>
        <v>22.8</v>
      </c>
      <c r="E106" s="300">
        <f>(25.9*KFC!$B$30+KFC!$C$30)*KFC!$C$5</f>
        <v>25.9</v>
      </c>
      <c r="F106" s="300">
        <f>(29*KFC!$B$30+KFC!$C$30)*KFC!$C$5</f>
        <v>29</v>
      </c>
      <c r="G106" s="300">
        <f>(32.1*KFC!$B$30+KFC!$C$30)*KFC!$C$5</f>
        <v>32.1</v>
      </c>
      <c r="H106" s="300">
        <f>(35.3*KFC!$B$30+KFC!$C$30)*KFC!$C$5</f>
        <v>35.299999999999997</v>
      </c>
      <c r="I106" s="300">
        <f>(38.4*KFC!$B$30+KFC!$C$30)*KFC!$C$5</f>
        <v>38.4</v>
      </c>
      <c r="J106" s="300">
        <f>(41.5*KFC!$B$30+KFC!$C$30)*KFC!$C$5</f>
        <v>41.5</v>
      </c>
      <c r="K106" s="300">
        <f>(44.6*KFC!$B$30+KFC!$C$30)*KFC!$C$5</f>
        <v>44.6</v>
      </c>
      <c r="L106" s="300">
        <f>(47.7*KFC!$B$30+KFC!$C$30)*KFC!$C$5</f>
        <v>47.7</v>
      </c>
      <c r="M106" s="300">
        <f>(50.8*KFC!$B$30+KFC!$C$30)*KFC!$C$5</f>
        <v>50.8</v>
      </c>
      <c r="N106" s="300">
        <f>(53.9*KFC!$B$30+KFC!$C$30)*KFC!$C$5</f>
        <v>53.9</v>
      </c>
      <c r="O106" s="300">
        <f>(57.1*KFC!$B$30+KFC!$C$30)*KFC!$C$5</f>
        <v>57.1</v>
      </c>
      <c r="P106" s="300">
        <f>(60.2*KFC!$B$30+KFC!$C$30)*KFC!$C$5</f>
        <v>60.2</v>
      </c>
      <c r="Q106" s="300">
        <f>(63.3*KFC!$B$30+KFC!$C$30)*KFC!$C$5</f>
        <v>63.3</v>
      </c>
      <c r="R106" s="300">
        <f>(66.4*KFC!$B$30+KFC!$C$30)*KFC!$C$5</f>
        <v>66.400000000000006</v>
      </c>
      <c r="S106" s="300">
        <f>(69.5*KFC!$B$30+KFC!$C$30)*KFC!$C$5</f>
        <v>69.5</v>
      </c>
      <c r="T106" s="300">
        <f>(72.6*KFC!$B$30+KFC!$C$30)*KFC!$C$5</f>
        <v>72.599999999999994</v>
      </c>
      <c r="U106" s="300">
        <f>(75.7*KFC!$B$30+KFC!$C$30)*KFC!$C$5</f>
        <v>75.7</v>
      </c>
      <c r="V106" s="300">
        <f>(78.9*KFC!$B$30+KFC!$C$30)*KFC!$C$5</f>
        <v>78.900000000000006</v>
      </c>
      <c r="W106" s="300">
        <f>(82*KFC!$B$30+KFC!$C$30)*KFC!$C$5</f>
        <v>82</v>
      </c>
      <c r="X106" s="300">
        <f>(85.1*KFC!$B$30+KFC!$C$30)*KFC!$C$5</f>
        <v>85.1</v>
      </c>
      <c r="Y106" s="300">
        <f>(88.2*KFC!$B$30+KFC!$C$30)*KFC!$C$5</f>
        <v>88.2</v>
      </c>
      <c r="Z106" s="300">
        <f>(91.3*KFC!$B$30+KFC!$C$30)*KFC!$C$5</f>
        <v>91.3</v>
      </c>
      <c r="AA106" s="300">
        <f>(94.4*KFC!$B$30+KFC!$C$30)*KFC!$C$5</f>
        <v>94.4</v>
      </c>
      <c r="AB106" s="300">
        <f>(97.5*KFC!$B$30+KFC!$C$30)*KFC!$C$5</f>
        <v>97.5</v>
      </c>
      <c r="AC106" s="304">
        <f>(100.7*KFC!$B$30+KFC!$C$30)*KFC!$C$5</f>
        <v>100.7</v>
      </c>
    </row>
    <row r="107" spans="1:29">
      <c r="A107" s="1538"/>
      <c r="B107" s="637">
        <v>2.1</v>
      </c>
      <c r="C107" s="303">
        <f>(20.2*KFC!$B$30+KFC!$C$30)*KFC!$C$5</f>
        <v>20.2</v>
      </c>
      <c r="D107" s="300">
        <f>(23.5*KFC!$B$30+KFC!$C$30)*KFC!$C$5</f>
        <v>23.5</v>
      </c>
      <c r="E107" s="300">
        <f>(26.8*KFC!$B$30+KFC!$C$30)*KFC!$C$5</f>
        <v>26.8</v>
      </c>
      <c r="F107" s="300">
        <f>(30.1*KFC!$B$30+KFC!$C$30)*KFC!$C$5</f>
        <v>30.1</v>
      </c>
      <c r="G107" s="300">
        <f>(33.3*KFC!$B$30+KFC!$C$30)*KFC!$C$5</f>
        <v>33.299999999999997</v>
      </c>
      <c r="H107" s="300">
        <f>(36.6*KFC!$B$30+KFC!$C$30)*KFC!$C$5</f>
        <v>36.6</v>
      </c>
      <c r="I107" s="300">
        <f>(39.9*KFC!$B$30+KFC!$C$30)*KFC!$C$5</f>
        <v>39.9</v>
      </c>
      <c r="J107" s="300">
        <f>(43.1*KFC!$B$30+KFC!$C$30)*KFC!$C$5</f>
        <v>43.1</v>
      </c>
      <c r="K107" s="300">
        <f>(46.4*KFC!$B$30+KFC!$C$30)*KFC!$C$5</f>
        <v>46.4</v>
      </c>
      <c r="L107" s="300">
        <f>(49.7*KFC!$B$30+KFC!$C$30)*KFC!$C$5</f>
        <v>49.7</v>
      </c>
      <c r="M107" s="300">
        <f>(52.9*KFC!$B$30+KFC!$C$30)*KFC!$C$5</f>
        <v>52.9</v>
      </c>
      <c r="N107" s="300">
        <f>(56.2*KFC!$B$30+KFC!$C$30)*KFC!$C$5</f>
        <v>56.2</v>
      </c>
      <c r="O107" s="300">
        <f>(59.5*KFC!$B$30+KFC!$C$30)*KFC!$C$5</f>
        <v>59.5</v>
      </c>
      <c r="P107" s="300">
        <f>(62.8*KFC!$B$30+KFC!$C$30)*KFC!$C$5</f>
        <v>62.8</v>
      </c>
      <c r="Q107" s="300">
        <f>(66*KFC!$B$30+KFC!$C$30)*KFC!$C$5</f>
        <v>66</v>
      </c>
      <c r="R107" s="300">
        <f>(69.3*KFC!$B$30+KFC!$C$30)*KFC!$C$5</f>
        <v>69.3</v>
      </c>
      <c r="S107" s="300">
        <f>(72.6*KFC!$B$30+KFC!$C$30)*KFC!$C$5</f>
        <v>72.599999999999994</v>
      </c>
      <c r="T107" s="300">
        <f>(75.8*KFC!$B$30+KFC!$C$30)*KFC!$C$5</f>
        <v>75.8</v>
      </c>
      <c r="U107" s="300">
        <f>(79.1*KFC!$B$30+KFC!$C$30)*KFC!$C$5</f>
        <v>79.099999999999994</v>
      </c>
      <c r="V107" s="300">
        <f>(82.4*KFC!$B$30+KFC!$C$30)*KFC!$C$5</f>
        <v>82.4</v>
      </c>
      <c r="W107" s="300">
        <f>(85.6*KFC!$B$30+KFC!$C$30)*KFC!$C$5</f>
        <v>85.6</v>
      </c>
      <c r="X107" s="300">
        <f>(88.9*KFC!$B$30+KFC!$C$30)*KFC!$C$5</f>
        <v>88.9</v>
      </c>
      <c r="Y107" s="300">
        <f>(92.2*KFC!$B$30+KFC!$C$30)*KFC!$C$5</f>
        <v>92.2</v>
      </c>
      <c r="Z107" s="300">
        <f>(95.5*KFC!$B$30+KFC!$C$30)*KFC!$C$5</f>
        <v>95.5</v>
      </c>
      <c r="AA107" s="300">
        <f>(98.7*KFC!$B$30+KFC!$C$30)*KFC!$C$5</f>
        <v>98.7</v>
      </c>
      <c r="AB107" s="300">
        <f>(102*KFC!$B$30+KFC!$C$30)*KFC!$C$5</f>
        <v>102</v>
      </c>
      <c r="AC107" s="304">
        <f>(105.3*KFC!$B$30+KFC!$C$30)*KFC!$C$5</f>
        <v>105.3</v>
      </c>
    </row>
    <row r="108" spans="1:29">
      <c r="A108" s="1538"/>
      <c r="B108" s="637">
        <v>2.2000000000000002</v>
      </c>
      <c r="C108" s="303">
        <f>(20.8*KFC!$B$30+KFC!$C$30)*KFC!$C$5</f>
        <v>20.8</v>
      </c>
      <c r="D108" s="300">
        <f>(24.2*KFC!$B$30+KFC!$C$30)*KFC!$C$5</f>
        <v>24.2</v>
      </c>
      <c r="E108" s="300">
        <f>(27.7*KFC!$B$30+KFC!$C$30)*KFC!$C$5</f>
        <v>27.7</v>
      </c>
      <c r="F108" s="300">
        <f>(31.1*KFC!$B$30+KFC!$C$30)*KFC!$C$5</f>
        <v>31.1</v>
      </c>
      <c r="G108" s="300">
        <f>(34.5*KFC!$B$30+KFC!$C$30)*KFC!$C$5</f>
        <v>34.5</v>
      </c>
      <c r="H108" s="300">
        <f>(37.9*KFC!$B$30+KFC!$C$30)*KFC!$C$5</f>
        <v>37.9</v>
      </c>
      <c r="I108" s="300">
        <f>(41.4*KFC!$B$30+KFC!$C$30)*KFC!$C$5</f>
        <v>41.4</v>
      </c>
      <c r="J108" s="300">
        <f>(44.8*KFC!$B$30+KFC!$C$30)*KFC!$C$5</f>
        <v>44.8</v>
      </c>
      <c r="K108" s="300">
        <f>(48.2*KFC!$B$30+KFC!$C$30)*KFC!$C$5</f>
        <v>48.2</v>
      </c>
      <c r="L108" s="300">
        <f>(51.6*KFC!$B$30+KFC!$C$30)*KFC!$C$5</f>
        <v>51.6</v>
      </c>
      <c r="M108" s="300">
        <f>(55.1*KFC!$B$30+KFC!$C$30)*KFC!$C$5</f>
        <v>55.1</v>
      </c>
      <c r="N108" s="300">
        <f>(58.5*KFC!$B$30+KFC!$C$30)*KFC!$C$5</f>
        <v>58.5</v>
      </c>
      <c r="O108" s="300">
        <f>(61.9*KFC!$B$30+KFC!$C$30)*KFC!$C$5</f>
        <v>61.9</v>
      </c>
      <c r="P108" s="300">
        <f>(65.3*KFC!$B$30+KFC!$C$30)*KFC!$C$5</f>
        <v>65.3</v>
      </c>
      <c r="Q108" s="300">
        <f>(68.8*KFC!$B$30+KFC!$C$30)*KFC!$C$5</f>
        <v>68.8</v>
      </c>
      <c r="R108" s="300">
        <f>(72.2*KFC!$B$30+KFC!$C$30)*KFC!$C$5</f>
        <v>72.2</v>
      </c>
      <c r="S108" s="300">
        <f>(75.6*KFC!$B$30+KFC!$C$30)*KFC!$C$5</f>
        <v>75.599999999999994</v>
      </c>
      <c r="T108" s="300">
        <f>(79*KFC!$B$30+KFC!$C$30)*KFC!$C$5</f>
        <v>79</v>
      </c>
      <c r="U108" s="300">
        <f>(82.5*KFC!$B$30+KFC!$C$30)*KFC!$C$5</f>
        <v>82.5</v>
      </c>
      <c r="V108" s="300">
        <f>(85.9*KFC!$B$30+KFC!$C$30)*KFC!$C$5</f>
        <v>85.9</v>
      </c>
      <c r="W108" s="300">
        <f>(89.3*KFC!$B$30+KFC!$C$30)*KFC!$C$5</f>
        <v>89.3</v>
      </c>
      <c r="X108" s="300">
        <f>(92.7*KFC!$B$30+KFC!$C$30)*KFC!$C$5</f>
        <v>92.7</v>
      </c>
      <c r="Y108" s="300">
        <f>(96.2*KFC!$B$30+KFC!$C$30)*KFC!$C$5</f>
        <v>96.2</v>
      </c>
      <c r="Z108" s="300">
        <f>(99.6*KFC!$B$30+KFC!$C$30)*KFC!$C$5</f>
        <v>99.6</v>
      </c>
      <c r="AA108" s="300">
        <f>(103*KFC!$B$30+KFC!$C$30)*KFC!$C$5</f>
        <v>103</v>
      </c>
      <c r="AB108" s="300">
        <f>(106.4*KFC!$B$30+KFC!$C$30)*KFC!$C$5</f>
        <v>106.4</v>
      </c>
      <c r="AC108" s="304">
        <f>(109.9*KFC!$B$30+KFC!$C$30)*KFC!$C$5</f>
        <v>109.9</v>
      </c>
    </row>
    <row r="109" spans="1:29">
      <c r="A109" s="1538"/>
      <c r="B109" s="637">
        <v>2.2999999999999998</v>
      </c>
      <c r="C109" s="303">
        <f>(21.4*KFC!$B$30+KFC!$C$30)*KFC!$C$5</f>
        <v>21.4</v>
      </c>
      <c r="D109" s="300">
        <f>(25*KFC!$B$30+KFC!$C$30)*KFC!$C$5</f>
        <v>25</v>
      </c>
      <c r="E109" s="300">
        <f>(28.5*KFC!$B$30+KFC!$C$30)*KFC!$C$5</f>
        <v>28.5</v>
      </c>
      <c r="F109" s="300">
        <f>(32.1*KFC!$B$30+KFC!$C$30)*KFC!$C$5</f>
        <v>32.1</v>
      </c>
      <c r="G109" s="300">
        <f>(35.7*KFC!$B$30+KFC!$C$30)*KFC!$C$5</f>
        <v>35.700000000000003</v>
      </c>
      <c r="H109" s="300">
        <f>(39.3*KFC!$B$30+KFC!$C$30)*KFC!$C$5</f>
        <v>39.299999999999997</v>
      </c>
      <c r="I109" s="300">
        <f>(42.9*KFC!$B$30+KFC!$C$30)*KFC!$C$5</f>
        <v>42.9</v>
      </c>
      <c r="J109" s="300">
        <f>(46.4*KFC!$B$30+KFC!$C$30)*KFC!$C$5</f>
        <v>46.4</v>
      </c>
      <c r="K109" s="300">
        <f>(50*KFC!$B$30+KFC!$C$30)*KFC!$C$5</f>
        <v>50</v>
      </c>
      <c r="L109" s="300">
        <f>(53.6*KFC!$B$30+KFC!$C$30)*KFC!$C$5</f>
        <v>53.6</v>
      </c>
      <c r="M109" s="300">
        <f>(57.2*KFC!$B$30+KFC!$C$30)*KFC!$C$5</f>
        <v>57.2</v>
      </c>
      <c r="N109" s="300">
        <f>(60.8*KFC!$B$30+KFC!$C$30)*KFC!$C$5</f>
        <v>60.8</v>
      </c>
      <c r="O109" s="300">
        <f>(64.3*KFC!$B$30+KFC!$C$30)*KFC!$C$5</f>
        <v>64.3</v>
      </c>
      <c r="P109" s="300">
        <f>(67.9*KFC!$B$30+KFC!$C$30)*KFC!$C$5</f>
        <v>67.900000000000006</v>
      </c>
      <c r="Q109" s="300">
        <f>(71.5*KFC!$B$30+KFC!$C$30)*KFC!$C$5</f>
        <v>71.5</v>
      </c>
      <c r="R109" s="300">
        <f>(75.1*KFC!$B$30+KFC!$C$30)*KFC!$C$5</f>
        <v>75.099999999999994</v>
      </c>
      <c r="S109" s="300">
        <f>(78.7*KFC!$B$30+KFC!$C$30)*KFC!$C$5</f>
        <v>78.7</v>
      </c>
      <c r="T109" s="300">
        <f>(82.2*KFC!$B$30+KFC!$C$30)*KFC!$C$5</f>
        <v>82.2</v>
      </c>
      <c r="U109" s="300">
        <f>(85.8*KFC!$B$30+KFC!$C$30)*KFC!$C$5</f>
        <v>85.8</v>
      </c>
      <c r="V109" s="300">
        <f>(89.4*KFC!$B$30+KFC!$C$30)*KFC!$C$5</f>
        <v>89.4</v>
      </c>
      <c r="W109" s="300">
        <f>(93*KFC!$B$30+KFC!$C$30)*KFC!$C$5</f>
        <v>93</v>
      </c>
      <c r="X109" s="300">
        <f>(96.6*KFC!$B$30+KFC!$C$30)*KFC!$C$5</f>
        <v>96.6</v>
      </c>
      <c r="Y109" s="300">
        <f>(100.2*KFC!$B$30+KFC!$C$30)*KFC!$C$5</f>
        <v>100.2</v>
      </c>
      <c r="Z109" s="300">
        <f>(103.7*KFC!$B$30+KFC!$C$30)*KFC!$C$5</f>
        <v>103.7</v>
      </c>
      <c r="AA109" s="300">
        <f>(107.3*KFC!$B$30+KFC!$C$30)*KFC!$C$5</f>
        <v>107.3</v>
      </c>
      <c r="AB109" s="300">
        <f>(110.9*KFC!$B$30+KFC!$C$30)*KFC!$C$5</f>
        <v>110.9</v>
      </c>
      <c r="AC109" s="304">
        <f>(114.5*KFC!$B$30+KFC!$C$30)*KFC!$C$5</f>
        <v>114.5</v>
      </c>
    </row>
    <row r="110" spans="1:29">
      <c r="A110" s="1538"/>
      <c r="B110" s="637">
        <v>2.4</v>
      </c>
      <c r="C110" s="303">
        <f>(21.9*KFC!$B$30+KFC!$C$30)*KFC!$C$5</f>
        <v>21.9</v>
      </c>
      <c r="D110" s="300">
        <f>(25.7*KFC!$B$30+KFC!$C$30)*KFC!$C$5</f>
        <v>25.7</v>
      </c>
      <c r="E110" s="300">
        <f>(29.4*KFC!$B$30+KFC!$C$30)*KFC!$C$5</f>
        <v>29.4</v>
      </c>
      <c r="F110" s="300">
        <f>(33.2*KFC!$B$30+KFC!$C$30)*KFC!$C$5</f>
        <v>33.200000000000003</v>
      </c>
      <c r="G110" s="300">
        <f>(36.9*KFC!$B$30+KFC!$C$30)*KFC!$C$5</f>
        <v>36.9</v>
      </c>
      <c r="H110" s="300">
        <f>(40.6*KFC!$B$30+KFC!$C$30)*KFC!$C$5</f>
        <v>40.6</v>
      </c>
      <c r="I110" s="300">
        <f>(44.4*KFC!$B$30+KFC!$C$30)*KFC!$C$5</f>
        <v>44.4</v>
      </c>
      <c r="J110" s="300">
        <f>(48.1*KFC!$B$30+KFC!$C$30)*KFC!$C$5</f>
        <v>48.1</v>
      </c>
      <c r="K110" s="300">
        <f>(51.8*KFC!$B$30+KFC!$C$30)*KFC!$C$5</f>
        <v>51.8</v>
      </c>
      <c r="L110" s="300">
        <f>(55.6*KFC!$B$30+KFC!$C$30)*KFC!$C$5</f>
        <v>55.6</v>
      </c>
      <c r="M110" s="300">
        <f>(59.3*KFC!$B$30+KFC!$C$30)*KFC!$C$5</f>
        <v>59.3</v>
      </c>
      <c r="N110" s="300">
        <f>(63*KFC!$B$30+KFC!$C$30)*KFC!$C$5</f>
        <v>63</v>
      </c>
      <c r="O110" s="300">
        <f>(66.8*KFC!$B$30+KFC!$C$30)*KFC!$C$5</f>
        <v>66.8</v>
      </c>
      <c r="P110" s="300">
        <f>(70.5*KFC!$B$30+KFC!$C$30)*KFC!$C$5</f>
        <v>70.5</v>
      </c>
      <c r="Q110" s="300">
        <f>(74.2*KFC!$B$30+KFC!$C$30)*KFC!$C$5</f>
        <v>74.2</v>
      </c>
      <c r="R110" s="300">
        <f>(78*KFC!$B$30+KFC!$C$30)*KFC!$C$5</f>
        <v>78</v>
      </c>
      <c r="S110" s="300">
        <f>(81.7*KFC!$B$30+KFC!$C$30)*KFC!$C$5</f>
        <v>81.7</v>
      </c>
      <c r="T110" s="300">
        <f>(85.5*KFC!$B$30+KFC!$C$30)*KFC!$C$5</f>
        <v>85.5</v>
      </c>
      <c r="U110" s="300">
        <f>(89.2*KFC!$B$30+KFC!$C$30)*KFC!$C$5</f>
        <v>89.2</v>
      </c>
      <c r="V110" s="300">
        <f>(92.9*KFC!$B$30+KFC!$C$30)*KFC!$C$5</f>
        <v>92.9</v>
      </c>
      <c r="W110" s="300">
        <f>(96.7*KFC!$B$30+KFC!$C$30)*KFC!$C$5</f>
        <v>96.7</v>
      </c>
      <c r="X110" s="300">
        <f>(100.4*KFC!$B$30+KFC!$C$30)*KFC!$C$5</f>
        <v>100.4</v>
      </c>
      <c r="Y110" s="300">
        <f>(104.1*KFC!$B$30+KFC!$C$30)*KFC!$C$5</f>
        <v>104.1</v>
      </c>
      <c r="Z110" s="300">
        <f>(107.9*KFC!$B$30+KFC!$C$30)*KFC!$C$5</f>
        <v>107.9</v>
      </c>
      <c r="AA110" s="300">
        <f>(111.6*KFC!$B$30+KFC!$C$30)*KFC!$C$5</f>
        <v>111.6</v>
      </c>
      <c r="AB110" s="300">
        <f>(115.3*KFC!$B$30+KFC!$C$30)*KFC!$C$5</f>
        <v>115.3</v>
      </c>
      <c r="AC110" s="304">
        <f>(119.1*KFC!$B$30+KFC!$C$30)*KFC!$C$5</f>
        <v>119.1</v>
      </c>
    </row>
    <row r="111" spans="1:29">
      <c r="A111" s="1538"/>
      <c r="B111" s="637">
        <v>2.5</v>
      </c>
      <c r="C111" s="303">
        <f>(22.5*KFC!$B$30+KFC!$C$30)*KFC!$C$5</f>
        <v>22.5</v>
      </c>
      <c r="D111" s="300">
        <f>(26.4*KFC!$B$30+KFC!$C$30)*KFC!$C$5</f>
        <v>26.4</v>
      </c>
      <c r="E111" s="300">
        <f>(30.3*KFC!$B$30+KFC!$C$30)*KFC!$C$5</f>
        <v>30.3</v>
      </c>
      <c r="F111" s="300">
        <f>(34.2*KFC!$B$30+KFC!$C$30)*KFC!$C$5</f>
        <v>34.200000000000003</v>
      </c>
      <c r="G111" s="300">
        <f>(38.1*KFC!$B$30+KFC!$C$30)*KFC!$C$5</f>
        <v>38.1</v>
      </c>
      <c r="H111" s="300">
        <f>(42*KFC!$B$30+KFC!$C$30)*KFC!$C$5</f>
        <v>42</v>
      </c>
      <c r="I111" s="300">
        <f>(45.9*KFC!$B$30+KFC!$C$30)*KFC!$C$5</f>
        <v>45.9</v>
      </c>
      <c r="J111" s="300">
        <f>(49.8*KFC!$B$30+KFC!$C$30)*KFC!$C$5</f>
        <v>49.8</v>
      </c>
      <c r="K111" s="300">
        <f>(53.6*KFC!$B$30+KFC!$C$30)*KFC!$C$5</f>
        <v>53.6</v>
      </c>
      <c r="L111" s="300">
        <f>(57.5*KFC!$B$30+KFC!$C$30)*KFC!$C$5</f>
        <v>57.5</v>
      </c>
      <c r="M111" s="300">
        <f>(61.4*KFC!$B$30+KFC!$C$30)*KFC!$C$5</f>
        <v>61.4</v>
      </c>
      <c r="N111" s="300">
        <f>(65.3*KFC!$B$30+KFC!$C$30)*KFC!$C$5</f>
        <v>65.3</v>
      </c>
      <c r="O111" s="300">
        <f>(69.2*KFC!$B$30+KFC!$C$30)*KFC!$C$5</f>
        <v>69.2</v>
      </c>
      <c r="P111" s="300">
        <f>(73.1*KFC!$B$30+KFC!$C$30)*KFC!$C$5</f>
        <v>73.099999999999994</v>
      </c>
      <c r="Q111" s="300">
        <f>(77*KFC!$B$30+KFC!$C$30)*KFC!$C$5</f>
        <v>77</v>
      </c>
      <c r="R111" s="300">
        <f>(80.9*KFC!$B$30+KFC!$C$30)*KFC!$C$5</f>
        <v>80.900000000000006</v>
      </c>
      <c r="S111" s="300">
        <f>(84.8*KFC!$B$30+KFC!$C$30)*KFC!$C$5</f>
        <v>84.8</v>
      </c>
      <c r="T111" s="300">
        <f>(88.7*KFC!$B$30+KFC!$C$30)*KFC!$C$5</f>
        <v>88.7</v>
      </c>
      <c r="U111" s="300">
        <f>(92.6*KFC!$B$30+KFC!$C$30)*KFC!$C$5</f>
        <v>92.6</v>
      </c>
      <c r="V111" s="300">
        <f>(96.4*KFC!$B$30+KFC!$C$30)*KFC!$C$5</f>
        <v>96.4</v>
      </c>
      <c r="W111" s="300">
        <f>(100.3*KFC!$B$30+KFC!$C$30)*KFC!$C$5</f>
        <v>100.3</v>
      </c>
      <c r="X111" s="300">
        <f>(104.2*KFC!$B$30+KFC!$C$30)*KFC!$C$5</f>
        <v>104.2</v>
      </c>
      <c r="Y111" s="300">
        <f>(108.1*KFC!$B$30+KFC!$C$30)*KFC!$C$5</f>
        <v>108.1</v>
      </c>
      <c r="Z111" s="300">
        <f>(112*KFC!$B$30+KFC!$C$30)*KFC!$C$5</f>
        <v>112</v>
      </c>
      <c r="AA111" s="300">
        <f>(115.9*KFC!$B$30+KFC!$C$30)*KFC!$C$5</f>
        <v>115.9</v>
      </c>
      <c r="AB111" s="300">
        <f>(119.8*KFC!$B$30+KFC!$C$30)*KFC!$C$5</f>
        <v>119.8</v>
      </c>
      <c r="AC111" s="304">
        <f>(123.7*KFC!$B$30+KFC!$C$30)*KFC!$C$5</f>
        <v>123.7</v>
      </c>
    </row>
    <row r="112" spans="1:29">
      <c r="A112" s="1538"/>
      <c r="B112" s="637">
        <v>2.6</v>
      </c>
      <c r="C112" s="303">
        <f>(23.1*KFC!$B$30+KFC!$C$30)*KFC!$C$5</f>
        <v>23.1</v>
      </c>
      <c r="D112" s="300">
        <f>(27.1*KFC!$B$30+KFC!$C$30)*KFC!$C$5</f>
        <v>27.1</v>
      </c>
      <c r="E112" s="300">
        <f>(31.2*KFC!$B$30+KFC!$C$30)*KFC!$C$5</f>
        <v>31.2</v>
      </c>
      <c r="F112" s="300">
        <f>(35.2*KFC!$B$30+KFC!$C$30)*KFC!$C$5</f>
        <v>35.200000000000003</v>
      </c>
      <c r="G112" s="300">
        <f>(39.3*KFC!$B$30+KFC!$C$30)*KFC!$C$5</f>
        <v>39.299999999999997</v>
      </c>
      <c r="H112" s="300">
        <f>(43.3*KFC!$B$30+KFC!$C$30)*KFC!$C$5</f>
        <v>43.3</v>
      </c>
      <c r="I112" s="300">
        <f>(47.4*KFC!$B$30+KFC!$C$30)*KFC!$C$5</f>
        <v>47.4</v>
      </c>
      <c r="J112" s="300">
        <f>(51.4*KFC!$B$30+KFC!$C$30)*KFC!$C$5</f>
        <v>51.4</v>
      </c>
      <c r="K112" s="300">
        <f>(55.5*KFC!$B$30+KFC!$C$30)*KFC!$C$5</f>
        <v>55.5</v>
      </c>
      <c r="L112" s="300">
        <f>(59.5*KFC!$B$30+KFC!$C$30)*KFC!$C$5</f>
        <v>59.5</v>
      </c>
      <c r="M112" s="300">
        <f>(63.5*KFC!$B$30+KFC!$C$30)*KFC!$C$5</f>
        <v>63.5</v>
      </c>
      <c r="N112" s="300">
        <f>(67.6*KFC!$B$30+KFC!$C$30)*KFC!$C$5</f>
        <v>67.599999999999994</v>
      </c>
      <c r="O112" s="300">
        <f>(71.6*KFC!$B$30+KFC!$C$30)*KFC!$C$5</f>
        <v>71.599999999999994</v>
      </c>
      <c r="P112" s="300">
        <f>(75.7*KFC!$B$30+KFC!$C$30)*KFC!$C$5</f>
        <v>75.7</v>
      </c>
      <c r="Q112" s="300">
        <f>(79.7*KFC!$B$30+KFC!$C$30)*KFC!$C$5</f>
        <v>79.7</v>
      </c>
      <c r="R112" s="300">
        <f>(83.8*KFC!$B$30+KFC!$C$30)*KFC!$C$5</f>
        <v>83.8</v>
      </c>
      <c r="S112" s="300">
        <f>(87.8*KFC!$B$30+KFC!$C$30)*KFC!$C$5</f>
        <v>87.8</v>
      </c>
      <c r="T112" s="300">
        <f>(91.9*KFC!$B$30+KFC!$C$30)*KFC!$C$5</f>
        <v>91.9</v>
      </c>
      <c r="U112" s="300">
        <f>(95.9*KFC!$B$30+KFC!$C$30)*KFC!$C$5</f>
        <v>95.9</v>
      </c>
      <c r="V112" s="300">
        <f>(100*KFC!$B$30+KFC!$C$30)*KFC!$C$5</f>
        <v>100</v>
      </c>
      <c r="W112" s="300">
        <f>(104*KFC!$B$30+KFC!$C$30)*KFC!$C$5</f>
        <v>104</v>
      </c>
      <c r="X112" s="300">
        <f>(108.1*KFC!$B$30+KFC!$C$30)*KFC!$C$5</f>
        <v>108.1</v>
      </c>
      <c r="Y112" s="300">
        <f>(112.1*KFC!$B$30+KFC!$C$30)*KFC!$C$5</f>
        <v>112.1</v>
      </c>
      <c r="Z112" s="300">
        <f>(116.2*KFC!$B$30+KFC!$C$30)*KFC!$C$5</f>
        <v>116.2</v>
      </c>
      <c r="AA112" s="300">
        <f>(120.2*KFC!$B$30+KFC!$C$30)*KFC!$C$5</f>
        <v>120.2</v>
      </c>
      <c r="AB112" s="300">
        <f>(124.2*KFC!$B$30+KFC!$C$30)*KFC!$C$5</f>
        <v>124.2</v>
      </c>
      <c r="AC112" s="304">
        <f>(128.3*KFC!$B$30+KFC!$C$30)*KFC!$C$5</f>
        <v>128.30000000000001</v>
      </c>
    </row>
    <row r="113" spans="1:29">
      <c r="A113" s="1538"/>
      <c r="B113" s="637">
        <v>2.7</v>
      </c>
      <c r="C113" s="303">
        <f>(23.6*KFC!$B$30+KFC!$C$30)*KFC!$C$5</f>
        <v>23.6</v>
      </c>
      <c r="D113" s="300">
        <f>(27.8*KFC!$B$30+KFC!$C$30)*KFC!$C$5</f>
        <v>27.8</v>
      </c>
      <c r="E113" s="300">
        <f>(32.1*KFC!$B$30+KFC!$C$30)*KFC!$C$5</f>
        <v>32.1</v>
      </c>
      <c r="F113" s="300">
        <f>(36.3*KFC!$B$30+KFC!$C$30)*KFC!$C$5</f>
        <v>36.299999999999997</v>
      </c>
      <c r="G113" s="300">
        <f>(40.5*KFC!$B$30+KFC!$C$30)*KFC!$C$5</f>
        <v>40.5</v>
      </c>
      <c r="H113" s="300">
        <f>(44.7*KFC!$B$30+KFC!$C$30)*KFC!$C$5</f>
        <v>44.7</v>
      </c>
      <c r="I113" s="300">
        <f>(48.9*KFC!$B$30+KFC!$C$30)*KFC!$C$5</f>
        <v>48.9</v>
      </c>
      <c r="J113" s="300">
        <f>(53.1*KFC!$B$30+KFC!$C$30)*KFC!$C$5</f>
        <v>53.1</v>
      </c>
      <c r="K113" s="300">
        <f>(57.3*KFC!$B$30+KFC!$C$30)*KFC!$C$5</f>
        <v>57.3</v>
      </c>
      <c r="L113" s="300">
        <f>(61.5*KFC!$B$30+KFC!$C$30)*KFC!$C$5</f>
        <v>61.5</v>
      </c>
      <c r="M113" s="300">
        <f>(65.7*KFC!$B$30+KFC!$C$30)*KFC!$C$5</f>
        <v>65.7</v>
      </c>
      <c r="N113" s="300">
        <f>(69.9*KFC!$B$30+KFC!$C$30)*KFC!$C$5</f>
        <v>69.900000000000006</v>
      </c>
      <c r="O113" s="300">
        <f>(74.1*KFC!$B$30+KFC!$C$30)*KFC!$C$5</f>
        <v>74.099999999999994</v>
      </c>
      <c r="P113" s="300">
        <f>(78.3*KFC!$B$30+KFC!$C$30)*KFC!$C$5</f>
        <v>78.3</v>
      </c>
      <c r="Q113" s="300">
        <f>(82.5*KFC!$B$30+KFC!$C$30)*KFC!$C$5</f>
        <v>82.5</v>
      </c>
      <c r="R113" s="300">
        <f>(86.7*KFC!$B$30+KFC!$C$30)*KFC!$C$5</f>
        <v>86.7</v>
      </c>
      <c r="S113" s="300">
        <f>(90.9*KFC!$B$30+KFC!$C$30)*KFC!$C$5</f>
        <v>90.9</v>
      </c>
      <c r="T113" s="300">
        <f>(95.1*KFC!$B$30+KFC!$C$30)*KFC!$C$5</f>
        <v>95.1</v>
      </c>
      <c r="U113" s="300">
        <f>(99.3*KFC!$B$30+KFC!$C$30)*KFC!$C$5</f>
        <v>99.3</v>
      </c>
      <c r="V113" s="300">
        <f>(103.5*KFC!$B$30+KFC!$C$30)*KFC!$C$5</f>
        <v>103.5</v>
      </c>
      <c r="W113" s="300">
        <f>(107.7*KFC!$B$30+KFC!$C$30)*KFC!$C$5</f>
        <v>107.7</v>
      </c>
      <c r="X113" s="300">
        <f>(111.9*KFC!$B$30+KFC!$C$30)*KFC!$C$5</f>
        <v>111.9</v>
      </c>
      <c r="Y113" s="300">
        <f>(116.1*KFC!$B$30+KFC!$C$30)*KFC!$C$5</f>
        <v>116.1</v>
      </c>
      <c r="Z113" s="300">
        <f>(120.3*KFC!$B$30+KFC!$C$30)*KFC!$C$5</f>
        <v>120.3</v>
      </c>
      <c r="AA113" s="300">
        <f>(124.5*KFC!$B$30+KFC!$C$30)*KFC!$C$5</f>
        <v>124.5</v>
      </c>
      <c r="AB113" s="300">
        <f>(128.7*KFC!$B$30+KFC!$C$30)*KFC!$C$5</f>
        <v>128.69999999999999</v>
      </c>
      <c r="AC113" s="304">
        <f>(132.9*KFC!$B$30+KFC!$C$30)*KFC!$C$5</f>
        <v>132.9</v>
      </c>
    </row>
    <row r="114" spans="1:29">
      <c r="A114" s="1538"/>
      <c r="B114" s="637">
        <v>2.8</v>
      </c>
      <c r="C114" s="303">
        <f>(24.2*KFC!$B$30+KFC!$C$30)*KFC!$C$5</f>
        <v>24.2</v>
      </c>
      <c r="D114" s="300">
        <f>(28.6*KFC!$B$30+KFC!$C$30)*KFC!$C$5</f>
        <v>28.6</v>
      </c>
      <c r="E114" s="300">
        <f>(32.9*KFC!$B$30+KFC!$C$30)*KFC!$C$5</f>
        <v>32.9</v>
      </c>
      <c r="F114" s="300">
        <f>(37.3*KFC!$B$30+KFC!$C$30)*KFC!$C$5</f>
        <v>37.299999999999997</v>
      </c>
      <c r="G114" s="300">
        <f>(41.6*KFC!$B$30+KFC!$C$30)*KFC!$C$5</f>
        <v>41.6</v>
      </c>
      <c r="H114" s="300">
        <f>(46*KFC!$B$30+KFC!$C$30)*KFC!$C$5</f>
        <v>46</v>
      </c>
      <c r="I114" s="300">
        <f>(50.4*KFC!$B$30+KFC!$C$30)*KFC!$C$5</f>
        <v>50.4</v>
      </c>
      <c r="J114" s="300">
        <f>(54.7*KFC!$B$30+KFC!$C$30)*KFC!$C$5</f>
        <v>54.7</v>
      </c>
      <c r="K114" s="300">
        <f>(59.1*KFC!$B$30+KFC!$C$30)*KFC!$C$5</f>
        <v>59.1</v>
      </c>
      <c r="L114" s="300">
        <f>(63.4*KFC!$B$30+KFC!$C$30)*KFC!$C$5</f>
        <v>63.4</v>
      </c>
      <c r="M114" s="300">
        <f>(67.8*KFC!$B$30+KFC!$C$30)*KFC!$C$5</f>
        <v>67.8</v>
      </c>
      <c r="N114" s="300">
        <f>(72.1*KFC!$B$30+KFC!$C$30)*KFC!$C$5</f>
        <v>72.099999999999994</v>
      </c>
      <c r="O114" s="300">
        <f>(76.5*KFC!$B$30+KFC!$C$30)*KFC!$C$5</f>
        <v>76.5</v>
      </c>
      <c r="P114" s="300">
        <f>(80.9*KFC!$B$30+KFC!$C$30)*KFC!$C$5</f>
        <v>80.900000000000006</v>
      </c>
      <c r="Q114" s="300">
        <f>(85.2*KFC!$B$30+KFC!$C$30)*KFC!$C$5</f>
        <v>85.2</v>
      </c>
      <c r="R114" s="300">
        <f>(89.6*KFC!$B$30+KFC!$C$30)*KFC!$C$5</f>
        <v>89.6</v>
      </c>
      <c r="S114" s="300">
        <f>(93.9*KFC!$B$30+KFC!$C$30)*KFC!$C$5</f>
        <v>93.9</v>
      </c>
      <c r="T114" s="300">
        <f>(98.3*KFC!$B$30+KFC!$C$30)*KFC!$C$5</f>
        <v>98.3</v>
      </c>
      <c r="U114" s="300">
        <f>(102.6*KFC!$B$30+KFC!$C$30)*KFC!$C$5</f>
        <v>102.6</v>
      </c>
      <c r="V114" s="300">
        <f>(107*KFC!$B$30+KFC!$C$30)*KFC!$C$5</f>
        <v>107</v>
      </c>
      <c r="W114" s="300">
        <f>(111.4*KFC!$B$30+KFC!$C$30)*KFC!$C$5</f>
        <v>111.4</v>
      </c>
      <c r="X114" s="300">
        <f>(115.7*KFC!$B$30+KFC!$C$30)*KFC!$C$5</f>
        <v>115.7</v>
      </c>
      <c r="Y114" s="300">
        <f>(120.1*KFC!$B$30+KFC!$C$30)*KFC!$C$5</f>
        <v>120.1</v>
      </c>
      <c r="Z114" s="300">
        <f>(124.4*KFC!$B$30+KFC!$C$30)*KFC!$C$5</f>
        <v>124.4</v>
      </c>
      <c r="AA114" s="300">
        <f>(128.8*KFC!$B$30+KFC!$C$30)*KFC!$C$5</f>
        <v>128.80000000000001</v>
      </c>
      <c r="AB114" s="300">
        <f>(133.1*KFC!$B$30+KFC!$C$30)*KFC!$C$5</f>
        <v>133.1</v>
      </c>
      <c r="AC114" s="304">
        <f>(137.5*KFC!$B$30+KFC!$C$30)*KFC!$C$5</f>
        <v>137.5</v>
      </c>
    </row>
    <row r="115" spans="1:29">
      <c r="A115" s="1538"/>
      <c r="B115" s="637">
        <v>2.9</v>
      </c>
      <c r="C115" s="303">
        <f>(24.8*KFC!$B$30+KFC!$C$30)*KFC!$C$5</f>
        <v>24.8</v>
      </c>
      <c r="D115" s="300">
        <f>(29.3*KFC!$B$30+KFC!$C$30)*KFC!$C$5</f>
        <v>29.3</v>
      </c>
      <c r="E115" s="300">
        <f>(33.8*KFC!$B$30+KFC!$C$30)*KFC!$C$5</f>
        <v>33.799999999999997</v>
      </c>
      <c r="F115" s="300">
        <f>(38.3*KFC!$B$30+KFC!$C$30)*KFC!$C$5</f>
        <v>38.299999999999997</v>
      </c>
      <c r="G115" s="300">
        <f>(42.8*KFC!$B$30+KFC!$C$30)*KFC!$C$5</f>
        <v>42.8</v>
      </c>
      <c r="H115" s="300">
        <f>(47.3*KFC!$B$30+KFC!$C$30)*KFC!$C$5</f>
        <v>47.3</v>
      </c>
      <c r="I115" s="300">
        <f>(51.9*KFC!$B$30+KFC!$C$30)*KFC!$C$5</f>
        <v>51.9</v>
      </c>
      <c r="J115" s="300">
        <f>(56.4*KFC!$B$30+KFC!$C$30)*KFC!$C$5</f>
        <v>56.4</v>
      </c>
      <c r="K115" s="300">
        <f>(60.9*KFC!$B$30+KFC!$C$30)*KFC!$C$5</f>
        <v>60.9</v>
      </c>
      <c r="L115" s="300">
        <f>(65.4*KFC!$B$30+KFC!$C$30)*KFC!$C$5</f>
        <v>65.400000000000006</v>
      </c>
      <c r="M115" s="300">
        <f>(69.9*KFC!$B$30+KFC!$C$30)*KFC!$C$5</f>
        <v>69.900000000000006</v>
      </c>
      <c r="N115" s="300">
        <f>(74.4*KFC!$B$30+KFC!$C$30)*KFC!$C$5</f>
        <v>74.400000000000006</v>
      </c>
      <c r="O115" s="300">
        <f>(78.9*KFC!$B$30+KFC!$C$30)*KFC!$C$5</f>
        <v>78.900000000000006</v>
      </c>
      <c r="P115" s="300">
        <f>(83.4*KFC!$B$30+KFC!$C$30)*KFC!$C$5</f>
        <v>83.4</v>
      </c>
      <c r="Q115" s="300">
        <f>(88*KFC!$B$30+KFC!$C$30)*KFC!$C$5</f>
        <v>88</v>
      </c>
      <c r="R115" s="300">
        <f>(92.5*KFC!$B$30+KFC!$C$30)*KFC!$C$5</f>
        <v>92.5</v>
      </c>
      <c r="S115" s="300">
        <f>(97*KFC!$B$30+KFC!$C$30)*KFC!$C$5</f>
        <v>97</v>
      </c>
      <c r="T115" s="300">
        <f>(101.5*KFC!$B$30+KFC!$C$30)*KFC!$C$5</f>
        <v>101.5</v>
      </c>
      <c r="U115" s="300">
        <f>(106*KFC!$B$30+KFC!$C$30)*KFC!$C$5</f>
        <v>106</v>
      </c>
      <c r="V115" s="300">
        <f>(110.5*KFC!$B$30+KFC!$C$30)*KFC!$C$5</f>
        <v>110.5</v>
      </c>
      <c r="W115" s="300">
        <f>(115*KFC!$B$30+KFC!$C$30)*KFC!$C$5</f>
        <v>115</v>
      </c>
      <c r="X115" s="300">
        <f>(119.5*KFC!$B$30+KFC!$C$30)*KFC!$C$5</f>
        <v>119.5</v>
      </c>
      <c r="Y115" s="300">
        <f>(124.1*KFC!$B$30+KFC!$C$30)*KFC!$C$5</f>
        <v>124.1</v>
      </c>
      <c r="Z115" s="300">
        <f>(128.6*KFC!$B$30+KFC!$C$30)*KFC!$C$5</f>
        <v>128.6</v>
      </c>
      <c r="AA115" s="300">
        <f>(133.1*KFC!$B$30+KFC!$C$30)*KFC!$C$5</f>
        <v>133.1</v>
      </c>
      <c r="AB115" s="300">
        <f>(137.6*KFC!$B$30+KFC!$C$30)*KFC!$C$5</f>
        <v>137.6</v>
      </c>
      <c r="AC115" s="304">
        <f>(142.1*KFC!$B$30+KFC!$C$30)*KFC!$C$5</f>
        <v>142.1</v>
      </c>
    </row>
    <row r="116" spans="1:29">
      <c r="A116" s="1538"/>
      <c r="B116" s="637">
        <v>3</v>
      </c>
      <c r="C116" s="303">
        <f>(25.3*KFC!$B$30+KFC!$C$30)*KFC!$C$5</f>
        <v>25.3</v>
      </c>
      <c r="D116" s="300">
        <f>(30*KFC!$B$30+KFC!$C$30)*KFC!$C$5</f>
        <v>30</v>
      </c>
      <c r="E116" s="300">
        <f>(34.7*KFC!$B$30+KFC!$C$30)*KFC!$C$5</f>
        <v>34.700000000000003</v>
      </c>
      <c r="F116" s="300">
        <f>(39.4*KFC!$B$30+KFC!$C$30)*KFC!$C$5</f>
        <v>39.4</v>
      </c>
      <c r="G116" s="300">
        <f>(44*KFC!$B$30+KFC!$C$30)*KFC!$C$5</f>
        <v>44</v>
      </c>
      <c r="H116" s="300">
        <f>(48.7*KFC!$B$30+KFC!$C$30)*KFC!$C$5</f>
        <v>48.7</v>
      </c>
      <c r="I116" s="300">
        <f>(53.4*KFC!$B$30+KFC!$C$30)*KFC!$C$5</f>
        <v>53.4</v>
      </c>
      <c r="J116" s="300">
        <f>(58*KFC!$B$30+KFC!$C$30)*KFC!$C$5</f>
        <v>58</v>
      </c>
      <c r="K116" s="300">
        <f>(62.7*KFC!$B$30+KFC!$C$30)*KFC!$C$5</f>
        <v>62.7</v>
      </c>
      <c r="L116" s="300">
        <f>(67.4*KFC!$B$30+KFC!$C$30)*KFC!$C$5</f>
        <v>67.400000000000006</v>
      </c>
      <c r="M116" s="300">
        <f>(72*KFC!$B$30+KFC!$C$30)*KFC!$C$5</f>
        <v>72</v>
      </c>
      <c r="N116" s="300">
        <f>(76.7*KFC!$B$30+KFC!$C$30)*KFC!$C$5</f>
        <v>76.7</v>
      </c>
      <c r="O116" s="300">
        <f>(81.4*KFC!$B$30+KFC!$C$30)*KFC!$C$5</f>
        <v>81.400000000000006</v>
      </c>
      <c r="P116" s="300">
        <f>(86*KFC!$B$30+KFC!$C$30)*KFC!$C$5</f>
        <v>86</v>
      </c>
      <c r="Q116" s="300">
        <f>(90.7*KFC!$B$30+KFC!$C$30)*KFC!$C$5</f>
        <v>90.7</v>
      </c>
      <c r="R116" s="300">
        <f>(95.4*KFC!$B$30+KFC!$C$30)*KFC!$C$5</f>
        <v>95.4</v>
      </c>
      <c r="S116" s="300">
        <f>(100*KFC!$B$30+KFC!$C$30)*KFC!$C$5</f>
        <v>100</v>
      </c>
      <c r="T116" s="300">
        <f>(104.7*KFC!$B$30+KFC!$C$30)*KFC!$C$5</f>
        <v>104.7</v>
      </c>
      <c r="U116" s="300">
        <f>(109.4*KFC!$B$30+KFC!$C$30)*KFC!$C$5</f>
        <v>109.4</v>
      </c>
      <c r="V116" s="300">
        <f>(114*KFC!$B$30+KFC!$C$30)*KFC!$C$5</f>
        <v>114</v>
      </c>
      <c r="W116" s="300">
        <f>(118.7*KFC!$B$30+KFC!$C$30)*KFC!$C$5</f>
        <v>118.7</v>
      </c>
      <c r="X116" s="300">
        <f>(123.4*KFC!$B$30+KFC!$C$30)*KFC!$C$5</f>
        <v>123.4</v>
      </c>
      <c r="Y116" s="300">
        <f>(128*KFC!$B$30+KFC!$C$30)*KFC!$C$5</f>
        <v>128</v>
      </c>
      <c r="Z116" s="300">
        <f>(132.7*KFC!$B$30+KFC!$C$30)*KFC!$C$5</f>
        <v>132.69999999999999</v>
      </c>
      <c r="AA116" s="300">
        <f>(137.4*KFC!$B$30+KFC!$C$30)*KFC!$C$5</f>
        <v>137.4</v>
      </c>
      <c r="AB116" s="300">
        <f>(142*KFC!$B$30+KFC!$C$30)*KFC!$C$5</f>
        <v>142</v>
      </c>
      <c r="AC116" s="304">
        <f>(146.7*KFC!$B$30+KFC!$C$30)*KFC!$C$5</f>
        <v>146.69999999999999</v>
      </c>
    </row>
    <row r="117" spans="1:29">
      <c r="A117" s="1538"/>
      <c r="B117" s="637">
        <v>3.1</v>
      </c>
      <c r="C117" s="303">
        <f>(25.9*KFC!$B$30+KFC!$C$30)*KFC!$C$5</f>
        <v>25.9</v>
      </c>
      <c r="D117" s="300">
        <f>(30.7*KFC!$B$30+KFC!$C$30)*KFC!$C$5</f>
        <v>30.7</v>
      </c>
      <c r="E117" s="300">
        <f>(35.6*KFC!$B$30+KFC!$C$30)*KFC!$C$5</f>
        <v>35.6</v>
      </c>
      <c r="F117" s="300">
        <f>(40.4*KFC!$B$30+KFC!$C$30)*KFC!$C$5</f>
        <v>40.4</v>
      </c>
      <c r="G117" s="300">
        <f>(45.2*KFC!$B$30+KFC!$C$30)*KFC!$C$5</f>
        <v>45.2</v>
      </c>
      <c r="H117" s="300">
        <f>(50*KFC!$B$30+KFC!$C$30)*KFC!$C$5</f>
        <v>50</v>
      </c>
      <c r="I117" s="300">
        <f>(54.9*KFC!$B$30+KFC!$C$30)*KFC!$C$5</f>
        <v>54.9</v>
      </c>
      <c r="J117" s="300">
        <f>(59.7*KFC!$B$30+KFC!$C$30)*KFC!$C$5</f>
        <v>59.7</v>
      </c>
      <c r="K117" s="300">
        <f>(64.5*KFC!$B$30+KFC!$C$30)*KFC!$C$5</f>
        <v>64.5</v>
      </c>
      <c r="L117" s="300">
        <f>(69.3*KFC!$B$30+KFC!$C$30)*KFC!$C$5</f>
        <v>69.3</v>
      </c>
      <c r="M117" s="300">
        <f>(74.1*KFC!$B$30+KFC!$C$30)*KFC!$C$5</f>
        <v>74.099999999999994</v>
      </c>
      <c r="N117" s="300">
        <f>(79*KFC!$B$30+KFC!$C$30)*KFC!$C$5</f>
        <v>79</v>
      </c>
      <c r="O117" s="300">
        <f>(83.8*KFC!$B$30+KFC!$C$30)*KFC!$C$5</f>
        <v>83.8</v>
      </c>
      <c r="P117" s="300">
        <f>(88.6*KFC!$B$30+KFC!$C$30)*KFC!$C$5</f>
        <v>88.6</v>
      </c>
      <c r="Q117" s="300">
        <f>(93.4*KFC!$B$30+KFC!$C$30)*KFC!$C$5</f>
        <v>93.4</v>
      </c>
      <c r="R117" s="300">
        <f>(98.3*KFC!$B$30+KFC!$C$30)*KFC!$C$5</f>
        <v>98.3</v>
      </c>
      <c r="S117" s="300">
        <f>(103.1*KFC!$B$30+KFC!$C$30)*KFC!$C$5</f>
        <v>103.1</v>
      </c>
      <c r="T117" s="300">
        <f>(107.9*KFC!$B$30+KFC!$C$30)*KFC!$C$5</f>
        <v>107.9</v>
      </c>
      <c r="U117" s="300">
        <f>(112.7*KFC!$B$30+KFC!$C$30)*KFC!$C$5</f>
        <v>112.7</v>
      </c>
      <c r="V117" s="300">
        <f>(117.6*KFC!$B$30+KFC!$C$30)*KFC!$C$5</f>
        <v>117.6</v>
      </c>
      <c r="W117" s="300">
        <f>(122.4*KFC!$B$30+KFC!$C$30)*KFC!$C$5</f>
        <v>122.4</v>
      </c>
      <c r="X117" s="300">
        <f>(127.2*KFC!$B$30+KFC!$C$30)*KFC!$C$5</f>
        <v>127.2</v>
      </c>
      <c r="Y117" s="300">
        <f>(132*KFC!$B$30+KFC!$C$30)*KFC!$C$5</f>
        <v>132</v>
      </c>
      <c r="Z117" s="300">
        <f>(136.8*KFC!$B$30+KFC!$C$30)*KFC!$C$5</f>
        <v>136.80000000000001</v>
      </c>
      <c r="AA117" s="300">
        <f>(141.7*KFC!$B$30+KFC!$C$30)*KFC!$C$5</f>
        <v>141.69999999999999</v>
      </c>
      <c r="AB117" s="300">
        <f>(146.5*KFC!$B$30+KFC!$C$30)*KFC!$C$5</f>
        <v>146.5</v>
      </c>
      <c r="AC117" s="304">
        <f>(151.3*KFC!$B$30+KFC!$C$30)*KFC!$C$5</f>
        <v>151.30000000000001</v>
      </c>
    </row>
    <row r="118" spans="1:29">
      <c r="A118" s="1538"/>
      <c r="B118" s="637">
        <v>3.2</v>
      </c>
      <c r="C118" s="303">
        <f>(26.5*KFC!$B$30+KFC!$C$30)*KFC!$C$5</f>
        <v>26.5</v>
      </c>
      <c r="D118" s="300">
        <f>(31.5*KFC!$B$30+KFC!$C$30)*KFC!$C$5</f>
        <v>31.5</v>
      </c>
      <c r="E118" s="300">
        <f>(36.4*KFC!$B$30+KFC!$C$30)*KFC!$C$5</f>
        <v>36.4</v>
      </c>
      <c r="F118" s="300">
        <f>(41.4*KFC!$B$30+KFC!$C$30)*KFC!$C$5</f>
        <v>41.4</v>
      </c>
      <c r="G118" s="300">
        <f>(46.4*KFC!$B$30+KFC!$C$30)*KFC!$C$5</f>
        <v>46.4</v>
      </c>
      <c r="H118" s="300">
        <f>(51.4*KFC!$B$30+KFC!$C$30)*KFC!$C$5</f>
        <v>51.4</v>
      </c>
      <c r="I118" s="300">
        <f>(56.4*KFC!$B$30+KFC!$C$30)*KFC!$C$5</f>
        <v>56.4</v>
      </c>
      <c r="J118" s="300">
        <f>(61.3*KFC!$B$30+KFC!$C$30)*KFC!$C$5</f>
        <v>61.3</v>
      </c>
      <c r="K118" s="300">
        <f>(66.3*KFC!$B$30+KFC!$C$30)*KFC!$C$5</f>
        <v>66.3</v>
      </c>
      <c r="L118" s="300">
        <f>(71.3*KFC!$B$30+KFC!$C$30)*KFC!$C$5</f>
        <v>71.3</v>
      </c>
      <c r="M118" s="300">
        <f>(76.3*KFC!$B$30+KFC!$C$30)*KFC!$C$5</f>
        <v>76.3</v>
      </c>
      <c r="N118" s="300">
        <f>(81.2*KFC!$B$30+KFC!$C$30)*KFC!$C$5</f>
        <v>81.2</v>
      </c>
      <c r="O118" s="300">
        <f>(86.2*KFC!$B$30+KFC!$C$30)*KFC!$C$5</f>
        <v>86.2</v>
      </c>
      <c r="P118" s="300">
        <f>(91.2*KFC!$B$30+KFC!$C$30)*KFC!$C$5</f>
        <v>91.2</v>
      </c>
      <c r="Q118" s="300">
        <f>(96.2*KFC!$B$30+KFC!$C$30)*KFC!$C$5</f>
        <v>96.2</v>
      </c>
      <c r="R118" s="300">
        <f>(101.2*KFC!$B$30+KFC!$C$30)*KFC!$C$5</f>
        <v>101.2</v>
      </c>
      <c r="S118" s="300">
        <f>(106.1*KFC!$B$30+KFC!$C$30)*KFC!$C$5</f>
        <v>106.1</v>
      </c>
      <c r="T118" s="300">
        <f>(111.1*KFC!$B$30+KFC!$C$30)*KFC!$C$5</f>
        <v>111.1</v>
      </c>
      <c r="U118" s="300">
        <f>(116.1*KFC!$B$30+KFC!$C$30)*KFC!$C$5</f>
        <v>116.1</v>
      </c>
      <c r="V118" s="300">
        <f>(121.1*KFC!$B$30+KFC!$C$30)*KFC!$C$5</f>
        <v>121.1</v>
      </c>
      <c r="W118" s="300">
        <f>(126.1*KFC!$B$30+KFC!$C$30)*KFC!$C$5</f>
        <v>126.1</v>
      </c>
      <c r="X118" s="300">
        <f>(131.1*KFC!$B$30+KFC!$C$30)*KFC!$C$5</f>
        <v>131.1</v>
      </c>
      <c r="Y118" s="300">
        <f>(136*KFC!$B$30+KFC!$C$30)*KFC!$C$5</f>
        <v>136</v>
      </c>
      <c r="Z118" s="300">
        <f>(140.9*KFC!$B$30+KFC!$C$30)*KFC!$C$5</f>
        <v>140.9</v>
      </c>
      <c r="AA118" s="300">
        <f>(146*KFC!$B$30+KFC!$C$30)*KFC!$C$5</f>
        <v>146</v>
      </c>
      <c r="AB118" s="300">
        <f>(150.9*KFC!$B$30+KFC!$C$30)*KFC!$C$5</f>
        <v>150.9</v>
      </c>
      <c r="AC118" s="304">
        <f>(155.9*KFC!$B$30+KFC!$C$30)*KFC!$C$5</f>
        <v>155.9</v>
      </c>
    </row>
    <row r="119" spans="1:29">
      <c r="A119" s="1538"/>
      <c r="B119" s="637">
        <v>3.3</v>
      </c>
      <c r="C119" s="303">
        <f>(27*KFC!$B$30+KFC!$C$30)*KFC!$C$5</f>
        <v>27</v>
      </c>
      <c r="D119" s="300">
        <f>(32.2*KFC!$B$30+KFC!$C$30)*KFC!$C$5</f>
        <v>32.200000000000003</v>
      </c>
      <c r="E119" s="300">
        <f>(37.3*KFC!$B$30+KFC!$C$30)*KFC!$C$5</f>
        <v>37.299999999999997</v>
      </c>
      <c r="F119" s="300">
        <f>(42.4*KFC!$B$30+KFC!$C$30)*KFC!$C$5</f>
        <v>42.4</v>
      </c>
      <c r="G119" s="300">
        <f>(47.6*KFC!$B$30+KFC!$C$30)*KFC!$C$5</f>
        <v>47.6</v>
      </c>
      <c r="H119" s="300">
        <f>(52.7*KFC!$B$30+KFC!$C$30)*KFC!$C$5</f>
        <v>52.7</v>
      </c>
      <c r="I119" s="300">
        <f>(57.8*KFC!$B$30+KFC!$C$30)*KFC!$C$5</f>
        <v>57.8</v>
      </c>
      <c r="J119" s="300">
        <f>(63*KFC!$B$30+KFC!$C$30)*KFC!$C$5</f>
        <v>63</v>
      </c>
      <c r="K119" s="300">
        <f>(68.1*KFC!$B$30+KFC!$C$30)*KFC!$C$5</f>
        <v>68.099999999999994</v>
      </c>
      <c r="L119" s="300">
        <f>(73.3*KFC!$B$30+KFC!$C$30)*KFC!$C$5</f>
        <v>73.3</v>
      </c>
      <c r="M119" s="300">
        <f>(78.4*KFC!$B$30+KFC!$C$30)*KFC!$C$5</f>
        <v>78.400000000000006</v>
      </c>
      <c r="N119" s="300">
        <f>(83.5*KFC!$B$30+KFC!$C$30)*KFC!$C$5</f>
        <v>83.5</v>
      </c>
      <c r="O119" s="300">
        <f>(88.7*KFC!$B$30+KFC!$C$30)*KFC!$C$5</f>
        <v>88.7</v>
      </c>
      <c r="P119" s="300">
        <f>(93.8*KFC!$B$30+KFC!$C$30)*KFC!$C$5</f>
        <v>93.8</v>
      </c>
      <c r="Q119" s="300">
        <f>(98.9*KFC!$B$30+KFC!$C$30)*KFC!$C$5</f>
        <v>98.9</v>
      </c>
      <c r="R119" s="300">
        <f>(104.1*KFC!$B$30+KFC!$C$30)*KFC!$C$5</f>
        <v>104.1</v>
      </c>
      <c r="S119" s="300">
        <f>(109.2*KFC!$B$30+KFC!$C$30)*KFC!$C$5</f>
        <v>109.2</v>
      </c>
      <c r="T119" s="300">
        <f>(114.3*KFC!$B$30+KFC!$C$30)*KFC!$C$5</f>
        <v>114.3</v>
      </c>
      <c r="U119" s="300">
        <f>(119.5*KFC!$B$30+KFC!$C$30)*KFC!$C$5</f>
        <v>119.5</v>
      </c>
      <c r="V119" s="300">
        <f>(124.6*KFC!$B$30+KFC!$C$30)*KFC!$C$5</f>
        <v>124.6</v>
      </c>
      <c r="W119" s="300">
        <f>(129.7*KFC!$B$30+KFC!$C$30)*KFC!$C$5</f>
        <v>129.69999999999999</v>
      </c>
      <c r="X119" s="300">
        <f>(134.9*KFC!$B$30+KFC!$C$30)*KFC!$C$5</f>
        <v>134.9</v>
      </c>
      <c r="Y119" s="300">
        <f>(140*KFC!$B$30+KFC!$C$30)*KFC!$C$5</f>
        <v>140</v>
      </c>
      <c r="Z119" s="300">
        <f>(145.1*KFC!$B$30+KFC!$C$30)*KFC!$C$5</f>
        <v>145.1</v>
      </c>
      <c r="AA119" s="300">
        <f>(150.3*KFC!$B$30+KFC!$C$30)*KFC!$C$5</f>
        <v>150.30000000000001</v>
      </c>
      <c r="AB119" s="300">
        <f>(155.4*KFC!$B$30+KFC!$C$30)*KFC!$C$5</f>
        <v>155.4</v>
      </c>
      <c r="AC119" s="304">
        <f>(160.5*KFC!$B$30+KFC!$C$30)*KFC!$C$5</f>
        <v>160.5</v>
      </c>
    </row>
    <row r="120" spans="1:29">
      <c r="A120" s="1538"/>
      <c r="B120" s="637">
        <v>3.4</v>
      </c>
      <c r="C120" s="303">
        <f>(27.6*KFC!$B$30+KFC!$C$30)*KFC!$C$5</f>
        <v>27.6</v>
      </c>
      <c r="D120" s="300">
        <f>(32.9*KFC!$B$30+KFC!$C$30)*KFC!$C$5</f>
        <v>32.9</v>
      </c>
      <c r="E120" s="300">
        <f>(38.2*KFC!$B$30+KFC!$C$30)*KFC!$C$5</f>
        <v>38.200000000000003</v>
      </c>
      <c r="F120" s="300">
        <f>(43.5*KFC!$B$30+KFC!$C$30)*KFC!$C$5</f>
        <v>43.5</v>
      </c>
      <c r="G120" s="300">
        <f>(48.8*KFC!$B$30+KFC!$C$30)*KFC!$C$5</f>
        <v>48.8</v>
      </c>
      <c r="H120" s="300">
        <f>(54.1*KFC!$B$30+KFC!$C$30)*KFC!$C$5</f>
        <v>54.1</v>
      </c>
      <c r="I120" s="300">
        <f>(59.3*KFC!$B$30+KFC!$C$30)*KFC!$C$5</f>
        <v>59.3</v>
      </c>
      <c r="J120" s="300">
        <f>(64.6*KFC!$B$30+KFC!$C$30)*KFC!$C$5</f>
        <v>64.599999999999994</v>
      </c>
      <c r="K120" s="300">
        <f>(69.9*KFC!$B$30+KFC!$C$30)*KFC!$C$5</f>
        <v>69.900000000000006</v>
      </c>
      <c r="L120" s="300">
        <f>(75.2*KFC!$B$30+KFC!$C$30)*KFC!$C$5</f>
        <v>75.2</v>
      </c>
      <c r="M120" s="300">
        <f>(80.5*KFC!$B$30+KFC!$C$30)*KFC!$C$5</f>
        <v>80.5</v>
      </c>
      <c r="N120" s="300">
        <f>(85.8*KFC!$B$30+KFC!$C$30)*KFC!$C$5</f>
        <v>85.8</v>
      </c>
      <c r="O120" s="300">
        <f>(91.1*KFC!$B$30+KFC!$C$30)*KFC!$C$5</f>
        <v>91.1</v>
      </c>
      <c r="P120" s="300">
        <f>(96.4*KFC!$B$30+KFC!$C$30)*KFC!$C$5</f>
        <v>96.4</v>
      </c>
      <c r="Q120" s="300">
        <f>(101.7*KFC!$B$30+KFC!$C$30)*KFC!$C$5</f>
        <v>101.7</v>
      </c>
      <c r="R120" s="300">
        <f>(107*KFC!$B$30+KFC!$C$30)*KFC!$C$5</f>
        <v>107</v>
      </c>
      <c r="S120" s="300">
        <f>(112.2*KFC!$B$30+KFC!$C$30)*KFC!$C$5</f>
        <v>112.2</v>
      </c>
      <c r="T120" s="300">
        <f>(117.5*KFC!$B$30+KFC!$C$30)*KFC!$C$5</f>
        <v>117.5</v>
      </c>
      <c r="U120" s="300">
        <f>(122.8*KFC!$B$30+KFC!$C$30)*KFC!$C$5</f>
        <v>122.8</v>
      </c>
      <c r="V120" s="300">
        <f>(128.1*KFC!$B$30+KFC!$C$30)*KFC!$C$5</f>
        <v>128.1</v>
      </c>
      <c r="W120" s="300">
        <f>(133.4*KFC!$B$30+KFC!$C$30)*KFC!$C$5</f>
        <v>133.4</v>
      </c>
      <c r="X120" s="300">
        <f>(138.7*KFC!$B$30+KFC!$C$30)*KFC!$C$5</f>
        <v>138.69999999999999</v>
      </c>
      <c r="Y120" s="300">
        <f>(144*KFC!$B$30+KFC!$C$30)*KFC!$C$5</f>
        <v>144</v>
      </c>
      <c r="Z120" s="300">
        <f>(149.3*KFC!$B$30+KFC!$C$30)*KFC!$C$5</f>
        <v>149.30000000000001</v>
      </c>
      <c r="AA120" s="300">
        <f>(154.6*KFC!$B$30+KFC!$C$30)*KFC!$C$5</f>
        <v>154.6</v>
      </c>
      <c r="AB120" s="300">
        <f>(159.8*KFC!$B$30+KFC!$C$30)*KFC!$C$5</f>
        <v>159.80000000000001</v>
      </c>
      <c r="AC120" s="304">
        <f>(165.1*KFC!$B$30+KFC!$C$30)*KFC!$C$5</f>
        <v>165.1</v>
      </c>
    </row>
    <row r="121" spans="1:29">
      <c r="A121" s="1538"/>
      <c r="B121" s="637">
        <v>3.5</v>
      </c>
      <c r="C121" s="303">
        <f>(28.2*KFC!$B$30+KFC!$C$30)*KFC!$C$5</f>
        <v>28.2</v>
      </c>
      <c r="D121" s="300">
        <f>(33.6*KFC!$B$30+KFC!$C$30)*KFC!$C$5</f>
        <v>33.6</v>
      </c>
      <c r="E121" s="300">
        <f>(39.1*KFC!$B$30+KFC!$C$30)*KFC!$C$5</f>
        <v>39.1</v>
      </c>
      <c r="F121" s="300">
        <f>(44.5*KFC!$B$30+KFC!$C$30)*KFC!$C$5</f>
        <v>44.5</v>
      </c>
      <c r="G121" s="300">
        <f>(50*KFC!$B$30+KFC!$C$30)*KFC!$C$5</f>
        <v>50</v>
      </c>
      <c r="H121" s="300">
        <f>(55.4*KFC!$B$30+KFC!$C$30)*KFC!$C$5</f>
        <v>55.4</v>
      </c>
      <c r="I121" s="300">
        <f>(60.8*KFC!$B$30+KFC!$C$30)*KFC!$C$5</f>
        <v>60.8</v>
      </c>
      <c r="J121" s="300">
        <f>(66.3*KFC!$B$30+KFC!$C$30)*KFC!$C$5</f>
        <v>66.3</v>
      </c>
      <c r="K121" s="300">
        <f>(71.7*KFC!$B$30+KFC!$C$30)*KFC!$C$5</f>
        <v>71.7</v>
      </c>
      <c r="L121" s="300">
        <f>(77.2*KFC!$B$30+KFC!$C$30)*KFC!$C$5</f>
        <v>77.2</v>
      </c>
      <c r="M121" s="300">
        <f>(82.6*KFC!$B$30+KFC!$C$30)*KFC!$C$5</f>
        <v>82.6</v>
      </c>
      <c r="N121" s="300">
        <f>(88.1*KFC!$B$30+KFC!$C$30)*KFC!$C$5</f>
        <v>88.1</v>
      </c>
      <c r="O121" s="300">
        <f>(93.5*KFC!$B$30+KFC!$C$30)*KFC!$C$5</f>
        <v>93.5</v>
      </c>
      <c r="P121" s="300">
        <f>(99*KFC!$B$30+KFC!$C$30)*KFC!$C$5</f>
        <v>99</v>
      </c>
      <c r="Q121" s="300">
        <f>(104.4*KFC!$B$30+KFC!$C$30)*KFC!$C$5</f>
        <v>104.4</v>
      </c>
      <c r="R121" s="300">
        <f>(109.8*KFC!$B$30+KFC!$C$30)*KFC!$C$5</f>
        <v>109.8</v>
      </c>
      <c r="S121" s="300">
        <f>(115.3*KFC!$B$30+KFC!$C$30)*KFC!$C$5</f>
        <v>115.3</v>
      </c>
      <c r="T121" s="300">
        <f>(120.7*KFC!$B$30+KFC!$C$30)*KFC!$C$5</f>
        <v>120.7</v>
      </c>
      <c r="U121" s="300">
        <f>(126.2*KFC!$B$30+KFC!$C$30)*KFC!$C$5</f>
        <v>126.2</v>
      </c>
      <c r="V121" s="300">
        <f>(131.6*KFC!$B$30+KFC!$C$30)*KFC!$C$5</f>
        <v>131.6</v>
      </c>
      <c r="W121" s="300">
        <f>(137.1*KFC!$B$30+KFC!$C$30)*KFC!$C$5</f>
        <v>137.1</v>
      </c>
      <c r="X121" s="300">
        <f>(142.5*KFC!$B$30+KFC!$C$30)*KFC!$C$5</f>
        <v>142.5</v>
      </c>
      <c r="Y121" s="300">
        <f>(148*KFC!$B$30+KFC!$C$30)*KFC!$C$5</f>
        <v>148</v>
      </c>
      <c r="Z121" s="300">
        <f>(153.4*KFC!$B$30+KFC!$C$30)*KFC!$C$5</f>
        <v>153.4</v>
      </c>
      <c r="AA121" s="300">
        <f>(158.8*KFC!$B$30+KFC!$C$30)*KFC!$C$5</f>
        <v>158.80000000000001</v>
      </c>
      <c r="AB121" s="300">
        <f>(164.3*KFC!$B$30+KFC!$C$30)*KFC!$C$5</f>
        <v>164.3</v>
      </c>
      <c r="AC121" s="304">
        <f>(169.7*KFC!$B$30+KFC!$C$30)*KFC!$C$5</f>
        <v>169.7</v>
      </c>
    </row>
    <row r="122" spans="1:29">
      <c r="A122" s="1538"/>
      <c r="B122" s="637">
        <v>3.6</v>
      </c>
      <c r="C122" s="303">
        <f>(28.7*KFC!$B$30+KFC!$C$30)*KFC!$C$5</f>
        <v>28.7</v>
      </c>
      <c r="D122" s="300">
        <f>(34.3*KFC!$B$30+KFC!$C$30)*KFC!$C$5</f>
        <v>34.299999999999997</v>
      </c>
      <c r="E122" s="300">
        <f>(39.9*KFC!$B$30+KFC!$C$30)*KFC!$C$5</f>
        <v>39.9</v>
      </c>
      <c r="F122" s="300">
        <f>(45.5*KFC!$B$30+KFC!$C$30)*KFC!$C$5</f>
        <v>45.5</v>
      </c>
      <c r="G122" s="300">
        <f>(51.1*KFC!$B$30+KFC!$C$30)*KFC!$C$5</f>
        <v>51.1</v>
      </c>
      <c r="H122" s="300">
        <f>(56.7*KFC!$B$30+KFC!$C$30)*KFC!$C$5</f>
        <v>56.7</v>
      </c>
      <c r="I122" s="300">
        <f>(62.3*KFC!$B$30+KFC!$C$30)*KFC!$C$5</f>
        <v>62.3</v>
      </c>
      <c r="J122" s="300">
        <f>(67.9*KFC!$B$30+KFC!$C$30)*KFC!$C$5</f>
        <v>67.900000000000006</v>
      </c>
      <c r="K122" s="300">
        <f>(73.5*KFC!$B$30+KFC!$C$30)*KFC!$C$5</f>
        <v>73.5</v>
      </c>
      <c r="L122" s="300">
        <f>(79.1*KFC!$B$30+KFC!$C$30)*KFC!$C$5</f>
        <v>79.099999999999994</v>
      </c>
      <c r="M122" s="300">
        <f>(84.7*KFC!$B$30+KFC!$C$30)*KFC!$C$5</f>
        <v>84.7</v>
      </c>
      <c r="N122" s="300">
        <f>(90.3*KFC!$B$30+KFC!$C$30)*KFC!$C$5</f>
        <v>90.3</v>
      </c>
      <c r="O122" s="300">
        <f>(95.9*KFC!$B$30+KFC!$C$30)*KFC!$C$5</f>
        <v>95.9</v>
      </c>
      <c r="P122" s="300">
        <f>(101.5*KFC!$B$30+KFC!$C$30)*KFC!$C$5</f>
        <v>101.5</v>
      </c>
      <c r="Q122" s="300">
        <f>(107.1*KFC!$B$30+KFC!$C$30)*KFC!$C$5</f>
        <v>107.1</v>
      </c>
      <c r="R122" s="300">
        <f>(112.7*KFC!$B$30+KFC!$C$30)*KFC!$C$5</f>
        <v>112.7</v>
      </c>
      <c r="S122" s="300">
        <f>(118.3*KFC!$B$30+KFC!$C$30)*KFC!$C$5</f>
        <v>118.3</v>
      </c>
      <c r="T122" s="300">
        <f>(123.9*KFC!$B$30+KFC!$C$30)*KFC!$C$5</f>
        <v>123.9</v>
      </c>
      <c r="U122" s="300">
        <f>(129.5*KFC!$B$30+KFC!$C$30)*KFC!$C$5</f>
        <v>129.5</v>
      </c>
      <c r="V122" s="300">
        <f>(135.1*KFC!$B$30+KFC!$C$30)*KFC!$C$5</f>
        <v>135.1</v>
      </c>
      <c r="W122" s="300">
        <f>(140.7*KFC!$B$30+KFC!$C$30)*KFC!$C$5</f>
        <v>140.69999999999999</v>
      </c>
      <c r="X122" s="300">
        <f>(146.3*KFC!$B$30+KFC!$C$30)*KFC!$C$5</f>
        <v>146.30000000000001</v>
      </c>
      <c r="Y122" s="300">
        <f>(151.9*KFC!$B$30+KFC!$C$30)*KFC!$C$5</f>
        <v>151.9</v>
      </c>
      <c r="Z122" s="300">
        <f>(157.5*KFC!$B$30+KFC!$C$30)*KFC!$C$5</f>
        <v>157.5</v>
      </c>
      <c r="AA122" s="300">
        <f>(163.1*KFC!$B$30+KFC!$C$30)*KFC!$C$5</f>
        <v>163.1</v>
      </c>
      <c r="AB122" s="300">
        <f>(168.7*KFC!$B$30+KFC!$C$30)*KFC!$C$5</f>
        <v>168.7</v>
      </c>
      <c r="AC122" s="304">
        <f>(174.3*KFC!$B$30+KFC!$C$30)*KFC!$C$5</f>
        <v>174.3</v>
      </c>
    </row>
    <row r="123" spans="1:29">
      <c r="A123" s="1538"/>
      <c r="B123" s="637">
        <v>3.7</v>
      </c>
      <c r="C123" s="303">
        <f>(29.3*KFC!$B$30+KFC!$C$30)*KFC!$C$5</f>
        <v>29.3</v>
      </c>
      <c r="D123" s="300">
        <f>(35.1*KFC!$B$30+KFC!$C$30)*KFC!$C$5</f>
        <v>35.1</v>
      </c>
      <c r="E123" s="300">
        <f>(40.8*KFC!$B$30+KFC!$C$30)*KFC!$C$5</f>
        <v>40.799999999999997</v>
      </c>
      <c r="F123" s="300">
        <f>(46.6*KFC!$B$30+KFC!$C$30)*KFC!$C$5</f>
        <v>46.6</v>
      </c>
      <c r="G123" s="300">
        <f>(52.3*KFC!$B$30+KFC!$C$30)*KFC!$C$5</f>
        <v>52.3</v>
      </c>
      <c r="H123" s="300">
        <f>(58.1*KFC!$B$30+KFC!$C$30)*KFC!$C$5</f>
        <v>58.1</v>
      </c>
      <c r="I123" s="300">
        <f>(63.8*KFC!$B$30+KFC!$C$30)*KFC!$C$5</f>
        <v>63.8</v>
      </c>
      <c r="J123" s="300">
        <f>(69.6*KFC!$B$30+KFC!$C$30)*KFC!$C$5</f>
        <v>69.599999999999994</v>
      </c>
      <c r="K123" s="300">
        <f>(75.4*KFC!$B$30+KFC!$C$30)*KFC!$C$5</f>
        <v>75.400000000000006</v>
      </c>
      <c r="L123" s="300">
        <f>(81.1*KFC!$B$30+KFC!$C$30)*KFC!$C$5</f>
        <v>81.099999999999994</v>
      </c>
      <c r="M123" s="300">
        <f>(86.9*KFC!$B$30+KFC!$C$30)*KFC!$C$5</f>
        <v>86.9</v>
      </c>
      <c r="N123" s="300">
        <f>(92.6*KFC!$B$30+KFC!$C$30)*KFC!$C$5</f>
        <v>92.6</v>
      </c>
      <c r="O123" s="300">
        <f>(98.4*KFC!$B$30+KFC!$C$30)*KFC!$C$5</f>
        <v>98.4</v>
      </c>
      <c r="P123" s="300">
        <f>(104.1*KFC!$B$30+KFC!$C$30)*KFC!$C$5</f>
        <v>104.1</v>
      </c>
      <c r="Q123" s="300">
        <f>(109.9*KFC!$B$30+KFC!$C$30)*KFC!$C$5</f>
        <v>109.9</v>
      </c>
      <c r="R123" s="300">
        <f>(115.6*KFC!$B$30+KFC!$C$30)*KFC!$C$5</f>
        <v>115.6</v>
      </c>
      <c r="S123" s="300">
        <f>(121.4*KFC!$B$30+KFC!$C$30)*KFC!$C$5</f>
        <v>121.4</v>
      </c>
      <c r="T123" s="300">
        <f>(127.2*KFC!$B$30+KFC!$C$30)*KFC!$C$5</f>
        <v>127.2</v>
      </c>
      <c r="U123" s="300">
        <f>(132.9*KFC!$B$30+KFC!$C$30)*KFC!$C$5</f>
        <v>132.9</v>
      </c>
      <c r="V123" s="300">
        <f>(138.7*KFC!$B$30+KFC!$C$30)*KFC!$C$5</f>
        <v>138.69999999999999</v>
      </c>
      <c r="W123" s="300">
        <f>(144.4*KFC!$B$30+KFC!$C$30)*KFC!$C$5</f>
        <v>144.4</v>
      </c>
      <c r="X123" s="300">
        <f>(150.2*KFC!$B$30+KFC!$C$30)*KFC!$C$5</f>
        <v>150.19999999999999</v>
      </c>
      <c r="Y123" s="300">
        <f>(155.9*KFC!$B$30+KFC!$C$30)*KFC!$C$5</f>
        <v>155.9</v>
      </c>
      <c r="Z123" s="300">
        <f>(161.7*KFC!$B$30+KFC!$C$30)*KFC!$C$5</f>
        <v>161.69999999999999</v>
      </c>
      <c r="AA123" s="300">
        <f>(167.4*KFC!$B$30+KFC!$C$30)*KFC!$C$5</f>
        <v>167.4</v>
      </c>
      <c r="AB123" s="300">
        <f>(173.2*KFC!$B$30+KFC!$C$30)*KFC!$C$5</f>
        <v>173.2</v>
      </c>
      <c r="AC123" s="304">
        <f>(178.9*KFC!$B$30+KFC!$C$30)*KFC!$C$5</f>
        <v>178.9</v>
      </c>
    </row>
    <row r="124" spans="1:29">
      <c r="A124" s="1538"/>
      <c r="B124" s="637">
        <v>3.8</v>
      </c>
      <c r="C124" s="303">
        <f>(29.9*KFC!$B$30+KFC!$C$30)*KFC!$C$5</f>
        <v>29.9</v>
      </c>
      <c r="D124" s="300">
        <f>(35.8*KFC!$B$30+KFC!$C$30)*KFC!$C$5</f>
        <v>35.799999999999997</v>
      </c>
      <c r="E124" s="300">
        <f>(41.7*KFC!$B$30+KFC!$C$30)*KFC!$C$5</f>
        <v>41.7</v>
      </c>
      <c r="F124" s="300">
        <f>(47.6*KFC!$B$30+KFC!$C$30)*KFC!$C$5</f>
        <v>47.6</v>
      </c>
      <c r="G124" s="300">
        <f>(53.5*KFC!$B$30+KFC!$C$30)*KFC!$C$5</f>
        <v>53.5</v>
      </c>
      <c r="H124" s="300">
        <f>(59.4*KFC!$B$30+KFC!$C$30)*KFC!$C$5</f>
        <v>59.4</v>
      </c>
      <c r="I124" s="300">
        <f>(65.3*KFC!$B$30+KFC!$C$30)*KFC!$C$5</f>
        <v>65.3</v>
      </c>
      <c r="J124" s="300">
        <f>(71.3*KFC!$B$30+KFC!$C$30)*KFC!$C$5</f>
        <v>71.3</v>
      </c>
      <c r="K124" s="300">
        <f>(77.2*KFC!$B$30+KFC!$C$30)*KFC!$C$5</f>
        <v>77.2</v>
      </c>
      <c r="L124" s="300">
        <f>(83.1*KFC!$B$30+KFC!$C$30)*KFC!$C$5</f>
        <v>83.1</v>
      </c>
      <c r="M124" s="300">
        <f>(89*KFC!$B$30+KFC!$C$30)*KFC!$C$5</f>
        <v>89</v>
      </c>
      <c r="N124" s="300">
        <f>(94.9*KFC!$B$30+KFC!$C$30)*KFC!$C$5</f>
        <v>94.9</v>
      </c>
      <c r="O124" s="300">
        <f>(100.8*KFC!$B$30+KFC!$C$30)*KFC!$C$5</f>
        <v>100.8</v>
      </c>
      <c r="P124" s="300">
        <f>(106.7*KFC!$B$30+KFC!$C$30)*KFC!$C$5</f>
        <v>106.7</v>
      </c>
      <c r="Q124" s="300">
        <f>(112.6*KFC!$B$30+KFC!$C$30)*KFC!$C$5</f>
        <v>112.6</v>
      </c>
      <c r="R124" s="300">
        <f>(118.5*KFC!$B$30+KFC!$C$30)*KFC!$C$5</f>
        <v>118.5</v>
      </c>
      <c r="S124" s="300">
        <f>(124.4*KFC!$B$30+KFC!$C$30)*KFC!$C$5</f>
        <v>124.4</v>
      </c>
      <c r="T124" s="300">
        <f>(130.4*KFC!$B$30+KFC!$C$30)*KFC!$C$5</f>
        <v>130.4</v>
      </c>
      <c r="U124" s="300">
        <f>(136.3*KFC!$B$30+KFC!$C$30)*KFC!$C$5</f>
        <v>136.30000000000001</v>
      </c>
      <c r="V124" s="300">
        <f>(142.2*KFC!$B$30+KFC!$C$30)*KFC!$C$5</f>
        <v>142.19999999999999</v>
      </c>
      <c r="W124" s="300">
        <f>(148.1*KFC!$B$30+KFC!$C$30)*KFC!$C$5</f>
        <v>148.1</v>
      </c>
      <c r="X124" s="300">
        <f>(154*KFC!$B$30+KFC!$C$30)*KFC!$C$5</f>
        <v>154</v>
      </c>
      <c r="Y124" s="300">
        <f>(159.9*KFC!$B$30+KFC!$C$30)*KFC!$C$5</f>
        <v>159.9</v>
      </c>
      <c r="Z124" s="300">
        <f>(165.8*KFC!$B$30+KFC!$C$30)*KFC!$C$5</f>
        <v>165.8</v>
      </c>
      <c r="AA124" s="300">
        <f>(171.7*KFC!$B$30+KFC!$C$30)*KFC!$C$5</f>
        <v>171.7</v>
      </c>
      <c r="AB124" s="300">
        <f>(177.6*KFC!$B$30+KFC!$C$30)*KFC!$C$5</f>
        <v>177.6</v>
      </c>
      <c r="AC124" s="304">
        <f>(183.6*KFC!$B$30+KFC!$C$30)*KFC!$C$5</f>
        <v>183.6</v>
      </c>
    </row>
    <row r="125" spans="1:29">
      <c r="A125" s="1538"/>
      <c r="B125" s="637">
        <v>3.9</v>
      </c>
      <c r="C125" s="303">
        <f>(30.4*KFC!$B$30+KFC!$C$30)*KFC!$C$5</f>
        <v>30.4</v>
      </c>
      <c r="D125" s="300">
        <f>(36.5*KFC!$B$30+KFC!$C$30)*KFC!$C$5</f>
        <v>36.5</v>
      </c>
      <c r="E125" s="300">
        <f>(42.6*KFC!$B$30+KFC!$C$30)*KFC!$C$5</f>
        <v>42.6</v>
      </c>
      <c r="F125" s="300">
        <f>(48.6*KFC!$B$30+KFC!$C$30)*KFC!$C$5</f>
        <v>48.6</v>
      </c>
      <c r="G125" s="300">
        <f>(54.7*KFC!$B$30+KFC!$C$30)*KFC!$C$5</f>
        <v>54.7</v>
      </c>
      <c r="H125" s="300">
        <f>(60.8*KFC!$B$30+KFC!$C$30)*KFC!$C$5</f>
        <v>60.8</v>
      </c>
      <c r="I125" s="300">
        <f>(66.8*KFC!$B$30+KFC!$C$30)*KFC!$C$5</f>
        <v>66.8</v>
      </c>
      <c r="J125" s="300">
        <f>(72.9*KFC!$B$30+KFC!$C$30)*KFC!$C$5</f>
        <v>72.900000000000006</v>
      </c>
      <c r="K125" s="300">
        <f>(79*KFC!$B$30+KFC!$C$30)*KFC!$C$5</f>
        <v>79</v>
      </c>
      <c r="L125" s="300">
        <f>(85*KFC!$B$30+KFC!$C$30)*KFC!$C$5</f>
        <v>85</v>
      </c>
      <c r="M125" s="300">
        <f>(91.1*KFC!$B$30+KFC!$C$30)*KFC!$C$5</f>
        <v>91.1</v>
      </c>
      <c r="N125" s="300">
        <f>(97.2*KFC!$B$30+KFC!$C$30)*KFC!$C$5</f>
        <v>97.2</v>
      </c>
      <c r="O125" s="300">
        <f>(103.2*KFC!$B$30+KFC!$C$30)*KFC!$C$5</f>
        <v>103.2</v>
      </c>
      <c r="P125" s="300">
        <f>(109.3*KFC!$B$30+KFC!$C$30)*KFC!$C$5</f>
        <v>109.3</v>
      </c>
      <c r="Q125" s="300">
        <f>(115.4*KFC!$B$30+KFC!$C$30)*KFC!$C$5</f>
        <v>115.4</v>
      </c>
      <c r="R125" s="300">
        <f>(121.4*KFC!$B$30+KFC!$C$30)*KFC!$C$5</f>
        <v>121.4</v>
      </c>
      <c r="S125" s="300">
        <f>(127.5*KFC!$B$30+KFC!$C$30)*KFC!$C$5</f>
        <v>127.5</v>
      </c>
      <c r="T125" s="300">
        <f>(133.6*KFC!$B$30+KFC!$C$30)*KFC!$C$5</f>
        <v>133.6</v>
      </c>
      <c r="U125" s="300">
        <f>(139.6*KFC!$B$30+KFC!$C$30)*KFC!$C$5</f>
        <v>139.6</v>
      </c>
      <c r="V125" s="300">
        <f>(145.7*KFC!$B$30+KFC!$C$30)*KFC!$C$5</f>
        <v>145.69999999999999</v>
      </c>
      <c r="W125" s="300">
        <f>(151.8*KFC!$B$30+KFC!$C$30)*KFC!$C$5</f>
        <v>151.80000000000001</v>
      </c>
      <c r="X125" s="300">
        <f>(157.8*KFC!$B$30+KFC!$C$30)*KFC!$C$5</f>
        <v>157.80000000000001</v>
      </c>
      <c r="Y125" s="300">
        <f>(163.9*KFC!$B$30+KFC!$C$30)*KFC!$C$5</f>
        <v>163.9</v>
      </c>
      <c r="Z125" s="300">
        <f>(170*KFC!$B$30+KFC!$C$30)*KFC!$C$5</f>
        <v>170</v>
      </c>
      <c r="AA125" s="300">
        <f>(176*KFC!$B$30+KFC!$C$30)*KFC!$C$5</f>
        <v>176</v>
      </c>
      <c r="AB125" s="300">
        <f>(182.1*KFC!$B$30+KFC!$C$30)*KFC!$C$5</f>
        <v>182.1</v>
      </c>
      <c r="AC125" s="304">
        <f>(188.2*KFC!$B$30+KFC!$C$30)*KFC!$C$5</f>
        <v>188.2</v>
      </c>
    </row>
    <row r="126" spans="1:29">
      <c r="A126" s="1538"/>
      <c r="B126" s="637">
        <v>4</v>
      </c>
      <c r="C126" s="303">
        <f>(31*KFC!$B$30+KFC!$C$30)*KFC!$C$5</f>
        <v>31</v>
      </c>
      <c r="D126" s="300">
        <f>(37.2*KFC!$B$30+KFC!$C$30)*KFC!$C$5</f>
        <v>37.200000000000003</v>
      </c>
      <c r="E126" s="300">
        <f>(43.5*KFC!$B$30+KFC!$C$30)*KFC!$C$5</f>
        <v>43.5</v>
      </c>
      <c r="F126" s="300">
        <f>(49.7*KFC!$B$30+KFC!$C$30)*KFC!$C$5</f>
        <v>49.7</v>
      </c>
      <c r="G126" s="300">
        <f>(55.9*KFC!$B$30+KFC!$C$30)*KFC!$C$5</f>
        <v>55.9</v>
      </c>
      <c r="H126" s="300">
        <f>(62.1*KFC!$B$30+KFC!$C$30)*KFC!$C$5</f>
        <v>62.1</v>
      </c>
      <c r="I126" s="300">
        <f>(68.3*KFC!$B$30+KFC!$C$30)*KFC!$C$5</f>
        <v>68.3</v>
      </c>
      <c r="J126" s="300">
        <f>(74.6*KFC!$B$30+KFC!$C$30)*KFC!$C$5</f>
        <v>74.599999999999994</v>
      </c>
      <c r="K126" s="300">
        <f>(80.8*KFC!$B$30+KFC!$C$30)*KFC!$C$5</f>
        <v>80.8</v>
      </c>
      <c r="L126" s="300">
        <f>(87*KFC!$B$30+KFC!$C$30)*KFC!$C$5</f>
        <v>87</v>
      </c>
      <c r="M126" s="300">
        <f>(93.2*KFC!$B$30+KFC!$C$30)*KFC!$C$5</f>
        <v>93.2</v>
      </c>
      <c r="N126" s="300">
        <f>(99.4*KFC!$B$30+KFC!$C$30)*KFC!$C$5</f>
        <v>99.4</v>
      </c>
      <c r="O126" s="300">
        <f>(105.7*KFC!$B$30+KFC!$C$30)*KFC!$C$5</f>
        <v>105.7</v>
      </c>
      <c r="P126" s="300">
        <f>(111.9*KFC!$B$30+KFC!$C$30)*KFC!$C$5</f>
        <v>111.9</v>
      </c>
      <c r="Q126" s="300">
        <f>(118.1*KFC!$B$30+KFC!$C$30)*KFC!$C$5</f>
        <v>118.1</v>
      </c>
      <c r="R126" s="300">
        <f>(124.3*KFC!$B$30+KFC!$C$30)*KFC!$C$5</f>
        <v>124.3</v>
      </c>
      <c r="S126" s="300">
        <f>(130.6*KFC!$B$30+KFC!$C$30)*KFC!$C$5</f>
        <v>130.6</v>
      </c>
      <c r="T126" s="300">
        <f>(136.8*KFC!$B$30+KFC!$C$30)*KFC!$C$5</f>
        <v>136.80000000000001</v>
      </c>
      <c r="U126" s="300">
        <f>(143*KFC!$B$30+KFC!$C$30)*KFC!$C$5</f>
        <v>143</v>
      </c>
      <c r="V126" s="300">
        <f>(149.2*KFC!$B$30+KFC!$C$30)*KFC!$C$5</f>
        <v>149.19999999999999</v>
      </c>
      <c r="W126" s="300">
        <f>(155.4*KFC!$B$30+KFC!$C$30)*KFC!$C$5</f>
        <v>155.4</v>
      </c>
      <c r="X126" s="300">
        <f>(161.7*KFC!$B$30+KFC!$C$30)*KFC!$C$5</f>
        <v>161.69999999999999</v>
      </c>
      <c r="Y126" s="300">
        <f>(167.9*KFC!$B$30+KFC!$C$30)*KFC!$C$5</f>
        <v>167.9</v>
      </c>
      <c r="Z126" s="300">
        <f>(174.1*KFC!$B$30+KFC!$C$30)*KFC!$C$5</f>
        <v>174.1</v>
      </c>
      <c r="AA126" s="300">
        <f>(180.3*KFC!$B$30+KFC!$C$30)*KFC!$C$5</f>
        <v>180.3</v>
      </c>
      <c r="AB126" s="300">
        <f>(186.5*KFC!$B$30+KFC!$C$30)*KFC!$C$5</f>
        <v>186.5</v>
      </c>
      <c r="AC126" s="304">
        <f>(192.8*KFC!$B$30+KFC!$C$30)*KFC!$C$5</f>
        <v>192.8</v>
      </c>
    </row>
    <row r="127" spans="1:29" ht="13.8" thickBot="1">
      <c r="A127" s="1539"/>
      <c r="B127" s="638">
        <v>4.05</v>
      </c>
      <c r="C127" s="305">
        <f>(31.6*KFC!$B$30+KFC!$C$30)*KFC!$C$5</f>
        <v>31.6</v>
      </c>
      <c r="D127" s="306">
        <f>(38*KFC!$B$30+KFC!$C$30)*KFC!$C$5</f>
        <v>38</v>
      </c>
      <c r="E127" s="306">
        <f>(44.3*KFC!$B$30+KFC!$C$30)*KFC!$C$5</f>
        <v>44.3</v>
      </c>
      <c r="F127" s="306">
        <f>(50.7*KFC!$B$30+KFC!$C$30)*KFC!$C$5</f>
        <v>50.7</v>
      </c>
      <c r="G127" s="306">
        <f>(57.1*KFC!$B$30+KFC!$C$30)*KFC!$C$5</f>
        <v>57.1</v>
      </c>
      <c r="H127" s="306">
        <f>(63.5*KFC!$B$30+KFC!$C$30)*KFC!$C$5</f>
        <v>63.5</v>
      </c>
      <c r="I127" s="306">
        <f>(69.8*KFC!$B$30+KFC!$C$30)*KFC!$C$5</f>
        <v>69.8</v>
      </c>
      <c r="J127" s="306">
        <f>(76.2*KFC!$B$30+KFC!$C$30)*KFC!$C$5</f>
        <v>76.2</v>
      </c>
      <c r="K127" s="306">
        <f>(82.6*KFC!$B$30+KFC!$C$30)*KFC!$C$5</f>
        <v>82.6</v>
      </c>
      <c r="L127" s="306">
        <f>(89*KFC!$B$30+KFC!$C$30)*KFC!$C$5</f>
        <v>89</v>
      </c>
      <c r="M127" s="306">
        <f>(95.3*KFC!$B$30+KFC!$C$30)*KFC!$C$5</f>
        <v>95.3</v>
      </c>
      <c r="N127" s="306">
        <f>(101.7*KFC!$B$30+KFC!$C$30)*KFC!$C$5</f>
        <v>101.7</v>
      </c>
      <c r="O127" s="306">
        <f>(108.1*KFC!$B$30+KFC!$C$30)*KFC!$C$5</f>
        <v>108.1</v>
      </c>
      <c r="P127" s="306">
        <f>(114.5*KFC!$B$30+KFC!$C$30)*KFC!$C$5</f>
        <v>114.5</v>
      </c>
      <c r="Q127" s="306">
        <f>(120.9*KFC!$B$30+KFC!$C$30)*KFC!$C$5</f>
        <v>120.9</v>
      </c>
      <c r="R127" s="306">
        <f>(127.2*KFC!$B$30+KFC!$C$30)*KFC!$C$5</f>
        <v>127.2</v>
      </c>
      <c r="S127" s="306">
        <f>(133.6*KFC!$B$30+KFC!$C$30)*KFC!$C$5</f>
        <v>133.6</v>
      </c>
      <c r="T127" s="306">
        <f>(140*KFC!$B$30+KFC!$C$30)*KFC!$C$5</f>
        <v>140</v>
      </c>
      <c r="U127" s="306">
        <f>(146.4*KFC!$B$30+KFC!$C$30)*KFC!$C$5</f>
        <v>146.4</v>
      </c>
      <c r="V127" s="306">
        <f>(152.7*KFC!$B$30+KFC!$C$30)*KFC!$C$5</f>
        <v>152.69999999999999</v>
      </c>
      <c r="W127" s="306">
        <f>(159.1*KFC!$B$30+KFC!$C$30)*KFC!$C$5</f>
        <v>159.1</v>
      </c>
      <c r="X127" s="306">
        <f>(165.5*KFC!$B$30+KFC!$C$30)*KFC!$C$5</f>
        <v>165.5</v>
      </c>
      <c r="Y127" s="306">
        <f>(171.9*KFC!$B$30+KFC!$C$30)*KFC!$C$5</f>
        <v>171.9</v>
      </c>
      <c r="Z127" s="306">
        <f>(178.2*KFC!$B$30+KFC!$C$30)*KFC!$C$5</f>
        <v>178.2</v>
      </c>
      <c r="AA127" s="306">
        <f>(184.6*KFC!$B$30+KFC!$C$30)*KFC!$C$5</f>
        <v>184.6</v>
      </c>
      <c r="AB127" s="306">
        <f>(191*KFC!$B$30+KFC!$C$30)*KFC!$C$5</f>
        <v>191</v>
      </c>
      <c r="AC127" s="307">
        <f>(197.4*KFC!$B$30+KFC!$C$30)*KFC!$C$5</f>
        <v>197.4</v>
      </c>
    </row>
    <row r="128" spans="1:29" ht="13.8" thickBot="1">
      <c r="A128" s="216"/>
      <c r="B128" s="216"/>
      <c r="C128" s="215"/>
      <c r="D128" s="215"/>
      <c r="E128" s="215"/>
      <c r="F128" s="215"/>
      <c r="G128" s="215"/>
      <c r="H128" s="215"/>
      <c r="I128" s="215"/>
      <c r="J128" s="215"/>
      <c r="K128" s="215"/>
      <c r="L128" s="215"/>
      <c r="M128" s="215"/>
      <c r="N128" s="215"/>
      <c r="O128" s="215"/>
      <c r="P128" s="215"/>
      <c r="Q128" s="215"/>
      <c r="R128" s="215"/>
      <c r="S128" s="215"/>
      <c r="T128" s="215"/>
      <c r="U128" s="215"/>
      <c r="V128" s="215"/>
      <c r="W128" s="215"/>
      <c r="X128" s="215"/>
      <c r="Y128" s="215"/>
      <c r="Z128" s="215"/>
      <c r="AA128" s="215"/>
      <c r="AB128" s="215"/>
      <c r="AC128" s="215"/>
    </row>
    <row r="129" spans="1:29" ht="13.5" customHeight="1" thickBot="1">
      <c r="A129" s="1413" t="s">
        <v>318</v>
      </c>
      <c r="B129" s="1542"/>
      <c r="C129" s="1787" t="s">
        <v>207</v>
      </c>
      <c r="D129" s="1788"/>
      <c r="E129" s="1788"/>
      <c r="F129" s="1788"/>
      <c r="G129" s="1788"/>
      <c r="H129" s="1788"/>
      <c r="I129" s="1788"/>
      <c r="J129" s="1788"/>
      <c r="K129" s="1788"/>
      <c r="L129" s="1788"/>
      <c r="M129" s="1788"/>
      <c r="N129" s="1788"/>
      <c r="O129" s="1788"/>
      <c r="P129" s="1788"/>
      <c r="Q129" s="1788"/>
      <c r="R129" s="1788"/>
      <c r="S129" s="1788"/>
      <c r="T129" s="1788"/>
      <c r="U129" s="1788"/>
      <c r="V129" s="1788"/>
      <c r="W129" s="1788"/>
      <c r="X129" s="1788"/>
      <c r="Y129" s="1788"/>
      <c r="Z129" s="1788"/>
      <c r="AA129" s="1788"/>
      <c r="AB129" s="1788"/>
      <c r="AC129" s="1885"/>
    </row>
    <row r="130" spans="1:29" ht="13.8" thickBot="1">
      <c r="A130" s="1543"/>
      <c r="B130" s="1544"/>
      <c r="C130" s="633">
        <v>0.4</v>
      </c>
      <c r="D130" s="634">
        <v>0.5</v>
      </c>
      <c r="E130" s="634">
        <v>0.6</v>
      </c>
      <c r="F130" s="634">
        <v>0.7</v>
      </c>
      <c r="G130" s="634">
        <v>0.8</v>
      </c>
      <c r="H130" s="634">
        <v>0.9</v>
      </c>
      <c r="I130" s="634">
        <v>1</v>
      </c>
      <c r="J130" s="634">
        <v>1.1000000000000001</v>
      </c>
      <c r="K130" s="634">
        <v>1.2</v>
      </c>
      <c r="L130" s="634">
        <v>1.3</v>
      </c>
      <c r="M130" s="634">
        <v>1.4</v>
      </c>
      <c r="N130" s="634">
        <v>1.5</v>
      </c>
      <c r="O130" s="634">
        <v>1.6</v>
      </c>
      <c r="P130" s="634">
        <v>1.7</v>
      </c>
      <c r="Q130" s="634">
        <v>1.8</v>
      </c>
      <c r="R130" s="634">
        <v>1.9</v>
      </c>
      <c r="S130" s="634">
        <v>2</v>
      </c>
      <c r="T130" s="634">
        <v>2.1</v>
      </c>
      <c r="U130" s="634">
        <v>2.2000000000000002</v>
      </c>
      <c r="V130" s="634">
        <v>2.2999999999999998</v>
      </c>
      <c r="W130" s="634">
        <v>2.4</v>
      </c>
      <c r="X130" s="634">
        <v>2.5</v>
      </c>
      <c r="Y130" s="634">
        <v>2.6</v>
      </c>
      <c r="Z130" s="634">
        <v>2.7</v>
      </c>
      <c r="AA130" s="634">
        <v>2.8</v>
      </c>
      <c r="AB130" s="634">
        <v>2.9</v>
      </c>
      <c r="AC130" s="635">
        <v>3</v>
      </c>
    </row>
    <row r="131" spans="1:29" ht="12.75" customHeight="1">
      <c r="A131" s="1537" t="s">
        <v>3</v>
      </c>
      <c r="B131" s="636">
        <v>0.5</v>
      </c>
      <c r="C131" s="274">
        <f>(13.8*KFC!$B$30+KFC!$C$30)*KFC!$C$5</f>
        <v>13.8</v>
      </c>
      <c r="D131" s="301">
        <f>(14.8*KFC!$B$30+KFC!$C$30)*KFC!$C$5</f>
        <v>14.8</v>
      </c>
      <c r="E131" s="301">
        <f>(15.8*KFC!$B$30+KFC!$C$30)*KFC!$C$5</f>
        <v>15.8</v>
      </c>
      <c r="F131" s="301">
        <f>(16.8*KFC!$B$30+KFC!$C$30)*KFC!$C$5</f>
        <v>16.8</v>
      </c>
      <c r="G131" s="301">
        <f>(17.8*KFC!$B$30+KFC!$C$30)*KFC!$C$5</f>
        <v>17.8</v>
      </c>
      <c r="H131" s="301">
        <f>(18.7*KFC!$B$30+KFC!$C$30)*KFC!$C$5</f>
        <v>18.7</v>
      </c>
      <c r="I131" s="301">
        <f>(19.7*KFC!$B$30+KFC!$C$30)*KFC!$C$5</f>
        <v>19.7</v>
      </c>
      <c r="J131" s="301">
        <f>(20.7*KFC!$B$30+KFC!$C$30)*KFC!$C$5</f>
        <v>20.7</v>
      </c>
      <c r="K131" s="301">
        <f>(21.7*KFC!$B$30+KFC!$C$30)*KFC!$C$5</f>
        <v>21.7</v>
      </c>
      <c r="L131" s="301">
        <f>(22.7*KFC!$B$30+KFC!$C$30)*KFC!$C$5</f>
        <v>22.7</v>
      </c>
      <c r="M131" s="301">
        <f>(23.7*KFC!$B$30+KFC!$C$30)*KFC!$C$5</f>
        <v>23.7</v>
      </c>
      <c r="N131" s="301">
        <f>(24.7*KFC!$B$30+KFC!$C$30)*KFC!$C$5</f>
        <v>24.7</v>
      </c>
      <c r="O131" s="301">
        <f>(25.7*KFC!$B$30+KFC!$C$30)*KFC!$C$5</f>
        <v>25.7</v>
      </c>
      <c r="P131" s="301">
        <f>(26.6*KFC!$B$30+KFC!$C$30)*KFC!$C$5</f>
        <v>26.6</v>
      </c>
      <c r="Q131" s="301">
        <f>(27.6*KFC!$B$30+KFC!$C$30)*KFC!$C$5</f>
        <v>27.6</v>
      </c>
      <c r="R131" s="301">
        <f>(28.6*KFC!$B$30+KFC!$C$30)*KFC!$C$5</f>
        <v>28.6</v>
      </c>
      <c r="S131" s="301">
        <f>(29.6*KFC!$B$30+KFC!$C$30)*KFC!$C$5</f>
        <v>29.6</v>
      </c>
      <c r="T131" s="301">
        <f>(30.6*KFC!$B$30+KFC!$C$30)*KFC!$C$5</f>
        <v>30.6</v>
      </c>
      <c r="U131" s="301">
        <f>(31.6*KFC!$B$30+KFC!$C$30)*KFC!$C$5</f>
        <v>31.6</v>
      </c>
      <c r="V131" s="301">
        <f>(32.6*KFC!$B$30+KFC!$C$30)*KFC!$C$5</f>
        <v>32.6</v>
      </c>
      <c r="W131" s="301">
        <f>(33.6*KFC!$B$30+KFC!$C$30)*KFC!$C$5</f>
        <v>33.6</v>
      </c>
      <c r="X131" s="301">
        <f>(34.5*KFC!$B$30+KFC!$C$30)*KFC!$C$5</f>
        <v>34.5</v>
      </c>
      <c r="Y131" s="301">
        <f>(35.5*KFC!$B$30+KFC!$C$30)*KFC!$C$5</f>
        <v>35.5</v>
      </c>
      <c r="Z131" s="301">
        <f>(36.5*KFC!$B$30+KFC!$C$30)*KFC!$C$5</f>
        <v>36.5</v>
      </c>
      <c r="AA131" s="301">
        <f>(37.5*KFC!$B$30+KFC!$C$30)*KFC!$C$5</f>
        <v>37.5</v>
      </c>
      <c r="AB131" s="301">
        <f>(38.5*KFC!$B$30+KFC!$C$30)*KFC!$C$5</f>
        <v>38.5</v>
      </c>
      <c r="AC131" s="302">
        <f>(39.5*KFC!$B$30+KFC!$C$30)*KFC!$C$5</f>
        <v>39.5</v>
      </c>
    </row>
    <row r="132" spans="1:29">
      <c r="A132" s="1538"/>
      <c r="B132" s="637">
        <v>0.6</v>
      </c>
      <c r="C132" s="303">
        <f>(14.7*KFC!$B$30+KFC!$C$30)*KFC!$C$5</f>
        <v>14.7</v>
      </c>
      <c r="D132" s="300">
        <f>(15.9*KFC!$B$30+KFC!$C$30)*KFC!$C$5</f>
        <v>15.9</v>
      </c>
      <c r="E132" s="300">
        <f>(17*KFC!$B$30+KFC!$C$30)*KFC!$C$5</f>
        <v>17</v>
      </c>
      <c r="F132" s="300">
        <f>(18.2*KFC!$B$30+KFC!$C$30)*KFC!$C$5</f>
        <v>18.2</v>
      </c>
      <c r="G132" s="300">
        <f>(19.4*KFC!$B$30+KFC!$C$30)*KFC!$C$5</f>
        <v>19.399999999999999</v>
      </c>
      <c r="H132" s="300">
        <f>(20.5*KFC!$B$30+KFC!$C$30)*KFC!$C$5</f>
        <v>20.5</v>
      </c>
      <c r="I132" s="300">
        <f>(21.7*KFC!$B$30+KFC!$C$30)*KFC!$C$5</f>
        <v>21.7</v>
      </c>
      <c r="J132" s="300">
        <f>(22.9*KFC!$B$30+KFC!$C$30)*KFC!$C$5</f>
        <v>22.9</v>
      </c>
      <c r="K132" s="300">
        <f>(24*KFC!$B$30+KFC!$C$30)*KFC!$C$5</f>
        <v>24</v>
      </c>
      <c r="L132" s="300">
        <f>(25.2*KFC!$B$30+KFC!$C$30)*KFC!$C$5</f>
        <v>25.2</v>
      </c>
      <c r="M132" s="300">
        <f>(26.3*KFC!$B$30+KFC!$C$30)*KFC!$C$5</f>
        <v>26.3</v>
      </c>
      <c r="N132" s="300">
        <f>(27.5*KFC!$B$30+KFC!$C$30)*KFC!$C$5</f>
        <v>27.5</v>
      </c>
      <c r="O132" s="300">
        <f>(28.7*KFC!$B$30+KFC!$C$30)*KFC!$C$5</f>
        <v>28.7</v>
      </c>
      <c r="P132" s="300">
        <f>(29.8*KFC!$B$30+KFC!$C$30)*KFC!$C$5</f>
        <v>29.8</v>
      </c>
      <c r="Q132" s="300">
        <f>(31*KFC!$B$30+KFC!$C$30)*KFC!$C$5</f>
        <v>31</v>
      </c>
      <c r="R132" s="300">
        <f>(32.2*KFC!$B$30+KFC!$C$30)*KFC!$C$5</f>
        <v>32.200000000000003</v>
      </c>
      <c r="S132" s="300">
        <f>(33.3*KFC!$B$30+KFC!$C$30)*KFC!$C$5</f>
        <v>33.299999999999997</v>
      </c>
      <c r="T132" s="300">
        <f>(34.5*KFC!$B$30+KFC!$C$30)*KFC!$C$5</f>
        <v>34.5</v>
      </c>
      <c r="U132" s="300">
        <f>(35.7*KFC!$B$30+KFC!$C$30)*KFC!$C$5</f>
        <v>35.700000000000003</v>
      </c>
      <c r="V132" s="300">
        <f>(36.8*KFC!$B$30+KFC!$C$30)*KFC!$C$5</f>
        <v>36.799999999999997</v>
      </c>
      <c r="W132" s="300">
        <f>(38*KFC!$B$30+KFC!$C$30)*KFC!$C$5</f>
        <v>38</v>
      </c>
      <c r="X132" s="300">
        <f>(39.1*KFC!$B$30+KFC!$C$30)*KFC!$C$5</f>
        <v>39.1</v>
      </c>
      <c r="Y132" s="300">
        <f>(40.3*KFC!$B$30+KFC!$C$30)*KFC!$C$5</f>
        <v>40.299999999999997</v>
      </c>
      <c r="Z132" s="300">
        <f>(41.5*KFC!$B$30+KFC!$C$30)*KFC!$C$5</f>
        <v>41.5</v>
      </c>
      <c r="AA132" s="300">
        <f>(42.6*KFC!$B$30+KFC!$C$30)*KFC!$C$5</f>
        <v>42.6</v>
      </c>
      <c r="AB132" s="300">
        <f>(43.8*KFC!$B$30+KFC!$C$30)*KFC!$C$5</f>
        <v>43.8</v>
      </c>
      <c r="AC132" s="304">
        <f>(45*KFC!$B$30+KFC!$C$30)*KFC!$C$5</f>
        <v>45</v>
      </c>
    </row>
    <row r="133" spans="1:29">
      <c r="A133" s="1538"/>
      <c r="B133" s="637">
        <v>0.7</v>
      </c>
      <c r="C133" s="303">
        <f>(15.6*KFC!$B$30+KFC!$C$30)*KFC!$C$5</f>
        <v>15.6</v>
      </c>
      <c r="D133" s="300">
        <f>(16.9*KFC!$B$30+KFC!$C$30)*KFC!$C$5</f>
        <v>16.899999999999999</v>
      </c>
      <c r="E133" s="300">
        <f>(18.3*KFC!$B$30+KFC!$C$30)*KFC!$C$5</f>
        <v>18.3</v>
      </c>
      <c r="F133" s="300">
        <f>(19.6*KFC!$B$30+KFC!$C$30)*KFC!$C$5</f>
        <v>19.600000000000001</v>
      </c>
      <c r="G133" s="300">
        <f>(21*KFC!$B$30+KFC!$C$30)*KFC!$C$5</f>
        <v>21</v>
      </c>
      <c r="H133" s="300">
        <f>(22.3*KFC!$B$30+KFC!$C$30)*KFC!$C$5</f>
        <v>22.3</v>
      </c>
      <c r="I133" s="300">
        <f>(23.6*KFC!$B$30+KFC!$C$30)*KFC!$C$5</f>
        <v>23.6</v>
      </c>
      <c r="J133" s="300">
        <f>(25*KFC!$B$30+KFC!$C$30)*KFC!$C$5</f>
        <v>25</v>
      </c>
      <c r="K133" s="300">
        <f>(26.3*KFC!$B$30+KFC!$C$30)*KFC!$C$5</f>
        <v>26.3</v>
      </c>
      <c r="L133" s="300">
        <f>(27.7*KFC!$B$30+KFC!$C$30)*KFC!$C$5</f>
        <v>27.7</v>
      </c>
      <c r="M133" s="300">
        <f>(29*KFC!$B$30+KFC!$C$30)*KFC!$C$5</f>
        <v>29</v>
      </c>
      <c r="N133" s="300">
        <f>(30.3*KFC!$B$30+KFC!$C$30)*KFC!$C$5</f>
        <v>30.3</v>
      </c>
      <c r="O133" s="300">
        <f>(31.7*KFC!$B$30+KFC!$C$30)*KFC!$C$5</f>
        <v>31.7</v>
      </c>
      <c r="P133" s="300">
        <f>(33*KFC!$B$30+KFC!$C$30)*KFC!$C$5</f>
        <v>33</v>
      </c>
      <c r="Q133" s="300">
        <f>(34.4*KFC!$B$30+KFC!$C$30)*KFC!$C$5</f>
        <v>34.4</v>
      </c>
      <c r="R133" s="300">
        <f>(35.7*KFC!$B$30+KFC!$C$30)*KFC!$C$5</f>
        <v>35.700000000000003</v>
      </c>
      <c r="S133" s="300">
        <f>(37*KFC!$B$30+KFC!$C$30)*KFC!$C$5</f>
        <v>37</v>
      </c>
      <c r="T133" s="300">
        <f>(38.4*KFC!$B$30+KFC!$C$30)*KFC!$C$5</f>
        <v>38.4</v>
      </c>
      <c r="U133" s="300">
        <f>(39.7*KFC!$B$30+KFC!$C$30)*KFC!$C$5</f>
        <v>39.700000000000003</v>
      </c>
      <c r="V133" s="300">
        <f>(41.1*KFC!$B$30+KFC!$C$30)*KFC!$C$5</f>
        <v>41.1</v>
      </c>
      <c r="W133" s="300">
        <f>(42.4*KFC!$B$30+KFC!$C$30)*KFC!$C$5</f>
        <v>42.4</v>
      </c>
      <c r="X133" s="300">
        <f>(43.7*KFC!$B$30+KFC!$C$30)*KFC!$C$5</f>
        <v>43.7</v>
      </c>
      <c r="Y133" s="300">
        <f>(45.1*KFC!$B$30+KFC!$C$30)*KFC!$C$5</f>
        <v>45.1</v>
      </c>
      <c r="Z133" s="300">
        <f>(46.4*KFC!$B$30+KFC!$C$30)*KFC!$C$5</f>
        <v>46.4</v>
      </c>
      <c r="AA133" s="300">
        <f>(47.8*KFC!$B$30+KFC!$C$30)*KFC!$C$5</f>
        <v>47.8</v>
      </c>
      <c r="AB133" s="300">
        <f>(49.1*KFC!$B$30+KFC!$C$30)*KFC!$C$5</f>
        <v>49.1</v>
      </c>
      <c r="AC133" s="304">
        <f>(50.4*KFC!$B$30+KFC!$C$30)*KFC!$C$5</f>
        <v>50.4</v>
      </c>
    </row>
    <row r="134" spans="1:29">
      <c r="A134" s="1538"/>
      <c r="B134" s="637">
        <v>0.8</v>
      </c>
      <c r="C134" s="303">
        <f>(16.5*KFC!$B$30+KFC!$C$30)*KFC!$C$5</f>
        <v>16.5</v>
      </c>
      <c r="D134" s="300">
        <f>(18*KFC!$B$30+KFC!$C$30)*KFC!$C$5</f>
        <v>18</v>
      </c>
      <c r="E134" s="300">
        <f>(19.5*KFC!$B$30+KFC!$C$30)*KFC!$C$5</f>
        <v>19.5</v>
      </c>
      <c r="F134" s="300">
        <f>(21.1*KFC!$B$30+KFC!$C$30)*KFC!$C$5</f>
        <v>21.1</v>
      </c>
      <c r="G134" s="300">
        <f>(22.6*KFC!$B$30+KFC!$C$30)*KFC!$C$5</f>
        <v>22.6</v>
      </c>
      <c r="H134" s="300">
        <f>(24.1*KFC!$B$30+KFC!$C$30)*KFC!$C$5</f>
        <v>24.1</v>
      </c>
      <c r="I134" s="300">
        <f>(25.6*KFC!$B$30+KFC!$C$30)*KFC!$C$5</f>
        <v>25.6</v>
      </c>
      <c r="J134" s="300">
        <f>(27.1*KFC!$B$30+KFC!$C$30)*KFC!$C$5</f>
        <v>27.1</v>
      </c>
      <c r="K134" s="300">
        <f>(28.6*KFC!$B$30+KFC!$C$30)*KFC!$C$5</f>
        <v>28.6</v>
      </c>
      <c r="L134" s="300">
        <f>(30.1*KFC!$B$30+KFC!$C$30)*KFC!$C$5</f>
        <v>30.1</v>
      </c>
      <c r="M134" s="300">
        <f>(31.7*KFC!$B$30+KFC!$C$30)*KFC!$C$5</f>
        <v>31.7</v>
      </c>
      <c r="N134" s="300">
        <f>(33.2*KFC!$B$30+KFC!$C$30)*KFC!$C$5</f>
        <v>33.200000000000003</v>
      </c>
      <c r="O134" s="300">
        <f>(34.7*KFC!$B$30+KFC!$C$30)*KFC!$C$5</f>
        <v>34.700000000000003</v>
      </c>
      <c r="P134" s="300">
        <f>(36.2*KFC!$B$30+KFC!$C$30)*KFC!$C$5</f>
        <v>36.200000000000003</v>
      </c>
      <c r="Q134" s="300">
        <f>(37.7*KFC!$B$30+KFC!$C$30)*KFC!$C$5</f>
        <v>37.700000000000003</v>
      </c>
      <c r="R134" s="300">
        <f>(39.2*KFC!$B$30+KFC!$C$30)*KFC!$C$5</f>
        <v>39.200000000000003</v>
      </c>
      <c r="S134" s="300">
        <f>(40.8*KFC!$B$30+KFC!$C$30)*KFC!$C$5</f>
        <v>40.799999999999997</v>
      </c>
      <c r="T134" s="300">
        <f>(42.3*KFC!$B$30+KFC!$C$30)*KFC!$C$5</f>
        <v>42.3</v>
      </c>
      <c r="U134" s="300">
        <f>(43.8*KFC!$B$30+KFC!$C$30)*KFC!$C$5</f>
        <v>43.8</v>
      </c>
      <c r="V134" s="300">
        <f>(45.3*KFC!$B$30+KFC!$C$30)*KFC!$C$5</f>
        <v>45.3</v>
      </c>
      <c r="W134" s="300">
        <f>(46.8*KFC!$B$30+KFC!$C$30)*KFC!$C$5</f>
        <v>46.8</v>
      </c>
      <c r="X134" s="300">
        <f>(48.3*KFC!$B$30+KFC!$C$30)*KFC!$C$5</f>
        <v>48.3</v>
      </c>
      <c r="Y134" s="300">
        <f>(49.9*KFC!$B$30+KFC!$C$30)*KFC!$C$5</f>
        <v>49.9</v>
      </c>
      <c r="Z134" s="300">
        <f>(51.4*KFC!$B$30+KFC!$C$30)*KFC!$C$5</f>
        <v>51.4</v>
      </c>
      <c r="AA134" s="300">
        <f>(52.9*KFC!$B$30+KFC!$C$30)*KFC!$C$5</f>
        <v>52.9</v>
      </c>
      <c r="AB134" s="300">
        <f>(54.4*KFC!$B$30+KFC!$C$30)*KFC!$C$5</f>
        <v>54.4</v>
      </c>
      <c r="AC134" s="304">
        <f>(55.9*KFC!$B$30+KFC!$C$30)*KFC!$C$5</f>
        <v>55.9</v>
      </c>
    </row>
    <row r="135" spans="1:29">
      <c r="A135" s="1538"/>
      <c r="B135" s="637">
        <v>0.9</v>
      </c>
      <c r="C135" s="303">
        <f>(17.4*KFC!$B$30+KFC!$C$30)*KFC!$C$5</f>
        <v>17.399999999999999</v>
      </c>
      <c r="D135" s="300">
        <f>(19.1*KFC!$B$30+KFC!$C$30)*KFC!$C$5</f>
        <v>19.100000000000001</v>
      </c>
      <c r="E135" s="300">
        <f>(20.8*KFC!$B$30+KFC!$C$30)*KFC!$C$5</f>
        <v>20.8</v>
      </c>
      <c r="F135" s="300">
        <f>(22.5*KFC!$B$30+KFC!$C$30)*KFC!$C$5</f>
        <v>22.5</v>
      </c>
      <c r="G135" s="300">
        <f>(24.2*KFC!$B$30+KFC!$C$30)*KFC!$C$5</f>
        <v>24.2</v>
      </c>
      <c r="H135" s="300">
        <f>(25.9*KFC!$B$30+KFC!$C$30)*KFC!$C$5</f>
        <v>25.9</v>
      </c>
      <c r="I135" s="300">
        <f>(27.6*KFC!$B$30+KFC!$C$30)*KFC!$C$5</f>
        <v>27.6</v>
      </c>
      <c r="J135" s="300">
        <f>(29.2*KFC!$B$30+KFC!$C$30)*KFC!$C$5</f>
        <v>29.2</v>
      </c>
      <c r="K135" s="300">
        <f>(30.9*KFC!$B$30+KFC!$C$30)*KFC!$C$5</f>
        <v>30.9</v>
      </c>
      <c r="L135" s="300">
        <f>(32.6*KFC!$B$30+KFC!$C$30)*KFC!$C$5</f>
        <v>32.6</v>
      </c>
      <c r="M135" s="300">
        <f>(34.3*KFC!$B$30+KFC!$C$30)*KFC!$C$5</f>
        <v>34.299999999999997</v>
      </c>
      <c r="N135" s="300">
        <f>(36*KFC!$B$30+KFC!$C$30)*KFC!$C$5</f>
        <v>36</v>
      </c>
      <c r="O135" s="300">
        <f>(37.7*KFC!$B$30+KFC!$C$30)*KFC!$C$5</f>
        <v>37.700000000000003</v>
      </c>
      <c r="P135" s="300">
        <f>(39.4*KFC!$B$30+KFC!$C$30)*KFC!$C$5</f>
        <v>39.4</v>
      </c>
      <c r="Q135" s="300">
        <f>(41.1*KFC!$B$30+KFC!$C$30)*KFC!$C$5</f>
        <v>41.1</v>
      </c>
      <c r="R135" s="300">
        <f>(42.8*KFC!$B$30+KFC!$C$30)*KFC!$C$5</f>
        <v>42.8</v>
      </c>
      <c r="S135" s="300">
        <f>(44.5*KFC!$B$30+KFC!$C$30)*KFC!$C$5</f>
        <v>44.5</v>
      </c>
      <c r="T135" s="300">
        <f>(46.2*KFC!$B$30+KFC!$C$30)*KFC!$C$5</f>
        <v>46.2</v>
      </c>
      <c r="U135" s="300">
        <f>(47.9*KFC!$B$30+KFC!$C$30)*KFC!$C$5</f>
        <v>47.9</v>
      </c>
      <c r="V135" s="300">
        <f>(49.6*KFC!$B$30+KFC!$C$30)*KFC!$C$5</f>
        <v>49.6</v>
      </c>
      <c r="W135" s="300">
        <f>(51.2*KFC!$B$30+KFC!$C$30)*KFC!$C$5</f>
        <v>51.2</v>
      </c>
      <c r="X135" s="300">
        <f>(52.9*KFC!$B$30+KFC!$C$30)*KFC!$C$5</f>
        <v>52.9</v>
      </c>
      <c r="Y135" s="300">
        <f>(54.6*KFC!$B$30+KFC!$C$30)*KFC!$C$5</f>
        <v>54.6</v>
      </c>
      <c r="Z135" s="300">
        <f>(56.3*KFC!$B$30+KFC!$C$30)*KFC!$C$5</f>
        <v>56.3</v>
      </c>
      <c r="AA135" s="300">
        <f>(58*KFC!$B$30+KFC!$C$30)*KFC!$C$5</f>
        <v>58</v>
      </c>
      <c r="AB135" s="300">
        <f>(59.7*KFC!$B$30+KFC!$C$30)*KFC!$C$5</f>
        <v>59.7</v>
      </c>
      <c r="AC135" s="304">
        <f>(61.4*KFC!$B$30+KFC!$C$30)*KFC!$C$5</f>
        <v>61.4</v>
      </c>
    </row>
    <row r="136" spans="1:29">
      <c r="A136" s="1538"/>
      <c r="B136" s="637">
        <v>1</v>
      </c>
      <c r="C136" s="303">
        <f>(18.3*KFC!$B$30+KFC!$C$30)*KFC!$C$5</f>
        <v>18.3</v>
      </c>
      <c r="D136" s="300">
        <f>(20.2*KFC!$B$30+KFC!$C$30)*KFC!$C$5</f>
        <v>20.2</v>
      </c>
      <c r="E136" s="300">
        <f>(22*KFC!$B$30+KFC!$C$30)*KFC!$C$5</f>
        <v>22</v>
      </c>
      <c r="F136" s="300">
        <f>(23.9*KFC!$B$30+KFC!$C$30)*KFC!$C$5</f>
        <v>23.9</v>
      </c>
      <c r="G136" s="300">
        <f>(25.8*KFC!$B$30+KFC!$C$30)*KFC!$C$5</f>
        <v>25.8</v>
      </c>
      <c r="H136" s="300">
        <f>(27.6*KFC!$B$30+KFC!$C$30)*KFC!$C$5</f>
        <v>27.6</v>
      </c>
      <c r="I136" s="300">
        <f>(29.5*KFC!$B$30+KFC!$C$30)*KFC!$C$5</f>
        <v>29.5</v>
      </c>
      <c r="J136" s="300">
        <f>(31.4*KFC!$B$30+KFC!$C$30)*KFC!$C$5</f>
        <v>31.4</v>
      </c>
      <c r="K136" s="300">
        <f>(33.2*KFC!$B$30+KFC!$C$30)*KFC!$C$5</f>
        <v>33.200000000000003</v>
      </c>
      <c r="L136" s="300">
        <f>(35.1*KFC!$B$30+KFC!$C$30)*KFC!$C$5</f>
        <v>35.1</v>
      </c>
      <c r="M136" s="300">
        <f>(37*KFC!$B$30+KFC!$C$30)*KFC!$C$5</f>
        <v>37</v>
      </c>
      <c r="N136" s="300">
        <f>(38.9*KFC!$B$30+KFC!$C$30)*KFC!$C$5</f>
        <v>38.9</v>
      </c>
      <c r="O136" s="300">
        <f>(40.7*KFC!$B$30+KFC!$C$30)*KFC!$C$5</f>
        <v>40.700000000000003</v>
      </c>
      <c r="P136" s="300">
        <f>(42.6*KFC!$B$30+KFC!$C$30)*KFC!$C$5</f>
        <v>42.6</v>
      </c>
      <c r="Q136" s="300">
        <f>(44.5*KFC!$B$30+KFC!$C$30)*KFC!$C$5</f>
        <v>44.5</v>
      </c>
      <c r="R136" s="300">
        <f>(46.3*KFC!$B$30+KFC!$C$30)*KFC!$C$5</f>
        <v>46.3</v>
      </c>
      <c r="S136" s="300">
        <f>(48.2*KFC!$B$30+KFC!$C$30)*KFC!$C$5</f>
        <v>48.2</v>
      </c>
      <c r="T136" s="300">
        <f>(50.1*KFC!$B$30+KFC!$C$30)*KFC!$C$5</f>
        <v>50.1</v>
      </c>
      <c r="U136" s="300">
        <f>(51.9*KFC!$B$30+KFC!$C$30)*KFC!$C$5</f>
        <v>51.9</v>
      </c>
      <c r="V136" s="300">
        <f>(53.8*KFC!$B$30+KFC!$C$30)*KFC!$C$5</f>
        <v>53.8</v>
      </c>
      <c r="W136" s="300">
        <f>(55.7*KFC!$B$30+KFC!$C$30)*KFC!$C$5</f>
        <v>55.7</v>
      </c>
      <c r="X136" s="300">
        <f>(57.5*KFC!$B$30+KFC!$C$30)*KFC!$C$5</f>
        <v>57.5</v>
      </c>
      <c r="Y136" s="300">
        <f>(59.4*KFC!$B$30+KFC!$C$30)*KFC!$C$5</f>
        <v>59.4</v>
      </c>
      <c r="Z136" s="300">
        <f>(61.3*KFC!$B$30+KFC!$C$30)*KFC!$C$5</f>
        <v>61.3</v>
      </c>
      <c r="AA136" s="300">
        <f>(63.1*KFC!$B$30+KFC!$C$30)*KFC!$C$5</f>
        <v>63.1</v>
      </c>
      <c r="AB136" s="300">
        <f>(65*KFC!$B$30+KFC!$C$30)*KFC!$C$5</f>
        <v>65</v>
      </c>
      <c r="AC136" s="304">
        <f>(66.9*KFC!$B$30+KFC!$C$30)*KFC!$C$5</f>
        <v>66.900000000000006</v>
      </c>
    </row>
    <row r="137" spans="1:29">
      <c r="A137" s="1538"/>
      <c r="B137" s="637">
        <v>1.1000000000000001</v>
      </c>
      <c r="C137" s="303">
        <f>(19.2*KFC!$B$30+KFC!$C$30)*KFC!$C$5</f>
        <v>19.2</v>
      </c>
      <c r="D137" s="300">
        <f>(21.2*KFC!$B$30+KFC!$C$30)*KFC!$C$5</f>
        <v>21.2</v>
      </c>
      <c r="E137" s="300">
        <f>(23.3*KFC!$B$30+KFC!$C$30)*KFC!$C$5</f>
        <v>23.3</v>
      </c>
      <c r="F137" s="300">
        <f>(25.3*KFC!$B$30+KFC!$C$30)*KFC!$C$5</f>
        <v>25.3</v>
      </c>
      <c r="G137" s="300">
        <f>(27.4*KFC!$B$30+KFC!$C$30)*KFC!$C$5</f>
        <v>27.4</v>
      </c>
      <c r="H137" s="300">
        <f>(29.4*KFC!$B$30+KFC!$C$30)*KFC!$C$5</f>
        <v>29.4</v>
      </c>
      <c r="I137" s="300">
        <f>(31.5*KFC!$B$30+KFC!$C$30)*KFC!$C$5</f>
        <v>31.5</v>
      </c>
      <c r="J137" s="300">
        <f>(33.5*KFC!$B$30+KFC!$C$30)*KFC!$C$5</f>
        <v>33.5</v>
      </c>
      <c r="K137" s="300">
        <f>(35.6*KFC!$B$30+KFC!$C$30)*KFC!$C$5</f>
        <v>35.6</v>
      </c>
      <c r="L137" s="300">
        <f>(37.6*KFC!$B$30+KFC!$C$30)*KFC!$C$5</f>
        <v>37.6</v>
      </c>
      <c r="M137" s="300">
        <f>(39.6*KFC!$B$30+KFC!$C$30)*KFC!$C$5</f>
        <v>39.6</v>
      </c>
      <c r="N137" s="300">
        <f>(41.7*KFC!$B$30+KFC!$C$30)*KFC!$C$5</f>
        <v>41.7</v>
      </c>
      <c r="O137" s="300">
        <f>(43.7*KFC!$B$30+KFC!$C$30)*KFC!$C$5</f>
        <v>43.7</v>
      </c>
      <c r="P137" s="300">
        <f>(45.8*KFC!$B$30+KFC!$C$30)*KFC!$C$5</f>
        <v>45.8</v>
      </c>
      <c r="Q137" s="300">
        <f>(47.8*KFC!$B$30+KFC!$C$30)*KFC!$C$5</f>
        <v>47.8</v>
      </c>
      <c r="R137" s="300">
        <f>(49.9*KFC!$B$30+KFC!$C$30)*KFC!$C$5</f>
        <v>49.9</v>
      </c>
      <c r="S137" s="300">
        <f>(51.9*KFC!$B$30+KFC!$C$30)*KFC!$C$5</f>
        <v>51.9</v>
      </c>
      <c r="T137" s="300">
        <f>(54*KFC!$B$30+KFC!$C$30)*KFC!$C$5</f>
        <v>54</v>
      </c>
      <c r="U137" s="300">
        <f>(56*KFC!$B$30+KFC!$C$30)*KFC!$C$5</f>
        <v>56</v>
      </c>
      <c r="V137" s="300">
        <f>(58.1*KFC!$B$30+KFC!$C$30)*KFC!$C$5</f>
        <v>58.1</v>
      </c>
      <c r="W137" s="300">
        <f>(60.1*KFC!$B$30+KFC!$C$30)*KFC!$C$5</f>
        <v>60.1</v>
      </c>
      <c r="X137" s="300">
        <f>(62.1*KFC!$B$30+KFC!$C$30)*KFC!$C$5</f>
        <v>62.1</v>
      </c>
      <c r="Y137" s="300">
        <f>(64.2*KFC!$B$30+KFC!$C$30)*KFC!$C$5</f>
        <v>64.2</v>
      </c>
      <c r="Z137" s="300">
        <f>(66.2*KFC!$B$30+KFC!$C$30)*KFC!$C$5</f>
        <v>66.2</v>
      </c>
      <c r="AA137" s="300">
        <f>(68.3*KFC!$B$30+KFC!$C$30)*KFC!$C$5</f>
        <v>68.3</v>
      </c>
      <c r="AB137" s="300">
        <f>(70.3*KFC!$B$30+KFC!$C$30)*KFC!$C$5</f>
        <v>70.3</v>
      </c>
      <c r="AC137" s="304">
        <f>(72.4*KFC!$B$30+KFC!$C$30)*KFC!$C$5</f>
        <v>72.400000000000006</v>
      </c>
    </row>
    <row r="138" spans="1:29">
      <c r="A138" s="1538"/>
      <c r="B138" s="637">
        <v>1.2</v>
      </c>
      <c r="C138" s="303">
        <f>(20.1*KFC!$B$30+KFC!$C$30)*KFC!$C$5</f>
        <v>20.100000000000001</v>
      </c>
      <c r="D138" s="300">
        <f>(22.3*KFC!$B$30+KFC!$C$30)*KFC!$C$5</f>
        <v>22.3</v>
      </c>
      <c r="E138" s="300">
        <f>(24.5*KFC!$B$30+KFC!$C$30)*KFC!$C$5</f>
        <v>24.5</v>
      </c>
      <c r="F138" s="300">
        <f>(26.7*KFC!$B$30+KFC!$C$30)*KFC!$C$5</f>
        <v>26.7</v>
      </c>
      <c r="G138" s="300">
        <f>(29*KFC!$B$30+KFC!$C$30)*KFC!$C$5</f>
        <v>29</v>
      </c>
      <c r="H138" s="300">
        <f>(31.2*KFC!$B$30+KFC!$C$30)*KFC!$C$5</f>
        <v>31.2</v>
      </c>
      <c r="I138" s="300">
        <f>(33.4*KFC!$B$30+KFC!$C$30)*KFC!$C$5</f>
        <v>33.4</v>
      </c>
      <c r="J138" s="300">
        <f>(35.6*KFC!$B$30+KFC!$C$30)*KFC!$C$5</f>
        <v>35.6</v>
      </c>
      <c r="K138" s="300">
        <f>(37.9*KFC!$B$30+KFC!$C$30)*KFC!$C$5</f>
        <v>37.9</v>
      </c>
      <c r="L138" s="300">
        <f>(40.1*KFC!$B$30+KFC!$C$30)*KFC!$C$5</f>
        <v>40.1</v>
      </c>
      <c r="M138" s="300">
        <f>(42.3*KFC!$B$30+KFC!$C$30)*KFC!$C$5</f>
        <v>42.3</v>
      </c>
      <c r="N138" s="300">
        <f>(44.5*KFC!$B$30+KFC!$C$30)*KFC!$C$5</f>
        <v>44.5</v>
      </c>
      <c r="O138" s="300">
        <f>(46.7*KFC!$B$30+KFC!$C$30)*KFC!$C$5</f>
        <v>46.7</v>
      </c>
      <c r="P138" s="300">
        <f>(49*KFC!$B$30+KFC!$C$30)*KFC!$C$5</f>
        <v>49</v>
      </c>
      <c r="Q138" s="300">
        <f>(51.2*KFC!$B$30+KFC!$C$30)*KFC!$C$5</f>
        <v>51.2</v>
      </c>
      <c r="R138" s="300">
        <f>(53.4*KFC!$B$30+KFC!$C$30)*KFC!$C$5</f>
        <v>53.4</v>
      </c>
      <c r="S138" s="300">
        <f>(55.6*KFC!$B$30+KFC!$C$30)*KFC!$C$5</f>
        <v>55.6</v>
      </c>
      <c r="T138" s="300">
        <f>(57.9*KFC!$B$30+KFC!$C$30)*KFC!$C$5</f>
        <v>57.9</v>
      </c>
      <c r="U138" s="300">
        <f>(60.1*KFC!$B$30+KFC!$C$30)*KFC!$C$5</f>
        <v>60.1</v>
      </c>
      <c r="V138" s="300">
        <f>(62.3*KFC!$B$30+KFC!$C$30)*KFC!$C$5</f>
        <v>62.3</v>
      </c>
      <c r="W138" s="300">
        <f>(64.5*KFC!$B$30+KFC!$C$30)*KFC!$C$5</f>
        <v>64.5</v>
      </c>
      <c r="X138" s="300">
        <f>(66.7*KFC!$B$30+KFC!$C$30)*KFC!$C$5</f>
        <v>66.7</v>
      </c>
      <c r="Y138" s="300">
        <f>(69*KFC!$B$30+KFC!$C$30)*KFC!$C$5</f>
        <v>69</v>
      </c>
      <c r="Z138" s="300">
        <f>(71.2*KFC!$B$30+KFC!$C$30)*KFC!$C$5</f>
        <v>71.2</v>
      </c>
      <c r="AA138" s="300">
        <f>(73.4*KFC!$B$30+KFC!$C$30)*KFC!$C$5</f>
        <v>73.400000000000006</v>
      </c>
      <c r="AB138" s="300">
        <f>(75.6*KFC!$B$30+KFC!$C$30)*KFC!$C$5</f>
        <v>75.599999999999994</v>
      </c>
      <c r="AC138" s="304">
        <f>(77.9*KFC!$B$30+KFC!$C$30)*KFC!$C$5</f>
        <v>77.900000000000006</v>
      </c>
    </row>
    <row r="139" spans="1:29">
      <c r="A139" s="1538"/>
      <c r="B139" s="637">
        <v>1.3</v>
      </c>
      <c r="C139" s="303">
        <f>(21*KFC!$B$30+KFC!$C$30)*KFC!$C$5</f>
        <v>21</v>
      </c>
      <c r="D139" s="300">
        <f>(23.4*KFC!$B$30+KFC!$C$30)*KFC!$C$5</f>
        <v>23.4</v>
      </c>
      <c r="E139" s="300">
        <f>(25.8*KFC!$B$30+KFC!$C$30)*KFC!$C$5</f>
        <v>25.8</v>
      </c>
      <c r="F139" s="300">
        <f>(28.2*KFC!$B$30+KFC!$C$30)*KFC!$C$5</f>
        <v>28.2</v>
      </c>
      <c r="G139" s="300">
        <f>(30.6*KFC!$B$30+KFC!$C$30)*KFC!$C$5</f>
        <v>30.6</v>
      </c>
      <c r="H139" s="300">
        <f>(33*KFC!$B$30+KFC!$C$30)*KFC!$C$5</f>
        <v>33</v>
      </c>
      <c r="I139" s="300">
        <f>(35.4*KFC!$B$30+KFC!$C$30)*KFC!$C$5</f>
        <v>35.4</v>
      </c>
      <c r="J139" s="300">
        <f>(37.8*KFC!$B$30+KFC!$C$30)*KFC!$C$5</f>
        <v>37.799999999999997</v>
      </c>
      <c r="K139" s="300">
        <f>(40.2*KFC!$B$30+KFC!$C$30)*KFC!$C$5</f>
        <v>40.200000000000003</v>
      </c>
      <c r="L139" s="300">
        <f>(42.6*KFC!$B$30+KFC!$C$30)*KFC!$C$5</f>
        <v>42.6</v>
      </c>
      <c r="M139" s="300">
        <f>(45*KFC!$B$30+KFC!$C$30)*KFC!$C$5</f>
        <v>45</v>
      </c>
      <c r="N139" s="300">
        <f>(47.4*KFC!$B$30+KFC!$C$30)*KFC!$C$5</f>
        <v>47.4</v>
      </c>
      <c r="O139" s="300">
        <f>(49.8*KFC!$B$30+KFC!$C$30)*KFC!$C$5</f>
        <v>49.8</v>
      </c>
      <c r="P139" s="300">
        <f>(52.2*KFC!$B$30+KFC!$C$30)*KFC!$C$5</f>
        <v>52.2</v>
      </c>
      <c r="Q139" s="300">
        <f>(54.6*KFC!$B$30+KFC!$C$30)*KFC!$C$5</f>
        <v>54.6</v>
      </c>
      <c r="R139" s="300">
        <f>(57*KFC!$B$30+KFC!$C$30)*KFC!$C$5</f>
        <v>57</v>
      </c>
      <c r="S139" s="300">
        <f>(59.4*KFC!$B$30+KFC!$C$30)*KFC!$C$5</f>
        <v>59.4</v>
      </c>
      <c r="T139" s="300">
        <f>(61.7*KFC!$B$30+KFC!$C$30)*KFC!$C$5</f>
        <v>61.7</v>
      </c>
      <c r="U139" s="300">
        <f>(64.1*KFC!$B$30+KFC!$C$30)*KFC!$C$5</f>
        <v>64.099999999999994</v>
      </c>
      <c r="V139" s="300">
        <f>(66.5*KFC!$B$30+KFC!$C$30)*KFC!$C$5</f>
        <v>66.5</v>
      </c>
      <c r="W139" s="300">
        <f>(68.9*KFC!$B$30+KFC!$C$30)*KFC!$C$5</f>
        <v>68.900000000000006</v>
      </c>
      <c r="X139" s="300">
        <f>(71.3*KFC!$B$30+KFC!$C$30)*KFC!$C$5</f>
        <v>71.3</v>
      </c>
      <c r="Y139" s="300">
        <f>(73.7*KFC!$B$30+KFC!$C$30)*KFC!$C$5</f>
        <v>73.7</v>
      </c>
      <c r="Z139" s="300">
        <f>(76.1*KFC!$B$30+KFC!$C$30)*KFC!$C$5</f>
        <v>76.099999999999994</v>
      </c>
      <c r="AA139" s="300">
        <f>(78.5*KFC!$B$30+KFC!$C$30)*KFC!$C$5</f>
        <v>78.5</v>
      </c>
      <c r="AB139" s="300">
        <f>(80.9*KFC!$B$30+KFC!$C$30)*KFC!$C$5</f>
        <v>80.900000000000006</v>
      </c>
      <c r="AC139" s="304">
        <f>(83.3*KFC!$B$30+KFC!$C$30)*KFC!$C$5</f>
        <v>83.3</v>
      </c>
    </row>
    <row r="140" spans="1:29">
      <c r="A140" s="1538"/>
      <c r="B140" s="637">
        <v>1.4</v>
      </c>
      <c r="C140" s="303">
        <f>(21.9*KFC!$B$30+KFC!$C$30)*KFC!$C$5</f>
        <v>21.9</v>
      </c>
      <c r="D140" s="300">
        <f>(24.4*KFC!$B$30+KFC!$C$30)*KFC!$C$5</f>
        <v>24.4</v>
      </c>
      <c r="E140" s="300">
        <f>(27*KFC!$B$30+KFC!$C$30)*KFC!$C$5</f>
        <v>27</v>
      </c>
      <c r="F140" s="300">
        <f>(29.6*KFC!$B$30+KFC!$C$30)*KFC!$C$5</f>
        <v>29.6</v>
      </c>
      <c r="G140" s="300">
        <f>(32.2*KFC!$B$30+KFC!$C$30)*KFC!$C$5</f>
        <v>32.200000000000003</v>
      </c>
      <c r="H140" s="300">
        <f>(34.7*KFC!$B$30+KFC!$C$30)*KFC!$C$5</f>
        <v>34.700000000000003</v>
      </c>
      <c r="I140" s="300">
        <f>(37.3*KFC!$B$30+KFC!$C$30)*KFC!$C$5</f>
        <v>37.299999999999997</v>
      </c>
      <c r="J140" s="300">
        <f>(39.9*KFC!$B$30+KFC!$C$30)*KFC!$C$5</f>
        <v>39.9</v>
      </c>
      <c r="K140" s="300">
        <f>(42.5*KFC!$B$30+KFC!$C$30)*KFC!$C$5</f>
        <v>42.5</v>
      </c>
      <c r="L140" s="300">
        <f>(45*KFC!$B$30+KFC!$C$30)*KFC!$C$5</f>
        <v>45</v>
      </c>
      <c r="M140" s="300">
        <f>(47.6*KFC!$B$30+KFC!$C$30)*KFC!$C$5</f>
        <v>47.6</v>
      </c>
      <c r="N140" s="300">
        <f>(50.2*KFC!$B$30+KFC!$C$30)*KFC!$C$5</f>
        <v>50.2</v>
      </c>
      <c r="O140" s="300">
        <f>(52.8*KFC!$B$30+KFC!$C$30)*KFC!$C$5</f>
        <v>52.8</v>
      </c>
      <c r="P140" s="300">
        <f>(55.3*KFC!$B$30+KFC!$C$30)*KFC!$C$5</f>
        <v>55.3</v>
      </c>
      <c r="Q140" s="300">
        <f>(57.9*KFC!$B$30+KFC!$C$30)*KFC!$C$5</f>
        <v>57.9</v>
      </c>
      <c r="R140" s="300">
        <f>(60.5*KFC!$B$30+KFC!$C$30)*KFC!$C$5</f>
        <v>60.5</v>
      </c>
      <c r="S140" s="300">
        <f>(63.1*KFC!$B$30+KFC!$C$30)*KFC!$C$5</f>
        <v>63.1</v>
      </c>
      <c r="T140" s="300">
        <f>(65.6*KFC!$B$30+KFC!$C$30)*KFC!$C$5</f>
        <v>65.599999999999994</v>
      </c>
      <c r="U140" s="300">
        <f>(68.2*KFC!$B$30+KFC!$C$30)*KFC!$C$5</f>
        <v>68.2</v>
      </c>
      <c r="V140" s="300">
        <f>(70.8*KFC!$B$30+KFC!$C$30)*KFC!$C$5</f>
        <v>70.8</v>
      </c>
      <c r="W140" s="300">
        <f>(73.4*KFC!$B$30+KFC!$C$30)*KFC!$C$5</f>
        <v>73.400000000000006</v>
      </c>
      <c r="X140" s="300">
        <f>(75.9*KFC!$B$30+KFC!$C$30)*KFC!$C$5</f>
        <v>75.900000000000006</v>
      </c>
      <c r="Y140" s="300">
        <f>(78.5*KFC!$B$30+KFC!$C$30)*KFC!$C$5</f>
        <v>78.5</v>
      </c>
      <c r="Z140" s="300">
        <f>(81.1*KFC!$B$30+KFC!$C$30)*KFC!$C$5</f>
        <v>81.099999999999994</v>
      </c>
      <c r="AA140" s="300">
        <f>(83.7*KFC!$B$30+KFC!$C$30)*KFC!$C$5</f>
        <v>83.7</v>
      </c>
      <c r="AB140" s="300">
        <f>(86.2*KFC!$B$30+KFC!$C$30)*KFC!$C$5</f>
        <v>86.2</v>
      </c>
      <c r="AC140" s="304">
        <f>(88.8*KFC!$B$30+KFC!$C$30)*KFC!$C$5</f>
        <v>88.8</v>
      </c>
    </row>
    <row r="141" spans="1:29">
      <c r="A141" s="1538"/>
      <c r="B141" s="637">
        <v>1.5</v>
      </c>
      <c r="C141" s="303">
        <f>(22.8*KFC!$B$30+KFC!$C$30)*KFC!$C$5</f>
        <v>22.8</v>
      </c>
      <c r="D141" s="300">
        <f>(25.5*KFC!$B$30+KFC!$C$30)*KFC!$C$5</f>
        <v>25.5</v>
      </c>
      <c r="E141" s="300">
        <f>(28.3*KFC!$B$30+KFC!$C$30)*KFC!$C$5</f>
        <v>28.3</v>
      </c>
      <c r="F141" s="300">
        <f>(31*KFC!$B$30+KFC!$C$30)*KFC!$C$5</f>
        <v>31</v>
      </c>
      <c r="G141" s="300">
        <f>(33.8*KFC!$B$30+KFC!$C$30)*KFC!$C$5</f>
        <v>33.799999999999997</v>
      </c>
      <c r="H141" s="300">
        <f>(36.5*KFC!$B$30+KFC!$C$30)*KFC!$C$5</f>
        <v>36.5</v>
      </c>
      <c r="I141" s="300">
        <f>(39.3*KFC!$B$30+KFC!$C$30)*KFC!$C$5</f>
        <v>39.299999999999997</v>
      </c>
      <c r="J141" s="300">
        <f>(42*KFC!$B$30+KFC!$C$30)*KFC!$C$5</f>
        <v>42</v>
      </c>
      <c r="K141" s="300">
        <f>(44.8*KFC!$B$30+KFC!$C$30)*KFC!$C$5</f>
        <v>44.8</v>
      </c>
      <c r="L141" s="300">
        <f>(47.5*KFC!$B$30+KFC!$C$30)*KFC!$C$5</f>
        <v>47.5</v>
      </c>
      <c r="M141" s="300">
        <f>(50.3*KFC!$B$30+KFC!$C$30)*KFC!$C$5</f>
        <v>50.3</v>
      </c>
      <c r="N141" s="300">
        <f>(53*KFC!$B$30+KFC!$C$30)*KFC!$C$5</f>
        <v>53</v>
      </c>
      <c r="O141" s="300">
        <f>(55.8*KFC!$B$30+KFC!$C$30)*KFC!$C$5</f>
        <v>55.8</v>
      </c>
      <c r="P141" s="300">
        <f>(58.5*KFC!$B$30+KFC!$C$30)*KFC!$C$5</f>
        <v>58.5</v>
      </c>
      <c r="Q141" s="300">
        <f>(61.3*KFC!$B$30+KFC!$C$30)*KFC!$C$5</f>
        <v>61.3</v>
      </c>
      <c r="R141" s="300">
        <f>(64*KFC!$B$30+KFC!$C$30)*KFC!$C$5</f>
        <v>64</v>
      </c>
      <c r="S141" s="300">
        <f>(66.8*KFC!$B$30+KFC!$C$30)*KFC!$C$5</f>
        <v>66.8</v>
      </c>
      <c r="T141" s="300">
        <f>(69.5*KFC!$B$30+KFC!$C$30)*KFC!$C$5</f>
        <v>69.5</v>
      </c>
      <c r="U141" s="300">
        <f>(72.3*KFC!$B$30+KFC!$C$30)*KFC!$C$5</f>
        <v>72.3</v>
      </c>
      <c r="V141" s="300">
        <f>(75*KFC!$B$30+KFC!$C$30)*KFC!$C$5</f>
        <v>75</v>
      </c>
      <c r="W141" s="300">
        <f>(77.8*KFC!$B$30+KFC!$C$30)*KFC!$C$5</f>
        <v>77.8</v>
      </c>
      <c r="X141" s="300">
        <f>(80.5*KFC!$B$30+KFC!$C$30)*KFC!$C$5</f>
        <v>80.5</v>
      </c>
      <c r="Y141" s="300">
        <f>(83.3*KFC!$B$30+KFC!$C$30)*KFC!$C$5</f>
        <v>83.3</v>
      </c>
      <c r="Z141" s="300">
        <f>(86*KFC!$B$30+KFC!$C$30)*KFC!$C$5</f>
        <v>86</v>
      </c>
      <c r="AA141" s="300">
        <f>(88.8*KFC!$B$30+KFC!$C$30)*KFC!$C$5</f>
        <v>88.8</v>
      </c>
      <c r="AB141" s="300">
        <f>(91.5*KFC!$B$30+KFC!$C$30)*KFC!$C$5</f>
        <v>91.5</v>
      </c>
      <c r="AC141" s="304">
        <f>(94.3*KFC!$B$30+KFC!$C$30)*KFC!$C$5</f>
        <v>94.3</v>
      </c>
    </row>
    <row r="142" spans="1:29">
      <c r="A142" s="1538"/>
      <c r="B142" s="637">
        <v>1.6</v>
      </c>
      <c r="C142" s="303">
        <f>(23.7*KFC!$B$30+KFC!$C$30)*KFC!$C$5</f>
        <v>23.7</v>
      </c>
      <c r="D142" s="300">
        <f>(26.6*KFC!$B$30+KFC!$C$30)*KFC!$C$5</f>
        <v>26.6</v>
      </c>
      <c r="E142" s="300">
        <f>(29.5*KFC!$B$30+KFC!$C$30)*KFC!$C$5</f>
        <v>29.5</v>
      </c>
      <c r="F142" s="300">
        <f>(32.4*KFC!$B$30+KFC!$C$30)*KFC!$C$5</f>
        <v>32.4</v>
      </c>
      <c r="G142" s="300">
        <f>(35.4*KFC!$B$30+KFC!$C$30)*KFC!$C$5</f>
        <v>35.4</v>
      </c>
      <c r="H142" s="300">
        <f>(38.3*KFC!$B$30+KFC!$C$30)*KFC!$C$5</f>
        <v>38.299999999999997</v>
      </c>
      <c r="I142" s="300">
        <f>(41.2*KFC!$B$30+KFC!$C$30)*KFC!$C$5</f>
        <v>41.2</v>
      </c>
      <c r="J142" s="300">
        <f>(44.2*KFC!$B$30+KFC!$C$30)*KFC!$C$5</f>
        <v>44.2</v>
      </c>
      <c r="K142" s="300">
        <f>(47.1*KFC!$B$30+KFC!$C$30)*KFC!$C$5</f>
        <v>47.1</v>
      </c>
      <c r="L142" s="300">
        <f>(50*KFC!$B$30+KFC!$C$30)*KFC!$C$5</f>
        <v>50</v>
      </c>
      <c r="M142" s="300">
        <f>(52.9*KFC!$B$30+KFC!$C$30)*KFC!$C$5</f>
        <v>52.9</v>
      </c>
      <c r="N142" s="300">
        <f>(55.9*KFC!$B$30+KFC!$C$30)*KFC!$C$5</f>
        <v>55.9</v>
      </c>
      <c r="O142" s="300">
        <f>(58.8*KFC!$B$30+KFC!$C$30)*KFC!$C$5</f>
        <v>58.8</v>
      </c>
      <c r="P142" s="300">
        <f>(61.7*KFC!$B$30+KFC!$C$30)*KFC!$C$5</f>
        <v>61.7</v>
      </c>
      <c r="Q142" s="300">
        <f>(64.7*KFC!$B$30+KFC!$C$30)*KFC!$C$5</f>
        <v>64.7</v>
      </c>
      <c r="R142" s="300">
        <f>(67.6*KFC!$B$30+KFC!$C$30)*KFC!$C$5</f>
        <v>67.599999999999994</v>
      </c>
      <c r="S142" s="300">
        <f>(70.5*KFC!$B$30+KFC!$C$30)*KFC!$C$5</f>
        <v>70.5</v>
      </c>
      <c r="T142" s="300">
        <f>(73.4*KFC!$B$30+KFC!$C$30)*KFC!$C$5</f>
        <v>73.400000000000006</v>
      </c>
      <c r="U142" s="300">
        <f>(76.4*KFC!$B$30+KFC!$C$30)*KFC!$C$5</f>
        <v>76.400000000000006</v>
      </c>
      <c r="V142" s="300">
        <f>(79.3*KFC!$B$30+KFC!$C$30)*KFC!$C$5</f>
        <v>79.3</v>
      </c>
      <c r="W142" s="300">
        <f>(82.2*KFC!$B$30+KFC!$C$30)*KFC!$C$5</f>
        <v>82.2</v>
      </c>
      <c r="X142" s="300">
        <f>(85.1*KFC!$B$30+KFC!$C$30)*KFC!$C$5</f>
        <v>85.1</v>
      </c>
      <c r="Y142" s="300">
        <f>(88.1*KFC!$B$30+KFC!$C$30)*KFC!$C$5</f>
        <v>88.1</v>
      </c>
      <c r="Z142" s="300">
        <f>(91*KFC!$B$30+KFC!$C$30)*KFC!$C$5</f>
        <v>91</v>
      </c>
      <c r="AA142" s="300">
        <f>(93.9*KFC!$B$30+KFC!$C$30)*KFC!$C$5</f>
        <v>93.9</v>
      </c>
      <c r="AB142" s="300">
        <f>(96.9*KFC!$B$30+KFC!$C$30)*KFC!$C$5</f>
        <v>96.9</v>
      </c>
      <c r="AC142" s="304">
        <f>(99.8*KFC!$B$30+KFC!$C$30)*KFC!$C$5</f>
        <v>99.8</v>
      </c>
    </row>
    <row r="143" spans="1:29">
      <c r="A143" s="1538"/>
      <c r="B143" s="637">
        <v>1.7</v>
      </c>
      <c r="C143" s="303">
        <f>(24.6*KFC!$B$30+KFC!$C$30)*KFC!$C$5</f>
        <v>24.6</v>
      </c>
      <c r="D143" s="300">
        <f>(27.7*KFC!$B$30+KFC!$C$30)*KFC!$C$5</f>
        <v>27.7</v>
      </c>
      <c r="E143" s="300">
        <f>(30.8*KFC!$B$30+KFC!$C$30)*KFC!$C$5</f>
        <v>30.8</v>
      </c>
      <c r="F143" s="300">
        <f>(33.9*KFC!$B$30+KFC!$C$30)*KFC!$C$5</f>
        <v>33.9</v>
      </c>
      <c r="G143" s="300">
        <f>(37*KFC!$B$30+KFC!$C$30)*KFC!$C$5</f>
        <v>37</v>
      </c>
      <c r="H143" s="300">
        <f>(40.1*KFC!$B$30+KFC!$C$30)*KFC!$C$5</f>
        <v>40.1</v>
      </c>
      <c r="I143" s="300">
        <f>(43.2*KFC!$B$30+KFC!$C$30)*KFC!$C$5</f>
        <v>43.2</v>
      </c>
      <c r="J143" s="300">
        <f>(46.3*KFC!$B$30+KFC!$C$30)*KFC!$C$5</f>
        <v>46.3</v>
      </c>
      <c r="K143" s="300">
        <f>(49.4*KFC!$B$30+KFC!$C$30)*KFC!$C$5</f>
        <v>49.4</v>
      </c>
      <c r="L143" s="300">
        <f>(52.5*KFC!$B$30+KFC!$C$30)*KFC!$C$5</f>
        <v>52.5</v>
      </c>
      <c r="M143" s="300">
        <f>(55.6*KFC!$B$30+KFC!$C$30)*KFC!$C$5</f>
        <v>55.6</v>
      </c>
      <c r="N143" s="300">
        <f>(58.7*KFC!$B$30+KFC!$C$30)*KFC!$C$5</f>
        <v>58.7</v>
      </c>
      <c r="O143" s="300">
        <f>(61.8*KFC!$B$30+KFC!$C$30)*KFC!$C$5</f>
        <v>61.8</v>
      </c>
      <c r="P143" s="300">
        <f>(64.9*KFC!$B$30+KFC!$C$30)*KFC!$C$5</f>
        <v>64.900000000000006</v>
      </c>
      <c r="Q143" s="300">
        <f>(68*KFC!$B$30+KFC!$C$30)*KFC!$C$5</f>
        <v>68</v>
      </c>
      <c r="R143" s="300">
        <f>(71.1*KFC!$B$30+KFC!$C$30)*KFC!$C$5</f>
        <v>71.099999999999994</v>
      </c>
      <c r="S143" s="300">
        <f>(74.2*KFC!$B$30+KFC!$C$30)*KFC!$C$5</f>
        <v>74.2</v>
      </c>
      <c r="T143" s="300">
        <f>(77.3*KFC!$B$30+KFC!$C$30)*KFC!$C$5</f>
        <v>77.3</v>
      </c>
      <c r="U143" s="300">
        <f>(80.4*KFC!$B$30+KFC!$C$30)*KFC!$C$5</f>
        <v>80.400000000000006</v>
      </c>
      <c r="V143" s="300">
        <f>(83.5*KFC!$B$30+KFC!$C$30)*KFC!$C$5</f>
        <v>83.5</v>
      </c>
      <c r="W143" s="300">
        <f>(86.6*KFC!$B$30+KFC!$C$30)*KFC!$C$5</f>
        <v>86.6</v>
      </c>
      <c r="X143" s="300">
        <f>(89.7*KFC!$B$30+KFC!$C$30)*KFC!$C$5</f>
        <v>89.7</v>
      </c>
      <c r="Y143" s="300">
        <f>(92.8*KFC!$B$30+KFC!$C$30)*KFC!$C$5</f>
        <v>92.8</v>
      </c>
      <c r="Z143" s="300">
        <f>(96*KFC!$B$30+KFC!$C$30)*KFC!$C$5</f>
        <v>96</v>
      </c>
      <c r="AA143" s="300">
        <f>(99.1*KFC!$B$30+KFC!$C$30)*KFC!$C$5</f>
        <v>99.1</v>
      </c>
      <c r="AB143" s="300">
        <f>(102.2*KFC!$B$30+KFC!$C$30)*KFC!$C$5</f>
        <v>102.2</v>
      </c>
      <c r="AC143" s="304">
        <f>(105.3*KFC!$B$30+KFC!$C$30)*KFC!$C$5</f>
        <v>105.3</v>
      </c>
    </row>
    <row r="144" spans="1:29">
      <c r="A144" s="1538"/>
      <c r="B144" s="637">
        <v>1.8</v>
      </c>
      <c r="C144" s="303">
        <f>(25.5*KFC!$B$30+KFC!$C$30)*KFC!$C$5</f>
        <v>25.5</v>
      </c>
      <c r="D144" s="300">
        <f>(28.7*KFC!$B$30+KFC!$C$30)*KFC!$C$5</f>
        <v>28.7</v>
      </c>
      <c r="E144" s="300">
        <f>(32*KFC!$B$30+KFC!$C$30)*KFC!$C$5</f>
        <v>32</v>
      </c>
      <c r="F144" s="300">
        <f>(35.3*KFC!$B$30+KFC!$C$30)*KFC!$C$5</f>
        <v>35.299999999999997</v>
      </c>
      <c r="G144" s="300">
        <f>(38.6*KFC!$B$30+KFC!$C$30)*KFC!$C$5</f>
        <v>38.6</v>
      </c>
      <c r="H144" s="300">
        <f>(41.9*KFC!$B$30+KFC!$C$30)*KFC!$C$5</f>
        <v>41.9</v>
      </c>
      <c r="I144" s="300">
        <f>(45.1*KFC!$B$30+KFC!$C$30)*KFC!$C$5</f>
        <v>45.1</v>
      </c>
      <c r="J144" s="300">
        <f>(48.4*KFC!$B$30+KFC!$C$30)*KFC!$C$5</f>
        <v>48.4</v>
      </c>
      <c r="K144" s="300">
        <f>(51.7*KFC!$B$30+KFC!$C$30)*KFC!$C$5</f>
        <v>51.7</v>
      </c>
      <c r="L144" s="300">
        <f>(55*KFC!$B$30+KFC!$C$30)*KFC!$C$5</f>
        <v>55</v>
      </c>
      <c r="M144" s="300">
        <f>(58.3*KFC!$B$30+KFC!$C$30)*KFC!$C$5</f>
        <v>58.3</v>
      </c>
      <c r="N144" s="300">
        <f>(61.5*KFC!$B$30+KFC!$C$30)*KFC!$C$5</f>
        <v>61.5</v>
      </c>
      <c r="O144" s="300">
        <f>(64.8*KFC!$B$30+KFC!$C$30)*KFC!$C$5</f>
        <v>64.8</v>
      </c>
      <c r="P144" s="300">
        <f>(68.1*KFC!$B$30+KFC!$C$30)*KFC!$C$5</f>
        <v>68.099999999999994</v>
      </c>
      <c r="Q144" s="300">
        <f>(71.4*KFC!$B$30+KFC!$C$30)*KFC!$C$5</f>
        <v>71.400000000000006</v>
      </c>
      <c r="R144" s="300">
        <f>(74.7*KFC!$B$30+KFC!$C$30)*KFC!$C$5</f>
        <v>74.7</v>
      </c>
      <c r="S144" s="300">
        <f>(77.9*KFC!$B$30+KFC!$C$30)*KFC!$C$5</f>
        <v>77.900000000000006</v>
      </c>
      <c r="T144" s="300">
        <f>(81.2*KFC!$B$30+KFC!$C$30)*KFC!$C$5</f>
        <v>81.2</v>
      </c>
      <c r="U144" s="300">
        <f>(84.5*KFC!$B$30+KFC!$C$30)*KFC!$C$5</f>
        <v>84.5</v>
      </c>
      <c r="V144" s="300">
        <f>(87.8*KFC!$B$30+KFC!$C$30)*KFC!$C$5</f>
        <v>87.8</v>
      </c>
      <c r="W144" s="300">
        <f>(91.1*KFC!$B$30+KFC!$C$30)*KFC!$C$5</f>
        <v>91.1</v>
      </c>
      <c r="X144" s="300">
        <f>(94.3*KFC!$B$30+KFC!$C$30)*KFC!$C$5</f>
        <v>94.3</v>
      </c>
      <c r="Y144" s="300">
        <f>(97.6*KFC!$B$30+KFC!$C$30)*KFC!$C$5</f>
        <v>97.6</v>
      </c>
      <c r="Z144" s="300">
        <f>(100.9*KFC!$B$30+KFC!$C$30)*KFC!$C$5</f>
        <v>100.9</v>
      </c>
      <c r="AA144" s="300">
        <f>(104.2*KFC!$B$30+KFC!$C$30)*KFC!$C$5</f>
        <v>104.2</v>
      </c>
      <c r="AB144" s="300">
        <f>(107.5*KFC!$B$30+KFC!$C$30)*KFC!$C$5</f>
        <v>107.5</v>
      </c>
      <c r="AC144" s="304">
        <f>(110.7*KFC!$B$30+KFC!$C$30)*KFC!$C$5</f>
        <v>110.7</v>
      </c>
    </row>
    <row r="145" spans="1:29">
      <c r="A145" s="1538"/>
      <c r="B145" s="637">
        <v>1.9</v>
      </c>
      <c r="C145" s="303">
        <f>(26.4*KFC!$B$30+KFC!$C$30)*KFC!$C$5</f>
        <v>26.4</v>
      </c>
      <c r="D145" s="300">
        <f>(29.8*KFC!$B$30+KFC!$C$30)*KFC!$C$5</f>
        <v>29.8</v>
      </c>
      <c r="E145" s="300">
        <f>(33.3*KFC!$B$30+KFC!$C$30)*KFC!$C$5</f>
        <v>33.299999999999997</v>
      </c>
      <c r="F145" s="300">
        <f>(36.7*KFC!$B$30+KFC!$C$30)*KFC!$C$5</f>
        <v>36.700000000000003</v>
      </c>
      <c r="G145" s="300">
        <f>(40.2*KFC!$B$30+KFC!$C$30)*KFC!$C$5</f>
        <v>40.200000000000003</v>
      </c>
      <c r="H145" s="300">
        <f>(43.6*KFC!$B$30+KFC!$C$30)*KFC!$C$5</f>
        <v>43.6</v>
      </c>
      <c r="I145" s="300">
        <f>(47.1*KFC!$B$30+KFC!$C$30)*KFC!$C$5</f>
        <v>47.1</v>
      </c>
      <c r="J145" s="300">
        <f>(50.5*KFC!$B$30+KFC!$C$30)*KFC!$C$5</f>
        <v>50.5</v>
      </c>
      <c r="K145" s="300">
        <f>(54*KFC!$B$30+KFC!$C$30)*KFC!$C$5</f>
        <v>54</v>
      </c>
      <c r="L145" s="300">
        <f>(57.5*KFC!$B$30+KFC!$C$30)*KFC!$C$5</f>
        <v>57.5</v>
      </c>
      <c r="M145" s="300">
        <f>(60.9*KFC!$B$30+KFC!$C$30)*KFC!$C$5</f>
        <v>60.9</v>
      </c>
      <c r="N145" s="300">
        <f>(64.4*KFC!$B$30+KFC!$C$30)*KFC!$C$5</f>
        <v>64.400000000000006</v>
      </c>
      <c r="O145" s="300">
        <f>(67.8*KFC!$B$30+KFC!$C$30)*KFC!$C$5</f>
        <v>67.8</v>
      </c>
      <c r="P145" s="300">
        <f>(71.3*KFC!$B$30+KFC!$C$30)*KFC!$C$5</f>
        <v>71.3</v>
      </c>
      <c r="Q145" s="300">
        <f>(74.7*KFC!$B$30+KFC!$C$30)*KFC!$C$5</f>
        <v>74.7</v>
      </c>
      <c r="R145" s="300">
        <f>(78.2*KFC!$B$30+KFC!$C$30)*KFC!$C$5</f>
        <v>78.2</v>
      </c>
      <c r="S145" s="300">
        <f>(81.7*KFC!$B$30+KFC!$C$30)*KFC!$C$5</f>
        <v>81.7</v>
      </c>
      <c r="T145" s="300">
        <f>(85.1*KFC!$B$30+KFC!$C$30)*KFC!$C$5</f>
        <v>85.1</v>
      </c>
      <c r="U145" s="300">
        <f>(88.6*KFC!$B$30+KFC!$C$30)*KFC!$C$5</f>
        <v>88.6</v>
      </c>
      <c r="V145" s="300">
        <f>(92*KFC!$B$30+KFC!$C$30)*KFC!$C$5</f>
        <v>92</v>
      </c>
      <c r="W145" s="300">
        <f>(95.5*KFC!$B$30+KFC!$C$30)*KFC!$C$5</f>
        <v>95.5</v>
      </c>
      <c r="X145" s="300">
        <f>(98.9*KFC!$B$30+KFC!$C$30)*KFC!$C$5</f>
        <v>98.9</v>
      </c>
      <c r="Y145" s="300">
        <f>(102.4*KFC!$B$30+KFC!$C$30)*KFC!$C$5</f>
        <v>102.4</v>
      </c>
      <c r="Z145" s="300">
        <f>(105.9*KFC!$B$30+KFC!$C$30)*KFC!$C$5</f>
        <v>105.9</v>
      </c>
      <c r="AA145" s="300">
        <f>(109.3*KFC!$B$30+KFC!$C$30)*KFC!$C$5</f>
        <v>109.3</v>
      </c>
      <c r="AB145" s="300">
        <f>(112.8*KFC!$B$30+KFC!$C$30)*KFC!$C$5</f>
        <v>112.8</v>
      </c>
      <c r="AC145" s="304">
        <f>(116.2*KFC!$B$30+KFC!$C$30)*KFC!$C$5</f>
        <v>116.2</v>
      </c>
    </row>
    <row r="146" spans="1:29">
      <c r="A146" s="1538"/>
      <c r="B146" s="637">
        <v>2</v>
      </c>
      <c r="C146" s="303">
        <f>(27.2*KFC!$B$30+KFC!$C$30)*KFC!$C$5</f>
        <v>27.2</v>
      </c>
      <c r="D146" s="300">
        <f>(30.9*KFC!$B$30+KFC!$C$30)*KFC!$C$5</f>
        <v>30.9</v>
      </c>
      <c r="E146" s="300">
        <f>(34.5*KFC!$B$30+KFC!$C$30)*KFC!$C$5</f>
        <v>34.5</v>
      </c>
      <c r="F146" s="300">
        <f>(38.1*KFC!$B$30+KFC!$C$30)*KFC!$C$5</f>
        <v>38.1</v>
      </c>
      <c r="G146" s="300">
        <f>(41.8*KFC!$B$30+KFC!$C$30)*KFC!$C$5</f>
        <v>41.8</v>
      </c>
      <c r="H146" s="300">
        <f>(45.4*KFC!$B$30+KFC!$C$30)*KFC!$C$5</f>
        <v>45.4</v>
      </c>
      <c r="I146" s="300">
        <f>(49*KFC!$B$30+KFC!$C$30)*KFC!$C$5</f>
        <v>49</v>
      </c>
      <c r="J146" s="300">
        <f>(52.7*KFC!$B$30+KFC!$C$30)*KFC!$C$5</f>
        <v>52.7</v>
      </c>
      <c r="K146" s="300">
        <f>(56.3*KFC!$B$30+KFC!$C$30)*KFC!$C$5</f>
        <v>56.3</v>
      </c>
      <c r="L146" s="300">
        <f>(59.9*KFC!$B$30+KFC!$C$30)*KFC!$C$5</f>
        <v>59.9</v>
      </c>
      <c r="M146" s="300">
        <f>(63.6*KFC!$B$30+KFC!$C$30)*KFC!$C$5</f>
        <v>63.6</v>
      </c>
      <c r="N146" s="300">
        <f>(67.2*KFC!$B$30+KFC!$C$30)*KFC!$C$5</f>
        <v>67.2</v>
      </c>
      <c r="O146" s="300">
        <f>(70.8*KFC!$B$30+KFC!$C$30)*KFC!$C$5</f>
        <v>70.8</v>
      </c>
      <c r="P146" s="300">
        <f>(74.5*KFC!$B$30+KFC!$C$30)*KFC!$C$5</f>
        <v>74.5</v>
      </c>
      <c r="Q146" s="300">
        <f>(78.1*KFC!$B$30+KFC!$C$30)*KFC!$C$5</f>
        <v>78.099999999999994</v>
      </c>
      <c r="R146" s="300">
        <f>(81.7*KFC!$B$30+KFC!$C$30)*KFC!$C$5</f>
        <v>81.7</v>
      </c>
      <c r="S146" s="300">
        <f>(85.4*KFC!$B$30+KFC!$C$30)*KFC!$C$5</f>
        <v>85.4</v>
      </c>
      <c r="T146" s="300">
        <f>(89*KFC!$B$30+KFC!$C$30)*KFC!$C$5</f>
        <v>89</v>
      </c>
      <c r="U146" s="300">
        <f>(92.6*KFC!$B$30+KFC!$C$30)*KFC!$C$5</f>
        <v>92.6</v>
      </c>
      <c r="V146" s="300">
        <f>(96.3*KFC!$B$30+KFC!$C$30)*KFC!$C$5</f>
        <v>96.3</v>
      </c>
      <c r="W146" s="300">
        <f>(99.9*KFC!$B$30+KFC!$C$30)*KFC!$C$5</f>
        <v>99.9</v>
      </c>
      <c r="X146" s="300">
        <f>(103.5*KFC!$B$30+KFC!$C$30)*KFC!$C$5</f>
        <v>103.5</v>
      </c>
      <c r="Y146" s="300">
        <f>(107.2*KFC!$B$30+KFC!$C$30)*KFC!$C$5</f>
        <v>107.2</v>
      </c>
      <c r="Z146" s="300">
        <f>(110.8*KFC!$B$30+KFC!$C$30)*KFC!$C$5</f>
        <v>110.8</v>
      </c>
      <c r="AA146" s="300">
        <f>(114.4*KFC!$B$30+KFC!$C$30)*KFC!$C$5</f>
        <v>114.4</v>
      </c>
      <c r="AB146" s="300">
        <f>(118.1*KFC!$B$30+KFC!$C$30)*KFC!$C$5</f>
        <v>118.1</v>
      </c>
      <c r="AC146" s="304">
        <f>(121.7*KFC!$B$30+KFC!$C$30)*KFC!$C$5</f>
        <v>121.7</v>
      </c>
    </row>
    <row r="147" spans="1:29">
      <c r="A147" s="1538"/>
      <c r="B147" s="637">
        <v>2.1</v>
      </c>
      <c r="C147" s="303">
        <f>(28.1*KFC!$B$30+KFC!$C$30)*KFC!$C$5</f>
        <v>28.1</v>
      </c>
      <c r="D147" s="300">
        <f>(32*KFC!$B$30+KFC!$C$30)*KFC!$C$5</f>
        <v>32</v>
      </c>
      <c r="E147" s="300">
        <f>(35.8*KFC!$B$30+KFC!$C$30)*KFC!$C$5</f>
        <v>35.799999999999997</v>
      </c>
      <c r="F147" s="300">
        <f>(39.6*KFC!$B$30+KFC!$C$30)*KFC!$C$5</f>
        <v>39.6</v>
      </c>
      <c r="G147" s="300">
        <f>(43.4*KFC!$B$30+KFC!$C$30)*KFC!$C$5</f>
        <v>43.4</v>
      </c>
      <c r="H147" s="300">
        <f>(47.2*KFC!$B$30+KFC!$C$30)*KFC!$C$5</f>
        <v>47.2</v>
      </c>
      <c r="I147" s="300">
        <f>(51*KFC!$B$30+KFC!$C$30)*KFC!$C$5</f>
        <v>51</v>
      </c>
      <c r="J147" s="300">
        <f>(54.8*KFC!$B$30+KFC!$C$30)*KFC!$C$5</f>
        <v>54.8</v>
      </c>
      <c r="K147" s="300">
        <f>(58.6*KFC!$B$30+KFC!$C$30)*KFC!$C$5</f>
        <v>58.6</v>
      </c>
      <c r="L147" s="300">
        <f>(62.4*KFC!$B$30+KFC!$C$30)*KFC!$C$5</f>
        <v>62.4</v>
      </c>
      <c r="M147" s="300">
        <f>(66.2*KFC!$B$30+KFC!$C$30)*KFC!$C$5</f>
        <v>66.2</v>
      </c>
      <c r="N147" s="300">
        <f>(70*KFC!$B$30+KFC!$C$30)*KFC!$C$5</f>
        <v>70</v>
      </c>
      <c r="O147" s="300">
        <f>(73.9*KFC!$B$30+KFC!$C$30)*KFC!$C$5</f>
        <v>73.900000000000006</v>
      </c>
      <c r="P147" s="300">
        <f>(77.7*KFC!$B$30+KFC!$C$30)*KFC!$C$5</f>
        <v>77.7</v>
      </c>
      <c r="Q147" s="300">
        <f>(81.5*KFC!$B$30+KFC!$C$30)*KFC!$C$5</f>
        <v>81.5</v>
      </c>
      <c r="R147" s="300">
        <f>(85.3*KFC!$B$30+KFC!$C$30)*KFC!$C$5</f>
        <v>85.3</v>
      </c>
      <c r="S147" s="300">
        <f>(89.1*KFC!$B$30+KFC!$C$30)*KFC!$C$5</f>
        <v>89.1</v>
      </c>
      <c r="T147" s="300">
        <f>(92.9*KFC!$B$30+KFC!$C$30)*KFC!$C$5</f>
        <v>92.9</v>
      </c>
      <c r="U147" s="300">
        <f>(96.7*KFC!$B$30+KFC!$C$30)*KFC!$C$5</f>
        <v>96.7</v>
      </c>
      <c r="V147" s="300">
        <f>(100.5*KFC!$B$30+KFC!$C$30)*KFC!$C$5</f>
        <v>100.5</v>
      </c>
      <c r="W147" s="300">
        <f>(104.3*KFC!$B$30+KFC!$C$30)*KFC!$C$5</f>
        <v>104.3</v>
      </c>
      <c r="X147" s="300">
        <f>(108.1*KFC!$B$30+KFC!$C$30)*KFC!$C$5</f>
        <v>108.1</v>
      </c>
      <c r="Y147" s="300">
        <f>(112*KFC!$B$30+KFC!$C$30)*KFC!$C$5</f>
        <v>112</v>
      </c>
      <c r="Z147" s="300">
        <f>(115.8*KFC!$B$30+KFC!$C$30)*KFC!$C$5</f>
        <v>115.8</v>
      </c>
      <c r="AA147" s="300">
        <f>(119.6*KFC!$B$30+KFC!$C$30)*KFC!$C$5</f>
        <v>119.6</v>
      </c>
      <c r="AB147" s="300">
        <f>(123.4*KFC!$B$30+KFC!$C$30)*KFC!$C$5</f>
        <v>123.4</v>
      </c>
      <c r="AC147" s="304">
        <f>(127.2*KFC!$B$30+KFC!$C$30)*KFC!$C$5</f>
        <v>127.2</v>
      </c>
    </row>
    <row r="148" spans="1:29">
      <c r="A148" s="1538"/>
      <c r="B148" s="637">
        <v>2.2000000000000002</v>
      </c>
      <c r="C148" s="303">
        <f>(29*KFC!$B$30+KFC!$C$30)*KFC!$C$5</f>
        <v>29</v>
      </c>
      <c r="D148" s="300">
        <f>(33*KFC!$B$30+KFC!$C$30)*KFC!$C$5</f>
        <v>33</v>
      </c>
      <c r="E148" s="300">
        <f>(37*KFC!$B$30+KFC!$C$30)*KFC!$C$5</f>
        <v>37</v>
      </c>
      <c r="F148" s="300">
        <f>(41*KFC!$B$30+KFC!$C$30)*KFC!$C$5</f>
        <v>41</v>
      </c>
      <c r="G148" s="300">
        <f>(45*KFC!$B$30+KFC!$C$30)*KFC!$C$5</f>
        <v>45</v>
      </c>
      <c r="H148" s="300">
        <f>(49*KFC!$B$30+KFC!$C$30)*KFC!$C$5</f>
        <v>49</v>
      </c>
      <c r="I148" s="300">
        <f>(53*KFC!$B$30+KFC!$C$30)*KFC!$C$5</f>
        <v>53</v>
      </c>
      <c r="J148" s="300">
        <f>(56.9*KFC!$B$30+KFC!$C$30)*KFC!$C$5</f>
        <v>56.9</v>
      </c>
      <c r="K148" s="300">
        <f>(60.9*KFC!$B$30+KFC!$C$30)*KFC!$C$5</f>
        <v>60.9</v>
      </c>
      <c r="L148" s="300">
        <f>(64.9*KFC!$B$30+KFC!$C$30)*KFC!$C$5</f>
        <v>64.900000000000006</v>
      </c>
      <c r="M148" s="300">
        <f>(68.9*KFC!$B$30+KFC!$C$30)*KFC!$C$5</f>
        <v>68.900000000000006</v>
      </c>
      <c r="N148" s="300">
        <f>(72.9*KFC!$B$30+KFC!$C$30)*KFC!$C$5</f>
        <v>72.900000000000006</v>
      </c>
      <c r="O148" s="300">
        <f>(76.9*KFC!$B$30+KFC!$C$30)*KFC!$C$5</f>
        <v>76.900000000000006</v>
      </c>
      <c r="P148" s="300">
        <f>(80.9*KFC!$B$30+KFC!$C$30)*KFC!$C$5</f>
        <v>80.900000000000006</v>
      </c>
      <c r="Q148" s="300">
        <f>(84.8*KFC!$B$30+KFC!$C$30)*KFC!$C$5</f>
        <v>84.8</v>
      </c>
      <c r="R148" s="300">
        <f>(88.8*KFC!$B$30+KFC!$C$30)*KFC!$C$5</f>
        <v>88.8</v>
      </c>
      <c r="S148" s="300">
        <f>(92.8*KFC!$B$30+KFC!$C$30)*KFC!$C$5</f>
        <v>92.8</v>
      </c>
      <c r="T148" s="300">
        <f>(96.8*KFC!$B$30+KFC!$C$30)*KFC!$C$5</f>
        <v>96.8</v>
      </c>
      <c r="U148" s="300">
        <f>(100.8*KFC!$B$30+KFC!$C$30)*KFC!$C$5</f>
        <v>100.8</v>
      </c>
      <c r="V148" s="300">
        <f>(104.8*KFC!$B$30+KFC!$C$30)*KFC!$C$5</f>
        <v>104.8</v>
      </c>
      <c r="W148" s="300">
        <f>(108.8*KFC!$B$30+KFC!$C$30)*KFC!$C$5</f>
        <v>108.8</v>
      </c>
      <c r="X148" s="300">
        <f>(112.7*KFC!$B$30+KFC!$C$30)*KFC!$C$5</f>
        <v>112.7</v>
      </c>
      <c r="Y148" s="300">
        <f>(116.7*KFC!$B$30+KFC!$C$30)*KFC!$C$5</f>
        <v>116.7</v>
      </c>
      <c r="Z148" s="300">
        <f>(120.7*KFC!$B$30+KFC!$C$30)*KFC!$C$5</f>
        <v>120.7</v>
      </c>
      <c r="AA148" s="300">
        <f>(124.7*KFC!$B$30+KFC!$C$30)*KFC!$C$5</f>
        <v>124.7</v>
      </c>
      <c r="AB148" s="300">
        <f>(128.7*KFC!$B$30+KFC!$C$30)*KFC!$C$5</f>
        <v>128.69999999999999</v>
      </c>
      <c r="AC148" s="304">
        <f>(132.7*KFC!$B$30+KFC!$C$30)*KFC!$C$5</f>
        <v>132.69999999999999</v>
      </c>
    </row>
    <row r="149" spans="1:29">
      <c r="A149" s="1538"/>
      <c r="B149" s="637">
        <v>2.2999999999999998</v>
      </c>
      <c r="C149" s="303">
        <f>(29.9*KFC!$B$30+KFC!$C$30)*KFC!$C$5</f>
        <v>29.9</v>
      </c>
      <c r="D149" s="300">
        <f>(34.1*KFC!$B$30+KFC!$C$30)*KFC!$C$5</f>
        <v>34.1</v>
      </c>
      <c r="E149" s="300">
        <f>(38.3*KFC!$B$30+KFC!$C$30)*KFC!$C$5</f>
        <v>38.299999999999997</v>
      </c>
      <c r="F149" s="300">
        <f>(42.4*KFC!$B$30+KFC!$C$30)*KFC!$C$5</f>
        <v>42.4</v>
      </c>
      <c r="G149" s="300">
        <f>(46.6*KFC!$B$30+KFC!$C$30)*KFC!$C$5</f>
        <v>46.6</v>
      </c>
      <c r="H149" s="300">
        <f>(50.7*KFC!$B$30+KFC!$C$30)*KFC!$C$5</f>
        <v>50.7</v>
      </c>
      <c r="I149" s="300">
        <f>(54.9*KFC!$B$30+KFC!$C$30)*KFC!$C$5</f>
        <v>54.9</v>
      </c>
      <c r="J149" s="300">
        <f>(59.1*KFC!$B$30+KFC!$C$30)*KFC!$C$5</f>
        <v>59.1</v>
      </c>
      <c r="K149" s="300">
        <f>(63.2*KFC!$B$30+KFC!$C$30)*KFC!$C$5</f>
        <v>63.2</v>
      </c>
      <c r="L149" s="300">
        <f>(67.4*KFC!$B$30+KFC!$C$30)*KFC!$C$5</f>
        <v>67.400000000000006</v>
      </c>
      <c r="M149" s="300">
        <f>(71.6*KFC!$B$30+KFC!$C$30)*KFC!$C$5</f>
        <v>71.599999999999994</v>
      </c>
      <c r="N149" s="300">
        <f>(75.7*KFC!$B$30+KFC!$C$30)*KFC!$C$5</f>
        <v>75.7</v>
      </c>
      <c r="O149" s="300">
        <f>(79.9*KFC!$B$30+KFC!$C$30)*KFC!$C$5</f>
        <v>79.900000000000006</v>
      </c>
      <c r="P149" s="300">
        <f>(84*KFC!$B$30+KFC!$C$30)*KFC!$C$5</f>
        <v>84</v>
      </c>
      <c r="Q149" s="300">
        <f>(88.2*KFC!$B$30+KFC!$C$30)*KFC!$C$5</f>
        <v>88.2</v>
      </c>
      <c r="R149" s="300">
        <f>(92.4*KFC!$B$30+KFC!$C$30)*KFC!$C$5</f>
        <v>92.4</v>
      </c>
      <c r="S149" s="300">
        <f>(96.5*KFC!$B$30+KFC!$C$30)*KFC!$C$5</f>
        <v>96.5</v>
      </c>
      <c r="T149" s="300">
        <f>(100.7*KFC!$B$30+KFC!$C$30)*KFC!$C$5</f>
        <v>100.7</v>
      </c>
      <c r="U149" s="300">
        <f>(104.9*KFC!$B$30+KFC!$C$30)*KFC!$C$5</f>
        <v>104.9</v>
      </c>
      <c r="V149" s="300">
        <f>(109*KFC!$B$30+KFC!$C$30)*KFC!$C$5</f>
        <v>109</v>
      </c>
      <c r="W149" s="300">
        <f>(113.2*KFC!$B$30+KFC!$C$30)*KFC!$C$5</f>
        <v>113.2</v>
      </c>
      <c r="X149" s="300">
        <f>(117.3*KFC!$B$30+KFC!$C$30)*KFC!$C$5</f>
        <v>117.3</v>
      </c>
      <c r="Y149" s="300">
        <f>(121.5*KFC!$B$30+KFC!$C$30)*KFC!$C$5</f>
        <v>121.5</v>
      </c>
      <c r="Z149" s="300">
        <f>(125.7*KFC!$B$30+KFC!$C$30)*KFC!$C$5</f>
        <v>125.7</v>
      </c>
      <c r="AA149" s="300">
        <f>(129.8*KFC!$B$30+KFC!$C$30)*KFC!$C$5</f>
        <v>129.80000000000001</v>
      </c>
      <c r="AB149" s="300">
        <f>(134*KFC!$B$30+KFC!$C$30)*KFC!$C$5</f>
        <v>134</v>
      </c>
      <c r="AC149" s="304">
        <f>(138.2*KFC!$B$30+KFC!$C$30)*KFC!$C$5</f>
        <v>138.19999999999999</v>
      </c>
    </row>
    <row r="150" spans="1:29">
      <c r="A150" s="1538"/>
      <c r="B150" s="637">
        <v>2.4</v>
      </c>
      <c r="C150" s="303">
        <f>(30.8*KFC!$B$30+KFC!$C$30)*KFC!$C$5</f>
        <v>30.8</v>
      </c>
      <c r="D150" s="300">
        <f>(35.2*KFC!$B$30+KFC!$C$30)*KFC!$C$5</f>
        <v>35.200000000000003</v>
      </c>
      <c r="E150" s="300">
        <f>(39.5*KFC!$B$30+KFC!$C$30)*KFC!$C$5</f>
        <v>39.5</v>
      </c>
      <c r="F150" s="300">
        <f>(43.8*KFC!$B$30+KFC!$C$30)*KFC!$C$5</f>
        <v>43.8</v>
      </c>
      <c r="G150" s="300">
        <f>(48.2*KFC!$B$30+KFC!$C$30)*KFC!$C$5</f>
        <v>48.2</v>
      </c>
      <c r="H150" s="300">
        <f>(52.5*KFC!$B$30+KFC!$C$30)*KFC!$C$5</f>
        <v>52.5</v>
      </c>
      <c r="I150" s="300">
        <f>(56.9*KFC!$B$30+KFC!$C$30)*KFC!$C$5</f>
        <v>56.9</v>
      </c>
      <c r="J150" s="300">
        <f>(61.2*KFC!$B$30+KFC!$C$30)*KFC!$C$5</f>
        <v>61.2</v>
      </c>
      <c r="K150" s="300">
        <f>(65.5*KFC!$B$30+KFC!$C$30)*KFC!$C$5</f>
        <v>65.5</v>
      </c>
      <c r="L150" s="300">
        <f>(69.9*KFC!$B$30+KFC!$C$30)*KFC!$C$5</f>
        <v>69.900000000000006</v>
      </c>
      <c r="M150" s="300">
        <f>(74.2*KFC!$B$30+KFC!$C$30)*KFC!$C$5</f>
        <v>74.2</v>
      </c>
      <c r="N150" s="300">
        <f>(78.6*KFC!$B$30+KFC!$C$30)*KFC!$C$5</f>
        <v>78.599999999999994</v>
      </c>
      <c r="O150" s="300">
        <f>(82.9*KFC!$B$30+KFC!$C$30)*KFC!$C$5</f>
        <v>82.9</v>
      </c>
      <c r="P150" s="300">
        <f>(87.2*KFC!$B$30+KFC!$C$30)*KFC!$C$5</f>
        <v>87.2</v>
      </c>
      <c r="Q150" s="300">
        <f>(91.6*KFC!$B$30+KFC!$C$30)*KFC!$C$5</f>
        <v>91.6</v>
      </c>
      <c r="R150" s="300">
        <f>(95.9*KFC!$B$30+KFC!$C$30)*KFC!$C$5</f>
        <v>95.9</v>
      </c>
      <c r="S150" s="300">
        <f>(100.3*KFC!$B$30+KFC!$C$30)*KFC!$C$5</f>
        <v>100.3</v>
      </c>
      <c r="T150" s="300">
        <f>(104.6*KFC!$B$30+KFC!$C$30)*KFC!$C$5</f>
        <v>104.6</v>
      </c>
      <c r="U150" s="300">
        <f>(108.9*KFC!$B$30+KFC!$C$30)*KFC!$C$5</f>
        <v>108.9</v>
      </c>
      <c r="V150" s="300">
        <f>(113.3*KFC!$B$30+KFC!$C$30)*KFC!$C$5</f>
        <v>113.3</v>
      </c>
      <c r="W150" s="300">
        <f>(117.6*KFC!$B$30+KFC!$C$30)*KFC!$C$5</f>
        <v>117.6</v>
      </c>
      <c r="X150" s="300">
        <f>(121.9*KFC!$B$30+KFC!$C$30)*KFC!$C$5</f>
        <v>121.9</v>
      </c>
      <c r="Y150" s="300">
        <f>(126.3*KFC!$B$30+KFC!$C$30)*KFC!$C$5</f>
        <v>126.3</v>
      </c>
      <c r="Z150" s="300">
        <f>(130.6*KFC!$B$30+KFC!$C$30)*KFC!$C$5</f>
        <v>130.6</v>
      </c>
      <c r="AA150" s="300">
        <f>(135*KFC!$B$30+KFC!$C$30)*KFC!$C$5</f>
        <v>135</v>
      </c>
      <c r="AB150" s="300">
        <f>(139.3*KFC!$B$30+KFC!$C$30)*KFC!$C$5</f>
        <v>139.30000000000001</v>
      </c>
      <c r="AC150" s="304">
        <f>(143.6*KFC!$B$30+KFC!$C$30)*KFC!$C$5</f>
        <v>143.6</v>
      </c>
    </row>
    <row r="151" spans="1:29">
      <c r="A151" s="1538"/>
      <c r="B151" s="637">
        <v>2.5</v>
      </c>
      <c r="C151" s="303">
        <f>(31.7*KFC!$B$30+KFC!$C$30)*KFC!$C$5</f>
        <v>31.7</v>
      </c>
      <c r="D151" s="300">
        <f>(36.2*KFC!$B$30+KFC!$C$30)*KFC!$C$5</f>
        <v>36.200000000000003</v>
      </c>
      <c r="E151" s="300">
        <f>(40.8*KFC!$B$30+KFC!$C$30)*KFC!$C$5</f>
        <v>40.799999999999997</v>
      </c>
      <c r="F151" s="300">
        <f>(45.3*KFC!$B$30+KFC!$C$30)*KFC!$C$5</f>
        <v>45.3</v>
      </c>
      <c r="G151" s="300">
        <f>(49.8*KFC!$B$30+KFC!$C$30)*KFC!$C$5</f>
        <v>49.8</v>
      </c>
      <c r="H151" s="300">
        <f>(54.3*KFC!$B$30+KFC!$C$30)*KFC!$C$5</f>
        <v>54.3</v>
      </c>
      <c r="I151" s="300">
        <f>(58.8*KFC!$B$30+KFC!$C$30)*KFC!$C$5</f>
        <v>58.8</v>
      </c>
      <c r="J151" s="300">
        <f>(63.3*KFC!$B$30+KFC!$C$30)*KFC!$C$5</f>
        <v>63.3</v>
      </c>
      <c r="K151" s="300">
        <f>(67.8*KFC!$B$30+KFC!$C$30)*KFC!$C$5</f>
        <v>67.8</v>
      </c>
      <c r="L151" s="300">
        <f>(72.4*KFC!$B$30+KFC!$C$30)*KFC!$C$5</f>
        <v>72.400000000000006</v>
      </c>
      <c r="M151" s="300">
        <f>(76.9*KFC!$B$30+KFC!$C$30)*KFC!$C$5</f>
        <v>76.900000000000006</v>
      </c>
      <c r="N151" s="300">
        <f>(81.4*KFC!$B$30+KFC!$C$30)*KFC!$C$5</f>
        <v>81.400000000000006</v>
      </c>
      <c r="O151" s="300">
        <f>(85.9*KFC!$B$30+KFC!$C$30)*KFC!$C$5</f>
        <v>85.9</v>
      </c>
      <c r="P151" s="300">
        <f>(90.4*KFC!$B$30+KFC!$C$30)*KFC!$C$5</f>
        <v>90.4</v>
      </c>
      <c r="Q151" s="300">
        <f>(94.9*KFC!$B$30+KFC!$C$30)*KFC!$C$5</f>
        <v>94.9</v>
      </c>
      <c r="R151" s="300">
        <f>(99.5*KFC!$B$30+KFC!$C$30)*KFC!$C$5</f>
        <v>99.5</v>
      </c>
      <c r="S151" s="300">
        <f>(104*KFC!$B$30+KFC!$C$30)*KFC!$C$5</f>
        <v>104</v>
      </c>
      <c r="T151" s="300">
        <f>(108.5*KFC!$B$30+KFC!$C$30)*KFC!$C$5</f>
        <v>108.5</v>
      </c>
      <c r="U151" s="300">
        <f>(113*KFC!$B$30+KFC!$C$30)*KFC!$C$5</f>
        <v>113</v>
      </c>
      <c r="V151" s="300">
        <f>(117.5*KFC!$B$30+KFC!$C$30)*KFC!$C$5</f>
        <v>117.5</v>
      </c>
      <c r="W151" s="300">
        <f>(122*KFC!$B$30+KFC!$C$30)*KFC!$C$5</f>
        <v>122</v>
      </c>
      <c r="X151" s="300">
        <f>(126.5*KFC!$B$30+KFC!$C$30)*KFC!$C$5</f>
        <v>126.5</v>
      </c>
      <c r="Y151" s="300">
        <f>(131.1*KFC!$B$30+KFC!$C$30)*KFC!$C$5</f>
        <v>131.1</v>
      </c>
      <c r="Z151" s="300">
        <f>(135.6*KFC!$B$30+KFC!$C$30)*KFC!$C$5</f>
        <v>135.6</v>
      </c>
      <c r="AA151" s="300">
        <f>(140.1*KFC!$B$30+KFC!$C$30)*KFC!$C$5</f>
        <v>140.1</v>
      </c>
      <c r="AB151" s="300">
        <f>(144.6*KFC!$B$30+KFC!$C$30)*KFC!$C$5</f>
        <v>144.6</v>
      </c>
      <c r="AC151" s="304">
        <f>(149.1*KFC!$B$30+KFC!$C$30)*KFC!$C$5</f>
        <v>149.1</v>
      </c>
    </row>
    <row r="152" spans="1:29">
      <c r="A152" s="1538"/>
      <c r="B152" s="637">
        <v>2.6</v>
      </c>
      <c r="C152" s="303">
        <f>(32.6*KFC!$B$30+KFC!$C$30)*KFC!$C$5</f>
        <v>32.6</v>
      </c>
      <c r="D152" s="300">
        <f>(37.3*KFC!$B$30+KFC!$C$30)*KFC!$C$5</f>
        <v>37.299999999999997</v>
      </c>
      <c r="E152" s="300">
        <f>(42*KFC!$B$30+KFC!$C$30)*KFC!$C$5</f>
        <v>42</v>
      </c>
      <c r="F152" s="300">
        <f>(46.7*KFC!$B$30+KFC!$C$30)*KFC!$C$5</f>
        <v>46.7</v>
      </c>
      <c r="G152" s="300">
        <f>(51.4*KFC!$B$30+KFC!$C$30)*KFC!$C$5</f>
        <v>51.4</v>
      </c>
      <c r="H152" s="300">
        <f>(56.1*KFC!$B$30+KFC!$C$30)*KFC!$C$5</f>
        <v>56.1</v>
      </c>
      <c r="I152" s="300">
        <f>(60.8*KFC!$B$30+KFC!$C$30)*KFC!$C$5</f>
        <v>60.8</v>
      </c>
      <c r="J152" s="300">
        <f>(65.5*KFC!$B$30+KFC!$C$30)*KFC!$C$5</f>
        <v>65.5</v>
      </c>
      <c r="K152" s="300">
        <f>(70.2*KFC!$B$30+KFC!$C$30)*KFC!$C$5</f>
        <v>70.2</v>
      </c>
      <c r="L152" s="300">
        <f>(74.8*KFC!$B$30+KFC!$C$30)*KFC!$C$5</f>
        <v>74.8</v>
      </c>
      <c r="M152" s="300">
        <f>(79.5*KFC!$B$30+KFC!$C$30)*KFC!$C$5</f>
        <v>79.5</v>
      </c>
      <c r="N152" s="300">
        <f>(84.2*KFC!$B$30+KFC!$C$30)*KFC!$C$5</f>
        <v>84.2</v>
      </c>
      <c r="O152" s="300">
        <f>(88.9*KFC!$B$30+KFC!$C$30)*KFC!$C$5</f>
        <v>88.9</v>
      </c>
      <c r="P152" s="300">
        <f>(93.6*KFC!$B$30+KFC!$C$30)*KFC!$C$5</f>
        <v>93.6</v>
      </c>
      <c r="Q152" s="300">
        <f>(98.3*KFC!$B$30+KFC!$C$30)*KFC!$C$5</f>
        <v>98.3</v>
      </c>
      <c r="R152" s="300">
        <f>(103*KFC!$B$30+KFC!$C$30)*KFC!$C$5</f>
        <v>103</v>
      </c>
      <c r="S152" s="300">
        <f>(107.7*KFC!$B$30+KFC!$C$30)*KFC!$C$5</f>
        <v>107.7</v>
      </c>
      <c r="T152" s="300">
        <f>(112.4*KFC!$B$30+KFC!$C$30)*KFC!$C$5</f>
        <v>112.4</v>
      </c>
      <c r="U152" s="300">
        <f>(117.1*KFC!$B$30+KFC!$C$30)*KFC!$C$5</f>
        <v>117.1</v>
      </c>
      <c r="V152" s="300">
        <f>(121.8*KFC!$B$30+KFC!$C$30)*KFC!$C$5</f>
        <v>121.8</v>
      </c>
      <c r="W152" s="300">
        <f>(126.5*KFC!$B$30+KFC!$C$30)*KFC!$C$5</f>
        <v>126.5</v>
      </c>
      <c r="X152" s="300">
        <f>(131.1*KFC!$B$30+KFC!$C$30)*KFC!$C$5</f>
        <v>131.1</v>
      </c>
      <c r="Y152" s="300">
        <f>(135.8*KFC!$B$30+KFC!$C$30)*KFC!$C$5</f>
        <v>135.80000000000001</v>
      </c>
      <c r="Z152" s="300">
        <f>(140.5*KFC!$B$30+KFC!$C$30)*KFC!$C$5</f>
        <v>140.5</v>
      </c>
      <c r="AA152" s="300">
        <f>(145.2*KFC!$B$30+KFC!$C$30)*KFC!$C$5</f>
        <v>145.19999999999999</v>
      </c>
      <c r="AB152" s="300">
        <f>(149.9*KFC!$B$30+KFC!$C$30)*KFC!$C$5</f>
        <v>149.9</v>
      </c>
      <c r="AC152" s="304">
        <f>(154.6*KFC!$B$30+KFC!$C$30)*KFC!$C$5</f>
        <v>154.6</v>
      </c>
    </row>
    <row r="153" spans="1:29">
      <c r="A153" s="1538"/>
      <c r="B153" s="637">
        <v>2.7</v>
      </c>
      <c r="C153" s="303">
        <f>(33.5*KFC!$B$30+KFC!$C$30)*KFC!$C$5</f>
        <v>33.5</v>
      </c>
      <c r="D153" s="300">
        <f>(38.4*KFC!$B$30+KFC!$C$30)*KFC!$C$5</f>
        <v>38.4</v>
      </c>
      <c r="E153" s="300">
        <f>(43.3*KFC!$B$30+KFC!$C$30)*KFC!$C$5</f>
        <v>43.3</v>
      </c>
      <c r="F153" s="300">
        <f>(48.1*KFC!$B$30+KFC!$C$30)*KFC!$C$5</f>
        <v>48.1</v>
      </c>
      <c r="G153" s="300">
        <f>(53*KFC!$B$30+KFC!$C$30)*KFC!$C$5</f>
        <v>53</v>
      </c>
      <c r="H153" s="300">
        <f>(57.9*KFC!$B$30+KFC!$C$30)*KFC!$C$5</f>
        <v>57.9</v>
      </c>
      <c r="I153" s="300">
        <f>(62.7*KFC!$B$30+KFC!$C$30)*KFC!$C$5</f>
        <v>62.7</v>
      </c>
      <c r="J153" s="300">
        <f>(67.6*KFC!$B$30+KFC!$C$30)*KFC!$C$5</f>
        <v>67.599999999999994</v>
      </c>
      <c r="K153" s="300">
        <f>(72.5*KFC!$B$30+KFC!$C$30)*KFC!$C$5</f>
        <v>72.5</v>
      </c>
      <c r="L153" s="300">
        <f>(77.3*KFC!$B$30+KFC!$C$30)*KFC!$C$5</f>
        <v>77.3</v>
      </c>
      <c r="M153" s="300">
        <f>(82.2*KFC!$B$30+KFC!$C$30)*KFC!$C$5</f>
        <v>82.2</v>
      </c>
      <c r="N153" s="300">
        <f>(87.1*KFC!$B$30+KFC!$C$30)*KFC!$C$5</f>
        <v>87.1</v>
      </c>
      <c r="O153" s="300">
        <f>(91.9*KFC!$B$30+KFC!$C$30)*KFC!$C$5</f>
        <v>91.9</v>
      </c>
      <c r="P153" s="300">
        <f>(96.8*KFC!$B$30+KFC!$C$30)*KFC!$C$5</f>
        <v>96.8</v>
      </c>
      <c r="Q153" s="300">
        <f>(101.7*KFC!$B$30+KFC!$C$30)*KFC!$C$5</f>
        <v>101.7</v>
      </c>
      <c r="R153" s="300">
        <f>(106.5*KFC!$B$30+KFC!$C$30)*KFC!$C$5</f>
        <v>106.5</v>
      </c>
      <c r="S153" s="300">
        <f>(111.4*KFC!$B$30+KFC!$C$30)*KFC!$C$5</f>
        <v>111.4</v>
      </c>
      <c r="T153" s="300">
        <f>(116.3*KFC!$B$30+KFC!$C$30)*KFC!$C$5</f>
        <v>116.3</v>
      </c>
      <c r="U153" s="300">
        <f>(121.1*KFC!$B$30+KFC!$C$30)*KFC!$C$5</f>
        <v>121.1</v>
      </c>
      <c r="V153" s="300">
        <f>(126*KFC!$B$30+KFC!$C$30)*KFC!$C$5</f>
        <v>126</v>
      </c>
      <c r="W153" s="300">
        <f>(130.9*KFC!$B$30+KFC!$C$30)*KFC!$C$5</f>
        <v>130.9</v>
      </c>
      <c r="X153" s="300">
        <f>(135.7*KFC!$B$30+KFC!$C$30)*KFC!$C$5</f>
        <v>135.69999999999999</v>
      </c>
      <c r="Y153" s="300">
        <f>(140.6*KFC!$B$30+KFC!$C$30)*KFC!$C$5</f>
        <v>140.6</v>
      </c>
      <c r="Z153" s="300">
        <f>(145.5*KFC!$B$30+KFC!$C$30)*KFC!$C$5</f>
        <v>145.5</v>
      </c>
      <c r="AA153" s="300">
        <f>(150.4*KFC!$B$30+KFC!$C$30)*KFC!$C$5</f>
        <v>150.4</v>
      </c>
      <c r="AB153" s="300">
        <f>(155.2*KFC!$B$30+KFC!$C$30)*KFC!$C$5</f>
        <v>155.19999999999999</v>
      </c>
      <c r="AC153" s="304">
        <f>(160.1*KFC!$B$30+KFC!$C$30)*KFC!$C$5</f>
        <v>160.1</v>
      </c>
    </row>
    <row r="154" spans="1:29">
      <c r="A154" s="1538"/>
      <c r="B154" s="637">
        <v>2.8</v>
      </c>
      <c r="C154" s="303">
        <f>(34.4*KFC!$B$30+KFC!$C$30)*KFC!$C$5</f>
        <v>34.4</v>
      </c>
      <c r="D154" s="300">
        <f>(39.5*KFC!$B$30+KFC!$C$30)*KFC!$C$5</f>
        <v>39.5</v>
      </c>
      <c r="E154" s="300">
        <f>(44.5*KFC!$B$30+KFC!$C$30)*KFC!$C$5</f>
        <v>44.5</v>
      </c>
      <c r="F154" s="300">
        <f>(49.5*KFC!$B$30+KFC!$C$30)*KFC!$C$5</f>
        <v>49.5</v>
      </c>
      <c r="G154" s="300">
        <f>(54.6*KFC!$B$30+KFC!$C$30)*KFC!$C$5</f>
        <v>54.6</v>
      </c>
      <c r="H154" s="300">
        <f>(59.6*KFC!$B$30+KFC!$C$30)*KFC!$C$5</f>
        <v>59.6</v>
      </c>
      <c r="I154" s="300">
        <f>(64.7*KFC!$B$30+KFC!$C$30)*KFC!$C$5</f>
        <v>64.7</v>
      </c>
      <c r="J154" s="300">
        <f>(69.7*KFC!$B$30+KFC!$C$30)*KFC!$C$5</f>
        <v>69.7</v>
      </c>
      <c r="K154" s="300">
        <f>(74.8*KFC!$B$30+KFC!$C$30)*KFC!$C$5</f>
        <v>74.8</v>
      </c>
      <c r="L154" s="300">
        <f>(79.8*KFC!$B$30+KFC!$C$30)*KFC!$C$5</f>
        <v>79.8</v>
      </c>
      <c r="M154" s="300">
        <f>(84.9*KFC!$B$30+KFC!$C$30)*KFC!$C$5</f>
        <v>84.9</v>
      </c>
      <c r="N154" s="300">
        <f>(89.9*KFC!$B$30+KFC!$C$30)*KFC!$C$5</f>
        <v>89.9</v>
      </c>
      <c r="O154" s="300">
        <f>(94.9*KFC!$B$30+KFC!$C$30)*KFC!$C$5</f>
        <v>94.9</v>
      </c>
      <c r="P154" s="300">
        <f>(100*KFC!$B$30+KFC!$C$30)*KFC!$C$5</f>
        <v>100</v>
      </c>
      <c r="Q154" s="300">
        <f>(105*KFC!$B$30+KFC!$C$30)*KFC!$C$5</f>
        <v>105</v>
      </c>
      <c r="R154" s="300">
        <f>(110.1*KFC!$B$30+KFC!$C$30)*KFC!$C$5</f>
        <v>110.1</v>
      </c>
      <c r="S154" s="300">
        <f>(115.1*KFC!$B$30+KFC!$C$30)*KFC!$C$5</f>
        <v>115.1</v>
      </c>
      <c r="T154" s="300">
        <f>(120.2*KFC!$B$30+KFC!$C$30)*KFC!$C$5</f>
        <v>120.2</v>
      </c>
      <c r="U154" s="300">
        <f>(125.2*KFC!$B$30+KFC!$C$30)*KFC!$C$5</f>
        <v>125.2</v>
      </c>
      <c r="V154" s="300">
        <f>(130.3*KFC!$B$30+KFC!$C$30)*KFC!$C$5</f>
        <v>130.30000000000001</v>
      </c>
      <c r="W154" s="300">
        <f>(135.3*KFC!$B$30+KFC!$C$30)*KFC!$C$5</f>
        <v>135.30000000000001</v>
      </c>
      <c r="X154" s="300">
        <f>(140.3*KFC!$B$30+KFC!$C$30)*KFC!$C$5</f>
        <v>140.30000000000001</v>
      </c>
      <c r="Y154" s="300">
        <f>(145.4*KFC!$B$30+KFC!$C$30)*KFC!$C$5</f>
        <v>145.4</v>
      </c>
      <c r="Z154" s="300">
        <f>(150.4*KFC!$B$30+KFC!$C$30)*KFC!$C$5</f>
        <v>150.4</v>
      </c>
      <c r="AA154" s="300">
        <f>(155.5*KFC!$B$30+KFC!$C$30)*KFC!$C$5</f>
        <v>155.5</v>
      </c>
      <c r="AB154" s="300">
        <f>(160.5*KFC!$B$30+KFC!$C$30)*KFC!$C$5</f>
        <v>160.5</v>
      </c>
      <c r="AC154" s="304">
        <f>(165.6*KFC!$B$30+KFC!$C$30)*KFC!$C$5</f>
        <v>165.6</v>
      </c>
    </row>
    <row r="155" spans="1:29">
      <c r="A155" s="1538"/>
      <c r="B155" s="637">
        <v>2.9</v>
      </c>
      <c r="C155" s="303">
        <f>(35.3*KFC!$B$30+KFC!$C$30)*KFC!$C$5</f>
        <v>35.299999999999997</v>
      </c>
      <c r="D155" s="300">
        <f>(40.5*KFC!$B$30+KFC!$C$30)*KFC!$C$5</f>
        <v>40.5</v>
      </c>
      <c r="E155" s="300">
        <f>(45.7*KFC!$B$30+KFC!$C$30)*KFC!$C$5</f>
        <v>45.7</v>
      </c>
      <c r="F155" s="300">
        <f>(51*KFC!$B$30+KFC!$C$30)*KFC!$C$5</f>
        <v>51</v>
      </c>
      <c r="G155" s="300">
        <f>(56.2*KFC!$B$30+KFC!$C$30)*KFC!$C$5</f>
        <v>56.2</v>
      </c>
      <c r="H155" s="300">
        <f>(61.4*KFC!$B$30+KFC!$C$30)*KFC!$C$5</f>
        <v>61.4</v>
      </c>
      <c r="I155" s="300">
        <f>(66.6*KFC!$B$30+KFC!$C$30)*KFC!$C$5</f>
        <v>66.599999999999994</v>
      </c>
      <c r="J155" s="300">
        <f>(71.9*KFC!$B$30+KFC!$C$30)*KFC!$C$5</f>
        <v>71.900000000000006</v>
      </c>
      <c r="K155" s="300">
        <f>(77.1*KFC!$B$30+KFC!$C$30)*KFC!$C$5</f>
        <v>77.099999999999994</v>
      </c>
      <c r="L155" s="300">
        <f>(82.3*KFC!$B$30+KFC!$C$30)*KFC!$C$5</f>
        <v>82.3</v>
      </c>
      <c r="M155" s="300">
        <f>(87.5*KFC!$B$30+KFC!$C$30)*KFC!$C$5</f>
        <v>87.5</v>
      </c>
      <c r="N155" s="300">
        <f>(92.7*KFC!$B$30+KFC!$C$30)*KFC!$C$5</f>
        <v>92.7</v>
      </c>
      <c r="O155" s="300">
        <f>(98*KFC!$B$30+KFC!$C$30)*KFC!$C$5</f>
        <v>98</v>
      </c>
      <c r="P155" s="300">
        <f>(103.2*KFC!$B$30+KFC!$C$30)*KFC!$C$5</f>
        <v>103.2</v>
      </c>
      <c r="Q155" s="300">
        <f>(108.4*KFC!$B$30+KFC!$C$30)*KFC!$C$5</f>
        <v>108.4</v>
      </c>
      <c r="R155" s="300">
        <f>(113.6*KFC!$B$30+KFC!$C$30)*KFC!$C$5</f>
        <v>113.6</v>
      </c>
      <c r="S155" s="300">
        <f>(118.8*KFC!$B$30+KFC!$C$30)*KFC!$C$5</f>
        <v>118.8</v>
      </c>
      <c r="T155" s="300">
        <f>(124.1*KFC!$B$30+KFC!$C$30)*KFC!$C$5</f>
        <v>124.1</v>
      </c>
      <c r="U155" s="300">
        <f>(129.3*KFC!$B$30+KFC!$C$30)*KFC!$C$5</f>
        <v>129.30000000000001</v>
      </c>
      <c r="V155" s="300">
        <f>(134.5*KFC!$B$30+KFC!$C$30)*KFC!$C$5</f>
        <v>134.5</v>
      </c>
      <c r="W155" s="300">
        <f>(139.7*KFC!$B$30+KFC!$C$30)*KFC!$C$5</f>
        <v>139.69999999999999</v>
      </c>
      <c r="X155" s="300">
        <f>(144.9*KFC!$B$30+KFC!$C$30)*KFC!$C$5</f>
        <v>144.9</v>
      </c>
      <c r="Y155" s="300">
        <f>(150.2*KFC!$B$30+KFC!$C$30)*KFC!$C$5</f>
        <v>150.19999999999999</v>
      </c>
      <c r="Z155" s="300">
        <f>(155.4*KFC!$B$30+KFC!$C$30)*KFC!$C$5</f>
        <v>155.4</v>
      </c>
      <c r="AA155" s="300">
        <f>(160.6*KFC!$B$30+KFC!$C$30)*KFC!$C$5</f>
        <v>160.6</v>
      </c>
      <c r="AB155" s="300">
        <f>(165.8*KFC!$B$30+KFC!$C$30)*KFC!$C$5</f>
        <v>165.8</v>
      </c>
      <c r="AC155" s="304">
        <f>(171.1*KFC!$B$30+KFC!$C$30)*KFC!$C$5</f>
        <v>171.1</v>
      </c>
    </row>
    <row r="156" spans="1:29">
      <c r="A156" s="1538"/>
      <c r="B156" s="637">
        <v>3</v>
      </c>
      <c r="C156" s="303">
        <f>(36.2*KFC!$B$30+KFC!$C$30)*KFC!$C$5</f>
        <v>36.200000000000003</v>
      </c>
      <c r="D156" s="300">
        <f>(41.6*KFC!$B$30+KFC!$C$30)*KFC!$C$5</f>
        <v>41.6</v>
      </c>
      <c r="E156" s="300">
        <f>(47*KFC!$B$30+KFC!$C$30)*KFC!$C$5</f>
        <v>47</v>
      </c>
      <c r="F156" s="300">
        <f>(52.4*KFC!$B$30+KFC!$C$30)*KFC!$C$5</f>
        <v>52.4</v>
      </c>
      <c r="G156" s="300">
        <f>(57.8*KFC!$B$30+KFC!$C$30)*KFC!$C$5</f>
        <v>57.8</v>
      </c>
      <c r="H156" s="300">
        <f>(63.2*KFC!$B$30+KFC!$C$30)*KFC!$C$5</f>
        <v>63.2</v>
      </c>
      <c r="I156" s="300">
        <f>(68.6*KFC!$B$30+KFC!$C$30)*KFC!$C$5</f>
        <v>68.599999999999994</v>
      </c>
      <c r="J156" s="300">
        <f>(74*KFC!$B$30+KFC!$C$30)*KFC!$C$5</f>
        <v>74</v>
      </c>
      <c r="K156" s="300">
        <f>(79.4*KFC!$B$30+KFC!$C$30)*KFC!$C$5</f>
        <v>79.400000000000006</v>
      </c>
      <c r="L156" s="300">
        <f>(84.8*KFC!$B$30+KFC!$C$30)*KFC!$C$5</f>
        <v>84.8</v>
      </c>
      <c r="M156" s="300">
        <f>(90.2*KFC!$B$30+KFC!$C$30)*KFC!$C$5</f>
        <v>90.2</v>
      </c>
      <c r="N156" s="300">
        <f>(95.6*KFC!$B$30+KFC!$C$30)*KFC!$C$5</f>
        <v>95.6</v>
      </c>
      <c r="O156" s="300">
        <f>(101*KFC!$B$30+KFC!$C$30)*KFC!$C$5</f>
        <v>101</v>
      </c>
      <c r="P156" s="300">
        <f>(106.4*KFC!$B$30+KFC!$C$30)*KFC!$C$5</f>
        <v>106.4</v>
      </c>
      <c r="Q156" s="300">
        <f>(111.8*KFC!$B$30+KFC!$C$30)*KFC!$C$5</f>
        <v>111.8</v>
      </c>
      <c r="R156" s="300">
        <f>(117.2*KFC!$B$30+KFC!$C$30)*KFC!$C$5</f>
        <v>117.2</v>
      </c>
      <c r="S156" s="300">
        <f>(122.6*KFC!$B$30+KFC!$C$30)*KFC!$C$5</f>
        <v>122.6</v>
      </c>
      <c r="T156" s="300">
        <f>(128*KFC!$B$30+KFC!$C$30)*KFC!$C$5</f>
        <v>128</v>
      </c>
      <c r="U156" s="300">
        <f>(133.4*KFC!$B$30+KFC!$C$30)*KFC!$C$5</f>
        <v>133.4</v>
      </c>
      <c r="V156" s="300">
        <f>(138.8*KFC!$B$30+KFC!$C$30)*KFC!$C$5</f>
        <v>138.80000000000001</v>
      </c>
      <c r="W156" s="300">
        <f>(144.2*KFC!$B$30+KFC!$C$30)*KFC!$C$5</f>
        <v>144.19999999999999</v>
      </c>
      <c r="X156" s="300">
        <f>(149.5*KFC!$B$30+KFC!$C$30)*KFC!$C$5</f>
        <v>149.5</v>
      </c>
      <c r="Y156" s="300">
        <f>(154.9*KFC!$B$30+KFC!$C$30)*KFC!$C$5</f>
        <v>154.9</v>
      </c>
      <c r="Z156" s="300">
        <f>(160.3*KFC!$B$30+KFC!$C$30)*KFC!$C$5</f>
        <v>160.30000000000001</v>
      </c>
      <c r="AA156" s="300">
        <f>(165.7*KFC!$B$30+KFC!$C$30)*KFC!$C$5</f>
        <v>165.7</v>
      </c>
      <c r="AB156" s="300">
        <f>(171.1*KFC!$B$30+KFC!$C$30)*KFC!$C$5</f>
        <v>171.1</v>
      </c>
      <c r="AC156" s="304">
        <f>(176.5*KFC!$B$30+KFC!$C$30)*KFC!$C$5</f>
        <v>176.5</v>
      </c>
    </row>
    <row r="157" spans="1:29">
      <c r="A157" s="1538"/>
      <c r="B157" s="637">
        <v>3.1</v>
      </c>
      <c r="C157" s="303">
        <f>(37.1*KFC!$B$30+KFC!$C$30)*KFC!$C$5</f>
        <v>37.1</v>
      </c>
      <c r="D157" s="300">
        <f>(42.7*KFC!$B$30+KFC!$C$30)*KFC!$C$5</f>
        <v>42.7</v>
      </c>
      <c r="E157" s="300">
        <f>(48.2*KFC!$B$30+KFC!$C$30)*KFC!$C$5</f>
        <v>48.2</v>
      </c>
      <c r="F157" s="300">
        <f>(53.8*KFC!$B$30+KFC!$C$30)*KFC!$C$5</f>
        <v>53.8</v>
      </c>
      <c r="G157" s="300">
        <f>(59.4*KFC!$B$30+KFC!$C$30)*KFC!$C$5</f>
        <v>59.4</v>
      </c>
      <c r="H157" s="300">
        <f>(65*KFC!$B$30+KFC!$C$30)*KFC!$C$5</f>
        <v>65</v>
      </c>
      <c r="I157" s="300">
        <f>(70.5*KFC!$B$30+KFC!$C$30)*KFC!$C$5</f>
        <v>70.5</v>
      </c>
      <c r="J157" s="300">
        <f>(76.1*KFC!$B$30+KFC!$C$30)*KFC!$C$5</f>
        <v>76.099999999999994</v>
      </c>
      <c r="K157" s="300">
        <f>(81.7*KFC!$B$30+KFC!$C$30)*KFC!$C$5</f>
        <v>81.7</v>
      </c>
      <c r="L157" s="300">
        <f>(87.3*KFC!$B$30+KFC!$C$30)*KFC!$C$5</f>
        <v>87.3</v>
      </c>
      <c r="M157" s="300">
        <f>(92.8*KFC!$B$30+KFC!$C$30)*KFC!$C$5</f>
        <v>92.8</v>
      </c>
      <c r="N157" s="300">
        <f>(98.4*KFC!$B$30+KFC!$C$30)*KFC!$C$5</f>
        <v>98.4</v>
      </c>
      <c r="O157" s="300">
        <f>(104*KFC!$B$30+KFC!$C$30)*KFC!$C$5</f>
        <v>104</v>
      </c>
      <c r="P157" s="300">
        <f>(109.6*KFC!$B$30+KFC!$C$30)*KFC!$C$5</f>
        <v>109.6</v>
      </c>
      <c r="Q157" s="300">
        <f>(115.1*KFC!$B$30+KFC!$C$30)*KFC!$C$5</f>
        <v>115.1</v>
      </c>
      <c r="R157" s="300">
        <f>(120.7*KFC!$B$30+KFC!$C$30)*KFC!$C$5</f>
        <v>120.7</v>
      </c>
      <c r="S157" s="300">
        <f>(126.3*KFC!$B$30+KFC!$C$30)*KFC!$C$5</f>
        <v>126.3</v>
      </c>
      <c r="T157" s="300">
        <f>(131.9*KFC!$B$30+KFC!$C$30)*KFC!$C$5</f>
        <v>131.9</v>
      </c>
      <c r="U157" s="300">
        <f>(137.4*KFC!$B$30+KFC!$C$30)*KFC!$C$5</f>
        <v>137.4</v>
      </c>
      <c r="V157" s="300">
        <f>(143*KFC!$B$30+KFC!$C$30)*KFC!$C$5</f>
        <v>143</v>
      </c>
      <c r="W157" s="300">
        <f>(148.6*KFC!$B$30+KFC!$C$30)*KFC!$C$5</f>
        <v>148.6</v>
      </c>
      <c r="X157" s="300">
        <f>(154.1*KFC!$B$30+KFC!$C$30)*KFC!$C$5</f>
        <v>154.1</v>
      </c>
      <c r="Y157" s="300">
        <f>(159.7*KFC!$B$30+KFC!$C$30)*KFC!$C$5</f>
        <v>159.69999999999999</v>
      </c>
      <c r="Z157" s="300">
        <f>(165.3*KFC!$B$30+KFC!$C$30)*KFC!$C$5</f>
        <v>165.3</v>
      </c>
      <c r="AA157" s="300">
        <f>(170.9*KFC!$B$30+KFC!$C$30)*KFC!$C$5</f>
        <v>170.9</v>
      </c>
      <c r="AB157" s="300">
        <f>(176.4*KFC!$B$30+KFC!$C$30)*KFC!$C$5</f>
        <v>176.4</v>
      </c>
      <c r="AC157" s="304">
        <f>(182*KFC!$B$30+KFC!$C$30)*KFC!$C$5</f>
        <v>182</v>
      </c>
    </row>
    <row r="158" spans="1:29">
      <c r="A158" s="1538"/>
      <c r="B158" s="637">
        <v>3.2</v>
      </c>
      <c r="C158" s="303">
        <f>(38*KFC!$B$30+KFC!$C$30)*KFC!$C$5</f>
        <v>38</v>
      </c>
      <c r="D158" s="300">
        <f>(43.7*KFC!$B$30+KFC!$C$30)*KFC!$C$5</f>
        <v>43.7</v>
      </c>
      <c r="E158" s="300">
        <f>(49.5*KFC!$B$30+KFC!$C$30)*KFC!$C$5</f>
        <v>49.5</v>
      </c>
      <c r="F158" s="300">
        <f>(55.2*KFC!$B$30+KFC!$C$30)*KFC!$C$5</f>
        <v>55.2</v>
      </c>
      <c r="G158" s="300">
        <f>(61*KFC!$B$30+KFC!$C$30)*KFC!$C$5</f>
        <v>61</v>
      </c>
      <c r="H158" s="300">
        <f>(66.7*KFC!$B$30+KFC!$C$30)*KFC!$C$5</f>
        <v>66.7</v>
      </c>
      <c r="I158" s="300">
        <f>(72.5*KFC!$B$30+KFC!$C$30)*KFC!$C$5</f>
        <v>72.5</v>
      </c>
      <c r="J158" s="300">
        <f>(78.2*KFC!$B$30+KFC!$C$30)*KFC!$C$5</f>
        <v>78.2</v>
      </c>
      <c r="K158" s="300">
        <f>(84*KFC!$B$30+KFC!$C$30)*KFC!$C$5</f>
        <v>84</v>
      </c>
      <c r="L158" s="300">
        <f>(89.7*KFC!$B$30+KFC!$C$30)*KFC!$C$5</f>
        <v>89.7</v>
      </c>
      <c r="M158" s="300">
        <f>(95.5*KFC!$B$30+KFC!$C$30)*KFC!$C$5</f>
        <v>95.5</v>
      </c>
      <c r="N158" s="300">
        <f>(101.2*KFC!$B$30+KFC!$C$30)*KFC!$C$5</f>
        <v>101.2</v>
      </c>
      <c r="O158" s="300">
        <f>(107*KFC!$B$30+KFC!$C$30)*KFC!$C$5</f>
        <v>107</v>
      </c>
      <c r="P158" s="300">
        <f>(112.7*KFC!$B$30+KFC!$C$30)*KFC!$C$5</f>
        <v>112.7</v>
      </c>
      <c r="Q158" s="300">
        <f>(118.5*KFC!$B$30+KFC!$C$30)*KFC!$C$5</f>
        <v>118.5</v>
      </c>
      <c r="R158" s="300">
        <f>(124.2*KFC!$B$30+KFC!$C$30)*KFC!$C$5</f>
        <v>124.2</v>
      </c>
      <c r="S158" s="300">
        <f>(130*KFC!$B$30+KFC!$C$30)*KFC!$C$5</f>
        <v>130</v>
      </c>
      <c r="T158" s="300">
        <f>(135.7*KFC!$B$30+KFC!$C$30)*KFC!$C$5</f>
        <v>135.69999999999999</v>
      </c>
      <c r="U158" s="300">
        <f>(141.5*KFC!$B$30+KFC!$C$30)*KFC!$C$5</f>
        <v>141.5</v>
      </c>
      <c r="V158" s="300">
        <f>(147.2*KFC!$B$30+KFC!$C$30)*KFC!$C$5</f>
        <v>147.19999999999999</v>
      </c>
      <c r="W158" s="300">
        <f>(153*KFC!$B$30+KFC!$C$30)*KFC!$C$5</f>
        <v>153</v>
      </c>
      <c r="X158" s="300">
        <f>(158.7*KFC!$B$30+KFC!$C$30)*KFC!$C$5</f>
        <v>158.69999999999999</v>
      </c>
      <c r="Y158" s="300">
        <f>(164.5*KFC!$B$30+KFC!$C$30)*KFC!$C$5</f>
        <v>164.5</v>
      </c>
      <c r="Z158" s="300">
        <f>(170.2*KFC!$B$30+KFC!$C$30)*KFC!$C$5</f>
        <v>170.2</v>
      </c>
      <c r="AA158" s="300">
        <f>(176*KFC!$B$30+KFC!$C$30)*KFC!$C$5</f>
        <v>176</v>
      </c>
      <c r="AB158" s="300">
        <f>(181.7*KFC!$B$30+KFC!$C$30)*KFC!$C$5</f>
        <v>181.7</v>
      </c>
      <c r="AC158" s="304">
        <f>(187.5*KFC!$B$30+KFC!$C$30)*KFC!$C$5</f>
        <v>187.5</v>
      </c>
    </row>
    <row r="159" spans="1:29">
      <c r="A159" s="1538"/>
      <c r="B159" s="637">
        <v>3.3</v>
      </c>
      <c r="C159" s="303">
        <f>(38.9*KFC!$B$30+KFC!$C$30)*KFC!$C$5</f>
        <v>38.9</v>
      </c>
      <c r="D159" s="300">
        <f>(44.8*KFC!$B$30+KFC!$C$30)*KFC!$C$5</f>
        <v>44.8</v>
      </c>
      <c r="E159" s="300">
        <f>(50.7*KFC!$B$30+KFC!$C$30)*KFC!$C$5</f>
        <v>50.7</v>
      </c>
      <c r="F159" s="300">
        <f>(56.7*KFC!$B$30+KFC!$C$30)*KFC!$C$5</f>
        <v>56.7</v>
      </c>
      <c r="G159" s="300">
        <f>(62.6*KFC!$B$30+KFC!$C$30)*KFC!$C$5</f>
        <v>62.6</v>
      </c>
      <c r="H159" s="300">
        <f>(68.5*KFC!$B$30+KFC!$C$30)*KFC!$C$5</f>
        <v>68.5</v>
      </c>
      <c r="I159" s="300">
        <f>(74.4*KFC!$B$30+KFC!$C$30)*KFC!$C$5</f>
        <v>74.400000000000006</v>
      </c>
      <c r="J159" s="300">
        <f>(80.4*KFC!$B$30+KFC!$C$30)*KFC!$C$5</f>
        <v>80.400000000000006</v>
      </c>
      <c r="K159" s="300">
        <f>(86.3*KFC!$B$30+KFC!$C$30)*KFC!$C$5</f>
        <v>86.3</v>
      </c>
      <c r="L159" s="300">
        <f>(92.2*KFC!$B$30+KFC!$C$30)*KFC!$C$5</f>
        <v>92.2</v>
      </c>
      <c r="M159" s="300">
        <f>(98.2*KFC!$B$30+KFC!$C$30)*KFC!$C$5</f>
        <v>98.2</v>
      </c>
      <c r="N159" s="300">
        <f>(104.1*KFC!$B$30+KFC!$C$30)*KFC!$C$5</f>
        <v>104.1</v>
      </c>
      <c r="O159" s="300">
        <f>(110*KFC!$B$30+KFC!$C$30)*KFC!$C$5</f>
        <v>110</v>
      </c>
      <c r="P159" s="300">
        <f>(115.9*KFC!$B$30+KFC!$C$30)*KFC!$C$5</f>
        <v>115.9</v>
      </c>
      <c r="Q159" s="300">
        <f>(121.9*KFC!$B$30+KFC!$C$30)*KFC!$C$5</f>
        <v>121.9</v>
      </c>
      <c r="R159" s="300">
        <f>(127.8*KFC!$B$30+KFC!$C$30)*KFC!$C$5</f>
        <v>127.8</v>
      </c>
      <c r="S159" s="300">
        <f>(133.7*KFC!$B$30+KFC!$C$30)*KFC!$C$5</f>
        <v>133.69999999999999</v>
      </c>
      <c r="T159" s="300">
        <f>(139.6*KFC!$B$30+KFC!$C$30)*KFC!$C$5</f>
        <v>139.6</v>
      </c>
      <c r="U159" s="300">
        <f>(145.6*KFC!$B$30+KFC!$C$30)*KFC!$C$5</f>
        <v>145.6</v>
      </c>
      <c r="V159" s="300">
        <f>(151.5*KFC!$B$30+KFC!$C$30)*KFC!$C$5</f>
        <v>151.5</v>
      </c>
      <c r="W159" s="300">
        <f>(157.4*KFC!$B$30+KFC!$C$30)*KFC!$C$5</f>
        <v>157.4</v>
      </c>
      <c r="X159" s="300">
        <f>(163.3*KFC!$B$30+KFC!$C$30)*KFC!$C$5</f>
        <v>163.30000000000001</v>
      </c>
      <c r="Y159" s="300">
        <f>(169.3*KFC!$B$30+KFC!$C$30)*KFC!$C$5</f>
        <v>169.3</v>
      </c>
      <c r="Z159" s="300">
        <f>(175.2*KFC!$B$30+KFC!$C$30)*KFC!$C$5</f>
        <v>175.2</v>
      </c>
      <c r="AA159" s="300">
        <f>(181.1*KFC!$B$30+KFC!$C$30)*KFC!$C$5</f>
        <v>181.1</v>
      </c>
      <c r="AB159" s="300">
        <f>(187.1*KFC!$B$30+KFC!$C$30)*KFC!$C$5</f>
        <v>187.1</v>
      </c>
      <c r="AC159" s="304">
        <f>(193*KFC!$B$30+KFC!$C$30)*KFC!$C$5</f>
        <v>193</v>
      </c>
    </row>
    <row r="160" spans="1:29">
      <c r="A160" s="1538"/>
      <c r="B160" s="637">
        <v>3.4</v>
      </c>
      <c r="C160" s="303">
        <f>(39.8*KFC!$B$30+KFC!$C$30)*KFC!$C$5</f>
        <v>39.799999999999997</v>
      </c>
      <c r="D160" s="300">
        <f>(45.9*KFC!$B$30+KFC!$C$30)*KFC!$C$5</f>
        <v>45.9</v>
      </c>
      <c r="E160" s="300">
        <f>(52*KFC!$B$30+KFC!$C$30)*KFC!$C$5</f>
        <v>52</v>
      </c>
      <c r="F160" s="300">
        <f>(58.1*KFC!$B$30+KFC!$C$30)*KFC!$C$5</f>
        <v>58.1</v>
      </c>
      <c r="G160" s="300">
        <f>(64.2*KFC!$B$30+KFC!$C$30)*KFC!$C$5</f>
        <v>64.2</v>
      </c>
      <c r="H160" s="300">
        <f>(70.3*KFC!$B$30+KFC!$C$30)*KFC!$C$5</f>
        <v>70.3</v>
      </c>
      <c r="I160" s="300">
        <f>(76.4*KFC!$B$30+KFC!$C$30)*KFC!$C$5</f>
        <v>76.400000000000006</v>
      </c>
      <c r="J160" s="300">
        <f>(82.5*KFC!$B$30+KFC!$C$30)*KFC!$C$5</f>
        <v>82.5</v>
      </c>
      <c r="K160" s="300">
        <f>(88.6*KFC!$B$30+KFC!$C$30)*KFC!$C$5</f>
        <v>88.6</v>
      </c>
      <c r="L160" s="300">
        <f>(94.7*KFC!$B$30+KFC!$C$30)*KFC!$C$5</f>
        <v>94.7</v>
      </c>
      <c r="M160" s="300">
        <f>(100.8*KFC!$B$30+KFC!$C$30)*KFC!$C$5</f>
        <v>100.8</v>
      </c>
      <c r="N160" s="300">
        <f>(106.9*KFC!$B$30+KFC!$C$30)*KFC!$C$5</f>
        <v>106.9</v>
      </c>
      <c r="O160" s="300">
        <f>(113*KFC!$B$30+KFC!$C$30)*KFC!$C$5</f>
        <v>113</v>
      </c>
      <c r="P160" s="300">
        <f>(119.1*KFC!$B$30+KFC!$C$30)*KFC!$C$5</f>
        <v>119.1</v>
      </c>
      <c r="Q160" s="300">
        <f>(125.2*KFC!$B$30+KFC!$C$30)*KFC!$C$5</f>
        <v>125.2</v>
      </c>
      <c r="R160" s="300">
        <f>(131.3*KFC!$B$30+KFC!$C$30)*KFC!$C$5</f>
        <v>131.30000000000001</v>
      </c>
      <c r="S160" s="300">
        <f>(137.4*KFC!$B$30+KFC!$C$30)*KFC!$C$5</f>
        <v>137.4</v>
      </c>
      <c r="T160" s="300">
        <f>(143.5*KFC!$B$30+KFC!$C$30)*KFC!$C$5</f>
        <v>143.5</v>
      </c>
      <c r="U160" s="300">
        <f>(149.6*KFC!$B$30+KFC!$C$30)*KFC!$C$5</f>
        <v>149.6</v>
      </c>
      <c r="V160" s="300">
        <f>(155.7*KFC!$B$30+KFC!$C$30)*KFC!$C$5</f>
        <v>155.69999999999999</v>
      </c>
      <c r="W160" s="300">
        <f>(161.8*KFC!$B$30+KFC!$C$30)*KFC!$C$5</f>
        <v>161.80000000000001</v>
      </c>
      <c r="X160" s="300">
        <f>(167.9*KFC!$B$30+KFC!$C$30)*KFC!$C$5</f>
        <v>167.9</v>
      </c>
      <c r="Y160" s="300">
        <f>(174.1*KFC!$B$30+KFC!$C$30)*KFC!$C$5</f>
        <v>174.1</v>
      </c>
      <c r="Z160" s="300">
        <f>(180.2*KFC!$B$30+KFC!$C$30)*KFC!$C$5</f>
        <v>180.2</v>
      </c>
      <c r="AA160" s="300">
        <f>(186.3*KFC!$B$30+KFC!$C$30)*KFC!$C$5</f>
        <v>186.3</v>
      </c>
      <c r="AB160" s="300">
        <f>(192.4*KFC!$B$30+KFC!$C$30)*KFC!$C$5</f>
        <v>192.4</v>
      </c>
      <c r="AC160" s="304">
        <f>(198.5*KFC!$B$30+KFC!$C$30)*KFC!$C$5</f>
        <v>198.5</v>
      </c>
    </row>
    <row r="161" spans="1:29">
      <c r="A161" s="1538"/>
      <c r="B161" s="637">
        <v>3.5</v>
      </c>
      <c r="C161" s="303">
        <f>(40.7*KFC!$B$30+KFC!$C$30)*KFC!$C$5</f>
        <v>40.700000000000003</v>
      </c>
      <c r="D161" s="300">
        <f>(47*KFC!$B$30+KFC!$C$30)*KFC!$C$5</f>
        <v>47</v>
      </c>
      <c r="E161" s="300">
        <f>(53.2*KFC!$B$30+KFC!$C$30)*KFC!$C$5</f>
        <v>53.2</v>
      </c>
      <c r="F161" s="300">
        <f>(59.5*KFC!$B$30+KFC!$C$30)*KFC!$C$5</f>
        <v>59.5</v>
      </c>
      <c r="G161" s="300">
        <f>(65.8*KFC!$B$30+KFC!$C$30)*KFC!$C$5</f>
        <v>65.8</v>
      </c>
      <c r="H161" s="300">
        <f>(72.1*KFC!$B$30+KFC!$C$30)*KFC!$C$5</f>
        <v>72.099999999999994</v>
      </c>
      <c r="I161" s="300">
        <f>(78.4*KFC!$B$30+KFC!$C$30)*KFC!$C$5</f>
        <v>78.400000000000006</v>
      </c>
      <c r="J161" s="300">
        <f>(84.6*KFC!$B$30+KFC!$C$30)*KFC!$C$5</f>
        <v>84.6</v>
      </c>
      <c r="K161" s="300">
        <f>(90.9*KFC!$B$30+KFC!$C$30)*KFC!$C$5</f>
        <v>90.9</v>
      </c>
      <c r="L161" s="300">
        <f>(97.2*KFC!$B$30+KFC!$C$30)*KFC!$C$5</f>
        <v>97.2</v>
      </c>
      <c r="M161" s="300">
        <f>(103.5*KFC!$B$30+KFC!$C$30)*KFC!$C$5</f>
        <v>103.5</v>
      </c>
      <c r="N161" s="300">
        <f>(109.8*KFC!$B$30+KFC!$C$30)*KFC!$C$5</f>
        <v>109.8</v>
      </c>
      <c r="O161" s="300">
        <f>(116*KFC!$B$30+KFC!$C$30)*KFC!$C$5</f>
        <v>116</v>
      </c>
      <c r="P161" s="300">
        <f>(122.3*KFC!$B$30+KFC!$C$30)*KFC!$C$5</f>
        <v>122.3</v>
      </c>
      <c r="Q161" s="300">
        <f>(128.6*KFC!$B$30+KFC!$C$30)*KFC!$C$5</f>
        <v>128.6</v>
      </c>
      <c r="R161" s="300">
        <f>(134.9*KFC!$B$30+KFC!$C$30)*KFC!$C$5</f>
        <v>134.9</v>
      </c>
      <c r="S161" s="300">
        <f>(141.2*KFC!$B$30+KFC!$C$30)*KFC!$C$5</f>
        <v>141.19999999999999</v>
      </c>
      <c r="T161" s="300">
        <f>(147.4*KFC!$B$30+KFC!$C$30)*KFC!$C$5</f>
        <v>147.4</v>
      </c>
      <c r="U161" s="300">
        <f>(153.7*KFC!$B$30+KFC!$C$30)*KFC!$C$5</f>
        <v>153.69999999999999</v>
      </c>
      <c r="V161" s="300">
        <f>(160*KFC!$B$30+KFC!$C$30)*KFC!$C$5</f>
        <v>160</v>
      </c>
      <c r="W161" s="300">
        <f>(166.3*KFC!$B$30+KFC!$C$30)*KFC!$C$5</f>
        <v>166.3</v>
      </c>
      <c r="X161" s="300">
        <f>(172.5*KFC!$B$30+KFC!$C$30)*KFC!$C$5</f>
        <v>172.5</v>
      </c>
      <c r="Y161" s="300">
        <f>(178.8*KFC!$B$30+KFC!$C$30)*KFC!$C$5</f>
        <v>178.8</v>
      </c>
      <c r="Z161" s="300">
        <f>(185.1*KFC!$B$30+KFC!$C$30)*KFC!$C$5</f>
        <v>185.1</v>
      </c>
      <c r="AA161" s="300">
        <f>(191.4*KFC!$B$30+KFC!$C$30)*KFC!$C$5</f>
        <v>191.4</v>
      </c>
      <c r="AB161" s="300">
        <f>(197.7*KFC!$B$30+KFC!$C$30)*KFC!$C$5</f>
        <v>197.7</v>
      </c>
      <c r="AC161" s="304">
        <f>(203.9*KFC!$B$30+KFC!$C$30)*KFC!$C$5</f>
        <v>203.9</v>
      </c>
    </row>
    <row r="162" spans="1:29">
      <c r="A162" s="1538"/>
      <c r="B162" s="637">
        <v>3.6</v>
      </c>
      <c r="C162" s="303">
        <f>(41.6*KFC!$B$30+KFC!$C$30)*KFC!$C$5</f>
        <v>41.6</v>
      </c>
      <c r="D162" s="300">
        <f>(48*KFC!$B$30+KFC!$C$30)*KFC!$C$5</f>
        <v>48</v>
      </c>
      <c r="E162" s="300">
        <f>(54.5*KFC!$B$30+KFC!$C$30)*KFC!$C$5</f>
        <v>54.5</v>
      </c>
      <c r="F162" s="300">
        <f>(60.9*KFC!$B$30+KFC!$C$30)*KFC!$C$5</f>
        <v>60.9</v>
      </c>
      <c r="G162" s="300">
        <f>(67.4*KFC!$B$30+KFC!$C$30)*KFC!$C$5</f>
        <v>67.400000000000006</v>
      </c>
      <c r="H162" s="300">
        <f>(73.9*KFC!$B$30+KFC!$C$30)*KFC!$C$5</f>
        <v>73.900000000000006</v>
      </c>
      <c r="I162" s="300">
        <f>(80.3*KFC!$B$30+KFC!$C$30)*KFC!$C$5</f>
        <v>80.3</v>
      </c>
      <c r="J162" s="300">
        <f>(86.8*KFC!$B$30+KFC!$C$30)*KFC!$C$5</f>
        <v>86.8</v>
      </c>
      <c r="K162" s="300">
        <f>(93.2*KFC!$B$30+KFC!$C$30)*KFC!$C$5</f>
        <v>93.2</v>
      </c>
      <c r="L162" s="300">
        <f>(99.7*KFC!$B$30+KFC!$C$30)*KFC!$C$5</f>
        <v>99.7</v>
      </c>
      <c r="M162" s="300">
        <f>(106.1*KFC!$B$30+KFC!$C$30)*KFC!$C$5</f>
        <v>106.1</v>
      </c>
      <c r="N162" s="300">
        <f>(112.6*KFC!$B$30+KFC!$C$30)*KFC!$C$5</f>
        <v>112.6</v>
      </c>
      <c r="O162" s="300">
        <f>(119*KFC!$B$30+KFC!$C$30)*KFC!$C$5</f>
        <v>119</v>
      </c>
      <c r="P162" s="300">
        <f>(125.5*KFC!$B$30+KFC!$C$30)*KFC!$C$5</f>
        <v>125.5</v>
      </c>
      <c r="Q162" s="300">
        <f>(132*KFC!$B$30+KFC!$C$30)*KFC!$C$5</f>
        <v>132</v>
      </c>
      <c r="R162" s="300">
        <f>(138.4*KFC!$B$30+KFC!$C$30)*KFC!$C$5</f>
        <v>138.4</v>
      </c>
      <c r="S162" s="300">
        <f>(144.9*KFC!$B$30+KFC!$C$30)*KFC!$C$5</f>
        <v>144.9</v>
      </c>
      <c r="T162" s="300">
        <f>(151.3*KFC!$B$30+KFC!$C$30)*KFC!$C$5</f>
        <v>151.30000000000001</v>
      </c>
      <c r="U162" s="300">
        <f>(157.8*KFC!$B$30+KFC!$C$30)*KFC!$C$5</f>
        <v>157.80000000000001</v>
      </c>
      <c r="V162" s="300">
        <f>(164.2*KFC!$B$30+KFC!$C$30)*KFC!$C$5</f>
        <v>164.2</v>
      </c>
      <c r="W162" s="300">
        <f>(170.7*KFC!$B$30+KFC!$C$30)*KFC!$C$5</f>
        <v>170.7</v>
      </c>
      <c r="X162" s="300">
        <f>(177.2*KFC!$B$30+KFC!$C$30)*KFC!$C$5</f>
        <v>177.2</v>
      </c>
      <c r="Y162" s="300">
        <f>(183.6*KFC!$B$30+KFC!$C$30)*KFC!$C$5</f>
        <v>183.6</v>
      </c>
      <c r="Z162" s="300">
        <f>(190.1*KFC!$B$30+KFC!$C$30)*KFC!$C$5</f>
        <v>190.1</v>
      </c>
      <c r="AA162" s="300">
        <f>(196.5*KFC!$B$30+KFC!$C$30)*KFC!$C$5</f>
        <v>196.5</v>
      </c>
      <c r="AB162" s="300">
        <f>(203*KFC!$B$30+KFC!$C$30)*KFC!$C$5</f>
        <v>203</v>
      </c>
      <c r="AC162" s="304">
        <f>(209.4*KFC!$B$30+KFC!$C$30)*KFC!$C$5</f>
        <v>209.4</v>
      </c>
    </row>
    <row r="163" spans="1:29">
      <c r="A163" s="1538"/>
      <c r="B163" s="637">
        <v>3.7</v>
      </c>
      <c r="C163" s="303">
        <f>(42.5*KFC!$B$30+KFC!$C$30)*KFC!$C$5</f>
        <v>42.5</v>
      </c>
      <c r="D163" s="300">
        <f>(49.1*KFC!$B$30+KFC!$C$30)*KFC!$C$5</f>
        <v>49.1</v>
      </c>
      <c r="E163" s="300">
        <f>(55.7*KFC!$B$30+KFC!$C$30)*KFC!$C$5</f>
        <v>55.7</v>
      </c>
      <c r="F163" s="300">
        <f>(62.4*KFC!$B$30+KFC!$C$30)*KFC!$C$5</f>
        <v>62.4</v>
      </c>
      <c r="G163" s="300">
        <f>(69*KFC!$B$30+KFC!$C$30)*KFC!$C$5</f>
        <v>69</v>
      </c>
      <c r="H163" s="300">
        <f>(75.6*KFC!$B$30+KFC!$C$30)*KFC!$C$5</f>
        <v>75.599999999999994</v>
      </c>
      <c r="I163" s="300">
        <f>(82.3*KFC!$B$30+KFC!$C$30)*KFC!$C$5</f>
        <v>82.3</v>
      </c>
      <c r="J163" s="300">
        <f>(88.9*KFC!$B$30+KFC!$C$30)*KFC!$C$5</f>
        <v>88.9</v>
      </c>
      <c r="K163" s="300">
        <f>(95.5*KFC!$B$30+KFC!$C$30)*KFC!$C$5</f>
        <v>95.5</v>
      </c>
      <c r="L163" s="300">
        <f>(102.2*KFC!$B$30+KFC!$C$30)*KFC!$C$5</f>
        <v>102.2</v>
      </c>
      <c r="M163" s="300">
        <f>(108.8*KFC!$B$30+KFC!$C$30)*KFC!$C$5</f>
        <v>108.8</v>
      </c>
      <c r="N163" s="300">
        <f>(115.4*KFC!$B$30+KFC!$C$30)*KFC!$C$5</f>
        <v>115.4</v>
      </c>
      <c r="O163" s="300">
        <f>(122.1*KFC!$B$30+KFC!$C$30)*KFC!$C$5</f>
        <v>122.1</v>
      </c>
      <c r="P163" s="300">
        <f>(128.7*KFC!$B$30+KFC!$C$30)*KFC!$C$5</f>
        <v>128.69999999999999</v>
      </c>
      <c r="Q163" s="300">
        <f>(135.3*KFC!$B$30+KFC!$C$30)*KFC!$C$5</f>
        <v>135.30000000000001</v>
      </c>
      <c r="R163" s="300">
        <f>(142*KFC!$B$30+KFC!$C$30)*KFC!$C$5</f>
        <v>142</v>
      </c>
      <c r="S163" s="300">
        <f>(148.6*KFC!$B$30+KFC!$C$30)*KFC!$C$5</f>
        <v>148.6</v>
      </c>
      <c r="T163" s="300">
        <f>(155.2*KFC!$B$30+KFC!$C$30)*KFC!$C$5</f>
        <v>155.19999999999999</v>
      </c>
      <c r="U163" s="300">
        <f>(161.9*KFC!$B$30+KFC!$C$30)*KFC!$C$5</f>
        <v>161.9</v>
      </c>
      <c r="V163" s="300">
        <f>(168.5*KFC!$B$30+KFC!$C$30)*KFC!$C$5</f>
        <v>168.5</v>
      </c>
      <c r="W163" s="300">
        <f>(175.1*KFC!$B$30+KFC!$C$30)*KFC!$C$5</f>
        <v>175.1</v>
      </c>
      <c r="X163" s="300">
        <f>(181.8*KFC!$B$30+KFC!$C$30)*KFC!$C$5</f>
        <v>181.8</v>
      </c>
      <c r="Y163" s="300">
        <f>(188.4*KFC!$B$30+KFC!$C$30)*KFC!$C$5</f>
        <v>188.4</v>
      </c>
      <c r="Z163" s="300">
        <f>(195*KFC!$B$30+KFC!$C$30)*KFC!$C$5</f>
        <v>195</v>
      </c>
      <c r="AA163" s="300">
        <f>(201.6*KFC!$B$30+KFC!$C$30)*KFC!$C$5</f>
        <v>201.6</v>
      </c>
      <c r="AB163" s="300">
        <f>(208.3*KFC!$B$30+KFC!$C$30)*KFC!$C$5</f>
        <v>208.3</v>
      </c>
      <c r="AC163" s="304">
        <f>(214.9*KFC!$B$30+KFC!$C$30)*KFC!$C$5</f>
        <v>214.9</v>
      </c>
    </row>
    <row r="164" spans="1:29">
      <c r="A164" s="1538"/>
      <c r="B164" s="637">
        <v>3.8</v>
      </c>
      <c r="C164" s="303">
        <f>(43.4*KFC!$B$30+KFC!$C$30)*KFC!$C$5</f>
        <v>43.4</v>
      </c>
      <c r="D164" s="300">
        <f>(50.2*KFC!$B$30+KFC!$C$30)*KFC!$C$5</f>
        <v>50.2</v>
      </c>
      <c r="E164" s="300">
        <f>(57*KFC!$B$30+KFC!$C$30)*KFC!$C$5</f>
        <v>57</v>
      </c>
      <c r="F164" s="300">
        <f>(63.8*KFC!$B$30+KFC!$C$30)*KFC!$C$5</f>
        <v>63.8</v>
      </c>
      <c r="G164" s="300">
        <f>(70.6*KFC!$B$30+KFC!$C$30)*KFC!$C$5</f>
        <v>70.599999999999994</v>
      </c>
      <c r="H164" s="300">
        <f>(77.4*KFC!$B$30+KFC!$C$30)*KFC!$C$5</f>
        <v>77.400000000000006</v>
      </c>
      <c r="I164" s="300">
        <f>(84.2*KFC!$B$30+KFC!$C$30)*KFC!$C$5</f>
        <v>84.2</v>
      </c>
      <c r="J164" s="300">
        <f>(91*KFC!$B$30+KFC!$C$30)*KFC!$C$5</f>
        <v>91</v>
      </c>
      <c r="K164" s="300">
        <f>(97.8*KFC!$B$30+KFC!$C$30)*KFC!$C$5</f>
        <v>97.8</v>
      </c>
      <c r="L164" s="300">
        <f>(104.6*KFC!$B$30+KFC!$C$30)*KFC!$C$5</f>
        <v>104.6</v>
      </c>
      <c r="M164" s="300">
        <f>(111.5*KFC!$B$30+KFC!$C$30)*KFC!$C$5</f>
        <v>111.5</v>
      </c>
      <c r="N164" s="300">
        <f>(118.3*KFC!$B$30+KFC!$C$30)*KFC!$C$5</f>
        <v>118.3</v>
      </c>
      <c r="O164" s="300">
        <f>(125.1*KFC!$B$30+KFC!$C$30)*KFC!$C$5</f>
        <v>125.1</v>
      </c>
      <c r="P164" s="300">
        <f>(131.9*KFC!$B$30+KFC!$C$30)*KFC!$C$5</f>
        <v>131.9</v>
      </c>
      <c r="Q164" s="300">
        <f>(138.7*KFC!$B$30+KFC!$C$30)*KFC!$C$5</f>
        <v>138.69999999999999</v>
      </c>
      <c r="R164" s="300">
        <f>(145.5*KFC!$B$30+KFC!$C$30)*KFC!$C$5</f>
        <v>145.5</v>
      </c>
      <c r="S164" s="300">
        <f>(152.3*KFC!$B$30+KFC!$C$30)*KFC!$C$5</f>
        <v>152.30000000000001</v>
      </c>
      <c r="T164" s="300">
        <f>(159.1*KFC!$B$30+KFC!$C$30)*KFC!$C$5</f>
        <v>159.1</v>
      </c>
      <c r="U164" s="300">
        <f>(165.9*KFC!$B$30+KFC!$C$30)*KFC!$C$5</f>
        <v>165.9</v>
      </c>
      <c r="V164" s="300">
        <f>(172.7*KFC!$B$30+KFC!$C$30)*KFC!$C$5</f>
        <v>172.7</v>
      </c>
      <c r="W164" s="300">
        <f>(179.5*KFC!$B$30+KFC!$C$30)*KFC!$C$5</f>
        <v>179.5</v>
      </c>
      <c r="X164" s="300">
        <f>(186.4*KFC!$B$30+KFC!$C$30)*KFC!$C$5</f>
        <v>186.4</v>
      </c>
      <c r="Y164" s="300">
        <f>(193.2*KFC!$B$30+KFC!$C$30)*KFC!$C$5</f>
        <v>193.2</v>
      </c>
      <c r="Z164" s="300">
        <f>(200*KFC!$B$30+KFC!$C$30)*KFC!$C$5</f>
        <v>200</v>
      </c>
      <c r="AA164" s="300">
        <f>(206.8*KFC!$B$30+KFC!$C$30)*KFC!$C$5</f>
        <v>206.8</v>
      </c>
      <c r="AB164" s="300">
        <f>(213.6*KFC!$B$30+KFC!$C$30)*KFC!$C$5</f>
        <v>213.6</v>
      </c>
      <c r="AC164" s="304">
        <f>(220.4*KFC!$B$30+KFC!$C$30)*KFC!$C$5</f>
        <v>220.4</v>
      </c>
    </row>
    <row r="165" spans="1:29">
      <c r="A165" s="1538"/>
      <c r="B165" s="637">
        <v>3.9</v>
      </c>
      <c r="C165" s="303">
        <f>(44.3*KFC!$B$30+KFC!$C$30)*KFC!$C$5</f>
        <v>44.3</v>
      </c>
      <c r="D165" s="300">
        <f>(51.2*KFC!$B$30+KFC!$C$30)*KFC!$C$5</f>
        <v>51.2</v>
      </c>
      <c r="E165" s="300">
        <f>(58.2*KFC!$B$30+KFC!$C$30)*KFC!$C$5</f>
        <v>58.2</v>
      </c>
      <c r="F165" s="300">
        <f>(65.2*KFC!$B$30+KFC!$C$30)*KFC!$C$5</f>
        <v>65.2</v>
      </c>
      <c r="G165" s="300">
        <f>(72.2*KFC!$B$30+KFC!$C$30)*KFC!$C$5</f>
        <v>72.2</v>
      </c>
      <c r="H165" s="300">
        <f>(79.2*KFC!$B$30+KFC!$C$30)*KFC!$C$5</f>
        <v>79.2</v>
      </c>
      <c r="I165" s="300">
        <f>(86.2*KFC!$B$30+KFC!$C$30)*KFC!$C$5</f>
        <v>86.2</v>
      </c>
      <c r="J165" s="300">
        <f>(93.2*KFC!$B$30+KFC!$C$30)*KFC!$C$5</f>
        <v>93.2</v>
      </c>
      <c r="K165" s="300">
        <f>(100.1*KFC!$B$30+KFC!$C$30)*KFC!$C$5</f>
        <v>100.1</v>
      </c>
      <c r="L165" s="300">
        <f>(107.1*KFC!$B$30+KFC!$C$30)*KFC!$C$5</f>
        <v>107.1</v>
      </c>
      <c r="M165" s="300">
        <f>(114.1*KFC!$B$30+KFC!$C$30)*KFC!$C$5</f>
        <v>114.1</v>
      </c>
      <c r="N165" s="300">
        <f>(121.1*KFC!$B$30+KFC!$C$30)*KFC!$C$5</f>
        <v>121.1</v>
      </c>
      <c r="O165" s="300">
        <f>(128.1*KFC!$B$30+KFC!$C$30)*KFC!$C$5</f>
        <v>128.1</v>
      </c>
      <c r="P165" s="300">
        <f>(135.1*KFC!$B$30+KFC!$C$30)*KFC!$C$5</f>
        <v>135.1</v>
      </c>
      <c r="Q165" s="300">
        <f>(142.1*KFC!$B$30+KFC!$C$30)*KFC!$C$5</f>
        <v>142.1</v>
      </c>
      <c r="R165" s="300">
        <f>(149*KFC!$B$30+KFC!$C$30)*KFC!$C$5</f>
        <v>149</v>
      </c>
      <c r="S165" s="300">
        <f>(156*KFC!$B$30+KFC!$C$30)*KFC!$C$5</f>
        <v>156</v>
      </c>
      <c r="T165" s="300">
        <f>(163*KFC!$B$30+KFC!$C$30)*KFC!$C$5</f>
        <v>163</v>
      </c>
      <c r="U165" s="300">
        <f>(170*KFC!$B$30+KFC!$C$30)*KFC!$C$5</f>
        <v>170</v>
      </c>
      <c r="V165" s="300">
        <f>(177*KFC!$B$30+KFC!$C$30)*KFC!$C$5</f>
        <v>177</v>
      </c>
      <c r="W165" s="300">
        <f>(184*KFC!$B$30+KFC!$C$30)*KFC!$C$5</f>
        <v>184</v>
      </c>
      <c r="X165" s="300">
        <f>(191*KFC!$B$30+KFC!$C$30)*KFC!$C$5</f>
        <v>191</v>
      </c>
      <c r="Y165" s="300">
        <f>(197.9*KFC!$B$30+KFC!$C$30)*KFC!$C$5</f>
        <v>197.9</v>
      </c>
      <c r="Z165" s="300">
        <f>(204.9*KFC!$B$30+KFC!$C$30)*KFC!$C$5</f>
        <v>204.9</v>
      </c>
      <c r="AA165" s="300">
        <f>(211.9*KFC!$B$30+KFC!$C$30)*KFC!$C$5</f>
        <v>211.9</v>
      </c>
      <c r="AB165" s="300">
        <f>(218.9*KFC!$B$30+KFC!$C$30)*KFC!$C$5</f>
        <v>218.9</v>
      </c>
      <c r="AC165" s="304">
        <f>(225.9*KFC!$B$30+KFC!$C$30)*KFC!$C$5</f>
        <v>225.9</v>
      </c>
    </row>
    <row r="166" spans="1:29">
      <c r="A166" s="1538"/>
      <c r="B166" s="637">
        <v>4</v>
      </c>
      <c r="C166" s="303">
        <f>(45.2*KFC!$B$30+KFC!$C$30)*KFC!$C$5</f>
        <v>45.2</v>
      </c>
      <c r="D166" s="300">
        <f>(52.3*KFC!$B$30+KFC!$C$30)*KFC!$C$5</f>
        <v>52.3</v>
      </c>
      <c r="E166" s="300">
        <f>(59.5*KFC!$B$30+KFC!$C$30)*KFC!$C$5</f>
        <v>59.5</v>
      </c>
      <c r="F166" s="300">
        <f>(66.6*KFC!$B$30+KFC!$C$30)*KFC!$C$5</f>
        <v>66.599999999999994</v>
      </c>
      <c r="G166" s="300">
        <f>(73.8*KFC!$B$30+KFC!$C$30)*KFC!$C$5</f>
        <v>73.8</v>
      </c>
      <c r="H166" s="300">
        <f>(81*KFC!$B$30+KFC!$C$30)*KFC!$C$5</f>
        <v>81</v>
      </c>
      <c r="I166" s="300">
        <f>(88.1*KFC!$B$30+KFC!$C$30)*KFC!$C$5</f>
        <v>88.1</v>
      </c>
      <c r="J166" s="300">
        <f>(95.3*KFC!$B$30+KFC!$C$30)*KFC!$C$5</f>
        <v>95.3</v>
      </c>
      <c r="K166" s="300">
        <f>(102.5*KFC!$B$30+KFC!$C$30)*KFC!$C$5</f>
        <v>102.5</v>
      </c>
      <c r="L166" s="300">
        <f>(109.6*KFC!$B$30+KFC!$C$30)*KFC!$C$5</f>
        <v>109.6</v>
      </c>
      <c r="M166" s="300">
        <f>(116.8*KFC!$B$30+KFC!$C$30)*KFC!$C$5</f>
        <v>116.8</v>
      </c>
      <c r="N166" s="300">
        <f>(123.9*KFC!$B$30+KFC!$C$30)*KFC!$C$5</f>
        <v>123.9</v>
      </c>
      <c r="O166" s="300">
        <f>(131.1*KFC!$B$30+KFC!$C$30)*KFC!$C$5</f>
        <v>131.1</v>
      </c>
      <c r="P166" s="300">
        <f>(138.3*KFC!$B$30+KFC!$C$30)*KFC!$C$5</f>
        <v>138.30000000000001</v>
      </c>
      <c r="Q166" s="300">
        <f>(145.4*KFC!$B$30+KFC!$C$30)*KFC!$C$5</f>
        <v>145.4</v>
      </c>
      <c r="R166" s="300">
        <f>(152.6*KFC!$B$30+KFC!$C$30)*KFC!$C$5</f>
        <v>152.6</v>
      </c>
      <c r="S166" s="300">
        <f>(159.7*KFC!$B$30+KFC!$C$30)*KFC!$C$5</f>
        <v>159.69999999999999</v>
      </c>
      <c r="T166" s="300">
        <f>(166.9*KFC!$B$30+KFC!$C$30)*KFC!$C$5</f>
        <v>166.9</v>
      </c>
      <c r="U166" s="300">
        <f>(174.1*KFC!$B$30+KFC!$C$30)*KFC!$C$5</f>
        <v>174.1</v>
      </c>
      <c r="V166" s="300">
        <f>(181.2*KFC!$B$30+KFC!$C$30)*KFC!$C$5</f>
        <v>181.2</v>
      </c>
      <c r="W166" s="300">
        <f>(188.4*KFC!$B$30+KFC!$C$30)*KFC!$C$5</f>
        <v>188.4</v>
      </c>
      <c r="X166" s="300">
        <f>(195.6*KFC!$B$30+KFC!$C$30)*KFC!$C$5</f>
        <v>195.6</v>
      </c>
      <c r="Y166" s="300">
        <f>(202.7*KFC!$B$30+KFC!$C$30)*KFC!$C$5</f>
        <v>202.7</v>
      </c>
      <c r="Z166" s="300">
        <f>(209.9*KFC!$B$30+KFC!$C$30)*KFC!$C$5</f>
        <v>209.9</v>
      </c>
      <c r="AA166" s="300">
        <f>(217*KFC!$B$30+KFC!$C$30)*KFC!$C$5</f>
        <v>217</v>
      </c>
      <c r="AB166" s="300">
        <f>(224.2*KFC!$B$30+KFC!$C$30)*KFC!$C$5</f>
        <v>224.2</v>
      </c>
      <c r="AC166" s="304">
        <f>(231.4*KFC!$B$30+KFC!$C$30)*KFC!$C$5</f>
        <v>231.4</v>
      </c>
    </row>
    <row r="167" spans="1:29" ht="13.8" thickBot="1">
      <c r="A167" s="1539"/>
      <c r="B167" s="638">
        <v>4.05</v>
      </c>
      <c r="C167" s="305">
        <f>(46.1*KFC!$B$30+KFC!$C$30)*KFC!$C$5</f>
        <v>46.1</v>
      </c>
      <c r="D167" s="306">
        <f>(53.4*KFC!$B$30+KFC!$C$30)*KFC!$C$5</f>
        <v>53.4</v>
      </c>
      <c r="E167" s="306">
        <f>(60.7*KFC!$B$30+KFC!$C$30)*KFC!$C$5</f>
        <v>60.7</v>
      </c>
      <c r="F167" s="306">
        <f>(68.1*KFC!$B$30+KFC!$C$30)*KFC!$C$5</f>
        <v>68.099999999999994</v>
      </c>
      <c r="G167" s="306">
        <f>(75.4*KFC!$B$30+KFC!$C$30)*KFC!$C$5</f>
        <v>75.400000000000006</v>
      </c>
      <c r="H167" s="306">
        <f>(82.7*KFC!$B$30+KFC!$C$30)*KFC!$C$5</f>
        <v>82.7</v>
      </c>
      <c r="I167" s="306">
        <f>(90.1*KFC!$B$30+KFC!$C$30)*KFC!$C$5</f>
        <v>90.1</v>
      </c>
      <c r="J167" s="306">
        <f>(97.4*KFC!$B$30+KFC!$C$30)*KFC!$C$5</f>
        <v>97.4</v>
      </c>
      <c r="K167" s="306">
        <f>(104.8*KFC!$B$30+KFC!$C$30)*KFC!$C$5</f>
        <v>104.8</v>
      </c>
      <c r="L167" s="306">
        <f>(112.1*KFC!$B$30+KFC!$C$30)*KFC!$C$5</f>
        <v>112.1</v>
      </c>
      <c r="M167" s="306">
        <f>(119.4*KFC!$B$30+KFC!$C$30)*KFC!$C$5</f>
        <v>119.4</v>
      </c>
      <c r="N167" s="306">
        <f>(126.8*KFC!$B$30+KFC!$C$30)*KFC!$C$5</f>
        <v>126.8</v>
      </c>
      <c r="O167" s="306">
        <f>(134.1*KFC!$B$30+KFC!$C$30)*KFC!$C$5</f>
        <v>134.1</v>
      </c>
      <c r="P167" s="306">
        <f>(141.4*KFC!$B$30+KFC!$C$30)*KFC!$C$5</f>
        <v>141.4</v>
      </c>
      <c r="Q167" s="306">
        <f>(148.8*KFC!$B$30+KFC!$C$30)*KFC!$C$5</f>
        <v>148.80000000000001</v>
      </c>
      <c r="R167" s="306">
        <f>(156.1*KFC!$B$30+KFC!$C$30)*KFC!$C$5</f>
        <v>156.1</v>
      </c>
      <c r="S167" s="306">
        <f>(163.5*KFC!$B$30+KFC!$C$30)*KFC!$C$5</f>
        <v>163.5</v>
      </c>
      <c r="T167" s="306">
        <f>(170.8*KFC!$B$30+KFC!$C$30)*KFC!$C$5</f>
        <v>170.8</v>
      </c>
      <c r="U167" s="306">
        <f>(178.1*KFC!$B$30+KFC!$C$30)*KFC!$C$5</f>
        <v>178.1</v>
      </c>
      <c r="V167" s="300">
        <f>(185.5*KFC!$B$30+KFC!$C$30)*KFC!$C$5</f>
        <v>185.5</v>
      </c>
      <c r="W167" s="306">
        <f>(192.8*KFC!$B$30+KFC!$C$30)*KFC!$C$5</f>
        <v>192.8</v>
      </c>
      <c r="X167" s="306">
        <f>(200.2*KFC!$B$30+KFC!$C$30)*KFC!$C$5</f>
        <v>200.2</v>
      </c>
      <c r="Y167" s="306">
        <f>(207.5*KFC!$B$30+KFC!$C$30)*KFC!$C$5</f>
        <v>207.5</v>
      </c>
      <c r="Z167" s="306">
        <f>(214.8*KFC!$B$30+KFC!$C$30)*KFC!$C$5</f>
        <v>214.8</v>
      </c>
      <c r="AA167" s="306">
        <f>(222.2*KFC!$B$30+KFC!$C$30)*KFC!$C$5</f>
        <v>222.2</v>
      </c>
      <c r="AB167" s="306">
        <f>(229.5*KFC!$B$30+KFC!$C$30)*KFC!$C$5</f>
        <v>229.5</v>
      </c>
      <c r="AC167" s="307">
        <f>(236.8*KFC!$B$30+KFC!$C$30)*KFC!$C$5</f>
        <v>236.8</v>
      </c>
    </row>
    <row r="168" spans="1:29" ht="13.8" thickBot="1">
      <c r="A168" s="216"/>
      <c r="B168" s="216"/>
      <c r="C168" s="215"/>
      <c r="D168" s="215"/>
      <c r="E168" s="215"/>
      <c r="F168" s="215"/>
      <c r="G168" s="215"/>
      <c r="H168" s="215"/>
      <c r="I168" s="215"/>
      <c r="J168" s="215"/>
      <c r="K168" s="215"/>
      <c r="L168" s="215"/>
      <c r="M168" s="215"/>
      <c r="N168" s="215"/>
      <c r="O168" s="215"/>
      <c r="P168" s="215"/>
      <c r="Q168" s="215"/>
      <c r="R168" s="215"/>
      <c r="S168" s="215"/>
      <c r="T168" s="215"/>
      <c r="U168" s="215"/>
      <c r="V168" s="215"/>
      <c r="W168" s="215"/>
      <c r="X168" s="215"/>
      <c r="Y168" s="215"/>
      <c r="Z168" s="215"/>
      <c r="AA168" s="215"/>
      <c r="AB168" s="215"/>
      <c r="AC168" s="215"/>
    </row>
    <row r="169" spans="1:29" ht="13.5" customHeight="1" thickBot="1">
      <c r="A169" s="1413" t="s">
        <v>319</v>
      </c>
      <c r="B169" s="1542"/>
      <c r="C169" s="1787" t="s">
        <v>207</v>
      </c>
      <c r="D169" s="1788"/>
      <c r="E169" s="1788"/>
      <c r="F169" s="1788"/>
      <c r="G169" s="1788"/>
      <c r="H169" s="1788"/>
      <c r="I169" s="1788"/>
      <c r="J169" s="1788"/>
      <c r="K169" s="1788"/>
      <c r="L169" s="1788"/>
      <c r="M169" s="1788"/>
      <c r="N169" s="1788"/>
      <c r="O169" s="1788"/>
      <c r="P169" s="1788"/>
      <c r="Q169" s="1788"/>
      <c r="R169" s="1788"/>
      <c r="S169" s="1788"/>
      <c r="T169" s="1788"/>
      <c r="U169" s="1788"/>
      <c r="V169" s="1788"/>
      <c r="W169" s="1788"/>
      <c r="X169" s="1788"/>
      <c r="Y169" s="1788"/>
      <c r="Z169" s="1788"/>
      <c r="AA169" s="1788"/>
      <c r="AB169" s="1788"/>
      <c r="AC169" s="1885"/>
    </row>
    <row r="170" spans="1:29" ht="13.8" thickBot="1">
      <c r="A170" s="1543"/>
      <c r="B170" s="1544"/>
      <c r="C170" s="633">
        <v>0.4</v>
      </c>
      <c r="D170" s="634">
        <v>0.5</v>
      </c>
      <c r="E170" s="634">
        <v>0.6</v>
      </c>
      <c r="F170" s="634">
        <v>0.7</v>
      </c>
      <c r="G170" s="634">
        <v>0.8</v>
      </c>
      <c r="H170" s="634">
        <v>0.9</v>
      </c>
      <c r="I170" s="634">
        <v>1</v>
      </c>
      <c r="J170" s="634">
        <v>1.1000000000000001</v>
      </c>
      <c r="K170" s="634">
        <v>1.2</v>
      </c>
      <c r="L170" s="634">
        <v>1.3</v>
      </c>
      <c r="M170" s="634">
        <v>1.4</v>
      </c>
      <c r="N170" s="634">
        <v>1.5</v>
      </c>
      <c r="O170" s="634">
        <v>1.6</v>
      </c>
      <c r="P170" s="634">
        <v>1.7</v>
      </c>
      <c r="Q170" s="634">
        <v>1.8</v>
      </c>
      <c r="R170" s="634">
        <v>1.9</v>
      </c>
      <c r="S170" s="634">
        <v>2</v>
      </c>
      <c r="T170" s="634">
        <v>2.1</v>
      </c>
      <c r="U170" s="634">
        <v>2.2000000000000002</v>
      </c>
      <c r="V170" s="634">
        <v>2.2999999999999998</v>
      </c>
      <c r="W170" s="634">
        <v>2.4</v>
      </c>
      <c r="X170" s="634">
        <v>2.5</v>
      </c>
      <c r="Y170" s="634">
        <v>2.6</v>
      </c>
      <c r="Z170" s="634">
        <v>2.7</v>
      </c>
      <c r="AA170" s="634">
        <v>2.8</v>
      </c>
      <c r="AB170" s="634">
        <v>2.9</v>
      </c>
      <c r="AC170" s="635">
        <v>3</v>
      </c>
    </row>
    <row r="171" spans="1:29" ht="12.75" customHeight="1">
      <c r="A171" s="1537" t="s">
        <v>3</v>
      </c>
      <c r="B171" s="636">
        <v>0.5</v>
      </c>
      <c r="C171" s="274">
        <f>(16.2*KFC!$B$30+KFC!$C$30)*KFC!$C$5</f>
        <v>16.2</v>
      </c>
      <c r="D171" s="301">
        <f>(17.6*KFC!$B$30+KFC!$C$30)*KFC!$C$5</f>
        <v>17.600000000000001</v>
      </c>
      <c r="E171" s="301">
        <f>(19*KFC!$B$30+KFC!$C$30)*KFC!$C$5</f>
        <v>19</v>
      </c>
      <c r="F171" s="301">
        <f>(20.4*KFC!$B$30+KFC!$C$30)*KFC!$C$5</f>
        <v>20.399999999999999</v>
      </c>
      <c r="G171" s="301">
        <f>(21.8*KFC!$B$30+KFC!$C$30)*KFC!$C$5</f>
        <v>21.8</v>
      </c>
      <c r="H171" s="301">
        <f>(23.2*KFC!$B$30+KFC!$C$30)*KFC!$C$5</f>
        <v>23.2</v>
      </c>
      <c r="I171" s="301">
        <f>(24.6*KFC!$B$30+KFC!$C$30)*KFC!$C$5</f>
        <v>24.6</v>
      </c>
      <c r="J171" s="301">
        <f>(26*KFC!$B$30+KFC!$C$30)*KFC!$C$5</f>
        <v>26</v>
      </c>
      <c r="K171" s="301">
        <f>(27.4*KFC!$B$30+KFC!$C$30)*KFC!$C$5</f>
        <v>27.4</v>
      </c>
      <c r="L171" s="301">
        <f>(28.8*KFC!$B$30+KFC!$C$30)*KFC!$C$5</f>
        <v>28.8</v>
      </c>
      <c r="M171" s="301">
        <f>(30.2*KFC!$B$30+KFC!$C$30)*KFC!$C$5</f>
        <v>30.2</v>
      </c>
      <c r="N171" s="301">
        <f>(31.6*KFC!$B$30+KFC!$C$30)*KFC!$C$5</f>
        <v>31.6</v>
      </c>
      <c r="O171" s="301">
        <f>(33*KFC!$B$30+KFC!$C$30)*KFC!$C$5</f>
        <v>33</v>
      </c>
      <c r="P171" s="301">
        <f>(34.4*KFC!$B$30+KFC!$C$30)*KFC!$C$5</f>
        <v>34.4</v>
      </c>
      <c r="Q171" s="301">
        <f>(35.8*KFC!$B$30+KFC!$C$30)*KFC!$C$5</f>
        <v>35.799999999999997</v>
      </c>
      <c r="R171" s="301">
        <f>(37.2*KFC!$B$30+KFC!$C$30)*KFC!$C$5</f>
        <v>37.200000000000003</v>
      </c>
      <c r="S171" s="301">
        <f>(38.6*KFC!$B$30+KFC!$C$30)*KFC!$C$5</f>
        <v>38.6</v>
      </c>
      <c r="T171" s="301">
        <f>(40*KFC!$B$30+KFC!$C$30)*KFC!$C$5</f>
        <v>40</v>
      </c>
      <c r="U171" s="301">
        <f>(41.4*KFC!$B$30+KFC!$C$30)*KFC!$C$5</f>
        <v>41.4</v>
      </c>
      <c r="V171" s="301">
        <f>(42.8*KFC!$B$30+KFC!$C$30)*KFC!$C$5</f>
        <v>42.8</v>
      </c>
      <c r="W171" s="301">
        <f>(44.2*KFC!$B$30+KFC!$C$30)*KFC!$C$5</f>
        <v>44.2</v>
      </c>
      <c r="X171" s="301">
        <f>(45.6*KFC!$B$30+KFC!$C$30)*KFC!$C$5</f>
        <v>45.6</v>
      </c>
      <c r="Y171" s="301">
        <f>(47*KFC!$B$30+KFC!$C$30)*KFC!$C$5</f>
        <v>47</v>
      </c>
      <c r="Z171" s="301">
        <f>(48.4*KFC!$B$30+KFC!$C$30)*KFC!$C$5</f>
        <v>48.4</v>
      </c>
      <c r="AA171" s="301">
        <f>(49.8*KFC!$B$30+KFC!$C$30)*KFC!$C$5</f>
        <v>49.8</v>
      </c>
      <c r="AB171" s="301">
        <f>(51.2*KFC!$B$30+KFC!$C$30)*KFC!$C$5</f>
        <v>51.2</v>
      </c>
      <c r="AC171" s="302">
        <f>(52.6*KFC!$B$30+KFC!$C$30)*KFC!$C$5</f>
        <v>52.6</v>
      </c>
    </row>
    <row r="172" spans="1:29">
      <c r="A172" s="1538"/>
      <c r="B172" s="637">
        <v>0.6</v>
      </c>
      <c r="C172" s="303">
        <f>(17.4*KFC!$B$30+KFC!$C$30)*KFC!$C$5</f>
        <v>17.399999999999999</v>
      </c>
      <c r="D172" s="300">
        <f>(19.1*KFC!$B$30+KFC!$C$30)*KFC!$C$5</f>
        <v>19.100000000000001</v>
      </c>
      <c r="E172" s="300">
        <f>(20.7*KFC!$B$30+KFC!$C$30)*KFC!$C$5</f>
        <v>20.7</v>
      </c>
      <c r="F172" s="300">
        <f>(22.4*KFC!$B$30+KFC!$C$30)*KFC!$C$5</f>
        <v>22.4</v>
      </c>
      <c r="G172" s="300">
        <f>(24.1*KFC!$B$30+KFC!$C$30)*KFC!$C$5</f>
        <v>24.1</v>
      </c>
      <c r="H172" s="300">
        <f>(25.8*KFC!$B$30+KFC!$C$30)*KFC!$C$5</f>
        <v>25.8</v>
      </c>
      <c r="I172" s="300">
        <f>(27.5*KFC!$B$30+KFC!$C$30)*KFC!$C$5</f>
        <v>27.5</v>
      </c>
      <c r="J172" s="300">
        <f>(29.1*KFC!$B$30+KFC!$C$30)*KFC!$C$5</f>
        <v>29.1</v>
      </c>
      <c r="K172" s="300">
        <f>(30.8*KFC!$B$30+KFC!$C$30)*KFC!$C$5</f>
        <v>30.8</v>
      </c>
      <c r="L172" s="300">
        <f>(32.5*KFC!$B$30+KFC!$C$30)*KFC!$C$5</f>
        <v>32.5</v>
      </c>
      <c r="M172" s="300">
        <f>(34.2*KFC!$B$30+KFC!$C$30)*KFC!$C$5</f>
        <v>34.200000000000003</v>
      </c>
      <c r="N172" s="300">
        <f>(35.9*KFC!$B$30+KFC!$C$30)*KFC!$C$5</f>
        <v>35.9</v>
      </c>
      <c r="O172" s="300">
        <f>(37.5*KFC!$B$30+KFC!$C$30)*KFC!$C$5</f>
        <v>37.5</v>
      </c>
      <c r="P172" s="300">
        <f>(39.2*KFC!$B$30+KFC!$C$30)*KFC!$C$5</f>
        <v>39.200000000000003</v>
      </c>
      <c r="Q172" s="300">
        <f>(40.9*KFC!$B$30+KFC!$C$30)*KFC!$C$5</f>
        <v>40.9</v>
      </c>
      <c r="R172" s="300">
        <f>(42.6*KFC!$B$30+KFC!$C$30)*KFC!$C$5</f>
        <v>42.6</v>
      </c>
      <c r="S172" s="300">
        <f>(44.2*KFC!$B$30+KFC!$C$30)*KFC!$C$5</f>
        <v>44.2</v>
      </c>
      <c r="T172" s="300">
        <f>(45.9*KFC!$B$30+KFC!$C$30)*KFC!$C$5</f>
        <v>45.9</v>
      </c>
      <c r="U172" s="300">
        <f>(47.6*KFC!$B$30+KFC!$C$30)*KFC!$C$5</f>
        <v>47.6</v>
      </c>
      <c r="V172" s="300">
        <f>(49.3*KFC!$B$30+KFC!$C$30)*KFC!$C$5</f>
        <v>49.3</v>
      </c>
      <c r="W172" s="300">
        <f>(51*KFC!$B$30+KFC!$C$30)*KFC!$C$5</f>
        <v>51</v>
      </c>
      <c r="X172" s="300">
        <f>(52.6*KFC!$B$30+KFC!$C$30)*KFC!$C$5</f>
        <v>52.6</v>
      </c>
      <c r="Y172" s="300">
        <f>(54.3*KFC!$B$30+KFC!$C$30)*KFC!$C$5</f>
        <v>54.3</v>
      </c>
      <c r="Z172" s="300">
        <f>(56*KFC!$B$30+KFC!$C$30)*KFC!$C$5</f>
        <v>56</v>
      </c>
      <c r="AA172" s="300">
        <f>(57.7*KFC!$B$30+KFC!$C$30)*KFC!$C$5</f>
        <v>57.7</v>
      </c>
      <c r="AB172" s="300">
        <f>(59.4*KFC!$B$30+KFC!$C$30)*KFC!$C$5</f>
        <v>59.4</v>
      </c>
      <c r="AC172" s="304">
        <f>(61*KFC!$B$30+KFC!$C$30)*KFC!$C$5</f>
        <v>61</v>
      </c>
    </row>
    <row r="173" spans="1:29">
      <c r="A173" s="1538"/>
      <c r="B173" s="637">
        <v>0.7</v>
      </c>
      <c r="C173" s="303">
        <f>(18.6*KFC!$B$30+KFC!$C$30)*KFC!$C$5</f>
        <v>18.600000000000001</v>
      </c>
      <c r="D173" s="300">
        <f>(20.5*KFC!$B$30+KFC!$C$30)*KFC!$C$5</f>
        <v>20.5</v>
      </c>
      <c r="E173" s="300">
        <f>(22.5*KFC!$B$30+KFC!$C$30)*KFC!$C$5</f>
        <v>22.5</v>
      </c>
      <c r="F173" s="300">
        <f>(24.4*KFC!$B$30+KFC!$C$30)*KFC!$C$5</f>
        <v>24.4</v>
      </c>
      <c r="G173" s="300">
        <f>(26.4*KFC!$B$30+KFC!$C$30)*KFC!$C$5</f>
        <v>26.4</v>
      </c>
      <c r="H173" s="300">
        <f>(28.4*KFC!$B$30+KFC!$C$30)*KFC!$C$5</f>
        <v>28.4</v>
      </c>
      <c r="I173" s="300">
        <f>(30.3*KFC!$B$30+KFC!$C$30)*KFC!$C$5</f>
        <v>30.3</v>
      </c>
      <c r="J173" s="300">
        <f>(32.3*KFC!$B$30+KFC!$C$30)*KFC!$C$5</f>
        <v>32.299999999999997</v>
      </c>
      <c r="K173" s="300">
        <f>(34.2*KFC!$B$30+KFC!$C$30)*KFC!$C$5</f>
        <v>34.200000000000003</v>
      </c>
      <c r="L173" s="300">
        <f>(36.2*KFC!$B$30+KFC!$C$30)*KFC!$C$5</f>
        <v>36.200000000000003</v>
      </c>
      <c r="M173" s="300">
        <f>(38.1*KFC!$B$30+KFC!$C$30)*KFC!$C$5</f>
        <v>38.1</v>
      </c>
      <c r="N173" s="300">
        <f>(40.1*KFC!$B$30+KFC!$C$30)*KFC!$C$5</f>
        <v>40.1</v>
      </c>
      <c r="O173" s="300">
        <f>(42.1*KFC!$B$30+KFC!$C$30)*KFC!$C$5</f>
        <v>42.1</v>
      </c>
      <c r="P173" s="300">
        <f>(44*KFC!$B$30+KFC!$C$30)*KFC!$C$5</f>
        <v>44</v>
      </c>
      <c r="Q173" s="300">
        <f>(46*KFC!$B$30+KFC!$C$30)*KFC!$C$5</f>
        <v>46</v>
      </c>
      <c r="R173" s="300">
        <f>(47.9*KFC!$B$30+KFC!$C$30)*KFC!$C$5</f>
        <v>47.9</v>
      </c>
      <c r="S173" s="300">
        <f>(49.9*KFC!$B$30+KFC!$C$30)*KFC!$C$5</f>
        <v>49.9</v>
      </c>
      <c r="T173" s="300">
        <f>(51.8*KFC!$B$30+KFC!$C$30)*KFC!$C$5</f>
        <v>51.8</v>
      </c>
      <c r="U173" s="300">
        <f>(53.8*KFC!$B$30+KFC!$C$30)*KFC!$C$5</f>
        <v>53.8</v>
      </c>
      <c r="V173" s="300">
        <f>(55.7*KFC!$B$30+KFC!$C$30)*KFC!$C$5</f>
        <v>55.7</v>
      </c>
      <c r="W173" s="300">
        <f>(57.7*KFC!$B$30+KFC!$C$30)*KFC!$C$5</f>
        <v>57.7</v>
      </c>
      <c r="X173" s="300">
        <f>(59.7*KFC!$B$30+KFC!$C$30)*KFC!$C$5</f>
        <v>59.7</v>
      </c>
      <c r="Y173" s="300">
        <f>(61.6*KFC!$B$30+KFC!$C$30)*KFC!$C$5</f>
        <v>61.6</v>
      </c>
      <c r="Z173" s="300">
        <f>(63.6*KFC!$B$30+KFC!$C$30)*KFC!$C$5</f>
        <v>63.6</v>
      </c>
      <c r="AA173" s="300">
        <f>(65.5*KFC!$B$30+KFC!$C$30)*KFC!$C$5</f>
        <v>65.5</v>
      </c>
      <c r="AB173" s="300">
        <f>(67.5*KFC!$B$30+KFC!$C$30)*KFC!$C$5</f>
        <v>67.5</v>
      </c>
      <c r="AC173" s="304">
        <f>(69.4*KFC!$B$30+KFC!$C$30)*KFC!$C$5</f>
        <v>69.400000000000006</v>
      </c>
    </row>
    <row r="174" spans="1:29">
      <c r="A174" s="1538"/>
      <c r="B174" s="637">
        <v>0.8</v>
      </c>
      <c r="C174" s="303">
        <f>(19.8*KFC!$B$30+KFC!$C$30)*KFC!$C$5</f>
        <v>19.8</v>
      </c>
      <c r="D174" s="300">
        <f>(22*KFC!$B$30+KFC!$C$30)*KFC!$C$5</f>
        <v>22</v>
      </c>
      <c r="E174" s="300">
        <f>(24.2*KFC!$B$30+KFC!$C$30)*KFC!$C$5</f>
        <v>24.2</v>
      </c>
      <c r="F174" s="300">
        <f>(26.5*KFC!$B$30+KFC!$C$30)*KFC!$C$5</f>
        <v>26.5</v>
      </c>
      <c r="G174" s="300">
        <f>(28.7*KFC!$B$30+KFC!$C$30)*KFC!$C$5</f>
        <v>28.7</v>
      </c>
      <c r="H174" s="300">
        <f>(30.9*KFC!$B$30+KFC!$C$30)*KFC!$C$5</f>
        <v>30.9</v>
      </c>
      <c r="I174" s="300">
        <f>(33.2*KFC!$B$30+KFC!$C$30)*KFC!$C$5</f>
        <v>33.200000000000003</v>
      </c>
      <c r="J174" s="300">
        <f>(35.4*KFC!$B$30+KFC!$C$30)*KFC!$C$5</f>
        <v>35.4</v>
      </c>
      <c r="K174" s="300">
        <f>(37.6*KFC!$B$30+KFC!$C$30)*KFC!$C$5</f>
        <v>37.6</v>
      </c>
      <c r="L174" s="300">
        <f>(39.9*KFC!$B$30+KFC!$C$30)*KFC!$C$5</f>
        <v>39.9</v>
      </c>
      <c r="M174" s="300">
        <f>(42.1*KFC!$B$30+KFC!$C$30)*KFC!$C$5</f>
        <v>42.1</v>
      </c>
      <c r="N174" s="300">
        <f>(44.3*KFC!$B$30+KFC!$C$30)*KFC!$C$5</f>
        <v>44.3</v>
      </c>
      <c r="O174" s="300">
        <f>(46.6*KFC!$B$30+KFC!$C$30)*KFC!$C$5</f>
        <v>46.6</v>
      </c>
      <c r="P174" s="300">
        <f>(48.8*KFC!$B$30+KFC!$C$30)*KFC!$C$5</f>
        <v>48.8</v>
      </c>
      <c r="Q174" s="300">
        <f>(51*KFC!$B$30+KFC!$C$30)*KFC!$C$5</f>
        <v>51</v>
      </c>
      <c r="R174" s="300">
        <f>(53.3*KFC!$B$30+KFC!$C$30)*KFC!$C$5</f>
        <v>53.3</v>
      </c>
      <c r="S174" s="300">
        <f>(55.5*KFC!$B$30+KFC!$C$30)*KFC!$C$5</f>
        <v>55.5</v>
      </c>
      <c r="T174" s="300">
        <f>(57.7*KFC!$B$30+KFC!$C$30)*KFC!$C$5</f>
        <v>57.7</v>
      </c>
      <c r="U174" s="300">
        <f>(60*KFC!$B$30+KFC!$C$30)*KFC!$C$5</f>
        <v>60</v>
      </c>
      <c r="V174" s="300">
        <f>(62.2*KFC!$B$30+KFC!$C$30)*KFC!$C$5</f>
        <v>62.2</v>
      </c>
      <c r="W174" s="300">
        <f>(64.4*KFC!$B$30+KFC!$C$30)*KFC!$C$5</f>
        <v>64.400000000000006</v>
      </c>
      <c r="X174" s="300">
        <f>(66.7*KFC!$B$30+KFC!$C$30)*KFC!$C$5</f>
        <v>66.7</v>
      </c>
      <c r="Y174" s="300">
        <f>(68.9*KFC!$B$30+KFC!$C$30)*KFC!$C$5</f>
        <v>68.900000000000006</v>
      </c>
      <c r="Z174" s="300">
        <f>(71.1*KFC!$B$30+KFC!$C$30)*KFC!$C$5</f>
        <v>71.099999999999994</v>
      </c>
      <c r="AA174" s="300">
        <f>(73.4*KFC!$B$30+KFC!$C$30)*KFC!$C$5</f>
        <v>73.400000000000006</v>
      </c>
      <c r="AB174" s="300">
        <f>(75.6*KFC!$B$30+KFC!$C$30)*KFC!$C$5</f>
        <v>75.599999999999994</v>
      </c>
      <c r="AC174" s="304">
        <f>(77.9*KFC!$B$30+KFC!$C$30)*KFC!$C$5</f>
        <v>77.900000000000006</v>
      </c>
    </row>
    <row r="175" spans="1:29">
      <c r="A175" s="1538"/>
      <c r="B175" s="637">
        <v>0.9</v>
      </c>
      <c r="C175" s="303">
        <f>(21*KFC!$B$30+KFC!$C$30)*KFC!$C$5</f>
        <v>21</v>
      </c>
      <c r="D175" s="300">
        <f>(23.5*KFC!$B$30+KFC!$C$30)*KFC!$C$5</f>
        <v>23.5</v>
      </c>
      <c r="E175" s="300">
        <f>(26*KFC!$B$30+KFC!$C$30)*KFC!$C$5</f>
        <v>26</v>
      </c>
      <c r="F175" s="300">
        <f>(28.5*KFC!$B$30+KFC!$C$30)*KFC!$C$5</f>
        <v>28.5</v>
      </c>
      <c r="G175" s="300">
        <f>(31*KFC!$B$30+KFC!$C$30)*KFC!$C$5</f>
        <v>31</v>
      </c>
      <c r="H175" s="300">
        <f>(33.5*KFC!$B$30+KFC!$C$30)*KFC!$C$5</f>
        <v>33.5</v>
      </c>
      <c r="I175" s="300">
        <f>(36*KFC!$B$30+KFC!$C$30)*KFC!$C$5</f>
        <v>36</v>
      </c>
      <c r="J175" s="300">
        <f>(38.5*KFC!$B$30+KFC!$C$30)*KFC!$C$5</f>
        <v>38.5</v>
      </c>
      <c r="K175" s="300">
        <f>(41.1*KFC!$B$30+KFC!$C$30)*KFC!$C$5</f>
        <v>41.1</v>
      </c>
      <c r="L175" s="300">
        <f>(43.6*KFC!$B$30+KFC!$C$30)*KFC!$C$5</f>
        <v>43.6</v>
      </c>
      <c r="M175" s="300">
        <f>(46.1*KFC!$B$30+KFC!$C$30)*KFC!$C$5</f>
        <v>46.1</v>
      </c>
      <c r="N175" s="300">
        <f>(48.6*KFC!$B$30+KFC!$C$30)*KFC!$C$5</f>
        <v>48.6</v>
      </c>
      <c r="O175" s="300">
        <f>(51.1*KFC!$B$30+KFC!$C$30)*KFC!$C$5</f>
        <v>51.1</v>
      </c>
      <c r="P175" s="300">
        <f>(53.6*KFC!$B$30+KFC!$C$30)*KFC!$C$5</f>
        <v>53.6</v>
      </c>
      <c r="Q175" s="300">
        <f>(56.1*KFC!$B$30+KFC!$C$30)*KFC!$C$5</f>
        <v>56.1</v>
      </c>
      <c r="R175" s="300">
        <f>(58.6*KFC!$B$30+KFC!$C$30)*KFC!$C$5</f>
        <v>58.6</v>
      </c>
      <c r="S175" s="300">
        <f>(61.1*KFC!$B$30+KFC!$C$30)*KFC!$C$5</f>
        <v>61.1</v>
      </c>
      <c r="T175" s="300">
        <f>(63.7*KFC!$B$30+KFC!$C$30)*KFC!$C$5</f>
        <v>63.7</v>
      </c>
      <c r="U175" s="300">
        <f>(66.2*KFC!$B$30+KFC!$C$30)*KFC!$C$5</f>
        <v>66.2</v>
      </c>
      <c r="V175" s="300">
        <f>(68.7*KFC!$B$30+KFC!$C$30)*KFC!$C$5</f>
        <v>68.7</v>
      </c>
      <c r="W175" s="300">
        <f>(71.2*KFC!$B$30+KFC!$C$30)*KFC!$C$5</f>
        <v>71.2</v>
      </c>
      <c r="X175" s="300">
        <f>(73.7*KFC!$B$30+KFC!$C$30)*KFC!$C$5</f>
        <v>73.7</v>
      </c>
      <c r="Y175" s="300">
        <f>(76.2*KFC!$B$30+KFC!$C$30)*KFC!$C$5</f>
        <v>76.2</v>
      </c>
      <c r="Z175" s="300">
        <f>(78.7*KFC!$B$30+KFC!$C$30)*KFC!$C$5</f>
        <v>78.7</v>
      </c>
      <c r="AA175" s="300">
        <f>(81.2*KFC!$B$30+KFC!$C$30)*KFC!$C$5</f>
        <v>81.2</v>
      </c>
      <c r="AB175" s="300">
        <f>(83.7*KFC!$B$30+KFC!$C$30)*KFC!$C$5</f>
        <v>83.7</v>
      </c>
      <c r="AC175" s="304">
        <f>(86.3*KFC!$B$30+KFC!$C$30)*KFC!$C$5</f>
        <v>86.3</v>
      </c>
    </row>
    <row r="176" spans="1:29">
      <c r="A176" s="1538"/>
      <c r="B176" s="637">
        <v>1</v>
      </c>
      <c r="C176" s="303">
        <f>(22.2*KFC!$B$30+KFC!$C$30)*KFC!$C$5</f>
        <v>22.2</v>
      </c>
      <c r="D176" s="300">
        <f>(24.9*KFC!$B$30+KFC!$C$30)*KFC!$C$5</f>
        <v>24.9</v>
      </c>
      <c r="E176" s="300">
        <f>(27.7*KFC!$B$30+KFC!$C$30)*KFC!$C$5</f>
        <v>27.7</v>
      </c>
      <c r="F176" s="300">
        <f>(30.5*KFC!$B$30+KFC!$C$30)*KFC!$C$5</f>
        <v>30.5</v>
      </c>
      <c r="G176" s="300">
        <f>(33.3*KFC!$B$30+KFC!$C$30)*KFC!$C$5</f>
        <v>33.299999999999997</v>
      </c>
      <c r="H176" s="300">
        <f>(36.1*KFC!$B$30+KFC!$C$30)*KFC!$C$5</f>
        <v>36.1</v>
      </c>
      <c r="I176" s="300">
        <f>(38.9*KFC!$B$30+KFC!$C$30)*KFC!$C$5</f>
        <v>38.9</v>
      </c>
      <c r="J176" s="300">
        <f>(41.7*KFC!$B$30+KFC!$C$30)*KFC!$C$5</f>
        <v>41.7</v>
      </c>
      <c r="K176" s="300">
        <f>(44.5*KFC!$B$30+KFC!$C$30)*KFC!$C$5</f>
        <v>44.5</v>
      </c>
      <c r="L176" s="300">
        <f>(47.3*KFC!$B$30+KFC!$C$30)*KFC!$C$5</f>
        <v>47.3</v>
      </c>
      <c r="M176" s="300">
        <f>(50*KFC!$B$30+KFC!$C$30)*KFC!$C$5</f>
        <v>50</v>
      </c>
      <c r="N176" s="300">
        <f>(52.8*KFC!$B$30+KFC!$C$30)*KFC!$C$5</f>
        <v>52.8</v>
      </c>
      <c r="O176" s="300">
        <f>(55.6*KFC!$B$30+KFC!$C$30)*KFC!$C$5</f>
        <v>55.6</v>
      </c>
      <c r="P176" s="300">
        <f>(58.4*KFC!$B$30+KFC!$C$30)*KFC!$C$5</f>
        <v>58.4</v>
      </c>
      <c r="Q176" s="300">
        <f>(61.2*KFC!$B$30+KFC!$C$30)*KFC!$C$5</f>
        <v>61.2</v>
      </c>
      <c r="R176" s="300">
        <f>(64*KFC!$B$30+KFC!$C$30)*KFC!$C$5</f>
        <v>64</v>
      </c>
      <c r="S176" s="300">
        <f>(66.8*KFC!$B$30+KFC!$C$30)*KFC!$C$5</f>
        <v>66.8</v>
      </c>
      <c r="T176" s="300">
        <f>(69.6*KFC!$B$30+KFC!$C$30)*KFC!$C$5</f>
        <v>69.599999999999994</v>
      </c>
      <c r="U176" s="300">
        <f>(72.4*KFC!$B$30+KFC!$C$30)*KFC!$C$5</f>
        <v>72.400000000000006</v>
      </c>
      <c r="V176" s="300">
        <f>(75.1*KFC!$B$30+KFC!$C$30)*KFC!$C$5</f>
        <v>75.099999999999994</v>
      </c>
      <c r="W176" s="300">
        <f>(77.9*KFC!$B$30+KFC!$C$30)*KFC!$C$5</f>
        <v>77.900000000000006</v>
      </c>
      <c r="X176" s="300">
        <f>(80.7*KFC!$B$30+KFC!$C$30)*KFC!$C$5</f>
        <v>80.7</v>
      </c>
      <c r="Y176" s="300">
        <f>(83.5*KFC!$B$30+KFC!$C$30)*KFC!$C$5</f>
        <v>83.5</v>
      </c>
      <c r="Z176" s="300">
        <f>(86.3*KFC!$B$30+KFC!$C$30)*KFC!$C$5</f>
        <v>86.3</v>
      </c>
      <c r="AA176" s="300">
        <f>(89.1*KFC!$B$30+KFC!$C$30)*KFC!$C$5</f>
        <v>89.1</v>
      </c>
      <c r="AB176" s="300">
        <f>(91.9*KFC!$B$30+KFC!$C$30)*KFC!$C$5</f>
        <v>91.9</v>
      </c>
      <c r="AC176" s="304">
        <f>(94.7*KFC!$B$30+KFC!$C$30)*KFC!$C$5</f>
        <v>94.7</v>
      </c>
    </row>
    <row r="177" spans="1:29">
      <c r="A177" s="1538"/>
      <c r="B177" s="637">
        <v>1.1000000000000001</v>
      </c>
      <c r="C177" s="303">
        <f>(23.4*KFC!$B$30+KFC!$C$30)*KFC!$C$5</f>
        <v>23.4</v>
      </c>
      <c r="D177" s="300">
        <f>(26.4*KFC!$B$30+KFC!$C$30)*KFC!$C$5</f>
        <v>26.4</v>
      </c>
      <c r="E177" s="300">
        <f>(29.5*KFC!$B$30+KFC!$C$30)*KFC!$C$5</f>
        <v>29.5</v>
      </c>
      <c r="F177" s="300">
        <f>(32.6*KFC!$B$30+KFC!$C$30)*KFC!$C$5</f>
        <v>32.6</v>
      </c>
      <c r="G177" s="300">
        <f>(35.6*KFC!$B$30+KFC!$C$30)*KFC!$C$5</f>
        <v>35.6</v>
      </c>
      <c r="H177" s="300">
        <f>(38.7*KFC!$B$30+KFC!$C$30)*KFC!$C$5</f>
        <v>38.700000000000003</v>
      </c>
      <c r="I177" s="300">
        <f>(41.8*KFC!$B$30+KFC!$C$30)*KFC!$C$5</f>
        <v>41.8</v>
      </c>
      <c r="J177" s="300">
        <f>(44.8*KFC!$B$30+KFC!$C$30)*KFC!$C$5</f>
        <v>44.8</v>
      </c>
      <c r="K177" s="300">
        <f>(47.9*KFC!$B$30+KFC!$C$30)*KFC!$C$5</f>
        <v>47.9</v>
      </c>
      <c r="L177" s="300">
        <f>(50.9*KFC!$B$30+KFC!$C$30)*KFC!$C$5</f>
        <v>50.9</v>
      </c>
      <c r="M177" s="300">
        <f>(54*KFC!$B$30+KFC!$C$30)*KFC!$C$5</f>
        <v>54</v>
      </c>
      <c r="N177" s="300">
        <f>(57.1*KFC!$B$30+KFC!$C$30)*KFC!$C$5</f>
        <v>57.1</v>
      </c>
      <c r="O177" s="300">
        <f>(60.1*KFC!$B$30+KFC!$C$30)*KFC!$C$5</f>
        <v>60.1</v>
      </c>
      <c r="P177" s="300">
        <f>(63.2*KFC!$B$30+KFC!$C$30)*KFC!$C$5</f>
        <v>63.2</v>
      </c>
      <c r="Q177" s="300">
        <f>(66.3*KFC!$B$30+KFC!$C$30)*KFC!$C$5</f>
        <v>66.3</v>
      </c>
      <c r="R177" s="300">
        <f>(69.3*KFC!$B$30+KFC!$C$30)*KFC!$C$5</f>
        <v>69.3</v>
      </c>
      <c r="S177" s="300">
        <f>(72.4*KFC!$B$30+KFC!$C$30)*KFC!$C$5</f>
        <v>72.400000000000006</v>
      </c>
      <c r="T177" s="300">
        <f>(75.5*KFC!$B$30+KFC!$C$30)*KFC!$C$5</f>
        <v>75.5</v>
      </c>
      <c r="U177" s="300">
        <f>(78.5*KFC!$B$30+KFC!$C$30)*KFC!$C$5</f>
        <v>78.5</v>
      </c>
      <c r="V177" s="300">
        <f>(81.6*KFC!$B$30+KFC!$C$30)*KFC!$C$5</f>
        <v>81.599999999999994</v>
      </c>
      <c r="W177" s="300">
        <f>(84.7*KFC!$B$30+KFC!$C$30)*KFC!$C$5</f>
        <v>84.7</v>
      </c>
      <c r="X177" s="300">
        <f>(87.7*KFC!$B$30+KFC!$C$30)*KFC!$C$5</f>
        <v>87.7</v>
      </c>
      <c r="Y177" s="300">
        <f>(90.8*KFC!$B$30+KFC!$C$30)*KFC!$C$5</f>
        <v>90.8</v>
      </c>
      <c r="Z177" s="300">
        <f>(93.9*KFC!$B$30+KFC!$C$30)*KFC!$C$5</f>
        <v>93.9</v>
      </c>
      <c r="AA177" s="300">
        <f>(96.9*KFC!$B$30+KFC!$C$30)*KFC!$C$5</f>
        <v>96.9</v>
      </c>
      <c r="AB177" s="300">
        <f>(100*KFC!$B$30+KFC!$C$30)*KFC!$C$5</f>
        <v>100</v>
      </c>
      <c r="AC177" s="304">
        <f>(103.1*KFC!$B$30+KFC!$C$30)*KFC!$C$5</f>
        <v>103.1</v>
      </c>
    </row>
    <row r="178" spans="1:29">
      <c r="A178" s="1538"/>
      <c r="B178" s="637">
        <v>1.2</v>
      </c>
      <c r="C178" s="303">
        <f>(24.6*KFC!$B$30+KFC!$C$30)*KFC!$C$5</f>
        <v>24.6</v>
      </c>
      <c r="D178" s="300">
        <f>(27.9*KFC!$B$30+KFC!$C$30)*KFC!$C$5</f>
        <v>27.9</v>
      </c>
      <c r="E178" s="300">
        <f>(31.2*KFC!$B$30+KFC!$C$30)*KFC!$C$5</f>
        <v>31.2</v>
      </c>
      <c r="F178" s="300">
        <f>(34.6*KFC!$B$30+KFC!$C$30)*KFC!$C$5</f>
        <v>34.6</v>
      </c>
      <c r="G178" s="300">
        <f>(37.9*KFC!$B$30+KFC!$C$30)*KFC!$C$5</f>
        <v>37.9</v>
      </c>
      <c r="H178" s="300">
        <f>(41.3*KFC!$B$30+KFC!$C$30)*KFC!$C$5</f>
        <v>41.3</v>
      </c>
      <c r="I178" s="300">
        <f>(44.6*KFC!$B$30+KFC!$C$30)*KFC!$C$5</f>
        <v>44.6</v>
      </c>
      <c r="J178" s="300">
        <f>(48*KFC!$B$30+KFC!$C$30)*KFC!$C$5</f>
        <v>48</v>
      </c>
      <c r="K178" s="300">
        <f>(51.3*KFC!$B$30+KFC!$C$30)*KFC!$C$5</f>
        <v>51.3</v>
      </c>
      <c r="L178" s="300">
        <f>(54.6*KFC!$B$30+KFC!$C$30)*KFC!$C$5</f>
        <v>54.6</v>
      </c>
      <c r="M178" s="300">
        <f>(58*KFC!$B$30+KFC!$C$30)*KFC!$C$5</f>
        <v>58</v>
      </c>
      <c r="N178" s="300">
        <f>(61.3*KFC!$B$30+KFC!$C$30)*KFC!$C$5</f>
        <v>61.3</v>
      </c>
      <c r="O178" s="300">
        <f>(64.7*KFC!$B$30+KFC!$C$30)*KFC!$C$5</f>
        <v>64.7</v>
      </c>
      <c r="P178" s="300">
        <f>(68*KFC!$B$30+KFC!$C$30)*KFC!$C$5</f>
        <v>68</v>
      </c>
      <c r="Q178" s="300">
        <f>(71.4*KFC!$B$30+KFC!$C$30)*KFC!$C$5</f>
        <v>71.400000000000006</v>
      </c>
      <c r="R178" s="300">
        <f>(74.7*KFC!$B$30+KFC!$C$30)*KFC!$C$5</f>
        <v>74.7</v>
      </c>
      <c r="S178" s="300">
        <f>(78*KFC!$B$30+KFC!$C$30)*KFC!$C$5</f>
        <v>78</v>
      </c>
      <c r="T178" s="300">
        <f>(81.4*KFC!$B$30+KFC!$C$30)*KFC!$C$5</f>
        <v>81.400000000000006</v>
      </c>
      <c r="U178" s="300">
        <f>(84.7*KFC!$B$30+KFC!$C$30)*KFC!$C$5</f>
        <v>84.7</v>
      </c>
      <c r="V178" s="300">
        <f>(88.1*KFC!$B$30+KFC!$C$30)*KFC!$C$5</f>
        <v>88.1</v>
      </c>
      <c r="W178" s="300">
        <f>(91.4*KFC!$B$30+KFC!$C$30)*KFC!$C$5</f>
        <v>91.4</v>
      </c>
      <c r="X178" s="300">
        <f>(94.8*KFC!$B$30+KFC!$C$30)*KFC!$C$5</f>
        <v>94.8</v>
      </c>
      <c r="Y178" s="300">
        <f>(98.1*KFC!$B$30+KFC!$C$30)*KFC!$C$5</f>
        <v>98.1</v>
      </c>
      <c r="Z178" s="300">
        <f>(101.4*KFC!$B$30+KFC!$C$30)*KFC!$C$5</f>
        <v>101.4</v>
      </c>
      <c r="AA178" s="300">
        <f>(104.8*KFC!$B$30+KFC!$C$30)*KFC!$C$5</f>
        <v>104.8</v>
      </c>
      <c r="AB178" s="300">
        <f>(108.1*KFC!$B$30+KFC!$C$30)*KFC!$C$5</f>
        <v>108.1</v>
      </c>
      <c r="AC178" s="304">
        <f>(111.5*KFC!$B$30+KFC!$C$30)*KFC!$C$5</f>
        <v>111.5</v>
      </c>
    </row>
    <row r="179" spans="1:29">
      <c r="A179" s="1538"/>
      <c r="B179" s="637">
        <v>1.3</v>
      </c>
      <c r="C179" s="303">
        <f>(25.7*KFC!$B$30+KFC!$C$30)*KFC!$C$5</f>
        <v>25.7</v>
      </c>
      <c r="D179" s="300">
        <f>(29.4*KFC!$B$30+KFC!$C$30)*KFC!$C$5</f>
        <v>29.4</v>
      </c>
      <c r="E179" s="300">
        <f>(33*KFC!$B$30+KFC!$C$30)*KFC!$C$5</f>
        <v>33</v>
      </c>
      <c r="F179" s="300">
        <f>(36.6*KFC!$B$30+KFC!$C$30)*KFC!$C$5</f>
        <v>36.6</v>
      </c>
      <c r="G179" s="300">
        <f>(40.2*KFC!$B$30+KFC!$C$30)*KFC!$C$5</f>
        <v>40.200000000000003</v>
      </c>
      <c r="H179" s="300">
        <f>(43.8*KFC!$B$30+KFC!$C$30)*KFC!$C$5</f>
        <v>43.8</v>
      </c>
      <c r="I179" s="300">
        <f>(47.5*KFC!$B$30+KFC!$C$30)*KFC!$C$5</f>
        <v>47.5</v>
      </c>
      <c r="J179" s="300">
        <f>(51.1*KFC!$B$30+KFC!$C$30)*KFC!$C$5</f>
        <v>51.1</v>
      </c>
      <c r="K179" s="300">
        <f>(54.7*KFC!$B$30+KFC!$C$30)*KFC!$C$5</f>
        <v>54.7</v>
      </c>
      <c r="L179" s="300">
        <f>(58.3*KFC!$B$30+KFC!$C$30)*KFC!$C$5</f>
        <v>58.3</v>
      </c>
      <c r="M179" s="300">
        <f>(62*KFC!$B$30+KFC!$C$30)*KFC!$C$5</f>
        <v>62</v>
      </c>
      <c r="N179" s="300">
        <f>(65.6*KFC!$B$30+KFC!$C$30)*KFC!$C$5</f>
        <v>65.599999999999994</v>
      </c>
      <c r="O179" s="300">
        <f>(69.2*KFC!$B$30+KFC!$C$30)*KFC!$C$5</f>
        <v>69.2</v>
      </c>
      <c r="P179" s="300">
        <f>(72.8*KFC!$B$30+KFC!$C$30)*KFC!$C$5</f>
        <v>72.8</v>
      </c>
      <c r="Q179" s="300">
        <f>(76.4*KFC!$B$30+KFC!$C$30)*KFC!$C$5</f>
        <v>76.400000000000006</v>
      </c>
      <c r="R179" s="300">
        <f>(80.1*KFC!$B$30+KFC!$C$30)*KFC!$C$5</f>
        <v>80.099999999999994</v>
      </c>
      <c r="S179" s="300">
        <f>(83.7*KFC!$B$30+KFC!$C$30)*KFC!$C$5</f>
        <v>83.7</v>
      </c>
      <c r="T179" s="300">
        <f>(87.3*KFC!$B$30+KFC!$C$30)*KFC!$C$5</f>
        <v>87.3</v>
      </c>
      <c r="U179" s="300">
        <f>(90.9*KFC!$B$30+KFC!$C$30)*KFC!$C$5</f>
        <v>90.9</v>
      </c>
      <c r="V179" s="300">
        <f>(94.5*KFC!$B$30+KFC!$C$30)*KFC!$C$5</f>
        <v>94.5</v>
      </c>
      <c r="W179" s="300">
        <f>(98.2*KFC!$B$30+KFC!$C$30)*KFC!$C$5</f>
        <v>98.2</v>
      </c>
      <c r="X179" s="300">
        <f>(101.8*KFC!$B$30+KFC!$C$30)*KFC!$C$5</f>
        <v>101.8</v>
      </c>
      <c r="Y179" s="300">
        <f>(105.4*KFC!$B$30+KFC!$C$30)*KFC!$C$5</f>
        <v>105.4</v>
      </c>
      <c r="Z179" s="300">
        <f>(109*KFC!$B$30+KFC!$C$30)*KFC!$C$5</f>
        <v>109</v>
      </c>
      <c r="AA179" s="300">
        <f>(112.6*KFC!$B$30+KFC!$C$30)*KFC!$C$5</f>
        <v>112.6</v>
      </c>
      <c r="AB179" s="300">
        <f>(116.3*KFC!$B$30+KFC!$C$30)*KFC!$C$5</f>
        <v>116.3</v>
      </c>
      <c r="AC179" s="304">
        <f>(119.9*KFC!$B$30+KFC!$C$30)*KFC!$C$5</f>
        <v>119.9</v>
      </c>
    </row>
    <row r="180" spans="1:29">
      <c r="A180" s="1538"/>
      <c r="B180" s="637">
        <v>1.4</v>
      </c>
      <c r="C180" s="303">
        <f>(26.9*KFC!$B$30+KFC!$C$30)*KFC!$C$5</f>
        <v>26.9</v>
      </c>
      <c r="D180" s="300">
        <f>(30.8*KFC!$B$30+KFC!$C$30)*KFC!$C$5</f>
        <v>30.8</v>
      </c>
      <c r="E180" s="300">
        <f>(34.7*KFC!$B$30+KFC!$C$30)*KFC!$C$5</f>
        <v>34.700000000000003</v>
      </c>
      <c r="F180" s="300">
        <f>(38.6*KFC!$B$30+KFC!$C$30)*KFC!$C$5</f>
        <v>38.6</v>
      </c>
      <c r="G180" s="300">
        <f>(42.5*KFC!$B$30+KFC!$C$30)*KFC!$C$5</f>
        <v>42.5</v>
      </c>
      <c r="H180" s="300">
        <f>(46.4*KFC!$B$30+KFC!$C$30)*KFC!$C$5</f>
        <v>46.4</v>
      </c>
      <c r="I180" s="300">
        <f>(50.3*KFC!$B$30+KFC!$C$30)*KFC!$C$5</f>
        <v>50.3</v>
      </c>
      <c r="J180" s="300">
        <f>(54.2*KFC!$B$30+KFC!$C$30)*KFC!$C$5</f>
        <v>54.2</v>
      </c>
      <c r="K180" s="300">
        <f>(58.1*KFC!$B$30+KFC!$C$30)*KFC!$C$5</f>
        <v>58.1</v>
      </c>
      <c r="L180" s="300">
        <f>(62*KFC!$B$30+KFC!$C$30)*KFC!$C$5</f>
        <v>62</v>
      </c>
      <c r="M180" s="300">
        <f>(65.9*KFC!$B$30+KFC!$C$30)*KFC!$C$5</f>
        <v>65.900000000000006</v>
      </c>
      <c r="N180" s="300">
        <f>(69.8*KFC!$B$30+KFC!$C$30)*KFC!$C$5</f>
        <v>69.8</v>
      </c>
      <c r="O180" s="300">
        <f>(73.7*KFC!$B$30+KFC!$C$30)*KFC!$C$5</f>
        <v>73.7</v>
      </c>
      <c r="P180" s="300">
        <f>(77.6*KFC!$B$30+KFC!$C$30)*KFC!$C$5</f>
        <v>77.599999999999994</v>
      </c>
      <c r="Q180" s="300">
        <f>(81.5*KFC!$B$30+KFC!$C$30)*KFC!$C$5</f>
        <v>81.5</v>
      </c>
      <c r="R180" s="300">
        <f>(85.4*KFC!$B$30+KFC!$C$30)*KFC!$C$5</f>
        <v>85.4</v>
      </c>
      <c r="S180" s="300">
        <f>(89.3*KFC!$B$30+KFC!$C$30)*KFC!$C$5</f>
        <v>89.3</v>
      </c>
      <c r="T180" s="300">
        <f>(93.2*KFC!$B$30+KFC!$C$30)*KFC!$C$5</f>
        <v>93.2</v>
      </c>
      <c r="U180" s="300">
        <f>(97.1*KFC!$B$30+KFC!$C$30)*KFC!$C$5</f>
        <v>97.1</v>
      </c>
      <c r="V180" s="300">
        <f>(101*KFC!$B$30+KFC!$C$30)*KFC!$C$5</f>
        <v>101</v>
      </c>
      <c r="W180" s="300">
        <f>(104.9*KFC!$B$30+KFC!$C$30)*KFC!$C$5</f>
        <v>104.9</v>
      </c>
      <c r="X180" s="300">
        <f>(108.8*KFC!$B$30+KFC!$C$30)*KFC!$C$5</f>
        <v>108.8</v>
      </c>
      <c r="Y180" s="300">
        <f>(112.7*KFC!$B$30+KFC!$C$30)*KFC!$C$5</f>
        <v>112.7</v>
      </c>
      <c r="Z180" s="300">
        <f>(116.6*KFC!$B$30+KFC!$C$30)*KFC!$C$5</f>
        <v>116.6</v>
      </c>
      <c r="AA180" s="300">
        <f>(120.5*KFC!$B$30+KFC!$C$30)*KFC!$C$5</f>
        <v>120.5</v>
      </c>
      <c r="AB180" s="300">
        <f>(124.4*KFC!$B$30+KFC!$C$30)*KFC!$C$5</f>
        <v>124.4</v>
      </c>
      <c r="AC180" s="304">
        <f>(128.3*KFC!$B$30+KFC!$C$30)*KFC!$C$5</f>
        <v>128.30000000000001</v>
      </c>
    </row>
    <row r="181" spans="1:29">
      <c r="A181" s="1538"/>
      <c r="B181" s="637">
        <v>1.5</v>
      </c>
      <c r="C181" s="303">
        <f>(28.1*KFC!$B$30+KFC!$C$30)*KFC!$C$5</f>
        <v>28.1</v>
      </c>
      <c r="D181" s="300">
        <f>(32.3*KFC!$B$30+KFC!$C$30)*KFC!$C$5</f>
        <v>32.299999999999997</v>
      </c>
      <c r="E181" s="300">
        <f>(36.5*KFC!$B$30+KFC!$C$30)*KFC!$C$5</f>
        <v>36.5</v>
      </c>
      <c r="F181" s="300">
        <f>(40.7*KFC!$B$30+KFC!$C$30)*KFC!$C$5</f>
        <v>40.700000000000003</v>
      </c>
      <c r="G181" s="300">
        <f>(44.8*KFC!$B$30+KFC!$C$30)*KFC!$C$5</f>
        <v>44.8</v>
      </c>
      <c r="H181" s="300">
        <f>(49*KFC!$B$30+KFC!$C$30)*KFC!$C$5</f>
        <v>49</v>
      </c>
      <c r="I181" s="300">
        <f>(53.2*KFC!$B$30+KFC!$C$30)*KFC!$C$5</f>
        <v>53.2</v>
      </c>
      <c r="J181" s="300">
        <f>(57.4*KFC!$B$30+KFC!$C$30)*KFC!$C$5</f>
        <v>57.4</v>
      </c>
      <c r="K181" s="300">
        <f>(61.5*KFC!$B$30+KFC!$C$30)*KFC!$C$5</f>
        <v>61.5</v>
      </c>
      <c r="L181" s="300">
        <f>(65.7*KFC!$B$30+KFC!$C$30)*KFC!$C$5</f>
        <v>65.7</v>
      </c>
      <c r="M181" s="300">
        <f>(69.9*KFC!$B$30+KFC!$C$30)*KFC!$C$5</f>
        <v>69.900000000000006</v>
      </c>
      <c r="N181" s="300">
        <f>(74.1*KFC!$B$30+KFC!$C$30)*KFC!$C$5</f>
        <v>74.099999999999994</v>
      </c>
      <c r="O181" s="300">
        <f>(78.2*KFC!$B$30+KFC!$C$30)*KFC!$C$5</f>
        <v>78.2</v>
      </c>
      <c r="P181" s="300">
        <f>(82.4*KFC!$B$30+KFC!$C$30)*KFC!$C$5</f>
        <v>82.4</v>
      </c>
      <c r="Q181" s="300">
        <f>(86.6*KFC!$B$30+KFC!$C$30)*KFC!$C$5</f>
        <v>86.6</v>
      </c>
      <c r="R181" s="300">
        <f>(90.8*KFC!$B$30+KFC!$C$30)*KFC!$C$5</f>
        <v>90.8</v>
      </c>
      <c r="S181" s="300">
        <f>(94.9*KFC!$B$30+KFC!$C$30)*KFC!$C$5</f>
        <v>94.9</v>
      </c>
      <c r="T181" s="300">
        <f>(99.1*KFC!$B$30+KFC!$C$30)*KFC!$C$5</f>
        <v>99.1</v>
      </c>
      <c r="U181" s="300">
        <f>(103.3*KFC!$B$30+KFC!$C$30)*KFC!$C$5</f>
        <v>103.3</v>
      </c>
      <c r="V181" s="300">
        <f>(107.5*KFC!$B$30+KFC!$C$30)*KFC!$C$5</f>
        <v>107.5</v>
      </c>
      <c r="W181" s="300">
        <f>(111.6*KFC!$B$30+KFC!$C$30)*KFC!$C$5</f>
        <v>111.6</v>
      </c>
      <c r="X181" s="300">
        <f>(115.8*KFC!$B$30+KFC!$C$30)*KFC!$C$5</f>
        <v>115.8</v>
      </c>
      <c r="Y181" s="300">
        <f>(120*KFC!$B$30+KFC!$C$30)*KFC!$C$5</f>
        <v>120</v>
      </c>
      <c r="Z181" s="300">
        <f>(124.2*KFC!$B$30+KFC!$C$30)*KFC!$C$5</f>
        <v>124.2</v>
      </c>
      <c r="AA181" s="300">
        <f>(128.3*KFC!$B$30+KFC!$C$30)*KFC!$C$5</f>
        <v>128.30000000000001</v>
      </c>
      <c r="AB181" s="300">
        <f>(132.5*KFC!$B$30+KFC!$C$30)*KFC!$C$5</f>
        <v>132.5</v>
      </c>
      <c r="AC181" s="304">
        <f>(136.7*KFC!$B$30+KFC!$C$30)*KFC!$C$5</f>
        <v>136.69999999999999</v>
      </c>
    </row>
    <row r="182" spans="1:29">
      <c r="A182" s="1538"/>
      <c r="B182" s="637">
        <v>1.6</v>
      </c>
      <c r="C182" s="303">
        <f>(29.3*KFC!$B$30+KFC!$C$30)*KFC!$C$5</f>
        <v>29.3</v>
      </c>
      <c r="D182" s="300">
        <f>(33.8*KFC!$B$30+KFC!$C$30)*KFC!$C$5</f>
        <v>33.799999999999997</v>
      </c>
      <c r="E182" s="300">
        <f>(38.2*KFC!$B$30+KFC!$C$30)*KFC!$C$5</f>
        <v>38.200000000000003</v>
      </c>
      <c r="F182" s="300">
        <f>(42.7*KFC!$B$30+KFC!$C$30)*KFC!$C$5</f>
        <v>42.7</v>
      </c>
      <c r="G182" s="300">
        <f>(47.1*KFC!$B$30+KFC!$C$30)*KFC!$C$5</f>
        <v>47.1</v>
      </c>
      <c r="H182" s="300">
        <f>(51.6*KFC!$B$30+KFC!$C$30)*KFC!$C$5</f>
        <v>51.6</v>
      </c>
      <c r="I182" s="300">
        <f>(56*KFC!$B$30+KFC!$C$30)*KFC!$C$5</f>
        <v>56</v>
      </c>
      <c r="J182" s="300">
        <f>(60.5*KFC!$B$30+KFC!$C$30)*KFC!$C$5</f>
        <v>60.5</v>
      </c>
      <c r="K182" s="300">
        <f>(65*KFC!$B$30+KFC!$C$30)*KFC!$C$5</f>
        <v>65</v>
      </c>
      <c r="L182" s="300">
        <f>(69.4*KFC!$B$30+KFC!$C$30)*KFC!$C$5</f>
        <v>69.400000000000006</v>
      </c>
      <c r="M182" s="300">
        <f>(73.9*KFC!$B$30+KFC!$C$30)*KFC!$C$5</f>
        <v>73.900000000000006</v>
      </c>
      <c r="N182" s="300">
        <f>(78.3*KFC!$B$30+KFC!$C$30)*KFC!$C$5</f>
        <v>78.3</v>
      </c>
      <c r="O182" s="300">
        <f>(82.8*KFC!$B$30+KFC!$C$30)*KFC!$C$5</f>
        <v>82.8</v>
      </c>
      <c r="P182" s="300">
        <f>(87.2*KFC!$B$30+KFC!$C$30)*KFC!$C$5</f>
        <v>87.2</v>
      </c>
      <c r="Q182" s="300">
        <f>(91.7*KFC!$B$30+KFC!$C$30)*KFC!$C$5</f>
        <v>91.7</v>
      </c>
      <c r="R182" s="300">
        <f>(96.1*KFC!$B$30+KFC!$C$30)*KFC!$C$5</f>
        <v>96.1</v>
      </c>
      <c r="S182" s="300">
        <f>(100.6*KFC!$B$30+KFC!$C$30)*KFC!$C$5</f>
        <v>100.6</v>
      </c>
      <c r="T182" s="300">
        <f>(105*KFC!$B$30+KFC!$C$30)*KFC!$C$5</f>
        <v>105</v>
      </c>
      <c r="U182" s="300">
        <f>(109.5*KFC!$B$30+KFC!$C$30)*KFC!$C$5</f>
        <v>109.5</v>
      </c>
      <c r="V182" s="300">
        <f>(113.9*KFC!$B$30+KFC!$C$30)*KFC!$C$5</f>
        <v>113.9</v>
      </c>
      <c r="W182" s="300">
        <f>(118.4*KFC!$B$30+KFC!$C$30)*KFC!$C$5</f>
        <v>118.4</v>
      </c>
      <c r="X182" s="300">
        <f>(122.8*KFC!$B$30+KFC!$C$30)*KFC!$C$5</f>
        <v>122.8</v>
      </c>
      <c r="Y182" s="300">
        <f>(127.3*KFC!$B$30+KFC!$C$30)*KFC!$C$5</f>
        <v>127.3</v>
      </c>
      <c r="Z182" s="300">
        <f>(131.7*KFC!$B$30+KFC!$C$30)*KFC!$C$5</f>
        <v>131.69999999999999</v>
      </c>
      <c r="AA182" s="300">
        <f>(136.2*KFC!$B$30+KFC!$C$30)*KFC!$C$5</f>
        <v>136.19999999999999</v>
      </c>
      <c r="AB182" s="300">
        <f>(140.6*KFC!$B$30+KFC!$C$30)*KFC!$C$5</f>
        <v>140.6</v>
      </c>
      <c r="AC182" s="304">
        <f>(145.1*KFC!$B$30+KFC!$C$30)*KFC!$C$5</f>
        <v>145.1</v>
      </c>
    </row>
    <row r="183" spans="1:29">
      <c r="A183" s="1538"/>
      <c r="B183" s="637">
        <v>1.7</v>
      </c>
      <c r="C183" s="303">
        <f>(30.5*KFC!$B$30+KFC!$C$30)*KFC!$C$5</f>
        <v>30.5</v>
      </c>
      <c r="D183" s="300">
        <f>(35.3*KFC!$B$30+KFC!$C$30)*KFC!$C$5</f>
        <v>35.299999999999997</v>
      </c>
      <c r="E183" s="300">
        <f>(40*KFC!$B$30+KFC!$C$30)*KFC!$C$5</f>
        <v>40</v>
      </c>
      <c r="F183" s="300">
        <f>(44.7*KFC!$B$30+KFC!$C$30)*KFC!$C$5</f>
        <v>44.7</v>
      </c>
      <c r="G183" s="300">
        <f>(49.4*KFC!$B$30+KFC!$C$30)*KFC!$C$5</f>
        <v>49.4</v>
      </c>
      <c r="H183" s="300">
        <f>(54.2*KFC!$B$30+KFC!$C$30)*KFC!$C$5</f>
        <v>54.2</v>
      </c>
      <c r="I183" s="300">
        <f>(58.9*KFC!$B$30+KFC!$C$30)*KFC!$C$5</f>
        <v>58.9</v>
      </c>
      <c r="J183" s="300">
        <f>(63.6*KFC!$B$30+KFC!$C$30)*KFC!$C$5</f>
        <v>63.6</v>
      </c>
      <c r="K183" s="300">
        <f>(68.4*KFC!$B$30+KFC!$C$30)*KFC!$C$5</f>
        <v>68.400000000000006</v>
      </c>
      <c r="L183" s="300">
        <f>(73.1*KFC!$B$30+KFC!$C$30)*KFC!$C$5</f>
        <v>73.099999999999994</v>
      </c>
      <c r="M183" s="300">
        <f>(77.8*KFC!$B$30+KFC!$C$30)*KFC!$C$5</f>
        <v>77.8</v>
      </c>
      <c r="N183" s="300">
        <f>(82.6*KFC!$B$30+KFC!$C$30)*KFC!$C$5</f>
        <v>82.6</v>
      </c>
      <c r="O183" s="300">
        <f>(87.3*KFC!$B$30+KFC!$C$30)*KFC!$C$5</f>
        <v>87.3</v>
      </c>
      <c r="P183" s="300">
        <f>(92*KFC!$B$30+KFC!$C$30)*KFC!$C$5</f>
        <v>92</v>
      </c>
      <c r="Q183" s="300">
        <f>(96.7*KFC!$B$30+KFC!$C$30)*KFC!$C$5</f>
        <v>96.7</v>
      </c>
      <c r="R183" s="300">
        <f>(101.5*KFC!$B$30+KFC!$C$30)*KFC!$C$5</f>
        <v>101.5</v>
      </c>
      <c r="S183" s="300">
        <f>(106.2*KFC!$B$30+KFC!$C$30)*KFC!$C$5</f>
        <v>106.2</v>
      </c>
      <c r="T183" s="300">
        <f>(110.9*KFC!$B$30+KFC!$C$30)*KFC!$C$5</f>
        <v>110.9</v>
      </c>
      <c r="U183" s="300">
        <f>(115.7*KFC!$B$30+KFC!$C$30)*KFC!$C$5</f>
        <v>115.7</v>
      </c>
      <c r="V183" s="300">
        <f>(120.4*KFC!$B$30+KFC!$C$30)*KFC!$C$5</f>
        <v>120.4</v>
      </c>
      <c r="W183" s="300">
        <f>(125.1*KFC!$B$30+KFC!$C$30)*KFC!$C$5</f>
        <v>125.1</v>
      </c>
      <c r="X183" s="300">
        <f>(129.9*KFC!$B$30+KFC!$C$30)*KFC!$C$5</f>
        <v>129.9</v>
      </c>
      <c r="Y183" s="300">
        <f>(134.6*KFC!$B$30+KFC!$C$30)*KFC!$C$5</f>
        <v>134.6</v>
      </c>
      <c r="Z183" s="300">
        <f>(139.3*KFC!$B$30+KFC!$C$30)*KFC!$C$5</f>
        <v>139.30000000000001</v>
      </c>
      <c r="AA183" s="300">
        <f>(144*KFC!$B$30+KFC!$C$30)*KFC!$C$5</f>
        <v>144</v>
      </c>
      <c r="AB183" s="300">
        <f>(148.8*KFC!$B$30+KFC!$C$30)*KFC!$C$5</f>
        <v>148.80000000000001</v>
      </c>
      <c r="AC183" s="304">
        <f>(153.5*KFC!$B$30+KFC!$C$30)*KFC!$C$5</f>
        <v>153.5</v>
      </c>
    </row>
    <row r="184" spans="1:29">
      <c r="A184" s="1538"/>
      <c r="B184" s="637">
        <v>1.8</v>
      </c>
      <c r="C184" s="303">
        <f>(31.7*KFC!$B$30+KFC!$C$30)*KFC!$C$5</f>
        <v>31.7</v>
      </c>
      <c r="D184" s="300">
        <f>(36.7*KFC!$B$30+KFC!$C$30)*KFC!$C$5</f>
        <v>36.700000000000003</v>
      </c>
      <c r="E184" s="300">
        <f>(41.7*KFC!$B$30+KFC!$C$30)*KFC!$C$5</f>
        <v>41.7</v>
      </c>
      <c r="F184" s="300">
        <f>(46.7*KFC!$B$30+KFC!$C$30)*KFC!$C$5</f>
        <v>46.7</v>
      </c>
      <c r="G184" s="300">
        <f>(51.8*KFC!$B$30+KFC!$C$30)*KFC!$C$5</f>
        <v>51.8</v>
      </c>
      <c r="H184" s="300">
        <f>(56.8*KFC!$B$30+KFC!$C$30)*KFC!$C$5</f>
        <v>56.8</v>
      </c>
      <c r="I184" s="300">
        <f>(61.8*KFC!$B$30+KFC!$C$30)*KFC!$C$5</f>
        <v>61.8</v>
      </c>
      <c r="J184" s="300">
        <f>(66.8*KFC!$B$30+KFC!$C$30)*KFC!$C$5</f>
        <v>66.8</v>
      </c>
      <c r="K184" s="300">
        <f>(71.8*KFC!$B$30+KFC!$C$30)*KFC!$C$5</f>
        <v>71.8</v>
      </c>
      <c r="L184" s="300">
        <f>(76.8*KFC!$B$30+KFC!$C$30)*KFC!$C$5</f>
        <v>76.8</v>
      </c>
      <c r="M184" s="300">
        <f>(81.8*KFC!$B$30+KFC!$C$30)*KFC!$C$5</f>
        <v>81.8</v>
      </c>
      <c r="N184" s="300">
        <f>(86.8*KFC!$B$30+KFC!$C$30)*KFC!$C$5</f>
        <v>86.8</v>
      </c>
      <c r="O184" s="300">
        <f>(91.8*KFC!$B$30+KFC!$C$30)*KFC!$C$5</f>
        <v>91.8</v>
      </c>
      <c r="P184" s="300">
        <f>(96.8*KFC!$B$30+KFC!$C$30)*KFC!$C$5</f>
        <v>96.8</v>
      </c>
      <c r="Q184" s="300">
        <f>(101.8*KFC!$B$30+KFC!$C$30)*KFC!$C$5</f>
        <v>101.8</v>
      </c>
      <c r="R184" s="300">
        <f>(106.8*KFC!$B$30+KFC!$C$30)*KFC!$C$5</f>
        <v>106.8</v>
      </c>
      <c r="S184" s="300">
        <f>(111.8*KFC!$B$30+KFC!$C$30)*KFC!$C$5</f>
        <v>111.8</v>
      </c>
      <c r="T184" s="300">
        <f>(116.8*KFC!$B$30+KFC!$C$30)*KFC!$C$5</f>
        <v>116.8</v>
      </c>
      <c r="U184" s="300">
        <f>(121.9*KFC!$B$30+KFC!$C$30)*KFC!$C$5</f>
        <v>121.9</v>
      </c>
      <c r="V184" s="300">
        <f>(126.9*KFC!$B$30+KFC!$C$30)*KFC!$C$5</f>
        <v>126.9</v>
      </c>
      <c r="W184" s="300">
        <f>(131.9*KFC!$B$30+KFC!$C$30)*KFC!$C$5</f>
        <v>131.9</v>
      </c>
      <c r="X184" s="300">
        <f>(136.9*KFC!$B$30+KFC!$C$30)*KFC!$C$5</f>
        <v>136.9</v>
      </c>
      <c r="Y184" s="300">
        <f>(141.9*KFC!$B$30+KFC!$C$30)*KFC!$C$5</f>
        <v>141.9</v>
      </c>
      <c r="Z184" s="300">
        <f>(146.9*KFC!$B$30+KFC!$C$30)*KFC!$C$5</f>
        <v>146.9</v>
      </c>
      <c r="AA184" s="300">
        <f>(151.9*KFC!$B$30+KFC!$C$30)*KFC!$C$5</f>
        <v>151.9</v>
      </c>
      <c r="AB184" s="300">
        <f>(156.9*KFC!$B$30+KFC!$C$30)*KFC!$C$5</f>
        <v>156.9</v>
      </c>
      <c r="AC184" s="304">
        <f>(161.9*KFC!$B$30+KFC!$C$30)*KFC!$C$5</f>
        <v>161.9</v>
      </c>
    </row>
    <row r="185" spans="1:29">
      <c r="A185" s="1538"/>
      <c r="B185" s="637">
        <v>1.9</v>
      </c>
      <c r="C185" s="303">
        <f>(32.9*KFC!$B$30+KFC!$C$30)*KFC!$C$5</f>
        <v>32.9</v>
      </c>
      <c r="D185" s="300">
        <f>(38.2*KFC!$B$30+KFC!$C$30)*KFC!$C$5</f>
        <v>38.200000000000003</v>
      </c>
      <c r="E185" s="300">
        <f>(43.5*KFC!$B$30+KFC!$C$30)*KFC!$C$5</f>
        <v>43.5</v>
      </c>
      <c r="F185" s="300">
        <f>(48.8*KFC!$B$30+KFC!$C$30)*KFC!$C$5</f>
        <v>48.8</v>
      </c>
      <c r="G185" s="300">
        <f>(54.1*KFC!$B$30+KFC!$C$30)*KFC!$C$5</f>
        <v>54.1</v>
      </c>
      <c r="H185" s="300">
        <f>(59.3*KFC!$B$30+KFC!$C$30)*KFC!$C$5</f>
        <v>59.3</v>
      </c>
      <c r="I185" s="300">
        <f>(64.6*KFC!$B$30+KFC!$C$30)*KFC!$C$5</f>
        <v>64.599999999999994</v>
      </c>
      <c r="J185" s="300">
        <f>(69.9*KFC!$B$30+KFC!$C$30)*KFC!$C$5</f>
        <v>69.900000000000006</v>
      </c>
      <c r="K185" s="300">
        <f>(75.2*KFC!$B$30+KFC!$C$30)*KFC!$C$5</f>
        <v>75.2</v>
      </c>
      <c r="L185" s="300">
        <f>(80.5*KFC!$B$30+KFC!$C$30)*KFC!$C$5</f>
        <v>80.5</v>
      </c>
      <c r="M185" s="300">
        <f>(85.8*KFC!$B$30+KFC!$C$30)*KFC!$C$5</f>
        <v>85.8</v>
      </c>
      <c r="N185" s="300">
        <f>(91*KFC!$B$30+KFC!$C$30)*KFC!$C$5</f>
        <v>91</v>
      </c>
      <c r="O185" s="300">
        <f>(96.3*KFC!$B$30+KFC!$C$30)*KFC!$C$5</f>
        <v>96.3</v>
      </c>
      <c r="P185" s="300">
        <f>(101.6*KFC!$B$30+KFC!$C$30)*KFC!$C$5</f>
        <v>101.6</v>
      </c>
      <c r="Q185" s="300">
        <f>(106.9*KFC!$B$30+KFC!$C$30)*KFC!$C$5</f>
        <v>106.9</v>
      </c>
      <c r="R185" s="300">
        <f>(112.2*KFC!$B$30+KFC!$C$30)*KFC!$C$5</f>
        <v>112.2</v>
      </c>
      <c r="S185" s="300">
        <f>(117.5*KFC!$B$30+KFC!$C$30)*KFC!$C$5</f>
        <v>117.5</v>
      </c>
      <c r="T185" s="300">
        <f>(122.8*KFC!$B$30+KFC!$C$30)*KFC!$C$5</f>
        <v>122.8</v>
      </c>
      <c r="U185" s="300">
        <f>(128*KFC!$B$30+KFC!$C$30)*KFC!$C$5</f>
        <v>128</v>
      </c>
      <c r="V185" s="300">
        <f>(133.3*KFC!$B$30+KFC!$C$30)*KFC!$C$5</f>
        <v>133.30000000000001</v>
      </c>
      <c r="W185" s="300">
        <f>(138.6*KFC!$B$30+KFC!$C$30)*KFC!$C$5</f>
        <v>138.6</v>
      </c>
      <c r="X185" s="300">
        <f>(143.9*KFC!$B$30+KFC!$C$30)*KFC!$C$5</f>
        <v>143.9</v>
      </c>
      <c r="Y185" s="300">
        <f>(149.2*KFC!$B$30+KFC!$C$30)*KFC!$C$5</f>
        <v>149.19999999999999</v>
      </c>
      <c r="Z185" s="300">
        <f>(154.5*KFC!$B$30+KFC!$C$30)*KFC!$C$5</f>
        <v>154.5</v>
      </c>
      <c r="AA185" s="300">
        <f>(159.8*KFC!$B$30+KFC!$C$30)*KFC!$C$5</f>
        <v>159.80000000000001</v>
      </c>
      <c r="AB185" s="300">
        <f>(165*KFC!$B$30+KFC!$C$30)*KFC!$C$5</f>
        <v>165</v>
      </c>
      <c r="AC185" s="304">
        <f>(170.3*KFC!$B$30+KFC!$C$30)*KFC!$C$5</f>
        <v>170.3</v>
      </c>
    </row>
    <row r="186" spans="1:29">
      <c r="A186" s="1538"/>
      <c r="B186" s="637">
        <v>2</v>
      </c>
      <c r="C186" s="303">
        <f>(34.1*KFC!$B$30+KFC!$C$30)*KFC!$C$5</f>
        <v>34.1</v>
      </c>
      <c r="D186" s="300">
        <f>(39.7*KFC!$B$30+KFC!$C$30)*KFC!$C$5</f>
        <v>39.700000000000003</v>
      </c>
      <c r="E186" s="300">
        <f>(45.2*KFC!$B$30+KFC!$C$30)*KFC!$C$5</f>
        <v>45.2</v>
      </c>
      <c r="F186" s="300">
        <f>(50.8*KFC!$B$30+KFC!$C$30)*KFC!$C$5</f>
        <v>50.8</v>
      </c>
      <c r="G186" s="300">
        <f>(56.4*KFC!$B$30+KFC!$C$30)*KFC!$C$5</f>
        <v>56.4</v>
      </c>
      <c r="H186" s="300">
        <f>(61.9*KFC!$B$30+KFC!$C$30)*KFC!$C$5</f>
        <v>61.9</v>
      </c>
      <c r="I186" s="300">
        <f>(67.5*KFC!$B$30+KFC!$C$30)*KFC!$C$5</f>
        <v>67.5</v>
      </c>
      <c r="J186" s="300">
        <f>(73*KFC!$B$30+KFC!$C$30)*KFC!$C$5</f>
        <v>73</v>
      </c>
      <c r="K186" s="300">
        <f>(78.6*KFC!$B$30+KFC!$C$30)*KFC!$C$5</f>
        <v>78.599999999999994</v>
      </c>
      <c r="L186" s="300">
        <f>(84.2*KFC!$B$30+KFC!$C$30)*KFC!$C$5</f>
        <v>84.2</v>
      </c>
      <c r="M186" s="300">
        <f>(89.7*KFC!$B$30+KFC!$C$30)*KFC!$C$5</f>
        <v>89.7</v>
      </c>
      <c r="N186" s="300">
        <f>(95.3*KFC!$B$30+KFC!$C$30)*KFC!$C$5</f>
        <v>95.3</v>
      </c>
      <c r="O186" s="300">
        <f>(100.9*KFC!$B$30+KFC!$C$30)*KFC!$C$5</f>
        <v>100.9</v>
      </c>
      <c r="P186" s="300">
        <f>(106.4*KFC!$B$30+KFC!$C$30)*KFC!$C$5</f>
        <v>106.4</v>
      </c>
      <c r="Q186" s="300">
        <f>(112*KFC!$B$30+KFC!$C$30)*KFC!$C$5</f>
        <v>112</v>
      </c>
      <c r="R186" s="300">
        <f>(117.5*KFC!$B$30+KFC!$C$30)*KFC!$C$5</f>
        <v>117.5</v>
      </c>
      <c r="S186" s="300">
        <f>(123.1*KFC!$B$30+KFC!$C$30)*KFC!$C$5</f>
        <v>123.1</v>
      </c>
      <c r="T186" s="300">
        <f>(128.7*KFC!$B$30+KFC!$C$30)*KFC!$C$5</f>
        <v>128.69999999999999</v>
      </c>
      <c r="U186" s="300">
        <f>(134.2*KFC!$B$30+KFC!$C$30)*KFC!$C$5</f>
        <v>134.19999999999999</v>
      </c>
      <c r="V186" s="300">
        <f>(139.8*KFC!$B$30+KFC!$C$30)*KFC!$C$5</f>
        <v>139.80000000000001</v>
      </c>
      <c r="W186" s="300">
        <f>(145.4*KFC!$B$30+KFC!$C$30)*KFC!$C$5</f>
        <v>145.4</v>
      </c>
      <c r="X186" s="300">
        <f>(150.9*KFC!$B$30+KFC!$C$30)*KFC!$C$5</f>
        <v>150.9</v>
      </c>
      <c r="Y186" s="300">
        <f>(156.5*KFC!$B$30+KFC!$C$30)*KFC!$C$5</f>
        <v>156.5</v>
      </c>
      <c r="Z186" s="300">
        <f>(162*KFC!$B$30+KFC!$C$30)*KFC!$C$5</f>
        <v>162</v>
      </c>
      <c r="AA186" s="300">
        <f>(167.6*KFC!$B$30+KFC!$C$30)*KFC!$C$5</f>
        <v>167.6</v>
      </c>
      <c r="AB186" s="300">
        <f>(173.2*KFC!$B$30+KFC!$C$30)*KFC!$C$5</f>
        <v>173.2</v>
      </c>
      <c r="AC186" s="304">
        <f>(178.7*KFC!$B$30+KFC!$C$30)*KFC!$C$5</f>
        <v>178.7</v>
      </c>
    </row>
    <row r="187" spans="1:29">
      <c r="A187" s="1538"/>
      <c r="B187" s="637">
        <v>2.1</v>
      </c>
      <c r="C187" s="303">
        <f>(35.3*KFC!$B$30+KFC!$C$30)*KFC!$C$5</f>
        <v>35.299999999999997</v>
      </c>
      <c r="D187" s="300">
        <f>(41.1*KFC!$B$30+KFC!$C$30)*KFC!$C$5</f>
        <v>41.1</v>
      </c>
      <c r="E187" s="300">
        <f>(47*KFC!$B$30+KFC!$C$30)*KFC!$C$5</f>
        <v>47</v>
      </c>
      <c r="F187" s="300">
        <f>(52.8*KFC!$B$30+KFC!$C$30)*KFC!$C$5</f>
        <v>52.8</v>
      </c>
      <c r="G187" s="300">
        <f>(58.7*KFC!$B$30+KFC!$C$30)*KFC!$C$5</f>
        <v>58.7</v>
      </c>
      <c r="H187" s="300">
        <f>(64.5*KFC!$B$30+KFC!$C$30)*KFC!$C$5</f>
        <v>64.5</v>
      </c>
      <c r="I187" s="300">
        <f>(70.3*KFC!$B$30+KFC!$C$30)*KFC!$C$5</f>
        <v>70.3</v>
      </c>
      <c r="J187" s="300">
        <f>(76.2*KFC!$B$30+KFC!$C$30)*KFC!$C$5</f>
        <v>76.2</v>
      </c>
      <c r="K187" s="300">
        <f>(82*KFC!$B$30+KFC!$C$30)*KFC!$C$5</f>
        <v>82</v>
      </c>
      <c r="L187" s="300">
        <f>(87.9*KFC!$B$30+KFC!$C$30)*KFC!$C$5</f>
        <v>87.9</v>
      </c>
      <c r="M187" s="300">
        <f>(93.7*KFC!$B$30+KFC!$C$30)*KFC!$C$5</f>
        <v>93.7</v>
      </c>
      <c r="N187" s="300">
        <f>(99.5*KFC!$B$30+KFC!$C$30)*KFC!$C$5</f>
        <v>99.5</v>
      </c>
      <c r="O187" s="300">
        <f>(105.4*KFC!$B$30+KFC!$C$30)*KFC!$C$5</f>
        <v>105.4</v>
      </c>
      <c r="P187" s="300">
        <f>(111.2*KFC!$B$30+KFC!$C$30)*KFC!$C$5</f>
        <v>111.2</v>
      </c>
      <c r="Q187" s="300">
        <f>(117.1*KFC!$B$30+KFC!$C$30)*KFC!$C$5</f>
        <v>117.1</v>
      </c>
      <c r="R187" s="300">
        <f>(122.9*KFC!$B$30+KFC!$C$30)*KFC!$C$5</f>
        <v>122.9</v>
      </c>
      <c r="S187" s="300">
        <f>(128.7*KFC!$B$30+KFC!$C$30)*KFC!$C$5</f>
        <v>128.69999999999999</v>
      </c>
      <c r="T187" s="300">
        <f>(134.6*KFC!$B$30+KFC!$C$30)*KFC!$C$5</f>
        <v>134.6</v>
      </c>
      <c r="U187" s="300">
        <f>(140.4*KFC!$B$30+KFC!$C$30)*KFC!$C$5</f>
        <v>140.4</v>
      </c>
      <c r="V187" s="300">
        <f>(146.3*KFC!$B$30+KFC!$C$30)*KFC!$C$5</f>
        <v>146.30000000000001</v>
      </c>
      <c r="W187" s="300">
        <f>(152.1*KFC!$B$30+KFC!$C$30)*KFC!$C$5</f>
        <v>152.1</v>
      </c>
      <c r="X187" s="300">
        <f>(157.9*KFC!$B$30+KFC!$C$30)*KFC!$C$5</f>
        <v>157.9</v>
      </c>
      <c r="Y187" s="300">
        <f>(163.8*KFC!$B$30+KFC!$C$30)*KFC!$C$5</f>
        <v>163.80000000000001</v>
      </c>
      <c r="Z187" s="300">
        <f>(169.6*KFC!$B$30+KFC!$C$30)*KFC!$C$5</f>
        <v>169.6</v>
      </c>
      <c r="AA187" s="300">
        <f>(175.5*KFC!$B$30+KFC!$C$30)*KFC!$C$5</f>
        <v>175.5</v>
      </c>
      <c r="AB187" s="300">
        <f>(181.3*KFC!$B$30+KFC!$C$30)*KFC!$C$5</f>
        <v>181.3</v>
      </c>
      <c r="AC187" s="304">
        <f>(187.1*KFC!$B$30+KFC!$C$30)*KFC!$C$5</f>
        <v>187.1</v>
      </c>
    </row>
    <row r="188" spans="1:29">
      <c r="A188" s="1538"/>
      <c r="B188" s="637">
        <v>2.2000000000000002</v>
      </c>
      <c r="C188" s="303">
        <f>(36.5*KFC!$B$30+KFC!$C$30)*KFC!$C$5</f>
        <v>36.5</v>
      </c>
      <c r="D188" s="300">
        <f>(42.6*KFC!$B$30+KFC!$C$30)*KFC!$C$5</f>
        <v>42.6</v>
      </c>
      <c r="E188" s="300">
        <f>(48.7*KFC!$B$30+KFC!$C$30)*KFC!$C$5</f>
        <v>48.7</v>
      </c>
      <c r="F188" s="300">
        <f>(54.9*KFC!$B$30+KFC!$C$30)*KFC!$C$5</f>
        <v>54.9</v>
      </c>
      <c r="G188" s="300">
        <f>(61*KFC!$B$30+KFC!$C$30)*KFC!$C$5</f>
        <v>61</v>
      </c>
      <c r="H188" s="300">
        <f>(67.1*KFC!$B$30+KFC!$C$30)*KFC!$C$5</f>
        <v>67.099999999999994</v>
      </c>
      <c r="I188" s="300">
        <f>(73.2*KFC!$B$30+KFC!$C$30)*KFC!$C$5</f>
        <v>73.2</v>
      </c>
      <c r="J188" s="300">
        <f>(79.3*KFC!$B$30+KFC!$C$30)*KFC!$C$5</f>
        <v>79.3</v>
      </c>
      <c r="K188" s="300">
        <f>(85.4*KFC!$B$30+KFC!$C$30)*KFC!$C$5</f>
        <v>85.4</v>
      </c>
      <c r="L188" s="300">
        <f>(91.6*KFC!$B$30+KFC!$C$30)*KFC!$C$5</f>
        <v>91.6</v>
      </c>
      <c r="M188" s="300">
        <f>(97.7*KFC!$B$30+KFC!$C$30)*KFC!$C$5</f>
        <v>97.7</v>
      </c>
      <c r="N188" s="300">
        <f>(103.8*KFC!$B$30+KFC!$C$30)*KFC!$C$5</f>
        <v>103.8</v>
      </c>
      <c r="O188" s="300">
        <f>(109.9*KFC!$B$30+KFC!$C$30)*KFC!$C$5</f>
        <v>109.9</v>
      </c>
      <c r="P188" s="300">
        <f>(116*KFC!$B$30+KFC!$C$30)*KFC!$C$5</f>
        <v>116</v>
      </c>
      <c r="Q188" s="300">
        <f>(122.1*KFC!$B$30+KFC!$C$30)*KFC!$C$5</f>
        <v>122.1</v>
      </c>
      <c r="R188" s="300">
        <f>(128.3*KFC!$B$30+KFC!$C$30)*KFC!$C$5</f>
        <v>128.30000000000001</v>
      </c>
      <c r="S188" s="300">
        <f>(134.4*KFC!$B$30+KFC!$C$30)*KFC!$C$5</f>
        <v>134.4</v>
      </c>
      <c r="T188" s="300">
        <f>(140.5*KFC!$B$30+KFC!$C$30)*KFC!$C$5</f>
        <v>140.5</v>
      </c>
      <c r="U188" s="300">
        <f>(146.6*KFC!$B$30+KFC!$C$30)*KFC!$C$5</f>
        <v>146.6</v>
      </c>
      <c r="V188" s="300">
        <f>(152.7*KFC!$B$30+KFC!$C$30)*KFC!$C$5</f>
        <v>152.69999999999999</v>
      </c>
      <c r="W188" s="300">
        <f>(158.8*KFC!$B$30+KFC!$C$30)*KFC!$C$5</f>
        <v>158.80000000000001</v>
      </c>
      <c r="X188" s="300">
        <f>(165*KFC!$B$30+KFC!$C$30)*KFC!$C$5</f>
        <v>165</v>
      </c>
      <c r="Y188" s="300">
        <f>(171.1*KFC!$B$30+KFC!$C$30)*KFC!$C$5</f>
        <v>171.1</v>
      </c>
      <c r="Z188" s="300">
        <f>(177.2*KFC!$B$30+KFC!$C$30)*KFC!$C$5</f>
        <v>177.2</v>
      </c>
      <c r="AA188" s="300">
        <f>(183.3*KFC!$B$30+KFC!$C$30)*KFC!$C$5</f>
        <v>183.3</v>
      </c>
      <c r="AB188" s="300">
        <f>(189.4*KFC!$B$30+KFC!$C$30)*KFC!$C$5</f>
        <v>189.4</v>
      </c>
      <c r="AC188" s="304">
        <f>(195.5*KFC!$B$30+KFC!$C$30)*KFC!$C$5</f>
        <v>195.5</v>
      </c>
    </row>
    <row r="189" spans="1:29">
      <c r="A189" s="1538"/>
      <c r="B189" s="637">
        <v>2.2999999999999998</v>
      </c>
      <c r="C189" s="303">
        <f>(37.7*KFC!$B$30+KFC!$C$30)*KFC!$C$5</f>
        <v>37.700000000000003</v>
      </c>
      <c r="D189" s="300">
        <f>(44.1*KFC!$B$30+KFC!$C$30)*KFC!$C$5</f>
        <v>44.1</v>
      </c>
      <c r="E189" s="300">
        <f>(50.5*KFC!$B$30+KFC!$C$30)*KFC!$C$5</f>
        <v>50.5</v>
      </c>
      <c r="F189" s="300">
        <f>(56.9*KFC!$B$30+KFC!$C$30)*KFC!$C$5</f>
        <v>56.9</v>
      </c>
      <c r="G189" s="300">
        <f>(63.3*KFC!$B$30+KFC!$C$30)*KFC!$C$5</f>
        <v>63.3</v>
      </c>
      <c r="H189" s="300">
        <f>(69.7*KFC!$B$30+KFC!$C$30)*KFC!$C$5</f>
        <v>69.7</v>
      </c>
      <c r="I189" s="300">
        <f>(76.1*KFC!$B$30+KFC!$C$30)*KFC!$C$5</f>
        <v>76.099999999999994</v>
      </c>
      <c r="J189" s="300">
        <f>(82.5*KFC!$B$30+KFC!$C$30)*KFC!$C$5</f>
        <v>82.5</v>
      </c>
      <c r="K189" s="300">
        <f>(88.9*KFC!$B$30+KFC!$C$30)*KFC!$C$5</f>
        <v>88.9</v>
      </c>
      <c r="L189" s="300">
        <f>(95.2*KFC!$B$30+KFC!$C$30)*KFC!$C$5</f>
        <v>95.2</v>
      </c>
      <c r="M189" s="300">
        <f>(101.6*KFC!$B$30+KFC!$C$30)*KFC!$C$5</f>
        <v>101.6</v>
      </c>
      <c r="N189" s="300">
        <f>(108*KFC!$B$30+KFC!$C$30)*KFC!$C$5</f>
        <v>108</v>
      </c>
      <c r="O189" s="300">
        <f>(114.4*KFC!$B$30+KFC!$C$30)*KFC!$C$5</f>
        <v>114.4</v>
      </c>
      <c r="P189" s="300">
        <f>(120.8*KFC!$B$30+KFC!$C$30)*KFC!$C$5</f>
        <v>120.8</v>
      </c>
      <c r="Q189" s="300">
        <f>(127.2*KFC!$B$30+KFC!$C$30)*KFC!$C$5</f>
        <v>127.2</v>
      </c>
      <c r="R189" s="300">
        <f>(133.6*KFC!$B$30+KFC!$C$30)*KFC!$C$5</f>
        <v>133.6</v>
      </c>
      <c r="S189" s="300">
        <f>(140*KFC!$B$30+KFC!$C$30)*KFC!$C$5</f>
        <v>140</v>
      </c>
      <c r="T189" s="300">
        <f>(146.4*KFC!$B$30+KFC!$C$30)*KFC!$C$5</f>
        <v>146.4</v>
      </c>
      <c r="U189" s="300">
        <f>(152.8*KFC!$B$30+KFC!$C$30)*KFC!$C$5</f>
        <v>152.80000000000001</v>
      </c>
      <c r="V189" s="300">
        <f>(159.2*KFC!$B$30+KFC!$C$30)*KFC!$C$5</f>
        <v>159.19999999999999</v>
      </c>
      <c r="W189" s="300">
        <f>(165.6*KFC!$B$30+KFC!$C$30)*KFC!$C$5</f>
        <v>165.6</v>
      </c>
      <c r="X189" s="300">
        <f>(172*KFC!$B$30+KFC!$C$30)*KFC!$C$5</f>
        <v>172</v>
      </c>
      <c r="Y189" s="300">
        <f>(178.4*KFC!$B$30+KFC!$C$30)*KFC!$C$5</f>
        <v>178.4</v>
      </c>
      <c r="Z189" s="300">
        <f>(184.8*KFC!$B$30+KFC!$C$30)*KFC!$C$5</f>
        <v>184.8</v>
      </c>
      <c r="AA189" s="300">
        <f>(191.2*KFC!$B$30+KFC!$C$30)*KFC!$C$5</f>
        <v>191.2</v>
      </c>
      <c r="AB189" s="300">
        <f>(197.6*KFC!$B$30+KFC!$C$30)*KFC!$C$5</f>
        <v>197.6</v>
      </c>
      <c r="AC189" s="304">
        <f>(203.9*KFC!$B$30+KFC!$C$30)*KFC!$C$5</f>
        <v>203.9</v>
      </c>
    </row>
    <row r="190" spans="1:29">
      <c r="A190" s="1538"/>
      <c r="B190" s="637">
        <v>2.4</v>
      </c>
      <c r="C190" s="303">
        <f>(38.9*KFC!$B$30+KFC!$C$30)*KFC!$C$5</f>
        <v>38.9</v>
      </c>
      <c r="D190" s="300">
        <f>(45.6*KFC!$B$30+KFC!$C$30)*KFC!$C$5</f>
        <v>45.6</v>
      </c>
      <c r="E190" s="300">
        <f>(52.2*KFC!$B$30+KFC!$C$30)*KFC!$C$5</f>
        <v>52.2</v>
      </c>
      <c r="F190" s="300">
        <f>(58.9*KFC!$B$30+KFC!$C$30)*KFC!$C$5</f>
        <v>58.9</v>
      </c>
      <c r="G190" s="300">
        <f>(65.6*KFC!$B$30+KFC!$C$30)*KFC!$C$5</f>
        <v>65.599999999999994</v>
      </c>
      <c r="H190" s="300">
        <f>(72.3*KFC!$B$30+KFC!$C$30)*KFC!$C$5</f>
        <v>72.3</v>
      </c>
      <c r="I190" s="300">
        <f>(78.9*KFC!$B$30+KFC!$C$30)*KFC!$C$5</f>
        <v>78.900000000000006</v>
      </c>
      <c r="J190" s="300">
        <f>(85.6*KFC!$B$30+KFC!$C$30)*KFC!$C$5</f>
        <v>85.6</v>
      </c>
      <c r="K190" s="300">
        <f>(92.3*KFC!$B$30+KFC!$C$30)*KFC!$C$5</f>
        <v>92.3</v>
      </c>
      <c r="L190" s="300">
        <f>(98.9*KFC!$B$30+KFC!$C$30)*KFC!$C$5</f>
        <v>98.9</v>
      </c>
      <c r="M190" s="300">
        <f>(105.6*KFC!$B$30+KFC!$C$30)*KFC!$C$5</f>
        <v>105.6</v>
      </c>
      <c r="N190" s="300">
        <f>(112.3*KFC!$B$30+KFC!$C$30)*KFC!$C$5</f>
        <v>112.3</v>
      </c>
      <c r="O190" s="300">
        <f>(119*KFC!$B$30+KFC!$C$30)*KFC!$C$5</f>
        <v>119</v>
      </c>
      <c r="P190" s="300">
        <f>(125.6*KFC!$B$30+KFC!$C$30)*KFC!$C$5</f>
        <v>125.6</v>
      </c>
      <c r="Q190" s="300">
        <f>(132.3*KFC!$B$30+KFC!$C$30)*KFC!$C$5</f>
        <v>132.30000000000001</v>
      </c>
      <c r="R190" s="300">
        <f>(139*KFC!$B$30+KFC!$C$30)*KFC!$C$5</f>
        <v>139</v>
      </c>
      <c r="S190" s="300">
        <f>(145.6*KFC!$B$30+KFC!$C$30)*KFC!$C$5</f>
        <v>145.6</v>
      </c>
      <c r="T190" s="300">
        <f>(152.3*KFC!$B$30+KFC!$C$30)*KFC!$C$5</f>
        <v>152.30000000000001</v>
      </c>
      <c r="U190" s="300">
        <f>(159*KFC!$B$30+KFC!$C$30)*KFC!$C$5</f>
        <v>159</v>
      </c>
      <c r="V190" s="300">
        <f>(165.7*KFC!$B$30+KFC!$C$30)*KFC!$C$5</f>
        <v>165.7</v>
      </c>
      <c r="W190" s="300">
        <f>(172.3*KFC!$B$30+KFC!$C$30)*KFC!$C$5</f>
        <v>172.3</v>
      </c>
      <c r="X190" s="300">
        <f>(179*KFC!$B$30+KFC!$C$30)*KFC!$C$5</f>
        <v>179</v>
      </c>
      <c r="Y190" s="300">
        <f>(185.7*KFC!$B$30+KFC!$C$30)*KFC!$C$5</f>
        <v>185.7</v>
      </c>
      <c r="Z190" s="300">
        <f>(192.3*KFC!$B$30+KFC!$C$30)*KFC!$C$5</f>
        <v>192.3</v>
      </c>
      <c r="AA190" s="300">
        <f>(199*KFC!$B$30+KFC!$C$30)*KFC!$C$5</f>
        <v>199</v>
      </c>
      <c r="AB190" s="300">
        <f>(205.7*KFC!$B$30+KFC!$C$30)*KFC!$C$5</f>
        <v>205.7</v>
      </c>
      <c r="AC190" s="304">
        <f>(212.4*KFC!$B$30+KFC!$C$30)*KFC!$C$5</f>
        <v>212.4</v>
      </c>
    </row>
    <row r="191" spans="1:29">
      <c r="A191" s="1538"/>
      <c r="B191" s="637">
        <v>2.5</v>
      </c>
      <c r="C191" s="303">
        <f>(40.1*KFC!$B$30+KFC!$C$30)*KFC!$C$5</f>
        <v>40.1</v>
      </c>
      <c r="D191" s="300">
        <f>(47*KFC!$B$30+KFC!$C$30)*KFC!$C$5</f>
        <v>47</v>
      </c>
      <c r="E191" s="300">
        <f>(54*KFC!$B$30+KFC!$C$30)*KFC!$C$5</f>
        <v>54</v>
      </c>
      <c r="F191" s="300">
        <f>(60.9*KFC!$B$30+KFC!$C$30)*KFC!$C$5</f>
        <v>60.9</v>
      </c>
      <c r="G191" s="300">
        <f>(67.9*KFC!$B$30+KFC!$C$30)*KFC!$C$5</f>
        <v>67.900000000000006</v>
      </c>
      <c r="H191" s="300">
        <f>(74.8*KFC!$B$30+KFC!$C$30)*KFC!$C$5</f>
        <v>74.8</v>
      </c>
      <c r="I191" s="300">
        <f>(81.8*KFC!$B$30+KFC!$C$30)*KFC!$C$5</f>
        <v>81.8</v>
      </c>
      <c r="J191" s="300">
        <f>(88.7*KFC!$B$30+KFC!$C$30)*KFC!$C$5</f>
        <v>88.7</v>
      </c>
      <c r="K191" s="300">
        <f>(95.7*KFC!$B$30+KFC!$C$30)*KFC!$C$5</f>
        <v>95.7</v>
      </c>
      <c r="L191" s="300">
        <f>(102.6*KFC!$B$30+KFC!$C$30)*KFC!$C$5</f>
        <v>102.6</v>
      </c>
      <c r="M191" s="300">
        <f>(109.6*KFC!$B$30+KFC!$C$30)*KFC!$C$5</f>
        <v>109.6</v>
      </c>
      <c r="N191" s="300">
        <f>(116.5*KFC!$B$30+KFC!$C$30)*KFC!$C$5</f>
        <v>116.5</v>
      </c>
      <c r="O191" s="300">
        <f>(123.5*KFC!$B$30+KFC!$C$30)*KFC!$C$5</f>
        <v>123.5</v>
      </c>
      <c r="P191" s="300">
        <f>(130.4*KFC!$B$30+KFC!$C$30)*KFC!$C$5</f>
        <v>130.4</v>
      </c>
      <c r="Q191" s="300">
        <f>(137.4*KFC!$B$30+KFC!$C$30)*KFC!$C$5</f>
        <v>137.4</v>
      </c>
      <c r="R191" s="300">
        <f>(144.3*KFC!$B$30+KFC!$C$30)*KFC!$C$5</f>
        <v>144.30000000000001</v>
      </c>
      <c r="S191" s="300">
        <f>(151.3*KFC!$B$30+KFC!$C$30)*KFC!$C$5</f>
        <v>151.30000000000001</v>
      </c>
      <c r="T191" s="300">
        <f>(158.2*KFC!$B$30+KFC!$C$30)*KFC!$C$5</f>
        <v>158.19999999999999</v>
      </c>
      <c r="U191" s="300">
        <f>(165.2*KFC!$B$30+KFC!$C$30)*KFC!$C$5</f>
        <v>165.2</v>
      </c>
      <c r="V191" s="300">
        <f>(172.1*KFC!$B$30+KFC!$C$30)*KFC!$C$5</f>
        <v>172.1</v>
      </c>
      <c r="W191" s="300">
        <f>(179.1*KFC!$B$30+KFC!$C$30)*KFC!$C$5</f>
        <v>179.1</v>
      </c>
      <c r="X191" s="300">
        <f>(186*KFC!$B$30+KFC!$C$30)*KFC!$C$5</f>
        <v>186</v>
      </c>
      <c r="Y191" s="300">
        <f>(193*KFC!$B$30+KFC!$C$30)*KFC!$C$5</f>
        <v>193</v>
      </c>
      <c r="Z191" s="300">
        <f>(199.9*KFC!$B$30+KFC!$C$30)*KFC!$C$5</f>
        <v>199.9</v>
      </c>
      <c r="AA191" s="300">
        <f>(206.9*KFC!$B$30+KFC!$C$30)*KFC!$C$5</f>
        <v>206.9</v>
      </c>
      <c r="AB191" s="300">
        <f>(213.8*KFC!$B$30+KFC!$C$30)*KFC!$C$5</f>
        <v>213.8</v>
      </c>
      <c r="AC191" s="304">
        <f>(220.8*KFC!$B$30+KFC!$C$30)*KFC!$C$5</f>
        <v>220.8</v>
      </c>
    </row>
    <row r="192" spans="1:29">
      <c r="A192" s="1538"/>
      <c r="B192" s="637">
        <v>2.6</v>
      </c>
      <c r="C192" s="303">
        <f>(41.3*KFC!$B$30+KFC!$C$30)*KFC!$C$5</f>
        <v>41.3</v>
      </c>
      <c r="D192" s="300">
        <f>(48.5*KFC!$B$30+KFC!$C$30)*KFC!$C$5</f>
        <v>48.5</v>
      </c>
      <c r="E192" s="300">
        <f>(55.7*KFC!$B$30+KFC!$C$30)*KFC!$C$5</f>
        <v>55.7</v>
      </c>
      <c r="F192" s="300">
        <f>(63*KFC!$B$30+KFC!$C$30)*KFC!$C$5</f>
        <v>63</v>
      </c>
      <c r="G192" s="300">
        <f>(70.2*KFC!$B$30+KFC!$C$30)*KFC!$C$5</f>
        <v>70.2</v>
      </c>
      <c r="H192" s="300">
        <f>(77.4*KFC!$B$30+KFC!$C$30)*KFC!$C$5</f>
        <v>77.400000000000006</v>
      </c>
      <c r="I192" s="300">
        <f>(84.6*KFC!$B$30+KFC!$C$30)*KFC!$C$5</f>
        <v>84.6</v>
      </c>
      <c r="J192" s="300">
        <f>(91.9*KFC!$B$30+KFC!$C$30)*KFC!$C$5</f>
        <v>91.9</v>
      </c>
      <c r="K192" s="300">
        <f>(99.1*KFC!$B$30+KFC!$C$30)*KFC!$C$5</f>
        <v>99.1</v>
      </c>
      <c r="L192" s="300">
        <f>(106.3*KFC!$B$30+KFC!$C$30)*KFC!$C$5</f>
        <v>106.3</v>
      </c>
      <c r="M192" s="300">
        <f>(113.5*KFC!$B$30+KFC!$C$30)*KFC!$C$5</f>
        <v>113.5</v>
      </c>
      <c r="N192" s="300">
        <f>(120.8*KFC!$B$30+KFC!$C$30)*KFC!$C$5</f>
        <v>120.8</v>
      </c>
      <c r="O192" s="300">
        <f>(128*KFC!$B$30+KFC!$C$30)*KFC!$C$5</f>
        <v>128</v>
      </c>
      <c r="P192" s="300">
        <f>(135.2*KFC!$B$30+KFC!$C$30)*KFC!$C$5</f>
        <v>135.19999999999999</v>
      </c>
      <c r="Q192" s="300">
        <f>(142.5*KFC!$B$30+KFC!$C$30)*KFC!$C$5</f>
        <v>142.5</v>
      </c>
      <c r="R192" s="300">
        <f>(149.7*KFC!$B$30+KFC!$C$30)*KFC!$C$5</f>
        <v>149.69999999999999</v>
      </c>
      <c r="S192" s="300">
        <f>(156.9*KFC!$B$30+KFC!$C$30)*KFC!$C$5</f>
        <v>156.9</v>
      </c>
      <c r="T192" s="300">
        <f>(164.1*KFC!$B$30+KFC!$C$30)*KFC!$C$5</f>
        <v>164.1</v>
      </c>
      <c r="U192" s="300">
        <f>(171.4*KFC!$B$30+KFC!$C$30)*KFC!$C$5</f>
        <v>171.4</v>
      </c>
      <c r="V192" s="300">
        <f>(178.6*KFC!$B$30+KFC!$C$30)*KFC!$C$5</f>
        <v>178.6</v>
      </c>
      <c r="W192" s="300">
        <f>(185.8*KFC!$B$30+KFC!$C$30)*KFC!$C$5</f>
        <v>185.8</v>
      </c>
      <c r="X192" s="300">
        <f>(193*KFC!$B$30+KFC!$C$30)*KFC!$C$5</f>
        <v>193</v>
      </c>
      <c r="Y192" s="300">
        <f>(200.3*KFC!$B$30+KFC!$C$30)*KFC!$C$5</f>
        <v>200.3</v>
      </c>
      <c r="Z192" s="300">
        <f>(207.5*KFC!$B$30+KFC!$C$30)*KFC!$C$5</f>
        <v>207.5</v>
      </c>
      <c r="AA192" s="300">
        <f>(214.7*KFC!$B$30+KFC!$C$30)*KFC!$C$5</f>
        <v>214.7</v>
      </c>
      <c r="AB192" s="300">
        <f>(221.9*KFC!$B$30+KFC!$C$30)*KFC!$C$5</f>
        <v>221.9</v>
      </c>
      <c r="AC192" s="304">
        <f>(229.2*KFC!$B$30+KFC!$C$30)*KFC!$C$5</f>
        <v>229.2</v>
      </c>
    </row>
    <row r="193" spans="1:29">
      <c r="A193" s="1538"/>
      <c r="B193" s="637">
        <v>2.7</v>
      </c>
      <c r="C193" s="303">
        <f>(42.5*KFC!$B$30+KFC!$C$30)*KFC!$C$5</f>
        <v>42.5</v>
      </c>
      <c r="D193" s="300">
        <f>(50*KFC!$B$30+KFC!$C$30)*KFC!$C$5</f>
        <v>50</v>
      </c>
      <c r="E193" s="300">
        <f>(57.5*KFC!$B$30+KFC!$C$30)*KFC!$C$5</f>
        <v>57.5</v>
      </c>
      <c r="F193" s="300">
        <f>(65*KFC!$B$30+KFC!$C$30)*KFC!$C$5</f>
        <v>65</v>
      </c>
      <c r="G193" s="300">
        <f>(72.5*KFC!$B$30+KFC!$C$30)*KFC!$C$5</f>
        <v>72.5</v>
      </c>
      <c r="H193" s="300">
        <f>(80*KFC!$B$30+KFC!$C$30)*KFC!$C$5</f>
        <v>80</v>
      </c>
      <c r="I193" s="300">
        <f>(87.5*KFC!$B$30+KFC!$C$30)*KFC!$C$5</f>
        <v>87.5</v>
      </c>
      <c r="J193" s="300">
        <f>(95*KFC!$B$30+KFC!$C$30)*KFC!$C$5</f>
        <v>95</v>
      </c>
      <c r="K193" s="300">
        <f>(102.5*KFC!$B$30+KFC!$C$30)*KFC!$C$5</f>
        <v>102.5</v>
      </c>
      <c r="L193" s="300">
        <f>(110*KFC!$B$30+KFC!$C$30)*KFC!$C$5</f>
        <v>110</v>
      </c>
      <c r="M193" s="300">
        <f>(117.5*KFC!$B$30+KFC!$C$30)*KFC!$C$5</f>
        <v>117.5</v>
      </c>
      <c r="N193" s="300">
        <f>(125*KFC!$B$30+KFC!$C$30)*KFC!$C$5</f>
        <v>125</v>
      </c>
      <c r="O193" s="300">
        <f>(132.5*KFC!$B$30+KFC!$C$30)*KFC!$C$5</f>
        <v>132.5</v>
      </c>
      <c r="P193" s="300">
        <f>(140*KFC!$B$30+KFC!$C$30)*KFC!$C$5</f>
        <v>140</v>
      </c>
      <c r="Q193" s="300">
        <f>(147.5*KFC!$B$30+KFC!$C$30)*KFC!$C$5</f>
        <v>147.5</v>
      </c>
      <c r="R193" s="300">
        <f>(155*KFC!$B$30+KFC!$C$30)*KFC!$C$5</f>
        <v>155</v>
      </c>
      <c r="S193" s="300">
        <f>(162.5*KFC!$B$30+KFC!$C$30)*KFC!$C$5</f>
        <v>162.5</v>
      </c>
      <c r="T193" s="300">
        <f>(170*KFC!$B$30+KFC!$C$30)*KFC!$C$5</f>
        <v>170</v>
      </c>
      <c r="U193" s="300">
        <f>(177.5*KFC!$B$30+KFC!$C$30)*KFC!$C$5</f>
        <v>177.5</v>
      </c>
      <c r="V193" s="300">
        <f>(185*KFC!$B$30+KFC!$C$30)*KFC!$C$5</f>
        <v>185</v>
      </c>
      <c r="W193" s="300">
        <f>(192.6*KFC!$B$30+KFC!$C$30)*KFC!$C$5</f>
        <v>192.6</v>
      </c>
      <c r="X193" s="300">
        <f>(200.1*KFC!$B$30+KFC!$C$30)*KFC!$C$5</f>
        <v>200.1</v>
      </c>
      <c r="Y193" s="300">
        <f>(207.6*KFC!$B$30+KFC!$C$30)*KFC!$C$5</f>
        <v>207.6</v>
      </c>
      <c r="Z193" s="300">
        <f>(215.1*KFC!$B$30+KFC!$C$30)*KFC!$C$5</f>
        <v>215.1</v>
      </c>
      <c r="AA193" s="300">
        <f>(222.6*KFC!$B$30+KFC!$C$30)*KFC!$C$5</f>
        <v>222.6</v>
      </c>
      <c r="AB193" s="300">
        <f>(230.1*KFC!$B$30+KFC!$C$30)*KFC!$C$5</f>
        <v>230.1</v>
      </c>
      <c r="AC193" s="304">
        <f>(237.6*KFC!$B$30+KFC!$C$30)*KFC!$C$5</f>
        <v>237.6</v>
      </c>
    </row>
    <row r="194" spans="1:29">
      <c r="A194" s="1538"/>
      <c r="B194" s="637">
        <v>2.8</v>
      </c>
      <c r="C194" s="303">
        <f>(43.7*KFC!$B$30+KFC!$C$30)*KFC!$C$5</f>
        <v>43.7</v>
      </c>
      <c r="D194" s="300">
        <f>(51.5*KFC!$B$30+KFC!$C$30)*KFC!$C$5</f>
        <v>51.5</v>
      </c>
      <c r="E194" s="300">
        <f>(59.2*KFC!$B$30+KFC!$C$30)*KFC!$C$5</f>
        <v>59.2</v>
      </c>
      <c r="F194" s="300">
        <f>(67*KFC!$B$30+KFC!$C$30)*KFC!$C$5</f>
        <v>67</v>
      </c>
      <c r="G194" s="300">
        <f>(74.8*KFC!$B$30+KFC!$C$30)*KFC!$C$5</f>
        <v>74.8</v>
      </c>
      <c r="H194" s="300">
        <f>(82.6*KFC!$B$30+KFC!$C$30)*KFC!$C$5</f>
        <v>82.6</v>
      </c>
      <c r="I194" s="300">
        <f>(90.4*KFC!$B$30+KFC!$C$30)*KFC!$C$5</f>
        <v>90.4</v>
      </c>
      <c r="J194" s="300">
        <f>(98.1*KFC!$B$30+KFC!$C$30)*KFC!$C$5</f>
        <v>98.1</v>
      </c>
      <c r="K194" s="300">
        <f>(105.9*KFC!$B$30+KFC!$C$30)*KFC!$C$5</f>
        <v>105.9</v>
      </c>
      <c r="L194" s="300">
        <f>(113.7*KFC!$B$30+KFC!$C$30)*KFC!$C$5</f>
        <v>113.7</v>
      </c>
      <c r="M194" s="300">
        <f>(121.5*KFC!$B$30+KFC!$C$30)*KFC!$C$5</f>
        <v>121.5</v>
      </c>
      <c r="N194" s="300">
        <f>(129.3*KFC!$B$30+KFC!$C$30)*KFC!$C$5</f>
        <v>129.30000000000001</v>
      </c>
      <c r="O194" s="300">
        <f>(137*KFC!$B$30+KFC!$C$30)*KFC!$C$5</f>
        <v>137</v>
      </c>
      <c r="P194" s="300">
        <f>(144.8*KFC!$B$30+KFC!$C$30)*KFC!$C$5</f>
        <v>144.80000000000001</v>
      </c>
      <c r="Q194" s="300">
        <f>(152.6*KFC!$B$30+KFC!$C$30)*KFC!$C$5</f>
        <v>152.6</v>
      </c>
      <c r="R194" s="300">
        <f>(160.4*KFC!$B$30+KFC!$C$30)*KFC!$C$5</f>
        <v>160.4</v>
      </c>
      <c r="S194" s="300">
        <f>(168.2*KFC!$B$30+KFC!$C$30)*KFC!$C$5</f>
        <v>168.2</v>
      </c>
      <c r="T194" s="300">
        <f>(176*KFC!$B$30+KFC!$C$30)*KFC!$C$5</f>
        <v>176</v>
      </c>
      <c r="U194" s="300">
        <f>(183.7*KFC!$B$30+KFC!$C$30)*KFC!$C$5</f>
        <v>183.7</v>
      </c>
      <c r="V194" s="300">
        <f>(191.5*KFC!$B$30+KFC!$C$30)*KFC!$C$5</f>
        <v>191.5</v>
      </c>
      <c r="W194" s="300">
        <f>(199.3*KFC!$B$30+KFC!$C$30)*KFC!$C$5</f>
        <v>199.3</v>
      </c>
      <c r="X194" s="300">
        <f>(207.1*KFC!$B$30+KFC!$C$30)*KFC!$C$5</f>
        <v>207.1</v>
      </c>
      <c r="Y194" s="300">
        <f>(214.9*KFC!$B$30+KFC!$C$30)*KFC!$C$5</f>
        <v>214.9</v>
      </c>
      <c r="Z194" s="300">
        <f>(222.6*KFC!$B$30+KFC!$C$30)*KFC!$C$5</f>
        <v>222.6</v>
      </c>
      <c r="AA194" s="300">
        <f>(230.4*KFC!$B$30+KFC!$C$30)*KFC!$C$5</f>
        <v>230.4</v>
      </c>
      <c r="AB194" s="300">
        <f>(238.2*KFC!$B$30+KFC!$C$30)*KFC!$C$5</f>
        <v>238.2</v>
      </c>
      <c r="AC194" s="304">
        <f>(246*KFC!$B$30+KFC!$C$30)*KFC!$C$5</f>
        <v>246</v>
      </c>
    </row>
    <row r="195" spans="1:29">
      <c r="A195" s="1538"/>
      <c r="B195" s="637">
        <v>2.9</v>
      </c>
      <c r="C195" s="303">
        <f>(44.9*KFC!$B$30+KFC!$C$30)*KFC!$C$5</f>
        <v>44.9</v>
      </c>
      <c r="D195" s="300">
        <f>(52.9*KFC!$B$30+KFC!$C$30)*KFC!$C$5</f>
        <v>52.9</v>
      </c>
      <c r="E195" s="300">
        <f>(61*KFC!$B$30+KFC!$C$30)*KFC!$C$5</f>
        <v>61</v>
      </c>
      <c r="F195" s="300">
        <f>(69*KFC!$B$30+KFC!$C$30)*KFC!$C$5</f>
        <v>69</v>
      </c>
      <c r="G195" s="300">
        <f>(77.1*KFC!$B$30+KFC!$C$30)*KFC!$C$5</f>
        <v>77.099999999999994</v>
      </c>
      <c r="H195" s="300">
        <f>(85.2*KFC!$B$30+KFC!$C$30)*KFC!$C$5</f>
        <v>85.2</v>
      </c>
      <c r="I195" s="300">
        <f>(93.2*KFC!$B$30+KFC!$C$30)*KFC!$C$5</f>
        <v>93.2</v>
      </c>
      <c r="J195" s="300">
        <f>(101.3*KFC!$B$30+KFC!$C$30)*KFC!$C$5</f>
        <v>101.3</v>
      </c>
      <c r="K195" s="300">
        <f>(109.3*KFC!$B$30+KFC!$C$30)*KFC!$C$5</f>
        <v>109.3</v>
      </c>
      <c r="L195" s="300">
        <f>(117.4*KFC!$B$30+KFC!$C$30)*KFC!$C$5</f>
        <v>117.4</v>
      </c>
      <c r="M195" s="300">
        <f>(125.5*KFC!$B$30+KFC!$C$30)*KFC!$C$5</f>
        <v>125.5</v>
      </c>
      <c r="N195" s="300">
        <f>(133.5*KFC!$B$30+KFC!$C$30)*KFC!$C$5</f>
        <v>133.5</v>
      </c>
      <c r="O195" s="300">
        <f>(141.6*KFC!$B$30+KFC!$C$30)*KFC!$C$5</f>
        <v>141.6</v>
      </c>
      <c r="P195" s="300">
        <f>(149.6*KFC!$B$30+KFC!$C$30)*KFC!$C$5</f>
        <v>149.6</v>
      </c>
      <c r="Q195" s="300">
        <f>(157.7*KFC!$B$30+KFC!$C$30)*KFC!$C$5</f>
        <v>157.69999999999999</v>
      </c>
      <c r="R195" s="300">
        <f>(165.7*KFC!$B$30+KFC!$C$30)*KFC!$C$5</f>
        <v>165.7</v>
      </c>
      <c r="S195" s="300">
        <f>(173.8*KFC!$B$30+KFC!$C$30)*KFC!$C$5</f>
        <v>173.8</v>
      </c>
      <c r="T195" s="300">
        <f>(181.9*KFC!$B$30+KFC!$C$30)*KFC!$C$5</f>
        <v>181.9</v>
      </c>
      <c r="U195" s="300">
        <f>(189.9*KFC!$B$30+KFC!$C$30)*KFC!$C$5</f>
        <v>189.9</v>
      </c>
      <c r="V195" s="300">
        <f>(198*KFC!$B$30+KFC!$C$30)*KFC!$C$5</f>
        <v>198</v>
      </c>
      <c r="W195" s="300">
        <f>(206*KFC!$B$30+KFC!$C$30)*KFC!$C$5</f>
        <v>206</v>
      </c>
      <c r="X195" s="300">
        <f>(214.1*KFC!$B$30+KFC!$C$30)*KFC!$C$5</f>
        <v>214.1</v>
      </c>
      <c r="Y195" s="300">
        <f>(222.2*KFC!$B$30+KFC!$C$30)*KFC!$C$5</f>
        <v>222.2</v>
      </c>
      <c r="Z195" s="300">
        <f>(230.2*KFC!$B$30+KFC!$C$30)*KFC!$C$5</f>
        <v>230.2</v>
      </c>
      <c r="AA195" s="300">
        <f>(238.3*KFC!$B$30+KFC!$C$30)*KFC!$C$5</f>
        <v>238.3</v>
      </c>
      <c r="AB195" s="300">
        <f>(246.3*KFC!$B$30+KFC!$C$30)*KFC!$C$5</f>
        <v>246.3</v>
      </c>
      <c r="AC195" s="304">
        <f>(254.4*KFC!$B$30+KFC!$C$30)*KFC!$C$5</f>
        <v>254.4</v>
      </c>
    </row>
    <row r="196" spans="1:29">
      <c r="A196" s="1538"/>
      <c r="B196" s="637">
        <v>3</v>
      </c>
      <c r="C196" s="303">
        <f>(46.1*KFC!$B$30+KFC!$C$30)*KFC!$C$5</f>
        <v>46.1</v>
      </c>
      <c r="D196" s="300">
        <f>(54.4*KFC!$B$30+KFC!$C$30)*KFC!$C$5</f>
        <v>54.4</v>
      </c>
      <c r="E196" s="300">
        <f>(62.7*KFC!$B$30+KFC!$C$30)*KFC!$C$5</f>
        <v>62.7</v>
      </c>
      <c r="F196" s="300">
        <f>(71.1*KFC!$B$30+KFC!$C$30)*KFC!$C$5</f>
        <v>71.099999999999994</v>
      </c>
      <c r="G196" s="300">
        <f>(79.4*KFC!$B$30+KFC!$C$30)*KFC!$C$5</f>
        <v>79.400000000000006</v>
      </c>
      <c r="H196" s="300">
        <f>(87.7*KFC!$B$30+KFC!$C$30)*KFC!$C$5</f>
        <v>87.7</v>
      </c>
      <c r="I196" s="300">
        <f>(96.1*KFC!$B$30+KFC!$C$30)*KFC!$C$5</f>
        <v>96.1</v>
      </c>
      <c r="J196" s="300">
        <f>(104.4*KFC!$B$30+KFC!$C$30)*KFC!$C$5</f>
        <v>104.4</v>
      </c>
      <c r="K196" s="300">
        <f>(112.7*KFC!$B$30+KFC!$C$30)*KFC!$C$5</f>
        <v>112.7</v>
      </c>
      <c r="L196" s="300">
        <f>(121.1*KFC!$B$30+KFC!$C$30)*KFC!$C$5</f>
        <v>121.1</v>
      </c>
      <c r="M196" s="300">
        <f>(129.4*KFC!$B$30+KFC!$C$30)*KFC!$C$5</f>
        <v>129.4</v>
      </c>
      <c r="N196" s="300">
        <f>(137.8*KFC!$B$30+KFC!$C$30)*KFC!$C$5</f>
        <v>137.80000000000001</v>
      </c>
      <c r="O196" s="300">
        <f>(146.1*KFC!$B$30+KFC!$C$30)*KFC!$C$5</f>
        <v>146.1</v>
      </c>
      <c r="P196" s="300">
        <f>(154.4*KFC!$B$30+KFC!$C$30)*KFC!$C$5</f>
        <v>154.4</v>
      </c>
      <c r="Q196" s="300">
        <f>(162.8*KFC!$B$30+KFC!$C$30)*KFC!$C$5</f>
        <v>162.80000000000001</v>
      </c>
      <c r="R196" s="300">
        <f>(171.1*KFC!$B$30+KFC!$C$30)*KFC!$C$5</f>
        <v>171.1</v>
      </c>
      <c r="S196" s="300">
        <f>(179.4*KFC!$B$30+KFC!$C$30)*KFC!$C$5</f>
        <v>179.4</v>
      </c>
      <c r="T196" s="300">
        <f>(187.8*KFC!$B$30+KFC!$C$30)*KFC!$C$5</f>
        <v>187.8</v>
      </c>
      <c r="U196" s="300">
        <f>(196.1*KFC!$B$30+KFC!$C$30)*KFC!$C$5</f>
        <v>196.1</v>
      </c>
      <c r="V196" s="300">
        <f>(204.4*KFC!$B$30+KFC!$C$30)*KFC!$C$5</f>
        <v>204.4</v>
      </c>
      <c r="W196" s="300">
        <f>(212.8*KFC!$B$30+KFC!$C$30)*KFC!$C$5</f>
        <v>212.8</v>
      </c>
      <c r="X196" s="300">
        <f>(221.1*KFC!$B$30+KFC!$C$30)*KFC!$C$5</f>
        <v>221.1</v>
      </c>
      <c r="Y196" s="300">
        <f>(229.4*KFC!$B$30+KFC!$C$30)*KFC!$C$5</f>
        <v>229.4</v>
      </c>
      <c r="Z196" s="300">
        <f>(237.8*KFC!$B$30+KFC!$C$30)*KFC!$C$5</f>
        <v>237.8</v>
      </c>
      <c r="AA196" s="300">
        <f>(246.1*KFC!$B$30+KFC!$C$30)*KFC!$C$5</f>
        <v>246.1</v>
      </c>
      <c r="AB196" s="300">
        <f>(254.5*KFC!$B$30+KFC!$C$30)*KFC!$C$5</f>
        <v>254.5</v>
      </c>
      <c r="AC196" s="304">
        <f>(262.8*KFC!$B$30+KFC!$C$30)*KFC!$C$5</f>
        <v>262.8</v>
      </c>
    </row>
    <row r="197" spans="1:29">
      <c r="A197" s="1538"/>
      <c r="B197" s="637">
        <v>3.1</v>
      </c>
      <c r="C197" s="303">
        <f>(47.3*KFC!$B$30+KFC!$C$30)*KFC!$C$5</f>
        <v>47.3</v>
      </c>
      <c r="D197" s="300">
        <f>(55.9*KFC!$B$30+KFC!$C$30)*KFC!$C$5</f>
        <v>55.9</v>
      </c>
      <c r="E197" s="300">
        <f>(64.5*KFC!$B$30+KFC!$C$30)*KFC!$C$5</f>
        <v>64.5</v>
      </c>
      <c r="F197" s="300">
        <f>(73.1*KFC!$B$30+KFC!$C$30)*KFC!$C$5</f>
        <v>73.099999999999994</v>
      </c>
      <c r="G197" s="300">
        <f>(81.7*KFC!$B$30+KFC!$C$30)*KFC!$C$5</f>
        <v>81.7</v>
      </c>
      <c r="H197" s="300">
        <f>(90.3*KFC!$B$30+KFC!$C$30)*KFC!$C$5</f>
        <v>90.3</v>
      </c>
      <c r="I197" s="300">
        <f>(98.9*KFC!$B$30+KFC!$C$30)*KFC!$C$5</f>
        <v>98.9</v>
      </c>
      <c r="J197" s="300">
        <f>(107.6*KFC!$B$30+KFC!$C$30)*KFC!$C$5</f>
        <v>107.6</v>
      </c>
      <c r="K197" s="300">
        <f>(116.2*KFC!$B$30+KFC!$C$30)*KFC!$C$5</f>
        <v>116.2</v>
      </c>
      <c r="L197" s="300">
        <f>(124.8*KFC!$B$30+KFC!$C$30)*KFC!$C$5</f>
        <v>124.8</v>
      </c>
      <c r="M197" s="300">
        <f>(133.4*KFC!$B$30+KFC!$C$30)*KFC!$C$5</f>
        <v>133.4</v>
      </c>
      <c r="N197" s="300">
        <f>(142*KFC!$B$30+KFC!$C$30)*KFC!$C$5</f>
        <v>142</v>
      </c>
      <c r="O197" s="300">
        <f>(150.6*KFC!$B$30+KFC!$C$30)*KFC!$C$5</f>
        <v>150.6</v>
      </c>
      <c r="P197" s="300">
        <f>(159.2*KFC!$B$30+KFC!$C$30)*KFC!$C$5</f>
        <v>159.19999999999999</v>
      </c>
      <c r="Q197" s="300">
        <f>(167.8*KFC!$B$30+KFC!$C$30)*KFC!$C$5</f>
        <v>167.8</v>
      </c>
      <c r="R197" s="300">
        <f>(176.5*KFC!$B$30+KFC!$C$30)*KFC!$C$5</f>
        <v>176.5</v>
      </c>
      <c r="S197" s="300">
        <f>(185.1*KFC!$B$30+KFC!$C$30)*KFC!$C$5</f>
        <v>185.1</v>
      </c>
      <c r="T197" s="300">
        <f>(193.7*KFC!$B$30+KFC!$C$30)*KFC!$C$5</f>
        <v>193.7</v>
      </c>
      <c r="U197" s="300">
        <f>(202.3*KFC!$B$30+KFC!$C$30)*KFC!$C$5</f>
        <v>202.3</v>
      </c>
      <c r="V197" s="300">
        <f>(210.9*KFC!$B$30+KFC!$C$30)*KFC!$C$5</f>
        <v>210.9</v>
      </c>
      <c r="W197" s="300">
        <f>(219.5*KFC!$B$30+KFC!$C$30)*KFC!$C$5</f>
        <v>219.5</v>
      </c>
      <c r="X197" s="300">
        <f>(228.1*KFC!$B$30+KFC!$C$30)*KFC!$C$5</f>
        <v>228.1</v>
      </c>
      <c r="Y197" s="300">
        <f>(236.7*KFC!$B$30+KFC!$C$30)*KFC!$C$5</f>
        <v>236.7</v>
      </c>
      <c r="Z197" s="300">
        <f>(245.4*KFC!$B$30+KFC!$C$30)*KFC!$C$5</f>
        <v>245.4</v>
      </c>
      <c r="AA197" s="300">
        <f>(254*KFC!$B$30+KFC!$C$30)*KFC!$C$5</f>
        <v>254</v>
      </c>
      <c r="AB197" s="300">
        <f>(262.6*KFC!$B$30+KFC!$C$30)*KFC!$C$5</f>
        <v>262.60000000000002</v>
      </c>
      <c r="AC197" s="304">
        <f>(271.2*KFC!$B$30+KFC!$C$30)*KFC!$C$5</f>
        <v>271.2</v>
      </c>
    </row>
    <row r="198" spans="1:29">
      <c r="A198" s="1538"/>
      <c r="B198" s="637">
        <v>3.2</v>
      </c>
      <c r="C198" s="303">
        <f>(48.5*KFC!$B$30+KFC!$C$30)*KFC!$C$5</f>
        <v>48.5</v>
      </c>
      <c r="D198" s="300">
        <f>(57.3*KFC!$B$30+KFC!$C$30)*KFC!$C$5</f>
        <v>57.3</v>
      </c>
      <c r="E198" s="300">
        <f>(66.2*KFC!$B$30+KFC!$C$30)*KFC!$C$5</f>
        <v>66.2</v>
      </c>
      <c r="F198" s="300">
        <f>(75.1*KFC!$B$30+KFC!$C$30)*KFC!$C$5</f>
        <v>75.099999999999994</v>
      </c>
      <c r="G198" s="300">
        <f>(84*KFC!$B$30+KFC!$C$30)*KFC!$C$5</f>
        <v>84</v>
      </c>
      <c r="H198" s="300">
        <f>(92.9*KFC!$B$30+KFC!$C$30)*KFC!$C$5</f>
        <v>92.9</v>
      </c>
      <c r="I198" s="300">
        <f>(101.8*KFC!$B$30+KFC!$C$30)*KFC!$C$5</f>
        <v>101.8</v>
      </c>
      <c r="J198" s="300">
        <f>(110.7*KFC!$B$30+KFC!$C$30)*KFC!$C$5</f>
        <v>110.7</v>
      </c>
      <c r="K198" s="300">
        <f>(119.6*KFC!$B$30+KFC!$C$30)*KFC!$C$5</f>
        <v>119.6</v>
      </c>
      <c r="L198" s="300">
        <f>(128.5*KFC!$B$30+KFC!$C$30)*KFC!$C$5</f>
        <v>128.5</v>
      </c>
      <c r="M198" s="300">
        <f>(137.4*KFC!$B$30+KFC!$C$30)*KFC!$C$5</f>
        <v>137.4</v>
      </c>
      <c r="N198" s="300">
        <f>(146.2*KFC!$B$30+KFC!$C$30)*KFC!$C$5</f>
        <v>146.19999999999999</v>
      </c>
      <c r="O198" s="300">
        <f>(155.1*KFC!$B$30+KFC!$C$30)*KFC!$C$5</f>
        <v>155.1</v>
      </c>
      <c r="P198" s="300">
        <f>(164*KFC!$B$30+KFC!$C$30)*KFC!$C$5</f>
        <v>164</v>
      </c>
      <c r="Q198" s="300">
        <f>(172.9*KFC!$B$30+KFC!$C$30)*KFC!$C$5</f>
        <v>172.9</v>
      </c>
      <c r="R198" s="300">
        <f>(181.8*KFC!$B$30+KFC!$C$30)*KFC!$C$5</f>
        <v>181.8</v>
      </c>
      <c r="S198" s="300">
        <f>(190.7*KFC!$B$30+KFC!$C$30)*KFC!$C$5</f>
        <v>190.7</v>
      </c>
      <c r="T198" s="300">
        <f>(199.6*KFC!$B$30+KFC!$C$30)*KFC!$C$5</f>
        <v>199.6</v>
      </c>
      <c r="U198" s="300">
        <f>(208.5*KFC!$B$30+KFC!$C$30)*KFC!$C$5</f>
        <v>208.5</v>
      </c>
      <c r="V198" s="300">
        <f>(217.4*KFC!$B$30+KFC!$C$30)*KFC!$C$5</f>
        <v>217.4</v>
      </c>
      <c r="W198" s="300">
        <f>(226.3*KFC!$B$30+KFC!$C$30)*KFC!$C$5</f>
        <v>226.3</v>
      </c>
      <c r="X198" s="300">
        <f>(235.2*KFC!$B$30+KFC!$C$30)*KFC!$C$5</f>
        <v>235.2</v>
      </c>
      <c r="Y198" s="300">
        <f>(244*KFC!$B$30+KFC!$C$30)*KFC!$C$5</f>
        <v>244</v>
      </c>
      <c r="Z198" s="300">
        <f>(252.9*KFC!$B$30+KFC!$C$30)*KFC!$C$5</f>
        <v>252.9</v>
      </c>
      <c r="AA198" s="300">
        <f>(261.8*KFC!$B$30+KFC!$C$30)*KFC!$C$5</f>
        <v>261.8</v>
      </c>
      <c r="AB198" s="300">
        <f>(270.7*KFC!$B$30+KFC!$C$30)*KFC!$C$5</f>
        <v>270.7</v>
      </c>
      <c r="AC198" s="304">
        <f>(279.6*KFC!$B$30+KFC!$C$30)*KFC!$C$5</f>
        <v>279.60000000000002</v>
      </c>
    </row>
    <row r="199" spans="1:29">
      <c r="A199" s="1538"/>
      <c r="B199" s="637">
        <v>3.3</v>
      </c>
      <c r="C199" s="303">
        <f>(49.6*KFC!$B$30+KFC!$C$30)*KFC!$C$5</f>
        <v>49.6</v>
      </c>
      <c r="D199" s="300">
        <f>(58.8*KFC!$B$30+KFC!$C$30)*KFC!$C$5</f>
        <v>58.8</v>
      </c>
      <c r="E199" s="300">
        <f>(68*KFC!$B$30+KFC!$C$30)*KFC!$C$5</f>
        <v>68</v>
      </c>
      <c r="F199" s="300">
        <f>(77.2*KFC!$B$30+KFC!$C$30)*KFC!$C$5</f>
        <v>77.2</v>
      </c>
      <c r="G199" s="300">
        <f>(86.3*KFC!$B$30+KFC!$C$30)*KFC!$C$5</f>
        <v>86.3</v>
      </c>
      <c r="H199" s="300">
        <f>(95.5*KFC!$B$30+KFC!$C$30)*KFC!$C$5</f>
        <v>95.5</v>
      </c>
      <c r="I199" s="300">
        <f>(104.7*KFC!$B$30+KFC!$C$30)*KFC!$C$5</f>
        <v>104.7</v>
      </c>
      <c r="J199" s="300">
        <f>(113.8*KFC!$B$30+KFC!$C$30)*KFC!$C$5</f>
        <v>113.8</v>
      </c>
      <c r="K199" s="300">
        <f>(123*KFC!$B$30+KFC!$C$30)*KFC!$C$5</f>
        <v>123</v>
      </c>
      <c r="L199" s="300">
        <f>(132.2*KFC!$B$30+KFC!$C$30)*KFC!$C$5</f>
        <v>132.19999999999999</v>
      </c>
      <c r="M199" s="300">
        <f>(141.3*KFC!$B$30+KFC!$C$30)*KFC!$C$5</f>
        <v>141.30000000000001</v>
      </c>
      <c r="N199" s="300">
        <f>(150.5*KFC!$B$30+KFC!$C$30)*KFC!$C$5</f>
        <v>150.5</v>
      </c>
      <c r="O199" s="300">
        <f>(159.7*KFC!$B$30+KFC!$C$30)*KFC!$C$5</f>
        <v>159.69999999999999</v>
      </c>
      <c r="P199" s="300">
        <f>(168.8*KFC!$B$30+KFC!$C$30)*KFC!$C$5</f>
        <v>168.8</v>
      </c>
      <c r="Q199" s="300">
        <f>(178*KFC!$B$30+KFC!$C$30)*KFC!$C$5</f>
        <v>178</v>
      </c>
      <c r="R199" s="300">
        <f>(187.2*KFC!$B$30+KFC!$C$30)*KFC!$C$5</f>
        <v>187.2</v>
      </c>
      <c r="S199" s="300">
        <f>(196.3*KFC!$B$30+KFC!$C$30)*KFC!$C$5</f>
        <v>196.3</v>
      </c>
      <c r="T199" s="300">
        <f>(205.5*KFC!$B$30+KFC!$C$30)*KFC!$C$5</f>
        <v>205.5</v>
      </c>
      <c r="U199" s="300">
        <f>(214.7*KFC!$B$30+KFC!$C$30)*KFC!$C$5</f>
        <v>214.7</v>
      </c>
      <c r="V199" s="300">
        <f>(223.8*KFC!$B$30+KFC!$C$30)*KFC!$C$5</f>
        <v>223.8</v>
      </c>
      <c r="W199" s="300">
        <f>(233*KFC!$B$30+KFC!$C$30)*KFC!$C$5</f>
        <v>233</v>
      </c>
      <c r="X199" s="300">
        <f>(242.2*KFC!$B$30+KFC!$C$30)*KFC!$C$5</f>
        <v>242.2</v>
      </c>
      <c r="Y199" s="300">
        <f>(251.3*KFC!$B$30+KFC!$C$30)*KFC!$C$5</f>
        <v>251.3</v>
      </c>
      <c r="Z199" s="300">
        <f>(260.5*KFC!$B$30+KFC!$C$30)*KFC!$C$5</f>
        <v>260.5</v>
      </c>
      <c r="AA199" s="300">
        <f>(269.7*KFC!$B$30+KFC!$C$30)*KFC!$C$5</f>
        <v>269.7</v>
      </c>
      <c r="AB199" s="300">
        <f>(278.8*KFC!$B$30+KFC!$C$30)*KFC!$C$5</f>
        <v>278.8</v>
      </c>
      <c r="AC199" s="304">
        <f>(288*KFC!$B$30+KFC!$C$30)*KFC!$C$5</f>
        <v>288</v>
      </c>
    </row>
    <row r="200" spans="1:29">
      <c r="A200" s="1538"/>
      <c r="B200" s="637">
        <v>3.4</v>
      </c>
      <c r="C200" s="303">
        <f>(50.8*KFC!$B$30+KFC!$C$30)*KFC!$C$5</f>
        <v>50.8</v>
      </c>
      <c r="D200" s="300">
        <f>(60.3*KFC!$B$30+KFC!$C$30)*KFC!$C$5</f>
        <v>60.3</v>
      </c>
      <c r="E200" s="300">
        <f>(69.7*KFC!$B$30+KFC!$C$30)*KFC!$C$5</f>
        <v>69.7</v>
      </c>
      <c r="F200" s="300">
        <f>(79.2*KFC!$B$30+KFC!$C$30)*KFC!$C$5</f>
        <v>79.2</v>
      </c>
      <c r="G200" s="300">
        <f>(88.6*KFC!$B$30+KFC!$C$30)*KFC!$C$5</f>
        <v>88.6</v>
      </c>
      <c r="H200" s="300">
        <f>(98.1*KFC!$B$30+KFC!$C$30)*KFC!$C$5</f>
        <v>98.1</v>
      </c>
      <c r="I200" s="300">
        <f>(107.5*KFC!$B$30+KFC!$C$30)*KFC!$C$5</f>
        <v>107.5</v>
      </c>
      <c r="J200" s="300">
        <f>(117*KFC!$B$30+KFC!$C$30)*KFC!$C$5</f>
        <v>117</v>
      </c>
      <c r="K200" s="300">
        <f>(126.4*KFC!$B$30+KFC!$C$30)*KFC!$C$5</f>
        <v>126.4</v>
      </c>
      <c r="L200" s="300">
        <f>(135.9*KFC!$B$30+KFC!$C$30)*KFC!$C$5</f>
        <v>135.9</v>
      </c>
      <c r="M200" s="300">
        <f>(145.3*KFC!$B$30+KFC!$C$30)*KFC!$C$5</f>
        <v>145.30000000000001</v>
      </c>
      <c r="N200" s="300">
        <f>(154.7*KFC!$B$30+KFC!$C$30)*KFC!$C$5</f>
        <v>154.69999999999999</v>
      </c>
      <c r="O200" s="300">
        <f>(164.2*KFC!$B$30+KFC!$C$30)*KFC!$C$5</f>
        <v>164.2</v>
      </c>
      <c r="P200" s="300">
        <f>(173.6*KFC!$B$30+KFC!$C$30)*KFC!$C$5</f>
        <v>173.6</v>
      </c>
      <c r="Q200" s="300">
        <f>(183.1*KFC!$B$30+KFC!$C$30)*KFC!$C$5</f>
        <v>183.1</v>
      </c>
      <c r="R200" s="300">
        <f>(192.5*KFC!$B$30+KFC!$C$30)*KFC!$C$5</f>
        <v>192.5</v>
      </c>
      <c r="S200" s="300">
        <f>(202*KFC!$B$30+KFC!$C$30)*KFC!$C$5</f>
        <v>202</v>
      </c>
      <c r="T200" s="300">
        <f>(211.4*KFC!$B$30+KFC!$C$30)*KFC!$C$5</f>
        <v>211.4</v>
      </c>
      <c r="U200" s="300">
        <f>(220.9*KFC!$B$30+KFC!$C$30)*KFC!$C$5</f>
        <v>220.9</v>
      </c>
      <c r="V200" s="300">
        <f>(230.3*KFC!$B$30+KFC!$C$30)*KFC!$C$5</f>
        <v>230.3</v>
      </c>
      <c r="W200" s="300">
        <f>(239.7*KFC!$B$30+KFC!$C$30)*KFC!$C$5</f>
        <v>239.7</v>
      </c>
      <c r="X200" s="300">
        <f>(249.2*KFC!$B$30+KFC!$C$30)*KFC!$C$5</f>
        <v>249.2</v>
      </c>
      <c r="Y200" s="300">
        <f>(258.6*KFC!$B$30+KFC!$C$30)*KFC!$C$5</f>
        <v>258.60000000000002</v>
      </c>
      <c r="Z200" s="300">
        <f>(268.1*KFC!$B$30+KFC!$C$30)*KFC!$C$5</f>
        <v>268.10000000000002</v>
      </c>
      <c r="AA200" s="300">
        <f>(277.5*KFC!$B$30+KFC!$C$30)*KFC!$C$5</f>
        <v>277.5</v>
      </c>
      <c r="AB200" s="300">
        <f>(287*KFC!$B$30+KFC!$C$30)*KFC!$C$5</f>
        <v>287</v>
      </c>
      <c r="AC200" s="304">
        <f>(296.4*KFC!$B$30+KFC!$C$30)*KFC!$C$5</f>
        <v>296.39999999999998</v>
      </c>
    </row>
    <row r="201" spans="1:29">
      <c r="A201" s="1538"/>
      <c r="B201" s="637">
        <v>3.5</v>
      </c>
      <c r="C201" s="303">
        <f>(52*KFC!$B$30+KFC!$C$30)*KFC!$C$5</f>
        <v>52</v>
      </c>
      <c r="D201" s="300">
        <f>(61.8*KFC!$B$30+KFC!$C$30)*KFC!$C$5</f>
        <v>61.8</v>
      </c>
      <c r="E201" s="300">
        <f>(71.5*KFC!$B$30+KFC!$C$30)*KFC!$C$5</f>
        <v>71.5</v>
      </c>
      <c r="F201" s="300">
        <f>(81.2*KFC!$B$30+KFC!$C$30)*KFC!$C$5</f>
        <v>81.2</v>
      </c>
      <c r="G201" s="300">
        <f>(90.9*KFC!$B$30+KFC!$C$30)*KFC!$C$5</f>
        <v>90.9</v>
      </c>
      <c r="H201" s="300">
        <f>(100.7*KFC!$B$30+KFC!$C$30)*KFC!$C$5</f>
        <v>100.7</v>
      </c>
      <c r="I201" s="300">
        <f>(110.4*KFC!$B$30+KFC!$C$30)*KFC!$C$5</f>
        <v>110.4</v>
      </c>
      <c r="J201" s="300">
        <f>(120.1*KFC!$B$30+KFC!$C$30)*KFC!$C$5</f>
        <v>120.1</v>
      </c>
      <c r="K201" s="300">
        <f>(129.8*KFC!$B$30+KFC!$C$30)*KFC!$C$5</f>
        <v>129.80000000000001</v>
      </c>
      <c r="L201" s="300">
        <f>(139.5*KFC!$B$30+KFC!$C$30)*KFC!$C$5</f>
        <v>139.5</v>
      </c>
      <c r="M201" s="300">
        <f>(149.3*KFC!$B$30+KFC!$C$30)*KFC!$C$5</f>
        <v>149.30000000000001</v>
      </c>
      <c r="N201" s="300">
        <f>(159*KFC!$B$30+KFC!$C$30)*KFC!$C$5</f>
        <v>159</v>
      </c>
      <c r="O201" s="300">
        <f>(168.7*KFC!$B$30+KFC!$C$30)*KFC!$C$5</f>
        <v>168.7</v>
      </c>
      <c r="P201" s="300">
        <f>(178.4*KFC!$B$30+KFC!$C$30)*KFC!$C$5</f>
        <v>178.4</v>
      </c>
      <c r="Q201" s="300">
        <f>(188.2*KFC!$B$30+KFC!$C$30)*KFC!$C$5</f>
        <v>188.2</v>
      </c>
      <c r="R201" s="300">
        <f>(197.9*KFC!$B$30+KFC!$C$30)*KFC!$C$5</f>
        <v>197.9</v>
      </c>
      <c r="S201" s="300">
        <f>(207.6*KFC!$B$30+KFC!$C$30)*KFC!$C$5</f>
        <v>207.6</v>
      </c>
      <c r="T201" s="300">
        <f>(217.3*KFC!$B$30+KFC!$C$30)*KFC!$C$5</f>
        <v>217.3</v>
      </c>
      <c r="U201" s="300">
        <f>(227*KFC!$B$30+KFC!$C$30)*KFC!$C$5</f>
        <v>227</v>
      </c>
      <c r="V201" s="300">
        <f>(236.8*KFC!$B$30+KFC!$C$30)*KFC!$C$5</f>
        <v>236.8</v>
      </c>
      <c r="W201" s="300">
        <f>(246.5*KFC!$B$30+KFC!$C$30)*KFC!$C$5</f>
        <v>246.5</v>
      </c>
      <c r="X201" s="300">
        <f>(256.2*KFC!$B$30+KFC!$C$30)*KFC!$C$5</f>
        <v>256.2</v>
      </c>
      <c r="Y201" s="300">
        <f>(265.9*KFC!$B$30+KFC!$C$30)*KFC!$C$5</f>
        <v>265.89999999999998</v>
      </c>
      <c r="Z201" s="300">
        <f>(275.7*KFC!$B$30+KFC!$C$30)*KFC!$C$5</f>
        <v>275.7</v>
      </c>
      <c r="AA201" s="300">
        <f>(285.4*KFC!$B$30+KFC!$C$30)*KFC!$C$5</f>
        <v>285.39999999999998</v>
      </c>
      <c r="AB201" s="300">
        <f>(295.1*KFC!$B$30+KFC!$C$30)*KFC!$C$5</f>
        <v>295.10000000000002</v>
      </c>
      <c r="AC201" s="304">
        <f>(304.8*KFC!$B$30+KFC!$C$30)*KFC!$C$5</f>
        <v>304.8</v>
      </c>
    </row>
    <row r="202" spans="1:29">
      <c r="A202" s="1538"/>
      <c r="B202" s="637">
        <v>3.6</v>
      </c>
      <c r="C202" s="303">
        <f>(53.2*KFC!$B$30+KFC!$C$30)*KFC!$C$5</f>
        <v>53.2</v>
      </c>
      <c r="D202" s="300">
        <f>(63.2*KFC!$B$30+KFC!$C$30)*KFC!$C$5</f>
        <v>63.2</v>
      </c>
      <c r="E202" s="300">
        <f>(73.2*KFC!$B$30+KFC!$C$30)*KFC!$C$5</f>
        <v>73.2</v>
      </c>
      <c r="F202" s="300">
        <f>(83.2*KFC!$B$30+KFC!$C$30)*KFC!$C$5</f>
        <v>83.2</v>
      </c>
      <c r="G202" s="300">
        <f>(93.2*KFC!$B$30+KFC!$C$30)*KFC!$C$5</f>
        <v>93.2</v>
      </c>
      <c r="H202" s="300">
        <f>(103.2*KFC!$B$30+KFC!$C$30)*KFC!$C$5</f>
        <v>103.2</v>
      </c>
      <c r="I202" s="300">
        <f>(113.2*KFC!$B$30+KFC!$C$30)*KFC!$C$5</f>
        <v>113.2</v>
      </c>
      <c r="J202" s="300">
        <f>(123.2*KFC!$B$30+KFC!$C$30)*KFC!$C$5</f>
        <v>123.2</v>
      </c>
      <c r="K202" s="300">
        <f>(133.2*KFC!$B$30+KFC!$C$30)*KFC!$C$5</f>
        <v>133.19999999999999</v>
      </c>
      <c r="L202" s="300">
        <f>(143.2*KFC!$B$30+KFC!$C$30)*KFC!$C$5</f>
        <v>143.19999999999999</v>
      </c>
      <c r="M202" s="300">
        <f>(153.2*KFC!$B$30+KFC!$C$30)*KFC!$C$5</f>
        <v>153.19999999999999</v>
      </c>
      <c r="N202" s="300">
        <f>(163.2*KFC!$B$30+KFC!$C$30)*KFC!$C$5</f>
        <v>163.19999999999999</v>
      </c>
      <c r="O202" s="300">
        <f>(173.2*KFC!$B$30+KFC!$C$30)*KFC!$C$5</f>
        <v>173.2</v>
      </c>
      <c r="P202" s="300">
        <f>(183.2*KFC!$B$30+KFC!$C$30)*KFC!$C$5</f>
        <v>183.2</v>
      </c>
      <c r="Q202" s="300">
        <f>(193.2*KFC!$B$30+KFC!$C$30)*KFC!$C$5</f>
        <v>193.2</v>
      </c>
      <c r="R202" s="300">
        <f>(203.2*KFC!$B$30+KFC!$C$30)*KFC!$C$5</f>
        <v>203.2</v>
      </c>
      <c r="S202" s="300">
        <f>(213.2*KFC!$B$30+KFC!$C$30)*KFC!$C$5</f>
        <v>213.2</v>
      </c>
      <c r="T202" s="300">
        <f>(223.2*KFC!$B$30+KFC!$C$30)*KFC!$C$5</f>
        <v>223.2</v>
      </c>
      <c r="U202" s="300">
        <f>(233.2*KFC!$B$30+KFC!$C$30)*KFC!$C$5</f>
        <v>233.2</v>
      </c>
      <c r="V202" s="300">
        <f>(243.2*KFC!$B$30+KFC!$C$30)*KFC!$C$5</f>
        <v>243.2</v>
      </c>
      <c r="W202" s="300">
        <f>(253.2*KFC!$B$30+KFC!$C$30)*KFC!$C$5</f>
        <v>253.2</v>
      </c>
      <c r="X202" s="300">
        <f>(263.2*KFC!$B$30+KFC!$C$30)*KFC!$C$5</f>
        <v>263.2</v>
      </c>
      <c r="Y202" s="300">
        <f>(273.2*KFC!$B$30+KFC!$C$30)*KFC!$C$5</f>
        <v>273.2</v>
      </c>
      <c r="Z202" s="300">
        <f>(283.2*KFC!$B$30+KFC!$C$30)*KFC!$C$5</f>
        <v>283.2</v>
      </c>
      <c r="AA202" s="300">
        <f>(293.2*KFC!$B$30+KFC!$C$30)*KFC!$C$5</f>
        <v>293.2</v>
      </c>
      <c r="AB202" s="300">
        <f>(303.2*KFC!$B$30+KFC!$C$30)*KFC!$C$5</f>
        <v>303.2</v>
      </c>
      <c r="AC202" s="304">
        <f>(313.2*KFC!$B$30+KFC!$C$30)*KFC!$C$5</f>
        <v>313.2</v>
      </c>
    </row>
    <row r="203" spans="1:29">
      <c r="A203" s="1538"/>
      <c r="B203" s="637">
        <v>3.7</v>
      </c>
      <c r="C203" s="303">
        <f>(54.4*KFC!$B$30+KFC!$C$30)*KFC!$C$5</f>
        <v>54.4</v>
      </c>
      <c r="D203" s="300">
        <f>(64.7*KFC!$B$30+KFC!$C$30)*KFC!$C$5</f>
        <v>64.7</v>
      </c>
      <c r="E203" s="300">
        <f>(75*KFC!$B$30+KFC!$C$30)*KFC!$C$5</f>
        <v>75</v>
      </c>
      <c r="F203" s="300">
        <f>(85.3*KFC!$B$30+KFC!$C$30)*KFC!$C$5</f>
        <v>85.3</v>
      </c>
      <c r="G203" s="300">
        <f>(95.5*KFC!$B$30+KFC!$C$30)*KFC!$C$5</f>
        <v>95.5</v>
      </c>
      <c r="H203" s="300">
        <f>(105.8*KFC!$B$30+KFC!$C$30)*KFC!$C$5</f>
        <v>105.8</v>
      </c>
      <c r="I203" s="300">
        <f>(116.1*KFC!$B$30+KFC!$C$30)*KFC!$C$5</f>
        <v>116.1</v>
      </c>
      <c r="J203" s="300">
        <f>(126.4*KFC!$B$30+KFC!$C$30)*KFC!$C$5</f>
        <v>126.4</v>
      </c>
      <c r="K203" s="300">
        <f>(136.6*KFC!$B$30+KFC!$C$30)*KFC!$C$5</f>
        <v>136.6</v>
      </c>
      <c r="L203" s="300">
        <f>(146.9*KFC!$B$30+KFC!$C$30)*KFC!$C$5</f>
        <v>146.9</v>
      </c>
      <c r="M203" s="300">
        <f>(157.2*KFC!$B$30+KFC!$C$30)*KFC!$C$5</f>
        <v>157.19999999999999</v>
      </c>
      <c r="N203" s="300">
        <f>(167.5*KFC!$B$30+KFC!$C$30)*KFC!$C$5</f>
        <v>167.5</v>
      </c>
      <c r="O203" s="300">
        <f>(177.8*KFC!$B$30+KFC!$C$30)*KFC!$C$5</f>
        <v>177.8</v>
      </c>
      <c r="P203" s="300">
        <f>(188*KFC!$B$30+KFC!$C$30)*KFC!$C$5</f>
        <v>188</v>
      </c>
      <c r="Q203" s="300">
        <f>(198.3*KFC!$B$30+KFC!$C$30)*KFC!$C$5</f>
        <v>198.3</v>
      </c>
      <c r="R203" s="300">
        <f>(208.6*KFC!$B$30+KFC!$C$30)*KFC!$C$5</f>
        <v>208.6</v>
      </c>
      <c r="S203" s="300">
        <f>(218.9*KFC!$B$30+KFC!$C$30)*KFC!$C$5</f>
        <v>218.9</v>
      </c>
      <c r="T203" s="300">
        <f>(229.1*KFC!$B$30+KFC!$C$30)*KFC!$C$5</f>
        <v>229.1</v>
      </c>
      <c r="U203" s="300">
        <f>(239.4*KFC!$B$30+KFC!$C$30)*KFC!$C$5</f>
        <v>239.4</v>
      </c>
      <c r="V203" s="300">
        <f>(249.7*KFC!$B$30+KFC!$C$30)*KFC!$C$5</f>
        <v>249.7</v>
      </c>
      <c r="W203" s="300">
        <f>(260*KFC!$B$30+KFC!$C$30)*KFC!$C$5</f>
        <v>260</v>
      </c>
      <c r="X203" s="300">
        <f>(270.3*KFC!$B$30+KFC!$C$30)*KFC!$C$5</f>
        <v>270.3</v>
      </c>
      <c r="Y203" s="300">
        <f>(280.5*KFC!$B$30+KFC!$C$30)*KFC!$C$5</f>
        <v>280.5</v>
      </c>
      <c r="Z203" s="300">
        <f>(290.8*KFC!$B$30+KFC!$C$30)*KFC!$C$5</f>
        <v>290.8</v>
      </c>
      <c r="AA203" s="300">
        <f>(301.1*KFC!$B$30+KFC!$C$30)*KFC!$C$5</f>
        <v>301.10000000000002</v>
      </c>
      <c r="AB203" s="300">
        <f>(311.4*KFC!$B$30+KFC!$C$30)*KFC!$C$5</f>
        <v>311.39999999999998</v>
      </c>
      <c r="AC203" s="304">
        <f>(321.6*KFC!$B$30+KFC!$C$30)*KFC!$C$5</f>
        <v>321.60000000000002</v>
      </c>
    </row>
    <row r="204" spans="1:29">
      <c r="A204" s="1538"/>
      <c r="B204" s="637">
        <v>3.8</v>
      </c>
      <c r="C204" s="303">
        <f>(55.6*KFC!$B$30+KFC!$C$30)*KFC!$C$5</f>
        <v>55.6</v>
      </c>
      <c r="D204" s="300">
        <f>(66.2*KFC!$B$30+KFC!$C$30)*KFC!$C$5</f>
        <v>66.2</v>
      </c>
      <c r="E204" s="300">
        <f>(76.7*KFC!$B$30+KFC!$C$30)*KFC!$C$5</f>
        <v>76.7</v>
      </c>
      <c r="F204" s="300">
        <f>(87.3*KFC!$B$30+KFC!$C$30)*KFC!$C$5</f>
        <v>87.3</v>
      </c>
      <c r="G204" s="300">
        <f>(97.8*KFC!$B$30+KFC!$C$30)*KFC!$C$5</f>
        <v>97.8</v>
      </c>
      <c r="H204" s="300">
        <f>(108.4*KFC!$B$30+KFC!$C$30)*KFC!$C$5</f>
        <v>108.4</v>
      </c>
      <c r="I204" s="300">
        <f>(119*KFC!$B$30+KFC!$C$30)*KFC!$C$5</f>
        <v>119</v>
      </c>
      <c r="J204" s="300">
        <f>(129.5*KFC!$B$30+KFC!$C$30)*KFC!$C$5</f>
        <v>129.5</v>
      </c>
      <c r="K204" s="300">
        <f>(140.1*KFC!$B$30+KFC!$C$30)*KFC!$C$5</f>
        <v>140.1</v>
      </c>
      <c r="L204" s="300">
        <f>(150.6*KFC!$B$30+KFC!$C$30)*KFC!$C$5</f>
        <v>150.6</v>
      </c>
      <c r="M204" s="300">
        <f>(161.2*KFC!$B$30+KFC!$C$30)*KFC!$C$5</f>
        <v>161.19999999999999</v>
      </c>
      <c r="N204" s="300">
        <f>(171.7*KFC!$B$30+KFC!$C$30)*KFC!$C$5</f>
        <v>171.7</v>
      </c>
      <c r="O204" s="300">
        <f>(182.3*KFC!$B$30+KFC!$C$30)*KFC!$C$5</f>
        <v>182.3</v>
      </c>
      <c r="P204" s="300">
        <f>(192.8*KFC!$B$30+KFC!$C$30)*KFC!$C$5</f>
        <v>192.8</v>
      </c>
      <c r="Q204" s="300">
        <f>(203.4*KFC!$B$30+KFC!$C$30)*KFC!$C$5</f>
        <v>203.4</v>
      </c>
      <c r="R204" s="300">
        <f>(213.9*KFC!$B$30+KFC!$C$30)*KFC!$C$5</f>
        <v>213.9</v>
      </c>
      <c r="S204" s="300">
        <f>(224.5*KFC!$B$30+KFC!$C$30)*KFC!$C$5</f>
        <v>224.5</v>
      </c>
      <c r="T204" s="300">
        <f>(235.1*KFC!$B$30+KFC!$C$30)*KFC!$C$5</f>
        <v>235.1</v>
      </c>
      <c r="U204" s="300">
        <f>(245.6*KFC!$B$30+KFC!$C$30)*KFC!$C$5</f>
        <v>245.6</v>
      </c>
      <c r="V204" s="300">
        <f>(256.2*KFC!$B$30+KFC!$C$30)*KFC!$C$5</f>
        <v>256.2</v>
      </c>
      <c r="W204" s="300">
        <f>(266.7*KFC!$B$30+KFC!$C$30)*KFC!$C$5</f>
        <v>266.7</v>
      </c>
      <c r="X204" s="300">
        <f>(277.3*KFC!$B$30+KFC!$C$30)*KFC!$C$5</f>
        <v>277.3</v>
      </c>
      <c r="Y204" s="300">
        <f>(287.8*KFC!$B$30+KFC!$C$30)*KFC!$C$5</f>
        <v>287.8</v>
      </c>
      <c r="Z204" s="300">
        <f>(298.4*KFC!$B$30+KFC!$C$30)*KFC!$C$5</f>
        <v>298.39999999999998</v>
      </c>
      <c r="AA204" s="300">
        <f>(308.9*KFC!$B$30+KFC!$C$30)*KFC!$C$5</f>
        <v>308.89999999999998</v>
      </c>
      <c r="AB204" s="300">
        <f>(319.5*KFC!$B$30+KFC!$C$30)*KFC!$C$5</f>
        <v>319.5</v>
      </c>
      <c r="AC204" s="304">
        <f>(330*KFC!$B$30+KFC!$C$30)*KFC!$C$5</f>
        <v>330</v>
      </c>
    </row>
    <row r="205" spans="1:29">
      <c r="A205" s="1538"/>
      <c r="B205" s="637">
        <v>3.9</v>
      </c>
      <c r="C205" s="303">
        <f>(56.8*KFC!$B$30+KFC!$C$30)*KFC!$C$5</f>
        <v>56.8</v>
      </c>
      <c r="D205" s="300">
        <f>(67.7*KFC!$B$30+KFC!$C$30)*KFC!$C$5</f>
        <v>67.7</v>
      </c>
      <c r="E205" s="300">
        <f>(78.5*KFC!$B$30+KFC!$C$30)*KFC!$C$5</f>
        <v>78.5</v>
      </c>
      <c r="F205" s="300">
        <f>(89.3*KFC!$B$30+KFC!$C$30)*KFC!$C$5</f>
        <v>89.3</v>
      </c>
      <c r="G205" s="300">
        <f>(100.1*KFC!$B$30+KFC!$C$30)*KFC!$C$5</f>
        <v>100.1</v>
      </c>
      <c r="H205" s="300">
        <f>(111*KFC!$B$30+KFC!$C$30)*KFC!$C$5</f>
        <v>111</v>
      </c>
      <c r="I205" s="300">
        <f>(121.8*KFC!$B$30+KFC!$C$30)*KFC!$C$5</f>
        <v>121.8</v>
      </c>
      <c r="J205" s="300">
        <f>(132.6*KFC!$B$30+KFC!$C$30)*KFC!$C$5</f>
        <v>132.6</v>
      </c>
      <c r="K205" s="300">
        <f>(143.5*KFC!$B$30+KFC!$C$30)*KFC!$C$5</f>
        <v>143.5</v>
      </c>
      <c r="L205" s="300">
        <f>(154.3*KFC!$B$30+KFC!$C$30)*KFC!$C$5</f>
        <v>154.30000000000001</v>
      </c>
      <c r="M205" s="300">
        <f>(165.1*KFC!$B$30+KFC!$C$30)*KFC!$C$5</f>
        <v>165.1</v>
      </c>
      <c r="N205" s="300">
        <f>(176*KFC!$B$30+KFC!$C$30)*KFC!$C$5</f>
        <v>176</v>
      </c>
      <c r="O205" s="300">
        <f>(186.8*KFC!$B$30+KFC!$C$30)*KFC!$C$5</f>
        <v>186.8</v>
      </c>
      <c r="P205" s="300">
        <f>(197.6*KFC!$B$30+KFC!$C$30)*KFC!$C$5</f>
        <v>197.6</v>
      </c>
      <c r="Q205" s="300">
        <f>(208.5*KFC!$B$30+KFC!$C$30)*KFC!$C$5</f>
        <v>208.5</v>
      </c>
      <c r="R205" s="300">
        <f>(219.3*KFC!$B$30+KFC!$C$30)*KFC!$C$5</f>
        <v>219.3</v>
      </c>
      <c r="S205" s="300">
        <f>(230.1*KFC!$B$30+KFC!$C$30)*KFC!$C$5</f>
        <v>230.1</v>
      </c>
      <c r="T205" s="300">
        <f>(241*KFC!$B$30+KFC!$C$30)*KFC!$C$5</f>
        <v>241</v>
      </c>
      <c r="U205" s="300">
        <f>(251.8*KFC!$B$30+KFC!$C$30)*KFC!$C$5</f>
        <v>251.8</v>
      </c>
      <c r="V205" s="300">
        <f>(262.6*KFC!$B$30+KFC!$C$30)*KFC!$C$5</f>
        <v>262.60000000000002</v>
      </c>
      <c r="W205" s="300">
        <f>(273.5*KFC!$B$30+KFC!$C$30)*KFC!$C$5</f>
        <v>273.5</v>
      </c>
      <c r="X205" s="300">
        <f>(284.3*KFC!$B$30+KFC!$C$30)*KFC!$C$5</f>
        <v>284.3</v>
      </c>
      <c r="Y205" s="300">
        <f>(295.1*KFC!$B$30+KFC!$C$30)*KFC!$C$5</f>
        <v>295.10000000000002</v>
      </c>
      <c r="Z205" s="300">
        <f>(306*KFC!$B$30+KFC!$C$30)*KFC!$C$5</f>
        <v>306</v>
      </c>
      <c r="AA205" s="300">
        <f>(316.8*KFC!$B$30+KFC!$C$30)*KFC!$C$5</f>
        <v>316.8</v>
      </c>
      <c r="AB205" s="300">
        <f>(327.6*KFC!$B$30+KFC!$C$30)*KFC!$C$5</f>
        <v>327.60000000000002</v>
      </c>
      <c r="AC205" s="304">
        <f>(338.5*KFC!$B$30+KFC!$C$30)*KFC!$C$5</f>
        <v>338.5</v>
      </c>
    </row>
    <row r="206" spans="1:29">
      <c r="A206" s="1538"/>
      <c r="B206" s="637">
        <v>4</v>
      </c>
      <c r="C206" s="303">
        <f>(58*KFC!$B$30+KFC!$C$30)*KFC!$C$5</f>
        <v>58</v>
      </c>
      <c r="D206" s="300">
        <f>(69.1*KFC!$B$30+KFC!$C$30)*KFC!$C$5</f>
        <v>69.099999999999994</v>
      </c>
      <c r="E206" s="300">
        <f>(80.2*KFC!$B$30+KFC!$C$30)*KFC!$C$5</f>
        <v>80.2</v>
      </c>
      <c r="F206" s="300">
        <f>(91.3*KFC!$B$30+KFC!$C$30)*KFC!$C$5</f>
        <v>91.3</v>
      </c>
      <c r="G206" s="300">
        <f>(102.5*KFC!$B$30+KFC!$C$30)*KFC!$C$5</f>
        <v>102.5</v>
      </c>
      <c r="H206" s="300">
        <f>(113.6*KFC!$B$30+KFC!$C$30)*KFC!$C$5</f>
        <v>113.6</v>
      </c>
      <c r="I206" s="300">
        <f>(124.7*KFC!$B$30+KFC!$C$30)*KFC!$C$5</f>
        <v>124.7</v>
      </c>
      <c r="J206" s="300">
        <f>(135.8*KFC!$B$30+KFC!$C$30)*KFC!$C$5</f>
        <v>135.80000000000001</v>
      </c>
      <c r="K206" s="300">
        <f>(146.9*KFC!$B$30+KFC!$C$30)*KFC!$C$5</f>
        <v>146.9</v>
      </c>
      <c r="L206" s="300">
        <f>(158*KFC!$B$30+KFC!$C$30)*KFC!$C$5</f>
        <v>158</v>
      </c>
      <c r="M206" s="300">
        <f>(169.1*KFC!$B$30+KFC!$C$30)*KFC!$C$5</f>
        <v>169.1</v>
      </c>
      <c r="N206" s="300">
        <f>(180.2*KFC!$B$30+KFC!$C$30)*KFC!$C$5</f>
        <v>180.2</v>
      </c>
      <c r="O206" s="300">
        <f>(191.3*KFC!$B$30+KFC!$C$30)*KFC!$C$5</f>
        <v>191.3</v>
      </c>
      <c r="P206" s="300">
        <f>(202.4*KFC!$B$30+KFC!$C$30)*KFC!$C$5</f>
        <v>202.4</v>
      </c>
      <c r="Q206" s="300">
        <f>(213.5*KFC!$B$30+KFC!$C$30)*KFC!$C$5</f>
        <v>213.5</v>
      </c>
      <c r="R206" s="300">
        <f>(224.7*KFC!$B$30+KFC!$C$30)*KFC!$C$5</f>
        <v>224.7</v>
      </c>
      <c r="S206" s="300">
        <f>(235.8*KFC!$B$30+KFC!$C$30)*KFC!$C$5</f>
        <v>235.8</v>
      </c>
      <c r="T206" s="300">
        <f>(246.9*KFC!$B$30+KFC!$C$30)*KFC!$C$5</f>
        <v>246.9</v>
      </c>
      <c r="U206" s="300">
        <f>(258*KFC!$B$30+KFC!$C$30)*KFC!$C$5</f>
        <v>258</v>
      </c>
      <c r="V206" s="300">
        <f>(269.1*KFC!$B$30+KFC!$C$30)*KFC!$C$5</f>
        <v>269.10000000000002</v>
      </c>
      <c r="W206" s="300">
        <f>(280.2*KFC!$B$30+KFC!$C$30)*KFC!$C$5</f>
        <v>280.2</v>
      </c>
      <c r="X206" s="300">
        <f>(291.3*KFC!$B$30+KFC!$C$30)*KFC!$C$5</f>
        <v>291.3</v>
      </c>
      <c r="Y206" s="300">
        <f>(302.4*KFC!$B$30+KFC!$C$30)*KFC!$C$5</f>
        <v>302.39999999999998</v>
      </c>
      <c r="Z206" s="300">
        <f>(313.5*KFC!$B$30+KFC!$C$30)*KFC!$C$5</f>
        <v>313.5</v>
      </c>
      <c r="AA206" s="300">
        <f>(324.6*KFC!$B$30+KFC!$C$30)*KFC!$C$5</f>
        <v>324.60000000000002</v>
      </c>
      <c r="AB206" s="300">
        <f>(335.7*KFC!$B$30+KFC!$C$30)*KFC!$C$5</f>
        <v>335.7</v>
      </c>
      <c r="AC206" s="304">
        <f>(346.9*KFC!$B$30+KFC!$C$30)*KFC!$C$5</f>
        <v>346.9</v>
      </c>
    </row>
    <row r="207" spans="1:29" ht="13.8" thickBot="1">
      <c r="A207" s="1539"/>
      <c r="B207" s="638">
        <v>4.05</v>
      </c>
      <c r="C207" s="305">
        <f>(59.2*KFC!$B$30+KFC!$C$30)*KFC!$C$5</f>
        <v>59.2</v>
      </c>
      <c r="D207" s="306">
        <f>(70.6*KFC!$B$30+KFC!$C$30)*KFC!$C$5</f>
        <v>70.599999999999994</v>
      </c>
      <c r="E207" s="306">
        <f>(82*KFC!$B$30+KFC!$C$30)*KFC!$C$5</f>
        <v>82</v>
      </c>
      <c r="F207" s="306">
        <f>(93.4*KFC!$B$30+KFC!$C$30)*KFC!$C$5</f>
        <v>93.4</v>
      </c>
      <c r="G207" s="306">
        <f>(104.8*KFC!$B$30+KFC!$C$30)*KFC!$C$5</f>
        <v>104.8</v>
      </c>
      <c r="H207" s="306">
        <f>(116.1*KFC!$B$30+KFC!$C$30)*KFC!$C$5</f>
        <v>116.1</v>
      </c>
      <c r="I207" s="306">
        <f>(127.5*KFC!$B$30+KFC!$C$30)*KFC!$C$5</f>
        <v>127.5</v>
      </c>
      <c r="J207" s="306">
        <f>(138.9*KFC!$B$30+KFC!$C$30)*KFC!$C$5</f>
        <v>138.9</v>
      </c>
      <c r="K207" s="306">
        <f>(150.3*KFC!$B$30+KFC!$C$30)*KFC!$C$5</f>
        <v>150.30000000000001</v>
      </c>
      <c r="L207" s="306">
        <f>(161.7*KFC!$B$30+KFC!$C$30)*KFC!$C$5</f>
        <v>161.69999999999999</v>
      </c>
      <c r="M207" s="306">
        <f>(173.1*KFC!$B$30+KFC!$C$30)*KFC!$C$5</f>
        <v>173.1</v>
      </c>
      <c r="N207" s="306">
        <f>(184.5*KFC!$B$30+KFC!$C$30)*KFC!$C$5</f>
        <v>184.5</v>
      </c>
      <c r="O207" s="306">
        <f>(195.9*KFC!$B$30+KFC!$C$30)*KFC!$C$5</f>
        <v>195.9</v>
      </c>
      <c r="P207" s="306">
        <f>(207.2*KFC!$B$30+KFC!$C$30)*KFC!$C$5</f>
        <v>207.2</v>
      </c>
      <c r="Q207" s="306">
        <f>(218.6*KFC!$B$30+KFC!$C$30)*KFC!$C$5</f>
        <v>218.6</v>
      </c>
      <c r="R207" s="306">
        <f>(230*KFC!$B$30+KFC!$C$30)*KFC!$C$5</f>
        <v>230</v>
      </c>
      <c r="S207" s="306">
        <f>(241.4*KFC!$B$30+KFC!$C$30)*KFC!$C$5</f>
        <v>241.4</v>
      </c>
      <c r="T207" s="306">
        <f>(252.8*KFC!$B$30+KFC!$C$30)*KFC!$C$5</f>
        <v>252.8</v>
      </c>
      <c r="U207" s="306">
        <f>(264.2*KFC!$B$30+KFC!$C$30)*KFC!$C$5</f>
        <v>264.2</v>
      </c>
      <c r="V207" s="306">
        <f>(275.6*KFC!$B$30+KFC!$C$30)*KFC!$C$5</f>
        <v>275.60000000000002</v>
      </c>
      <c r="W207" s="306">
        <f>(286.9*KFC!$B$30+KFC!$C$30)*KFC!$C$5</f>
        <v>286.89999999999998</v>
      </c>
      <c r="X207" s="306">
        <f>(298.3*KFC!$B$30+KFC!$C$30)*KFC!$C$5</f>
        <v>298.3</v>
      </c>
      <c r="Y207" s="306">
        <f>(309.7*KFC!$B$30+KFC!$C$30)*KFC!$C$5</f>
        <v>309.7</v>
      </c>
      <c r="Z207" s="306">
        <f>(321.1*KFC!$B$30+KFC!$C$30)*KFC!$C$5</f>
        <v>321.10000000000002</v>
      </c>
      <c r="AA207" s="306">
        <f>(332.5*KFC!$B$30+KFC!$C$30)*KFC!$C$5</f>
        <v>332.5</v>
      </c>
      <c r="AB207" s="306">
        <f>(343.9*KFC!$B$30+KFC!$C$30)*KFC!$C$5</f>
        <v>343.9</v>
      </c>
      <c r="AC207" s="307">
        <f>(355.3*KFC!$B$30+KFC!$C$30)*KFC!$C$5</f>
        <v>355.3</v>
      </c>
    </row>
    <row r="208" spans="1:29" ht="13.8" thickBot="1">
      <c r="A208" s="216"/>
      <c r="B208" s="216"/>
      <c r="C208" s="215"/>
      <c r="D208" s="215"/>
      <c r="E208" s="215"/>
      <c r="F208" s="215"/>
      <c r="G208" s="215"/>
      <c r="H208" s="215"/>
      <c r="I208" s="215"/>
      <c r="J208" s="215"/>
      <c r="K208" s="215"/>
      <c r="L208" s="215"/>
      <c r="M208" s="215"/>
      <c r="N208" s="215"/>
      <c r="O208" s="215"/>
      <c r="P208" s="215"/>
      <c r="Q208" s="215"/>
      <c r="R208" s="215"/>
      <c r="S208" s="215"/>
      <c r="T208" s="215"/>
      <c r="U208" s="215"/>
      <c r="V208" s="215"/>
      <c r="W208" s="215"/>
      <c r="X208" s="215"/>
      <c r="Y208" s="215"/>
      <c r="Z208" s="215"/>
      <c r="AA208" s="215"/>
      <c r="AB208" s="215"/>
      <c r="AC208" s="215"/>
    </row>
    <row r="209" spans="1:29" ht="13.5" customHeight="1" thickBot="1">
      <c r="A209" s="1413" t="s">
        <v>320</v>
      </c>
      <c r="B209" s="1542"/>
      <c r="C209" s="1787" t="s">
        <v>207</v>
      </c>
      <c r="D209" s="1788"/>
      <c r="E209" s="1788"/>
      <c r="F209" s="1788"/>
      <c r="G209" s="1788"/>
      <c r="H209" s="1788"/>
      <c r="I209" s="1788"/>
      <c r="J209" s="1788"/>
      <c r="K209" s="1788"/>
      <c r="L209" s="1788"/>
      <c r="M209" s="1788"/>
      <c r="N209" s="1788"/>
      <c r="O209" s="1788"/>
      <c r="P209" s="1788"/>
      <c r="Q209" s="1788"/>
      <c r="R209" s="1788"/>
      <c r="S209" s="1788"/>
      <c r="T209" s="1788"/>
      <c r="U209" s="1788"/>
      <c r="V209" s="1788"/>
      <c r="W209" s="1788"/>
      <c r="X209" s="1788"/>
      <c r="Y209" s="1788"/>
      <c r="Z209" s="1788"/>
      <c r="AA209" s="1788"/>
      <c r="AB209" s="1788"/>
      <c r="AC209" s="1885"/>
    </row>
    <row r="210" spans="1:29" ht="13.8" thickBot="1">
      <c r="A210" s="1543"/>
      <c r="B210" s="1544"/>
      <c r="C210" s="633">
        <v>0.4</v>
      </c>
      <c r="D210" s="634">
        <v>0.5</v>
      </c>
      <c r="E210" s="634">
        <v>0.6</v>
      </c>
      <c r="F210" s="634">
        <v>0.7</v>
      </c>
      <c r="G210" s="634">
        <v>0.8</v>
      </c>
      <c r="H210" s="634">
        <v>0.9</v>
      </c>
      <c r="I210" s="634">
        <v>1</v>
      </c>
      <c r="J210" s="634">
        <v>1.1000000000000001</v>
      </c>
      <c r="K210" s="634">
        <v>1.2</v>
      </c>
      <c r="L210" s="634">
        <v>1.3</v>
      </c>
      <c r="M210" s="634">
        <v>1.4</v>
      </c>
      <c r="N210" s="634">
        <v>1.5</v>
      </c>
      <c r="O210" s="634">
        <v>1.6</v>
      </c>
      <c r="P210" s="634">
        <v>1.7</v>
      </c>
      <c r="Q210" s="634">
        <v>1.8</v>
      </c>
      <c r="R210" s="634">
        <v>1.9</v>
      </c>
      <c r="S210" s="634">
        <v>2</v>
      </c>
      <c r="T210" s="634">
        <v>2.1</v>
      </c>
      <c r="U210" s="634">
        <v>2.2000000000000002</v>
      </c>
      <c r="V210" s="634">
        <v>2.2999999999999998</v>
      </c>
      <c r="W210" s="634">
        <v>2.4</v>
      </c>
      <c r="X210" s="634">
        <v>2.5</v>
      </c>
      <c r="Y210" s="634">
        <v>2.6</v>
      </c>
      <c r="Z210" s="634">
        <v>2.7</v>
      </c>
      <c r="AA210" s="634">
        <v>2.8</v>
      </c>
      <c r="AB210" s="634">
        <v>2.9</v>
      </c>
      <c r="AC210" s="635">
        <v>3</v>
      </c>
    </row>
    <row r="211" spans="1:29" ht="12.75" customHeight="1">
      <c r="A211" s="1537" t="s">
        <v>3</v>
      </c>
      <c r="B211" s="636">
        <v>0.5</v>
      </c>
      <c r="C211" s="274">
        <f>(18.7*KFC!$B$30+KFC!$C$30)*KFC!$C$5</f>
        <v>18.7</v>
      </c>
      <c r="D211" s="301">
        <f>(20.6*KFC!$B$30+KFC!$C$30)*KFC!$C$5</f>
        <v>20.6</v>
      </c>
      <c r="E211" s="301">
        <f>(22.5*KFC!$B$30+KFC!$C$30)*KFC!$C$5</f>
        <v>22.5</v>
      </c>
      <c r="F211" s="301">
        <f>(24.4*KFC!$B$30+KFC!$C$30)*KFC!$C$5</f>
        <v>24.4</v>
      </c>
      <c r="G211" s="301">
        <f>(26.3*KFC!$B$30+KFC!$C$30)*KFC!$C$5</f>
        <v>26.3</v>
      </c>
      <c r="H211" s="301">
        <f>(28.2*KFC!$B$30+KFC!$C$30)*KFC!$C$5</f>
        <v>28.2</v>
      </c>
      <c r="I211" s="301">
        <f>(30.2*KFC!$B$30+KFC!$C$30)*KFC!$C$5</f>
        <v>30.2</v>
      </c>
      <c r="J211" s="301">
        <f>(32.1*KFC!$B$30+KFC!$C$30)*KFC!$C$5</f>
        <v>32.1</v>
      </c>
      <c r="K211" s="301">
        <f>(34*KFC!$B$30+KFC!$C$30)*KFC!$C$5</f>
        <v>34</v>
      </c>
      <c r="L211" s="301">
        <f>(35.9*KFC!$B$30+KFC!$C$30)*KFC!$C$5</f>
        <v>35.9</v>
      </c>
      <c r="M211" s="301">
        <f>(37.8*KFC!$B$30+KFC!$C$30)*KFC!$C$5</f>
        <v>37.799999999999997</v>
      </c>
      <c r="N211" s="301">
        <f>(39.7*KFC!$B$30+KFC!$C$30)*KFC!$C$5</f>
        <v>39.700000000000003</v>
      </c>
      <c r="O211" s="301">
        <f>(41.6*KFC!$B$30+KFC!$C$30)*KFC!$C$5</f>
        <v>41.6</v>
      </c>
      <c r="P211" s="301">
        <f>(43.6*KFC!$B$30+KFC!$C$30)*KFC!$C$5</f>
        <v>43.6</v>
      </c>
      <c r="Q211" s="301">
        <f>(45.5*KFC!$B$30+KFC!$C$30)*KFC!$C$5</f>
        <v>45.5</v>
      </c>
      <c r="R211" s="301">
        <f>(47.4*KFC!$B$30+KFC!$C$30)*KFC!$C$5</f>
        <v>47.4</v>
      </c>
      <c r="S211" s="301">
        <f>(49.3*KFC!$B$30+KFC!$C$30)*KFC!$C$5</f>
        <v>49.3</v>
      </c>
      <c r="T211" s="301">
        <f>(51.2*KFC!$B$30+KFC!$C$30)*KFC!$C$5</f>
        <v>51.2</v>
      </c>
      <c r="U211" s="301">
        <f>(53.1*KFC!$B$30+KFC!$C$30)*KFC!$C$5</f>
        <v>53.1</v>
      </c>
      <c r="V211" s="301">
        <f>(55*KFC!$B$30+KFC!$C$30)*KFC!$C$5</f>
        <v>55</v>
      </c>
      <c r="W211" s="301">
        <f>(56.9*KFC!$B$30+KFC!$C$30)*KFC!$C$5</f>
        <v>56.9</v>
      </c>
      <c r="X211" s="301">
        <f>(58.9*KFC!$B$30+KFC!$C$30)*KFC!$C$5</f>
        <v>58.9</v>
      </c>
      <c r="Y211" s="301">
        <f>(60.8*KFC!$B$30+KFC!$C$30)*KFC!$C$5</f>
        <v>60.8</v>
      </c>
      <c r="Z211" s="301">
        <f>(62.7*KFC!$B$30+KFC!$C$30)*KFC!$C$5</f>
        <v>62.7</v>
      </c>
      <c r="AA211" s="301">
        <f>(64.6*KFC!$B$30+KFC!$C$30)*KFC!$C$5</f>
        <v>64.599999999999994</v>
      </c>
      <c r="AB211" s="301">
        <f>(66.5*KFC!$B$30+KFC!$C$30)*KFC!$C$5</f>
        <v>66.5</v>
      </c>
      <c r="AC211" s="302">
        <f>(68.4*KFC!$B$30+KFC!$C$30)*KFC!$C$5</f>
        <v>68.400000000000006</v>
      </c>
    </row>
    <row r="212" spans="1:29">
      <c r="A212" s="1538"/>
      <c r="B212" s="637">
        <v>0.6</v>
      </c>
      <c r="C212" s="303">
        <f>(20.2*KFC!$B$30+KFC!$C$30)*KFC!$C$5</f>
        <v>20.2</v>
      </c>
      <c r="D212" s="300">
        <f>(22.5*KFC!$B$30+KFC!$C$30)*KFC!$C$5</f>
        <v>22.5</v>
      </c>
      <c r="E212" s="300">
        <f>(24.7*KFC!$B$30+KFC!$C$30)*KFC!$C$5</f>
        <v>24.7</v>
      </c>
      <c r="F212" s="300">
        <f>(26.9*KFC!$B$30+KFC!$C$30)*KFC!$C$5</f>
        <v>26.9</v>
      </c>
      <c r="G212" s="300">
        <f>(29.2*KFC!$B$30+KFC!$C$30)*KFC!$C$5</f>
        <v>29.2</v>
      </c>
      <c r="H212" s="300">
        <f>(31.4*KFC!$B$30+KFC!$C$30)*KFC!$C$5</f>
        <v>31.4</v>
      </c>
      <c r="I212" s="300">
        <f>(33.7*KFC!$B$30+KFC!$C$30)*KFC!$C$5</f>
        <v>33.700000000000003</v>
      </c>
      <c r="J212" s="300">
        <f>(35.9*KFC!$B$30+KFC!$C$30)*KFC!$C$5</f>
        <v>35.9</v>
      </c>
      <c r="K212" s="300">
        <f>(38.1*KFC!$B$30+KFC!$C$30)*KFC!$C$5</f>
        <v>38.1</v>
      </c>
      <c r="L212" s="300">
        <f>(40.4*KFC!$B$30+KFC!$C$30)*KFC!$C$5</f>
        <v>40.4</v>
      </c>
      <c r="M212" s="300">
        <f>(42.6*KFC!$B$30+KFC!$C$30)*KFC!$C$5</f>
        <v>42.6</v>
      </c>
      <c r="N212" s="300">
        <f>(44.9*KFC!$B$30+KFC!$C$30)*KFC!$C$5</f>
        <v>44.9</v>
      </c>
      <c r="O212" s="300">
        <f>(47.1*KFC!$B$30+KFC!$C$30)*KFC!$C$5</f>
        <v>47.1</v>
      </c>
      <c r="P212" s="300">
        <f>(49.3*KFC!$B$30+KFC!$C$30)*KFC!$C$5</f>
        <v>49.3</v>
      </c>
      <c r="Q212" s="300">
        <f>(51.6*KFC!$B$30+KFC!$C$30)*KFC!$C$5</f>
        <v>51.6</v>
      </c>
      <c r="R212" s="300">
        <f>(53.8*KFC!$B$30+KFC!$C$30)*KFC!$C$5</f>
        <v>53.8</v>
      </c>
      <c r="S212" s="300">
        <f>(56.1*KFC!$B$30+KFC!$C$30)*KFC!$C$5</f>
        <v>56.1</v>
      </c>
      <c r="T212" s="300">
        <f>(58.3*KFC!$B$30+KFC!$C$30)*KFC!$C$5</f>
        <v>58.3</v>
      </c>
      <c r="U212" s="300">
        <f>(60.5*KFC!$B$30+KFC!$C$30)*KFC!$C$5</f>
        <v>60.5</v>
      </c>
      <c r="V212" s="300">
        <f>(62.8*KFC!$B$30+KFC!$C$30)*KFC!$C$5</f>
        <v>62.8</v>
      </c>
      <c r="W212" s="300">
        <f>(65*KFC!$B$30+KFC!$C$30)*KFC!$C$5</f>
        <v>65</v>
      </c>
      <c r="X212" s="300">
        <f>(67.3*KFC!$B$30+KFC!$C$30)*KFC!$C$5</f>
        <v>67.3</v>
      </c>
      <c r="Y212" s="300">
        <f>(69.5*KFC!$B$30+KFC!$C$30)*KFC!$C$5</f>
        <v>69.5</v>
      </c>
      <c r="Z212" s="300">
        <f>(71.8*KFC!$B$30+KFC!$C$30)*KFC!$C$5</f>
        <v>71.8</v>
      </c>
      <c r="AA212" s="300">
        <f>(74*KFC!$B$30+KFC!$C$30)*KFC!$C$5</f>
        <v>74</v>
      </c>
      <c r="AB212" s="300">
        <f>(76.2*KFC!$B$30+KFC!$C$30)*KFC!$C$5</f>
        <v>76.2</v>
      </c>
      <c r="AC212" s="304">
        <f>(78.5*KFC!$B$30+KFC!$C$30)*KFC!$C$5</f>
        <v>78.5</v>
      </c>
    </row>
    <row r="213" spans="1:29">
      <c r="A213" s="1538"/>
      <c r="B213" s="637">
        <v>0.7</v>
      </c>
      <c r="C213" s="303">
        <f>(21.7*KFC!$B$30+KFC!$C$30)*KFC!$C$5</f>
        <v>21.7</v>
      </c>
      <c r="D213" s="300">
        <f>(24.3*KFC!$B$30+KFC!$C$30)*KFC!$C$5</f>
        <v>24.3</v>
      </c>
      <c r="E213" s="300">
        <f>(26.9*KFC!$B$30+KFC!$C$30)*KFC!$C$5</f>
        <v>26.9</v>
      </c>
      <c r="F213" s="300">
        <f>(29.4*KFC!$B$30+KFC!$C$30)*KFC!$C$5</f>
        <v>29.4</v>
      </c>
      <c r="G213" s="300">
        <f>(32*KFC!$B$30+KFC!$C$30)*KFC!$C$5</f>
        <v>32</v>
      </c>
      <c r="H213" s="300">
        <f>(34.6*KFC!$B$30+KFC!$C$30)*KFC!$C$5</f>
        <v>34.6</v>
      </c>
      <c r="I213" s="300">
        <f>(37.2*KFC!$B$30+KFC!$C$30)*KFC!$C$5</f>
        <v>37.200000000000003</v>
      </c>
      <c r="J213" s="300">
        <f>(39.7*KFC!$B$30+KFC!$C$30)*KFC!$C$5</f>
        <v>39.700000000000003</v>
      </c>
      <c r="K213" s="300">
        <f>(42.3*KFC!$B$30+KFC!$C$30)*KFC!$C$5</f>
        <v>42.3</v>
      </c>
      <c r="L213" s="300">
        <f>(44.9*KFC!$B$30+KFC!$C$30)*KFC!$C$5</f>
        <v>44.9</v>
      </c>
      <c r="M213" s="300">
        <f>(47.4*KFC!$B$30+KFC!$C$30)*KFC!$C$5</f>
        <v>47.4</v>
      </c>
      <c r="N213" s="300">
        <f>(50*KFC!$B$30+KFC!$C$30)*KFC!$C$5</f>
        <v>50</v>
      </c>
      <c r="O213" s="300">
        <f>(52.6*KFC!$B$30+KFC!$C$30)*KFC!$C$5</f>
        <v>52.6</v>
      </c>
      <c r="P213" s="300">
        <f>(55.1*KFC!$B$30+KFC!$C$30)*KFC!$C$5</f>
        <v>55.1</v>
      </c>
      <c r="Q213" s="300">
        <f>(57.7*KFC!$B$30+KFC!$C$30)*KFC!$C$5</f>
        <v>57.7</v>
      </c>
      <c r="R213" s="300">
        <f>(60.3*KFC!$B$30+KFC!$C$30)*KFC!$C$5</f>
        <v>60.3</v>
      </c>
      <c r="S213" s="300">
        <f>(62.8*KFC!$B$30+KFC!$C$30)*KFC!$C$5</f>
        <v>62.8</v>
      </c>
      <c r="T213" s="300">
        <f>(65.4*KFC!$B$30+KFC!$C$30)*KFC!$C$5</f>
        <v>65.400000000000006</v>
      </c>
      <c r="U213" s="300">
        <f>(68*KFC!$B$30+KFC!$C$30)*KFC!$C$5</f>
        <v>68</v>
      </c>
      <c r="V213" s="300">
        <f>(70.5*KFC!$B$30+KFC!$C$30)*KFC!$C$5</f>
        <v>70.5</v>
      </c>
      <c r="W213" s="300">
        <f>(73.1*KFC!$B$30+KFC!$C$30)*KFC!$C$5</f>
        <v>73.099999999999994</v>
      </c>
      <c r="X213" s="300">
        <f>(75.7*KFC!$B$30+KFC!$C$30)*KFC!$C$5</f>
        <v>75.7</v>
      </c>
      <c r="Y213" s="300">
        <f>(78.3*KFC!$B$30+KFC!$C$30)*KFC!$C$5</f>
        <v>78.3</v>
      </c>
      <c r="Z213" s="300">
        <f>(80.8*KFC!$B$30+KFC!$C$30)*KFC!$C$5</f>
        <v>80.8</v>
      </c>
      <c r="AA213" s="300">
        <f>(83.4*KFC!$B$30+KFC!$C$30)*KFC!$C$5</f>
        <v>83.4</v>
      </c>
      <c r="AB213" s="300">
        <f>(86*KFC!$B$30+KFC!$C$30)*KFC!$C$5</f>
        <v>86</v>
      </c>
      <c r="AC213" s="304">
        <f>(88.5*KFC!$B$30+KFC!$C$30)*KFC!$C$5</f>
        <v>88.5</v>
      </c>
    </row>
    <row r="214" spans="1:29">
      <c r="A214" s="1538"/>
      <c r="B214" s="637">
        <v>0.8</v>
      </c>
      <c r="C214" s="303">
        <f>(23.3*KFC!$B$30+KFC!$C$30)*KFC!$C$5</f>
        <v>23.3</v>
      </c>
      <c r="D214" s="300">
        <f>(26.2*KFC!$B$30+KFC!$C$30)*KFC!$C$5</f>
        <v>26.2</v>
      </c>
      <c r="E214" s="300">
        <f>(29.1*KFC!$B$30+KFC!$C$30)*KFC!$C$5</f>
        <v>29.1</v>
      </c>
      <c r="F214" s="300">
        <f>(32*KFC!$B$30+KFC!$C$30)*KFC!$C$5</f>
        <v>32</v>
      </c>
      <c r="G214" s="300">
        <f>(34.9*KFC!$B$30+KFC!$C$30)*KFC!$C$5</f>
        <v>34.9</v>
      </c>
      <c r="H214" s="300">
        <f>(37.8*KFC!$B$30+KFC!$C$30)*KFC!$C$5</f>
        <v>37.799999999999997</v>
      </c>
      <c r="I214" s="300">
        <f>(40.6*KFC!$B$30+KFC!$C$30)*KFC!$C$5</f>
        <v>40.6</v>
      </c>
      <c r="J214" s="300">
        <f>(43.5*KFC!$B$30+KFC!$C$30)*KFC!$C$5</f>
        <v>43.5</v>
      </c>
      <c r="K214" s="300">
        <f>(46.4*KFC!$B$30+KFC!$C$30)*KFC!$C$5</f>
        <v>46.4</v>
      </c>
      <c r="L214" s="300">
        <f>(49.3*KFC!$B$30+KFC!$C$30)*KFC!$C$5</f>
        <v>49.3</v>
      </c>
      <c r="M214" s="300">
        <f>(52.2*KFC!$B$30+KFC!$C$30)*KFC!$C$5</f>
        <v>52.2</v>
      </c>
      <c r="N214" s="300">
        <f>(55.1*KFC!$B$30+KFC!$C$30)*KFC!$C$5</f>
        <v>55.1</v>
      </c>
      <c r="O214" s="300">
        <f>(58*KFC!$B$30+KFC!$C$30)*KFC!$C$5</f>
        <v>58</v>
      </c>
      <c r="P214" s="300">
        <f>(60.9*KFC!$B$30+KFC!$C$30)*KFC!$C$5</f>
        <v>60.9</v>
      </c>
      <c r="Q214" s="300">
        <f>(63.8*KFC!$B$30+KFC!$C$30)*KFC!$C$5</f>
        <v>63.8</v>
      </c>
      <c r="R214" s="300">
        <f>(66.7*KFC!$B$30+KFC!$C$30)*KFC!$C$5</f>
        <v>66.7</v>
      </c>
      <c r="S214" s="300">
        <f>(69.6*KFC!$B$30+KFC!$C$30)*KFC!$C$5</f>
        <v>69.599999999999994</v>
      </c>
      <c r="T214" s="300">
        <f>(72.5*KFC!$B$30+KFC!$C$30)*KFC!$C$5</f>
        <v>72.5</v>
      </c>
      <c r="U214" s="300">
        <f>(75.4*KFC!$B$30+KFC!$C$30)*KFC!$C$5</f>
        <v>75.400000000000006</v>
      </c>
      <c r="V214" s="300">
        <f>(78.3*KFC!$B$30+KFC!$C$30)*KFC!$C$5</f>
        <v>78.3</v>
      </c>
      <c r="W214" s="300">
        <f>(81.2*KFC!$B$30+KFC!$C$30)*KFC!$C$5</f>
        <v>81.2</v>
      </c>
      <c r="X214" s="300">
        <f>(84.1*KFC!$B$30+KFC!$C$30)*KFC!$C$5</f>
        <v>84.1</v>
      </c>
      <c r="Y214" s="300">
        <f>(87*KFC!$B$30+KFC!$C$30)*KFC!$C$5</f>
        <v>87</v>
      </c>
      <c r="Z214" s="300">
        <f>(89.9*KFC!$B$30+KFC!$C$30)*KFC!$C$5</f>
        <v>89.9</v>
      </c>
      <c r="AA214" s="300">
        <f>(92.8*KFC!$B$30+KFC!$C$30)*KFC!$C$5</f>
        <v>92.8</v>
      </c>
      <c r="AB214" s="300">
        <f>(95.7*KFC!$B$30+KFC!$C$30)*KFC!$C$5</f>
        <v>95.7</v>
      </c>
      <c r="AC214" s="304">
        <f>(98.6*KFC!$B$30+KFC!$C$30)*KFC!$C$5</f>
        <v>98.6</v>
      </c>
    </row>
    <row r="215" spans="1:29">
      <c r="A215" s="1538"/>
      <c r="B215" s="637">
        <v>0.9</v>
      </c>
      <c r="C215" s="303">
        <f>(24.8*KFC!$B$30+KFC!$C$30)*KFC!$C$5</f>
        <v>24.8</v>
      </c>
      <c r="D215" s="300">
        <f>(28*KFC!$B$30+KFC!$C$30)*KFC!$C$5</f>
        <v>28</v>
      </c>
      <c r="E215" s="300">
        <f>(31.2*KFC!$B$30+KFC!$C$30)*KFC!$C$5</f>
        <v>31.2</v>
      </c>
      <c r="F215" s="300">
        <f>(34.5*KFC!$B$30+KFC!$C$30)*KFC!$C$5</f>
        <v>34.5</v>
      </c>
      <c r="G215" s="300">
        <f>(37.7*KFC!$B$30+KFC!$C$30)*KFC!$C$5</f>
        <v>37.700000000000003</v>
      </c>
      <c r="H215" s="300">
        <f>(40.9*KFC!$B$30+KFC!$C$30)*KFC!$C$5</f>
        <v>40.9</v>
      </c>
      <c r="I215" s="300">
        <f>(44.1*KFC!$B$30+KFC!$C$30)*KFC!$C$5</f>
        <v>44.1</v>
      </c>
      <c r="J215" s="300">
        <f>(47.4*KFC!$B$30+KFC!$C$30)*KFC!$C$5</f>
        <v>47.4</v>
      </c>
      <c r="K215" s="300">
        <f>(50.6*KFC!$B$30+KFC!$C$30)*KFC!$C$5</f>
        <v>50.6</v>
      </c>
      <c r="L215" s="300">
        <f>(53.8*KFC!$B$30+KFC!$C$30)*KFC!$C$5</f>
        <v>53.8</v>
      </c>
      <c r="M215" s="300">
        <f>(57*KFC!$B$30+KFC!$C$30)*KFC!$C$5</f>
        <v>57</v>
      </c>
      <c r="N215" s="300">
        <f>(60.3*KFC!$B$30+KFC!$C$30)*KFC!$C$5</f>
        <v>60.3</v>
      </c>
      <c r="O215" s="300">
        <f>(63.5*KFC!$B$30+KFC!$C$30)*KFC!$C$5</f>
        <v>63.5</v>
      </c>
      <c r="P215" s="300">
        <f>(66.7*KFC!$B$30+KFC!$C$30)*KFC!$C$5</f>
        <v>66.7</v>
      </c>
      <c r="Q215" s="300">
        <f>(69.9*KFC!$B$30+KFC!$C$30)*KFC!$C$5</f>
        <v>69.900000000000006</v>
      </c>
      <c r="R215" s="300">
        <f>(73.2*KFC!$B$30+KFC!$C$30)*KFC!$C$5</f>
        <v>73.2</v>
      </c>
      <c r="S215" s="300">
        <f>(76.4*KFC!$B$30+KFC!$C$30)*KFC!$C$5</f>
        <v>76.400000000000006</v>
      </c>
      <c r="T215" s="300">
        <f>(79.6*KFC!$B$30+KFC!$C$30)*KFC!$C$5</f>
        <v>79.599999999999994</v>
      </c>
      <c r="U215" s="300">
        <f>(82.8*KFC!$B$30+KFC!$C$30)*KFC!$C$5</f>
        <v>82.8</v>
      </c>
      <c r="V215" s="300">
        <f>(86.1*KFC!$B$30+KFC!$C$30)*KFC!$C$5</f>
        <v>86.1</v>
      </c>
      <c r="W215" s="300">
        <f>(89.3*KFC!$B$30+KFC!$C$30)*KFC!$C$5</f>
        <v>89.3</v>
      </c>
      <c r="X215" s="300">
        <f>(92.5*KFC!$B$30+KFC!$C$30)*KFC!$C$5</f>
        <v>92.5</v>
      </c>
      <c r="Y215" s="300">
        <f>(95.7*KFC!$B$30+KFC!$C$30)*KFC!$C$5</f>
        <v>95.7</v>
      </c>
      <c r="Z215" s="300">
        <f>(99*KFC!$B$30+KFC!$C$30)*KFC!$C$5</f>
        <v>99</v>
      </c>
      <c r="AA215" s="300">
        <f>(102.2*KFC!$B$30+KFC!$C$30)*KFC!$C$5</f>
        <v>102.2</v>
      </c>
      <c r="AB215" s="300">
        <f>(105.4*KFC!$B$30+KFC!$C$30)*KFC!$C$5</f>
        <v>105.4</v>
      </c>
      <c r="AC215" s="304">
        <f>(108.6*KFC!$B$30+KFC!$C$30)*KFC!$C$5</f>
        <v>108.6</v>
      </c>
    </row>
    <row r="216" spans="1:29">
      <c r="A216" s="1538"/>
      <c r="B216" s="637">
        <v>1</v>
      </c>
      <c r="C216" s="303">
        <f>(26.3*KFC!$B$30+KFC!$C$30)*KFC!$C$5</f>
        <v>26.3</v>
      </c>
      <c r="D216" s="300">
        <f>(29.9*KFC!$B$30+KFC!$C$30)*KFC!$C$5</f>
        <v>29.9</v>
      </c>
      <c r="E216" s="300">
        <f>(33.4*KFC!$B$30+KFC!$C$30)*KFC!$C$5</f>
        <v>33.4</v>
      </c>
      <c r="F216" s="300">
        <f>(37*KFC!$B$30+KFC!$C$30)*KFC!$C$5</f>
        <v>37</v>
      </c>
      <c r="G216" s="300">
        <f>(40.5*KFC!$B$30+KFC!$C$30)*KFC!$C$5</f>
        <v>40.5</v>
      </c>
      <c r="H216" s="300">
        <f>(44.1*KFC!$B$30+KFC!$C$30)*KFC!$C$5</f>
        <v>44.1</v>
      </c>
      <c r="I216" s="300">
        <f>(47.6*KFC!$B$30+KFC!$C$30)*KFC!$C$5</f>
        <v>47.6</v>
      </c>
      <c r="J216" s="300">
        <f>(51.2*KFC!$B$30+KFC!$C$30)*KFC!$C$5</f>
        <v>51.2</v>
      </c>
      <c r="K216" s="300">
        <f>(54.7*KFC!$B$30+KFC!$C$30)*KFC!$C$5</f>
        <v>54.7</v>
      </c>
      <c r="L216" s="300">
        <f>(58.3*KFC!$B$30+KFC!$C$30)*KFC!$C$5</f>
        <v>58.3</v>
      </c>
      <c r="M216" s="300">
        <f>(61.9*KFC!$B$30+KFC!$C$30)*KFC!$C$5</f>
        <v>61.9</v>
      </c>
      <c r="N216" s="300">
        <f>(65.4*KFC!$B$30+KFC!$C$30)*KFC!$C$5</f>
        <v>65.400000000000006</v>
      </c>
      <c r="O216" s="300">
        <f>(69*KFC!$B$30+KFC!$C$30)*KFC!$C$5</f>
        <v>69</v>
      </c>
      <c r="P216" s="300">
        <f>(72.5*KFC!$B$30+KFC!$C$30)*KFC!$C$5</f>
        <v>72.5</v>
      </c>
      <c r="Q216" s="300">
        <f>(76.1*KFC!$B$30+KFC!$C$30)*KFC!$C$5</f>
        <v>76.099999999999994</v>
      </c>
      <c r="R216" s="300">
        <f>(79.6*KFC!$B$30+KFC!$C$30)*KFC!$C$5</f>
        <v>79.599999999999994</v>
      </c>
      <c r="S216" s="300">
        <f>(83.2*KFC!$B$30+KFC!$C$30)*KFC!$C$5</f>
        <v>83.2</v>
      </c>
      <c r="T216" s="300">
        <f>(86.7*KFC!$B$30+KFC!$C$30)*KFC!$C$5</f>
        <v>86.7</v>
      </c>
      <c r="U216" s="300">
        <f>(90.3*KFC!$B$30+KFC!$C$30)*KFC!$C$5</f>
        <v>90.3</v>
      </c>
      <c r="V216" s="300">
        <f>(93.8*KFC!$B$30+KFC!$C$30)*KFC!$C$5</f>
        <v>93.8</v>
      </c>
      <c r="W216" s="300">
        <f>(97.4*KFC!$B$30+KFC!$C$30)*KFC!$C$5</f>
        <v>97.4</v>
      </c>
      <c r="X216" s="300">
        <f>(100.9*KFC!$B$30+KFC!$C$30)*KFC!$C$5</f>
        <v>100.9</v>
      </c>
      <c r="Y216" s="300">
        <f>(104.5*KFC!$B$30+KFC!$C$30)*KFC!$C$5</f>
        <v>104.5</v>
      </c>
      <c r="Z216" s="300">
        <f>(108*KFC!$B$30+KFC!$C$30)*KFC!$C$5</f>
        <v>108</v>
      </c>
      <c r="AA216" s="300">
        <f>(111.6*KFC!$B$30+KFC!$C$30)*KFC!$C$5</f>
        <v>111.6</v>
      </c>
      <c r="AB216" s="300">
        <f>(115.1*KFC!$B$30+KFC!$C$30)*KFC!$C$5</f>
        <v>115.1</v>
      </c>
      <c r="AC216" s="304">
        <f>(118.7*KFC!$B$30+KFC!$C$30)*KFC!$C$5</f>
        <v>118.7</v>
      </c>
    </row>
    <row r="217" spans="1:29">
      <c r="A217" s="1538"/>
      <c r="B217" s="637">
        <v>1.1000000000000001</v>
      </c>
      <c r="C217" s="303">
        <f>(27.9*KFC!$B$30+KFC!$C$30)*KFC!$C$5</f>
        <v>27.9</v>
      </c>
      <c r="D217" s="300">
        <f>(31.7*KFC!$B$30+KFC!$C$30)*KFC!$C$5</f>
        <v>31.7</v>
      </c>
      <c r="E217" s="300">
        <f>(35.6*KFC!$B$30+KFC!$C$30)*KFC!$C$5</f>
        <v>35.6</v>
      </c>
      <c r="F217" s="300">
        <f>(39.5*KFC!$B$30+KFC!$C$30)*KFC!$C$5</f>
        <v>39.5</v>
      </c>
      <c r="G217" s="300">
        <f>(43.4*KFC!$B$30+KFC!$C$30)*KFC!$C$5</f>
        <v>43.4</v>
      </c>
      <c r="H217" s="300">
        <f>(47.3*KFC!$B$30+KFC!$C$30)*KFC!$C$5</f>
        <v>47.3</v>
      </c>
      <c r="I217" s="300">
        <f>(51.1*KFC!$B$30+KFC!$C$30)*KFC!$C$5</f>
        <v>51.1</v>
      </c>
      <c r="J217" s="300">
        <f>(55*KFC!$B$30+KFC!$C$30)*KFC!$C$5</f>
        <v>55</v>
      </c>
      <c r="K217" s="300">
        <f>(58.9*KFC!$B$30+KFC!$C$30)*KFC!$C$5</f>
        <v>58.9</v>
      </c>
      <c r="L217" s="300">
        <f>(62.8*KFC!$B$30+KFC!$C$30)*KFC!$C$5</f>
        <v>62.8</v>
      </c>
      <c r="M217" s="300">
        <f>(66.7*KFC!$B$30+KFC!$C$30)*KFC!$C$5</f>
        <v>66.7</v>
      </c>
      <c r="N217" s="300">
        <f>(70.5*KFC!$B$30+KFC!$C$30)*KFC!$C$5</f>
        <v>70.5</v>
      </c>
      <c r="O217" s="300">
        <f>(74.4*KFC!$B$30+KFC!$C$30)*KFC!$C$5</f>
        <v>74.400000000000006</v>
      </c>
      <c r="P217" s="300">
        <f>(78.3*KFC!$B$30+KFC!$C$30)*KFC!$C$5</f>
        <v>78.3</v>
      </c>
      <c r="Q217" s="300">
        <f>(82.2*KFC!$B$30+KFC!$C$30)*KFC!$C$5</f>
        <v>82.2</v>
      </c>
      <c r="R217" s="300">
        <f>(86.1*KFC!$B$30+KFC!$C$30)*KFC!$C$5</f>
        <v>86.1</v>
      </c>
      <c r="S217" s="300">
        <f>(89.9*KFC!$B$30+KFC!$C$30)*KFC!$C$5</f>
        <v>89.9</v>
      </c>
      <c r="T217" s="300">
        <f>(93.8*KFC!$B$30+KFC!$C$30)*KFC!$C$5</f>
        <v>93.8</v>
      </c>
      <c r="U217" s="300">
        <f>(97.7*KFC!$B$30+KFC!$C$30)*KFC!$C$5</f>
        <v>97.7</v>
      </c>
      <c r="V217" s="300">
        <f>(101.6*KFC!$B$30+KFC!$C$30)*KFC!$C$5</f>
        <v>101.6</v>
      </c>
      <c r="W217" s="300">
        <f>(105.5*KFC!$B$30+KFC!$C$30)*KFC!$C$5</f>
        <v>105.5</v>
      </c>
      <c r="X217" s="300">
        <f>(109.3*KFC!$B$30+KFC!$C$30)*KFC!$C$5</f>
        <v>109.3</v>
      </c>
      <c r="Y217" s="300">
        <f>(113.2*KFC!$B$30+KFC!$C$30)*KFC!$C$5</f>
        <v>113.2</v>
      </c>
      <c r="Z217" s="300">
        <f>(117.1*KFC!$B$30+KFC!$C$30)*KFC!$C$5</f>
        <v>117.1</v>
      </c>
      <c r="AA217" s="300">
        <f>(121*KFC!$B$30+KFC!$C$30)*KFC!$C$5</f>
        <v>121</v>
      </c>
      <c r="AB217" s="300">
        <f>(124.9*KFC!$B$30+KFC!$C$30)*KFC!$C$5</f>
        <v>124.9</v>
      </c>
      <c r="AC217" s="304">
        <f>(128.7*KFC!$B$30+KFC!$C$30)*KFC!$C$5</f>
        <v>128.69999999999999</v>
      </c>
    </row>
    <row r="218" spans="1:29">
      <c r="A218" s="1538"/>
      <c r="B218" s="637">
        <v>1.2</v>
      </c>
      <c r="C218" s="303">
        <f>(29.4*KFC!$B$30+KFC!$C$30)*KFC!$C$5</f>
        <v>29.4</v>
      </c>
      <c r="D218" s="300">
        <f>(33.6*KFC!$B$30+KFC!$C$30)*KFC!$C$5</f>
        <v>33.6</v>
      </c>
      <c r="E218" s="300">
        <f>(37.8*KFC!$B$30+KFC!$C$30)*KFC!$C$5</f>
        <v>37.799999999999997</v>
      </c>
      <c r="F218" s="300">
        <f>(42*KFC!$B$30+KFC!$C$30)*KFC!$C$5</f>
        <v>42</v>
      </c>
      <c r="G218" s="300">
        <f>(46.2*KFC!$B$30+KFC!$C$30)*KFC!$C$5</f>
        <v>46.2</v>
      </c>
      <c r="H218" s="300">
        <f>(50.4*KFC!$B$30+KFC!$C$30)*KFC!$C$5</f>
        <v>50.4</v>
      </c>
      <c r="I218" s="300">
        <f>(54.6*KFC!$B$30+KFC!$C$30)*KFC!$C$5</f>
        <v>54.6</v>
      </c>
      <c r="J218" s="300">
        <f>(58.8*KFC!$B$30+KFC!$C$30)*KFC!$C$5</f>
        <v>58.8</v>
      </c>
      <c r="K218" s="300">
        <f>(63*KFC!$B$30+KFC!$C$30)*KFC!$C$5</f>
        <v>63</v>
      </c>
      <c r="L218" s="300">
        <f>(67.3*KFC!$B$30+KFC!$C$30)*KFC!$C$5</f>
        <v>67.3</v>
      </c>
      <c r="M218" s="300">
        <f>(71.5*KFC!$B$30+KFC!$C$30)*KFC!$C$5</f>
        <v>71.5</v>
      </c>
      <c r="N218" s="300">
        <f>(75.7*KFC!$B$30+KFC!$C$30)*KFC!$C$5</f>
        <v>75.7</v>
      </c>
      <c r="O218" s="300">
        <f>(79.9*KFC!$B$30+KFC!$C$30)*KFC!$C$5</f>
        <v>79.900000000000006</v>
      </c>
      <c r="P218" s="300">
        <f>(84.1*KFC!$B$30+KFC!$C$30)*KFC!$C$5</f>
        <v>84.1</v>
      </c>
      <c r="Q218" s="300">
        <f>(88.3*KFC!$B$30+KFC!$C$30)*KFC!$C$5</f>
        <v>88.3</v>
      </c>
      <c r="R218" s="300">
        <f>(92.5*KFC!$B$30+KFC!$C$30)*KFC!$C$5</f>
        <v>92.5</v>
      </c>
      <c r="S218" s="300">
        <f>(96.7*KFC!$B$30+KFC!$C$30)*KFC!$C$5</f>
        <v>96.7</v>
      </c>
      <c r="T218" s="300">
        <f>(100.9*KFC!$B$30+KFC!$C$30)*KFC!$C$5</f>
        <v>100.9</v>
      </c>
      <c r="U218" s="300">
        <f>(105.1*KFC!$B$30+KFC!$C$30)*KFC!$C$5</f>
        <v>105.1</v>
      </c>
      <c r="V218" s="300">
        <f>(109.3*KFC!$B$30+KFC!$C$30)*KFC!$C$5</f>
        <v>109.3</v>
      </c>
      <c r="W218" s="300">
        <f>(113.6*KFC!$B$30+KFC!$C$30)*KFC!$C$5</f>
        <v>113.6</v>
      </c>
      <c r="X218" s="300">
        <f>(117.8*KFC!$B$30+KFC!$C$30)*KFC!$C$5</f>
        <v>117.8</v>
      </c>
      <c r="Y218" s="300">
        <f>(122*KFC!$B$30+KFC!$C$30)*KFC!$C$5</f>
        <v>122</v>
      </c>
      <c r="Z218" s="300">
        <f>(126.2*KFC!$B$30+KFC!$C$30)*KFC!$C$5</f>
        <v>126.2</v>
      </c>
      <c r="AA218" s="300">
        <f>(130.4*KFC!$B$30+KFC!$C$30)*KFC!$C$5</f>
        <v>130.4</v>
      </c>
      <c r="AB218" s="300">
        <f>(134.6*KFC!$B$30+KFC!$C$30)*KFC!$C$5</f>
        <v>134.6</v>
      </c>
      <c r="AC218" s="304">
        <f>(138.8*KFC!$B$30+KFC!$C$30)*KFC!$C$5</f>
        <v>138.80000000000001</v>
      </c>
    </row>
    <row r="219" spans="1:29">
      <c r="A219" s="1538"/>
      <c r="B219" s="637">
        <v>1.3</v>
      </c>
      <c r="C219" s="303">
        <f>(30.9*KFC!$B$30+KFC!$C$30)*KFC!$C$5</f>
        <v>30.9</v>
      </c>
      <c r="D219" s="300">
        <f>(35.4*KFC!$B$30+KFC!$C$30)*KFC!$C$5</f>
        <v>35.4</v>
      </c>
      <c r="E219" s="300">
        <f>(40*KFC!$B$30+KFC!$C$30)*KFC!$C$5</f>
        <v>40</v>
      </c>
      <c r="F219" s="300">
        <f>(44.5*KFC!$B$30+KFC!$C$30)*KFC!$C$5</f>
        <v>44.5</v>
      </c>
      <c r="G219" s="300">
        <f>(49.1*KFC!$B$30+KFC!$C$30)*KFC!$C$5</f>
        <v>49.1</v>
      </c>
      <c r="H219" s="300">
        <f>(53.6*KFC!$B$30+KFC!$C$30)*KFC!$C$5</f>
        <v>53.6</v>
      </c>
      <c r="I219" s="300">
        <f>(58.1*KFC!$B$30+KFC!$C$30)*KFC!$C$5</f>
        <v>58.1</v>
      </c>
      <c r="J219" s="300">
        <f>(62.7*KFC!$B$30+KFC!$C$30)*KFC!$C$5</f>
        <v>62.7</v>
      </c>
      <c r="K219" s="300">
        <f>(67.2*KFC!$B$30+KFC!$C$30)*KFC!$C$5</f>
        <v>67.2</v>
      </c>
      <c r="L219" s="300">
        <f>(71.7*KFC!$B$30+KFC!$C$30)*KFC!$C$5</f>
        <v>71.7</v>
      </c>
      <c r="M219" s="300">
        <f>(76.3*KFC!$B$30+KFC!$C$30)*KFC!$C$5</f>
        <v>76.3</v>
      </c>
      <c r="N219" s="300">
        <f>(80.8*KFC!$B$30+KFC!$C$30)*KFC!$C$5</f>
        <v>80.8</v>
      </c>
      <c r="O219" s="300">
        <f>(85.3*KFC!$B$30+KFC!$C$30)*KFC!$C$5</f>
        <v>85.3</v>
      </c>
      <c r="P219" s="300">
        <f>(89.9*KFC!$B$30+KFC!$C$30)*KFC!$C$5</f>
        <v>89.9</v>
      </c>
      <c r="Q219" s="300">
        <f>(94.4*KFC!$B$30+KFC!$C$30)*KFC!$C$5</f>
        <v>94.4</v>
      </c>
      <c r="R219" s="300">
        <f>(99*KFC!$B$30+KFC!$C$30)*KFC!$C$5</f>
        <v>99</v>
      </c>
      <c r="S219" s="300">
        <f>(103.5*KFC!$B$30+KFC!$C$30)*KFC!$C$5</f>
        <v>103.5</v>
      </c>
      <c r="T219" s="300">
        <f>(108*KFC!$B$30+KFC!$C$30)*KFC!$C$5</f>
        <v>108</v>
      </c>
      <c r="U219" s="300">
        <f>(112.6*KFC!$B$30+KFC!$C$30)*KFC!$C$5</f>
        <v>112.6</v>
      </c>
      <c r="V219" s="300">
        <f>(117.1*KFC!$B$30+KFC!$C$30)*KFC!$C$5</f>
        <v>117.1</v>
      </c>
      <c r="W219" s="300">
        <f>(121.6*KFC!$B$30+KFC!$C$30)*KFC!$C$5</f>
        <v>121.6</v>
      </c>
      <c r="X219" s="300">
        <f>(126.2*KFC!$B$30+KFC!$C$30)*KFC!$C$5</f>
        <v>126.2</v>
      </c>
      <c r="Y219" s="300">
        <f>(130.7*KFC!$B$30+KFC!$C$30)*KFC!$C$5</f>
        <v>130.69999999999999</v>
      </c>
      <c r="Z219" s="300">
        <f>(135.2*KFC!$B$30+KFC!$C$30)*KFC!$C$5</f>
        <v>135.19999999999999</v>
      </c>
      <c r="AA219" s="300">
        <f>(139.8*KFC!$B$30+KFC!$C$30)*KFC!$C$5</f>
        <v>139.80000000000001</v>
      </c>
      <c r="AB219" s="300">
        <f>(144.3*KFC!$B$30+KFC!$C$30)*KFC!$C$5</f>
        <v>144.30000000000001</v>
      </c>
      <c r="AC219" s="304">
        <f>(148.9*KFC!$B$30+KFC!$C$30)*KFC!$C$5</f>
        <v>148.9</v>
      </c>
    </row>
    <row r="220" spans="1:29">
      <c r="A220" s="1538"/>
      <c r="B220" s="637">
        <v>1.4</v>
      </c>
      <c r="C220" s="303">
        <f>(32.4*KFC!$B$30+KFC!$C$30)*KFC!$C$5</f>
        <v>32.4</v>
      </c>
      <c r="D220" s="300">
        <f>(37.3*KFC!$B$30+KFC!$C$30)*KFC!$C$5</f>
        <v>37.299999999999997</v>
      </c>
      <c r="E220" s="300">
        <f>(42.2*KFC!$B$30+KFC!$C$30)*KFC!$C$5</f>
        <v>42.2</v>
      </c>
      <c r="F220" s="300">
        <f>(47*KFC!$B$30+KFC!$C$30)*KFC!$C$5</f>
        <v>47</v>
      </c>
      <c r="G220" s="300">
        <f>(51.9*KFC!$B$30+KFC!$C$30)*KFC!$C$5</f>
        <v>51.9</v>
      </c>
      <c r="H220" s="300">
        <f>(56.8*KFC!$B$30+KFC!$C$30)*KFC!$C$5</f>
        <v>56.8</v>
      </c>
      <c r="I220" s="300">
        <f>(61.6*KFC!$B$30+KFC!$C$30)*KFC!$C$5</f>
        <v>61.6</v>
      </c>
      <c r="J220" s="300">
        <f>(66.5*KFC!$B$30+KFC!$C$30)*KFC!$C$5</f>
        <v>66.5</v>
      </c>
      <c r="K220" s="300">
        <f>(71.4*KFC!$B$30+KFC!$C$30)*KFC!$C$5</f>
        <v>71.400000000000006</v>
      </c>
      <c r="L220" s="300">
        <f>(76.2*KFC!$B$30+KFC!$C$30)*KFC!$C$5</f>
        <v>76.2</v>
      </c>
      <c r="M220" s="300">
        <f>(81.1*KFC!$B$30+KFC!$C$30)*KFC!$C$5</f>
        <v>81.099999999999994</v>
      </c>
      <c r="N220" s="300">
        <f>(85.9*KFC!$B$30+KFC!$C$30)*KFC!$C$5</f>
        <v>85.9</v>
      </c>
      <c r="O220" s="300">
        <f>(90.8*KFC!$B$30+KFC!$C$30)*KFC!$C$5</f>
        <v>90.8</v>
      </c>
      <c r="P220" s="300">
        <f>(95.7*KFC!$B$30+KFC!$C$30)*KFC!$C$5</f>
        <v>95.7</v>
      </c>
      <c r="Q220" s="300">
        <f>(100.5*KFC!$B$30+KFC!$C$30)*KFC!$C$5</f>
        <v>100.5</v>
      </c>
      <c r="R220" s="300">
        <f>(105.4*KFC!$B$30+KFC!$C$30)*KFC!$C$5</f>
        <v>105.4</v>
      </c>
      <c r="S220" s="300">
        <f>(110.3*KFC!$B$30+KFC!$C$30)*KFC!$C$5</f>
        <v>110.3</v>
      </c>
      <c r="T220" s="300">
        <f>(115.1*KFC!$B$30+KFC!$C$30)*KFC!$C$5</f>
        <v>115.1</v>
      </c>
      <c r="U220" s="300">
        <f>(120*KFC!$B$30+KFC!$C$30)*KFC!$C$5</f>
        <v>120</v>
      </c>
      <c r="V220" s="300">
        <f>(124.9*KFC!$B$30+KFC!$C$30)*KFC!$C$5</f>
        <v>124.9</v>
      </c>
      <c r="W220" s="300">
        <f>(129.7*KFC!$B$30+KFC!$C$30)*KFC!$C$5</f>
        <v>129.69999999999999</v>
      </c>
      <c r="X220" s="300">
        <f>(134.6*KFC!$B$30+KFC!$C$30)*KFC!$C$5</f>
        <v>134.6</v>
      </c>
      <c r="Y220" s="300">
        <f>(139.5*KFC!$B$30+KFC!$C$30)*KFC!$C$5</f>
        <v>139.5</v>
      </c>
      <c r="Z220" s="300">
        <f>(144.3*KFC!$B$30+KFC!$C$30)*KFC!$C$5</f>
        <v>144.30000000000001</v>
      </c>
      <c r="AA220" s="300">
        <f>(149.2*KFC!$B$30+KFC!$C$30)*KFC!$C$5</f>
        <v>149.19999999999999</v>
      </c>
      <c r="AB220" s="300">
        <f>(154*KFC!$B$30+KFC!$C$30)*KFC!$C$5</f>
        <v>154</v>
      </c>
      <c r="AC220" s="304">
        <f>(158.9*KFC!$B$30+KFC!$C$30)*KFC!$C$5</f>
        <v>158.9</v>
      </c>
    </row>
    <row r="221" spans="1:29">
      <c r="A221" s="1538"/>
      <c r="B221" s="637">
        <v>1.5</v>
      </c>
      <c r="C221" s="303">
        <f>(34*KFC!$B$30+KFC!$C$30)*KFC!$C$5</f>
        <v>34</v>
      </c>
      <c r="D221" s="300">
        <f>(39.2*KFC!$B$30+KFC!$C$30)*KFC!$C$5</f>
        <v>39.200000000000003</v>
      </c>
      <c r="E221" s="300">
        <f>(44.3*KFC!$B$30+KFC!$C$30)*KFC!$C$5</f>
        <v>44.3</v>
      </c>
      <c r="F221" s="300">
        <f>(49.5*KFC!$B$30+KFC!$C$30)*KFC!$C$5</f>
        <v>49.5</v>
      </c>
      <c r="G221" s="300">
        <f>(54.7*KFC!$B$30+KFC!$C$30)*KFC!$C$5</f>
        <v>54.7</v>
      </c>
      <c r="H221" s="300">
        <f>(59.9*KFC!$B$30+KFC!$C$30)*KFC!$C$5</f>
        <v>59.9</v>
      </c>
      <c r="I221" s="300">
        <f>(65.1*KFC!$B$30+KFC!$C$30)*KFC!$C$5</f>
        <v>65.099999999999994</v>
      </c>
      <c r="J221" s="300">
        <f>(70.3*KFC!$B$30+KFC!$C$30)*KFC!$C$5</f>
        <v>70.3</v>
      </c>
      <c r="K221" s="300">
        <f>(75.5*KFC!$B$30+KFC!$C$30)*KFC!$C$5</f>
        <v>75.5</v>
      </c>
      <c r="L221" s="300">
        <f>(80.7*KFC!$B$30+KFC!$C$30)*KFC!$C$5</f>
        <v>80.7</v>
      </c>
      <c r="M221" s="300">
        <f>(85.9*KFC!$B$30+KFC!$C$30)*KFC!$C$5</f>
        <v>85.9</v>
      </c>
      <c r="N221" s="300">
        <f>(91.1*KFC!$B$30+KFC!$C$30)*KFC!$C$5</f>
        <v>91.1</v>
      </c>
      <c r="O221" s="300">
        <f>(96.3*KFC!$B$30+KFC!$C$30)*KFC!$C$5</f>
        <v>96.3</v>
      </c>
      <c r="P221" s="300">
        <f>(101.5*KFC!$B$30+KFC!$C$30)*KFC!$C$5</f>
        <v>101.5</v>
      </c>
      <c r="Q221" s="300">
        <f>(106.7*KFC!$B$30+KFC!$C$30)*KFC!$C$5</f>
        <v>106.7</v>
      </c>
      <c r="R221" s="300">
        <f>(111.9*KFC!$B$30+KFC!$C$30)*KFC!$C$5</f>
        <v>111.9</v>
      </c>
      <c r="S221" s="300">
        <f>(117*KFC!$B$30+KFC!$C$30)*KFC!$C$5</f>
        <v>117</v>
      </c>
      <c r="T221" s="300">
        <f>(122.2*KFC!$B$30+KFC!$C$30)*KFC!$C$5</f>
        <v>122.2</v>
      </c>
      <c r="U221" s="300">
        <f>(127.4*KFC!$B$30+KFC!$C$30)*KFC!$C$5</f>
        <v>127.4</v>
      </c>
      <c r="V221" s="300">
        <f>(132.6*KFC!$B$30+KFC!$C$30)*KFC!$C$5</f>
        <v>132.6</v>
      </c>
      <c r="W221" s="300">
        <f>(137.8*KFC!$B$30+KFC!$C$30)*KFC!$C$5</f>
        <v>137.80000000000001</v>
      </c>
      <c r="X221" s="300">
        <f>(143*KFC!$B$30+KFC!$C$30)*KFC!$C$5</f>
        <v>143</v>
      </c>
      <c r="Y221" s="300">
        <f>(148.2*KFC!$B$30+KFC!$C$30)*KFC!$C$5</f>
        <v>148.19999999999999</v>
      </c>
      <c r="Z221" s="300">
        <f>(153.4*KFC!$B$30+KFC!$C$30)*KFC!$C$5</f>
        <v>153.4</v>
      </c>
      <c r="AA221" s="300">
        <f>(158.6*KFC!$B$30+KFC!$C$30)*KFC!$C$5</f>
        <v>158.6</v>
      </c>
      <c r="AB221" s="300">
        <f>(163.8*KFC!$B$30+KFC!$C$30)*KFC!$C$5</f>
        <v>163.80000000000001</v>
      </c>
      <c r="AC221" s="304">
        <f>(169*KFC!$B$30+KFC!$C$30)*KFC!$C$5</f>
        <v>169</v>
      </c>
    </row>
    <row r="222" spans="1:29">
      <c r="A222" s="1538"/>
      <c r="B222" s="637">
        <v>1.6</v>
      </c>
      <c r="C222" s="303">
        <f>(35.5*KFC!$B$30+KFC!$C$30)*KFC!$C$5</f>
        <v>35.5</v>
      </c>
      <c r="D222" s="300">
        <f>(41*KFC!$B$30+KFC!$C$30)*KFC!$C$5</f>
        <v>41</v>
      </c>
      <c r="E222" s="300">
        <f>(46.5*KFC!$B$30+KFC!$C$30)*KFC!$C$5</f>
        <v>46.5</v>
      </c>
      <c r="F222" s="300">
        <f>(52.1*KFC!$B$30+KFC!$C$30)*KFC!$C$5</f>
        <v>52.1</v>
      </c>
      <c r="G222" s="300">
        <f>(57.6*KFC!$B$30+KFC!$C$30)*KFC!$C$5</f>
        <v>57.6</v>
      </c>
      <c r="H222" s="300">
        <f>(63.1*KFC!$B$30+KFC!$C$30)*KFC!$C$5</f>
        <v>63.1</v>
      </c>
      <c r="I222" s="300">
        <f>(68.6*KFC!$B$30+KFC!$C$30)*KFC!$C$5</f>
        <v>68.599999999999994</v>
      </c>
      <c r="J222" s="300">
        <f>(74.1*KFC!$B$30+KFC!$C$30)*KFC!$C$5</f>
        <v>74.099999999999994</v>
      </c>
      <c r="K222" s="300">
        <f>(79.7*KFC!$B$30+KFC!$C$30)*KFC!$C$5</f>
        <v>79.7</v>
      </c>
      <c r="L222" s="300">
        <f>(85.2*KFC!$B$30+KFC!$C$30)*KFC!$C$5</f>
        <v>85.2</v>
      </c>
      <c r="M222" s="300">
        <f>(90.7*KFC!$B$30+KFC!$C$30)*KFC!$C$5</f>
        <v>90.7</v>
      </c>
      <c r="N222" s="300">
        <f>(96.2*KFC!$B$30+KFC!$C$30)*KFC!$C$5</f>
        <v>96.2</v>
      </c>
      <c r="O222" s="300">
        <f>(101.7*KFC!$B$30+KFC!$C$30)*KFC!$C$5</f>
        <v>101.7</v>
      </c>
      <c r="P222" s="300">
        <f>(107.3*KFC!$B$30+KFC!$C$30)*KFC!$C$5</f>
        <v>107.3</v>
      </c>
      <c r="Q222" s="300">
        <f>(112.8*KFC!$B$30+KFC!$C$30)*KFC!$C$5</f>
        <v>112.8</v>
      </c>
      <c r="R222" s="300">
        <f>(118.3*KFC!$B$30+KFC!$C$30)*KFC!$C$5</f>
        <v>118.3</v>
      </c>
      <c r="S222" s="300">
        <f>(123.8*KFC!$B$30+KFC!$C$30)*KFC!$C$5</f>
        <v>123.8</v>
      </c>
      <c r="T222" s="300">
        <f>(129.3*KFC!$B$30+KFC!$C$30)*KFC!$C$5</f>
        <v>129.30000000000001</v>
      </c>
      <c r="U222" s="300">
        <f>(134.9*KFC!$B$30+KFC!$C$30)*KFC!$C$5</f>
        <v>134.9</v>
      </c>
      <c r="V222" s="300">
        <f>(140.4*KFC!$B$30+KFC!$C$30)*KFC!$C$5</f>
        <v>140.4</v>
      </c>
      <c r="W222" s="300">
        <f>(145.9*KFC!$B$30+KFC!$C$30)*KFC!$C$5</f>
        <v>145.9</v>
      </c>
      <c r="X222" s="300">
        <f>(151.4*KFC!$B$30+KFC!$C$30)*KFC!$C$5</f>
        <v>151.4</v>
      </c>
      <c r="Y222" s="300">
        <f>(156.9*KFC!$B$30+KFC!$C$30)*KFC!$C$5</f>
        <v>156.9</v>
      </c>
      <c r="Z222" s="300">
        <f>(162.5*KFC!$B$30+KFC!$C$30)*KFC!$C$5</f>
        <v>162.5</v>
      </c>
      <c r="AA222" s="300">
        <f>(168*KFC!$B$30+KFC!$C$30)*KFC!$C$5</f>
        <v>168</v>
      </c>
      <c r="AB222" s="300">
        <f>(173.5*KFC!$B$30+KFC!$C$30)*KFC!$C$5</f>
        <v>173.5</v>
      </c>
      <c r="AC222" s="304">
        <f>(179*KFC!$B$30+KFC!$C$30)*KFC!$C$5</f>
        <v>179</v>
      </c>
    </row>
    <row r="223" spans="1:29">
      <c r="A223" s="1538"/>
      <c r="B223" s="637">
        <v>1.7</v>
      </c>
      <c r="C223" s="303">
        <f>(37*KFC!$B$30+KFC!$C$30)*KFC!$C$5</f>
        <v>37</v>
      </c>
      <c r="D223" s="300">
        <f>(42.9*KFC!$B$30+KFC!$C$30)*KFC!$C$5</f>
        <v>42.9</v>
      </c>
      <c r="E223" s="300">
        <f>(48.7*KFC!$B$30+KFC!$C$30)*KFC!$C$5</f>
        <v>48.7</v>
      </c>
      <c r="F223" s="300">
        <f>(54.6*KFC!$B$30+KFC!$C$30)*KFC!$C$5</f>
        <v>54.6</v>
      </c>
      <c r="G223" s="300">
        <f>(60.4*KFC!$B$30+KFC!$C$30)*KFC!$C$5</f>
        <v>60.4</v>
      </c>
      <c r="H223" s="300">
        <f>(66.3*KFC!$B$30+KFC!$C$30)*KFC!$C$5</f>
        <v>66.3</v>
      </c>
      <c r="I223" s="300">
        <f>(72.1*KFC!$B$30+KFC!$C$30)*KFC!$C$5</f>
        <v>72.099999999999994</v>
      </c>
      <c r="J223" s="300">
        <f>(78*KFC!$B$30+KFC!$C$30)*KFC!$C$5</f>
        <v>78</v>
      </c>
      <c r="K223" s="300">
        <f>(83.8*KFC!$B$30+KFC!$C$30)*KFC!$C$5</f>
        <v>83.8</v>
      </c>
      <c r="L223" s="300">
        <f>(89.7*KFC!$B$30+KFC!$C$30)*KFC!$C$5</f>
        <v>89.7</v>
      </c>
      <c r="M223" s="300">
        <f>(95.5*KFC!$B$30+KFC!$C$30)*KFC!$C$5</f>
        <v>95.5</v>
      </c>
      <c r="N223" s="300">
        <f>(101.4*KFC!$B$30+KFC!$C$30)*KFC!$C$5</f>
        <v>101.4</v>
      </c>
      <c r="O223" s="300">
        <f>(107.2*KFC!$B$30+KFC!$C$30)*KFC!$C$5</f>
        <v>107.2</v>
      </c>
      <c r="P223" s="300">
        <f>(113*KFC!$B$30+KFC!$C$30)*KFC!$C$5</f>
        <v>113</v>
      </c>
      <c r="Q223" s="300">
        <f>(118.9*KFC!$B$30+KFC!$C$30)*KFC!$C$5</f>
        <v>118.9</v>
      </c>
      <c r="R223" s="300">
        <f>(124.7*KFC!$B$30+KFC!$C$30)*KFC!$C$5</f>
        <v>124.7</v>
      </c>
      <c r="S223" s="300">
        <f>(130.6*KFC!$B$30+KFC!$C$30)*KFC!$C$5</f>
        <v>130.6</v>
      </c>
      <c r="T223" s="300">
        <f>(136.4*KFC!$B$30+KFC!$C$30)*KFC!$C$5</f>
        <v>136.4</v>
      </c>
      <c r="U223" s="300">
        <f>(142.3*KFC!$B$30+KFC!$C$30)*KFC!$C$5</f>
        <v>142.30000000000001</v>
      </c>
      <c r="V223" s="300">
        <f>(148.1*KFC!$B$30+KFC!$C$30)*KFC!$C$5</f>
        <v>148.1</v>
      </c>
      <c r="W223" s="300">
        <f>(154*KFC!$B$30+KFC!$C$30)*KFC!$C$5</f>
        <v>154</v>
      </c>
      <c r="X223" s="300">
        <f>(159.8*KFC!$B$30+KFC!$C$30)*KFC!$C$5</f>
        <v>159.80000000000001</v>
      </c>
      <c r="Y223" s="300">
        <f>(165.7*KFC!$B$30+KFC!$C$30)*KFC!$C$5</f>
        <v>165.7</v>
      </c>
      <c r="Z223" s="300">
        <f>(171.5*KFC!$B$30+KFC!$C$30)*KFC!$C$5</f>
        <v>171.5</v>
      </c>
      <c r="AA223" s="300">
        <f>(177.4*KFC!$B$30+KFC!$C$30)*KFC!$C$5</f>
        <v>177.4</v>
      </c>
      <c r="AB223" s="300">
        <f>(183.2*KFC!$B$30+KFC!$C$30)*KFC!$C$5</f>
        <v>183.2</v>
      </c>
      <c r="AC223" s="304">
        <f>(189.1*KFC!$B$30+KFC!$C$30)*KFC!$C$5</f>
        <v>189.1</v>
      </c>
    </row>
    <row r="224" spans="1:29">
      <c r="A224" s="1538"/>
      <c r="B224" s="637">
        <v>1.8</v>
      </c>
      <c r="C224" s="303">
        <f>(38.5*KFC!$B$30+KFC!$C$30)*KFC!$C$5</f>
        <v>38.5</v>
      </c>
      <c r="D224" s="300">
        <f>(44.7*KFC!$B$30+KFC!$C$30)*KFC!$C$5</f>
        <v>44.7</v>
      </c>
      <c r="E224" s="300">
        <f>(50.9*KFC!$B$30+KFC!$C$30)*KFC!$C$5</f>
        <v>50.9</v>
      </c>
      <c r="F224" s="300">
        <f>(57.1*KFC!$B$30+KFC!$C$30)*KFC!$C$5</f>
        <v>57.1</v>
      </c>
      <c r="G224" s="300">
        <f>(63.3*KFC!$B$30+KFC!$C$30)*KFC!$C$5</f>
        <v>63.3</v>
      </c>
      <c r="H224" s="300">
        <f>(69.4*KFC!$B$30+KFC!$C$30)*KFC!$C$5</f>
        <v>69.400000000000006</v>
      </c>
      <c r="I224" s="300">
        <f>(75.6*KFC!$B$30+KFC!$C$30)*KFC!$C$5</f>
        <v>75.599999999999994</v>
      </c>
      <c r="J224" s="300">
        <f>(81.8*KFC!$B$30+KFC!$C$30)*KFC!$C$5</f>
        <v>81.8</v>
      </c>
      <c r="K224" s="300">
        <f>(88*KFC!$B$30+KFC!$C$30)*KFC!$C$5</f>
        <v>88</v>
      </c>
      <c r="L224" s="300">
        <f>(94.1*KFC!$B$30+KFC!$C$30)*KFC!$C$5</f>
        <v>94.1</v>
      </c>
      <c r="M224" s="300">
        <f>(100.3*KFC!$B$30+KFC!$C$30)*KFC!$C$5</f>
        <v>100.3</v>
      </c>
      <c r="N224" s="300">
        <f>(106.5*KFC!$B$30+KFC!$C$30)*KFC!$C$5</f>
        <v>106.5</v>
      </c>
      <c r="O224" s="300">
        <f>(112.7*KFC!$B$30+KFC!$C$30)*KFC!$C$5</f>
        <v>112.7</v>
      </c>
      <c r="P224" s="300">
        <f>(118.8*KFC!$B$30+KFC!$C$30)*KFC!$C$5</f>
        <v>118.8</v>
      </c>
      <c r="Q224" s="300">
        <f>(125*KFC!$B$30+KFC!$C$30)*KFC!$C$5</f>
        <v>125</v>
      </c>
      <c r="R224" s="300">
        <f>(131.2*KFC!$B$30+KFC!$C$30)*KFC!$C$5</f>
        <v>131.19999999999999</v>
      </c>
      <c r="S224" s="300">
        <f>(137.4*KFC!$B$30+KFC!$C$30)*KFC!$C$5</f>
        <v>137.4</v>
      </c>
      <c r="T224" s="300">
        <f>(143.5*KFC!$B$30+KFC!$C$30)*KFC!$C$5</f>
        <v>143.5</v>
      </c>
      <c r="U224" s="300">
        <f>(149.7*KFC!$B$30+KFC!$C$30)*KFC!$C$5</f>
        <v>149.69999999999999</v>
      </c>
      <c r="V224" s="300">
        <f>(155.9*KFC!$B$30+KFC!$C$30)*KFC!$C$5</f>
        <v>155.9</v>
      </c>
      <c r="W224" s="300">
        <f>(162.1*KFC!$B$30+KFC!$C$30)*KFC!$C$5</f>
        <v>162.1</v>
      </c>
      <c r="X224" s="300">
        <f>(168.3*KFC!$B$30+KFC!$C$30)*KFC!$C$5</f>
        <v>168.3</v>
      </c>
      <c r="Y224" s="300">
        <f>(174.4*KFC!$B$30+KFC!$C$30)*KFC!$C$5</f>
        <v>174.4</v>
      </c>
      <c r="Z224" s="300">
        <f>(180.6*KFC!$B$30+KFC!$C$30)*KFC!$C$5</f>
        <v>180.6</v>
      </c>
      <c r="AA224" s="300">
        <f>(186.8*KFC!$B$30+KFC!$C$30)*KFC!$C$5</f>
        <v>186.8</v>
      </c>
      <c r="AB224" s="300">
        <f>(193*KFC!$B$30+KFC!$C$30)*KFC!$C$5</f>
        <v>193</v>
      </c>
      <c r="AC224" s="304">
        <f>(199.1*KFC!$B$30+KFC!$C$30)*KFC!$C$5</f>
        <v>199.1</v>
      </c>
    </row>
    <row r="225" spans="1:29">
      <c r="A225" s="1538"/>
      <c r="B225" s="637">
        <v>1.9</v>
      </c>
      <c r="C225" s="303">
        <f>(40.1*KFC!$B$30+KFC!$C$30)*KFC!$C$5</f>
        <v>40.1</v>
      </c>
      <c r="D225" s="300">
        <f>(46.6*KFC!$B$30+KFC!$C$30)*KFC!$C$5</f>
        <v>46.6</v>
      </c>
      <c r="E225" s="300">
        <f>(53.1*KFC!$B$30+KFC!$C$30)*KFC!$C$5</f>
        <v>53.1</v>
      </c>
      <c r="F225" s="300">
        <f>(59.6*KFC!$B$30+KFC!$C$30)*KFC!$C$5</f>
        <v>59.6</v>
      </c>
      <c r="G225" s="300">
        <f>(66.1*KFC!$B$30+KFC!$C$30)*KFC!$C$5</f>
        <v>66.099999999999994</v>
      </c>
      <c r="H225" s="300">
        <f>(72.6*KFC!$B$30+KFC!$C$30)*KFC!$C$5</f>
        <v>72.599999999999994</v>
      </c>
      <c r="I225" s="300">
        <f>(79.1*KFC!$B$30+KFC!$C$30)*KFC!$C$5</f>
        <v>79.099999999999994</v>
      </c>
      <c r="J225" s="300">
        <f>(85.6*KFC!$B$30+KFC!$C$30)*KFC!$C$5</f>
        <v>85.6</v>
      </c>
      <c r="K225" s="300">
        <f>(92.1*KFC!$B$30+KFC!$C$30)*KFC!$C$5</f>
        <v>92.1</v>
      </c>
      <c r="L225" s="300">
        <f>(98.6*KFC!$B$30+KFC!$C$30)*KFC!$C$5</f>
        <v>98.6</v>
      </c>
      <c r="M225" s="300">
        <f>(105.1*KFC!$B$30+KFC!$C$30)*KFC!$C$5</f>
        <v>105.1</v>
      </c>
      <c r="N225" s="300">
        <f>(111.6*KFC!$B$30+KFC!$C$30)*KFC!$C$5</f>
        <v>111.6</v>
      </c>
      <c r="O225" s="300">
        <f>(118.1*KFC!$B$30+KFC!$C$30)*KFC!$C$5</f>
        <v>118.1</v>
      </c>
      <c r="P225" s="300">
        <f>(124.6*KFC!$B$30+KFC!$C$30)*KFC!$C$5</f>
        <v>124.6</v>
      </c>
      <c r="Q225" s="300">
        <f>(131.1*KFC!$B$30+KFC!$C$30)*KFC!$C$5</f>
        <v>131.1</v>
      </c>
      <c r="R225" s="300">
        <f>(137.6*KFC!$B$30+KFC!$C$30)*KFC!$C$5</f>
        <v>137.6</v>
      </c>
      <c r="S225" s="300">
        <f>(144.1*KFC!$B$30+KFC!$C$30)*KFC!$C$5</f>
        <v>144.1</v>
      </c>
      <c r="T225" s="300">
        <f>(150.6*KFC!$B$30+KFC!$C$30)*KFC!$C$5</f>
        <v>150.6</v>
      </c>
      <c r="U225" s="300">
        <f>(157.2*KFC!$B$30+KFC!$C$30)*KFC!$C$5</f>
        <v>157.19999999999999</v>
      </c>
      <c r="V225" s="300">
        <f>(163.7*KFC!$B$30+KFC!$C$30)*KFC!$C$5</f>
        <v>163.69999999999999</v>
      </c>
      <c r="W225" s="300">
        <f>(170.2*KFC!$B$30+KFC!$C$30)*KFC!$C$5</f>
        <v>170.2</v>
      </c>
      <c r="X225" s="300">
        <f>(176.7*KFC!$B$30+KFC!$C$30)*KFC!$C$5</f>
        <v>176.7</v>
      </c>
      <c r="Y225" s="300">
        <f>(183.2*KFC!$B$30+KFC!$C$30)*KFC!$C$5</f>
        <v>183.2</v>
      </c>
      <c r="Z225" s="300">
        <f>(189.7*KFC!$B$30+KFC!$C$30)*KFC!$C$5</f>
        <v>189.7</v>
      </c>
      <c r="AA225" s="300">
        <f>(196.2*KFC!$B$30+KFC!$C$30)*KFC!$C$5</f>
        <v>196.2</v>
      </c>
      <c r="AB225" s="300">
        <f>(202.7*KFC!$B$30+KFC!$C$30)*KFC!$C$5</f>
        <v>202.7</v>
      </c>
      <c r="AC225" s="304">
        <f>(209.2*KFC!$B$30+KFC!$C$30)*KFC!$C$5</f>
        <v>209.2</v>
      </c>
    </row>
    <row r="226" spans="1:29">
      <c r="A226" s="1538"/>
      <c r="B226" s="637">
        <v>2</v>
      </c>
      <c r="C226" s="303">
        <f>(41.6*KFC!$B$30+KFC!$C$30)*KFC!$C$5</f>
        <v>41.6</v>
      </c>
      <c r="D226" s="300">
        <f>(48.4*KFC!$B$30+KFC!$C$30)*KFC!$C$5</f>
        <v>48.4</v>
      </c>
      <c r="E226" s="300">
        <f>(55.3*KFC!$B$30+KFC!$C$30)*KFC!$C$5</f>
        <v>55.3</v>
      </c>
      <c r="F226" s="300">
        <f>(62.1*KFC!$B$30+KFC!$C$30)*KFC!$C$5</f>
        <v>62.1</v>
      </c>
      <c r="G226" s="300">
        <f>(68.9*KFC!$B$30+KFC!$C$30)*KFC!$C$5</f>
        <v>68.900000000000006</v>
      </c>
      <c r="H226" s="300">
        <f>(75.8*KFC!$B$30+KFC!$C$30)*KFC!$C$5</f>
        <v>75.8</v>
      </c>
      <c r="I226" s="300">
        <f>(82.6*KFC!$B$30+KFC!$C$30)*KFC!$C$5</f>
        <v>82.6</v>
      </c>
      <c r="J226" s="300">
        <f>(89.4*KFC!$B$30+KFC!$C$30)*KFC!$C$5</f>
        <v>89.4</v>
      </c>
      <c r="K226" s="300">
        <f>(96.3*KFC!$B$30+KFC!$C$30)*KFC!$C$5</f>
        <v>96.3</v>
      </c>
      <c r="L226" s="300">
        <f>(103.1*KFC!$B$30+KFC!$C$30)*KFC!$C$5</f>
        <v>103.1</v>
      </c>
      <c r="M226" s="300">
        <f>(109.9*KFC!$B$30+KFC!$C$30)*KFC!$C$5</f>
        <v>109.9</v>
      </c>
      <c r="N226" s="300">
        <f>(116.8*KFC!$B$30+KFC!$C$30)*KFC!$C$5</f>
        <v>116.8</v>
      </c>
      <c r="O226" s="300">
        <f>(123.6*KFC!$B$30+KFC!$C$30)*KFC!$C$5</f>
        <v>123.6</v>
      </c>
      <c r="P226" s="300">
        <f>(130.4*KFC!$B$30+KFC!$C$30)*KFC!$C$5</f>
        <v>130.4</v>
      </c>
      <c r="Q226" s="300">
        <f>(137.3*KFC!$B$30+KFC!$C$30)*KFC!$C$5</f>
        <v>137.30000000000001</v>
      </c>
      <c r="R226" s="300">
        <f>(144.1*KFC!$B$30+KFC!$C$30)*KFC!$C$5</f>
        <v>144.1</v>
      </c>
      <c r="S226" s="300">
        <f>(150.9*KFC!$B$30+KFC!$C$30)*KFC!$C$5</f>
        <v>150.9</v>
      </c>
      <c r="T226" s="300">
        <f>(157.8*KFC!$B$30+KFC!$C$30)*KFC!$C$5</f>
        <v>157.80000000000001</v>
      </c>
      <c r="U226" s="300">
        <f>(164.6*KFC!$B$30+KFC!$C$30)*KFC!$C$5</f>
        <v>164.6</v>
      </c>
      <c r="V226" s="300">
        <f>(171.4*KFC!$B$30+KFC!$C$30)*KFC!$C$5</f>
        <v>171.4</v>
      </c>
      <c r="W226" s="300">
        <f>(178.2*KFC!$B$30+KFC!$C$30)*KFC!$C$5</f>
        <v>178.2</v>
      </c>
      <c r="X226" s="300">
        <f>(185.1*KFC!$B$30+KFC!$C$30)*KFC!$C$5</f>
        <v>185.1</v>
      </c>
      <c r="Y226" s="300">
        <f>(191.9*KFC!$B$30+KFC!$C$30)*KFC!$C$5</f>
        <v>191.9</v>
      </c>
      <c r="Z226" s="300">
        <f>(198.7*KFC!$B$30+KFC!$C$30)*KFC!$C$5</f>
        <v>198.7</v>
      </c>
      <c r="AA226" s="300">
        <f>(205.6*KFC!$B$30+KFC!$C$30)*KFC!$C$5</f>
        <v>205.6</v>
      </c>
      <c r="AB226" s="300">
        <f>(212.4*KFC!$B$30+KFC!$C$30)*KFC!$C$5</f>
        <v>212.4</v>
      </c>
      <c r="AC226" s="304">
        <f>(219.2*KFC!$B$30+KFC!$C$30)*KFC!$C$5</f>
        <v>219.2</v>
      </c>
    </row>
    <row r="227" spans="1:29">
      <c r="A227" s="1538"/>
      <c r="B227" s="637">
        <v>2.1</v>
      </c>
      <c r="C227" s="303">
        <f>(43.1*KFC!$B$30+KFC!$C$30)*KFC!$C$5</f>
        <v>43.1</v>
      </c>
      <c r="D227" s="300">
        <f>(50.3*KFC!$B$30+KFC!$C$30)*KFC!$C$5</f>
        <v>50.3</v>
      </c>
      <c r="E227" s="300">
        <f>(57.4*KFC!$B$30+KFC!$C$30)*KFC!$C$5</f>
        <v>57.4</v>
      </c>
      <c r="F227" s="300">
        <f>(64.6*KFC!$B$30+KFC!$C$30)*KFC!$C$5</f>
        <v>64.599999999999994</v>
      </c>
      <c r="G227" s="300">
        <f>(71.8*KFC!$B$30+KFC!$C$30)*KFC!$C$5</f>
        <v>71.8</v>
      </c>
      <c r="H227" s="300">
        <f>(78.9*KFC!$B$30+KFC!$C$30)*KFC!$C$5</f>
        <v>78.900000000000006</v>
      </c>
      <c r="I227" s="300">
        <f>(86.1*KFC!$B$30+KFC!$C$30)*KFC!$C$5</f>
        <v>86.1</v>
      </c>
      <c r="J227" s="300">
        <f>(93.3*KFC!$B$30+KFC!$C$30)*KFC!$C$5</f>
        <v>93.3</v>
      </c>
      <c r="K227" s="300">
        <f>(100.4*KFC!$B$30+KFC!$C$30)*KFC!$C$5</f>
        <v>100.4</v>
      </c>
      <c r="L227" s="300">
        <f>(107.6*KFC!$B$30+KFC!$C$30)*KFC!$C$5</f>
        <v>107.6</v>
      </c>
      <c r="M227" s="300">
        <f>(114.7*KFC!$B$30+KFC!$C$30)*KFC!$C$5</f>
        <v>114.7</v>
      </c>
      <c r="N227" s="300">
        <f>(121.9*KFC!$B$30+KFC!$C$30)*KFC!$C$5</f>
        <v>121.9</v>
      </c>
      <c r="O227" s="300">
        <f>(129.1*KFC!$B$30+KFC!$C$30)*KFC!$C$5</f>
        <v>129.1</v>
      </c>
      <c r="P227" s="300">
        <f>(136.2*KFC!$B$30+KFC!$C$30)*KFC!$C$5</f>
        <v>136.19999999999999</v>
      </c>
      <c r="Q227" s="300">
        <f>(143.4*KFC!$B$30+KFC!$C$30)*KFC!$C$5</f>
        <v>143.4</v>
      </c>
      <c r="R227" s="300">
        <f>(150.5*KFC!$B$30+KFC!$C$30)*KFC!$C$5</f>
        <v>150.5</v>
      </c>
      <c r="S227" s="300">
        <f>(157.7*KFC!$B$30+KFC!$C$30)*KFC!$C$5</f>
        <v>157.69999999999999</v>
      </c>
      <c r="T227" s="300">
        <f>(164.9*KFC!$B$30+KFC!$C$30)*KFC!$C$5</f>
        <v>164.9</v>
      </c>
      <c r="U227" s="300">
        <f>(172*KFC!$B$30+KFC!$C$30)*KFC!$C$5</f>
        <v>172</v>
      </c>
      <c r="V227" s="300">
        <f>(179.2*KFC!$B$30+KFC!$C$30)*KFC!$C$5</f>
        <v>179.2</v>
      </c>
      <c r="W227" s="300">
        <f>(186.3*KFC!$B$30+KFC!$C$30)*KFC!$C$5</f>
        <v>186.3</v>
      </c>
      <c r="X227" s="300">
        <f>(193.5*KFC!$B$30+KFC!$C$30)*KFC!$C$5</f>
        <v>193.5</v>
      </c>
      <c r="Y227" s="300">
        <f>(200.7*KFC!$B$30+KFC!$C$30)*KFC!$C$5</f>
        <v>200.7</v>
      </c>
      <c r="Z227" s="300">
        <f>(207.8*KFC!$B$30+KFC!$C$30)*KFC!$C$5</f>
        <v>207.8</v>
      </c>
      <c r="AA227" s="300">
        <f>(215*KFC!$B$30+KFC!$C$30)*KFC!$C$5</f>
        <v>215</v>
      </c>
      <c r="AB227" s="300">
        <f>(222.1*KFC!$B$30+KFC!$C$30)*KFC!$C$5</f>
        <v>222.1</v>
      </c>
      <c r="AC227" s="304">
        <f>(229.3*KFC!$B$30+KFC!$C$30)*KFC!$C$5</f>
        <v>229.3</v>
      </c>
    </row>
    <row r="228" spans="1:29">
      <c r="A228" s="1538"/>
      <c r="B228" s="637">
        <v>2.2000000000000002</v>
      </c>
      <c r="C228" s="303">
        <f>(44.7*KFC!$B$30+KFC!$C$30)*KFC!$C$5</f>
        <v>44.7</v>
      </c>
      <c r="D228" s="300">
        <f>(52.1*KFC!$B$30+KFC!$C$30)*KFC!$C$5</f>
        <v>52.1</v>
      </c>
      <c r="E228" s="300">
        <f>(59.6*KFC!$B$30+KFC!$C$30)*KFC!$C$5</f>
        <v>59.6</v>
      </c>
      <c r="F228" s="300">
        <f>(67.1*KFC!$B$30+KFC!$C$30)*KFC!$C$5</f>
        <v>67.099999999999994</v>
      </c>
      <c r="G228" s="300">
        <f>(74.6*KFC!$B$30+KFC!$C$30)*KFC!$C$5</f>
        <v>74.599999999999994</v>
      </c>
      <c r="H228" s="300">
        <f>(82.1*KFC!$B$30+KFC!$C$30)*KFC!$C$5</f>
        <v>82.1</v>
      </c>
      <c r="I228" s="300">
        <f>(89.6*KFC!$B$30+KFC!$C$30)*KFC!$C$5</f>
        <v>89.6</v>
      </c>
      <c r="J228" s="300">
        <f>(97.1*KFC!$B$30+KFC!$C$30)*KFC!$C$5</f>
        <v>97.1</v>
      </c>
      <c r="K228" s="300">
        <f>(104.6*KFC!$B$30+KFC!$C$30)*KFC!$C$5</f>
        <v>104.6</v>
      </c>
      <c r="L228" s="300">
        <f>(112.1*KFC!$B$30+KFC!$C$30)*KFC!$C$5</f>
        <v>112.1</v>
      </c>
      <c r="M228" s="300">
        <f>(119.5*KFC!$B$30+KFC!$C$30)*KFC!$C$5</f>
        <v>119.5</v>
      </c>
      <c r="N228" s="300">
        <f>(127*KFC!$B$30+KFC!$C$30)*KFC!$C$5</f>
        <v>127</v>
      </c>
      <c r="O228" s="300">
        <f>(134.5*KFC!$B$30+KFC!$C$30)*KFC!$C$5</f>
        <v>134.5</v>
      </c>
      <c r="P228" s="300">
        <f>(142*KFC!$B$30+KFC!$C$30)*KFC!$C$5</f>
        <v>142</v>
      </c>
      <c r="Q228" s="300">
        <f>(149.5*KFC!$B$30+KFC!$C$30)*KFC!$C$5</f>
        <v>149.5</v>
      </c>
      <c r="R228" s="300">
        <f>(157*KFC!$B$30+KFC!$C$30)*KFC!$C$5</f>
        <v>157</v>
      </c>
      <c r="S228" s="300">
        <f>(164.5*KFC!$B$30+KFC!$C$30)*KFC!$C$5</f>
        <v>164.5</v>
      </c>
      <c r="T228" s="300">
        <f>(172*KFC!$B$30+KFC!$C$30)*KFC!$C$5</f>
        <v>172</v>
      </c>
      <c r="U228" s="300">
        <f>(179.4*KFC!$B$30+KFC!$C$30)*KFC!$C$5</f>
        <v>179.4</v>
      </c>
      <c r="V228" s="300">
        <f>(186.9*KFC!$B$30+KFC!$C$30)*KFC!$C$5</f>
        <v>186.9</v>
      </c>
      <c r="W228" s="300">
        <f>(194.4*KFC!$B$30+KFC!$C$30)*KFC!$C$5</f>
        <v>194.4</v>
      </c>
      <c r="X228" s="300">
        <f>(201.9*KFC!$B$30+KFC!$C$30)*KFC!$C$5</f>
        <v>201.9</v>
      </c>
      <c r="Y228" s="300">
        <f>(209.4*KFC!$B$30+KFC!$C$30)*KFC!$C$5</f>
        <v>209.4</v>
      </c>
      <c r="Z228" s="300">
        <f>(216.9*KFC!$B$30+KFC!$C$30)*KFC!$C$5</f>
        <v>216.9</v>
      </c>
      <c r="AA228" s="300">
        <f>(224.4*KFC!$B$30+KFC!$C$30)*KFC!$C$5</f>
        <v>224.4</v>
      </c>
      <c r="AB228" s="300">
        <f>(231.9*KFC!$B$30+KFC!$C$30)*KFC!$C$5</f>
        <v>231.9</v>
      </c>
      <c r="AC228" s="304">
        <f>(239.4*KFC!$B$30+KFC!$C$30)*KFC!$C$5</f>
        <v>239.4</v>
      </c>
    </row>
    <row r="229" spans="1:29">
      <c r="A229" s="1538"/>
      <c r="B229" s="637">
        <v>2.2999999999999998</v>
      </c>
      <c r="C229" s="303">
        <f>(46.2*KFC!$B$30+KFC!$C$30)*KFC!$C$5</f>
        <v>46.2</v>
      </c>
      <c r="D229" s="300">
        <f>(54*KFC!$B$30+KFC!$C$30)*KFC!$C$5</f>
        <v>54</v>
      </c>
      <c r="E229" s="300">
        <f>(61.8*KFC!$B$30+KFC!$C$30)*KFC!$C$5</f>
        <v>61.8</v>
      </c>
      <c r="F229" s="300">
        <f>(69.6*KFC!$B$30+KFC!$C$30)*KFC!$C$5</f>
        <v>69.599999999999994</v>
      </c>
      <c r="G229" s="300">
        <f>(77.4*KFC!$B$30+KFC!$C$30)*KFC!$C$5</f>
        <v>77.400000000000006</v>
      </c>
      <c r="H229" s="300">
        <f>(85.3*KFC!$B$30+KFC!$C$30)*KFC!$C$5</f>
        <v>85.3</v>
      </c>
      <c r="I229" s="300">
        <f>(93.1*KFC!$B$30+KFC!$C$30)*KFC!$C$5</f>
        <v>93.1</v>
      </c>
      <c r="J229" s="300">
        <f>(100.9*KFC!$B$30+KFC!$C$30)*KFC!$C$5</f>
        <v>100.9</v>
      </c>
      <c r="K229" s="300">
        <f>(108.7*KFC!$B$30+KFC!$C$30)*KFC!$C$5</f>
        <v>108.7</v>
      </c>
      <c r="L229" s="300">
        <f>(116.5*KFC!$B$30+KFC!$C$30)*KFC!$C$5</f>
        <v>116.5</v>
      </c>
      <c r="M229" s="300">
        <f>(124.3*KFC!$B$30+KFC!$C$30)*KFC!$C$5</f>
        <v>124.3</v>
      </c>
      <c r="N229" s="300">
        <f>(132.2*KFC!$B$30+KFC!$C$30)*KFC!$C$5</f>
        <v>132.19999999999999</v>
      </c>
      <c r="O229" s="300">
        <f>(140*KFC!$B$30+KFC!$C$30)*KFC!$C$5</f>
        <v>140</v>
      </c>
      <c r="P229" s="300">
        <f>(147.8*KFC!$B$30+KFC!$C$30)*KFC!$C$5</f>
        <v>147.80000000000001</v>
      </c>
      <c r="Q229" s="300">
        <f>(155.6*KFC!$B$30+KFC!$C$30)*KFC!$C$5</f>
        <v>155.6</v>
      </c>
      <c r="R229" s="300">
        <f>(163.4*KFC!$B$30+KFC!$C$30)*KFC!$C$5</f>
        <v>163.4</v>
      </c>
      <c r="S229" s="300">
        <f>(171.2*KFC!$B$30+KFC!$C$30)*KFC!$C$5</f>
        <v>171.2</v>
      </c>
      <c r="T229" s="300">
        <f>(179.1*KFC!$B$30+KFC!$C$30)*KFC!$C$5</f>
        <v>179.1</v>
      </c>
      <c r="U229" s="300">
        <f>(186.9*KFC!$B$30+KFC!$C$30)*KFC!$C$5</f>
        <v>186.9</v>
      </c>
      <c r="V229" s="300">
        <f>(194.7*KFC!$B$30+KFC!$C$30)*KFC!$C$5</f>
        <v>194.7</v>
      </c>
      <c r="W229" s="300">
        <f>(202.5*KFC!$B$30+KFC!$C$30)*KFC!$C$5</f>
        <v>202.5</v>
      </c>
      <c r="X229" s="300">
        <f>(210.3*KFC!$B$30+KFC!$C$30)*KFC!$C$5</f>
        <v>210.3</v>
      </c>
      <c r="Y229" s="300">
        <f>(218.1*KFC!$B$30+KFC!$C$30)*KFC!$C$5</f>
        <v>218.1</v>
      </c>
      <c r="Z229" s="300">
        <f>(226*KFC!$B$30+KFC!$C$30)*KFC!$C$5</f>
        <v>226</v>
      </c>
      <c r="AA229" s="300">
        <f>(233.8*KFC!$B$30+KFC!$C$30)*KFC!$C$5</f>
        <v>233.8</v>
      </c>
      <c r="AB229" s="300">
        <f>(241.6*KFC!$B$30+KFC!$C$30)*KFC!$C$5</f>
        <v>241.6</v>
      </c>
      <c r="AC229" s="304">
        <f>(249.4*KFC!$B$30+KFC!$C$30)*KFC!$C$5</f>
        <v>249.4</v>
      </c>
    </row>
    <row r="230" spans="1:29">
      <c r="A230" s="1538"/>
      <c r="B230" s="637">
        <v>2.4</v>
      </c>
      <c r="C230" s="303">
        <f>(47.7*KFC!$B$30+KFC!$C$30)*KFC!$C$5</f>
        <v>47.7</v>
      </c>
      <c r="D230" s="300">
        <f>(55.9*KFC!$B$30+KFC!$C$30)*KFC!$C$5</f>
        <v>55.9</v>
      </c>
      <c r="E230" s="300">
        <f>(64*KFC!$B$30+KFC!$C$30)*KFC!$C$5</f>
        <v>64</v>
      </c>
      <c r="F230" s="300">
        <f>(72.1*KFC!$B$30+KFC!$C$30)*KFC!$C$5</f>
        <v>72.099999999999994</v>
      </c>
      <c r="G230" s="300">
        <f>(80.3*KFC!$B$30+KFC!$C$30)*KFC!$C$5</f>
        <v>80.3</v>
      </c>
      <c r="H230" s="300">
        <f>(88.4*KFC!$B$30+KFC!$C$30)*KFC!$C$5</f>
        <v>88.4</v>
      </c>
      <c r="I230" s="300">
        <f>(96.6*KFC!$B$30+KFC!$C$30)*KFC!$C$5</f>
        <v>96.6</v>
      </c>
      <c r="J230" s="300">
        <f>(104.7*KFC!$B$30+KFC!$C$30)*KFC!$C$5</f>
        <v>104.7</v>
      </c>
      <c r="K230" s="300">
        <f>(112.9*KFC!$B$30+KFC!$C$30)*KFC!$C$5</f>
        <v>112.9</v>
      </c>
      <c r="L230" s="300">
        <f>(121*KFC!$B$30+KFC!$C$30)*KFC!$C$5</f>
        <v>121</v>
      </c>
      <c r="M230" s="300">
        <f>(129.2*KFC!$B$30+KFC!$C$30)*KFC!$C$5</f>
        <v>129.19999999999999</v>
      </c>
      <c r="N230" s="300">
        <f>(137.3*KFC!$B$30+KFC!$C$30)*KFC!$C$5</f>
        <v>137.30000000000001</v>
      </c>
      <c r="O230" s="300">
        <f>(145.4*KFC!$B$30+KFC!$C$30)*KFC!$C$5</f>
        <v>145.4</v>
      </c>
      <c r="P230" s="300">
        <f>(153.6*KFC!$B$30+KFC!$C$30)*KFC!$C$5</f>
        <v>153.6</v>
      </c>
      <c r="Q230" s="300">
        <f>(161.7*KFC!$B$30+KFC!$C$30)*KFC!$C$5</f>
        <v>161.69999999999999</v>
      </c>
      <c r="R230" s="300">
        <f>(169.9*KFC!$B$30+KFC!$C$30)*KFC!$C$5</f>
        <v>169.9</v>
      </c>
      <c r="S230" s="300">
        <f>(178*KFC!$B$30+KFC!$C$30)*KFC!$C$5</f>
        <v>178</v>
      </c>
      <c r="T230" s="300">
        <f>(186.2*KFC!$B$30+KFC!$C$30)*KFC!$C$5</f>
        <v>186.2</v>
      </c>
      <c r="U230" s="300">
        <f>(194.3*KFC!$B$30+KFC!$C$30)*KFC!$C$5</f>
        <v>194.3</v>
      </c>
      <c r="V230" s="300">
        <f>(202.5*KFC!$B$30+KFC!$C$30)*KFC!$C$5</f>
        <v>202.5</v>
      </c>
      <c r="W230" s="300">
        <f>(210.6*KFC!$B$30+KFC!$C$30)*KFC!$C$5</f>
        <v>210.6</v>
      </c>
      <c r="X230" s="300">
        <f>(218.7*KFC!$B$30+KFC!$C$30)*KFC!$C$5</f>
        <v>218.7</v>
      </c>
      <c r="Y230" s="300">
        <f>(226.9*KFC!$B$30+KFC!$C$30)*KFC!$C$5</f>
        <v>226.9</v>
      </c>
      <c r="Z230" s="300">
        <f>(235*KFC!$B$30+KFC!$C$30)*KFC!$C$5</f>
        <v>235</v>
      </c>
      <c r="AA230" s="300">
        <f>(243.2*KFC!$B$30+KFC!$C$30)*KFC!$C$5</f>
        <v>243.2</v>
      </c>
      <c r="AB230" s="300">
        <f>(251.3*KFC!$B$30+KFC!$C$30)*KFC!$C$5</f>
        <v>251.3</v>
      </c>
      <c r="AC230" s="304">
        <f>(259.5*KFC!$B$30+KFC!$C$30)*KFC!$C$5</f>
        <v>259.5</v>
      </c>
    </row>
    <row r="231" spans="1:29">
      <c r="A231" s="1538"/>
      <c r="B231" s="637">
        <v>2.5</v>
      </c>
      <c r="C231" s="303">
        <f>(49.2*KFC!$B$30+KFC!$C$30)*KFC!$C$5</f>
        <v>49.2</v>
      </c>
      <c r="D231" s="300">
        <f>(57.7*KFC!$B$30+KFC!$C$30)*KFC!$C$5</f>
        <v>57.7</v>
      </c>
      <c r="E231" s="300">
        <f>(66.2*KFC!$B$30+KFC!$C$30)*KFC!$C$5</f>
        <v>66.2</v>
      </c>
      <c r="F231" s="300">
        <f>(74.7*KFC!$B$30+KFC!$C$30)*KFC!$C$5</f>
        <v>74.7</v>
      </c>
      <c r="G231" s="300">
        <f>(83.1*KFC!$B$30+KFC!$C$30)*KFC!$C$5</f>
        <v>83.1</v>
      </c>
      <c r="H231" s="300">
        <f>(91.6*KFC!$B$30+KFC!$C$30)*KFC!$C$5</f>
        <v>91.6</v>
      </c>
      <c r="I231" s="300">
        <f>(100.1*KFC!$B$30+KFC!$C$30)*KFC!$C$5</f>
        <v>100.1</v>
      </c>
      <c r="J231" s="300">
        <f>(108.5*KFC!$B$30+KFC!$C$30)*KFC!$C$5</f>
        <v>108.5</v>
      </c>
      <c r="K231" s="300">
        <f>(117*KFC!$B$30+KFC!$C$30)*KFC!$C$5</f>
        <v>117</v>
      </c>
      <c r="L231" s="300">
        <f>(125.5*KFC!$B$30+KFC!$C$30)*KFC!$C$5</f>
        <v>125.5</v>
      </c>
      <c r="M231" s="300">
        <f>(134*KFC!$B$30+KFC!$C$30)*KFC!$C$5</f>
        <v>134</v>
      </c>
      <c r="N231" s="300">
        <f>(142.4*KFC!$B$30+KFC!$C$30)*KFC!$C$5</f>
        <v>142.4</v>
      </c>
      <c r="O231" s="300">
        <f>(150.9*KFC!$B$30+KFC!$C$30)*KFC!$C$5</f>
        <v>150.9</v>
      </c>
      <c r="P231" s="300">
        <f>(159.4*KFC!$B$30+KFC!$C$30)*KFC!$C$5</f>
        <v>159.4</v>
      </c>
      <c r="Q231" s="300">
        <f>(167.9*KFC!$B$30+KFC!$C$30)*KFC!$C$5</f>
        <v>167.9</v>
      </c>
      <c r="R231" s="300">
        <f>(176.3*KFC!$B$30+KFC!$C$30)*KFC!$C$5</f>
        <v>176.3</v>
      </c>
      <c r="S231" s="300">
        <f>(184.8*KFC!$B$30+KFC!$C$30)*KFC!$C$5</f>
        <v>184.8</v>
      </c>
      <c r="T231" s="300">
        <f>(193.3*KFC!$B$30+KFC!$C$30)*KFC!$C$5</f>
        <v>193.3</v>
      </c>
      <c r="U231" s="300">
        <f>(201.7*KFC!$B$30+KFC!$C$30)*KFC!$C$5</f>
        <v>201.7</v>
      </c>
      <c r="V231" s="300">
        <f>(210.2*KFC!$B$30+KFC!$C$30)*KFC!$C$5</f>
        <v>210.2</v>
      </c>
      <c r="W231" s="300">
        <f>(218.7*KFC!$B$30+KFC!$C$30)*KFC!$C$5</f>
        <v>218.7</v>
      </c>
      <c r="X231" s="300">
        <f>(227.2*KFC!$B$30+KFC!$C$30)*KFC!$C$5</f>
        <v>227.2</v>
      </c>
      <c r="Y231" s="300">
        <f>(235.6*KFC!$B$30+KFC!$C$30)*KFC!$C$5</f>
        <v>235.6</v>
      </c>
      <c r="Z231" s="300">
        <f>(244.1*KFC!$B$30+KFC!$C$30)*KFC!$C$5</f>
        <v>244.1</v>
      </c>
      <c r="AA231" s="300">
        <f>(252.6*KFC!$B$30+KFC!$C$30)*KFC!$C$5</f>
        <v>252.6</v>
      </c>
      <c r="AB231" s="300">
        <f>(261*KFC!$B$30+KFC!$C$30)*KFC!$C$5</f>
        <v>261</v>
      </c>
      <c r="AC231" s="304">
        <f>(269.5*KFC!$B$30+KFC!$C$30)*KFC!$C$5</f>
        <v>269.5</v>
      </c>
    </row>
    <row r="232" spans="1:29">
      <c r="A232" s="1538"/>
      <c r="B232" s="637">
        <v>2.6</v>
      </c>
      <c r="C232" s="303">
        <f>(50.8*KFC!$B$30+KFC!$C$30)*KFC!$C$5</f>
        <v>50.8</v>
      </c>
      <c r="D232" s="300">
        <f>(59.6*KFC!$B$30+KFC!$C$30)*KFC!$C$5</f>
        <v>59.6</v>
      </c>
      <c r="E232" s="300">
        <f>(68.4*KFC!$B$30+KFC!$C$30)*KFC!$C$5</f>
        <v>68.400000000000006</v>
      </c>
      <c r="F232" s="300">
        <f>(77.2*KFC!$B$30+KFC!$C$30)*KFC!$C$5</f>
        <v>77.2</v>
      </c>
      <c r="G232" s="300">
        <f>(86*KFC!$B$30+KFC!$C$30)*KFC!$C$5</f>
        <v>86</v>
      </c>
      <c r="H232" s="300">
        <f>(94.8*KFC!$B$30+KFC!$C$30)*KFC!$C$5</f>
        <v>94.8</v>
      </c>
      <c r="I232" s="300">
        <f>(103.6*KFC!$B$30+KFC!$C$30)*KFC!$C$5</f>
        <v>103.6</v>
      </c>
      <c r="J232" s="300">
        <f>(112.4*KFC!$B$30+KFC!$C$30)*KFC!$C$5</f>
        <v>112.4</v>
      </c>
      <c r="K232" s="300">
        <f>(121.2*KFC!$B$30+KFC!$C$30)*KFC!$C$5</f>
        <v>121.2</v>
      </c>
      <c r="L232" s="300">
        <f>(130*KFC!$B$30+KFC!$C$30)*KFC!$C$5</f>
        <v>130</v>
      </c>
      <c r="M232" s="300">
        <f>(138.8*KFC!$B$30+KFC!$C$30)*KFC!$C$5</f>
        <v>138.80000000000001</v>
      </c>
      <c r="N232" s="300">
        <f>(147.6*KFC!$B$30+KFC!$C$30)*KFC!$C$5</f>
        <v>147.6</v>
      </c>
      <c r="O232" s="300">
        <f>(156.4*KFC!$B$30+KFC!$C$30)*KFC!$C$5</f>
        <v>156.4</v>
      </c>
      <c r="P232" s="300">
        <f>(165.2*KFC!$B$30+KFC!$C$30)*KFC!$C$5</f>
        <v>165.2</v>
      </c>
      <c r="Q232" s="300">
        <f>(174*KFC!$B$30+KFC!$C$30)*KFC!$C$5</f>
        <v>174</v>
      </c>
      <c r="R232" s="300">
        <f>(182.8*KFC!$B$30+KFC!$C$30)*KFC!$C$5</f>
        <v>182.8</v>
      </c>
      <c r="S232" s="300">
        <f>(191.6*KFC!$B$30+KFC!$C$30)*KFC!$C$5</f>
        <v>191.6</v>
      </c>
      <c r="T232" s="300">
        <f>(200.4*KFC!$B$30+KFC!$C$30)*KFC!$C$5</f>
        <v>200.4</v>
      </c>
      <c r="U232" s="300">
        <f>(209.2*KFC!$B$30+KFC!$C$30)*KFC!$C$5</f>
        <v>209.2</v>
      </c>
      <c r="V232" s="300">
        <f>(218*KFC!$B$30+KFC!$C$30)*KFC!$C$5</f>
        <v>218</v>
      </c>
      <c r="W232" s="300">
        <f>(226.8*KFC!$B$30+KFC!$C$30)*KFC!$C$5</f>
        <v>226.8</v>
      </c>
      <c r="X232" s="300">
        <f>(235.6*KFC!$B$30+KFC!$C$30)*KFC!$C$5</f>
        <v>235.6</v>
      </c>
      <c r="Y232" s="300">
        <f>(244.4*KFC!$B$30+KFC!$C$30)*KFC!$C$5</f>
        <v>244.4</v>
      </c>
      <c r="Z232" s="300">
        <f>(253.2*KFC!$B$30+KFC!$C$30)*KFC!$C$5</f>
        <v>253.2</v>
      </c>
      <c r="AA232" s="300">
        <f>(262*KFC!$B$30+KFC!$C$30)*KFC!$C$5</f>
        <v>262</v>
      </c>
      <c r="AB232" s="300">
        <f>(270.8*KFC!$B$30+KFC!$C$30)*KFC!$C$5</f>
        <v>270.8</v>
      </c>
      <c r="AC232" s="304">
        <f>(279.6*KFC!$B$30+KFC!$C$30)*KFC!$C$5</f>
        <v>279.60000000000002</v>
      </c>
    </row>
    <row r="233" spans="1:29">
      <c r="A233" s="1538"/>
      <c r="B233" s="637">
        <v>2.7</v>
      </c>
      <c r="C233" s="303">
        <f>(52.3*KFC!$B$30+KFC!$C$30)*KFC!$C$5</f>
        <v>52.3</v>
      </c>
      <c r="D233" s="300">
        <f>(61.4*KFC!$B$30+KFC!$C$30)*KFC!$C$5</f>
        <v>61.4</v>
      </c>
      <c r="E233" s="300">
        <f>(70.6*KFC!$B$30+KFC!$C$30)*KFC!$C$5</f>
        <v>70.599999999999994</v>
      </c>
      <c r="F233" s="300">
        <f>(79.7*KFC!$B$30+KFC!$C$30)*KFC!$C$5</f>
        <v>79.7</v>
      </c>
      <c r="G233" s="300">
        <f>(88.8*KFC!$B$30+KFC!$C$30)*KFC!$C$5</f>
        <v>88.8</v>
      </c>
      <c r="H233" s="300">
        <f>(97.9*KFC!$B$30+KFC!$C$30)*KFC!$C$5</f>
        <v>97.9</v>
      </c>
      <c r="I233" s="300">
        <f>(107.1*KFC!$B$30+KFC!$C$30)*KFC!$C$5</f>
        <v>107.1</v>
      </c>
      <c r="J233" s="300">
        <f>(116.2*KFC!$B$30+KFC!$C$30)*KFC!$C$5</f>
        <v>116.2</v>
      </c>
      <c r="K233" s="300">
        <f>(125.3*KFC!$B$30+KFC!$C$30)*KFC!$C$5</f>
        <v>125.3</v>
      </c>
      <c r="L233" s="300">
        <f>(134.4*KFC!$B$30+KFC!$C$30)*KFC!$C$5</f>
        <v>134.4</v>
      </c>
      <c r="M233" s="300">
        <f>(143.6*KFC!$B$30+KFC!$C$30)*KFC!$C$5</f>
        <v>143.6</v>
      </c>
      <c r="N233" s="300">
        <f>(152.7*KFC!$B$30+KFC!$C$30)*KFC!$C$5</f>
        <v>152.69999999999999</v>
      </c>
      <c r="O233" s="300">
        <f>(161.8*KFC!$B$30+KFC!$C$30)*KFC!$C$5</f>
        <v>161.80000000000001</v>
      </c>
      <c r="P233" s="300">
        <f>(171*KFC!$B$30+KFC!$C$30)*KFC!$C$5</f>
        <v>171</v>
      </c>
      <c r="Q233" s="300">
        <f>(180.1*KFC!$B$30+KFC!$C$30)*KFC!$C$5</f>
        <v>180.1</v>
      </c>
      <c r="R233" s="300">
        <f>(189.2*KFC!$B$30+KFC!$C$30)*KFC!$C$5</f>
        <v>189.2</v>
      </c>
      <c r="S233" s="300">
        <f>(198.3*KFC!$B$30+KFC!$C$30)*KFC!$C$5</f>
        <v>198.3</v>
      </c>
      <c r="T233" s="300">
        <f>(207.5*KFC!$B$30+KFC!$C$30)*KFC!$C$5</f>
        <v>207.5</v>
      </c>
      <c r="U233" s="300">
        <f>(216.6*KFC!$B$30+KFC!$C$30)*KFC!$C$5</f>
        <v>216.6</v>
      </c>
      <c r="V233" s="300">
        <f>(225.7*KFC!$B$30+KFC!$C$30)*KFC!$C$5</f>
        <v>225.7</v>
      </c>
      <c r="W233" s="300">
        <f>(234.9*KFC!$B$30+KFC!$C$30)*KFC!$C$5</f>
        <v>234.9</v>
      </c>
      <c r="X233" s="300">
        <f>(244*KFC!$B$30+KFC!$C$30)*KFC!$C$5</f>
        <v>244</v>
      </c>
      <c r="Y233" s="300">
        <f>(253.1*KFC!$B$30+KFC!$C$30)*KFC!$C$5</f>
        <v>253.1</v>
      </c>
      <c r="Z233" s="300">
        <f>(262.2*KFC!$B$30+KFC!$C$30)*KFC!$C$5</f>
        <v>262.2</v>
      </c>
      <c r="AA233" s="300">
        <f>(271.4*KFC!$B$30+KFC!$C$30)*KFC!$C$5</f>
        <v>271.39999999999998</v>
      </c>
      <c r="AB233" s="300">
        <f>(280.5*KFC!$B$30+KFC!$C$30)*KFC!$C$5</f>
        <v>280.5</v>
      </c>
      <c r="AC233" s="304">
        <f>(289.6*KFC!$B$30+KFC!$C$30)*KFC!$C$5</f>
        <v>289.60000000000002</v>
      </c>
    </row>
    <row r="234" spans="1:29">
      <c r="A234" s="1538"/>
      <c r="B234" s="637">
        <v>2.8</v>
      </c>
      <c r="C234" s="303">
        <f>(53.8*KFC!$B$30+KFC!$C$30)*KFC!$C$5</f>
        <v>53.8</v>
      </c>
      <c r="D234" s="300">
        <f>(63.3*KFC!$B$30+KFC!$C$30)*KFC!$C$5</f>
        <v>63.3</v>
      </c>
      <c r="E234" s="300">
        <f>(72.7*KFC!$B$30+KFC!$C$30)*KFC!$C$5</f>
        <v>72.7</v>
      </c>
      <c r="F234" s="300">
        <f>(82.2*KFC!$B$30+KFC!$C$30)*KFC!$C$5</f>
        <v>82.2</v>
      </c>
      <c r="G234" s="300">
        <f>(91.6*KFC!$B$30+KFC!$C$30)*KFC!$C$5</f>
        <v>91.6</v>
      </c>
      <c r="H234" s="300">
        <f>(101.1*KFC!$B$30+KFC!$C$30)*KFC!$C$5</f>
        <v>101.1</v>
      </c>
      <c r="I234" s="300">
        <f>(110.6*KFC!$B$30+KFC!$C$30)*KFC!$C$5</f>
        <v>110.6</v>
      </c>
      <c r="J234" s="300">
        <f>(120*KFC!$B$30+KFC!$C$30)*KFC!$C$5</f>
        <v>120</v>
      </c>
      <c r="K234" s="300">
        <f>(129.5*KFC!$B$30+KFC!$C$30)*KFC!$C$5</f>
        <v>129.5</v>
      </c>
      <c r="L234" s="300">
        <f>(138.9*KFC!$B$30+KFC!$C$30)*KFC!$C$5</f>
        <v>138.9</v>
      </c>
      <c r="M234" s="300">
        <f>(148.4*KFC!$B$30+KFC!$C$30)*KFC!$C$5</f>
        <v>148.4</v>
      </c>
      <c r="N234" s="300">
        <f>(157.8*KFC!$B$30+KFC!$C$30)*KFC!$C$5</f>
        <v>157.80000000000001</v>
      </c>
      <c r="O234" s="300">
        <f>(167.3*KFC!$B$30+KFC!$C$30)*KFC!$C$5</f>
        <v>167.3</v>
      </c>
      <c r="P234" s="300">
        <f>(176.8*KFC!$B$30+KFC!$C$30)*KFC!$C$5</f>
        <v>176.8</v>
      </c>
      <c r="Q234" s="300">
        <f>(186.2*KFC!$B$30+KFC!$C$30)*KFC!$C$5</f>
        <v>186.2</v>
      </c>
      <c r="R234" s="300">
        <f>(195.7*KFC!$B$30+KFC!$C$30)*KFC!$C$5</f>
        <v>195.7</v>
      </c>
      <c r="S234" s="300">
        <f>(205.1*KFC!$B$30+KFC!$C$30)*KFC!$C$5</f>
        <v>205.1</v>
      </c>
      <c r="T234" s="300">
        <f>(214.6*KFC!$B$30+KFC!$C$30)*KFC!$C$5</f>
        <v>214.6</v>
      </c>
      <c r="U234" s="300">
        <f>(224*KFC!$B$30+KFC!$C$30)*KFC!$C$5</f>
        <v>224</v>
      </c>
      <c r="V234" s="300">
        <f>(233.5*KFC!$B$30+KFC!$C$30)*KFC!$C$5</f>
        <v>233.5</v>
      </c>
      <c r="W234" s="300">
        <f>(242.9*KFC!$B$30+KFC!$C$30)*KFC!$C$5</f>
        <v>242.9</v>
      </c>
      <c r="X234" s="300">
        <f>(252.4*KFC!$B$30+KFC!$C$30)*KFC!$C$5</f>
        <v>252.4</v>
      </c>
      <c r="Y234" s="300">
        <f>(261.9*KFC!$B$30+KFC!$C$30)*KFC!$C$5</f>
        <v>261.89999999999998</v>
      </c>
      <c r="Z234" s="300">
        <f>(271.3*KFC!$B$30+KFC!$C$30)*KFC!$C$5</f>
        <v>271.3</v>
      </c>
      <c r="AA234" s="300">
        <f>(280.8*KFC!$B$30+KFC!$C$30)*KFC!$C$5</f>
        <v>280.8</v>
      </c>
      <c r="AB234" s="300">
        <f>(290.2*KFC!$B$30+KFC!$C$30)*KFC!$C$5</f>
        <v>290.2</v>
      </c>
      <c r="AC234" s="304">
        <f>(299.7*KFC!$B$30+KFC!$C$30)*KFC!$C$5</f>
        <v>299.7</v>
      </c>
    </row>
    <row r="235" spans="1:29">
      <c r="A235" s="1538"/>
      <c r="B235" s="637">
        <v>2.9</v>
      </c>
      <c r="C235" s="303">
        <f>(55.4*KFC!$B$30+KFC!$C$30)*KFC!$C$5</f>
        <v>55.4</v>
      </c>
      <c r="D235" s="300">
        <f>(65.1*KFC!$B$30+KFC!$C$30)*KFC!$C$5</f>
        <v>65.099999999999994</v>
      </c>
      <c r="E235" s="300">
        <f>(74.9*KFC!$B$30+KFC!$C$30)*KFC!$C$5</f>
        <v>74.900000000000006</v>
      </c>
      <c r="F235" s="300">
        <f>(84.7*KFC!$B$30+KFC!$C$30)*KFC!$C$5</f>
        <v>84.7</v>
      </c>
      <c r="G235" s="300">
        <f>(94.5*KFC!$B$30+KFC!$C$30)*KFC!$C$5</f>
        <v>94.5</v>
      </c>
      <c r="H235" s="300">
        <f>(104.3*KFC!$B$30+KFC!$C$30)*KFC!$C$5</f>
        <v>104.3</v>
      </c>
      <c r="I235" s="300">
        <f>(114.1*KFC!$B$30+KFC!$C$30)*KFC!$C$5</f>
        <v>114.1</v>
      </c>
      <c r="J235" s="300">
        <f>(123.8*KFC!$B$30+KFC!$C$30)*KFC!$C$5</f>
        <v>123.8</v>
      </c>
      <c r="K235" s="300">
        <f>(133.6*KFC!$B$30+KFC!$C$30)*KFC!$C$5</f>
        <v>133.6</v>
      </c>
      <c r="L235" s="300">
        <f>(143.4*KFC!$B$30+KFC!$C$30)*KFC!$C$5</f>
        <v>143.4</v>
      </c>
      <c r="M235" s="300">
        <f>(153.2*KFC!$B$30+KFC!$C$30)*KFC!$C$5</f>
        <v>153.19999999999999</v>
      </c>
      <c r="N235" s="300">
        <f>(163*KFC!$B$30+KFC!$C$30)*KFC!$C$5</f>
        <v>163</v>
      </c>
      <c r="O235" s="300">
        <f>(172.8*KFC!$B$30+KFC!$C$30)*KFC!$C$5</f>
        <v>172.8</v>
      </c>
      <c r="P235" s="300">
        <f>(182.5*KFC!$B$30+KFC!$C$30)*KFC!$C$5</f>
        <v>182.5</v>
      </c>
      <c r="Q235" s="300">
        <f>(192.3*KFC!$B$30+KFC!$C$30)*KFC!$C$5</f>
        <v>192.3</v>
      </c>
      <c r="R235" s="300">
        <f>(202.1*KFC!$B$30+KFC!$C$30)*KFC!$C$5</f>
        <v>202.1</v>
      </c>
      <c r="S235" s="300">
        <f>(211.9*KFC!$B$30+KFC!$C$30)*KFC!$C$5</f>
        <v>211.9</v>
      </c>
      <c r="T235" s="300">
        <f>(221.7*KFC!$B$30+KFC!$C$30)*KFC!$C$5</f>
        <v>221.7</v>
      </c>
      <c r="U235" s="300">
        <f>(231.5*KFC!$B$30+KFC!$C$30)*KFC!$C$5</f>
        <v>231.5</v>
      </c>
      <c r="V235" s="300">
        <f>(241.2*KFC!$B$30+KFC!$C$30)*KFC!$C$5</f>
        <v>241.2</v>
      </c>
      <c r="W235" s="300">
        <f>(251*KFC!$B$30+KFC!$C$30)*KFC!$C$5</f>
        <v>251</v>
      </c>
      <c r="X235" s="300">
        <f>(260.8*KFC!$B$30+KFC!$C$30)*KFC!$C$5</f>
        <v>260.8</v>
      </c>
      <c r="Y235" s="300">
        <f>(270.6*KFC!$B$30+KFC!$C$30)*KFC!$C$5</f>
        <v>270.60000000000002</v>
      </c>
      <c r="Z235" s="300">
        <f>(280.4*KFC!$B$30+KFC!$C$30)*KFC!$C$5</f>
        <v>280.39999999999998</v>
      </c>
      <c r="AA235" s="300">
        <f>(290.2*KFC!$B$30+KFC!$C$30)*KFC!$C$5</f>
        <v>290.2</v>
      </c>
      <c r="AB235" s="300">
        <f>(300*KFC!$B$30+KFC!$C$30)*KFC!$C$5</f>
        <v>300</v>
      </c>
      <c r="AC235" s="304">
        <f>(309.7*KFC!$B$30+KFC!$C$30)*KFC!$C$5</f>
        <v>309.7</v>
      </c>
    </row>
    <row r="236" spans="1:29">
      <c r="A236" s="1538"/>
      <c r="B236" s="637">
        <v>3</v>
      </c>
      <c r="C236" s="303">
        <f>(56.9*KFC!$B$30+KFC!$C$30)*KFC!$C$5</f>
        <v>56.9</v>
      </c>
      <c r="D236" s="300">
        <f>(67*KFC!$B$30+KFC!$C$30)*KFC!$C$5</f>
        <v>67</v>
      </c>
      <c r="E236" s="300">
        <f>(77.1*KFC!$B$30+KFC!$C$30)*KFC!$C$5</f>
        <v>77.099999999999994</v>
      </c>
      <c r="F236" s="300">
        <f>(87.2*KFC!$B$30+KFC!$C$30)*KFC!$C$5</f>
        <v>87.2</v>
      </c>
      <c r="G236" s="300">
        <f>(97.3*KFC!$B$30+KFC!$C$30)*KFC!$C$5</f>
        <v>97.3</v>
      </c>
      <c r="H236" s="300">
        <f>(107.4*KFC!$B$30+KFC!$C$30)*KFC!$C$5</f>
        <v>107.4</v>
      </c>
      <c r="I236" s="300">
        <f>(117.6*KFC!$B$30+KFC!$C$30)*KFC!$C$5</f>
        <v>117.6</v>
      </c>
      <c r="J236" s="300">
        <f>(127.7*KFC!$B$30+KFC!$C$30)*KFC!$C$5</f>
        <v>127.7</v>
      </c>
      <c r="K236" s="300">
        <f>(137.8*KFC!$B$30+KFC!$C$30)*KFC!$C$5</f>
        <v>137.80000000000001</v>
      </c>
      <c r="L236" s="300">
        <f>(147.9*KFC!$B$30+KFC!$C$30)*KFC!$C$5</f>
        <v>147.9</v>
      </c>
      <c r="M236" s="300">
        <f>(158*KFC!$B$30+KFC!$C$30)*KFC!$C$5</f>
        <v>158</v>
      </c>
      <c r="N236" s="300">
        <f>(168.1*KFC!$B$30+KFC!$C$30)*KFC!$C$5</f>
        <v>168.1</v>
      </c>
      <c r="O236" s="300">
        <f>(178.2*KFC!$B$30+KFC!$C$30)*KFC!$C$5</f>
        <v>178.2</v>
      </c>
      <c r="P236" s="300">
        <f>(188.3*KFC!$B$30+KFC!$C$30)*KFC!$C$5</f>
        <v>188.3</v>
      </c>
      <c r="Q236" s="300">
        <f>(198.4*KFC!$B$30+KFC!$C$30)*KFC!$C$5</f>
        <v>198.4</v>
      </c>
      <c r="R236" s="300">
        <f>(208.6*KFC!$B$30+KFC!$C$30)*KFC!$C$5</f>
        <v>208.6</v>
      </c>
      <c r="S236" s="300">
        <f>(218.7*KFC!$B$30+KFC!$C$30)*KFC!$C$5</f>
        <v>218.7</v>
      </c>
      <c r="T236" s="300">
        <f>(228.8*KFC!$B$30+KFC!$C$30)*KFC!$C$5</f>
        <v>228.8</v>
      </c>
      <c r="U236" s="300">
        <f>(238.9*KFC!$B$30+KFC!$C$30)*KFC!$C$5</f>
        <v>238.9</v>
      </c>
      <c r="V236" s="300">
        <f>(249*KFC!$B$30+KFC!$C$30)*KFC!$C$5</f>
        <v>249</v>
      </c>
      <c r="W236" s="300">
        <f>(259.1*KFC!$B$30+KFC!$C$30)*KFC!$C$5</f>
        <v>259.10000000000002</v>
      </c>
      <c r="X236" s="300">
        <f>(269.2*KFC!$B$30+KFC!$C$30)*KFC!$C$5</f>
        <v>269.2</v>
      </c>
      <c r="Y236" s="300">
        <f>(279.3*KFC!$B$30+KFC!$C$30)*KFC!$C$5</f>
        <v>279.3</v>
      </c>
      <c r="Z236" s="300">
        <f>(289.5*KFC!$B$30+KFC!$C$30)*KFC!$C$5</f>
        <v>289.5</v>
      </c>
      <c r="AA236" s="300">
        <f>(299.6*KFC!$B$30+KFC!$C$30)*KFC!$C$5</f>
        <v>299.60000000000002</v>
      </c>
      <c r="AB236" s="300">
        <f>(309.7*KFC!$B$30+KFC!$C$30)*KFC!$C$5</f>
        <v>309.7</v>
      </c>
      <c r="AC236" s="304">
        <f>(319.8*KFC!$B$30+KFC!$C$30)*KFC!$C$5</f>
        <v>319.8</v>
      </c>
    </row>
    <row r="237" spans="1:29">
      <c r="A237" s="1538"/>
      <c r="B237" s="637">
        <v>3.1</v>
      </c>
      <c r="C237" s="303">
        <f>(58.4*KFC!$B$30+KFC!$C$30)*KFC!$C$5</f>
        <v>58.4</v>
      </c>
      <c r="D237" s="300">
        <f>(68.8*KFC!$B$30+KFC!$C$30)*KFC!$C$5</f>
        <v>68.8</v>
      </c>
      <c r="E237" s="300">
        <f>(79.3*KFC!$B$30+KFC!$C$30)*KFC!$C$5</f>
        <v>79.3</v>
      </c>
      <c r="F237" s="300">
        <f>(89.7*KFC!$B$30+KFC!$C$30)*KFC!$C$5</f>
        <v>89.7</v>
      </c>
      <c r="G237" s="300">
        <f>(100.2*KFC!$B$30+KFC!$C$30)*KFC!$C$5</f>
        <v>100.2</v>
      </c>
      <c r="H237" s="300">
        <f>(110.6*KFC!$B$30+KFC!$C$30)*KFC!$C$5</f>
        <v>110.6</v>
      </c>
      <c r="I237" s="300">
        <f>(121*KFC!$B$30+KFC!$C$30)*KFC!$C$5</f>
        <v>121</v>
      </c>
      <c r="J237" s="300">
        <f>(131.5*KFC!$B$30+KFC!$C$30)*KFC!$C$5</f>
        <v>131.5</v>
      </c>
      <c r="K237" s="300">
        <f>(141.9*KFC!$B$30+KFC!$C$30)*KFC!$C$5</f>
        <v>141.9</v>
      </c>
      <c r="L237" s="300">
        <f>(152.4*KFC!$B$30+KFC!$C$30)*KFC!$C$5</f>
        <v>152.4</v>
      </c>
      <c r="M237" s="300">
        <f>(162.8*KFC!$B$30+KFC!$C$30)*KFC!$C$5</f>
        <v>162.80000000000001</v>
      </c>
      <c r="N237" s="300">
        <f>(173.2*KFC!$B$30+KFC!$C$30)*KFC!$C$5</f>
        <v>173.2</v>
      </c>
      <c r="O237" s="300">
        <f>(183.7*KFC!$B$30+KFC!$C$30)*KFC!$C$5</f>
        <v>183.7</v>
      </c>
      <c r="P237" s="300">
        <f>(194.1*KFC!$B$30+KFC!$C$30)*KFC!$C$5</f>
        <v>194.1</v>
      </c>
      <c r="Q237" s="300">
        <f>(204.6*KFC!$B$30+KFC!$C$30)*KFC!$C$5</f>
        <v>204.6</v>
      </c>
      <c r="R237" s="300">
        <f>(215*KFC!$B$30+KFC!$C$30)*KFC!$C$5</f>
        <v>215</v>
      </c>
      <c r="S237" s="300">
        <f>(225.4*KFC!$B$30+KFC!$C$30)*KFC!$C$5</f>
        <v>225.4</v>
      </c>
      <c r="T237" s="300">
        <f>(235.9*KFC!$B$30+KFC!$C$30)*KFC!$C$5</f>
        <v>235.9</v>
      </c>
      <c r="U237" s="300">
        <f>(246.3*KFC!$B$30+KFC!$C$30)*KFC!$C$5</f>
        <v>246.3</v>
      </c>
      <c r="V237" s="300">
        <f>(256.8*KFC!$B$30+KFC!$C$30)*KFC!$C$5</f>
        <v>256.8</v>
      </c>
      <c r="W237" s="300">
        <f>(267.2*KFC!$B$30+KFC!$C$30)*KFC!$C$5</f>
        <v>267.2</v>
      </c>
      <c r="X237" s="300">
        <f>(277.6*KFC!$B$30+KFC!$C$30)*KFC!$C$5</f>
        <v>277.60000000000002</v>
      </c>
      <c r="Y237" s="300">
        <f>(288.1*KFC!$B$30+KFC!$C$30)*KFC!$C$5</f>
        <v>288.10000000000002</v>
      </c>
      <c r="Z237" s="300">
        <f>(298.5*KFC!$B$30+KFC!$C$30)*KFC!$C$5</f>
        <v>298.5</v>
      </c>
      <c r="AA237" s="300">
        <f>(309*KFC!$B$30+KFC!$C$30)*KFC!$C$5</f>
        <v>309</v>
      </c>
      <c r="AB237" s="300">
        <f>(319.4*KFC!$B$30+KFC!$C$30)*KFC!$C$5</f>
        <v>319.39999999999998</v>
      </c>
      <c r="AC237" s="304">
        <f>(329.8*KFC!$B$30+KFC!$C$30)*KFC!$C$5</f>
        <v>329.8</v>
      </c>
    </row>
    <row r="238" spans="1:29">
      <c r="A238" s="1538"/>
      <c r="B238" s="637">
        <v>3.2</v>
      </c>
      <c r="C238" s="303">
        <f>(59.9*KFC!$B$30+KFC!$C$30)*KFC!$C$5</f>
        <v>59.9</v>
      </c>
      <c r="D238" s="300">
        <f>(70.7*KFC!$B$30+KFC!$C$30)*KFC!$C$5</f>
        <v>70.7</v>
      </c>
      <c r="E238" s="300">
        <f>(81.5*KFC!$B$30+KFC!$C$30)*KFC!$C$5</f>
        <v>81.5</v>
      </c>
      <c r="F238" s="300">
        <f>(92.2*KFC!$B$30+KFC!$C$30)*KFC!$C$5</f>
        <v>92.2</v>
      </c>
      <c r="G238" s="300">
        <f>(103*KFC!$B$30+KFC!$C$30)*KFC!$C$5</f>
        <v>103</v>
      </c>
      <c r="H238" s="300">
        <f>(113.8*KFC!$B$30+KFC!$C$30)*KFC!$C$5</f>
        <v>113.8</v>
      </c>
      <c r="I238" s="300">
        <f>(124.5*KFC!$B$30+KFC!$C$30)*KFC!$C$5</f>
        <v>124.5</v>
      </c>
      <c r="J238" s="300">
        <f>(135.3*KFC!$B$30+KFC!$C$30)*KFC!$C$5</f>
        <v>135.30000000000001</v>
      </c>
      <c r="K238" s="300">
        <f>(146.1*KFC!$B$30+KFC!$C$30)*KFC!$C$5</f>
        <v>146.1</v>
      </c>
      <c r="L238" s="300">
        <f>(156.8*KFC!$B$30+KFC!$C$30)*KFC!$C$5</f>
        <v>156.80000000000001</v>
      </c>
      <c r="M238" s="300">
        <f>(167.6*KFC!$B$30+KFC!$C$30)*KFC!$C$5</f>
        <v>167.6</v>
      </c>
      <c r="N238" s="300">
        <f>(178.4*KFC!$B$30+KFC!$C$30)*KFC!$C$5</f>
        <v>178.4</v>
      </c>
      <c r="O238" s="300">
        <f>(189.1*KFC!$B$30+KFC!$C$30)*KFC!$C$5</f>
        <v>189.1</v>
      </c>
      <c r="P238" s="300">
        <f>(199.9*KFC!$B$30+KFC!$C$30)*KFC!$C$5</f>
        <v>199.9</v>
      </c>
      <c r="Q238" s="300">
        <f>(210.7*KFC!$B$30+KFC!$C$30)*KFC!$C$5</f>
        <v>210.7</v>
      </c>
      <c r="R238" s="300">
        <f>(221.5*KFC!$B$30+KFC!$C$30)*KFC!$C$5</f>
        <v>221.5</v>
      </c>
      <c r="S238" s="300">
        <f>(232.2*KFC!$B$30+KFC!$C$30)*KFC!$C$5</f>
        <v>232.2</v>
      </c>
      <c r="T238" s="300">
        <f>(243*KFC!$B$30+KFC!$C$30)*KFC!$C$5</f>
        <v>243</v>
      </c>
      <c r="U238" s="300">
        <f>(253.8*KFC!$B$30+KFC!$C$30)*KFC!$C$5</f>
        <v>253.8</v>
      </c>
      <c r="V238" s="300">
        <f>(264.5*KFC!$B$30+KFC!$C$30)*KFC!$C$5</f>
        <v>264.5</v>
      </c>
      <c r="W238" s="300">
        <f>(275.3*KFC!$B$30+KFC!$C$30)*KFC!$C$5</f>
        <v>275.3</v>
      </c>
      <c r="X238" s="300">
        <f>(286.1*KFC!$B$30+KFC!$C$30)*KFC!$C$5</f>
        <v>286.10000000000002</v>
      </c>
      <c r="Y238" s="300">
        <f>(296.8*KFC!$B$30+KFC!$C$30)*KFC!$C$5</f>
        <v>296.8</v>
      </c>
      <c r="Z238" s="300">
        <f>(307.6*KFC!$B$30+KFC!$C$30)*KFC!$C$5</f>
        <v>307.60000000000002</v>
      </c>
      <c r="AA238" s="300">
        <f>(318.4*KFC!$B$30+KFC!$C$30)*KFC!$C$5</f>
        <v>318.39999999999998</v>
      </c>
      <c r="AB238" s="300">
        <f>(329.1*KFC!$B$30+KFC!$C$30)*KFC!$C$5</f>
        <v>329.1</v>
      </c>
      <c r="AC238" s="304">
        <f>(339.9*KFC!$B$30+KFC!$C$30)*KFC!$C$5</f>
        <v>339.9</v>
      </c>
    </row>
    <row r="239" spans="1:29">
      <c r="A239" s="1538"/>
      <c r="B239" s="637">
        <v>3.3</v>
      </c>
      <c r="C239" s="303">
        <f>(61.5*KFC!$B$30+KFC!$C$30)*KFC!$C$5</f>
        <v>61.5</v>
      </c>
      <c r="D239" s="300">
        <f>(72.6*KFC!$B$30+KFC!$C$30)*KFC!$C$5</f>
        <v>72.599999999999994</v>
      </c>
      <c r="E239" s="300">
        <f>(83.7*KFC!$B$30+KFC!$C$30)*KFC!$C$5</f>
        <v>83.7</v>
      </c>
      <c r="F239" s="300">
        <f>(94.7*KFC!$B$30+KFC!$C$30)*KFC!$C$5</f>
        <v>94.7</v>
      </c>
      <c r="G239" s="300">
        <f>(105.8*KFC!$B$30+KFC!$C$30)*KFC!$C$5</f>
        <v>105.8</v>
      </c>
      <c r="H239" s="300">
        <f>(116.9*KFC!$B$30+KFC!$C$30)*KFC!$C$5</f>
        <v>116.9</v>
      </c>
      <c r="I239" s="300">
        <f>(128*KFC!$B$30+KFC!$C$30)*KFC!$C$5</f>
        <v>128</v>
      </c>
      <c r="J239" s="300">
        <f>(139.1*KFC!$B$30+KFC!$C$30)*KFC!$C$5</f>
        <v>139.1</v>
      </c>
      <c r="K239" s="300">
        <f>(150.2*KFC!$B$30+KFC!$C$30)*KFC!$C$5</f>
        <v>150.19999999999999</v>
      </c>
      <c r="L239" s="300">
        <f>(161.3*KFC!$B$30+KFC!$C$30)*KFC!$C$5</f>
        <v>161.30000000000001</v>
      </c>
      <c r="M239" s="300">
        <f>(172.4*KFC!$B$30+KFC!$C$30)*KFC!$C$5</f>
        <v>172.4</v>
      </c>
      <c r="N239" s="300">
        <f>(183.5*KFC!$B$30+KFC!$C$30)*KFC!$C$5</f>
        <v>183.5</v>
      </c>
      <c r="O239" s="300">
        <f>(194.6*KFC!$B$30+KFC!$C$30)*KFC!$C$5</f>
        <v>194.6</v>
      </c>
      <c r="P239" s="300">
        <f>(205.7*KFC!$B$30+KFC!$C$30)*KFC!$C$5</f>
        <v>205.7</v>
      </c>
      <c r="Q239" s="300">
        <f>(216.8*KFC!$B$30+KFC!$C$30)*KFC!$C$5</f>
        <v>216.8</v>
      </c>
      <c r="R239" s="300">
        <f>(227.9*KFC!$B$30+KFC!$C$30)*KFC!$C$5</f>
        <v>227.9</v>
      </c>
      <c r="S239" s="300">
        <f>(239*KFC!$B$30+KFC!$C$30)*KFC!$C$5</f>
        <v>239</v>
      </c>
      <c r="T239" s="300">
        <f>(250.1*KFC!$B$30+KFC!$C$30)*KFC!$C$5</f>
        <v>250.1</v>
      </c>
      <c r="U239" s="300">
        <f>(261.2*KFC!$B$30+KFC!$C$30)*KFC!$C$5</f>
        <v>261.2</v>
      </c>
      <c r="V239" s="300">
        <f>(272.3*KFC!$B$30+KFC!$C$30)*KFC!$C$5</f>
        <v>272.3</v>
      </c>
      <c r="W239" s="300">
        <f>(283.4*KFC!$B$30+KFC!$C$30)*KFC!$C$5</f>
        <v>283.39999999999998</v>
      </c>
      <c r="X239" s="300">
        <f>(294.5*KFC!$B$30+KFC!$C$30)*KFC!$C$5</f>
        <v>294.5</v>
      </c>
      <c r="Y239" s="300">
        <f>(305.6*KFC!$B$30+KFC!$C$30)*KFC!$C$5</f>
        <v>305.60000000000002</v>
      </c>
      <c r="Z239" s="300">
        <f>(316.7*KFC!$B$30+KFC!$C$30)*KFC!$C$5</f>
        <v>316.7</v>
      </c>
      <c r="AA239" s="300">
        <f>(327.8*KFC!$B$30+KFC!$C$30)*KFC!$C$5</f>
        <v>327.8</v>
      </c>
      <c r="AB239" s="300">
        <f>(338.9*KFC!$B$30+KFC!$C$30)*KFC!$C$5</f>
        <v>338.9</v>
      </c>
      <c r="AC239" s="304">
        <f>(350*KFC!$B$30+KFC!$C$30)*KFC!$C$5</f>
        <v>350</v>
      </c>
    </row>
    <row r="240" spans="1:29">
      <c r="A240" s="1538"/>
      <c r="B240" s="637">
        <v>3.4</v>
      </c>
      <c r="C240" s="303">
        <f>(63*KFC!$B$30+KFC!$C$30)*KFC!$C$5</f>
        <v>63</v>
      </c>
      <c r="D240" s="300">
        <f>(74.4*KFC!$B$30+KFC!$C$30)*KFC!$C$5</f>
        <v>74.400000000000006</v>
      </c>
      <c r="E240" s="300">
        <f>(85.8*KFC!$B$30+KFC!$C$30)*KFC!$C$5</f>
        <v>85.8</v>
      </c>
      <c r="F240" s="300">
        <f>(97.3*KFC!$B$30+KFC!$C$30)*KFC!$C$5</f>
        <v>97.3</v>
      </c>
      <c r="G240" s="300">
        <f>(108.7*KFC!$B$30+KFC!$C$30)*KFC!$C$5</f>
        <v>108.7</v>
      </c>
      <c r="H240" s="300">
        <f>(120.1*KFC!$B$30+KFC!$C$30)*KFC!$C$5</f>
        <v>120.1</v>
      </c>
      <c r="I240" s="300">
        <f>(131.5*KFC!$B$30+KFC!$C$30)*KFC!$C$5</f>
        <v>131.5</v>
      </c>
      <c r="J240" s="300">
        <f>(143*KFC!$B$30+KFC!$C$30)*KFC!$C$5</f>
        <v>143</v>
      </c>
      <c r="K240" s="300">
        <f>(154.4*KFC!$B$30+KFC!$C$30)*KFC!$C$5</f>
        <v>154.4</v>
      </c>
      <c r="L240" s="300">
        <f>(165.8*KFC!$B$30+KFC!$C$30)*KFC!$C$5</f>
        <v>165.8</v>
      </c>
      <c r="M240" s="300">
        <f>(177.2*KFC!$B$30+KFC!$C$30)*KFC!$C$5</f>
        <v>177.2</v>
      </c>
      <c r="N240" s="300">
        <f>(188.7*KFC!$B$30+KFC!$C$30)*KFC!$C$5</f>
        <v>188.7</v>
      </c>
      <c r="O240" s="300">
        <f>(200.1*KFC!$B$30+KFC!$C$30)*KFC!$C$5</f>
        <v>200.1</v>
      </c>
      <c r="P240" s="300">
        <f>(211.5*KFC!$B$30+KFC!$C$30)*KFC!$C$5</f>
        <v>211.5</v>
      </c>
      <c r="Q240" s="300">
        <f>(222.9*KFC!$B$30+KFC!$C$30)*KFC!$C$5</f>
        <v>222.9</v>
      </c>
      <c r="R240" s="300">
        <f>(234.3*KFC!$B$30+KFC!$C$30)*KFC!$C$5</f>
        <v>234.3</v>
      </c>
      <c r="S240" s="300">
        <f>(245.8*KFC!$B$30+KFC!$C$30)*KFC!$C$5</f>
        <v>245.8</v>
      </c>
      <c r="T240" s="300">
        <f>(257.2*KFC!$B$30+KFC!$C$30)*KFC!$C$5</f>
        <v>257.2</v>
      </c>
      <c r="U240" s="300">
        <f>(268.6*KFC!$B$30+KFC!$C$30)*KFC!$C$5</f>
        <v>268.60000000000002</v>
      </c>
      <c r="V240" s="300">
        <f>(280*KFC!$B$30+KFC!$C$30)*KFC!$C$5</f>
        <v>280</v>
      </c>
      <c r="W240" s="300">
        <f>(291.5*KFC!$B$30+KFC!$C$30)*KFC!$C$5</f>
        <v>291.5</v>
      </c>
      <c r="X240" s="300">
        <f>(302.9*KFC!$B$30+KFC!$C$30)*KFC!$C$5</f>
        <v>302.89999999999998</v>
      </c>
      <c r="Y240" s="300">
        <f>(314.3*KFC!$B$30+KFC!$C$30)*KFC!$C$5</f>
        <v>314.3</v>
      </c>
      <c r="Z240" s="300">
        <f>(325.7*KFC!$B$30+KFC!$C$30)*KFC!$C$5</f>
        <v>325.7</v>
      </c>
      <c r="AA240" s="300">
        <f>(337.2*KFC!$B$30+KFC!$C$30)*KFC!$C$5</f>
        <v>337.2</v>
      </c>
      <c r="AB240" s="300">
        <f>(348.6*KFC!$B$30+KFC!$C$30)*KFC!$C$5</f>
        <v>348.6</v>
      </c>
      <c r="AC240" s="304">
        <f>(360*KFC!$B$30+KFC!$C$30)*KFC!$C$5</f>
        <v>360</v>
      </c>
    </row>
    <row r="241" spans="1:29">
      <c r="A241" s="1538"/>
      <c r="B241" s="637">
        <v>3.5</v>
      </c>
      <c r="C241" s="303">
        <f>(64.5*KFC!$B$30+KFC!$C$30)*KFC!$C$5</f>
        <v>64.5</v>
      </c>
      <c r="D241" s="300">
        <f>(76.3*KFC!$B$30+KFC!$C$30)*KFC!$C$5</f>
        <v>76.3</v>
      </c>
      <c r="E241" s="300">
        <f>(88*KFC!$B$30+KFC!$C$30)*KFC!$C$5</f>
        <v>88</v>
      </c>
      <c r="F241" s="300">
        <f>(99.8*KFC!$B$30+KFC!$C$30)*KFC!$C$5</f>
        <v>99.8</v>
      </c>
      <c r="G241" s="300">
        <f>(111.5*KFC!$B$30+KFC!$C$30)*KFC!$C$5</f>
        <v>111.5</v>
      </c>
      <c r="H241" s="300">
        <f>(123.3*KFC!$B$30+KFC!$C$30)*KFC!$C$5</f>
        <v>123.3</v>
      </c>
      <c r="I241" s="300">
        <f>(135*KFC!$B$30+KFC!$C$30)*KFC!$C$5</f>
        <v>135</v>
      </c>
      <c r="J241" s="300">
        <f>(146.8*KFC!$B$30+KFC!$C$30)*KFC!$C$5</f>
        <v>146.80000000000001</v>
      </c>
      <c r="K241" s="300">
        <f>(158.5*KFC!$B$30+KFC!$C$30)*KFC!$C$5</f>
        <v>158.5</v>
      </c>
      <c r="L241" s="300">
        <f>(170.3*KFC!$B$30+KFC!$C$30)*KFC!$C$5</f>
        <v>170.3</v>
      </c>
      <c r="M241" s="300">
        <f>(182*KFC!$B$30+KFC!$C$30)*KFC!$C$5</f>
        <v>182</v>
      </c>
      <c r="N241" s="300">
        <f>(193.8*KFC!$B$30+KFC!$C$30)*KFC!$C$5</f>
        <v>193.8</v>
      </c>
      <c r="O241" s="300">
        <f>(205.5*KFC!$B$30+KFC!$C$30)*KFC!$C$5</f>
        <v>205.5</v>
      </c>
      <c r="P241" s="300">
        <f>(217.3*KFC!$B$30+KFC!$C$30)*KFC!$C$5</f>
        <v>217.3</v>
      </c>
      <c r="Q241" s="300">
        <f>(229*KFC!$B$30+KFC!$C$30)*KFC!$C$5</f>
        <v>229</v>
      </c>
      <c r="R241" s="300">
        <f>(240.8*KFC!$B$30+KFC!$C$30)*KFC!$C$5</f>
        <v>240.8</v>
      </c>
      <c r="S241" s="300">
        <f>(252.5*KFC!$B$30+KFC!$C$30)*KFC!$C$5</f>
        <v>252.5</v>
      </c>
      <c r="T241" s="300">
        <f>(264.3*KFC!$B$30+KFC!$C$30)*KFC!$C$5</f>
        <v>264.3</v>
      </c>
      <c r="U241" s="300">
        <f>(276.1*KFC!$B$30+KFC!$C$30)*KFC!$C$5</f>
        <v>276.10000000000002</v>
      </c>
      <c r="V241" s="300">
        <f>(287.8*KFC!$B$30+KFC!$C$30)*KFC!$C$5</f>
        <v>287.8</v>
      </c>
      <c r="W241" s="300">
        <f>(299.6*KFC!$B$30+KFC!$C$30)*KFC!$C$5</f>
        <v>299.60000000000002</v>
      </c>
      <c r="X241" s="300">
        <f>(311.3*KFC!$B$30+KFC!$C$30)*KFC!$C$5</f>
        <v>311.3</v>
      </c>
      <c r="Y241" s="300">
        <f>(323.1*KFC!$B$30+KFC!$C$30)*KFC!$C$5</f>
        <v>323.10000000000002</v>
      </c>
      <c r="Z241" s="300">
        <f>(334.8*KFC!$B$30+KFC!$C$30)*KFC!$C$5</f>
        <v>334.8</v>
      </c>
      <c r="AA241" s="300">
        <f>(346.6*KFC!$B$30+KFC!$C$30)*KFC!$C$5</f>
        <v>346.6</v>
      </c>
      <c r="AB241" s="300">
        <f>(358.3*KFC!$B$30+KFC!$C$30)*KFC!$C$5</f>
        <v>358.3</v>
      </c>
      <c r="AC241" s="304">
        <f>(370.1*KFC!$B$30+KFC!$C$30)*KFC!$C$5</f>
        <v>370.1</v>
      </c>
    </row>
    <row r="242" spans="1:29">
      <c r="A242" s="1538"/>
      <c r="B242" s="637">
        <v>3.6</v>
      </c>
      <c r="C242" s="303">
        <f>(66*KFC!$B$30+KFC!$C$30)*KFC!$C$5</f>
        <v>66</v>
      </c>
      <c r="D242" s="300">
        <f>(78.1*KFC!$B$30+KFC!$C$30)*KFC!$C$5</f>
        <v>78.099999999999994</v>
      </c>
      <c r="E242" s="300">
        <f>(90.2*KFC!$B$30+KFC!$C$30)*KFC!$C$5</f>
        <v>90.2</v>
      </c>
      <c r="F242" s="300">
        <f>(102.3*KFC!$B$30+KFC!$C$30)*KFC!$C$5</f>
        <v>102.3</v>
      </c>
      <c r="G242" s="300">
        <f>(114.4*KFC!$B$30+KFC!$C$30)*KFC!$C$5</f>
        <v>114.4</v>
      </c>
      <c r="H242" s="300">
        <f>(126.4*KFC!$B$30+KFC!$C$30)*KFC!$C$5</f>
        <v>126.4</v>
      </c>
      <c r="I242" s="300">
        <f>(138.5*KFC!$B$30+KFC!$C$30)*KFC!$C$5</f>
        <v>138.5</v>
      </c>
      <c r="J242" s="300">
        <f>(150.6*KFC!$B$30+KFC!$C$30)*KFC!$C$5</f>
        <v>150.6</v>
      </c>
      <c r="K242" s="300">
        <f>(162.7*KFC!$B$30+KFC!$C$30)*KFC!$C$5</f>
        <v>162.69999999999999</v>
      </c>
      <c r="L242" s="300">
        <f>(174.8*KFC!$B$30+KFC!$C$30)*KFC!$C$5</f>
        <v>174.8</v>
      </c>
      <c r="M242" s="300">
        <f>(186.8*KFC!$B$30+KFC!$C$30)*KFC!$C$5</f>
        <v>186.8</v>
      </c>
      <c r="N242" s="300">
        <f>(198.9*KFC!$B$30+KFC!$C$30)*KFC!$C$5</f>
        <v>198.9</v>
      </c>
      <c r="O242" s="300">
        <f>(211*KFC!$B$30+KFC!$C$30)*KFC!$C$5</f>
        <v>211</v>
      </c>
      <c r="P242" s="300">
        <f>(223.1*KFC!$B$30+KFC!$C$30)*KFC!$C$5</f>
        <v>223.1</v>
      </c>
      <c r="Q242" s="300">
        <f>(235.2*KFC!$B$30+KFC!$C$30)*KFC!$C$5</f>
        <v>235.2</v>
      </c>
      <c r="R242" s="300">
        <f>(247.2*KFC!$B$30+KFC!$C$30)*KFC!$C$5</f>
        <v>247.2</v>
      </c>
      <c r="S242" s="300">
        <f>(259.3*KFC!$B$30+KFC!$C$30)*KFC!$C$5</f>
        <v>259.3</v>
      </c>
      <c r="T242" s="300">
        <f>(271.4*KFC!$B$30+KFC!$C$30)*KFC!$C$5</f>
        <v>271.39999999999998</v>
      </c>
      <c r="U242" s="300">
        <f>(283.5*KFC!$B$30+KFC!$C$30)*KFC!$C$5</f>
        <v>283.5</v>
      </c>
      <c r="V242" s="300">
        <f>(295.6*KFC!$B$30+KFC!$C$30)*KFC!$C$5</f>
        <v>295.60000000000002</v>
      </c>
      <c r="W242" s="300">
        <f>(307.6*KFC!$B$30+KFC!$C$30)*KFC!$C$5</f>
        <v>307.60000000000002</v>
      </c>
      <c r="X242" s="300">
        <f>(319.7*KFC!$B$30+KFC!$C$30)*KFC!$C$5</f>
        <v>319.7</v>
      </c>
      <c r="Y242" s="300">
        <f>(331.8*KFC!$B$30+KFC!$C$30)*KFC!$C$5</f>
        <v>331.8</v>
      </c>
      <c r="Z242" s="300">
        <f>(343.9*KFC!$B$30+KFC!$C$30)*KFC!$C$5</f>
        <v>343.9</v>
      </c>
      <c r="AA242" s="300">
        <f>(356*KFC!$B$30+KFC!$C$30)*KFC!$C$5</f>
        <v>356</v>
      </c>
      <c r="AB242" s="300">
        <f>(368*KFC!$B$30+KFC!$C$30)*KFC!$C$5</f>
        <v>368</v>
      </c>
      <c r="AC242" s="304">
        <f>(380.1*KFC!$B$30+KFC!$C$30)*KFC!$C$5</f>
        <v>380.1</v>
      </c>
    </row>
    <row r="243" spans="1:29">
      <c r="A243" s="1538"/>
      <c r="B243" s="637">
        <v>3.7</v>
      </c>
      <c r="C243" s="303">
        <f>(67.6*KFC!$B$30+KFC!$C$30)*KFC!$C$5</f>
        <v>67.599999999999994</v>
      </c>
      <c r="D243" s="300">
        <f>(80*KFC!$B$30+KFC!$C$30)*KFC!$C$5</f>
        <v>80</v>
      </c>
      <c r="E243" s="300">
        <f>(92.4*KFC!$B$30+KFC!$C$30)*KFC!$C$5</f>
        <v>92.4</v>
      </c>
      <c r="F243" s="300">
        <f>(104.8*KFC!$B$30+KFC!$C$30)*KFC!$C$5</f>
        <v>104.8</v>
      </c>
      <c r="G243" s="300">
        <f>(117.2*KFC!$B$30+KFC!$C$30)*KFC!$C$5</f>
        <v>117.2</v>
      </c>
      <c r="H243" s="300">
        <f>(129.6*KFC!$B$30+KFC!$C$30)*KFC!$C$5</f>
        <v>129.6</v>
      </c>
      <c r="I243" s="300">
        <f>(142*KFC!$B$30+KFC!$C$30)*KFC!$C$5</f>
        <v>142</v>
      </c>
      <c r="J243" s="300">
        <f>(154.4*KFC!$B$30+KFC!$C$30)*KFC!$C$5</f>
        <v>154.4</v>
      </c>
      <c r="K243" s="300">
        <f>(166.8*KFC!$B$30+KFC!$C$30)*KFC!$C$5</f>
        <v>166.8</v>
      </c>
      <c r="L243" s="300">
        <f>(179.2*KFC!$B$30+KFC!$C$30)*KFC!$C$5</f>
        <v>179.2</v>
      </c>
      <c r="M243" s="300">
        <f>(191.7*KFC!$B$30+KFC!$C$30)*KFC!$C$5</f>
        <v>191.7</v>
      </c>
      <c r="N243" s="300">
        <f>(204.1*KFC!$B$30+KFC!$C$30)*KFC!$C$5</f>
        <v>204.1</v>
      </c>
      <c r="O243" s="300">
        <f>(216.5*KFC!$B$30+KFC!$C$30)*KFC!$C$5</f>
        <v>216.5</v>
      </c>
      <c r="P243" s="300">
        <f>(228.9*KFC!$B$30+KFC!$C$30)*KFC!$C$5</f>
        <v>228.9</v>
      </c>
      <c r="Q243" s="300">
        <f>(241.3*KFC!$B$30+KFC!$C$30)*KFC!$C$5</f>
        <v>241.3</v>
      </c>
      <c r="R243" s="300">
        <f>(253.7*KFC!$B$30+KFC!$C$30)*KFC!$C$5</f>
        <v>253.7</v>
      </c>
      <c r="S243" s="300">
        <f>(266.1*KFC!$B$30+KFC!$C$30)*KFC!$C$5</f>
        <v>266.10000000000002</v>
      </c>
      <c r="T243" s="300">
        <f>(278.5*KFC!$B$30+KFC!$C$30)*KFC!$C$5</f>
        <v>278.5</v>
      </c>
      <c r="U243" s="300">
        <f>(290.9*KFC!$B$30+KFC!$C$30)*KFC!$C$5</f>
        <v>290.89999999999998</v>
      </c>
      <c r="V243" s="300">
        <f>(303.3*KFC!$B$30+KFC!$C$30)*KFC!$C$5</f>
        <v>303.3</v>
      </c>
      <c r="W243" s="300">
        <f>(315.7*KFC!$B$30+KFC!$C$30)*KFC!$C$5</f>
        <v>315.7</v>
      </c>
      <c r="X243" s="300">
        <f>(328.1*KFC!$B$30+KFC!$C$30)*KFC!$C$5</f>
        <v>328.1</v>
      </c>
      <c r="Y243" s="300">
        <f>(340.5*KFC!$B$30+KFC!$C$30)*KFC!$C$5</f>
        <v>340.5</v>
      </c>
      <c r="Z243" s="300">
        <f>(353*KFC!$B$30+KFC!$C$30)*KFC!$C$5</f>
        <v>353</v>
      </c>
      <c r="AA243" s="300">
        <f>(365.4*KFC!$B$30+KFC!$C$30)*KFC!$C$5</f>
        <v>365.4</v>
      </c>
      <c r="AB243" s="300">
        <f>(377.8*KFC!$B$30+KFC!$C$30)*KFC!$C$5</f>
        <v>377.8</v>
      </c>
      <c r="AC243" s="304">
        <f>(390.2*KFC!$B$30+KFC!$C$30)*KFC!$C$5</f>
        <v>390.2</v>
      </c>
    </row>
    <row r="244" spans="1:29">
      <c r="A244" s="1538"/>
      <c r="B244" s="637">
        <v>3.8</v>
      </c>
      <c r="C244" s="303">
        <f>(69.1*KFC!$B$30+KFC!$C$30)*KFC!$C$5</f>
        <v>69.099999999999994</v>
      </c>
      <c r="D244" s="300">
        <f>(81.8*KFC!$B$30+KFC!$C$30)*KFC!$C$5</f>
        <v>81.8</v>
      </c>
      <c r="E244" s="300">
        <f>(94.6*KFC!$B$30+KFC!$C$30)*KFC!$C$5</f>
        <v>94.6</v>
      </c>
      <c r="F244" s="300">
        <f>(107.3*KFC!$B$30+KFC!$C$30)*KFC!$C$5</f>
        <v>107.3</v>
      </c>
      <c r="G244" s="300">
        <f>(120*KFC!$B$30+KFC!$C$30)*KFC!$C$5</f>
        <v>120</v>
      </c>
      <c r="H244" s="300">
        <f>(132.8*KFC!$B$30+KFC!$C$30)*KFC!$C$5</f>
        <v>132.80000000000001</v>
      </c>
      <c r="I244" s="300">
        <f>(145.5*KFC!$B$30+KFC!$C$30)*KFC!$C$5</f>
        <v>145.5</v>
      </c>
      <c r="J244" s="300">
        <f>(158.3*KFC!$B$30+KFC!$C$30)*KFC!$C$5</f>
        <v>158.30000000000001</v>
      </c>
      <c r="K244" s="300">
        <f>(171*KFC!$B$30+KFC!$C$30)*KFC!$C$5</f>
        <v>171</v>
      </c>
      <c r="L244" s="300">
        <f>(183.7*KFC!$B$30+KFC!$C$30)*KFC!$C$5</f>
        <v>183.7</v>
      </c>
      <c r="M244" s="300">
        <f>(196.5*KFC!$B$30+KFC!$C$30)*KFC!$C$5</f>
        <v>196.5</v>
      </c>
      <c r="N244" s="300">
        <f>(209.2*KFC!$B$30+KFC!$C$30)*KFC!$C$5</f>
        <v>209.2</v>
      </c>
      <c r="O244" s="300">
        <f>(221.9*KFC!$B$30+KFC!$C$30)*KFC!$C$5</f>
        <v>221.9</v>
      </c>
      <c r="P244" s="300">
        <f>(234.7*KFC!$B$30+KFC!$C$30)*KFC!$C$5</f>
        <v>234.7</v>
      </c>
      <c r="Q244" s="300">
        <f>(247.4*KFC!$B$30+KFC!$C$30)*KFC!$C$5</f>
        <v>247.4</v>
      </c>
      <c r="R244" s="300">
        <f>(260.1*KFC!$B$30+KFC!$C$30)*KFC!$C$5</f>
        <v>260.10000000000002</v>
      </c>
      <c r="S244" s="300">
        <f>(272.9*KFC!$B$30+KFC!$C$30)*KFC!$C$5</f>
        <v>272.89999999999998</v>
      </c>
      <c r="T244" s="300">
        <f>(285.6*KFC!$B$30+KFC!$C$30)*KFC!$C$5</f>
        <v>285.60000000000002</v>
      </c>
      <c r="U244" s="300">
        <f>(298.3*KFC!$B$30+KFC!$C$30)*KFC!$C$5</f>
        <v>298.3</v>
      </c>
      <c r="V244" s="300">
        <f>(311.1*KFC!$B$30+KFC!$C$30)*KFC!$C$5</f>
        <v>311.10000000000002</v>
      </c>
      <c r="W244" s="300">
        <f>(323.8*KFC!$B$30+KFC!$C$30)*KFC!$C$5</f>
        <v>323.8</v>
      </c>
      <c r="X244" s="300">
        <f>(336.6*KFC!$B$30+KFC!$C$30)*KFC!$C$5</f>
        <v>336.6</v>
      </c>
      <c r="Y244" s="300">
        <f>(349.3*KFC!$B$30+KFC!$C$30)*KFC!$C$5</f>
        <v>349.3</v>
      </c>
      <c r="Z244" s="300">
        <f>(362*KFC!$B$30+KFC!$C$30)*KFC!$C$5</f>
        <v>362</v>
      </c>
      <c r="AA244" s="300">
        <f>(374.8*KFC!$B$30+KFC!$C$30)*KFC!$C$5</f>
        <v>374.8</v>
      </c>
      <c r="AB244" s="300">
        <f>(387.5*KFC!$B$30+KFC!$C$30)*KFC!$C$5</f>
        <v>387.5</v>
      </c>
      <c r="AC244" s="304">
        <f>(400.2*KFC!$B$30+KFC!$C$30)*KFC!$C$5</f>
        <v>400.2</v>
      </c>
    </row>
    <row r="245" spans="1:29">
      <c r="A245" s="1538"/>
      <c r="B245" s="637">
        <v>3.9</v>
      </c>
      <c r="C245" s="303">
        <f>(70.6*KFC!$B$30+KFC!$C$30)*KFC!$C$5</f>
        <v>70.599999999999994</v>
      </c>
      <c r="D245" s="300">
        <f>(83.7*KFC!$B$30+KFC!$C$30)*KFC!$C$5</f>
        <v>83.7</v>
      </c>
      <c r="E245" s="300">
        <f>(96.8*KFC!$B$30+KFC!$C$30)*KFC!$C$5</f>
        <v>96.8</v>
      </c>
      <c r="F245" s="300">
        <f>(109.8*KFC!$B$30+KFC!$C$30)*KFC!$C$5</f>
        <v>109.8</v>
      </c>
      <c r="G245" s="300">
        <f>(122.9*KFC!$B$30+KFC!$C$30)*KFC!$C$5</f>
        <v>122.9</v>
      </c>
      <c r="H245" s="300">
        <f>(135.9*KFC!$B$30+KFC!$C$30)*KFC!$C$5</f>
        <v>135.9</v>
      </c>
      <c r="I245" s="300">
        <f>(149*KFC!$B$30+KFC!$C$30)*KFC!$C$5</f>
        <v>149</v>
      </c>
      <c r="J245" s="300">
        <f>(162.1*KFC!$B$30+KFC!$C$30)*KFC!$C$5</f>
        <v>162.1</v>
      </c>
      <c r="K245" s="300">
        <f>(175.1*KFC!$B$30+KFC!$C$30)*KFC!$C$5</f>
        <v>175.1</v>
      </c>
      <c r="L245" s="300">
        <f>(188.2*KFC!$B$30+KFC!$C$30)*KFC!$C$5</f>
        <v>188.2</v>
      </c>
      <c r="M245" s="300">
        <f>(201.3*KFC!$B$30+KFC!$C$30)*KFC!$C$5</f>
        <v>201.3</v>
      </c>
      <c r="N245" s="300">
        <f>(214.3*KFC!$B$30+KFC!$C$30)*KFC!$C$5</f>
        <v>214.3</v>
      </c>
      <c r="O245" s="300">
        <f>(227.4*KFC!$B$30+KFC!$C$30)*KFC!$C$5</f>
        <v>227.4</v>
      </c>
      <c r="P245" s="300">
        <f>(240.5*KFC!$B$30+KFC!$C$30)*KFC!$C$5</f>
        <v>240.5</v>
      </c>
      <c r="Q245" s="300">
        <f>(253.5*KFC!$B$30+KFC!$C$30)*KFC!$C$5</f>
        <v>253.5</v>
      </c>
      <c r="R245" s="300">
        <f>(266.6*KFC!$B$30+KFC!$C$30)*KFC!$C$5</f>
        <v>266.60000000000002</v>
      </c>
      <c r="S245" s="300">
        <f>(279.6*KFC!$B$30+KFC!$C$30)*KFC!$C$5</f>
        <v>279.60000000000002</v>
      </c>
      <c r="T245" s="300">
        <f>(292.7*KFC!$B$30+KFC!$C$30)*KFC!$C$5</f>
        <v>292.7</v>
      </c>
      <c r="U245" s="300">
        <f>(305.8*KFC!$B$30+KFC!$C$30)*KFC!$C$5</f>
        <v>305.8</v>
      </c>
      <c r="V245" s="300">
        <f>(318.8*KFC!$B$30+KFC!$C$30)*KFC!$C$5</f>
        <v>318.8</v>
      </c>
      <c r="W245" s="300">
        <f>(331.9*KFC!$B$30+KFC!$C$30)*KFC!$C$5</f>
        <v>331.9</v>
      </c>
      <c r="X245" s="300">
        <f>(345*KFC!$B$30+KFC!$C$30)*KFC!$C$5</f>
        <v>345</v>
      </c>
      <c r="Y245" s="300">
        <f>(358*KFC!$B$30+KFC!$C$30)*KFC!$C$5</f>
        <v>358</v>
      </c>
      <c r="Z245" s="300">
        <f>(371.1*KFC!$B$30+KFC!$C$30)*KFC!$C$5</f>
        <v>371.1</v>
      </c>
      <c r="AA245" s="300">
        <f>(384.2*KFC!$B$30+KFC!$C$30)*KFC!$C$5</f>
        <v>384.2</v>
      </c>
      <c r="AB245" s="300">
        <f>(397.2*KFC!$B$30+KFC!$C$30)*KFC!$C$5</f>
        <v>397.2</v>
      </c>
      <c r="AC245" s="304">
        <f>(410.3*KFC!$B$30+KFC!$C$30)*KFC!$C$5</f>
        <v>410.3</v>
      </c>
    </row>
    <row r="246" spans="1:29">
      <c r="A246" s="1538"/>
      <c r="B246" s="637">
        <v>4</v>
      </c>
      <c r="C246" s="303">
        <f>(72.2*KFC!$B$30+KFC!$C$30)*KFC!$C$5</f>
        <v>72.2</v>
      </c>
      <c r="D246" s="300">
        <f>(85.5*KFC!$B$30+KFC!$C$30)*KFC!$C$5</f>
        <v>85.5</v>
      </c>
      <c r="E246" s="300">
        <f>(98.9*KFC!$B$30+KFC!$C$30)*KFC!$C$5</f>
        <v>98.9</v>
      </c>
      <c r="F246" s="300">
        <f>(112.3*KFC!$B$30+KFC!$C$30)*KFC!$C$5</f>
        <v>112.3</v>
      </c>
      <c r="G246" s="300">
        <f>(125.7*KFC!$B$30+KFC!$C$30)*KFC!$C$5</f>
        <v>125.7</v>
      </c>
      <c r="H246" s="300">
        <f>(139.1*KFC!$B$30+KFC!$C$30)*KFC!$C$5</f>
        <v>139.1</v>
      </c>
      <c r="I246" s="300">
        <f>(152.5*KFC!$B$30+KFC!$C$30)*KFC!$C$5</f>
        <v>152.5</v>
      </c>
      <c r="J246" s="300">
        <f>(165.9*KFC!$B$30+KFC!$C$30)*KFC!$C$5</f>
        <v>165.9</v>
      </c>
      <c r="K246" s="300">
        <f>(179.3*KFC!$B$30+KFC!$C$30)*KFC!$C$5</f>
        <v>179.3</v>
      </c>
      <c r="L246" s="300">
        <f>(192.7*KFC!$B$30+KFC!$C$30)*KFC!$C$5</f>
        <v>192.7</v>
      </c>
      <c r="M246" s="300">
        <f>(206.1*KFC!$B$30+KFC!$C$30)*KFC!$C$5</f>
        <v>206.1</v>
      </c>
      <c r="N246" s="300">
        <f>(219.5*KFC!$B$30+KFC!$C$30)*KFC!$C$5</f>
        <v>219.5</v>
      </c>
      <c r="O246" s="300">
        <f>(232.9*KFC!$B$30+KFC!$C$30)*KFC!$C$5</f>
        <v>232.9</v>
      </c>
      <c r="P246" s="300">
        <f>(246.2*KFC!$B$30+KFC!$C$30)*KFC!$C$5</f>
        <v>246.2</v>
      </c>
      <c r="Q246" s="300">
        <f>(259.6*KFC!$B$30+KFC!$C$30)*KFC!$C$5</f>
        <v>259.60000000000002</v>
      </c>
      <c r="R246" s="300">
        <f>(273*KFC!$B$30+KFC!$C$30)*KFC!$C$5</f>
        <v>273</v>
      </c>
      <c r="S246" s="300">
        <f>(286.4*KFC!$B$30+KFC!$C$30)*KFC!$C$5</f>
        <v>286.39999999999998</v>
      </c>
      <c r="T246" s="300">
        <f>(299.8*KFC!$B$30+KFC!$C$30)*KFC!$C$5</f>
        <v>299.8</v>
      </c>
      <c r="U246" s="300">
        <f>(313.2*KFC!$B$30+KFC!$C$30)*KFC!$C$5</f>
        <v>313.2</v>
      </c>
      <c r="V246" s="300">
        <f>(326.6*KFC!$B$30+KFC!$C$30)*KFC!$C$5</f>
        <v>326.60000000000002</v>
      </c>
      <c r="W246" s="300">
        <f>(340*KFC!$B$30+KFC!$C$30)*KFC!$C$5</f>
        <v>340</v>
      </c>
      <c r="X246" s="300">
        <f>(353.4*KFC!$B$30+KFC!$C$30)*KFC!$C$5</f>
        <v>353.4</v>
      </c>
      <c r="Y246" s="300">
        <f>(366.8*KFC!$B$30+KFC!$C$30)*KFC!$C$5</f>
        <v>366.8</v>
      </c>
      <c r="Z246" s="300">
        <f>(380.2*KFC!$B$30+KFC!$C$30)*KFC!$C$5</f>
        <v>380.2</v>
      </c>
      <c r="AA246" s="300">
        <f>(393.6*KFC!$B$30+KFC!$C$30)*KFC!$C$5</f>
        <v>393.6</v>
      </c>
      <c r="AB246" s="300">
        <f>(406.9*KFC!$B$30+KFC!$C$30)*KFC!$C$5</f>
        <v>406.9</v>
      </c>
      <c r="AC246" s="304">
        <f>(420.3*KFC!$B$30+KFC!$C$30)*KFC!$C$5</f>
        <v>420.3</v>
      </c>
    </row>
    <row r="247" spans="1:29" ht="13.8" thickBot="1">
      <c r="A247" s="1539"/>
      <c r="B247" s="638">
        <v>4.05</v>
      </c>
      <c r="C247" s="305">
        <f>(73.7*KFC!$B$30+KFC!$C$30)*KFC!$C$5</f>
        <v>73.7</v>
      </c>
      <c r="D247" s="306">
        <f>(87.4*KFC!$B$30+KFC!$C$30)*KFC!$C$5</f>
        <v>87.4</v>
      </c>
      <c r="E247" s="306">
        <f>(101.1*KFC!$B$30+KFC!$C$30)*KFC!$C$5</f>
        <v>101.1</v>
      </c>
      <c r="F247" s="306">
        <f>(114.8*KFC!$B$30+KFC!$C$30)*KFC!$C$5</f>
        <v>114.8</v>
      </c>
      <c r="G247" s="306">
        <f>(128.6*KFC!$B$30+KFC!$C$30)*KFC!$C$5</f>
        <v>128.6</v>
      </c>
      <c r="H247" s="306">
        <f>(142.3*KFC!$B$30+KFC!$C$30)*KFC!$C$5</f>
        <v>142.30000000000001</v>
      </c>
      <c r="I247" s="306">
        <f>(156*KFC!$B$30+KFC!$C$30)*KFC!$C$5</f>
        <v>156</v>
      </c>
      <c r="J247" s="306">
        <f>(169.7*KFC!$B$30+KFC!$C$30)*KFC!$C$5</f>
        <v>169.7</v>
      </c>
      <c r="K247" s="306">
        <f>(183.4*KFC!$B$30+KFC!$C$30)*KFC!$C$5</f>
        <v>183.4</v>
      </c>
      <c r="L247" s="306">
        <f>(197.2*KFC!$B$30+KFC!$C$30)*KFC!$C$5</f>
        <v>197.2</v>
      </c>
      <c r="M247" s="306">
        <f>(210.9*KFC!$B$30+KFC!$C$30)*KFC!$C$5</f>
        <v>210.9</v>
      </c>
      <c r="N247" s="306">
        <f>(224.6*KFC!$B$30+KFC!$C$30)*KFC!$C$5</f>
        <v>224.6</v>
      </c>
      <c r="O247" s="306">
        <f>(238.3*KFC!$B$30+KFC!$C$30)*KFC!$C$5</f>
        <v>238.3</v>
      </c>
      <c r="P247" s="306">
        <f>(252*KFC!$B$30+KFC!$C$30)*KFC!$C$5</f>
        <v>252</v>
      </c>
      <c r="Q247" s="306">
        <f>(265.8*KFC!$B$30+KFC!$C$30)*KFC!$C$5</f>
        <v>265.8</v>
      </c>
      <c r="R247" s="306">
        <f>(279.5*KFC!$B$30+KFC!$C$30)*KFC!$C$5</f>
        <v>279.5</v>
      </c>
      <c r="S247" s="306">
        <f>(293.2*KFC!$B$30+KFC!$C$30)*KFC!$C$5</f>
        <v>293.2</v>
      </c>
      <c r="T247" s="306">
        <f>(306.9*KFC!$B$30+KFC!$C$30)*KFC!$C$5</f>
        <v>306.89999999999998</v>
      </c>
      <c r="U247" s="306">
        <f>(320.6*KFC!$B$30+KFC!$C$30)*KFC!$C$5</f>
        <v>320.60000000000002</v>
      </c>
      <c r="V247" s="306">
        <f>(334.4*KFC!$B$30+KFC!$C$30)*KFC!$C$5</f>
        <v>334.4</v>
      </c>
      <c r="W247" s="306">
        <f>(348.1*KFC!$B$30+KFC!$C$30)*KFC!$C$5</f>
        <v>348.1</v>
      </c>
      <c r="X247" s="306">
        <f>(361.8*KFC!$B$30+KFC!$C$30)*KFC!$C$5</f>
        <v>361.8</v>
      </c>
      <c r="Y247" s="306">
        <f>(375.5*KFC!$B$30+KFC!$C$30)*KFC!$C$5</f>
        <v>375.5</v>
      </c>
      <c r="Z247" s="306">
        <f>(389.2*KFC!$B$30+KFC!$C$30)*KFC!$C$5</f>
        <v>389.2</v>
      </c>
      <c r="AA247" s="306">
        <f>(403*KFC!$B$30+KFC!$C$30)*KFC!$C$5</f>
        <v>403</v>
      </c>
      <c r="AB247" s="306">
        <f>(416.7*KFC!$B$30+KFC!$C$30)*KFC!$C$5</f>
        <v>416.7</v>
      </c>
      <c r="AC247" s="307">
        <f>(430.4*KFC!$B$30+KFC!$C$30)*KFC!$C$5</f>
        <v>430.4</v>
      </c>
    </row>
    <row r="248" spans="1:29" ht="13.8" thickBot="1">
      <c r="A248" s="349" t="s">
        <v>303</v>
      </c>
    </row>
  </sheetData>
  <mergeCells count="20">
    <mergeCell ref="A7:AC7"/>
    <mergeCell ref="A49:B50"/>
    <mergeCell ref="A51:A87"/>
    <mergeCell ref="A89:B90"/>
    <mergeCell ref="A9:B10"/>
    <mergeCell ref="C9:AC9"/>
    <mergeCell ref="A11:A47"/>
    <mergeCell ref="C49:AC49"/>
    <mergeCell ref="A8:F8"/>
    <mergeCell ref="C89:AC89"/>
    <mergeCell ref="C129:AC129"/>
    <mergeCell ref="C169:AC169"/>
    <mergeCell ref="C209:AC209"/>
    <mergeCell ref="A211:A247"/>
    <mergeCell ref="A91:A127"/>
    <mergeCell ref="A169:B170"/>
    <mergeCell ref="A129:B130"/>
    <mergeCell ref="A209:B210"/>
    <mergeCell ref="A171:A207"/>
    <mergeCell ref="A131:A167"/>
  </mergeCells>
  <phoneticPr fontId="7" type="noConversion"/>
  <pageMargins left="0.39370078740157483" right="0" top="0" bottom="0" header="0" footer="0"/>
  <pageSetup paperSize="9" scale="87" fitToHeight="6" orientation="landscape" r:id="rId1"/>
  <headerFooter alignWithMargins="0"/>
  <rowBreaks count="5" manualBreakCount="5">
    <brk id="48" max="28" man="1"/>
    <brk id="88" max="28" man="1"/>
    <brk id="128" max="28" man="1"/>
    <brk id="168" max="28" man="1"/>
    <brk id="208" max="28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41E96C-AE0D-4A87-8FD7-FD41EDB000DE}">
  <sheetPr codeName="Лист21">
    <tabColor indexed="45"/>
  </sheetPr>
  <dimension ref="A1:R137"/>
  <sheetViews>
    <sheetView zoomScaleNormal="100" zoomScaleSheetLayoutView="100" workbookViewId="0">
      <pane ySplit="1" topLeftCell="A7" activePane="bottomLeft" state="frozen"/>
      <selection pane="bottomLeft" activeCell="V19" sqref="V19"/>
    </sheetView>
  </sheetViews>
  <sheetFormatPr defaultColWidth="9.109375" defaultRowHeight="13.2"/>
  <cols>
    <col min="1" max="1" width="18.44140625" style="1" customWidth="1"/>
    <col min="2" max="2" width="11.109375" style="1" customWidth="1"/>
    <col min="3" max="3" width="18.44140625" style="1" customWidth="1"/>
    <col min="4" max="4" width="10.5546875" style="1" customWidth="1"/>
    <col min="5" max="5" width="18" style="1" customWidth="1"/>
    <col min="6" max="6" width="10" style="1" customWidth="1"/>
    <col min="7" max="7" width="16.6640625" style="1" customWidth="1"/>
    <col min="8" max="8" width="11.109375" style="1" bestFit="1" customWidth="1"/>
    <col min="9" max="9" width="9.109375" style="1"/>
    <col min="10" max="10" width="0" style="1" hidden="1" customWidth="1"/>
    <col min="11" max="11" width="18.6640625" style="1" hidden="1" customWidth="1"/>
    <col min="12" max="12" width="11.109375" style="1" hidden="1" customWidth="1"/>
    <col min="13" max="13" width="18.44140625" style="1" hidden="1" customWidth="1"/>
    <col min="14" max="14" width="10.5546875" style="1" hidden="1" customWidth="1"/>
    <col min="15" max="15" width="19" style="1" hidden="1" customWidth="1"/>
    <col min="16" max="16" width="10" style="1" hidden="1" customWidth="1"/>
    <col min="17" max="17" width="16.6640625" style="1" hidden="1" customWidth="1"/>
    <col min="18" max="18" width="11.109375" style="1" hidden="1" customWidth="1"/>
    <col min="19" max="19" width="0" style="1" hidden="1" customWidth="1"/>
    <col min="20" max="16384" width="9.109375" style="1"/>
  </cols>
  <sheetData>
    <row r="1" spans="1:18" ht="15.75" customHeight="1">
      <c r="A1" s="45"/>
      <c r="B1" s="46"/>
      <c r="C1" s="47"/>
      <c r="D1" s="21"/>
      <c r="E1" s="41"/>
    </row>
    <row r="2" spans="1:18" ht="15.6" customHeight="1">
      <c r="A2" s="1033" t="s">
        <v>288</v>
      </c>
      <c r="B2" s="1033"/>
      <c r="C2" s="1033"/>
      <c r="D2" s="1033"/>
      <c r="E2" s="1033"/>
      <c r="F2" s="1033"/>
      <c r="G2" s="1033"/>
      <c r="H2" s="1033"/>
    </row>
    <row r="3" spans="1:18" ht="13.2" customHeight="1">
      <c r="A3" s="1060" t="s">
        <v>593</v>
      </c>
      <c r="B3" s="1060"/>
      <c r="C3" s="1062" t="s">
        <v>587</v>
      </c>
      <c r="D3" s="1062"/>
      <c r="E3" s="1062"/>
      <c r="F3" s="1062"/>
      <c r="G3" s="1062"/>
      <c r="H3" s="1062"/>
    </row>
    <row r="4" spans="1:18" ht="13.2" customHeight="1">
      <c r="A4" s="1060" t="s">
        <v>589</v>
      </c>
      <c r="B4" s="1060"/>
      <c r="C4" s="1062" t="s">
        <v>588</v>
      </c>
      <c r="D4" s="1062"/>
      <c r="E4" s="1062"/>
      <c r="F4" s="1062"/>
      <c r="G4" s="1062"/>
      <c r="H4" s="1062"/>
    </row>
    <row r="5" spans="1:18" ht="18.600000000000001" customHeight="1">
      <c r="A5" s="1067" t="s">
        <v>586</v>
      </c>
      <c r="B5" s="1067"/>
      <c r="C5" s="1067"/>
      <c r="D5" s="1067"/>
      <c r="E5" s="1067"/>
      <c r="F5" s="1067"/>
      <c r="G5" s="1067"/>
      <c r="H5" s="1067"/>
    </row>
    <row r="6" spans="1:18" ht="16.2" thickBot="1">
      <c r="A6" s="374" t="s">
        <v>418</v>
      </c>
      <c r="B6" s="375"/>
      <c r="C6" s="375"/>
      <c r="D6" s="375"/>
      <c r="E6" s="375"/>
      <c r="F6" s="375"/>
      <c r="G6" s="375"/>
      <c r="H6" s="375"/>
    </row>
    <row r="7" spans="1:18" ht="30">
      <c r="A7" s="131" t="s">
        <v>95</v>
      </c>
      <c r="B7" s="131" t="s">
        <v>19</v>
      </c>
      <c r="C7" s="135" t="s">
        <v>95</v>
      </c>
      <c r="D7" s="606" t="s">
        <v>19</v>
      </c>
      <c r="E7" s="131" t="s">
        <v>95</v>
      </c>
      <c r="F7" s="131" t="s">
        <v>19</v>
      </c>
      <c r="G7" s="135" t="s">
        <v>95</v>
      </c>
      <c r="H7" s="131" t="s">
        <v>19</v>
      </c>
      <c r="K7" s="131" t="s">
        <v>95</v>
      </c>
      <c r="L7" s="131" t="s">
        <v>19</v>
      </c>
      <c r="M7" s="135" t="s">
        <v>95</v>
      </c>
      <c r="N7" s="606" t="s">
        <v>19</v>
      </c>
      <c r="O7" s="131" t="s">
        <v>95</v>
      </c>
      <c r="P7" s="131" t="s">
        <v>19</v>
      </c>
      <c r="Q7" s="135" t="s">
        <v>95</v>
      </c>
      <c r="R7" s="131" t="s">
        <v>19</v>
      </c>
    </row>
    <row r="8" spans="1:18" ht="15" customHeight="1">
      <c r="A8" s="967" t="s">
        <v>105</v>
      </c>
      <c r="B8" s="968">
        <f>(L8*KFC!$B$9+KFC!$C$9)*курс_уе</f>
        <v>13.530000000000001</v>
      </c>
      <c r="C8" s="967" t="s">
        <v>422</v>
      </c>
      <c r="D8" s="968">
        <f>(N8*KFC!$B$9+KFC!$C$9)*курс_уе</f>
        <v>12.980000000000002</v>
      </c>
      <c r="E8" s="967" t="s">
        <v>430</v>
      </c>
      <c r="F8" s="968">
        <f>(P8*KFC!$B$9+KFC!$C$9)*курс_уе</f>
        <v>18.920000000000002</v>
      </c>
      <c r="G8" s="969" t="s">
        <v>1277</v>
      </c>
      <c r="H8" s="968">
        <f>(R8*KFC!$B$9+KFC!$C$9)*курс_уе</f>
        <v>10.7</v>
      </c>
      <c r="K8" s="967" t="s">
        <v>105</v>
      </c>
      <c r="L8" s="968">
        <v>13.530000000000001</v>
      </c>
      <c r="M8" s="967" t="s">
        <v>422</v>
      </c>
      <c r="N8" s="968">
        <v>12.980000000000002</v>
      </c>
      <c r="O8" s="967" t="s">
        <v>430</v>
      </c>
      <c r="P8" s="968">
        <v>18.920000000000002</v>
      </c>
      <c r="Q8" s="967" t="s">
        <v>1277</v>
      </c>
      <c r="R8" s="968">
        <v>10.7</v>
      </c>
    </row>
    <row r="9" spans="1:18" ht="15" customHeight="1">
      <c r="A9" s="967" t="s">
        <v>419</v>
      </c>
      <c r="B9" s="968">
        <f>(L9*KFC!$B$9+KFC!$C$9)*курс_уе</f>
        <v>20.02</v>
      </c>
      <c r="C9" s="967" t="s">
        <v>423</v>
      </c>
      <c r="D9" s="968">
        <f>(N9*KFC!$B$9+KFC!$C$9)*курс_уе</f>
        <v>15.400000000000002</v>
      </c>
      <c r="E9" s="967" t="s">
        <v>100</v>
      </c>
      <c r="F9" s="968">
        <f>(P9*KFC!$B$9+KFC!$C$9)*курс_уе</f>
        <v>15.400000000000002</v>
      </c>
      <c r="G9" s="967" t="s">
        <v>435</v>
      </c>
      <c r="H9" s="968">
        <f>(R9*KFC!$B$9+KFC!$C$9)*курс_уе</f>
        <v>11.77</v>
      </c>
      <c r="K9" s="967" t="s">
        <v>419</v>
      </c>
      <c r="L9" s="968">
        <v>20.02</v>
      </c>
      <c r="M9" s="967" t="s">
        <v>423</v>
      </c>
      <c r="N9" s="968">
        <v>15.400000000000002</v>
      </c>
      <c r="O9" s="967" t="s">
        <v>100</v>
      </c>
      <c r="P9" s="968">
        <v>15.400000000000002</v>
      </c>
      <c r="Q9" s="967" t="s">
        <v>435</v>
      </c>
      <c r="R9" s="968">
        <v>11.77</v>
      </c>
    </row>
    <row r="10" spans="1:18" ht="15" customHeight="1">
      <c r="A10" s="967" t="s">
        <v>162</v>
      </c>
      <c r="B10" s="968">
        <f>(L10*KFC!$B$9+KFC!$C$9)*курс_уе</f>
        <v>15.400000000000002</v>
      </c>
      <c r="C10" s="967" t="s">
        <v>424</v>
      </c>
      <c r="D10" s="968">
        <f>(N10*KFC!$B$9+KFC!$C$9)*курс_уе</f>
        <v>11.77</v>
      </c>
      <c r="E10" s="969" t="s">
        <v>1272</v>
      </c>
      <c r="F10" s="968">
        <f>(P10*KFC!$B$9+KFC!$C$9)*курс_уе</f>
        <v>19</v>
      </c>
      <c r="G10" s="967" t="s">
        <v>436</v>
      </c>
      <c r="H10" s="968">
        <f>(R10*KFC!$B$9+KFC!$C$9)*курс_уе</f>
        <v>16.5</v>
      </c>
      <c r="K10" s="967" t="s">
        <v>162</v>
      </c>
      <c r="L10" s="968">
        <v>15.400000000000002</v>
      </c>
      <c r="M10" s="967" t="s">
        <v>424</v>
      </c>
      <c r="N10" s="968">
        <v>11.77</v>
      </c>
      <c r="O10" s="967" t="s">
        <v>1272</v>
      </c>
      <c r="P10" s="968">
        <v>19</v>
      </c>
      <c r="Q10" s="967" t="s">
        <v>436</v>
      </c>
      <c r="R10" s="968">
        <v>16.5</v>
      </c>
    </row>
    <row r="11" spans="1:18" ht="15" customHeight="1">
      <c r="A11" s="967" t="s">
        <v>420</v>
      </c>
      <c r="B11" s="968">
        <f>(L11*KFC!$B$9+KFC!$C$9)*курс_уе</f>
        <v>20.02</v>
      </c>
      <c r="C11" s="969" t="s">
        <v>1268</v>
      </c>
      <c r="D11" s="968">
        <f>(N11*KFC!$B$9+KFC!$C$9)*курс_уе</f>
        <v>9.5</v>
      </c>
      <c r="E11" s="967" t="s">
        <v>438</v>
      </c>
      <c r="F11" s="968">
        <f>(P11*KFC!$B$9+KFC!$C$9)*курс_уе</f>
        <v>15.400000000000002</v>
      </c>
      <c r="G11" s="967" t="s">
        <v>394</v>
      </c>
      <c r="H11" s="968">
        <f>(R11*KFC!$B$9+KFC!$C$9)*курс_уе</f>
        <v>23.87</v>
      </c>
      <c r="K11" s="967" t="s">
        <v>420</v>
      </c>
      <c r="L11" s="968">
        <v>20.02</v>
      </c>
      <c r="M11" s="967" t="s">
        <v>1268</v>
      </c>
      <c r="N11" s="968">
        <v>9.5</v>
      </c>
      <c r="O11" s="967" t="s">
        <v>438</v>
      </c>
      <c r="P11" s="968">
        <v>15.400000000000002</v>
      </c>
      <c r="Q11" s="967" t="s">
        <v>394</v>
      </c>
      <c r="R11" s="968">
        <v>23.87</v>
      </c>
    </row>
    <row r="12" spans="1:18" ht="15" customHeight="1">
      <c r="A12" s="969" t="s">
        <v>1261</v>
      </c>
      <c r="B12" s="968">
        <f>(L12*KFC!$B$9+KFC!$C$9)*курс_уе</f>
        <v>11</v>
      </c>
      <c r="C12" s="967" t="s">
        <v>425</v>
      </c>
      <c r="D12" s="968">
        <f>(N12*KFC!$B$9+KFC!$C$9)*курс_уе</f>
        <v>20.02</v>
      </c>
      <c r="E12" s="967" t="s">
        <v>439</v>
      </c>
      <c r="F12" s="968">
        <f>(P12*KFC!$B$9+KFC!$C$9)*курс_уе</f>
        <v>15.400000000000002</v>
      </c>
      <c r="G12" s="967" t="s">
        <v>395</v>
      </c>
      <c r="H12" s="968">
        <f>(R12*KFC!$B$9+KFC!$C$9)*курс_уе</f>
        <v>22.77</v>
      </c>
      <c r="K12" s="967" t="s">
        <v>1261</v>
      </c>
      <c r="L12" s="968">
        <v>11</v>
      </c>
      <c r="M12" s="967" t="s">
        <v>425</v>
      </c>
      <c r="N12" s="968">
        <v>20.02</v>
      </c>
      <c r="O12" s="967" t="s">
        <v>439</v>
      </c>
      <c r="P12" s="968">
        <v>15.400000000000002</v>
      </c>
      <c r="Q12" s="967" t="s">
        <v>395</v>
      </c>
      <c r="R12" s="968">
        <v>22.77</v>
      </c>
    </row>
    <row r="13" spans="1:18" ht="15" customHeight="1">
      <c r="A13" s="967" t="s">
        <v>421</v>
      </c>
      <c r="B13" s="968">
        <f>(L13*KFC!$B$9+KFC!$C$9)*курс_уе</f>
        <v>15.400000000000002</v>
      </c>
      <c r="C13" s="967" t="s">
        <v>426</v>
      </c>
      <c r="D13" s="968">
        <f>(N13*KFC!$B$9+KFC!$C$9)*курс_уе</f>
        <v>8.1950000000000003</v>
      </c>
      <c r="E13" s="969" t="s">
        <v>1273</v>
      </c>
      <c r="F13" s="968">
        <f>(P13*KFC!$B$9+KFC!$C$9)*курс_уе</f>
        <v>16.899999999999999</v>
      </c>
      <c r="G13" s="967" t="s">
        <v>393</v>
      </c>
      <c r="H13" s="968">
        <f>(R13*KFC!$B$9+KFC!$C$9)*курс_уе</f>
        <v>21.67</v>
      </c>
      <c r="K13" s="967" t="s">
        <v>421</v>
      </c>
      <c r="L13" s="968">
        <v>15.400000000000002</v>
      </c>
      <c r="M13" s="967" t="s">
        <v>426</v>
      </c>
      <c r="N13" s="968">
        <v>8.1950000000000003</v>
      </c>
      <c r="O13" s="967" t="s">
        <v>1273</v>
      </c>
      <c r="P13" s="968">
        <v>16.899999999999999</v>
      </c>
      <c r="Q13" s="967" t="s">
        <v>393</v>
      </c>
      <c r="R13" s="968">
        <v>21.67</v>
      </c>
    </row>
    <row r="14" spans="1:18" ht="15" customHeight="1">
      <c r="A14" s="967" t="s">
        <v>251</v>
      </c>
      <c r="B14" s="968">
        <f>(L14*KFC!$B$9+KFC!$C$9)*курс_уе</f>
        <v>13.530000000000001</v>
      </c>
      <c r="C14" s="969" t="s">
        <v>1269</v>
      </c>
      <c r="D14" s="968">
        <f>(N14*KFC!$B$9+KFC!$C$9)*курс_уе</f>
        <v>7.9</v>
      </c>
      <c r="E14" s="967" t="s">
        <v>431</v>
      </c>
      <c r="F14" s="968">
        <f>(P14*KFC!$B$9+KFC!$C$9)*курс_уе</f>
        <v>11.77</v>
      </c>
      <c r="G14" s="969" t="s">
        <v>1278</v>
      </c>
      <c r="H14" s="968">
        <f>(R14*KFC!$B$9+KFC!$C$9)*курс_уе</f>
        <v>27</v>
      </c>
      <c r="K14" s="967" t="s">
        <v>251</v>
      </c>
      <c r="L14" s="968">
        <v>13.530000000000001</v>
      </c>
      <c r="M14" s="967" t="s">
        <v>1269</v>
      </c>
      <c r="N14" s="968">
        <v>7.9</v>
      </c>
      <c r="O14" s="967" t="s">
        <v>431</v>
      </c>
      <c r="P14" s="968">
        <v>11.77</v>
      </c>
      <c r="Q14" s="967" t="s">
        <v>1278</v>
      </c>
      <c r="R14" s="968">
        <v>27</v>
      </c>
    </row>
    <row r="15" spans="1:18" ht="15" customHeight="1">
      <c r="A15" s="969" t="s">
        <v>1263</v>
      </c>
      <c r="B15" s="968">
        <f>(L15*KFC!$B$9+KFC!$C$9)*курс_уе</f>
        <v>13.3</v>
      </c>
      <c r="C15" s="969" t="s">
        <v>1270</v>
      </c>
      <c r="D15" s="968">
        <f>(N15*KFC!$B$9+KFC!$C$9)*курс_уе</f>
        <v>7.1</v>
      </c>
      <c r="E15" s="969" t="s">
        <v>1274</v>
      </c>
      <c r="F15" s="968">
        <f>(P15*KFC!$B$9+KFC!$C$9)*курс_уе</f>
        <v>11.2</v>
      </c>
      <c r="G15" s="969" t="s">
        <v>1279</v>
      </c>
      <c r="H15" s="968">
        <f>(R15*KFC!$B$9+KFC!$C$9)*курс_уе</f>
        <v>22.5</v>
      </c>
      <c r="K15" s="967" t="s">
        <v>1263</v>
      </c>
      <c r="L15" s="968">
        <v>13.3</v>
      </c>
      <c r="M15" s="967" t="s">
        <v>1270</v>
      </c>
      <c r="N15" s="968">
        <v>7.1</v>
      </c>
      <c r="O15" s="967" t="s">
        <v>1274</v>
      </c>
      <c r="P15" s="968">
        <v>11.2</v>
      </c>
      <c r="Q15" s="967" t="s">
        <v>1279</v>
      </c>
      <c r="R15" s="968">
        <v>22.5</v>
      </c>
    </row>
    <row r="16" spans="1:18" ht="15" customHeight="1">
      <c r="A16" s="969" t="s">
        <v>1262</v>
      </c>
      <c r="B16" s="968">
        <f>(L16*KFC!$B$9+KFC!$C$9)*курс_уе</f>
        <v>12</v>
      </c>
      <c r="C16" s="967" t="s">
        <v>427</v>
      </c>
      <c r="D16" s="968">
        <f>(N16*KFC!$B$9+KFC!$C$9)*курс_уе</f>
        <v>10.340000000000002</v>
      </c>
      <c r="E16" s="969" t="s">
        <v>1275</v>
      </c>
      <c r="F16" s="968">
        <f>(P16*KFC!$B$9+KFC!$C$9)*курс_уе</f>
        <v>11</v>
      </c>
      <c r="G16" s="969" t="s">
        <v>1280</v>
      </c>
      <c r="H16" s="968">
        <f>(R16*KFC!$B$9+KFC!$C$9)*курс_уе</f>
        <v>12.9</v>
      </c>
      <c r="K16" s="967" t="s">
        <v>1262</v>
      </c>
      <c r="L16" s="968">
        <v>12</v>
      </c>
      <c r="M16" s="967" t="s">
        <v>427</v>
      </c>
      <c r="N16" s="968">
        <v>10.340000000000002</v>
      </c>
      <c r="O16" s="967" t="s">
        <v>1275</v>
      </c>
      <c r="P16" s="968">
        <v>11</v>
      </c>
      <c r="Q16" s="967" t="s">
        <v>1280</v>
      </c>
      <c r="R16" s="968">
        <v>12.9</v>
      </c>
    </row>
    <row r="17" spans="1:18" ht="15" customHeight="1">
      <c r="A17" s="969" t="s">
        <v>1265</v>
      </c>
      <c r="B17" s="968">
        <f>(L17*KFC!$B$9+KFC!$C$9)*курс_уе</f>
        <v>15</v>
      </c>
      <c r="C17" s="967" t="s">
        <v>116</v>
      </c>
      <c r="D17" s="968">
        <f>(N17*KFC!$B$9+KFC!$C$9)*курс_уе</f>
        <v>18.920000000000002</v>
      </c>
      <c r="E17" s="969" t="s">
        <v>1276</v>
      </c>
      <c r="F17" s="968">
        <f>(P17*KFC!$B$9+KFC!$C$9)*курс_уе</f>
        <v>13</v>
      </c>
      <c r="G17" s="967" t="s">
        <v>97</v>
      </c>
      <c r="H17" s="968">
        <f>(R17*KFC!$B$9+KFC!$C$9)*курс_уе</f>
        <v>14.080000000000002</v>
      </c>
      <c r="K17" s="967" t="s">
        <v>1265</v>
      </c>
      <c r="L17" s="968">
        <v>15</v>
      </c>
      <c r="M17" s="967" t="s">
        <v>116</v>
      </c>
      <c r="N17" s="968">
        <v>18.920000000000002</v>
      </c>
      <c r="O17" s="967" t="s">
        <v>1276</v>
      </c>
      <c r="P17" s="968">
        <v>13</v>
      </c>
      <c r="Q17" s="967" t="s">
        <v>97</v>
      </c>
      <c r="R17" s="968">
        <v>14.080000000000002</v>
      </c>
    </row>
    <row r="18" spans="1:18" ht="15" customHeight="1">
      <c r="A18" s="969" t="s">
        <v>1264</v>
      </c>
      <c r="B18" s="968">
        <f>(L18*KFC!$B$9+KFC!$C$9)*курс_уе</f>
        <v>13.4</v>
      </c>
      <c r="C18" s="969" t="s">
        <v>1271</v>
      </c>
      <c r="D18" s="968">
        <f>(N18*KFC!$B$9+KFC!$C$9)*курс_уе</f>
        <v>8.5</v>
      </c>
      <c r="E18" s="967" t="s">
        <v>433</v>
      </c>
      <c r="F18" s="968">
        <f>(P18*KFC!$B$9+KFC!$C$9)*курс_уе</f>
        <v>11.77</v>
      </c>
      <c r="G18" s="967" t="s">
        <v>115</v>
      </c>
      <c r="H18" s="968">
        <f>(R18*KFC!$B$9+KFC!$C$9)*курс_уе</f>
        <v>15.400000000000002</v>
      </c>
      <c r="K18" s="967" t="s">
        <v>1264</v>
      </c>
      <c r="L18" s="968">
        <v>13.4</v>
      </c>
      <c r="M18" s="967" t="s">
        <v>1271</v>
      </c>
      <c r="N18" s="968">
        <v>8.5</v>
      </c>
      <c r="O18" s="967" t="s">
        <v>433</v>
      </c>
      <c r="P18" s="968">
        <v>11.77</v>
      </c>
      <c r="Q18" s="967" t="s">
        <v>115</v>
      </c>
      <c r="R18" s="968">
        <v>15.400000000000002</v>
      </c>
    </row>
    <row r="19" spans="1:18" ht="15" customHeight="1">
      <c r="A19" s="969" t="s">
        <v>1267</v>
      </c>
      <c r="B19" s="968">
        <f>(L19*KFC!$B$9+KFC!$C$9)*курс_уе</f>
        <v>23</v>
      </c>
      <c r="C19" s="967" t="s">
        <v>428</v>
      </c>
      <c r="D19" s="968">
        <f>(N19*KFC!$B$9+KFC!$C$9)*курс_уе</f>
        <v>14.080000000000002</v>
      </c>
      <c r="E19" s="967" t="s">
        <v>434</v>
      </c>
      <c r="F19" s="968">
        <f>(P19*KFC!$B$9+KFC!$C$9)*курс_уе</f>
        <v>11.77</v>
      </c>
      <c r="G19" s="969" t="s">
        <v>1281</v>
      </c>
      <c r="H19" s="968">
        <f>(R19*KFC!$B$9+KFC!$C$9)*курс_уе</f>
        <v>21.3</v>
      </c>
      <c r="K19" s="967" t="s">
        <v>1267</v>
      </c>
      <c r="L19" s="968">
        <v>23</v>
      </c>
      <c r="M19" s="967" t="s">
        <v>428</v>
      </c>
      <c r="N19" s="968">
        <v>14.080000000000002</v>
      </c>
      <c r="O19" s="967" t="s">
        <v>434</v>
      </c>
      <c r="P19" s="968">
        <v>11.77</v>
      </c>
      <c r="Q19" s="967" t="s">
        <v>1281</v>
      </c>
      <c r="R19" s="968">
        <v>21.3</v>
      </c>
    </row>
    <row r="20" spans="1:18" ht="15" customHeight="1">
      <c r="A20" s="969" t="s">
        <v>1266</v>
      </c>
      <c r="B20" s="968">
        <f>(L20*KFC!$B$9+KFC!$C$9)*курс_уе</f>
        <v>15.8</v>
      </c>
      <c r="C20" s="967" t="s">
        <v>429</v>
      </c>
      <c r="D20" s="968">
        <f>(N20*KFC!$B$9+KFC!$C$9)*курс_уе</f>
        <v>12.980000000000002</v>
      </c>
      <c r="E20" s="967" t="s">
        <v>56</v>
      </c>
      <c r="F20" s="968">
        <f>(P20*KFC!$B$9+KFC!$C$9)*курс_уе</f>
        <v>16.5</v>
      </c>
      <c r="G20" s="967" t="s">
        <v>101</v>
      </c>
      <c r="H20" s="968">
        <f>(R20*KFC!$B$9+KFC!$C$9)*курс_уе</f>
        <v>14.080000000000002</v>
      </c>
      <c r="K20" s="967" t="s">
        <v>1266</v>
      </c>
      <c r="L20" s="968">
        <v>15.8</v>
      </c>
      <c r="M20" s="967" t="s">
        <v>429</v>
      </c>
      <c r="N20" s="968">
        <v>12.980000000000002</v>
      </c>
      <c r="O20" s="967" t="s">
        <v>56</v>
      </c>
      <c r="P20" s="968">
        <v>16.5</v>
      </c>
      <c r="Q20" s="967" t="s">
        <v>101</v>
      </c>
      <c r="R20" s="968">
        <v>14.080000000000002</v>
      </c>
    </row>
    <row r="21" spans="1:18" ht="13.8">
      <c r="B21" s="957"/>
      <c r="C21" s="956"/>
      <c r="D21" s="957"/>
      <c r="E21" s="956"/>
      <c r="F21" s="957"/>
      <c r="G21" s="956"/>
      <c r="H21" s="957"/>
      <c r="K21" s="956"/>
      <c r="L21" s="957"/>
    </row>
    <row r="22" spans="1:18" ht="15.6">
      <c r="A22" s="970" t="s">
        <v>1282</v>
      </c>
      <c r="G22" s="607"/>
      <c r="H22" s="607"/>
      <c r="Q22" s="607"/>
      <c r="R22" s="607"/>
    </row>
    <row r="23" spans="1:18" ht="20.25" customHeight="1">
      <c r="A23" s="1033" t="s">
        <v>229</v>
      </c>
      <c r="B23" s="1033"/>
      <c r="C23" s="1033"/>
      <c r="D23" s="1033"/>
      <c r="E23" s="1033"/>
      <c r="F23" s="1033"/>
      <c r="G23" s="1033"/>
      <c r="H23" s="1033"/>
      <c r="I23" s="15"/>
    </row>
    <row r="24" spans="1:18" ht="13.2" customHeight="1">
      <c r="A24" s="1060" t="s">
        <v>593</v>
      </c>
      <c r="B24" s="1060"/>
      <c r="C24" s="1062" t="s">
        <v>592</v>
      </c>
      <c r="D24" s="1062"/>
      <c r="E24" s="1062"/>
      <c r="F24" s="1062"/>
      <c r="G24" s="1062"/>
      <c r="H24" s="1062"/>
      <c r="I24" s="15"/>
    </row>
    <row r="25" spans="1:18" ht="13.95" customHeight="1" thickBot="1">
      <c r="A25" s="1064" t="s">
        <v>591</v>
      </c>
      <c r="B25" s="1064"/>
      <c r="C25" s="1063" t="s">
        <v>590</v>
      </c>
      <c r="D25" s="1063"/>
      <c r="E25" s="1063"/>
      <c r="F25" s="1063"/>
      <c r="G25" s="1063"/>
      <c r="H25" s="1063"/>
      <c r="I25" s="15"/>
    </row>
    <row r="26" spans="1:18" ht="29.25" customHeight="1" thickBot="1">
      <c r="A26" s="131" t="s">
        <v>95</v>
      </c>
      <c r="B26" s="131" t="s">
        <v>19</v>
      </c>
      <c r="C26" s="131" t="s">
        <v>95</v>
      </c>
      <c r="D26" s="131" t="s">
        <v>19</v>
      </c>
      <c r="E26" s="131" t="s">
        <v>95</v>
      </c>
      <c r="F26" s="131" t="s">
        <v>19</v>
      </c>
      <c r="G26" s="131" t="s">
        <v>95</v>
      </c>
      <c r="H26" s="131" t="s">
        <v>19</v>
      </c>
      <c r="I26" s="15"/>
      <c r="K26" s="131" t="s">
        <v>95</v>
      </c>
      <c r="L26" s="131" t="s">
        <v>19</v>
      </c>
      <c r="M26" s="131" t="s">
        <v>95</v>
      </c>
      <c r="N26" s="131" t="s">
        <v>19</v>
      </c>
      <c r="O26" s="131" t="s">
        <v>95</v>
      </c>
      <c r="P26" s="131" t="s">
        <v>19</v>
      </c>
      <c r="Q26" s="131" t="s">
        <v>95</v>
      </c>
      <c r="R26" s="131" t="s">
        <v>19</v>
      </c>
    </row>
    <row r="27" spans="1:18" ht="13.8">
      <c r="A27" s="597" t="s">
        <v>114</v>
      </c>
      <c r="B27" s="603">
        <f>(L27*KFC!$B$9+KFC!$C$9)*курс_уе</f>
        <v>39.479999999999997</v>
      </c>
      <c r="C27" s="597" t="s">
        <v>121</v>
      </c>
      <c r="D27" s="598">
        <f>(N27*KFC!$B$9+KFC!$C$9)*курс_уе</f>
        <v>42.6</v>
      </c>
      <c r="E27" s="699" t="s">
        <v>122</v>
      </c>
      <c r="F27" s="598">
        <f>(P27*KFC!$B$9+KFC!$C$9)*курс_уе</f>
        <v>44.4</v>
      </c>
      <c r="G27" s="597" t="s">
        <v>107</v>
      </c>
      <c r="H27" s="598">
        <f>(R27*KFC!$B$9+KFC!$C$9)*курс_уе</f>
        <v>19.679999999999996</v>
      </c>
      <c r="I27" s="15"/>
      <c r="K27" s="597" t="s">
        <v>114</v>
      </c>
      <c r="L27" s="603">
        <v>39.479999999999997</v>
      </c>
      <c r="M27" s="597" t="s">
        <v>121</v>
      </c>
      <c r="N27" s="598">
        <v>42.6</v>
      </c>
      <c r="O27" s="699" t="s">
        <v>122</v>
      </c>
      <c r="P27" s="598">
        <v>44.4</v>
      </c>
      <c r="Q27" s="597" t="s">
        <v>107</v>
      </c>
      <c r="R27" s="598">
        <v>19.679999999999996</v>
      </c>
    </row>
    <row r="28" spans="1:18" ht="14.4" thickBot="1">
      <c r="A28" s="599" t="s">
        <v>111</v>
      </c>
      <c r="B28" s="604">
        <f>(L28*KFC!$B$9+KFC!$C$9)*курс_уе</f>
        <v>39.479999999999997</v>
      </c>
      <c r="C28" s="599" t="s">
        <v>110</v>
      </c>
      <c r="D28" s="600">
        <f>(N28*KFC!$B$9+KFC!$C$9)*курс_уе</f>
        <v>41.04</v>
      </c>
      <c r="E28" s="697" t="s">
        <v>1036</v>
      </c>
      <c r="F28" s="600">
        <f>(P28*KFC!$B$9+KFC!$C$9)*курс_уе</f>
        <v>39.479999999999997</v>
      </c>
      <c r="G28" s="601" t="s">
        <v>109</v>
      </c>
      <c r="H28" s="602">
        <f>(R28*KFC!$B$9+KFC!$C$9)*курс_уе</f>
        <v>32.879999999999995</v>
      </c>
      <c r="I28" s="15"/>
      <c r="K28" s="599" t="s">
        <v>111</v>
      </c>
      <c r="L28" s="604">
        <v>39.479999999999997</v>
      </c>
      <c r="M28" s="599" t="s">
        <v>110</v>
      </c>
      <c r="N28" s="600">
        <v>41.04</v>
      </c>
      <c r="O28" s="697" t="s">
        <v>1036</v>
      </c>
      <c r="P28" s="600">
        <v>39.479999999999997</v>
      </c>
      <c r="Q28" s="601" t="s">
        <v>109</v>
      </c>
      <c r="R28" s="602">
        <v>32.879999999999995</v>
      </c>
    </row>
    <row r="29" spans="1:18" ht="14.4" thickBot="1">
      <c r="A29" s="601" t="s">
        <v>112</v>
      </c>
      <c r="B29" s="605">
        <f>(L29*KFC!$B$9+KFC!$C$9)*курс_уе</f>
        <v>49.199999999999996</v>
      </c>
      <c r="C29" s="601" t="s">
        <v>1037</v>
      </c>
      <c r="D29" s="602">
        <f>(N29*KFC!$B$9+KFC!$C$9)*курс_уе</f>
        <v>41.04</v>
      </c>
      <c r="E29" s="734" t="s">
        <v>1035</v>
      </c>
      <c r="F29" s="602">
        <f>(P29*KFC!$B$9+KFC!$C$9)*курс_уе</f>
        <v>22.2</v>
      </c>
      <c r="G29" s="733"/>
      <c r="H29" s="621"/>
      <c r="I29" s="15"/>
      <c r="K29" s="601" t="s">
        <v>112</v>
      </c>
      <c r="L29" s="605">
        <v>49.199999999999996</v>
      </c>
      <c r="M29" s="601" t="s">
        <v>1037</v>
      </c>
      <c r="N29" s="602">
        <v>41.04</v>
      </c>
      <c r="O29" s="734" t="s">
        <v>1035</v>
      </c>
      <c r="P29" s="602">
        <v>22.2</v>
      </c>
      <c r="Q29" s="733"/>
      <c r="R29" s="621"/>
    </row>
    <row r="30" spans="1:18" ht="13.8">
      <c r="A30" s="733"/>
      <c r="B30" s="621"/>
      <c r="C30" s="733"/>
      <c r="D30" s="621"/>
      <c r="I30" s="15"/>
      <c r="K30" s="733"/>
      <c r="L30" s="621"/>
      <c r="M30" s="733"/>
      <c r="N30" s="621"/>
    </row>
    <row r="31" spans="1:18" ht="6.6" customHeight="1">
      <c r="A31" s="15"/>
      <c r="B31" s="15"/>
      <c r="C31" s="607"/>
      <c r="D31" s="607"/>
      <c r="E31" s="15"/>
      <c r="F31" s="15"/>
      <c r="G31" s="15"/>
      <c r="H31" s="15"/>
      <c r="I31" s="15"/>
      <c r="K31" s="15"/>
      <c r="L31" s="15"/>
      <c r="M31" s="607"/>
      <c r="N31" s="607"/>
      <c r="O31" s="15"/>
      <c r="P31" s="15"/>
      <c r="Q31" s="15"/>
      <c r="R31" s="15"/>
    </row>
    <row r="32" spans="1:18" ht="16.5" customHeight="1" thickBot="1">
      <c r="A32" s="1033" t="s">
        <v>230</v>
      </c>
      <c r="B32" s="1033"/>
      <c r="C32" s="1033"/>
      <c r="D32" s="1033"/>
      <c r="E32" s="1033"/>
      <c r="F32" s="1033"/>
      <c r="G32" s="1033"/>
      <c r="H32" s="1033"/>
      <c r="I32" s="15"/>
      <c r="K32" s="1033" t="s">
        <v>230</v>
      </c>
      <c r="L32" s="1033"/>
      <c r="M32" s="1033"/>
      <c r="N32" s="1033"/>
      <c r="O32" s="1033"/>
      <c r="P32" s="1033"/>
      <c r="Q32" s="1033"/>
      <c r="R32" s="1033"/>
    </row>
    <row r="33" spans="1:18" ht="28.2" thickBot="1">
      <c r="C33" s="130" t="s">
        <v>95</v>
      </c>
      <c r="D33" s="130" t="s">
        <v>17</v>
      </c>
      <c r="E33" s="130" t="s">
        <v>95</v>
      </c>
      <c r="F33" s="130" t="s">
        <v>17</v>
      </c>
      <c r="G33" s="54"/>
      <c r="H33" s="54"/>
      <c r="I33" s="15"/>
      <c r="M33" s="130" t="s">
        <v>95</v>
      </c>
      <c r="N33" s="130" t="s">
        <v>17</v>
      </c>
      <c r="O33" s="130" t="s">
        <v>95</v>
      </c>
      <c r="P33" s="130" t="s">
        <v>17</v>
      </c>
      <c r="Q33" s="54"/>
      <c r="R33" s="54"/>
    </row>
    <row r="34" spans="1:18" ht="13.8">
      <c r="C34" s="133" t="s">
        <v>959</v>
      </c>
      <c r="D34" s="725">
        <f>(N34*KFC!$B$9+KFC!$C$9)*курс_уе</f>
        <v>25.3</v>
      </c>
      <c r="E34" s="724" t="s">
        <v>960</v>
      </c>
      <c r="F34" s="132">
        <f>(P34*KFC!$B$9+KFC!$C$9)*курс_уе</f>
        <v>25.3</v>
      </c>
      <c r="G34" s="54"/>
      <c r="H34" s="54"/>
      <c r="I34" s="15"/>
      <c r="M34" s="133" t="s">
        <v>959</v>
      </c>
      <c r="N34" s="725">
        <v>25.3</v>
      </c>
      <c r="O34" s="724" t="s">
        <v>960</v>
      </c>
      <c r="P34" s="132">
        <v>25.3</v>
      </c>
      <c r="Q34" s="54"/>
      <c r="R34" s="54"/>
    </row>
    <row r="35" spans="1:18" ht="27.6">
      <c r="C35" s="726" t="s">
        <v>12</v>
      </c>
      <c r="D35" s="727">
        <f>(N35*KFC!$B$9+KFC!$C$9)*курс_уе</f>
        <v>25.3</v>
      </c>
      <c r="E35" s="494" t="s">
        <v>1055</v>
      </c>
      <c r="F35" s="82">
        <f>(P35*KFC!$B$9+KFC!$C$9)*курс_уе</f>
        <v>29.5</v>
      </c>
      <c r="G35" s="54"/>
      <c r="H35" s="54"/>
      <c r="I35" s="15"/>
      <c r="M35" s="726" t="s">
        <v>12</v>
      </c>
      <c r="N35" s="727">
        <v>25.3</v>
      </c>
      <c r="O35" s="494" t="s">
        <v>1055</v>
      </c>
      <c r="P35" s="82">
        <v>29.5</v>
      </c>
      <c r="Q35" s="54"/>
      <c r="R35" s="54"/>
    </row>
    <row r="36" spans="1:18" ht="14.4" thickBot="1">
      <c r="A36" s="60"/>
      <c r="B36" s="55"/>
      <c r="C36" s="134" t="s">
        <v>1056</v>
      </c>
      <c r="D36" s="728">
        <f>(N36*KFC!$B$9+KFC!$C$9)*курс_уе</f>
        <v>25.3</v>
      </c>
      <c r="E36" s="723"/>
      <c r="F36" s="83"/>
      <c r="G36" s="54"/>
      <c r="H36" s="54"/>
      <c r="I36" s="15"/>
      <c r="K36" s="60"/>
      <c r="L36" s="55"/>
      <c r="M36" s="134" t="s">
        <v>1056</v>
      </c>
      <c r="N36" s="728">
        <v>25.3</v>
      </c>
      <c r="O36" s="723"/>
      <c r="P36" s="83"/>
      <c r="Q36" s="54"/>
      <c r="R36" s="54"/>
    </row>
    <row r="37" spans="1:18" ht="13.8">
      <c r="A37" s="60"/>
      <c r="B37" s="55"/>
      <c r="C37" s="5"/>
      <c r="D37" s="5"/>
      <c r="E37" s="54"/>
      <c r="F37" s="55"/>
      <c r="G37" s="54"/>
      <c r="H37" s="55"/>
      <c r="I37" s="15"/>
    </row>
    <row r="38" spans="1:18" ht="27.75" customHeight="1">
      <c r="A38" s="1065" t="s">
        <v>289</v>
      </c>
      <c r="B38" s="1065"/>
      <c r="C38" s="1065"/>
      <c r="D38" s="1065"/>
      <c r="E38" s="1065"/>
      <c r="F38" s="1065"/>
      <c r="G38" s="1065"/>
      <c r="H38" s="1065"/>
      <c r="I38" s="15"/>
    </row>
    <row r="39" spans="1:18" ht="16.5" customHeight="1">
      <c r="A39" s="1061" t="s">
        <v>291</v>
      </c>
      <c r="B39" s="1061"/>
      <c r="C39" s="1061"/>
      <c r="D39" s="1061"/>
      <c r="E39" s="1066" t="s">
        <v>290</v>
      </c>
      <c r="F39" s="1066"/>
      <c r="I39" s="15"/>
    </row>
    <row r="40" spans="1:18" ht="16.5" customHeight="1">
      <c r="A40" s="1061" t="s">
        <v>292</v>
      </c>
      <c r="B40" s="1061"/>
      <c r="C40" s="1061"/>
      <c r="D40" s="1061"/>
      <c r="E40" s="1066" t="s">
        <v>290</v>
      </c>
      <c r="F40" s="1066"/>
      <c r="I40" s="15"/>
    </row>
    <row r="41" spans="1:18">
      <c r="A41" s="5"/>
      <c r="B41" s="5"/>
      <c r="C41" s="691"/>
      <c r="D41" s="691"/>
      <c r="E41" s="5"/>
      <c r="F41" s="5"/>
      <c r="G41" s="5"/>
      <c r="H41" s="5"/>
      <c r="I41" s="15"/>
    </row>
    <row r="42" spans="1:18" ht="23.25" customHeight="1">
      <c r="A42" s="1033" t="s">
        <v>231</v>
      </c>
      <c r="B42" s="1033"/>
      <c r="C42" s="1033"/>
      <c r="D42" s="1033"/>
      <c r="E42" s="1033"/>
      <c r="F42" s="1033"/>
      <c r="G42" s="1033"/>
      <c r="H42" s="1033"/>
      <c r="I42" s="15"/>
    </row>
    <row r="43" spans="1:18">
      <c r="A43" s="1011" t="s">
        <v>233</v>
      </c>
      <c r="B43" s="1011"/>
      <c r="C43" s="1011"/>
      <c r="D43" s="1011"/>
      <c r="E43" s="1011"/>
      <c r="F43" s="1011"/>
      <c r="G43" s="1011"/>
      <c r="H43" s="1011"/>
    </row>
    <row r="44" spans="1:18" ht="13.2" customHeight="1">
      <c r="A44" s="1060" t="s">
        <v>593</v>
      </c>
      <c r="B44" s="1060"/>
      <c r="C44" s="1062" t="s">
        <v>594</v>
      </c>
      <c r="D44" s="1062"/>
      <c r="E44" s="1062"/>
      <c r="F44" s="1062"/>
      <c r="G44" s="1062"/>
      <c r="H44" s="1062"/>
    </row>
    <row r="45" spans="1:18" ht="13.2" customHeight="1">
      <c r="A45" s="1060" t="s">
        <v>589</v>
      </c>
      <c r="B45" s="1060"/>
      <c r="C45" s="1062" t="s">
        <v>588</v>
      </c>
      <c r="D45" s="1062"/>
      <c r="E45" s="1062"/>
      <c r="F45" s="1062"/>
      <c r="G45" s="1062"/>
      <c r="H45" s="1062"/>
    </row>
    <row r="46" spans="1:18" ht="13.95" customHeight="1" thickBot="1">
      <c r="A46" s="1060" t="s">
        <v>591</v>
      </c>
      <c r="B46" s="1060"/>
      <c r="C46" s="1062" t="s">
        <v>590</v>
      </c>
      <c r="D46" s="1062"/>
      <c r="E46" s="1062"/>
      <c r="F46" s="1062"/>
      <c r="G46" s="1062"/>
      <c r="H46" s="1062"/>
    </row>
    <row r="47" spans="1:18" ht="30.6" thickBot="1">
      <c r="A47" s="1054" t="s">
        <v>95</v>
      </c>
      <c r="B47" s="1055"/>
      <c r="C47" s="1056"/>
      <c r="D47" s="137" t="s">
        <v>67</v>
      </c>
      <c r="E47" s="1057" t="s">
        <v>95</v>
      </c>
      <c r="F47" s="1058"/>
      <c r="G47" s="1059"/>
      <c r="H47" s="131" t="s">
        <v>19</v>
      </c>
      <c r="I47" s="15"/>
      <c r="K47" s="1054" t="s">
        <v>95</v>
      </c>
      <c r="L47" s="1055"/>
      <c r="M47" s="1056"/>
      <c r="N47" s="137" t="s">
        <v>67</v>
      </c>
      <c r="O47" s="1057" t="s">
        <v>95</v>
      </c>
      <c r="P47" s="1058"/>
      <c r="Q47" s="1059"/>
      <c r="R47" s="131" t="s">
        <v>19</v>
      </c>
    </row>
    <row r="48" spans="1:18" ht="30.75" customHeight="1">
      <c r="A48" s="994" t="s">
        <v>240</v>
      </c>
      <c r="B48" s="995"/>
      <c r="C48" s="996"/>
      <c r="D48" s="132">
        <f>(N48*KFC!$B$9+KFC!$C$9)*курс_уе</f>
        <v>36.520000000000003</v>
      </c>
      <c r="E48" s="997" t="s">
        <v>236</v>
      </c>
      <c r="F48" s="998"/>
      <c r="G48" s="999"/>
      <c r="H48" s="132">
        <f>(R48*KFC!$B$9+KFC!$C$9)*курс_уе</f>
        <v>51.81</v>
      </c>
      <c r="I48" s="15"/>
      <c r="K48" s="994" t="s">
        <v>240</v>
      </c>
      <c r="L48" s="995"/>
      <c r="M48" s="996"/>
      <c r="N48" s="132">
        <f>(33.2*KFC!$B$9*1.1+KFC!$C$9)*KFC!$C$5</f>
        <v>36.520000000000003</v>
      </c>
      <c r="O48" s="997" t="s">
        <v>236</v>
      </c>
      <c r="P48" s="998"/>
      <c r="Q48" s="999"/>
      <c r="R48" s="132">
        <f>(47.1*KFC!$B$9*1.1+KFC!$C$9)*KFC!$C$5</f>
        <v>51.81</v>
      </c>
    </row>
    <row r="49" spans="1:18" ht="30.75" customHeight="1">
      <c r="A49" s="988" t="s">
        <v>241</v>
      </c>
      <c r="B49" s="989"/>
      <c r="C49" s="990"/>
      <c r="D49" s="82">
        <f>(N49*KFC!$B$9+KFC!$C$9)*курс_уе</f>
        <v>51.81</v>
      </c>
      <c r="E49" s="988" t="s">
        <v>238</v>
      </c>
      <c r="F49" s="989"/>
      <c r="G49" s="990"/>
      <c r="H49" s="82">
        <f>(R49*KFC!$B$9+KFC!$C$9)*курс_уе</f>
        <v>50.38</v>
      </c>
      <c r="I49" s="15"/>
      <c r="K49" s="988" t="s">
        <v>241</v>
      </c>
      <c r="L49" s="989"/>
      <c r="M49" s="990"/>
      <c r="N49" s="82">
        <f>(47.1*KFC!$B$9*1.1+KFC!$C$9)*KFC!$C$5</f>
        <v>51.81</v>
      </c>
      <c r="O49" s="988" t="s">
        <v>238</v>
      </c>
      <c r="P49" s="989"/>
      <c r="Q49" s="990"/>
      <c r="R49" s="82">
        <f>(45.8*KFC!$B$9*1.1+KFC!$C$9)*KFC!$C$5</f>
        <v>50.38</v>
      </c>
    </row>
    <row r="50" spans="1:18" ht="30" customHeight="1" thickBot="1">
      <c r="A50" s="991" t="s">
        <v>239</v>
      </c>
      <c r="B50" s="992"/>
      <c r="C50" s="993"/>
      <c r="D50" s="83">
        <f>(N50*KFC!$B$9+KFC!$C$9)*курс_уе</f>
        <v>38.83</v>
      </c>
      <c r="E50" s="991" t="s">
        <v>237</v>
      </c>
      <c r="F50" s="992"/>
      <c r="G50" s="993"/>
      <c r="H50" s="83">
        <f>(R50*KFC!$B$9+KFC!$C$9)*курс_уе</f>
        <v>54.670000000000009</v>
      </c>
      <c r="I50" s="15"/>
      <c r="K50" s="991" t="s">
        <v>239</v>
      </c>
      <c r="L50" s="992"/>
      <c r="M50" s="993"/>
      <c r="N50" s="83">
        <f>(35.3*KFC!$B$9*1.1+KFC!$C$9)*KFC!$C$5</f>
        <v>38.83</v>
      </c>
      <c r="O50" s="991" t="s">
        <v>237</v>
      </c>
      <c r="P50" s="992"/>
      <c r="Q50" s="993"/>
      <c r="R50" s="83">
        <f>(49.7*KFC!$B$9*1.1+KFC!$C$9)*KFC!$C$5</f>
        <v>54.670000000000009</v>
      </c>
    </row>
    <row r="51" spans="1:18" ht="14.4" customHeight="1" thickBot="1">
      <c r="A51" s="1013" t="s">
        <v>234</v>
      </c>
      <c r="B51" s="1013"/>
      <c r="C51" s="1013"/>
      <c r="D51" s="1013"/>
      <c r="E51" s="1013"/>
      <c r="F51" s="1013"/>
      <c r="G51" s="1013"/>
      <c r="H51" s="1013"/>
      <c r="I51" s="15"/>
      <c r="K51" s="1013" t="s">
        <v>234</v>
      </c>
      <c r="L51" s="1013"/>
      <c r="M51" s="1013"/>
      <c r="N51" s="1013"/>
      <c r="O51" s="1013"/>
      <c r="P51" s="1013"/>
      <c r="Q51" s="1013"/>
      <c r="R51" s="1013"/>
    </row>
    <row r="52" spans="1:18" ht="16.8">
      <c r="A52" s="1029" t="s">
        <v>235</v>
      </c>
      <c r="B52" s="1030"/>
      <c r="C52" s="1031"/>
      <c r="D52" s="132">
        <f>(N52*KFC!$B$9+KFC!$C$9)*курс_уе</f>
        <v>57.53</v>
      </c>
      <c r="E52" s="1031" t="s">
        <v>13</v>
      </c>
      <c r="F52" s="1032"/>
      <c r="G52" s="1032"/>
      <c r="H52" s="132">
        <f>(R52*KFC!$B$9+KFC!$C$9)*курс_уе</f>
        <v>54.670000000000009</v>
      </c>
      <c r="I52" s="15"/>
      <c r="K52" s="1029" t="s">
        <v>235</v>
      </c>
      <c r="L52" s="1030"/>
      <c r="M52" s="1031"/>
      <c r="N52" s="132">
        <f>(52.3*KFC!$B$9*1.1+KFC!$C$9)*KFC!$C$5</f>
        <v>57.53</v>
      </c>
      <c r="O52" s="1031" t="s">
        <v>13</v>
      </c>
      <c r="P52" s="1032"/>
      <c r="Q52" s="1032"/>
      <c r="R52" s="132">
        <f>(49.7*KFC!$B$9*1.1+KFC!$C$9)*KFC!$C$5</f>
        <v>54.670000000000009</v>
      </c>
    </row>
    <row r="53" spans="1:18" ht="14.4" thickBot="1">
      <c r="A53" s="1024" t="s">
        <v>126</v>
      </c>
      <c r="B53" s="1025"/>
      <c r="C53" s="1025"/>
      <c r="D53" s="83">
        <f>(N53*KFC!$B$9+KFC!$C$9)*курс_уе</f>
        <v>71.83</v>
      </c>
      <c r="E53" s="1026" t="s">
        <v>14</v>
      </c>
      <c r="F53" s="1025"/>
      <c r="G53" s="1025"/>
      <c r="H53" s="83">
        <f>(R53*KFC!$B$9+KFC!$C$9)*курс_уе</f>
        <v>71.83</v>
      </c>
      <c r="I53" s="15"/>
      <c r="K53" s="1024" t="s">
        <v>126</v>
      </c>
      <c r="L53" s="1025"/>
      <c r="M53" s="1025"/>
      <c r="N53" s="83">
        <f>(65.3*KFC!$B$9*1.1+KFC!$C$9)*KFC!$C$5</f>
        <v>71.83</v>
      </c>
      <c r="O53" s="1026" t="s">
        <v>14</v>
      </c>
      <c r="P53" s="1025"/>
      <c r="Q53" s="1025"/>
      <c r="R53" s="83">
        <f>(65.3*KFC!$B$9*1.1+KFC!$C$9)*KFC!$C$5</f>
        <v>71.83</v>
      </c>
    </row>
    <row r="54" spans="1:18">
      <c r="A54" s="5" t="s">
        <v>15</v>
      </c>
      <c r="I54" s="15"/>
      <c r="K54" s="5" t="s">
        <v>15</v>
      </c>
    </row>
    <row r="55" spans="1:18" ht="24" customHeight="1">
      <c r="A55" s="20"/>
      <c r="B55" s="14"/>
      <c r="C55" s="14"/>
      <c r="D55" s="14"/>
      <c r="E55" s="14"/>
      <c r="F55" s="14"/>
      <c r="G55" s="14"/>
      <c r="H55" s="19"/>
      <c r="I55" s="15"/>
      <c r="K55" s="20"/>
      <c r="L55" s="14"/>
      <c r="M55" s="14"/>
      <c r="N55" s="14"/>
      <c r="O55" s="14"/>
      <c r="P55" s="14"/>
      <c r="Q55" s="14"/>
      <c r="R55" s="19"/>
    </row>
    <row r="56" spans="1:18" ht="16.2" customHeight="1" thickBot="1">
      <c r="A56" s="1033" t="s">
        <v>16</v>
      </c>
      <c r="B56" s="1033"/>
      <c r="C56" s="1034"/>
      <c r="D56" s="1034"/>
      <c r="E56" s="1034"/>
      <c r="F56" s="1034"/>
      <c r="G56" s="1033"/>
      <c r="H56" s="1033"/>
      <c r="I56" s="15"/>
      <c r="K56" s="1033" t="s">
        <v>16</v>
      </c>
      <c r="L56" s="1033"/>
      <c r="M56" s="1034"/>
      <c r="N56" s="1034"/>
      <c r="O56" s="1034"/>
      <c r="P56" s="1034"/>
      <c r="Q56" s="1033"/>
      <c r="R56" s="1033"/>
    </row>
    <row r="57" spans="1:18" ht="28.2" thickBot="1">
      <c r="B57" s="617"/>
      <c r="C57" s="1000" t="s">
        <v>95</v>
      </c>
      <c r="D57" s="1001"/>
      <c r="E57" s="1002"/>
      <c r="F57" s="131" t="s">
        <v>507</v>
      </c>
      <c r="G57" s="618"/>
      <c r="H57" s="619"/>
      <c r="I57" s="15"/>
      <c r="L57" s="617"/>
      <c r="M57" s="1000" t="s">
        <v>95</v>
      </c>
      <c r="N57" s="1001"/>
      <c r="O57" s="1002"/>
      <c r="P57" s="131" t="s">
        <v>507</v>
      </c>
      <c r="Q57" s="618"/>
      <c r="R57" s="619"/>
    </row>
    <row r="58" spans="1:18" ht="15.6" thickBot="1">
      <c r="B58" s="617"/>
      <c r="C58" s="1009" t="s">
        <v>232</v>
      </c>
      <c r="D58" s="1010"/>
      <c r="E58" s="1010"/>
      <c r="F58" s="622">
        <f>(P58*KFC!$B$9+KFC!$C$9)*курс_уе</f>
        <v>3.1620000000000004</v>
      </c>
      <c r="G58" s="620"/>
      <c r="H58" s="621"/>
      <c r="I58" s="15"/>
      <c r="L58" s="617"/>
      <c r="M58" s="1009" t="s">
        <v>232</v>
      </c>
      <c r="N58" s="1010"/>
      <c r="O58" s="1010"/>
      <c r="P58" s="622">
        <f>(3.1*KFC!$B$9*1.02+KFC!$C$9)*KFC!$C$5</f>
        <v>3.1620000000000004</v>
      </c>
      <c r="Q58" s="620"/>
      <c r="R58" s="621"/>
    </row>
    <row r="59" spans="1:18" ht="15.6">
      <c r="A59" s="1011" t="s">
        <v>377</v>
      </c>
      <c r="B59" s="1011"/>
      <c r="C59" s="1012"/>
      <c r="D59" s="1012"/>
      <c r="E59" s="1012"/>
      <c r="F59" s="641">
        <f>(P59*KFC!$B$9+KFC!$C$9)*курс_уе</f>
        <v>1.6830000000000003</v>
      </c>
      <c r="G59" s="6" t="s">
        <v>378</v>
      </c>
      <c r="H59" s="19"/>
      <c r="I59" s="15"/>
      <c r="K59" s="1011" t="s">
        <v>377</v>
      </c>
      <c r="L59" s="1011"/>
      <c r="M59" s="1012"/>
      <c r="N59" s="1012"/>
      <c r="O59" s="1012"/>
      <c r="P59" s="641">
        <f>(1.5*KFC!$B$9*1.02*1.1+KFC!$C$9)*KFC!$C$5</f>
        <v>1.6830000000000003</v>
      </c>
      <c r="Q59" s="6" t="s">
        <v>378</v>
      </c>
      <c r="R59" s="19"/>
    </row>
    <row r="60" spans="1:18" ht="15.6">
      <c r="A60" s="6" t="s">
        <v>242</v>
      </c>
      <c r="B60" s="16"/>
      <c r="C60" s="16"/>
      <c r="D60" s="16"/>
      <c r="E60" s="16"/>
      <c r="F60" s="16"/>
      <c r="G60" s="16"/>
      <c r="H60" s="19"/>
      <c r="I60" s="15"/>
      <c r="K60" s="6" t="s">
        <v>242</v>
      </c>
      <c r="L60" s="16"/>
      <c r="M60" s="16"/>
      <c r="N60" s="16"/>
      <c r="O60" s="16"/>
      <c r="P60" s="16"/>
      <c r="Q60" s="16"/>
      <c r="R60" s="19"/>
    </row>
    <row r="61" spans="1:18" ht="15.6">
      <c r="A61" s="6" t="s">
        <v>243</v>
      </c>
      <c r="B61" s="16"/>
      <c r="C61" s="16"/>
      <c r="D61" s="16"/>
      <c r="E61" s="16"/>
      <c r="F61" s="16"/>
      <c r="G61" s="16"/>
      <c r="H61" s="19"/>
      <c r="I61" s="15"/>
      <c r="K61" s="6" t="s">
        <v>243</v>
      </c>
      <c r="L61" s="16"/>
      <c r="M61" s="16"/>
      <c r="N61" s="16"/>
      <c r="O61" s="16"/>
      <c r="P61" s="16"/>
      <c r="Q61" s="16"/>
      <c r="R61" s="19"/>
    </row>
    <row r="62" spans="1:18" ht="11.25" customHeight="1">
      <c r="A62" s="16"/>
      <c r="B62" s="16"/>
      <c r="C62" s="16"/>
      <c r="D62" s="16"/>
      <c r="E62" s="16"/>
      <c r="F62" s="16"/>
      <c r="G62" s="16"/>
      <c r="H62" s="16"/>
      <c r="I62" s="15"/>
      <c r="K62" s="16"/>
      <c r="L62" s="16"/>
      <c r="M62" s="16"/>
      <c r="N62" s="16"/>
      <c r="O62" s="16"/>
      <c r="P62" s="16"/>
      <c r="Q62" s="16"/>
      <c r="R62" s="16"/>
    </row>
    <row r="63" spans="1:18" ht="11.25" customHeight="1">
      <c r="A63" s="16"/>
      <c r="B63" s="16"/>
      <c r="C63" s="16"/>
      <c r="D63" s="16"/>
      <c r="E63" s="16"/>
      <c r="F63" s="16"/>
      <c r="G63" s="16"/>
      <c r="H63" s="67"/>
      <c r="I63" s="15"/>
      <c r="K63" s="16"/>
      <c r="L63" s="16"/>
      <c r="M63" s="16"/>
      <c r="N63" s="16"/>
      <c r="O63" s="16"/>
      <c r="P63" s="16"/>
      <c r="Q63" s="16"/>
      <c r="R63" s="67"/>
    </row>
    <row r="64" spans="1:18" ht="11.25" customHeight="1">
      <c r="A64" s="16"/>
      <c r="B64" s="16"/>
      <c r="C64" s="16"/>
      <c r="D64" s="16"/>
      <c r="E64" s="16"/>
      <c r="F64" s="16"/>
      <c r="G64" s="16"/>
      <c r="H64" s="67"/>
      <c r="I64" s="15"/>
      <c r="K64" s="16"/>
      <c r="L64" s="16"/>
      <c r="M64" s="16"/>
      <c r="N64" s="16"/>
      <c r="O64" s="16"/>
      <c r="P64" s="16"/>
      <c r="Q64" s="16"/>
      <c r="R64" s="67"/>
    </row>
    <row r="65" spans="1:18" ht="11.25" customHeight="1">
      <c r="A65" s="16"/>
      <c r="B65" s="16"/>
      <c r="C65" s="16"/>
      <c r="D65" s="16"/>
      <c r="E65" s="16"/>
      <c r="F65" s="16"/>
      <c r="G65" s="16"/>
      <c r="H65" s="67"/>
      <c r="I65" s="15"/>
      <c r="K65" s="16"/>
      <c r="L65" s="16"/>
      <c r="M65" s="16"/>
      <c r="N65" s="16"/>
      <c r="O65" s="16"/>
      <c r="P65" s="16"/>
      <c r="Q65" s="16"/>
      <c r="R65" s="67"/>
    </row>
    <row r="66" spans="1:18" ht="11.25" customHeight="1">
      <c r="A66" s="16"/>
      <c r="B66" s="16"/>
      <c r="C66" s="16"/>
      <c r="D66" s="16"/>
      <c r="E66" s="16"/>
      <c r="F66" s="16"/>
      <c r="G66" s="16"/>
      <c r="H66" s="67"/>
      <c r="I66" s="15"/>
      <c r="K66" s="16"/>
      <c r="L66" s="16"/>
      <c r="M66" s="16"/>
      <c r="N66" s="16"/>
      <c r="O66" s="16"/>
      <c r="P66" s="16"/>
      <c r="Q66" s="16"/>
      <c r="R66" s="67"/>
    </row>
    <row r="67" spans="1:18" ht="11.25" customHeight="1">
      <c r="A67" s="16"/>
      <c r="B67" s="16"/>
      <c r="C67" s="16"/>
      <c r="D67" s="16"/>
      <c r="E67" s="16"/>
      <c r="F67" s="16"/>
      <c r="G67" s="16"/>
      <c r="H67" s="67"/>
      <c r="I67" s="15"/>
      <c r="K67" s="16"/>
      <c r="L67" s="16"/>
      <c r="M67" s="16"/>
      <c r="N67" s="16"/>
      <c r="O67" s="16"/>
      <c r="P67" s="16"/>
      <c r="Q67" s="16"/>
      <c r="R67" s="67"/>
    </row>
    <row r="68" spans="1:18" ht="11.25" customHeight="1">
      <c r="A68" s="16"/>
      <c r="B68" s="16"/>
      <c r="C68" s="16"/>
      <c r="D68" s="16"/>
      <c r="E68" s="16"/>
      <c r="F68" s="16"/>
      <c r="G68" s="16"/>
      <c r="H68" s="16"/>
      <c r="I68" s="15"/>
      <c r="K68" s="16"/>
      <c r="L68" s="16"/>
      <c r="M68" s="16"/>
      <c r="N68" s="16"/>
      <c r="O68" s="16"/>
      <c r="P68" s="16"/>
      <c r="Q68" s="16"/>
      <c r="R68" s="16"/>
    </row>
    <row r="69" spans="1:18" ht="18" customHeight="1">
      <c r="A69" s="1021" t="s">
        <v>256</v>
      </c>
      <c r="B69" s="1021"/>
      <c r="C69" s="1021"/>
      <c r="D69" s="1021"/>
      <c r="E69" s="1021"/>
      <c r="F69" s="1021"/>
      <c r="G69" s="1021"/>
      <c r="H69" s="1021"/>
      <c r="I69" s="15"/>
      <c r="K69" s="1021" t="s">
        <v>256</v>
      </c>
      <c r="L69" s="1021"/>
      <c r="M69" s="1021"/>
      <c r="N69" s="1021"/>
      <c r="O69" s="1021"/>
      <c r="P69" s="1021"/>
      <c r="Q69" s="1021"/>
      <c r="R69" s="1021"/>
    </row>
    <row r="70" spans="1:18" ht="26.25" customHeight="1" thickBot="1">
      <c r="A70" s="1004" t="s">
        <v>268</v>
      </c>
      <c r="B70" s="1004"/>
      <c r="C70" s="1004"/>
      <c r="D70" s="1004"/>
      <c r="E70" s="1004"/>
      <c r="F70" s="1004"/>
      <c r="G70" s="1004"/>
      <c r="H70" s="1004"/>
      <c r="I70" s="15"/>
      <c r="K70" s="1004" t="s">
        <v>268</v>
      </c>
      <c r="L70" s="1004"/>
      <c r="M70" s="1004"/>
      <c r="N70" s="1004"/>
      <c r="O70" s="1004"/>
      <c r="P70" s="1004"/>
      <c r="Q70" s="1004"/>
      <c r="R70" s="1004"/>
    </row>
    <row r="71" spans="1:18" ht="30.75" customHeight="1" thickBot="1">
      <c r="A71" s="165" t="s">
        <v>88</v>
      </c>
      <c r="B71" s="1022" t="s">
        <v>87</v>
      </c>
      <c r="C71" s="1022"/>
      <c r="D71" s="1022"/>
      <c r="E71" s="1022"/>
      <c r="F71" s="1022"/>
      <c r="G71" s="1022"/>
      <c r="H71" s="169" t="s">
        <v>24</v>
      </c>
      <c r="I71" s="15"/>
      <c r="K71" s="165" t="s">
        <v>88</v>
      </c>
      <c r="L71" s="1022" t="s">
        <v>87</v>
      </c>
      <c r="M71" s="1022"/>
      <c r="N71" s="1022"/>
      <c r="O71" s="1022"/>
      <c r="P71" s="1022"/>
      <c r="Q71" s="1022"/>
      <c r="R71" s="169" t="s">
        <v>24</v>
      </c>
    </row>
    <row r="72" spans="1:18" ht="19.5" customHeight="1">
      <c r="A72" s="1027" t="s">
        <v>90</v>
      </c>
      <c r="B72" s="1023" t="s">
        <v>1026</v>
      </c>
      <c r="C72" s="1023"/>
      <c r="D72" s="1023"/>
      <c r="E72" s="1023"/>
      <c r="F72" s="1023"/>
      <c r="G72" s="1023"/>
      <c r="H72" s="1037">
        <f>(R72*KFC!$B$9+KFC!$C$9)*курс_уе</f>
        <v>187.19</v>
      </c>
      <c r="I72" s="15"/>
      <c r="K72" s="1027" t="s">
        <v>90</v>
      </c>
      <c r="L72" s="1023" t="s">
        <v>1026</v>
      </c>
      <c r="M72" s="1023"/>
      <c r="N72" s="1023"/>
      <c r="O72" s="1023"/>
      <c r="P72" s="1023"/>
      <c r="Q72" s="1023"/>
      <c r="R72" s="1037">
        <f>(187.19*KFC!$B$41+KFC!$C$41)*KFC!$C$5</f>
        <v>187.19</v>
      </c>
    </row>
    <row r="73" spans="1:18" ht="19.5" customHeight="1" thickBot="1">
      <c r="A73" s="1028"/>
      <c r="B73" s="1017" t="s">
        <v>844</v>
      </c>
      <c r="C73" s="1018"/>
      <c r="D73" s="1018"/>
      <c r="E73" s="1018"/>
      <c r="F73" s="1018"/>
      <c r="G73" s="1019"/>
      <c r="H73" s="1038">
        <f>(R73*KFC!$B$9+KFC!$C$9)*курс_уе</f>
        <v>0</v>
      </c>
      <c r="I73" s="15"/>
      <c r="K73" s="1028"/>
      <c r="L73" s="1017" t="s">
        <v>844</v>
      </c>
      <c r="M73" s="1018"/>
      <c r="N73" s="1018"/>
      <c r="O73" s="1018"/>
      <c r="P73" s="1018"/>
      <c r="Q73" s="1019"/>
      <c r="R73" s="1038"/>
    </row>
    <row r="74" spans="1:18" ht="47.25" customHeight="1" thickBot="1">
      <c r="A74" s="1020" t="s">
        <v>269</v>
      </c>
      <c r="B74" s="1020"/>
      <c r="C74" s="1020"/>
      <c r="D74" s="1020"/>
      <c r="E74" s="1020"/>
      <c r="F74" s="1020"/>
      <c r="G74" s="1020"/>
      <c r="H74" s="173"/>
      <c r="I74" s="15"/>
      <c r="K74" s="1020" t="s">
        <v>269</v>
      </c>
      <c r="L74" s="1020"/>
      <c r="M74" s="1020"/>
      <c r="N74" s="1020"/>
      <c r="O74" s="1020"/>
      <c r="P74" s="1020"/>
      <c r="Q74" s="1020"/>
      <c r="R74" s="173"/>
    </row>
    <row r="75" spans="1:18" ht="41.4">
      <c r="A75" s="16"/>
      <c r="B75" s="1043" t="s">
        <v>260</v>
      </c>
      <c r="C75" s="1044"/>
      <c r="D75" s="698" t="s">
        <v>174</v>
      </c>
      <c r="E75" s="666" t="s">
        <v>175</v>
      </c>
      <c r="F75" s="667" t="s">
        <v>176</v>
      </c>
      <c r="H75" s="16"/>
      <c r="I75" s="15"/>
      <c r="K75" s="16"/>
      <c r="L75" s="1043" t="s">
        <v>260</v>
      </c>
      <c r="M75" s="1044"/>
      <c r="N75" s="698" t="s">
        <v>174</v>
      </c>
      <c r="O75" s="666" t="s">
        <v>175</v>
      </c>
      <c r="P75" s="667" t="s">
        <v>176</v>
      </c>
      <c r="R75" s="16"/>
    </row>
    <row r="76" spans="1:18" ht="29.25" customHeight="1" thickBot="1">
      <c r="B76" s="1045" t="s">
        <v>489</v>
      </c>
      <c r="C76" s="1046"/>
      <c r="D76" s="94">
        <v>800</v>
      </c>
      <c r="E76" s="94">
        <v>3500</v>
      </c>
      <c r="F76" s="95">
        <v>3000</v>
      </c>
      <c r="G76" s="16"/>
      <c r="H76" s="16"/>
      <c r="I76" s="15"/>
      <c r="L76" s="1045" t="s">
        <v>489</v>
      </c>
      <c r="M76" s="1046"/>
      <c r="N76" s="94">
        <v>800</v>
      </c>
      <c r="O76" s="94">
        <v>3500</v>
      </c>
      <c r="P76" s="95">
        <v>3000</v>
      </c>
      <c r="Q76" s="16"/>
      <c r="R76" s="16"/>
    </row>
    <row r="77" spans="1:18">
      <c r="A77" s="16"/>
      <c r="B77" s="16"/>
      <c r="C77" s="16"/>
      <c r="D77" s="16"/>
      <c r="E77" s="16"/>
      <c r="F77" s="16"/>
      <c r="G77" s="16"/>
      <c r="H77" s="16"/>
      <c r="I77" s="15"/>
      <c r="K77" s="16"/>
      <c r="L77" s="16"/>
      <c r="M77" s="16"/>
      <c r="N77" s="16"/>
      <c r="O77" s="16"/>
      <c r="P77" s="16"/>
      <c r="Q77" s="16"/>
      <c r="R77" s="16"/>
    </row>
    <row r="78" spans="1:18" ht="24.75" customHeight="1" thickBot="1">
      <c r="A78" s="1033" t="s">
        <v>270</v>
      </c>
      <c r="B78" s="1033"/>
      <c r="C78" s="1033"/>
      <c r="D78" s="1033"/>
      <c r="E78" s="1033"/>
      <c r="F78" s="1033"/>
      <c r="G78" s="1033"/>
      <c r="H78" s="1033"/>
      <c r="I78" s="15"/>
      <c r="K78" s="1033" t="s">
        <v>270</v>
      </c>
      <c r="L78" s="1033"/>
      <c r="M78" s="1033"/>
      <c r="N78" s="1033"/>
      <c r="O78" s="1033"/>
      <c r="P78" s="1033"/>
      <c r="Q78" s="1033"/>
      <c r="R78" s="1033"/>
    </row>
    <row r="79" spans="1:18" ht="13.8">
      <c r="A79" s="532" t="s">
        <v>88</v>
      </c>
      <c r="B79" s="1051" t="s">
        <v>87</v>
      </c>
      <c r="C79" s="1052"/>
      <c r="D79" s="1052"/>
      <c r="E79" s="1052"/>
      <c r="F79" s="1053"/>
      <c r="G79" s="1049" t="s">
        <v>24</v>
      </c>
      <c r="H79" s="1050"/>
      <c r="I79" s="15"/>
      <c r="K79" s="532" t="s">
        <v>88</v>
      </c>
      <c r="L79" s="1051" t="s">
        <v>87</v>
      </c>
      <c r="M79" s="1052"/>
      <c r="N79" s="1052"/>
      <c r="O79" s="1052"/>
      <c r="P79" s="1053"/>
      <c r="Q79" s="1049" t="s">
        <v>24</v>
      </c>
      <c r="R79" s="1050"/>
    </row>
    <row r="80" spans="1:18" ht="28.2" customHeight="1">
      <c r="A80" s="1035" t="s">
        <v>90</v>
      </c>
      <c r="B80" s="1014" t="s">
        <v>648</v>
      </c>
      <c r="C80" s="1014"/>
      <c r="D80" s="1014"/>
      <c r="E80" s="1014"/>
      <c r="F80" s="1014"/>
      <c r="G80" s="1039">
        <f>(Q80*KFC!$B$9+KFC!$C$9)*курс_уе</f>
        <v>30.9876</v>
      </c>
      <c r="H80" s="1040">
        <f>(R80*KFC!$B$9+KFC!$C$9)*курс_уе</f>
        <v>0</v>
      </c>
      <c r="I80" s="15"/>
      <c r="K80" s="1035" t="s">
        <v>90</v>
      </c>
      <c r="L80" s="1014" t="s">
        <v>648</v>
      </c>
      <c r="M80" s="1014"/>
      <c r="N80" s="1014"/>
      <c r="O80" s="1014"/>
      <c r="P80" s="1014"/>
      <c r="Q80" s="1039">
        <f>(30.38*KFC!$B$41*1.02+KFC!$C$41)*KFC!$C$5</f>
        <v>30.9876</v>
      </c>
      <c r="R80" s="1040"/>
    </row>
    <row r="81" spans="1:18" ht="28.2" customHeight="1">
      <c r="A81" s="1035"/>
      <c r="B81" s="1047" t="s">
        <v>845</v>
      </c>
      <c r="C81" s="1048"/>
      <c r="D81" s="1048"/>
      <c r="E81" s="1048"/>
      <c r="F81" s="1048"/>
      <c r="G81" s="1039">
        <f>(Q81*KFC!$B$9+KFC!$C$9)*курс_уе</f>
        <v>0</v>
      </c>
      <c r="H81" s="1040">
        <f>(R81*KFC!$B$9+KFC!$C$9)*курс_уе</f>
        <v>0</v>
      </c>
      <c r="I81" s="15"/>
      <c r="K81" s="1035"/>
      <c r="L81" s="1047" t="s">
        <v>845</v>
      </c>
      <c r="M81" s="1048"/>
      <c r="N81" s="1048"/>
      <c r="O81" s="1048"/>
      <c r="P81" s="1048"/>
      <c r="Q81" s="1039"/>
      <c r="R81" s="1040"/>
    </row>
    <row r="82" spans="1:18" ht="28.2" customHeight="1">
      <c r="A82" s="1035" t="s">
        <v>90</v>
      </c>
      <c r="B82" s="1014" t="s">
        <v>634</v>
      </c>
      <c r="C82" s="1014"/>
      <c r="D82" s="1014"/>
      <c r="E82" s="1014"/>
      <c r="F82" s="1014"/>
      <c r="G82" s="1039">
        <f>(Q82*KFC!$B$9+KFC!$C$9)*курс_уе</f>
        <v>39</v>
      </c>
      <c r="H82" s="1040">
        <f>(R82*KFC!$B$9+KFC!$C$9)*курс_уе</f>
        <v>0</v>
      </c>
      <c r="I82" s="15"/>
      <c r="K82" s="1035" t="s">
        <v>90</v>
      </c>
      <c r="L82" s="1014" t="s">
        <v>634</v>
      </c>
      <c r="M82" s="1014"/>
      <c r="N82" s="1014"/>
      <c r="O82" s="1014"/>
      <c r="P82" s="1014"/>
      <c r="Q82" s="1039">
        <f>(39*KFC!$B$41+KFC!$C$41)*KFC!$C$5</f>
        <v>39</v>
      </c>
      <c r="R82" s="1040"/>
    </row>
    <row r="83" spans="1:18" ht="28.2" customHeight="1" thickBot="1">
      <c r="A83" s="1036"/>
      <c r="B83" s="1015" t="s">
        <v>846</v>
      </c>
      <c r="C83" s="1016"/>
      <c r="D83" s="1016"/>
      <c r="E83" s="1016"/>
      <c r="F83" s="1016"/>
      <c r="G83" s="1041">
        <f>(Q83*KFC!$B$9+KFC!$C$9)*курс_уе</f>
        <v>0</v>
      </c>
      <c r="H83" s="1042">
        <f>(R83*KFC!$B$9+KFC!$C$9)*курс_уе</f>
        <v>0</v>
      </c>
      <c r="I83" s="15"/>
      <c r="K83" s="1036"/>
      <c r="L83" s="1015" t="s">
        <v>846</v>
      </c>
      <c r="M83" s="1016"/>
      <c r="N83" s="1016"/>
      <c r="O83" s="1016"/>
      <c r="P83" s="1016"/>
      <c r="Q83" s="1041"/>
      <c r="R83" s="1042"/>
    </row>
    <row r="84" spans="1:18">
      <c r="A84" s="16"/>
      <c r="B84" s="16"/>
      <c r="C84" s="16"/>
      <c r="D84" s="16"/>
      <c r="E84" s="16"/>
      <c r="F84" s="16"/>
      <c r="G84" s="16"/>
      <c r="H84" s="16"/>
      <c r="I84" s="15"/>
      <c r="K84" s="16"/>
      <c r="L84" s="16"/>
      <c r="M84" s="16"/>
      <c r="N84" s="16"/>
      <c r="O84" s="16"/>
      <c r="P84" s="16"/>
      <c r="Q84" s="16"/>
      <c r="R84" s="16"/>
    </row>
    <row r="85" spans="1:18">
      <c r="A85" s="16"/>
      <c r="B85" s="16"/>
      <c r="C85" s="16"/>
      <c r="D85" s="16"/>
      <c r="E85" s="16"/>
      <c r="F85" s="16"/>
      <c r="G85" s="16"/>
      <c r="H85" s="16"/>
      <c r="I85" s="15"/>
      <c r="K85" s="16"/>
      <c r="L85" s="16"/>
      <c r="M85" s="16"/>
      <c r="N85" s="16"/>
      <c r="O85" s="16"/>
      <c r="P85" s="16"/>
      <c r="Q85" s="16"/>
      <c r="R85" s="16"/>
    </row>
    <row r="86" spans="1:18" ht="13.8">
      <c r="A86" s="870"/>
      <c r="B86" s="870"/>
      <c r="C86" s="870"/>
      <c r="D86" s="870"/>
      <c r="E86" s="719"/>
      <c r="F86" s="16"/>
      <c r="G86" s="16"/>
      <c r="H86" s="16"/>
      <c r="I86" s="15"/>
      <c r="K86" s="870"/>
      <c r="L86" s="870"/>
      <c r="M86" s="870"/>
      <c r="N86" s="870"/>
      <c r="O86" s="719"/>
      <c r="P86" s="16"/>
      <c r="Q86" s="16"/>
      <c r="R86" s="16"/>
    </row>
    <row r="87" spans="1:18" ht="13.8">
      <c r="A87" s="870"/>
      <c r="B87" s="870"/>
      <c r="C87" s="870"/>
      <c r="D87" s="870"/>
      <c r="E87" s="719"/>
      <c r="F87" s="16"/>
      <c r="G87" s="16"/>
      <c r="H87" s="16"/>
      <c r="I87" s="15"/>
      <c r="K87" s="870"/>
      <c r="L87" s="870"/>
      <c r="M87" s="870"/>
      <c r="N87" s="870"/>
      <c r="O87" s="719"/>
      <c r="P87" s="16"/>
      <c r="Q87" s="16"/>
      <c r="R87" s="16"/>
    </row>
    <row r="88" spans="1:18" ht="13.8">
      <c r="A88" s="870"/>
      <c r="B88" s="870"/>
      <c r="C88" s="870"/>
      <c r="D88" s="870"/>
      <c r="E88" s="719"/>
      <c r="F88" s="16"/>
      <c r="G88" s="16"/>
      <c r="H88" s="16"/>
      <c r="I88" s="15"/>
      <c r="K88" s="870"/>
      <c r="L88" s="870"/>
      <c r="M88" s="870"/>
      <c r="N88" s="870"/>
      <c r="O88" s="719"/>
      <c r="P88" s="16"/>
      <c r="Q88" s="16"/>
      <c r="R88" s="16"/>
    </row>
    <row r="89" spans="1:18">
      <c r="F89" s="16"/>
      <c r="G89" s="16"/>
      <c r="H89" s="16"/>
      <c r="I89" s="15"/>
      <c r="P89" s="16"/>
      <c r="Q89" s="16"/>
      <c r="R89" s="16"/>
    </row>
    <row r="90" spans="1:18" ht="15.6">
      <c r="A90" s="1004" t="s">
        <v>1190</v>
      </c>
      <c r="B90" s="1004"/>
      <c r="C90" s="1004"/>
      <c r="D90" s="1004"/>
      <c r="E90" s="1004"/>
      <c r="F90" s="1004"/>
      <c r="G90" s="1004"/>
      <c r="H90" s="1004"/>
      <c r="I90" s="15"/>
      <c r="K90" s="1004" t="s">
        <v>1190</v>
      </c>
      <c r="L90" s="1004"/>
      <c r="M90" s="1004"/>
      <c r="N90" s="1004"/>
      <c r="O90" s="1004"/>
      <c r="P90" s="1004"/>
      <c r="Q90" s="1004"/>
      <c r="R90" s="1004"/>
    </row>
    <row r="91" spans="1:18" ht="13.8" thickBot="1">
      <c r="F91" s="16"/>
      <c r="G91" s="16"/>
      <c r="H91" s="16"/>
      <c r="I91" s="15"/>
      <c r="P91" s="16"/>
      <c r="Q91" s="16"/>
      <c r="R91" s="16"/>
    </row>
    <row r="92" spans="1:18" ht="14.4" thickBot="1">
      <c r="A92" s="1005" t="s">
        <v>87</v>
      </c>
      <c r="B92" s="1006"/>
      <c r="C92" s="1006"/>
      <c r="D92" s="1006"/>
      <c r="E92" s="1007"/>
      <c r="F92" s="879" t="s">
        <v>1191</v>
      </c>
      <c r="G92" s="879" t="s">
        <v>1194</v>
      </c>
      <c r="H92" s="16"/>
      <c r="I92" s="15"/>
      <c r="K92" s="1005" t="s">
        <v>87</v>
      </c>
      <c r="L92" s="1006"/>
      <c r="M92" s="1006"/>
      <c r="N92" s="1006"/>
      <c r="O92" s="1007"/>
      <c r="P92" s="879" t="s">
        <v>1191</v>
      </c>
      <c r="Q92" s="879" t="s">
        <v>1194</v>
      </c>
      <c r="R92" s="16"/>
    </row>
    <row r="93" spans="1:18" ht="15" customHeight="1">
      <c r="A93" s="1008" t="s">
        <v>1180</v>
      </c>
      <c r="B93" s="1008"/>
      <c r="C93" s="1008"/>
      <c r="D93" s="1008"/>
      <c r="E93" s="1008"/>
      <c r="F93" s="875" t="s">
        <v>526</v>
      </c>
      <c r="G93" s="878">
        <f>(Q93*KFC!$B$9+KFC!$C$9)*курс_уе</f>
        <v>206.72</v>
      </c>
      <c r="H93" s="16"/>
      <c r="I93" s="15"/>
      <c r="K93" s="1008" t="s">
        <v>1180</v>
      </c>
      <c r="L93" s="1008"/>
      <c r="M93" s="1008"/>
      <c r="N93" s="1008"/>
      <c r="O93" s="1008"/>
      <c r="P93" s="875" t="s">
        <v>526</v>
      </c>
      <c r="Q93" s="878">
        <f>(206.72*KFC!$B$41+KFC!$C$41)</f>
        <v>206.72</v>
      </c>
      <c r="R93" s="16"/>
    </row>
    <row r="94" spans="1:18" ht="15" customHeight="1">
      <c r="A94" s="1003" t="s">
        <v>1181</v>
      </c>
      <c r="B94" s="1003"/>
      <c r="C94" s="1003"/>
      <c r="D94" s="1003"/>
      <c r="E94" s="1003"/>
      <c r="F94" s="871" t="s">
        <v>526</v>
      </c>
      <c r="G94" s="866">
        <f>(Q94*KFC!$B$9+KFC!$C$9)*курс_уе</f>
        <v>226.92</v>
      </c>
      <c r="H94" s="16"/>
      <c r="I94" s="15"/>
      <c r="K94" s="1003" t="s">
        <v>1181</v>
      </c>
      <c r="L94" s="1003"/>
      <c r="M94" s="1003"/>
      <c r="N94" s="1003"/>
      <c r="O94" s="1003"/>
      <c r="P94" s="871" t="s">
        <v>526</v>
      </c>
      <c r="Q94" s="866">
        <f>(226.92*KFC!$B$41+KFC!$C$41)</f>
        <v>226.92</v>
      </c>
      <c r="R94" s="16"/>
    </row>
    <row r="95" spans="1:18" ht="15" customHeight="1">
      <c r="A95" s="1003" t="s">
        <v>1182</v>
      </c>
      <c r="B95" s="1003"/>
      <c r="C95" s="1003"/>
      <c r="D95" s="1003"/>
      <c r="E95" s="1003"/>
      <c r="F95" s="869" t="s">
        <v>526</v>
      </c>
      <c r="G95" s="866">
        <f>(Q95*KFC!$B$9+KFC!$C$9)*курс_уе</f>
        <v>624.88</v>
      </c>
      <c r="H95" s="16"/>
      <c r="I95" s="15"/>
      <c r="K95" s="1003" t="s">
        <v>1182</v>
      </c>
      <c r="L95" s="1003"/>
      <c r="M95" s="1003"/>
      <c r="N95" s="1003"/>
      <c r="O95" s="1003"/>
      <c r="P95" s="869" t="s">
        <v>526</v>
      </c>
      <c r="Q95" s="866">
        <f>(624.88*KFC!$B$41+KFC!$C$41)</f>
        <v>624.88</v>
      </c>
      <c r="R95" s="16"/>
    </row>
    <row r="96" spans="1:18" ht="15" customHeight="1">
      <c r="A96" s="1003" t="s">
        <v>1183</v>
      </c>
      <c r="B96" s="1003"/>
      <c r="C96" s="1003"/>
      <c r="D96" s="1003"/>
      <c r="E96" s="1003"/>
      <c r="F96" s="869" t="s">
        <v>526</v>
      </c>
      <c r="G96" s="866">
        <f>(Q96*KFC!$B$9+KFC!$C$9)*курс_уе</f>
        <v>687.38</v>
      </c>
      <c r="H96" s="16"/>
      <c r="I96" s="15"/>
      <c r="K96" s="1003" t="s">
        <v>1183</v>
      </c>
      <c r="L96" s="1003"/>
      <c r="M96" s="1003"/>
      <c r="N96" s="1003"/>
      <c r="O96" s="1003"/>
      <c r="P96" s="869" t="s">
        <v>526</v>
      </c>
      <c r="Q96" s="866">
        <f>(687.38*KFC!$B$41+KFC!$C$41)</f>
        <v>687.38</v>
      </c>
      <c r="R96" s="16"/>
    </row>
    <row r="97" spans="1:18" ht="15" customHeight="1">
      <c r="A97" s="1003" t="s">
        <v>1184</v>
      </c>
      <c r="B97" s="1003"/>
      <c r="C97" s="1003"/>
      <c r="D97" s="1003"/>
      <c r="E97" s="1003"/>
      <c r="F97" s="869" t="s">
        <v>1192</v>
      </c>
      <c r="G97" s="866">
        <f>(Q97*KFC!$B$9+KFC!$C$9)*курс_уе</f>
        <v>97.05</v>
      </c>
      <c r="H97" s="16"/>
      <c r="I97" s="15"/>
      <c r="K97" s="1003" t="s">
        <v>1184</v>
      </c>
      <c r="L97" s="1003"/>
      <c r="M97" s="1003"/>
      <c r="N97" s="1003"/>
      <c r="O97" s="1003"/>
      <c r="P97" s="869" t="s">
        <v>1192</v>
      </c>
      <c r="Q97" s="866">
        <f>(97.05*KFC!$B$41+KFC!$C$41)</f>
        <v>97.05</v>
      </c>
      <c r="R97" s="16"/>
    </row>
    <row r="98" spans="1:18" ht="15" customHeight="1">
      <c r="A98" s="1003" t="s">
        <v>1185</v>
      </c>
      <c r="B98" s="1003"/>
      <c r="C98" s="1003"/>
      <c r="D98" s="1003"/>
      <c r="E98" s="1003"/>
      <c r="F98" s="869" t="s">
        <v>1192</v>
      </c>
      <c r="G98" s="866">
        <f>(Q98*KFC!$B$9+KFC!$C$9)*курс_уе</f>
        <v>125.45</v>
      </c>
      <c r="H98" s="16"/>
      <c r="I98" s="15"/>
      <c r="K98" s="1003" t="s">
        <v>1185</v>
      </c>
      <c r="L98" s="1003"/>
      <c r="M98" s="1003"/>
      <c r="N98" s="1003"/>
      <c r="O98" s="1003"/>
      <c r="P98" s="869" t="s">
        <v>1192</v>
      </c>
      <c r="Q98" s="866">
        <f>(125.45*KFC!$B$41+KFC!$C$41)</f>
        <v>125.45</v>
      </c>
      <c r="R98" s="16"/>
    </row>
    <row r="99" spans="1:18" ht="15" customHeight="1">
      <c r="A99" s="1003" t="s">
        <v>1186</v>
      </c>
      <c r="B99" s="1003"/>
      <c r="C99" s="1003"/>
      <c r="D99" s="1003"/>
      <c r="E99" s="1003"/>
      <c r="F99" s="869" t="s">
        <v>1192</v>
      </c>
      <c r="G99" s="866">
        <f>(Q99*KFC!$B$9+KFC!$C$9)*курс_уе</f>
        <v>222.81</v>
      </c>
      <c r="H99" s="16"/>
      <c r="I99" s="15"/>
      <c r="K99" s="1003" t="s">
        <v>1186</v>
      </c>
      <c r="L99" s="1003"/>
      <c r="M99" s="1003"/>
      <c r="N99" s="1003"/>
      <c r="O99" s="1003"/>
      <c r="P99" s="869" t="s">
        <v>1192</v>
      </c>
      <c r="Q99" s="866">
        <f>(222.81*KFC!$B$41+KFC!$C$41)</f>
        <v>222.81</v>
      </c>
      <c r="R99" s="16"/>
    </row>
    <row r="100" spans="1:18" ht="15" customHeight="1">
      <c r="A100" s="1003" t="s">
        <v>1187</v>
      </c>
      <c r="B100" s="1003"/>
      <c r="C100" s="1003"/>
      <c r="D100" s="1003"/>
      <c r="E100" s="1003"/>
      <c r="F100" s="869" t="s">
        <v>526</v>
      </c>
      <c r="G100" s="866">
        <f>(Q100*KFC!$B$9+KFC!$C$9)*курс_уе</f>
        <v>269.60000000000002</v>
      </c>
      <c r="H100" s="16"/>
      <c r="I100" s="15"/>
      <c r="K100" s="1003" t="s">
        <v>1187</v>
      </c>
      <c r="L100" s="1003"/>
      <c r="M100" s="1003"/>
      <c r="N100" s="1003"/>
      <c r="O100" s="1003"/>
      <c r="P100" s="869" t="s">
        <v>526</v>
      </c>
      <c r="Q100" s="866">
        <f>(269.6*KFC!$B$41+KFC!$C$41)</f>
        <v>269.60000000000002</v>
      </c>
      <c r="R100" s="16"/>
    </row>
    <row r="101" spans="1:18" ht="15" customHeight="1">
      <c r="A101" s="1003" t="s">
        <v>1193</v>
      </c>
      <c r="B101" s="1003"/>
      <c r="C101" s="1003"/>
      <c r="D101" s="1003"/>
      <c r="E101" s="1003"/>
      <c r="F101" s="869" t="s">
        <v>526</v>
      </c>
      <c r="G101" s="866">
        <f>(Q101*KFC!$B$9+KFC!$C$9)*курс_уе</f>
        <v>402.86</v>
      </c>
      <c r="H101" s="16"/>
      <c r="I101" s="15"/>
      <c r="K101" s="1003" t="s">
        <v>1193</v>
      </c>
      <c r="L101" s="1003"/>
      <c r="M101" s="1003"/>
      <c r="N101" s="1003"/>
      <c r="O101" s="1003"/>
      <c r="P101" s="869" t="s">
        <v>526</v>
      </c>
      <c r="Q101" s="866">
        <f>(402.86*KFC!$B$41+KFC!$C$41)</f>
        <v>402.86</v>
      </c>
      <c r="R101" s="16"/>
    </row>
    <row r="102" spans="1:18" ht="15" customHeight="1">
      <c r="A102" s="1003" t="s">
        <v>1188</v>
      </c>
      <c r="B102" s="1003"/>
      <c r="C102" s="1003"/>
      <c r="D102" s="1003"/>
      <c r="E102" s="1003"/>
      <c r="F102" s="869" t="s">
        <v>526</v>
      </c>
      <c r="G102" s="866">
        <f>(Q102*KFC!$B$9+KFC!$C$9)*курс_уе</f>
        <v>132.47999999999999</v>
      </c>
      <c r="H102" s="16"/>
      <c r="I102" s="15"/>
      <c r="K102" s="1003" t="s">
        <v>1188</v>
      </c>
      <c r="L102" s="1003"/>
      <c r="M102" s="1003"/>
      <c r="N102" s="1003"/>
      <c r="O102" s="1003"/>
      <c r="P102" s="869" t="s">
        <v>526</v>
      </c>
      <c r="Q102" s="866">
        <f>(132.48*KFC!$B$41+KFC!$C$41)</f>
        <v>132.47999999999999</v>
      </c>
      <c r="R102" s="16"/>
    </row>
    <row r="103" spans="1:18" ht="15.75" customHeight="1">
      <c r="A103" s="1003" t="s">
        <v>1189</v>
      </c>
      <c r="B103" s="1003"/>
      <c r="C103" s="1003"/>
      <c r="D103" s="1003"/>
      <c r="E103" s="1003"/>
      <c r="F103" s="869" t="s">
        <v>526</v>
      </c>
      <c r="G103" s="866">
        <f>(Q103*KFC!$B$9+KFC!$C$9)*курс_уе</f>
        <v>121.32</v>
      </c>
      <c r="H103" s="16"/>
      <c r="I103" s="15"/>
      <c r="K103" s="1003" t="s">
        <v>1189</v>
      </c>
      <c r="L103" s="1003"/>
      <c r="M103" s="1003"/>
      <c r="N103" s="1003"/>
      <c r="O103" s="1003"/>
      <c r="P103" s="869" t="s">
        <v>526</v>
      </c>
      <c r="Q103" s="866">
        <f>(121.32*KFC!$B$41+KFC!$C$41)</f>
        <v>121.32</v>
      </c>
      <c r="R103" s="16"/>
    </row>
    <row r="104" spans="1:18">
      <c r="A104" s="16"/>
      <c r="B104" s="16"/>
      <c r="C104" s="16"/>
      <c r="D104" s="16"/>
      <c r="E104" s="16"/>
      <c r="F104" s="16"/>
      <c r="G104" s="16"/>
      <c r="H104" s="16"/>
      <c r="I104" s="15"/>
    </row>
    <row r="105" spans="1:18">
      <c r="A105" s="16"/>
      <c r="B105" s="16"/>
      <c r="C105" s="16"/>
      <c r="D105" s="16"/>
      <c r="E105" s="16"/>
      <c r="F105" s="16"/>
      <c r="G105" s="16"/>
      <c r="H105" s="16"/>
      <c r="I105" s="15"/>
    </row>
    <row r="106" spans="1:18">
      <c r="A106" s="16"/>
      <c r="B106" s="16"/>
      <c r="C106" s="16"/>
      <c r="D106" s="16"/>
      <c r="E106" s="16"/>
      <c r="F106" s="16"/>
      <c r="G106" s="16"/>
      <c r="H106" s="16"/>
      <c r="I106" s="15"/>
    </row>
    <row r="107" spans="1:18">
      <c r="A107" s="16"/>
      <c r="B107" s="16"/>
      <c r="C107" s="16"/>
      <c r="D107" s="16"/>
      <c r="E107" s="16"/>
      <c r="F107" s="16"/>
      <c r="G107" s="16"/>
      <c r="H107" s="16"/>
      <c r="I107" s="15"/>
    </row>
    <row r="108" spans="1:18">
      <c r="A108" s="16"/>
      <c r="B108" s="16"/>
      <c r="C108" s="16"/>
      <c r="D108" s="16"/>
      <c r="E108" s="16"/>
      <c r="F108" s="16"/>
      <c r="G108" s="16"/>
      <c r="H108" s="16"/>
      <c r="I108" s="15"/>
    </row>
    <row r="109" spans="1:18">
      <c r="A109" s="16"/>
      <c r="B109" s="16"/>
      <c r="C109" s="16"/>
      <c r="D109" s="16"/>
      <c r="E109" s="16"/>
      <c r="F109" s="16"/>
      <c r="G109" s="16"/>
      <c r="H109" s="16"/>
      <c r="I109" s="15"/>
    </row>
    <row r="110" spans="1:18">
      <c r="A110" s="16"/>
      <c r="B110" s="16"/>
      <c r="C110" s="16"/>
      <c r="D110" s="16"/>
      <c r="E110" s="16"/>
      <c r="F110" s="16"/>
      <c r="G110" s="16"/>
      <c r="H110" s="16"/>
      <c r="I110" s="15"/>
    </row>
    <row r="111" spans="1:18">
      <c r="A111" s="16"/>
      <c r="B111" s="16"/>
      <c r="C111" s="16"/>
      <c r="D111" s="16"/>
      <c r="E111" s="16"/>
      <c r="F111" s="16"/>
      <c r="G111" s="16"/>
      <c r="H111" s="16"/>
      <c r="I111" s="15"/>
    </row>
    <row r="112" spans="1:18">
      <c r="A112" s="16"/>
      <c r="B112" s="16"/>
      <c r="C112" s="16"/>
      <c r="D112" s="16"/>
      <c r="E112" s="16"/>
      <c r="F112" s="16"/>
      <c r="G112" s="16"/>
      <c r="H112" s="16"/>
      <c r="I112" s="15"/>
    </row>
    <row r="113" spans="1:9">
      <c r="A113" s="16"/>
      <c r="B113" s="16"/>
      <c r="C113" s="16"/>
      <c r="D113" s="16"/>
      <c r="E113" s="16"/>
      <c r="F113" s="16"/>
      <c r="G113" s="16"/>
      <c r="H113" s="16"/>
      <c r="I113" s="15"/>
    </row>
    <row r="114" spans="1:9">
      <c r="A114" s="16"/>
      <c r="B114" s="16"/>
      <c r="C114" s="16"/>
      <c r="D114" s="16"/>
      <c r="E114" s="16"/>
      <c r="F114" s="16"/>
      <c r="G114" s="16"/>
      <c r="H114" s="16"/>
      <c r="I114" s="15"/>
    </row>
    <row r="115" spans="1:9">
      <c r="A115" s="16"/>
      <c r="B115" s="16"/>
      <c r="C115" s="16"/>
      <c r="D115" s="16"/>
      <c r="E115" s="16"/>
      <c r="F115" s="16"/>
      <c r="G115" s="16"/>
      <c r="H115" s="16"/>
      <c r="I115" s="15"/>
    </row>
    <row r="116" spans="1:9">
      <c r="A116" s="16"/>
      <c r="B116" s="16"/>
      <c r="C116" s="16"/>
      <c r="D116" s="16"/>
      <c r="E116" s="16"/>
      <c r="F116" s="16"/>
      <c r="G116" s="16"/>
      <c r="H116" s="16"/>
      <c r="I116" s="15"/>
    </row>
    <row r="117" spans="1:9">
      <c r="A117" s="16"/>
      <c r="B117" s="16"/>
      <c r="C117" s="16"/>
      <c r="D117" s="16"/>
      <c r="E117" s="16"/>
      <c r="F117" s="16"/>
      <c r="G117" s="16"/>
      <c r="H117" s="16"/>
      <c r="I117" s="15"/>
    </row>
    <row r="118" spans="1:9">
      <c r="A118" s="16"/>
      <c r="B118" s="16"/>
      <c r="C118" s="16"/>
      <c r="D118" s="16"/>
      <c r="E118" s="16"/>
      <c r="F118" s="16"/>
      <c r="G118" s="16"/>
      <c r="H118" s="16"/>
      <c r="I118" s="15"/>
    </row>
    <row r="119" spans="1:9">
      <c r="A119" s="16"/>
      <c r="B119" s="16"/>
      <c r="C119" s="16"/>
      <c r="D119" s="16"/>
      <c r="E119" s="16"/>
      <c r="F119" s="16"/>
      <c r="G119" s="16"/>
      <c r="H119" s="16"/>
      <c r="I119" s="15"/>
    </row>
    <row r="120" spans="1:9">
      <c r="A120" s="16"/>
      <c r="B120" s="16"/>
      <c r="C120" s="16"/>
      <c r="D120" s="16"/>
      <c r="E120" s="16"/>
      <c r="F120" s="16"/>
      <c r="G120" s="16"/>
      <c r="H120" s="16"/>
      <c r="I120" s="15"/>
    </row>
    <row r="121" spans="1:9">
      <c r="A121" s="16"/>
      <c r="B121" s="16"/>
      <c r="C121" s="16"/>
      <c r="D121" s="16"/>
      <c r="E121" s="16"/>
      <c r="F121" s="16"/>
      <c r="G121" s="16"/>
      <c r="H121" s="16"/>
      <c r="I121" s="15"/>
    </row>
    <row r="122" spans="1:9">
      <c r="A122" s="16"/>
      <c r="B122" s="16"/>
      <c r="C122" s="16"/>
      <c r="D122" s="16"/>
      <c r="E122" s="16"/>
      <c r="F122" s="16"/>
      <c r="G122" s="16"/>
      <c r="H122" s="16"/>
      <c r="I122" s="15"/>
    </row>
    <row r="123" spans="1:9">
      <c r="A123" s="16"/>
      <c r="B123" s="16"/>
      <c r="C123" s="16"/>
      <c r="D123" s="16"/>
      <c r="E123" s="16"/>
      <c r="F123" s="16"/>
      <c r="G123" s="16"/>
      <c r="H123" s="16"/>
      <c r="I123" s="15"/>
    </row>
    <row r="124" spans="1:9">
      <c r="A124" s="16"/>
      <c r="B124" s="16"/>
      <c r="C124" s="16"/>
      <c r="D124" s="16"/>
      <c r="E124" s="16"/>
      <c r="F124" s="16"/>
      <c r="G124" s="16"/>
      <c r="H124" s="16"/>
      <c r="I124" s="15"/>
    </row>
    <row r="125" spans="1:9">
      <c r="A125" s="16"/>
      <c r="B125" s="16"/>
      <c r="C125" s="16"/>
      <c r="D125" s="16"/>
      <c r="E125" s="16"/>
      <c r="F125" s="16"/>
      <c r="G125" s="16"/>
      <c r="H125" s="16"/>
      <c r="I125" s="15"/>
    </row>
    <row r="126" spans="1:9">
      <c r="A126" s="16"/>
      <c r="B126" s="16"/>
      <c r="C126" s="16"/>
      <c r="D126" s="16"/>
      <c r="E126" s="16"/>
      <c r="F126" s="16"/>
      <c r="G126" s="16"/>
      <c r="H126" s="16"/>
      <c r="I126" s="15"/>
    </row>
    <row r="127" spans="1:9">
      <c r="A127" s="16"/>
      <c r="B127" s="16"/>
      <c r="C127" s="16"/>
      <c r="D127" s="16"/>
      <c r="E127" s="16"/>
      <c r="F127" s="16"/>
      <c r="G127" s="16"/>
      <c r="H127" s="16"/>
      <c r="I127" s="15"/>
    </row>
    <row r="128" spans="1:9">
      <c r="A128" s="16"/>
      <c r="B128" s="16"/>
      <c r="C128" s="16"/>
      <c r="D128" s="16"/>
      <c r="E128" s="16"/>
      <c r="F128" s="16"/>
      <c r="G128" s="16"/>
      <c r="H128" s="16"/>
      <c r="I128" s="15"/>
    </row>
    <row r="129" spans="1:9">
      <c r="A129" s="16"/>
      <c r="B129" s="16"/>
      <c r="C129" s="16"/>
      <c r="D129" s="16"/>
      <c r="E129" s="16"/>
      <c r="F129" s="16"/>
      <c r="G129" s="16"/>
      <c r="H129" s="16"/>
      <c r="I129" s="15"/>
    </row>
    <row r="130" spans="1:9">
      <c r="A130" s="16"/>
      <c r="B130" s="16"/>
      <c r="C130" s="16"/>
      <c r="D130" s="16"/>
      <c r="E130" s="16"/>
      <c r="F130" s="16"/>
      <c r="G130" s="16"/>
      <c r="H130" s="16"/>
      <c r="I130" s="15"/>
    </row>
    <row r="131" spans="1:9">
      <c r="A131" s="16"/>
      <c r="B131" s="16"/>
      <c r="C131" s="16"/>
      <c r="D131" s="16"/>
      <c r="E131" s="16"/>
      <c r="F131" s="16"/>
      <c r="G131" s="16"/>
      <c r="H131" s="16"/>
      <c r="I131" s="15"/>
    </row>
    <row r="132" spans="1:9">
      <c r="I132" s="15"/>
    </row>
    <row r="133" spans="1:9">
      <c r="I133" s="15"/>
    </row>
    <row r="134" spans="1:9">
      <c r="I134" s="15"/>
    </row>
    <row r="135" spans="1:9">
      <c r="I135" s="15"/>
    </row>
    <row r="136" spans="1:9">
      <c r="I136" s="15"/>
    </row>
    <row r="137" spans="1:9">
      <c r="I137" s="15"/>
    </row>
  </sheetData>
  <protectedRanges>
    <protectedRange algorithmName="SHA-512" hashValue="0nT1uIpCtyORX7YsSb7v19sr3CNrbMRoD9cGf0Ys71kycEcvxB8lCl/wL7+WmEoEBYhU8FPF7o81r0W6pH8iaw==" saltValue="dl5ggdkkjEb0hOEukdwkrg==" spinCount="100000" sqref="J6:S21" name="Диапазон2"/>
    <protectedRange algorithmName="SHA-512" hashValue="WRaR6kFYg4nU4wj9FlOX47B+0Fdp6h/7p9YMfCctQfAFH2vzxWXRxLlGg2TU/kdZ6SWacQc8e1YYpNEaQeqFgQ==" saltValue="yLfFZ80giAv115E9G9wQtw==" spinCount="100000" sqref="J1:J1048576 K23:P1048576 S1:S1048576 Q21:R1048576 K1:R7 K21:L21" name="Диапазон1"/>
  </protectedRanges>
  <sortState xmlns:xlrd2="http://schemas.microsoft.com/office/spreadsheetml/2017/richdata2" ref="G9:G20">
    <sortCondition ref="G8:G20"/>
  </sortState>
  <mergeCells count="128">
    <mergeCell ref="K94:O94"/>
    <mergeCell ref="K95:O95"/>
    <mergeCell ref="K52:M52"/>
    <mergeCell ref="O52:Q52"/>
    <mergeCell ref="K53:M53"/>
    <mergeCell ref="O53:Q53"/>
    <mergeCell ref="K56:R56"/>
    <mergeCell ref="K101:O101"/>
    <mergeCell ref="K102:O102"/>
    <mergeCell ref="K103:O103"/>
    <mergeCell ref="K80:K81"/>
    <mergeCell ref="L80:P80"/>
    <mergeCell ref="Q80:R81"/>
    <mergeCell ref="L81:P81"/>
    <mergeCell ref="K82:K83"/>
    <mergeCell ref="L82:P82"/>
    <mergeCell ref="Q82:R83"/>
    <mergeCell ref="L83:P83"/>
    <mergeCell ref="K96:O96"/>
    <mergeCell ref="K97:O97"/>
    <mergeCell ref="K98:O98"/>
    <mergeCell ref="K99:O99"/>
    <mergeCell ref="K100:O100"/>
    <mergeCell ref="K90:R90"/>
    <mergeCell ref="K92:O92"/>
    <mergeCell ref="K93:O93"/>
    <mergeCell ref="K47:M47"/>
    <mergeCell ref="O47:Q47"/>
    <mergeCell ref="K48:M48"/>
    <mergeCell ref="O48:Q48"/>
    <mergeCell ref="K49:M49"/>
    <mergeCell ref="O49:Q49"/>
    <mergeCell ref="K50:M50"/>
    <mergeCell ref="O50:Q50"/>
    <mergeCell ref="K51:R51"/>
    <mergeCell ref="L75:M75"/>
    <mergeCell ref="L76:M76"/>
    <mergeCell ref="K78:R78"/>
    <mergeCell ref="L79:P79"/>
    <mergeCell ref="Q79:R79"/>
    <mergeCell ref="L71:Q71"/>
    <mergeCell ref="M57:O57"/>
    <mergeCell ref="M58:O58"/>
    <mergeCell ref="K59:O59"/>
    <mergeCell ref="K69:R69"/>
    <mergeCell ref="K70:R70"/>
    <mergeCell ref="K72:K73"/>
    <mergeCell ref="L72:Q72"/>
    <mergeCell ref="R72:R73"/>
    <mergeCell ref="L73:Q73"/>
    <mergeCell ref="K74:Q74"/>
    <mergeCell ref="K32:R32"/>
    <mergeCell ref="A2:H2"/>
    <mergeCell ref="A23:H23"/>
    <mergeCell ref="A45:B45"/>
    <mergeCell ref="E39:F39"/>
    <mergeCell ref="A3:B3"/>
    <mergeCell ref="E40:F40"/>
    <mergeCell ref="A32:H32"/>
    <mergeCell ref="C3:H3"/>
    <mergeCell ref="C4:H4"/>
    <mergeCell ref="A4:B4"/>
    <mergeCell ref="C44:H44"/>
    <mergeCell ref="C45:H45"/>
    <mergeCell ref="A5:H5"/>
    <mergeCell ref="A47:C47"/>
    <mergeCell ref="E47:G47"/>
    <mergeCell ref="A24:B24"/>
    <mergeCell ref="A42:H42"/>
    <mergeCell ref="A43:H43"/>
    <mergeCell ref="A46:B46"/>
    <mergeCell ref="A39:D39"/>
    <mergeCell ref="A40:D40"/>
    <mergeCell ref="C24:H24"/>
    <mergeCell ref="C25:H25"/>
    <mergeCell ref="C46:H46"/>
    <mergeCell ref="A25:B25"/>
    <mergeCell ref="A44:B44"/>
    <mergeCell ref="A38:H38"/>
    <mergeCell ref="A52:C52"/>
    <mergeCell ref="E52:G52"/>
    <mergeCell ref="A56:H56"/>
    <mergeCell ref="A82:A83"/>
    <mergeCell ref="H72:H73"/>
    <mergeCell ref="G82:H83"/>
    <mergeCell ref="B75:C75"/>
    <mergeCell ref="B76:C76"/>
    <mergeCell ref="B81:F81"/>
    <mergeCell ref="G80:H81"/>
    <mergeCell ref="G79:H79"/>
    <mergeCell ref="A80:A81"/>
    <mergeCell ref="A78:H78"/>
    <mergeCell ref="B79:F79"/>
    <mergeCell ref="B83:F83"/>
    <mergeCell ref="B73:G73"/>
    <mergeCell ref="A74:G74"/>
    <mergeCell ref="A69:H69"/>
    <mergeCell ref="A70:H70"/>
    <mergeCell ref="B71:G71"/>
    <mergeCell ref="B72:G72"/>
    <mergeCell ref="A53:C53"/>
    <mergeCell ref="E53:G53"/>
    <mergeCell ref="B80:F80"/>
    <mergeCell ref="A72:A73"/>
    <mergeCell ref="A49:C49"/>
    <mergeCell ref="A50:C50"/>
    <mergeCell ref="E49:G49"/>
    <mergeCell ref="E50:G50"/>
    <mergeCell ref="A48:C48"/>
    <mergeCell ref="E48:G48"/>
    <mergeCell ref="C57:E57"/>
    <mergeCell ref="A103:E103"/>
    <mergeCell ref="A90:H90"/>
    <mergeCell ref="A92:E92"/>
    <mergeCell ref="A93:E93"/>
    <mergeCell ref="A94:E94"/>
    <mergeCell ref="A95:E95"/>
    <mergeCell ref="A96:E96"/>
    <mergeCell ref="A97:E97"/>
    <mergeCell ref="A98:E98"/>
    <mergeCell ref="A99:E99"/>
    <mergeCell ref="A101:E101"/>
    <mergeCell ref="A102:E102"/>
    <mergeCell ref="A100:E100"/>
    <mergeCell ref="C58:E58"/>
    <mergeCell ref="A59:E59"/>
    <mergeCell ref="A51:H51"/>
    <mergeCell ref="B82:F82"/>
  </mergeCells>
  <phoneticPr fontId="7" type="noConversion"/>
  <hyperlinks>
    <hyperlink ref="C4:H4" r:id="rId1" display="https://gamma-i.ru/catalog/complects/tkan-vertikalnaya-89-mm-new/" xr:uid="{200AB189-9DAF-4DED-89DA-54E95024F6EC}"/>
    <hyperlink ref="C24" r:id="rId2" xr:uid="{315FB702-2052-458D-97F0-58246D97A2B7}"/>
    <hyperlink ref="C25" r:id="rId3" xr:uid="{7D46D3A4-207A-4742-974D-E1A88B960C5F}"/>
    <hyperlink ref="C3:H3" r:id="rId4" display="https://gamma-i.ru/catalog/products/vertikalnye-zhalyuzi-89-mm/-tkanevye/" xr:uid="{5003ED98-C220-41E0-8B53-B8C3BB75D74D}"/>
    <hyperlink ref="A5:H5" location="'Расчёт кол-ва ламелей'!A1" display="Рекомендуемое кол-во ламелей в зависимости от ширины изделия указано в таблице расчёта." xr:uid="{50B9F063-03F1-4AF6-8002-12E153BEB738}"/>
    <hyperlink ref="C49:D49" r:id="rId5" display="https://gamma-i.ru/catalog/complects/tkan-vertikalnaya-89-mm-new/" xr:uid="{0B9FC943-9B1D-41E3-9685-815F02FB490F}"/>
    <hyperlink ref="C46" r:id="rId6" xr:uid="{8ED055BA-7F3B-4086-AA11-7DC54792CF25}"/>
    <hyperlink ref="C44" r:id="rId7" xr:uid="{754D225C-F981-426A-AF35-9121A1B8E906}"/>
    <hyperlink ref="C45:H45" r:id="rId8" display="https://gamma-i.ru/catalog/complects/tkan-vertikalnaya-89-mm-new/" xr:uid="{BFDBBBE0-1F2C-43D6-83EB-9466F27618A4}"/>
    <hyperlink ref="B73" r:id="rId9" xr:uid="{445194DB-F8B2-4F94-B6C1-7EAB099D4613}"/>
    <hyperlink ref="B81" r:id="rId10" xr:uid="{2B465204-5C30-4B80-B6B2-97AE84ECEC52}"/>
    <hyperlink ref="B83" r:id="rId11" xr:uid="{A24FBA7A-B2C7-41F9-860D-427F4FB7957A}"/>
    <hyperlink ref="M49:N49" r:id="rId12" display="https://gamma-i.ru/catalog/complects/tkan-vertikalnaya-89-mm-new/" xr:uid="{8BC62AD5-6C1E-4EAD-B9E4-FE4908FB4ABE}"/>
    <hyperlink ref="L73" r:id="rId13" xr:uid="{B14F3232-61D4-414D-9A48-48B4E759C0CF}"/>
    <hyperlink ref="L81" r:id="rId14" xr:uid="{EB780A2C-991C-4F76-A3CE-477D7F99919F}"/>
    <hyperlink ref="L83" r:id="rId15" xr:uid="{7ACFBCA0-7B0A-4255-AFD3-40BD30DA5AD8}"/>
  </hyperlinks>
  <pageMargins left="0" right="0" top="0" bottom="0" header="0" footer="0"/>
  <pageSetup paperSize="9" scale="90" fitToHeight="2" orientation="portrait" r:id="rId16"/>
  <headerFooter alignWithMargins="0"/>
  <rowBreaks count="2" manualBreakCount="2">
    <brk id="41" max="7" man="1"/>
    <brk id="61" max="7" man="1"/>
  </rowBreaks>
  <legacyDrawing r:id="rId17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B1DC95-14DF-4C83-BBCA-1CAA438767FB}">
  <sheetPr>
    <tabColor rgb="FFFF0000"/>
  </sheetPr>
  <dimension ref="A1:B32"/>
  <sheetViews>
    <sheetView view="pageBreakPreview" zoomScaleNormal="100" zoomScaleSheetLayoutView="100" workbookViewId="0">
      <selection sqref="A1:IV5"/>
    </sheetView>
  </sheetViews>
  <sheetFormatPr defaultRowHeight="13.2"/>
  <cols>
    <col min="1" max="1" width="24.44140625" customWidth="1"/>
    <col min="2" max="2" width="27.5546875" customWidth="1"/>
  </cols>
  <sheetData>
    <row r="1" spans="1:2" ht="13.8" thickBot="1">
      <c r="A1" s="161"/>
      <c r="B1" s="161"/>
    </row>
    <row r="2" spans="1:2" ht="13.8" thickBot="1">
      <c r="A2" s="200"/>
      <c r="B2" s="200"/>
    </row>
    <row r="3" spans="1:2" ht="31.5" customHeight="1" thickBot="1">
      <c r="A3" s="1888" t="s">
        <v>310</v>
      </c>
      <c r="B3" s="1889"/>
    </row>
    <row r="4" spans="1:2" ht="31.5" customHeight="1" thickBot="1">
      <c r="A4" s="631"/>
      <c r="B4" s="632"/>
    </row>
    <row r="5" spans="1:2" ht="31.5" customHeight="1">
      <c r="A5" s="1891">
        <v>1</v>
      </c>
      <c r="B5" s="201" t="s">
        <v>793</v>
      </c>
    </row>
    <row r="6" spans="1:2" ht="26.25" customHeight="1">
      <c r="A6" s="1890"/>
      <c r="B6" s="202" t="s">
        <v>334</v>
      </c>
    </row>
    <row r="7" spans="1:2" ht="26.25" customHeight="1">
      <c r="A7" s="1890"/>
      <c r="B7" s="202" t="s">
        <v>481</v>
      </c>
    </row>
    <row r="8" spans="1:2" ht="26.25" customHeight="1">
      <c r="A8" s="1890"/>
      <c r="B8" s="202" t="s">
        <v>335</v>
      </c>
    </row>
    <row r="9" spans="1:2" ht="26.25" customHeight="1">
      <c r="A9" s="1890"/>
      <c r="B9" s="202" t="s">
        <v>311</v>
      </c>
    </row>
    <row r="10" spans="1:2" ht="26.25" customHeight="1">
      <c r="A10" s="1892">
        <v>2</v>
      </c>
      <c r="B10" s="203" t="s">
        <v>482</v>
      </c>
    </row>
    <row r="11" spans="1:2" ht="26.25" customHeight="1">
      <c r="A11" s="1893"/>
      <c r="B11" s="203" t="s">
        <v>791</v>
      </c>
    </row>
    <row r="12" spans="1:2" ht="26.25" customHeight="1">
      <c r="A12" s="1893"/>
      <c r="B12" s="203" t="s">
        <v>792</v>
      </c>
    </row>
    <row r="13" spans="1:2" ht="26.25" customHeight="1">
      <c r="A13" s="1893"/>
      <c r="B13" s="203" t="s">
        <v>795</v>
      </c>
    </row>
    <row r="14" spans="1:2" ht="26.25" customHeight="1">
      <c r="A14" s="1893"/>
      <c r="B14" s="203" t="s">
        <v>796</v>
      </c>
    </row>
    <row r="15" spans="1:2" ht="26.25" customHeight="1">
      <c r="A15" s="1893"/>
      <c r="B15" s="203" t="s">
        <v>797</v>
      </c>
    </row>
    <row r="16" spans="1:2" ht="26.25" customHeight="1">
      <c r="A16" s="1893"/>
      <c r="B16" s="203" t="s">
        <v>798</v>
      </c>
    </row>
    <row r="17" spans="1:2" ht="26.25" customHeight="1">
      <c r="A17" s="1893"/>
      <c r="B17" s="203" t="s">
        <v>338</v>
      </c>
    </row>
    <row r="18" spans="1:2" ht="26.25" customHeight="1">
      <c r="A18" s="1893"/>
      <c r="B18" s="203" t="s">
        <v>313</v>
      </c>
    </row>
    <row r="19" spans="1:2" ht="26.25" customHeight="1">
      <c r="A19" s="1893"/>
      <c r="B19" s="203" t="s">
        <v>799</v>
      </c>
    </row>
    <row r="20" spans="1:2" ht="26.25" customHeight="1">
      <c r="A20" s="1893"/>
      <c r="B20" s="203" t="s">
        <v>800</v>
      </c>
    </row>
    <row r="21" spans="1:2" ht="26.25" customHeight="1">
      <c r="A21" s="1893"/>
      <c r="B21" s="203" t="s">
        <v>337</v>
      </c>
    </row>
    <row r="22" spans="1:2" ht="26.25" customHeight="1">
      <c r="A22" s="1893"/>
      <c r="B22" s="203" t="s">
        <v>336</v>
      </c>
    </row>
    <row r="23" spans="1:2" ht="26.25" customHeight="1">
      <c r="A23" s="1893"/>
      <c r="B23" s="203" t="s">
        <v>339</v>
      </c>
    </row>
    <row r="24" spans="1:2" ht="26.25" customHeight="1">
      <c r="A24" s="1893"/>
      <c r="B24" s="203" t="s">
        <v>340</v>
      </c>
    </row>
    <row r="25" spans="1:2" ht="26.25" customHeight="1">
      <c r="A25" s="1894"/>
      <c r="B25" s="203" t="s">
        <v>801</v>
      </c>
    </row>
    <row r="26" spans="1:2" ht="27" customHeight="1">
      <c r="A26" s="1890">
        <v>3</v>
      </c>
      <c r="B26" s="202" t="s">
        <v>341</v>
      </c>
    </row>
    <row r="27" spans="1:2" ht="27" customHeight="1">
      <c r="A27" s="1890"/>
      <c r="B27" s="202" t="s">
        <v>794</v>
      </c>
    </row>
    <row r="28" spans="1:2" ht="27" customHeight="1">
      <c r="A28" s="1890"/>
      <c r="B28" s="202" t="s">
        <v>312</v>
      </c>
    </row>
    <row r="29" spans="1:2" ht="27" customHeight="1">
      <c r="A29" s="1890"/>
      <c r="B29" s="202" t="s">
        <v>342</v>
      </c>
    </row>
    <row r="30" spans="1:2" ht="27.75" customHeight="1">
      <c r="A30" s="1886">
        <v>4</v>
      </c>
      <c r="B30" s="203" t="s">
        <v>62</v>
      </c>
    </row>
    <row r="31" spans="1:2" ht="27.75" customHeight="1">
      <c r="A31" s="1886"/>
      <c r="B31" s="203" t="s">
        <v>343</v>
      </c>
    </row>
    <row r="32" spans="1:2" ht="27.75" customHeight="1" thickBot="1">
      <c r="A32" s="1887"/>
      <c r="B32" s="204" t="s">
        <v>344</v>
      </c>
    </row>
  </sheetData>
  <mergeCells count="5">
    <mergeCell ref="A30:A32"/>
    <mergeCell ref="A3:B3"/>
    <mergeCell ref="A26:A29"/>
    <mergeCell ref="A5:A9"/>
    <mergeCell ref="A10:A25"/>
  </mergeCells>
  <pageMargins left="0.7" right="0.7" top="0.75" bottom="0.75" header="0.3" footer="0.3"/>
  <pageSetup paperSize="9" scale="8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E97BB8-CB76-4EC2-8BB9-F4B6236F53CF}">
  <sheetPr>
    <tabColor theme="9" tint="0.39997558519241921"/>
  </sheetPr>
  <dimension ref="A1:N96"/>
  <sheetViews>
    <sheetView view="pageBreakPreview" zoomScaleNormal="100" zoomScaleSheetLayoutView="100" workbookViewId="0">
      <selection sqref="A1:IV4"/>
    </sheetView>
  </sheetViews>
  <sheetFormatPr defaultRowHeight="13.2"/>
  <cols>
    <col min="1" max="14" width="7.5546875" customWidth="1"/>
  </cols>
  <sheetData>
    <row r="1" spans="1:14">
      <c r="A1" s="66"/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72"/>
    </row>
    <row r="2" spans="1:14" ht="16.8">
      <c r="A2" s="1821" t="s">
        <v>981</v>
      </c>
      <c r="B2" s="1821"/>
      <c r="C2" s="1821"/>
      <c r="D2" s="1821"/>
      <c r="E2" s="1821"/>
      <c r="F2" s="1821"/>
      <c r="G2" s="1821"/>
      <c r="H2" s="1821"/>
      <c r="I2" s="1821"/>
      <c r="J2" s="1821"/>
      <c r="K2" s="1821"/>
      <c r="L2" s="1821"/>
      <c r="M2" s="1821"/>
      <c r="N2" s="1821"/>
    </row>
    <row r="3" spans="1:14">
      <c r="A3" s="1011" t="s">
        <v>1030</v>
      </c>
      <c r="B3" s="1011"/>
      <c r="C3" s="1011"/>
      <c r="D3" s="1011"/>
      <c r="E3" s="1011"/>
      <c r="F3" s="1011"/>
      <c r="G3" s="1011"/>
      <c r="H3" s="1011"/>
      <c r="I3" s="1011"/>
      <c r="J3" s="1011"/>
      <c r="K3" s="1011"/>
      <c r="L3" s="1011"/>
      <c r="M3" s="1011"/>
      <c r="N3" s="1011"/>
    </row>
    <row r="4" spans="1:14" ht="13.8" thickBot="1">
      <c r="A4" s="1896" t="s">
        <v>611</v>
      </c>
      <c r="B4" s="1896"/>
      <c r="C4" s="1896"/>
      <c r="D4" s="1896"/>
      <c r="E4" s="1168" t="s">
        <v>623</v>
      </c>
      <c r="F4" s="1168"/>
      <c r="G4" s="1168"/>
      <c r="H4" s="1168"/>
      <c r="I4" s="1168"/>
      <c r="J4" s="1168"/>
      <c r="K4" s="1168"/>
      <c r="L4" s="1168"/>
      <c r="M4" s="1168"/>
      <c r="N4" s="1168"/>
    </row>
    <row r="5" spans="1:14" ht="13.8" thickBot="1">
      <c r="A5" s="1413" t="s">
        <v>314</v>
      </c>
      <c r="B5" s="1415"/>
      <c r="C5" s="1573" t="s">
        <v>207</v>
      </c>
      <c r="D5" s="1574"/>
      <c r="E5" s="1574"/>
      <c r="F5" s="1574"/>
      <c r="G5" s="1574"/>
      <c r="H5" s="1574"/>
      <c r="I5" s="1574"/>
      <c r="J5" s="1574"/>
      <c r="K5" s="1574"/>
      <c r="L5" s="1574"/>
      <c r="M5" s="1574"/>
      <c r="N5" s="1574"/>
    </row>
    <row r="6" spans="1:14" ht="13.8" thickBot="1">
      <c r="A6" s="1416"/>
      <c r="B6" s="1418"/>
      <c r="C6" s="119">
        <v>0.4</v>
      </c>
      <c r="D6" s="119">
        <v>0.5</v>
      </c>
      <c r="E6" s="119">
        <v>0.6</v>
      </c>
      <c r="F6" s="119">
        <v>0.7</v>
      </c>
      <c r="G6" s="119">
        <v>0.8</v>
      </c>
      <c r="H6" s="119">
        <v>0.9</v>
      </c>
      <c r="I6" s="119">
        <v>1</v>
      </c>
      <c r="J6" s="119">
        <v>1.1000000000000001</v>
      </c>
      <c r="K6" s="119">
        <v>1.2</v>
      </c>
      <c r="L6" s="119">
        <v>1.3</v>
      </c>
      <c r="M6" s="119">
        <v>1.4</v>
      </c>
      <c r="N6" s="119">
        <v>1.5</v>
      </c>
    </row>
    <row r="7" spans="1:14">
      <c r="A7" s="1537" t="s">
        <v>3</v>
      </c>
      <c r="B7" s="226">
        <v>0.5</v>
      </c>
      <c r="C7" s="76">
        <f>(15.9*KFC!$B$31*1.02*1.1*1.1+KFC!$C$31)*KFC!$C$5</f>
        <v>19.623780000000004</v>
      </c>
      <c r="D7" s="77">
        <f>(17.9*KFC!$B$31*1.02*1.1*1.1+KFC!$C$31)*KFC!$C$5</f>
        <v>22.092180000000003</v>
      </c>
      <c r="E7" s="77">
        <f>(19.9*KFC!$B$31*1.02*1.1*1.1+KFC!$C$31)*KFC!$C$5</f>
        <v>24.560580000000002</v>
      </c>
      <c r="F7" s="77">
        <f>(21.9*KFC!$B$31*1.02*1.1*1.1+KFC!$C$31)*KFC!$C$5</f>
        <v>27.028980000000001</v>
      </c>
      <c r="G7" s="77">
        <f>(23.8*KFC!$B$31*1.02*1.1*1.1+KFC!$C$31)*KFC!$C$5</f>
        <v>29.373960000000004</v>
      </c>
      <c r="H7" s="77">
        <f>(25.9*KFC!$B$31*1.02*1.1*1.1+KFC!$C$31)*KFC!$C$5</f>
        <v>31.965780000000006</v>
      </c>
      <c r="I7" s="77">
        <f>(27.9*KFC!$B$31*1.02*1.1*1.1+KFC!$C$31)*KFC!$C$5</f>
        <v>34.434180000000005</v>
      </c>
      <c r="J7" s="77">
        <f>(30*KFC!$B$31*1.02*1.1*1.1+KFC!$C$31)*KFC!$C$5</f>
        <v>37.02600000000001</v>
      </c>
      <c r="K7" s="77">
        <f>(31.9*KFC!$B$31*1.02*1.1*1.1+KFC!$C$31)*KFC!$C$5</f>
        <v>39.370980000000003</v>
      </c>
      <c r="L7" s="77">
        <f>(33.9*KFC!$B$31*1.02*1.1*1.1+KFC!$C$31)*KFC!$C$5</f>
        <v>41.839380000000006</v>
      </c>
      <c r="M7" s="77">
        <f>(36*KFC!$B$31*1.02*1.1*1.1+KFC!$C$31)*KFC!$C$5</f>
        <v>44.431200000000004</v>
      </c>
      <c r="N7" s="106">
        <f>(37.9*KFC!$B$31*1.02*1.1*1.1+KFC!$C$31)*KFC!$C$5</f>
        <v>46.776180000000004</v>
      </c>
    </row>
    <row r="8" spans="1:14">
      <c r="A8" s="1538"/>
      <c r="B8" s="224">
        <v>0.6</v>
      </c>
      <c r="C8" s="78">
        <f>(17*KFC!$B$31*1.02*1.1*1.1+KFC!$C$31)*KFC!$C$5</f>
        <v>20.981400000000004</v>
      </c>
      <c r="D8" s="68">
        <f>(19.2*KFC!$B$31*1.02*1.1*1.1+KFC!$C$31)*KFC!$C$5</f>
        <v>23.696640000000002</v>
      </c>
      <c r="E8" s="68">
        <f>(21.4*KFC!$B$31*1.02*1.1*1.1+KFC!$C$31)*KFC!$C$5</f>
        <v>26.411880000000004</v>
      </c>
      <c r="F8" s="68">
        <f>(23.6*KFC!$B$31*1.02*1.1*1.1+KFC!$C$31)*KFC!$C$5</f>
        <v>29.127120000000009</v>
      </c>
      <c r="G8" s="68">
        <f>(53.7*KFC!$B$34+KFC!$C$34)*KFC!$C$5</f>
        <v>53.7</v>
      </c>
      <c r="H8" s="68">
        <f>(27.9*KFC!$B$31*1.02*1.1*1.1+KFC!$C$31)*KFC!$C$5</f>
        <v>34.434180000000005</v>
      </c>
      <c r="I8" s="68">
        <f>(30.1*KFC!$B$31*1.02*1.1*1.1+KFC!$C$31)*KFC!$C$5</f>
        <v>37.149420000000006</v>
      </c>
      <c r="J8" s="68">
        <f>(32.3*KFC!$B$31*1.02*1.1*1.1+KFC!$C$31)*KFC!$C$5</f>
        <v>39.864660000000001</v>
      </c>
      <c r="K8" s="68">
        <f>(34.5*KFC!$B$31*1.02*1.1*1.1+KFC!$C$31)*KFC!$C$5</f>
        <v>42.579900000000009</v>
      </c>
      <c r="L8" s="68">
        <f>(36.6*KFC!$B$31*1.02*1.1*1.1+KFC!$C$31)*KFC!$C$5</f>
        <v>45.171720000000008</v>
      </c>
      <c r="M8" s="68">
        <f>(38.8*KFC!$B$31*1.02*1.1*1.1+KFC!$C$31)*KFC!$C$5</f>
        <v>47.886960000000009</v>
      </c>
      <c r="N8" s="107">
        <f>(41*KFC!$B$31*1.02*1.1*1.1+KFC!$C$31)*KFC!$C$5</f>
        <v>50.602200000000003</v>
      </c>
    </row>
    <row r="9" spans="1:14">
      <c r="A9" s="1538"/>
      <c r="B9" s="224">
        <v>0.7</v>
      </c>
      <c r="C9" s="78">
        <f>(18.2*KFC!$B$31*1.02*1.1*1.1+KFC!$C$31)*KFC!$C$5</f>
        <v>22.462440000000004</v>
      </c>
      <c r="D9" s="68">
        <f>(20.5*KFC!$B$31*1.02*1.1*1.1+KFC!$C$31)*KFC!$C$5</f>
        <v>25.301100000000002</v>
      </c>
      <c r="E9" s="68">
        <f>(22.9*KFC!$B$31*1.02*1.1*1.1+KFC!$C$31)*KFC!$C$5</f>
        <v>28.263180000000006</v>
      </c>
      <c r="F9" s="68">
        <f>(25.2*KFC!$B$31*1.02*1.1*1.1+KFC!$C$31)*KFC!$C$5</f>
        <v>31.101840000000006</v>
      </c>
      <c r="G9" s="68">
        <f>(27.6*KFC!$B$31*1.02*1.1*1.1+KFC!$C$31)*KFC!$C$5</f>
        <v>34.06392000000001</v>
      </c>
      <c r="H9" s="68">
        <f>(30*KFC!$B$31*1.02*1.1*1.1+KFC!$C$31)*KFC!$C$5</f>
        <v>37.02600000000001</v>
      </c>
      <c r="I9" s="68">
        <f>(32.3*KFC!$B$31*1.02*1.1*1.1+KFC!$C$31)*KFC!$C$5</f>
        <v>39.864660000000001</v>
      </c>
      <c r="J9" s="68">
        <f>(34.6*KFC!$B$31*1.02*1.1*1.1+KFC!$C$31)*KFC!$C$5</f>
        <v>42.703320000000005</v>
      </c>
      <c r="K9" s="68">
        <f>(36.9*KFC!$B$31*1.02*1.1*1.1+KFC!$C$31)*KFC!$C$5</f>
        <v>45.541980000000002</v>
      </c>
      <c r="L9" s="68">
        <f>(39.4*KFC!$B$31*1.02*1.1*1.1+KFC!$C$31)*KFC!$C$5</f>
        <v>48.627480000000013</v>
      </c>
      <c r="M9" s="68">
        <f>(41.7*KFC!$B$31*1.02*1.1*1.1+KFC!$C$31)*KFC!$C$5</f>
        <v>51.466140000000017</v>
      </c>
      <c r="N9" s="107">
        <f>(44*KFC!$B$31*1.02*1.1*1.1+KFC!$C$31)*KFC!$C$5</f>
        <v>54.304800000000014</v>
      </c>
    </row>
    <row r="10" spans="1:14">
      <c r="A10" s="1538"/>
      <c r="B10" s="224">
        <v>0.8</v>
      </c>
      <c r="C10" s="78">
        <f>(19.3*KFC!$B$31*1.02*1.1*1.1+KFC!$C$31)*KFC!$C$5</f>
        <v>23.820060000000005</v>
      </c>
      <c r="D10" s="68">
        <f>(21.9*KFC!$B$31*1.02*1.1*1.1+KFC!$C$31)*KFC!$C$5</f>
        <v>27.028980000000001</v>
      </c>
      <c r="E10" s="68">
        <f>(24.5*KFC!$B$31*1.02*1.1*1.1+KFC!$C$31)*KFC!$C$5</f>
        <v>30.237900000000007</v>
      </c>
      <c r="F10" s="68">
        <f>(26.9*KFC!$B$31*1.02*1.1*1.1+KFC!$C$31)*KFC!$C$5</f>
        <v>33.199980000000004</v>
      </c>
      <c r="G10" s="68">
        <f>(29.5*KFC!$B$31*1.02*1.1*1.1+KFC!$C$31)*KFC!$C$5</f>
        <v>36.40890000000001</v>
      </c>
      <c r="H10" s="68">
        <f>(31.9*KFC!$B$31*1.02*1.1*1.1+KFC!$C$31)*KFC!$C$5</f>
        <v>39.370980000000003</v>
      </c>
      <c r="I10" s="68">
        <f>(34.5*KFC!$B$31*1.02*1.1*1.1+KFC!$C$31)*KFC!$C$5</f>
        <v>42.579900000000009</v>
      </c>
      <c r="J10" s="68">
        <f>(37.1*KFC!$B$31*1.02*1.1*1.1+KFC!$C$31)*KFC!$C$5</f>
        <v>45.788820000000008</v>
      </c>
      <c r="K10" s="68">
        <f>(39.5*KFC!$B$31*1.02*1.1*1.1+KFC!$C$31)*KFC!$C$5</f>
        <v>48.750900000000009</v>
      </c>
      <c r="L10" s="68">
        <f>(42.1*KFC!$B$31*1.02*1.1*1.1+KFC!$C$31)*KFC!$C$5</f>
        <v>51.959820000000008</v>
      </c>
      <c r="M10" s="68">
        <f>(44.5*KFC!$B$31*1.02*1.1*1.1+KFC!$C$31)*KFC!$C$5</f>
        <v>54.921900000000008</v>
      </c>
      <c r="N10" s="107">
        <f>(47.1*KFC!$B$31*1.02*1.1*1.1+KFC!$C$31)*KFC!$C$5</f>
        <v>58.130820000000007</v>
      </c>
    </row>
    <row r="11" spans="1:14">
      <c r="A11" s="1538"/>
      <c r="B11" s="224">
        <v>0.9</v>
      </c>
      <c r="C11" s="78">
        <f>(20.5*KFC!$B$31*1.02*1.1*1.1+KFC!$C$31)*KFC!$C$5</f>
        <v>25.301100000000002</v>
      </c>
      <c r="D11" s="68">
        <f>(23.2*KFC!$B$31*1.02*1.1*1.1+KFC!$C$31)*KFC!$C$5</f>
        <v>28.633440000000004</v>
      </c>
      <c r="E11" s="68">
        <f>(25.9*KFC!$B$31*1.02*1.1*1.1+KFC!$C$31)*KFC!$C$5</f>
        <v>31.965780000000006</v>
      </c>
      <c r="F11" s="68">
        <f>(28.6*KFC!$B$31*1.02*1.1*1.1+KFC!$C$31)*KFC!$C$5</f>
        <v>35.298120000000011</v>
      </c>
      <c r="G11" s="68">
        <f>(31.3*KFC!$B$31*1.02*1.1*1.1+KFC!$C$31)*KFC!$C$5</f>
        <v>38.630460000000014</v>
      </c>
      <c r="H11" s="68">
        <f>(34*KFC!$B$31*1.02*1.1*1.1+KFC!$C$31)*KFC!$C$5</f>
        <v>41.962800000000009</v>
      </c>
      <c r="I11" s="68">
        <f>(36.7*KFC!$B$31*1.02*1.1*1.1+KFC!$C$31)*KFC!$C$5</f>
        <v>45.295140000000011</v>
      </c>
      <c r="J11" s="68">
        <f>(39.4*KFC!$B$31*1.02*1.1*1.1+KFC!$C$31)*KFC!$C$5</f>
        <v>48.627480000000013</v>
      </c>
      <c r="K11" s="68">
        <f>(42.1*KFC!$B$31*1.02*1.1*1.1+KFC!$C$31)*KFC!$C$5</f>
        <v>51.959820000000008</v>
      </c>
      <c r="L11" s="68">
        <f>(44.8*KFC!$B$31*1.02*1.1*1.1+KFC!$C$31)*KFC!$C$5</f>
        <v>55.292160000000003</v>
      </c>
      <c r="M11" s="68">
        <f>(47.5*KFC!$B$31*1.02*1.1*1.1+KFC!$C$31)*KFC!$C$5</f>
        <v>58.624500000000012</v>
      </c>
      <c r="N11" s="107">
        <f>(50.1*KFC!$B$31*1.02*1.1*1.1+KFC!$C$31)*KFC!$C$5</f>
        <v>61.833420000000018</v>
      </c>
    </row>
    <row r="12" spans="1:14">
      <c r="A12" s="1538"/>
      <c r="B12" s="224">
        <v>1</v>
      </c>
      <c r="C12" s="78">
        <f>(21.6*KFC!$B$31*1.02*1.1*1.1+KFC!$C$31)*KFC!$C$5</f>
        <v>26.65872000000001</v>
      </c>
      <c r="D12" s="68">
        <f>(24.6*KFC!$B$31*1.02*1.1*1.1+KFC!$C$31)*KFC!$C$5</f>
        <v>30.36132000000001</v>
      </c>
      <c r="E12" s="68">
        <f>(27.4*KFC!$B$31*1.02*1.1*1.1+KFC!$C$31)*KFC!$C$5</f>
        <v>33.817080000000004</v>
      </c>
      <c r="F12" s="68">
        <f>(30.3*KFC!$B$31*1.02*1.1*1.1+KFC!$C$31)*KFC!$C$5</f>
        <v>37.396260000000012</v>
      </c>
      <c r="G12" s="68">
        <f>(33.1*KFC!$B$31*1.02*1.1*1.1+KFC!$C$31)*KFC!$C$5</f>
        <v>40.85202000000001</v>
      </c>
      <c r="H12" s="68">
        <f>(36*KFC!$B$31*1.02*1.1*1.1+KFC!$C$31)*KFC!$C$5</f>
        <v>44.431200000000004</v>
      </c>
      <c r="I12" s="68">
        <f>(38.9*KFC!$B$31*1.02*1.1*1.1+KFC!$C$31)*KFC!$C$5</f>
        <v>48.010380000000005</v>
      </c>
      <c r="J12" s="68">
        <f>(41.7*KFC!$B$31*1.02*1.1*1.1+KFC!$C$31)*KFC!$C$5</f>
        <v>51.466140000000017</v>
      </c>
      <c r="K12" s="68">
        <f>(44.6*KFC!$B$31*1.02*1.1*1.1+KFC!$C$31)*KFC!$C$5</f>
        <v>55.045320000000018</v>
      </c>
      <c r="L12" s="68">
        <f>(47.5*KFC!$B$31*1.02*1.1*1.1+KFC!$C$31)*KFC!$C$5</f>
        <v>58.624500000000012</v>
      </c>
      <c r="M12" s="68">
        <f>(50.4*KFC!$B$31*1.02*1.1*1.1+KFC!$C$31)*KFC!$C$5</f>
        <v>62.203680000000013</v>
      </c>
      <c r="N12" s="107">
        <f>(53.2*KFC!$B$31*1.02*1.1*1.1+KFC!$C$31)*KFC!$C$5</f>
        <v>65.659440000000018</v>
      </c>
    </row>
    <row r="13" spans="1:14">
      <c r="A13" s="1538"/>
      <c r="B13" s="224">
        <v>1.1000000000000001</v>
      </c>
      <c r="C13" s="78">
        <f>(22.9*KFC!$B$31*1.02*1.1*1.1+KFC!$C$31)*KFC!$C$5</f>
        <v>28.263180000000006</v>
      </c>
      <c r="D13" s="68">
        <f>(25.9*KFC!$B$31*1.02*1.1*1.1+KFC!$C$31)*KFC!$C$5</f>
        <v>31.965780000000006</v>
      </c>
      <c r="E13" s="68">
        <f>(28.9*KFC!$B$31*1.02*1.1*1.1+KFC!$C$31)*KFC!$C$5</f>
        <v>35.668380000000006</v>
      </c>
      <c r="F13" s="68">
        <f>(31.9*KFC!$B$31*1.02*1.1*1.1+KFC!$C$31)*KFC!$C$5</f>
        <v>39.370980000000003</v>
      </c>
      <c r="G13" s="68">
        <f>(35*KFC!$B$31*1.02*1.1*1.1+KFC!$C$31)*KFC!$C$5</f>
        <v>43.19700000000001</v>
      </c>
      <c r="H13" s="68">
        <f>(38*KFC!$B$31*1.02*1.1*1.1+KFC!$C$31)*KFC!$C$5</f>
        <v>46.899600000000007</v>
      </c>
      <c r="I13" s="68">
        <f>(41.1*KFC!$B$31*1.02*1.1*1.1+KFC!$C$31)*KFC!$C$5</f>
        <v>50.725620000000013</v>
      </c>
      <c r="J13" s="68">
        <f>(44.2*KFC!$B$31*1.02*1.1*1.1+KFC!$C$31)*KFC!$C$5</f>
        <v>54.551640000000013</v>
      </c>
      <c r="K13" s="68">
        <f>(47.1*KFC!$B$31*1.02*1.1*1.1+KFC!$C$31)*KFC!$C$5</f>
        <v>58.130820000000007</v>
      </c>
      <c r="L13" s="68">
        <f>(50.1*KFC!$B$31*1.02*1.1*1.1+KFC!$C$31)*KFC!$C$5</f>
        <v>61.833420000000018</v>
      </c>
      <c r="M13" s="68">
        <f>(53.2*KFC!$B$31*1.02*1.1*1.1+KFC!$C$31)*KFC!$C$5</f>
        <v>65.659440000000018</v>
      </c>
      <c r="N13" s="107">
        <f>(56.3*KFC!$B$31*1.02*1.1*1.1+KFC!$C$31)*KFC!$C$5</f>
        <v>69.485460000000003</v>
      </c>
    </row>
    <row r="14" spans="1:14">
      <c r="A14" s="1538"/>
      <c r="B14" s="224">
        <v>1.2</v>
      </c>
      <c r="C14" s="78">
        <f>(24*KFC!$B$31*1.02*1.1*1.1+KFC!$C$31)*KFC!$C$5</f>
        <v>29.620800000000006</v>
      </c>
      <c r="D14" s="68">
        <f>(27.2*KFC!$B$31*1.02*1.1*1.1+KFC!$C$31)*KFC!$C$5</f>
        <v>33.570240000000005</v>
      </c>
      <c r="E14" s="68">
        <f>(30.5*KFC!$B$31*1.02*1.1*1.1+KFC!$C$31)*KFC!$C$5</f>
        <v>37.643100000000004</v>
      </c>
      <c r="F14" s="68">
        <f>(33.6*KFC!$B$31*1.02*1.1*1.1+KFC!$C$31)*KFC!$C$5</f>
        <v>41.469120000000018</v>
      </c>
      <c r="G14" s="68">
        <f>(36.8*KFC!$B$31*1.02*1.1*1.1+KFC!$C$31)*KFC!$C$5</f>
        <v>45.418560000000006</v>
      </c>
      <c r="H14" s="68">
        <f>(40*KFC!$B$31*1.02*1.1*1.1+KFC!$C$31)*KFC!$C$5</f>
        <v>49.368000000000009</v>
      </c>
      <c r="I14" s="68">
        <f>(43.3*KFC!$B$31*1.02*1.1*1.1+KFC!$C$31)*KFC!$C$5</f>
        <v>53.440860000000001</v>
      </c>
      <c r="J14" s="68">
        <f>(46.5*KFC!$B$31*1.02*1.1*1.1+KFC!$C$31)*KFC!$C$5</f>
        <v>57.390300000000003</v>
      </c>
      <c r="K14" s="68">
        <f>(49.7*KFC!$B$31*1.02*1.1*1.1+KFC!$C$31)*KFC!$C$5</f>
        <v>61.339740000000006</v>
      </c>
      <c r="L14" s="68">
        <f>(52.8*KFC!$B$31*1.02*1.1*1.1+KFC!$C$31)*KFC!$C$5</f>
        <v>65.165760000000006</v>
      </c>
      <c r="M14" s="68">
        <f>(56.1*KFC!$B$31*1.02*1.1*1.1+KFC!$C$31)*KFC!$C$5</f>
        <v>69.238620000000012</v>
      </c>
      <c r="N14" s="107">
        <f>(59.3*KFC!$B$31*1.02*1.1*1.1+KFC!$C$31)*KFC!$C$5</f>
        <v>73.188060000000007</v>
      </c>
    </row>
    <row r="15" spans="1:14">
      <c r="A15" s="1538"/>
      <c r="B15" s="224">
        <v>1.3</v>
      </c>
      <c r="C15" s="78">
        <f>(25.2*KFC!$B$31*1.02*1.1*1.1+KFC!$C$31)*KFC!$C$5</f>
        <v>31.101840000000006</v>
      </c>
      <c r="D15" s="68">
        <f>(28.5*KFC!$B$31*1.02*1.1*1.1+KFC!$C$31)*KFC!$C$5</f>
        <v>35.174700000000009</v>
      </c>
      <c r="E15" s="68">
        <f>(31.9*KFC!$B$31*1.02*1.1*1.1+KFC!$C$31)*KFC!$C$5</f>
        <v>39.370980000000003</v>
      </c>
      <c r="F15" s="68">
        <f>(35.3*KFC!$B$31*1.02*1.1*1.1+KFC!$C$31)*KFC!$C$5</f>
        <v>43.567260000000005</v>
      </c>
      <c r="G15" s="68">
        <f>(38.6*KFC!$B$31*1.02*1.1*1.1+KFC!$C$31)*KFC!$C$5</f>
        <v>47.64012000000001</v>
      </c>
      <c r="H15" s="68">
        <f>(42.1*KFC!$B$31*1.02*1.1*1.1+KFC!$C$31)*KFC!$C$5</f>
        <v>51.959820000000008</v>
      </c>
      <c r="I15" s="68">
        <f>(45.5*KFC!$B$31*1.02*1.1*1.1+KFC!$C$31)*KFC!$C$5</f>
        <v>56.156100000000016</v>
      </c>
      <c r="J15" s="68">
        <f>(48.8*KFC!$B$31*1.02*1.1*1.1+KFC!$C$31)*KFC!$C$5</f>
        <v>60.228960000000001</v>
      </c>
      <c r="K15" s="68">
        <f>(52.2*KFC!$B$31*1.02*1.1*1.1+KFC!$C$31)*KFC!$C$5</f>
        <v>64.425240000000016</v>
      </c>
      <c r="L15" s="68">
        <f>(55.6*KFC!$B$31*1.02*1.1*1.1+KFC!$C$31)*KFC!$C$5</f>
        <v>68.621520000000018</v>
      </c>
      <c r="M15" s="68">
        <f>(58.9*KFC!$B$31*1.02*1.1*1.1+KFC!$C$31)*KFC!$C$5</f>
        <v>72.69438000000001</v>
      </c>
      <c r="N15" s="107">
        <f>(62.4*KFC!$B$31*1.02*1.1*1.1+KFC!$C$31)*KFC!$C$5</f>
        <v>77.014080000000007</v>
      </c>
    </row>
    <row r="16" spans="1:14">
      <c r="A16" s="1538"/>
      <c r="B16" s="224">
        <v>1.4</v>
      </c>
      <c r="C16" s="78">
        <f>(26.3*KFC!$B$31*1.02*1.1*1.1+KFC!$C$31)*KFC!$C$5</f>
        <v>32.459460000000007</v>
      </c>
      <c r="D16" s="68">
        <f>(29.8*KFC!$B$31*1.02*1.1*1.1+KFC!$C$31)*KFC!$C$5</f>
        <v>36.779160000000005</v>
      </c>
      <c r="E16" s="68">
        <f>(33.4*KFC!$B$31*1.02*1.1*1.1+KFC!$C$31)*KFC!$C$5</f>
        <v>41.222280000000005</v>
      </c>
      <c r="F16" s="68">
        <f>(36.9*KFC!$B$31*1.02*1.1*1.1+KFC!$C$31)*KFC!$C$5</f>
        <v>45.541980000000002</v>
      </c>
      <c r="G16" s="68">
        <f>(40.5*KFC!$B$31*1.02*1.1*1.1+KFC!$C$31)*KFC!$C$5</f>
        <v>49.985100000000017</v>
      </c>
      <c r="H16" s="68">
        <f>(44*KFC!$B$31*1.02*1.1*1.1+KFC!$C$31)*KFC!$C$5</f>
        <v>54.304800000000014</v>
      </c>
      <c r="I16" s="68">
        <f>(47.7*KFC!$B$31*1.02*1.1*1.1+KFC!$C$31)*KFC!$C$5</f>
        <v>58.871340000000018</v>
      </c>
      <c r="J16" s="68">
        <f>(51.2*KFC!$B$31*1.02*1.1*1.1+KFC!$C$31)*KFC!$C$5</f>
        <v>63.191040000000015</v>
      </c>
      <c r="K16" s="68">
        <f>(54.8*KFC!$B$31*1.02*1.1*1.1+KFC!$C$31)*KFC!$C$5</f>
        <v>67.634160000000008</v>
      </c>
      <c r="L16" s="68">
        <f>(58.3*KFC!$B$31*1.02*1.1*1.1+KFC!$C$31)*KFC!$C$5</f>
        <v>71.95386000000002</v>
      </c>
      <c r="M16" s="68">
        <f>(61.9*KFC!$B$31*1.02*1.1*1.1+KFC!$C$31)*KFC!$C$5</f>
        <v>76.396980000000013</v>
      </c>
      <c r="N16" s="107">
        <f>(65.4*KFC!$B$31*1.02*1.1*1.1+KFC!$C$31)*KFC!$C$5</f>
        <v>80.716680000000039</v>
      </c>
    </row>
    <row r="17" spans="1:14">
      <c r="A17" s="1538"/>
      <c r="B17" s="224">
        <v>1.5</v>
      </c>
      <c r="C17" s="78">
        <f>(27.4*KFC!$B$31*1.02*1.1*1.1+KFC!$C$31)*KFC!$C$5</f>
        <v>33.817080000000004</v>
      </c>
      <c r="D17" s="68">
        <f>(31.2*KFC!$B$31*1.02*1.1*1.1+KFC!$C$31)*KFC!$C$5</f>
        <v>38.507040000000003</v>
      </c>
      <c r="E17" s="68">
        <f>(34.9*KFC!$B$31*1.02*1.1*1.1+KFC!$C$31)*KFC!$C$5</f>
        <v>43.073580000000007</v>
      </c>
      <c r="F17" s="68">
        <f>(38.6*KFC!$B$31*1.02*1.1*1.1+KFC!$C$31)*KFC!$C$5</f>
        <v>47.64012000000001</v>
      </c>
      <c r="G17" s="68">
        <f>(42.3*KFC!$B$31*1.02*1.1*1.1+KFC!$C$31)*KFC!$C$5</f>
        <v>52.206660000000014</v>
      </c>
      <c r="H17" s="68">
        <f>(46.1*KFC!$B$31*1.02*1.1*1.1+KFC!$C$31)*KFC!$C$5</f>
        <v>56.896620000000013</v>
      </c>
      <c r="I17" s="68">
        <f>(49.8*KFC!$B$31*1.02*1.1*1.1+KFC!$C$31)*KFC!$C$5</f>
        <v>61.463160000000009</v>
      </c>
      <c r="J17" s="68">
        <f>(53.6*KFC!$B$31*1.02*1.1*1.1+KFC!$C$31)*KFC!$C$5</f>
        <v>66.153120000000015</v>
      </c>
      <c r="K17" s="68">
        <f>(57.2*KFC!$B$31*1.02*1.1*1.1+KFC!$C$31)*KFC!$C$5</f>
        <v>70.596240000000023</v>
      </c>
      <c r="L17" s="68">
        <f>(61*KFC!$B$31*1.02*1.1*1.1+KFC!$C$31)*KFC!$C$5</f>
        <v>75.286200000000008</v>
      </c>
      <c r="M17" s="68">
        <f>(64.7*KFC!$B$31*1.02*1.1*1.1+KFC!$C$31)*KFC!$C$5</f>
        <v>79.852740000000011</v>
      </c>
      <c r="N17" s="107">
        <f>(68.5*KFC!$B$31*1.02*1.1*1.1+KFC!$C$31)*KFC!$C$5</f>
        <v>84.542700000000025</v>
      </c>
    </row>
    <row r="18" spans="1:14">
      <c r="A18" s="1538"/>
      <c r="B18" s="224">
        <v>1.6</v>
      </c>
      <c r="C18" s="78">
        <f>(28.6*KFC!$B$31*1.02*1.1*1.1+KFC!$C$31)*KFC!$C$5</f>
        <v>35.298120000000011</v>
      </c>
      <c r="D18" s="68">
        <f>(32.5*KFC!$B$31*1.02*1.1*1.1+KFC!$C$31)*KFC!$C$5</f>
        <v>40.111500000000007</v>
      </c>
      <c r="E18" s="68">
        <f>(36.4*KFC!$B$31*1.02*1.1*1.1+KFC!$C$31)*KFC!$C$5</f>
        <v>44.924880000000009</v>
      </c>
      <c r="F18" s="68">
        <f>(40.4*KFC!$B$31*1.02*1.1*1.1+KFC!$C$31)*KFC!$C$5</f>
        <v>49.861680000000007</v>
      </c>
      <c r="G18" s="68">
        <f>(44.3*KFC!$B$31*1.02*1.1*1.1+KFC!$C$31)*KFC!$C$5</f>
        <v>54.675060000000009</v>
      </c>
      <c r="H18" s="68">
        <f>(48.1*KFC!$B$31*1.02*1.1*1.1+KFC!$C$31)*KFC!$C$5</f>
        <v>59.365020000000015</v>
      </c>
      <c r="I18" s="68">
        <f>(52*KFC!$B$31*1.02*1.1*1.1+KFC!$C$31)*KFC!$C$5</f>
        <v>64.178400000000011</v>
      </c>
      <c r="J18" s="68">
        <f>(55.9*KFC!$B$31*1.02*1.1*1.1+KFC!$C$31)*KFC!$C$5</f>
        <v>68.991780000000006</v>
      </c>
      <c r="K18" s="68">
        <f>(59.8*KFC!$B$31*1.02*1.1*1.1+KFC!$C$31)*KFC!$C$5</f>
        <v>73.805160000000015</v>
      </c>
      <c r="L18" s="68">
        <f>(63.7*KFC!$B$31*1.02*1.1*1.1+KFC!$C$31)*KFC!$C$5</f>
        <v>78.618540000000024</v>
      </c>
      <c r="M18" s="68">
        <f>(67.6*KFC!$B$31*1.02*1.1*1.1+KFC!$C$31)*KFC!$C$5</f>
        <v>83.431920000000005</v>
      </c>
      <c r="N18" s="107">
        <f>(71.5*KFC!$B$31*1.02*1.1*1.1+KFC!$C$31)*KFC!$C$5</f>
        <v>88.245300000000029</v>
      </c>
    </row>
    <row r="19" spans="1:14">
      <c r="A19" s="1538"/>
      <c r="B19" s="224">
        <v>1.7</v>
      </c>
      <c r="C19" s="78">
        <f>(29.7*KFC!$B$31*1.02*1.1*1.1+KFC!$C$31)*KFC!$C$5</f>
        <v>36.655740000000009</v>
      </c>
      <c r="D19" s="68">
        <f>(33.9*KFC!$B$31*1.02*1.1*1.1+KFC!$C$31)*KFC!$C$5</f>
        <v>41.839380000000006</v>
      </c>
      <c r="E19" s="68">
        <f>(37.9*KFC!$B$31*1.02*1.1*1.1+KFC!$C$31)*KFC!$C$5</f>
        <v>46.776180000000004</v>
      </c>
      <c r="F19" s="68">
        <f>(41.9*KFC!$B$31*1.02*1.1*1.1+KFC!$C$31)*KFC!$C$5</f>
        <v>51.712980000000002</v>
      </c>
      <c r="G19" s="68">
        <f>(46.1*KFC!$B$31*1.02*1.1*1.1+KFC!$C$31)*KFC!$C$5</f>
        <v>56.896620000000013</v>
      </c>
      <c r="H19" s="68">
        <f>(50.1*KFC!$B$31*1.02*1.1*1.1+KFC!$C$31)*KFC!$C$5</f>
        <v>61.833420000000018</v>
      </c>
      <c r="I19" s="68">
        <f>(54.2*KFC!$B$31*1.02*1.1*1.1+KFC!$C$31)*KFC!$C$5</f>
        <v>66.893640000000019</v>
      </c>
      <c r="J19" s="68">
        <f>(58.3*KFC!$B$31*1.02*1.1*1.1+KFC!$C$31)*KFC!$C$5</f>
        <v>71.95386000000002</v>
      </c>
      <c r="K19" s="68">
        <f>(62.4*KFC!$B$31*1.02*1.1*1.1+KFC!$C$31)*KFC!$C$5</f>
        <v>77.014080000000007</v>
      </c>
      <c r="L19" s="68">
        <f>(66.4*KFC!$B$31*1.02*1.1*1.1+KFC!$C$31)*KFC!$C$5</f>
        <v>81.950880000000026</v>
      </c>
      <c r="M19" s="68">
        <f>(70.6*KFC!$B$31*1.02*1.1*1.1+KFC!$C$31)*KFC!$C$5</f>
        <v>87.134520000000009</v>
      </c>
      <c r="N19" s="107">
        <f>(74.6*KFC!$B$31*1.02*1.1*1.1+KFC!$C$31)*KFC!$C$5</f>
        <v>92.071320000000014</v>
      </c>
    </row>
    <row r="20" spans="1:14">
      <c r="A20" s="1538"/>
      <c r="B20" s="224">
        <v>1.8</v>
      </c>
      <c r="C20" s="78">
        <f>(30.9*KFC!$B$31*1.02*1.1*1.1+KFC!$C$31)*KFC!$C$5</f>
        <v>38.136780000000009</v>
      </c>
      <c r="D20" s="68">
        <f>(35.2*KFC!$B$31*1.02*1.1*1.1+KFC!$C$31)*KFC!$C$5</f>
        <v>43.443840000000009</v>
      </c>
      <c r="E20" s="68">
        <f>(39.4*KFC!$B$31*1.02*1.1*1.1+KFC!$C$31)*KFC!$C$5</f>
        <v>48.627480000000013</v>
      </c>
      <c r="F20" s="68">
        <f>(43.7*KFC!$B$31*1.02*1.1*1.1+KFC!$C$31)*KFC!$C$5</f>
        <v>53.93454000000002</v>
      </c>
      <c r="G20" s="68">
        <f>(47.9*KFC!$B$31*1.02*1.1*1.1+KFC!$C$31)*KFC!$C$5</f>
        <v>59.118180000000002</v>
      </c>
      <c r="H20" s="68">
        <f>(52.2*KFC!$B$31*1.02*1.1*1.1+KFC!$C$31)*KFC!$C$5</f>
        <v>64.425240000000016</v>
      </c>
      <c r="I20" s="68">
        <f>(56.4*KFC!$B$31*1.02*1.1*1.1+KFC!$C$31)*KFC!$C$5</f>
        <v>69.608880000000013</v>
      </c>
      <c r="J20" s="68">
        <f>(60.7*KFC!$B$31*1.02*1.1*1.1+KFC!$C$31)*KFC!$C$5</f>
        <v>74.915940000000006</v>
      </c>
      <c r="K20" s="68">
        <f>(64.9*KFC!$B$31*1.02*1.1*1.1+KFC!$C$31)*KFC!$C$5</f>
        <v>80.099580000000032</v>
      </c>
      <c r="L20" s="68">
        <f>(69.2*KFC!$B$31*1.02*1.1*1.1+KFC!$C$31)*KFC!$C$5</f>
        <v>85.40664000000001</v>
      </c>
      <c r="M20" s="68">
        <f>(73.4*KFC!$B$31*1.02*1.1*1.1+KFC!$C$31)*KFC!$C$5</f>
        <v>90.590280000000021</v>
      </c>
      <c r="N20" s="107">
        <f>(77.7*KFC!$B$31*1.02*1.1*1.1+KFC!$C$31)*KFC!$C$5</f>
        <v>95.897340000000028</v>
      </c>
    </row>
    <row r="21" spans="1:14">
      <c r="A21" s="1538"/>
      <c r="B21" s="224">
        <v>1.9</v>
      </c>
      <c r="C21" s="78">
        <f>(32*KFC!$B$31*1.02*1.1*1.1+KFC!$C$31)*KFC!$C$5</f>
        <v>39.494400000000006</v>
      </c>
      <c r="D21" s="68">
        <f>(36.4*KFC!$B$31*1.02*1.1*1.1+KFC!$C$31)*KFC!$C$5</f>
        <v>44.924880000000009</v>
      </c>
      <c r="E21" s="68">
        <f>(41*KFC!$B$31*1.02*1.1*1.1+KFC!$C$31)*KFC!$C$5</f>
        <v>50.602200000000003</v>
      </c>
      <c r="F21" s="68">
        <f>(45.4*KFC!$B$31*1.02*1.1*1.1+KFC!$C$31)*KFC!$C$5</f>
        <v>56.032680000000006</v>
      </c>
      <c r="G21" s="68">
        <f>(49.8*KFC!$B$31*1.02*1.1*1.1+KFC!$C$31)*KFC!$C$5</f>
        <v>61.463160000000009</v>
      </c>
      <c r="H21" s="68">
        <f>(54.2*KFC!$B$31*1.02*1.1*1.1+KFC!$C$31)*KFC!$C$5</f>
        <v>66.893640000000019</v>
      </c>
      <c r="I21" s="68">
        <f>(58.6*KFC!$B$31*1.02*1.1*1.1+KFC!$C$31)*KFC!$C$5</f>
        <v>72.324120000000022</v>
      </c>
      <c r="J21" s="68">
        <f>(63*KFC!$B$31*1.02*1.1*1.1+KFC!$C$31)*KFC!$C$5</f>
        <v>77.754600000000011</v>
      </c>
      <c r="K21" s="68">
        <f>(67.5*KFC!$B$31*1.02*1.1*1.1+KFC!$C$31)*KFC!$C$5</f>
        <v>83.308500000000009</v>
      </c>
      <c r="L21" s="68">
        <f>(71.9*KFC!$B$31*1.02*1.1*1.1+KFC!$C$31)*KFC!$C$5</f>
        <v>88.738980000000026</v>
      </c>
      <c r="M21" s="68">
        <f>(76.3*KFC!$B$31*1.02*1.1*1.1+KFC!$C$31)*KFC!$C$5</f>
        <v>94.169460000000001</v>
      </c>
      <c r="N21" s="107">
        <f>(80.7*KFC!$B$31*1.02*1.1*1.1+KFC!$C$31)*KFC!$C$5</f>
        <v>99.599940000000018</v>
      </c>
    </row>
    <row r="22" spans="1:14">
      <c r="A22" s="1538"/>
      <c r="B22" s="224">
        <v>2</v>
      </c>
      <c r="C22" s="78">
        <f>(33.3*KFC!$B$31*1.02*1.1*1.1+KFC!$C$31)*KFC!$C$5</f>
        <v>41.098860000000009</v>
      </c>
      <c r="D22" s="68">
        <f>(37.8*KFC!$B$31*1.02*1.1*1.1+KFC!$C$31)*KFC!$C$5</f>
        <v>46.652760000000001</v>
      </c>
      <c r="E22" s="68">
        <f>(42.4*KFC!$B$31*1.02*1.1*1.1+KFC!$C$31)*KFC!$C$5</f>
        <v>52.330080000000002</v>
      </c>
      <c r="F22" s="68">
        <f>(47*KFC!$B$31*1.02*1.1*1.1+KFC!$C$31)*KFC!$C$5</f>
        <v>58.007400000000004</v>
      </c>
      <c r="G22" s="68">
        <f>(51.6*KFC!$B$31*1.02*1.1*1.1+KFC!$C$31)*KFC!$C$5</f>
        <v>63.684720000000013</v>
      </c>
      <c r="H22" s="68">
        <f>(56.3*KFC!$B$31*1.02*1.1*1.1+KFC!$C$31)*KFC!$C$5</f>
        <v>69.485460000000003</v>
      </c>
      <c r="I22" s="68">
        <f>(60.8*KFC!$B$31*1.02*1.1*1.1+KFC!$C$31)*KFC!$C$5</f>
        <v>75.039360000000016</v>
      </c>
      <c r="J22" s="68">
        <f>(65.4*KFC!$B$31*1.02*1.1*1.1+KFC!$C$31)*KFC!$C$5</f>
        <v>80.716680000000039</v>
      </c>
      <c r="K22" s="68">
        <f>(70*KFC!$B$31*1.02*1.1*1.1+KFC!$C$31)*KFC!$C$5</f>
        <v>86.39400000000002</v>
      </c>
      <c r="L22" s="68">
        <f>(74.6*KFC!$B$31*1.02*1.1*1.1+KFC!$C$31)*KFC!$C$5</f>
        <v>92.071320000000014</v>
      </c>
      <c r="M22" s="68">
        <f>(79.1*KFC!$B$31*1.02*1.1*1.1+KFC!$C$31)*KFC!$C$5</f>
        <v>97.625220000000013</v>
      </c>
      <c r="N22" s="107">
        <f>(83.8*KFC!$B$31*1.02*1.1*1.1+KFC!$C$31)*KFC!$C$5</f>
        <v>103.42596</v>
      </c>
    </row>
    <row r="23" spans="1:14">
      <c r="A23" s="1538"/>
      <c r="B23" s="224">
        <v>2.1</v>
      </c>
      <c r="C23" s="80">
        <f>(34.4*KFC!$B$31*1.02*1.1*1.1+KFC!$C$31)*KFC!$C$5</f>
        <v>42.456480000000006</v>
      </c>
      <c r="D23" s="79">
        <f>(39.1*KFC!$B$31*1.02*1.1*1.1+KFC!$C$31)*KFC!$C$5</f>
        <v>48.257220000000018</v>
      </c>
      <c r="E23" s="79">
        <f>(43.9*KFC!$B$31*1.02*1.1*1.1+KFC!$C$31)*KFC!$C$5</f>
        <v>54.181380000000004</v>
      </c>
      <c r="F23" s="79">
        <f>(48.7*KFC!$B$31*1.02*1.1*1.1+KFC!$C$31)*KFC!$C$5</f>
        <v>60.105540000000019</v>
      </c>
      <c r="G23" s="79">
        <f>(53.4*KFC!$B$31*1.02*1.1*1.1+KFC!$C$31)*KFC!$C$5</f>
        <v>65.90628000000001</v>
      </c>
      <c r="H23" s="79">
        <f>(58.2*KFC!$B$31*1.02*1.1*1.1+KFC!$C$31)*KFC!$C$5</f>
        <v>71.830440000000024</v>
      </c>
      <c r="I23" s="79">
        <f>(63*KFC!$B$31*1.02*1.1*1.1+KFC!$C$31)*KFC!$C$5</f>
        <v>77.754600000000011</v>
      </c>
      <c r="J23" s="79">
        <f>(67.8*KFC!$B$31*1.02*1.1*1.1+KFC!$C$31)*KFC!$C$5</f>
        <v>83.678760000000011</v>
      </c>
      <c r="K23" s="79">
        <f>(72.5*KFC!$B$31*1.02*1.1*1.1+KFC!$C$31)*KFC!$C$5</f>
        <v>89.479500000000016</v>
      </c>
      <c r="L23" s="79">
        <f>(77.3*KFC!$B$31*1.02*1.1*1.1+KFC!$C$31)*KFC!$C$5</f>
        <v>95.403660000000016</v>
      </c>
      <c r="M23" s="79">
        <f>(82.1*KFC!$B$31*1.02*1.1*1.1+KFC!$C$31)*KFC!$C$5</f>
        <v>101.32782</v>
      </c>
      <c r="N23" s="86">
        <f>(86.8*KFC!$B$31*1.02*1.1*1.1+KFC!$C$31)*KFC!$C$5</f>
        <v>107.12856000000002</v>
      </c>
    </row>
    <row r="24" spans="1:14">
      <c r="A24" s="1538"/>
      <c r="B24" s="224">
        <v>2.2000000000000002</v>
      </c>
      <c r="C24" s="80">
        <f>(35.6*KFC!$B$31*1.02*1.1*1.1+KFC!$C$31)*KFC!$C$5</f>
        <v>43.937520000000013</v>
      </c>
      <c r="D24" s="79">
        <f>(40.5*KFC!$B$31*1.02*1.1*1.1+KFC!$C$31)*KFC!$C$5</f>
        <v>49.985100000000017</v>
      </c>
      <c r="E24" s="79">
        <f>(45.4*KFC!$B$31*1.02*1.1*1.1+KFC!$C$31)*KFC!$C$5</f>
        <v>56.032680000000006</v>
      </c>
      <c r="F24" s="79">
        <f>(50.4*KFC!$B$31*1.02*1.1*1.1+KFC!$C$31)*KFC!$C$5</f>
        <v>62.203680000000013</v>
      </c>
      <c r="G24" s="79">
        <f>(55.3*KFC!$B$31*1.02*1.1*1.1+KFC!$C$31)*KFC!$C$5</f>
        <v>68.251260000000016</v>
      </c>
      <c r="H24" s="79">
        <f>(60.3*KFC!$B$31*1.02*1.1*1.1+KFC!$C$31)*KFC!$C$5</f>
        <v>74.422260000000023</v>
      </c>
      <c r="I24" s="79">
        <f>(65.2*KFC!$B$31*1.02*1.1*1.1+KFC!$C$31)*KFC!$C$5</f>
        <v>80.469840000000019</v>
      </c>
      <c r="J24" s="79">
        <f>(70.1*KFC!$B$31*1.02*1.1*1.1+KFC!$C$31)*KFC!$C$5</f>
        <v>86.517420000000016</v>
      </c>
      <c r="K24" s="79">
        <f>(75.1*KFC!$B$31*1.02*1.1*1.1+KFC!$C$31)*KFC!$C$5</f>
        <v>92.688419999999994</v>
      </c>
      <c r="L24" s="79">
        <f>(80*KFC!$B$31*1.02*1.1*1.1+KFC!$C$31)*KFC!$C$5</f>
        <v>98.736000000000018</v>
      </c>
      <c r="M24" s="79">
        <f>(85*KFC!$B$31*1.02*1.1*1.1+KFC!$C$31)*KFC!$C$5</f>
        <v>104.90700000000001</v>
      </c>
      <c r="N24" s="86">
        <f>(89.9*KFC!$B$31*1.02*1.1*1.1+KFC!$C$31)*KFC!$C$5</f>
        <v>110.95458000000002</v>
      </c>
    </row>
    <row r="25" spans="1:14" ht="13.8" thickBot="1">
      <c r="A25" s="1539"/>
      <c r="B25" s="225">
        <v>2.2999999999999998</v>
      </c>
      <c r="C25" s="89">
        <f>(36.7*KFC!$B$31*1.02*1.1*1.1+KFC!$C$31)*KFC!$C$5</f>
        <v>45.295140000000011</v>
      </c>
      <c r="D25" s="87">
        <f>(41.8*KFC!$B$31*1.02*1.1*1.1+KFC!$C$31)*KFC!$C$5</f>
        <v>51.589560000000006</v>
      </c>
      <c r="E25" s="87">
        <f>(47*KFC!$B$31*1.02*1.1*1.1+KFC!$C$31)*KFC!$C$5</f>
        <v>58.007400000000004</v>
      </c>
      <c r="F25" s="87">
        <f>(52*KFC!$B$31*1.02*1.1*1.1+KFC!$C$31)*KFC!$C$5</f>
        <v>64.178400000000011</v>
      </c>
      <c r="G25" s="87">
        <f>(57.1*KFC!$B$31*1.02*1.1*1.1+KFC!$C$31)*KFC!$C$5</f>
        <v>70.472820000000013</v>
      </c>
      <c r="H25" s="87">
        <f>(62.3*KFC!$B$31*1.02*1.1*1.1+KFC!$C$31)*KFC!$C$5</f>
        <v>76.890660000000025</v>
      </c>
      <c r="I25" s="87">
        <f>(67.4*KFC!$B$31*1.02*1.1*1.1+KFC!$C$31)*KFC!$C$5</f>
        <v>83.185080000000013</v>
      </c>
      <c r="J25" s="87">
        <f>(72.5*KFC!$B$31*1.02*1.1*1.1+KFC!$C$31)*KFC!$C$5</f>
        <v>89.479500000000016</v>
      </c>
      <c r="K25" s="87">
        <f>(77.7*KFC!$B$31*1.02*1.1*1.1+KFC!$C$31)*KFC!$C$5</f>
        <v>95.897340000000028</v>
      </c>
      <c r="L25" s="87">
        <f>(82.7*KFC!$B$31*1.02*1.1*1.1+KFC!$C$31)*KFC!$C$5</f>
        <v>102.06834000000001</v>
      </c>
      <c r="M25" s="87">
        <f>(87.8*KFC!$B$31*1.02*1.1*1.1+KFC!$C$31)*KFC!$C$5</f>
        <v>108.36276000000001</v>
      </c>
      <c r="N25" s="88">
        <f>(92.9*KFC!$B$31*1.02*1.1*1.1+KFC!$C$31)*KFC!$C$5</f>
        <v>114.65718000000003</v>
      </c>
    </row>
    <row r="26" spans="1:14" ht="13.8" thickBot="1">
      <c r="A26" s="66"/>
      <c r="B26" s="66"/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</row>
    <row r="27" spans="1:14" ht="13.8" thickBot="1">
      <c r="A27" s="1413" t="s">
        <v>315</v>
      </c>
      <c r="B27" s="1415"/>
      <c r="C27" s="1573" t="s">
        <v>207</v>
      </c>
      <c r="D27" s="1574"/>
      <c r="E27" s="1574"/>
      <c r="F27" s="1574"/>
      <c r="G27" s="1574"/>
      <c r="H27" s="1574"/>
      <c r="I27" s="1574"/>
      <c r="J27" s="1574"/>
      <c r="K27" s="1574"/>
      <c r="L27" s="1574"/>
      <c r="M27" s="1574"/>
      <c r="N27" s="1574"/>
    </row>
    <row r="28" spans="1:14" ht="13.8" thickBot="1">
      <c r="A28" s="1416"/>
      <c r="B28" s="1418"/>
      <c r="C28" s="428">
        <v>0.4</v>
      </c>
      <c r="D28" s="428">
        <v>0.5</v>
      </c>
      <c r="E28" s="428">
        <v>0.6</v>
      </c>
      <c r="F28" s="428">
        <v>0.7</v>
      </c>
      <c r="G28" s="428">
        <v>0.8</v>
      </c>
      <c r="H28" s="428">
        <v>0.9</v>
      </c>
      <c r="I28" s="428">
        <v>1</v>
      </c>
      <c r="J28" s="428">
        <v>1.1000000000000001</v>
      </c>
      <c r="K28" s="428">
        <v>1.2</v>
      </c>
      <c r="L28" s="428">
        <v>1.3</v>
      </c>
      <c r="M28" s="428">
        <v>1.4</v>
      </c>
      <c r="N28" s="428">
        <v>1.5</v>
      </c>
    </row>
    <row r="29" spans="1:14">
      <c r="A29" s="1537" t="s">
        <v>3</v>
      </c>
      <c r="B29" s="226">
        <v>0.5</v>
      </c>
      <c r="C29" s="76">
        <f>(19.6*KFC!$B$31*1.02*1.15*1.1+KFC!$C$31)*KFC!$C$5</f>
        <v>25.289880000000004</v>
      </c>
      <c r="D29" s="77">
        <f>(22*KFC!$B$31*1.02*1.15*1.1+KFC!$C$31)*KFC!$C$5</f>
        <v>28.386600000000005</v>
      </c>
      <c r="E29" s="77">
        <f>(24.5*KFC!$B$31*1.02*1.15*1.1+KFC!$C$31)*KFC!$C$5</f>
        <v>31.612349999999999</v>
      </c>
      <c r="F29" s="77">
        <f>(26.9*KFC!$B$31*1.02*1.15*1.1+KFC!$C$31)*KFC!$C$5</f>
        <v>34.709069999999997</v>
      </c>
      <c r="G29" s="77">
        <f>(29.4*KFC!$B$31*1.02*1.15*1.1+KFC!$C$31)*KFC!$C$5</f>
        <v>37.934820000000002</v>
      </c>
      <c r="H29" s="77">
        <f>(31.8*KFC!$B$31*1.02*1.15*1.1+KFC!$C$31)*KFC!$C$5</f>
        <v>41.03154</v>
      </c>
      <c r="I29" s="77">
        <f>(34.2*KFC!$B$31*1.02*1.15*1.1+KFC!$C$31)*KFC!$C$5</f>
        <v>44.128260000000004</v>
      </c>
      <c r="J29" s="77">
        <f>(36.7*KFC!$B$31*1.02*1.15*1.1+KFC!$C$31)*KFC!$C$5</f>
        <v>47.354010000000009</v>
      </c>
      <c r="K29" s="77">
        <f>(39.1*KFC!$B$31*1.02*1.15*1.1+KFC!$C$31)*KFC!$C$5</f>
        <v>50.450730000000007</v>
      </c>
      <c r="L29" s="77">
        <f>(41.6*KFC!$B$31*1.02*1.15*1.1+KFC!$C$31)*KFC!$C$5</f>
        <v>53.676480000000005</v>
      </c>
      <c r="M29" s="77">
        <f>(44*KFC!$B$31*1.02*1.15*1.1+KFC!$C$31)*KFC!$C$5</f>
        <v>56.77320000000001</v>
      </c>
      <c r="N29" s="106">
        <f>(46.5*KFC!$B$31*1.02*1.15*1.1+KFC!$C$31)*KFC!$C$5</f>
        <v>59.998949999999994</v>
      </c>
    </row>
    <row r="30" spans="1:14">
      <c r="A30" s="1538"/>
      <c r="B30" s="224">
        <v>0.6</v>
      </c>
      <c r="C30" s="78">
        <f>(20.9*KFC!$B$31*1.02*1.15*1.1+KFC!$C$31)*KFC!$C$5</f>
        <v>26.967269999999996</v>
      </c>
      <c r="D30" s="68">
        <f>(23.6*KFC!$B$31*1.02*1.15*1.1+KFC!$C$31)*KFC!$C$5</f>
        <v>30.451080000000001</v>
      </c>
      <c r="E30" s="68">
        <f>(26.3*KFC!$B$31*1.02*1.15*1.1+KFC!$C$31)*KFC!$C$5</f>
        <v>33.934890000000003</v>
      </c>
      <c r="F30" s="68">
        <f>(29*KFC!$B$31*1.02*1.15*1.1+KFC!$C$31)*KFC!$C$5</f>
        <v>37.418700000000008</v>
      </c>
      <c r="G30" s="68">
        <f>(31.7*KFC!$B$31*1.02*1.15*1.1+KFC!$C$31)*KFC!$C$5</f>
        <v>40.902510000000007</v>
      </c>
      <c r="H30" s="68">
        <f>(34.2*KFC!$B$31*1.02*1.15*1.1+KFC!$C$31)*KFC!$C$5</f>
        <v>44.128260000000004</v>
      </c>
      <c r="I30" s="68">
        <f>(36.9*KFC!$B$31*1.02*1.15*1.1+KFC!$C$31)*KFC!$C$5</f>
        <v>47.612070000000003</v>
      </c>
      <c r="J30" s="68">
        <f>(39.6*KFC!$B$31*1.02*1.15*1.1+KFC!$C$31)*KFC!$C$5</f>
        <v>51.095880000000008</v>
      </c>
      <c r="K30" s="68">
        <f>(42.3*KFC!$B$31*1.02*1.15*1.1+KFC!$C$31)*KFC!$C$5</f>
        <v>54.579690000000006</v>
      </c>
      <c r="L30" s="68">
        <f>(45*KFC!$B$31*1.02*1.15*1.1+KFC!$C$31)*KFC!$C$5</f>
        <v>58.063499999999998</v>
      </c>
      <c r="M30" s="68">
        <f>(47.7*KFC!$B$31*1.02*1.15*1.1+KFC!$C$31)*KFC!$C$5</f>
        <v>61.547310000000003</v>
      </c>
      <c r="N30" s="107">
        <f>(50.4*KFC!$B$31*1.02*1.15*1.1+KFC!$C$31)*KFC!$C$5</f>
        <v>65.031120000000001</v>
      </c>
    </row>
    <row r="31" spans="1:14">
      <c r="A31" s="1538"/>
      <c r="B31" s="224">
        <v>0.7</v>
      </c>
      <c r="C31" s="78">
        <f>(22.3*KFC!$B$31*1.02*1.15*1.1+KFC!$C$31)*KFC!$C$5</f>
        <v>28.773690000000006</v>
      </c>
      <c r="D31" s="68">
        <f>(25.2*KFC!$B$31*1.02*1.15*1.1+KFC!$C$31)*KFC!$C$5</f>
        <v>32.515560000000001</v>
      </c>
      <c r="E31" s="68">
        <f>(28.1*KFC!$B$31*1.02*1.15*1.1+KFC!$C$31)*KFC!$C$5</f>
        <v>36.257430000000006</v>
      </c>
      <c r="F31" s="68">
        <f>(30.9*KFC!$B$31*1.02*1.15*1.1+KFC!$C$31)*KFC!$C$5</f>
        <v>39.870270000000005</v>
      </c>
      <c r="G31" s="68">
        <f>(33.9*KFC!$B$31*1.02*1.15*1.1+KFC!$C$31)*KFC!$C$5</f>
        <v>43.74116999999999</v>
      </c>
      <c r="H31" s="68">
        <f>(36.8*KFC!$B$31*1.02*1.15*1.1+KFC!$C$31)*KFC!$C$5</f>
        <v>47.483039999999988</v>
      </c>
      <c r="I31" s="68">
        <f>(39.7*KFC!$B$31*1.02*1.15*1.1+KFC!$C$31)*KFC!$C$5</f>
        <v>51.224910000000008</v>
      </c>
      <c r="J31" s="68">
        <f>(42.6*KFC!$B$31*1.02*1.15*1.1+KFC!$C$31)*KFC!$C$5</f>
        <v>54.966780000000007</v>
      </c>
      <c r="K31" s="68">
        <f>(45.5*KFC!$B$31*1.02*1.15*1.1+KFC!$C$31)*KFC!$C$5</f>
        <v>58.708649999999999</v>
      </c>
      <c r="L31" s="68">
        <f>(48.4*KFC!$B$31*1.02*1.15*1.1+KFC!$C$31)*KFC!$C$5</f>
        <v>62.450519999999997</v>
      </c>
      <c r="M31" s="68">
        <f>(51.4*KFC!$B$31*1.02*1.15*1.1+KFC!$C$31)*KFC!$C$5</f>
        <v>66.321420000000003</v>
      </c>
      <c r="N31" s="107">
        <f>(54.2*KFC!$B$31*1.02*1.15*1.1+KFC!$C$31)*KFC!$C$5</f>
        <v>69.934260000000009</v>
      </c>
    </row>
    <row r="32" spans="1:14">
      <c r="A32" s="1538"/>
      <c r="B32" s="224">
        <v>0.8</v>
      </c>
      <c r="C32" s="78">
        <f>(23.6*KFC!$B$31*1.02*1.15*1.1+KFC!$C$31)*KFC!$C$5</f>
        <v>30.451080000000001</v>
      </c>
      <c r="D32" s="68">
        <f>(26.8*KFC!$B$31*1.02*1.15*1.1+KFC!$C$31)*KFC!$C$5</f>
        <v>34.580040000000004</v>
      </c>
      <c r="E32" s="68">
        <f>(30*KFC!$B$31*1.02*1.15*1.1+KFC!$C$31)*KFC!$C$5</f>
        <v>38.709000000000003</v>
      </c>
      <c r="F32" s="68">
        <f>(33*KFC!$B$31*1.02*1.15*1.1+KFC!$C$31)*KFC!$C$5</f>
        <v>42.579900000000009</v>
      </c>
      <c r="G32" s="68">
        <f>(36.2*KFC!$B$31*1.02*1.15*1.1+KFC!$C$31)*KFC!$C$5</f>
        <v>46.708860000000008</v>
      </c>
      <c r="H32" s="68">
        <f>(39.3*KFC!$B$31*1.02*1.15*1.1+KFC!$C$31)*KFC!$C$5</f>
        <v>50.708789999999993</v>
      </c>
      <c r="I32" s="68">
        <f>(42.4*KFC!$B$31*1.02*1.15*1.1+KFC!$C$31)*KFC!$C$5</f>
        <v>54.708719999999992</v>
      </c>
      <c r="J32" s="68">
        <f>(45.6*KFC!$B$31*1.02*1.15*1.1+KFC!$C$31)*KFC!$C$5</f>
        <v>58.837679999999999</v>
      </c>
      <c r="K32" s="68">
        <f>(48.7*KFC!$B$31*1.02*1.15*1.1+KFC!$C$31)*KFC!$C$5</f>
        <v>62.837610000000012</v>
      </c>
      <c r="L32" s="68">
        <f>(51.9*KFC!$B$31*1.02*1.15*1.1+KFC!$C$31)*KFC!$C$5</f>
        <v>66.966570000000004</v>
      </c>
      <c r="M32" s="68">
        <f>(54.9*KFC!$B$31*1.02*1.15*1.1+KFC!$C$31)*KFC!$C$5</f>
        <v>70.837469999999996</v>
      </c>
      <c r="N32" s="107">
        <f>(58.1*KFC!$B$31*1.02*1.15*1.1+KFC!$C$31)*KFC!$C$5</f>
        <v>74.966430000000003</v>
      </c>
    </row>
    <row r="33" spans="1:14">
      <c r="A33" s="1538"/>
      <c r="B33" s="224">
        <v>0.9</v>
      </c>
      <c r="C33" s="78">
        <f>(24.9*KFC!$B$31*1.02*1.15*1.1+KFC!$C$31)*KFC!$C$5</f>
        <v>32.12847</v>
      </c>
      <c r="D33" s="68">
        <f>(28.4*KFC!$B$31*1.02*1.15*1.1+KFC!$C$31)*KFC!$C$5</f>
        <v>36.64452</v>
      </c>
      <c r="E33" s="68">
        <f>(31.7*KFC!$B$31*1.02*1.15*1.1+KFC!$C$31)*KFC!$C$5</f>
        <v>40.902510000000007</v>
      </c>
      <c r="F33" s="68">
        <f>(35.1*KFC!$B$31*1.02*1.15*1.1+KFC!$C$31)*KFC!$C$5</f>
        <v>45.289530000000006</v>
      </c>
      <c r="G33" s="68">
        <f>(38.4*KFC!$B$31*1.02*1.15*1.1+KFC!$C$31)*KFC!$C$5</f>
        <v>49.547520000000006</v>
      </c>
      <c r="H33" s="68">
        <f>(41.8*KFC!$B$31*1.02*1.15*1.1+KFC!$C$31)*KFC!$C$5</f>
        <v>53.934539999999991</v>
      </c>
      <c r="I33" s="68">
        <f>(45.1*KFC!$B$31*1.02*1.15*1.1+KFC!$C$31)*KFC!$C$5</f>
        <v>58.192529999999998</v>
      </c>
      <c r="J33" s="68">
        <f>(48.6*KFC!$B$31*1.02*1.15*1.1+KFC!$C$31)*KFC!$C$5</f>
        <v>62.708579999999998</v>
      </c>
      <c r="K33" s="68">
        <f>(51.9*KFC!$B$31*1.02*1.15*1.1+KFC!$C$31)*KFC!$C$5</f>
        <v>66.966570000000004</v>
      </c>
      <c r="L33" s="68">
        <f>(55.3*KFC!$B$31*1.02*1.15*1.1+KFC!$C$31)*KFC!$C$5</f>
        <v>71.353589999999997</v>
      </c>
      <c r="M33" s="68">
        <f>(58.6*KFC!$B$31*1.02*1.15*1.1+KFC!$C$31)*KFC!$C$5</f>
        <v>75.611580000000018</v>
      </c>
      <c r="N33" s="107">
        <f>(62*KFC!$B$31*1.02*1.15*1.1+KFC!$C$31)*KFC!$C$5</f>
        <v>79.99860000000001</v>
      </c>
    </row>
    <row r="34" spans="1:14">
      <c r="A34" s="1538"/>
      <c r="B34" s="224">
        <v>1</v>
      </c>
      <c r="C34" s="78">
        <f>(26.4*KFC!$B$31*1.02*1.15*1.1+KFC!$C$31)*KFC!$C$5</f>
        <v>34.063919999999996</v>
      </c>
      <c r="D34" s="68">
        <f>(30*KFC!$B$31*1.02*1.15*1.1+KFC!$C$31)*KFC!$C$5</f>
        <v>38.709000000000003</v>
      </c>
      <c r="E34" s="68">
        <f>(33.5*KFC!$B$31*1.02*1.15*1.1+KFC!$C$31)*KFC!$C$5</f>
        <v>43.225050000000003</v>
      </c>
      <c r="F34" s="68">
        <f>(37.2*KFC!$B$31*1.02*1.15*1.1+KFC!$C$31)*KFC!$C$5</f>
        <v>47.999160000000003</v>
      </c>
      <c r="G34" s="68">
        <f>(40.7*KFC!$B$31*1.02*1.15*1.1+KFC!$C$31)*KFC!$C$5</f>
        <v>52.51521000000001</v>
      </c>
      <c r="H34" s="68">
        <f>(44.3*KFC!$B$31*1.02*1.15*1.1+KFC!$C$31)*KFC!$C$5</f>
        <v>57.160289999999996</v>
      </c>
      <c r="I34" s="68">
        <f>(47.9*KFC!$B$31*1.02*1.15*1.1+KFC!$C$31)*KFC!$C$5</f>
        <v>61.805369999999996</v>
      </c>
      <c r="J34" s="68">
        <f>(51.5*KFC!$B$31*1.02*1.15*1.1+KFC!$C$31)*KFC!$C$5</f>
        <v>66.450450000000004</v>
      </c>
      <c r="K34" s="68">
        <f>(55*KFC!$B$31*1.02*1.15*1.1+KFC!$C$31)*KFC!$C$5</f>
        <v>70.966500000000011</v>
      </c>
      <c r="L34" s="68">
        <f>(58.7*KFC!$B$31*1.02*1.15*1.1+KFC!$C$31)*KFC!$C$5</f>
        <v>75.740610000000004</v>
      </c>
      <c r="M34" s="68">
        <f>(62.3*KFC!$B$31*1.02*1.15*1.1+KFC!$C$31)*KFC!$C$5</f>
        <v>80.385690000000011</v>
      </c>
      <c r="N34" s="107">
        <f>(65.8*KFC!$B$31*1.02*1.15*1.1+KFC!$C$31)*KFC!$C$5</f>
        <v>84.901740000000004</v>
      </c>
    </row>
    <row r="35" spans="1:14">
      <c r="A35" s="1538"/>
      <c r="B35" s="224">
        <v>1.1000000000000001</v>
      </c>
      <c r="C35" s="78">
        <f>(27.8*KFC!$B$31*1.02*1.15*1.1+KFC!$C$31)*KFC!$C$5</f>
        <v>35.870340000000006</v>
      </c>
      <c r="D35" s="68">
        <f>(31.6*KFC!$B$31*1.02*1.15*1.1+KFC!$C$31)*KFC!$C$5</f>
        <v>40.773479999999999</v>
      </c>
      <c r="E35" s="68">
        <f>(35.3*KFC!$B$31*1.02*1.15*1.1+KFC!$C$31)*KFC!$C$5</f>
        <v>45.547590000000007</v>
      </c>
      <c r="F35" s="68">
        <f>(39.1*KFC!$B$31*1.02*1.15*1.1+KFC!$C$31)*KFC!$C$5</f>
        <v>50.450730000000007</v>
      </c>
      <c r="G35" s="68">
        <f>(43*KFC!$B$31*1.02*1.15*1.1+KFC!$C$31)*KFC!$C$5</f>
        <v>55.482899999999994</v>
      </c>
      <c r="H35" s="68">
        <f>(46.8*KFC!$B$31*1.02*1.15*1.1+KFC!$C$31)*KFC!$C$5</f>
        <v>60.386039999999994</v>
      </c>
      <c r="I35" s="68">
        <f>(50.6*KFC!$B$31*1.02*1.15*1.1+KFC!$C$31)*KFC!$C$5</f>
        <v>65.289180000000002</v>
      </c>
      <c r="J35" s="68">
        <f>(54.4*KFC!$B$31*1.02*1.15*1.1+KFC!$C$31)*KFC!$C$5</f>
        <v>70.192319999999995</v>
      </c>
      <c r="K35" s="68">
        <f>(58.2*KFC!$B$31*1.02*1.15*1.1+KFC!$C$31)*KFC!$C$5</f>
        <v>75.095460000000017</v>
      </c>
      <c r="L35" s="68">
        <f>(62.1*KFC!$B$31*1.02*1.15*1.1+KFC!$C$31)*KFC!$C$5</f>
        <v>80.127630000000011</v>
      </c>
      <c r="M35" s="68">
        <f>(65.9*KFC!$B$31*1.02*1.15*1.1+KFC!$C$31)*KFC!$C$5</f>
        <v>85.030770000000004</v>
      </c>
      <c r="N35" s="107">
        <f>(69.7*KFC!$B$31*1.02*1.15*1.1+KFC!$C$31)*KFC!$C$5</f>
        <v>89.933910000000012</v>
      </c>
    </row>
    <row r="36" spans="1:14">
      <c r="A36" s="1538"/>
      <c r="B36" s="224">
        <v>1.2</v>
      </c>
      <c r="C36" s="78">
        <f>(29.1*KFC!$B$31*1.02*1.15*1.1+KFC!$C$31)*KFC!$C$5</f>
        <v>37.547730000000008</v>
      </c>
      <c r="D36" s="68">
        <f>(33.1*KFC!$B$31*1.02*1.15*1.1+KFC!$C$31)*KFC!$C$5</f>
        <v>42.708930000000002</v>
      </c>
      <c r="E36" s="68">
        <f>(37.2*KFC!$B$31*1.02*1.15*1.1+KFC!$C$31)*KFC!$C$5</f>
        <v>47.999160000000003</v>
      </c>
      <c r="F36" s="68">
        <f>(41.2*KFC!$B$31*1.02*1.15*1.1+KFC!$C$31)*KFC!$C$5</f>
        <v>53.160360000000004</v>
      </c>
      <c r="G36" s="68">
        <f>(45.3*KFC!$B$31*1.02*1.15*1.1+KFC!$C$31)*KFC!$C$5</f>
        <v>58.450589999999991</v>
      </c>
      <c r="H36" s="68">
        <f>(49.3*KFC!$B$31*1.02*1.15*1.1+KFC!$C$31)*KFC!$C$5</f>
        <v>63.611789999999999</v>
      </c>
      <c r="I36" s="68">
        <f>(53.3*KFC!$B$31*1.02*1.15*1.1+KFC!$C$31)*KFC!$C$5</f>
        <v>68.772990000000007</v>
      </c>
      <c r="J36" s="68">
        <f>(57.4*KFC!$B$31*1.02*1.15*1.1+KFC!$C$31)*KFC!$C$5</f>
        <v>74.063220000000001</v>
      </c>
      <c r="K36" s="68">
        <f>(61.4*KFC!$B$31*1.02*1.15*1.1+KFC!$C$31)*KFC!$C$5</f>
        <v>79.224420000000009</v>
      </c>
      <c r="L36" s="68">
        <f>(65.6*KFC!$B$31*1.02*1.15*1.1+KFC!$C$31)*KFC!$C$5</f>
        <v>84.643680000000003</v>
      </c>
      <c r="M36" s="68">
        <f>(69.6*KFC!$B$31*1.02*1.15*1.1+KFC!$C$31)*KFC!$C$5</f>
        <v>89.804879999999997</v>
      </c>
      <c r="N36" s="107">
        <f>(73.6*KFC!$B$31*1.02*1.15*1.1+KFC!$C$31)*KFC!$C$5</f>
        <v>94.966079999999977</v>
      </c>
    </row>
    <row r="37" spans="1:14">
      <c r="A37" s="1538"/>
      <c r="B37" s="224">
        <v>1.3</v>
      </c>
      <c r="C37" s="78">
        <f>(30.5*KFC!$B$31*1.02*1.15*1.1+KFC!$C$31)*KFC!$C$5</f>
        <v>39.354150000000004</v>
      </c>
      <c r="D37" s="68">
        <f>(34.7*KFC!$B$31*1.02*1.15*1.1+KFC!$C$31)*KFC!$C$5</f>
        <v>44.773410000000013</v>
      </c>
      <c r="E37" s="68">
        <f>(39*KFC!$B$31*1.02*1.15*1.1+KFC!$C$31)*KFC!$C$5</f>
        <v>50.321700000000007</v>
      </c>
      <c r="F37" s="68">
        <f>(43.3*KFC!$B$31*1.02*1.15*1.1+KFC!$C$31)*KFC!$C$5</f>
        <v>55.869989999999994</v>
      </c>
      <c r="G37" s="68">
        <f>(47.6*KFC!$B$31*1.02*1.15*1.1+KFC!$C$31)*KFC!$C$5</f>
        <v>61.418279999999996</v>
      </c>
      <c r="H37" s="68">
        <f>(51.9*KFC!$B$31*1.02*1.15*1.1+KFC!$C$31)*KFC!$C$5</f>
        <v>66.966570000000004</v>
      </c>
      <c r="I37" s="68">
        <f>(56.1*KFC!$B$31*1.02*1.15*1.1+KFC!$C$31)*KFC!$C$5</f>
        <v>72.385830000000013</v>
      </c>
      <c r="J37" s="68">
        <f>(60.4*KFC!$B$31*1.02*1.15*1.1+KFC!$C$31)*KFC!$C$5</f>
        <v>77.934120000000007</v>
      </c>
      <c r="K37" s="68">
        <f>(64.6*KFC!$B$31*1.02*1.15*1.1+KFC!$C$31)*KFC!$C$5</f>
        <v>83.353380000000001</v>
      </c>
      <c r="L37" s="68">
        <f>(68.9*KFC!$B$31*1.02*1.15*1.1+KFC!$C$31)*KFC!$C$5</f>
        <v>88.90167000000001</v>
      </c>
      <c r="M37" s="68">
        <f>(73.1*KFC!$B$31*1.02*1.15*1.1+KFC!$C$31)*KFC!$C$5</f>
        <v>94.320930000000004</v>
      </c>
      <c r="N37" s="107">
        <f>(77.4*KFC!$B$31*1.02*1.15*1.1+KFC!$C$31)*KFC!$C$5</f>
        <v>99.869220000000013</v>
      </c>
    </row>
    <row r="38" spans="1:14">
      <c r="A38" s="1538"/>
      <c r="B38" s="224">
        <v>1.4</v>
      </c>
      <c r="C38" s="78">
        <f>(31.8*KFC!$B$31*1.02*1.15*1.1+KFC!$C$31)*KFC!$C$5</f>
        <v>41.03154</v>
      </c>
      <c r="D38" s="68">
        <f>(36.3*KFC!$B$31*1.02*1.15*1.1+KFC!$C$31)*KFC!$C$5</f>
        <v>46.837890000000002</v>
      </c>
      <c r="E38" s="68">
        <f>(40.8*KFC!$B$31*1.02*1.15*1.1+KFC!$C$31)*KFC!$C$5</f>
        <v>52.644239999999996</v>
      </c>
      <c r="F38" s="68">
        <f>(45.3*KFC!$B$31*1.02*1.15*1.1+KFC!$C$31)*KFC!$C$5</f>
        <v>58.450589999999991</v>
      </c>
      <c r="G38" s="68">
        <f>(49.8*KFC!$B$31*1.02*1.15*1.1+KFC!$C$31)*KFC!$C$5</f>
        <v>64.25694</v>
      </c>
      <c r="H38" s="68">
        <f>(54.3*KFC!$B$31*1.02*1.15*1.1+KFC!$C$31)*KFC!$C$5</f>
        <v>70.063289999999995</v>
      </c>
      <c r="I38" s="68">
        <f>(58.8*KFC!$B$31*1.02*1.15*1.1+KFC!$C$31)*KFC!$C$5</f>
        <v>75.869640000000004</v>
      </c>
      <c r="J38" s="68">
        <f>(63.4*KFC!$B$31*1.02*1.15*1.1+KFC!$C$31)*KFC!$C$5</f>
        <v>81.805020000000013</v>
      </c>
      <c r="K38" s="68">
        <f>(67.9*KFC!$B$31*1.02*1.15*1.1+KFC!$C$31)*KFC!$C$5</f>
        <v>87.611370000000022</v>
      </c>
      <c r="L38" s="68">
        <f>(72.3*KFC!$B$31*1.02*1.15*1.1+KFC!$C$31)*KFC!$C$5</f>
        <v>93.288690000000003</v>
      </c>
      <c r="M38" s="68">
        <f>(76.8*KFC!$B$31*1.02*1.15*1.1+KFC!$C$31)*KFC!$C$5</f>
        <v>99.095040000000012</v>
      </c>
      <c r="N38" s="107">
        <f>(81.3*KFC!$B$31*1.02*1.15*1.1+KFC!$C$31)*KFC!$C$5</f>
        <v>104.90138999999999</v>
      </c>
    </row>
    <row r="39" spans="1:14">
      <c r="A39" s="1538"/>
      <c r="B39" s="224">
        <v>1.5</v>
      </c>
      <c r="C39" s="78">
        <f>(33.1*KFC!$B$31*1.02*1.15*1.1+KFC!$C$31)*KFC!$C$5</f>
        <v>42.708930000000002</v>
      </c>
      <c r="D39" s="68">
        <f>(37.9*KFC!$B$31*1.02*1.15*1.1+KFC!$C$31)*KFC!$C$5</f>
        <v>48.902370000000005</v>
      </c>
      <c r="E39" s="68">
        <f>(42.6*KFC!$B$31*1.02*1.15*1.1+KFC!$C$31)*KFC!$C$5</f>
        <v>54.966780000000007</v>
      </c>
      <c r="F39" s="68">
        <f>(47.3*KFC!$B$31*1.02*1.15*1.1+KFC!$C$31)*KFC!$C$5</f>
        <v>61.031189999999988</v>
      </c>
      <c r="G39" s="68">
        <f>(52.1*KFC!$B$31*1.02*1.15*1.1+KFC!$C$31)*KFC!$C$5</f>
        <v>67.224630000000005</v>
      </c>
      <c r="H39" s="68">
        <f>(56.9*KFC!$B$31*1.02*1.15*1.1+KFC!$C$31)*KFC!$C$5</f>
        <v>73.41807</v>
      </c>
      <c r="I39" s="68">
        <f>(61.5*KFC!$B$31*1.02*1.15*1.1+KFC!$C$31)*KFC!$C$5</f>
        <v>79.353450000000009</v>
      </c>
      <c r="J39" s="68">
        <f>(66.3*KFC!$B$31*1.02*1.15*1.1+KFC!$C$31)*KFC!$C$5</f>
        <v>85.546890000000005</v>
      </c>
      <c r="K39" s="68">
        <f>(71.1*KFC!$B$31*1.02*1.15*1.1+KFC!$C$31)*KFC!$C$5</f>
        <v>91.74033</v>
      </c>
      <c r="L39" s="68">
        <f>(75.7*KFC!$B$31*1.02*1.15*1.1+KFC!$C$31)*KFC!$C$5</f>
        <v>97.675710000000009</v>
      </c>
      <c r="M39" s="68">
        <f>(80.5*KFC!$B$31*1.02*1.15*1.1+KFC!$C$31)*KFC!$C$5</f>
        <v>103.86914999999999</v>
      </c>
      <c r="N39" s="107">
        <f>(85.2*KFC!$B$31*1.02*1.15*1.1+KFC!$C$31)*KFC!$C$5</f>
        <v>109.93356000000001</v>
      </c>
    </row>
    <row r="40" spans="1:14">
      <c r="A40" s="1538"/>
      <c r="B40" s="224">
        <v>1.6</v>
      </c>
      <c r="C40" s="78">
        <f>(34.5*KFC!$B$31*1.02*1.15*1.1+KFC!$C$31)*KFC!$C$5</f>
        <v>44.515349999999998</v>
      </c>
      <c r="D40" s="68">
        <f>(39.5*KFC!$B$31*1.02*1.15*1.1+KFC!$C$31)*KFC!$C$5</f>
        <v>50.966849999999994</v>
      </c>
      <c r="E40" s="68">
        <f>(44.4*KFC!$B$31*1.02*1.15*1.1+KFC!$C$31)*KFC!$C$5</f>
        <v>57.289319999999996</v>
      </c>
      <c r="F40" s="68">
        <f>(49.4*KFC!$B$31*1.02*1.15*1.1+KFC!$C$31)*KFC!$C$5</f>
        <v>63.740819999999992</v>
      </c>
      <c r="G40" s="68">
        <f>(54.3*KFC!$B$31*1.02*1.15*1.1+KFC!$C$31)*KFC!$C$5</f>
        <v>70.063289999999995</v>
      </c>
      <c r="H40" s="68">
        <f>(59.3*KFC!$B$31*1.02*1.15*1.1+KFC!$C$31)*KFC!$C$5</f>
        <v>76.514790000000005</v>
      </c>
      <c r="I40" s="68">
        <f>(64.3*KFC!$B$31*1.02*1.15*1.1+KFC!$C$31)*KFC!$C$5</f>
        <v>82.966290000000001</v>
      </c>
      <c r="J40" s="68">
        <f>(69.2*KFC!$B$31*1.02*1.15*1.1+KFC!$C$31)*KFC!$C$5</f>
        <v>89.288760000000011</v>
      </c>
      <c r="K40" s="68">
        <f>(74.2*KFC!$B$31*1.02*1.15*1.1+KFC!$C$31)*KFC!$C$5</f>
        <v>95.740260000000006</v>
      </c>
      <c r="L40" s="68">
        <f>(79.1*KFC!$B$31*1.02*1.15*1.1+KFC!$C$31)*KFC!$C$5</f>
        <v>102.06273000000002</v>
      </c>
      <c r="M40" s="68">
        <f>(84.1*KFC!$B$31*1.02*1.15*1.1+KFC!$C$31)*KFC!$C$5</f>
        <v>108.51422999999998</v>
      </c>
      <c r="N40" s="107">
        <f>(89*KFC!$B$31*1.02*1.15*1.1+KFC!$C$31)*KFC!$C$5</f>
        <v>114.83669999999999</v>
      </c>
    </row>
    <row r="41" spans="1:14">
      <c r="A41" s="1538"/>
      <c r="B41" s="224">
        <v>1.7</v>
      </c>
      <c r="C41" s="78">
        <f>(35.8*KFC!$B$31*1.02*1.15*1.1+KFC!$C$31)*KFC!$C$5</f>
        <v>46.192740000000001</v>
      </c>
      <c r="D41" s="68">
        <f>(41.1*KFC!$B$31*1.02*1.15*1.1+KFC!$C$31)*KFC!$C$5</f>
        <v>53.031330000000011</v>
      </c>
      <c r="E41" s="68">
        <f>(46.2*KFC!$B$31*1.02*1.15*1.1+KFC!$C$31)*KFC!$C$5</f>
        <v>59.61186</v>
      </c>
      <c r="F41" s="68">
        <f>(51.5*KFC!$B$31*1.02*1.15*1.1+KFC!$C$31)*KFC!$C$5</f>
        <v>66.450450000000004</v>
      </c>
      <c r="G41" s="68">
        <f>(56.6*KFC!$B$31*1.02*1.15*1.1+KFC!$C$31)*KFC!$C$5</f>
        <v>73.03098</v>
      </c>
      <c r="H41" s="68">
        <f>(61.8*KFC!$B$31*1.02*1.15*1.1+KFC!$C$31)*KFC!$C$5</f>
        <v>79.74054000000001</v>
      </c>
      <c r="I41" s="68">
        <f>(67*KFC!$B$31*1.02*1.15*1.1+KFC!$C$31)*KFC!$C$5</f>
        <v>86.450100000000006</v>
      </c>
      <c r="J41" s="68">
        <f>(72.2*KFC!$B$31*1.02*1.15*1.1+KFC!$C$31)*KFC!$C$5</f>
        <v>93.159660000000017</v>
      </c>
      <c r="K41" s="68">
        <f>(77.4*KFC!$B$31*1.02*1.15*1.1+KFC!$C$31)*KFC!$C$5</f>
        <v>99.869220000000013</v>
      </c>
      <c r="L41" s="68">
        <f>(82.6*KFC!$B$31*1.02*1.15*1.1+KFC!$C$31)*KFC!$C$5</f>
        <v>106.57878000000001</v>
      </c>
      <c r="M41" s="68">
        <f>(87.8*KFC!$B$31*1.02*1.15*1.1+KFC!$C$31)*KFC!$C$5</f>
        <v>113.28833999999999</v>
      </c>
      <c r="N41" s="107">
        <f>(92.9*KFC!$B$31*1.02*1.15*1.1+KFC!$C$31)*KFC!$C$5</f>
        <v>119.86887</v>
      </c>
    </row>
    <row r="42" spans="1:14">
      <c r="A42" s="1538"/>
      <c r="B42" s="224">
        <v>1.8</v>
      </c>
      <c r="C42" s="78">
        <f>(37.2*KFC!$B$31*1.02*1.15*1.1+KFC!$C$31)*KFC!$C$5</f>
        <v>47.999160000000003</v>
      </c>
      <c r="D42" s="68">
        <f>(42.7*KFC!$B$31*1.02*1.15*1.1+KFC!$C$31)*KFC!$C$5</f>
        <v>55.095810000000007</v>
      </c>
      <c r="E42" s="68">
        <f>(48.1*KFC!$B$31*1.02*1.15*1.1+KFC!$C$31)*KFC!$C$5</f>
        <v>62.063430000000011</v>
      </c>
      <c r="F42" s="68">
        <f>(53.4*KFC!$B$31*1.02*1.15*1.1+KFC!$C$31)*KFC!$C$5</f>
        <v>68.902019999999993</v>
      </c>
      <c r="G42" s="68">
        <f>(58.9*KFC!$B$31*1.02*1.15*1.1+KFC!$C$31)*KFC!$C$5</f>
        <v>75.998670000000004</v>
      </c>
      <c r="H42" s="68">
        <f>(64.3*KFC!$B$31*1.02*1.15*1.1+KFC!$C$31)*KFC!$C$5</f>
        <v>82.966290000000001</v>
      </c>
      <c r="I42" s="68">
        <f>(69.7*KFC!$B$31*1.02*1.15*1.1+KFC!$C$31)*KFC!$C$5</f>
        <v>89.933910000000012</v>
      </c>
      <c r="J42" s="68">
        <f>(75.1*KFC!$B$31*1.02*1.15*1.1+KFC!$C$31)*KFC!$C$5</f>
        <v>96.90152999999998</v>
      </c>
      <c r="K42" s="68">
        <f>(80.6*KFC!$B$31*1.02*1.15*1.1+KFC!$C$31)*KFC!$C$5</f>
        <v>103.99817999999998</v>
      </c>
      <c r="L42" s="68">
        <f>(86*KFC!$B$31*1.02*1.15*1.1+KFC!$C$31)*KFC!$C$5</f>
        <v>110.96579999999999</v>
      </c>
      <c r="M42" s="68">
        <f>(91.4*KFC!$B$31*1.02*1.15*1.1+KFC!$C$31)*KFC!$C$5</f>
        <v>117.93342</v>
      </c>
      <c r="N42" s="107">
        <f>(96.9*KFC!$B$31*1.02*1.15*1.1+KFC!$C$31)*KFC!$C$5</f>
        <v>125.03007000000002</v>
      </c>
    </row>
    <row r="43" spans="1:14">
      <c r="A43" s="1538"/>
      <c r="B43" s="224">
        <v>1.9</v>
      </c>
      <c r="C43" s="78">
        <f>(38.6*KFC!$B$31*1.02*1.15*1.1+KFC!$C$31)*KFC!$C$5</f>
        <v>49.805580000000006</v>
      </c>
      <c r="D43" s="68">
        <f>(44.3*KFC!$B$31*1.02*1.15*1.1+KFC!$C$31)*KFC!$C$5</f>
        <v>57.160289999999996</v>
      </c>
      <c r="E43" s="68">
        <f>(49.9*KFC!$B$31*1.02*1.15*1.1+KFC!$C$31)*KFC!$C$5</f>
        <v>64.38597</v>
      </c>
      <c r="F43" s="68">
        <f>(55.5*KFC!$B$31*1.02*1.15*1.1+KFC!$C$31)*KFC!$C$5</f>
        <v>71.611649999999997</v>
      </c>
      <c r="G43" s="68">
        <f>(61.2*KFC!$B$31*1.02*1.15*1.1+KFC!$C$31)*KFC!$C$5</f>
        <v>78.966360000000009</v>
      </c>
      <c r="H43" s="68">
        <f>(66.8*KFC!$B$31*1.02*1.15*1.1+KFC!$C$31)*KFC!$C$5</f>
        <v>86.192040000000006</v>
      </c>
      <c r="I43" s="68">
        <f>(72.5*KFC!$B$31*1.02*1.15*1.1+KFC!$C$31)*KFC!$C$5</f>
        <v>93.546750000000003</v>
      </c>
      <c r="J43" s="68">
        <f>(78.1*KFC!$B$31*1.02*1.15*1.1+KFC!$C$31)*KFC!$C$5</f>
        <v>100.77242999999999</v>
      </c>
      <c r="K43" s="68">
        <f>(83.8*KFC!$B$31*1.02*1.15*1.1+KFC!$C$31)*KFC!$C$5</f>
        <v>108.12714000000001</v>
      </c>
      <c r="L43" s="68">
        <f>(89.4*KFC!$B$31*1.02*1.15*1.1+KFC!$C$31)*KFC!$C$5</f>
        <v>115.35281999999999</v>
      </c>
      <c r="M43" s="68">
        <f>(95*KFC!$B$31*1.02*1.15*1.1+KFC!$C$31)*KFC!$C$5</f>
        <v>122.57850000000001</v>
      </c>
      <c r="N43" s="107">
        <f>(100.7*KFC!$B$31*1.02*1.15*1.1+KFC!$C$31)*KFC!$C$5</f>
        <v>129.93321</v>
      </c>
    </row>
    <row r="44" spans="1:14">
      <c r="A44" s="1538"/>
      <c r="B44" s="224">
        <v>2</v>
      </c>
      <c r="C44" s="78">
        <f>(40*KFC!$B$31*1.02*1.15*1.1+KFC!$C$31)*KFC!$C$5</f>
        <v>51.611999999999995</v>
      </c>
      <c r="D44" s="68">
        <f>(45.9*KFC!$B$31*1.02*1.15*1.1+KFC!$C$31)*KFC!$C$5</f>
        <v>59.224769999999992</v>
      </c>
      <c r="E44" s="68">
        <f>(51.7*KFC!$B$31*1.02*1.15*1.1+KFC!$C$31)*KFC!$C$5</f>
        <v>66.708510000000004</v>
      </c>
      <c r="F44" s="68">
        <f>(57.6*KFC!$B$31*1.02*1.15*1.1+KFC!$C$31)*KFC!$C$5</f>
        <v>74.321280000000002</v>
      </c>
      <c r="G44" s="68">
        <f>(63.5*KFC!$B$31*1.02*1.15*1.1+KFC!$C$31)*KFC!$C$5</f>
        <v>81.934049999999999</v>
      </c>
      <c r="H44" s="68">
        <f>(69.3*KFC!$B$31*1.02*1.15*1.1+KFC!$C$31)*KFC!$C$5</f>
        <v>89.417789999999997</v>
      </c>
      <c r="I44" s="68">
        <f>(75.2*KFC!$B$31*1.02*1.15*1.1+KFC!$C$31)*KFC!$C$5</f>
        <v>97.030560000000023</v>
      </c>
      <c r="J44" s="68">
        <f>(81.1*KFC!$B$31*1.02*1.15*1.1+KFC!$C$31)*KFC!$C$5</f>
        <v>104.64332999999999</v>
      </c>
      <c r="K44" s="68">
        <f>(87*KFC!$B$31*1.02*1.15*1.1+KFC!$C$31)*KFC!$C$5</f>
        <v>112.25609999999999</v>
      </c>
      <c r="L44" s="68">
        <f>(92.8*KFC!$B$31*1.02*1.15*1.1+KFC!$C$31)*KFC!$C$5</f>
        <v>119.73983999999999</v>
      </c>
      <c r="M44" s="68">
        <f>(98.7*KFC!$B$31*1.02*1.15*1.1+KFC!$C$31)*KFC!$C$5</f>
        <v>127.35261</v>
      </c>
      <c r="N44" s="107">
        <f>(104.6*KFC!$B$31*1.02*1.15*1.1+KFC!$C$31)*KFC!$C$5</f>
        <v>134.96537999999998</v>
      </c>
    </row>
    <row r="45" spans="1:14">
      <c r="A45" s="1538"/>
      <c r="B45" s="224">
        <v>2.1</v>
      </c>
      <c r="C45" s="80">
        <f>(41.3*KFC!$B$31*1.02*1.15*1.1+KFC!$C$31)*KFC!$C$5</f>
        <v>53.289390000000004</v>
      </c>
      <c r="D45" s="68">
        <f>(47.5*KFC!$B$31*1.02*1.15*1.1+KFC!$C$31)*KFC!$C$5</f>
        <v>61.289250000000003</v>
      </c>
      <c r="E45" s="79">
        <f>(53.6*KFC!$B$31*1.02*1.15*1.1+KFC!$C$31)*KFC!$C$5</f>
        <v>69.160080000000008</v>
      </c>
      <c r="F45" s="79">
        <f>(59.6*KFC!$B$31*1.02*1.15*1.1+KFC!$C$31)*KFC!$C$5</f>
        <v>76.901880000000006</v>
      </c>
      <c r="G45" s="79">
        <f>(65.7*KFC!$B$31*1.02*1.15*1.1+KFC!$C$31)*KFC!$C$5</f>
        <v>84.772710000000018</v>
      </c>
      <c r="H45" s="79">
        <f>(71.8*KFC!$B$31*1.02*1.15*1.1+KFC!$C$31)*KFC!$C$5</f>
        <v>92.643540000000016</v>
      </c>
      <c r="I45" s="79">
        <f>(77.9*KFC!$B$31*1.02*1.15*1.1+KFC!$C$31)*KFC!$C$5</f>
        <v>100.51437000000003</v>
      </c>
      <c r="J45" s="79">
        <f>(84*KFC!$B$31*1.02*1.15*1.1+KFC!$C$31)*KFC!$C$5</f>
        <v>108.38520000000001</v>
      </c>
      <c r="K45" s="79">
        <f>(90.1*KFC!$B$31*1.02*1.15*1.1+KFC!$C$31)*KFC!$C$5</f>
        <v>116.25603</v>
      </c>
      <c r="L45" s="79">
        <f>(96.3*KFC!$B$31*1.02*1.15*1.1+KFC!$C$31)*KFC!$C$5</f>
        <v>124.25588999999999</v>
      </c>
      <c r="M45" s="79">
        <f>(102.4*KFC!$B$31*1.02*1.15*1.1+KFC!$C$31)*KFC!$C$5</f>
        <v>132.12672000000001</v>
      </c>
      <c r="N45" s="86">
        <f>(108.5*KFC!$B$31*1.02*1.15*1.1+KFC!$C$31)*KFC!$C$5</f>
        <v>139.99755000000002</v>
      </c>
    </row>
    <row r="46" spans="1:14">
      <c r="A46" s="1538"/>
      <c r="B46" s="224">
        <v>2.2000000000000002</v>
      </c>
      <c r="C46" s="80">
        <f>(42.7*KFC!$B$31*1.02*1.15*1.1+KFC!$C$31)*KFC!$C$5</f>
        <v>55.095810000000007</v>
      </c>
      <c r="D46" s="68">
        <f>(49*KFC!$B$31*1.02*1.15*1.1+KFC!$C$31)*KFC!$C$5</f>
        <v>63.224699999999999</v>
      </c>
      <c r="E46" s="79">
        <f>(55.3*KFC!$B$31*1.02*1.15*1.1+KFC!$C$31)*KFC!$C$5</f>
        <v>71.353589999999997</v>
      </c>
      <c r="F46" s="79">
        <f>(61.6*KFC!$B$31*1.02*1.15*1.1+KFC!$C$31)*KFC!$C$5</f>
        <v>79.48248000000001</v>
      </c>
      <c r="G46" s="79">
        <f>(68*KFC!$B$31*1.02*1.15*1.1+KFC!$C$31)*KFC!$C$5</f>
        <v>87.740400000000008</v>
      </c>
      <c r="H46" s="79">
        <f>(74.4*KFC!$B$31*1.02*1.15*1.1+KFC!$C$31)*KFC!$C$5</f>
        <v>95.998320000000007</v>
      </c>
      <c r="I46" s="79">
        <f>(80.6*KFC!$B$31*1.02*1.15*1.1+KFC!$C$31)*KFC!$C$5</f>
        <v>103.99817999999998</v>
      </c>
      <c r="J46" s="79">
        <f>(87*KFC!$B$31*1.02*1.15*1.1+KFC!$C$31)*KFC!$C$5</f>
        <v>112.25609999999999</v>
      </c>
      <c r="K46" s="79">
        <f>(93.3*KFC!$B$31*1.02*1.15*1.1+KFC!$C$31)*KFC!$C$5</f>
        <v>120.38498999999999</v>
      </c>
      <c r="L46" s="79">
        <f>(99.7*KFC!$B$31*1.02*1.15*1.1+KFC!$C$31)*KFC!$C$5</f>
        <v>128.64291</v>
      </c>
      <c r="M46" s="79">
        <f>(106*KFC!$B$31*1.02*1.15*1.1+KFC!$C$31)*KFC!$C$5</f>
        <v>136.77180000000001</v>
      </c>
      <c r="N46" s="86">
        <f>(112.3*KFC!$B$31*1.02*1.15*1.1+KFC!$C$31)*KFC!$C$5</f>
        <v>144.90069</v>
      </c>
    </row>
    <row r="47" spans="1:14" ht="13.8" thickBot="1">
      <c r="A47" s="1539"/>
      <c r="B47" s="225">
        <v>2.2999999999999998</v>
      </c>
      <c r="C47" s="89">
        <f>(44*KFC!$B$31*1.02*1.15*1.1+KFC!$C$31)*KFC!$C$5</f>
        <v>56.77320000000001</v>
      </c>
      <c r="D47" s="109">
        <f>(50.6*KFC!$B$31*1.02*1.15*1.1+KFC!$C$31)*KFC!$C$5</f>
        <v>65.289180000000002</v>
      </c>
      <c r="E47" s="87">
        <f>(57.1*KFC!$B$31*1.02*1.15*1.1+KFC!$C$31)*KFC!$C$5</f>
        <v>73.676130000000015</v>
      </c>
      <c r="F47" s="87">
        <f>(63.7*KFC!$B$31*1.02*1.15*1.1+KFC!$C$31)*KFC!$C$5</f>
        <v>82.192110000000014</v>
      </c>
      <c r="G47" s="87">
        <f>(70.3*KFC!$B$31*1.02*1.15*1.1+KFC!$C$31)*KFC!$C$5</f>
        <v>90.708090000000013</v>
      </c>
      <c r="H47" s="87">
        <f>(76.8*KFC!$B$31*1.02*1.15*1.1+KFC!$C$31)*KFC!$C$5</f>
        <v>99.095040000000012</v>
      </c>
      <c r="I47" s="87">
        <f>(83.4*KFC!$B$31*1.02*1.15*1.1+KFC!$C$31)*KFC!$C$5</f>
        <v>107.61102000000002</v>
      </c>
      <c r="J47" s="87">
        <f>(89.9*KFC!$B$31*1.02*1.15*1.1+KFC!$C$31)*KFC!$C$5</f>
        <v>115.99797000000002</v>
      </c>
      <c r="K47" s="87">
        <f>(96.5*KFC!$B$31*1.02*1.15*1.1+KFC!$C$31)*KFC!$C$5</f>
        <v>124.51395000000002</v>
      </c>
      <c r="L47" s="87">
        <f>(103.1*KFC!$B$31*1.02*1.15*1.1+KFC!$C$31)*KFC!$C$5</f>
        <v>133.02992999999998</v>
      </c>
      <c r="M47" s="87">
        <f>(109.6*KFC!$B$31*1.02*1.15*1.1+KFC!$C$31)*KFC!$C$5</f>
        <v>141.41688000000002</v>
      </c>
      <c r="N47" s="88">
        <f>(116.2*KFC!$B$31*1.02*1.15*1.1+KFC!$C$31)*KFC!$C$5</f>
        <v>149.93286000000001</v>
      </c>
    </row>
    <row r="48" spans="1:14" ht="13.8" thickBot="1">
      <c r="A48" s="186"/>
      <c r="B48" s="184"/>
      <c r="C48" s="178"/>
      <c r="D48" s="178"/>
      <c r="E48" s="178"/>
      <c r="F48" s="178"/>
      <c r="G48" s="178"/>
      <c r="H48" s="178"/>
      <c r="I48" s="178"/>
      <c r="J48" s="178"/>
      <c r="K48" s="178"/>
      <c r="L48" s="178"/>
      <c r="M48" s="178"/>
      <c r="N48" s="178"/>
    </row>
    <row r="49" spans="1:14" ht="13.8" thickBot="1">
      <c r="A49" s="1413" t="s">
        <v>318</v>
      </c>
      <c r="B49" s="1415"/>
      <c r="C49" s="1573" t="s">
        <v>207</v>
      </c>
      <c r="D49" s="1574"/>
      <c r="E49" s="1574"/>
      <c r="F49" s="1574"/>
      <c r="G49" s="1574"/>
      <c r="H49" s="1574"/>
      <c r="I49" s="1574"/>
      <c r="J49" s="1574"/>
      <c r="K49" s="1574"/>
      <c r="L49" s="1574"/>
      <c r="M49" s="1574"/>
      <c r="N49" s="1574"/>
    </row>
    <row r="50" spans="1:14" ht="13.8" thickBot="1">
      <c r="A50" s="1416"/>
      <c r="B50" s="1418"/>
      <c r="C50" s="428">
        <v>0.4</v>
      </c>
      <c r="D50" s="428">
        <v>0.5</v>
      </c>
      <c r="E50" s="428">
        <v>0.6</v>
      </c>
      <c r="F50" s="428">
        <v>0.7</v>
      </c>
      <c r="G50" s="428">
        <v>0.8</v>
      </c>
      <c r="H50" s="428">
        <v>0.9</v>
      </c>
      <c r="I50" s="428">
        <v>1</v>
      </c>
      <c r="J50" s="428">
        <v>1.1000000000000001</v>
      </c>
      <c r="K50" s="428">
        <v>1.2</v>
      </c>
      <c r="L50" s="428">
        <v>1.3</v>
      </c>
      <c r="M50" s="428">
        <v>1.4</v>
      </c>
      <c r="N50" s="428">
        <v>1.5</v>
      </c>
    </row>
    <row r="51" spans="1:14">
      <c r="A51" s="1537" t="s">
        <v>3</v>
      </c>
      <c r="B51" s="226">
        <v>0.5</v>
      </c>
      <c r="C51" s="76">
        <f>(22*KFC!$B$31*1.02*1.15*1.1+KFC!$C$31)*KFC!$C$5</f>
        <v>28.386600000000005</v>
      </c>
      <c r="D51" s="77">
        <f>(25.3*KFC!$B$31*1.02*1.15*1.1+KFC!$C$31)*KFC!$C$5</f>
        <v>32.644590000000001</v>
      </c>
      <c r="E51" s="77">
        <f>(28.7*KFC!$B$31*1.02*1.15*1.1+KFC!$C$31)*KFC!$C$5</f>
        <v>37.031610000000001</v>
      </c>
      <c r="F51" s="77">
        <f>(32*KFC!$B$31*1.02*1.15*1.1+KFC!$C$31)*KFC!$C$5</f>
        <v>41.2896</v>
      </c>
      <c r="G51" s="77">
        <f>(35.3*KFC!$B$31*1.02*1.15*1.1+KFC!$C$31)*KFC!$C$5</f>
        <v>45.547590000000007</v>
      </c>
      <c r="H51" s="77">
        <f>(38.6*KFC!$B$31*1.02*1.15*1.1+KFC!$C$31)*KFC!$C$5</f>
        <v>49.805580000000006</v>
      </c>
      <c r="I51" s="77">
        <f>(42.1*KFC!$B$31*1.02*1.15*1.1+KFC!$C$31)*KFC!$C$5</f>
        <v>54.321630000000006</v>
      </c>
      <c r="J51" s="77">
        <f>(45.4*KFC!$B$31*1.02*1.15*1.1+KFC!$C$31)*KFC!$C$5</f>
        <v>58.579619999999998</v>
      </c>
      <c r="K51" s="77">
        <f>(48.7*KFC!$B$31*1.02*1.15*1.1+KFC!$C$31)*KFC!$C$5</f>
        <v>62.837610000000012</v>
      </c>
      <c r="L51" s="77">
        <f>(52*KFC!$B$31*1.02*1.15*1.1+KFC!$C$31)*KFC!$C$5</f>
        <v>67.095600000000005</v>
      </c>
      <c r="M51" s="77">
        <f>(55.4*KFC!$B$31*1.02*1.15*1.1+KFC!$C$31)*KFC!$C$5</f>
        <v>71.482620000000011</v>
      </c>
      <c r="N51" s="106">
        <f>(58.7*KFC!$B$31*1.02*1.15*1.1+KFC!$C$31)*KFC!$C$5</f>
        <v>75.740610000000004</v>
      </c>
    </row>
    <row r="52" spans="1:14">
      <c r="A52" s="1538"/>
      <c r="B52" s="224">
        <v>0.6</v>
      </c>
      <c r="C52" s="78">
        <f>(23.7*KFC!$B$31*1.02*1.15*1.1+KFC!$C$31)*KFC!$C$5</f>
        <v>30.580109999999998</v>
      </c>
      <c r="D52" s="68">
        <f>(27.4*KFC!$B$31*1.02*1.15*1.1+KFC!$C$31)*KFC!$C$5</f>
        <v>35.354220000000005</v>
      </c>
      <c r="E52" s="68">
        <f>(30.9*KFC!$B$31*1.02*1.15*1.1+KFC!$C$31)*KFC!$C$5</f>
        <v>39.870270000000005</v>
      </c>
      <c r="F52" s="68">
        <f>(34.5*KFC!$B$31*1.02*1.15*1.1+KFC!$C$31)*KFC!$C$5</f>
        <v>44.515349999999998</v>
      </c>
      <c r="G52" s="68">
        <f>(38*KFC!$B$31*1.02*1.15*1.1+KFC!$C$31)*KFC!$C$5</f>
        <v>49.031399999999991</v>
      </c>
      <c r="H52" s="68">
        <f>(41.6*KFC!$B$31*1.02*1.15*1.1+KFC!$C$31)*KFC!$C$5</f>
        <v>53.676480000000005</v>
      </c>
      <c r="I52" s="68">
        <f>(45.1*KFC!$B$31*1.02*1.15*1.1+KFC!$C$31)*KFC!$C$5</f>
        <v>58.192529999999998</v>
      </c>
      <c r="J52" s="68">
        <f>(48.7*KFC!$B$31*1.02*1.15*1.1+KFC!$C$31)*KFC!$C$5</f>
        <v>62.837610000000012</v>
      </c>
      <c r="K52" s="68">
        <f>(52.2*KFC!$B$31*1.02*1.15*1.1+KFC!$C$31)*KFC!$C$5</f>
        <v>67.353660000000005</v>
      </c>
      <c r="L52" s="68">
        <f>(55.8*KFC!$B$31*1.02*1.15*1.1+KFC!$C$31)*KFC!$C$5</f>
        <v>71.998739999999998</v>
      </c>
      <c r="M52" s="68">
        <f>(59.3*KFC!$B$31*1.02*1.15*1.1+KFC!$C$31)*KFC!$C$5</f>
        <v>76.514790000000005</v>
      </c>
      <c r="N52" s="107">
        <f>(62.9*KFC!$B$31*1.02*1.15*1.1+KFC!$C$31)*KFC!$C$5</f>
        <v>81.159870000000012</v>
      </c>
    </row>
    <row r="53" spans="1:14">
      <c r="A53" s="1538"/>
      <c r="B53" s="224">
        <v>0.7</v>
      </c>
      <c r="C53" s="78">
        <f>(25.6*KFC!$B$31*1.02*1.15*1.1+KFC!$C$31)*KFC!$C$5</f>
        <v>33.031680000000001</v>
      </c>
      <c r="D53" s="68">
        <f>(29.4*KFC!$B$31*1.02*1.15*1.1+KFC!$C$31)*KFC!$C$5</f>
        <v>37.934820000000002</v>
      </c>
      <c r="E53" s="68">
        <f>(33.1*KFC!$B$31*1.02*1.15*1.1+KFC!$C$31)*KFC!$C$5</f>
        <v>42.708930000000002</v>
      </c>
      <c r="F53" s="68">
        <f>(36.9*KFC!$B$31*1.02*1.15*1.1+KFC!$C$31)*KFC!$C$5</f>
        <v>47.612070000000003</v>
      </c>
      <c r="G53" s="68">
        <f>(40.7*KFC!$B$31*1.02*1.15*1.1+KFC!$C$31)*KFC!$C$5</f>
        <v>52.51521000000001</v>
      </c>
      <c r="H53" s="68">
        <f>(44.4*KFC!$B$31*1.02*1.15*1.1+KFC!$C$31)*KFC!$C$5</f>
        <v>57.289319999999996</v>
      </c>
      <c r="I53" s="68">
        <f>(48.2*KFC!$B$31*1.02*1.15*1.1+KFC!$C$31)*KFC!$C$5</f>
        <v>62.192459999999997</v>
      </c>
      <c r="J53" s="68">
        <f>(52*KFC!$B$31*1.02*1.15*1.1+KFC!$C$31)*KFC!$C$5</f>
        <v>67.095600000000005</v>
      </c>
      <c r="K53" s="68">
        <f>(55.8*KFC!$B$31*1.02*1.15*1.1+KFC!$C$31)*KFC!$C$5</f>
        <v>71.998739999999998</v>
      </c>
      <c r="L53" s="68">
        <f>(59.6*KFC!$B$31*1.02*1.15*1.1+KFC!$C$31)*KFC!$C$5</f>
        <v>76.901880000000006</v>
      </c>
      <c r="M53" s="68">
        <f>(63.4*KFC!$B$31*1.02*1.15*1.1+KFC!$C$31)*KFC!$C$5</f>
        <v>81.805020000000013</v>
      </c>
      <c r="N53" s="107">
        <f>(67.1*KFC!$B$31*1.02*1.15*1.1+KFC!$C$31)*KFC!$C$5</f>
        <v>86.579129999999978</v>
      </c>
    </row>
    <row r="54" spans="1:14">
      <c r="A54" s="1538"/>
      <c r="B54" s="224">
        <v>0.8</v>
      </c>
      <c r="C54" s="78">
        <f>(27.3*KFC!$B$31*1.02*1.15*1.1+KFC!$C$31)*KFC!$C$5</f>
        <v>35.225190000000005</v>
      </c>
      <c r="D54" s="68">
        <f>(31.3*KFC!$B$31*1.02*1.15*1.1+KFC!$C$31)*KFC!$C$5</f>
        <v>40.386390000000006</v>
      </c>
      <c r="E54" s="68">
        <f>(35.3*KFC!$B$31*1.02*1.15*1.1+KFC!$C$31)*KFC!$C$5</f>
        <v>45.547590000000007</v>
      </c>
      <c r="F54" s="68">
        <f>(39.4*KFC!$B$31*1.02*1.15*1.1+KFC!$C$31)*KFC!$C$5</f>
        <v>50.837820000000008</v>
      </c>
      <c r="G54" s="68">
        <f>(43.3*KFC!$B$31*1.02*1.15*1.1+KFC!$C$31)*KFC!$C$5</f>
        <v>55.869989999999994</v>
      </c>
      <c r="H54" s="68">
        <f>(47.3*KFC!$B$31*1.02*1.15*1.1+KFC!$C$31)*KFC!$C$5</f>
        <v>61.031189999999988</v>
      </c>
      <c r="I54" s="68">
        <f>(51.4*KFC!$B$31*1.02*1.15*1.1+KFC!$C$31)*KFC!$C$5</f>
        <v>66.321420000000003</v>
      </c>
      <c r="J54" s="68">
        <f>(55.3*KFC!$B$31*1.02*1.15*1.1+KFC!$C$31)*KFC!$C$5</f>
        <v>71.353589999999997</v>
      </c>
      <c r="K54" s="68">
        <f>(59.3*KFC!$B$31*1.02*1.15*1.1+KFC!$C$31)*KFC!$C$5</f>
        <v>76.514790000000005</v>
      </c>
      <c r="L54" s="68">
        <f>(63.4*KFC!$B$31*1.02*1.15*1.1+KFC!$C$31)*KFC!$C$5</f>
        <v>81.805020000000013</v>
      </c>
      <c r="M54" s="68">
        <f>(67.4*KFC!$B$31*1.02*1.15*1.1+KFC!$C$31)*KFC!$C$5</f>
        <v>86.966220000000007</v>
      </c>
      <c r="N54" s="107">
        <f>(71.3*KFC!$B$31*1.02*1.15*1.1+KFC!$C$31)*KFC!$C$5</f>
        <v>91.998390000000001</v>
      </c>
    </row>
    <row r="55" spans="1:14">
      <c r="A55" s="1538"/>
      <c r="B55" s="224">
        <v>0.9</v>
      </c>
      <c r="C55" s="78">
        <f>(29.1*KFC!$B$31*1.02*1.15*1.1+KFC!$C$31)*KFC!$C$5</f>
        <v>37.547730000000008</v>
      </c>
      <c r="D55" s="68">
        <f>(33.3*KFC!$B$31*1.02*1.15*1.1+KFC!$C$31)*KFC!$C$5</f>
        <v>42.966990000000003</v>
      </c>
      <c r="E55" s="68">
        <f>(37.5*KFC!$B$31*1.02*1.15*1.1+KFC!$C$31)*KFC!$C$5</f>
        <v>48.386250000000004</v>
      </c>
      <c r="F55" s="68">
        <f>(41.7*KFC!$B$31*1.02*1.15*1.1+KFC!$C$31)*KFC!$C$5</f>
        <v>53.805510000000012</v>
      </c>
      <c r="G55" s="68">
        <f>(46*KFC!$B$31*1.02*1.15*1.1+KFC!$C$31)*KFC!$C$5</f>
        <v>59.3538</v>
      </c>
      <c r="H55" s="68">
        <f>(50.3*KFC!$B$31*1.02*1.15*1.1+KFC!$C$31)*KFC!$C$5</f>
        <v>64.902090000000001</v>
      </c>
      <c r="I55" s="68">
        <f>(54.4*KFC!$B$31*1.02*1.15*1.1+KFC!$C$31)*KFC!$C$5</f>
        <v>70.192319999999995</v>
      </c>
      <c r="J55" s="68">
        <f>(58.7*KFC!$B$31*1.02*1.15*1.1+KFC!$C$31)*KFC!$C$5</f>
        <v>75.740610000000004</v>
      </c>
      <c r="K55" s="68">
        <f>(62.9*KFC!$B$31*1.02*1.15*1.1+KFC!$C$31)*KFC!$C$5</f>
        <v>81.159870000000012</v>
      </c>
      <c r="L55" s="68">
        <f>(67.1*KFC!$B$31*1.02*1.15*1.1+KFC!$C$31)*KFC!$C$5</f>
        <v>86.579129999999978</v>
      </c>
      <c r="M55" s="68">
        <f>(71.3*KFC!$B$31*1.02*1.15*1.1+KFC!$C$31)*KFC!$C$5</f>
        <v>91.998390000000001</v>
      </c>
      <c r="N55" s="107">
        <f>(75.6*KFC!$B$31*1.02*1.15*1.1+KFC!$C$31)*KFC!$C$5</f>
        <v>97.546679999999981</v>
      </c>
    </row>
    <row r="56" spans="1:14">
      <c r="A56" s="1538"/>
      <c r="B56" s="224">
        <v>1</v>
      </c>
      <c r="C56" s="78">
        <f>(30.8*KFC!$B$31*1.02*1.15*1.1+KFC!$C$31)*KFC!$C$5</f>
        <v>39.741240000000005</v>
      </c>
      <c r="D56" s="68">
        <f>(35.3*KFC!$B$31*1.02*1.15*1.1+KFC!$C$31)*KFC!$C$5</f>
        <v>45.547590000000007</v>
      </c>
      <c r="E56" s="68">
        <f>(39.7*KFC!$B$31*1.02*1.15*1.1+KFC!$C$31)*KFC!$C$5</f>
        <v>51.224910000000008</v>
      </c>
      <c r="F56" s="68">
        <f>(44.2*KFC!$B$31*1.02*1.15*1.1+KFC!$C$31)*KFC!$C$5</f>
        <v>57.03126000000001</v>
      </c>
      <c r="G56" s="68">
        <f>(48.7*KFC!$B$31*1.02*1.15*1.1+KFC!$C$31)*KFC!$C$5</f>
        <v>62.837610000000012</v>
      </c>
      <c r="H56" s="68">
        <f>(53.1*KFC!$B$31*1.02*1.15*1.1+KFC!$C$31)*KFC!$C$5</f>
        <v>68.514930000000007</v>
      </c>
      <c r="I56" s="68">
        <f>(57.5*KFC!$B$31*1.02*1.15*1.1+KFC!$C$31)*KFC!$C$5</f>
        <v>74.192250000000001</v>
      </c>
      <c r="J56" s="68">
        <f>(62*KFC!$B$31*1.02*1.15*1.1+KFC!$C$31)*KFC!$C$5</f>
        <v>79.99860000000001</v>
      </c>
      <c r="K56" s="68">
        <f>(66.4*KFC!$B$31*1.02*1.15*1.1+KFC!$C$31)*KFC!$C$5</f>
        <v>85.675920000000019</v>
      </c>
      <c r="L56" s="68">
        <f>(70.8*KFC!$B$31*1.02*1.15*1.1+KFC!$C$31)*KFC!$C$5</f>
        <v>91.35324</v>
      </c>
      <c r="M56" s="68">
        <f>(75.3*KFC!$B$31*1.02*1.15*1.1+KFC!$C$31)*KFC!$C$5</f>
        <v>97.159590000000009</v>
      </c>
      <c r="N56" s="107">
        <f>(79.7*KFC!$B$31*1.02*1.15*1.1+KFC!$C$31)*KFC!$C$5</f>
        <v>102.83691000000002</v>
      </c>
    </row>
    <row r="57" spans="1:14">
      <c r="A57" s="1538"/>
      <c r="B57" s="224">
        <v>1.1000000000000001</v>
      </c>
      <c r="C57" s="78">
        <f>(32.7*KFC!$B$31*1.02*1.15*1.1+KFC!$C$31)*KFC!$C$5</f>
        <v>42.192810000000009</v>
      </c>
      <c r="D57" s="68">
        <f>(37.3*KFC!$B$31*1.02*1.15*1.1+KFC!$C$31)*KFC!$C$5</f>
        <v>48.128190000000004</v>
      </c>
      <c r="E57" s="68">
        <f>(41.9*KFC!$B$31*1.02*1.15*1.1+KFC!$C$31)*KFC!$C$5</f>
        <v>54.063570000000006</v>
      </c>
      <c r="F57" s="68">
        <f>(46.6*KFC!$B$31*1.02*1.15*1.1+KFC!$C$31)*KFC!$C$5</f>
        <v>60.127980000000001</v>
      </c>
      <c r="G57" s="68">
        <f>(51.2*KFC!$B$31*1.02*1.15*1.1+KFC!$C$31)*KFC!$C$5</f>
        <v>66.063360000000003</v>
      </c>
      <c r="H57" s="68">
        <f>(56*KFC!$B$31*1.02*1.15*1.1+KFC!$C$31)*KFC!$C$5</f>
        <v>72.256800000000013</v>
      </c>
      <c r="I57" s="68">
        <f>(60.7*KFC!$B$31*1.02*1.15*1.1+KFC!$C$31)*KFC!$C$5</f>
        <v>78.321210000000008</v>
      </c>
      <c r="J57" s="68">
        <f>(65.3*KFC!$B$31*1.02*1.15*1.1+KFC!$C$31)*KFC!$C$5</f>
        <v>84.256590000000003</v>
      </c>
      <c r="K57" s="68">
        <f>(70*KFC!$B$31*1.02*1.15*1.1+KFC!$C$31)*KFC!$C$5</f>
        <v>90.321000000000012</v>
      </c>
      <c r="L57" s="68">
        <f>(74.6*KFC!$B$31*1.02*1.15*1.1+KFC!$C$31)*KFC!$C$5</f>
        <v>96.256380000000007</v>
      </c>
      <c r="M57" s="68">
        <f>(79.3*KFC!$B$31*1.02*1.15*1.1+KFC!$C$31)*KFC!$C$5</f>
        <v>102.32078999999999</v>
      </c>
      <c r="N57" s="107">
        <f>(84*KFC!$B$31*1.02*1.15*1.1+KFC!$C$31)*KFC!$C$5</f>
        <v>108.38520000000001</v>
      </c>
    </row>
    <row r="58" spans="1:14">
      <c r="A58" s="1538"/>
      <c r="B58" s="224">
        <v>1.2</v>
      </c>
      <c r="C58" s="78">
        <f>(34.4*KFC!$B$31*1.02*1.15*1.1+KFC!$C$31)*KFC!$C$5</f>
        <v>44.386320000000005</v>
      </c>
      <c r="D58" s="68">
        <f>(39.3*KFC!$B$31*1.02*1.15*1.1+KFC!$C$31)*KFC!$C$5</f>
        <v>50.708789999999993</v>
      </c>
      <c r="E58" s="68">
        <f>(44.2*KFC!$B$31*1.02*1.15*1.1+KFC!$C$31)*KFC!$C$5</f>
        <v>57.03126000000001</v>
      </c>
      <c r="F58" s="68">
        <f>(49*KFC!$B$31*1.02*1.15*1.1+KFC!$C$31)*KFC!$C$5</f>
        <v>63.224699999999999</v>
      </c>
      <c r="G58" s="68">
        <f>(53.9*KFC!$B$31*1.02*1.15*1.1+KFC!$C$31)*KFC!$C$5</f>
        <v>69.547170000000008</v>
      </c>
      <c r="H58" s="68">
        <f>(58.8*KFC!$B$31*1.02*1.15*1.1+KFC!$C$31)*KFC!$C$5</f>
        <v>75.869640000000004</v>
      </c>
      <c r="I58" s="68">
        <f>(63.7*KFC!$B$31*1.02*1.15*1.1+KFC!$C$31)*KFC!$C$5</f>
        <v>82.192110000000014</v>
      </c>
      <c r="J58" s="68">
        <f>(68.6*KFC!$B$31*1.02*1.15*1.1+KFC!$C$31)*KFC!$C$5</f>
        <v>88.514579999999995</v>
      </c>
      <c r="K58" s="68">
        <f>(73.5*KFC!$B$31*1.02*1.15*1.1+KFC!$C$31)*KFC!$C$5</f>
        <v>94.837050000000005</v>
      </c>
      <c r="L58" s="68">
        <f>(78.4*KFC!$B$31*1.02*1.15*1.1+KFC!$C$31)*KFC!$C$5</f>
        <v>101.15952000000001</v>
      </c>
      <c r="M58" s="68">
        <f>(83.3*KFC!$B$31*1.02*1.15*1.1+KFC!$C$31)*KFC!$C$5</f>
        <v>107.48198999999998</v>
      </c>
      <c r="N58" s="107">
        <f>(88.2*KFC!$B$31*1.02*1.15*1.1+KFC!$C$31)*KFC!$C$5</f>
        <v>113.80445999999999</v>
      </c>
    </row>
    <row r="59" spans="1:14">
      <c r="A59" s="1538"/>
      <c r="B59" s="224">
        <v>1.3</v>
      </c>
      <c r="C59" s="78">
        <f>(36.2*KFC!$B$31*1.02*1.15*1.1+KFC!$C$31)*KFC!$C$5</f>
        <v>46.708860000000008</v>
      </c>
      <c r="D59" s="68">
        <f>(41.2*KFC!$B$31*1.02*1.15*1.1+KFC!$C$31)*KFC!$C$5</f>
        <v>53.160360000000004</v>
      </c>
      <c r="E59" s="68">
        <f>(46.4*KFC!$B$31*1.02*1.15*1.1+KFC!$C$31)*KFC!$C$5</f>
        <v>59.869919999999993</v>
      </c>
      <c r="F59" s="68">
        <f>(51.5*KFC!$B$31*1.02*1.15*1.1+KFC!$C$31)*KFC!$C$5</f>
        <v>66.450450000000004</v>
      </c>
      <c r="G59" s="68">
        <f>(56.6*KFC!$B$31*1.02*1.15*1.1+KFC!$C$31)*KFC!$C$5</f>
        <v>73.03098</v>
      </c>
      <c r="H59" s="68">
        <f>(61.8*KFC!$B$31*1.02*1.15*1.1+KFC!$C$31)*KFC!$C$5</f>
        <v>79.74054000000001</v>
      </c>
      <c r="I59" s="68">
        <f>(66.8*KFC!$B$31*1.02*1.15*1.1+KFC!$C$31)*KFC!$C$5</f>
        <v>86.192040000000006</v>
      </c>
      <c r="J59" s="68">
        <f>(71.9*KFC!$B$31*1.02*1.15*1.1+KFC!$C$31)*KFC!$C$5</f>
        <v>92.772570000000016</v>
      </c>
      <c r="K59" s="68">
        <f>(77*KFC!$B$31*1.02*1.15*1.1+KFC!$C$31)*KFC!$C$5</f>
        <v>99.353100000000012</v>
      </c>
      <c r="L59" s="68">
        <f>(82.2*KFC!$B$31*1.02*1.15*1.1+KFC!$C$31)*KFC!$C$5</f>
        <v>106.06266000000002</v>
      </c>
      <c r="M59" s="68">
        <f>(87.3*KFC!$B$31*1.02*1.15*1.1+KFC!$C$31)*KFC!$C$5</f>
        <v>112.64318999999999</v>
      </c>
      <c r="N59" s="107">
        <f>(92.5*KFC!$B$31*1.02*1.15*1.1+KFC!$C$31)*KFC!$C$5</f>
        <v>119.35275</v>
      </c>
    </row>
    <row r="60" spans="1:14">
      <c r="A60" s="1538"/>
      <c r="B60" s="224">
        <v>1.4</v>
      </c>
      <c r="C60" s="78">
        <f>(37.9*KFC!$B$31*1.02*1.15*1.1+KFC!$C$31)*KFC!$C$5</f>
        <v>48.902370000000005</v>
      </c>
      <c r="D60" s="68">
        <f>(43.3*KFC!$B$31*1.02*1.15*1.1+KFC!$C$31)*KFC!$C$5</f>
        <v>55.869989999999994</v>
      </c>
      <c r="E60" s="68">
        <f>(48.6*KFC!$B$31*1.02*1.15*1.1+KFC!$C$31)*KFC!$C$5</f>
        <v>62.708579999999998</v>
      </c>
      <c r="F60" s="68">
        <f>(53.9*KFC!$B$31*1.02*1.15*1.1+KFC!$C$31)*KFC!$C$5</f>
        <v>69.547170000000008</v>
      </c>
      <c r="G60" s="68">
        <f>(59.3*KFC!$B$31*1.02*1.15*1.1+KFC!$C$31)*KFC!$C$5</f>
        <v>76.514790000000005</v>
      </c>
      <c r="H60" s="68">
        <f>(64.6*KFC!$B$31*1.02*1.15*1.1+KFC!$C$31)*KFC!$C$5</f>
        <v>83.353380000000001</v>
      </c>
      <c r="I60" s="68">
        <f>(70*KFC!$B$31*1.02*1.15*1.1+KFC!$C$31)*KFC!$C$5</f>
        <v>90.321000000000012</v>
      </c>
      <c r="J60" s="68">
        <f>(75.2*KFC!$B$31*1.02*1.15*1.1+KFC!$C$31)*KFC!$C$5</f>
        <v>97.030560000000023</v>
      </c>
      <c r="K60" s="68">
        <f>(80.6*KFC!$B$31*1.02*1.15*1.1+KFC!$C$31)*KFC!$C$5</f>
        <v>103.99817999999998</v>
      </c>
      <c r="L60" s="68">
        <f>(86*KFC!$B$31*1.02*1.15*1.1+KFC!$C$31)*KFC!$C$5</f>
        <v>110.96579999999999</v>
      </c>
      <c r="M60" s="68">
        <f>(91.2*KFC!$B$31*1.02*1.15*1.1+KFC!$C$31)*KFC!$C$5</f>
        <v>117.67536</v>
      </c>
      <c r="N60" s="107">
        <f>(96.6*KFC!$B$31*1.02*1.15*1.1+KFC!$C$31)*KFC!$C$5</f>
        <v>124.64297999999999</v>
      </c>
    </row>
    <row r="61" spans="1:14">
      <c r="A61" s="1538"/>
      <c r="B61" s="224">
        <v>1.5</v>
      </c>
      <c r="C61" s="78">
        <f>(39.6*KFC!$B$31*1.02*1.15*1.1+KFC!$C$31)*KFC!$C$5</f>
        <v>51.095880000000008</v>
      </c>
      <c r="D61" s="68">
        <f>(45.3*KFC!$B$31*1.02*1.15*1.1+KFC!$C$31)*KFC!$C$5</f>
        <v>58.450589999999991</v>
      </c>
      <c r="E61" s="68">
        <f>(50.8*KFC!$B$31*1.02*1.15*1.1+KFC!$C$31)*KFC!$C$5</f>
        <v>65.547240000000002</v>
      </c>
      <c r="F61" s="68">
        <f>(56.4*KFC!$B$31*1.02*1.15*1.1+KFC!$C$31)*KFC!$C$5</f>
        <v>72.772919999999999</v>
      </c>
      <c r="G61" s="68">
        <f>(61.9*KFC!$B$31*1.02*1.15*1.1+KFC!$C$31)*KFC!$C$5</f>
        <v>79.86957000000001</v>
      </c>
      <c r="H61" s="68">
        <f>(67.5*KFC!$B$31*1.02*1.15*1.1+KFC!$C$31)*KFC!$C$5</f>
        <v>87.095249999999979</v>
      </c>
      <c r="I61" s="68">
        <f>(73*KFC!$B$31*1.02*1.15*1.1+KFC!$C$31)*KFC!$C$5</f>
        <v>94.191900000000018</v>
      </c>
      <c r="J61" s="68">
        <f>(78.6*KFC!$B$31*1.02*1.15*1.1+KFC!$C$31)*KFC!$C$5</f>
        <v>101.41757999999999</v>
      </c>
      <c r="K61" s="68">
        <f>(84.1*KFC!$B$31*1.02*1.15*1.1+KFC!$C$31)*KFC!$C$5</f>
        <v>108.51422999999998</v>
      </c>
      <c r="L61" s="68">
        <f>(89.8*KFC!$B$31*1.02*1.15*1.1+KFC!$C$31)*KFC!$C$5</f>
        <v>115.86893999999999</v>
      </c>
      <c r="M61" s="68">
        <f>(95.3*KFC!$B$31*1.02*1.15*1.1+KFC!$C$31)*KFC!$C$5</f>
        <v>122.96558999999999</v>
      </c>
      <c r="N61" s="107">
        <f>(100.8*KFC!$B$31*1.02*1.15*1.1+KFC!$C$31)*KFC!$C$5</f>
        <v>130.06224</v>
      </c>
    </row>
    <row r="62" spans="1:14">
      <c r="A62" s="1538"/>
      <c r="B62" s="224">
        <v>1.6</v>
      </c>
      <c r="C62" s="78">
        <f>(41.5*KFC!$B$31*1.02*1.15*1.1+KFC!$C$31)*KFC!$C$5</f>
        <v>53.547450000000005</v>
      </c>
      <c r="D62" s="68">
        <f>(47.2*KFC!$B$31*1.02*1.15*1.1+KFC!$C$31)*KFC!$C$5</f>
        <v>60.902160000000002</v>
      </c>
      <c r="E62" s="68">
        <f>(53*KFC!$B$31*1.02*1.15*1.1+KFC!$C$31)*KFC!$C$5</f>
        <v>68.385900000000007</v>
      </c>
      <c r="F62" s="68">
        <f>(58.8*KFC!$B$31*1.02*1.15*1.1+KFC!$C$31)*KFC!$C$5</f>
        <v>75.869640000000004</v>
      </c>
      <c r="G62" s="68">
        <f>(64.6*KFC!$B$31*1.02*1.15*1.1+KFC!$C$31)*KFC!$C$5</f>
        <v>83.353380000000001</v>
      </c>
      <c r="H62" s="68">
        <f>(70.3*KFC!$B$31*1.02*1.15*1.1+KFC!$C$31)*KFC!$C$5</f>
        <v>90.708090000000013</v>
      </c>
      <c r="I62" s="68">
        <f>(76.2*KFC!$B$31*1.02*1.15*1.1+KFC!$C$31)*KFC!$C$5</f>
        <v>98.32086000000001</v>
      </c>
      <c r="J62" s="68">
        <f>(81.9*KFC!$B$31*1.02*1.15*1.1+KFC!$C$31)*KFC!$C$5</f>
        <v>105.67557000000002</v>
      </c>
      <c r="K62" s="68">
        <f>(87.7*KFC!$B$31*1.02*1.15*1.1+KFC!$C$31)*KFC!$C$5</f>
        <v>113.15931000000002</v>
      </c>
      <c r="L62" s="68">
        <f>(93.4*KFC!$B$31*1.02*1.15*1.1+KFC!$C$31)*KFC!$C$5</f>
        <v>120.51402</v>
      </c>
      <c r="M62" s="68">
        <f>(99.3*KFC!$B$31*1.02*1.15*1.1+KFC!$C$31)*KFC!$C$5</f>
        <v>128.12679</v>
      </c>
      <c r="N62" s="107">
        <f>(105.1*KFC!$B$31*1.02*1.15*1.1+KFC!$C$31)*KFC!$C$5</f>
        <v>135.61053000000001</v>
      </c>
    </row>
    <row r="63" spans="1:14">
      <c r="A63" s="1538"/>
      <c r="B63" s="224">
        <v>1.7</v>
      </c>
      <c r="C63" s="78">
        <f>(43.2*KFC!$B$31*1.02*1.15*1.1+KFC!$C$31)*KFC!$C$5</f>
        <v>55.740960000000015</v>
      </c>
      <c r="D63" s="68">
        <f>(49.2*KFC!$B$31*1.02*1.15*1.1+KFC!$C$31)*KFC!$C$5</f>
        <v>63.482760000000013</v>
      </c>
      <c r="E63" s="68">
        <f>(55.3*KFC!$B$31*1.02*1.15*1.1+KFC!$C$31)*KFC!$C$5</f>
        <v>71.353589999999997</v>
      </c>
      <c r="F63" s="68">
        <f>(61.3*KFC!$B$31*1.02*1.15*1.1+KFC!$C$31)*KFC!$C$5</f>
        <v>79.095389999999995</v>
      </c>
      <c r="G63" s="68">
        <f>(67.3*KFC!$B$31*1.02*1.15*1.1+KFC!$C$31)*KFC!$C$5</f>
        <v>86.837190000000007</v>
      </c>
      <c r="H63" s="68">
        <f>(73.3*KFC!$B$31*1.02*1.15*1.1+KFC!$C$31)*KFC!$C$5</f>
        <v>94.578990000000019</v>
      </c>
      <c r="I63" s="68">
        <f>(79.3*KFC!$B$31*1.02*1.15*1.1+KFC!$C$31)*KFC!$C$5</f>
        <v>102.32078999999999</v>
      </c>
      <c r="J63" s="68">
        <f>(85.2*KFC!$B$31*1.02*1.15*1.1+KFC!$C$31)*KFC!$C$5</f>
        <v>109.93356000000001</v>
      </c>
      <c r="K63" s="68">
        <f>(91.2*KFC!$B$31*1.02*1.15*1.1+KFC!$C$31)*KFC!$C$5</f>
        <v>117.67536</v>
      </c>
      <c r="L63" s="68">
        <f>(97.2*KFC!$B$31*1.02*1.15*1.1+KFC!$C$31)*KFC!$C$5</f>
        <v>125.41716</v>
      </c>
      <c r="M63" s="68">
        <f>(103.2*KFC!$B$31*1.02*1.15*1.1+KFC!$C$31)*KFC!$C$5</f>
        <v>133.15896000000001</v>
      </c>
      <c r="N63" s="107">
        <f>(109.2*KFC!$B$31*1.02*1.15*1.1+KFC!$C$31)*KFC!$C$5</f>
        <v>140.90076000000002</v>
      </c>
    </row>
    <row r="64" spans="1:14">
      <c r="A64" s="1538"/>
      <c r="B64" s="224">
        <v>1.8</v>
      </c>
      <c r="C64" s="78">
        <f>(45*KFC!$B$31*1.02*1.15*1.1+KFC!$C$31)*KFC!$C$5</f>
        <v>58.063499999999998</v>
      </c>
      <c r="D64" s="68">
        <f>(51.2*KFC!$B$31*1.02*1.15*1.1+KFC!$C$31)*KFC!$C$5</f>
        <v>66.063360000000003</v>
      </c>
      <c r="E64" s="68">
        <f>(57.5*KFC!$B$31*1.02*1.15*1.1+KFC!$C$31)*KFC!$C$5</f>
        <v>74.192250000000001</v>
      </c>
      <c r="F64" s="68">
        <f>(63.7*KFC!$B$31*1.02*1.15*1.1+KFC!$C$31)*KFC!$C$5</f>
        <v>82.192110000000014</v>
      </c>
      <c r="G64" s="68">
        <f>(69.8*KFC!$B$31*1.02*1.15*1.1+KFC!$C$31)*KFC!$C$5</f>
        <v>90.062939999999998</v>
      </c>
      <c r="H64" s="68">
        <f>(76.1*KFC!$B$31*1.02*1.15*1.1+KFC!$C$31)*KFC!$C$5</f>
        <v>98.19183000000001</v>
      </c>
      <c r="I64" s="68">
        <f>(82.3*KFC!$B$31*1.02*1.15*1.1+KFC!$C$31)*KFC!$C$5</f>
        <v>106.19169000000001</v>
      </c>
      <c r="J64" s="68">
        <f>(88.5*KFC!$B$31*1.02*1.15*1.1+KFC!$C$31)*KFC!$C$5</f>
        <v>114.19154999999999</v>
      </c>
      <c r="K64" s="68">
        <f>(94.8*KFC!$B$31*1.02*1.15*1.1+KFC!$C$31)*KFC!$C$5</f>
        <v>122.32043999999999</v>
      </c>
      <c r="L64" s="68">
        <f>(101*KFC!$B$31*1.02*1.15*1.1+KFC!$C$31)*KFC!$C$5</f>
        <v>130.3203</v>
      </c>
      <c r="M64" s="68">
        <f>(107.3*KFC!$B$31*1.02*1.15*1.1+KFC!$C$31)*KFC!$C$5</f>
        <v>138.44918999999999</v>
      </c>
      <c r="N64" s="107">
        <f>(113.5*KFC!$B$31*1.02*1.15*1.1+KFC!$C$31)*KFC!$C$5</f>
        <v>146.44905</v>
      </c>
    </row>
    <row r="65" spans="1:14">
      <c r="A65" s="1538"/>
      <c r="B65" s="224">
        <v>1.9</v>
      </c>
      <c r="C65" s="78">
        <f>(46.7*KFC!$B$31*1.02*1.15*1.1+KFC!$C$31)*KFC!$C$5</f>
        <v>60.257010000000001</v>
      </c>
      <c r="D65" s="68">
        <f>(53.2*KFC!$B$31*1.02*1.15*1.1+KFC!$C$31)*KFC!$C$5</f>
        <v>68.643960000000007</v>
      </c>
      <c r="E65" s="68">
        <f>(59.7*KFC!$B$31*1.02*1.15*1.1+KFC!$C$31)*KFC!$C$5</f>
        <v>77.030910000000006</v>
      </c>
      <c r="F65" s="68">
        <f>(66*KFC!$B$31*1.02*1.15*1.1+KFC!$C$31)*KFC!$C$5</f>
        <v>85.159800000000018</v>
      </c>
      <c r="G65" s="68">
        <f>(72.5*KFC!$B$31*1.02*1.15*1.1+KFC!$C$31)*KFC!$C$5</f>
        <v>93.546750000000003</v>
      </c>
      <c r="H65" s="68">
        <f>(79*KFC!$B$31*1.02*1.15*1.1+KFC!$C$31)*KFC!$C$5</f>
        <v>101.93369999999999</v>
      </c>
      <c r="I65" s="68">
        <f>(85.5*KFC!$B$31*1.02*1.15*1.1+KFC!$C$31)*KFC!$C$5</f>
        <v>110.32065000000001</v>
      </c>
      <c r="J65" s="68">
        <f>(91.8*KFC!$B$31*1.02*1.15*1.1+KFC!$C$31)*KFC!$C$5</f>
        <v>118.44953999999998</v>
      </c>
      <c r="K65" s="68">
        <f>(98.3*KFC!$B$31*1.02*1.15*1.1+KFC!$C$31)*KFC!$C$5</f>
        <v>126.83649</v>
      </c>
      <c r="L65" s="68">
        <f>(104.8*KFC!$B$31*1.02*1.15*1.1+KFC!$C$31)*KFC!$C$5</f>
        <v>135.22344000000001</v>
      </c>
      <c r="M65" s="68">
        <f>(111.2*KFC!$B$31*1.02*1.15*1.1+KFC!$C$31)*KFC!$C$5</f>
        <v>143.48136000000002</v>
      </c>
      <c r="N65" s="107">
        <f>(117.7*KFC!$B$31*1.02*1.15*1.1+KFC!$C$31)*KFC!$C$5</f>
        <v>151.86831000000001</v>
      </c>
    </row>
    <row r="66" spans="1:14">
      <c r="A66" s="1538"/>
      <c r="B66" s="224">
        <v>2</v>
      </c>
      <c r="C66" s="78">
        <f>(48.6*KFC!$B$31*1.02*1.15*1.1+KFC!$C$31)*KFC!$C$5</f>
        <v>62.708579999999998</v>
      </c>
      <c r="D66" s="68">
        <f>(55.2*KFC!$B$31*1.02*1.15*1.1+KFC!$C$31)*KFC!$C$5</f>
        <v>71.224560000000011</v>
      </c>
      <c r="E66" s="68">
        <f>(61.9*KFC!$B$31*1.02*1.15*1.1+KFC!$C$31)*KFC!$C$5</f>
        <v>79.86957000000001</v>
      </c>
      <c r="F66" s="68">
        <f>(68.5*KFC!$B$31*1.02*1.15*1.1+KFC!$C$31)*KFC!$C$5</f>
        <v>88.385550000000009</v>
      </c>
      <c r="G66" s="68">
        <f>(75.2*KFC!$B$31*1.02*1.15*1.1+KFC!$C$31)*KFC!$C$5</f>
        <v>97.030560000000023</v>
      </c>
      <c r="H66" s="68">
        <f>(81.8*KFC!$B$31*1.02*1.15*1.1+KFC!$C$31)*KFC!$C$5</f>
        <v>105.54653999999998</v>
      </c>
      <c r="I66" s="68">
        <f>(88.5*KFC!$B$31*1.02*1.15*1.1+KFC!$C$31)*KFC!$C$5</f>
        <v>114.19154999999999</v>
      </c>
      <c r="J66" s="68">
        <f>(95.1*KFC!$B$31*1.02*1.15*1.1+KFC!$C$31)*KFC!$C$5</f>
        <v>122.70752999999999</v>
      </c>
      <c r="K66" s="68">
        <f>(101.9*KFC!$B$31*1.02*1.15*1.1+KFC!$C$31)*KFC!$C$5</f>
        <v>131.48157</v>
      </c>
      <c r="L66" s="68">
        <f>(108.6*KFC!$B$31*1.02*1.15*1.1+KFC!$C$31)*KFC!$C$5</f>
        <v>140.12657999999999</v>
      </c>
      <c r="M66" s="68">
        <f>(115.2*KFC!$B$31*1.02*1.15*1.1+KFC!$C$31)*KFC!$C$5</f>
        <v>148.64256</v>
      </c>
      <c r="N66" s="107">
        <f>(121.9*KFC!$B$31*1.02*1.15*1.1+KFC!$C$31)*KFC!$C$5</f>
        <v>157.28757000000002</v>
      </c>
    </row>
    <row r="67" spans="1:14">
      <c r="A67" s="1538"/>
      <c r="B67" s="224">
        <v>2.1</v>
      </c>
      <c r="C67" s="80">
        <f>(50.3*KFC!$B$31*1.02*1.15*1.1+KFC!$C$31)*KFC!$C$5</f>
        <v>64.902090000000001</v>
      </c>
      <c r="D67" s="68">
        <f>(57.1*KFC!$B$31*1.02*1.15*1.1+KFC!$C$31)*KFC!$C$5</f>
        <v>73.676130000000015</v>
      </c>
      <c r="E67" s="79">
        <f>(64.1*KFC!$B$31*1.02*1.15*1.1+KFC!$C$31)*KFC!$C$5</f>
        <v>82.70823</v>
      </c>
      <c r="F67" s="79">
        <f>(70.9*KFC!$B$31*1.02*1.15*1.1+KFC!$C$31)*KFC!$C$5</f>
        <v>91.482270000000014</v>
      </c>
      <c r="G67" s="79">
        <f>(77.9*KFC!$B$31*1.02*1.15*1.1+KFC!$C$31)*KFC!$C$5</f>
        <v>100.51437000000003</v>
      </c>
      <c r="H67" s="79">
        <f>(84.8*KFC!$B$31*1.02*1.15*1.1+KFC!$C$31)*KFC!$C$5</f>
        <v>109.41743999999998</v>
      </c>
      <c r="I67" s="79">
        <f>(91.6*KFC!$B$31*1.02*1.15*1.1+KFC!$C$31)*KFC!$C$5</f>
        <v>118.19148</v>
      </c>
      <c r="J67" s="79">
        <f>(98.6*KFC!$B$31*1.02*1.15*1.1+KFC!$C$31)*KFC!$C$5</f>
        <v>127.22358</v>
      </c>
      <c r="K67" s="79">
        <f>(105.4*KFC!$B$31*1.02*1.15*1.1+KFC!$C$31)*KFC!$C$5</f>
        <v>135.99762000000001</v>
      </c>
      <c r="L67" s="79">
        <f>(112.3*KFC!$B$31*1.02*1.15*1.1+KFC!$C$31)*KFC!$C$5</f>
        <v>144.90069</v>
      </c>
      <c r="M67" s="79">
        <f>(119.2*KFC!$B$31*1.02*1.15*1.1+KFC!$C$31)*KFC!$C$5</f>
        <v>153.80376000000001</v>
      </c>
      <c r="N67" s="86">
        <f>(126.1*KFC!$B$31*1.02*1.15*1.1+KFC!$C$31)*KFC!$C$5</f>
        <v>162.70683</v>
      </c>
    </row>
    <row r="68" spans="1:14">
      <c r="A68" s="1538"/>
      <c r="B68" s="224">
        <v>2.2000000000000002</v>
      </c>
      <c r="C68" s="80">
        <f>(52.1*KFC!$B$31*1.02*1.15*1.1+KFC!$C$31)*KFC!$C$5</f>
        <v>67.224630000000005</v>
      </c>
      <c r="D68" s="68">
        <f>(59.2*KFC!$B$31*1.02*1.15*1.1+KFC!$C$31)*KFC!$C$5</f>
        <v>76.385760000000019</v>
      </c>
      <c r="E68" s="79">
        <f>(66.3*KFC!$B$31*1.02*1.15*1.1+KFC!$C$31)*KFC!$C$5</f>
        <v>85.546890000000005</v>
      </c>
      <c r="F68" s="79">
        <f>(73.4*KFC!$B$31*1.02*1.15*1.1+KFC!$C$31)*KFC!$C$5</f>
        <v>94.708020000000019</v>
      </c>
      <c r="G68" s="79">
        <f>(80.5*KFC!$B$31*1.02*1.15*1.1+KFC!$C$31)*KFC!$C$5</f>
        <v>103.86914999999999</v>
      </c>
      <c r="H68" s="79">
        <f>(87.6*KFC!$B$31*1.02*1.15*1.1+KFC!$C$31)*KFC!$C$5</f>
        <v>113.03027999999998</v>
      </c>
      <c r="I68" s="79">
        <f>(94.8*KFC!$B$31*1.02*1.15*1.1+KFC!$C$31)*KFC!$C$5</f>
        <v>122.32043999999999</v>
      </c>
      <c r="J68" s="79">
        <f>(101.9*KFC!$B$31*1.02*1.15*1.1+KFC!$C$31)*KFC!$C$5</f>
        <v>131.48157</v>
      </c>
      <c r="K68" s="79">
        <f>(109*KFC!$B$31*1.02*1.15*1.1+KFC!$C$31)*KFC!$C$5</f>
        <v>140.64270000000002</v>
      </c>
      <c r="L68" s="79">
        <f>(116.1*KFC!$B$31*1.02*1.15*1.1+KFC!$C$31)*KFC!$C$5</f>
        <v>149.80383</v>
      </c>
      <c r="M68" s="79">
        <f>(123.2*KFC!$B$31*1.02*1.15*1.1+KFC!$C$31)*KFC!$C$5</f>
        <v>158.96496000000002</v>
      </c>
      <c r="N68" s="86">
        <f>(130.4*KFC!$B$31*1.02*1.15*1.1+KFC!$C$31)*KFC!$C$5</f>
        <v>168.25512000000003</v>
      </c>
    </row>
    <row r="69" spans="1:14" ht="13.8" thickBot="1">
      <c r="A69" s="1539"/>
      <c r="B69" s="225">
        <v>2.2999999999999998</v>
      </c>
      <c r="C69" s="89">
        <f>(53.8*KFC!$B$31*1.02*1.15*1.1+KFC!$C$31)*KFC!$C$5</f>
        <v>69.418139999999994</v>
      </c>
      <c r="D69" s="68">
        <f>(61.2*KFC!$B$31*1.02*1.15*1.1+KFC!$C$31)*KFC!$C$5</f>
        <v>78.966360000000009</v>
      </c>
      <c r="E69" s="87">
        <f>(68.5*KFC!$B$31*1.02*1.15*1.1+KFC!$C$31)*KFC!$C$5</f>
        <v>88.385550000000009</v>
      </c>
      <c r="F69" s="87">
        <f>(75.8*KFC!$B$31*1.02*1.15*1.1+KFC!$C$31)*KFC!$C$5</f>
        <v>97.80474000000001</v>
      </c>
      <c r="G69" s="87">
        <f>(83.2*KFC!$B$31*1.02*1.15*1.1+KFC!$C$31)*KFC!$C$5</f>
        <v>107.35296000000001</v>
      </c>
      <c r="H69" s="87">
        <f>(90.5*KFC!$B$31*1.02*1.15*1.1+KFC!$C$31)*KFC!$C$5</f>
        <v>116.77215</v>
      </c>
      <c r="I69" s="87">
        <f>(97.8*KFC!$B$31*1.02*1.15*1.1+KFC!$C$31)*KFC!$C$5</f>
        <v>126.19134</v>
      </c>
      <c r="J69" s="87">
        <f>(105.2*KFC!$B$31*1.02*1.15*1.1+KFC!$C$31)*KFC!$C$5</f>
        <v>135.73956000000001</v>
      </c>
      <c r="K69" s="87">
        <f>(112.5*KFC!$B$31*1.02*1.15*1.1+KFC!$C$31)*KFC!$C$5</f>
        <v>145.15875</v>
      </c>
      <c r="L69" s="87">
        <f>(119.9*KFC!$B$31*1.02*1.15*1.1+KFC!$C$31)*KFC!$C$5</f>
        <v>154.70697000000001</v>
      </c>
      <c r="M69" s="87">
        <f>(127.2*KFC!$B$31*1.02*1.15*1.1+KFC!$C$31)*KFC!$C$5</f>
        <v>164.12616</v>
      </c>
      <c r="N69" s="88">
        <f>(134.5*KFC!$B$31*1.02*1.15*1.1+KFC!$C$31)*KFC!$C$5</f>
        <v>173.54535000000001</v>
      </c>
    </row>
    <row r="70" spans="1:14" ht="13.8" thickBot="1">
      <c r="A70" s="186"/>
      <c r="B70" s="184"/>
      <c r="C70" s="178"/>
      <c r="D70" s="178"/>
      <c r="E70" s="178"/>
      <c r="F70" s="178"/>
      <c r="G70" s="178"/>
      <c r="H70" s="178"/>
      <c r="I70" s="178"/>
      <c r="J70" s="178"/>
      <c r="K70" s="178"/>
      <c r="L70" s="178"/>
      <c r="M70" s="178"/>
      <c r="N70" s="178"/>
    </row>
    <row r="71" spans="1:14" ht="13.8" thickBot="1">
      <c r="A71" s="1413" t="s">
        <v>319</v>
      </c>
      <c r="B71" s="1415"/>
      <c r="C71" s="1573" t="s">
        <v>207</v>
      </c>
      <c r="D71" s="1574"/>
      <c r="E71" s="1574"/>
      <c r="F71" s="1574"/>
      <c r="G71" s="1574"/>
      <c r="H71" s="1574"/>
      <c r="I71" s="1574"/>
      <c r="J71" s="1574"/>
      <c r="K71" s="1574"/>
      <c r="L71" s="1574"/>
      <c r="M71" s="1574"/>
      <c r="N71" s="1574"/>
    </row>
    <row r="72" spans="1:14" ht="13.8" thickBot="1">
      <c r="A72" s="1416"/>
      <c r="B72" s="1418"/>
      <c r="C72" s="428">
        <v>0.4</v>
      </c>
      <c r="D72" s="428">
        <v>0.5</v>
      </c>
      <c r="E72" s="428">
        <v>0.6</v>
      </c>
      <c r="F72" s="428">
        <v>0.7</v>
      </c>
      <c r="G72" s="428">
        <v>0.8</v>
      </c>
      <c r="H72" s="428">
        <v>0.9</v>
      </c>
      <c r="I72" s="428">
        <v>1</v>
      </c>
      <c r="J72" s="428">
        <v>1.1000000000000001</v>
      </c>
      <c r="K72" s="428">
        <v>1.2</v>
      </c>
      <c r="L72" s="428">
        <v>1.3</v>
      </c>
      <c r="M72" s="428">
        <v>1.4</v>
      </c>
      <c r="N72" s="428">
        <v>1.5</v>
      </c>
    </row>
    <row r="73" spans="1:14">
      <c r="A73" s="1537" t="s">
        <v>3</v>
      </c>
      <c r="B73" s="226">
        <v>0.5</v>
      </c>
      <c r="C73" s="76">
        <f>(24.5*KFC!$B$31*1.02*1.25*1.1+KFC!$C$31)*KFC!$C$5</f>
        <v>34.361250000000005</v>
      </c>
      <c r="D73" s="77">
        <f>(27.8*KFC!$B$31*1.02*1.25*1.1+KFC!$C$31)*KFC!$C$5</f>
        <v>38.989500000000007</v>
      </c>
      <c r="E73" s="77">
        <f>(31.2*KFC!$B$31*1.02*1.25*1.1+KFC!$C$31)*KFC!$C$5</f>
        <v>43.758000000000003</v>
      </c>
      <c r="F73" s="77">
        <f>(34.5*KFC!$B$31*1.02*1.25*1.1+KFC!$C$31)*KFC!$C$5</f>
        <v>48.386250000000004</v>
      </c>
      <c r="G73" s="77">
        <f>(37.8*KFC!$B$31*1.02*1.25*1.1+KFC!$C$31)*KFC!$C$5</f>
        <v>53.014499999999998</v>
      </c>
      <c r="H73" s="77">
        <f>(41.1*KFC!$B$31*1.02*1.25*1.1+KFC!$C$31)*KFC!$C$5</f>
        <v>57.642750000000007</v>
      </c>
      <c r="I73" s="77">
        <f>(44.5*KFC!$B$31*1.02*1.25*1.1+KFC!$C$31)*KFC!$C$5</f>
        <v>62.411250000000003</v>
      </c>
      <c r="J73" s="77">
        <f>(47.8*KFC!$B$31*1.02*1.25*1.1+KFC!$C$31)*KFC!$C$5</f>
        <v>67.039500000000004</v>
      </c>
      <c r="K73" s="77">
        <f>(51.1*KFC!$B$31*1.02*1.25*1.1+KFC!$C$31)*KFC!$C$5</f>
        <v>71.667750000000012</v>
      </c>
      <c r="L73" s="77">
        <f>(54.4*KFC!$B$31*1.02*1.25*1.1+KFC!$C$31)*KFC!$C$5</f>
        <v>76.296000000000006</v>
      </c>
      <c r="M73" s="77">
        <f>(57.8*KFC!$B$31*1.02*1.25*1.1+KFC!$C$31)*KFC!$C$5</f>
        <v>81.064499999999995</v>
      </c>
      <c r="N73" s="106">
        <f>(61.2*KFC!$B$31*1.02*1.25*1.1+KFC!$C$31)*KFC!$C$5</f>
        <v>85.833000000000013</v>
      </c>
    </row>
    <row r="74" spans="1:14">
      <c r="A74" s="1538"/>
      <c r="B74" s="224">
        <v>0.6</v>
      </c>
      <c r="C74" s="78">
        <f>(26.5*KFC!$B$31*1.02*1.25*1.1+KFC!$C$31)*KFC!$C$5</f>
        <v>37.166250000000005</v>
      </c>
      <c r="D74" s="68">
        <f>(30.2*KFC!$B$31*1.02*1.25*1.1+KFC!$C$31)*KFC!$C$5</f>
        <v>42.355499999999999</v>
      </c>
      <c r="E74" s="68">
        <f>(33.9*KFC!$B$31*1.02*1.25*1.1+KFC!$C$31)*KFC!$C$5</f>
        <v>47.544750000000001</v>
      </c>
      <c r="F74" s="68">
        <f>(37.7*KFC!$B$31*1.02*1.25*1.1+KFC!$C$31)*KFC!$C$5</f>
        <v>52.874250000000011</v>
      </c>
      <c r="G74" s="68">
        <f>(41.3*KFC!$B$31*1.02*1.25*1.1+KFC!$C$31)*KFC!$C$5</f>
        <v>57.923250000000003</v>
      </c>
      <c r="H74" s="68">
        <f>(45*KFC!$B$31*1.02*1.25*1.1+KFC!$C$31)*KFC!$C$5</f>
        <v>63.112500000000004</v>
      </c>
      <c r="I74" s="68">
        <f>(48.7*KFC!$B$31*1.02*1.25*1.1+KFC!$C$31)*KFC!$C$5</f>
        <v>68.301750000000013</v>
      </c>
      <c r="J74" s="68">
        <f>(52.5*KFC!$B$31*1.02*1.25*1.1+KFC!$C$31)*KFC!$C$5</f>
        <v>73.631250000000009</v>
      </c>
      <c r="K74" s="68">
        <f>(56.1*KFC!$B$31*1.02*1.25*1.1+KFC!$C$31)*KFC!$C$5</f>
        <v>78.680250000000015</v>
      </c>
      <c r="L74" s="68">
        <f>(59.8*KFC!$B$31*1.02*1.25*1.1+KFC!$C$31)*KFC!$C$5</f>
        <v>83.869500000000002</v>
      </c>
      <c r="M74" s="68">
        <f>(63.6*KFC!$B$31*1.02*1.25*1.1+KFC!$C$31)*KFC!$C$5</f>
        <v>89.199000000000012</v>
      </c>
      <c r="N74" s="107">
        <f>(67.3*KFC!$B$31*1.02*1.25*1.1+KFC!$C$31)*KFC!$C$5</f>
        <v>94.388250000000014</v>
      </c>
    </row>
    <row r="75" spans="1:14">
      <c r="A75" s="1538"/>
      <c r="B75" s="224">
        <v>0.7</v>
      </c>
      <c r="C75" s="78">
        <f>(28.5*KFC!$B$31*1.02*1.25*1.1+KFC!$C$31)*KFC!$C$5</f>
        <v>39.971250000000005</v>
      </c>
      <c r="D75" s="68">
        <f>(32.7*KFC!$B$31*1.02*1.25*1.1+KFC!$C$31)*KFC!$C$5</f>
        <v>45.861750000000015</v>
      </c>
      <c r="E75" s="68">
        <f>(36.7*KFC!$B$31*1.02*1.25*1.1+KFC!$C$31)*KFC!$C$5</f>
        <v>51.471750000000007</v>
      </c>
      <c r="F75" s="68">
        <f>(40.7*KFC!$B$31*1.02*1.25*1.1+KFC!$C$31)*KFC!$C$5</f>
        <v>57.081750000000014</v>
      </c>
      <c r="G75" s="68">
        <f>(44.9*KFC!$B$31*1.02*1.25*1.1+KFC!$C$31)*KFC!$C$5</f>
        <v>62.97225000000001</v>
      </c>
      <c r="H75" s="68">
        <f>(48.9*KFC!$B$31*1.02*1.25*1.1+KFC!$C$31)*KFC!$C$5</f>
        <v>68.582250000000002</v>
      </c>
      <c r="I75" s="68">
        <f>(53*KFC!$B$31*1.02*1.25*1.1+KFC!$C$31)*KFC!$C$5</f>
        <v>74.33250000000001</v>
      </c>
      <c r="J75" s="68">
        <f>(57.1*KFC!$B$31*1.02*1.25*1.1+KFC!$C$31)*KFC!$C$5</f>
        <v>80.082750000000019</v>
      </c>
      <c r="K75" s="68">
        <f>(61.2*KFC!$B$31*1.02*1.25*1.1+KFC!$C$31)*KFC!$C$5</f>
        <v>85.833000000000013</v>
      </c>
      <c r="L75" s="68">
        <f>(65.2*KFC!$B$31*1.02*1.25*1.1+KFC!$C$31)*KFC!$C$5</f>
        <v>91.443000000000012</v>
      </c>
      <c r="M75" s="68">
        <f>(69.3*KFC!$B$31*1.02*1.25*1.1+KFC!$C$31)*KFC!$C$5</f>
        <v>97.193249999999992</v>
      </c>
      <c r="N75" s="107">
        <f>(73.4*KFC!$B$31*1.02*1.25*1.1+KFC!$C$31)*KFC!$C$5</f>
        <v>102.94350000000001</v>
      </c>
    </row>
    <row r="76" spans="1:14">
      <c r="A76" s="1538"/>
      <c r="B76" s="224">
        <v>0.8</v>
      </c>
      <c r="C76" s="78">
        <f>(30.6*KFC!$B$31*1.02*1.25*1.1+KFC!$C$31)*KFC!$C$5</f>
        <v>42.916500000000006</v>
      </c>
      <c r="D76" s="68">
        <f>(35*KFC!$B$31*1.02*1.25*1.1+KFC!$C$31)*KFC!$C$5</f>
        <v>49.087500000000006</v>
      </c>
      <c r="E76" s="68">
        <f>(39.5*KFC!$B$31*1.02*1.25*1.1+KFC!$C$31)*KFC!$C$5</f>
        <v>55.39875</v>
      </c>
      <c r="F76" s="68">
        <f>(43.9*KFC!$B$31*1.02*1.25*1.1+KFC!$C$31)*KFC!$C$5</f>
        <v>61.569749999999999</v>
      </c>
      <c r="G76" s="68">
        <f>(48.3*KFC!$B$31*1.02*1.25*1.1+KFC!$C$31)*KFC!$C$5</f>
        <v>67.740750000000006</v>
      </c>
      <c r="H76" s="68">
        <f>(52.8*KFC!$B$31*1.02*1.25*1.1+KFC!$C$31)*KFC!$C$5</f>
        <v>74.051999999999992</v>
      </c>
      <c r="I76" s="68">
        <f>(57.2*KFC!$B$31*1.02*1.25*1.1+KFC!$C$31)*KFC!$C$5</f>
        <v>80.223000000000013</v>
      </c>
      <c r="J76" s="68">
        <f>(61.8*KFC!$B$31*1.02*1.25*1.1+KFC!$C$31)*KFC!$C$5</f>
        <v>86.674500000000009</v>
      </c>
      <c r="K76" s="68">
        <f>(66.2*KFC!$B$31*1.02*1.25*1.1+KFC!$C$31)*KFC!$C$5</f>
        <v>92.845500000000015</v>
      </c>
      <c r="L76" s="68">
        <f>(70.6*KFC!$B$31*1.02*1.25*1.1+KFC!$C$31)*KFC!$C$5</f>
        <v>99.016500000000008</v>
      </c>
      <c r="M76" s="68">
        <f>(75.1*KFC!$B$31*1.02*1.25*1.1+KFC!$C$31)*KFC!$C$5</f>
        <v>105.32774999999999</v>
      </c>
      <c r="N76" s="107">
        <f>(79.5*KFC!$B$31*1.02*1.25*1.1+KFC!$C$31)*KFC!$C$5</f>
        <v>111.49875000000002</v>
      </c>
    </row>
    <row r="77" spans="1:14">
      <c r="A77" s="1538"/>
      <c r="B77" s="224">
        <v>0.9</v>
      </c>
      <c r="C77" s="78">
        <f>(32.7*KFC!$B$31*1.02*1.25*1.1+KFC!$C$31)*KFC!$C$5</f>
        <v>45.861750000000015</v>
      </c>
      <c r="D77" s="68">
        <f>(37.4*KFC!$B$31*1.02*1.25*1.1+KFC!$C$31)*KFC!$C$5</f>
        <v>52.453499999999998</v>
      </c>
      <c r="E77" s="68">
        <f>(42.2*KFC!$B$31*1.02*1.25*1.1+KFC!$C$31)*KFC!$C$5</f>
        <v>59.185500000000012</v>
      </c>
      <c r="F77" s="68">
        <f>(47.1*KFC!$B$31*1.02*1.25*1.1+KFC!$C$31)*KFC!$C$5</f>
        <v>66.057750000000013</v>
      </c>
      <c r="G77" s="68">
        <f>(51.9*KFC!$B$31*1.02*1.25*1.1+KFC!$C$31)*KFC!$C$5</f>
        <v>72.789750000000012</v>
      </c>
      <c r="H77" s="68">
        <f>(56.7*KFC!$B$31*1.02*1.25*1.1+KFC!$C$31)*KFC!$C$5</f>
        <v>79.521750000000011</v>
      </c>
      <c r="I77" s="68">
        <f>(61.5*KFC!$B$31*1.02*1.25*1.1+KFC!$C$31)*KFC!$C$5</f>
        <v>86.253750000000011</v>
      </c>
      <c r="J77" s="68">
        <f>(66.3*KFC!$B$31*1.02*1.25*1.1+KFC!$C$31)*KFC!$C$5</f>
        <v>92.98575000000001</v>
      </c>
      <c r="K77" s="68">
        <f>(71.2*KFC!$B$31*1.02*1.25*1.1+KFC!$C$31)*KFC!$C$5</f>
        <v>99.858000000000018</v>
      </c>
      <c r="L77" s="68">
        <f>(75.9*KFC!$B$31*1.02*1.25*1.1+KFC!$C$31)*KFC!$C$5</f>
        <v>106.44975000000002</v>
      </c>
      <c r="M77" s="68">
        <f>(80.8*KFC!$B$31*1.02*1.25*1.1+KFC!$C$31)*KFC!$C$5</f>
        <v>113.322</v>
      </c>
      <c r="N77" s="107">
        <f>(85.6*KFC!$B$31*1.02*1.25*1.1+KFC!$C$31)*KFC!$C$5</f>
        <v>120.05400000000002</v>
      </c>
    </row>
    <row r="78" spans="1:14">
      <c r="A78" s="1538"/>
      <c r="B78" s="224">
        <v>1</v>
      </c>
      <c r="C78" s="78">
        <f>(34.6*KFC!$B$31*1.02*1.25*1.1+KFC!$C$31)*KFC!$C$5</f>
        <v>48.526500000000006</v>
      </c>
      <c r="D78" s="68">
        <f>(39.9*KFC!$B$31*1.02*1.25*1.1+KFC!$C$31)*KFC!$C$5</f>
        <v>55.959750000000007</v>
      </c>
      <c r="E78" s="68">
        <f>(45*KFC!$B$31*1.02*1.25*1.1+KFC!$C$31)*KFC!$C$5</f>
        <v>63.112500000000004</v>
      </c>
      <c r="F78" s="68">
        <f>(50.3*KFC!$B$31*1.02*1.25*1.1+KFC!$C$31)*KFC!$C$5</f>
        <v>70.545749999999998</v>
      </c>
      <c r="G78" s="68">
        <f>(55.4*KFC!$B$31*1.02*1.25*1.1+KFC!$C$31)*KFC!$C$5</f>
        <v>77.69850000000001</v>
      </c>
      <c r="H78" s="68">
        <f>(60.5*KFC!$B$31*1.02*1.25*1.1+KFC!$C$31)*KFC!$C$5</f>
        <v>84.851250000000007</v>
      </c>
      <c r="I78" s="68">
        <f>(65.8*KFC!$B$31*1.02*1.25*1.1+KFC!$C$31)*KFC!$C$5</f>
        <v>92.284500000000008</v>
      </c>
      <c r="J78" s="68">
        <f>(70.9*KFC!$B$31*1.02*1.25*1.1+KFC!$C$31)*KFC!$C$5</f>
        <v>99.43725000000002</v>
      </c>
      <c r="K78" s="68">
        <f>(76.2*KFC!$B$31*1.02*1.25*1.1+KFC!$C$31)*KFC!$C$5</f>
        <v>106.87050000000001</v>
      </c>
      <c r="L78" s="68">
        <f>(81.3*KFC!$B$31*1.02*1.25*1.1+KFC!$C$31)*KFC!$C$5</f>
        <v>114.02325</v>
      </c>
      <c r="M78" s="68">
        <f>(86.6*KFC!$B$31*1.02*1.25*1.1+KFC!$C$31)*KFC!$C$5</f>
        <v>121.45650000000001</v>
      </c>
      <c r="N78" s="107">
        <f>(91.7*KFC!$B$31*1.02*1.25*1.1+KFC!$C$31)*KFC!$C$5</f>
        <v>128.60925</v>
      </c>
    </row>
    <row r="79" spans="1:14">
      <c r="A79" s="1538"/>
      <c r="B79" s="224">
        <v>1.1000000000000001</v>
      </c>
      <c r="C79" s="78">
        <f>(36.7*KFC!$B$31*1.02*1.25*1.1+KFC!$C$31)*KFC!$C$5</f>
        <v>51.471750000000007</v>
      </c>
      <c r="D79" s="68">
        <f>(42.2*KFC!$B$31*1.02*1.25*1.1+KFC!$C$31)*KFC!$C$5</f>
        <v>59.185500000000012</v>
      </c>
      <c r="E79" s="68">
        <f>(47.8*KFC!$B$31*1.02*1.25*1.1+KFC!$C$31)*KFC!$C$5</f>
        <v>67.039500000000004</v>
      </c>
      <c r="F79" s="68">
        <f>(53.3*KFC!$B$31*1.02*1.25*1.1+KFC!$C$31)*KFC!$C$5</f>
        <v>74.753250000000008</v>
      </c>
      <c r="G79" s="68">
        <f>(58.9*KFC!$B$31*1.02*1.25*1.1+KFC!$C$31)*KFC!$C$5</f>
        <v>82.607250000000008</v>
      </c>
      <c r="H79" s="68">
        <f>(64.5*KFC!$B$31*1.02*1.25*1.1+KFC!$C$31)*KFC!$C$5</f>
        <v>90.461250000000021</v>
      </c>
      <c r="I79" s="68">
        <f>(70.1*KFC!$B$31*1.02*1.25*1.1+KFC!$C$31)*KFC!$C$5</f>
        <v>98.315250000000006</v>
      </c>
      <c r="J79" s="68">
        <f>(75.6*KFC!$B$31*1.02*1.25*1.1+KFC!$C$31)*KFC!$C$5</f>
        <v>106.029</v>
      </c>
      <c r="K79" s="68">
        <f>(81.2*KFC!$B$31*1.02*1.25*1.1+KFC!$C$31)*KFC!$C$5</f>
        <v>113.88300000000001</v>
      </c>
      <c r="L79" s="68">
        <f>(86.7*KFC!$B$31*1.02*1.25*1.1+KFC!$C$31)*KFC!$C$5</f>
        <v>121.59675</v>
      </c>
      <c r="M79" s="68">
        <f>(92.3*KFC!$B$31*1.02*1.25*1.1+KFC!$C$31)*KFC!$C$5</f>
        <v>129.45075000000003</v>
      </c>
      <c r="N79" s="107">
        <f>(97.8*KFC!$B$31*1.02*1.25*1.1+KFC!$C$31)*KFC!$C$5</f>
        <v>137.1645</v>
      </c>
    </row>
    <row r="80" spans="1:14">
      <c r="A80" s="1538"/>
      <c r="B80" s="224">
        <v>1.2</v>
      </c>
      <c r="C80" s="78">
        <f>(38.8*KFC!$B$31*1.02*1.25*1.1+KFC!$C$31)*KFC!$C$5</f>
        <v>54.417000000000002</v>
      </c>
      <c r="D80" s="68">
        <f>(44.6*KFC!$B$31*1.02*1.25*1.1+KFC!$C$31)*KFC!$C$5</f>
        <v>62.551500000000019</v>
      </c>
      <c r="E80" s="68">
        <f>(50.6*KFC!$B$31*1.02*1.25*1.1+KFC!$C$31)*KFC!$C$5</f>
        <v>70.966500000000011</v>
      </c>
      <c r="F80" s="68">
        <f>(56.5*KFC!$B$31*1.02*1.25*1.1+KFC!$C$31)*KFC!$C$5</f>
        <v>79.241250000000022</v>
      </c>
      <c r="G80" s="68">
        <f>(62.5*KFC!$B$31*1.02*1.25*1.1+KFC!$C$31)*KFC!$C$5</f>
        <v>87.65625</v>
      </c>
      <c r="H80" s="68">
        <f>(68.4*KFC!$B$31*1.02*1.25*1.1+KFC!$C$31)*KFC!$C$5</f>
        <v>95.931000000000012</v>
      </c>
      <c r="I80" s="68">
        <f>(74.4*KFC!$B$31*1.02*1.25*1.1+KFC!$C$31)*KFC!$C$5</f>
        <v>104.34600000000002</v>
      </c>
      <c r="J80" s="68">
        <f>(80.2*KFC!$B$31*1.02*1.25*1.1+KFC!$C$31)*KFC!$C$5</f>
        <v>112.48050000000001</v>
      </c>
      <c r="K80" s="68">
        <f>(86.2*KFC!$B$31*1.02*1.25*1.1+KFC!$C$31)*KFC!$C$5</f>
        <v>120.89550000000001</v>
      </c>
      <c r="L80" s="68">
        <f>(92.1*KFC!$B$31*1.02*1.25*1.1+KFC!$C$31)*KFC!$C$5</f>
        <v>129.17025000000001</v>
      </c>
      <c r="M80" s="68">
        <f>(98.1*KFC!$B$31*1.02*1.25*1.1+KFC!$C$31)*KFC!$C$5</f>
        <v>137.58525</v>
      </c>
      <c r="N80" s="107">
        <f>(104*KFC!$B$31*1.02*1.25*1.1+KFC!$C$31)*KFC!$C$5</f>
        <v>145.86000000000001</v>
      </c>
    </row>
    <row r="81" spans="1:14">
      <c r="A81" s="1538"/>
      <c r="B81" s="224">
        <v>1.3</v>
      </c>
      <c r="C81" s="78">
        <f>(40.7*KFC!$B$31*1.02*1.25*1.1+KFC!$C$31)*KFC!$C$5</f>
        <v>57.081750000000014</v>
      </c>
      <c r="D81" s="68">
        <f>(47.1*KFC!$B$31*1.02*1.25*1.1+KFC!$C$31)*KFC!$C$5</f>
        <v>66.057750000000013</v>
      </c>
      <c r="E81" s="68">
        <f>(53.3*KFC!$B$31*1.02*1.25*1.1+KFC!$C$31)*KFC!$C$5</f>
        <v>74.753250000000008</v>
      </c>
      <c r="F81" s="68">
        <f>(59.7*KFC!$B$31*1.02*1.25*1.1+KFC!$C$31)*KFC!$C$5</f>
        <v>83.729250000000008</v>
      </c>
      <c r="G81" s="68">
        <f>(65.9*KFC!$B$31*1.02*1.25*1.1+KFC!$C$31)*KFC!$C$5</f>
        <v>92.424750000000017</v>
      </c>
      <c r="H81" s="68">
        <f>(72.3*KFC!$B$31*1.02*1.25*1.1+KFC!$C$31)*KFC!$C$5</f>
        <v>101.40075</v>
      </c>
      <c r="I81" s="68">
        <f>(78.5*KFC!$B$31*1.02*1.25*1.1+KFC!$C$31)*KFC!$C$5</f>
        <v>110.09625000000001</v>
      </c>
      <c r="J81" s="68">
        <f>(84.9*KFC!$B$31*1.02*1.25*1.1+KFC!$C$31)*KFC!$C$5</f>
        <v>119.07225000000003</v>
      </c>
      <c r="K81" s="68">
        <f>(91.1*KFC!$B$31*1.02*1.25*1.1+KFC!$C$31)*KFC!$C$5</f>
        <v>127.76775000000002</v>
      </c>
      <c r="L81" s="68">
        <f>(97.5*KFC!$B$31*1.02*1.25*1.1+KFC!$C$31)*KFC!$C$5</f>
        <v>136.74375000000001</v>
      </c>
      <c r="M81" s="68">
        <f>(103.7*KFC!$B$31*1.02*1.25*1.1+KFC!$C$31)*KFC!$C$5</f>
        <v>145.43925000000002</v>
      </c>
      <c r="N81" s="107">
        <f>(110.1*KFC!$B$31*1.02*1.25*1.1+KFC!$C$31)*KFC!$C$5</f>
        <v>154.41525000000001</v>
      </c>
    </row>
    <row r="82" spans="1:14">
      <c r="A82" s="1538"/>
      <c r="B82" s="224">
        <v>1.4</v>
      </c>
      <c r="C82" s="78">
        <f>(42.8*KFC!$B$31*1.02*1.25*1.1+KFC!$C$31)*KFC!$C$5</f>
        <v>60.027000000000008</v>
      </c>
      <c r="D82" s="68">
        <f>(49.5*KFC!$B$31*1.02*1.25*1.1+KFC!$C$31)*KFC!$C$5</f>
        <v>69.423750000000013</v>
      </c>
      <c r="E82" s="68">
        <f>(56.1*KFC!$B$31*1.02*1.25*1.1+KFC!$C$31)*KFC!$C$5</f>
        <v>78.680250000000015</v>
      </c>
      <c r="F82" s="68">
        <f>(62.9*KFC!$B$31*1.02*1.25*1.1+KFC!$C$31)*KFC!$C$5</f>
        <v>88.217250000000007</v>
      </c>
      <c r="G82" s="68">
        <f>(69.5*KFC!$B$31*1.02*1.25*1.1+KFC!$C$31)*KFC!$C$5</f>
        <v>97.47375000000001</v>
      </c>
      <c r="H82" s="68">
        <f>(76.2*KFC!$B$31*1.02*1.25*1.1+KFC!$C$31)*KFC!$C$5</f>
        <v>106.87050000000001</v>
      </c>
      <c r="I82" s="68">
        <f>(82.8*KFC!$B$31*1.02*1.25*1.1+KFC!$C$31)*KFC!$C$5</f>
        <v>116.12700000000002</v>
      </c>
      <c r="J82" s="68">
        <f>(89.5*KFC!$B$31*1.02*1.25*1.1+KFC!$C$31)*KFC!$C$5</f>
        <v>125.52375000000002</v>
      </c>
      <c r="K82" s="68">
        <f>(96.1*KFC!$B$31*1.02*1.25*1.1+KFC!$C$31)*KFC!$C$5</f>
        <v>134.78025</v>
      </c>
      <c r="L82" s="68">
        <f>(102.9*KFC!$B$31*1.02*1.25*1.1+KFC!$C$31)*KFC!$C$5</f>
        <v>144.31725000000003</v>
      </c>
      <c r="M82" s="68">
        <f>(109.5*KFC!$B$31*1.02*1.25*1.1+KFC!$C$31)*KFC!$C$5</f>
        <v>153.57375000000002</v>
      </c>
      <c r="N82" s="107">
        <f>(116.2*KFC!$B$31*1.02*1.25*1.1+KFC!$C$31)*KFC!$C$5</f>
        <v>162.97050000000002</v>
      </c>
    </row>
    <row r="83" spans="1:14">
      <c r="A83" s="1538"/>
      <c r="B83" s="224">
        <v>1.5</v>
      </c>
      <c r="C83" s="78">
        <f>(44.9*KFC!$B$31*1.02*1.25*1.1+KFC!$C$31)*KFC!$C$5</f>
        <v>62.97225000000001</v>
      </c>
      <c r="D83" s="68">
        <f>(51.9*KFC!$B$31*1.02*1.25*1.1+KFC!$C$31)*KFC!$C$5</f>
        <v>72.789750000000012</v>
      </c>
      <c r="E83" s="68">
        <f>(58.9*KFC!$B$31*1.02*1.25*1.1+KFC!$C$31)*KFC!$C$5</f>
        <v>82.607250000000008</v>
      </c>
      <c r="F83" s="68">
        <f>(65.9*KFC!$B$31*1.02*1.25*1.1+KFC!$C$31)*KFC!$C$5</f>
        <v>92.424750000000017</v>
      </c>
      <c r="G83" s="68">
        <f>(73*KFC!$B$31*1.02*1.25*1.1+KFC!$C$31)*KFC!$C$5</f>
        <v>102.38250000000002</v>
      </c>
      <c r="H83" s="68">
        <f>(80.1*KFC!$B$31*1.02*1.25*1.1+KFC!$C$31)*KFC!$C$5</f>
        <v>112.34025000000001</v>
      </c>
      <c r="I83" s="68">
        <f>(87.1*KFC!$B$31*1.02*1.25*1.1+KFC!$C$31)*KFC!$C$5</f>
        <v>122.15775000000001</v>
      </c>
      <c r="J83" s="68">
        <f>(94.2*KFC!$B$31*1.02*1.25*1.1+KFC!$C$31)*KFC!$C$5</f>
        <v>132.11550000000003</v>
      </c>
      <c r="K83" s="68">
        <f>(101.1*KFC!$B$31*1.02*1.25*1.1+KFC!$C$31)*KFC!$C$5</f>
        <v>141.79275000000001</v>
      </c>
      <c r="L83" s="68">
        <f>(108.2*KFC!$B$31*1.02*1.25*1.1+KFC!$C$31)*KFC!$C$5</f>
        <v>151.75050000000002</v>
      </c>
      <c r="M83" s="68">
        <f>(115.2*KFC!$B$31*1.02*1.25*1.1+KFC!$C$31)*KFC!$C$5</f>
        <v>161.56800000000001</v>
      </c>
      <c r="N83" s="107">
        <f>(122.3*KFC!$B$31*1.02*1.25*1.1+KFC!$C$31)*KFC!$C$5</f>
        <v>171.52575000000002</v>
      </c>
    </row>
    <row r="84" spans="1:14">
      <c r="A84" s="1538"/>
      <c r="B84" s="224">
        <v>1.6</v>
      </c>
      <c r="C84" s="78">
        <f>(46.8*KFC!$B$31*1.02*1.25*1.1+KFC!$C$31)*KFC!$C$5</f>
        <v>65.637</v>
      </c>
      <c r="D84" s="68">
        <f>(54.3*KFC!$B$31*1.02*1.25*1.1+KFC!$C$31)*KFC!$C$5</f>
        <v>76.155749999999998</v>
      </c>
      <c r="E84" s="68">
        <f>(61.8*KFC!$B$31*1.02*1.25*1.1+KFC!$C$31)*KFC!$C$5</f>
        <v>86.674500000000009</v>
      </c>
      <c r="F84" s="68">
        <f>(69.1*KFC!$B$31*1.02*1.25*1.1+KFC!$C$31)*KFC!$C$5</f>
        <v>96.912750000000003</v>
      </c>
      <c r="G84" s="68">
        <f>(76.6*KFC!$B$31*1.02*1.25*1.1+KFC!$C$31)*KFC!$C$5</f>
        <v>107.4315</v>
      </c>
      <c r="H84" s="68">
        <f>(83.9*KFC!$B$31*1.02*1.25*1.1+KFC!$C$31)*KFC!$C$5</f>
        <v>117.66975000000001</v>
      </c>
      <c r="I84" s="68">
        <f>(91.4*KFC!$B$31*1.02*1.25*1.1+KFC!$C$31)*KFC!$C$5</f>
        <v>128.18850000000003</v>
      </c>
      <c r="J84" s="68">
        <f>(98.8*KFC!$B$31*1.02*1.25*1.1+KFC!$C$31)*KFC!$C$5</f>
        <v>138.56700000000001</v>
      </c>
      <c r="K84" s="68">
        <f>(106.2*KFC!$B$31*1.02*1.25*1.1+KFC!$C$31)*KFC!$C$5</f>
        <v>148.94550000000001</v>
      </c>
      <c r="L84" s="68">
        <f>(113.6*KFC!$B$31*1.02*1.25*1.1+KFC!$C$31)*KFC!$C$5</f>
        <v>159.32400000000001</v>
      </c>
      <c r="M84" s="68">
        <f>(121*KFC!$B$31*1.02*1.25*1.1+KFC!$C$31)*KFC!$C$5</f>
        <v>169.70250000000001</v>
      </c>
      <c r="N84" s="107">
        <f>(128.4*KFC!$B$31*1.02*1.25*1.1+KFC!$C$31)*KFC!$C$5</f>
        <v>180.08100000000005</v>
      </c>
    </row>
    <row r="85" spans="1:14">
      <c r="A85" s="1538"/>
      <c r="B85" s="224">
        <v>1.7</v>
      </c>
      <c r="C85" s="78">
        <f>(48.9*KFC!$B$31*1.02*1.25*1.1+KFC!$C$31)*KFC!$C$5</f>
        <v>68.582250000000002</v>
      </c>
      <c r="D85" s="68">
        <f>(56.7*KFC!$B$31*1.02*1.25*1.1+KFC!$C$31)*KFC!$C$5</f>
        <v>79.521750000000011</v>
      </c>
      <c r="E85" s="68">
        <f>(64.5*KFC!$B$31*1.02*1.25*1.1+KFC!$C$31)*KFC!$C$5</f>
        <v>90.461250000000021</v>
      </c>
      <c r="F85" s="68">
        <f>(72.3*KFC!$B$31*1.02*1.25*1.1+KFC!$C$31)*KFC!$C$5</f>
        <v>101.40075</v>
      </c>
      <c r="G85" s="68">
        <f>(80.1*KFC!$B$31*1.02*1.25*1.1+KFC!$C$31)*KFC!$C$5</f>
        <v>112.34025000000001</v>
      </c>
      <c r="H85" s="68">
        <f>(87.8*KFC!$B$31*1.02*1.25*1.1+KFC!$C$31)*KFC!$C$5</f>
        <v>123.1395</v>
      </c>
      <c r="I85" s="68">
        <f>(95.6*KFC!$B$31*1.02*1.25*1.1+KFC!$C$31)*KFC!$C$5</f>
        <v>134.07900000000001</v>
      </c>
      <c r="J85" s="68">
        <f>(103.3*KFC!$B$31*1.02*1.25*1.1+KFC!$C$31)*KFC!$C$5</f>
        <v>144.87825000000004</v>
      </c>
      <c r="K85" s="68">
        <f>(111.2*KFC!$B$31*1.02*1.25*1.1+KFC!$C$31)*KFC!$C$5</f>
        <v>155.95800000000003</v>
      </c>
      <c r="L85" s="68">
        <f>(119*KFC!$B$31*1.02*1.25*1.1+KFC!$C$31)*KFC!$C$5</f>
        <v>166.89750000000001</v>
      </c>
      <c r="M85" s="68">
        <f>(126.7*KFC!$B$31*1.02*1.25*1.1+KFC!$C$31)*KFC!$C$5</f>
        <v>177.69675000000004</v>
      </c>
      <c r="N85" s="107">
        <f>(134.5*KFC!$B$31*1.02*1.25*1.1+KFC!$C$31)*KFC!$C$5</f>
        <v>188.63625000000002</v>
      </c>
    </row>
    <row r="86" spans="1:14">
      <c r="A86" s="1538"/>
      <c r="B86" s="224">
        <v>1.8</v>
      </c>
      <c r="C86" s="78">
        <f>(51*KFC!$B$31*1.02*1.25*1.1+KFC!$C$31)*KFC!$C$5</f>
        <v>71.527500000000018</v>
      </c>
      <c r="D86" s="68">
        <f>(59.1*KFC!$B$31*1.02*1.25*1.1+KFC!$C$31)*KFC!$C$5</f>
        <v>82.887750000000011</v>
      </c>
      <c r="E86" s="68">
        <f>(67.3*KFC!$B$31*1.02*1.25*1.1+KFC!$C$31)*KFC!$C$5</f>
        <v>94.388250000000014</v>
      </c>
      <c r="F86" s="68">
        <f>(75.5*KFC!$B$31*1.02*1.25*1.1+KFC!$C$31)*KFC!$C$5</f>
        <v>105.88875000000002</v>
      </c>
      <c r="G86" s="68">
        <f>(83.5*KFC!$B$31*1.02*1.25*1.1+KFC!$C$31)*KFC!$C$5</f>
        <v>117.10875000000001</v>
      </c>
      <c r="H86" s="68">
        <f>(91.7*KFC!$B$31*1.02*1.25*1.1+KFC!$C$31)*KFC!$C$5</f>
        <v>128.60925</v>
      </c>
      <c r="I86" s="68">
        <f>(99.9*KFC!$B$31*1.02*1.25*1.1+KFC!$C$31)*KFC!$C$5</f>
        <v>140.10975000000002</v>
      </c>
      <c r="J86" s="68">
        <f>(108*KFC!$B$31*1.02*1.25*1.1+KFC!$C$31)*KFC!$C$5</f>
        <v>151.47</v>
      </c>
      <c r="K86" s="68">
        <f>(116.2*KFC!$B$31*1.02*1.25*1.1+KFC!$C$31)*KFC!$C$5</f>
        <v>162.97050000000002</v>
      </c>
      <c r="L86" s="68">
        <f>(124.4*KFC!$B$31*1.02*1.25*1.1+KFC!$C$31)*KFC!$C$5</f>
        <v>174.47100000000003</v>
      </c>
      <c r="M86" s="68">
        <f>(132.5*KFC!$B$31*1.02*1.25*1.1+KFC!$C$31)*KFC!$C$5</f>
        <v>185.83125000000001</v>
      </c>
      <c r="N86" s="107">
        <f>(140.6*KFC!$B$31*1.02*1.25*1.1+KFC!$C$31)*KFC!$C$5</f>
        <v>197.19150000000002</v>
      </c>
    </row>
    <row r="87" spans="1:14">
      <c r="A87" s="1538"/>
      <c r="B87" s="224">
        <v>1.9</v>
      </c>
      <c r="C87" s="78">
        <f>(53*KFC!$B$31*1.02*1.25*1.1+KFC!$C$31)*KFC!$C$5</f>
        <v>74.33250000000001</v>
      </c>
      <c r="D87" s="68">
        <f>(61.5*KFC!$B$31*1.02*1.25*1.1+KFC!$C$31)*KFC!$C$5</f>
        <v>86.253750000000011</v>
      </c>
      <c r="E87" s="68">
        <f>(70.1*KFC!$B$31*1.02*1.25*1.1+KFC!$C$31)*KFC!$C$5</f>
        <v>98.315250000000006</v>
      </c>
      <c r="F87" s="68">
        <f>(78.5*KFC!$B$31*1.02*1.25*1.1+KFC!$C$31)*KFC!$C$5</f>
        <v>110.09625000000001</v>
      </c>
      <c r="G87" s="68">
        <f>(87.1*KFC!$B$31*1.02*1.25*1.1+KFC!$C$31)*KFC!$C$5</f>
        <v>122.15775000000001</v>
      </c>
      <c r="H87" s="68">
        <f>(95.6*KFC!$B$31*1.02*1.25*1.1+KFC!$C$31)*KFC!$C$5</f>
        <v>134.07900000000001</v>
      </c>
      <c r="I87" s="68">
        <f>(104.2*KFC!$B$31*1.02*1.25*1.1+KFC!$C$31)*KFC!$C$5</f>
        <v>146.14050000000003</v>
      </c>
      <c r="J87" s="68">
        <f>(112.6*KFC!$B$31*1.02*1.25*1.1+KFC!$C$31)*KFC!$C$5</f>
        <v>157.92150000000001</v>
      </c>
      <c r="K87" s="68">
        <f>(121.2*KFC!$B$31*1.02*1.25*1.1+KFC!$C$31)*KFC!$C$5</f>
        <v>169.983</v>
      </c>
      <c r="L87" s="68">
        <f>(129.8*KFC!$B$31*1.02*1.25*1.1+KFC!$C$31)*KFC!$C$5</f>
        <v>182.04450000000003</v>
      </c>
      <c r="M87" s="68">
        <f>(138.2*KFC!$B$31*1.02*1.25*1.1+KFC!$C$31)*KFC!$C$5</f>
        <v>193.82550000000001</v>
      </c>
      <c r="N87" s="107">
        <f>(146.8*KFC!$B$31*1.02*1.25*1.1+KFC!$C$31)*KFC!$C$5</f>
        <v>205.88700000000003</v>
      </c>
    </row>
    <row r="88" spans="1:14">
      <c r="A88" s="1538"/>
      <c r="B88" s="224">
        <v>2</v>
      </c>
      <c r="C88" s="78">
        <f>(55*KFC!$B$31*1.02*1.25*1.1+KFC!$C$31)*KFC!$C$5</f>
        <v>77.137500000000003</v>
      </c>
      <c r="D88" s="68">
        <f>(64*KFC!$B$31*1.02*1.25*1.1+KFC!$C$31)*KFC!$C$5</f>
        <v>89.76</v>
      </c>
      <c r="E88" s="68">
        <f>(72.8*KFC!$B$31*1.02*1.25*1.1+KFC!$C$31)*KFC!$C$5</f>
        <v>102.102</v>
      </c>
      <c r="F88" s="68">
        <f>(81.7*KFC!$B$31*1.02*1.25*1.1+KFC!$C$31)*KFC!$C$5</f>
        <v>114.58425000000001</v>
      </c>
      <c r="G88" s="68">
        <f>(90.6*KFC!$B$31*1.02*1.25*1.1+KFC!$C$31)*KFC!$C$5</f>
        <v>127.06649999999999</v>
      </c>
      <c r="H88" s="68">
        <f>(99.6*KFC!$B$31*1.02*1.25*1.1+KFC!$C$31)*KFC!$C$5</f>
        <v>139.68899999999999</v>
      </c>
      <c r="I88" s="68">
        <f>(108.4*KFC!$B$31*1.02*1.25*1.1+KFC!$C$31)*KFC!$C$5</f>
        <v>152.03100000000003</v>
      </c>
      <c r="J88" s="68">
        <f>(117.3*KFC!$B$31*1.02*1.25*1.1+KFC!$C$31)*KFC!$C$5</f>
        <v>164.51325000000003</v>
      </c>
      <c r="K88" s="68">
        <f>(126.2*KFC!$B$31*1.02*1.25*1.1+KFC!$C$31)*KFC!$C$5</f>
        <v>176.99550000000005</v>
      </c>
      <c r="L88" s="68">
        <f>(135.1*KFC!$B$31*1.02*1.25*1.1+KFC!$C$31)*KFC!$C$5</f>
        <v>189.47775000000001</v>
      </c>
      <c r="M88" s="68">
        <f>(143.9*KFC!$B$31*1.02*1.25*1.1+KFC!$C$31)*KFC!$C$5</f>
        <v>201.81975000000006</v>
      </c>
      <c r="N88" s="107">
        <f>(152.9*KFC!$B$31*1.02*1.25*1.1+KFC!$C$31)*KFC!$C$5</f>
        <v>214.44225</v>
      </c>
    </row>
    <row r="89" spans="1:14">
      <c r="A89" s="1538"/>
      <c r="B89" s="224">
        <v>2.1</v>
      </c>
      <c r="C89" s="80">
        <f>(57.1*KFC!$B$31*1.02*1.25*1.1+KFC!$C$31)*KFC!$C$5</f>
        <v>80.082750000000019</v>
      </c>
      <c r="D89" s="68">
        <f>(66.3*KFC!$B$31*1.02*1.25*1.1+KFC!$C$31)*KFC!$C$5</f>
        <v>92.98575000000001</v>
      </c>
      <c r="E89" s="79">
        <f>(75.6*KFC!$B$31*1.02*1.25*1.1+KFC!$C$31)*KFC!$C$5</f>
        <v>106.029</v>
      </c>
      <c r="F89" s="79">
        <f>(84.9*KFC!$B$31*1.02*1.25*1.1+KFC!$C$31)*KFC!$C$5</f>
        <v>119.07225000000003</v>
      </c>
      <c r="G89" s="79">
        <f>(94.2*KFC!$B$31*1.02*1.25*1.1+KFC!$C$31)*KFC!$C$5</f>
        <v>132.11550000000003</v>
      </c>
      <c r="H89" s="79">
        <f>(103.3*KFC!$B$31*1.02*1.25*1.1+KFC!$C$31)*KFC!$C$5</f>
        <v>144.87825000000004</v>
      </c>
      <c r="I89" s="79">
        <f>(112.6*KFC!$B$31*1.02*1.25*1.1+KFC!$C$31)*KFC!$C$5</f>
        <v>157.92150000000001</v>
      </c>
      <c r="J89" s="79">
        <f>(121.9*KFC!$B$31*1.02*1.25*1.1+KFC!$C$31)*KFC!$C$5</f>
        <v>170.96475000000004</v>
      </c>
      <c r="K89" s="79">
        <f>(131.2*KFC!$B$31*1.02*1.25*1.1+KFC!$C$31)*KFC!$C$5</f>
        <v>184.00799999999998</v>
      </c>
      <c r="L89" s="79">
        <f>(140.4*KFC!$B$31*1.02*1.25*1.1+KFC!$C$31)*KFC!$C$5</f>
        <v>196.911</v>
      </c>
      <c r="M89" s="79">
        <f>(149.7*KFC!$B$31*1.02*1.25*1.1+KFC!$C$31)*KFC!$C$5</f>
        <v>209.95425</v>
      </c>
      <c r="N89" s="86">
        <f>(159*KFC!$B$31*1.02*1.25*1.1+KFC!$C$31)*KFC!$C$5</f>
        <v>222.99750000000003</v>
      </c>
    </row>
    <row r="90" spans="1:14">
      <c r="A90" s="1538"/>
      <c r="B90" s="224">
        <v>2.2000000000000002</v>
      </c>
      <c r="C90" s="80">
        <f>(59.1*KFC!$B$31*1.02*1.25*1.1+KFC!$C$31)*KFC!$C$5</f>
        <v>82.887750000000011</v>
      </c>
      <c r="D90" s="68">
        <f>(68.7*KFC!$B$31*1.02*1.25*1.1+KFC!$C$31)*KFC!$C$5</f>
        <v>96.35175000000001</v>
      </c>
      <c r="E90" s="79">
        <f>(78.4*KFC!$B$31*1.02*1.25*1.1+KFC!$C$31)*KFC!$C$5</f>
        <v>109.95600000000002</v>
      </c>
      <c r="F90" s="79">
        <f>(88.1*KFC!$B$31*1.02*1.25*1.1+KFC!$C$31)*KFC!$C$5</f>
        <v>123.56025</v>
      </c>
      <c r="G90" s="79">
        <f>(97.6*KFC!$B$31*1.02*1.25*1.1+KFC!$C$31)*KFC!$C$5</f>
        <v>136.88400000000001</v>
      </c>
      <c r="H90" s="79">
        <f>(107.3*KFC!$B$31*1.02*1.25*1.1+KFC!$C$31)*KFC!$C$5</f>
        <v>150.48825000000002</v>
      </c>
      <c r="I90" s="79">
        <f>(116.9*KFC!$B$31*1.02*1.25*1.1+KFC!$C$31)*KFC!$C$5</f>
        <v>163.95225000000002</v>
      </c>
      <c r="J90" s="79">
        <f>(126.6*KFC!$B$31*1.02*1.25*1.1+KFC!$C$31)*KFC!$C$5</f>
        <v>177.55650000000003</v>
      </c>
      <c r="K90" s="79">
        <f>(136.2*KFC!$B$31*1.02*1.25*1.1+KFC!$C$31)*KFC!$C$5</f>
        <v>191.0205</v>
      </c>
      <c r="L90" s="79">
        <f>(145.8*KFC!$B$31*1.02*1.25*1.1+KFC!$C$31)*KFC!$C$5</f>
        <v>204.48450000000003</v>
      </c>
      <c r="M90" s="79">
        <f>(155.4*KFC!$B$31*1.02*1.25*1.1+KFC!$C$31)*KFC!$C$5</f>
        <v>217.94850000000005</v>
      </c>
      <c r="N90" s="86">
        <f>(165.1*KFC!$B$31*1.02*1.25*1.1+KFC!$C$31)*KFC!$C$5</f>
        <v>231.55275</v>
      </c>
    </row>
    <row r="91" spans="1:14" ht="13.8" thickBot="1">
      <c r="A91" s="1539"/>
      <c r="B91" s="224">
        <v>2.2999999999999998</v>
      </c>
      <c r="C91" s="80">
        <f>(61.2*KFC!$B$31*1.02*1.25*1.1+KFC!$C$31)*KFC!$C$5</f>
        <v>85.833000000000013</v>
      </c>
      <c r="D91" s="68">
        <f>(71.2*KFC!$B$31*1.02*1.25*1.1+KFC!$C$31)*KFC!$C$5</f>
        <v>99.858000000000018</v>
      </c>
      <c r="E91" s="79">
        <f>(81.2*KFC!$B$31*1.02*1.25*1.1+KFC!$C$31)*KFC!$C$5</f>
        <v>113.88300000000001</v>
      </c>
      <c r="F91" s="79">
        <f>(91.1*KFC!$B$31*1.02*1.25*1.1+KFC!$C$31)*KFC!$C$5</f>
        <v>127.76775000000002</v>
      </c>
      <c r="G91" s="79">
        <f>(101.1*KFC!$B$31*1.02*1.25*1.1+KFC!$C$31)*KFC!$C$5</f>
        <v>141.79275000000001</v>
      </c>
      <c r="H91" s="79">
        <f>(111.2*KFC!$B$31*1.02*1.25*1.1+KFC!$C$31)*KFC!$C$5</f>
        <v>155.95800000000003</v>
      </c>
      <c r="I91" s="79">
        <f>(121.2*KFC!$B$31*1.02*1.25*1.1+KFC!$C$31)*KFC!$C$5</f>
        <v>169.983</v>
      </c>
      <c r="J91" s="79">
        <f>(131.2*KFC!$B$31*1.02*1.25*1.1+KFC!$C$31)*KFC!$C$5</f>
        <v>184.00799999999998</v>
      </c>
      <c r="K91" s="79">
        <f>(141.3*KFC!$B$31*1.02*1.25*1.1+KFC!$C$31)*KFC!$C$5</f>
        <v>198.17325000000002</v>
      </c>
      <c r="L91" s="79">
        <f>(151.2*KFC!$B$31*1.02*1.25*1.1+KFC!$C$31)*KFC!$C$5</f>
        <v>212.05799999999999</v>
      </c>
      <c r="M91" s="79">
        <f>(161.2*KFC!$B$31*1.02*1.25*1.1+KFC!$C$31)*KFC!$C$5</f>
        <v>226.083</v>
      </c>
      <c r="N91" s="86">
        <f>(171.2*KFC!$B$31*1.02*1.25*1.1+KFC!$C$31)*KFC!$C$5</f>
        <v>240.10800000000003</v>
      </c>
    </row>
    <row r="92" spans="1:14">
      <c r="A92" s="179" t="s">
        <v>303</v>
      </c>
      <c r="B92" s="179"/>
      <c r="C92" s="179"/>
      <c r="D92" s="179"/>
      <c r="E92" s="179"/>
      <c r="F92" s="179"/>
      <c r="G92" s="179"/>
      <c r="H92" s="179"/>
      <c r="I92" s="179"/>
      <c r="J92" s="179"/>
      <c r="K92" s="179"/>
      <c r="L92" s="179"/>
      <c r="M92" s="179"/>
      <c r="N92" s="179"/>
    </row>
    <row r="93" spans="1:14">
      <c r="A93" s="5" t="s">
        <v>255</v>
      </c>
      <c r="B93" s="177"/>
      <c r="C93" s="177"/>
      <c r="D93" s="177"/>
      <c r="E93" s="177"/>
      <c r="F93" s="177"/>
      <c r="G93" s="177"/>
      <c r="H93" s="177"/>
      <c r="I93" s="177"/>
      <c r="J93" s="177"/>
      <c r="K93" s="177"/>
      <c r="L93" s="177"/>
      <c r="M93" s="177"/>
      <c r="N93" s="177"/>
    </row>
    <row r="94" spans="1:14">
      <c r="A94" s="61" t="s">
        <v>1027</v>
      </c>
      <c r="B94" s="66"/>
      <c r="C94" s="66"/>
      <c r="D94" s="66"/>
      <c r="E94" s="66"/>
      <c r="F94" s="66"/>
      <c r="G94" s="66"/>
      <c r="H94" s="66"/>
      <c r="I94" s="66"/>
      <c r="J94" s="66"/>
      <c r="K94" s="66"/>
      <c r="L94" s="66"/>
      <c r="M94" s="66"/>
      <c r="N94" s="66"/>
    </row>
    <row r="95" spans="1:14">
      <c r="A95" s="1895" t="s">
        <v>214</v>
      </c>
      <c r="B95" s="1895"/>
      <c r="C95" s="1895"/>
      <c r="D95" s="1895"/>
      <c r="E95" s="1895"/>
      <c r="F95" s="1895"/>
      <c r="G95" s="1895"/>
      <c r="H95" s="1895"/>
      <c r="I95" s="1895"/>
      <c r="J95" s="1895"/>
      <c r="K95" s="1895"/>
      <c r="L95" s="1895"/>
      <c r="M95" s="1895"/>
      <c r="N95" s="1895"/>
    </row>
    <row r="96" spans="1:14">
      <c r="A96" s="508" t="s">
        <v>804</v>
      </c>
      <c r="B96" s="66"/>
      <c r="C96" s="66"/>
      <c r="D96" s="66"/>
      <c r="E96" s="66"/>
      <c r="F96" s="66"/>
      <c r="G96" s="66"/>
      <c r="H96" s="66"/>
      <c r="I96" s="66"/>
      <c r="J96" s="66"/>
      <c r="K96" s="66"/>
      <c r="L96" s="66"/>
      <c r="M96" s="66"/>
      <c r="N96" s="66"/>
    </row>
  </sheetData>
  <mergeCells count="17">
    <mergeCell ref="C49:N49"/>
    <mergeCell ref="A2:N2"/>
    <mergeCell ref="A4:D4"/>
    <mergeCell ref="E4:N4"/>
    <mergeCell ref="A5:B6"/>
    <mergeCell ref="C5:N5"/>
    <mergeCell ref="A3:N3"/>
    <mergeCell ref="A7:A25"/>
    <mergeCell ref="A27:B28"/>
    <mergeCell ref="C27:N27"/>
    <mergeCell ref="A29:A47"/>
    <mergeCell ref="A49:B50"/>
    <mergeCell ref="A51:A69"/>
    <mergeCell ref="A71:B72"/>
    <mergeCell ref="C71:N71"/>
    <mergeCell ref="A73:A91"/>
    <mergeCell ref="A95:N95"/>
  </mergeCells>
  <hyperlinks>
    <hyperlink ref="E4" r:id="rId1" xr:uid="{052AC323-D108-49B4-97F1-0EB24B0C13D0}"/>
  </hyperlinks>
  <pageMargins left="0.7" right="0.7" top="0.75" bottom="0.75" header="0.3" footer="0.3"/>
  <pageSetup paperSize="9" scale="83" orientation="portrait" verticalDpi="1200" r:id="rId2"/>
  <drawing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26A2F8-E5B4-4A3D-97D0-3B2E9F26FD70}">
  <sheetPr>
    <tabColor theme="5" tint="-0.249977111117893"/>
  </sheetPr>
  <dimension ref="A1:P135"/>
  <sheetViews>
    <sheetView view="pageBreakPreview" zoomScaleNormal="75" zoomScaleSheetLayoutView="100" workbookViewId="0">
      <pane ySplit="4" topLeftCell="A5" activePane="bottomLeft" state="frozen"/>
      <selection pane="bottomLeft" sqref="A1:IV4"/>
    </sheetView>
  </sheetViews>
  <sheetFormatPr defaultRowHeight="13.2"/>
  <cols>
    <col min="1" max="16" width="6.44140625" customWidth="1"/>
  </cols>
  <sheetData>
    <row r="1" spans="1:16">
      <c r="A1" s="69"/>
      <c r="B1" s="70"/>
      <c r="C1" s="70"/>
      <c r="D1" s="70"/>
      <c r="E1" s="70"/>
      <c r="F1" s="70"/>
      <c r="G1" s="70"/>
      <c r="H1" s="70"/>
      <c r="I1" s="70"/>
      <c r="J1" s="69"/>
      <c r="K1" s="69"/>
      <c r="L1" s="69"/>
      <c r="M1" s="69"/>
      <c r="N1" s="69"/>
      <c r="O1" s="69"/>
      <c r="P1" s="72"/>
    </row>
    <row r="2" spans="1:16">
      <c r="A2" s="69"/>
      <c r="B2" s="70"/>
      <c r="C2" s="70"/>
      <c r="D2" s="70"/>
      <c r="E2" s="70"/>
      <c r="F2" s="70"/>
      <c r="G2" s="70"/>
      <c r="H2" s="70"/>
      <c r="I2" s="70"/>
      <c r="J2" s="69"/>
      <c r="K2" s="69"/>
      <c r="L2" s="69"/>
      <c r="M2" s="69"/>
      <c r="N2" s="69"/>
      <c r="O2" s="69"/>
      <c r="P2" s="69"/>
    </row>
    <row r="3" spans="1:16" ht="16.8">
      <c r="A3" s="1821" t="s">
        <v>332</v>
      </c>
      <c r="B3" s="1821"/>
      <c r="C3" s="1821"/>
      <c r="D3" s="1821"/>
      <c r="E3" s="1821"/>
      <c r="F3" s="1821"/>
      <c r="G3" s="1821"/>
      <c r="H3" s="1821"/>
      <c r="I3" s="1821"/>
      <c r="J3" s="1821"/>
      <c r="K3" s="1821"/>
      <c r="L3" s="1821"/>
      <c r="M3" s="1821"/>
      <c r="N3" s="1821"/>
      <c r="O3" s="1821"/>
      <c r="P3" s="1821"/>
    </row>
    <row r="4" spans="1:16">
      <c r="A4" s="1897" t="s">
        <v>1142</v>
      </c>
      <c r="B4" s="1897"/>
      <c r="C4" s="1897"/>
      <c r="D4" s="1897"/>
      <c r="E4" s="1897"/>
      <c r="F4" s="1897"/>
      <c r="G4" s="1897"/>
      <c r="H4" s="1897"/>
      <c r="I4" s="1897"/>
      <c r="J4" s="1897"/>
      <c r="K4" s="1897"/>
      <c r="L4" s="1897"/>
      <c r="M4" s="1897"/>
      <c r="N4" s="1897"/>
      <c r="O4" s="1897"/>
      <c r="P4" s="1897"/>
    </row>
    <row r="5" spans="1:16" ht="24.75" customHeight="1">
      <c r="A5" s="1089" t="s">
        <v>593</v>
      </c>
      <c r="B5" s="1089"/>
      <c r="C5" s="1089"/>
      <c r="D5" s="1089"/>
      <c r="E5" s="1406" t="s">
        <v>624</v>
      </c>
      <c r="F5" s="1406"/>
      <c r="G5" s="1406"/>
      <c r="H5" s="1406"/>
      <c r="I5" s="1406"/>
      <c r="J5" s="1406"/>
      <c r="K5" s="1406"/>
      <c r="L5" s="1406"/>
      <c r="M5" s="1406"/>
      <c r="N5" s="1406"/>
      <c r="O5" s="1406"/>
      <c r="P5" s="1406"/>
    </row>
    <row r="6" spans="1:16" ht="24.75" customHeight="1" thickBot="1">
      <c r="A6" s="1896" t="s">
        <v>611</v>
      </c>
      <c r="B6" s="1896"/>
      <c r="C6" s="1896"/>
      <c r="D6" s="1896"/>
      <c r="E6" s="1406" t="s">
        <v>623</v>
      </c>
      <c r="F6" s="1406"/>
      <c r="G6" s="1406"/>
      <c r="H6" s="1406"/>
      <c r="I6" s="1406"/>
      <c r="J6" s="1406"/>
      <c r="K6" s="1406"/>
      <c r="L6" s="1406"/>
      <c r="M6" s="1406"/>
      <c r="N6" s="1406"/>
      <c r="O6" s="1406"/>
      <c r="P6" s="1406"/>
    </row>
    <row r="7" spans="1:16" ht="13.8" thickBot="1">
      <c r="A7" s="1413" t="s">
        <v>314</v>
      </c>
      <c r="B7" s="1415"/>
      <c r="C7" s="1898" t="s">
        <v>207</v>
      </c>
      <c r="D7" s="1899"/>
      <c r="E7" s="1899"/>
      <c r="F7" s="1899"/>
      <c r="G7" s="1899"/>
      <c r="H7" s="1899"/>
      <c r="I7" s="1899"/>
      <c r="J7" s="1899"/>
      <c r="K7" s="1899"/>
      <c r="L7" s="1899"/>
      <c r="M7" s="1899"/>
      <c r="N7" s="1899"/>
      <c r="O7" s="1899"/>
      <c r="P7" s="1900"/>
    </row>
    <row r="8" spans="1:16" ht="13.8" thickBot="1">
      <c r="A8" s="1803"/>
      <c r="B8" s="1802"/>
      <c r="C8" s="328">
        <v>0.4</v>
      </c>
      <c r="D8" s="329">
        <v>0.5</v>
      </c>
      <c r="E8" s="329">
        <v>0.6</v>
      </c>
      <c r="F8" s="329">
        <v>0.7</v>
      </c>
      <c r="G8" s="329">
        <v>0.8</v>
      </c>
      <c r="H8" s="329">
        <v>0.9</v>
      </c>
      <c r="I8" s="329">
        <v>1</v>
      </c>
      <c r="J8" s="329">
        <v>1.1000000000000001</v>
      </c>
      <c r="K8" s="329">
        <v>1.2</v>
      </c>
      <c r="L8" s="329">
        <v>1.3</v>
      </c>
      <c r="M8" s="329">
        <v>1.4</v>
      </c>
      <c r="N8" s="329">
        <v>1.5</v>
      </c>
      <c r="O8" s="329">
        <v>1.6</v>
      </c>
      <c r="P8" s="330">
        <v>1.7</v>
      </c>
    </row>
    <row r="9" spans="1:16">
      <c r="A9" s="1780" t="s">
        <v>3</v>
      </c>
      <c r="B9" s="331">
        <v>0.5</v>
      </c>
      <c r="C9" s="332">
        <f>(26.9*KFC!$B$32*1.02*1.05*1.1+KFC!$C$32)*KFC!$C$5</f>
        <v>31.690890000000003</v>
      </c>
      <c r="D9" s="192">
        <f>(30*KFC!$B$32*1.02*1.05*1.1+KFC!$C$32)*KFC!$C$5</f>
        <v>35.343000000000004</v>
      </c>
      <c r="E9" s="192">
        <f>(33.1*KFC!$B$32*1.02*1.05*1.1+KFC!$C$32)*KFC!$C$5</f>
        <v>38.995110000000004</v>
      </c>
      <c r="F9" s="192">
        <f>(36.2*KFC!$B$32*1.02*1.05*1.1+KFC!$C$32)*KFC!$C$5</f>
        <v>42.647220000000011</v>
      </c>
      <c r="G9" s="192">
        <f>(39.4*KFC!$B$32*1.02*1.05*1.1+KFC!$C$32)*KFC!$C$5</f>
        <v>46.417140000000003</v>
      </c>
      <c r="H9" s="192">
        <f>(42.4*KFC!$B$32*1.02*1.05*1.1+KFC!$C$32)*KFC!$C$5</f>
        <v>49.951440000000005</v>
      </c>
      <c r="I9" s="192">
        <f>(45.5*KFC!$B$32*1.02*1.05*1.1+KFC!$C$32)*KFC!$C$5</f>
        <v>53.603550000000013</v>
      </c>
      <c r="J9" s="192">
        <f>(48.7*KFC!$B$32*1.02*1.05*1.1+KFC!$C$32)*KFC!$C$5</f>
        <v>57.373470000000019</v>
      </c>
      <c r="K9" s="192">
        <f>(51.7*KFC!$B$32*1.02*1.05*1.1+KFC!$C$32)*KFC!$C$5</f>
        <v>60.907770000000014</v>
      </c>
      <c r="L9" s="192">
        <f>(54.8*KFC!$B$32*1.02*1.05*1.1+KFC!$C$32)*KFC!$C$5</f>
        <v>64.559880000000007</v>
      </c>
      <c r="M9" s="192">
        <f>(58*KFC!$B$32*1.02*1.05*1.1+KFC!$C$32)*KFC!$C$5</f>
        <v>68.32980000000002</v>
      </c>
      <c r="N9" s="192">
        <f>(61*KFC!$B$32*1.02*1.05*1.1+KFC!$C$32)*KFC!$C$5</f>
        <v>71.864100000000008</v>
      </c>
      <c r="O9" s="192">
        <f>(64.2*KFC!$B$32*1.02*1.05*1.1+KFC!$C$32)*KFC!$C$5</f>
        <v>75.634020000000021</v>
      </c>
      <c r="P9" s="193">
        <f>(67.3*KFC!$B$32*1.02*1.05*1.1+KFC!$C$32)*KFC!$C$5</f>
        <v>79.28613</v>
      </c>
    </row>
    <row r="10" spans="1:16">
      <c r="A10" s="1781"/>
      <c r="B10" s="333">
        <v>0.6</v>
      </c>
      <c r="C10" s="334">
        <f>(27.8*KFC!$B$32*1.02*1.05*1.1+KFC!$C$32)*KFC!$C$5</f>
        <v>32.751180000000005</v>
      </c>
      <c r="D10" s="194">
        <f>(30.9*KFC!$B$32*1.02*1.05*1.1+KFC!$C$32)*KFC!$C$5</f>
        <v>36.403290000000005</v>
      </c>
      <c r="E10" s="194">
        <f>(34.2*KFC!$B$32*1.02*1.05*1.1+KFC!$C$32)*KFC!$C$5</f>
        <v>40.291020000000003</v>
      </c>
      <c r="F10" s="194">
        <f>(37.4*KFC!$B$32*1.02*1.05*1.1+KFC!$C$32)*KFC!$C$5</f>
        <v>44.060940000000002</v>
      </c>
      <c r="G10" s="194">
        <f>(40.6*KFC!$B$32*1.02*1.05*1.1+KFC!$C$32)*KFC!$C$5</f>
        <v>47.830860000000001</v>
      </c>
      <c r="H10" s="194">
        <f>(43.9*KFC!$B$32*1.02*1.05*1.1+KFC!$C$32)*KFC!$C$5</f>
        <v>51.718590000000006</v>
      </c>
      <c r="I10" s="194">
        <f>(47.1*KFC!$B$32*1.02*1.05*1.1+KFC!$C$32)*KFC!$C$5</f>
        <v>55.488510000000012</v>
      </c>
      <c r="J10" s="194">
        <f>(50.4*KFC!$B$32*1.02*1.05*1.1+KFC!$C$32)*KFC!$C$5</f>
        <v>59.376240000000003</v>
      </c>
      <c r="K10" s="194">
        <f>(53.6*KFC!$B$32*1.02*1.05*1.1+KFC!$C$32)*KFC!$C$5</f>
        <v>63.146160000000016</v>
      </c>
      <c r="L10" s="194">
        <f>(56.9*KFC!$B$32*1.02*1.05*1.1+KFC!$C$32)*KFC!$C$5</f>
        <v>67.033890000000014</v>
      </c>
      <c r="M10" s="194">
        <f>(60*KFC!$B$32*1.02*1.05*1.1+KFC!$C$32)*KFC!$C$5</f>
        <v>70.686000000000007</v>
      </c>
      <c r="N10" s="194">
        <f>(63.2*KFC!$B$32*1.02*1.05*1.1+KFC!$C$32)*KFC!$C$5</f>
        <v>74.455920000000006</v>
      </c>
      <c r="O10" s="194">
        <f>(66.5*KFC!$B$32*1.02*1.05*1.1+KFC!$C$32)*KFC!$C$5</f>
        <v>78.343650000000011</v>
      </c>
      <c r="P10" s="195">
        <f>(69.7*KFC!$B$32*1.02*1.05*1.1+KFC!$C$32)*KFC!$C$5</f>
        <v>82.11357000000001</v>
      </c>
    </row>
    <row r="11" spans="1:16">
      <c r="A11" s="1781"/>
      <c r="B11" s="333">
        <v>0.7</v>
      </c>
      <c r="C11" s="334">
        <f>(28.5*KFC!$B$32*1.02*1.05*1.1+KFC!$C$32)*KFC!$C$5</f>
        <v>33.575850000000003</v>
      </c>
      <c r="D11" s="194">
        <f>(31.9*KFC!$B$32*1.02*1.05*1.1+KFC!$C$32)*KFC!$C$5</f>
        <v>37.581389999999999</v>
      </c>
      <c r="E11" s="194">
        <f>(35.2*KFC!$B$32*1.02*1.05*1.1+KFC!$C$32)*KFC!$C$5</f>
        <v>41.469120000000011</v>
      </c>
      <c r="F11" s="194">
        <f>(38.6*KFC!$B$32*1.02*1.05*1.1+KFC!$C$32)*KFC!$C$5</f>
        <v>45.474660000000007</v>
      </c>
      <c r="G11" s="194">
        <f>(41.9*KFC!$B$32*1.02*1.05*1.1+KFC!$C$32)*KFC!$C$5</f>
        <v>49.362390000000005</v>
      </c>
      <c r="H11" s="194">
        <f>(45.4*KFC!$B$32*1.02*1.05*1.1+KFC!$C$32)*KFC!$C$5</f>
        <v>53.485740000000007</v>
      </c>
      <c r="I11" s="194">
        <f>(48.7*KFC!$B$32*1.02*1.05*1.1+KFC!$C$32)*KFC!$C$5</f>
        <v>57.373470000000019</v>
      </c>
      <c r="J11" s="194">
        <f>(52.1*KFC!$B$32*1.02*1.05*1.1+KFC!$C$32)*KFC!$C$5</f>
        <v>61.379010000000008</v>
      </c>
      <c r="K11" s="194">
        <f>(55.4*KFC!$B$32*1.02*1.05*1.1+KFC!$C$32)*KFC!$C$5</f>
        <v>65.266740000000013</v>
      </c>
      <c r="L11" s="194">
        <f>(58.8*KFC!$B$32*1.02*1.05*1.1+KFC!$C$32)*KFC!$C$5</f>
        <v>69.272280000000009</v>
      </c>
      <c r="M11" s="194">
        <f>(62.1*KFC!$B$32*1.02*1.05*1.1+KFC!$C$32)*KFC!$C$5</f>
        <v>73.160010000000014</v>
      </c>
      <c r="N11" s="194">
        <f>(65.6*KFC!$B$32*1.02*1.05*1.1+KFC!$C$32)*KFC!$C$5</f>
        <v>77.283360000000002</v>
      </c>
      <c r="O11" s="194">
        <f>(68.9*KFC!$B$32*1.02*1.05*1.1+KFC!$C$32)*KFC!$C$5</f>
        <v>81.171090000000021</v>
      </c>
      <c r="P11" s="195">
        <f>(72.3*KFC!$B$32*1.02*1.05*1.1+KFC!$C$32)*KFC!$C$5</f>
        <v>85.176630000000003</v>
      </c>
    </row>
    <row r="12" spans="1:16">
      <c r="A12" s="1781"/>
      <c r="B12" s="333">
        <v>0.8</v>
      </c>
      <c r="C12" s="334">
        <f>(29.4*KFC!$B$32*1.02*1.05*1.1+KFC!$C$32)*KFC!$C$5</f>
        <v>34.636140000000005</v>
      </c>
      <c r="D12" s="194">
        <f>(32.9*KFC!$B$32*1.02*1.05*1.1+KFC!$C$32)*KFC!$C$5</f>
        <v>38.759490000000007</v>
      </c>
      <c r="E12" s="194">
        <f>(36.3*KFC!$B$32*1.02*1.05*1.1+KFC!$C$32)*KFC!$C$5</f>
        <v>42.765030000000003</v>
      </c>
      <c r="F12" s="194">
        <f>(39.9*KFC!$B$32*1.02*1.05*1.1+KFC!$C$32)*KFC!$C$5</f>
        <v>47.006190000000004</v>
      </c>
      <c r="G12" s="194">
        <f>(43.3*KFC!$B$32*1.02*1.05*1.1+KFC!$C$32)*KFC!$C$5</f>
        <v>51.01173</v>
      </c>
      <c r="H12" s="194">
        <f>(46.8*KFC!$B$32*1.02*1.05*1.1+KFC!$C$32)*KFC!$C$5</f>
        <v>55.135080000000002</v>
      </c>
      <c r="I12" s="194">
        <f>(50.3*KFC!$B$32*1.02*1.05*1.1+KFC!$C$32)*KFC!$C$5</f>
        <v>59.258430000000004</v>
      </c>
      <c r="J12" s="194">
        <f>(53.8*KFC!$B$32*1.02*1.05*1.1+KFC!$C$32)*KFC!$C$5</f>
        <v>63.381780000000006</v>
      </c>
      <c r="K12" s="194">
        <f>(57.2*KFC!$B$32*1.02*1.05*1.1+KFC!$C$32)*KFC!$C$5</f>
        <v>67.387320000000003</v>
      </c>
      <c r="L12" s="194">
        <f>(60.8*KFC!$B$32*1.02*1.05*1.1+KFC!$C$32)*KFC!$C$5</f>
        <v>71.62848000000001</v>
      </c>
      <c r="M12" s="194">
        <f>(64.2*KFC!$B$32*1.02*1.05*1.1+KFC!$C$32)*KFC!$C$5</f>
        <v>75.634020000000021</v>
      </c>
      <c r="N12" s="194">
        <f>(67.8*KFC!$B$32*1.02*1.05*1.1+KFC!$C$32)*KFC!$C$5</f>
        <v>79.87518</v>
      </c>
      <c r="O12" s="194">
        <f>(71.3*KFC!$B$32*1.02*1.05*1.1+KFC!$C$32)*KFC!$C$5</f>
        <v>83.998530000000017</v>
      </c>
      <c r="P12" s="195">
        <f>(74.7*KFC!$B$32*1.02*1.05*1.1+KFC!$C$32)*KFC!$C$5</f>
        <v>88.004070000000013</v>
      </c>
    </row>
    <row r="13" spans="1:16">
      <c r="A13" s="1781"/>
      <c r="B13" s="333">
        <v>0.9</v>
      </c>
      <c r="C13" s="334">
        <f>(30.2*KFC!$B$32*1.02*1.05*1.1+KFC!$C$32)*KFC!$C$5</f>
        <v>35.578620000000001</v>
      </c>
      <c r="D13" s="194">
        <f>(33.8*KFC!$B$32*1.02*1.05*1.1+KFC!$C$32)*KFC!$C$5</f>
        <v>39.819780000000009</v>
      </c>
      <c r="E13" s="194">
        <f>(37.4*KFC!$B$32*1.02*1.05*1.1+KFC!$C$32)*KFC!$C$5</f>
        <v>44.060940000000002</v>
      </c>
      <c r="F13" s="194">
        <f>(41*KFC!$B$32*1.02*1.05*1.1+KFC!$C$32)*KFC!$C$5</f>
        <v>48.302100000000003</v>
      </c>
      <c r="G13" s="194">
        <f>(44.6*KFC!$B$32*1.02*1.05*1.1+KFC!$C$32)*KFC!$C$5</f>
        <v>52.543260000000011</v>
      </c>
      <c r="H13" s="194">
        <f>(48.3*KFC!$B$32*1.02*1.05*1.1+KFC!$C$32)*KFC!$C$5</f>
        <v>56.90223000000001</v>
      </c>
      <c r="I13" s="194">
        <f>(51.9*KFC!$B$32*1.02*1.05*1.1+KFC!$C$32)*KFC!$C$5</f>
        <v>61.143390000000011</v>
      </c>
      <c r="J13" s="194">
        <f>(55.5*KFC!$B$32*1.02*1.05*1.1+KFC!$C$32)*KFC!$C$5</f>
        <v>65.384550000000004</v>
      </c>
      <c r="K13" s="194">
        <f>(59.1*KFC!$B$32*1.02*1.05*1.1+KFC!$C$32)*KFC!$C$5</f>
        <v>69.625710000000012</v>
      </c>
      <c r="L13" s="194">
        <f>(62.7*KFC!$B$32*1.02*1.05*1.1+KFC!$C$32)*KFC!$C$5</f>
        <v>73.866870000000006</v>
      </c>
      <c r="M13" s="194">
        <f>(66.4*KFC!$B$32*1.02*1.05*1.1+KFC!$C$32)*KFC!$C$5</f>
        <v>78.225840000000019</v>
      </c>
      <c r="N13" s="194">
        <f>(70*KFC!$B$32*1.02*1.05*1.1+KFC!$C$32)*KFC!$C$5</f>
        <v>82.467000000000027</v>
      </c>
      <c r="O13" s="194">
        <f>(73.6*KFC!$B$32*1.02*1.05*1.1+KFC!$C$32)*KFC!$C$5</f>
        <v>86.708160000000007</v>
      </c>
      <c r="P13" s="195">
        <f>(77.2*KFC!$B$32*1.02*1.05*1.1+KFC!$C$32)*KFC!$C$5</f>
        <v>90.949320000000014</v>
      </c>
    </row>
    <row r="14" spans="1:16">
      <c r="A14" s="1781"/>
      <c r="B14" s="333">
        <v>1</v>
      </c>
      <c r="C14" s="334">
        <f>(30.9*KFC!$B$32*1.02*1.05*1.1+KFC!$C$32)*KFC!$C$5</f>
        <v>36.403290000000005</v>
      </c>
      <c r="D14" s="194">
        <f>(34.7*KFC!$B$32*1.02*1.05*1.1+KFC!$C$32)*KFC!$C$5</f>
        <v>40.880070000000011</v>
      </c>
      <c r="E14" s="194">
        <f>(38.5*KFC!$B$32*1.02*1.05*1.1+KFC!$C$32)*KFC!$C$5</f>
        <v>45.356850000000009</v>
      </c>
      <c r="F14" s="194">
        <f>(42.2*KFC!$B$32*1.02*1.05*1.1+KFC!$C$32)*KFC!$C$5</f>
        <v>49.715820000000008</v>
      </c>
      <c r="G14" s="194">
        <f>(46*KFC!$B$32*1.02*1.05*1.1+KFC!$C$32)*KFC!$C$5</f>
        <v>54.192600000000013</v>
      </c>
      <c r="H14" s="194">
        <f>(49.8*KFC!$B$32*1.02*1.05*1.1+KFC!$C$32)*KFC!$C$5</f>
        <v>58.669380000000004</v>
      </c>
      <c r="I14" s="194">
        <f>(53.4*KFC!$B$32*1.02*1.05*1.1+KFC!$C$32)*KFC!$C$5</f>
        <v>62.910540000000005</v>
      </c>
      <c r="J14" s="194">
        <f>(57.2*KFC!$B$32*1.02*1.05*1.1+KFC!$C$32)*KFC!$C$5</f>
        <v>67.387320000000003</v>
      </c>
      <c r="K14" s="194">
        <f>(61*KFC!$B$32*1.02*1.05*1.1+KFC!$C$32)*KFC!$C$5</f>
        <v>71.864100000000008</v>
      </c>
      <c r="L14" s="194">
        <f>(64.7*KFC!$B$32*1.02*1.05*1.1+KFC!$C$32)*KFC!$C$5</f>
        <v>76.223070000000007</v>
      </c>
      <c r="M14" s="194">
        <f>(68.5*KFC!$B$32*1.02*1.05*1.1+KFC!$C$32)*KFC!$C$5</f>
        <v>80.699850000000012</v>
      </c>
      <c r="N14" s="194">
        <f>(72.3*KFC!$B$32*1.02*1.05*1.1+KFC!$C$32)*KFC!$C$5</f>
        <v>85.176630000000003</v>
      </c>
      <c r="O14" s="194">
        <f>(75.9*KFC!$B$32*1.02*1.05*1.1+KFC!$C$32)*KFC!$C$5</f>
        <v>89.417790000000025</v>
      </c>
      <c r="P14" s="195">
        <f>(79.7*KFC!$B$32*1.02*1.05*1.1+KFC!$C$32)*KFC!$C$5</f>
        <v>93.894570000000016</v>
      </c>
    </row>
    <row r="15" spans="1:16">
      <c r="A15" s="1781"/>
      <c r="B15" s="333">
        <v>1.1000000000000001</v>
      </c>
      <c r="C15" s="334">
        <f>(31.8*KFC!$B$32*1.02*1.05*1.1+KFC!$C$32)*KFC!$C$5</f>
        <v>37.46358</v>
      </c>
      <c r="D15" s="194">
        <f>(35.7*KFC!$B$32*1.02*1.05*1.1+KFC!$C$32)*KFC!$C$5</f>
        <v>42.058170000000004</v>
      </c>
      <c r="E15" s="194">
        <f>(39.5*KFC!$B$32*1.02*1.05*1.1+KFC!$C$32)*KFC!$C$5</f>
        <v>46.534950000000009</v>
      </c>
      <c r="F15" s="194">
        <f>(43.4*KFC!$B$32*1.02*1.05*1.1+KFC!$C$32)*KFC!$C$5</f>
        <v>51.129540000000006</v>
      </c>
      <c r="G15" s="194">
        <f>(47.3*KFC!$B$32*1.02*1.05*1.1+KFC!$C$32)*KFC!$C$5</f>
        <v>55.724130000000002</v>
      </c>
      <c r="H15" s="194">
        <f>(51.2*KFC!$B$32*1.02*1.05*1.1+KFC!$C$32)*KFC!$C$5</f>
        <v>60.318720000000013</v>
      </c>
      <c r="I15" s="194">
        <f>(55*KFC!$B$32*1.02*1.05*1.1+KFC!$C$32)*KFC!$C$5</f>
        <v>64.795500000000004</v>
      </c>
      <c r="J15" s="194">
        <f>(58.9*KFC!$B$32*1.02*1.05*1.1+KFC!$C$32)*KFC!$C$5</f>
        <v>69.390090000000015</v>
      </c>
      <c r="K15" s="194">
        <f>(62.9*KFC!$B$32*1.02*1.05*1.1+KFC!$C$32)*KFC!$C$5</f>
        <v>74.102490000000017</v>
      </c>
      <c r="L15" s="194">
        <f>(66.7*KFC!$B$32*1.02*1.05*1.1+KFC!$C$32)*KFC!$C$5</f>
        <v>78.579270000000022</v>
      </c>
      <c r="M15" s="194">
        <f>(70.6*KFC!$B$32*1.02*1.05*1.1+KFC!$C$32)*KFC!$C$5</f>
        <v>83.173860000000005</v>
      </c>
      <c r="N15" s="194">
        <f>(74.5*KFC!$B$32*1.02*1.05*1.1+KFC!$C$32)*KFC!$C$5</f>
        <v>87.768450000000016</v>
      </c>
      <c r="O15" s="194">
        <f>(78.4*KFC!$B$32*1.02*1.05*1.1+KFC!$C$32)*KFC!$C$5</f>
        <v>92.363040000000012</v>
      </c>
      <c r="P15" s="195">
        <f>(82.2*KFC!$B$32*1.02*1.05*1.1+KFC!$C$32)*KFC!$C$5</f>
        <v>96.839820000000017</v>
      </c>
    </row>
    <row r="16" spans="1:16">
      <c r="A16" s="1781"/>
      <c r="B16" s="333">
        <v>1.2</v>
      </c>
      <c r="C16" s="334">
        <f>(32.7*KFC!$B$32*1.02*1.05*1.1+KFC!$C$32)*KFC!$C$5</f>
        <v>38.523870000000016</v>
      </c>
      <c r="D16" s="194">
        <f>(36.6*KFC!$B$32*1.02*1.05*1.1+KFC!$C$32)*KFC!$C$5</f>
        <v>43.118459999999999</v>
      </c>
      <c r="E16" s="194">
        <f>(40.6*KFC!$B$32*1.02*1.05*1.1+KFC!$C$32)*KFC!$C$5</f>
        <v>47.830860000000001</v>
      </c>
      <c r="F16" s="194">
        <f>(44.6*KFC!$B$32*1.02*1.05*1.1+KFC!$C$32)*KFC!$C$5</f>
        <v>52.543260000000011</v>
      </c>
      <c r="G16" s="194">
        <f>(48.7*KFC!$B$32*1.02*1.05*1.1+KFC!$C$32)*KFC!$C$5</f>
        <v>57.373470000000019</v>
      </c>
      <c r="H16" s="194">
        <f>(52.6*KFC!$B$32*1.02*1.05*1.1+KFC!$C$32)*KFC!$C$5</f>
        <v>61.968060000000008</v>
      </c>
      <c r="I16" s="194">
        <f>(56.6*KFC!$B$32*1.02*1.05*1.1+KFC!$C$32)*KFC!$C$5</f>
        <v>66.680460000000011</v>
      </c>
      <c r="J16" s="194">
        <f>(60.7*KFC!$B$32*1.02*1.05*1.1+KFC!$C$32)*KFC!$C$5</f>
        <v>71.510670000000019</v>
      </c>
      <c r="K16" s="194">
        <f>(64.7*KFC!$B$32*1.02*1.05*1.1+KFC!$C$32)*KFC!$C$5</f>
        <v>76.223070000000007</v>
      </c>
      <c r="L16" s="194">
        <f>(68.7*KFC!$B$32*1.02*1.05*1.1+KFC!$C$32)*KFC!$C$5</f>
        <v>80.935470000000009</v>
      </c>
      <c r="M16" s="194">
        <f>(72.6*KFC!$B$32*1.02*1.05*1.1+KFC!$C$32)*KFC!$C$5</f>
        <v>85.530060000000006</v>
      </c>
      <c r="N16" s="194">
        <f>(76.7*KFC!$B$32*1.02*1.05*1.1+KFC!$C$32)*KFC!$C$5</f>
        <v>90.360270000000028</v>
      </c>
      <c r="O16" s="194">
        <f>(80.7*KFC!$B$32*1.02*1.05*1.1+KFC!$C$32)*KFC!$C$5</f>
        <v>95.072670000000016</v>
      </c>
      <c r="P16" s="195">
        <f>(84.8*KFC!$B$32*1.02*1.05*1.1+KFC!$C$32)*KFC!$C$5</f>
        <v>99.90288000000001</v>
      </c>
    </row>
    <row r="17" spans="1:16">
      <c r="A17" s="1781"/>
      <c r="B17" s="333">
        <v>1.3</v>
      </c>
      <c r="C17" s="334">
        <f>(33.4*KFC!$B$32*1.02*1.05*1.1+KFC!$C$32)*KFC!$C$5</f>
        <v>39.34854</v>
      </c>
      <c r="D17" s="194">
        <f>(37.5*KFC!$B$32*1.02*1.05*1.1+KFC!$C$32)*KFC!$C$5</f>
        <v>44.178750000000008</v>
      </c>
      <c r="E17" s="194">
        <f>(41.7*KFC!$B$32*1.02*1.05*1.1+KFC!$C$32)*KFC!$C$5</f>
        <v>49.126770000000008</v>
      </c>
      <c r="F17" s="194">
        <f>(45.9*KFC!$B$32*1.02*1.05*1.1+KFC!$C$32)*KFC!$C$5</f>
        <v>54.074790000000007</v>
      </c>
      <c r="G17" s="194">
        <f>(50*KFC!$B$32*1.02*1.05*1.1+KFC!$C$32)*KFC!$C$5</f>
        <v>58.905000000000008</v>
      </c>
      <c r="H17" s="194">
        <f>(54.1*KFC!$B$32*1.02*1.05*1.1+KFC!$C$32)*KFC!$C$5</f>
        <v>63.735210000000009</v>
      </c>
      <c r="I17" s="194">
        <f>(58.2*KFC!$B$32*1.02*1.05*1.1+KFC!$C$32)*KFC!$C$5</f>
        <v>68.565420000000017</v>
      </c>
      <c r="J17" s="194">
        <f>(62.4*KFC!$B$32*1.02*1.05*1.1+KFC!$C$32)*KFC!$C$5</f>
        <v>73.513440000000003</v>
      </c>
      <c r="K17" s="194">
        <f>(66.5*KFC!$B$32*1.02*1.05*1.1+KFC!$C$32)*KFC!$C$5</f>
        <v>78.343650000000011</v>
      </c>
      <c r="L17" s="194">
        <f>(70.7*KFC!$B$32*1.02*1.05*1.1+KFC!$C$32)*KFC!$C$5</f>
        <v>83.291670000000011</v>
      </c>
      <c r="M17" s="194">
        <f>(74.8*KFC!$B$32*1.02*1.05*1.1+KFC!$C$32)*KFC!$C$5</f>
        <v>88.121880000000004</v>
      </c>
      <c r="N17" s="194">
        <f>(78.9*KFC!$B$32*1.02*1.05*1.1+KFC!$C$32)*KFC!$C$5</f>
        <v>92.952090000000013</v>
      </c>
      <c r="O17" s="194">
        <f>(83*KFC!$B$32*1.02*1.05*1.1+KFC!$C$32)*KFC!$C$5</f>
        <v>97.782300000000006</v>
      </c>
      <c r="P17" s="195">
        <f>(87.2*KFC!$B$32*1.02*1.05*1.1+KFC!$C$32)*KFC!$C$5</f>
        <v>102.73032000000002</v>
      </c>
    </row>
    <row r="18" spans="1:16">
      <c r="A18" s="1781"/>
      <c r="B18" s="333">
        <v>1.4</v>
      </c>
      <c r="C18" s="334">
        <f>(34.2*KFC!$B$32*1.02*1.05*1.1+KFC!$C$32)*KFC!$C$5</f>
        <v>40.291020000000003</v>
      </c>
      <c r="D18" s="194">
        <f>(38.5*KFC!$B$32*1.02*1.05*1.1+KFC!$C$32)*KFC!$C$5</f>
        <v>45.356850000000009</v>
      </c>
      <c r="E18" s="194">
        <f>(42.8*KFC!$B$32*1.02*1.05*1.1+KFC!$C$32)*KFC!$C$5</f>
        <v>50.42268</v>
      </c>
      <c r="F18" s="194">
        <f>(47.1*KFC!$B$32*1.02*1.05*1.1+KFC!$C$32)*KFC!$C$5</f>
        <v>55.488510000000012</v>
      </c>
      <c r="G18" s="194">
        <f>(51.2*KFC!$B$32*1.02*1.05*1.1+KFC!$C$32)*KFC!$C$5</f>
        <v>60.318720000000013</v>
      </c>
      <c r="H18" s="194">
        <f>(55.5*KFC!$B$32*1.02*1.05*1.1+KFC!$C$32)*KFC!$C$5</f>
        <v>65.384550000000004</v>
      </c>
      <c r="I18" s="194">
        <f>(59.8*KFC!$B$32*1.02*1.05*1.1+KFC!$C$32)*KFC!$C$5</f>
        <v>70.45038000000001</v>
      </c>
      <c r="J18" s="194">
        <f>(64.1*KFC!$B$32*1.02*1.05*1.1+KFC!$C$32)*KFC!$C$5</f>
        <v>75.516210000000001</v>
      </c>
      <c r="K18" s="194">
        <f>(68.4*KFC!$B$32*1.02*1.05*1.1+KFC!$C$32)*KFC!$C$5</f>
        <v>80.582040000000006</v>
      </c>
      <c r="L18" s="194">
        <f>(72.6*KFC!$B$32*1.02*1.05*1.1+KFC!$C$32)*KFC!$C$5</f>
        <v>85.530060000000006</v>
      </c>
      <c r="M18" s="194">
        <f>(76.9*KFC!$B$32*1.02*1.05*1.1+KFC!$C$32)*KFC!$C$5</f>
        <v>90.595890000000026</v>
      </c>
      <c r="N18" s="194">
        <f>(81.2*KFC!$B$32*1.02*1.05*1.1+KFC!$C$32)*KFC!$C$5</f>
        <v>95.661720000000003</v>
      </c>
      <c r="O18" s="194">
        <f>(85.4*KFC!$B$32*1.02*1.05*1.1+KFC!$C$32)*KFC!$C$5</f>
        <v>100.60974000000002</v>
      </c>
      <c r="P18" s="195">
        <f>(89.6*KFC!$B$32*1.02*1.05*1.1+KFC!$C$32)*KFC!$C$5</f>
        <v>105.55776000000002</v>
      </c>
    </row>
    <row r="19" spans="1:16">
      <c r="A19" s="1781"/>
      <c r="B19" s="333">
        <v>1.5</v>
      </c>
      <c r="C19" s="334">
        <f>(35.1*KFC!$B$32*1.02*1.05*1.1+KFC!$C$32)*KFC!$C$5</f>
        <v>41.351310000000005</v>
      </c>
      <c r="D19" s="194">
        <f>(39.5*KFC!$B$32*1.02*1.05*1.1+KFC!$C$32)*KFC!$C$5</f>
        <v>46.534950000000009</v>
      </c>
      <c r="E19" s="194">
        <f>(43.9*KFC!$B$32*1.02*1.05*1.1+KFC!$C$32)*KFC!$C$5</f>
        <v>51.718590000000006</v>
      </c>
      <c r="F19" s="194">
        <f>(48.2*KFC!$B$32*1.02*1.05*1.1+KFC!$C$32)*KFC!$C$5</f>
        <v>56.784420000000011</v>
      </c>
      <c r="G19" s="194">
        <f>(52.6*KFC!$B$32*1.02*1.05*1.1+KFC!$C$32)*KFC!$C$5</f>
        <v>61.968060000000008</v>
      </c>
      <c r="H19" s="194">
        <f>(57*KFC!$B$32*1.02*1.05*1.1+KFC!$C$32)*KFC!$C$5</f>
        <v>67.151700000000005</v>
      </c>
      <c r="I19" s="194">
        <f>(61.4*KFC!$B$32*1.02*1.05*1.1+KFC!$C$32)*KFC!$C$5</f>
        <v>72.335340000000002</v>
      </c>
      <c r="J19" s="194">
        <f>(65.8*KFC!$B$32*1.02*1.05*1.1+KFC!$C$32)*KFC!$C$5</f>
        <v>77.518980000000013</v>
      </c>
      <c r="K19" s="194">
        <f>(70.2*KFC!$B$32*1.02*1.05*1.1+KFC!$C$32)*KFC!$C$5</f>
        <v>82.70262000000001</v>
      </c>
      <c r="L19" s="194">
        <f>(74.6*KFC!$B$32*1.02*1.05*1.1+KFC!$C$32)*KFC!$C$5</f>
        <v>87.886260000000007</v>
      </c>
      <c r="M19" s="194">
        <f>(79*KFC!$B$32*1.02*1.05*1.1+KFC!$C$32)*KFC!$C$5</f>
        <v>93.069900000000018</v>
      </c>
      <c r="N19" s="194">
        <f>(83.4*KFC!$B$32*1.02*1.05*1.1+KFC!$C$32)*KFC!$C$5</f>
        <v>98.253540000000015</v>
      </c>
      <c r="O19" s="194">
        <f>(87.8*KFC!$B$32*1.02*1.05*1.1+KFC!$C$32)*KFC!$C$5</f>
        <v>103.43718000000001</v>
      </c>
      <c r="P19" s="195">
        <f>(92.2*KFC!$B$32*1.02*1.05*1.1+KFC!$C$32)*KFC!$C$5</f>
        <v>108.62082000000002</v>
      </c>
    </row>
    <row r="20" spans="1:16">
      <c r="A20" s="1781"/>
      <c r="B20" s="333">
        <v>1.6</v>
      </c>
      <c r="C20" s="334">
        <f>(35.8*KFC!$B$32*1.02*1.05*1.1+KFC!$C$32)*KFC!$C$5</f>
        <v>42.175980000000003</v>
      </c>
      <c r="D20" s="194">
        <f>(40.4*KFC!$B$32*1.02*1.05*1.1+KFC!$C$32)*KFC!$C$5</f>
        <v>47.595240000000004</v>
      </c>
      <c r="E20" s="194">
        <f>(44.9*KFC!$B$32*1.02*1.05*1.1+KFC!$C$32)*KFC!$C$5</f>
        <v>52.896690000000007</v>
      </c>
      <c r="F20" s="194">
        <f>(49.4*KFC!$B$32*1.02*1.05*1.1+KFC!$C$32)*KFC!$C$5</f>
        <v>58.198140000000009</v>
      </c>
      <c r="G20" s="194">
        <f>(53.9*KFC!$B$32*1.02*1.05*1.1+KFC!$C$32)*KFC!$C$5</f>
        <v>63.499590000000005</v>
      </c>
      <c r="H20" s="194">
        <f>(58.5*KFC!$B$32*1.02*1.05*1.1+KFC!$C$32)*KFC!$C$5</f>
        <v>68.918850000000006</v>
      </c>
      <c r="I20" s="194">
        <f>(63*KFC!$B$32*1.02*1.05*1.1+KFC!$C$32)*KFC!$C$5</f>
        <v>74.220300000000023</v>
      </c>
      <c r="J20" s="194">
        <f>(67.5*KFC!$B$32*1.02*1.05*1.1+KFC!$C$32)*KFC!$C$5</f>
        <v>79.521750000000011</v>
      </c>
      <c r="K20" s="194">
        <f>(72*KFC!$B$32*1.02*1.05*1.1+KFC!$C$32)*KFC!$C$5</f>
        <v>84.8232</v>
      </c>
      <c r="L20" s="194">
        <f>(76.6*KFC!$B$32*1.02*1.05*1.1+KFC!$C$32)*KFC!$C$5</f>
        <v>90.242459999999994</v>
      </c>
      <c r="M20" s="194">
        <f>(81.1*KFC!$B$32*1.02*1.05*1.1+KFC!$C$32)*KFC!$C$5</f>
        <v>95.543909999999997</v>
      </c>
      <c r="N20" s="194">
        <f>(85.6*KFC!$B$32*1.02*1.05*1.1+KFC!$C$32)*KFC!$C$5</f>
        <v>100.84536</v>
      </c>
      <c r="O20" s="194">
        <f>(90.1*KFC!$B$32*1.02*1.05*1.1+KFC!$C$32)*KFC!$C$5</f>
        <v>106.14681000000002</v>
      </c>
      <c r="P20" s="195">
        <f>(94.7*KFC!$B$32*1.02*1.05*1.1+KFC!$C$32)*KFC!$C$5</f>
        <v>111.56607000000002</v>
      </c>
    </row>
    <row r="21" spans="1:16">
      <c r="A21" s="1781"/>
      <c r="B21" s="333">
        <v>1.7</v>
      </c>
      <c r="C21" s="334">
        <f>(36.7*KFC!$B$32*1.02*1.05*1.1+KFC!$C$32)*KFC!$C$5</f>
        <v>43.236270000000012</v>
      </c>
      <c r="D21" s="194">
        <f>(41.3*KFC!$B$32*1.02*1.05*1.1+KFC!$C$32)*KFC!$C$5</f>
        <v>48.655530000000006</v>
      </c>
      <c r="E21" s="194">
        <f>(46*KFC!$B$32*1.02*1.05*1.1+KFC!$C$32)*KFC!$C$5</f>
        <v>54.192600000000013</v>
      </c>
      <c r="F21" s="194">
        <f>(50.6*KFC!$B$32*1.02*1.05*1.1+KFC!$C$32)*KFC!$C$5</f>
        <v>59.611860000000014</v>
      </c>
      <c r="G21" s="194">
        <f>(55.3*KFC!$B$32*1.02*1.05*1.1+KFC!$C$32)*KFC!$C$5</f>
        <v>65.148930000000007</v>
      </c>
      <c r="H21" s="194">
        <f>(59.9*KFC!$B$32*1.02*1.05*1.1+KFC!$C$32)*KFC!$C$5</f>
        <v>70.568190000000016</v>
      </c>
      <c r="I21" s="194">
        <f>(64.6*KFC!$B$32*1.02*1.05*1.1+KFC!$C$32)*KFC!$C$5</f>
        <v>76.105260000000001</v>
      </c>
      <c r="J21" s="194">
        <f>(69.2*KFC!$B$32*1.02*1.05*1.1+KFC!$C$32)*KFC!$C$5</f>
        <v>81.52452000000001</v>
      </c>
      <c r="K21" s="194">
        <f>(73.9*KFC!$B$32*1.02*1.05*1.1+KFC!$C$32)*KFC!$C$5</f>
        <v>87.06159000000001</v>
      </c>
      <c r="L21" s="194">
        <f>(78.5*KFC!$B$32*1.02*1.05*1.1+KFC!$C$32)*KFC!$C$5</f>
        <v>92.480850000000018</v>
      </c>
      <c r="M21" s="194">
        <f>(83.2*KFC!$B$32*1.02*1.05*1.1+KFC!$C$32)*KFC!$C$5</f>
        <v>98.017920000000018</v>
      </c>
      <c r="N21" s="194">
        <f>(87.8*KFC!$B$32*1.02*1.05*1.1+KFC!$C$32)*KFC!$C$5</f>
        <v>103.43718000000001</v>
      </c>
      <c r="O21" s="194">
        <f>(92.5*KFC!$B$32*1.02*1.05*1.1+KFC!$C$32)*KFC!$C$5</f>
        <v>108.97425000000003</v>
      </c>
      <c r="P21" s="195">
        <f>(97.1*KFC!$B$32*1.02*1.05*1.1+KFC!$C$32)*KFC!$C$5</f>
        <v>114.39351000000001</v>
      </c>
    </row>
    <row r="22" spans="1:16">
      <c r="A22" s="1781"/>
      <c r="B22" s="333">
        <v>1.8</v>
      </c>
      <c r="C22" s="334">
        <f>(37.5*KFC!$B$32*1.02*1.05*1.1+KFC!$C$32)*KFC!$C$5</f>
        <v>44.178750000000008</v>
      </c>
      <c r="D22" s="194">
        <f>(42.3*KFC!$B$32*1.02*1.05*1.1+KFC!$C$32)*KFC!$C$5</f>
        <v>49.833630000000007</v>
      </c>
      <c r="E22" s="194">
        <f>(47.1*KFC!$B$32*1.02*1.05*1.1+KFC!$C$32)*KFC!$C$5</f>
        <v>55.488510000000012</v>
      </c>
      <c r="F22" s="194">
        <f>(51.9*KFC!$B$32*1.02*1.05*1.1+KFC!$C$32)*KFC!$C$5</f>
        <v>61.143390000000011</v>
      </c>
      <c r="G22" s="194">
        <f>(56.6*KFC!$B$32*1.02*1.05*1.1+KFC!$C$32)*KFC!$C$5</f>
        <v>66.680460000000011</v>
      </c>
      <c r="H22" s="194">
        <f>(61.4*KFC!$B$32*1.02*1.05*1.1+KFC!$C$32)*KFC!$C$5</f>
        <v>72.335340000000002</v>
      </c>
      <c r="I22" s="194">
        <f>(66.2*KFC!$B$32*1.02*1.05*1.1+KFC!$C$32)*KFC!$C$5</f>
        <v>77.990220000000008</v>
      </c>
      <c r="J22" s="194">
        <f>(70.9*KFC!$B$32*1.02*1.05*1.1+KFC!$C$32)*KFC!$C$5</f>
        <v>83.527290000000036</v>
      </c>
      <c r="K22" s="194">
        <f>(75.7*KFC!$B$32*1.02*1.05*1.1+KFC!$C$32)*KFC!$C$5</f>
        <v>89.182170000000013</v>
      </c>
      <c r="L22" s="194">
        <f>(80.5*KFC!$B$32*1.02*1.05*1.1+KFC!$C$32)*KFC!$C$5</f>
        <v>94.837050000000019</v>
      </c>
      <c r="M22" s="194">
        <f>(85.4*KFC!$B$32*1.02*1.05*1.1+KFC!$C$32)*KFC!$C$5</f>
        <v>100.60974000000002</v>
      </c>
      <c r="N22" s="194">
        <f>(90.1*KFC!$B$32*1.02*1.05*1.1+KFC!$C$32)*KFC!$C$5</f>
        <v>106.14681000000002</v>
      </c>
      <c r="O22" s="194">
        <f>(94.9*KFC!$B$32*1.02*1.05*1.1+KFC!$C$32)*KFC!$C$5</f>
        <v>111.80169000000001</v>
      </c>
      <c r="P22" s="195">
        <f>(99.7*KFC!$B$32*1.02*1.05*1.1+KFC!$C$32)*KFC!$C$5</f>
        <v>117.45657000000001</v>
      </c>
    </row>
    <row r="23" spans="1:16">
      <c r="A23" s="1781"/>
      <c r="B23" s="333">
        <v>1.9</v>
      </c>
      <c r="C23" s="334">
        <f>(38.3*KFC!$B$32*1.02*1.05*1.1+KFC!$C$32)*KFC!$C$5</f>
        <v>45.121229999999997</v>
      </c>
      <c r="D23" s="194">
        <f>(43.2*KFC!$B$32*1.02*1.05*1.1+KFC!$C$32)*KFC!$C$5</f>
        <v>50.893920000000016</v>
      </c>
      <c r="E23" s="194">
        <f>(48.2*KFC!$B$32*1.02*1.05*1.1+KFC!$C$32)*KFC!$C$5</f>
        <v>56.784420000000011</v>
      </c>
      <c r="F23" s="194">
        <f>(53.1*KFC!$B$32*1.02*1.05*1.1+KFC!$C$32)*KFC!$C$5</f>
        <v>62.557110000000009</v>
      </c>
      <c r="G23" s="194">
        <f>(58*KFC!$B$32*1.02*1.05*1.1+KFC!$C$32)*KFC!$C$5</f>
        <v>68.32980000000002</v>
      </c>
      <c r="H23" s="194">
        <f>(62.9*KFC!$B$32*1.02*1.05*1.1+KFC!$C$32)*KFC!$C$5</f>
        <v>74.102490000000017</v>
      </c>
      <c r="I23" s="194">
        <f>(67.8*KFC!$B$32*1.02*1.05*1.1+KFC!$C$32)*KFC!$C$5</f>
        <v>79.87518</v>
      </c>
      <c r="J23" s="194">
        <f>(72.6*KFC!$B$32*1.02*1.05*1.1+KFC!$C$32)*KFC!$C$5</f>
        <v>85.530060000000006</v>
      </c>
      <c r="K23" s="194">
        <f>(77.5*KFC!$B$32*1.02*1.05*1.1+KFC!$C$32)*KFC!$C$5</f>
        <v>91.302750000000003</v>
      </c>
      <c r="L23" s="194">
        <f>(82.6*KFC!$B$32*1.02*1.05*1.1+KFC!$C$32)*KFC!$C$5</f>
        <v>97.311060000000012</v>
      </c>
      <c r="M23" s="194">
        <f>(87.4*KFC!$B$32*1.02*1.05*1.1+KFC!$C$32)*KFC!$C$5</f>
        <v>102.96594000000003</v>
      </c>
      <c r="N23" s="194">
        <f>(92.3*KFC!$B$32*1.02*1.05*1.1+KFC!$C$32)*KFC!$C$5</f>
        <v>108.73863000000001</v>
      </c>
      <c r="O23" s="194">
        <f>(97.2*KFC!$B$32*1.02*1.05*1.1+KFC!$C$32)*KFC!$C$5</f>
        <v>114.51132000000001</v>
      </c>
      <c r="P23" s="195">
        <f>(102.1*KFC!$B$32*1.02*1.05*1.1+KFC!$C$32)*KFC!$C$5</f>
        <v>120.28401000000002</v>
      </c>
    </row>
    <row r="24" spans="1:16">
      <c r="A24" s="1781"/>
      <c r="B24" s="333">
        <v>2</v>
      </c>
      <c r="C24" s="334">
        <f>(39.1*KFC!$B$32*1.02*1.05*1.1+KFC!$C$32)*KFC!$C$5</f>
        <v>46.063710000000015</v>
      </c>
      <c r="D24" s="194">
        <f>(44.2*KFC!$B$32*1.02*1.05*1.1+KFC!$C$32)*KFC!$C$5</f>
        <v>52.072020000000009</v>
      </c>
      <c r="E24" s="194">
        <f>(49.2*KFC!$B$32*1.02*1.05*1.1+KFC!$C$32)*KFC!$C$5</f>
        <v>57.962520000000012</v>
      </c>
      <c r="F24" s="194">
        <f>(54.3*KFC!$B$32*1.02*1.05*1.1+KFC!$C$32)*KFC!$C$5</f>
        <v>63.970829999999999</v>
      </c>
      <c r="G24" s="194">
        <f>(59.3*KFC!$B$32*1.02*1.05*1.1+KFC!$C$32)*KFC!$C$5</f>
        <v>69.861330000000009</v>
      </c>
      <c r="H24" s="194">
        <f>(64.3*KFC!$B$32*1.02*1.05*1.1+KFC!$C$32)*KFC!$C$5</f>
        <v>75.751830000000012</v>
      </c>
      <c r="I24" s="194">
        <f>(69.3*KFC!$B$32*1.02*1.05*1.1+KFC!$C$32)*KFC!$C$5</f>
        <v>81.642330000000001</v>
      </c>
      <c r="J24" s="194">
        <f>(74.4*KFC!$B$32*1.02*1.05*1.1+KFC!$C$32)*KFC!$C$5</f>
        <v>87.650640000000024</v>
      </c>
      <c r="K24" s="194">
        <f>(79.5*KFC!$B$32*1.02*1.05*1.1+KFC!$C$32)*KFC!$C$5</f>
        <v>93.658950000000019</v>
      </c>
      <c r="L24" s="194">
        <f>(84.5*KFC!$B$32*1.02*1.05*1.1+KFC!$C$32)*KFC!$C$5</f>
        <v>99.549450000000007</v>
      </c>
      <c r="M24" s="194">
        <f>(89.5*KFC!$B$32*1.02*1.05*1.1+KFC!$C$32)*KFC!$C$5</f>
        <v>105.43995000000002</v>
      </c>
      <c r="N24" s="194">
        <f>(94.5*KFC!$B$32*1.02*1.05*1.1+KFC!$C$32)*KFC!$C$5</f>
        <v>111.33045000000001</v>
      </c>
      <c r="O24" s="194">
        <f>(99.6*KFC!$B$32*1.02*1.05*1.1+KFC!$C$32)*KFC!$C$5</f>
        <v>117.33876000000001</v>
      </c>
      <c r="P24" s="195">
        <f>(104.7*KFC!$B$32*1.02*1.05*1.1+KFC!$C$32)*KFC!$C$5</f>
        <v>123.34707000000003</v>
      </c>
    </row>
    <row r="25" spans="1:16">
      <c r="A25" s="1781"/>
      <c r="B25" s="333">
        <v>2.1</v>
      </c>
      <c r="C25" s="334">
        <f>(40*KFC!$B$32*1.02*1.05*1.1+KFC!$C$32)*KFC!$C$5</f>
        <v>47.124000000000002</v>
      </c>
      <c r="D25" s="194">
        <f>(45.1*KFC!$B$32*1.02*1.05*1.1+KFC!$C$32)*KFC!$C$5</f>
        <v>53.132310000000011</v>
      </c>
      <c r="E25" s="194">
        <f>(50.3*KFC!$B$32*1.02*1.05*1.1+KFC!$C$32)*KFC!$C$5</f>
        <v>59.258430000000004</v>
      </c>
      <c r="F25" s="194">
        <f>(55.4*KFC!$B$32*1.02*1.05*1.1+KFC!$C$32)*KFC!$C$5</f>
        <v>65.266740000000013</v>
      </c>
      <c r="G25" s="194">
        <f>(60.7*KFC!$B$32*1.02*1.05*1.1+KFC!$C$32)*KFC!$C$5</f>
        <v>71.510670000000019</v>
      </c>
      <c r="H25" s="194">
        <f>(65.8*KFC!$B$32*1.02*1.05*1.1+KFC!$C$32)*KFC!$C$5</f>
        <v>77.518980000000013</v>
      </c>
      <c r="I25" s="194">
        <f>(70.9*KFC!$B$32*1.02*1.05*1.1+KFC!$C$32)*KFC!$C$5</f>
        <v>83.527290000000036</v>
      </c>
      <c r="J25" s="194">
        <f>(76.1*KFC!$B$32*1.02*1.05*1.1+KFC!$C$32)*KFC!$C$5</f>
        <v>89.653410000000008</v>
      </c>
      <c r="K25" s="194">
        <f>(81.3*KFC!$B$32*1.02*1.05*1.1+KFC!$C$32)*KFC!$C$5</f>
        <v>95.779530000000022</v>
      </c>
      <c r="L25" s="194">
        <f>(86.5*KFC!$B$32*1.02*1.05*1.1+KFC!$C$32)*KFC!$C$5</f>
        <v>101.90565000000002</v>
      </c>
      <c r="M25" s="194">
        <f>(91.6*KFC!$B$32*1.02*1.05*1.1+KFC!$C$32)*KFC!$C$5</f>
        <v>107.91396</v>
      </c>
      <c r="N25" s="194">
        <f>(96.7*KFC!$B$32*1.02*1.05*1.1+KFC!$C$32)*KFC!$C$5</f>
        <v>113.92227000000001</v>
      </c>
      <c r="O25" s="194">
        <f>(102*KFC!$B$32*1.02*1.05*1.1+KFC!$C$32)*KFC!$C$5</f>
        <v>120.16620000000002</v>
      </c>
      <c r="P25" s="195">
        <f>(107.1*KFC!$B$32*1.02*1.05*1.1+KFC!$C$32)*KFC!$C$5</f>
        <v>126.17451000000001</v>
      </c>
    </row>
    <row r="26" spans="1:16">
      <c r="A26" s="1781"/>
      <c r="B26" s="333">
        <v>2.2000000000000002</v>
      </c>
      <c r="C26" s="334">
        <f>(40.7*KFC!$B$32*1.02*1.05*1.1+KFC!$C$32)*KFC!$C$5</f>
        <v>47.948670000000014</v>
      </c>
      <c r="D26" s="194">
        <f>(46.1*KFC!$B$32*1.02*1.05*1.1+KFC!$C$32)*KFC!$C$5</f>
        <v>54.310410000000012</v>
      </c>
      <c r="E26" s="194">
        <f>(51.4*KFC!$B$32*1.02*1.05*1.1+KFC!$C$32)*KFC!$C$5</f>
        <v>60.554340000000003</v>
      </c>
      <c r="F26" s="194">
        <f>(56.6*KFC!$B$32*1.02*1.05*1.1+KFC!$C$32)*KFC!$C$5</f>
        <v>66.680460000000011</v>
      </c>
      <c r="G26" s="194">
        <f>(62*KFC!$B$32*1.02*1.05*1.1+KFC!$C$32)*KFC!$C$5</f>
        <v>73.042200000000008</v>
      </c>
      <c r="H26" s="194">
        <f>(67.3*KFC!$B$32*1.02*1.05*1.1+KFC!$C$32)*KFC!$C$5</f>
        <v>79.28613</v>
      </c>
      <c r="I26" s="194">
        <f>(72.5*KFC!$B$32*1.02*1.05*1.1+KFC!$C$32)*KFC!$C$5</f>
        <v>85.412250000000014</v>
      </c>
      <c r="J26" s="194">
        <f>(77.8*KFC!$B$32*1.02*1.05*1.1+KFC!$C$32)*KFC!$C$5</f>
        <v>91.656179999999992</v>
      </c>
      <c r="K26" s="194">
        <f>(83.2*KFC!$B$32*1.02*1.05*1.1+KFC!$C$32)*KFC!$C$5</f>
        <v>98.017920000000018</v>
      </c>
      <c r="L26" s="194">
        <f>(88.4*KFC!$B$32*1.02*1.05*1.1+KFC!$C$32)*KFC!$C$5</f>
        <v>104.14404000000002</v>
      </c>
      <c r="M26" s="194">
        <f>(93.7*KFC!$B$32*1.02*1.05*1.1+KFC!$C$32)*KFC!$C$5</f>
        <v>110.38797000000001</v>
      </c>
      <c r="N26" s="194">
        <f>(99.1*KFC!$B$32*1.02*1.05*1.1+KFC!$C$32)*KFC!$C$5</f>
        <v>116.74971000000001</v>
      </c>
      <c r="O26" s="194">
        <f>(104.3*KFC!$B$32*1.02*1.05*1.1+KFC!$C$32)*KFC!$C$5</f>
        <v>122.87583000000001</v>
      </c>
      <c r="P26" s="195">
        <f>(109.6*KFC!$B$32*1.02*1.05*1.1+KFC!$C$32)*KFC!$C$5</f>
        <v>129.11976000000001</v>
      </c>
    </row>
    <row r="27" spans="1:16">
      <c r="A27" s="1781"/>
      <c r="B27" s="333">
        <v>2.2999999999999998</v>
      </c>
      <c r="C27" s="334">
        <f>(41.6*KFC!$B$32*1.02*1.05*1.1+KFC!$C$32)*KFC!$C$5</f>
        <v>49.008960000000009</v>
      </c>
      <c r="D27" s="194">
        <f>(47*KFC!$B$32*1.02*1.05*1.1+KFC!$C$32)*KFC!$C$5</f>
        <v>55.370699999999999</v>
      </c>
      <c r="E27" s="194">
        <f>(52.5*KFC!$B$32*1.02*1.05*1.1+KFC!$C$32)*KFC!$C$5</f>
        <v>61.85025000000001</v>
      </c>
      <c r="F27" s="194">
        <f>(57.8*KFC!$B$32*1.02*1.05*1.1+KFC!$C$32)*KFC!$C$5</f>
        <v>68.094180000000009</v>
      </c>
      <c r="G27" s="194">
        <f>(63.2*KFC!$B$32*1.02*1.05*1.1+KFC!$C$32)*KFC!$C$5</f>
        <v>74.455920000000006</v>
      </c>
      <c r="H27" s="194">
        <f>(68.7*KFC!$B$32*1.02*1.05*1.1+KFC!$C$32)*KFC!$C$5</f>
        <v>80.935470000000009</v>
      </c>
      <c r="I27" s="194">
        <f>(74.1*KFC!$B$32*1.02*1.05*1.1+KFC!$C$32)*KFC!$C$5</f>
        <v>87.297209999999993</v>
      </c>
      <c r="J27" s="194">
        <f>(79.6*KFC!$B$32*1.02*1.05*1.1+KFC!$C$32)*KFC!$C$5</f>
        <v>93.77676000000001</v>
      </c>
      <c r="K27" s="194">
        <f>(85*KFC!$B$32*1.02*1.05*1.1+KFC!$C$32)*KFC!$C$5</f>
        <v>100.13850000000002</v>
      </c>
      <c r="L27" s="194">
        <f>(90.4*KFC!$B$32*1.02*1.05*1.1+KFC!$C$32)*KFC!$C$5</f>
        <v>106.50024000000002</v>
      </c>
      <c r="M27" s="194">
        <f>(95.9*KFC!$B$32*1.02*1.05*1.1+KFC!$C$32)*KFC!$C$5</f>
        <v>112.97979000000002</v>
      </c>
      <c r="N27" s="194">
        <f>(101.3*KFC!$B$32*1.02*1.05*1.1+KFC!$C$32)*KFC!$C$5</f>
        <v>119.34153000000001</v>
      </c>
      <c r="O27" s="194">
        <f>(106.6*KFC!$B$32*1.02*1.05*1.1+KFC!$C$32)*KFC!$C$5</f>
        <v>125.58546000000001</v>
      </c>
      <c r="P27" s="195">
        <f>(112.1*KFC!$B$32*1.02*1.05*1.1+KFC!$C$32)*KFC!$C$5</f>
        <v>132.06501</v>
      </c>
    </row>
    <row r="28" spans="1:16">
      <c r="A28" s="1781"/>
      <c r="B28" s="333">
        <v>2.4</v>
      </c>
      <c r="C28" s="334">
        <f>(42.4*KFC!$B$32*1.02*1.05*1.1+KFC!$C$32)*KFC!$C$5</f>
        <v>49.951440000000005</v>
      </c>
      <c r="D28" s="194">
        <f>(47.9*KFC!$B$32*1.02*1.05*1.1+KFC!$C$32)*KFC!$C$5</f>
        <v>56.430990000000001</v>
      </c>
      <c r="E28" s="194">
        <f>(53.4*KFC!$B$32*1.02*1.05*1.1+KFC!$C$32)*KFC!$C$5</f>
        <v>62.910540000000005</v>
      </c>
      <c r="F28" s="194">
        <f>(59.1*KFC!$B$32*1.02*1.05*1.1+KFC!$C$32)*KFC!$C$5</f>
        <v>69.625710000000012</v>
      </c>
      <c r="G28" s="194">
        <f>(64.6*KFC!$B$32*1.02*1.05*1.1+KFC!$C$32)*KFC!$C$5</f>
        <v>76.105260000000001</v>
      </c>
      <c r="H28" s="194">
        <f>(70.2*KFC!$B$32*1.02*1.05*1.1+KFC!$C$32)*KFC!$C$5</f>
        <v>82.70262000000001</v>
      </c>
      <c r="I28" s="194">
        <f>(75.7*KFC!$B$32*1.02*1.05*1.1+KFC!$C$32)*KFC!$C$5</f>
        <v>89.182170000000013</v>
      </c>
      <c r="J28" s="194">
        <f>(81.3*KFC!$B$32*1.02*1.05*1.1+KFC!$C$32)*KFC!$C$5</f>
        <v>95.779530000000022</v>
      </c>
      <c r="K28" s="194">
        <f>(86.8*KFC!$B$32*1.02*1.05*1.1+KFC!$C$32)*KFC!$C$5</f>
        <v>102.25908000000001</v>
      </c>
      <c r="L28" s="194">
        <f>(92.3*KFC!$B$32*1.02*1.05*1.1+KFC!$C$32)*KFC!$C$5</f>
        <v>108.73863000000001</v>
      </c>
      <c r="M28" s="194">
        <f>(98*KFC!$B$32*1.02*1.05*1.1+KFC!$C$32)*KFC!$C$5</f>
        <v>115.45380000000003</v>
      </c>
      <c r="N28" s="194">
        <f>(103.5*KFC!$B$32*1.02*1.05*1.1+KFC!$C$32)*KFC!$C$5</f>
        <v>121.93335000000003</v>
      </c>
      <c r="O28" s="194">
        <f>(109.1*KFC!$B$32*1.02*1.05*1.1+KFC!$C$32)*KFC!$C$5</f>
        <v>128.53071000000003</v>
      </c>
      <c r="P28" s="195">
        <f>(114.6*KFC!$B$32*1.02*1.05*1.1+KFC!$C$32)*KFC!$C$5</f>
        <v>135.01026000000002</v>
      </c>
    </row>
    <row r="29" spans="1:16">
      <c r="A29" s="1781"/>
      <c r="B29" s="333">
        <v>2.5</v>
      </c>
      <c r="C29" s="334">
        <f>(43.2*KFC!$B$32*1.02*1.05*1.1+KFC!$C$32)*KFC!$C$5</f>
        <v>50.893920000000016</v>
      </c>
      <c r="D29" s="194">
        <f>(48.9*KFC!$B$32*1.02*1.05*1.1+KFC!$C$32)*KFC!$C$5</f>
        <v>57.609090000000009</v>
      </c>
      <c r="E29" s="194">
        <f>(54.5*KFC!$B$32*1.02*1.05*1.1+KFC!$C$32)*KFC!$C$5</f>
        <v>64.206450000000018</v>
      </c>
      <c r="F29" s="194">
        <f>(60.3*KFC!$B$32*1.02*1.05*1.1+KFC!$C$32)*KFC!$C$5</f>
        <v>71.03943000000001</v>
      </c>
      <c r="G29" s="194">
        <f>(65.9*KFC!$B$32*1.02*1.05*1.1+KFC!$C$32)*KFC!$C$5</f>
        <v>77.636790000000005</v>
      </c>
      <c r="H29" s="194">
        <f>(71.7*KFC!$B$32*1.02*1.05*1.1+KFC!$C$32)*KFC!$C$5</f>
        <v>84.469770000000011</v>
      </c>
      <c r="I29" s="194">
        <f>(77.3*KFC!$B$32*1.02*1.05*1.1+KFC!$C$32)*KFC!$C$5</f>
        <v>91.06713000000002</v>
      </c>
      <c r="J29" s="194">
        <f>(83*KFC!$B$32*1.02*1.05*1.1+KFC!$C$32)*KFC!$C$5</f>
        <v>97.782300000000006</v>
      </c>
      <c r="K29" s="194">
        <f>(88.7*KFC!$B$32*1.02*1.05*1.1+KFC!$C$32)*KFC!$C$5</f>
        <v>104.49747000000002</v>
      </c>
      <c r="L29" s="194">
        <f>(94.4*KFC!$B$32*1.02*1.05*1.1+KFC!$C$32)*KFC!$C$5</f>
        <v>111.21264000000002</v>
      </c>
      <c r="M29" s="194">
        <f>(100*KFC!$B$32*1.02*1.05*1.1+KFC!$C$32)*KFC!$C$5</f>
        <v>117.81000000000002</v>
      </c>
      <c r="N29" s="194">
        <f>(105.7*KFC!$B$32*1.02*1.05*1.1+KFC!$C$32)*KFC!$C$5</f>
        <v>124.52517000000003</v>
      </c>
      <c r="O29" s="194">
        <f>(111.4*KFC!$B$32*1.02*1.05*1.1+KFC!$C$32)*KFC!$C$5</f>
        <v>131.24034000000003</v>
      </c>
      <c r="P29" s="195">
        <f>(117*KFC!$B$32*1.02*1.05*1.1+KFC!$C$32)*KFC!$C$5</f>
        <v>137.83770000000001</v>
      </c>
    </row>
    <row r="30" spans="1:16">
      <c r="A30" s="1781"/>
      <c r="B30" s="333">
        <v>2.6</v>
      </c>
      <c r="C30" s="334">
        <f>(44*KFC!$B$32*1.02*1.05*1.1+KFC!$C$32)*KFC!$C$5</f>
        <v>51.836400000000005</v>
      </c>
      <c r="D30" s="194">
        <f>(49.9*KFC!$B$32*1.02*1.05*1.1+KFC!$C$32)*KFC!$C$5</f>
        <v>58.78719000000001</v>
      </c>
      <c r="E30" s="194">
        <f>(55.6*KFC!$B$32*1.02*1.05*1.1+KFC!$C$32)*KFC!$C$5</f>
        <v>65.50236000000001</v>
      </c>
      <c r="F30" s="194">
        <f>(61.5*KFC!$B$32*1.02*1.05*1.1+KFC!$C$32)*KFC!$C$5</f>
        <v>72.453150000000008</v>
      </c>
      <c r="G30" s="194">
        <f>(67.3*KFC!$B$32*1.02*1.05*1.1+KFC!$C$32)*KFC!$C$5</f>
        <v>79.28613</v>
      </c>
      <c r="H30" s="194">
        <f>(73.1*KFC!$B$32*1.02*1.05*1.1+KFC!$C$32)*KFC!$C$5</f>
        <v>86.119110000000006</v>
      </c>
      <c r="I30" s="194">
        <f>(78.9*KFC!$B$32*1.02*1.05*1.1+KFC!$C$32)*KFC!$C$5</f>
        <v>92.952090000000013</v>
      </c>
      <c r="J30" s="194">
        <f>(84.8*KFC!$B$32*1.02*1.05*1.1+KFC!$C$32)*KFC!$C$5</f>
        <v>99.90288000000001</v>
      </c>
      <c r="K30" s="194">
        <f>(90.5*KFC!$B$32*1.02*1.05*1.1+KFC!$C$32)*KFC!$C$5</f>
        <v>106.61805000000001</v>
      </c>
      <c r="L30" s="194">
        <f>(96.4*KFC!$B$32*1.02*1.05*1.1+KFC!$C$32)*KFC!$C$5</f>
        <v>113.56884000000002</v>
      </c>
      <c r="M30" s="194">
        <f>(102.1*KFC!$B$32*1.02*1.05*1.1+KFC!$C$32)*KFC!$C$5</f>
        <v>120.28401000000002</v>
      </c>
      <c r="N30" s="194">
        <f>(108*KFC!$B$32*1.02*1.05*1.1+KFC!$C$32)*KFC!$C$5</f>
        <v>127.23480000000002</v>
      </c>
      <c r="O30" s="194">
        <f>(113.7*KFC!$B$32*1.02*1.05*1.1+KFC!$C$32)*KFC!$C$5</f>
        <v>133.94997000000004</v>
      </c>
      <c r="P30" s="195">
        <f>(119.6*KFC!$B$32*1.02*1.05*1.1+KFC!$C$32)*KFC!$C$5</f>
        <v>140.90076000000002</v>
      </c>
    </row>
    <row r="31" spans="1:16">
      <c r="A31" s="1781"/>
      <c r="B31" s="333">
        <v>2.7</v>
      </c>
      <c r="C31" s="334">
        <f>(44.9*KFC!$B$32*1.02*1.05*1.1+KFC!$C$32)*KFC!$C$5</f>
        <v>52.896690000000007</v>
      </c>
      <c r="D31" s="194">
        <f>(50.8*KFC!$B$32*1.02*1.05*1.1+KFC!$C$32)*KFC!$C$5</f>
        <v>59.847480000000004</v>
      </c>
      <c r="E31" s="194">
        <f>(56.7*KFC!$B$32*1.02*1.05*1.1+KFC!$C$32)*KFC!$C$5</f>
        <v>66.798270000000002</v>
      </c>
      <c r="F31" s="194">
        <f>(62.6*KFC!$B$32*1.02*1.05*1.1+KFC!$C$32)*KFC!$C$5</f>
        <v>73.749060000000014</v>
      </c>
      <c r="G31" s="194">
        <f>(68.6*KFC!$B$32*1.02*1.05*1.1+KFC!$C$32)*KFC!$C$5</f>
        <v>80.817659999999989</v>
      </c>
      <c r="H31" s="194">
        <f>(74.6*KFC!$B$32*1.02*1.05*1.1+KFC!$C$32)*KFC!$C$5</f>
        <v>87.886260000000007</v>
      </c>
      <c r="I31" s="194">
        <f>(80.5*KFC!$B$32*1.02*1.05*1.1+KFC!$C$32)*KFC!$C$5</f>
        <v>94.837050000000019</v>
      </c>
      <c r="J31" s="194">
        <f>(86.5*KFC!$B$32*1.02*1.05*1.1+KFC!$C$32)*KFC!$C$5</f>
        <v>101.90565000000002</v>
      </c>
      <c r="K31" s="194">
        <f>(92.3*KFC!$B$32*1.02*1.05*1.1+KFC!$C$32)*KFC!$C$5</f>
        <v>108.73863000000001</v>
      </c>
      <c r="L31" s="194">
        <f>(98.3*KFC!$B$32*1.02*1.05*1.1+KFC!$C$32)*KFC!$C$5</f>
        <v>115.80723000000002</v>
      </c>
      <c r="M31" s="194">
        <f>(104.2*KFC!$B$32*1.02*1.05*1.1+KFC!$C$32)*KFC!$C$5</f>
        <v>122.75802000000002</v>
      </c>
      <c r="N31" s="194">
        <f>(110.2*KFC!$B$32*1.02*1.05*1.1+KFC!$C$32)*KFC!$C$5</f>
        <v>129.82662000000005</v>
      </c>
      <c r="O31" s="194">
        <f>(116.2*KFC!$B$32*1.02*1.05*1.1+KFC!$C$32)*KFC!$C$5</f>
        <v>136.89522000000002</v>
      </c>
      <c r="P31" s="195">
        <f>(122.1*KFC!$B$32*1.02*1.05*1.1+KFC!$C$32)*KFC!$C$5</f>
        <v>143.84601000000004</v>
      </c>
    </row>
    <row r="32" spans="1:16">
      <c r="A32" s="1781"/>
      <c r="B32" s="333">
        <v>2.8</v>
      </c>
      <c r="C32" s="334">
        <f>(45.6*KFC!$B$32*1.02*1.05*1.1+KFC!$C$32)*KFC!$C$5</f>
        <v>53.721360000000004</v>
      </c>
      <c r="D32" s="194">
        <f>(51.7*KFC!$B$32*1.02*1.05*1.1+KFC!$C$32)*KFC!$C$5</f>
        <v>60.907770000000014</v>
      </c>
      <c r="E32" s="194">
        <f>(57.8*KFC!$B$32*1.02*1.05*1.1+KFC!$C$32)*KFC!$C$5</f>
        <v>68.094180000000009</v>
      </c>
      <c r="F32" s="194">
        <f>(63.8*KFC!$B$32*1.02*1.05*1.1+KFC!$C$32)*KFC!$C$5</f>
        <v>75.162779999999998</v>
      </c>
      <c r="G32" s="194">
        <f>(70*KFC!$B$32*1.02*1.05*1.1+KFC!$C$32)*KFC!$C$5</f>
        <v>82.467000000000027</v>
      </c>
      <c r="H32" s="194">
        <f>(75.9*KFC!$B$32*1.02*1.05*1.1+KFC!$C$32)*KFC!$C$5</f>
        <v>89.417790000000025</v>
      </c>
      <c r="I32" s="194">
        <f>(82.1*KFC!$B$32*1.02*1.05*1.1+KFC!$C$32)*KFC!$C$5</f>
        <v>96.722009999999997</v>
      </c>
      <c r="J32" s="194">
        <f>(88.2*KFC!$B$32*1.02*1.05*1.1+KFC!$C$32)*KFC!$C$5</f>
        <v>103.90842000000001</v>
      </c>
      <c r="K32" s="194">
        <f>(94.2*KFC!$B$32*1.02*1.05*1.1+KFC!$C$32)*KFC!$C$5</f>
        <v>110.97702000000002</v>
      </c>
      <c r="L32" s="194">
        <f>(100.3*KFC!$B$32*1.02*1.05*1.1+KFC!$C$32)*KFC!$C$5</f>
        <v>118.16343000000001</v>
      </c>
      <c r="M32" s="194">
        <f>(106.4*KFC!$B$32*1.02*1.05*1.1+KFC!$C$32)*KFC!$C$5</f>
        <v>125.34984000000001</v>
      </c>
      <c r="N32" s="194">
        <f>(112.4*KFC!$B$32*1.02*1.05*1.1+KFC!$C$32)*KFC!$C$5</f>
        <v>132.41844000000003</v>
      </c>
      <c r="O32" s="194">
        <f>(118.5*KFC!$B$32*1.02*1.05*1.1+KFC!$C$32)*KFC!$C$5</f>
        <v>139.60485000000003</v>
      </c>
      <c r="P32" s="195">
        <f>(124.6*KFC!$B$32*1.02*1.05*1.1+KFC!$C$32)*KFC!$C$5</f>
        <v>146.79126000000002</v>
      </c>
    </row>
    <row r="33" spans="1:16">
      <c r="A33" s="1781"/>
      <c r="B33" s="333">
        <v>2.9</v>
      </c>
      <c r="C33" s="334">
        <f>(46.5*KFC!$B$32*1.02*1.05*1.1+KFC!$C$32)*KFC!$C$5</f>
        <v>54.781650000000006</v>
      </c>
      <c r="D33" s="194">
        <f>(52.7*KFC!$B$32*1.02*1.05*1.1+KFC!$C$32)*KFC!$C$5</f>
        <v>62.085870000000007</v>
      </c>
      <c r="E33" s="194">
        <f>(58.8*KFC!$B$32*1.02*1.05*1.1+KFC!$C$32)*KFC!$C$5</f>
        <v>69.272280000000009</v>
      </c>
      <c r="F33" s="194">
        <f>(65.1*KFC!$B$32*1.02*1.05*1.1+KFC!$C$32)*KFC!$C$5</f>
        <v>76.694310000000002</v>
      </c>
      <c r="G33" s="194">
        <f>(71.3*KFC!$B$32*1.02*1.05*1.1+KFC!$C$32)*KFC!$C$5</f>
        <v>83.998530000000017</v>
      </c>
      <c r="H33" s="194">
        <f>(77.4*KFC!$B$32*1.02*1.05*1.1+KFC!$C$32)*KFC!$C$5</f>
        <v>91.184940000000012</v>
      </c>
      <c r="I33" s="194">
        <f>(83.7*KFC!$B$32*1.02*1.05*1.1+KFC!$C$32)*KFC!$C$5</f>
        <v>98.606970000000032</v>
      </c>
      <c r="J33" s="194">
        <f>(89.9*KFC!$B$32*1.02*1.05*1.1+KFC!$C$32)*KFC!$C$5</f>
        <v>105.91119000000002</v>
      </c>
      <c r="K33" s="194">
        <f>(96*KFC!$B$32*1.02*1.05*1.1+KFC!$C$32)*KFC!$C$5</f>
        <v>113.09760000000001</v>
      </c>
      <c r="L33" s="194">
        <f>(102.2*KFC!$B$32*1.02*1.05*1.1+KFC!$C$32)*KFC!$C$5</f>
        <v>120.40182000000001</v>
      </c>
      <c r="M33" s="194">
        <f>(108.5*KFC!$B$32*1.02*1.05*1.1+KFC!$C$32)*KFC!$C$5</f>
        <v>127.82385000000002</v>
      </c>
      <c r="N33" s="194">
        <f>(114.7*KFC!$B$32*1.02*1.05*1.1+KFC!$C$32)*KFC!$C$5</f>
        <v>135.12807000000001</v>
      </c>
      <c r="O33" s="194">
        <f>(120.8*KFC!$B$32*1.02*1.05*1.1+KFC!$C$32)*KFC!$C$5</f>
        <v>142.31448</v>
      </c>
      <c r="P33" s="195">
        <f>(127.1*KFC!$B$32*1.02*1.05*1.1+KFC!$C$32)*KFC!$C$5</f>
        <v>149.73651000000001</v>
      </c>
    </row>
    <row r="34" spans="1:16">
      <c r="A34" s="1781"/>
      <c r="B34" s="333">
        <v>3</v>
      </c>
      <c r="C34" s="334">
        <f>(47.3*KFC!$B$32*1.02*1.05*1.1+KFC!$C$32)*KFC!$C$5</f>
        <v>55.724130000000002</v>
      </c>
      <c r="D34" s="194">
        <f>(53.6*KFC!$B$32*1.02*1.05*1.1+KFC!$C$32)*KFC!$C$5</f>
        <v>63.146160000000016</v>
      </c>
      <c r="E34" s="194">
        <f>(59.9*KFC!$B$32*1.02*1.05*1.1+KFC!$C$32)*KFC!$C$5</f>
        <v>70.568190000000016</v>
      </c>
      <c r="F34" s="194">
        <f>(66.3*KFC!$B$32*1.02*1.05*1.1+KFC!$C$32)*KFC!$C$5</f>
        <v>78.108030000000028</v>
      </c>
      <c r="G34" s="194">
        <f>(72.6*KFC!$B$32*1.02*1.05*1.1+KFC!$C$32)*KFC!$C$5</f>
        <v>85.530060000000006</v>
      </c>
      <c r="H34" s="194">
        <f>(78.9*KFC!$B$32*1.02*1.05*1.1+KFC!$C$32)*KFC!$C$5</f>
        <v>92.952090000000013</v>
      </c>
      <c r="I34" s="194">
        <f>(85.2*KFC!$B$32*1.02*1.05*1.1+KFC!$C$32)*KFC!$C$5</f>
        <v>100.37412000000002</v>
      </c>
      <c r="J34" s="194">
        <f>(91.6*KFC!$B$32*1.02*1.05*1.1+KFC!$C$32)*KFC!$C$5</f>
        <v>107.91396</v>
      </c>
      <c r="K34" s="194">
        <f>(98*KFC!$B$32*1.02*1.05*1.1+KFC!$C$32)*KFC!$C$5</f>
        <v>115.45380000000003</v>
      </c>
      <c r="L34" s="194">
        <f>(104.2*KFC!$B$32*1.02*1.05*1.1+KFC!$C$32)*KFC!$C$5</f>
        <v>122.75802000000002</v>
      </c>
      <c r="M34" s="194">
        <f>(110.6*KFC!$B$32*1.02*1.05*1.1+KFC!$C$32)*KFC!$C$5</f>
        <v>130.29786000000001</v>
      </c>
      <c r="N34" s="194">
        <f>(116.9*KFC!$B$32*1.02*1.05*1.1+KFC!$C$32)*KFC!$C$5</f>
        <v>137.71989000000002</v>
      </c>
      <c r="O34" s="194">
        <f>(123.3*KFC!$B$32*1.02*1.05*1.1+KFC!$C$32)*KFC!$C$5</f>
        <v>145.25973000000002</v>
      </c>
      <c r="P34" s="195">
        <f>(129.5*KFC!$B$32*1.02*1.05*1.1+KFC!$C$32)*KFC!$C$5</f>
        <v>152.56395000000001</v>
      </c>
    </row>
    <row r="35" spans="1:16">
      <c r="A35" s="1781"/>
      <c r="B35" s="333">
        <v>3.1</v>
      </c>
      <c r="C35" s="334">
        <f>(48.1*KFC!$B$32*1.02*1.05*1.1+KFC!$C$32)*KFC!$C$5</f>
        <v>56.666610000000006</v>
      </c>
      <c r="D35" s="194">
        <f>(54.5*KFC!$B$32*1.02*1.05*1.1+KFC!$C$32)*KFC!$C$5</f>
        <v>64.206450000000018</v>
      </c>
      <c r="E35" s="194">
        <f>(61*KFC!$B$32*1.02*1.05*1.1+KFC!$C$32)*KFC!$C$5</f>
        <v>71.864100000000008</v>
      </c>
      <c r="F35" s="194">
        <f>(67.5*KFC!$B$32*1.02*1.05*1.1+KFC!$C$32)*KFC!$C$5</f>
        <v>79.521750000000011</v>
      </c>
      <c r="G35" s="194">
        <f>(74*KFC!$B$32*1.02*1.05*1.1+KFC!$C$32)*KFC!$C$5</f>
        <v>87.179400000000015</v>
      </c>
      <c r="H35" s="194">
        <f>(80.4*KFC!$B$32*1.02*1.05*1.1+KFC!$C$32)*KFC!$C$5</f>
        <v>94.719240000000028</v>
      </c>
      <c r="I35" s="194">
        <f>(86.8*KFC!$B$32*1.02*1.05*1.1+KFC!$C$32)*KFC!$C$5</f>
        <v>102.25908000000001</v>
      </c>
      <c r="J35" s="194">
        <f>(93.3*KFC!$B$32*1.02*1.05*1.1+KFC!$C$32)*KFC!$C$5</f>
        <v>109.91673000000002</v>
      </c>
      <c r="K35" s="194">
        <f>(99.8*KFC!$B$32*1.02*1.05*1.1+KFC!$C$32)*KFC!$C$5</f>
        <v>117.57438000000002</v>
      </c>
      <c r="L35" s="194">
        <f>(106.2*KFC!$B$32*1.02*1.05*1.1+KFC!$C$32)*KFC!$C$5</f>
        <v>125.11422000000002</v>
      </c>
      <c r="M35" s="194">
        <f>(112.6*KFC!$B$32*1.02*1.05*1.1+KFC!$C$32)*KFC!$C$5</f>
        <v>132.65406000000002</v>
      </c>
      <c r="N35" s="194">
        <f>(119.1*KFC!$B$32*1.02*1.05*1.1+KFC!$C$32)*KFC!$C$5</f>
        <v>140.31171000000001</v>
      </c>
      <c r="O35" s="194">
        <f>(125.6*KFC!$B$32*1.02*1.05*1.1+KFC!$C$32)*KFC!$C$5</f>
        <v>147.96935999999999</v>
      </c>
      <c r="P35" s="195">
        <f>(132.1*KFC!$B$32*1.02*1.05*1.1+KFC!$C$32)*KFC!$C$5</f>
        <v>155.62701000000001</v>
      </c>
    </row>
    <row r="36" spans="1:16" ht="13.8" thickBot="1">
      <c r="A36" s="1782"/>
      <c r="B36" s="335">
        <v>3.2</v>
      </c>
      <c r="C36" s="336">
        <f>(48.9*KFC!$B$32*1.02*1.05*1.1+KFC!$C$32)*KFC!$C$5</f>
        <v>57.609090000000009</v>
      </c>
      <c r="D36" s="196">
        <f>(55.5*KFC!$B$32*1.02*1.05*1.1+KFC!$C$32)*KFC!$C$5</f>
        <v>65.384550000000004</v>
      </c>
      <c r="E36" s="196">
        <f>(62.1*KFC!$B$32*1.02*1.05*1.1+KFC!$C$32)*KFC!$C$5</f>
        <v>73.160010000000014</v>
      </c>
      <c r="F36" s="196">
        <f>(68.7*KFC!$B$32*1.02*1.05*1.1+KFC!$C$32)*KFC!$C$5</f>
        <v>80.935470000000009</v>
      </c>
      <c r="G36" s="196">
        <f>(75.2*KFC!$B$32*1.02*1.05*1.1+KFC!$C$32)*KFC!$C$5</f>
        <v>88.593120000000013</v>
      </c>
      <c r="H36" s="196">
        <f>(81.8*KFC!$B$32*1.02*1.05*1.1+KFC!$C$32)*KFC!$C$5</f>
        <v>96.368580000000009</v>
      </c>
      <c r="I36" s="196">
        <f>(88.4*KFC!$B$32*1.02*1.05*1.1+KFC!$C$32)*KFC!$C$5</f>
        <v>104.14404000000002</v>
      </c>
      <c r="J36" s="196">
        <f>(95*KFC!$B$32*1.02*1.05*1.1+KFC!$C$32)*KFC!$C$5</f>
        <v>111.91950000000001</v>
      </c>
      <c r="K36" s="196">
        <f>(101.6*KFC!$B$32*1.02*1.05*1.1+KFC!$C$32)*KFC!$C$5</f>
        <v>119.69496000000001</v>
      </c>
      <c r="L36" s="196">
        <f>(108.2*KFC!$B$32*1.02*1.05*1.1+KFC!$C$32)*KFC!$C$5</f>
        <v>127.47042000000002</v>
      </c>
      <c r="M36" s="196">
        <f>(114.7*KFC!$B$32*1.02*1.05*1.1+KFC!$C$32)*KFC!$C$5</f>
        <v>135.12807000000001</v>
      </c>
      <c r="N36" s="196">
        <f>(121.3*KFC!$B$32*1.02*1.05*1.1+KFC!$C$32)*KFC!$C$5</f>
        <v>142.90353000000002</v>
      </c>
      <c r="O36" s="196">
        <f>(127.9*KFC!$B$32*1.02*1.05*1.1+KFC!$C$32)*KFC!$C$5</f>
        <v>150.67899</v>
      </c>
      <c r="P36" s="197">
        <f>(134.5*KFC!$B$32*1.02*1.05*1.1+KFC!$C$32)*KFC!$C$5</f>
        <v>158.45445000000001</v>
      </c>
    </row>
    <row r="37" spans="1:16" ht="13.8" thickBot="1"/>
    <row r="38" spans="1:16" ht="13.5" customHeight="1" thickBot="1">
      <c r="A38" s="1413" t="s">
        <v>315</v>
      </c>
      <c r="B38" s="1415"/>
      <c r="C38" s="1898" t="s">
        <v>207</v>
      </c>
      <c r="D38" s="1899"/>
      <c r="E38" s="1899"/>
      <c r="F38" s="1899"/>
      <c r="G38" s="1899"/>
      <c r="H38" s="1899"/>
      <c r="I38" s="1899"/>
      <c r="J38" s="1899"/>
      <c r="K38" s="1899"/>
      <c r="L38" s="1899"/>
      <c r="M38" s="1899"/>
      <c r="N38" s="1899"/>
      <c r="O38" s="1899"/>
      <c r="P38" s="1900"/>
    </row>
    <row r="39" spans="1:16" ht="13.8" thickBot="1">
      <c r="A39" s="1803"/>
      <c r="B39" s="1802"/>
      <c r="C39" s="328">
        <v>0.4</v>
      </c>
      <c r="D39" s="329">
        <v>0.5</v>
      </c>
      <c r="E39" s="329">
        <v>0.6</v>
      </c>
      <c r="F39" s="329">
        <v>0.7</v>
      </c>
      <c r="G39" s="329">
        <v>0.8</v>
      </c>
      <c r="H39" s="329">
        <v>0.9</v>
      </c>
      <c r="I39" s="329">
        <v>1</v>
      </c>
      <c r="J39" s="329">
        <v>1.1000000000000001</v>
      </c>
      <c r="K39" s="329">
        <v>1.2</v>
      </c>
      <c r="L39" s="329">
        <v>1.3</v>
      </c>
      <c r="M39" s="329">
        <v>1.4</v>
      </c>
      <c r="N39" s="329">
        <v>1.5</v>
      </c>
      <c r="O39" s="329">
        <v>1.6</v>
      </c>
      <c r="P39" s="330">
        <v>1.7</v>
      </c>
    </row>
    <row r="40" spans="1:16" ht="12.75" customHeight="1">
      <c r="A40" s="1780" t="s">
        <v>3</v>
      </c>
      <c r="B40" s="331">
        <v>0.5</v>
      </c>
      <c r="C40" s="332">
        <f>(30.6*KFC!$B$32*1.02*1.1*1.1+KFC!$C$32)*KFC!$C$5</f>
        <v>37.766520000000007</v>
      </c>
      <c r="D40" s="192">
        <f>(33.9*KFC!$B$32*1.02*1.1*1.1+KFC!$C$32)*KFC!$C$5</f>
        <v>41.839380000000006</v>
      </c>
      <c r="E40" s="192">
        <f>(37.2*KFC!$B$32*1.02*1.1*1.1+KFC!$C$32)*KFC!$C$5</f>
        <v>45.912240000000011</v>
      </c>
      <c r="F40" s="192">
        <f>(40.5*KFC!$B$32*1.02*1.1*1.1+KFC!$C$32)*KFC!$C$5</f>
        <v>49.985100000000017</v>
      </c>
      <c r="G40" s="192">
        <f>(43.8*KFC!$B$32*1.02*1.1*1.1+KFC!$C$32)*KFC!$C$5</f>
        <v>54.057960000000001</v>
      </c>
      <c r="H40" s="192">
        <f>(47.1*KFC!$B$32*1.02*1.1*1.1+KFC!$C$32)*KFC!$C$5</f>
        <v>58.130820000000007</v>
      </c>
      <c r="I40" s="192">
        <f>(50.4*KFC!$B$32*1.02*1.1*1.1+KFC!$C$32)*KFC!$C$5</f>
        <v>62.203680000000013</v>
      </c>
      <c r="J40" s="192">
        <f>(53.6*KFC!$B$32*1.02*1.1*1.1+KFC!$C$32)*KFC!$C$5</f>
        <v>66.153120000000015</v>
      </c>
      <c r="K40" s="192">
        <f>(56.9*KFC!$B$32*1.02*1.1*1.1+KFC!$C$32)*KFC!$C$5</f>
        <v>70.225980000000007</v>
      </c>
      <c r="L40" s="192">
        <f>(60.2*KFC!$B$32*1.02*1.1*1.1+KFC!$C$32)*KFC!$C$5</f>
        <v>74.298840000000013</v>
      </c>
      <c r="M40" s="192">
        <f>(63.5*KFC!$B$32*1.02*1.1*1.1+KFC!$C$32)*KFC!$C$5</f>
        <v>78.371700000000004</v>
      </c>
      <c r="N40" s="192">
        <f>(66.8*KFC!$B$32*1.02*1.1*1.1+KFC!$C$32)*KFC!$C$5</f>
        <v>82.44456000000001</v>
      </c>
      <c r="O40" s="192">
        <f>(70.1*KFC!$B$32*1.02*1.1*1.1+KFC!$C$32)*KFC!$C$5</f>
        <v>86.517420000000016</v>
      </c>
      <c r="P40" s="193">
        <f>(73.4*KFC!$B$32*1.02*1.1*1.1+KFC!$C$32)*KFC!$C$5</f>
        <v>90.590280000000021</v>
      </c>
    </row>
    <row r="41" spans="1:16">
      <c r="A41" s="1781"/>
      <c r="B41" s="333">
        <v>0.6</v>
      </c>
      <c r="C41" s="334">
        <f>(31.4*KFC!$B$32*1.02*1.1*1.1+KFC!$C$32)*KFC!$C$5</f>
        <v>38.753880000000002</v>
      </c>
      <c r="D41" s="194">
        <f>(34.9*KFC!$B$32*1.02*1.1*1.1+KFC!$C$32)*KFC!$C$5</f>
        <v>43.073580000000007</v>
      </c>
      <c r="E41" s="194">
        <f>(38.3*KFC!$B$32*1.02*1.1*1.1+KFC!$C$32)*KFC!$C$5</f>
        <v>47.269860000000001</v>
      </c>
      <c r="F41" s="194">
        <f>(41.7*KFC!$B$32*1.02*1.1*1.1+KFC!$C$32)*KFC!$C$5</f>
        <v>51.466140000000017</v>
      </c>
      <c r="G41" s="194">
        <f>(45.1*KFC!$B$32*1.02*1.1*1.1+KFC!$C$32)*KFC!$C$5</f>
        <v>55.662420000000012</v>
      </c>
      <c r="H41" s="194">
        <f>(48.6*KFC!$B$32*1.02*1.1*1.1+KFC!$C$32)*KFC!$C$5</f>
        <v>59.982120000000016</v>
      </c>
      <c r="I41" s="194">
        <f>(52.1*KFC!$B$32*1.02*1.1*1.1+KFC!$C$32)*KFC!$C$5</f>
        <v>64.301820000000021</v>
      </c>
      <c r="J41" s="194">
        <f>(55.5*KFC!$B$32*1.02*1.1*1.1+KFC!$C$32)*KFC!$C$5</f>
        <v>68.498100000000008</v>
      </c>
      <c r="K41" s="194">
        <f>(58.9*KFC!$B$32*1.02*1.1*1.1+KFC!$C$32)*KFC!$C$5</f>
        <v>72.69438000000001</v>
      </c>
      <c r="L41" s="194">
        <f>(62.4*KFC!$B$32*1.02*1.1*1.1+KFC!$C$32)*KFC!$C$5</f>
        <v>77.014080000000007</v>
      </c>
      <c r="M41" s="194">
        <f>(65.8*KFC!$B$32*1.02*1.1*1.1+KFC!$C$32)*KFC!$C$5</f>
        <v>81.210360000000009</v>
      </c>
      <c r="N41" s="194">
        <f>(69.2*KFC!$B$32*1.02*1.1*1.1+KFC!$C$32)*KFC!$C$5</f>
        <v>85.40664000000001</v>
      </c>
      <c r="O41" s="194">
        <f>(72.6*KFC!$B$32*1.02*1.1*1.1+KFC!$C$32)*KFC!$C$5</f>
        <v>89.602920000000012</v>
      </c>
      <c r="P41" s="195">
        <f>(76.1*KFC!$B$32*1.02*1.1*1.1+KFC!$C$32)*KFC!$C$5</f>
        <v>93.922620000000009</v>
      </c>
    </row>
    <row r="42" spans="1:16">
      <c r="A42" s="1781"/>
      <c r="B42" s="333">
        <v>0.7</v>
      </c>
      <c r="C42" s="334">
        <f>(32.3*KFC!$B$32*1.02*1.1*1.1+KFC!$C$32)*KFC!$C$5</f>
        <v>39.864660000000001</v>
      </c>
      <c r="D42" s="194">
        <f>(35.8*KFC!$B$32*1.02*1.1*1.1+KFC!$C$32)*KFC!$C$5</f>
        <v>44.184360000000005</v>
      </c>
      <c r="E42" s="194">
        <f>(39.5*KFC!$B$32*1.02*1.1*1.1+KFC!$C$32)*KFC!$C$5</f>
        <v>48.750900000000009</v>
      </c>
      <c r="F42" s="194">
        <f>(43*KFC!$B$32*1.02*1.1*1.1+KFC!$C$32)*KFC!$C$5</f>
        <v>53.070600000000006</v>
      </c>
      <c r="G42" s="194">
        <f>(46.6*KFC!$B$32*1.02*1.1*1.1+KFC!$C$32)*KFC!$C$5</f>
        <v>57.513720000000013</v>
      </c>
      <c r="H42" s="194">
        <f>(50.1*KFC!$B$32*1.02*1.1*1.1+KFC!$C$32)*KFC!$C$5</f>
        <v>61.833420000000018</v>
      </c>
      <c r="I42" s="194">
        <f>(53.8*KFC!$B$32*1.02*1.1*1.1+KFC!$C$32)*KFC!$C$5</f>
        <v>66.399960000000007</v>
      </c>
      <c r="J42" s="194">
        <f>(57.4*KFC!$B$32*1.02*1.1*1.1+KFC!$C$32)*KFC!$C$5</f>
        <v>70.843080000000015</v>
      </c>
      <c r="K42" s="194">
        <f>(60.9*KFC!$B$32*1.02*1.1*1.1+KFC!$C$32)*KFC!$C$5</f>
        <v>75.162780000000012</v>
      </c>
      <c r="L42" s="194">
        <f>(64.5*KFC!$B$32*1.02*1.1*1.1+KFC!$C$32)*KFC!$C$5</f>
        <v>79.60590000000002</v>
      </c>
      <c r="M42" s="194">
        <f>(68.1*KFC!$B$32*1.02*1.1*1.1+KFC!$C$32)*KFC!$C$5</f>
        <v>84.049019999999999</v>
      </c>
      <c r="N42" s="194">
        <f>(71.7*KFC!$B$32*1.02*1.1*1.1+KFC!$C$32)*KFC!$C$5</f>
        <v>88.492140000000006</v>
      </c>
      <c r="O42" s="194">
        <f>(75.2*KFC!$B$32*1.02*1.1*1.1+KFC!$C$32)*KFC!$C$5</f>
        <v>92.811840000000018</v>
      </c>
      <c r="P42" s="195">
        <f>(78.8*KFC!$B$32*1.02*1.1*1.1+KFC!$C$32)*KFC!$C$5</f>
        <v>97.254960000000025</v>
      </c>
    </row>
    <row r="43" spans="1:16">
      <c r="A43" s="1781"/>
      <c r="B43" s="333">
        <v>0.8</v>
      </c>
      <c r="C43" s="334">
        <f>(33.1*KFC!$B$32*1.02*1.1*1.1+KFC!$C$32)*KFC!$C$5</f>
        <v>40.85202000000001</v>
      </c>
      <c r="D43" s="194">
        <f>(36.9*KFC!$B$32*1.02*1.1*1.1+KFC!$C$32)*KFC!$C$5</f>
        <v>45.541980000000002</v>
      </c>
      <c r="E43" s="194">
        <f>(40.6*KFC!$B$32*1.02*1.1*1.1+KFC!$C$32)*KFC!$C$5</f>
        <v>50.108520000000006</v>
      </c>
      <c r="F43" s="194">
        <f>(44.3*KFC!$B$32*1.02*1.1*1.1+KFC!$C$32)*KFC!$C$5</f>
        <v>54.675060000000009</v>
      </c>
      <c r="G43" s="194">
        <f>(48.1*KFC!$B$32*1.02*1.1*1.1+KFC!$C$32)*KFC!$C$5</f>
        <v>59.365020000000015</v>
      </c>
      <c r="H43" s="194">
        <f>(51.7*KFC!$B$32*1.02*1.1*1.1+KFC!$C$32)*KFC!$C$5</f>
        <v>63.808140000000009</v>
      </c>
      <c r="I43" s="194">
        <f>(55.5*KFC!$B$32*1.02*1.1*1.1+KFC!$C$32)*KFC!$C$5</f>
        <v>68.498100000000008</v>
      </c>
      <c r="J43" s="194">
        <f>(59.2*KFC!$B$32*1.02*1.1*1.1+KFC!$C$32)*KFC!$C$5</f>
        <v>73.064640000000011</v>
      </c>
      <c r="K43" s="194">
        <f>(63*KFC!$B$32*1.02*1.1*1.1+KFC!$C$32)*KFC!$C$5</f>
        <v>77.754600000000011</v>
      </c>
      <c r="L43" s="194">
        <f>(66.7*KFC!$B$32*1.02*1.1*1.1+KFC!$C$32)*KFC!$C$5</f>
        <v>82.321140000000028</v>
      </c>
      <c r="M43" s="194">
        <f>(70.3*KFC!$B$32*1.02*1.1*1.1+KFC!$C$32)*KFC!$C$5</f>
        <v>86.764260000000021</v>
      </c>
      <c r="N43" s="194">
        <f>(74.1*KFC!$B$32*1.02*1.1*1.1+KFC!$C$32)*KFC!$C$5</f>
        <v>91.454220000000007</v>
      </c>
      <c r="O43" s="194">
        <f>(77.8*KFC!$B$32*1.02*1.1*1.1+KFC!$C$32)*KFC!$C$5</f>
        <v>96.02076000000001</v>
      </c>
      <c r="P43" s="195">
        <f>(81.6*KFC!$B$32*1.02*1.1*1.1+KFC!$C$32)*KFC!$C$5</f>
        <v>100.71072000000002</v>
      </c>
    </row>
    <row r="44" spans="1:16">
      <c r="A44" s="1781"/>
      <c r="B44" s="333">
        <v>0.9</v>
      </c>
      <c r="C44" s="334">
        <f>(34*KFC!$B$32*1.02*1.1*1.1+KFC!$C$32)*KFC!$C$5</f>
        <v>41.962800000000009</v>
      </c>
      <c r="D44" s="194">
        <f>(37.9*KFC!$B$32*1.02*1.1*1.1+KFC!$C$32)*KFC!$C$5</f>
        <v>46.776180000000004</v>
      </c>
      <c r="E44" s="194">
        <f>(41.7*KFC!$B$32*1.02*1.1*1.1+KFC!$C$32)*KFC!$C$5</f>
        <v>51.466140000000017</v>
      </c>
      <c r="F44" s="194">
        <f>(45.6*KFC!$B$32*1.02*1.1*1.1+KFC!$C$32)*KFC!$C$5</f>
        <v>56.279520000000005</v>
      </c>
      <c r="G44" s="194">
        <f>(49.5*KFC!$B$32*1.02*1.1*1.1+KFC!$C$32)*KFC!$C$5</f>
        <v>61.092900000000014</v>
      </c>
      <c r="H44" s="194">
        <f>(53.3*KFC!$B$32*1.02*1.1*1.1+KFC!$C$32)*KFC!$C$5</f>
        <v>65.782860000000014</v>
      </c>
      <c r="I44" s="194">
        <f>(57.2*KFC!$B$32*1.02*1.1*1.1+KFC!$C$32)*KFC!$C$5</f>
        <v>70.596240000000023</v>
      </c>
      <c r="J44" s="194">
        <f>(61*KFC!$B$32*1.02*1.1*1.1+KFC!$C$32)*KFC!$C$5</f>
        <v>75.286200000000008</v>
      </c>
      <c r="K44" s="194">
        <f>(64.9*KFC!$B$32*1.02*1.1*1.1+KFC!$C$32)*KFC!$C$5</f>
        <v>80.099580000000032</v>
      </c>
      <c r="L44" s="194">
        <f>(68.9*KFC!$B$32*1.02*1.1*1.1+KFC!$C$32)*KFC!$C$5</f>
        <v>85.036380000000023</v>
      </c>
      <c r="M44" s="194">
        <f>(72.6*KFC!$B$32*1.02*1.1*1.1+KFC!$C$32)*KFC!$C$5</f>
        <v>89.602920000000012</v>
      </c>
      <c r="N44" s="194">
        <f>(76.6*KFC!$B$32*1.02*1.1*1.1+KFC!$C$32)*KFC!$C$5</f>
        <v>94.539720000000003</v>
      </c>
      <c r="O44" s="194">
        <f>(80.4*KFC!$B$32*1.02*1.1*1.1+KFC!$C$32)*KFC!$C$5</f>
        <v>99.22968000000003</v>
      </c>
      <c r="P44" s="195">
        <f>(84.3*KFC!$B$32*1.02*1.1*1.1+KFC!$C$32)*KFC!$C$5</f>
        <v>104.04306000000001</v>
      </c>
    </row>
    <row r="45" spans="1:16">
      <c r="A45" s="1781"/>
      <c r="B45" s="333">
        <v>1</v>
      </c>
      <c r="C45" s="334">
        <f>(34.9*KFC!$B$32*1.02*1.1*1.1+KFC!$C$32)*KFC!$C$5</f>
        <v>43.073580000000007</v>
      </c>
      <c r="D45" s="194">
        <f>(38.9*KFC!$B$32*1.02*1.1*1.1+KFC!$C$32)*KFC!$C$5</f>
        <v>48.010380000000005</v>
      </c>
      <c r="E45" s="194">
        <f>(42.9*KFC!$B$32*1.02*1.1*1.1+KFC!$C$32)*KFC!$C$5</f>
        <v>52.94718000000001</v>
      </c>
      <c r="F45" s="194">
        <f>(46.8*KFC!$B$32*1.02*1.1*1.1+KFC!$C$32)*KFC!$C$5</f>
        <v>57.760560000000005</v>
      </c>
      <c r="G45" s="194">
        <f>(50.9*KFC!$B$32*1.02*1.1*1.1+KFC!$C$32)*KFC!$C$5</f>
        <v>62.820780000000013</v>
      </c>
      <c r="H45" s="194">
        <f>(54.9*KFC!$B$32*1.02*1.1*1.1+KFC!$C$32)*KFC!$C$5</f>
        <v>67.757580000000004</v>
      </c>
      <c r="I45" s="194">
        <f>(58.9*KFC!$B$32*1.02*1.1*1.1+KFC!$C$32)*KFC!$C$5</f>
        <v>72.69438000000001</v>
      </c>
      <c r="J45" s="194">
        <f>(63*KFC!$B$32*1.02*1.1*1.1+KFC!$C$32)*KFC!$C$5</f>
        <v>77.754600000000011</v>
      </c>
      <c r="K45" s="194">
        <f>(66.9*KFC!$B$32*1.02*1.1*1.1+KFC!$C$32)*KFC!$C$5</f>
        <v>82.567980000000034</v>
      </c>
      <c r="L45" s="194">
        <f>(70.9*KFC!$B$32*1.02*1.1*1.1+KFC!$C$32)*KFC!$C$5</f>
        <v>87.504780000000025</v>
      </c>
      <c r="M45" s="194">
        <f>(75*KFC!$B$32*1.02*1.1*1.1+KFC!$C$32)*KFC!$C$5</f>
        <v>92.565000000000012</v>
      </c>
      <c r="N45" s="194">
        <f>(79*KFC!$B$32*1.02*1.1*1.1+KFC!$C$32)*KFC!$C$5</f>
        <v>97.501800000000017</v>
      </c>
      <c r="O45" s="194">
        <f>(82.9*KFC!$B$32*1.02*1.1*1.1+KFC!$C$32)*KFC!$C$5</f>
        <v>102.31518000000003</v>
      </c>
      <c r="P45" s="195">
        <f>(87*KFC!$B$32*1.02*1.1*1.1+KFC!$C$32)*KFC!$C$5</f>
        <v>107.37540000000001</v>
      </c>
    </row>
    <row r="46" spans="1:16">
      <c r="A46" s="1781"/>
      <c r="B46" s="333">
        <v>1.1000000000000001</v>
      </c>
      <c r="C46" s="334">
        <f>(35.7*KFC!$B$32*1.02*1.1*1.1+KFC!$C$32)*KFC!$C$5</f>
        <v>44.060940000000009</v>
      </c>
      <c r="D46" s="194">
        <f>(39.9*KFC!$B$32*1.02*1.1*1.1+KFC!$C$32)*KFC!$C$5</f>
        <v>49.244580000000006</v>
      </c>
      <c r="E46" s="194">
        <f>(44*KFC!$B$32*1.02*1.1*1.1+KFC!$C$32)*KFC!$C$5</f>
        <v>54.304800000000014</v>
      </c>
      <c r="F46" s="194">
        <f>(48.2*KFC!$B$32*1.02*1.1*1.1+KFC!$C$32)*KFC!$C$5</f>
        <v>59.488440000000011</v>
      </c>
      <c r="G46" s="194">
        <f>(52.3*KFC!$B$32*1.02*1.1*1.1+KFC!$C$32)*KFC!$C$5</f>
        <v>64.548659999999998</v>
      </c>
      <c r="H46" s="194">
        <f>(56.5*KFC!$B$32*1.02*1.1*1.1+KFC!$C$32)*KFC!$C$5</f>
        <v>69.732300000000009</v>
      </c>
      <c r="I46" s="194">
        <f>(60.7*KFC!$B$32*1.02*1.1*1.1+KFC!$C$32)*KFC!$C$5</f>
        <v>74.915940000000006</v>
      </c>
      <c r="J46" s="194">
        <f>(64.8*KFC!$B$32*1.02*1.1*1.1+KFC!$C$32)*KFC!$C$5</f>
        <v>79.976160000000007</v>
      </c>
      <c r="K46" s="194">
        <f>(69*KFC!$B$32*1.02*1.1*1.1+KFC!$C$32)*KFC!$C$5</f>
        <v>85.159800000000018</v>
      </c>
      <c r="L46" s="194">
        <f>(73.1*KFC!$B$32*1.02*1.1*1.1+KFC!$C$32)*KFC!$C$5</f>
        <v>90.220020000000019</v>
      </c>
      <c r="M46" s="194">
        <f>(77.3*KFC!$B$32*1.02*1.1*1.1+KFC!$C$32)*KFC!$C$5</f>
        <v>95.403660000000016</v>
      </c>
      <c r="N46" s="194">
        <f>(81.3*KFC!$B$32*1.02*1.1*1.1+KFC!$C$32)*KFC!$C$5</f>
        <v>100.34046000000002</v>
      </c>
      <c r="O46" s="194">
        <f>(85.5*KFC!$B$32*1.02*1.1*1.1+KFC!$C$32)*KFC!$C$5</f>
        <v>105.52410000000002</v>
      </c>
      <c r="P46" s="195">
        <f>(89.6*KFC!$B$32*1.02*1.1*1.1+KFC!$C$32)*KFC!$C$5</f>
        <v>110.58432000000001</v>
      </c>
    </row>
    <row r="47" spans="1:16">
      <c r="A47" s="1781"/>
      <c r="B47" s="333">
        <v>1.2</v>
      </c>
      <c r="C47" s="334">
        <f>(36.6*KFC!$B$32*1.02*1.1*1.1+KFC!$C$32)*KFC!$C$5</f>
        <v>45.171720000000008</v>
      </c>
      <c r="D47" s="194">
        <f>(40.8*KFC!$B$32*1.02*1.1*1.1+KFC!$C$32)*KFC!$C$5</f>
        <v>50.355360000000012</v>
      </c>
      <c r="E47" s="194">
        <f>(45.1*KFC!$B$32*1.02*1.1*1.1+KFC!$C$32)*KFC!$C$5</f>
        <v>55.662420000000012</v>
      </c>
      <c r="F47" s="194">
        <f>(49.5*KFC!$B$32*1.02*1.1*1.1+KFC!$C$32)*KFC!$C$5</f>
        <v>61.092900000000014</v>
      </c>
      <c r="G47" s="194">
        <f>(53.8*KFC!$B$32*1.02*1.1*1.1+KFC!$C$32)*KFC!$C$5</f>
        <v>66.399960000000007</v>
      </c>
      <c r="H47" s="194">
        <f>(58.1*KFC!$B$32*1.02*1.1*1.1+KFC!$C$32)*KFC!$C$5</f>
        <v>71.707020000000014</v>
      </c>
      <c r="I47" s="194">
        <f>(62.4*KFC!$B$32*1.02*1.1*1.1+KFC!$C$32)*KFC!$C$5</f>
        <v>77.014080000000007</v>
      </c>
      <c r="J47" s="194">
        <f>(66.7*KFC!$B$32*1.02*1.1*1.1+KFC!$C$32)*KFC!$C$5</f>
        <v>82.321140000000028</v>
      </c>
      <c r="K47" s="194">
        <f>(70.9*KFC!$B$32*1.02*1.1*1.1+KFC!$C$32)*KFC!$C$5</f>
        <v>87.504780000000025</v>
      </c>
      <c r="L47" s="194">
        <f>(75.2*KFC!$B$32*1.02*1.1*1.1+KFC!$C$32)*KFC!$C$5</f>
        <v>92.811840000000018</v>
      </c>
      <c r="M47" s="194">
        <f>(79.5*KFC!$B$32*1.02*1.1*1.1+KFC!$C$32)*KFC!$C$5</f>
        <v>98.118900000000025</v>
      </c>
      <c r="N47" s="194">
        <f>(83.8*KFC!$B$32*1.02*1.1*1.1+KFC!$C$32)*KFC!$C$5</f>
        <v>103.42596</v>
      </c>
      <c r="O47" s="194">
        <f>(88.1*KFC!$B$32*1.02*1.1*1.1+KFC!$C$32)*KFC!$C$5</f>
        <v>108.73302000000001</v>
      </c>
      <c r="P47" s="195">
        <f>(92.5*KFC!$B$32*1.02*1.1*1.1+KFC!$C$32)*KFC!$C$5</f>
        <v>114.16350000000003</v>
      </c>
    </row>
    <row r="48" spans="1:16">
      <c r="A48" s="1781"/>
      <c r="B48" s="333">
        <v>1.3</v>
      </c>
      <c r="C48" s="334">
        <f>(37.4*KFC!$B$32*1.02*1.1*1.1+KFC!$C$32)*KFC!$C$5</f>
        <v>46.159080000000003</v>
      </c>
      <c r="D48" s="194">
        <f>(41.9*KFC!$B$32*1.02*1.1*1.1+KFC!$C$32)*KFC!$C$5</f>
        <v>51.712980000000002</v>
      </c>
      <c r="E48" s="194">
        <f>(46.4*KFC!$B$32*1.02*1.1*1.1+KFC!$C$32)*KFC!$C$5</f>
        <v>57.266880000000008</v>
      </c>
      <c r="F48" s="194">
        <f>(50.8*KFC!$B$32*1.02*1.1*1.1+KFC!$C$32)*KFC!$C$5</f>
        <v>62.697360000000003</v>
      </c>
      <c r="G48" s="194">
        <f>(55.2*KFC!$B$32*1.02*1.1*1.1+KFC!$C$32)*KFC!$C$5</f>
        <v>68.12784000000002</v>
      </c>
      <c r="H48" s="194">
        <f>(59.7*KFC!$B$32*1.02*1.1*1.1+KFC!$C$32)*KFC!$C$5</f>
        <v>73.681740000000019</v>
      </c>
      <c r="I48" s="194">
        <f>(64.1*KFC!$B$32*1.02*1.1*1.1+KFC!$C$32)*KFC!$C$5</f>
        <v>79.112219999999994</v>
      </c>
      <c r="J48" s="194">
        <f>(68.5*KFC!$B$32*1.02*1.1*1.1+KFC!$C$32)*KFC!$C$5</f>
        <v>84.542700000000025</v>
      </c>
      <c r="K48" s="194">
        <f>(72.9*KFC!$B$32*1.02*1.1*1.1+KFC!$C$32)*KFC!$C$5</f>
        <v>89.973180000000013</v>
      </c>
      <c r="L48" s="194">
        <f>(77.4*KFC!$B$32*1.02*1.1*1.1+KFC!$C$32)*KFC!$C$5</f>
        <v>95.527080000000026</v>
      </c>
      <c r="M48" s="194">
        <f>(81.8*KFC!$B$32*1.02*1.1*1.1+KFC!$C$32)*KFC!$C$5</f>
        <v>100.95756000000002</v>
      </c>
      <c r="N48" s="194">
        <f>(86.2*KFC!$B$32*1.02*1.1*1.1+KFC!$C$32)*KFC!$C$5</f>
        <v>106.38804000000003</v>
      </c>
      <c r="O48" s="194">
        <f>(90.7*KFC!$B$32*1.02*1.1*1.1+KFC!$C$32)*KFC!$C$5</f>
        <v>111.94194000000003</v>
      </c>
      <c r="P48" s="195">
        <f>(95.1*KFC!$B$32*1.02*1.1*1.1+KFC!$C$32)*KFC!$C$5</f>
        <v>117.37242000000002</v>
      </c>
    </row>
    <row r="49" spans="1:16">
      <c r="A49" s="1781"/>
      <c r="B49" s="333">
        <v>1.4</v>
      </c>
      <c r="C49" s="334">
        <f>(38.3*KFC!$B$32*1.02*1.1*1.1+KFC!$C$32)*KFC!$C$5</f>
        <v>47.269860000000001</v>
      </c>
      <c r="D49" s="194">
        <f>(42.9*KFC!$B$32*1.02*1.1*1.1+KFC!$C$32)*KFC!$C$5</f>
        <v>52.94718000000001</v>
      </c>
      <c r="E49" s="194">
        <f>(47.5*KFC!$B$32*1.02*1.1*1.1+KFC!$C$32)*KFC!$C$5</f>
        <v>58.624500000000012</v>
      </c>
      <c r="F49" s="194">
        <f>(52.1*KFC!$B$32*1.02*1.1*1.1+KFC!$C$32)*KFC!$C$5</f>
        <v>64.301820000000021</v>
      </c>
      <c r="G49" s="194">
        <f>(56.6*KFC!$B$32*1.02*1.1*1.1+KFC!$C$32)*KFC!$C$5</f>
        <v>69.855720000000005</v>
      </c>
      <c r="H49" s="194">
        <f>(61.3*KFC!$B$32*1.02*1.1*1.1+KFC!$C$32)*KFC!$C$5</f>
        <v>75.65646000000001</v>
      </c>
      <c r="I49" s="194">
        <f>(65.8*KFC!$B$32*1.02*1.1*1.1+KFC!$C$32)*KFC!$C$5</f>
        <v>81.210360000000009</v>
      </c>
      <c r="J49" s="194">
        <f>(70.3*KFC!$B$32*1.02*1.1*1.1+KFC!$C$32)*KFC!$C$5</f>
        <v>86.764260000000021</v>
      </c>
      <c r="K49" s="194">
        <f>(75*KFC!$B$32*1.02*1.1*1.1+KFC!$C$32)*KFC!$C$5</f>
        <v>92.565000000000012</v>
      </c>
      <c r="L49" s="194">
        <f>(79.5*KFC!$B$32*1.02*1.1*1.1+KFC!$C$32)*KFC!$C$5</f>
        <v>98.118900000000025</v>
      </c>
      <c r="M49" s="194">
        <f>(84.1*KFC!$B$32*1.02*1.1*1.1+KFC!$C$32)*KFC!$C$5</f>
        <v>103.79622000000002</v>
      </c>
      <c r="N49" s="194">
        <f>(88.7*KFC!$B$32*1.02*1.1*1.1+KFC!$C$32)*KFC!$C$5</f>
        <v>109.47354000000003</v>
      </c>
      <c r="O49" s="194">
        <f>(93.3*KFC!$B$32*1.02*1.1*1.1+KFC!$C$32)*KFC!$C$5</f>
        <v>115.15086000000002</v>
      </c>
      <c r="P49" s="195">
        <f>(97.8*KFC!$B$32*1.02*1.1*1.1+KFC!$C$32)*KFC!$C$5</f>
        <v>120.70476000000002</v>
      </c>
    </row>
    <row r="50" spans="1:16">
      <c r="A50" s="1781"/>
      <c r="B50" s="333">
        <v>1.5</v>
      </c>
      <c r="C50" s="334">
        <f>(39.1*KFC!$B$32*1.02*1.1*1.1+KFC!$C$32)*KFC!$C$5</f>
        <v>48.257220000000018</v>
      </c>
      <c r="D50" s="194">
        <f>(43.9*KFC!$B$32*1.02*1.1*1.1+KFC!$C$32)*KFC!$C$5</f>
        <v>54.181380000000004</v>
      </c>
      <c r="E50" s="194">
        <f>(48.7*KFC!$B$32*1.02*1.1*1.1+KFC!$C$32)*KFC!$C$5</f>
        <v>60.105540000000019</v>
      </c>
      <c r="F50" s="194">
        <f>(53.3*KFC!$B$32*1.02*1.1*1.1+KFC!$C$32)*KFC!$C$5</f>
        <v>65.782860000000014</v>
      </c>
      <c r="G50" s="194">
        <f>(58.1*KFC!$B$32*1.02*1.1*1.1+KFC!$C$32)*KFC!$C$5</f>
        <v>71.707020000000014</v>
      </c>
      <c r="H50" s="194">
        <f>(62.7*KFC!$B$32*1.02*1.1*1.1+KFC!$C$32)*KFC!$C$5</f>
        <v>77.384340000000009</v>
      </c>
      <c r="I50" s="194">
        <f>(67.5*KFC!$B$32*1.02*1.1*1.1+KFC!$C$32)*KFC!$C$5</f>
        <v>83.308500000000009</v>
      </c>
      <c r="J50" s="194">
        <f>(72.3*KFC!$B$32*1.02*1.1*1.1+KFC!$C$32)*KFC!$C$5</f>
        <v>89.23266000000001</v>
      </c>
      <c r="K50" s="194">
        <f>(76.9*KFC!$B$32*1.02*1.1*1.1+KFC!$C$32)*KFC!$C$5</f>
        <v>94.909980000000019</v>
      </c>
      <c r="L50" s="194">
        <f>(81.7*KFC!$B$32*1.02*1.1*1.1+KFC!$C$32)*KFC!$C$5</f>
        <v>100.83414000000002</v>
      </c>
      <c r="M50" s="194">
        <f>(86.3*KFC!$B$32*1.02*1.1*1.1+KFC!$C$32)*KFC!$C$5</f>
        <v>106.51146000000001</v>
      </c>
      <c r="N50" s="194">
        <f>(91.1*KFC!$B$32*1.02*1.1*1.1+KFC!$C$32)*KFC!$C$5</f>
        <v>112.43562000000001</v>
      </c>
      <c r="O50" s="194">
        <f>(95.9*KFC!$B$32*1.02*1.1*1.1+KFC!$C$32)*KFC!$C$5</f>
        <v>118.35978000000003</v>
      </c>
      <c r="P50" s="195">
        <f>(100.5*KFC!$B$32*1.02*1.1*1.1+KFC!$C$32)*KFC!$C$5</f>
        <v>124.03710000000002</v>
      </c>
    </row>
    <row r="51" spans="1:16">
      <c r="A51" s="1781"/>
      <c r="B51" s="333">
        <v>1.6</v>
      </c>
      <c r="C51" s="334">
        <f>(40*KFC!$B$32*1.02*1.1*1.1+KFC!$C$32)*KFC!$C$5</f>
        <v>49.368000000000009</v>
      </c>
      <c r="D51" s="194">
        <f>(44.9*KFC!$B$32*1.02*1.1*1.1+KFC!$C$32)*KFC!$C$5</f>
        <v>55.415580000000013</v>
      </c>
      <c r="E51" s="194">
        <f>(49.8*KFC!$B$32*1.02*1.1*1.1+KFC!$C$32)*KFC!$C$5</f>
        <v>61.463160000000009</v>
      </c>
      <c r="F51" s="194">
        <f>(54.7*KFC!$B$32*1.02*1.1*1.1+KFC!$C$32)*KFC!$C$5</f>
        <v>67.510740000000013</v>
      </c>
      <c r="G51" s="194">
        <f>(59.4*KFC!$B$32*1.02*1.1*1.1+KFC!$C$32)*KFC!$C$5</f>
        <v>73.311480000000017</v>
      </c>
      <c r="H51" s="194">
        <f>(64.3*KFC!$B$32*1.02*1.1*1.1+KFC!$C$32)*KFC!$C$5</f>
        <v>79.359060000000014</v>
      </c>
      <c r="I51" s="194">
        <f>(69.2*KFC!$B$32*1.02*1.1*1.1+KFC!$C$32)*KFC!$C$5</f>
        <v>85.40664000000001</v>
      </c>
      <c r="J51" s="194">
        <f>(74.1*KFC!$B$32*1.02*1.1*1.1+KFC!$C$32)*KFC!$C$5</f>
        <v>91.454220000000007</v>
      </c>
      <c r="K51" s="194">
        <f>(79*KFC!$B$32*1.02*1.1*1.1+KFC!$C$32)*KFC!$C$5</f>
        <v>97.501800000000017</v>
      </c>
      <c r="L51" s="194">
        <f>(83.8*KFC!$B$32*1.02*1.1*1.1+KFC!$C$32)*KFC!$C$5</f>
        <v>103.42596</v>
      </c>
      <c r="M51" s="194">
        <f>(88.7*KFC!$B$32*1.02*1.1*1.1+KFC!$C$32)*KFC!$C$5</f>
        <v>109.47354000000003</v>
      </c>
      <c r="N51" s="194">
        <f>(93.6*KFC!$B$32*1.02*1.1*1.1+KFC!$C$32)*KFC!$C$5</f>
        <v>115.52112000000001</v>
      </c>
      <c r="O51" s="194">
        <f>(98.5*KFC!$B$32*1.02*1.1*1.1+KFC!$C$32)*KFC!$C$5</f>
        <v>121.56870000000002</v>
      </c>
      <c r="P51" s="195">
        <f>(103.2*KFC!$B$32*1.02*1.1*1.1+KFC!$C$32)*KFC!$C$5</f>
        <v>127.36944000000003</v>
      </c>
    </row>
    <row r="52" spans="1:16">
      <c r="A52" s="1781"/>
      <c r="B52" s="333">
        <v>1.7</v>
      </c>
      <c r="C52" s="334">
        <f>(40.8*KFC!$B$32*1.02*1.1*1.1+KFC!$C$32)*KFC!$C$5</f>
        <v>50.355360000000012</v>
      </c>
      <c r="D52" s="194">
        <f>(45.9*KFC!$B$32*1.02*1.1*1.1+KFC!$C$32)*KFC!$C$5</f>
        <v>56.649780000000007</v>
      </c>
      <c r="E52" s="194">
        <f>(50.9*KFC!$B$32*1.02*1.1*1.1+KFC!$C$32)*KFC!$C$5</f>
        <v>62.820780000000013</v>
      </c>
      <c r="F52" s="194">
        <f>(55.9*KFC!$B$32*1.02*1.1*1.1+KFC!$C$32)*KFC!$C$5</f>
        <v>68.991780000000006</v>
      </c>
      <c r="G52" s="194">
        <f>(60.9*KFC!$B$32*1.02*1.1*1.1+KFC!$C$32)*KFC!$C$5</f>
        <v>75.162780000000012</v>
      </c>
      <c r="H52" s="194">
        <f>(65.9*KFC!$B$32*1.02*1.1*1.1+KFC!$C$32)*KFC!$C$5</f>
        <v>81.333780000000019</v>
      </c>
      <c r="I52" s="194">
        <f>(70.9*KFC!$B$32*1.02*1.1*1.1+KFC!$C$32)*KFC!$C$5</f>
        <v>87.504780000000025</v>
      </c>
      <c r="J52" s="194">
        <f>(75.9*KFC!$B$32*1.02*1.1*1.1+KFC!$C$32)*KFC!$C$5</f>
        <v>93.675780000000032</v>
      </c>
      <c r="K52" s="194">
        <f>(81*KFC!$B$32*1.02*1.1*1.1+KFC!$C$32)*KFC!$C$5</f>
        <v>99.970200000000034</v>
      </c>
      <c r="L52" s="194">
        <f>(86*KFC!$B$32*1.02*1.1*1.1+KFC!$C$32)*KFC!$C$5</f>
        <v>106.14120000000001</v>
      </c>
      <c r="M52" s="194">
        <f>(91*KFC!$B$32*1.02*1.1*1.1+KFC!$C$32)*KFC!$C$5</f>
        <v>112.31220000000003</v>
      </c>
      <c r="N52" s="194">
        <f>(96*KFC!$B$32*1.02*1.1*1.1+KFC!$C$32)*KFC!$C$5</f>
        <v>118.48320000000002</v>
      </c>
      <c r="O52" s="194">
        <f>(101*KFC!$B$32*1.02*1.1*1.1+KFC!$C$32)*KFC!$C$5</f>
        <v>124.65420000000002</v>
      </c>
      <c r="P52" s="195">
        <f>(106*KFC!$B$32*1.02*1.1*1.1+KFC!$C$32)*KFC!$C$5</f>
        <v>130.82520000000002</v>
      </c>
    </row>
    <row r="53" spans="1:16">
      <c r="A53" s="1781"/>
      <c r="B53" s="333">
        <v>1.8</v>
      </c>
      <c r="C53" s="334">
        <f>(41.7*KFC!$B$32*1.02*1.1*1.1+KFC!$C$32)*KFC!$C$5</f>
        <v>51.466140000000017</v>
      </c>
      <c r="D53" s="194">
        <f>(47*KFC!$B$32*1.02*1.1*1.1+KFC!$C$32)*KFC!$C$5</f>
        <v>58.007400000000004</v>
      </c>
      <c r="E53" s="194">
        <f>(52.1*KFC!$B$32*1.02*1.1*1.1+KFC!$C$32)*KFC!$C$5</f>
        <v>64.301820000000021</v>
      </c>
      <c r="F53" s="194">
        <f>(57.2*KFC!$B$32*1.02*1.1*1.1+KFC!$C$32)*KFC!$C$5</f>
        <v>70.596240000000023</v>
      </c>
      <c r="G53" s="194">
        <f>(62.4*KFC!$B$32*1.02*1.1*1.1+KFC!$C$32)*KFC!$C$5</f>
        <v>77.014080000000007</v>
      </c>
      <c r="H53" s="194">
        <f>(67.5*KFC!$B$32*1.02*1.1*1.1+KFC!$C$32)*KFC!$C$5</f>
        <v>83.308500000000009</v>
      </c>
      <c r="I53" s="194">
        <f>(72.6*KFC!$B$32*1.02*1.1*1.1+KFC!$C$32)*KFC!$C$5</f>
        <v>89.602920000000012</v>
      </c>
      <c r="J53" s="194">
        <f>(77.8*KFC!$B$32*1.02*1.1*1.1+KFC!$C$32)*KFC!$C$5</f>
        <v>96.02076000000001</v>
      </c>
      <c r="K53" s="194">
        <f>(82.9*KFC!$B$32*1.02*1.1*1.1+KFC!$C$32)*KFC!$C$5</f>
        <v>102.31518000000003</v>
      </c>
      <c r="L53" s="194">
        <f>(88.1*KFC!$B$32*1.02*1.1*1.1+KFC!$C$32)*KFC!$C$5</f>
        <v>108.73302000000001</v>
      </c>
      <c r="M53" s="194">
        <f>(93.3*KFC!$B$32*1.02*1.1*1.1+KFC!$C$32)*KFC!$C$5</f>
        <v>115.15086000000002</v>
      </c>
      <c r="N53" s="194">
        <f>(98.5*KFC!$B$32*1.02*1.1*1.1+KFC!$C$32)*KFC!$C$5</f>
        <v>121.56870000000002</v>
      </c>
      <c r="O53" s="194">
        <f>(103.6*KFC!$B$32*1.02*1.1*1.1+KFC!$C$32)*KFC!$C$5</f>
        <v>127.86312000000002</v>
      </c>
      <c r="P53" s="195">
        <f>(108.7*KFC!$B$32*1.02*1.1*1.1+KFC!$C$32)*KFC!$C$5</f>
        <v>134.15754000000004</v>
      </c>
    </row>
    <row r="54" spans="1:16">
      <c r="A54" s="1781"/>
      <c r="B54" s="333">
        <v>1.9</v>
      </c>
      <c r="C54" s="334">
        <f>(42.7*KFC!$B$32*1.02*1.1*1.1+KFC!$C$32)*KFC!$C$5</f>
        <v>52.700340000000011</v>
      </c>
      <c r="D54" s="194">
        <f>(47.9*KFC!$B$32*1.02*1.1*1.1+KFC!$C$32)*KFC!$C$5</f>
        <v>59.118180000000002</v>
      </c>
      <c r="E54" s="194">
        <f>(53.2*KFC!$B$32*1.02*1.1*1.1+KFC!$C$32)*KFC!$C$5</f>
        <v>65.659440000000018</v>
      </c>
      <c r="F54" s="194">
        <f>(58.5*KFC!$B$32*1.02*1.1*1.1+KFC!$C$32)*KFC!$C$5</f>
        <v>72.200700000000012</v>
      </c>
      <c r="G54" s="194">
        <f>(63.8*KFC!$B$32*1.02*1.1*1.1+KFC!$C$32)*KFC!$C$5</f>
        <v>78.741960000000006</v>
      </c>
      <c r="H54" s="194">
        <f>(69.1*KFC!$B$32*1.02*1.1*1.1+KFC!$C$32)*KFC!$C$5</f>
        <v>85.283220000000014</v>
      </c>
      <c r="I54" s="194">
        <f>(74.4*KFC!$B$32*1.02*1.1*1.1+KFC!$C$32)*KFC!$C$5</f>
        <v>91.824480000000023</v>
      </c>
      <c r="J54" s="194">
        <f>(79.6*KFC!$B$32*1.02*1.1*1.1+KFC!$C$32)*KFC!$C$5</f>
        <v>98.242320000000007</v>
      </c>
      <c r="K54" s="194">
        <f>(85*KFC!$B$32*1.02*1.1*1.1+KFC!$C$32)*KFC!$C$5</f>
        <v>104.90700000000001</v>
      </c>
      <c r="L54" s="194">
        <f>(90.3*KFC!$B$32*1.02*1.1*1.1+KFC!$C$32)*KFC!$C$5</f>
        <v>111.44826000000002</v>
      </c>
      <c r="M54" s="194">
        <f>(95.5*KFC!$B$32*1.02*1.1*1.1+KFC!$C$32)*KFC!$C$5</f>
        <v>117.86610000000002</v>
      </c>
      <c r="N54" s="194">
        <f>(100.9*KFC!$B$32*1.02*1.1*1.1+KFC!$C$32)*KFC!$C$5</f>
        <v>124.53078000000002</v>
      </c>
      <c r="O54" s="194">
        <f>(106.2*KFC!$B$32*1.02*1.1*1.1+KFC!$C$32)*KFC!$C$5</f>
        <v>131.07204000000002</v>
      </c>
      <c r="P54" s="195">
        <f>(111.4*KFC!$B$32*1.02*1.1*1.1+KFC!$C$32)*KFC!$C$5</f>
        <v>137.48988000000003</v>
      </c>
    </row>
    <row r="55" spans="1:16">
      <c r="A55" s="1781"/>
      <c r="B55" s="333">
        <v>2</v>
      </c>
      <c r="C55" s="334">
        <f>(43.5*KFC!$B$32*1.02*1.1*1.1+KFC!$C$32)*KFC!$C$5</f>
        <v>53.687700000000007</v>
      </c>
      <c r="D55" s="194">
        <f>(48.9*KFC!$B$32*1.02*1.1*1.1+KFC!$C$32)*KFC!$C$5</f>
        <v>60.352380000000011</v>
      </c>
      <c r="E55" s="194">
        <f>(54.3*KFC!$B$32*1.02*1.1*1.1+KFC!$C$32)*KFC!$C$5</f>
        <v>67.017060000000001</v>
      </c>
      <c r="F55" s="194">
        <f>(59.8*KFC!$B$32*1.02*1.1*1.1+KFC!$C$32)*KFC!$C$5</f>
        <v>73.805160000000015</v>
      </c>
      <c r="G55" s="194">
        <f>(65.2*KFC!$B$32*1.02*1.1*1.1+KFC!$C$32)*KFC!$C$5</f>
        <v>80.469840000000019</v>
      </c>
      <c r="H55" s="194">
        <f>(70.7*KFC!$B$32*1.02*1.1*1.1+KFC!$C$32)*KFC!$C$5</f>
        <v>87.257940000000019</v>
      </c>
      <c r="I55" s="194">
        <f>(76.1*KFC!$B$32*1.02*1.1*1.1+KFC!$C$32)*KFC!$C$5</f>
        <v>93.922620000000009</v>
      </c>
      <c r="J55" s="194">
        <f>(81.6*KFC!$B$32*1.02*1.1*1.1+KFC!$C$32)*KFC!$C$5</f>
        <v>100.71072000000002</v>
      </c>
      <c r="K55" s="194">
        <f>(87*KFC!$B$32*1.02*1.1*1.1+KFC!$C$32)*KFC!$C$5</f>
        <v>107.37540000000001</v>
      </c>
      <c r="L55" s="194">
        <f>(92.5*KFC!$B$32*1.02*1.1*1.1+KFC!$C$32)*KFC!$C$5</f>
        <v>114.16350000000003</v>
      </c>
      <c r="M55" s="194">
        <f>(97.8*KFC!$B$32*1.02*1.1*1.1+KFC!$C$32)*KFC!$C$5</f>
        <v>120.70476000000002</v>
      </c>
      <c r="N55" s="194">
        <f>(103.2*KFC!$B$32*1.02*1.1*1.1+KFC!$C$32)*KFC!$C$5</f>
        <v>127.36944000000003</v>
      </c>
      <c r="O55" s="194">
        <f>(108.7*KFC!$B$32*1.02*1.1*1.1+KFC!$C$32)*KFC!$C$5</f>
        <v>134.15754000000004</v>
      </c>
      <c r="P55" s="195">
        <f>(114.1*KFC!$B$32*1.02*1.1*1.1+KFC!$C$32)*KFC!$C$5</f>
        <v>140.82221999999999</v>
      </c>
    </row>
    <row r="56" spans="1:16">
      <c r="A56" s="1781"/>
      <c r="B56" s="333">
        <v>2.1</v>
      </c>
      <c r="C56" s="334">
        <f>(44.4*KFC!$B$32*1.02*1.1*1.1+KFC!$C$32)*KFC!$C$5</f>
        <v>54.798480000000005</v>
      </c>
      <c r="D56" s="194">
        <f>(49.9*KFC!$B$32*1.02*1.1*1.1+KFC!$C$32)*KFC!$C$5</f>
        <v>61.586580000000005</v>
      </c>
      <c r="E56" s="194">
        <f>(55.5*KFC!$B$32*1.02*1.1*1.1+KFC!$C$32)*KFC!$C$5</f>
        <v>68.498100000000008</v>
      </c>
      <c r="F56" s="194">
        <f>(61*KFC!$B$32*1.02*1.1*1.1+KFC!$C$32)*KFC!$C$5</f>
        <v>75.286200000000008</v>
      </c>
      <c r="G56" s="194">
        <f>(66.7*KFC!$B$32*1.02*1.1*1.1+KFC!$C$32)*KFC!$C$5</f>
        <v>82.321140000000028</v>
      </c>
      <c r="H56" s="194">
        <f>(72.3*KFC!$B$32*1.02*1.1*1.1+KFC!$C$32)*KFC!$C$5</f>
        <v>89.23266000000001</v>
      </c>
      <c r="I56" s="194">
        <f>(77.8*KFC!$B$32*1.02*1.1*1.1+KFC!$C$32)*KFC!$C$5</f>
        <v>96.02076000000001</v>
      </c>
      <c r="J56" s="194">
        <f>(83.4*KFC!$B$32*1.02*1.1*1.1+KFC!$C$32)*KFC!$C$5</f>
        <v>102.93228000000003</v>
      </c>
      <c r="K56" s="194">
        <f>(88.9*KFC!$B$32*1.02*1.1*1.1+KFC!$C$32)*KFC!$C$5</f>
        <v>109.72038000000003</v>
      </c>
      <c r="L56" s="194">
        <f>(94.5*KFC!$B$32*1.02*1.1*1.1+KFC!$C$32)*KFC!$C$5</f>
        <v>116.63190000000002</v>
      </c>
      <c r="M56" s="194">
        <f>(100.2*KFC!$B$32*1.02*1.1*1.1+KFC!$C$32)*KFC!$C$5</f>
        <v>123.66684000000004</v>
      </c>
      <c r="N56" s="194">
        <f>(105.7*KFC!$B$32*1.02*1.1*1.1+KFC!$C$32)*KFC!$C$5</f>
        <v>130.45494000000002</v>
      </c>
      <c r="O56" s="194">
        <f>(111.3*KFC!$B$32*1.02*1.1*1.1+KFC!$C$32)*KFC!$C$5</f>
        <v>137.36646000000002</v>
      </c>
      <c r="P56" s="195">
        <f>(116.9*KFC!$B$32*1.02*1.1*1.1+KFC!$C$32)*KFC!$C$5</f>
        <v>144.27798000000004</v>
      </c>
    </row>
    <row r="57" spans="1:16">
      <c r="A57" s="1781"/>
      <c r="B57" s="333">
        <v>2.2000000000000002</v>
      </c>
      <c r="C57" s="334">
        <f>(45.3*KFC!$B$32*1.02*1.1*1.1+KFC!$C$32)*KFC!$C$5</f>
        <v>55.909260000000003</v>
      </c>
      <c r="D57" s="194">
        <f>(50.9*KFC!$B$32*1.02*1.1*1.1+KFC!$C$32)*KFC!$C$5</f>
        <v>62.820780000000013</v>
      </c>
      <c r="E57" s="194">
        <f>(56.6*KFC!$B$32*1.02*1.1*1.1+KFC!$C$32)*KFC!$C$5</f>
        <v>69.855720000000005</v>
      </c>
      <c r="F57" s="194">
        <f>(62.4*KFC!$B$32*1.02*1.1*1.1+KFC!$C$32)*KFC!$C$5</f>
        <v>77.014080000000007</v>
      </c>
      <c r="G57" s="194">
        <f>(68.1*KFC!$B$32*1.02*1.1*1.1+KFC!$C$32)*KFC!$C$5</f>
        <v>84.049019999999999</v>
      </c>
      <c r="H57" s="194">
        <f>(73.9*KFC!$B$32*1.02*1.1*1.1+KFC!$C$32)*KFC!$C$5</f>
        <v>91.207380000000015</v>
      </c>
      <c r="I57" s="194">
        <f>(79.5*KFC!$B$32*1.02*1.1*1.1+KFC!$C$32)*KFC!$C$5</f>
        <v>98.118900000000025</v>
      </c>
      <c r="J57" s="194">
        <f>(85.2*KFC!$B$32*1.02*1.1*1.1+KFC!$C$32)*KFC!$C$5</f>
        <v>105.15384000000003</v>
      </c>
      <c r="K57" s="194">
        <f>(91*KFC!$B$32*1.02*1.1*1.1+KFC!$C$32)*KFC!$C$5</f>
        <v>112.31220000000003</v>
      </c>
      <c r="L57" s="194">
        <f>(96.7*KFC!$B$32*1.02*1.1*1.1+KFC!$C$32)*KFC!$C$5</f>
        <v>119.34714000000002</v>
      </c>
      <c r="M57" s="194">
        <f>(102.4*KFC!$B$32*1.02*1.1*1.1+KFC!$C$32)*KFC!$C$5</f>
        <v>126.38208000000003</v>
      </c>
      <c r="N57" s="194">
        <f>(108.1*KFC!$B$32*1.02*1.1*1.1+KFC!$C$32)*KFC!$C$5</f>
        <v>133.41702000000001</v>
      </c>
      <c r="O57" s="194">
        <f>(113.9*KFC!$B$32*1.02*1.1*1.1+KFC!$C$32)*KFC!$C$5</f>
        <v>140.57538000000005</v>
      </c>
      <c r="P57" s="195">
        <f>(119.6*KFC!$B$32*1.02*1.1*1.1+KFC!$C$32)*KFC!$C$5</f>
        <v>147.61032000000003</v>
      </c>
    </row>
    <row r="58" spans="1:16">
      <c r="A58" s="1781"/>
      <c r="B58" s="333">
        <v>2.2999999999999998</v>
      </c>
      <c r="C58" s="334">
        <f>(46.1*KFC!$B$32*1.02*1.1*1.1+KFC!$C$32)*KFC!$C$5</f>
        <v>56.896620000000013</v>
      </c>
      <c r="D58" s="194">
        <f>(52*KFC!$B$32*1.02*1.1*1.1+KFC!$C$32)*KFC!$C$5</f>
        <v>64.178400000000011</v>
      </c>
      <c r="E58" s="194">
        <f>(57.8*KFC!$B$32*1.02*1.1*1.1+KFC!$C$32)*KFC!$C$5</f>
        <v>71.336760000000012</v>
      </c>
      <c r="F58" s="194">
        <f>(63.7*KFC!$B$32*1.02*1.1*1.1+KFC!$C$32)*KFC!$C$5</f>
        <v>78.618540000000024</v>
      </c>
      <c r="G58" s="194">
        <f>(69.5*KFC!$B$32*1.02*1.1*1.1+KFC!$C$32)*KFC!$C$5</f>
        <v>85.776900000000026</v>
      </c>
      <c r="H58" s="194">
        <f>(75.3*KFC!$B$32*1.02*1.1*1.1+KFC!$C$32)*KFC!$C$5</f>
        <v>92.935260000000014</v>
      </c>
      <c r="I58" s="194">
        <f>(81.2*KFC!$B$32*1.02*1.1*1.1+KFC!$C$32)*KFC!$C$5</f>
        <v>100.21704000000001</v>
      </c>
      <c r="J58" s="194">
        <f>(87.1*KFC!$B$32*1.02*1.1*1.1+KFC!$C$32)*KFC!$C$5</f>
        <v>107.49882000000001</v>
      </c>
      <c r="K58" s="194">
        <f>(92.9*KFC!$B$32*1.02*1.1*1.1+KFC!$C$32)*KFC!$C$5</f>
        <v>114.65718000000003</v>
      </c>
      <c r="L58" s="194">
        <f>(98.8*KFC!$B$32*1.02*1.1*1.1+KFC!$C$32)*KFC!$C$5</f>
        <v>121.93896000000001</v>
      </c>
      <c r="M58" s="194">
        <f>(104.7*KFC!$B$32*1.02*1.1*1.1+KFC!$C$32)*KFC!$C$5</f>
        <v>129.22074000000003</v>
      </c>
      <c r="N58" s="194">
        <f>(110.6*KFC!$B$32*1.02*1.1*1.1+KFC!$C$32)*KFC!$C$5</f>
        <v>136.50252000000003</v>
      </c>
      <c r="O58" s="194">
        <f>(116.4*KFC!$B$32*1.02*1.1*1.1+KFC!$C$32)*KFC!$C$5</f>
        <v>143.66088000000005</v>
      </c>
      <c r="P58" s="195">
        <f>(122.3*KFC!$B$32*1.02*1.1*1.1+KFC!$C$32)*KFC!$C$5</f>
        <v>150.94266000000005</v>
      </c>
    </row>
    <row r="59" spans="1:16">
      <c r="A59" s="1781"/>
      <c r="B59" s="333">
        <v>2.4</v>
      </c>
      <c r="C59" s="334">
        <f>(47*KFC!$B$32*1.02*1.1*1.1+KFC!$C$32)*KFC!$C$5</f>
        <v>58.007400000000004</v>
      </c>
      <c r="D59" s="194">
        <f>(53*KFC!$B$32*1.02*1.1*1.1+KFC!$C$32)*KFC!$C$5</f>
        <v>65.412600000000012</v>
      </c>
      <c r="E59" s="194">
        <f>(58.9*KFC!$B$32*1.02*1.1*1.1+KFC!$C$32)*KFC!$C$5</f>
        <v>72.69438000000001</v>
      </c>
      <c r="F59" s="194">
        <f>(64.9*KFC!$B$32*1.02*1.1*1.1+KFC!$C$32)*KFC!$C$5</f>
        <v>80.099580000000032</v>
      </c>
      <c r="G59" s="194">
        <f>(70.9*KFC!$B$32*1.02*1.1*1.1+KFC!$C$32)*KFC!$C$5</f>
        <v>87.504780000000025</v>
      </c>
      <c r="H59" s="194">
        <f>(76.9*KFC!$B$32*1.02*1.1*1.1+KFC!$C$32)*KFC!$C$5</f>
        <v>94.909980000000019</v>
      </c>
      <c r="I59" s="194">
        <f>(82.9*KFC!$B$32*1.02*1.1*1.1+KFC!$C$32)*KFC!$C$5</f>
        <v>102.31518000000003</v>
      </c>
      <c r="J59" s="194">
        <f>(89*KFC!$B$32*1.02*1.1*1.1+KFC!$C$32)*KFC!$C$5</f>
        <v>109.84380000000002</v>
      </c>
      <c r="K59" s="194">
        <f>(95*KFC!$B$32*1.02*1.1*1.1+KFC!$C$32)*KFC!$C$5</f>
        <v>117.24900000000002</v>
      </c>
      <c r="L59" s="194">
        <f>(101*KFC!$B$32*1.02*1.1*1.1+KFC!$C$32)*KFC!$C$5</f>
        <v>124.65420000000002</v>
      </c>
      <c r="M59" s="194">
        <f>(107*KFC!$B$32*1.02*1.1*1.1+KFC!$C$32)*KFC!$C$5</f>
        <v>132.05940000000004</v>
      </c>
      <c r="N59" s="194">
        <f>(113*KFC!$B$32*1.02*1.1*1.1+KFC!$C$32)*KFC!$C$5</f>
        <v>139.46460000000002</v>
      </c>
      <c r="O59" s="194">
        <f>(119*KFC!$B$32*1.02*1.1*1.1+KFC!$C$32)*KFC!$C$5</f>
        <v>146.86980000000003</v>
      </c>
      <c r="P59" s="195">
        <f>(125*KFC!$B$32*1.02*1.1*1.1+KFC!$C$32)*KFC!$C$5</f>
        <v>154.27500000000001</v>
      </c>
    </row>
    <row r="60" spans="1:16">
      <c r="A60" s="1781"/>
      <c r="B60" s="333">
        <v>2.5</v>
      </c>
      <c r="C60" s="334">
        <f>(47.8*KFC!$B$32*1.02*1.1*1.1+KFC!$C$32)*KFC!$C$5</f>
        <v>58.994760000000014</v>
      </c>
      <c r="D60" s="194">
        <f>(53.9*KFC!$B$32*1.02*1.1*1.1+KFC!$C$32)*KFC!$C$5</f>
        <v>66.523380000000017</v>
      </c>
      <c r="E60" s="194">
        <f>(60*KFC!$B$32*1.02*1.1*1.1+KFC!$C$32)*KFC!$C$5</f>
        <v>74.052000000000021</v>
      </c>
      <c r="F60" s="194">
        <f>(66.3*KFC!$B$32*1.02*1.1*1.1+KFC!$C$32)*KFC!$C$5</f>
        <v>81.827460000000016</v>
      </c>
      <c r="G60" s="194">
        <f>(72.4*KFC!$B$32*1.02*1.1*1.1+KFC!$C$32)*KFC!$C$5</f>
        <v>89.356080000000034</v>
      </c>
      <c r="H60" s="194">
        <f>(78.5*KFC!$B$32*1.02*1.1*1.1+KFC!$C$32)*KFC!$C$5</f>
        <v>96.884700000000024</v>
      </c>
      <c r="I60" s="194">
        <f>(84.6*KFC!$B$32*1.02*1.1*1.1+KFC!$C$32)*KFC!$C$5</f>
        <v>104.41332000000003</v>
      </c>
      <c r="J60" s="194">
        <f>(90.9*KFC!$B$32*1.02*1.1*1.1+KFC!$C$32)*KFC!$C$5</f>
        <v>112.18878000000002</v>
      </c>
      <c r="K60" s="194">
        <f>(97*KFC!$B$32*1.02*1.1*1.1+KFC!$C$32)*KFC!$C$5</f>
        <v>119.71740000000001</v>
      </c>
      <c r="L60" s="194">
        <f>(103.1*KFC!$B$32*1.02*1.1*1.1+KFC!$C$32)*KFC!$C$5</f>
        <v>127.24602000000002</v>
      </c>
      <c r="M60" s="194">
        <f>(109.3*KFC!$B$32*1.02*1.1*1.1+KFC!$C$32)*KFC!$C$5</f>
        <v>134.89806000000004</v>
      </c>
      <c r="N60" s="194">
        <f>(115.5*KFC!$B$32*1.02*1.1*1.1+KFC!$C$32)*KFC!$C$5</f>
        <v>142.55010000000001</v>
      </c>
      <c r="O60" s="194">
        <f>(121.6*KFC!$B$32*1.02*1.1*1.1+KFC!$C$32)*KFC!$C$5</f>
        <v>150.07872000000003</v>
      </c>
      <c r="P60" s="195">
        <f>(127.7*KFC!$B$32*1.02*1.1*1.1+KFC!$C$32)*KFC!$C$5</f>
        <v>157.60734000000005</v>
      </c>
    </row>
    <row r="61" spans="1:16">
      <c r="A61" s="1781"/>
      <c r="B61" s="333">
        <v>2.6</v>
      </c>
      <c r="C61" s="334">
        <f>(48.7*KFC!$B$32*1.02*1.1*1.1+KFC!$C$32)*KFC!$C$5</f>
        <v>60.105540000000019</v>
      </c>
      <c r="D61" s="194">
        <f>(54.9*KFC!$B$32*1.02*1.1*1.1+KFC!$C$32)*KFC!$C$5</f>
        <v>67.757580000000004</v>
      </c>
      <c r="E61" s="194">
        <f>(61.3*KFC!$B$32*1.02*1.1*1.1+KFC!$C$32)*KFC!$C$5</f>
        <v>75.65646000000001</v>
      </c>
      <c r="F61" s="194">
        <f>(67.5*KFC!$B$32*1.02*1.1*1.1+KFC!$C$32)*KFC!$C$5</f>
        <v>83.308500000000009</v>
      </c>
      <c r="G61" s="194">
        <f>(73.9*KFC!$B$32*1.02*1.1*1.1+KFC!$C$32)*KFC!$C$5</f>
        <v>91.207380000000015</v>
      </c>
      <c r="H61" s="194">
        <f>(80.1*KFC!$B$32*1.02*1.1*1.1+KFC!$C$32)*KFC!$C$5</f>
        <v>98.859420000000014</v>
      </c>
      <c r="I61" s="194">
        <f>(86.3*KFC!$B$32*1.02*1.1*1.1+KFC!$C$32)*KFC!$C$5</f>
        <v>106.51146000000001</v>
      </c>
      <c r="J61" s="194">
        <f>(92.7*KFC!$B$32*1.02*1.1*1.1+KFC!$C$32)*KFC!$C$5</f>
        <v>114.41034000000002</v>
      </c>
      <c r="K61" s="194">
        <f>(98.9*KFC!$B$32*1.02*1.1*1.1+KFC!$C$32)*KFC!$C$5</f>
        <v>122.06238000000005</v>
      </c>
      <c r="L61" s="194">
        <f>(105.3*KFC!$B$32*1.02*1.1*1.1+KFC!$C$32)*KFC!$C$5</f>
        <v>129.96126000000004</v>
      </c>
      <c r="M61" s="194">
        <f>(111.5*KFC!$B$32*1.02*1.1*1.1+KFC!$C$32)*KFC!$C$5</f>
        <v>137.61330000000001</v>
      </c>
      <c r="N61" s="194">
        <f>(117.9*KFC!$B$32*1.02*1.1*1.1+KFC!$C$32)*KFC!$C$5</f>
        <v>145.51218000000003</v>
      </c>
      <c r="O61" s="194">
        <f>(124.1*KFC!$B$32*1.02*1.1*1.1+KFC!$C$32)*KFC!$C$5</f>
        <v>153.16422000000003</v>
      </c>
      <c r="P61" s="195">
        <f>(130.5*KFC!$B$32*1.02*1.1*1.1+KFC!$C$32)*KFC!$C$5</f>
        <v>161.06310000000005</v>
      </c>
    </row>
    <row r="62" spans="1:16">
      <c r="A62" s="1781"/>
      <c r="B62" s="333">
        <v>2.7</v>
      </c>
      <c r="C62" s="334">
        <f>(49.5*KFC!$B$32*1.02*1.1*1.1+KFC!$C$32)*KFC!$C$5</f>
        <v>61.092900000000014</v>
      </c>
      <c r="D62" s="194">
        <f>(55.9*KFC!$B$32*1.02*1.1*1.1+KFC!$C$32)*KFC!$C$5</f>
        <v>68.991780000000006</v>
      </c>
      <c r="E62" s="194">
        <f>(62.4*KFC!$B$32*1.02*1.1*1.1+KFC!$C$32)*KFC!$C$5</f>
        <v>77.014080000000007</v>
      </c>
      <c r="F62" s="194">
        <f>(68.9*KFC!$B$32*1.02*1.1*1.1+KFC!$C$32)*KFC!$C$5</f>
        <v>85.036380000000023</v>
      </c>
      <c r="G62" s="194">
        <f>(75.2*KFC!$B$32*1.02*1.1*1.1+KFC!$C$32)*KFC!$C$5</f>
        <v>92.811840000000018</v>
      </c>
      <c r="H62" s="194">
        <f>(81.7*KFC!$B$32*1.02*1.1*1.1+KFC!$C$32)*KFC!$C$5</f>
        <v>100.83414000000002</v>
      </c>
      <c r="I62" s="194">
        <f>(88.2*KFC!$B$32*1.02*1.1*1.1+KFC!$C$32)*KFC!$C$5</f>
        <v>108.85644000000002</v>
      </c>
      <c r="J62" s="194">
        <f>(94.5*KFC!$B$32*1.02*1.1*1.1+KFC!$C$32)*KFC!$C$5</f>
        <v>116.63190000000002</v>
      </c>
      <c r="K62" s="194">
        <f>(101*KFC!$B$32*1.02*1.1*1.1+KFC!$C$32)*KFC!$C$5</f>
        <v>124.65420000000002</v>
      </c>
      <c r="L62" s="194">
        <f>(107.4*KFC!$B$32*1.02*1.1*1.1+KFC!$C$32)*KFC!$C$5</f>
        <v>132.55308000000002</v>
      </c>
      <c r="M62" s="194">
        <f>(113.9*KFC!$B$32*1.02*1.1*1.1+KFC!$C$32)*KFC!$C$5</f>
        <v>140.57538000000005</v>
      </c>
      <c r="N62" s="194">
        <f>(120.3*KFC!$B$32*1.02*1.1*1.1+KFC!$C$32)*KFC!$C$5</f>
        <v>148.47426000000004</v>
      </c>
      <c r="O62" s="194">
        <f>(126.7*KFC!$B$32*1.02*1.1*1.1+KFC!$C$32)*KFC!$C$5</f>
        <v>156.37314000000003</v>
      </c>
      <c r="P62" s="195">
        <f>(133.2*KFC!$B$32*1.02*1.1*1.1+KFC!$C$32)*KFC!$C$5</f>
        <v>164.39544000000004</v>
      </c>
    </row>
    <row r="63" spans="1:16">
      <c r="A63" s="1781"/>
      <c r="B63" s="333">
        <v>2.8</v>
      </c>
      <c r="C63" s="334">
        <f>(50.4*KFC!$B$32*1.02*1.1*1.1+KFC!$C$32)*KFC!$C$5</f>
        <v>62.203680000000013</v>
      </c>
      <c r="D63" s="194">
        <f>(57*KFC!$B$32*1.02*1.1*1.1+KFC!$C$32)*KFC!$C$5</f>
        <v>70.349400000000017</v>
      </c>
      <c r="E63" s="194">
        <f>(63.5*KFC!$B$32*1.02*1.1*1.1+KFC!$C$32)*KFC!$C$5</f>
        <v>78.371700000000004</v>
      </c>
      <c r="F63" s="194">
        <f>(70.1*KFC!$B$32*1.02*1.1*1.1+KFC!$C$32)*KFC!$C$5</f>
        <v>86.517420000000016</v>
      </c>
      <c r="G63" s="194">
        <f>(76.7*KFC!$B$32*1.02*1.1*1.1+KFC!$C$32)*KFC!$C$5</f>
        <v>94.663140000000027</v>
      </c>
      <c r="H63" s="194">
        <f>(83.3*KFC!$B$32*1.02*1.1*1.1+KFC!$C$32)*KFC!$C$5</f>
        <v>102.80886</v>
      </c>
      <c r="I63" s="194">
        <f>(89.9*KFC!$B$32*1.02*1.1*1.1+KFC!$C$32)*KFC!$C$5</f>
        <v>110.95458000000002</v>
      </c>
      <c r="J63" s="194">
        <f>(96.4*KFC!$B$32*1.02*1.1*1.1+KFC!$C$32)*KFC!$C$5</f>
        <v>118.97688000000002</v>
      </c>
      <c r="K63" s="194">
        <f>(103*KFC!$B$32*1.02*1.1*1.1+KFC!$C$32)*KFC!$C$5</f>
        <v>127.12260000000003</v>
      </c>
      <c r="L63" s="194">
        <f>(109.6*KFC!$B$32*1.02*1.1*1.1+KFC!$C$32)*KFC!$C$5</f>
        <v>135.26832000000002</v>
      </c>
      <c r="M63" s="194">
        <f>(116.2*KFC!$B$32*1.02*1.1*1.1+KFC!$C$32)*KFC!$C$5</f>
        <v>143.41404000000003</v>
      </c>
      <c r="N63" s="194">
        <f>(122.8*KFC!$B$32*1.02*1.1*1.1+KFC!$C$32)*KFC!$C$5</f>
        <v>151.55976000000001</v>
      </c>
      <c r="O63" s="194">
        <f>(129.3*KFC!$B$32*1.02*1.1*1.1+KFC!$C$32)*KFC!$C$5</f>
        <v>159.58206000000004</v>
      </c>
      <c r="P63" s="195">
        <f>(135.9*KFC!$B$32*1.02*1.1*1.1+KFC!$C$32)*KFC!$C$5</f>
        <v>167.72778000000002</v>
      </c>
    </row>
    <row r="64" spans="1:16">
      <c r="A64" s="1781"/>
      <c r="B64" s="333">
        <v>2.9</v>
      </c>
      <c r="C64" s="334">
        <f>(51.2*KFC!$B$32*1.02*1.1*1.1+KFC!$C$32)*KFC!$C$5</f>
        <v>63.191040000000015</v>
      </c>
      <c r="D64" s="194">
        <f>(58*KFC!$B$32*1.02*1.1*1.1+KFC!$C$32)*KFC!$C$5</f>
        <v>71.583600000000018</v>
      </c>
      <c r="E64" s="194">
        <f>(64.7*KFC!$B$32*1.02*1.1*1.1+KFC!$C$32)*KFC!$C$5</f>
        <v>79.852740000000011</v>
      </c>
      <c r="F64" s="194">
        <f>(71.4*KFC!$B$32*1.02*1.1*1.1+KFC!$C$32)*KFC!$C$5</f>
        <v>88.121880000000019</v>
      </c>
      <c r="G64" s="194">
        <f>(78.1*KFC!$B$32*1.02*1.1*1.1+KFC!$C$32)*KFC!$C$5</f>
        <v>96.391019999999997</v>
      </c>
      <c r="H64" s="194">
        <f>(84.9*KFC!$B$32*1.02*1.1*1.1+KFC!$C$32)*KFC!$C$5</f>
        <v>104.78358000000003</v>
      </c>
      <c r="I64" s="194">
        <f>(91.6*KFC!$B$32*1.02*1.1*1.1+KFC!$C$32)*KFC!$C$5</f>
        <v>113.05272000000002</v>
      </c>
      <c r="J64" s="194">
        <f>(98.3*KFC!$B$32*1.02*1.1*1.1+KFC!$C$32)*KFC!$C$5</f>
        <v>121.32186000000003</v>
      </c>
      <c r="K64" s="194">
        <f>(105.1*KFC!$B$32*1.02*1.1*1.1+KFC!$C$32)*KFC!$C$5</f>
        <v>129.71442000000002</v>
      </c>
      <c r="L64" s="194">
        <f>(111.8*KFC!$B$32*1.02*1.1*1.1+KFC!$C$32)*KFC!$C$5</f>
        <v>137.98356000000001</v>
      </c>
      <c r="M64" s="194">
        <f>(118.4*KFC!$B$32*1.02*1.1*1.1+KFC!$C$32)*KFC!$C$5</f>
        <v>146.12928000000002</v>
      </c>
      <c r="N64" s="194">
        <f>(125.1*KFC!$B$32*1.02*1.1*1.1+KFC!$C$32)*KFC!$C$5</f>
        <v>154.39842000000002</v>
      </c>
      <c r="O64" s="194">
        <f>(131.8*KFC!$B$32*1.02*1.1*1.1+KFC!$C$32)*KFC!$C$5</f>
        <v>162.66756000000004</v>
      </c>
      <c r="P64" s="195">
        <f>(138.6*KFC!$B$32*1.02*1.1*1.1+KFC!$C$32)*KFC!$C$5</f>
        <v>171.06012000000001</v>
      </c>
    </row>
    <row r="65" spans="1:16">
      <c r="A65" s="1781"/>
      <c r="B65" s="333">
        <v>3</v>
      </c>
      <c r="C65" s="334">
        <f>(52.1*KFC!$B$32*1.02*1.1*1.1+KFC!$C$32)*KFC!$C$5</f>
        <v>64.301820000000021</v>
      </c>
      <c r="D65" s="194">
        <f>(58.9*KFC!$B$32*1.02*1.1*1.1+KFC!$C$32)*KFC!$C$5</f>
        <v>72.69438000000001</v>
      </c>
      <c r="E65" s="194">
        <f>(65.8*KFC!$B$32*1.02*1.1*1.1+KFC!$C$32)*KFC!$C$5</f>
        <v>81.210360000000009</v>
      </c>
      <c r="F65" s="194">
        <f>(72.6*KFC!$B$32*1.02*1.1*1.1+KFC!$C$32)*KFC!$C$5</f>
        <v>89.602920000000012</v>
      </c>
      <c r="G65" s="194">
        <f>(79.5*KFC!$B$32*1.02*1.1*1.1+KFC!$C$32)*KFC!$C$5</f>
        <v>98.118900000000025</v>
      </c>
      <c r="H65" s="194">
        <f>(86.5*KFC!$B$32*1.02*1.1*1.1+KFC!$C$32)*KFC!$C$5</f>
        <v>106.75830000000002</v>
      </c>
      <c r="I65" s="194">
        <f>(93.3*KFC!$B$32*1.02*1.1*1.1+KFC!$C$32)*KFC!$C$5</f>
        <v>115.15086000000002</v>
      </c>
      <c r="J65" s="194">
        <f>(100.2*KFC!$B$32*1.02*1.1*1.1+KFC!$C$32)*KFC!$C$5</f>
        <v>123.66684000000004</v>
      </c>
      <c r="K65" s="194">
        <f>(107*KFC!$B$32*1.02*1.1*1.1+KFC!$C$32)*KFC!$C$5</f>
        <v>132.05940000000004</v>
      </c>
      <c r="L65" s="194">
        <f>(113.9*KFC!$B$32*1.02*1.1*1.1+KFC!$C$32)*KFC!$C$5</f>
        <v>140.57538000000005</v>
      </c>
      <c r="M65" s="194">
        <f>(120.7*KFC!$B$32*1.02*1.1*1.1+KFC!$C$32)*KFC!$C$5</f>
        <v>148.96794000000003</v>
      </c>
      <c r="N65" s="194">
        <f>(127.6*KFC!$B$32*1.02*1.1*1.1+KFC!$C$32)*KFC!$C$5</f>
        <v>157.48392000000001</v>
      </c>
      <c r="O65" s="194">
        <f>(134.4*KFC!$B$32*1.02*1.1*1.1+KFC!$C$32)*KFC!$C$5</f>
        <v>165.87648000000007</v>
      </c>
      <c r="P65" s="195">
        <f>(141.4*KFC!$B$32*1.02*1.1*1.1+KFC!$C$32)*KFC!$C$5</f>
        <v>174.51588000000004</v>
      </c>
    </row>
    <row r="66" spans="1:16">
      <c r="A66" s="1781"/>
      <c r="B66" s="333">
        <v>3.1</v>
      </c>
      <c r="C66" s="334">
        <f>(53*KFC!$B$32*1.02*1.1*1.1+KFC!$C$32)*KFC!$C$5</f>
        <v>65.412600000000012</v>
      </c>
      <c r="D66" s="194">
        <f>(59.9*KFC!$B$32*1.02*1.1*1.1+KFC!$C$32)*KFC!$C$5</f>
        <v>73.928580000000011</v>
      </c>
      <c r="E66" s="194">
        <f>(67*KFC!$B$32*1.02*1.1*1.1+KFC!$C$32)*KFC!$C$5</f>
        <v>82.691400000000016</v>
      </c>
      <c r="F66" s="194">
        <f>(74*KFC!$B$32*1.02*1.1*1.1+KFC!$C$32)*KFC!$C$5</f>
        <v>91.330800000000011</v>
      </c>
      <c r="G66" s="194">
        <f>(81*KFC!$B$32*1.02*1.1*1.1+KFC!$C$32)*KFC!$C$5</f>
        <v>99.970200000000034</v>
      </c>
      <c r="H66" s="194">
        <f>(87.9*KFC!$B$32*1.02*1.1*1.1+KFC!$C$32)*KFC!$C$5</f>
        <v>108.48618000000002</v>
      </c>
      <c r="I66" s="194">
        <f>(95*KFC!$B$32*1.02*1.1*1.1+KFC!$C$32)*KFC!$C$5</f>
        <v>117.24900000000002</v>
      </c>
      <c r="J66" s="194">
        <f>(102*KFC!$B$32*1.02*1.1*1.1+KFC!$C$32)*KFC!$C$5</f>
        <v>125.88840000000003</v>
      </c>
      <c r="K66" s="194">
        <f>(109*KFC!$B$32*1.02*1.1*1.1+KFC!$C$32)*KFC!$C$5</f>
        <v>134.52780000000004</v>
      </c>
      <c r="L66" s="194">
        <f>(116.1*KFC!$B$32*1.02*1.1*1.1+KFC!$C$32)*KFC!$C$5</f>
        <v>143.29062000000002</v>
      </c>
      <c r="M66" s="194">
        <f>(123*KFC!$B$32*1.02*1.1*1.1+KFC!$C$32)*KFC!$C$5</f>
        <v>151.80660000000003</v>
      </c>
      <c r="N66" s="194">
        <f>(130*KFC!$B$32*1.02*1.1*1.1+KFC!$C$32)*KFC!$C$5</f>
        <v>160.44600000000003</v>
      </c>
      <c r="O66" s="194">
        <f>(137*KFC!$B$32*1.02*1.1*1.1+KFC!$C$32)*KFC!$C$5</f>
        <v>169.08540000000005</v>
      </c>
      <c r="P66" s="195">
        <f>(144.1*KFC!$B$32*1.02*1.1*1.1+KFC!$C$32)*KFC!$C$5</f>
        <v>177.84822000000003</v>
      </c>
    </row>
    <row r="67" spans="1:16" ht="13.8" thickBot="1">
      <c r="A67" s="1782"/>
      <c r="B67" s="335">
        <v>3.2</v>
      </c>
      <c r="C67" s="336">
        <f>(53.8*KFC!$B$32*1.02*1.1*1.1+KFC!$C$32)*KFC!$C$5</f>
        <v>66.399960000000007</v>
      </c>
      <c r="D67" s="196">
        <f>(60.9*KFC!$B$32*1.02*1.1*1.1+KFC!$C$32)*KFC!$C$5</f>
        <v>75.162780000000012</v>
      </c>
      <c r="E67" s="196">
        <f>(68.1*KFC!$B$32*1.02*1.1*1.1+KFC!$C$32)*KFC!$C$5</f>
        <v>84.049019999999999</v>
      </c>
      <c r="F67" s="196">
        <f>(75.2*KFC!$B$32*1.02*1.1*1.1+KFC!$C$32)*KFC!$C$5</f>
        <v>92.811840000000018</v>
      </c>
      <c r="G67" s="196">
        <f>(82.4*KFC!$B$32*1.02*1.1*1.1+KFC!$C$32)*KFC!$C$5</f>
        <v>101.69808000000002</v>
      </c>
      <c r="H67" s="196">
        <f>(89.5*KFC!$B$32*1.02*1.1*1.1+KFC!$C$32)*KFC!$C$5</f>
        <v>110.46090000000002</v>
      </c>
      <c r="I67" s="196">
        <f>(96.7*KFC!$B$32*1.02*1.1*1.1+KFC!$C$32)*KFC!$C$5</f>
        <v>119.34714000000002</v>
      </c>
      <c r="J67" s="196">
        <f>(103.8*KFC!$B$32*1.02*1.1*1.1+KFC!$C$32)*KFC!$C$5</f>
        <v>128.10996000000003</v>
      </c>
      <c r="K67" s="196">
        <f>(111*KFC!$B$32*1.02*1.1*1.1+KFC!$C$32)*KFC!$C$5</f>
        <v>136.99620000000002</v>
      </c>
      <c r="L67" s="196">
        <f>(118.1*KFC!$B$32*1.02*1.1*1.1+KFC!$C$32)*KFC!$C$5</f>
        <v>145.75902000000002</v>
      </c>
      <c r="M67" s="196">
        <f>(125.4*KFC!$B$32*1.02*1.1*1.1+KFC!$C$32)*KFC!$C$5</f>
        <v>154.76868000000002</v>
      </c>
      <c r="N67" s="196">
        <f>(132.5*KFC!$B$32*1.02*1.1*1.1+KFC!$C$32)*KFC!$C$5</f>
        <v>163.53150000000002</v>
      </c>
      <c r="O67" s="196">
        <f>(139.7*KFC!$B$32*1.02*1.1*1.1+KFC!$C$32)*KFC!$C$5</f>
        <v>172.41774000000001</v>
      </c>
      <c r="P67" s="197">
        <f>(146.8*KFC!$B$32*1.02*1.1*1.1+KFC!$C$32)*KFC!$C$5</f>
        <v>181.18056000000004</v>
      </c>
    </row>
    <row r="68" spans="1:16" ht="13.8" thickBot="1"/>
    <row r="69" spans="1:16" ht="13.5" customHeight="1" thickBot="1">
      <c r="A69" s="1413" t="s">
        <v>318</v>
      </c>
      <c r="B69" s="1415"/>
      <c r="C69" s="1898" t="s">
        <v>207</v>
      </c>
      <c r="D69" s="1899"/>
      <c r="E69" s="1899"/>
      <c r="F69" s="1899"/>
      <c r="G69" s="1899"/>
      <c r="H69" s="1899"/>
      <c r="I69" s="1899"/>
      <c r="J69" s="1899"/>
      <c r="K69" s="1899"/>
      <c r="L69" s="1899"/>
      <c r="M69" s="1899"/>
      <c r="N69" s="1899"/>
      <c r="O69" s="1899"/>
      <c r="P69" s="1900"/>
    </row>
    <row r="70" spans="1:16" ht="13.8" thickBot="1">
      <c r="A70" s="1803"/>
      <c r="B70" s="1802"/>
      <c r="C70" s="328">
        <v>0.4</v>
      </c>
      <c r="D70" s="329">
        <v>0.5</v>
      </c>
      <c r="E70" s="329">
        <v>0.6</v>
      </c>
      <c r="F70" s="329">
        <v>0.7</v>
      </c>
      <c r="G70" s="329">
        <v>0.8</v>
      </c>
      <c r="H70" s="329">
        <v>0.9</v>
      </c>
      <c r="I70" s="329">
        <v>1</v>
      </c>
      <c r="J70" s="329">
        <v>1.1000000000000001</v>
      </c>
      <c r="K70" s="329">
        <v>1.2</v>
      </c>
      <c r="L70" s="329">
        <v>1.3</v>
      </c>
      <c r="M70" s="329">
        <v>1.4</v>
      </c>
      <c r="N70" s="329">
        <v>1.5</v>
      </c>
      <c r="O70" s="329">
        <v>1.6</v>
      </c>
      <c r="P70" s="330">
        <v>1.7</v>
      </c>
    </row>
    <row r="71" spans="1:16" ht="12.75" customHeight="1">
      <c r="A71" s="1780" t="s">
        <v>3</v>
      </c>
      <c r="B71" s="331">
        <v>0.5</v>
      </c>
      <c r="C71" s="332">
        <f>(36.7*KFC!$B$32*1.02*1.1*1.1+KFC!$C$32)*KFC!$C$5</f>
        <v>45.295140000000011</v>
      </c>
      <c r="D71" s="192">
        <f>(40.5*KFC!$B$32*1.02*1.1*1.1+KFC!$C$32)*KFC!$C$5</f>
        <v>49.985100000000017</v>
      </c>
      <c r="E71" s="192">
        <f>(44.3*KFC!$B$32*1.02*1.1*1.1+KFC!$C$32)*KFC!$C$5</f>
        <v>54.675060000000009</v>
      </c>
      <c r="F71" s="192">
        <f>(47.9*KFC!$B$32*1.02*1.1*1.1+KFC!$C$32)*KFC!$C$5</f>
        <v>59.118180000000002</v>
      </c>
      <c r="G71" s="192">
        <f>(51.7*KFC!$B$32*1.02*1.1*1.1+KFC!$C$32)*KFC!$C$5</f>
        <v>63.808140000000009</v>
      </c>
      <c r="H71" s="192">
        <f>(55.5*KFC!$B$32*1.02*1.1*1.1+KFC!$C$32)*KFC!$C$5</f>
        <v>68.498100000000008</v>
      </c>
      <c r="I71" s="192">
        <f>(59.3*KFC!$B$32*1.02*1.1*1.1+KFC!$C$32)*KFC!$C$5</f>
        <v>73.188060000000007</v>
      </c>
      <c r="J71" s="192">
        <f>(63*KFC!$B$32*1.02*1.1*1.1+KFC!$C$32)*KFC!$C$5</f>
        <v>77.754600000000011</v>
      </c>
      <c r="K71" s="192">
        <f>(66.8*KFC!$B$32*1.02*1.1*1.1+KFC!$C$32)*KFC!$C$5</f>
        <v>82.44456000000001</v>
      </c>
      <c r="L71" s="192">
        <f>(70.6*KFC!$B$32*1.02*1.1*1.1+KFC!$C$32)*KFC!$C$5</f>
        <v>87.134520000000009</v>
      </c>
      <c r="M71" s="192">
        <f>(74.4*KFC!$B$32*1.02*1.1*1.1+KFC!$C$32)*KFC!$C$5</f>
        <v>91.824480000000023</v>
      </c>
      <c r="N71" s="192">
        <f>(78*KFC!$B$32*1.02*1.1*1.1+KFC!$C$32)*KFC!$C$5</f>
        <v>96.267600000000016</v>
      </c>
      <c r="O71" s="192">
        <f>(81.8*KFC!$B$32*1.02*1.1*1.1+KFC!$C$32)*KFC!$C$5</f>
        <v>100.95756000000002</v>
      </c>
      <c r="P71" s="193">
        <f>(85.6*KFC!$B$32*1.02*1.1*1.1+KFC!$C$32)*KFC!$C$5</f>
        <v>105.64752000000001</v>
      </c>
    </row>
    <row r="72" spans="1:16">
      <c r="A72" s="1781"/>
      <c r="B72" s="333">
        <v>0.6</v>
      </c>
      <c r="C72" s="334">
        <f>(37.8*KFC!$B$32*1.02*1.1*1.1+KFC!$C$32)*KFC!$C$5</f>
        <v>46.652760000000001</v>
      </c>
      <c r="D72" s="194">
        <f>(41.8*KFC!$B$32*1.02*1.1*1.1+KFC!$C$32)*KFC!$C$5</f>
        <v>51.589560000000006</v>
      </c>
      <c r="E72" s="194">
        <f>(45.9*KFC!$B$32*1.02*1.1*1.1+KFC!$C$32)*KFC!$C$5</f>
        <v>56.649780000000007</v>
      </c>
      <c r="F72" s="194">
        <f>(49.9*KFC!$B$32*1.02*1.1*1.1+KFC!$C$32)*KFC!$C$5</f>
        <v>61.586580000000005</v>
      </c>
      <c r="G72" s="194">
        <f>(53.9*KFC!$B$32*1.02*1.1*1.1+KFC!$C$32)*KFC!$C$5</f>
        <v>66.523380000000017</v>
      </c>
      <c r="H72" s="194">
        <f>(58*KFC!$B$32*1.02*1.1*1.1+KFC!$C$32)*KFC!$C$5</f>
        <v>71.583600000000018</v>
      </c>
      <c r="I72" s="194">
        <f>(62*KFC!$B$32*1.02*1.1*1.1+KFC!$C$32)*KFC!$C$5</f>
        <v>76.520400000000009</v>
      </c>
      <c r="J72" s="194">
        <f>(66*KFC!$B$32*1.02*1.1*1.1+KFC!$C$32)*KFC!$C$5</f>
        <v>81.457200000000029</v>
      </c>
      <c r="K72" s="194">
        <f>(70.1*KFC!$B$32*1.02*1.1*1.1+KFC!$C$32)*KFC!$C$5</f>
        <v>86.517420000000016</v>
      </c>
      <c r="L72" s="194">
        <f>(74*KFC!$B$32*1.02*1.1*1.1+KFC!$C$32)*KFC!$C$5</f>
        <v>91.330800000000011</v>
      </c>
      <c r="M72" s="194">
        <f>(78*KFC!$B$32*1.02*1.1*1.1+KFC!$C$32)*KFC!$C$5</f>
        <v>96.267600000000016</v>
      </c>
      <c r="N72" s="194">
        <f>(82.1*KFC!$B$32*1.02*1.1*1.1+KFC!$C$32)*KFC!$C$5</f>
        <v>101.32782</v>
      </c>
      <c r="O72" s="194">
        <f>(86.1*KFC!$B$32*1.02*1.1*1.1+KFC!$C$32)*KFC!$C$5</f>
        <v>106.26462000000002</v>
      </c>
      <c r="P72" s="195">
        <f>(90.1*KFC!$B$32*1.02*1.1*1.1+KFC!$C$32)*KFC!$C$5</f>
        <v>111.20142000000001</v>
      </c>
    </row>
    <row r="73" spans="1:16">
      <c r="A73" s="1781"/>
      <c r="B73" s="333">
        <v>0.7</v>
      </c>
      <c r="C73" s="334">
        <f>(39*KFC!$B$32*1.02*1.1*1.1+KFC!$C$32)*KFC!$C$5</f>
        <v>48.133800000000008</v>
      </c>
      <c r="D73" s="194">
        <f>(43.3*KFC!$B$32*1.02*1.1*1.1+KFC!$C$32)*KFC!$C$5</f>
        <v>53.440860000000001</v>
      </c>
      <c r="E73" s="194">
        <f>(47.6*KFC!$B$32*1.02*1.1*1.1+KFC!$C$32)*KFC!$C$5</f>
        <v>58.747920000000008</v>
      </c>
      <c r="F73" s="194">
        <f>(51.9*KFC!$B$32*1.02*1.1*1.1+KFC!$C$32)*KFC!$C$5</f>
        <v>64.054980000000015</v>
      </c>
      <c r="G73" s="194">
        <f>(56.1*KFC!$B$32*1.02*1.1*1.1+KFC!$C$32)*KFC!$C$5</f>
        <v>69.238620000000012</v>
      </c>
      <c r="H73" s="194">
        <f>(60.4*KFC!$B$32*1.02*1.1*1.1+KFC!$C$32)*KFC!$C$5</f>
        <v>74.545680000000004</v>
      </c>
      <c r="I73" s="194">
        <f>(64.7*KFC!$B$32*1.02*1.1*1.1+KFC!$C$32)*KFC!$C$5</f>
        <v>79.852740000000011</v>
      </c>
      <c r="J73" s="194">
        <f>(69*KFC!$B$32*1.02*1.1*1.1+KFC!$C$32)*KFC!$C$5</f>
        <v>85.159800000000018</v>
      </c>
      <c r="K73" s="194">
        <f>(73.3*KFC!$B$32*1.02*1.1*1.1+KFC!$C$32)*KFC!$C$5</f>
        <v>90.466860000000025</v>
      </c>
      <c r="L73" s="194">
        <f>(77.5*KFC!$B$32*1.02*1.1*1.1+KFC!$C$32)*KFC!$C$5</f>
        <v>95.650500000000008</v>
      </c>
      <c r="M73" s="194">
        <f>(81.8*KFC!$B$32*1.02*1.1*1.1+KFC!$C$32)*KFC!$C$5</f>
        <v>100.95756000000002</v>
      </c>
      <c r="N73" s="194">
        <f>(86.1*KFC!$B$32*1.02*1.1*1.1+KFC!$C$32)*KFC!$C$5</f>
        <v>106.26462000000002</v>
      </c>
      <c r="O73" s="194">
        <f>(90.4*KFC!$B$32*1.02*1.1*1.1+KFC!$C$32)*KFC!$C$5</f>
        <v>111.57168000000003</v>
      </c>
      <c r="P73" s="195">
        <f>(94.7*KFC!$B$32*1.02*1.1*1.1+KFC!$C$32)*KFC!$C$5</f>
        <v>116.87874000000002</v>
      </c>
    </row>
    <row r="74" spans="1:16">
      <c r="A74" s="1781"/>
      <c r="B74" s="333">
        <v>0.8</v>
      </c>
      <c r="C74" s="334">
        <f>(40.1*KFC!$B$32*1.02*1.1*1.1+KFC!$C$32)*KFC!$C$5</f>
        <v>49.491420000000005</v>
      </c>
      <c r="D74" s="194">
        <f>(44.6*KFC!$B$32*1.02*1.1*1.1+KFC!$C$32)*KFC!$C$5</f>
        <v>55.045320000000018</v>
      </c>
      <c r="E74" s="194">
        <f>(49.2*KFC!$B$32*1.02*1.1*1.1+KFC!$C$32)*KFC!$C$5</f>
        <v>60.72264000000002</v>
      </c>
      <c r="F74" s="194">
        <f>(53.7*KFC!$B$32*1.02*1.1*1.1+KFC!$C$32)*KFC!$C$5</f>
        <v>66.276540000000011</v>
      </c>
      <c r="G74" s="194">
        <f>(58.2*KFC!$B$32*1.02*1.1*1.1+KFC!$C$32)*KFC!$C$5</f>
        <v>71.830440000000024</v>
      </c>
      <c r="H74" s="194">
        <f>(62.9*KFC!$B$32*1.02*1.1*1.1+KFC!$C$32)*KFC!$C$5</f>
        <v>77.631180000000015</v>
      </c>
      <c r="I74" s="194">
        <f>(67.4*KFC!$B$32*1.02*1.1*1.1+KFC!$C$32)*KFC!$C$5</f>
        <v>83.185080000000013</v>
      </c>
      <c r="J74" s="194">
        <f>(71.9*KFC!$B$32*1.02*1.1*1.1+KFC!$C$32)*KFC!$C$5</f>
        <v>88.738980000000026</v>
      </c>
      <c r="K74" s="194">
        <f>(76.4*KFC!$B$32*1.02*1.1*1.1+KFC!$C$32)*KFC!$C$5</f>
        <v>94.292880000000039</v>
      </c>
      <c r="L74" s="194">
        <f>(81*KFC!$B$32*1.02*1.1*1.1+KFC!$C$32)*KFC!$C$5</f>
        <v>99.970200000000034</v>
      </c>
      <c r="M74" s="194">
        <f>(85.6*KFC!$B$32*1.02*1.1*1.1+KFC!$C$32)*KFC!$C$5</f>
        <v>105.64752000000001</v>
      </c>
      <c r="N74" s="194">
        <f>(90.1*KFC!$B$32*1.02*1.1*1.1+KFC!$C$32)*KFC!$C$5</f>
        <v>111.20142000000001</v>
      </c>
      <c r="O74" s="194">
        <f>(94.7*KFC!$B$32*1.02*1.1*1.1+KFC!$C$32)*KFC!$C$5</f>
        <v>116.87874000000002</v>
      </c>
      <c r="P74" s="195">
        <f>(99.2*KFC!$B$32*1.02*1.1*1.1+KFC!$C$32)*KFC!$C$5</f>
        <v>122.43264000000003</v>
      </c>
    </row>
    <row r="75" spans="1:16">
      <c r="A75" s="1781"/>
      <c r="B75" s="333">
        <v>0.9</v>
      </c>
      <c r="C75" s="334">
        <f>(41.2*KFC!$B$32*1.02*1.1*1.1+KFC!$C$32)*KFC!$C$5</f>
        <v>50.849040000000009</v>
      </c>
      <c r="D75" s="194">
        <f>(46*KFC!$B$32*1.02*1.1*1.1+KFC!$C$32)*KFC!$C$5</f>
        <v>56.773200000000017</v>
      </c>
      <c r="E75" s="194">
        <f>(50.9*KFC!$B$32*1.02*1.1*1.1+KFC!$C$32)*KFC!$C$5</f>
        <v>62.820780000000013</v>
      </c>
      <c r="F75" s="194">
        <f>(55.6*KFC!$B$32*1.02*1.1*1.1+KFC!$C$32)*KFC!$C$5</f>
        <v>68.621520000000018</v>
      </c>
      <c r="G75" s="194">
        <f>(60.4*KFC!$B$32*1.02*1.1*1.1+KFC!$C$32)*KFC!$C$5</f>
        <v>74.545680000000004</v>
      </c>
      <c r="H75" s="194">
        <f>(65.3*KFC!$B$32*1.02*1.1*1.1+KFC!$C$32)*KFC!$C$5</f>
        <v>80.593260000000001</v>
      </c>
      <c r="I75" s="194">
        <f>(70.1*KFC!$B$32*1.02*1.1*1.1+KFC!$C$32)*KFC!$C$5</f>
        <v>86.517420000000016</v>
      </c>
      <c r="J75" s="194">
        <f>(74.8*KFC!$B$32*1.02*1.1*1.1+KFC!$C$32)*KFC!$C$5</f>
        <v>92.318160000000006</v>
      </c>
      <c r="K75" s="194">
        <f>(79.7*KFC!$B$32*1.02*1.1*1.1+KFC!$C$32)*KFC!$C$5</f>
        <v>98.365740000000031</v>
      </c>
      <c r="L75" s="194">
        <f>(84.5*KFC!$B$32*1.02*1.1*1.1+KFC!$C$32)*KFC!$C$5</f>
        <v>104.28990000000002</v>
      </c>
      <c r="M75" s="194">
        <f>(89.3*KFC!$B$32*1.02*1.1*1.1+KFC!$C$32)*KFC!$C$5</f>
        <v>110.21406000000002</v>
      </c>
      <c r="N75" s="194">
        <f>(94.2*KFC!$B$32*1.02*1.1*1.1+KFC!$C$32)*KFC!$C$5</f>
        <v>116.26164000000001</v>
      </c>
      <c r="O75" s="194">
        <f>(98.9*KFC!$B$32*1.02*1.1*1.1+KFC!$C$32)*KFC!$C$5</f>
        <v>122.06238000000005</v>
      </c>
      <c r="P75" s="195">
        <f>(103.7*KFC!$B$32*1.02*1.1*1.1+KFC!$C$32)*KFC!$C$5</f>
        <v>127.98654000000002</v>
      </c>
    </row>
    <row r="76" spans="1:16">
      <c r="A76" s="1781"/>
      <c r="B76" s="333">
        <v>1</v>
      </c>
      <c r="C76" s="334">
        <f>(42.3*KFC!$B$32*1.02*1.1*1.1+KFC!$C$32)*KFC!$C$5</f>
        <v>52.206660000000014</v>
      </c>
      <c r="D76" s="194">
        <f>(47.5*KFC!$B$32*1.02*1.1*1.1+KFC!$C$32)*KFC!$C$5</f>
        <v>58.624500000000012</v>
      </c>
      <c r="E76" s="194">
        <f>(52.5*KFC!$B$32*1.02*1.1*1.1+KFC!$C$32)*KFC!$C$5</f>
        <v>64.795500000000018</v>
      </c>
      <c r="F76" s="194">
        <f>(57.6*KFC!$B$32*1.02*1.1*1.1+KFC!$C$32)*KFC!$C$5</f>
        <v>71.089920000000006</v>
      </c>
      <c r="G76" s="194">
        <f>(62.6*KFC!$B$32*1.02*1.1*1.1+KFC!$C$32)*KFC!$C$5</f>
        <v>77.260920000000027</v>
      </c>
      <c r="H76" s="194">
        <f>(67.8*KFC!$B$32*1.02*1.1*1.1+KFC!$C$32)*KFC!$C$5</f>
        <v>83.678760000000011</v>
      </c>
      <c r="I76" s="194">
        <f>(72.8*KFC!$B$32*1.02*1.1*1.1+KFC!$C$32)*KFC!$C$5</f>
        <v>89.849760000000018</v>
      </c>
      <c r="J76" s="194">
        <f>(77.8*KFC!$B$32*1.02*1.1*1.1+KFC!$C$32)*KFC!$C$5</f>
        <v>96.02076000000001</v>
      </c>
      <c r="K76" s="194">
        <f>(82.9*KFC!$B$32*1.02*1.1*1.1+KFC!$C$32)*KFC!$C$5</f>
        <v>102.31518000000003</v>
      </c>
      <c r="L76" s="194">
        <f>(87.9*KFC!$B$32*1.02*1.1*1.1+KFC!$C$32)*KFC!$C$5</f>
        <v>108.48618000000002</v>
      </c>
      <c r="M76" s="194">
        <f>(93.1*KFC!$B$32*1.02*1.1*1.1+KFC!$C$32)*KFC!$C$5</f>
        <v>114.90402</v>
      </c>
      <c r="N76" s="194">
        <f>(98.1*KFC!$B$32*1.02*1.1*1.1+KFC!$C$32)*KFC!$C$5</f>
        <v>121.07502000000001</v>
      </c>
      <c r="O76" s="194">
        <f>(103.2*KFC!$B$32*1.02*1.1*1.1+KFC!$C$32)*KFC!$C$5</f>
        <v>127.36944000000003</v>
      </c>
      <c r="P76" s="195">
        <f>(108.2*KFC!$B$32*1.02*1.1*1.1+KFC!$C$32)*KFC!$C$5</f>
        <v>133.54044000000002</v>
      </c>
    </row>
    <row r="77" spans="1:16">
      <c r="A77" s="1781"/>
      <c r="B77" s="333">
        <v>1.1000000000000001</v>
      </c>
      <c r="C77" s="334">
        <f>(43.5*KFC!$B$32*1.02*1.1*1.1+KFC!$C$32)*KFC!$C$5</f>
        <v>53.687700000000007</v>
      </c>
      <c r="D77" s="194">
        <f>(48.8*KFC!$B$32*1.02*1.1*1.1+KFC!$C$32)*KFC!$C$5</f>
        <v>60.228960000000001</v>
      </c>
      <c r="E77" s="194">
        <f>(54.2*KFC!$B$32*1.02*1.1*1.1+KFC!$C$32)*KFC!$C$5</f>
        <v>66.893640000000019</v>
      </c>
      <c r="F77" s="194">
        <f>(59.4*KFC!$B$32*1.02*1.1*1.1+KFC!$C$32)*KFC!$C$5</f>
        <v>73.311480000000017</v>
      </c>
      <c r="G77" s="194">
        <f>(64.8*KFC!$B$32*1.02*1.1*1.1+KFC!$C$32)*KFC!$C$5</f>
        <v>79.976160000000007</v>
      </c>
      <c r="H77" s="194">
        <f>(70.2*KFC!$B$32*1.02*1.1*1.1+KFC!$C$32)*KFC!$C$5</f>
        <v>86.640840000000011</v>
      </c>
      <c r="I77" s="194">
        <f>(75.5*KFC!$B$32*1.02*1.1*1.1+KFC!$C$32)*KFC!$C$5</f>
        <v>93.18210000000002</v>
      </c>
      <c r="J77" s="194">
        <f>(80.8*KFC!$B$32*1.02*1.1*1.1+KFC!$C$32)*KFC!$C$5</f>
        <v>99.723360000000014</v>
      </c>
      <c r="K77" s="194">
        <f>(86.1*KFC!$B$32*1.02*1.1*1.1+KFC!$C$32)*KFC!$C$5</f>
        <v>106.26462000000002</v>
      </c>
      <c r="L77" s="194">
        <f>(91.5*KFC!$B$32*1.02*1.1*1.1+KFC!$C$32)*KFC!$C$5</f>
        <v>112.92930000000003</v>
      </c>
      <c r="M77" s="194">
        <f>(96.7*KFC!$B$32*1.02*1.1*1.1+KFC!$C$32)*KFC!$C$5</f>
        <v>119.34714000000002</v>
      </c>
      <c r="N77" s="194">
        <f>(102.1*KFC!$B$32*1.02*1.1*1.1+KFC!$C$32)*KFC!$C$5</f>
        <v>126.01182000000001</v>
      </c>
      <c r="O77" s="194">
        <f>(107.5*KFC!$B$32*1.02*1.1*1.1+KFC!$C$32)*KFC!$C$5</f>
        <v>132.67650000000003</v>
      </c>
      <c r="P77" s="195">
        <f>(112.8*KFC!$B$32*1.02*1.1*1.1+KFC!$C$32)*KFC!$C$5</f>
        <v>139.21776000000003</v>
      </c>
    </row>
    <row r="78" spans="1:16">
      <c r="A78" s="1781"/>
      <c r="B78" s="333">
        <v>1.2</v>
      </c>
      <c r="C78" s="334">
        <f>(44.6*KFC!$B$32*1.02*1.1*1.1+KFC!$C$32)*KFC!$C$5</f>
        <v>55.045320000000018</v>
      </c>
      <c r="D78" s="194">
        <f>(50.3*KFC!$B$32*1.02*1.1*1.1+KFC!$C$32)*KFC!$C$5</f>
        <v>62.080260000000003</v>
      </c>
      <c r="E78" s="194">
        <f>(55.8*KFC!$B$32*1.02*1.1*1.1+KFC!$C$32)*KFC!$C$5</f>
        <v>68.86836000000001</v>
      </c>
      <c r="F78" s="194">
        <f>(61.4*KFC!$B$32*1.02*1.1*1.1+KFC!$C$32)*KFC!$C$5</f>
        <v>75.779880000000006</v>
      </c>
      <c r="G78" s="194">
        <f>(67*KFC!$B$32*1.02*1.1*1.1+KFC!$C$32)*KFC!$C$5</f>
        <v>82.691400000000016</v>
      </c>
      <c r="H78" s="194">
        <f>(72.5*KFC!$B$32*1.02*1.1*1.1+KFC!$C$32)*KFC!$C$5</f>
        <v>89.479500000000016</v>
      </c>
      <c r="I78" s="194">
        <f>(78.1*KFC!$B$32*1.02*1.1*1.1+KFC!$C$32)*KFC!$C$5</f>
        <v>96.391019999999997</v>
      </c>
      <c r="J78" s="194">
        <f>(83.8*KFC!$B$32*1.02*1.1*1.1+KFC!$C$32)*KFC!$C$5</f>
        <v>103.42596</v>
      </c>
      <c r="K78" s="194">
        <f>(89.4*KFC!$B$32*1.02*1.1*1.1+KFC!$C$32)*KFC!$C$5</f>
        <v>110.33748000000001</v>
      </c>
      <c r="L78" s="194">
        <f>(94.9*KFC!$B$32*1.02*1.1*1.1+KFC!$C$32)*KFC!$C$5</f>
        <v>117.12558000000003</v>
      </c>
      <c r="M78" s="194">
        <f>(100.5*KFC!$B$32*1.02*1.1*1.1+KFC!$C$32)*KFC!$C$5</f>
        <v>124.03710000000002</v>
      </c>
      <c r="N78" s="194">
        <f>(106.2*KFC!$B$32*1.02*1.1*1.1+KFC!$C$32)*KFC!$C$5</f>
        <v>131.07204000000002</v>
      </c>
      <c r="O78" s="194">
        <f>(111.8*KFC!$B$32*1.02*1.1*1.1+KFC!$C$32)*KFC!$C$5</f>
        <v>137.98356000000001</v>
      </c>
      <c r="P78" s="195">
        <f>(117.3*KFC!$B$32*1.02*1.1*1.1+KFC!$C$32)*KFC!$C$5</f>
        <v>144.77166000000003</v>
      </c>
    </row>
    <row r="79" spans="1:16">
      <c r="A79" s="1781"/>
      <c r="B79" s="333">
        <v>1.3</v>
      </c>
      <c r="C79" s="334">
        <f>(45.7*KFC!$B$32*1.02*1.1*1.1+KFC!$C$32)*KFC!$C$5</f>
        <v>56.402940000000015</v>
      </c>
      <c r="D79" s="194">
        <f>(51.6*KFC!$B$32*1.02*1.1*1.1+KFC!$C$32)*KFC!$C$5</f>
        <v>63.684720000000013</v>
      </c>
      <c r="E79" s="194">
        <f>(57.5*KFC!$B$32*1.02*1.1*1.1+KFC!$C$32)*KFC!$C$5</f>
        <v>70.966500000000011</v>
      </c>
      <c r="F79" s="194">
        <f>(63.4*KFC!$B$32*1.02*1.1*1.1+KFC!$C$32)*KFC!$C$5</f>
        <v>78.248280000000022</v>
      </c>
      <c r="G79" s="194">
        <f>(69.2*KFC!$B$32*1.02*1.1*1.1+KFC!$C$32)*KFC!$C$5</f>
        <v>85.40664000000001</v>
      </c>
      <c r="H79" s="194">
        <f>(75*KFC!$B$32*1.02*1.1*1.1+KFC!$C$32)*KFC!$C$5</f>
        <v>92.565000000000012</v>
      </c>
      <c r="I79" s="194">
        <f>(80.8*KFC!$B$32*1.02*1.1*1.1+KFC!$C$32)*KFC!$C$5</f>
        <v>99.723360000000014</v>
      </c>
      <c r="J79" s="194">
        <f>(86.7*KFC!$B$32*1.02*1.1*1.1+KFC!$C$32)*KFC!$C$5</f>
        <v>107.00514000000001</v>
      </c>
      <c r="K79" s="194">
        <f>(92.6*KFC!$B$32*1.02*1.1*1.1+KFC!$C$32)*KFC!$C$5</f>
        <v>114.28692000000002</v>
      </c>
      <c r="L79" s="194">
        <f>(98.5*KFC!$B$32*1.02*1.1*1.1+KFC!$C$32)*KFC!$C$5</f>
        <v>121.56870000000002</v>
      </c>
      <c r="M79" s="194">
        <f>(104.3*KFC!$B$32*1.02*1.1*1.1+KFC!$C$32)*KFC!$C$5</f>
        <v>128.72706000000002</v>
      </c>
      <c r="N79" s="194">
        <f>(110.2*KFC!$B$32*1.02*1.1*1.1+KFC!$C$32)*KFC!$C$5</f>
        <v>136.00884000000002</v>
      </c>
      <c r="O79" s="194">
        <f>(115.9*KFC!$B$32*1.02*1.1*1.1+KFC!$C$32)*KFC!$C$5</f>
        <v>143.04378000000003</v>
      </c>
      <c r="P79" s="195">
        <f>(121.8*KFC!$B$32*1.02*1.1*1.1+KFC!$C$32)*KFC!$C$5</f>
        <v>150.32556000000002</v>
      </c>
    </row>
    <row r="80" spans="1:16">
      <c r="A80" s="1781"/>
      <c r="B80" s="333">
        <v>1.4</v>
      </c>
      <c r="C80" s="334">
        <f>(46.8*KFC!$B$32*1.02*1.1*1.1+KFC!$C$32)*KFC!$C$5</f>
        <v>57.760560000000005</v>
      </c>
      <c r="D80" s="194">
        <f>(53*KFC!$B$32*1.02*1.1*1.1+KFC!$C$32)*KFC!$C$5</f>
        <v>65.412600000000012</v>
      </c>
      <c r="E80" s="194">
        <f>(59.1*KFC!$B$32*1.02*1.1*1.1+KFC!$C$32)*KFC!$C$5</f>
        <v>72.941220000000015</v>
      </c>
      <c r="F80" s="194">
        <f>(65.2*KFC!$B$32*1.02*1.1*1.1+KFC!$C$32)*KFC!$C$5</f>
        <v>80.469840000000019</v>
      </c>
      <c r="G80" s="194">
        <f>(71.3*KFC!$B$32*1.02*1.1*1.1+KFC!$C$32)*KFC!$C$5</f>
        <v>87.998460000000023</v>
      </c>
      <c r="H80" s="194">
        <f>(77.4*KFC!$B$32*1.02*1.1*1.1+KFC!$C$32)*KFC!$C$5</f>
        <v>95.527080000000026</v>
      </c>
      <c r="I80" s="194">
        <f>(83.5*KFC!$B$32*1.02*1.1*1.1+KFC!$C$32)*KFC!$C$5</f>
        <v>103.05570000000002</v>
      </c>
      <c r="J80" s="194">
        <f>(89.6*KFC!$B$32*1.02*1.1*1.1+KFC!$C$32)*KFC!$C$5</f>
        <v>110.58432000000001</v>
      </c>
      <c r="K80" s="194">
        <f>(95.8*KFC!$B$32*1.02*1.1*1.1+KFC!$C$32)*KFC!$C$5</f>
        <v>118.23636</v>
      </c>
      <c r="L80" s="194">
        <f>(101.9*KFC!$B$32*1.02*1.1*1.1+KFC!$C$32)*KFC!$C$5</f>
        <v>125.76498000000002</v>
      </c>
      <c r="M80" s="194">
        <f>(108*KFC!$B$32*1.02*1.1*1.1+KFC!$C$32)*KFC!$C$5</f>
        <v>133.29360000000003</v>
      </c>
      <c r="N80" s="194">
        <f>(114.1*KFC!$B$32*1.02*1.1*1.1+KFC!$C$32)*KFC!$C$5</f>
        <v>140.82221999999999</v>
      </c>
      <c r="O80" s="194">
        <f>(120.2*KFC!$B$32*1.02*1.1*1.1+KFC!$C$32)*KFC!$C$5</f>
        <v>148.35084000000003</v>
      </c>
      <c r="P80" s="195">
        <f>(126.3*KFC!$B$32*1.02*1.1*1.1+KFC!$C$32)*KFC!$C$5</f>
        <v>155.87946000000002</v>
      </c>
    </row>
    <row r="81" spans="1:16">
      <c r="A81" s="1781"/>
      <c r="B81" s="333">
        <v>1.5</v>
      </c>
      <c r="C81" s="334">
        <f>(48.1*KFC!$B$32*1.02*1.1*1.1+KFC!$C$32)*KFC!$C$5</f>
        <v>59.365020000000015</v>
      </c>
      <c r="D81" s="194">
        <f>(54.4*KFC!$B$32*1.02*1.1*1.1+KFC!$C$32)*KFC!$C$5</f>
        <v>67.140480000000011</v>
      </c>
      <c r="E81" s="194">
        <f>(60.8*KFC!$B$32*1.02*1.1*1.1+KFC!$C$32)*KFC!$C$5</f>
        <v>75.039360000000016</v>
      </c>
      <c r="F81" s="194">
        <f>(67.1*KFC!$B$32*1.02*1.1*1.1+KFC!$C$32)*KFC!$C$5</f>
        <v>82.814819999999997</v>
      </c>
      <c r="G81" s="194">
        <f>(73.5*KFC!$B$32*1.02*1.1*1.1+KFC!$C$32)*KFC!$C$5</f>
        <v>90.713700000000003</v>
      </c>
      <c r="H81" s="194">
        <f>(79.9*KFC!$B$32*1.02*1.1*1.1+KFC!$C$32)*KFC!$C$5</f>
        <v>98.612580000000023</v>
      </c>
      <c r="I81" s="194">
        <f>(86.2*KFC!$B$32*1.02*1.1*1.1+KFC!$C$32)*KFC!$C$5</f>
        <v>106.38804000000003</v>
      </c>
      <c r="J81" s="194">
        <f>(92.7*KFC!$B$32*1.02*1.1*1.1+KFC!$C$32)*KFC!$C$5</f>
        <v>114.41034000000002</v>
      </c>
      <c r="K81" s="194">
        <f>(99.1*KFC!$B$32*1.02*1.1*1.1+KFC!$C$32)*KFC!$C$5</f>
        <v>122.30922000000001</v>
      </c>
      <c r="L81" s="194">
        <f>(105.4*KFC!$B$32*1.02*1.1*1.1+KFC!$C$32)*KFC!$C$5</f>
        <v>130.08468000000005</v>
      </c>
      <c r="M81" s="194">
        <f>(111.8*KFC!$B$32*1.02*1.1*1.1+KFC!$C$32)*KFC!$C$5</f>
        <v>137.98356000000001</v>
      </c>
      <c r="N81" s="194">
        <f>(118.1*KFC!$B$32*1.02*1.1*1.1+KFC!$C$32)*KFC!$C$5</f>
        <v>145.75902000000002</v>
      </c>
      <c r="O81" s="194">
        <f>(124.5*KFC!$B$32*1.02*1.1*1.1+KFC!$C$32)*KFC!$C$5</f>
        <v>153.65790000000004</v>
      </c>
      <c r="P81" s="195">
        <f>(130.9*KFC!$B$32*1.02*1.1*1.1+KFC!$C$32)*KFC!$C$5</f>
        <v>161.55678000000003</v>
      </c>
    </row>
    <row r="82" spans="1:16">
      <c r="A82" s="1781"/>
      <c r="B82" s="333">
        <v>1.6</v>
      </c>
      <c r="C82" s="334">
        <f>(49.2*KFC!$B$32*1.02*1.1*1.1+KFC!$C$32)*KFC!$C$5</f>
        <v>60.72264000000002</v>
      </c>
      <c r="D82" s="194">
        <f>(55.8*KFC!$B$32*1.02*1.1*1.1+KFC!$C$32)*KFC!$C$5</f>
        <v>68.86836000000001</v>
      </c>
      <c r="E82" s="194">
        <f>(62.4*KFC!$B$32*1.02*1.1*1.1+KFC!$C$32)*KFC!$C$5</f>
        <v>77.014080000000007</v>
      </c>
      <c r="F82" s="194">
        <f>(69.1*KFC!$B$32*1.02*1.1*1.1+KFC!$C$32)*KFC!$C$5</f>
        <v>85.283220000000014</v>
      </c>
      <c r="G82" s="194">
        <f>(75.7*KFC!$B$32*1.02*1.1*1.1+KFC!$C$32)*KFC!$C$5</f>
        <v>93.428940000000011</v>
      </c>
      <c r="H82" s="194">
        <f>(82.3*KFC!$B$32*1.02*1.1*1.1+KFC!$C$32)*KFC!$C$5</f>
        <v>101.57466000000002</v>
      </c>
      <c r="I82" s="194">
        <f>(88.9*KFC!$B$32*1.02*1.1*1.1+KFC!$C$32)*KFC!$C$5</f>
        <v>109.72038000000003</v>
      </c>
      <c r="J82" s="194">
        <f>(95.6*KFC!$B$32*1.02*1.1*1.1+KFC!$C$32)*KFC!$C$5</f>
        <v>117.98952000000003</v>
      </c>
      <c r="K82" s="194">
        <f>(102.2*KFC!$B$32*1.02*1.1*1.1+KFC!$C$32)*KFC!$C$5</f>
        <v>126.13524000000001</v>
      </c>
      <c r="L82" s="194">
        <f>(108.8*KFC!$B$32*1.02*1.1*1.1+KFC!$C$32)*KFC!$C$5</f>
        <v>134.28096000000002</v>
      </c>
      <c r="M82" s="194">
        <f>(115.6*KFC!$B$32*1.02*1.1*1.1+KFC!$C$32)*KFC!$C$5</f>
        <v>142.67352000000002</v>
      </c>
      <c r="N82" s="194">
        <f>(122.2*KFC!$B$32*1.02*1.1*1.1+KFC!$C$32)*KFC!$C$5</f>
        <v>150.81924000000004</v>
      </c>
      <c r="O82" s="194">
        <f>(128.8*KFC!$B$32*1.02*1.1*1.1+KFC!$C$32)*KFC!$C$5</f>
        <v>158.96496000000005</v>
      </c>
      <c r="P82" s="195">
        <f>(135.4*KFC!$B$32*1.02*1.1*1.1+KFC!$C$32)*KFC!$C$5</f>
        <v>167.11068000000003</v>
      </c>
    </row>
    <row r="83" spans="1:16">
      <c r="A83" s="1781"/>
      <c r="B83" s="333">
        <v>1.7</v>
      </c>
      <c r="C83" s="334">
        <f>(50.3*KFC!$B$32*1.02*1.1*1.1+KFC!$C$32)*KFC!$C$5</f>
        <v>62.080260000000003</v>
      </c>
      <c r="D83" s="194">
        <f>(57.2*KFC!$B$32*1.02*1.1*1.1+KFC!$C$32)*KFC!$C$5</f>
        <v>70.596240000000023</v>
      </c>
      <c r="E83" s="194">
        <f>(64.1*KFC!$B$32*1.02*1.1*1.1+KFC!$C$32)*KFC!$C$5</f>
        <v>79.112219999999994</v>
      </c>
      <c r="F83" s="194">
        <f>(70.9*KFC!$B$32*1.02*1.1*1.1+KFC!$C$32)*KFC!$C$5</f>
        <v>87.504780000000025</v>
      </c>
      <c r="G83" s="194">
        <f>(77.9*KFC!$B$32*1.02*1.1*1.1+KFC!$C$32)*KFC!$C$5</f>
        <v>96.144180000000034</v>
      </c>
      <c r="H83" s="194">
        <f>(84.8*KFC!$B$32*1.02*1.1*1.1+KFC!$C$32)*KFC!$C$5</f>
        <v>104.66016</v>
      </c>
      <c r="I83" s="194">
        <f>(91.7*KFC!$B$32*1.02*1.1*1.1+KFC!$C$32)*KFC!$C$5</f>
        <v>113.17614000000002</v>
      </c>
      <c r="J83" s="194">
        <f>(98.6*KFC!$B$32*1.02*1.1*1.1+KFC!$C$32)*KFC!$C$5</f>
        <v>121.69212000000002</v>
      </c>
      <c r="K83" s="194">
        <f>(105.4*KFC!$B$32*1.02*1.1*1.1+KFC!$C$32)*KFC!$C$5</f>
        <v>130.08468000000005</v>
      </c>
      <c r="L83" s="194">
        <f>(112.4*KFC!$B$32*1.02*1.1*1.1+KFC!$C$32)*KFC!$C$5</f>
        <v>138.72408000000004</v>
      </c>
      <c r="M83" s="194">
        <f>(119.2*KFC!$B$32*1.02*1.1*1.1+KFC!$C$32)*KFC!$C$5</f>
        <v>147.11664000000002</v>
      </c>
      <c r="N83" s="194">
        <f>(126.2*KFC!$B$32*1.02*1.1*1.1+KFC!$C$32)*KFC!$C$5</f>
        <v>155.75604000000007</v>
      </c>
      <c r="O83" s="194">
        <f>(133.1*KFC!$B$32*1.02*1.1*1.1+KFC!$C$32)*KFC!$C$5</f>
        <v>164.27202000000003</v>
      </c>
      <c r="P83" s="195">
        <f>(139.9*KFC!$B$32*1.02*1.1*1.1+KFC!$C$32)*KFC!$C$5</f>
        <v>172.66458000000003</v>
      </c>
    </row>
    <row r="84" spans="1:16">
      <c r="A84" s="1781"/>
      <c r="B84" s="333">
        <v>1.8</v>
      </c>
      <c r="C84" s="334">
        <f>(51.4*KFC!$B$32*1.02*1.1*1.1+KFC!$C$32)*KFC!$C$5</f>
        <v>63.437880000000007</v>
      </c>
      <c r="D84" s="194">
        <f>(58.6*KFC!$B$32*1.02*1.1*1.1+KFC!$C$32)*KFC!$C$5</f>
        <v>72.324120000000022</v>
      </c>
      <c r="E84" s="194">
        <f>(65.7*KFC!$B$32*1.02*1.1*1.1+KFC!$C$32)*KFC!$C$5</f>
        <v>81.086940000000027</v>
      </c>
      <c r="F84" s="194">
        <f>(72.9*KFC!$B$32*1.02*1.1*1.1+KFC!$C$32)*KFC!$C$5</f>
        <v>89.973180000000013</v>
      </c>
      <c r="G84" s="194">
        <f>(80.1*KFC!$B$32*1.02*1.1*1.1+KFC!$C$32)*KFC!$C$5</f>
        <v>98.859420000000014</v>
      </c>
      <c r="H84" s="194">
        <f>(87.2*KFC!$B$32*1.02*1.1*1.1+KFC!$C$32)*KFC!$C$5</f>
        <v>107.62224000000002</v>
      </c>
      <c r="I84" s="194">
        <f>(94.4*KFC!$B$32*1.02*1.1*1.1+KFC!$C$32)*KFC!$C$5</f>
        <v>116.50848000000003</v>
      </c>
      <c r="J84" s="194">
        <f>(101.5*KFC!$B$32*1.02*1.1*1.1+KFC!$C$32)*KFC!$C$5</f>
        <v>125.27130000000002</v>
      </c>
      <c r="K84" s="194">
        <f>(108.7*KFC!$B$32*1.02*1.1*1.1+KFC!$C$32)*KFC!$C$5</f>
        <v>134.15754000000004</v>
      </c>
      <c r="L84" s="194">
        <f>(115.8*KFC!$B$32*1.02*1.1*1.1+KFC!$C$32)*KFC!$C$5</f>
        <v>142.92036000000002</v>
      </c>
      <c r="M84" s="194">
        <f>(123*KFC!$B$32*1.02*1.1*1.1+KFC!$C$32)*KFC!$C$5</f>
        <v>151.80660000000003</v>
      </c>
      <c r="N84" s="194">
        <f>(130.1*KFC!$B$32*1.02*1.1*1.1+KFC!$C$32)*KFC!$C$5</f>
        <v>160.56942000000004</v>
      </c>
      <c r="O84" s="194">
        <f>(137.3*KFC!$B$32*1.02*1.1*1.1+KFC!$C$32)*KFC!$C$5</f>
        <v>169.45566000000005</v>
      </c>
      <c r="P84" s="195">
        <f>(144.4*KFC!$B$32*1.02*1.1*1.1+KFC!$C$32)*KFC!$C$5</f>
        <v>178.21848000000003</v>
      </c>
    </row>
    <row r="85" spans="1:16">
      <c r="A85" s="1781"/>
      <c r="B85" s="333">
        <v>1.9</v>
      </c>
      <c r="C85" s="334">
        <f>(52.6*KFC!$B$32*1.02*1.1*1.1+KFC!$C$32)*KFC!$C$5</f>
        <v>64.918920000000014</v>
      </c>
      <c r="D85" s="194">
        <f>(59.9*KFC!$B$32*1.02*1.1*1.1+KFC!$C$32)*KFC!$C$5</f>
        <v>73.928580000000011</v>
      </c>
      <c r="E85" s="194">
        <f>(67.4*KFC!$B$32*1.02*1.1*1.1+KFC!$C$32)*KFC!$C$5</f>
        <v>83.185080000000013</v>
      </c>
      <c r="F85" s="194">
        <f>(74.8*KFC!$B$32*1.02*1.1*1.1+KFC!$C$32)*KFC!$C$5</f>
        <v>92.318160000000006</v>
      </c>
      <c r="G85" s="194">
        <f>(82.2*KFC!$B$32*1.02*1.1*1.1+KFC!$C$32)*KFC!$C$5</f>
        <v>101.45124000000003</v>
      </c>
      <c r="H85" s="194">
        <f>(89.6*KFC!$B$32*1.02*1.1*1.1+KFC!$C$32)*KFC!$C$5</f>
        <v>110.58432000000001</v>
      </c>
      <c r="I85" s="194">
        <f>(97.1*KFC!$B$32*1.02*1.1*1.1+KFC!$C$32)*KFC!$C$5</f>
        <v>119.84082000000001</v>
      </c>
      <c r="J85" s="194">
        <f>(104.4*KFC!$B$32*1.02*1.1*1.1+KFC!$C$32)*KFC!$C$5</f>
        <v>128.85048000000003</v>
      </c>
      <c r="K85" s="194">
        <f>(111.9*KFC!$B$32*1.02*1.1*1.1+KFC!$C$32)*KFC!$C$5</f>
        <v>138.10698000000002</v>
      </c>
      <c r="L85" s="194">
        <f>(119.4*KFC!$B$32*1.02*1.1*1.1+KFC!$C$32)*KFC!$C$5</f>
        <v>147.36348000000004</v>
      </c>
      <c r="M85" s="194">
        <f>(126.7*KFC!$B$32*1.02*1.1*1.1+KFC!$C$32)*KFC!$C$5</f>
        <v>156.37314000000003</v>
      </c>
      <c r="N85" s="194">
        <f>(134.2*KFC!$B$32*1.02*1.1*1.1+KFC!$C$32)*KFC!$C$5</f>
        <v>165.62963999999999</v>
      </c>
      <c r="O85" s="194">
        <f>(141.6*KFC!$B$32*1.02*1.1*1.1+KFC!$C$32)*KFC!$C$5</f>
        <v>174.76272000000003</v>
      </c>
      <c r="P85" s="195">
        <f>(149.1*KFC!$B$32*1.02*1.1*1.1+KFC!$C$32)*KFC!$C$5</f>
        <v>184.01922000000002</v>
      </c>
    </row>
    <row r="86" spans="1:16">
      <c r="A86" s="1781"/>
      <c r="B86" s="333">
        <v>2</v>
      </c>
      <c r="C86" s="334">
        <f>(53.7*KFC!$B$32*1.02*1.1*1.1+KFC!$C$32)*KFC!$C$5</f>
        <v>66.276540000000011</v>
      </c>
      <c r="D86" s="194">
        <f>(61.4*KFC!$B$32*1.02*1.1*1.1+KFC!$C$32)*KFC!$C$5</f>
        <v>75.779880000000006</v>
      </c>
      <c r="E86" s="194">
        <f>(69.1*KFC!$B$32*1.02*1.1*1.1+KFC!$C$32)*KFC!$C$5</f>
        <v>85.283220000000014</v>
      </c>
      <c r="F86" s="194">
        <f>(76.7*KFC!$B$32*1.02*1.1*1.1+KFC!$C$32)*KFC!$C$5</f>
        <v>94.663140000000027</v>
      </c>
      <c r="G86" s="194">
        <f>(84.4*KFC!$B$32*1.02*1.1*1.1+KFC!$C$32)*KFC!$C$5</f>
        <v>104.16648000000002</v>
      </c>
      <c r="H86" s="194">
        <f>(92.1*KFC!$B$32*1.02*1.1*1.1+KFC!$C$32)*KFC!$C$5</f>
        <v>113.66982000000002</v>
      </c>
      <c r="I86" s="194">
        <f>(99.8*KFC!$B$32*1.02*1.1*1.1+KFC!$C$32)*KFC!$C$5</f>
        <v>123.17316000000001</v>
      </c>
      <c r="J86" s="194">
        <f>(107.5*KFC!$B$32*1.02*1.1*1.1+KFC!$C$32)*KFC!$C$5</f>
        <v>132.67650000000003</v>
      </c>
      <c r="K86" s="194">
        <f>(115.1*KFC!$B$32*1.02*1.1*1.1+KFC!$C$32)*KFC!$C$5</f>
        <v>142.05642</v>
      </c>
      <c r="L86" s="194">
        <f>(122.8*KFC!$B$32*1.02*1.1*1.1+KFC!$C$32)*KFC!$C$5</f>
        <v>151.55976000000001</v>
      </c>
      <c r="M86" s="194">
        <f>(130.5*KFC!$B$32*1.02*1.1*1.1+KFC!$C$32)*KFC!$C$5</f>
        <v>161.06310000000005</v>
      </c>
      <c r="N86" s="194">
        <f>(138.2*KFC!$B$32*1.02*1.1*1.1+KFC!$C$32)*KFC!$C$5</f>
        <v>170.56644000000003</v>
      </c>
      <c r="O86" s="194">
        <f>(145.9*KFC!$B$32*1.02*1.1*1.1+KFC!$C$32)*KFC!$C$5</f>
        <v>180.06978000000007</v>
      </c>
      <c r="P86" s="195">
        <f>(153.6*KFC!$B$32*1.02*1.1*1.1+KFC!$C$32)*KFC!$C$5</f>
        <v>189.57312000000002</v>
      </c>
    </row>
    <row r="87" spans="1:16">
      <c r="A87" s="1781"/>
      <c r="B87" s="333">
        <v>2.1</v>
      </c>
      <c r="C87" s="334">
        <f>(54.8*KFC!$B$32*1.02*1.1*1.1+KFC!$C$32)*KFC!$C$5</f>
        <v>67.634160000000008</v>
      </c>
      <c r="D87" s="194">
        <f>(62.7*KFC!$B$32*1.02*1.1*1.1+KFC!$C$32)*KFC!$C$5</f>
        <v>77.384340000000009</v>
      </c>
      <c r="E87" s="194">
        <f>(70.7*KFC!$B$32*1.02*1.1*1.1+KFC!$C$32)*KFC!$C$5</f>
        <v>87.257940000000019</v>
      </c>
      <c r="F87" s="194">
        <f>(78.6*KFC!$B$32*1.02*1.1*1.1+KFC!$C$32)*KFC!$C$5</f>
        <v>97.008120000000005</v>
      </c>
      <c r="G87" s="194">
        <f>(86.6*KFC!$B$32*1.02*1.1*1.1+KFC!$C$32)*KFC!$C$5</f>
        <v>106.88172</v>
      </c>
      <c r="H87" s="194">
        <f>(94.5*KFC!$B$32*1.02*1.1*1.1+KFC!$C$32)*KFC!$C$5</f>
        <v>116.63190000000002</v>
      </c>
      <c r="I87" s="194">
        <f>(102.5*KFC!$B$32*1.02*1.1*1.1+KFC!$C$32)*KFC!$C$5</f>
        <v>126.50550000000003</v>
      </c>
      <c r="J87" s="194">
        <f>(110.4*KFC!$B$32*1.02*1.1*1.1+KFC!$C$32)*KFC!$C$5</f>
        <v>136.25568000000004</v>
      </c>
      <c r="K87" s="194">
        <f>(118.4*KFC!$B$32*1.02*1.1*1.1+KFC!$C$32)*KFC!$C$5</f>
        <v>146.12928000000002</v>
      </c>
      <c r="L87" s="194">
        <f>(126.3*KFC!$B$32*1.02*1.1*1.1+KFC!$C$32)*KFC!$C$5</f>
        <v>155.87946000000002</v>
      </c>
      <c r="M87" s="194">
        <f>(134.3*KFC!$B$32*1.02*1.1*1.1+KFC!$C$32)*KFC!$C$5</f>
        <v>165.75306000000006</v>
      </c>
      <c r="N87" s="194">
        <f>(142.2*KFC!$B$32*1.02*1.1*1.1+KFC!$C$32)*KFC!$C$5</f>
        <v>175.50324000000001</v>
      </c>
      <c r="O87" s="194">
        <f>(150.2*KFC!$B$32*1.02*1.1*1.1+KFC!$C$32)*KFC!$C$5</f>
        <v>185.37683999999999</v>
      </c>
      <c r="P87" s="195">
        <f>(158.1*KFC!$B$32*1.02*1.1*1.1+KFC!$C$32)*KFC!$C$5</f>
        <v>195.12702000000002</v>
      </c>
    </row>
    <row r="88" spans="1:16">
      <c r="A88" s="1781"/>
      <c r="B88" s="333">
        <v>2.2000000000000002</v>
      </c>
      <c r="C88" s="334">
        <f>(55.9*KFC!$B$32*1.02*1.1*1.1+KFC!$C$32)*KFC!$C$5</f>
        <v>68.991780000000006</v>
      </c>
      <c r="D88" s="194">
        <f>(64.2*KFC!$B$32*1.02*1.1*1.1+KFC!$C$32)*KFC!$C$5</f>
        <v>79.235640000000018</v>
      </c>
      <c r="E88" s="194">
        <f>(72.4*KFC!$B$32*1.02*1.1*1.1+KFC!$C$32)*KFC!$C$5</f>
        <v>89.356080000000034</v>
      </c>
      <c r="F88" s="194">
        <f>(80.6*KFC!$B$32*1.02*1.1*1.1+KFC!$C$32)*KFC!$C$5</f>
        <v>99.476520000000008</v>
      </c>
      <c r="G88" s="194">
        <f>(88.8*KFC!$B$32*1.02*1.1*1.1+KFC!$C$32)*KFC!$C$5</f>
        <v>109.59696000000001</v>
      </c>
      <c r="H88" s="194">
        <f>(97*KFC!$B$32*1.02*1.1*1.1+KFC!$C$32)*KFC!$C$5</f>
        <v>119.71740000000001</v>
      </c>
      <c r="I88" s="194">
        <f>(105.2*KFC!$B$32*1.02*1.1*1.1+KFC!$C$32)*KFC!$C$5</f>
        <v>129.83784000000003</v>
      </c>
      <c r="J88" s="194">
        <f>(113.4*KFC!$B$32*1.02*1.1*1.1+KFC!$C$32)*KFC!$C$5</f>
        <v>139.95828000000003</v>
      </c>
      <c r="K88" s="194">
        <f>(121.6*KFC!$B$32*1.02*1.1*1.1+KFC!$C$32)*KFC!$C$5</f>
        <v>150.07872000000003</v>
      </c>
      <c r="L88" s="194">
        <f>(129.8*KFC!$B$32*1.02*1.1*1.1+KFC!$C$32)*KFC!$C$5</f>
        <v>160.19916000000006</v>
      </c>
      <c r="M88" s="194">
        <f>(138*KFC!$B$32*1.02*1.1*1.1+KFC!$C$32)*KFC!$C$5</f>
        <v>170.31960000000004</v>
      </c>
      <c r="N88" s="194">
        <f>(146.1*KFC!$B$32*1.02*1.1*1.1+KFC!$C$32)*KFC!$C$5</f>
        <v>180.31662000000003</v>
      </c>
      <c r="O88" s="194">
        <f>(154.5*KFC!$B$32*1.02*1.1*1.1+KFC!$C$32)*KFC!$C$5</f>
        <v>190.68390000000002</v>
      </c>
      <c r="P88" s="195">
        <f>(162.7*KFC!$B$32*1.02*1.1*1.1+KFC!$C$32)*KFC!$C$5</f>
        <v>200.80434</v>
      </c>
    </row>
    <row r="89" spans="1:16">
      <c r="A89" s="1781"/>
      <c r="B89" s="333">
        <v>2.2999999999999998</v>
      </c>
      <c r="C89" s="334">
        <f>(57.1*KFC!$B$32*1.02*1.1*1.1+KFC!$C$32)*KFC!$C$5</f>
        <v>70.472820000000013</v>
      </c>
      <c r="D89" s="194">
        <f>(65.6*KFC!$B$32*1.02*1.1*1.1+KFC!$C$32)*KFC!$C$5</f>
        <v>80.963520000000003</v>
      </c>
      <c r="E89" s="194">
        <f>(74*KFC!$B$32*1.02*1.1*1.1+KFC!$C$32)*KFC!$C$5</f>
        <v>91.330800000000011</v>
      </c>
      <c r="F89" s="194">
        <f>(82.4*KFC!$B$32*1.02*1.1*1.1+KFC!$C$32)*KFC!$C$5</f>
        <v>101.69808000000002</v>
      </c>
      <c r="G89" s="194">
        <f>(91*KFC!$B$32*1.02*1.1*1.1+KFC!$C$32)*KFC!$C$5</f>
        <v>112.31220000000003</v>
      </c>
      <c r="H89" s="194">
        <f>(99.4*KFC!$B$32*1.02*1.1*1.1+KFC!$C$32)*KFC!$C$5</f>
        <v>122.67948000000001</v>
      </c>
      <c r="I89" s="194">
        <f>(107.9*KFC!$B$32*1.02*1.1*1.1+KFC!$C$32)*KFC!$C$5</f>
        <v>133.17018000000002</v>
      </c>
      <c r="J89" s="194">
        <f>(116.3*KFC!$B$32*1.02*1.1*1.1+KFC!$C$32)*KFC!$C$5</f>
        <v>143.53746000000004</v>
      </c>
      <c r="K89" s="194">
        <f>(124.9*KFC!$B$32*1.02*1.1*1.1+KFC!$C$32)*KFC!$C$5</f>
        <v>154.15158000000005</v>
      </c>
      <c r="L89" s="194">
        <f>(133.3*KFC!$B$32*1.02*1.1*1.1+KFC!$C$32)*KFC!$C$5</f>
        <v>164.51886000000005</v>
      </c>
      <c r="M89" s="194">
        <f>(141.7*KFC!$B$32*1.02*1.1*1.1+KFC!$C$32)*KFC!$C$5</f>
        <v>174.88614000000001</v>
      </c>
      <c r="N89" s="194">
        <f>(150.2*KFC!$B$32*1.02*1.1*1.1+KFC!$C$32)*KFC!$C$5</f>
        <v>185.37683999999999</v>
      </c>
      <c r="O89" s="194">
        <f>(158.6*KFC!$B$32*1.02*1.1*1.1+KFC!$C$32)*KFC!$C$5</f>
        <v>195.74412000000004</v>
      </c>
      <c r="P89" s="195">
        <f>(167.2*KFC!$B$32*1.02*1.1*1.1+KFC!$C$32)*KFC!$C$5</f>
        <v>206.35824000000002</v>
      </c>
    </row>
    <row r="90" spans="1:16">
      <c r="A90" s="1781"/>
      <c r="B90" s="333">
        <v>2.4</v>
      </c>
      <c r="C90" s="334">
        <f>(58.2*KFC!$B$32*1.02*1.1*1.1+KFC!$C$32)*KFC!$C$5</f>
        <v>71.830440000000024</v>
      </c>
      <c r="D90" s="194">
        <f>(66.9*KFC!$B$32*1.02*1.1*1.1+KFC!$C$32)*KFC!$C$5</f>
        <v>82.567980000000034</v>
      </c>
      <c r="E90" s="194">
        <f>(75.7*KFC!$B$32*1.02*1.1*1.1+KFC!$C$32)*KFC!$C$5</f>
        <v>93.428940000000011</v>
      </c>
      <c r="F90" s="194">
        <f>(84.4*KFC!$B$32*1.02*1.1*1.1+KFC!$C$32)*KFC!$C$5</f>
        <v>104.16648000000002</v>
      </c>
      <c r="G90" s="194">
        <f>(93.1*KFC!$B$32*1.02*1.1*1.1+KFC!$C$32)*KFC!$C$5</f>
        <v>114.90402</v>
      </c>
      <c r="H90" s="194">
        <f>(101.9*KFC!$B$32*1.02*1.1*1.1+KFC!$C$32)*KFC!$C$5</f>
        <v>125.76498000000002</v>
      </c>
      <c r="I90" s="194">
        <f>(110.6*KFC!$B$32*1.02*1.1*1.1+KFC!$C$32)*KFC!$C$5</f>
        <v>136.50252000000003</v>
      </c>
      <c r="J90" s="194">
        <f>(119.2*KFC!$B$32*1.02*1.1*1.1+KFC!$C$32)*KFC!$C$5</f>
        <v>147.11664000000002</v>
      </c>
      <c r="K90" s="194">
        <f>(128*KFC!$B$32*1.02*1.1*1.1+KFC!$C$32)*KFC!$C$5</f>
        <v>157.97760000000002</v>
      </c>
      <c r="L90" s="194">
        <f>(136.7*KFC!$B$32*1.02*1.1*1.1+KFC!$C$32)*KFC!$C$5</f>
        <v>168.71514000000005</v>
      </c>
      <c r="M90" s="194">
        <f>(145.5*KFC!$B$32*1.02*1.1*1.1+KFC!$C$32)*KFC!$C$5</f>
        <v>179.57610000000003</v>
      </c>
      <c r="N90" s="194">
        <f>(154.2*KFC!$B$32*1.02*1.1*1.1+KFC!$C$32)*KFC!$C$5</f>
        <v>190.31364000000002</v>
      </c>
      <c r="O90" s="194">
        <f>(162.9*KFC!$B$32*1.02*1.1*1.1+KFC!$C$32)*KFC!$C$5</f>
        <v>201.05118000000004</v>
      </c>
      <c r="P90" s="195">
        <f>(171.7*KFC!$B$32*1.02*1.1*1.1+KFC!$C$32)*KFC!$C$5</f>
        <v>211.91214000000002</v>
      </c>
    </row>
    <row r="91" spans="1:16">
      <c r="A91" s="1781"/>
      <c r="B91" s="333">
        <v>2.5</v>
      </c>
      <c r="C91" s="334">
        <f>(59.3*KFC!$B$32*1.02*1.1*1.1+KFC!$C$32)*KFC!$C$5</f>
        <v>73.188060000000007</v>
      </c>
      <c r="D91" s="194">
        <f>(68.4*KFC!$B$32*1.02*1.1*1.1+KFC!$C$32)*KFC!$C$5</f>
        <v>84.419280000000015</v>
      </c>
      <c r="E91" s="194">
        <f>(77.3*KFC!$B$32*1.02*1.1*1.1+KFC!$C$32)*KFC!$C$5</f>
        <v>95.403660000000016</v>
      </c>
      <c r="F91" s="194">
        <f>(86.3*KFC!$B$32*1.02*1.1*1.1+KFC!$C$32)*KFC!$C$5</f>
        <v>106.51146000000001</v>
      </c>
      <c r="G91" s="194">
        <f>(95.3*KFC!$B$32*1.02*1.1*1.1+KFC!$C$32)*KFC!$C$5</f>
        <v>117.61926000000001</v>
      </c>
      <c r="H91" s="194">
        <f>(104.3*KFC!$B$32*1.02*1.1*1.1+KFC!$C$32)*KFC!$C$5</f>
        <v>128.72706000000002</v>
      </c>
      <c r="I91" s="194">
        <f>(113.2*KFC!$B$32*1.02*1.1*1.1+KFC!$C$32)*KFC!$C$5</f>
        <v>139.71144000000001</v>
      </c>
      <c r="J91" s="194">
        <f>(122.3*KFC!$B$32*1.02*1.1*1.1+KFC!$C$32)*KFC!$C$5</f>
        <v>150.94266000000005</v>
      </c>
      <c r="K91" s="194">
        <f>(131.2*KFC!$B$32*1.02*1.1*1.1+KFC!$C$32)*KFC!$C$5</f>
        <v>161.92704000000001</v>
      </c>
      <c r="L91" s="194">
        <f>(140.3*KFC!$B$32*1.02*1.1*1.1+KFC!$C$32)*KFC!$C$5</f>
        <v>173.15826000000007</v>
      </c>
      <c r="M91" s="194">
        <f>(149.2*KFC!$B$32*1.02*1.1*1.1+KFC!$C$32)*KFC!$C$5</f>
        <v>184.14264000000003</v>
      </c>
      <c r="N91" s="194">
        <f>(158.3*KFC!$B$32*1.02*1.1*1.1+KFC!$C$32)*KFC!$C$5</f>
        <v>195.37386000000004</v>
      </c>
      <c r="O91" s="194">
        <f>(167.2*KFC!$B$32*1.02*1.1*1.1+KFC!$C$32)*KFC!$C$5</f>
        <v>206.35824000000002</v>
      </c>
      <c r="P91" s="195">
        <f>(176.2*KFC!$B$32*1.02*1.1*1.1+KFC!$C$32)*KFC!$C$5</f>
        <v>217.46604000000002</v>
      </c>
    </row>
    <row r="92" spans="1:16">
      <c r="A92" s="1781"/>
      <c r="B92" s="333">
        <v>2.6</v>
      </c>
      <c r="C92" s="334">
        <f>(60.4*KFC!$B$32*1.02*1.1*1.1+KFC!$C$32)*KFC!$C$5</f>
        <v>74.545680000000004</v>
      </c>
      <c r="D92" s="194">
        <f>(69.7*KFC!$B$32*1.02*1.1*1.1+KFC!$C$32)*KFC!$C$5</f>
        <v>86.023740000000018</v>
      </c>
      <c r="E92" s="194">
        <f>(79*KFC!$B$32*1.02*1.1*1.1+KFC!$C$32)*KFC!$C$5</f>
        <v>97.501800000000017</v>
      </c>
      <c r="F92" s="194">
        <f>(88.2*KFC!$B$32*1.02*1.1*1.1+KFC!$C$32)*KFC!$C$5</f>
        <v>108.85644000000002</v>
      </c>
      <c r="G92" s="194">
        <f>(97.5*KFC!$B$32*1.02*1.1*1.1+KFC!$C$32)*KFC!$C$5</f>
        <v>120.33450000000002</v>
      </c>
      <c r="H92" s="194">
        <f>(106.8*KFC!$B$32*1.02*1.1*1.1+KFC!$C$32)*KFC!$C$5</f>
        <v>131.81256000000002</v>
      </c>
      <c r="I92" s="194">
        <f>(115.9*KFC!$B$32*1.02*1.1*1.1+KFC!$C$32)*KFC!$C$5</f>
        <v>143.04378000000003</v>
      </c>
      <c r="J92" s="194">
        <f>(125.2*KFC!$B$32*1.02*1.1*1.1+KFC!$C$32)*KFC!$C$5</f>
        <v>154.52184000000005</v>
      </c>
      <c r="K92" s="194">
        <f>(134.5*KFC!$B$32*1.02*1.1*1.1+KFC!$C$32)*KFC!$C$5</f>
        <v>165.99990000000003</v>
      </c>
      <c r="L92" s="194">
        <f>(143.7*KFC!$B$32*1.02*1.1*1.1+KFC!$C$32)*KFC!$C$5</f>
        <v>177.35454000000001</v>
      </c>
      <c r="M92" s="194">
        <f>(153*KFC!$B$32*1.02*1.1*1.1+KFC!$C$32)*KFC!$C$5</f>
        <v>188.83260000000004</v>
      </c>
      <c r="N92" s="194">
        <f>(162.2*KFC!$B$32*1.02*1.1*1.1+KFC!$C$32)*KFC!$C$5</f>
        <v>200.18724000000003</v>
      </c>
      <c r="O92" s="194">
        <f>(171.5*KFC!$B$32*1.02*1.1*1.1+KFC!$C$32)*KFC!$C$5</f>
        <v>211.66530000000006</v>
      </c>
      <c r="P92" s="195">
        <f>(180.8*KFC!$B$32*1.02*1.1*1.1+KFC!$C$32)*KFC!$C$5</f>
        <v>223.14336000000006</v>
      </c>
    </row>
    <row r="93" spans="1:16">
      <c r="A93" s="1781"/>
      <c r="B93" s="333">
        <v>2.7</v>
      </c>
      <c r="C93" s="334">
        <f>(61.6*KFC!$B$32*1.02*1.1*1.1+KFC!$C$32)*KFC!$C$5</f>
        <v>76.026720000000012</v>
      </c>
      <c r="D93" s="194">
        <f>(71.1*KFC!$B$32*1.02*1.1*1.1+KFC!$C$32)*KFC!$C$5</f>
        <v>87.751620000000003</v>
      </c>
      <c r="E93" s="194">
        <f>(80.6*KFC!$B$32*1.02*1.1*1.1+KFC!$C$32)*KFC!$C$5</f>
        <v>99.476520000000008</v>
      </c>
      <c r="F93" s="194">
        <f>(90.1*KFC!$B$32*1.02*1.1*1.1+KFC!$C$32)*KFC!$C$5</f>
        <v>111.20142000000001</v>
      </c>
      <c r="G93" s="194">
        <f>(99.7*KFC!$B$32*1.02*1.1*1.1+KFC!$C$32)*KFC!$C$5</f>
        <v>123.04974000000003</v>
      </c>
      <c r="H93" s="194">
        <f>(109.2*KFC!$B$32*1.02*1.1*1.1+KFC!$C$32)*KFC!$C$5</f>
        <v>134.77464000000001</v>
      </c>
      <c r="I93" s="194">
        <f>(118.6*KFC!$B$32*1.02*1.1*1.1+KFC!$C$32)*KFC!$C$5</f>
        <v>146.37612000000001</v>
      </c>
      <c r="J93" s="194">
        <f>(128.2*KFC!$B$32*1.02*1.1*1.1+KFC!$C$32)*KFC!$C$5</f>
        <v>158.22443999999999</v>
      </c>
      <c r="K93" s="194">
        <f>(137.7*KFC!$B$32*1.02*1.1*1.1+KFC!$C$32)*KFC!$C$5</f>
        <v>169.94933999999998</v>
      </c>
      <c r="L93" s="194">
        <f>(147.2*KFC!$B$32*1.02*1.1*1.1+KFC!$C$32)*KFC!$C$5</f>
        <v>181.67424000000003</v>
      </c>
      <c r="M93" s="194">
        <f>(156.7*KFC!$B$32*1.02*1.1*1.1+KFC!$C$32)*KFC!$C$5</f>
        <v>193.39914000000005</v>
      </c>
      <c r="N93" s="194">
        <f>(166.2*KFC!$B$32*1.02*1.1*1.1+KFC!$C$32)*KFC!$C$5</f>
        <v>205.12404000000004</v>
      </c>
      <c r="O93" s="194">
        <f>(175.7*KFC!$B$32*1.02*1.1*1.1+KFC!$C$32)*KFC!$C$5</f>
        <v>216.84894000000003</v>
      </c>
      <c r="P93" s="195">
        <f>(185.3*KFC!$B$32*1.02*1.1*1.1+KFC!$C$32)*KFC!$C$5</f>
        <v>228.69726000000009</v>
      </c>
    </row>
    <row r="94" spans="1:16">
      <c r="A94" s="1781"/>
      <c r="B94" s="333">
        <v>2.8</v>
      </c>
      <c r="C94" s="334">
        <f>(62.7*KFC!$B$32*1.02*1.1*1.1+KFC!$C$32)*KFC!$C$5</f>
        <v>77.384340000000009</v>
      </c>
      <c r="D94" s="194">
        <f>(72.5*KFC!$B$32*1.02*1.1*1.1+KFC!$C$32)*KFC!$C$5</f>
        <v>89.479500000000016</v>
      </c>
      <c r="E94" s="194">
        <f>(82.3*KFC!$B$32*1.02*1.1*1.1+KFC!$C$32)*KFC!$C$5</f>
        <v>101.57466000000002</v>
      </c>
      <c r="F94" s="194">
        <f>(92.1*KFC!$B$32*1.02*1.1*1.1+KFC!$C$32)*KFC!$C$5</f>
        <v>113.66982000000002</v>
      </c>
      <c r="G94" s="194">
        <f>(101.9*KFC!$B$32*1.02*1.1*1.1+KFC!$C$32)*KFC!$C$5</f>
        <v>125.76498000000002</v>
      </c>
      <c r="H94" s="194">
        <f>(111.7*KFC!$B$32*1.02*1.1*1.1+KFC!$C$32)*KFC!$C$5</f>
        <v>137.86014000000003</v>
      </c>
      <c r="I94" s="194">
        <f>(121.3*KFC!$B$32*1.02*1.1*1.1+KFC!$C$32)*KFC!$C$5</f>
        <v>149.70846000000003</v>
      </c>
      <c r="J94" s="194">
        <f>(131.1*KFC!$B$32*1.02*1.1*1.1+KFC!$C$32)*KFC!$C$5</f>
        <v>161.80362000000005</v>
      </c>
      <c r="K94" s="194">
        <f>(140.9*KFC!$B$32*1.02*1.1*1.1+KFC!$C$32)*KFC!$C$5</f>
        <v>173.89878000000004</v>
      </c>
      <c r="L94" s="194">
        <f>(150.7*KFC!$B$32*1.02*1.1*1.1+KFC!$C$32)*KFC!$C$5</f>
        <v>185.99394000000004</v>
      </c>
      <c r="M94" s="194">
        <f>(160.5*KFC!$B$32*1.02*1.1*1.1+KFC!$C$32)*KFC!$C$5</f>
        <v>198.08910000000003</v>
      </c>
      <c r="N94" s="194">
        <f>(170.2*KFC!$B$32*1.02*1.1*1.1+KFC!$C$32)*KFC!$C$5</f>
        <v>210.06084000000004</v>
      </c>
      <c r="O94" s="194">
        <f>(180*KFC!$B$32*1.02*1.1*1.1+KFC!$C$32)*KFC!$C$5</f>
        <v>222.15600000000003</v>
      </c>
      <c r="P94" s="195">
        <f>(189.8*KFC!$B$32*1.02*1.1*1.1+KFC!$C$32)*KFC!$C$5</f>
        <v>234.25116000000006</v>
      </c>
    </row>
    <row r="95" spans="1:16">
      <c r="A95" s="1781"/>
      <c r="B95" s="333">
        <v>2.9</v>
      </c>
      <c r="C95" s="334">
        <f>(63.8*KFC!$B$32*1.02*1.1*1.1+KFC!$C$32)*KFC!$C$5</f>
        <v>78.741960000000006</v>
      </c>
      <c r="D95" s="194">
        <f>(73.9*KFC!$B$32*1.02*1.1*1.1+KFC!$C$32)*KFC!$C$5</f>
        <v>91.207380000000015</v>
      </c>
      <c r="E95" s="194">
        <f>(83.9*KFC!$B$32*1.02*1.1*1.1+KFC!$C$32)*KFC!$C$5</f>
        <v>103.54938000000003</v>
      </c>
      <c r="F95" s="194">
        <f>(93.9*KFC!$B$32*1.02*1.1*1.1+KFC!$C$32)*KFC!$C$5</f>
        <v>115.89138000000003</v>
      </c>
      <c r="G95" s="194">
        <f>(104*KFC!$B$32*1.02*1.1*1.1+KFC!$C$32)*KFC!$C$5</f>
        <v>128.35680000000002</v>
      </c>
      <c r="H95" s="194">
        <f>(114*KFC!$B$32*1.02*1.1*1.1+KFC!$C$32)*KFC!$C$5</f>
        <v>140.69880000000003</v>
      </c>
      <c r="I95" s="194">
        <f>(124.1*KFC!$B$32*1.02*1.1*1.1+KFC!$C$32)*KFC!$C$5</f>
        <v>153.16422000000003</v>
      </c>
      <c r="J95" s="194">
        <f>(134.2*KFC!$B$32*1.02*1.1*1.1+KFC!$C$32)*KFC!$C$5</f>
        <v>165.62963999999999</v>
      </c>
      <c r="K95" s="194">
        <f>(144.2*KFC!$B$32*1.02*1.1*1.1+KFC!$C$32)*KFC!$C$5</f>
        <v>177.97164000000004</v>
      </c>
      <c r="L95" s="194">
        <f>(154.2*KFC!$B$32*1.02*1.1*1.1+KFC!$C$32)*KFC!$C$5</f>
        <v>190.31364000000002</v>
      </c>
      <c r="M95" s="194">
        <f>(164.2*KFC!$B$32*1.02*1.1*1.1+KFC!$C$32)*KFC!$C$5</f>
        <v>202.65564000000001</v>
      </c>
      <c r="N95" s="194">
        <f>(174.3*KFC!$B$32*1.02*1.1*1.1+KFC!$C$32)*KFC!$C$5</f>
        <v>215.12106000000003</v>
      </c>
      <c r="O95" s="194">
        <f>(184.3*KFC!$B$32*1.02*1.1*1.1+KFC!$C$32)*KFC!$C$5</f>
        <v>227.46306000000007</v>
      </c>
      <c r="P95" s="195">
        <f>(194.3*KFC!$B$32*1.02*1.1*1.1+KFC!$C$32)*KFC!$C$5</f>
        <v>239.80506000000005</v>
      </c>
    </row>
    <row r="96" spans="1:16">
      <c r="A96" s="1781"/>
      <c r="B96" s="333">
        <v>3</v>
      </c>
      <c r="C96" s="334">
        <f>(64.9*KFC!$B$32*1.02*1.1*1.1+KFC!$C$32)*KFC!$C$5</f>
        <v>80.099580000000032</v>
      </c>
      <c r="D96" s="194">
        <f>(75.3*KFC!$B$32*1.02*1.1*1.1+KFC!$C$32)*KFC!$C$5</f>
        <v>92.935260000000014</v>
      </c>
      <c r="E96" s="194">
        <f>(85.6*KFC!$B$32*1.02*1.1*1.1+KFC!$C$32)*KFC!$C$5</f>
        <v>105.64752000000001</v>
      </c>
      <c r="F96" s="194">
        <f>(95.9*KFC!$B$32*1.02*1.1*1.1+KFC!$C$32)*KFC!$C$5</f>
        <v>118.35978000000003</v>
      </c>
      <c r="G96" s="194">
        <f>(106.2*KFC!$B$32*1.02*1.1*1.1+KFC!$C$32)*KFC!$C$5</f>
        <v>131.07204000000002</v>
      </c>
      <c r="H96" s="194">
        <f>(116.4*KFC!$B$32*1.02*1.1*1.1+KFC!$C$32)*KFC!$C$5</f>
        <v>143.66088000000005</v>
      </c>
      <c r="I96" s="194">
        <f>(126.8*KFC!$B$32*1.02*1.1*1.1+KFC!$C$32)*KFC!$C$5</f>
        <v>156.49656000000004</v>
      </c>
      <c r="J96" s="194">
        <f>(137.1*KFC!$B$32*1.02*1.1*1.1+KFC!$C$32)*KFC!$C$5</f>
        <v>169.20882</v>
      </c>
      <c r="K96" s="194">
        <f>(147.4*KFC!$B$32*1.02*1.1*1.1+KFC!$C$32)*KFC!$C$5</f>
        <v>181.92108000000005</v>
      </c>
      <c r="L96" s="194">
        <f>(157.6*KFC!$B$32*1.02*1.1*1.1+KFC!$C$32)*KFC!$C$5</f>
        <v>194.50992000000005</v>
      </c>
      <c r="M96" s="194">
        <f>(167.9*KFC!$B$32*1.02*1.1*1.1+KFC!$C$32)*KFC!$C$5</f>
        <v>207.22218000000007</v>
      </c>
      <c r="N96" s="194">
        <f>(178.3*KFC!$B$32*1.02*1.1*1.1+KFC!$C$32)*KFC!$C$5</f>
        <v>220.05786000000006</v>
      </c>
      <c r="O96" s="194">
        <f>(188.6*KFC!$B$32*1.02*1.1*1.1+KFC!$C$32)*KFC!$C$5</f>
        <v>232.77012000000005</v>
      </c>
      <c r="P96" s="195">
        <f>(198.9*KFC!$B$32*1.02*1.1*1.1+KFC!$C$32)*KFC!$C$5</f>
        <v>245.48238000000006</v>
      </c>
    </row>
    <row r="97" spans="1:16">
      <c r="A97" s="1781"/>
      <c r="B97" s="333">
        <v>3.1</v>
      </c>
      <c r="C97" s="334">
        <f>(66.2*KFC!$B$32*1.02*1.1*1.1+KFC!$C$32)*KFC!$C$5</f>
        <v>81.70404000000002</v>
      </c>
      <c r="D97" s="194">
        <f>(76.7*KFC!$B$32*1.02*1.1*1.1+KFC!$C$32)*KFC!$C$5</f>
        <v>94.663140000000027</v>
      </c>
      <c r="E97" s="194">
        <f>(87.2*KFC!$B$32*1.02*1.1*1.1+KFC!$C$32)*KFC!$C$5</f>
        <v>107.62224000000002</v>
      </c>
      <c r="F97" s="194">
        <f>(97.8*KFC!$B$32*1.02*1.1*1.1+KFC!$C$32)*KFC!$C$5</f>
        <v>120.70476000000002</v>
      </c>
      <c r="G97" s="194">
        <f>(108.4*KFC!$B$32*1.02*1.1*1.1+KFC!$C$32)*KFC!$C$5</f>
        <v>133.78728000000004</v>
      </c>
      <c r="H97" s="194">
        <f>(118.9*KFC!$B$32*1.02*1.1*1.1+KFC!$C$32)*KFC!$C$5</f>
        <v>146.74638000000004</v>
      </c>
      <c r="I97" s="194">
        <f>(129.5*KFC!$B$32*1.02*1.1*1.1+KFC!$C$32)*KFC!$C$5</f>
        <v>159.82890000000003</v>
      </c>
      <c r="J97" s="194">
        <f>(140*KFC!$B$32*1.02*1.1*1.1+KFC!$C$32)*KFC!$C$5</f>
        <v>172.78800000000004</v>
      </c>
      <c r="K97" s="194">
        <f>(150.6*KFC!$B$32*1.02*1.1*1.1+KFC!$C$32)*KFC!$C$5</f>
        <v>185.87052000000003</v>
      </c>
      <c r="L97" s="194">
        <f>(161.2*KFC!$B$32*1.02*1.1*1.1+KFC!$C$32)*KFC!$C$5</f>
        <v>198.95304000000002</v>
      </c>
      <c r="M97" s="194">
        <f>(171.7*KFC!$B$32*1.02*1.1*1.1+KFC!$C$32)*KFC!$C$5</f>
        <v>211.91214000000002</v>
      </c>
      <c r="N97" s="194">
        <f>(182.2*KFC!$B$32*1.02*1.1*1.1+KFC!$C$32)*KFC!$C$5</f>
        <v>224.87124000000003</v>
      </c>
      <c r="O97" s="194">
        <f>(192.9*KFC!$B$32*1.02*1.1*1.1+KFC!$C$32)*KFC!$C$5</f>
        <v>238.07718000000003</v>
      </c>
      <c r="P97" s="195">
        <f>(203.4*KFC!$B$32*1.02*1.1*1.1+KFC!$C$32)*KFC!$C$5</f>
        <v>251.03628000000006</v>
      </c>
    </row>
    <row r="98" spans="1:16" ht="13.8" thickBot="1">
      <c r="A98" s="1782"/>
      <c r="B98" s="335">
        <v>3.2</v>
      </c>
      <c r="C98" s="336">
        <f>(67.3*KFC!$B$32*1.02*1.1*1.1+KFC!$C$32)*KFC!$C$5</f>
        <v>83.061660000000018</v>
      </c>
      <c r="D98" s="196">
        <f>(78*KFC!$B$32*1.02*1.1*1.1+KFC!$C$32)*KFC!$C$5</f>
        <v>96.267600000000016</v>
      </c>
      <c r="E98" s="196">
        <f>(88.9*KFC!$B$32*1.02*1.1*1.1+KFC!$C$32)*KFC!$C$5</f>
        <v>109.72038000000003</v>
      </c>
      <c r="F98" s="196">
        <f>(99.7*KFC!$B$32*1.02*1.1*1.1+KFC!$C$32)*KFC!$C$5</f>
        <v>123.04974000000003</v>
      </c>
      <c r="G98" s="196">
        <f>(110.6*KFC!$B$32*1.02*1.1*1.1+KFC!$C$32)*KFC!$C$5</f>
        <v>136.50252000000003</v>
      </c>
      <c r="H98" s="196">
        <f>(121.3*KFC!$B$32*1.02*1.1*1.1+KFC!$C$32)*KFC!$C$5</f>
        <v>149.70846000000003</v>
      </c>
      <c r="I98" s="196">
        <f>(132.2*KFC!$B$32*1.02*1.1*1.1+KFC!$C$32)*KFC!$C$5</f>
        <v>163.16124000000002</v>
      </c>
      <c r="J98" s="196">
        <f>(143*KFC!$B$32*1.02*1.1*1.1+KFC!$C$32)*KFC!$C$5</f>
        <v>176.49060000000006</v>
      </c>
      <c r="K98" s="196">
        <f>(153.9*KFC!$B$32*1.02*1.1*1.1+KFC!$C$32)*KFC!$C$5</f>
        <v>189.94338000000002</v>
      </c>
      <c r="L98" s="196">
        <f>(164.6*KFC!$B$32*1.02*1.1*1.1+KFC!$C$32)*KFC!$C$5</f>
        <v>203.14932000000005</v>
      </c>
      <c r="M98" s="196">
        <f>(175.5*KFC!$B$32*1.02*1.1*1.1+KFC!$C$32)*KFC!$C$5</f>
        <v>216.60210000000001</v>
      </c>
      <c r="N98" s="196">
        <f>(186.3*KFC!$B$32*1.02*1.1*1.1+KFC!$C$32)*KFC!$C$5</f>
        <v>229.93146000000007</v>
      </c>
      <c r="O98" s="196">
        <f>(197.1*KFC!$B$32*1.02*1.1*1.1+KFC!$C$32)*KFC!$C$5</f>
        <v>243.26082000000005</v>
      </c>
      <c r="P98" s="197">
        <f>(207.9*KFC!$B$32*1.02*1.1*1.1+KFC!$C$32)*KFC!$C$5</f>
        <v>256.59018000000003</v>
      </c>
    </row>
    <row r="99" spans="1:16" ht="13.8" thickBot="1"/>
    <row r="100" spans="1:16" ht="13.5" customHeight="1" thickBot="1">
      <c r="A100" s="1413" t="s">
        <v>319</v>
      </c>
      <c r="B100" s="1415"/>
      <c r="C100" s="1898" t="s">
        <v>207</v>
      </c>
      <c r="D100" s="1899"/>
      <c r="E100" s="1899"/>
      <c r="F100" s="1899"/>
      <c r="G100" s="1899"/>
      <c r="H100" s="1899"/>
      <c r="I100" s="1899"/>
      <c r="J100" s="1899"/>
      <c r="K100" s="1899"/>
      <c r="L100" s="1899"/>
      <c r="M100" s="1899"/>
      <c r="N100" s="1899"/>
      <c r="O100" s="1899"/>
      <c r="P100" s="1900"/>
    </row>
    <row r="101" spans="1:16" ht="13.8" thickBot="1">
      <c r="A101" s="1803"/>
      <c r="B101" s="1802"/>
      <c r="C101" s="328">
        <v>0.4</v>
      </c>
      <c r="D101" s="329">
        <v>0.5</v>
      </c>
      <c r="E101" s="329">
        <v>0.6</v>
      </c>
      <c r="F101" s="329">
        <v>0.7</v>
      </c>
      <c r="G101" s="329">
        <v>0.8</v>
      </c>
      <c r="H101" s="329">
        <v>0.9</v>
      </c>
      <c r="I101" s="329">
        <v>1</v>
      </c>
      <c r="J101" s="329">
        <v>1.1000000000000001</v>
      </c>
      <c r="K101" s="329">
        <v>1.2</v>
      </c>
      <c r="L101" s="329">
        <v>1.3</v>
      </c>
      <c r="M101" s="329">
        <v>1.4</v>
      </c>
      <c r="N101" s="329">
        <v>1.5</v>
      </c>
      <c r="O101" s="329">
        <v>1.6</v>
      </c>
      <c r="P101" s="330">
        <v>1.7</v>
      </c>
    </row>
    <row r="102" spans="1:16" ht="12.75" customHeight="1">
      <c r="A102" s="1780" t="s">
        <v>3</v>
      </c>
      <c r="B102" s="331">
        <v>0.5</v>
      </c>
      <c r="C102" s="332">
        <f>(42.8*KFC!$B$32*1.02*1.15*1.1+KFC!$C$32)*KFC!$C$5</f>
        <v>55.224839999999993</v>
      </c>
      <c r="D102" s="192">
        <f>(47.9*KFC!$B$32*1.02*1.15*1.1+KFC!$C$32)*KFC!$C$5</f>
        <v>61.805369999999996</v>
      </c>
      <c r="E102" s="192">
        <f>(53.2*KFC!$B$32*1.02*1.15*1.1+KFC!$C$32)*KFC!$C$5</f>
        <v>68.643960000000007</v>
      </c>
      <c r="F102" s="192">
        <f>(58.3*KFC!$B$32*1.02*1.15*1.1+KFC!$C$32)*KFC!$C$5</f>
        <v>75.224490000000003</v>
      </c>
      <c r="G102" s="192">
        <f>(63.5*KFC!$B$32*1.02*1.15*1.1+KFC!$C$32)*KFC!$C$5</f>
        <v>81.934049999999999</v>
      </c>
      <c r="H102" s="192">
        <f>(68.7*KFC!$B$32*1.02*1.15*1.1+KFC!$C$32)*KFC!$C$5</f>
        <v>88.64361000000001</v>
      </c>
      <c r="I102" s="192">
        <f>(73.9*KFC!$B$32*1.02*1.15*1.1+KFC!$C$32)*KFC!$C$5</f>
        <v>95.353170000000006</v>
      </c>
      <c r="J102" s="192">
        <f>(79*KFC!$B$32*1.02*1.15*1.1+KFC!$C$32)*KFC!$C$5</f>
        <v>101.93369999999999</v>
      </c>
      <c r="K102" s="192">
        <f>(84.1*KFC!$B$32*1.02*1.15*1.1+KFC!$C$32)*KFC!$C$5</f>
        <v>108.51422999999998</v>
      </c>
      <c r="L102" s="192">
        <f>(89.4*KFC!$B$32*1.02*1.15*1.1+KFC!$C$32)*KFC!$C$5</f>
        <v>115.35281999999999</v>
      </c>
      <c r="M102" s="192">
        <f>(94.5*KFC!$B$32*1.02*1.15*1.1+KFC!$C$32)*KFC!$C$5</f>
        <v>121.93334999999999</v>
      </c>
      <c r="N102" s="192">
        <f>(99.7*KFC!$B$32*1.02*1.15*1.1+KFC!$C$32)*KFC!$C$5</f>
        <v>128.64291</v>
      </c>
      <c r="O102" s="192">
        <f>(104.9*KFC!$B$32*1.02*1.15*1.1+KFC!$C$32)*KFC!$C$5</f>
        <v>135.35247000000001</v>
      </c>
      <c r="P102" s="193">
        <f>(110.1*KFC!$B$32*1.02*1.15*1.1+KFC!$C$32)*KFC!$C$5</f>
        <v>142.06202999999999</v>
      </c>
    </row>
    <row r="103" spans="1:16">
      <c r="A103" s="1781"/>
      <c r="B103" s="333">
        <v>0.6</v>
      </c>
      <c r="C103" s="334">
        <f>(44.4*KFC!$B$32*1.02*1.15*1.1+KFC!$C$32)*KFC!$C$5</f>
        <v>57.289319999999996</v>
      </c>
      <c r="D103" s="194">
        <f>(49.8*KFC!$B$32*1.02*1.15*1.1+KFC!$C$32)*KFC!$C$5</f>
        <v>64.25694</v>
      </c>
      <c r="E103" s="194">
        <f>(55.3*KFC!$B$32*1.02*1.15*1.1+KFC!$C$32)*KFC!$C$5</f>
        <v>71.353589999999997</v>
      </c>
      <c r="F103" s="194">
        <f>(60.7*KFC!$B$32*1.02*1.15*1.1+KFC!$C$32)*KFC!$C$5</f>
        <v>78.321210000000008</v>
      </c>
      <c r="G103" s="194">
        <f>(66.2*KFC!$B$32*1.02*1.15*1.1+KFC!$C$32)*KFC!$C$5</f>
        <v>85.417860000000005</v>
      </c>
      <c r="H103" s="194">
        <f>(71.5*KFC!$B$32*1.02*1.15*1.1+KFC!$C$32)*KFC!$C$5</f>
        <v>92.256450000000015</v>
      </c>
      <c r="I103" s="194">
        <f>(77*KFC!$B$32*1.02*1.15*1.1+KFC!$C$32)*KFC!$C$5</f>
        <v>99.353100000000012</v>
      </c>
      <c r="J103" s="194">
        <f>(82.4*KFC!$B$32*1.02*1.15*1.1+KFC!$C$32)*KFC!$C$5</f>
        <v>106.32072000000001</v>
      </c>
      <c r="K103" s="194">
        <f>(87.9*KFC!$B$32*1.02*1.15*1.1+KFC!$C$32)*KFC!$C$5</f>
        <v>113.41736999999999</v>
      </c>
      <c r="L103" s="194">
        <f>(93.3*KFC!$B$32*1.02*1.15*1.1+KFC!$C$32)*KFC!$C$5</f>
        <v>120.38498999999999</v>
      </c>
      <c r="M103" s="194">
        <f>(98.7*KFC!$B$32*1.02*1.15*1.1+KFC!$C$32)*KFC!$C$5</f>
        <v>127.35261</v>
      </c>
      <c r="N103" s="194">
        <f>(104.2*KFC!$B$32*1.02*1.15*1.1+KFC!$C$32)*KFC!$C$5</f>
        <v>134.44926000000001</v>
      </c>
      <c r="O103" s="194">
        <f>(109.6*KFC!$B$32*1.02*1.15*1.1+KFC!$C$32)*KFC!$C$5</f>
        <v>141.41688000000002</v>
      </c>
      <c r="P103" s="195">
        <f>(115.1*KFC!$B$32*1.02*1.15*1.1+KFC!$C$32)*KFC!$C$5</f>
        <v>148.51353</v>
      </c>
    </row>
    <row r="104" spans="1:16">
      <c r="A104" s="1781"/>
      <c r="B104" s="333">
        <v>0.7</v>
      </c>
      <c r="C104" s="334">
        <f>(46*KFC!$B$32*1.02*1.15*1.1+KFC!$C$32)*KFC!$C$5</f>
        <v>59.3538</v>
      </c>
      <c r="D104" s="194">
        <f>(51.7*KFC!$B$32*1.02*1.15*1.1+KFC!$C$32)*KFC!$C$5</f>
        <v>66.708510000000004</v>
      </c>
      <c r="E104" s="194">
        <f>(57.4*KFC!$B$32*1.02*1.15*1.1+KFC!$C$32)*KFC!$C$5</f>
        <v>74.063220000000001</v>
      </c>
      <c r="F104" s="194">
        <f>(63.1*KFC!$B$32*1.02*1.15*1.1+KFC!$C$32)*KFC!$C$5</f>
        <v>81.417930000000013</v>
      </c>
      <c r="G104" s="194">
        <f>(68.7*KFC!$B$32*1.02*1.15*1.1+KFC!$C$32)*KFC!$C$5</f>
        <v>88.64361000000001</v>
      </c>
      <c r="H104" s="194">
        <f>(74.5*KFC!$B$32*1.02*1.15*1.1+KFC!$C$32)*KFC!$C$5</f>
        <v>96.127350000000007</v>
      </c>
      <c r="I104" s="194">
        <f>(80.1*KFC!$B$32*1.02*1.15*1.1+KFC!$C$32)*KFC!$C$5</f>
        <v>103.35302999999999</v>
      </c>
      <c r="J104" s="194">
        <f>(85.9*KFC!$B$32*1.02*1.15*1.1+KFC!$C$32)*KFC!$C$5</f>
        <v>110.83677000000002</v>
      </c>
      <c r="K104" s="194">
        <f>(91.6*KFC!$B$32*1.02*1.15*1.1+KFC!$C$32)*KFC!$C$5</f>
        <v>118.19148</v>
      </c>
      <c r="L104" s="194">
        <f>(97.2*KFC!$B$32*1.02*1.15*1.1+KFC!$C$32)*KFC!$C$5</f>
        <v>125.41716</v>
      </c>
      <c r="M104" s="194">
        <f>(103*KFC!$B$32*1.02*1.15*1.1+KFC!$C$32)*KFC!$C$5</f>
        <v>132.90090000000001</v>
      </c>
      <c r="N104" s="194">
        <f>(108.6*KFC!$B$32*1.02*1.15*1.1+KFC!$C$32)*KFC!$C$5</f>
        <v>140.12657999999999</v>
      </c>
      <c r="O104" s="194">
        <f>(114.4*KFC!$B$32*1.02*1.15*1.1+KFC!$C$32)*KFC!$C$5</f>
        <v>147.61032</v>
      </c>
      <c r="P104" s="195">
        <f>(120*KFC!$B$32*1.02*1.15*1.1+KFC!$C$32)*KFC!$C$5</f>
        <v>154.83600000000001</v>
      </c>
    </row>
    <row r="105" spans="1:16">
      <c r="A105" s="1781"/>
      <c r="B105" s="333">
        <v>0.8</v>
      </c>
      <c r="C105" s="334">
        <f>(47.6*KFC!$B$32*1.02*1.15*1.1+KFC!$C$32)*KFC!$C$5</f>
        <v>61.418279999999996</v>
      </c>
      <c r="D105" s="194">
        <f>(53.6*KFC!$B$32*1.02*1.15*1.1+KFC!$C$32)*KFC!$C$5</f>
        <v>69.160080000000008</v>
      </c>
      <c r="E105" s="194">
        <f>(59.4*KFC!$B$32*1.02*1.15*1.1+KFC!$C$32)*KFC!$C$5</f>
        <v>76.643820000000005</v>
      </c>
      <c r="F105" s="194">
        <f>(65.4*KFC!$B$32*1.02*1.15*1.1+KFC!$C$32)*KFC!$C$5</f>
        <v>84.385620000000017</v>
      </c>
      <c r="G105" s="194">
        <f>(71.4*KFC!$B$32*1.02*1.15*1.1+KFC!$C$32)*KFC!$C$5</f>
        <v>92.127420000000015</v>
      </c>
      <c r="H105" s="194">
        <f>(77.3*KFC!$B$32*1.02*1.15*1.1+KFC!$C$32)*KFC!$C$5</f>
        <v>99.740190000000013</v>
      </c>
      <c r="I105" s="194">
        <f>(83.3*KFC!$B$32*1.02*1.15*1.1+KFC!$C$32)*KFC!$C$5</f>
        <v>107.48198999999998</v>
      </c>
      <c r="J105" s="194">
        <f>(89.3*KFC!$B$32*1.02*1.15*1.1+KFC!$C$32)*KFC!$C$5</f>
        <v>115.22378999999999</v>
      </c>
      <c r="K105" s="194">
        <f>(95.3*KFC!$B$32*1.02*1.15*1.1+KFC!$C$32)*KFC!$C$5</f>
        <v>122.96558999999999</v>
      </c>
      <c r="L105" s="194">
        <f>(101.1*KFC!$B$32*1.02*1.15*1.1+KFC!$C$32)*KFC!$C$5</f>
        <v>130.44933</v>
      </c>
      <c r="M105" s="194">
        <f>(107.1*KFC!$B$32*1.02*1.15*1.1+KFC!$C$32)*KFC!$C$5</f>
        <v>138.19112999999999</v>
      </c>
      <c r="N105" s="194">
        <f>(113.1*KFC!$B$32*1.02*1.15*1.1+KFC!$C$32)*KFC!$C$5</f>
        <v>145.93293</v>
      </c>
      <c r="O105" s="194">
        <f>(119.1*KFC!$B$32*1.02*1.15*1.1+KFC!$C$32)*KFC!$C$5</f>
        <v>153.67473000000001</v>
      </c>
      <c r="P105" s="195">
        <f>(125*KFC!$B$32*1.02*1.15*1.1+KFC!$C$32)*KFC!$C$5</f>
        <v>161.28750000000002</v>
      </c>
    </row>
    <row r="106" spans="1:16">
      <c r="A106" s="1781"/>
      <c r="B106" s="333">
        <v>0.9</v>
      </c>
      <c r="C106" s="334">
        <f>(49.2*KFC!$B$32*1.02*1.15*1.1+KFC!$C$32)*KFC!$C$5</f>
        <v>63.482760000000013</v>
      </c>
      <c r="D106" s="194">
        <f>(55.4*KFC!$B$32*1.02*1.15*1.1+KFC!$C$32)*KFC!$C$5</f>
        <v>71.482620000000011</v>
      </c>
      <c r="E106" s="194">
        <f>(61.6*KFC!$B$32*1.02*1.15*1.1+KFC!$C$32)*KFC!$C$5</f>
        <v>79.48248000000001</v>
      </c>
      <c r="F106" s="194">
        <f>(67.8*KFC!$B$32*1.02*1.15*1.1+KFC!$C$32)*KFC!$C$5</f>
        <v>87.482339999999979</v>
      </c>
      <c r="G106" s="194">
        <f>(74*KFC!$B$32*1.02*1.15*1.1+KFC!$C$32)*KFC!$C$5</f>
        <v>95.482200000000006</v>
      </c>
      <c r="H106" s="194">
        <f>(80.2*KFC!$B$32*1.02*1.15*1.1+KFC!$C$32)*KFC!$C$5</f>
        <v>103.48205999999999</v>
      </c>
      <c r="I106" s="194">
        <f>(86.5*KFC!$B$32*1.02*1.15*1.1+KFC!$C$32)*KFC!$C$5</f>
        <v>111.61095000000002</v>
      </c>
      <c r="J106" s="194">
        <f>(92.7*KFC!$B$32*1.02*1.15*1.1+KFC!$C$32)*KFC!$C$5</f>
        <v>119.61081</v>
      </c>
      <c r="K106" s="194">
        <f>(98.9*KFC!$B$32*1.02*1.15*1.1+KFC!$C$32)*KFC!$C$5</f>
        <v>127.61067000000003</v>
      </c>
      <c r="L106" s="194">
        <f>(105.2*KFC!$B$32*1.02*1.15*1.1+KFC!$C$32)*KFC!$C$5</f>
        <v>135.73956000000001</v>
      </c>
      <c r="M106" s="194">
        <f>(111.3*KFC!$B$32*1.02*1.15*1.1+KFC!$C$32)*KFC!$C$5</f>
        <v>143.61039</v>
      </c>
      <c r="N106" s="194">
        <f>(117.5*KFC!$B$32*1.02*1.15*1.1+KFC!$C$32)*KFC!$C$5</f>
        <v>151.61025000000001</v>
      </c>
      <c r="O106" s="194">
        <f>(123.8*KFC!$B$32*1.02*1.15*1.1+KFC!$C$32)*KFC!$C$5</f>
        <v>159.73914000000002</v>
      </c>
      <c r="P106" s="195">
        <f>(130*KFC!$B$32*1.02*1.15*1.1+KFC!$C$32)*KFC!$C$5</f>
        <v>167.739</v>
      </c>
    </row>
    <row r="107" spans="1:16">
      <c r="A107" s="1781"/>
      <c r="B107" s="333">
        <v>1</v>
      </c>
      <c r="C107" s="334">
        <f>(50.8*KFC!$B$32*1.02*1.15*1.1+KFC!$C$32)*KFC!$C$5</f>
        <v>65.547240000000002</v>
      </c>
      <c r="D107" s="194">
        <f>(57.2*KFC!$B$32*1.02*1.15*1.1+KFC!$C$32)*KFC!$C$5</f>
        <v>73.805160000000001</v>
      </c>
      <c r="E107" s="194">
        <f>(63.7*KFC!$B$32*1.02*1.15*1.1+KFC!$C$32)*KFC!$C$5</f>
        <v>82.192110000000014</v>
      </c>
      <c r="F107" s="194">
        <f>(70.2*KFC!$B$32*1.02*1.15*1.1+KFC!$C$32)*KFC!$C$5</f>
        <v>90.579060000000013</v>
      </c>
      <c r="G107" s="194">
        <f>(76.7*KFC!$B$32*1.02*1.15*1.1+KFC!$C$32)*KFC!$C$5</f>
        <v>98.966010000000011</v>
      </c>
      <c r="H107" s="194">
        <f>(83.2*KFC!$B$32*1.02*1.15*1.1+KFC!$C$32)*KFC!$C$5</f>
        <v>107.35296000000001</v>
      </c>
      <c r="I107" s="194">
        <f>(89.6*KFC!$B$32*1.02*1.15*1.1+KFC!$C$32)*KFC!$C$5</f>
        <v>115.61087999999999</v>
      </c>
      <c r="J107" s="194">
        <f>(96.1*KFC!$B$32*1.02*1.15*1.1+KFC!$C$32)*KFC!$C$5</f>
        <v>123.99782999999998</v>
      </c>
      <c r="K107" s="194">
        <f>(102.6*KFC!$B$32*1.02*1.15*1.1+KFC!$C$32)*KFC!$C$5</f>
        <v>132.38478000000001</v>
      </c>
      <c r="L107" s="194">
        <f>(109.1*KFC!$B$32*1.02*1.15*1.1+KFC!$C$32)*KFC!$C$5</f>
        <v>140.77172999999999</v>
      </c>
      <c r="M107" s="194">
        <f>(115.6*KFC!$B$32*1.02*1.15*1.1+KFC!$C$32)*KFC!$C$5</f>
        <v>149.15868</v>
      </c>
      <c r="N107" s="194">
        <f>(122.1*KFC!$B$32*1.02*1.15*1.1+KFC!$C$32)*KFC!$C$5</f>
        <v>157.54563000000002</v>
      </c>
      <c r="O107" s="194">
        <f>(128.5*KFC!$B$32*1.02*1.15*1.1+KFC!$C$32)*KFC!$C$5</f>
        <v>165.80355</v>
      </c>
      <c r="P107" s="195">
        <f>(135*KFC!$B$32*1.02*1.15*1.1+KFC!$C$32)*KFC!$C$5</f>
        <v>174.19049999999996</v>
      </c>
    </row>
    <row r="108" spans="1:16">
      <c r="A108" s="1781"/>
      <c r="B108" s="333">
        <v>1.1000000000000001</v>
      </c>
      <c r="C108" s="334">
        <f>(52.3*KFC!$B$32*1.02*1.15*1.1+KFC!$C$32)*KFC!$C$5</f>
        <v>67.482689999999991</v>
      </c>
      <c r="D108" s="194">
        <f>(59.1*KFC!$B$32*1.02*1.15*1.1+KFC!$C$32)*KFC!$C$5</f>
        <v>76.256730000000005</v>
      </c>
      <c r="E108" s="194">
        <f>(65.8*KFC!$B$32*1.02*1.15*1.1+KFC!$C$32)*KFC!$C$5</f>
        <v>84.901740000000004</v>
      </c>
      <c r="F108" s="194">
        <f>(72.5*KFC!$B$32*1.02*1.15*1.1+KFC!$C$32)*KFC!$C$5</f>
        <v>93.546750000000003</v>
      </c>
      <c r="G108" s="194">
        <f>(79.3*KFC!$B$32*1.02*1.15*1.1+KFC!$C$32)*KFC!$C$5</f>
        <v>102.32078999999999</v>
      </c>
      <c r="H108" s="194">
        <f>(86*KFC!$B$32*1.02*1.15*1.1+KFC!$C$32)*KFC!$C$5</f>
        <v>110.96579999999999</v>
      </c>
      <c r="I108" s="194">
        <f>(92.8*KFC!$B$32*1.02*1.15*1.1+KFC!$C$32)*KFC!$C$5</f>
        <v>119.73983999999999</v>
      </c>
      <c r="J108" s="194">
        <f>(99.6*KFC!$B$32*1.02*1.15*1.1+KFC!$C$32)*KFC!$C$5</f>
        <v>128.51388</v>
      </c>
      <c r="K108" s="194">
        <f>(106.3*KFC!$B$32*1.02*1.15*1.1+KFC!$C$32)*KFC!$C$5</f>
        <v>137.15889000000001</v>
      </c>
      <c r="L108" s="194">
        <f>(113*KFC!$B$32*1.02*1.15*1.1+KFC!$C$32)*KFC!$C$5</f>
        <v>145.80390000000003</v>
      </c>
      <c r="M108" s="194">
        <f>(119.7*KFC!$B$32*1.02*1.15*1.1+KFC!$C$32)*KFC!$C$5</f>
        <v>154.44891000000001</v>
      </c>
      <c r="N108" s="194">
        <f>(126.5*KFC!$B$32*1.02*1.15*1.1+KFC!$C$32)*KFC!$C$5</f>
        <v>163.22295000000003</v>
      </c>
      <c r="O108" s="194">
        <f>(133.2*KFC!$B$32*1.02*1.15*1.1+KFC!$C$32)*KFC!$C$5</f>
        <v>171.86796000000001</v>
      </c>
      <c r="P108" s="195">
        <f>(139.9*KFC!$B$32*1.02*1.15*1.1+KFC!$C$32)*KFC!$C$5</f>
        <v>180.51297000000002</v>
      </c>
    </row>
    <row r="109" spans="1:16">
      <c r="A109" s="1781"/>
      <c r="B109" s="333">
        <v>1.2</v>
      </c>
      <c r="C109" s="334">
        <f>(53.9*KFC!$B$32*1.02*1.15*1.1+KFC!$C$32)*KFC!$C$5</f>
        <v>69.547170000000008</v>
      </c>
      <c r="D109" s="194">
        <f>(60.9*KFC!$B$32*1.02*1.15*1.1+KFC!$C$32)*KFC!$C$5</f>
        <v>78.579270000000008</v>
      </c>
      <c r="E109" s="194">
        <f>(67.9*KFC!$B$32*1.02*1.15*1.1+KFC!$C$32)*KFC!$C$5</f>
        <v>87.611370000000022</v>
      </c>
      <c r="F109" s="194">
        <f>(75*KFC!$B$32*1.02*1.15*1.1+KFC!$C$32)*KFC!$C$5</f>
        <v>96.772500000000008</v>
      </c>
      <c r="G109" s="194">
        <f>(81.9*KFC!$B$32*1.02*1.15*1.1+KFC!$C$32)*KFC!$C$5</f>
        <v>105.67557000000002</v>
      </c>
      <c r="H109" s="194">
        <f>(88.9*KFC!$B$32*1.02*1.15*1.1+KFC!$C$32)*KFC!$C$5</f>
        <v>114.70767000000002</v>
      </c>
      <c r="I109" s="194">
        <f>(95.9*KFC!$B$32*1.02*1.15*1.1+KFC!$C$32)*KFC!$C$5</f>
        <v>123.73977000000002</v>
      </c>
      <c r="J109" s="194">
        <f>(103*KFC!$B$32*1.02*1.15*1.1+KFC!$C$32)*KFC!$C$5</f>
        <v>132.90090000000001</v>
      </c>
      <c r="K109" s="194">
        <f>(109.9*KFC!$B$32*1.02*1.15*1.1+KFC!$C$32)*KFC!$C$5</f>
        <v>141.80397000000002</v>
      </c>
      <c r="L109" s="194">
        <f>(116.9*KFC!$B$32*1.02*1.15*1.1+KFC!$C$32)*KFC!$C$5</f>
        <v>150.83607000000003</v>
      </c>
      <c r="M109" s="194">
        <f>(123.9*KFC!$B$32*1.02*1.15*1.1+KFC!$C$32)*KFC!$C$5</f>
        <v>159.86817000000002</v>
      </c>
      <c r="N109" s="194">
        <f>(131*KFC!$B$32*1.02*1.15*1.1+KFC!$C$32)*KFC!$C$5</f>
        <v>169.02930000000001</v>
      </c>
      <c r="O109" s="194">
        <f>(138*KFC!$B$32*1.02*1.15*1.1+KFC!$C$32)*KFC!$C$5</f>
        <v>178.06139999999999</v>
      </c>
      <c r="P109" s="195">
        <f>(144.9*KFC!$B$32*1.02*1.15*1.1+KFC!$C$32)*KFC!$C$5</f>
        <v>186.96447000000001</v>
      </c>
    </row>
    <row r="110" spans="1:16">
      <c r="A110" s="1781"/>
      <c r="B110" s="333">
        <v>1.3</v>
      </c>
      <c r="C110" s="334">
        <f>(55.5*KFC!$B$32*1.02*1.15*1.1+KFC!$C$32)*KFC!$C$5</f>
        <v>71.611649999999997</v>
      </c>
      <c r="D110" s="194">
        <f>(62.7*KFC!$B$32*1.02*1.15*1.1+KFC!$C$32)*KFC!$C$5</f>
        <v>80.901810000000012</v>
      </c>
      <c r="E110" s="194">
        <f>(70.1*KFC!$B$32*1.02*1.15*1.1+KFC!$C$32)*KFC!$C$5</f>
        <v>90.450029999999998</v>
      </c>
      <c r="F110" s="194">
        <f>(77.3*KFC!$B$32*1.02*1.15*1.1+KFC!$C$32)*KFC!$C$5</f>
        <v>99.740190000000013</v>
      </c>
      <c r="G110" s="194">
        <f>(84.5*KFC!$B$32*1.02*1.15*1.1+KFC!$C$32)*KFC!$C$5</f>
        <v>109.03034999999998</v>
      </c>
      <c r="H110" s="194">
        <f>(91.8*KFC!$B$32*1.02*1.15*1.1+KFC!$C$32)*KFC!$C$5</f>
        <v>118.44953999999998</v>
      </c>
      <c r="I110" s="194">
        <f>(99.1*KFC!$B$32*1.02*1.15*1.1+KFC!$C$32)*KFC!$C$5</f>
        <v>127.86872999999999</v>
      </c>
      <c r="J110" s="194">
        <f>(106.4*KFC!$B$32*1.02*1.15*1.1+KFC!$C$32)*KFC!$C$5</f>
        <v>137.28792000000001</v>
      </c>
      <c r="K110" s="194">
        <f>(113.6*KFC!$B$32*1.02*1.15*1.1+KFC!$C$32)*KFC!$C$5</f>
        <v>146.57808</v>
      </c>
      <c r="L110" s="194">
        <f>(120.8*KFC!$B$32*1.02*1.15*1.1+KFC!$C$32)*KFC!$C$5</f>
        <v>155.86824000000001</v>
      </c>
      <c r="M110" s="194">
        <f>(128.2*KFC!$B$32*1.02*1.15*1.1+KFC!$C$32)*KFC!$C$5</f>
        <v>165.41646</v>
      </c>
      <c r="N110" s="194">
        <f>(135.4*KFC!$B$32*1.02*1.15*1.1+KFC!$C$32)*KFC!$C$5</f>
        <v>174.70662000000002</v>
      </c>
      <c r="O110" s="194">
        <f>(142.7*KFC!$B$32*1.02*1.15*1.1+KFC!$C$32)*KFC!$C$5</f>
        <v>184.12581</v>
      </c>
      <c r="P110" s="195">
        <f>(149.9*KFC!$B$32*1.02*1.15*1.1+KFC!$C$32)*KFC!$C$5</f>
        <v>193.41597000000002</v>
      </c>
    </row>
    <row r="111" spans="1:16">
      <c r="A111" s="1781"/>
      <c r="B111" s="333">
        <v>1.4</v>
      </c>
      <c r="C111" s="334">
        <f>(57.1*KFC!$B$32*1.02*1.15*1.1+KFC!$C$32)*KFC!$C$5</f>
        <v>73.676130000000015</v>
      </c>
      <c r="D111" s="194">
        <f>(64.6*KFC!$B$32*1.02*1.15*1.1+KFC!$C$32)*KFC!$C$5</f>
        <v>83.353380000000001</v>
      </c>
      <c r="E111" s="194">
        <f>(72.2*KFC!$B$32*1.02*1.15*1.1+KFC!$C$32)*KFC!$C$5</f>
        <v>93.159660000000017</v>
      </c>
      <c r="F111" s="194">
        <f>(79.6*KFC!$B$32*1.02*1.15*1.1+KFC!$C$32)*KFC!$C$5</f>
        <v>102.70787999999999</v>
      </c>
      <c r="G111" s="194">
        <f>(87.2*KFC!$B$32*1.02*1.15*1.1+KFC!$C$32)*KFC!$C$5</f>
        <v>112.51415999999999</v>
      </c>
      <c r="H111" s="194">
        <f>(94.7*KFC!$B$32*1.02*1.15*1.1+KFC!$C$32)*KFC!$C$5</f>
        <v>122.19141</v>
      </c>
      <c r="I111" s="194">
        <f>(102.2*KFC!$B$32*1.02*1.15*1.1+KFC!$C$32)*KFC!$C$5</f>
        <v>131.86866000000001</v>
      </c>
      <c r="J111" s="194">
        <f>(109.7*KFC!$B$32*1.02*1.15*1.1+KFC!$C$32)*KFC!$C$5</f>
        <v>141.54591000000002</v>
      </c>
      <c r="K111" s="194">
        <f>(117.3*KFC!$B$32*1.02*1.15*1.1+KFC!$C$32)*KFC!$C$5</f>
        <v>151.35219000000001</v>
      </c>
      <c r="L111" s="194">
        <f>(124.9*KFC!$B$32*1.02*1.15*1.1+KFC!$C$32)*KFC!$C$5</f>
        <v>161.15847000000002</v>
      </c>
      <c r="M111" s="194">
        <f>(132.3*KFC!$B$32*1.02*1.15*1.1+KFC!$C$32)*KFC!$C$5</f>
        <v>170.70669000000004</v>
      </c>
      <c r="N111" s="194">
        <f>(139.9*KFC!$B$32*1.02*1.15*1.1+KFC!$C$32)*KFC!$C$5</f>
        <v>180.51297000000002</v>
      </c>
      <c r="O111" s="194">
        <f>(147.4*KFC!$B$32*1.02*1.15*1.1+KFC!$C$32)*KFC!$C$5</f>
        <v>190.19022000000004</v>
      </c>
      <c r="P111" s="195">
        <f>(155*KFC!$B$32*1.02*1.15*1.1+KFC!$C$32)*KFC!$C$5</f>
        <v>199.99649999999997</v>
      </c>
    </row>
    <row r="112" spans="1:16">
      <c r="A112" s="1781"/>
      <c r="B112" s="333">
        <v>1.5</v>
      </c>
      <c r="C112" s="334">
        <f>(58.7*KFC!$B$32*1.02*1.15*1.1+KFC!$C$32)*KFC!$C$5</f>
        <v>75.740610000000004</v>
      </c>
      <c r="D112" s="194">
        <f>(66.4*KFC!$B$32*1.02*1.15*1.1+KFC!$C$32)*KFC!$C$5</f>
        <v>85.675920000000019</v>
      </c>
      <c r="E112" s="194">
        <f>(74.2*KFC!$B$32*1.02*1.15*1.1+KFC!$C$32)*KFC!$C$5</f>
        <v>95.740260000000006</v>
      </c>
      <c r="F112" s="194">
        <f>(82.1*KFC!$B$32*1.02*1.15*1.1+KFC!$C$32)*KFC!$C$5</f>
        <v>105.93362999999998</v>
      </c>
      <c r="G112" s="194">
        <f>(89.8*KFC!$B$32*1.02*1.15*1.1+KFC!$C$32)*KFC!$C$5</f>
        <v>115.86893999999999</v>
      </c>
      <c r="H112" s="194">
        <f>(97.6*KFC!$B$32*1.02*1.15*1.1+KFC!$C$32)*KFC!$C$5</f>
        <v>125.93327999999998</v>
      </c>
      <c r="I112" s="194">
        <f>(105.4*KFC!$B$32*1.02*1.15*1.1+KFC!$C$32)*KFC!$C$5</f>
        <v>135.99762000000001</v>
      </c>
      <c r="J112" s="194">
        <f>(113.1*KFC!$B$32*1.02*1.15*1.1+KFC!$C$32)*KFC!$C$5</f>
        <v>145.93293</v>
      </c>
      <c r="K112" s="194">
        <f>(121*KFC!$B$32*1.02*1.15*1.1+KFC!$C$32)*KFC!$C$5</f>
        <v>156.12630000000001</v>
      </c>
      <c r="L112" s="194">
        <f>(128.8*KFC!$B$32*1.02*1.15*1.1+KFC!$C$32)*KFC!$C$5</f>
        <v>166.19064000000003</v>
      </c>
      <c r="M112" s="194">
        <f>(136.5*KFC!$B$32*1.02*1.15*1.1+KFC!$C$32)*KFC!$C$5</f>
        <v>176.12594999999999</v>
      </c>
      <c r="N112" s="194">
        <f>(144.3*KFC!$B$32*1.02*1.15*1.1+KFC!$C$32)*KFC!$C$5</f>
        <v>186.19029000000003</v>
      </c>
      <c r="O112" s="194">
        <f>(152.1*KFC!$B$32*1.02*1.15*1.1+KFC!$C$32)*KFC!$C$5</f>
        <v>196.25463000000002</v>
      </c>
      <c r="P112" s="195">
        <f>(159.8*KFC!$B$32*1.02*1.15*1.1+KFC!$C$32)*KFC!$C$5</f>
        <v>206.18994000000004</v>
      </c>
    </row>
    <row r="113" spans="1:16">
      <c r="A113" s="1781"/>
      <c r="B113" s="333">
        <v>1.6</v>
      </c>
      <c r="C113" s="334">
        <f>(60.3*KFC!$B$32*1.02*1.15*1.1+KFC!$C$32)*KFC!$C$5</f>
        <v>77.805090000000007</v>
      </c>
      <c r="D113" s="194">
        <f>(68.2*KFC!$B$32*1.02*1.15*1.1+KFC!$C$32)*KFC!$C$5</f>
        <v>87.998460000000009</v>
      </c>
      <c r="E113" s="194">
        <f>(76.3*KFC!$B$32*1.02*1.15*1.1+KFC!$C$32)*KFC!$C$5</f>
        <v>98.449889999999982</v>
      </c>
      <c r="F113" s="194">
        <f>(84.4*KFC!$B$32*1.02*1.15*1.1+KFC!$C$32)*KFC!$C$5</f>
        <v>108.90132000000001</v>
      </c>
      <c r="G113" s="194">
        <f>(92.5*KFC!$B$32*1.02*1.15*1.1+KFC!$C$32)*KFC!$C$5</f>
        <v>119.35275</v>
      </c>
      <c r="H113" s="194">
        <f>(100.5*KFC!$B$32*1.02*1.15*1.1+KFC!$C$32)*KFC!$C$5</f>
        <v>129.67515</v>
      </c>
      <c r="I113" s="194">
        <f>(108.5*KFC!$B$32*1.02*1.15*1.1+KFC!$C$32)*KFC!$C$5</f>
        <v>139.99755000000002</v>
      </c>
      <c r="J113" s="194">
        <f>(116.6*KFC!$B$32*1.02*1.15*1.1+KFC!$C$32)*KFC!$C$5</f>
        <v>150.44898000000001</v>
      </c>
      <c r="K113" s="194">
        <f>(124.6*KFC!$B$32*1.02*1.15*1.1+KFC!$C$32)*KFC!$C$5</f>
        <v>160.77138000000002</v>
      </c>
      <c r="L113" s="194">
        <f>(132.7*KFC!$B$32*1.02*1.15*1.1+KFC!$C$32)*KFC!$C$5</f>
        <v>171.22280999999995</v>
      </c>
      <c r="M113" s="194">
        <f>(140.8*KFC!$B$32*1.02*1.15*1.1+KFC!$C$32)*KFC!$C$5</f>
        <v>181.67424000000003</v>
      </c>
      <c r="N113" s="194">
        <f>(148.8*KFC!$B$32*1.02*1.15*1.1+KFC!$C$32)*KFC!$C$5</f>
        <v>191.99664000000001</v>
      </c>
      <c r="O113" s="194">
        <f>(156.8*KFC!$B$32*1.02*1.15*1.1+KFC!$C$32)*KFC!$C$5</f>
        <v>202.31904000000003</v>
      </c>
      <c r="P113" s="195">
        <f>(164.9*KFC!$B$32*1.02*1.15*1.1+KFC!$C$32)*KFC!$C$5</f>
        <v>212.77047000000002</v>
      </c>
    </row>
    <row r="114" spans="1:16">
      <c r="A114" s="1781"/>
      <c r="B114" s="333">
        <v>1.7</v>
      </c>
      <c r="C114" s="334">
        <f>(61.9*KFC!$B$32*1.02*1.15*1.1+KFC!$C$32)*KFC!$C$5</f>
        <v>79.86957000000001</v>
      </c>
      <c r="D114" s="194">
        <f>(70.2*KFC!$B$32*1.02*1.15*1.1+KFC!$C$32)*KFC!$C$5</f>
        <v>90.579060000000013</v>
      </c>
      <c r="E114" s="194">
        <f>(78.4*KFC!$B$32*1.02*1.15*1.1+KFC!$C$32)*KFC!$C$5</f>
        <v>101.15952000000001</v>
      </c>
      <c r="F114" s="194">
        <f>(86.7*KFC!$B$32*1.02*1.15*1.1+KFC!$C$32)*KFC!$C$5</f>
        <v>111.86900999999999</v>
      </c>
      <c r="G114" s="194">
        <f>(95*KFC!$B$32*1.02*1.15*1.1+KFC!$C$32)*KFC!$C$5</f>
        <v>122.57850000000001</v>
      </c>
      <c r="H114" s="194">
        <f>(103.3*KFC!$B$32*1.02*1.15*1.1+KFC!$C$32)*KFC!$C$5</f>
        <v>133.28799000000001</v>
      </c>
      <c r="I114" s="194">
        <f>(111.7*KFC!$B$32*1.02*1.15*1.1+KFC!$C$32)*KFC!$C$5</f>
        <v>144.12651000000002</v>
      </c>
      <c r="J114" s="194">
        <f>(120*KFC!$B$32*1.02*1.15*1.1+KFC!$C$32)*KFC!$C$5</f>
        <v>154.83600000000001</v>
      </c>
      <c r="K114" s="194">
        <f>(128.3*KFC!$B$32*1.02*1.15*1.1+KFC!$C$32)*KFC!$C$5</f>
        <v>165.54549000000003</v>
      </c>
      <c r="L114" s="194">
        <f>(136.6*KFC!$B$32*1.02*1.15*1.1+KFC!$C$32)*KFC!$C$5</f>
        <v>176.25498000000002</v>
      </c>
      <c r="M114" s="194">
        <f>(144.9*KFC!$B$32*1.02*1.15*1.1+KFC!$C$32)*KFC!$C$5</f>
        <v>186.96447000000001</v>
      </c>
      <c r="N114" s="194">
        <f>(153.2*KFC!$B$32*1.02*1.15*1.1+KFC!$C$32)*KFC!$C$5</f>
        <v>197.67395999999997</v>
      </c>
      <c r="O114" s="194">
        <f>(161.6*KFC!$B$32*1.02*1.15*1.1+KFC!$C$32)*KFC!$C$5</f>
        <v>208.51247999999998</v>
      </c>
      <c r="P114" s="195">
        <f>(169.9*KFC!$B$32*1.02*1.15*1.1+KFC!$C$32)*KFC!$C$5</f>
        <v>219.22197000000003</v>
      </c>
    </row>
    <row r="115" spans="1:16">
      <c r="A115" s="1781"/>
      <c r="B115" s="333">
        <v>1.8</v>
      </c>
      <c r="C115" s="334">
        <f>(63.5*KFC!$B$32*1.02*1.15*1.1+KFC!$C$32)*KFC!$C$5</f>
        <v>81.934049999999999</v>
      </c>
      <c r="D115" s="194">
        <f>(72*KFC!$B$32*1.02*1.15*1.1+KFC!$C$32)*KFC!$C$5</f>
        <v>92.901600000000002</v>
      </c>
      <c r="E115" s="194">
        <f>(80.6*KFC!$B$32*1.02*1.15*1.1+KFC!$C$32)*KFC!$C$5</f>
        <v>103.99817999999998</v>
      </c>
      <c r="F115" s="194">
        <f>(89.2*KFC!$B$32*1.02*1.15*1.1+KFC!$C$32)*KFC!$C$5</f>
        <v>115.09476000000002</v>
      </c>
      <c r="G115" s="194">
        <f>(97.7*KFC!$B$32*1.02*1.15*1.1+KFC!$C$32)*KFC!$C$5</f>
        <v>126.06231000000002</v>
      </c>
      <c r="H115" s="194">
        <f>(106.3*KFC!$B$32*1.02*1.15*1.1+KFC!$C$32)*KFC!$C$5</f>
        <v>137.15889000000001</v>
      </c>
      <c r="I115" s="194">
        <f>(114.8*KFC!$B$32*1.02*1.15*1.1+KFC!$C$32)*KFC!$C$5</f>
        <v>148.12644</v>
      </c>
      <c r="J115" s="194">
        <f>(123.4*KFC!$B$32*1.02*1.15*1.1+KFC!$C$32)*KFC!$C$5</f>
        <v>159.22302000000002</v>
      </c>
      <c r="K115" s="194">
        <f>(132*KFC!$B$32*1.02*1.15*1.1+KFC!$C$32)*KFC!$C$5</f>
        <v>170.31960000000004</v>
      </c>
      <c r="L115" s="194">
        <f>(140.5*KFC!$B$32*1.02*1.15*1.1+KFC!$C$32)*KFC!$C$5</f>
        <v>181.28715000000003</v>
      </c>
      <c r="M115" s="194">
        <f>(149.1*KFC!$B$32*1.02*1.15*1.1+KFC!$C$32)*KFC!$C$5</f>
        <v>192.38373000000001</v>
      </c>
      <c r="N115" s="194">
        <f>(157.6*KFC!$B$32*1.02*1.15*1.1+KFC!$C$32)*KFC!$C$5</f>
        <v>203.35128000000003</v>
      </c>
      <c r="O115" s="194">
        <f>(166.3*KFC!$B$32*1.02*1.15*1.1+KFC!$C$32)*KFC!$C$5</f>
        <v>214.57689000000002</v>
      </c>
      <c r="P115" s="195">
        <f>(174.9*KFC!$B$32*1.02*1.15*1.1+KFC!$C$32)*KFC!$C$5</f>
        <v>225.67346999999998</v>
      </c>
    </row>
    <row r="116" spans="1:16">
      <c r="A116" s="1781"/>
      <c r="B116" s="333">
        <v>1.9</v>
      </c>
      <c r="C116" s="334">
        <f>(64.9*KFC!$B$32*1.02*1.15*1.1+KFC!$C$32)*KFC!$C$5</f>
        <v>83.740470000000016</v>
      </c>
      <c r="D116" s="194">
        <f>(73.9*KFC!$B$32*1.02*1.15*1.1+KFC!$C$32)*KFC!$C$5</f>
        <v>95.353170000000006</v>
      </c>
      <c r="E116" s="194">
        <f>(82.7*KFC!$B$32*1.02*1.15*1.1+KFC!$C$32)*KFC!$C$5</f>
        <v>106.70781000000001</v>
      </c>
      <c r="F116" s="194">
        <f>(91.5*KFC!$B$32*1.02*1.15*1.1+KFC!$C$32)*KFC!$C$5</f>
        <v>118.06245</v>
      </c>
      <c r="G116" s="194">
        <f>(100.3*KFC!$B$32*1.02*1.15*1.1+KFC!$C$32)*KFC!$C$5</f>
        <v>129.41709</v>
      </c>
      <c r="H116" s="194">
        <f>(109.2*KFC!$B$32*1.02*1.15*1.1+KFC!$C$32)*KFC!$C$5</f>
        <v>140.90076000000002</v>
      </c>
      <c r="I116" s="194">
        <f>(118*KFC!$B$32*1.02*1.15*1.1+KFC!$C$32)*KFC!$C$5</f>
        <v>152.25540000000001</v>
      </c>
      <c r="J116" s="194">
        <f>(126.8*KFC!$B$32*1.02*1.15*1.1+KFC!$C$32)*KFC!$C$5</f>
        <v>163.61004000000003</v>
      </c>
      <c r="K116" s="194">
        <f>(135.6*KFC!$B$32*1.02*1.15*1.1+KFC!$C$32)*KFC!$C$5</f>
        <v>174.96467999999996</v>
      </c>
      <c r="L116" s="194">
        <f>(144.4*KFC!$B$32*1.02*1.15*1.1+KFC!$C$32)*KFC!$C$5</f>
        <v>186.31932000000003</v>
      </c>
      <c r="M116" s="194">
        <f>(153.4*KFC!$B$32*1.02*1.15*1.1+KFC!$C$32)*KFC!$C$5</f>
        <v>197.93202000000002</v>
      </c>
      <c r="N116" s="194">
        <f>(162.2*KFC!$B$32*1.02*1.15*1.1+KFC!$C$32)*KFC!$C$5</f>
        <v>209.28665999999998</v>
      </c>
      <c r="O116" s="194">
        <f>(171*KFC!$B$32*1.02*1.15*1.1+KFC!$C$32)*KFC!$C$5</f>
        <v>220.64130000000003</v>
      </c>
      <c r="P116" s="195">
        <f>(179.8*KFC!$B$32*1.02*1.15*1.1+KFC!$C$32)*KFC!$C$5</f>
        <v>231.99594000000005</v>
      </c>
    </row>
    <row r="117" spans="1:16">
      <c r="A117" s="1781"/>
      <c r="B117" s="333">
        <v>2</v>
      </c>
      <c r="C117" s="334">
        <f>(66.5*KFC!$B$32*1.02*1.15*1.1+KFC!$C$32)*KFC!$C$5</f>
        <v>85.804950000000005</v>
      </c>
      <c r="D117" s="194">
        <f>(75.7*KFC!$B$32*1.02*1.15*1.1+KFC!$C$32)*KFC!$C$5</f>
        <v>97.675710000000009</v>
      </c>
      <c r="E117" s="194">
        <f>(84.8*KFC!$B$32*1.02*1.15*1.1+KFC!$C$32)*KFC!$C$5</f>
        <v>109.41743999999998</v>
      </c>
      <c r="F117" s="194">
        <f>(93.9*KFC!$B$32*1.02*1.15*1.1+KFC!$C$32)*KFC!$C$5</f>
        <v>121.15917</v>
      </c>
      <c r="G117" s="194">
        <f>(103*KFC!$B$32*1.02*1.15*1.1+KFC!$C$32)*KFC!$C$5</f>
        <v>132.90090000000001</v>
      </c>
      <c r="H117" s="194">
        <f>(112*KFC!$B$32*1.02*1.15*1.1+KFC!$C$32)*KFC!$C$5</f>
        <v>144.51360000000003</v>
      </c>
      <c r="I117" s="194">
        <f>(121.2*KFC!$B$32*1.02*1.15*1.1+KFC!$C$32)*KFC!$C$5</f>
        <v>156.38436000000002</v>
      </c>
      <c r="J117" s="194">
        <f>(130.2*KFC!$B$32*1.02*1.15*1.1+KFC!$C$32)*KFC!$C$5</f>
        <v>167.99706</v>
      </c>
      <c r="K117" s="194">
        <f>(139.3*KFC!$B$32*1.02*1.15*1.1+KFC!$C$32)*KFC!$C$5</f>
        <v>179.73879000000002</v>
      </c>
      <c r="L117" s="194">
        <f>(148.5*KFC!$B$32*1.02*1.15*1.1+KFC!$C$32)*KFC!$C$5</f>
        <v>191.60955000000001</v>
      </c>
      <c r="M117" s="194">
        <f>(157.5*KFC!$B$32*1.02*1.15*1.1+KFC!$C$32)*KFC!$C$5</f>
        <v>203.22225000000003</v>
      </c>
      <c r="N117" s="194">
        <f>(166.6*KFC!$B$32*1.02*1.15*1.1+KFC!$C$32)*KFC!$C$5</f>
        <v>214.96397999999996</v>
      </c>
      <c r="O117" s="194">
        <f>(175.7*KFC!$B$32*1.02*1.15*1.1+KFC!$C$32)*KFC!$C$5</f>
        <v>226.70570999999998</v>
      </c>
      <c r="P117" s="195">
        <f>(184.8*KFC!$B$32*1.02*1.15*1.1+KFC!$C$32)*KFC!$C$5</f>
        <v>238.44744</v>
      </c>
    </row>
    <row r="118" spans="1:16">
      <c r="A118" s="1781"/>
      <c r="B118" s="333">
        <v>2.1</v>
      </c>
      <c r="C118" s="334">
        <f>(68.1*KFC!$B$32*1.02*1.15*1.1+KFC!$C$32)*KFC!$C$5</f>
        <v>87.86942999999998</v>
      </c>
      <c r="D118" s="194">
        <f>(77.5*KFC!$B$32*1.02*1.15*1.1+KFC!$C$32)*KFC!$C$5</f>
        <v>99.998249999999985</v>
      </c>
      <c r="E118" s="194">
        <f>(86.8*KFC!$B$32*1.02*1.15*1.1+KFC!$C$32)*KFC!$C$5</f>
        <v>111.99803999999999</v>
      </c>
      <c r="F118" s="194">
        <f>(96.3*KFC!$B$32*1.02*1.15*1.1+KFC!$C$32)*KFC!$C$5</f>
        <v>124.25588999999999</v>
      </c>
      <c r="G118" s="194">
        <f>(105.5*KFC!$B$32*1.02*1.15*1.1+KFC!$C$32)*KFC!$C$5</f>
        <v>136.12665000000001</v>
      </c>
      <c r="H118" s="194">
        <f>(115*KFC!$B$32*1.02*1.15*1.1+KFC!$C$32)*KFC!$C$5</f>
        <v>148.3845</v>
      </c>
      <c r="I118" s="194">
        <f>(124.3*KFC!$B$32*1.02*1.15*1.1+KFC!$C$32)*KFC!$C$5</f>
        <v>160.38429000000002</v>
      </c>
      <c r="J118" s="194">
        <f>(133.7*KFC!$B$32*1.02*1.15*1.1+KFC!$C$32)*KFC!$C$5</f>
        <v>172.51311000000001</v>
      </c>
      <c r="K118" s="194">
        <f>(143*KFC!$B$32*1.02*1.15*1.1+KFC!$C$32)*KFC!$C$5</f>
        <v>184.51290000000003</v>
      </c>
      <c r="L118" s="194">
        <f>(152.4*KFC!$B$32*1.02*1.15*1.1+KFC!$C$32)*KFC!$C$5</f>
        <v>196.64172000000002</v>
      </c>
      <c r="M118" s="194">
        <f>(161.7*KFC!$B$32*1.02*1.15*1.1+KFC!$C$32)*KFC!$C$5</f>
        <v>208.64150999999998</v>
      </c>
      <c r="N118" s="194">
        <f>(171.1*KFC!$B$32*1.02*1.15*1.1+KFC!$C$32)*KFC!$C$5</f>
        <v>220.77032999999997</v>
      </c>
      <c r="O118" s="194">
        <f>(180.4*KFC!$B$32*1.02*1.15*1.1+KFC!$C$32)*KFC!$C$5</f>
        <v>232.77011999999999</v>
      </c>
      <c r="P118" s="195">
        <f>(189.8*KFC!$B$32*1.02*1.15*1.1+KFC!$C$32)*KFC!$C$5</f>
        <v>244.89893999999998</v>
      </c>
    </row>
    <row r="119" spans="1:16">
      <c r="A119" s="1781"/>
      <c r="B119" s="333">
        <v>2.2000000000000002</v>
      </c>
      <c r="C119" s="334">
        <f>(69.7*KFC!$B$32*1.02*1.15*1.1+KFC!$C$32)*KFC!$C$5</f>
        <v>89.933910000000012</v>
      </c>
      <c r="D119" s="194">
        <f>(79.4*KFC!$B$32*1.02*1.15*1.1+KFC!$C$32)*KFC!$C$5</f>
        <v>102.44982000000002</v>
      </c>
      <c r="E119" s="194">
        <f>(89*KFC!$B$32*1.02*1.15*1.1+KFC!$C$32)*KFC!$C$5</f>
        <v>114.83669999999999</v>
      </c>
      <c r="F119" s="194">
        <f>(98.6*KFC!$B$32*1.02*1.15*1.1+KFC!$C$32)*KFC!$C$5</f>
        <v>127.22358</v>
      </c>
      <c r="G119" s="194">
        <f>(108.2*KFC!$B$32*1.02*1.15*1.1+KFC!$C$32)*KFC!$C$5</f>
        <v>139.61046000000002</v>
      </c>
      <c r="H119" s="194">
        <f>(117.9*KFC!$B$32*1.02*1.15*1.1+KFC!$C$32)*KFC!$C$5</f>
        <v>152.12637000000001</v>
      </c>
      <c r="I119" s="194">
        <f>(127.4*KFC!$B$32*1.02*1.15*1.1+KFC!$C$32)*KFC!$C$5</f>
        <v>164.38422000000003</v>
      </c>
      <c r="J119" s="194">
        <f>(137.1*KFC!$B$32*1.02*1.15*1.1+KFC!$C$32)*KFC!$C$5</f>
        <v>176.90012999999999</v>
      </c>
      <c r="K119" s="194">
        <f>(146.6*KFC!$B$32*1.02*1.15*1.1+KFC!$C$32)*KFC!$C$5</f>
        <v>189.15798000000004</v>
      </c>
      <c r="L119" s="194">
        <f>(156.3*KFC!$B$32*1.02*1.15*1.1+KFC!$C$32)*KFC!$C$5</f>
        <v>201.67389000000003</v>
      </c>
      <c r="M119" s="194">
        <f>(166*KFC!$B$32*1.02*1.15*1.1+KFC!$C$32)*KFC!$C$5</f>
        <v>214.18980000000002</v>
      </c>
      <c r="N119" s="194">
        <f>(175.5*KFC!$B$32*1.02*1.15*1.1+KFC!$C$32)*KFC!$C$5</f>
        <v>226.44764999999998</v>
      </c>
      <c r="O119" s="194">
        <f>(185.2*KFC!$B$32*1.02*1.15*1.1+KFC!$C$32)*KFC!$C$5</f>
        <v>238.96355999999997</v>
      </c>
      <c r="P119" s="195">
        <f>(194.8*KFC!$B$32*1.02*1.15*1.1+KFC!$C$32)*KFC!$C$5</f>
        <v>251.35044000000005</v>
      </c>
    </row>
    <row r="120" spans="1:16">
      <c r="A120" s="1781"/>
      <c r="B120" s="333">
        <v>2.2999999999999998</v>
      </c>
      <c r="C120" s="334">
        <f>(71.3*KFC!$B$32*1.02*1.15*1.1+KFC!$C$32)*KFC!$C$5</f>
        <v>91.998390000000001</v>
      </c>
      <c r="D120" s="194">
        <f>(81.2*KFC!$B$32*1.02*1.15*1.1+KFC!$C$32)*KFC!$C$5</f>
        <v>104.77235999999999</v>
      </c>
      <c r="E120" s="194">
        <f>(91.1*KFC!$B$32*1.02*1.15*1.1+KFC!$C$32)*KFC!$C$5</f>
        <v>117.54633</v>
      </c>
      <c r="F120" s="194">
        <f>(101*KFC!$B$32*1.02*1.15*1.1+KFC!$C$32)*KFC!$C$5</f>
        <v>130.3203</v>
      </c>
      <c r="G120" s="194">
        <f>(110.8*KFC!$B$32*1.02*1.15*1.1+KFC!$C$32)*KFC!$C$5</f>
        <v>142.96524000000002</v>
      </c>
      <c r="H120" s="194">
        <f>(120.7*KFC!$B$32*1.02*1.15*1.1+KFC!$C$32)*KFC!$C$5</f>
        <v>155.73921000000001</v>
      </c>
      <c r="I120" s="194">
        <f>(130.6*KFC!$B$32*1.02*1.15*1.1+KFC!$C$32)*KFC!$C$5</f>
        <v>168.51318000000001</v>
      </c>
      <c r="J120" s="194">
        <f>(140.5*KFC!$B$32*1.02*1.15*1.1+KFC!$C$32)*KFC!$C$5</f>
        <v>181.28715000000003</v>
      </c>
      <c r="K120" s="194">
        <f>(150.3*KFC!$B$32*1.02*1.15*1.1+KFC!$C$32)*KFC!$C$5</f>
        <v>193.93209000000002</v>
      </c>
      <c r="L120" s="194">
        <f>(160.2*KFC!$B$32*1.02*1.15*1.1+KFC!$C$32)*KFC!$C$5</f>
        <v>206.70605999999998</v>
      </c>
      <c r="M120" s="194">
        <f>(170.1*KFC!$B$32*1.02*1.15*1.1+KFC!$C$32)*KFC!$C$5</f>
        <v>219.48003000000003</v>
      </c>
      <c r="N120" s="194">
        <f>(180*KFC!$B$32*1.02*1.15*1.1+KFC!$C$32)*KFC!$C$5</f>
        <v>232.25399999999999</v>
      </c>
      <c r="O120" s="194">
        <f>(189.9*KFC!$B$32*1.02*1.15*1.1+KFC!$C$32)*KFC!$C$5</f>
        <v>245.02797000000001</v>
      </c>
      <c r="P120" s="195">
        <f>(199.7*KFC!$B$32*1.02*1.15*1.1+KFC!$C$32)*KFC!$C$5</f>
        <v>257.67291</v>
      </c>
    </row>
    <row r="121" spans="1:16">
      <c r="A121" s="1781"/>
      <c r="B121" s="333">
        <v>2.4</v>
      </c>
      <c r="C121" s="334">
        <f>(72.9*KFC!$B$32*1.02*1.15*1.1+KFC!$C$32)*KFC!$C$5</f>
        <v>94.062870000000018</v>
      </c>
      <c r="D121" s="194">
        <f>(83*KFC!$B$32*1.02*1.15*1.1+KFC!$C$32)*KFC!$C$5</f>
        <v>107.09490000000001</v>
      </c>
      <c r="E121" s="194">
        <f>(93.2*KFC!$B$32*1.02*1.15*1.1+KFC!$C$32)*KFC!$C$5</f>
        <v>120.25596</v>
      </c>
      <c r="F121" s="194">
        <f>(103.3*KFC!$B$32*1.02*1.15*1.1+KFC!$C$32)*KFC!$C$5</f>
        <v>133.28799000000001</v>
      </c>
      <c r="G121" s="194">
        <f>(113.5*KFC!$B$32*1.02*1.15*1.1+KFC!$C$32)*KFC!$C$5</f>
        <v>146.44905</v>
      </c>
      <c r="H121" s="194">
        <f>(123.6*KFC!$B$32*1.02*1.15*1.1+KFC!$C$32)*KFC!$C$5</f>
        <v>159.48108000000002</v>
      </c>
      <c r="I121" s="194">
        <f>(133.8*KFC!$B$32*1.02*1.15*1.1+KFC!$C$32)*KFC!$C$5</f>
        <v>172.64214000000004</v>
      </c>
      <c r="J121" s="194">
        <f>(143.9*KFC!$B$32*1.02*1.15*1.1+KFC!$C$32)*KFC!$C$5</f>
        <v>185.67417000000003</v>
      </c>
      <c r="K121" s="194">
        <f>(154.1*KFC!$B$32*1.02*1.15*1.1+KFC!$C$32)*KFC!$C$5</f>
        <v>198.83522999999997</v>
      </c>
      <c r="L121" s="194">
        <f>(164.1*KFC!$B$32*1.02*1.15*1.1+KFC!$C$32)*KFC!$C$5</f>
        <v>211.73823000000002</v>
      </c>
      <c r="M121" s="194">
        <f>(174.3*KFC!$B$32*1.02*1.15*1.1+KFC!$C$32)*KFC!$C$5</f>
        <v>224.89928999999998</v>
      </c>
      <c r="N121" s="194">
        <f>(184.4*KFC!$B$32*1.02*1.15*1.1+KFC!$C$32)*KFC!$C$5</f>
        <v>237.93132000000006</v>
      </c>
      <c r="O121" s="194">
        <f>(194.6*KFC!$B$32*1.02*1.15*1.1+KFC!$C$32)*KFC!$C$5</f>
        <v>251.09237999999999</v>
      </c>
      <c r="P121" s="195">
        <f>(204.7*KFC!$B$32*1.02*1.15*1.1+KFC!$C$32)*KFC!$C$5</f>
        <v>264.12441000000001</v>
      </c>
    </row>
    <row r="122" spans="1:16">
      <c r="A122" s="1781"/>
      <c r="B122" s="333">
        <v>2.5</v>
      </c>
      <c r="C122" s="334">
        <f>(74.5*KFC!$B$32*1.02*1.15*1.1+KFC!$C$32)*KFC!$C$5</f>
        <v>96.127350000000007</v>
      </c>
      <c r="D122" s="194">
        <f>(84.9*KFC!$B$32*1.02*1.15*1.1+KFC!$C$32)*KFC!$C$5</f>
        <v>109.54647000000003</v>
      </c>
      <c r="E122" s="194">
        <f>(95.3*KFC!$B$32*1.02*1.15*1.1+KFC!$C$32)*KFC!$C$5</f>
        <v>122.96558999999999</v>
      </c>
      <c r="F122" s="194">
        <f>(105.7*KFC!$B$32*1.02*1.15*1.1+KFC!$C$32)*KFC!$C$5</f>
        <v>136.38471000000001</v>
      </c>
      <c r="G122" s="194">
        <f>(116.1*KFC!$B$32*1.02*1.15*1.1+KFC!$C$32)*KFC!$C$5</f>
        <v>149.80383</v>
      </c>
      <c r="H122" s="194">
        <f>(126.5*KFC!$B$32*1.02*1.15*1.1+KFC!$C$32)*KFC!$C$5</f>
        <v>163.22295000000003</v>
      </c>
      <c r="I122" s="194">
        <f>(137*KFC!$B$32*1.02*1.15*1.1+KFC!$C$32)*KFC!$C$5</f>
        <v>176.77110000000002</v>
      </c>
      <c r="J122" s="194">
        <f>(147.4*KFC!$B$32*1.02*1.15*1.1+KFC!$C$32)*KFC!$C$5</f>
        <v>190.19022000000004</v>
      </c>
      <c r="K122" s="194">
        <f>(157.8*KFC!$B$32*1.02*1.15*1.1+KFC!$C$32)*KFC!$C$5</f>
        <v>203.60934000000003</v>
      </c>
      <c r="L122" s="194">
        <f>(168.2*KFC!$B$32*1.02*1.15*1.1+KFC!$C$32)*KFC!$C$5</f>
        <v>217.02845999999997</v>
      </c>
      <c r="M122" s="194">
        <f>(178.6*KFC!$B$32*1.02*1.15*1.1+KFC!$C$32)*KFC!$C$5</f>
        <v>230.44757999999999</v>
      </c>
      <c r="N122" s="194">
        <f>(189*KFC!$B$32*1.02*1.15*1.1+KFC!$C$32)*KFC!$C$5</f>
        <v>243.86669999999998</v>
      </c>
      <c r="O122" s="194">
        <f>(199.3*KFC!$B$32*1.02*1.15*1.1+KFC!$C$32)*KFC!$C$5</f>
        <v>257.15679</v>
      </c>
      <c r="P122" s="195">
        <f>(209.7*KFC!$B$32*1.02*1.15*1.1+KFC!$C$32)*KFC!$C$5</f>
        <v>270.57591000000002</v>
      </c>
    </row>
    <row r="123" spans="1:16">
      <c r="A123" s="1781"/>
      <c r="B123" s="333">
        <v>2.6</v>
      </c>
      <c r="C123" s="334">
        <f>(76.1*KFC!$B$32*1.02*1.15*1.1+KFC!$C$32)*KFC!$C$5</f>
        <v>98.19183000000001</v>
      </c>
      <c r="D123" s="194">
        <f>(86.7*KFC!$B$32*1.02*1.15*1.1+KFC!$C$32)*KFC!$C$5</f>
        <v>111.86900999999999</v>
      </c>
      <c r="E123" s="194">
        <f>(97.5*KFC!$B$32*1.02*1.15*1.1+KFC!$C$32)*KFC!$C$5</f>
        <v>125.80425</v>
      </c>
      <c r="F123" s="194">
        <f>(108.1*KFC!$B$32*1.02*1.15*1.1+KFC!$C$32)*KFC!$C$5</f>
        <v>139.48143000000002</v>
      </c>
      <c r="G123" s="194">
        <f>(118.8*KFC!$B$32*1.02*1.15*1.1+KFC!$C$32)*KFC!$C$5</f>
        <v>153.28764000000001</v>
      </c>
      <c r="H123" s="194">
        <f>(129.4*KFC!$B$32*1.02*1.15*1.1+KFC!$C$32)*KFC!$C$5</f>
        <v>166.96482</v>
      </c>
      <c r="I123" s="194">
        <f>(140*KFC!$B$32*1.02*1.15*1.1+KFC!$C$32)*KFC!$C$5</f>
        <v>180.64200000000002</v>
      </c>
      <c r="J123" s="194">
        <f>(150.7*KFC!$B$32*1.02*1.15*1.1+KFC!$C$32)*KFC!$C$5</f>
        <v>194.44821000000002</v>
      </c>
      <c r="K123" s="194">
        <f>(161.4*KFC!$B$32*1.02*1.15*1.1+KFC!$C$32)*KFC!$C$5</f>
        <v>208.25442000000004</v>
      </c>
      <c r="L123" s="194">
        <f>(172.1*KFC!$B$32*1.02*1.15*1.1+KFC!$C$32)*KFC!$C$5</f>
        <v>222.06063000000003</v>
      </c>
      <c r="M123" s="194">
        <f>(182.7*KFC!$B$32*1.02*1.15*1.1+KFC!$C$32)*KFC!$C$5</f>
        <v>235.73780999999997</v>
      </c>
      <c r="N123" s="194">
        <f>(193.4*KFC!$B$32*1.02*1.15*1.1+KFC!$C$32)*KFC!$C$5</f>
        <v>249.54401999999999</v>
      </c>
      <c r="O123" s="194">
        <f>(204*KFC!$B$32*1.02*1.15*1.1+KFC!$C$32)*KFC!$C$5</f>
        <v>263.22120000000001</v>
      </c>
      <c r="P123" s="195">
        <f>(214.8*KFC!$B$32*1.02*1.15*1.1+KFC!$C$32)*KFC!$C$5</f>
        <v>277.15644000000003</v>
      </c>
    </row>
    <row r="124" spans="1:16">
      <c r="A124" s="1781"/>
      <c r="B124" s="333">
        <v>2.7</v>
      </c>
      <c r="C124" s="334">
        <f>(77.7*KFC!$B$32*1.02*1.15*1.1+KFC!$C$32)*KFC!$C$5</f>
        <v>100.25631000000001</v>
      </c>
      <c r="D124" s="194">
        <f>(88.7*KFC!$B$32*1.02*1.15*1.1+KFC!$C$32)*KFC!$C$5</f>
        <v>114.44960999999999</v>
      </c>
      <c r="E124" s="194">
        <f>(99.6*KFC!$B$32*1.02*1.15*1.1+KFC!$C$32)*KFC!$C$5</f>
        <v>128.51388</v>
      </c>
      <c r="F124" s="194">
        <f>(110.4*KFC!$B$32*1.02*1.15*1.1+KFC!$C$32)*KFC!$C$5</f>
        <v>142.44912000000002</v>
      </c>
      <c r="G124" s="194">
        <f>(121.3*KFC!$B$32*1.02*1.15*1.1+KFC!$C$32)*KFC!$C$5</f>
        <v>156.51339000000002</v>
      </c>
      <c r="H124" s="194">
        <f>(132.3*KFC!$B$32*1.02*1.15*1.1+KFC!$C$32)*KFC!$C$5</f>
        <v>170.70669000000004</v>
      </c>
      <c r="I124" s="194">
        <f>(143.2*KFC!$B$32*1.02*1.15*1.1+KFC!$C$32)*KFC!$C$5</f>
        <v>184.77096</v>
      </c>
      <c r="J124" s="194">
        <f>(154.1*KFC!$B$32*1.02*1.15*1.1+KFC!$C$32)*KFC!$C$5</f>
        <v>198.83522999999997</v>
      </c>
      <c r="K124" s="194">
        <f>(165.1*KFC!$B$32*1.02*1.15*1.1+KFC!$C$32)*KFC!$C$5</f>
        <v>213.02852999999996</v>
      </c>
      <c r="L124" s="194">
        <f>(176*KFC!$B$32*1.02*1.15*1.1+KFC!$C$32)*KFC!$C$5</f>
        <v>227.09280000000004</v>
      </c>
      <c r="M124" s="194">
        <f>(186.9*KFC!$B$32*1.02*1.15*1.1+KFC!$C$32)*KFC!$C$5</f>
        <v>241.15707</v>
      </c>
      <c r="N124" s="194">
        <f>(197.9*KFC!$B$32*1.02*1.15*1.1+KFC!$C$32)*KFC!$C$5</f>
        <v>255.35037</v>
      </c>
      <c r="O124" s="194">
        <f>(208.8*KFC!$B$32*1.02*1.15*1.1+KFC!$C$32)*KFC!$C$5</f>
        <v>269.41464000000002</v>
      </c>
      <c r="P124" s="195">
        <f>(219.7*KFC!$B$32*1.02*1.15*1.1+KFC!$C$32)*KFC!$C$5</f>
        <v>283.47890999999998</v>
      </c>
    </row>
    <row r="125" spans="1:16">
      <c r="A125" s="1781"/>
      <c r="B125" s="333">
        <v>2.8</v>
      </c>
      <c r="C125" s="334">
        <f>(79.3*KFC!$B$32*1.02*1.15*1.1+KFC!$C$32)*KFC!$C$5</f>
        <v>102.32078999999999</v>
      </c>
      <c r="D125" s="194">
        <f>(90.5*KFC!$B$32*1.02*1.15*1.1+KFC!$C$32)*KFC!$C$5</f>
        <v>116.77215</v>
      </c>
      <c r="E125" s="194">
        <f>(101.6*KFC!$B$32*1.02*1.15*1.1+KFC!$C$32)*KFC!$C$5</f>
        <v>131.09448</v>
      </c>
      <c r="F125" s="194">
        <f>(112.9*KFC!$B$32*1.02*1.15*1.1+KFC!$C$32)*KFC!$C$5</f>
        <v>145.67487</v>
      </c>
      <c r="G125" s="194">
        <f>(124*KFC!$B$32*1.02*1.15*1.1+KFC!$C$32)*KFC!$C$5</f>
        <v>159.99720000000002</v>
      </c>
      <c r="H125" s="194">
        <f>(135.1*KFC!$B$32*1.02*1.15*1.1+KFC!$C$32)*KFC!$C$5</f>
        <v>174.31953000000001</v>
      </c>
      <c r="I125" s="194">
        <f>(146.4*KFC!$B$32*1.02*1.15*1.1+KFC!$C$32)*KFC!$C$5</f>
        <v>188.89992000000001</v>
      </c>
      <c r="J125" s="194">
        <f>(157.5*KFC!$B$32*1.02*1.15*1.1+KFC!$C$32)*KFC!$C$5</f>
        <v>203.22225000000003</v>
      </c>
      <c r="K125" s="194">
        <f>(168.8*KFC!$B$32*1.02*1.15*1.1+KFC!$C$32)*KFC!$C$5</f>
        <v>217.80264000000003</v>
      </c>
      <c r="L125" s="194">
        <f>(179.9*KFC!$B$32*1.02*1.15*1.1+KFC!$C$32)*KFC!$C$5</f>
        <v>232.12497000000005</v>
      </c>
      <c r="M125" s="194">
        <f>(191.2*KFC!$B$32*1.02*1.15*1.1+KFC!$C$32)*KFC!$C$5</f>
        <v>246.70535999999998</v>
      </c>
      <c r="N125" s="194">
        <f>(202.3*KFC!$B$32*1.02*1.15*1.1+KFC!$C$32)*KFC!$C$5</f>
        <v>261.02769000000001</v>
      </c>
      <c r="O125" s="194">
        <f>(213.5*KFC!$B$32*1.02*1.15*1.1+KFC!$C$32)*KFC!$C$5</f>
        <v>275.47905000000003</v>
      </c>
      <c r="P125" s="195">
        <f>(224.7*KFC!$B$32*1.02*1.15*1.1+KFC!$C$32)*KFC!$C$5</f>
        <v>289.93040999999999</v>
      </c>
    </row>
    <row r="126" spans="1:16">
      <c r="A126" s="1781"/>
      <c r="B126" s="333">
        <v>2.9</v>
      </c>
      <c r="C126" s="334">
        <f>(80.8*KFC!$B$32*1.02*1.15*1.1+KFC!$C$32)*KFC!$C$5</f>
        <v>104.25623999999999</v>
      </c>
      <c r="D126" s="194">
        <f>(92.3*KFC!$B$32*1.02*1.15*1.1+KFC!$C$32)*KFC!$C$5</f>
        <v>119.09469</v>
      </c>
      <c r="E126" s="194">
        <f>(103.7*KFC!$B$32*1.02*1.15*1.1+KFC!$C$32)*KFC!$C$5</f>
        <v>133.80411000000001</v>
      </c>
      <c r="F126" s="194">
        <f>(115.2*KFC!$B$32*1.02*1.15*1.1+KFC!$C$32)*KFC!$C$5</f>
        <v>148.64256</v>
      </c>
      <c r="G126" s="194">
        <f>(126.6*KFC!$B$32*1.02*1.15*1.1+KFC!$C$32)*KFC!$C$5</f>
        <v>163.35198000000003</v>
      </c>
      <c r="H126" s="194">
        <f>(138.1*KFC!$B$32*1.02*1.15*1.1+KFC!$C$32)*KFC!$C$5</f>
        <v>178.19043000000002</v>
      </c>
      <c r="I126" s="194">
        <f>(149.6*KFC!$B$32*1.02*1.15*1.1+KFC!$C$32)*KFC!$C$5</f>
        <v>193.02887999999996</v>
      </c>
      <c r="J126" s="194">
        <f>(160.9*KFC!$B$32*1.02*1.15*1.1+KFC!$C$32)*KFC!$C$5</f>
        <v>207.60926999999998</v>
      </c>
      <c r="K126" s="194">
        <f>(172.4*KFC!$B$32*1.02*1.15*1.1+KFC!$C$32)*KFC!$C$5</f>
        <v>222.44772000000003</v>
      </c>
      <c r="L126" s="194">
        <f>(183.8*KFC!$B$32*1.02*1.15*1.1+KFC!$C$32)*KFC!$C$5</f>
        <v>237.15714000000006</v>
      </c>
      <c r="M126" s="194">
        <f>(195.3*KFC!$B$32*1.02*1.15*1.1+KFC!$C$32)*KFC!$C$5</f>
        <v>251.99559000000005</v>
      </c>
      <c r="N126" s="194">
        <f>(206.8*KFC!$B$32*1.02*1.15*1.1+KFC!$C$32)*KFC!$C$5</f>
        <v>266.83404000000002</v>
      </c>
      <c r="O126" s="194">
        <f>(218.2*KFC!$B$32*1.02*1.15*1.1+KFC!$C$32)*KFC!$C$5</f>
        <v>281.54345999999998</v>
      </c>
      <c r="P126" s="195">
        <f>(229.7*KFC!$B$32*1.02*1.15*1.1+KFC!$C$32)*KFC!$C$5</f>
        <v>296.38191</v>
      </c>
    </row>
    <row r="127" spans="1:16">
      <c r="A127" s="1781"/>
      <c r="B127" s="333">
        <v>3</v>
      </c>
      <c r="C127" s="334">
        <f>(82.4*KFC!$B$32*1.02*1.15*1.1+KFC!$C$32)*KFC!$C$5</f>
        <v>106.32072000000001</v>
      </c>
      <c r="D127" s="194">
        <f>(94.2*KFC!$B$32*1.02*1.15*1.1+KFC!$C$32)*KFC!$C$5</f>
        <v>121.54626</v>
      </c>
      <c r="E127" s="194">
        <f>(105.9*KFC!$B$32*1.02*1.15*1.1+KFC!$C$32)*KFC!$C$5</f>
        <v>136.64277000000001</v>
      </c>
      <c r="F127" s="194">
        <f>(117.5*KFC!$B$32*1.02*1.15*1.1+KFC!$C$32)*KFC!$C$5</f>
        <v>151.61025000000001</v>
      </c>
      <c r="G127" s="194">
        <f>(129.3*KFC!$B$32*1.02*1.15*1.1+KFC!$C$32)*KFC!$C$5</f>
        <v>166.83579000000003</v>
      </c>
      <c r="H127" s="194">
        <f>(141*KFC!$B$32*1.02*1.15*1.1+KFC!$C$32)*KFC!$C$5</f>
        <v>181.9323</v>
      </c>
      <c r="I127" s="194">
        <f>(152.6*KFC!$B$32*1.02*1.15*1.1+KFC!$C$32)*KFC!$C$5</f>
        <v>196.89977999999996</v>
      </c>
      <c r="J127" s="194">
        <f>(164.4*KFC!$B$32*1.02*1.15*1.1+KFC!$C$32)*KFC!$C$5</f>
        <v>212.12532000000004</v>
      </c>
      <c r="K127" s="194">
        <f>(176.1*KFC!$B$32*1.02*1.15*1.1+KFC!$C$32)*KFC!$C$5</f>
        <v>227.22182999999998</v>
      </c>
      <c r="L127" s="194">
        <f>(187.9*KFC!$B$32*1.02*1.15*1.1+KFC!$C$32)*KFC!$C$5</f>
        <v>242.44737000000001</v>
      </c>
      <c r="M127" s="194">
        <f>(199.5*KFC!$B$32*1.02*1.15*1.1+KFC!$C$32)*KFC!$C$5</f>
        <v>257.41485</v>
      </c>
      <c r="N127" s="194">
        <f>(211.2*KFC!$B$32*1.02*1.15*1.1+KFC!$C$32)*KFC!$C$5</f>
        <v>272.51135999999997</v>
      </c>
      <c r="O127" s="194">
        <f>(223*KFC!$B$32*1.02*1.15*1.1+KFC!$C$32)*KFC!$C$5</f>
        <v>287.73690000000005</v>
      </c>
      <c r="P127" s="195">
        <f>(234.7*KFC!$B$32*1.02*1.15*1.1+KFC!$C$32)*KFC!$C$5</f>
        <v>302.83341000000001</v>
      </c>
    </row>
    <row r="128" spans="1:16">
      <c r="A128" s="1781"/>
      <c r="B128" s="333">
        <v>3.1</v>
      </c>
      <c r="C128" s="334">
        <f>(84*KFC!$B$32*1.02*1.15*1.1+KFC!$C$32)*KFC!$C$5</f>
        <v>108.38520000000001</v>
      </c>
      <c r="D128" s="194">
        <f>(96*KFC!$B$32*1.02*1.15*1.1+KFC!$C$32)*KFC!$C$5</f>
        <v>123.86879999999999</v>
      </c>
      <c r="E128" s="194">
        <f>(108*KFC!$B$32*1.02*1.15*1.1+KFC!$C$32)*KFC!$C$5</f>
        <v>139.35239999999999</v>
      </c>
      <c r="F128" s="194">
        <f>(120*KFC!$B$32*1.02*1.15*1.1+KFC!$C$32)*KFC!$C$5</f>
        <v>154.83600000000001</v>
      </c>
      <c r="G128" s="194">
        <f>(131.8*KFC!$B$32*1.02*1.15*1.1+KFC!$C$32)*KFC!$C$5</f>
        <v>170.06154000000001</v>
      </c>
      <c r="H128" s="194">
        <f>(143.8*KFC!$B$32*1.02*1.15*1.1+KFC!$C$32)*KFC!$C$5</f>
        <v>185.54514000000003</v>
      </c>
      <c r="I128" s="194">
        <f>(155.8*KFC!$B$32*1.02*1.15*1.1+KFC!$C$32)*KFC!$C$5</f>
        <v>201.02874000000006</v>
      </c>
      <c r="J128" s="194">
        <f>(167.8*KFC!$B$32*1.02*1.15*1.1+KFC!$C$32)*KFC!$C$5</f>
        <v>216.51234000000002</v>
      </c>
      <c r="K128" s="194">
        <f>(179.8*KFC!$B$32*1.02*1.15*1.1+KFC!$C$32)*KFC!$C$5</f>
        <v>231.99594000000005</v>
      </c>
      <c r="L128" s="194">
        <f>(191.8*KFC!$B$32*1.02*1.15*1.1+KFC!$C$32)*KFC!$C$5</f>
        <v>247.47954000000004</v>
      </c>
      <c r="M128" s="194">
        <f>(203.8*KFC!$B$32*1.02*1.15*1.1+KFC!$C$32)*KFC!$C$5</f>
        <v>262.96314000000001</v>
      </c>
      <c r="N128" s="194">
        <f>(215.7*KFC!$B$32*1.02*1.15*1.1+KFC!$C$32)*KFC!$C$5</f>
        <v>278.31770999999998</v>
      </c>
      <c r="O128" s="194">
        <f>(227.6*KFC!$B$32*1.02*1.15*1.1+KFC!$C$32)*KFC!$C$5</f>
        <v>293.67228</v>
      </c>
      <c r="P128" s="195">
        <f>(239.6*KFC!$B$32*1.02*1.15*1.1+KFC!$C$32)*KFC!$C$5</f>
        <v>309.15588000000002</v>
      </c>
    </row>
    <row r="129" spans="1:16" ht="13.8" thickBot="1">
      <c r="A129" s="1782"/>
      <c r="B129" s="335">
        <v>3.2</v>
      </c>
      <c r="C129" s="336">
        <f>(85.6*KFC!$B$32*1.02*1.15*1.1+KFC!$C$32)*KFC!$C$5</f>
        <v>110.44967999999999</v>
      </c>
      <c r="D129" s="196">
        <f>(97.8*KFC!$B$32*1.02*1.15*1.1+KFC!$C$32)*KFC!$C$5</f>
        <v>126.19134</v>
      </c>
      <c r="E129" s="196">
        <f>(110.1*KFC!$B$32*1.02*1.15*1.1+KFC!$C$32)*KFC!$C$5</f>
        <v>142.06202999999999</v>
      </c>
      <c r="F129" s="196">
        <f>(122.3*KFC!$B$32*1.02*1.15*1.1+KFC!$C$32)*KFC!$C$5</f>
        <v>157.80369000000002</v>
      </c>
      <c r="G129" s="196">
        <f>(134.5*KFC!$B$32*1.02*1.15*1.1+KFC!$C$32)*KFC!$C$5</f>
        <v>173.54535000000001</v>
      </c>
      <c r="H129" s="196">
        <f>(146.8*KFC!$B$32*1.02*1.15*1.1+KFC!$C$32)*KFC!$C$5</f>
        <v>189.41604000000004</v>
      </c>
      <c r="I129" s="196">
        <f>(159*KFC!$B$32*1.02*1.15*1.1+KFC!$C$32)*KFC!$C$5</f>
        <v>205.15770000000003</v>
      </c>
      <c r="J129" s="196">
        <f>(171.2*KFC!$B$32*1.02*1.15*1.1+KFC!$C$32)*KFC!$C$5</f>
        <v>220.89935999999997</v>
      </c>
      <c r="K129" s="196">
        <f>(183.5*KFC!$B$32*1.02*1.15*1.1+KFC!$C$32)*KFC!$C$5</f>
        <v>236.77005</v>
      </c>
      <c r="L129" s="196">
        <f>(195.7*KFC!$B$32*1.02*1.15*1.1+KFC!$C$32)*KFC!$C$5</f>
        <v>252.51170999999999</v>
      </c>
      <c r="M129" s="196">
        <f>(207.9*KFC!$B$32*1.02*1.15*1.1+KFC!$C$32)*KFC!$C$5</f>
        <v>268.25337000000002</v>
      </c>
      <c r="N129" s="196">
        <f>(220.1*KFC!$B$32*1.02*1.15*1.1+KFC!$C$32)*KFC!$C$5</f>
        <v>283.99503000000004</v>
      </c>
      <c r="O129" s="196">
        <f>(232.4*KFC!$B$32*1.02*1.15*1.1+KFC!$C$32)*KFC!$C$5</f>
        <v>299.86572000000001</v>
      </c>
      <c r="P129" s="197">
        <f>(244.6*KFC!$B$32*1.02*1.15*1.1+KFC!$C$32)*KFC!$C$5</f>
        <v>315.60738000000003</v>
      </c>
    </row>
    <row r="130" spans="1:16">
      <c r="A130" s="180" t="s">
        <v>303</v>
      </c>
      <c r="B130" s="182"/>
      <c r="C130" s="182"/>
      <c r="D130" s="182"/>
      <c r="E130" s="182"/>
      <c r="F130" s="182"/>
      <c r="G130" s="182"/>
      <c r="H130" s="182"/>
      <c r="I130" s="182"/>
      <c r="J130" s="182"/>
      <c r="K130" s="182"/>
      <c r="L130" s="182"/>
      <c r="M130" s="182"/>
      <c r="N130" s="182"/>
      <c r="O130" s="182"/>
      <c r="P130" s="182"/>
    </row>
    <row r="131" spans="1:16" ht="13.8">
      <c r="A131" s="116" t="s">
        <v>215</v>
      </c>
      <c r="B131" s="114"/>
      <c r="C131" s="114"/>
      <c r="D131" s="114"/>
      <c r="E131" s="114"/>
      <c r="F131" s="114"/>
      <c r="G131" s="114"/>
      <c r="H131" s="114"/>
      <c r="I131" s="114"/>
      <c r="J131" s="114"/>
      <c r="K131" s="114"/>
      <c r="L131" s="114"/>
      <c r="M131" s="114"/>
      <c r="N131" s="114"/>
      <c r="O131" s="114"/>
      <c r="P131" s="114"/>
    </row>
    <row r="132" spans="1:16" ht="15.6">
      <c r="A132" s="117" t="s">
        <v>632</v>
      </c>
      <c r="B132" s="73"/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73"/>
      <c r="N132" s="73"/>
      <c r="O132" s="73"/>
      <c r="P132" s="73"/>
    </row>
    <row r="133" spans="1:16" ht="30" customHeight="1">
      <c r="A133" s="1895" t="s">
        <v>631</v>
      </c>
      <c r="B133" s="1895"/>
      <c r="C133" s="1895"/>
      <c r="D133" s="1895"/>
      <c r="E133" s="1895"/>
      <c r="F133" s="1895"/>
      <c r="G133" s="1895"/>
      <c r="H133" s="1895"/>
      <c r="I133" s="1895"/>
      <c r="J133" s="1895"/>
      <c r="K133" s="1895"/>
      <c r="L133" s="1895"/>
      <c r="M133" s="1895"/>
      <c r="N133" s="1895"/>
      <c r="O133" s="1895"/>
      <c r="P133" s="1895"/>
    </row>
    <row r="134" spans="1:16">
      <c r="A134" s="1283" t="s">
        <v>778</v>
      </c>
      <c r="B134" s="1283"/>
      <c r="C134" s="1283"/>
      <c r="D134" s="1283"/>
      <c r="E134" s="1283"/>
      <c r="F134" s="1283"/>
      <c r="G134" s="503">
        <f>(2.04*KFC!$B$20*1.1+KFC!$C$20)*KFC!$C$5</f>
        <v>2.2440000000000002</v>
      </c>
      <c r="H134" s="1283" t="s">
        <v>779</v>
      </c>
      <c r="I134" s="1283"/>
      <c r="J134" s="1283"/>
      <c r="K134" s="502"/>
      <c r="L134" s="502"/>
      <c r="M134" s="502"/>
      <c r="N134" s="502"/>
      <c r="O134" s="502"/>
      <c r="P134" s="502"/>
    </row>
    <row r="135" spans="1:16">
      <c r="A135" s="508" t="s">
        <v>804</v>
      </c>
    </row>
  </sheetData>
  <mergeCells count="21">
    <mergeCell ref="A38:B39"/>
    <mergeCell ref="A71:A98"/>
    <mergeCell ref="A100:B101"/>
    <mergeCell ref="A69:B70"/>
    <mergeCell ref="E5:P5"/>
    <mergeCell ref="C69:P69"/>
    <mergeCell ref="A5:D5"/>
    <mergeCell ref="C38:P38"/>
    <mergeCell ref="E6:P6"/>
    <mergeCell ref="A134:F134"/>
    <mergeCell ref="H134:J134"/>
    <mergeCell ref="A133:P133"/>
    <mergeCell ref="A102:A129"/>
    <mergeCell ref="A40:A67"/>
    <mergeCell ref="C100:P100"/>
    <mergeCell ref="A3:P3"/>
    <mergeCell ref="A4:P4"/>
    <mergeCell ref="A7:B8"/>
    <mergeCell ref="C7:P7"/>
    <mergeCell ref="A9:A36"/>
    <mergeCell ref="A6:D6"/>
  </mergeCells>
  <hyperlinks>
    <hyperlink ref="E6" r:id="rId1" xr:uid="{4A632F95-6A0F-4878-BF3D-A3BBAE3794C9}"/>
    <hyperlink ref="E5" r:id="rId2" xr:uid="{1240C169-AA33-4B03-8A53-22EFC4D1DE04}"/>
  </hyperlinks>
  <pageMargins left="0.7" right="0.7" top="0.75" bottom="0.75" header="0.3" footer="0.3"/>
  <pageSetup paperSize="9" scale="81" orientation="portrait" r:id="rId3"/>
  <rowBreaks count="1" manualBreakCount="1">
    <brk id="67" max="1638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B2CE7A-0CBB-4041-B646-F99AD76E30F8}">
  <dimension ref="A1:Q139"/>
  <sheetViews>
    <sheetView view="pageBreakPreview" topLeftCell="A5" zoomScaleNormal="100" zoomScaleSheetLayoutView="100" workbookViewId="0">
      <selection activeCell="Q22" sqref="Q22"/>
    </sheetView>
  </sheetViews>
  <sheetFormatPr defaultRowHeight="13.2"/>
  <cols>
    <col min="1" max="16" width="7.5546875" customWidth="1"/>
  </cols>
  <sheetData>
    <row r="1" spans="1:16">
      <c r="A1" s="69"/>
      <c r="B1" s="70"/>
      <c r="C1" s="70"/>
      <c r="D1" s="70"/>
      <c r="E1" s="70"/>
      <c r="F1" s="70"/>
      <c r="G1" s="70"/>
      <c r="H1" s="70"/>
      <c r="I1" s="70"/>
      <c r="J1" s="69"/>
      <c r="K1" s="69"/>
      <c r="L1" s="69"/>
      <c r="M1" s="69"/>
      <c r="N1" s="69"/>
      <c r="O1" s="69"/>
      <c r="P1" s="72"/>
    </row>
    <row r="2" spans="1:16">
      <c r="A2" s="69"/>
      <c r="B2" s="70"/>
      <c r="C2" s="70"/>
      <c r="D2" s="70"/>
      <c r="E2" s="70"/>
      <c r="F2" s="70"/>
      <c r="G2" s="70"/>
      <c r="H2" s="70"/>
      <c r="I2" s="70"/>
      <c r="J2" s="69"/>
      <c r="K2" s="69"/>
      <c r="L2" s="69"/>
      <c r="M2" s="69"/>
      <c r="N2" s="69"/>
      <c r="O2" s="69"/>
      <c r="P2" s="69"/>
    </row>
    <row r="3" spans="1:16" ht="16.8">
      <c r="A3" s="1821" t="s">
        <v>788</v>
      </c>
      <c r="B3" s="1821"/>
      <c r="C3" s="1821"/>
      <c r="D3" s="1821"/>
      <c r="E3" s="1821"/>
      <c r="F3" s="1821"/>
      <c r="G3" s="1821"/>
      <c r="H3" s="1821"/>
      <c r="I3" s="1821"/>
      <c r="J3" s="1821"/>
      <c r="K3" s="1821"/>
      <c r="L3" s="1821"/>
      <c r="M3" s="1821"/>
      <c r="N3" s="1821"/>
      <c r="O3" s="1821"/>
      <c r="P3" s="1821"/>
    </row>
    <row r="4" spans="1:16">
      <c r="A4" s="1897" t="s">
        <v>789</v>
      </c>
      <c r="B4" s="1897"/>
      <c r="C4" s="1897"/>
      <c r="D4" s="1897"/>
      <c r="E4" s="1897"/>
      <c r="F4" s="1897"/>
      <c r="G4" s="1897"/>
      <c r="H4" s="1897"/>
      <c r="I4" s="1897"/>
      <c r="J4" s="1897"/>
      <c r="K4" s="1897"/>
      <c r="L4" s="1897"/>
      <c r="M4" s="1897"/>
      <c r="N4" s="1897"/>
      <c r="O4" s="1897"/>
      <c r="P4" s="1897"/>
    </row>
    <row r="5" spans="1:16" ht="24.75" customHeight="1">
      <c r="A5" s="1089" t="s">
        <v>593</v>
      </c>
      <c r="B5" s="1089"/>
      <c r="C5" s="1089"/>
      <c r="D5" s="1089"/>
      <c r="E5" s="1406" t="s">
        <v>880</v>
      </c>
      <c r="F5" s="1406"/>
      <c r="G5" s="1406"/>
      <c r="H5" s="1406"/>
      <c r="I5" s="1406"/>
      <c r="J5" s="1406"/>
      <c r="K5" s="1406"/>
      <c r="L5" s="1406"/>
      <c r="M5" s="1406"/>
      <c r="N5" s="1406"/>
      <c r="O5" s="1406"/>
      <c r="P5" s="1406"/>
    </row>
    <row r="6" spans="1:16" ht="13.8" thickBot="1">
      <c r="A6" s="1896" t="s">
        <v>611</v>
      </c>
      <c r="B6" s="1896"/>
      <c r="C6" s="1896"/>
      <c r="D6" s="1896"/>
      <c r="E6" s="1406" t="s">
        <v>623</v>
      </c>
      <c r="F6" s="1406"/>
      <c r="G6" s="1406"/>
      <c r="H6" s="1406"/>
      <c r="I6" s="1406"/>
      <c r="J6" s="1406"/>
      <c r="K6" s="1406"/>
      <c r="L6" s="1406"/>
      <c r="M6" s="1406"/>
      <c r="N6" s="1406"/>
      <c r="O6" s="1406"/>
      <c r="P6" s="1406"/>
    </row>
    <row r="7" spans="1:16" ht="13.8" thickBot="1">
      <c r="A7" s="1413" t="s">
        <v>314</v>
      </c>
      <c r="B7" s="1415"/>
      <c r="C7" s="1898" t="s">
        <v>207</v>
      </c>
      <c r="D7" s="1899"/>
      <c r="E7" s="1899"/>
      <c r="F7" s="1899"/>
      <c r="G7" s="1899"/>
      <c r="H7" s="1899"/>
      <c r="I7" s="1899"/>
      <c r="J7" s="1899"/>
      <c r="K7" s="1899"/>
      <c r="L7" s="1899"/>
      <c r="M7" s="1899"/>
      <c r="N7" s="1899"/>
      <c r="O7" s="1899"/>
      <c r="P7" s="1900"/>
    </row>
    <row r="8" spans="1:16" ht="13.8" thickBot="1">
      <c r="A8" s="1803"/>
      <c r="B8" s="1802"/>
      <c r="C8" s="328">
        <v>0.4</v>
      </c>
      <c r="D8" s="329">
        <v>0.5</v>
      </c>
      <c r="E8" s="329">
        <v>0.6</v>
      </c>
      <c r="F8" s="329">
        <v>0.7</v>
      </c>
      <c r="G8" s="329">
        <v>0.8</v>
      </c>
      <c r="H8" s="329">
        <v>0.9</v>
      </c>
      <c r="I8" s="329">
        <v>1</v>
      </c>
      <c r="J8" s="329">
        <v>1.1000000000000001</v>
      </c>
      <c r="K8" s="329">
        <v>1.2</v>
      </c>
      <c r="L8" s="329">
        <v>1.3</v>
      </c>
      <c r="M8" s="329">
        <v>1.4</v>
      </c>
      <c r="N8" s="329">
        <v>1.5</v>
      </c>
      <c r="O8" s="329">
        <v>1.6</v>
      </c>
      <c r="P8" s="330">
        <v>1.7</v>
      </c>
    </row>
    <row r="9" spans="1:16">
      <c r="A9" s="1780" t="s">
        <v>3</v>
      </c>
      <c r="B9" s="504">
        <v>0.5</v>
      </c>
      <c r="C9" s="246">
        <f>'КОМБО В-52 Стандарт'!C9</f>
        <v>31.690890000000003</v>
      </c>
      <c r="D9" s="192">
        <f>'КОМБО В-52 Стандарт'!D9</f>
        <v>35.343000000000004</v>
      </c>
      <c r="E9" s="192">
        <f>'КОМБО В-52 Стандарт'!E9</f>
        <v>38.995110000000004</v>
      </c>
      <c r="F9" s="192">
        <f>'КОМБО В-52 Стандарт'!F9</f>
        <v>42.647220000000011</v>
      </c>
      <c r="G9" s="192">
        <f>'КОМБО В-52 Стандарт'!G9</f>
        <v>46.417140000000003</v>
      </c>
      <c r="H9" s="192">
        <f>'КОМБО В-52 Стандарт'!H9</f>
        <v>49.951440000000005</v>
      </c>
      <c r="I9" s="192">
        <f>'КОМБО В-52 Стандарт'!I9</f>
        <v>53.603550000000013</v>
      </c>
      <c r="J9" s="192">
        <f>'КОМБО В-52 Стандарт'!J9</f>
        <v>57.373470000000019</v>
      </c>
      <c r="K9" s="192">
        <f>'КОМБО В-52 Стандарт'!K9</f>
        <v>60.907770000000014</v>
      </c>
      <c r="L9" s="192">
        <f>'КОМБО В-52 Стандарт'!L9</f>
        <v>64.559880000000007</v>
      </c>
      <c r="M9" s="192">
        <f>'КОМБО В-52 Стандарт'!M9</f>
        <v>68.32980000000002</v>
      </c>
      <c r="N9" s="192">
        <f>'КОМБО В-52 Стандарт'!N9</f>
        <v>71.864100000000008</v>
      </c>
      <c r="O9" s="192">
        <f>'КОМБО В-52 Стандарт'!O9</f>
        <v>75.634020000000021</v>
      </c>
      <c r="P9" s="193">
        <f>'КОМБО В-52 Стандарт'!P9</f>
        <v>79.28613</v>
      </c>
    </row>
    <row r="10" spans="1:16">
      <c r="A10" s="1781"/>
      <c r="B10" s="505">
        <v>0.6</v>
      </c>
      <c r="C10" s="247">
        <f>'КОМБО В-52 Стандарт'!C10</f>
        <v>32.751180000000005</v>
      </c>
      <c r="D10" s="194">
        <f>'КОМБО В-52 Стандарт'!D10</f>
        <v>36.403290000000005</v>
      </c>
      <c r="E10" s="194">
        <f>'КОМБО В-52 Стандарт'!E10</f>
        <v>40.291020000000003</v>
      </c>
      <c r="F10" s="194">
        <f>'КОМБО В-52 Стандарт'!F10</f>
        <v>44.060940000000002</v>
      </c>
      <c r="G10" s="194">
        <f>'КОМБО В-52 Стандарт'!G10</f>
        <v>47.830860000000001</v>
      </c>
      <c r="H10" s="194">
        <f>'КОМБО В-52 Стандарт'!H10</f>
        <v>51.718590000000006</v>
      </c>
      <c r="I10" s="194">
        <f>'КОМБО В-52 Стандарт'!I10</f>
        <v>55.488510000000012</v>
      </c>
      <c r="J10" s="194">
        <f>'КОМБО В-52 Стандарт'!J10</f>
        <v>59.376240000000003</v>
      </c>
      <c r="K10" s="194">
        <f>'КОМБО В-52 Стандарт'!K10</f>
        <v>63.146160000000016</v>
      </c>
      <c r="L10" s="194">
        <f>'КОМБО В-52 Стандарт'!L10</f>
        <v>67.033890000000014</v>
      </c>
      <c r="M10" s="194">
        <f>'КОМБО В-52 Стандарт'!M10</f>
        <v>70.686000000000007</v>
      </c>
      <c r="N10" s="194">
        <f>'КОМБО В-52 Стандарт'!N10</f>
        <v>74.455920000000006</v>
      </c>
      <c r="O10" s="194">
        <f>'КОМБО В-52 Стандарт'!O10</f>
        <v>78.343650000000011</v>
      </c>
      <c r="P10" s="195">
        <f>'КОМБО В-52 Стандарт'!P10</f>
        <v>82.11357000000001</v>
      </c>
    </row>
    <row r="11" spans="1:16">
      <c r="A11" s="1781"/>
      <c r="B11" s="505">
        <v>0.7</v>
      </c>
      <c r="C11" s="247">
        <f>'КОМБО В-52 Стандарт'!C11</f>
        <v>33.575850000000003</v>
      </c>
      <c r="D11" s="194">
        <f>'КОМБО В-52 Стандарт'!D11</f>
        <v>37.581389999999999</v>
      </c>
      <c r="E11" s="194">
        <f>'КОМБО В-52 Стандарт'!E11</f>
        <v>41.469120000000011</v>
      </c>
      <c r="F11" s="194">
        <f>'КОМБО В-52 Стандарт'!F11</f>
        <v>45.474660000000007</v>
      </c>
      <c r="G11" s="194">
        <f>'КОМБО В-52 Стандарт'!G11</f>
        <v>49.362390000000005</v>
      </c>
      <c r="H11" s="194">
        <f>'КОМБО В-52 Стандарт'!H11</f>
        <v>53.485740000000007</v>
      </c>
      <c r="I11" s="194">
        <f>'КОМБО В-52 Стандарт'!I11</f>
        <v>57.373470000000019</v>
      </c>
      <c r="J11" s="194">
        <f>'КОМБО В-52 Стандарт'!J11</f>
        <v>61.379010000000008</v>
      </c>
      <c r="K11" s="194">
        <f>'КОМБО В-52 Стандарт'!K11</f>
        <v>65.266740000000013</v>
      </c>
      <c r="L11" s="194">
        <f>'КОМБО В-52 Стандарт'!L11</f>
        <v>69.272280000000009</v>
      </c>
      <c r="M11" s="194">
        <f>'КОМБО В-52 Стандарт'!M11</f>
        <v>73.160010000000014</v>
      </c>
      <c r="N11" s="194">
        <f>'КОМБО В-52 Стандарт'!N11</f>
        <v>77.283360000000002</v>
      </c>
      <c r="O11" s="194">
        <f>'КОМБО В-52 Стандарт'!O11</f>
        <v>81.171090000000021</v>
      </c>
      <c r="P11" s="195">
        <f>'КОМБО В-52 Стандарт'!P11</f>
        <v>85.176630000000003</v>
      </c>
    </row>
    <row r="12" spans="1:16">
      <c r="A12" s="1781"/>
      <c r="B12" s="505">
        <v>0.8</v>
      </c>
      <c r="C12" s="247">
        <f>'КОМБО В-52 Стандарт'!C12</f>
        <v>34.636140000000005</v>
      </c>
      <c r="D12" s="194">
        <f>'КОМБО В-52 Стандарт'!D12</f>
        <v>38.759490000000007</v>
      </c>
      <c r="E12" s="194">
        <f>'КОМБО В-52 Стандарт'!E12</f>
        <v>42.765030000000003</v>
      </c>
      <c r="F12" s="194">
        <f>'КОМБО В-52 Стандарт'!F12</f>
        <v>47.006190000000004</v>
      </c>
      <c r="G12" s="194">
        <f>'КОМБО В-52 Стандарт'!G12</f>
        <v>51.01173</v>
      </c>
      <c r="H12" s="194">
        <f>'КОМБО В-52 Стандарт'!H12</f>
        <v>55.135080000000002</v>
      </c>
      <c r="I12" s="194">
        <f>'КОМБО В-52 Стандарт'!I12</f>
        <v>59.258430000000004</v>
      </c>
      <c r="J12" s="194">
        <f>'КОМБО В-52 Стандарт'!J12</f>
        <v>63.381780000000006</v>
      </c>
      <c r="K12" s="194">
        <f>'КОМБО В-52 Стандарт'!K12</f>
        <v>67.387320000000003</v>
      </c>
      <c r="L12" s="194">
        <f>'КОМБО В-52 Стандарт'!L12</f>
        <v>71.62848000000001</v>
      </c>
      <c r="M12" s="194">
        <f>'КОМБО В-52 Стандарт'!M12</f>
        <v>75.634020000000021</v>
      </c>
      <c r="N12" s="194">
        <f>'КОМБО В-52 Стандарт'!N12</f>
        <v>79.87518</v>
      </c>
      <c r="O12" s="194">
        <f>'КОМБО В-52 Стандарт'!O12</f>
        <v>83.998530000000017</v>
      </c>
      <c r="P12" s="195">
        <f>'КОМБО В-52 Стандарт'!P12</f>
        <v>88.004070000000013</v>
      </c>
    </row>
    <row r="13" spans="1:16">
      <c r="A13" s="1781"/>
      <c r="B13" s="505">
        <v>0.9</v>
      </c>
      <c r="C13" s="247">
        <f>'КОМБО В-52 Стандарт'!C13</f>
        <v>35.578620000000001</v>
      </c>
      <c r="D13" s="194">
        <f>'КОМБО В-52 Стандарт'!D13</f>
        <v>39.819780000000009</v>
      </c>
      <c r="E13" s="194">
        <f>'КОМБО В-52 Стандарт'!E13</f>
        <v>44.060940000000002</v>
      </c>
      <c r="F13" s="194">
        <f>'КОМБО В-52 Стандарт'!F13</f>
        <v>48.302100000000003</v>
      </c>
      <c r="G13" s="194">
        <f>'КОМБО В-52 Стандарт'!G13</f>
        <v>52.543260000000011</v>
      </c>
      <c r="H13" s="194">
        <f>'КОМБО В-52 Стандарт'!H13</f>
        <v>56.90223000000001</v>
      </c>
      <c r="I13" s="194">
        <f>'КОМБО В-52 Стандарт'!I13</f>
        <v>61.143390000000011</v>
      </c>
      <c r="J13" s="194">
        <f>'КОМБО В-52 Стандарт'!J13</f>
        <v>65.384550000000004</v>
      </c>
      <c r="K13" s="194">
        <f>'КОМБО В-52 Стандарт'!K13</f>
        <v>69.625710000000012</v>
      </c>
      <c r="L13" s="194">
        <f>'КОМБО В-52 Стандарт'!L13</f>
        <v>73.866870000000006</v>
      </c>
      <c r="M13" s="194">
        <f>'КОМБО В-52 Стандарт'!M13</f>
        <v>78.225840000000019</v>
      </c>
      <c r="N13" s="194">
        <f>'КОМБО В-52 Стандарт'!N13</f>
        <v>82.467000000000027</v>
      </c>
      <c r="O13" s="194">
        <f>'КОМБО В-52 Стандарт'!O13</f>
        <v>86.708160000000007</v>
      </c>
      <c r="P13" s="195">
        <f>'КОМБО В-52 Стандарт'!P13</f>
        <v>90.949320000000014</v>
      </c>
    </row>
    <row r="14" spans="1:16">
      <c r="A14" s="1781"/>
      <c r="B14" s="505">
        <v>1</v>
      </c>
      <c r="C14" s="247">
        <f>'КОМБО В-52 Стандарт'!C14</f>
        <v>36.403290000000005</v>
      </c>
      <c r="D14" s="194">
        <f>'КОМБО В-52 Стандарт'!D14</f>
        <v>40.880070000000011</v>
      </c>
      <c r="E14" s="194">
        <f>'КОМБО В-52 Стандарт'!E14</f>
        <v>45.356850000000009</v>
      </c>
      <c r="F14" s="194">
        <f>'КОМБО В-52 Стандарт'!F14</f>
        <v>49.715820000000008</v>
      </c>
      <c r="G14" s="194">
        <f>'КОМБО В-52 Стандарт'!G14</f>
        <v>54.192600000000013</v>
      </c>
      <c r="H14" s="194">
        <f>'КОМБО В-52 Стандарт'!H14</f>
        <v>58.669380000000004</v>
      </c>
      <c r="I14" s="194">
        <f>'КОМБО В-52 Стандарт'!I14</f>
        <v>62.910540000000005</v>
      </c>
      <c r="J14" s="194">
        <f>'КОМБО В-52 Стандарт'!J14</f>
        <v>67.387320000000003</v>
      </c>
      <c r="K14" s="194">
        <f>'КОМБО В-52 Стандарт'!K14</f>
        <v>71.864100000000008</v>
      </c>
      <c r="L14" s="194">
        <f>'КОМБО В-52 Стандарт'!L14</f>
        <v>76.223070000000007</v>
      </c>
      <c r="M14" s="194">
        <f>'КОМБО В-52 Стандарт'!M14</f>
        <v>80.699850000000012</v>
      </c>
      <c r="N14" s="194">
        <f>'КОМБО В-52 Стандарт'!N14</f>
        <v>85.176630000000003</v>
      </c>
      <c r="O14" s="194">
        <f>'КОМБО В-52 Стандарт'!O14</f>
        <v>89.417790000000025</v>
      </c>
      <c r="P14" s="195">
        <f>'КОМБО В-52 Стандарт'!P14</f>
        <v>93.894570000000016</v>
      </c>
    </row>
    <row r="15" spans="1:16">
      <c r="A15" s="1781"/>
      <c r="B15" s="505">
        <v>1.1000000000000001</v>
      </c>
      <c r="C15" s="247">
        <f>'КОМБО В-52 Стандарт'!C15</f>
        <v>37.46358</v>
      </c>
      <c r="D15" s="194">
        <f>'КОМБО В-52 Стандарт'!D15</f>
        <v>42.058170000000004</v>
      </c>
      <c r="E15" s="194">
        <f>'КОМБО В-52 Стандарт'!E15</f>
        <v>46.534950000000009</v>
      </c>
      <c r="F15" s="194">
        <f>'КОМБО В-52 Стандарт'!F15</f>
        <v>51.129540000000006</v>
      </c>
      <c r="G15" s="194">
        <f>'КОМБО В-52 Стандарт'!G15</f>
        <v>55.724130000000002</v>
      </c>
      <c r="H15" s="194">
        <f>'КОМБО В-52 Стандарт'!H15</f>
        <v>60.318720000000013</v>
      </c>
      <c r="I15" s="194">
        <f>'КОМБО В-52 Стандарт'!I15</f>
        <v>64.795500000000004</v>
      </c>
      <c r="J15" s="194">
        <f>'КОМБО В-52 Стандарт'!J15</f>
        <v>69.390090000000015</v>
      </c>
      <c r="K15" s="194">
        <f>'КОМБО В-52 Стандарт'!K15</f>
        <v>74.102490000000017</v>
      </c>
      <c r="L15" s="194">
        <f>'КОМБО В-52 Стандарт'!L15</f>
        <v>78.579270000000022</v>
      </c>
      <c r="M15" s="194">
        <f>'КОМБО В-52 Стандарт'!M15</f>
        <v>83.173860000000005</v>
      </c>
      <c r="N15" s="194">
        <f>'КОМБО В-52 Стандарт'!N15</f>
        <v>87.768450000000016</v>
      </c>
      <c r="O15" s="194">
        <f>'КОМБО В-52 Стандарт'!O15</f>
        <v>92.363040000000012</v>
      </c>
      <c r="P15" s="195">
        <f>'КОМБО В-52 Стандарт'!P15</f>
        <v>96.839820000000017</v>
      </c>
    </row>
    <row r="16" spans="1:16">
      <c r="A16" s="1781"/>
      <c r="B16" s="505">
        <v>1.2</v>
      </c>
      <c r="C16" s="247">
        <f>'КОМБО В-52 Стандарт'!C16</f>
        <v>38.523870000000016</v>
      </c>
      <c r="D16" s="194">
        <f>'КОМБО В-52 Стандарт'!D16</f>
        <v>43.118459999999999</v>
      </c>
      <c r="E16" s="194">
        <f>'КОМБО В-52 Стандарт'!E16</f>
        <v>47.830860000000001</v>
      </c>
      <c r="F16" s="194">
        <f>'КОМБО В-52 Стандарт'!F16</f>
        <v>52.543260000000011</v>
      </c>
      <c r="G16" s="194">
        <f>'КОМБО В-52 Стандарт'!G16</f>
        <v>57.373470000000019</v>
      </c>
      <c r="H16" s="194">
        <f>'КОМБО В-52 Стандарт'!H16</f>
        <v>61.968060000000008</v>
      </c>
      <c r="I16" s="194">
        <f>'КОМБО В-52 Стандарт'!I16</f>
        <v>66.680460000000011</v>
      </c>
      <c r="J16" s="194">
        <f>'КОМБО В-52 Стандарт'!J16</f>
        <v>71.510670000000019</v>
      </c>
      <c r="K16" s="194">
        <f>'КОМБО В-52 Стандарт'!K16</f>
        <v>76.223070000000007</v>
      </c>
      <c r="L16" s="194">
        <f>'КОМБО В-52 Стандарт'!L16</f>
        <v>80.935470000000009</v>
      </c>
      <c r="M16" s="194">
        <f>'КОМБО В-52 Стандарт'!M16</f>
        <v>85.530060000000006</v>
      </c>
      <c r="N16" s="194">
        <f>'КОМБО В-52 Стандарт'!N16</f>
        <v>90.360270000000028</v>
      </c>
      <c r="O16" s="194">
        <f>'КОМБО В-52 Стандарт'!O16</f>
        <v>95.072670000000016</v>
      </c>
      <c r="P16" s="195">
        <f>'КОМБО В-52 Стандарт'!P16</f>
        <v>99.90288000000001</v>
      </c>
    </row>
    <row r="17" spans="1:17">
      <c r="A17" s="1781"/>
      <c r="B17" s="505">
        <v>1.3</v>
      </c>
      <c r="C17" s="247">
        <f>'КОМБО В-52 Стандарт'!C17</f>
        <v>39.34854</v>
      </c>
      <c r="D17" s="194">
        <f>'КОМБО В-52 Стандарт'!D17</f>
        <v>44.178750000000008</v>
      </c>
      <c r="E17" s="194">
        <f>'КОМБО В-52 Стандарт'!E17</f>
        <v>49.126770000000008</v>
      </c>
      <c r="F17" s="194">
        <f>'КОМБО В-52 Стандарт'!F17</f>
        <v>54.074790000000007</v>
      </c>
      <c r="G17" s="194">
        <f>'КОМБО В-52 Стандарт'!G17</f>
        <v>58.905000000000008</v>
      </c>
      <c r="H17" s="194">
        <f>'КОМБО В-52 Стандарт'!H17</f>
        <v>63.735210000000009</v>
      </c>
      <c r="I17" s="194">
        <f>'КОМБО В-52 Стандарт'!I17</f>
        <v>68.565420000000017</v>
      </c>
      <c r="J17" s="194">
        <f>'КОМБО В-52 Стандарт'!J17</f>
        <v>73.513440000000003</v>
      </c>
      <c r="K17" s="194">
        <f>'КОМБО В-52 Стандарт'!K17</f>
        <v>78.343650000000011</v>
      </c>
      <c r="L17" s="194">
        <f>'КОМБО В-52 Стандарт'!L17</f>
        <v>83.291670000000011</v>
      </c>
      <c r="M17" s="194">
        <f>'КОМБО В-52 Стандарт'!M17</f>
        <v>88.121880000000004</v>
      </c>
      <c r="N17" s="194">
        <f>'КОМБО В-52 Стандарт'!N17</f>
        <v>92.952090000000013</v>
      </c>
      <c r="O17" s="194">
        <f>'КОМБО В-52 Стандарт'!O17</f>
        <v>97.782300000000006</v>
      </c>
      <c r="P17" s="195">
        <f>'КОМБО В-52 Стандарт'!P17</f>
        <v>102.73032000000002</v>
      </c>
    </row>
    <row r="18" spans="1:17">
      <c r="A18" s="1781"/>
      <c r="B18" s="505">
        <v>1.4</v>
      </c>
      <c r="C18" s="247">
        <f>'КОМБО В-52 Стандарт'!C18</f>
        <v>40.291020000000003</v>
      </c>
      <c r="D18" s="194">
        <f>'КОМБО В-52 Стандарт'!D18</f>
        <v>45.356850000000009</v>
      </c>
      <c r="E18" s="194">
        <f>'КОМБО В-52 Стандарт'!E18</f>
        <v>50.42268</v>
      </c>
      <c r="F18" s="194">
        <f>'КОМБО В-52 Стандарт'!F18</f>
        <v>55.488510000000012</v>
      </c>
      <c r="G18" s="194">
        <f>'КОМБО В-52 Стандарт'!G18</f>
        <v>60.318720000000013</v>
      </c>
      <c r="H18" s="194">
        <f>'КОМБО В-52 Стандарт'!H18</f>
        <v>65.384550000000004</v>
      </c>
      <c r="I18" s="194">
        <f>'КОМБО В-52 Стандарт'!I18</f>
        <v>70.45038000000001</v>
      </c>
      <c r="J18" s="194">
        <f>'КОМБО В-52 Стандарт'!J18</f>
        <v>75.516210000000001</v>
      </c>
      <c r="K18" s="194">
        <f>'КОМБО В-52 Стандарт'!K18</f>
        <v>80.582040000000006</v>
      </c>
      <c r="L18" s="194">
        <f>'КОМБО В-52 Стандарт'!L18</f>
        <v>85.530060000000006</v>
      </c>
      <c r="M18" s="194">
        <f>'КОМБО В-52 Стандарт'!M18</f>
        <v>90.595890000000026</v>
      </c>
      <c r="N18" s="194">
        <f>'КОМБО В-52 Стандарт'!N18</f>
        <v>95.661720000000003</v>
      </c>
      <c r="O18" s="194">
        <f>'КОМБО В-52 Стандарт'!O18</f>
        <v>100.60974000000002</v>
      </c>
      <c r="P18" s="195">
        <f>'КОМБО В-52 Стандарт'!P18</f>
        <v>105.55776000000002</v>
      </c>
    </row>
    <row r="19" spans="1:17">
      <c r="A19" s="1781"/>
      <c r="B19" s="505">
        <v>1.5</v>
      </c>
      <c r="C19" s="247">
        <f>'КОМБО В-52 Стандарт'!C19</f>
        <v>41.351310000000005</v>
      </c>
      <c r="D19" s="194">
        <f>'КОМБО В-52 Стандарт'!D19</f>
        <v>46.534950000000009</v>
      </c>
      <c r="E19" s="194">
        <f>'КОМБО В-52 Стандарт'!E19</f>
        <v>51.718590000000006</v>
      </c>
      <c r="F19" s="194">
        <f>'КОМБО В-52 Стандарт'!F19</f>
        <v>56.784420000000011</v>
      </c>
      <c r="G19" s="194">
        <f>'КОМБО В-52 Стандарт'!G19</f>
        <v>61.968060000000008</v>
      </c>
      <c r="H19" s="194">
        <f>'КОМБО В-52 Стандарт'!H19</f>
        <v>67.151700000000005</v>
      </c>
      <c r="I19" s="194">
        <f>'КОМБО В-52 Стандарт'!I19</f>
        <v>72.335340000000002</v>
      </c>
      <c r="J19" s="194">
        <f>'КОМБО В-52 Стандарт'!J19</f>
        <v>77.518980000000013</v>
      </c>
      <c r="K19" s="194">
        <f>'КОМБО В-52 Стандарт'!K19</f>
        <v>82.70262000000001</v>
      </c>
      <c r="L19" s="194">
        <f>'КОМБО В-52 Стандарт'!L19</f>
        <v>87.886260000000007</v>
      </c>
      <c r="M19" s="194">
        <f>'КОМБО В-52 Стандарт'!M19</f>
        <v>93.069900000000018</v>
      </c>
      <c r="N19" s="194">
        <f>'КОМБО В-52 Стандарт'!N19</f>
        <v>98.253540000000015</v>
      </c>
      <c r="O19" s="194">
        <f>'КОМБО В-52 Стандарт'!O19</f>
        <v>103.43718000000001</v>
      </c>
      <c r="P19" s="195">
        <f>'КОМБО В-52 Стандарт'!P19</f>
        <v>108.62082000000002</v>
      </c>
    </row>
    <row r="20" spans="1:17">
      <c r="A20" s="1781"/>
      <c r="B20" s="505">
        <v>1.6</v>
      </c>
      <c r="C20" s="247">
        <f>'КОМБО В-52 Стандарт'!C20</f>
        <v>42.175980000000003</v>
      </c>
      <c r="D20" s="194">
        <f>'КОМБО В-52 Стандарт'!D20</f>
        <v>47.595240000000004</v>
      </c>
      <c r="E20" s="194">
        <f>'КОМБО В-52 Стандарт'!E20</f>
        <v>52.896690000000007</v>
      </c>
      <c r="F20" s="194">
        <f>'КОМБО В-52 Стандарт'!F20</f>
        <v>58.198140000000009</v>
      </c>
      <c r="G20" s="194">
        <f>'КОМБО В-52 Стандарт'!G20</f>
        <v>63.499590000000005</v>
      </c>
      <c r="H20" s="194">
        <f>'КОМБО В-52 Стандарт'!H20</f>
        <v>68.918850000000006</v>
      </c>
      <c r="I20" s="194">
        <f>'КОМБО В-52 Стандарт'!I20</f>
        <v>74.220300000000023</v>
      </c>
      <c r="J20" s="194">
        <f>'КОМБО В-52 Стандарт'!J20</f>
        <v>79.521750000000011</v>
      </c>
      <c r="K20" s="194">
        <f>'КОМБО В-52 Стандарт'!K20</f>
        <v>84.8232</v>
      </c>
      <c r="L20" s="194">
        <f>'КОМБО В-52 Стандарт'!L20</f>
        <v>90.242459999999994</v>
      </c>
      <c r="M20" s="194">
        <f>'КОМБО В-52 Стандарт'!M20</f>
        <v>95.543909999999997</v>
      </c>
      <c r="N20" s="194">
        <f>'КОМБО В-52 Стандарт'!N20</f>
        <v>100.84536</v>
      </c>
      <c r="O20" s="194">
        <f>'КОМБО В-52 Стандарт'!O20</f>
        <v>106.14681000000002</v>
      </c>
      <c r="P20" s="195">
        <f>'КОМБО В-52 Стандарт'!P20</f>
        <v>111.56607000000002</v>
      </c>
    </row>
    <row r="21" spans="1:17">
      <c r="A21" s="1781"/>
      <c r="B21" s="505">
        <v>1.7</v>
      </c>
      <c r="C21" s="247">
        <f>'КОМБО В-52 Стандарт'!C21</f>
        <v>43.236270000000012</v>
      </c>
      <c r="D21" s="194">
        <f>'КОМБО В-52 Стандарт'!D21</f>
        <v>48.655530000000006</v>
      </c>
      <c r="E21" s="194">
        <f>'КОМБО В-52 Стандарт'!E21</f>
        <v>54.192600000000013</v>
      </c>
      <c r="F21" s="194">
        <f>'КОМБО В-52 Стандарт'!F21</f>
        <v>59.611860000000014</v>
      </c>
      <c r="G21" s="194">
        <f>'КОМБО В-52 Стандарт'!G21</f>
        <v>65.148930000000007</v>
      </c>
      <c r="H21" s="194">
        <f>'КОМБО В-52 Стандарт'!H21</f>
        <v>70.568190000000016</v>
      </c>
      <c r="I21" s="194">
        <f>'КОМБО В-52 Стандарт'!I21</f>
        <v>76.105260000000001</v>
      </c>
      <c r="J21" s="194">
        <f>'КОМБО В-52 Стандарт'!J21</f>
        <v>81.52452000000001</v>
      </c>
      <c r="K21" s="194">
        <f>'КОМБО В-52 Стандарт'!K21</f>
        <v>87.06159000000001</v>
      </c>
      <c r="L21" s="194">
        <f>'КОМБО В-52 Стандарт'!L21</f>
        <v>92.480850000000018</v>
      </c>
      <c r="M21" s="194">
        <f>'КОМБО В-52 Стандарт'!M21</f>
        <v>98.017920000000018</v>
      </c>
      <c r="N21" s="194">
        <f>'КОМБО В-52 Стандарт'!N21</f>
        <v>103.43718000000001</v>
      </c>
      <c r="O21" s="194">
        <f>'КОМБО В-52 Стандарт'!O21</f>
        <v>108.97425000000003</v>
      </c>
      <c r="P21" s="195">
        <f>'КОМБО В-52 Стандарт'!P21</f>
        <v>114.39351000000001</v>
      </c>
    </row>
    <row r="22" spans="1:17">
      <c r="A22" s="1781"/>
      <c r="B22" s="505">
        <v>1.8</v>
      </c>
      <c r="C22" s="247">
        <f>'КОМБО В-52 Стандарт'!C22</f>
        <v>44.178750000000008</v>
      </c>
      <c r="D22" s="194">
        <f>'КОМБО В-52 Стандарт'!D22</f>
        <v>49.833630000000007</v>
      </c>
      <c r="E22" s="194">
        <f>'КОМБО В-52 Стандарт'!E22</f>
        <v>55.488510000000012</v>
      </c>
      <c r="F22" s="194">
        <f>'КОМБО В-52 Стандарт'!F22</f>
        <v>61.143390000000011</v>
      </c>
      <c r="G22" s="194">
        <f>'КОМБО В-52 Стандарт'!G22</f>
        <v>66.680460000000011</v>
      </c>
      <c r="H22" s="194">
        <f>'КОМБО В-52 Стандарт'!H22</f>
        <v>72.335340000000002</v>
      </c>
      <c r="I22" s="194">
        <f>'КОМБО В-52 Стандарт'!I22</f>
        <v>77.990220000000008</v>
      </c>
      <c r="J22" s="194">
        <f>'КОМБО В-52 Стандарт'!J22</f>
        <v>83.527290000000036</v>
      </c>
      <c r="K22" s="194">
        <f>'КОМБО В-52 Стандарт'!K22</f>
        <v>89.182170000000013</v>
      </c>
      <c r="L22" s="194">
        <f>'КОМБО В-52 Стандарт'!L22</f>
        <v>94.837050000000019</v>
      </c>
      <c r="M22" s="194">
        <f>'КОМБО В-52 Стандарт'!M22</f>
        <v>100.60974000000002</v>
      </c>
      <c r="N22" s="194">
        <f>'КОМБО В-52 Стандарт'!N22</f>
        <v>106.14681000000002</v>
      </c>
      <c r="O22" s="194">
        <f>'КОМБО В-52 Стандарт'!O22</f>
        <v>111.80169000000001</v>
      </c>
      <c r="P22" s="195">
        <f>'КОМБО В-52 Стандарт'!P22</f>
        <v>117.45657000000001</v>
      </c>
      <c r="Q22" s="953">
        <f>P22-O22+P22</f>
        <v>123.11145000000002</v>
      </c>
    </row>
    <row r="23" spans="1:17">
      <c r="A23" s="1781"/>
      <c r="B23" s="505">
        <v>1.9</v>
      </c>
      <c r="C23" s="247">
        <f>'КОМБО В-52 Стандарт'!C23</f>
        <v>45.121229999999997</v>
      </c>
      <c r="D23" s="194">
        <f>'КОМБО В-52 Стандарт'!D23</f>
        <v>50.893920000000016</v>
      </c>
      <c r="E23" s="194">
        <f>'КОМБО В-52 Стандарт'!E23</f>
        <v>56.784420000000011</v>
      </c>
      <c r="F23" s="194">
        <f>'КОМБО В-52 Стандарт'!F23</f>
        <v>62.557110000000009</v>
      </c>
      <c r="G23" s="194">
        <f>'КОМБО В-52 Стандарт'!G23</f>
        <v>68.32980000000002</v>
      </c>
      <c r="H23" s="194">
        <f>'КОМБО В-52 Стандарт'!H23</f>
        <v>74.102490000000017</v>
      </c>
      <c r="I23" s="194">
        <f>'КОМБО В-52 Стандарт'!I23</f>
        <v>79.87518</v>
      </c>
      <c r="J23" s="194">
        <f>'КОМБО В-52 Стандарт'!J23</f>
        <v>85.530060000000006</v>
      </c>
      <c r="K23" s="194">
        <f>'КОМБО В-52 Стандарт'!K23</f>
        <v>91.302750000000003</v>
      </c>
      <c r="L23" s="194">
        <f>'КОМБО В-52 Стандарт'!L23</f>
        <v>97.311060000000012</v>
      </c>
      <c r="M23" s="194">
        <f>'КОМБО В-52 Стандарт'!M23</f>
        <v>102.96594000000003</v>
      </c>
      <c r="N23" s="194">
        <f>'КОМБО В-52 Стандарт'!N23</f>
        <v>108.73863000000001</v>
      </c>
      <c r="O23" s="194">
        <f>'КОМБО В-52 Стандарт'!O23</f>
        <v>114.51132000000001</v>
      </c>
      <c r="P23" s="195">
        <f>'КОМБО В-52 Стандарт'!P23</f>
        <v>120.28401000000002</v>
      </c>
    </row>
    <row r="24" spans="1:17">
      <c r="A24" s="1781"/>
      <c r="B24" s="505">
        <v>2</v>
      </c>
      <c r="C24" s="247">
        <f>'КОМБО В-52 Стандарт'!C24</f>
        <v>46.063710000000015</v>
      </c>
      <c r="D24" s="194">
        <f>'КОМБО В-52 Стандарт'!D24</f>
        <v>52.072020000000009</v>
      </c>
      <c r="E24" s="194">
        <f>'КОМБО В-52 Стандарт'!E24</f>
        <v>57.962520000000012</v>
      </c>
      <c r="F24" s="194">
        <f>'КОМБО В-52 Стандарт'!F24</f>
        <v>63.970829999999999</v>
      </c>
      <c r="G24" s="194">
        <f>'КОМБО В-52 Стандарт'!G24</f>
        <v>69.861330000000009</v>
      </c>
      <c r="H24" s="194">
        <f>'КОМБО В-52 Стандарт'!H24</f>
        <v>75.751830000000012</v>
      </c>
      <c r="I24" s="194">
        <f>'КОМБО В-52 Стандарт'!I24</f>
        <v>81.642330000000001</v>
      </c>
      <c r="J24" s="194">
        <f>'КОМБО В-52 Стандарт'!J24</f>
        <v>87.650640000000024</v>
      </c>
      <c r="K24" s="194">
        <f>'КОМБО В-52 Стандарт'!K24</f>
        <v>93.658950000000019</v>
      </c>
      <c r="L24" s="194">
        <f>'КОМБО В-52 Стандарт'!L24</f>
        <v>99.549450000000007</v>
      </c>
      <c r="M24" s="194">
        <f>'КОМБО В-52 Стандарт'!M24</f>
        <v>105.43995000000002</v>
      </c>
      <c r="N24" s="194">
        <f>'КОМБО В-52 Стандарт'!N24</f>
        <v>111.33045000000001</v>
      </c>
      <c r="O24" s="194">
        <f>'КОМБО В-52 Стандарт'!O24</f>
        <v>117.33876000000001</v>
      </c>
      <c r="P24" s="195">
        <f>'КОМБО В-52 Стандарт'!P24</f>
        <v>123.34707000000003</v>
      </c>
    </row>
    <row r="25" spans="1:17">
      <c r="A25" s="1781"/>
      <c r="B25" s="505">
        <v>2.1</v>
      </c>
      <c r="C25" s="247">
        <f>'КОМБО В-52 Стандарт'!C25</f>
        <v>47.124000000000002</v>
      </c>
      <c r="D25" s="194">
        <f>'КОМБО В-52 Стандарт'!D25</f>
        <v>53.132310000000011</v>
      </c>
      <c r="E25" s="194">
        <f>'КОМБО В-52 Стандарт'!E25</f>
        <v>59.258430000000004</v>
      </c>
      <c r="F25" s="194">
        <f>'КОМБО В-52 Стандарт'!F25</f>
        <v>65.266740000000013</v>
      </c>
      <c r="G25" s="194">
        <f>'КОМБО В-52 Стандарт'!G25</f>
        <v>71.510670000000019</v>
      </c>
      <c r="H25" s="194">
        <f>'КОМБО В-52 Стандарт'!H25</f>
        <v>77.518980000000013</v>
      </c>
      <c r="I25" s="194">
        <f>'КОМБО В-52 Стандарт'!I25</f>
        <v>83.527290000000036</v>
      </c>
      <c r="J25" s="194">
        <f>'КОМБО В-52 Стандарт'!J25</f>
        <v>89.653410000000008</v>
      </c>
      <c r="K25" s="194">
        <f>'КОМБО В-52 Стандарт'!K25</f>
        <v>95.779530000000022</v>
      </c>
      <c r="L25" s="194">
        <f>'КОМБО В-52 Стандарт'!L25</f>
        <v>101.90565000000002</v>
      </c>
      <c r="M25" s="194">
        <f>'КОМБО В-52 Стандарт'!M25</f>
        <v>107.91396</v>
      </c>
      <c r="N25" s="194">
        <f>'КОМБО В-52 Стандарт'!N25</f>
        <v>113.92227000000001</v>
      </c>
      <c r="O25" s="194">
        <f>'КОМБО В-52 Стандарт'!O25</f>
        <v>120.16620000000002</v>
      </c>
      <c r="P25" s="195">
        <f>'КОМБО В-52 Стандарт'!P25</f>
        <v>126.17451000000001</v>
      </c>
    </row>
    <row r="26" spans="1:17">
      <c r="A26" s="1781"/>
      <c r="B26" s="505">
        <v>2.2000000000000002</v>
      </c>
      <c r="C26" s="247">
        <f>'КОМБО В-52 Стандарт'!C26</f>
        <v>47.948670000000014</v>
      </c>
      <c r="D26" s="194">
        <f>'КОМБО В-52 Стандарт'!D26</f>
        <v>54.310410000000012</v>
      </c>
      <c r="E26" s="194">
        <f>'КОМБО В-52 Стандарт'!E26</f>
        <v>60.554340000000003</v>
      </c>
      <c r="F26" s="194">
        <f>'КОМБО В-52 Стандарт'!F26</f>
        <v>66.680460000000011</v>
      </c>
      <c r="G26" s="194">
        <f>'КОМБО В-52 Стандарт'!G26</f>
        <v>73.042200000000008</v>
      </c>
      <c r="H26" s="194">
        <f>'КОМБО В-52 Стандарт'!H26</f>
        <v>79.28613</v>
      </c>
      <c r="I26" s="194">
        <f>'КОМБО В-52 Стандарт'!I26</f>
        <v>85.412250000000014</v>
      </c>
      <c r="J26" s="194">
        <f>'КОМБО В-52 Стандарт'!J26</f>
        <v>91.656179999999992</v>
      </c>
      <c r="K26" s="194">
        <f>'КОМБО В-52 Стандарт'!K26</f>
        <v>98.017920000000018</v>
      </c>
      <c r="L26" s="194">
        <f>'КОМБО В-52 Стандарт'!L26</f>
        <v>104.14404000000002</v>
      </c>
      <c r="M26" s="194">
        <f>'КОМБО В-52 Стандарт'!M26</f>
        <v>110.38797000000001</v>
      </c>
      <c r="N26" s="194">
        <f>'КОМБО В-52 Стандарт'!N26</f>
        <v>116.74971000000001</v>
      </c>
      <c r="O26" s="194">
        <f>'КОМБО В-52 Стандарт'!O26</f>
        <v>122.87583000000001</v>
      </c>
      <c r="P26" s="195">
        <f>'КОМБО В-52 Стандарт'!P26</f>
        <v>129.11976000000001</v>
      </c>
    </row>
    <row r="27" spans="1:17">
      <c r="A27" s="1781"/>
      <c r="B27" s="505">
        <v>2.2999999999999998</v>
      </c>
      <c r="C27" s="247">
        <f>'КОМБО В-52 Стандарт'!C27</f>
        <v>49.008960000000009</v>
      </c>
      <c r="D27" s="194">
        <f>'КОМБО В-52 Стандарт'!D27</f>
        <v>55.370699999999999</v>
      </c>
      <c r="E27" s="194">
        <f>'КОМБО В-52 Стандарт'!E27</f>
        <v>61.85025000000001</v>
      </c>
      <c r="F27" s="194">
        <f>'КОМБО В-52 Стандарт'!F27</f>
        <v>68.094180000000009</v>
      </c>
      <c r="G27" s="194">
        <f>'КОМБО В-52 Стандарт'!G27</f>
        <v>74.455920000000006</v>
      </c>
      <c r="H27" s="194">
        <f>'КОМБО В-52 Стандарт'!H27</f>
        <v>80.935470000000009</v>
      </c>
      <c r="I27" s="194">
        <f>'КОМБО В-52 Стандарт'!I27</f>
        <v>87.297209999999993</v>
      </c>
      <c r="J27" s="194">
        <f>'КОМБО В-52 Стандарт'!J27</f>
        <v>93.77676000000001</v>
      </c>
      <c r="K27" s="194">
        <f>'КОМБО В-52 Стандарт'!K27</f>
        <v>100.13850000000002</v>
      </c>
      <c r="L27" s="194">
        <f>'КОМБО В-52 Стандарт'!L27</f>
        <v>106.50024000000002</v>
      </c>
      <c r="M27" s="194">
        <f>'КОМБО В-52 Стандарт'!M27</f>
        <v>112.97979000000002</v>
      </c>
      <c r="N27" s="194">
        <f>'КОМБО В-52 Стандарт'!N27</f>
        <v>119.34153000000001</v>
      </c>
      <c r="O27" s="194">
        <f>'КОМБО В-52 Стандарт'!O27</f>
        <v>125.58546000000001</v>
      </c>
      <c r="P27" s="195">
        <f>'КОМБО В-52 Стандарт'!P27</f>
        <v>132.06501</v>
      </c>
    </row>
    <row r="28" spans="1:17">
      <c r="A28" s="1781"/>
      <c r="B28" s="505">
        <v>2.4</v>
      </c>
      <c r="C28" s="247">
        <f>'КОМБО В-52 Стандарт'!C28</f>
        <v>49.951440000000005</v>
      </c>
      <c r="D28" s="194">
        <f>'КОМБО В-52 Стандарт'!D28</f>
        <v>56.430990000000001</v>
      </c>
      <c r="E28" s="194">
        <f>'КОМБО В-52 Стандарт'!E28</f>
        <v>62.910540000000005</v>
      </c>
      <c r="F28" s="194">
        <f>'КОМБО В-52 Стандарт'!F28</f>
        <v>69.625710000000012</v>
      </c>
      <c r="G28" s="194">
        <f>'КОМБО В-52 Стандарт'!G28</f>
        <v>76.105260000000001</v>
      </c>
      <c r="H28" s="194">
        <f>'КОМБО В-52 Стандарт'!H28</f>
        <v>82.70262000000001</v>
      </c>
      <c r="I28" s="194">
        <f>'КОМБО В-52 Стандарт'!I28</f>
        <v>89.182170000000013</v>
      </c>
      <c r="J28" s="194">
        <f>'КОМБО В-52 Стандарт'!J28</f>
        <v>95.779530000000022</v>
      </c>
      <c r="K28" s="194">
        <f>'КОМБО В-52 Стандарт'!K28</f>
        <v>102.25908000000001</v>
      </c>
      <c r="L28" s="194">
        <f>'КОМБО В-52 Стандарт'!L28</f>
        <v>108.73863000000001</v>
      </c>
      <c r="M28" s="194">
        <f>'КОМБО В-52 Стандарт'!M28</f>
        <v>115.45380000000003</v>
      </c>
      <c r="N28" s="194">
        <f>'КОМБО В-52 Стандарт'!N28</f>
        <v>121.93335000000003</v>
      </c>
      <c r="O28" s="194">
        <f>'КОМБО В-52 Стандарт'!O28</f>
        <v>128.53071000000003</v>
      </c>
      <c r="P28" s="195">
        <f>'КОМБО В-52 Стандарт'!P28</f>
        <v>135.01026000000002</v>
      </c>
    </row>
    <row r="29" spans="1:17">
      <c r="A29" s="1781"/>
      <c r="B29" s="505">
        <v>2.5</v>
      </c>
      <c r="C29" s="247">
        <f>'КОМБО В-52 Стандарт'!C29</f>
        <v>50.893920000000016</v>
      </c>
      <c r="D29" s="194">
        <f>'КОМБО В-52 Стандарт'!D29</f>
        <v>57.609090000000009</v>
      </c>
      <c r="E29" s="194">
        <f>'КОМБО В-52 Стандарт'!E29</f>
        <v>64.206450000000018</v>
      </c>
      <c r="F29" s="194">
        <f>'КОМБО В-52 Стандарт'!F29</f>
        <v>71.03943000000001</v>
      </c>
      <c r="G29" s="194">
        <f>'КОМБО В-52 Стандарт'!G29</f>
        <v>77.636790000000005</v>
      </c>
      <c r="H29" s="194">
        <f>'КОМБО В-52 Стандарт'!H29</f>
        <v>84.469770000000011</v>
      </c>
      <c r="I29" s="194">
        <f>'КОМБО В-52 Стандарт'!I29</f>
        <v>91.06713000000002</v>
      </c>
      <c r="J29" s="194">
        <f>'КОМБО В-52 Стандарт'!J29</f>
        <v>97.782300000000006</v>
      </c>
      <c r="K29" s="194">
        <f>'КОМБО В-52 Стандарт'!K29</f>
        <v>104.49747000000002</v>
      </c>
      <c r="L29" s="194">
        <f>'КОМБО В-52 Стандарт'!L29</f>
        <v>111.21264000000002</v>
      </c>
      <c r="M29" s="194">
        <f>'КОМБО В-52 Стандарт'!M29</f>
        <v>117.81000000000002</v>
      </c>
      <c r="N29" s="194">
        <f>'КОМБО В-52 Стандарт'!N29</f>
        <v>124.52517000000003</v>
      </c>
      <c r="O29" s="194">
        <f>'КОМБО В-52 Стандарт'!O29</f>
        <v>131.24034000000003</v>
      </c>
      <c r="P29" s="195">
        <f>'КОМБО В-52 Стандарт'!P29</f>
        <v>137.83770000000001</v>
      </c>
    </row>
    <row r="30" spans="1:17">
      <c r="A30" s="1781"/>
      <c r="B30" s="505">
        <v>2.6</v>
      </c>
      <c r="C30" s="247">
        <f>'КОМБО В-52 Стандарт'!C30</f>
        <v>51.836400000000005</v>
      </c>
      <c r="D30" s="194">
        <f>'КОМБО В-52 Стандарт'!D30</f>
        <v>58.78719000000001</v>
      </c>
      <c r="E30" s="194">
        <f>'КОМБО В-52 Стандарт'!E30</f>
        <v>65.50236000000001</v>
      </c>
      <c r="F30" s="194">
        <f>'КОМБО В-52 Стандарт'!F30</f>
        <v>72.453150000000008</v>
      </c>
      <c r="G30" s="194">
        <f>'КОМБО В-52 Стандарт'!G30</f>
        <v>79.28613</v>
      </c>
      <c r="H30" s="194">
        <f>'КОМБО В-52 Стандарт'!H30</f>
        <v>86.119110000000006</v>
      </c>
      <c r="I30" s="194">
        <f>'КОМБО В-52 Стандарт'!I30</f>
        <v>92.952090000000013</v>
      </c>
      <c r="J30" s="194">
        <f>'КОМБО В-52 Стандарт'!J30</f>
        <v>99.90288000000001</v>
      </c>
      <c r="K30" s="194">
        <f>'КОМБО В-52 Стандарт'!K30</f>
        <v>106.61805000000001</v>
      </c>
      <c r="L30" s="194">
        <f>'КОМБО В-52 Стандарт'!L30</f>
        <v>113.56884000000002</v>
      </c>
      <c r="M30" s="194">
        <f>'КОМБО В-52 Стандарт'!M30</f>
        <v>120.28401000000002</v>
      </c>
      <c r="N30" s="194">
        <f>'КОМБО В-52 Стандарт'!N30</f>
        <v>127.23480000000002</v>
      </c>
      <c r="O30" s="194">
        <f>'КОМБО В-52 Стандарт'!O30</f>
        <v>133.94997000000004</v>
      </c>
      <c r="P30" s="195">
        <f>'КОМБО В-52 Стандарт'!P30</f>
        <v>140.90076000000002</v>
      </c>
    </row>
    <row r="31" spans="1:17">
      <c r="A31" s="1781"/>
      <c r="B31" s="505">
        <v>2.7</v>
      </c>
      <c r="C31" s="247">
        <f>'КОМБО В-52 Стандарт'!C31</f>
        <v>52.896690000000007</v>
      </c>
      <c r="D31" s="194">
        <f>'КОМБО В-52 Стандарт'!D31</f>
        <v>59.847480000000004</v>
      </c>
      <c r="E31" s="194">
        <f>'КОМБО В-52 Стандарт'!E31</f>
        <v>66.798270000000002</v>
      </c>
      <c r="F31" s="194">
        <f>'КОМБО В-52 Стандарт'!F31</f>
        <v>73.749060000000014</v>
      </c>
      <c r="G31" s="194">
        <f>'КОМБО В-52 Стандарт'!G31</f>
        <v>80.817659999999989</v>
      </c>
      <c r="H31" s="194">
        <f>'КОМБО В-52 Стандарт'!H31</f>
        <v>87.886260000000007</v>
      </c>
      <c r="I31" s="194">
        <f>'КОМБО В-52 Стандарт'!I31</f>
        <v>94.837050000000019</v>
      </c>
      <c r="J31" s="194">
        <f>'КОМБО В-52 Стандарт'!J31</f>
        <v>101.90565000000002</v>
      </c>
      <c r="K31" s="194">
        <f>'КОМБО В-52 Стандарт'!K31</f>
        <v>108.73863000000001</v>
      </c>
      <c r="L31" s="194">
        <f>'КОМБО В-52 Стандарт'!L31</f>
        <v>115.80723000000002</v>
      </c>
      <c r="M31" s="194">
        <f>'КОМБО В-52 Стандарт'!M31</f>
        <v>122.75802000000002</v>
      </c>
      <c r="N31" s="194">
        <f>'КОМБО В-52 Стандарт'!N31</f>
        <v>129.82662000000005</v>
      </c>
      <c r="O31" s="194">
        <f>'КОМБО В-52 Стандарт'!O31</f>
        <v>136.89522000000002</v>
      </c>
      <c r="P31" s="195">
        <f>'КОМБО В-52 Стандарт'!P31</f>
        <v>143.84601000000004</v>
      </c>
    </row>
    <row r="32" spans="1:17">
      <c r="A32" s="1781"/>
      <c r="B32" s="505">
        <v>2.8</v>
      </c>
      <c r="C32" s="247">
        <f>'КОМБО В-52 Стандарт'!C32</f>
        <v>53.721360000000004</v>
      </c>
      <c r="D32" s="194">
        <f>'КОМБО В-52 Стандарт'!D32</f>
        <v>60.907770000000014</v>
      </c>
      <c r="E32" s="194">
        <f>'КОМБО В-52 Стандарт'!E32</f>
        <v>68.094180000000009</v>
      </c>
      <c r="F32" s="194">
        <f>'КОМБО В-52 Стандарт'!F32</f>
        <v>75.162779999999998</v>
      </c>
      <c r="G32" s="194">
        <f>'КОМБО В-52 Стандарт'!G32</f>
        <v>82.467000000000027</v>
      </c>
      <c r="H32" s="194">
        <f>'КОМБО В-52 Стандарт'!H32</f>
        <v>89.417790000000025</v>
      </c>
      <c r="I32" s="194">
        <f>'КОМБО В-52 Стандарт'!I32</f>
        <v>96.722009999999997</v>
      </c>
      <c r="J32" s="194">
        <f>'КОМБО В-52 Стандарт'!J32</f>
        <v>103.90842000000001</v>
      </c>
      <c r="K32" s="194">
        <f>'КОМБО В-52 Стандарт'!K32</f>
        <v>110.97702000000002</v>
      </c>
      <c r="L32" s="194">
        <f>'КОМБО В-52 Стандарт'!L32</f>
        <v>118.16343000000001</v>
      </c>
      <c r="M32" s="194">
        <f>'КОМБО В-52 Стандарт'!M32</f>
        <v>125.34984000000001</v>
      </c>
      <c r="N32" s="194">
        <f>'КОМБО В-52 Стандарт'!N32</f>
        <v>132.41844000000003</v>
      </c>
      <c r="O32" s="194">
        <f>'КОМБО В-52 Стандарт'!O32</f>
        <v>139.60485000000003</v>
      </c>
      <c r="P32" s="195">
        <f>'КОМБО В-52 Стандарт'!P32</f>
        <v>146.79126000000002</v>
      </c>
    </row>
    <row r="33" spans="1:16">
      <c r="A33" s="1781"/>
      <c r="B33" s="505">
        <v>2.9</v>
      </c>
      <c r="C33" s="247">
        <f>'КОМБО В-52 Стандарт'!C33</f>
        <v>54.781650000000006</v>
      </c>
      <c r="D33" s="194">
        <f>'КОМБО В-52 Стандарт'!D33</f>
        <v>62.085870000000007</v>
      </c>
      <c r="E33" s="194">
        <f>'КОМБО В-52 Стандарт'!E33</f>
        <v>69.272280000000009</v>
      </c>
      <c r="F33" s="194">
        <f>'КОМБО В-52 Стандарт'!F33</f>
        <v>76.694310000000002</v>
      </c>
      <c r="G33" s="194">
        <f>'КОМБО В-52 Стандарт'!G33</f>
        <v>83.998530000000017</v>
      </c>
      <c r="H33" s="194">
        <f>'КОМБО В-52 Стандарт'!H33</f>
        <v>91.184940000000012</v>
      </c>
      <c r="I33" s="194">
        <f>'КОМБО В-52 Стандарт'!I33</f>
        <v>98.606970000000032</v>
      </c>
      <c r="J33" s="194">
        <f>'КОМБО В-52 Стандарт'!J33</f>
        <v>105.91119000000002</v>
      </c>
      <c r="K33" s="194">
        <f>'КОМБО В-52 Стандарт'!K33</f>
        <v>113.09760000000001</v>
      </c>
      <c r="L33" s="194">
        <f>'КОМБО В-52 Стандарт'!L33</f>
        <v>120.40182000000001</v>
      </c>
      <c r="M33" s="194">
        <f>'КОМБО В-52 Стандарт'!M33</f>
        <v>127.82385000000002</v>
      </c>
      <c r="N33" s="194">
        <f>'КОМБО В-52 Стандарт'!N33</f>
        <v>135.12807000000001</v>
      </c>
      <c r="O33" s="194">
        <f>'КОМБО В-52 Стандарт'!O33</f>
        <v>142.31448</v>
      </c>
      <c r="P33" s="195">
        <f>'КОМБО В-52 Стандарт'!P33</f>
        <v>149.73651000000001</v>
      </c>
    </row>
    <row r="34" spans="1:16">
      <c r="A34" s="1781"/>
      <c r="B34" s="505">
        <v>3</v>
      </c>
      <c r="C34" s="247">
        <f>'КОМБО В-52 Стандарт'!C34</f>
        <v>55.724130000000002</v>
      </c>
      <c r="D34" s="194">
        <f>'КОМБО В-52 Стандарт'!D34</f>
        <v>63.146160000000016</v>
      </c>
      <c r="E34" s="194">
        <f>'КОМБО В-52 Стандарт'!E34</f>
        <v>70.568190000000016</v>
      </c>
      <c r="F34" s="194">
        <f>'КОМБО В-52 Стандарт'!F34</f>
        <v>78.108030000000028</v>
      </c>
      <c r="G34" s="194">
        <f>'КОМБО В-52 Стандарт'!G34</f>
        <v>85.530060000000006</v>
      </c>
      <c r="H34" s="194">
        <f>'КОМБО В-52 Стандарт'!H34</f>
        <v>92.952090000000013</v>
      </c>
      <c r="I34" s="194">
        <f>'КОМБО В-52 Стандарт'!I34</f>
        <v>100.37412000000002</v>
      </c>
      <c r="J34" s="194">
        <f>'КОМБО В-52 Стандарт'!J34</f>
        <v>107.91396</v>
      </c>
      <c r="K34" s="194">
        <f>'КОМБО В-52 Стандарт'!K34</f>
        <v>115.45380000000003</v>
      </c>
      <c r="L34" s="194">
        <f>'КОМБО В-52 Стандарт'!L34</f>
        <v>122.75802000000002</v>
      </c>
      <c r="M34" s="194">
        <f>'КОМБО В-52 Стандарт'!M34</f>
        <v>130.29786000000001</v>
      </c>
      <c r="N34" s="194">
        <f>'КОМБО В-52 Стандарт'!N34</f>
        <v>137.71989000000002</v>
      </c>
      <c r="O34" s="194">
        <f>'КОМБО В-52 Стандарт'!O34</f>
        <v>145.25973000000002</v>
      </c>
      <c r="P34" s="195">
        <f>'КОМБО В-52 Стандарт'!P34</f>
        <v>152.56395000000001</v>
      </c>
    </row>
    <row r="35" spans="1:16">
      <c r="A35" s="1781"/>
      <c r="B35" s="505">
        <v>3.1</v>
      </c>
      <c r="C35" s="247">
        <f>'КОМБО В-52 Стандарт'!C35</f>
        <v>56.666610000000006</v>
      </c>
      <c r="D35" s="194">
        <f>'КОМБО В-52 Стандарт'!D35</f>
        <v>64.206450000000018</v>
      </c>
      <c r="E35" s="194">
        <f>'КОМБО В-52 Стандарт'!E35</f>
        <v>71.864100000000008</v>
      </c>
      <c r="F35" s="194">
        <f>'КОМБО В-52 Стандарт'!F35</f>
        <v>79.521750000000011</v>
      </c>
      <c r="G35" s="194">
        <f>'КОМБО В-52 Стандарт'!G35</f>
        <v>87.179400000000015</v>
      </c>
      <c r="H35" s="194">
        <f>'КОМБО В-52 Стандарт'!H35</f>
        <v>94.719240000000028</v>
      </c>
      <c r="I35" s="194">
        <f>'КОМБО В-52 Стандарт'!I35</f>
        <v>102.25908000000001</v>
      </c>
      <c r="J35" s="194">
        <f>'КОМБО В-52 Стандарт'!J35</f>
        <v>109.91673000000002</v>
      </c>
      <c r="K35" s="194">
        <f>'КОМБО В-52 Стандарт'!K35</f>
        <v>117.57438000000002</v>
      </c>
      <c r="L35" s="194">
        <f>'КОМБО В-52 Стандарт'!L35</f>
        <v>125.11422000000002</v>
      </c>
      <c r="M35" s="194">
        <f>'КОМБО В-52 Стандарт'!M35</f>
        <v>132.65406000000002</v>
      </c>
      <c r="N35" s="194">
        <f>'КОМБО В-52 Стандарт'!N35</f>
        <v>140.31171000000001</v>
      </c>
      <c r="O35" s="194">
        <f>'КОМБО В-52 Стандарт'!O35</f>
        <v>147.96935999999999</v>
      </c>
      <c r="P35" s="195">
        <f>'КОМБО В-52 Стандарт'!P35</f>
        <v>155.62701000000001</v>
      </c>
    </row>
    <row r="36" spans="1:16" ht="13.8" thickBot="1">
      <c r="A36" s="1782"/>
      <c r="B36" s="506">
        <v>3.2</v>
      </c>
      <c r="C36" s="248">
        <f>'КОМБО В-52 Стандарт'!C36</f>
        <v>57.609090000000009</v>
      </c>
      <c r="D36" s="196">
        <f>'КОМБО В-52 Стандарт'!D36</f>
        <v>65.384550000000004</v>
      </c>
      <c r="E36" s="196">
        <f>'КОМБО В-52 Стандарт'!E36</f>
        <v>73.160010000000014</v>
      </c>
      <c r="F36" s="196">
        <f>'КОМБО В-52 Стандарт'!F36</f>
        <v>80.935470000000009</v>
      </c>
      <c r="G36" s="196">
        <f>'КОМБО В-52 Стандарт'!G36</f>
        <v>88.593120000000013</v>
      </c>
      <c r="H36" s="196">
        <f>'КОМБО В-52 Стандарт'!H36</f>
        <v>96.368580000000009</v>
      </c>
      <c r="I36" s="196">
        <f>'КОМБО В-52 Стандарт'!I36</f>
        <v>104.14404000000002</v>
      </c>
      <c r="J36" s="196">
        <f>'КОМБО В-52 Стандарт'!J36</f>
        <v>111.91950000000001</v>
      </c>
      <c r="K36" s="196">
        <f>'КОМБО В-52 Стандарт'!K36</f>
        <v>119.69496000000001</v>
      </c>
      <c r="L36" s="196">
        <f>'КОМБО В-52 Стандарт'!L36</f>
        <v>127.47042000000002</v>
      </c>
      <c r="M36" s="196">
        <f>'КОМБО В-52 Стандарт'!M36</f>
        <v>135.12807000000001</v>
      </c>
      <c r="N36" s="196">
        <f>'КОМБО В-52 Стандарт'!N36</f>
        <v>142.90353000000002</v>
      </c>
      <c r="O36" s="196">
        <f>'КОМБО В-52 Стандарт'!O36</f>
        <v>150.67899</v>
      </c>
      <c r="P36" s="197">
        <f>'КОМБО В-52 Стандарт'!P36</f>
        <v>158.45445000000001</v>
      </c>
    </row>
    <row r="37" spans="1:16" ht="13.8" thickBot="1"/>
    <row r="38" spans="1:16" ht="13.8" thickBot="1">
      <c r="A38" s="1413" t="s">
        <v>315</v>
      </c>
      <c r="B38" s="1415"/>
      <c r="C38" s="1898" t="s">
        <v>207</v>
      </c>
      <c r="D38" s="1899"/>
      <c r="E38" s="1899"/>
      <c r="F38" s="1899"/>
      <c r="G38" s="1899"/>
      <c r="H38" s="1899"/>
      <c r="I38" s="1899"/>
      <c r="J38" s="1899"/>
      <c r="K38" s="1899"/>
      <c r="L38" s="1899"/>
      <c r="M38" s="1899"/>
      <c r="N38" s="1899"/>
      <c r="O38" s="1899"/>
      <c r="P38" s="1900"/>
    </row>
    <row r="39" spans="1:16" ht="13.8" thickBot="1">
      <c r="A39" s="1803"/>
      <c r="B39" s="1802"/>
      <c r="C39" s="328">
        <v>0.4</v>
      </c>
      <c r="D39" s="329">
        <v>0.5</v>
      </c>
      <c r="E39" s="329">
        <v>0.6</v>
      </c>
      <c r="F39" s="329">
        <v>0.7</v>
      </c>
      <c r="G39" s="329">
        <v>0.8</v>
      </c>
      <c r="H39" s="329">
        <v>0.9</v>
      </c>
      <c r="I39" s="329">
        <v>1</v>
      </c>
      <c r="J39" s="329">
        <v>1.1000000000000001</v>
      </c>
      <c r="K39" s="329">
        <v>1.2</v>
      </c>
      <c r="L39" s="329">
        <v>1.3</v>
      </c>
      <c r="M39" s="329">
        <v>1.4</v>
      </c>
      <c r="N39" s="329">
        <v>1.5</v>
      </c>
      <c r="O39" s="329">
        <v>1.6</v>
      </c>
      <c r="P39" s="330">
        <v>1.7</v>
      </c>
    </row>
    <row r="40" spans="1:16">
      <c r="A40" s="1780" t="s">
        <v>3</v>
      </c>
      <c r="B40" s="331">
        <v>0.5</v>
      </c>
      <c r="C40" s="246">
        <f>'КОМБО В-52 Стандарт'!C40+'КОМБО В-52 Стандарт'!C40*5/100</f>
        <v>39.654846000000006</v>
      </c>
      <c r="D40" s="192">
        <f>'КОМБО В-52 Стандарт'!D40+'КОМБО В-52 Стандарт'!D40*5/100</f>
        <v>43.931349000000004</v>
      </c>
      <c r="E40" s="192">
        <f>'КОМБО В-52 Стандарт'!E40+'КОМБО В-52 Стандарт'!E40*5/100</f>
        <v>48.20785200000001</v>
      </c>
      <c r="F40" s="192">
        <f>'КОМБО В-52 Стандарт'!F40+'КОМБО В-52 Стандарт'!F40*5/100</f>
        <v>52.484355000000015</v>
      </c>
      <c r="G40" s="192">
        <f>'КОМБО В-52 Стандарт'!G40+'КОМБО В-52 Стандарт'!G40*5/100</f>
        <v>56.760857999999999</v>
      </c>
      <c r="H40" s="192">
        <f>'КОМБО В-52 Стандарт'!H40+'КОМБО В-52 Стандарт'!H40*5/100</f>
        <v>61.037361000000004</v>
      </c>
      <c r="I40" s="192">
        <f>'КОМБО В-52 Стандарт'!I40+'КОМБО В-52 Стандарт'!I40*5/100</f>
        <v>65.313864000000009</v>
      </c>
      <c r="J40" s="192">
        <f>'КОМБО В-52 Стандарт'!J40+'КОМБО В-52 Стандарт'!J40*5/100</f>
        <v>69.46077600000001</v>
      </c>
      <c r="K40" s="192">
        <f>'КОМБО В-52 Стандарт'!K40+'КОМБО В-52 Стандарт'!K40*5/100</f>
        <v>73.737279000000001</v>
      </c>
      <c r="L40" s="192">
        <f>'КОМБО В-52 Стандарт'!L40+'КОМБО В-52 Стандарт'!L40*5/100</f>
        <v>78.01378200000002</v>
      </c>
      <c r="M40" s="192">
        <f>'КОМБО В-52 Стандарт'!M40+'КОМБО В-52 Стандарт'!M40*5/100</f>
        <v>82.290285000000011</v>
      </c>
      <c r="N40" s="192">
        <f>'КОМБО В-52 Стандарт'!N40+'КОМБО В-52 Стандарт'!N40*5/100</f>
        <v>86.566788000000017</v>
      </c>
      <c r="O40" s="192">
        <f>'КОМБО В-52 Стандарт'!O40+'КОМБО В-52 Стандарт'!O40*5/100</f>
        <v>90.843291000000022</v>
      </c>
      <c r="P40" s="193">
        <f>'КОМБО В-52 Стандарт'!P40+'КОМБО В-52 Стандарт'!P40*5/100</f>
        <v>95.119794000000027</v>
      </c>
    </row>
    <row r="41" spans="1:16">
      <c r="A41" s="1781"/>
      <c r="B41" s="333">
        <v>0.6</v>
      </c>
      <c r="C41" s="247">
        <f>'КОМБО В-52 Стандарт'!C41+'КОМБО В-52 Стандарт'!C41*5/100</f>
        <v>40.691574000000003</v>
      </c>
      <c r="D41" s="194">
        <f>'КОМБО В-52 Стандарт'!D41+'КОМБО В-52 Стандарт'!D41*5/100</f>
        <v>45.227259000000004</v>
      </c>
      <c r="E41" s="194">
        <f>'КОМБО В-52 Стандарт'!E41+'КОМБО В-52 Стандарт'!E41*5/100</f>
        <v>49.633353</v>
      </c>
      <c r="F41" s="194">
        <f>'КОМБО В-52 Стандарт'!F41+'КОМБО В-52 Стандарт'!F41*5/100</f>
        <v>54.039447000000017</v>
      </c>
      <c r="G41" s="194">
        <f>'КОМБО В-52 Стандарт'!G41+'КОМБО В-52 Стандарт'!G41*5/100</f>
        <v>58.445541000000013</v>
      </c>
      <c r="H41" s="194">
        <f>'КОМБО В-52 Стандарт'!H41+'КОМБО В-52 Стандарт'!H41*5/100</f>
        <v>62.981226000000021</v>
      </c>
      <c r="I41" s="194">
        <f>'КОМБО В-52 Стандарт'!I41+'КОМБО В-52 Стандарт'!I41*5/100</f>
        <v>67.516911000000022</v>
      </c>
      <c r="J41" s="194">
        <f>'КОМБО В-52 Стандарт'!J41+'КОМБО В-52 Стандарт'!J41*5/100</f>
        <v>71.923005000000003</v>
      </c>
      <c r="K41" s="194">
        <f>'КОМБО В-52 Стандарт'!K41+'КОМБО В-52 Стандарт'!K41*5/100</f>
        <v>76.329099000000014</v>
      </c>
      <c r="L41" s="194">
        <f>'КОМБО В-52 Стандарт'!L41+'КОМБО В-52 Стандарт'!L41*5/100</f>
        <v>80.864784000000014</v>
      </c>
      <c r="M41" s="194">
        <f>'КОМБО В-52 Стандарт'!M41+'КОМБО В-52 Стандарт'!M41*5/100</f>
        <v>85.27087800000001</v>
      </c>
      <c r="N41" s="194">
        <f>'КОМБО В-52 Стандарт'!N41+'КОМБО В-52 Стандарт'!N41*5/100</f>
        <v>89.676972000000006</v>
      </c>
      <c r="O41" s="194">
        <f>'КОМБО В-52 Стандарт'!O41+'КОМБО В-52 Стандарт'!O41*5/100</f>
        <v>94.083066000000017</v>
      </c>
      <c r="P41" s="195">
        <f>'КОМБО В-52 Стандарт'!P41+'КОМБО В-52 Стандарт'!P41*5/100</f>
        <v>98.618751000000003</v>
      </c>
    </row>
    <row r="42" spans="1:16">
      <c r="A42" s="1781"/>
      <c r="B42" s="333">
        <v>0.7</v>
      </c>
      <c r="C42" s="247">
        <f>'КОМБО В-52 Стандарт'!C42+'КОМБО В-52 Стандарт'!C42*5/100</f>
        <v>41.857893000000004</v>
      </c>
      <c r="D42" s="194">
        <f>'КОМБО В-52 Стандарт'!D42+'КОМБО В-52 Стандарт'!D42*5/100</f>
        <v>46.393578000000005</v>
      </c>
      <c r="E42" s="194">
        <f>'КОМБО В-52 Стандарт'!E42+'КОМБО В-52 Стандарт'!E42*5/100</f>
        <v>51.188445000000009</v>
      </c>
      <c r="F42" s="194">
        <f>'КОМБО В-52 Стандарт'!F42+'КОМБО В-52 Стандарт'!F42*5/100</f>
        <v>55.724130000000002</v>
      </c>
      <c r="G42" s="194">
        <f>'КОМБО В-52 Стандарт'!G42+'КОМБО В-52 Стандарт'!G42*5/100</f>
        <v>60.389406000000015</v>
      </c>
      <c r="H42" s="194">
        <f>'КОМБО В-52 Стандарт'!H42+'КОМБО В-52 Стандарт'!H42*5/100</f>
        <v>64.925091000000023</v>
      </c>
      <c r="I42" s="194">
        <f>'КОМБО В-52 Стандарт'!I42+'КОМБО В-52 Стандарт'!I42*5/100</f>
        <v>69.719958000000005</v>
      </c>
      <c r="J42" s="194">
        <f>'КОМБО В-52 Стандарт'!J42+'КОМБО В-52 Стандарт'!J42*5/100</f>
        <v>74.385234000000011</v>
      </c>
      <c r="K42" s="194">
        <f>'КОМБО В-52 Стандарт'!K42+'КОМБО В-52 Стандарт'!K42*5/100</f>
        <v>78.920919000000012</v>
      </c>
      <c r="L42" s="194">
        <f>'КОМБО В-52 Стандарт'!L42+'КОМБО В-52 Стандарт'!L42*5/100</f>
        <v>83.586195000000018</v>
      </c>
      <c r="M42" s="194">
        <f>'КОМБО В-52 Стандарт'!M42+'КОМБО В-52 Стандарт'!M42*5/100</f>
        <v>88.251470999999995</v>
      </c>
      <c r="N42" s="194">
        <f>'КОМБО В-52 Стандарт'!N42+'КОМБО В-52 Стандарт'!N42*5/100</f>
        <v>92.916747000000001</v>
      </c>
      <c r="O42" s="194">
        <f>'КОМБО В-52 Стандарт'!O42+'КОМБО В-52 Стандарт'!O42*5/100</f>
        <v>97.452432000000016</v>
      </c>
      <c r="P42" s="195">
        <f>'КОМБО В-52 Стандарт'!P42+'КОМБО В-52 Стандарт'!P42*5/100</f>
        <v>102.11770800000002</v>
      </c>
    </row>
    <row r="43" spans="1:16">
      <c r="A43" s="1781"/>
      <c r="B43" s="333">
        <v>0.8</v>
      </c>
      <c r="C43" s="247">
        <f>'КОМБО В-52 Стандарт'!C43+'КОМБО В-52 Стандарт'!C43*5/100</f>
        <v>42.894621000000008</v>
      </c>
      <c r="D43" s="194">
        <f>'КОМБО В-52 Стандарт'!D43+'КОМБО В-52 Стандарт'!D43*5/100</f>
        <v>47.819079000000002</v>
      </c>
      <c r="E43" s="194">
        <f>'КОМБО В-52 Стандарт'!E43+'КОМБО В-52 Стандарт'!E43*5/100</f>
        <v>52.613946000000006</v>
      </c>
      <c r="F43" s="194">
        <f>'КОМБО В-52 Стандарт'!F43+'КОМБО В-52 Стандарт'!F43*5/100</f>
        <v>57.408813000000009</v>
      </c>
      <c r="G43" s="194">
        <f>'КОМБО В-52 Стандарт'!G43+'КОМБО В-52 Стандарт'!G43*5/100</f>
        <v>62.333271000000018</v>
      </c>
      <c r="H43" s="194">
        <f>'КОМБО В-52 Стандарт'!H43+'КОМБО В-52 Стандарт'!H43*5/100</f>
        <v>66.998547000000002</v>
      </c>
      <c r="I43" s="194">
        <f>'КОМБО В-52 Стандарт'!I43+'КОМБО В-52 Стандарт'!I43*5/100</f>
        <v>71.923005000000003</v>
      </c>
      <c r="J43" s="194">
        <f>'КОМБО В-52 Стандарт'!J43+'КОМБО В-52 Стандарт'!J43*5/100</f>
        <v>76.717872000000014</v>
      </c>
      <c r="K43" s="194">
        <f>'КОМБО В-52 Стандарт'!K43+'КОМБО В-52 Стандарт'!K43*5/100</f>
        <v>81.642330000000015</v>
      </c>
      <c r="L43" s="194">
        <f>'КОМБО В-52 Стандарт'!L43+'КОМБО В-52 Стандарт'!L43*5/100</f>
        <v>86.437197000000026</v>
      </c>
      <c r="M43" s="194">
        <f>'КОМБО В-52 Стандарт'!M43+'КОМБО В-52 Стандарт'!M43*5/100</f>
        <v>91.102473000000018</v>
      </c>
      <c r="N43" s="194">
        <f>'КОМБО В-52 Стандарт'!N43+'КОМБО В-52 Стандарт'!N43*5/100</f>
        <v>96.026931000000005</v>
      </c>
      <c r="O43" s="194">
        <f>'КОМБО В-52 Стандарт'!O43+'КОМБО В-52 Стандарт'!O43*5/100</f>
        <v>100.82179800000002</v>
      </c>
      <c r="P43" s="195">
        <f>'КОМБО В-52 Стандарт'!P43+'КОМБО В-52 Стандарт'!P43*5/100</f>
        <v>105.74625600000003</v>
      </c>
    </row>
    <row r="44" spans="1:16">
      <c r="A44" s="1781"/>
      <c r="B44" s="333">
        <v>0.9</v>
      </c>
      <c r="C44" s="247">
        <f>'КОМБО В-52 Стандарт'!C44+'КОМБО В-52 Стандарт'!C44*5/100</f>
        <v>44.060940000000009</v>
      </c>
      <c r="D44" s="194">
        <f>'КОМБО В-52 Стандарт'!D44+'КОМБО В-52 Стандарт'!D44*5/100</f>
        <v>49.114989000000001</v>
      </c>
      <c r="E44" s="194">
        <f>'КОМБО В-52 Стандарт'!E44+'КОМБО В-52 Стандарт'!E44*5/100</f>
        <v>54.039447000000017</v>
      </c>
      <c r="F44" s="194">
        <f>'КОМБО В-52 Стандарт'!F44+'КОМБО В-52 Стандарт'!F44*5/100</f>
        <v>59.093496000000002</v>
      </c>
      <c r="G44" s="194">
        <f>'КОМБО В-52 Стандарт'!G44+'КОМБО В-52 Стандарт'!G44*5/100</f>
        <v>64.147545000000008</v>
      </c>
      <c r="H44" s="194">
        <f>'КОМБО В-52 Стандарт'!H44+'КОМБО В-52 Стандарт'!H44*5/100</f>
        <v>69.072003000000009</v>
      </c>
      <c r="I44" s="194">
        <f>'КОМБО В-52 Стандарт'!I44+'КОМБО В-52 Стандарт'!I44*5/100</f>
        <v>74.12605200000003</v>
      </c>
      <c r="J44" s="194">
        <f>'КОМБО В-52 Стандарт'!J44+'КОМБО В-52 Стандарт'!J44*5/100</f>
        <v>79.050510000000003</v>
      </c>
      <c r="K44" s="194">
        <f>'КОМБО В-52 Стандарт'!K44+'КОМБО В-52 Стандарт'!K44*5/100</f>
        <v>84.104559000000037</v>
      </c>
      <c r="L44" s="194">
        <f>'КОМБО В-52 Стандарт'!L44+'КОМБО В-52 Стандарт'!L44*5/100</f>
        <v>89.28819900000002</v>
      </c>
      <c r="M44" s="194">
        <f>'КОМБО В-52 Стандарт'!M44+'КОМБО В-52 Стандарт'!M44*5/100</f>
        <v>94.083066000000017</v>
      </c>
      <c r="N44" s="194">
        <f>'КОМБО В-52 Стандарт'!N44+'КОМБО В-52 Стандарт'!N44*5/100</f>
        <v>99.266705999999999</v>
      </c>
      <c r="O44" s="194">
        <f>'КОМБО В-52 Стандарт'!O44+'КОМБО В-52 Стандарт'!O44*5/100</f>
        <v>104.19116400000003</v>
      </c>
      <c r="P44" s="195">
        <f>'КОМБО В-52 Стандарт'!P44+'КОМБО В-52 Стандарт'!P44*5/100</f>
        <v>109.24521300000001</v>
      </c>
    </row>
    <row r="45" spans="1:16">
      <c r="A45" s="1781"/>
      <c r="B45" s="333">
        <v>1</v>
      </c>
      <c r="C45" s="247">
        <f>'КОМБО В-52 Стандарт'!C45+'КОМБО В-52 Стандарт'!C45*5/100</f>
        <v>45.227259000000004</v>
      </c>
      <c r="D45" s="194">
        <f>'КОМБО В-52 Стандарт'!D45+'КОМБО В-52 Стандарт'!D45*5/100</f>
        <v>50.410899000000008</v>
      </c>
      <c r="E45" s="194">
        <f>'КОМБО В-52 Стандарт'!E45+'КОМБО В-52 Стандарт'!E45*5/100</f>
        <v>55.594539000000012</v>
      </c>
      <c r="F45" s="194">
        <f>'КОМБО В-52 Стандарт'!F45+'КОМБО В-52 Стандарт'!F45*5/100</f>
        <v>60.648588000000004</v>
      </c>
      <c r="G45" s="194">
        <f>'КОМБО В-52 Стандарт'!G45+'КОМБО В-52 Стандарт'!G45*5/100</f>
        <v>65.96181900000002</v>
      </c>
      <c r="H45" s="194">
        <f>'КОМБО В-52 Стандарт'!H45+'КОМБО В-52 Стандарт'!H45*5/100</f>
        <v>71.145459000000002</v>
      </c>
      <c r="I45" s="194">
        <f>'КОМБО В-52 Стандарт'!I45+'КОМБО В-52 Стандарт'!I45*5/100</f>
        <v>76.329099000000014</v>
      </c>
      <c r="J45" s="194">
        <f>'КОМБО В-52 Стандарт'!J45+'КОМБО В-52 Стандарт'!J45*5/100</f>
        <v>81.642330000000015</v>
      </c>
      <c r="K45" s="194">
        <f>'КОМБО В-52 Стандарт'!K45+'КОМБО В-52 Стандарт'!K45*5/100</f>
        <v>86.696379000000036</v>
      </c>
      <c r="L45" s="194">
        <f>'КОМБО В-52 Стандарт'!L45+'КОМБО В-52 Стандарт'!L45*5/100</f>
        <v>91.880019000000033</v>
      </c>
      <c r="M45" s="194">
        <f>'КОМБО В-52 Стандарт'!M45+'КОМБО В-52 Стандарт'!M45*5/100</f>
        <v>97.193250000000006</v>
      </c>
      <c r="N45" s="194">
        <f>'КОМБО В-52 Стандарт'!N45+'КОМБО В-52 Стандарт'!N45*5/100</f>
        <v>102.37689000000002</v>
      </c>
      <c r="O45" s="194">
        <f>'КОМБО В-52 Стандарт'!O45+'КОМБО В-52 Стандарт'!O45*5/100</f>
        <v>107.43093900000002</v>
      </c>
      <c r="P45" s="195">
        <f>'КОМБО В-52 Стандарт'!P45+'КОМБО В-52 Стандарт'!P45*5/100</f>
        <v>112.74417000000001</v>
      </c>
    </row>
    <row r="46" spans="1:16">
      <c r="A46" s="1781"/>
      <c r="B46" s="333">
        <v>1.1000000000000001</v>
      </c>
      <c r="C46" s="247">
        <f>'КОМБО В-52 Стандарт'!C46+'КОМБО В-52 Стандарт'!C46*5/100</f>
        <v>46.263987000000007</v>
      </c>
      <c r="D46" s="194">
        <f>'КОМБО В-52 Стандарт'!D46+'КОМБО В-52 Стандарт'!D46*5/100</f>
        <v>51.706809000000007</v>
      </c>
      <c r="E46" s="194">
        <f>'КОМБО В-52 Стандарт'!E46+'КОМБО В-52 Стандарт'!E46*5/100</f>
        <v>57.020040000000016</v>
      </c>
      <c r="F46" s="194">
        <f>'КОМБО В-52 Стандарт'!F46+'КОМБО В-52 Стандарт'!F46*5/100</f>
        <v>62.462862000000015</v>
      </c>
      <c r="G46" s="194">
        <f>'КОМБО В-52 Стандарт'!G46+'КОМБО В-52 Стандарт'!G46*5/100</f>
        <v>67.776093000000003</v>
      </c>
      <c r="H46" s="194">
        <f>'КОМБО В-52 Стандарт'!H46+'КОМБО В-52 Стандарт'!H46*5/100</f>
        <v>73.21891500000001</v>
      </c>
      <c r="I46" s="194">
        <f>'КОМБО В-52 Стандарт'!I46+'КОМБО В-52 Стандарт'!I46*5/100</f>
        <v>78.661737000000002</v>
      </c>
      <c r="J46" s="194">
        <f>'КОМБО В-52 Стандарт'!J46+'КОМБО В-52 Стандарт'!J46*5/100</f>
        <v>83.974968000000004</v>
      </c>
      <c r="K46" s="194">
        <f>'КОМБО В-52 Стандарт'!K46+'КОМБО В-52 Стандарт'!K46*5/100</f>
        <v>89.417790000000025</v>
      </c>
      <c r="L46" s="194">
        <f>'КОМБО В-52 Стандарт'!L46+'КОМБО В-52 Стандарт'!L46*5/100</f>
        <v>94.731021000000027</v>
      </c>
      <c r="M46" s="194">
        <f>'КОМБО В-52 Стандарт'!M46+'КОМБО В-52 Стандарт'!M46*5/100</f>
        <v>100.17384300000002</v>
      </c>
      <c r="N46" s="194">
        <f>'КОМБО В-52 Стандарт'!N46+'КОМБО В-52 Стандарт'!N46*5/100</f>
        <v>105.35748300000002</v>
      </c>
      <c r="O46" s="194">
        <f>'КОМБО В-52 Стандарт'!O46+'КОМБО В-52 Стандарт'!O46*5/100</f>
        <v>110.80030500000002</v>
      </c>
      <c r="P46" s="195">
        <f>'КОМБО В-52 Стандарт'!P46+'КОМБО В-52 Стандарт'!P46*5/100</f>
        <v>116.11353600000001</v>
      </c>
    </row>
    <row r="47" spans="1:16">
      <c r="A47" s="1781"/>
      <c r="B47" s="333">
        <v>1.2</v>
      </c>
      <c r="C47" s="247">
        <f>'КОМБО В-52 Стандарт'!C47+'КОМБО В-52 Стандарт'!C47*5/100</f>
        <v>47.430306000000009</v>
      </c>
      <c r="D47" s="194">
        <f>'КОМБО В-52 Стандарт'!D47+'КОМБО В-52 Стандарт'!D47*5/100</f>
        <v>52.873128000000015</v>
      </c>
      <c r="E47" s="194">
        <f>'КОМБО В-52 Стандарт'!E47+'КОМБО В-52 Стандарт'!E47*5/100</f>
        <v>58.445541000000013</v>
      </c>
      <c r="F47" s="194">
        <f>'КОМБО В-52 Стандарт'!F47+'КОМБО В-52 Стандарт'!F47*5/100</f>
        <v>64.147545000000008</v>
      </c>
      <c r="G47" s="194">
        <f>'КОМБО В-52 Стандарт'!G47+'КОМБО В-52 Стандарт'!G47*5/100</f>
        <v>69.719958000000005</v>
      </c>
      <c r="H47" s="194">
        <f>'КОМБО В-52 Стандарт'!H47+'КОМБО В-52 Стандарт'!H47*5/100</f>
        <v>75.292371000000017</v>
      </c>
      <c r="I47" s="194">
        <f>'КОМБО В-52 Стандарт'!I47+'КОМБО В-52 Стандарт'!I47*5/100</f>
        <v>80.864784000000014</v>
      </c>
      <c r="J47" s="194">
        <f>'КОМБО В-52 Стандарт'!J47+'КОМБО В-52 Стандарт'!J47*5/100</f>
        <v>86.437197000000026</v>
      </c>
      <c r="K47" s="194">
        <f>'КОМБО В-52 Стандарт'!K47+'КОМБО В-52 Стандарт'!K47*5/100</f>
        <v>91.880019000000033</v>
      </c>
      <c r="L47" s="194">
        <f>'КОМБО В-52 Стандарт'!L47+'КОМБО В-52 Стандарт'!L47*5/100</f>
        <v>97.452432000000016</v>
      </c>
      <c r="M47" s="194">
        <f>'КОМБО В-52 Стандарт'!M47+'КОМБО В-52 Стандарт'!M47*5/100</f>
        <v>103.02484500000003</v>
      </c>
      <c r="N47" s="194">
        <f>'КОМБО В-52 Стандарт'!N47+'КОМБО В-52 Стандарт'!N47*5/100</f>
        <v>108.59725800000001</v>
      </c>
      <c r="O47" s="194">
        <f>'КОМБО В-52 Стандарт'!O47+'КОМБО В-52 Стандарт'!O47*5/100</f>
        <v>114.16967100000001</v>
      </c>
      <c r="P47" s="195">
        <f>'КОМБО В-52 Стандарт'!P47+'КОМБО В-52 Стандарт'!P47*5/100</f>
        <v>119.87167500000002</v>
      </c>
    </row>
    <row r="48" spans="1:16">
      <c r="A48" s="1781"/>
      <c r="B48" s="333">
        <v>1.3</v>
      </c>
      <c r="C48" s="247">
        <f>'КОМБО В-52 Стандарт'!C48+'КОМБО В-52 Стандарт'!C48*5/100</f>
        <v>48.467034000000005</v>
      </c>
      <c r="D48" s="194">
        <f>'КОМБО В-52 Стандарт'!D48+'КОМБО В-52 Стандарт'!D48*5/100</f>
        <v>54.298629000000005</v>
      </c>
      <c r="E48" s="194">
        <f>'КОМБО В-52 Стандарт'!E48+'КОМБО В-52 Стандарт'!E48*5/100</f>
        <v>60.130224000000005</v>
      </c>
      <c r="F48" s="194">
        <f>'КОМБО В-52 Стандарт'!F48+'КОМБО В-52 Стандарт'!F48*5/100</f>
        <v>65.832228000000001</v>
      </c>
      <c r="G48" s="194">
        <f>'КОМБО В-52 Стандарт'!G48+'КОМБО В-52 Стандарт'!G48*5/100</f>
        <v>71.534232000000017</v>
      </c>
      <c r="H48" s="194">
        <f>'КОМБО В-52 Стандарт'!H48+'КОМБО В-52 Стандарт'!H48*5/100</f>
        <v>77.365827000000024</v>
      </c>
      <c r="I48" s="194">
        <f>'КОМБО В-52 Стандарт'!I48+'КОМБО В-52 Стандарт'!I48*5/100</f>
        <v>83.067830999999998</v>
      </c>
      <c r="J48" s="194">
        <f>'КОМБО В-52 Стандарт'!J48+'КОМБО В-52 Стандарт'!J48*5/100</f>
        <v>88.769835000000029</v>
      </c>
      <c r="K48" s="194">
        <f>'КОМБО В-52 Стандарт'!K48+'КОМБО В-52 Стандарт'!K48*5/100</f>
        <v>94.471839000000017</v>
      </c>
      <c r="L48" s="194">
        <f>'КОМБО В-52 Стандарт'!L48+'КОМБО В-52 Стандарт'!L48*5/100</f>
        <v>100.30343400000002</v>
      </c>
      <c r="M48" s="194">
        <f>'КОМБО В-52 Стандарт'!M48+'КОМБО В-52 Стандарт'!M48*5/100</f>
        <v>106.00543800000001</v>
      </c>
      <c r="N48" s="194">
        <f>'КОМБО В-52 Стандарт'!N48+'КОМБО В-52 Стандарт'!N48*5/100</f>
        <v>111.70744200000003</v>
      </c>
      <c r="O48" s="194">
        <f>'КОМБО В-52 Стандарт'!O48+'КОМБО В-52 Стандарт'!O48*5/100</f>
        <v>117.53903700000004</v>
      </c>
      <c r="P48" s="195">
        <f>'КОМБО В-52 Стандарт'!P48+'КОМБО В-52 Стандарт'!P48*5/100</f>
        <v>123.24104100000002</v>
      </c>
    </row>
    <row r="49" spans="1:16">
      <c r="A49" s="1781"/>
      <c r="B49" s="333">
        <v>1.4</v>
      </c>
      <c r="C49" s="247">
        <f>'КОМБО В-52 Стандарт'!C49+'КОМБО В-52 Стандарт'!C49*5/100</f>
        <v>49.633353</v>
      </c>
      <c r="D49" s="194">
        <f>'КОМБО В-52 Стандарт'!D49+'КОМБО В-52 Стандарт'!D49*5/100</f>
        <v>55.594539000000012</v>
      </c>
      <c r="E49" s="194">
        <f>'КОМБО В-52 Стандарт'!E49+'КОМБО В-52 Стандарт'!E49*5/100</f>
        <v>61.55572500000001</v>
      </c>
      <c r="F49" s="194">
        <f>'КОМБО В-52 Стандарт'!F49+'КОМБО В-52 Стандарт'!F49*5/100</f>
        <v>67.516911000000022</v>
      </c>
      <c r="G49" s="194">
        <f>'КОМБО В-52 Стандарт'!G49+'КОМБО В-52 Стандарт'!G49*5/100</f>
        <v>73.348506</v>
      </c>
      <c r="H49" s="194">
        <f>'КОМБО В-52 Стандарт'!H49+'КОМБО В-52 Стандарт'!H49*5/100</f>
        <v>79.439283000000017</v>
      </c>
      <c r="I49" s="194">
        <f>'КОМБО В-52 Стандарт'!I49+'КОМБО В-52 Стандарт'!I49*5/100</f>
        <v>85.27087800000001</v>
      </c>
      <c r="J49" s="194">
        <f>'КОМБО В-52 Стандарт'!J49+'КОМБО В-52 Стандарт'!J49*5/100</f>
        <v>91.102473000000018</v>
      </c>
      <c r="K49" s="194">
        <f>'КОМБО В-52 Стандарт'!K49+'КОМБО В-52 Стандарт'!K49*5/100</f>
        <v>97.193250000000006</v>
      </c>
      <c r="L49" s="194">
        <f>'КОМБО В-52 Стандарт'!L49+'КОМБО В-52 Стандарт'!L49*5/100</f>
        <v>103.02484500000003</v>
      </c>
      <c r="M49" s="194">
        <f>'КОМБО В-52 Стандарт'!M49+'КОМБО В-52 Стандарт'!M49*5/100</f>
        <v>108.98603100000003</v>
      </c>
      <c r="N49" s="194">
        <f>'КОМБО В-52 Стандарт'!N49+'КОМБО В-52 Стандарт'!N49*5/100</f>
        <v>114.94721700000002</v>
      </c>
      <c r="O49" s="194">
        <f>'КОМБО В-52 Стандарт'!O49+'КОМБО В-52 Стандарт'!O49*5/100</f>
        <v>120.90840300000002</v>
      </c>
      <c r="P49" s="195">
        <f>'КОМБО В-52 Стандарт'!P49+'КОМБО В-52 Стандарт'!P49*5/100</f>
        <v>126.73999800000003</v>
      </c>
    </row>
    <row r="50" spans="1:16">
      <c r="A50" s="1781"/>
      <c r="B50" s="333">
        <v>1.5</v>
      </c>
      <c r="C50" s="247">
        <f>'КОМБО В-52 Стандарт'!C50+'КОМБО В-52 Стандарт'!C50*5/100</f>
        <v>50.670081000000017</v>
      </c>
      <c r="D50" s="194">
        <f>'КОМБО В-52 Стандарт'!D50+'КОМБО В-52 Стандарт'!D50*5/100</f>
        <v>56.890449000000004</v>
      </c>
      <c r="E50" s="194">
        <f>'КОМБО В-52 Стандарт'!E50+'КОМБО В-52 Стандарт'!E50*5/100</f>
        <v>63.110817000000019</v>
      </c>
      <c r="F50" s="194">
        <f>'КОМБО В-52 Стандарт'!F50+'КОМБО В-52 Стандарт'!F50*5/100</f>
        <v>69.072003000000009</v>
      </c>
      <c r="G50" s="194">
        <f>'КОМБО В-52 Стандарт'!G50+'КОМБО В-52 Стандарт'!G50*5/100</f>
        <v>75.292371000000017</v>
      </c>
      <c r="H50" s="194">
        <f>'КОМБО В-52 Стандарт'!H50+'КОМБО В-52 Стандарт'!H50*5/100</f>
        <v>81.253557000000015</v>
      </c>
      <c r="I50" s="194">
        <f>'КОМБО В-52 Стандарт'!I50+'КОМБО В-52 Стандарт'!I50*5/100</f>
        <v>87.473925000000008</v>
      </c>
      <c r="J50" s="194">
        <f>'КОМБО В-52 Стандарт'!J50+'КОМБО В-52 Стандарт'!J50*5/100</f>
        <v>93.694293000000016</v>
      </c>
      <c r="K50" s="194">
        <f>'КОМБО В-52 Стандарт'!K50+'КОМБО В-52 Стандарт'!K50*5/100</f>
        <v>99.655479000000014</v>
      </c>
      <c r="L50" s="194">
        <f>'КОМБО В-52 Стандарт'!L50+'КОМБО В-52 Стандарт'!L50*5/100</f>
        <v>105.87584700000002</v>
      </c>
      <c r="M50" s="194">
        <f>'КОМБО В-52 Стандарт'!M50+'КОМБО В-52 Стандарт'!M50*5/100</f>
        <v>111.83703300000002</v>
      </c>
      <c r="N50" s="194">
        <f>'КОМБО В-52 Стандарт'!N50+'КОМБО В-52 Стандарт'!N50*5/100</f>
        <v>118.05740100000001</v>
      </c>
      <c r="O50" s="194">
        <f>'КОМБО В-52 Стандарт'!O50+'КОМБО В-52 Стандарт'!O50*5/100</f>
        <v>124.27776900000003</v>
      </c>
      <c r="P50" s="195">
        <f>'КОМБО В-52 Стандарт'!P50+'КОМБО В-52 Стандарт'!P50*5/100</f>
        <v>130.23895500000003</v>
      </c>
    </row>
    <row r="51" spans="1:16">
      <c r="A51" s="1781"/>
      <c r="B51" s="333">
        <v>1.6</v>
      </c>
      <c r="C51" s="247">
        <f>'КОМБО В-52 Стандарт'!C51+'КОМБО В-52 Стандарт'!C51*5/100</f>
        <v>51.836400000000012</v>
      </c>
      <c r="D51" s="194">
        <f>'КОМБО В-52 Стандарт'!D51+'КОМБО В-52 Стандарт'!D51*5/100</f>
        <v>58.18635900000001</v>
      </c>
      <c r="E51" s="194">
        <f>'КОМБО В-52 Стандарт'!E51+'КОМБО В-52 Стандарт'!E51*5/100</f>
        <v>64.536318000000009</v>
      </c>
      <c r="F51" s="194">
        <f>'КОМБО В-52 Стандарт'!F51+'КОМБО В-52 Стандарт'!F51*5/100</f>
        <v>70.886277000000007</v>
      </c>
      <c r="G51" s="194">
        <f>'КОМБО В-52 Стандарт'!G51+'КОМБО В-52 Стандарт'!G51*5/100</f>
        <v>76.977054000000024</v>
      </c>
      <c r="H51" s="194">
        <f>'КОМБО В-52 Стандарт'!H51+'КОМБО В-52 Стандарт'!H51*5/100</f>
        <v>83.327013000000008</v>
      </c>
      <c r="I51" s="194">
        <f>'КОМБО В-52 Стандарт'!I51+'КОМБО В-52 Стандарт'!I51*5/100</f>
        <v>89.676972000000006</v>
      </c>
      <c r="J51" s="194">
        <f>'КОМБО В-52 Стандарт'!J51+'КОМБО В-52 Стандарт'!J51*5/100</f>
        <v>96.026931000000005</v>
      </c>
      <c r="K51" s="194">
        <f>'КОМБО В-52 Стандарт'!K51+'КОМБО В-52 Стандарт'!K51*5/100</f>
        <v>102.37689000000002</v>
      </c>
      <c r="L51" s="194">
        <f>'КОМБО В-52 Стандарт'!L51+'КОМБО В-52 Стандарт'!L51*5/100</f>
        <v>108.59725800000001</v>
      </c>
      <c r="M51" s="194">
        <f>'КОМБО В-52 Стандарт'!M51+'КОМБО В-52 Стандарт'!M51*5/100</f>
        <v>114.94721700000002</v>
      </c>
      <c r="N51" s="194">
        <f>'КОМБО В-52 Стандарт'!N51+'КОМБО В-52 Стандарт'!N51*5/100</f>
        <v>121.29717600000001</v>
      </c>
      <c r="O51" s="194">
        <f>'КОМБО В-52 Стандарт'!O51+'КОМБО В-52 Стандарт'!O51*5/100</f>
        <v>127.64713500000002</v>
      </c>
      <c r="P51" s="195">
        <f>'КОМБО В-52 Стандарт'!P51+'КОМБО В-52 Стандарт'!P51*5/100</f>
        <v>133.73791200000002</v>
      </c>
    </row>
    <row r="52" spans="1:16">
      <c r="A52" s="1781"/>
      <c r="B52" s="333">
        <v>1.7</v>
      </c>
      <c r="C52" s="247">
        <f>'КОМБО В-52 Стандарт'!C52+'КОМБО В-52 Стандарт'!C52*5/100</f>
        <v>52.873128000000015</v>
      </c>
      <c r="D52" s="194">
        <f>'КОМБО В-52 Стандарт'!D52+'КОМБО В-52 Стандарт'!D52*5/100</f>
        <v>59.482269000000009</v>
      </c>
      <c r="E52" s="194">
        <f>'КОМБО В-52 Стандарт'!E52+'КОМБО В-52 Стандарт'!E52*5/100</f>
        <v>65.96181900000002</v>
      </c>
      <c r="F52" s="194">
        <f>'КОМБО В-52 Стандарт'!F52+'КОМБО В-52 Стандарт'!F52*5/100</f>
        <v>72.441369000000009</v>
      </c>
      <c r="G52" s="194">
        <f>'КОМБО В-52 Стандарт'!G52+'КОМБО В-52 Стандарт'!G52*5/100</f>
        <v>78.920919000000012</v>
      </c>
      <c r="H52" s="194">
        <f>'КОМБО В-52 Стандарт'!H52+'КОМБО В-52 Стандарт'!H52*5/100</f>
        <v>85.400469000000015</v>
      </c>
      <c r="I52" s="194">
        <f>'КОМБО В-52 Стандарт'!I52+'КОМБО В-52 Стандарт'!I52*5/100</f>
        <v>91.880019000000033</v>
      </c>
      <c r="J52" s="194">
        <f>'КОМБО В-52 Стандарт'!J52+'КОМБО В-52 Стандарт'!J52*5/100</f>
        <v>98.359569000000036</v>
      </c>
      <c r="K52" s="194">
        <f>'КОМБО В-52 Стандарт'!K52+'КОМБО В-52 Стандарт'!K52*5/100</f>
        <v>104.96871000000003</v>
      </c>
      <c r="L52" s="194">
        <f>'КОМБО В-52 Стандарт'!L52+'КОМБО В-52 Стандарт'!L52*5/100</f>
        <v>111.44826</v>
      </c>
      <c r="M52" s="194">
        <f>'КОМБО В-52 Стандарт'!M52+'КОМБО В-52 Стандарт'!M52*5/100</f>
        <v>117.92781000000004</v>
      </c>
      <c r="N52" s="194">
        <f>'КОМБО В-52 Стандарт'!N52+'КОМБО В-52 Стандарт'!N52*5/100</f>
        <v>124.40736000000003</v>
      </c>
      <c r="O52" s="194">
        <f>'КОМБО В-52 Стандарт'!O52+'КОМБО В-52 Стандарт'!O52*5/100</f>
        <v>130.88691000000003</v>
      </c>
      <c r="P52" s="195">
        <f>'КОМБО В-52 Стандарт'!P52+'КОМБО В-52 Стандарт'!P52*5/100</f>
        <v>137.36646000000002</v>
      </c>
    </row>
    <row r="53" spans="1:16">
      <c r="A53" s="1781"/>
      <c r="B53" s="333">
        <v>1.8</v>
      </c>
      <c r="C53" s="247">
        <f>'КОМБО В-52 Стандарт'!C53+'КОМБО В-52 Стандарт'!C53*5/100</f>
        <v>54.039447000000017</v>
      </c>
      <c r="D53" s="194">
        <f>'КОМБО В-52 Стандарт'!D53+'КОМБО В-52 Стандарт'!D53*5/100</f>
        <v>60.907770000000006</v>
      </c>
      <c r="E53" s="194">
        <f>'КОМБО В-52 Стандарт'!E53+'КОМБО В-52 Стандарт'!E53*5/100</f>
        <v>67.516911000000022</v>
      </c>
      <c r="F53" s="194">
        <f>'КОМБО В-52 Стандарт'!F53+'КОМБО В-52 Стандарт'!F53*5/100</f>
        <v>74.12605200000003</v>
      </c>
      <c r="G53" s="194">
        <f>'КОМБО В-52 Стандарт'!G53+'КОМБО В-52 Стандарт'!G53*5/100</f>
        <v>80.864784000000014</v>
      </c>
      <c r="H53" s="194">
        <f>'КОМБО В-52 Стандарт'!H53+'КОМБО В-52 Стандарт'!H53*5/100</f>
        <v>87.473925000000008</v>
      </c>
      <c r="I53" s="194">
        <f>'КОМБО В-52 Стандарт'!I53+'КОМБО В-52 Стандарт'!I53*5/100</f>
        <v>94.083066000000017</v>
      </c>
      <c r="J53" s="194">
        <f>'КОМБО В-52 Стандарт'!J53+'КОМБО В-52 Стандарт'!J53*5/100</f>
        <v>100.82179800000002</v>
      </c>
      <c r="K53" s="194">
        <f>'КОМБО В-52 Стандарт'!K53+'КОМБО В-52 Стандарт'!K53*5/100</f>
        <v>107.43093900000002</v>
      </c>
      <c r="L53" s="194">
        <f>'КОМБО В-52 Стандарт'!L53+'КОМБО В-52 Стандарт'!L53*5/100</f>
        <v>114.16967100000001</v>
      </c>
      <c r="M53" s="194">
        <f>'КОМБО В-52 Стандарт'!M53+'КОМБО В-52 Стандарт'!M53*5/100</f>
        <v>120.90840300000002</v>
      </c>
      <c r="N53" s="194">
        <f>'КОМБО В-52 Стандарт'!N53+'КОМБО В-52 Стандарт'!N53*5/100</f>
        <v>127.64713500000002</v>
      </c>
      <c r="O53" s="194">
        <f>'КОМБО В-52 Стандарт'!O53+'КОМБО В-52 Стандарт'!O53*5/100</f>
        <v>134.25627600000001</v>
      </c>
      <c r="P53" s="195">
        <f>'КОМБО В-52 Стандарт'!P53+'КОМБО В-52 Стандарт'!P53*5/100</f>
        <v>140.86541700000004</v>
      </c>
    </row>
    <row r="54" spans="1:16">
      <c r="A54" s="1781"/>
      <c r="B54" s="333">
        <v>1.9</v>
      </c>
      <c r="C54" s="247">
        <f>'КОМБО В-52 Стандарт'!C54+'КОМБО В-52 Стандарт'!C54*5/100</f>
        <v>55.335357000000009</v>
      </c>
      <c r="D54" s="194">
        <f>'КОМБО В-52 Стандарт'!D54+'КОМБО В-52 Стандарт'!D54*5/100</f>
        <v>62.074089000000001</v>
      </c>
      <c r="E54" s="194">
        <f>'КОМБО В-52 Стандарт'!E54+'КОМБО В-52 Стандарт'!E54*5/100</f>
        <v>68.942412000000019</v>
      </c>
      <c r="F54" s="194">
        <f>'КОМБО В-52 Стандарт'!F54+'КОМБО В-52 Стандарт'!F54*5/100</f>
        <v>75.810735000000008</v>
      </c>
      <c r="G54" s="194">
        <f>'КОМБО В-52 Стандарт'!G54+'КОМБО В-52 Стандарт'!G54*5/100</f>
        <v>82.679058000000012</v>
      </c>
      <c r="H54" s="194">
        <f>'КОМБО В-52 Стандарт'!H54+'КОМБО В-52 Стандарт'!H54*5/100</f>
        <v>89.547381000000016</v>
      </c>
      <c r="I54" s="194">
        <f>'КОМБО В-52 Стандарт'!I54+'КОМБО В-52 Стандарт'!I54*5/100</f>
        <v>96.415704000000019</v>
      </c>
      <c r="J54" s="194">
        <f>'КОМБО В-52 Стандарт'!J54+'КОМБО В-52 Стандарт'!J54*5/100</f>
        <v>103.154436</v>
      </c>
      <c r="K54" s="194">
        <f>'КОМБО В-52 Стандарт'!K54+'КОМБО В-52 Стандарт'!K54*5/100</f>
        <v>110.15235000000001</v>
      </c>
      <c r="L54" s="194">
        <f>'КОМБО В-52 Стандарт'!L54+'КОМБО В-52 Стандарт'!L54*5/100</f>
        <v>117.02067300000002</v>
      </c>
      <c r="M54" s="194">
        <f>'КОМБО В-52 Стандарт'!M54+'КОМБО В-52 Стандарт'!M54*5/100</f>
        <v>123.75940500000002</v>
      </c>
      <c r="N54" s="194">
        <f>'КОМБО В-52 Стандарт'!N54+'КОМБО В-52 Стандарт'!N54*5/100</f>
        <v>130.75731900000002</v>
      </c>
      <c r="O54" s="194">
        <f>'КОМБО В-52 Стандарт'!O54+'КОМБО В-52 Стандарт'!O54*5/100</f>
        <v>137.62564200000003</v>
      </c>
      <c r="P54" s="195">
        <f>'КОМБО В-52 Стандарт'!P54+'КОМБО В-52 Стандарт'!P54*5/100</f>
        <v>144.36437400000003</v>
      </c>
    </row>
    <row r="55" spans="1:16">
      <c r="A55" s="1781"/>
      <c r="B55" s="333">
        <v>2</v>
      </c>
      <c r="C55" s="247">
        <f>'КОМБО В-52 Стандарт'!C55+'КОМБО В-52 Стандарт'!C55*5/100</f>
        <v>56.372085000000006</v>
      </c>
      <c r="D55" s="194">
        <f>'КОМБО В-52 Стандарт'!D55+'КОМБО В-52 Стандарт'!D55*5/100</f>
        <v>63.369999000000014</v>
      </c>
      <c r="E55" s="194">
        <f>'КОМБО В-52 Стандарт'!E55+'КОМБО В-52 Стандарт'!E55*5/100</f>
        <v>70.367913000000001</v>
      </c>
      <c r="F55" s="194">
        <f>'КОМБО В-52 Стандарт'!F55+'КОМБО В-52 Стандарт'!F55*5/100</f>
        <v>77.495418000000015</v>
      </c>
      <c r="G55" s="194">
        <f>'КОМБО В-52 Стандарт'!G55+'КОМБО В-52 Стандарт'!G55*5/100</f>
        <v>84.493332000000024</v>
      </c>
      <c r="H55" s="194">
        <f>'КОМБО В-52 Стандарт'!H55+'КОМБО В-52 Стандарт'!H55*5/100</f>
        <v>91.620837000000023</v>
      </c>
      <c r="I55" s="194">
        <f>'КОМБО В-52 Стандарт'!I55+'КОМБО В-52 Стандарт'!I55*5/100</f>
        <v>98.618751000000003</v>
      </c>
      <c r="J55" s="194">
        <f>'КОМБО В-52 Стандарт'!J55+'КОМБО В-52 Стандарт'!J55*5/100</f>
        <v>105.74625600000003</v>
      </c>
      <c r="K55" s="194">
        <f>'КОМБО В-52 Стандарт'!K55+'КОМБО В-52 Стандарт'!K55*5/100</f>
        <v>112.74417000000001</v>
      </c>
      <c r="L55" s="194">
        <f>'КОМБО В-52 Стандарт'!L55+'КОМБО В-52 Стандарт'!L55*5/100</f>
        <v>119.87167500000002</v>
      </c>
      <c r="M55" s="194">
        <f>'КОМБО В-52 Стандарт'!M55+'КОМБО В-52 Стандарт'!M55*5/100</f>
        <v>126.73999800000003</v>
      </c>
      <c r="N55" s="194">
        <f>'КОМБО В-52 Стандарт'!N55+'КОМБО В-52 Стандарт'!N55*5/100</f>
        <v>133.73791200000002</v>
      </c>
      <c r="O55" s="194">
        <f>'КОМБО В-52 Стандарт'!O55+'КОМБО В-52 Стандарт'!O55*5/100</f>
        <v>140.86541700000004</v>
      </c>
      <c r="P55" s="195">
        <f>'КОМБО В-52 Стандарт'!P55+'КОМБО В-52 Стандарт'!P55*5/100</f>
        <v>147.86333099999999</v>
      </c>
    </row>
    <row r="56" spans="1:16">
      <c r="A56" s="1781"/>
      <c r="B56" s="333">
        <v>2.1</v>
      </c>
      <c r="C56" s="247">
        <f>'КОМБО В-52 Стандарт'!C56+'КОМБО В-52 Стандарт'!C56*5/100</f>
        <v>57.538404000000007</v>
      </c>
      <c r="D56" s="194">
        <f>'КОМБО В-52 Стандарт'!D56+'КОМБО В-52 Стандарт'!D56*5/100</f>
        <v>64.665908999999999</v>
      </c>
      <c r="E56" s="194">
        <f>'КОМБО В-52 Стандарт'!E56+'КОМБО В-52 Стандарт'!E56*5/100</f>
        <v>71.923005000000003</v>
      </c>
      <c r="F56" s="194">
        <f>'КОМБО В-52 Стандарт'!F56+'КОМБО В-52 Стандарт'!F56*5/100</f>
        <v>79.050510000000003</v>
      </c>
      <c r="G56" s="194">
        <f>'КОМБО В-52 Стандарт'!G56+'КОМБО В-52 Стандарт'!G56*5/100</f>
        <v>86.437197000000026</v>
      </c>
      <c r="H56" s="194">
        <f>'КОМБО В-52 Стандарт'!H56+'КОМБО В-52 Стандарт'!H56*5/100</f>
        <v>93.694293000000016</v>
      </c>
      <c r="I56" s="194">
        <f>'КОМБО В-52 Стандарт'!I56+'КОМБО В-52 Стандарт'!I56*5/100</f>
        <v>100.82179800000002</v>
      </c>
      <c r="J56" s="194">
        <f>'КОМБО В-52 Стандарт'!J56+'КОМБО В-52 Стандарт'!J56*5/100</f>
        <v>108.07889400000003</v>
      </c>
      <c r="K56" s="194">
        <f>'КОМБО В-52 Стандарт'!K56+'КОМБО В-52 Стандарт'!K56*5/100</f>
        <v>115.20639900000003</v>
      </c>
      <c r="L56" s="194">
        <f>'КОМБО В-52 Стандарт'!L56+'КОМБО В-52 Стандарт'!L56*5/100</f>
        <v>122.46349500000002</v>
      </c>
      <c r="M56" s="194">
        <f>'КОМБО В-52 Стандарт'!M56+'КОМБО В-52 Стандарт'!M56*5/100</f>
        <v>129.85018200000005</v>
      </c>
      <c r="N56" s="194">
        <f>'КОМБО В-52 Стандарт'!N56+'КОМБО В-52 Стандарт'!N56*5/100</f>
        <v>136.97768700000003</v>
      </c>
      <c r="O56" s="194">
        <f>'КОМБО В-52 Стандарт'!O56+'КОМБО В-52 Стандарт'!O56*5/100</f>
        <v>144.23478300000002</v>
      </c>
      <c r="P56" s="195">
        <f>'КОМБО В-52 Стандарт'!P56+'КОМБО В-52 Стандарт'!P56*5/100</f>
        <v>151.49187900000004</v>
      </c>
    </row>
    <row r="57" spans="1:16">
      <c r="A57" s="1781"/>
      <c r="B57" s="333">
        <v>2.2000000000000002</v>
      </c>
      <c r="C57" s="247">
        <f>'КОМБО В-52 Стандарт'!C57+'КОМБО В-52 Стандарт'!C57*5/100</f>
        <v>58.704723000000001</v>
      </c>
      <c r="D57" s="194">
        <f>'КОМБО В-52 Стандарт'!D57+'КОМБО В-52 Стандарт'!D57*5/100</f>
        <v>65.96181900000002</v>
      </c>
      <c r="E57" s="194">
        <f>'КОМБО В-52 Стандарт'!E57+'КОМБО В-52 Стандарт'!E57*5/100</f>
        <v>73.348506</v>
      </c>
      <c r="F57" s="194">
        <f>'КОМБО В-52 Стандарт'!F57+'КОМБО В-52 Стандарт'!F57*5/100</f>
        <v>80.864784000000014</v>
      </c>
      <c r="G57" s="194">
        <f>'КОМБО В-52 Стандарт'!G57+'КОМБО В-52 Стандарт'!G57*5/100</f>
        <v>88.251470999999995</v>
      </c>
      <c r="H57" s="194">
        <f>'КОМБО В-52 Стандарт'!H57+'КОМБО В-52 Стандарт'!H57*5/100</f>
        <v>95.767749000000009</v>
      </c>
      <c r="I57" s="194">
        <f>'КОМБО В-52 Стандарт'!I57+'КОМБО В-52 Стандарт'!I57*5/100</f>
        <v>103.02484500000003</v>
      </c>
      <c r="J57" s="194">
        <f>'КОМБО В-52 Стандарт'!J57+'КОМБО В-52 Стандарт'!J57*5/100</f>
        <v>110.41153200000004</v>
      </c>
      <c r="K57" s="194">
        <f>'КОМБО В-52 Стандарт'!K57+'КОМБО В-52 Стандарт'!K57*5/100</f>
        <v>117.92781000000004</v>
      </c>
      <c r="L57" s="194">
        <f>'КОМБО В-52 Стандарт'!L57+'КОМБО В-52 Стандарт'!L57*5/100</f>
        <v>125.31449700000003</v>
      </c>
      <c r="M57" s="194">
        <f>'КОМБО В-52 Стандарт'!M57+'КОМБО В-52 Стандарт'!M57*5/100</f>
        <v>132.70118400000004</v>
      </c>
      <c r="N57" s="194">
        <f>'КОМБО В-52 Стандарт'!N57+'КОМБО В-52 Стандарт'!N57*5/100</f>
        <v>140.08787100000001</v>
      </c>
      <c r="O57" s="194">
        <f>'КОМБО В-52 Стандарт'!O57+'КОМБО В-52 Стандарт'!O57*5/100</f>
        <v>147.60414900000006</v>
      </c>
      <c r="P57" s="195">
        <f>'КОМБО В-52 Стандарт'!P57+'КОМБО В-52 Стандарт'!P57*5/100</f>
        <v>154.99083600000003</v>
      </c>
    </row>
    <row r="58" spans="1:16">
      <c r="A58" s="1781"/>
      <c r="B58" s="333">
        <v>2.2999999999999998</v>
      </c>
      <c r="C58" s="247">
        <f>'КОМБО В-52 Стандарт'!C58+'КОМБО В-52 Стандарт'!C58*5/100</f>
        <v>59.741451000000012</v>
      </c>
      <c r="D58" s="194">
        <f>'КОМБО В-52 Стандарт'!D58+'КОМБО В-52 Стандарт'!D58*5/100</f>
        <v>67.387320000000017</v>
      </c>
      <c r="E58" s="194">
        <f>'КОМБО В-52 Стандарт'!E58+'КОМБО В-52 Стандарт'!E58*5/100</f>
        <v>74.903598000000017</v>
      </c>
      <c r="F58" s="194">
        <f>'КОМБО В-52 Стандарт'!F58+'КОМБО В-52 Стандарт'!F58*5/100</f>
        <v>82.549467000000021</v>
      </c>
      <c r="G58" s="194">
        <f>'КОМБО В-52 Стандарт'!G58+'КОМБО В-52 Стандарт'!G58*5/100</f>
        <v>90.065745000000021</v>
      </c>
      <c r="H58" s="194">
        <f>'КОМБО В-52 Стандарт'!H58+'КОМБО В-52 Стандарт'!H58*5/100</f>
        <v>97.582023000000021</v>
      </c>
      <c r="I58" s="194">
        <f>'КОМБО В-52 Стандарт'!I58+'КОМБО В-52 Стандарт'!I58*5/100</f>
        <v>105.22789200000001</v>
      </c>
      <c r="J58" s="194">
        <f>'КОМБО В-52 Стандарт'!J58+'КОМБО В-52 Стандарт'!J58*5/100</f>
        <v>112.873761</v>
      </c>
      <c r="K58" s="194">
        <f>'КОМБО В-52 Стандарт'!K58+'КОМБО В-52 Стандарт'!K58*5/100</f>
        <v>120.39003900000003</v>
      </c>
      <c r="L58" s="194">
        <f>'КОМБО В-52 Стандарт'!L58+'КОМБО В-52 Стандарт'!L58*5/100</f>
        <v>128.03590800000001</v>
      </c>
      <c r="M58" s="194">
        <f>'КОМБО В-52 Стандарт'!M58+'КОМБО В-52 Стандарт'!M58*5/100</f>
        <v>135.68177700000004</v>
      </c>
      <c r="N58" s="194">
        <f>'КОМБО В-52 Стандарт'!N58+'КОМБО В-52 Стандарт'!N58*5/100</f>
        <v>143.32764600000004</v>
      </c>
      <c r="O58" s="194">
        <f>'КОМБО В-52 Стандарт'!O58+'КОМБО В-52 Стандарт'!O58*5/100</f>
        <v>150.84392400000004</v>
      </c>
      <c r="P58" s="195">
        <f>'КОМБО В-52 Стандарт'!P58+'КОМБО В-52 Стандарт'!P58*5/100</f>
        <v>158.48979300000005</v>
      </c>
    </row>
    <row r="59" spans="1:16">
      <c r="A59" s="1781"/>
      <c r="B59" s="333">
        <v>2.4</v>
      </c>
      <c r="C59" s="247">
        <f>'КОМБО В-52 Стандарт'!C59+'КОМБО В-52 Стандарт'!C59*5/100</f>
        <v>60.907770000000006</v>
      </c>
      <c r="D59" s="194">
        <f>'КОМБО В-52 Стандарт'!D59+'КОМБО В-52 Стандарт'!D59*5/100</f>
        <v>68.683230000000009</v>
      </c>
      <c r="E59" s="194">
        <f>'КОМБО В-52 Стандарт'!E59+'КОМБО В-52 Стандарт'!E59*5/100</f>
        <v>76.329099000000014</v>
      </c>
      <c r="F59" s="194">
        <f>'КОМБО В-52 Стандарт'!F59+'КОМБО В-52 Стандарт'!F59*5/100</f>
        <v>84.104559000000037</v>
      </c>
      <c r="G59" s="194">
        <f>'КОМБО В-52 Стандарт'!G59+'КОМБО В-52 Стандарт'!G59*5/100</f>
        <v>91.880019000000033</v>
      </c>
      <c r="H59" s="194">
        <f>'КОМБО В-52 Стандарт'!H59+'КОМБО В-52 Стандарт'!H59*5/100</f>
        <v>99.655479000000014</v>
      </c>
      <c r="I59" s="194">
        <f>'КОМБО В-52 Стандарт'!I59+'КОМБО В-52 Стандарт'!I59*5/100</f>
        <v>107.43093900000002</v>
      </c>
      <c r="J59" s="194">
        <f>'КОМБО В-52 Стандарт'!J59+'КОМБО В-52 Стандарт'!J59*5/100</f>
        <v>115.33599000000001</v>
      </c>
      <c r="K59" s="194">
        <f>'КОМБО В-52 Стандарт'!K59+'КОМБО В-52 Стандарт'!K59*5/100</f>
        <v>123.11145000000002</v>
      </c>
      <c r="L59" s="194">
        <f>'КОМБО В-52 Стандарт'!L59+'КОМБО В-52 Стандарт'!L59*5/100</f>
        <v>130.88691000000003</v>
      </c>
      <c r="M59" s="194">
        <f>'КОМБО В-52 Стандарт'!M59+'КОМБО В-52 Стандарт'!M59*5/100</f>
        <v>138.66237000000004</v>
      </c>
      <c r="N59" s="194">
        <f>'КОМБО В-52 Стандарт'!N59+'КОМБО В-52 Стандарт'!N59*5/100</f>
        <v>146.43783000000002</v>
      </c>
      <c r="O59" s="194">
        <f>'КОМБО В-52 Стандарт'!O59+'КОМБО В-52 Стандарт'!O59*5/100</f>
        <v>154.21329000000003</v>
      </c>
      <c r="P59" s="195">
        <f>'КОМБО В-52 Стандарт'!P59+'КОМБО В-52 Стандарт'!P59*5/100</f>
        <v>161.98875000000001</v>
      </c>
    </row>
    <row r="60" spans="1:16">
      <c r="A60" s="1781"/>
      <c r="B60" s="333">
        <v>2.5</v>
      </c>
      <c r="C60" s="247">
        <f>'КОМБО В-52 Стандарт'!C60+'КОМБО В-52 Стандарт'!C60*5/100</f>
        <v>61.944498000000017</v>
      </c>
      <c r="D60" s="194">
        <f>'КОМБО В-52 Стандарт'!D60+'КОМБО В-52 Стандарт'!D60*5/100</f>
        <v>69.849549000000025</v>
      </c>
      <c r="E60" s="194">
        <f>'КОМБО В-52 Стандарт'!E60+'КОМБО В-52 Стандарт'!E60*5/100</f>
        <v>77.754600000000025</v>
      </c>
      <c r="F60" s="194">
        <f>'КОМБО В-52 Стандарт'!F60+'КОМБО В-52 Стандарт'!F60*5/100</f>
        <v>85.918833000000021</v>
      </c>
      <c r="G60" s="194">
        <f>'КОМБО В-52 Стандарт'!G60+'КОМБО В-52 Стандарт'!G60*5/100</f>
        <v>93.823884000000035</v>
      </c>
      <c r="H60" s="194">
        <f>'КОМБО В-52 Стандарт'!H60+'КОМБО В-52 Стандарт'!H60*5/100</f>
        <v>101.72893500000002</v>
      </c>
      <c r="I60" s="194">
        <f>'КОМБО В-52 Стандарт'!I60+'КОМБО В-52 Стандарт'!I60*5/100</f>
        <v>109.63398600000002</v>
      </c>
      <c r="J60" s="194">
        <f>'КОМБО В-52 Стандарт'!J60+'КОМБО В-52 Стандарт'!J60*5/100</f>
        <v>117.79821900000002</v>
      </c>
      <c r="K60" s="194">
        <f>'КОМБО В-52 Стандарт'!K60+'КОМБО В-52 Стандарт'!K60*5/100</f>
        <v>125.70327000000002</v>
      </c>
      <c r="L60" s="194">
        <f>'КОМБО В-52 Стандарт'!L60+'КОМБО В-52 Стандарт'!L60*5/100</f>
        <v>133.60832100000002</v>
      </c>
      <c r="M60" s="194">
        <f>'КОМБО В-52 Стандарт'!M60+'КОМБО В-52 Стандарт'!M60*5/100</f>
        <v>141.64296300000004</v>
      </c>
      <c r="N60" s="194">
        <f>'КОМБО В-52 Стандарт'!N60+'КОМБО В-52 Стандарт'!N60*5/100</f>
        <v>149.67760500000003</v>
      </c>
      <c r="O60" s="194">
        <f>'КОМБО В-52 Стандарт'!O60+'КОМБО В-52 Стандарт'!O60*5/100</f>
        <v>157.58265600000004</v>
      </c>
      <c r="P60" s="195">
        <f>'КОМБО В-52 Стандарт'!P60+'КОМБО В-52 Стандарт'!P60*5/100</f>
        <v>165.48770700000006</v>
      </c>
    </row>
    <row r="61" spans="1:16">
      <c r="A61" s="1781"/>
      <c r="B61" s="333">
        <v>2.6</v>
      </c>
      <c r="C61" s="247">
        <f>'КОМБО В-52 Стандарт'!C61+'КОМБО В-52 Стандарт'!C61*5/100</f>
        <v>63.110817000000019</v>
      </c>
      <c r="D61" s="194">
        <f>'КОМБО В-52 Стандарт'!D61+'КОМБО В-52 Стандарт'!D61*5/100</f>
        <v>71.145459000000002</v>
      </c>
      <c r="E61" s="194">
        <f>'КОМБО В-52 Стандарт'!E61+'КОМБО В-52 Стандарт'!E61*5/100</f>
        <v>79.439283000000017</v>
      </c>
      <c r="F61" s="194">
        <f>'КОМБО В-52 Стандарт'!F61+'КОМБО В-52 Стандарт'!F61*5/100</f>
        <v>87.473925000000008</v>
      </c>
      <c r="G61" s="194">
        <f>'КОМБО В-52 Стандарт'!G61+'КОМБО В-52 Стандарт'!G61*5/100</f>
        <v>95.767749000000009</v>
      </c>
      <c r="H61" s="194">
        <f>'КОМБО В-52 Стандарт'!H61+'КОМБО В-52 Стандарт'!H61*5/100</f>
        <v>103.80239100000001</v>
      </c>
      <c r="I61" s="194">
        <f>'КОМБО В-52 Стандарт'!I61+'КОМБО В-52 Стандарт'!I61*5/100</f>
        <v>111.83703300000002</v>
      </c>
      <c r="J61" s="194">
        <f>'КОМБО В-52 Стандарт'!J61+'КОМБО В-52 Стандарт'!J61*5/100</f>
        <v>120.13085700000002</v>
      </c>
      <c r="K61" s="194">
        <f>'КОМБО В-52 Стандарт'!K61+'КОМБО В-52 Стандарт'!K61*5/100</f>
        <v>128.16549900000004</v>
      </c>
      <c r="L61" s="194">
        <f>'КОМБО В-52 Стандарт'!L61+'КОМБО В-52 Стандарт'!L61*5/100</f>
        <v>136.45932300000004</v>
      </c>
      <c r="M61" s="194">
        <f>'КОМБО В-52 Стандарт'!M61+'КОМБО В-52 Стандарт'!M61*5/100</f>
        <v>144.493965</v>
      </c>
      <c r="N61" s="194">
        <f>'КОМБО В-52 Стандарт'!N61+'КОМБО В-52 Стандарт'!N61*5/100</f>
        <v>152.78778900000003</v>
      </c>
      <c r="O61" s="194">
        <f>'КОМБО В-52 Стандарт'!O61+'КОМБО В-52 Стандарт'!O61*5/100</f>
        <v>160.82243100000002</v>
      </c>
      <c r="P61" s="195">
        <f>'КОМБО В-52 Стандарт'!P61+'КОМБО В-52 Стандарт'!P61*5/100</f>
        <v>169.11625500000005</v>
      </c>
    </row>
    <row r="62" spans="1:16">
      <c r="A62" s="1781"/>
      <c r="B62" s="333">
        <v>2.7</v>
      </c>
      <c r="C62" s="247">
        <f>'КОМБО В-52 Стандарт'!C62+'КОМБО В-52 Стандарт'!C62*5/100</f>
        <v>64.147545000000008</v>
      </c>
      <c r="D62" s="194">
        <f>'КОМБО В-52 Стандарт'!D62+'КОМБО В-52 Стандарт'!D62*5/100</f>
        <v>72.441369000000009</v>
      </c>
      <c r="E62" s="194">
        <f>'КОМБО В-52 Стандарт'!E62+'КОМБО В-52 Стандарт'!E62*5/100</f>
        <v>80.864784000000014</v>
      </c>
      <c r="F62" s="194">
        <f>'КОМБО В-52 Стандарт'!F62+'КОМБО В-52 Стандарт'!F62*5/100</f>
        <v>89.28819900000002</v>
      </c>
      <c r="G62" s="194">
        <f>'КОМБО В-52 Стандарт'!G62+'КОМБО В-52 Стандарт'!G62*5/100</f>
        <v>97.452432000000016</v>
      </c>
      <c r="H62" s="194">
        <f>'КОМБО В-52 Стандарт'!H62+'КОМБО В-52 Стандарт'!H62*5/100</f>
        <v>105.87584700000002</v>
      </c>
      <c r="I62" s="194">
        <f>'КОМБО В-52 Стандарт'!I62+'КОМБО В-52 Стандарт'!I62*5/100</f>
        <v>114.29926200000003</v>
      </c>
      <c r="J62" s="194">
        <f>'КОМБО В-52 Стандарт'!J62+'КОМБО В-52 Стандарт'!J62*5/100</f>
        <v>122.46349500000002</v>
      </c>
      <c r="K62" s="194">
        <f>'КОМБО В-52 Стандарт'!K62+'КОМБО В-52 Стандарт'!K62*5/100</f>
        <v>130.88691000000003</v>
      </c>
      <c r="L62" s="194">
        <f>'КОМБО В-52 Стандарт'!L62+'КОМБО В-52 Стандарт'!L62*5/100</f>
        <v>139.18073400000003</v>
      </c>
      <c r="M62" s="194">
        <f>'КОМБО В-52 Стандарт'!M62+'КОМБО В-52 Стандарт'!M62*5/100</f>
        <v>147.60414900000006</v>
      </c>
      <c r="N62" s="194">
        <f>'КОМБО В-52 Стандарт'!N62+'КОМБО В-52 Стандарт'!N62*5/100</f>
        <v>155.89797300000004</v>
      </c>
      <c r="O62" s="194">
        <f>'КОМБО В-52 Стандарт'!O62+'КОМБО В-52 Стандарт'!O62*5/100</f>
        <v>164.19179700000004</v>
      </c>
      <c r="P62" s="195">
        <f>'КОМБО В-52 Стандарт'!P62+'КОМБО В-52 Стандарт'!P62*5/100</f>
        <v>172.61521200000004</v>
      </c>
    </row>
    <row r="63" spans="1:16">
      <c r="A63" s="1781"/>
      <c r="B63" s="333">
        <v>2.8</v>
      </c>
      <c r="C63" s="247">
        <f>'КОМБО В-52 Стандарт'!C63+'КОМБО В-52 Стандарт'!C63*5/100</f>
        <v>65.313864000000009</v>
      </c>
      <c r="D63" s="194">
        <f>'КОМБО В-52 Стандарт'!D63+'КОМБО В-52 Стандарт'!D63*5/100</f>
        <v>73.86687000000002</v>
      </c>
      <c r="E63" s="194">
        <f>'КОМБО В-52 Стандарт'!E63+'КОМБО В-52 Стандарт'!E63*5/100</f>
        <v>82.290285000000011</v>
      </c>
      <c r="F63" s="194">
        <f>'КОМБО В-52 Стандарт'!F63+'КОМБО В-52 Стандарт'!F63*5/100</f>
        <v>90.843291000000022</v>
      </c>
      <c r="G63" s="194">
        <f>'КОМБО В-52 Стандарт'!G63+'КОМБО В-52 Стандарт'!G63*5/100</f>
        <v>99.396297000000033</v>
      </c>
      <c r="H63" s="194">
        <f>'КОМБО В-52 Стандарт'!H63+'КОМБО В-52 Стандарт'!H63*5/100</f>
        <v>107.949303</v>
      </c>
      <c r="I63" s="194">
        <f>'КОМБО В-52 Стандарт'!I63+'КОМБО В-52 Стандарт'!I63*5/100</f>
        <v>116.50230900000003</v>
      </c>
      <c r="J63" s="194">
        <f>'КОМБО В-52 Стандарт'!J63+'КОМБО В-52 Стандарт'!J63*5/100</f>
        <v>124.92572400000003</v>
      </c>
      <c r="K63" s="194">
        <f>'КОМБО В-52 Стандарт'!K63+'КОМБО В-52 Стандарт'!K63*5/100</f>
        <v>133.47873000000004</v>
      </c>
      <c r="L63" s="194">
        <f>'КОМБО В-52 Стандарт'!L63+'КОМБО В-52 Стандарт'!L63*5/100</f>
        <v>142.03173600000002</v>
      </c>
      <c r="M63" s="194">
        <f>'КОМБО В-52 Стандарт'!M63+'КОМБО В-52 Стандарт'!M63*5/100</f>
        <v>150.58474200000003</v>
      </c>
      <c r="N63" s="194">
        <f>'КОМБО В-52 Стандарт'!N63+'КОМБО В-52 Стандарт'!N63*5/100</f>
        <v>159.13774800000002</v>
      </c>
      <c r="O63" s="194">
        <f>'КОМБО В-52 Стандарт'!O63+'КОМБО В-52 Стандарт'!O63*5/100</f>
        <v>167.56116300000005</v>
      </c>
      <c r="P63" s="195">
        <f>'КОМБО В-52 Стандарт'!P63+'КОМБО В-52 Стандарт'!P63*5/100</f>
        <v>176.11416900000003</v>
      </c>
    </row>
    <row r="64" spans="1:16">
      <c r="A64" s="1781"/>
      <c r="B64" s="333">
        <v>2.9</v>
      </c>
      <c r="C64" s="247">
        <f>'КОМБО В-52 Стандарт'!C64+'КОМБО В-52 Стандарт'!C64*5/100</f>
        <v>66.35059200000002</v>
      </c>
      <c r="D64" s="194">
        <f>'КОМБО В-52 Стандарт'!D64+'КОМБО В-52 Стандарт'!D64*5/100</f>
        <v>75.162780000000026</v>
      </c>
      <c r="E64" s="194">
        <f>'КОМБО В-52 Стандарт'!E64+'КОМБО В-52 Стандарт'!E64*5/100</f>
        <v>83.845377000000013</v>
      </c>
      <c r="F64" s="194">
        <f>'КОМБО В-52 Стандарт'!F64+'КОМБО В-52 Стандарт'!F64*5/100</f>
        <v>92.527974000000015</v>
      </c>
      <c r="G64" s="194">
        <f>'КОМБО В-52 Стандарт'!G64+'КОМБО В-52 Стандарт'!G64*5/100</f>
        <v>101.210571</v>
      </c>
      <c r="H64" s="194">
        <f>'КОМБО В-52 Стандарт'!H64+'КОМБО В-52 Стандарт'!H64*5/100</f>
        <v>110.02275900000004</v>
      </c>
      <c r="I64" s="194">
        <f>'КОМБО В-52 Стандарт'!I64+'КОМБО В-52 Стандарт'!I64*5/100</f>
        <v>118.70535600000002</v>
      </c>
      <c r="J64" s="194">
        <f>'КОМБО В-52 Стандарт'!J64+'КОМБО В-52 Стандарт'!J64*5/100</f>
        <v>127.38795300000004</v>
      </c>
      <c r="K64" s="194">
        <f>'КОМБО В-52 Стандарт'!K64+'КОМБО В-52 Стандарт'!K64*5/100</f>
        <v>136.20014100000003</v>
      </c>
      <c r="L64" s="194">
        <f>'КОМБО В-52 Стандарт'!L64+'КОМБО В-52 Стандарт'!L64*5/100</f>
        <v>144.88273800000002</v>
      </c>
      <c r="M64" s="194">
        <f>'КОМБО В-52 Стандарт'!M64+'КОМБО В-52 Стандарт'!M64*5/100</f>
        <v>153.43574400000003</v>
      </c>
      <c r="N64" s="194">
        <f>'КОМБО В-52 Стандарт'!N64+'КОМБО В-52 Стандарт'!N64*5/100</f>
        <v>162.11834100000002</v>
      </c>
      <c r="O64" s="194">
        <f>'КОМБО В-52 Стандарт'!O64+'КОМБО В-52 Стандарт'!O64*5/100</f>
        <v>170.80093800000003</v>
      </c>
      <c r="P64" s="195">
        <f>'КОМБО В-52 Стандарт'!P64+'КОМБО В-52 Стандарт'!P64*5/100</f>
        <v>179.61312600000002</v>
      </c>
    </row>
    <row r="65" spans="1:16">
      <c r="A65" s="1781"/>
      <c r="B65" s="333">
        <v>3</v>
      </c>
      <c r="C65" s="247">
        <f>'КОМБО В-52 Стандарт'!C65+'КОМБО В-52 Стандарт'!C65*5/100</f>
        <v>67.516911000000022</v>
      </c>
      <c r="D65" s="194">
        <f>'КОМБО В-52 Стандарт'!D65+'КОМБО В-52 Стандарт'!D65*5/100</f>
        <v>76.329099000000014</v>
      </c>
      <c r="E65" s="194">
        <f>'КОМБО В-52 Стандарт'!E65+'КОМБО В-52 Стандарт'!E65*5/100</f>
        <v>85.27087800000001</v>
      </c>
      <c r="F65" s="194">
        <f>'КОМБО В-52 Стандарт'!F65+'КОМБО В-52 Стандарт'!F65*5/100</f>
        <v>94.083066000000017</v>
      </c>
      <c r="G65" s="194">
        <f>'КОМБО В-52 Стандарт'!G65+'КОМБО В-52 Стандарт'!G65*5/100</f>
        <v>103.02484500000003</v>
      </c>
      <c r="H65" s="194">
        <f>'КОМБО В-52 Стандарт'!H65+'КОМБО В-52 Стандарт'!H65*5/100</f>
        <v>112.09621500000002</v>
      </c>
      <c r="I65" s="194">
        <f>'КОМБО В-52 Стандарт'!I65+'КОМБО В-52 Стандарт'!I65*5/100</f>
        <v>120.90840300000002</v>
      </c>
      <c r="J65" s="194">
        <f>'КОМБО В-52 Стандарт'!J65+'КОМБО В-52 Стандарт'!J65*5/100</f>
        <v>129.85018200000005</v>
      </c>
      <c r="K65" s="194">
        <f>'КОМБО В-52 Стандарт'!K65+'КОМБО В-52 Стандарт'!K65*5/100</f>
        <v>138.66237000000004</v>
      </c>
      <c r="L65" s="194">
        <f>'КОМБО В-52 Стандарт'!L65+'КОМБО В-52 Стандарт'!L65*5/100</f>
        <v>147.60414900000006</v>
      </c>
      <c r="M65" s="194">
        <f>'КОМБО В-52 Стандарт'!M65+'КОМБО В-52 Стандарт'!M65*5/100</f>
        <v>156.41633700000003</v>
      </c>
      <c r="N65" s="194">
        <f>'КОМБО В-52 Стандарт'!N65+'КОМБО В-52 Стандарт'!N65*5/100</f>
        <v>165.35811600000002</v>
      </c>
      <c r="O65" s="194">
        <f>'КОМБО В-52 Стандарт'!O65+'КОМБО В-52 Стандарт'!O65*5/100</f>
        <v>174.17030400000007</v>
      </c>
      <c r="P65" s="195">
        <f>'КОМБО В-52 Стандарт'!P65+'КОМБО В-52 Стандарт'!P65*5/100</f>
        <v>183.24167400000005</v>
      </c>
    </row>
    <row r="66" spans="1:16">
      <c r="A66" s="1781"/>
      <c r="B66" s="333">
        <v>3.1</v>
      </c>
      <c r="C66" s="247">
        <f>'КОМБО В-52 Стандарт'!C66+'КОМБО В-52 Стандарт'!C66*5/100</f>
        <v>68.683230000000009</v>
      </c>
      <c r="D66" s="194">
        <f>'КОМБО В-52 Стандарт'!D66+'КОМБО В-52 Стандарт'!D66*5/100</f>
        <v>77.625009000000006</v>
      </c>
      <c r="E66" s="194">
        <f>'КОМБО В-52 Стандарт'!E66+'КОМБО В-52 Стандарт'!E66*5/100</f>
        <v>86.825970000000012</v>
      </c>
      <c r="F66" s="194">
        <f>'КОМБО В-52 Стандарт'!F66+'КОМБО В-52 Стандарт'!F66*5/100</f>
        <v>95.897340000000014</v>
      </c>
      <c r="G66" s="194">
        <f>'КОМБО В-52 Стандарт'!G66+'КОМБО В-52 Стандарт'!G66*5/100</f>
        <v>104.96871000000003</v>
      </c>
      <c r="H66" s="194">
        <f>'КОМБО В-52 Стандарт'!H66+'КОМБО В-52 Стандарт'!H66*5/100</f>
        <v>113.91048900000001</v>
      </c>
      <c r="I66" s="194">
        <f>'КОМБО В-52 Стандарт'!I66+'КОМБО В-52 Стандарт'!I66*5/100</f>
        <v>123.11145000000002</v>
      </c>
      <c r="J66" s="194">
        <f>'КОМБО В-52 Стандарт'!J66+'КОМБО В-52 Стандарт'!J66*5/100</f>
        <v>132.18282000000002</v>
      </c>
      <c r="K66" s="194">
        <f>'КОМБО В-52 Стандарт'!K66+'КОМБО В-52 Стандарт'!K66*5/100</f>
        <v>141.25419000000005</v>
      </c>
      <c r="L66" s="194">
        <f>'КОМБО В-52 Стандарт'!L66+'КОМБО В-52 Стандарт'!L66*5/100</f>
        <v>150.45515100000003</v>
      </c>
      <c r="M66" s="194">
        <f>'КОМБО В-52 Стандарт'!M66+'КОМБО В-52 Стандарт'!M66*5/100</f>
        <v>159.39693000000003</v>
      </c>
      <c r="N66" s="194">
        <f>'КОМБО В-52 Стандарт'!N66+'КОМБО В-52 Стандарт'!N66*5/100</f>
        <v>168.46830000000003</v>
      </c>
      <c r="O66" s="194">
        <f>'КОМБО В-52 Стандарт'!O66+'КОМБО В-52 Стандарт'!O66*5/100</f>
        <v>177.53967000000006</v>
      </c>
      <c r="P66" s="195">
        <f>'КОМБО В-52 Стандарт'!P66+'КОМБО В-52 Стандарт'!P66*5/100</f>
        <v>186.74063100000004</v>
      </c>
    </row>
    <row r="67" spans="1:16" ht="13.8" thickBot="1">
      <c r="A67" s="1782"/>
      <c r="B67" s="335">
        <v>3.2</v>
      </c>
      <c r="C67" s="248">
        <f>'КОМБО В-52 Стандарт'!C67+'КОМБО В-52 Стандарт'!C67*5/100</f>
        <v>69.719958000000005</v>
      </c>
      <c r="D67" s="196">
        <f>'КОМБО В-52 Стандарт'!D67+'КОМБО В-52 Стандарт'!D67*5/100</f>
        <v>78.920919000000012</v>
      </c>
      <c r="E67" s="196">
        <f>'КОМБО В-52 Стандарт'!E67+'КОМБО В-52 Стандарт'!E67*5/100</f>
        <v>88.251470999999995</v>
      </c>
      <c r="F67" s="196">
        <f>'КОМБО В-52 Стандарт'!F67+'КОМБО В-52 Стандарт'!F67*5/100</f>
        <v>97.452432000000016</v>
      </c>
      <c r="G67" s="196">
        <f>'КОМБО В-52 Стандарт'!G67+'КОМБО В-52 Стандарт'!G67*5/100</f>
        <v>106.78298400000001</v>
      </c>
      <c r="H67" s="196">
        <f>'КОМБО В-52 Стандарт'!H67+'КОМБО В-52 Стандарт'!H67*5/100</f>
        <v>115.98394500000002</v>
      </c>
      <c r="I67" s="196">
        <f>'КОМБО В-52 Стандарт'!I67+'КОМБО В-52 Стандарт'!I67*5/100</f>
        <v>125.31449700000003</v>
      </c>
      <c r="J67" s="196">
        <f>'КОМБО В-52 Стандарт'!J67+'КОМБО В-52 Стандарт'!J67*5/100</f>
        <v>134.51545800000002</v>
      </c>
      <c r="K67" s="196">
        <f>'КОМБО В-52 Стандарт'!K67+'КОМБО В-52 Стандарт'!K67*5/100</f>
        <v>143.84601000000001</v>
      </c>
      <c r="L67" s="196">
        <f>'КОМБО В-52 Стандарт'!L67+'КОМБО В-52 Стандарт'!L67*5/100</f>
        <v>153.04697100000001</v>
      </c>
      <c r="M67" s="196">
        <f>'КОМБО В-52 Стандарт'!M67+'КОМБО В-52 Стандарт'!M67*5/100</f>
        <v>162.50711400000003</v>
      </c>
      <c r="N67" s="196">
        <f>'КОМБО В-52 Стандарт'!N67+'КОМБО В-52 Стандарт'!N67*5/100</f>
        <v>171.70807500000004</v>
      </c>
      <c r="O67" s="196">
        <f>'КОМБО В-52 Стандарт'!O67+'КОМБО В-52 Стандарт'!O67*5/100</f>
        <v>181.03862700000002</v>
      </c>
      <c r="P67" s="197">
        <f>'КОМБО В-52 Стандарт'!P67+'КОМБО В-52 Стандарт'!P67*5/100</f>
        <v>190.23958800000005</v>
      </c>
    </row>
    <row r="68" spans="1:16" ht="13.8" thickBot="1"/>
    <row r="69" spans="1:16" ht="13.8" thickBot="1">
      <c r="A69" s="1413" t="s">
        <v>318</v>
      </c>
      <c r="B69" s="1415"/>
      <c r="C69" s="1898" t="s">
        <v>207</v>
      </c>
      <c r="D69" s="1899"/>
      <c r="E69" s="1899"/>
      <c r="F69" s="1899"/>
      <c r="G69" s="1899"/>
      <c r="H69" s="1899"/>
      <c r="I69" s="1899"/>
      <c r="J69" s="1899"/>
      <c r="K69" s="1899"/>
      <c r="L69" s="1899"/>
      <c r="M69" s="1899"/>
      <c r="N69" s="1899"/>
      <c r="O69" s="1899"/>
      <c r="P69" s="1900"/>
    </row>
    <row r="70" spans="1:16" ht="13.8" thickBot="1">
      <c r="A70" s="1803"/>
      <c r="B70" s="1802"/>
      <c r="C70" s="328">
        <v>0.4</v>
      </c>
      <c r="D70" s="329">
        <v>0.5</v>
      </c>
      <c r="E70" s="329">
        <v>0.6</v>
      </c>
      <c r="F70" s="329">
        <v>0.7</v>
      </c>
      <c r="G70" s="329">
        <v>0.8</v>
      </c>
      <c r="H70" s="329">
        <v>0.9</v>
      </c>
      <c r="I70" s="329">
        <v>1</v>
      </c>
      <c r="J70" s="329">
        <v>1.1000000000000001</v>
      </c>
      <c r="K70" s="329">
        <v>1.2</v>
      </c>
      <c r="L70" s="329">
        <v>1.3</v>
      </c>
      <c r="M70" s="329">
        <v>1.4</v>
      </c>
      <c r="N70" s="329">
        <v>1.5</v>
      </c>
      <c r="O70" s="329">
        <v>1.6</v>
      </c>
      <c r="P70" s="330">
        <v>1.7</v>
      </c>
    </row>
    <row r="71" spans="1:16">
      <c r="A71" s="1780" t="s">
        <v>3</v>
      </c>
      <c r="B71" s="331">
        <v>0.5</v>
      </c>
      <c r="C71" s="246">
        <f>'КОМБО В-52 Стандарт'!C71+'КОМБО В-52 Стандарт'!C71*5/100</f>
        <v>47.559897000000014</v>
      </c>
      <c r="D71" s="192">
        <f>'КОМБО В-52 Стандарт'!D71+'КОМБО В-52 Стандарт'!D71*5/100</f>
        <v>52.484355000000015</v>
      </c>
      <c r="E71" s="192">
        <f>'КОМБО В-52 Стандарт'!E71+'КОМБО В-52 Стандарт'!E71*5/100</f>
        <v>57.408813000000009</v>
      </c>
      <c r="F71" s="192">
        <f>'КОМБО В-52 Стандарт'!F71+'КОМБО В-52 Стандарт'!F71*5/100</f>
        <v>62.074089000000001</v>
      </c>
      <c r="G71" s="192">
        <f>'КОМБО В-52 Стандарт'!G71+'КОМБО В-52 Стандарт'!G71*5/100</f>
        <v>66.998547000000002</v>
      </c>
      <c r="H71" s="192">
        <f>'КОМБО В-52 Стандарт'!H71+'КОМБО В-52 Стандарт'!H71*5/100</f>
        <v>71.923005000000003</v>
      </c>
      <c r="I71" s="192">
        <f>'КОМБО В-52 Стандарт'!I71+'КОМБО В-52 Стандарт'!I71*5/100</f>
        <v>76.847463000000005</v>
      </c>
      <c r="J71" s="192">
        <f>'КОМБО В-52 Стандарт'!J71+'КОМБО В-52 Стандарт'!J71*5/100</f>
        <v>81.642330000000015</v>
      </c>
      <c r="K71" s="192">
        <f>'КОМБО В-52 Стандарт'!K71+'КОМБО В-52 Стандарт'!K71*5/100</f>
        <v>86.566788000000017</v>
      </c>
      <c r="L71" s="192">
        <f>'КОМБО В-52 Стандарт'!L71+'КОМБО В-52 Стандарт'!L71*5/100</f>
        <v>91.491246000000004</v>
      </c>
      <c r="M71" s="192">
        <f>'КОМБО В-52 Стандарт'!M71+'КОМБО В-52 Стандарт'!M71*5/100</f>
        <v>96.415704000000019</v>
      </c>
      <c r="N71" s="192">
        <f>'КОМБО В-52 Стандарт'!N71+'КОМБО В-52 Стандарт'!N71*5/100</f>
        <v>101.08098000000001</v>
      </c>
      <c r="O71" s="192">
        <f>'КОМБО В-52 Стандарт'!O71+'КОМБО В-52 Стандарт'!O71*5/100</f>
        <v>106.00543800000001</v>
      </c>
      <c r="P71" s="193">
        <f>'КОМБО В-52 Стандарт'!P71+'КОМБО В-52 Стандарт'!P71*5/100</f>
        <v>110.92989600000001</v>
      </c>
    </row>
    <row r="72" spans="1:16">
      <c r="A72" s="1781"/>
      <c r="B72" s="333">
        <v>0.6</v>
      </c>
      <c r="C72" s="247">
        <f>'КОМБО В-52 Стандарт'!C72+'КОМБО В-52 Стандарт'!C72*5/100</f>
        <v>48.985398000000004</v>
      </c>
      <c r="D72" s="194">
        <f>'КОМБО В-52 Стандарт'!D72+'КОМБО В-52 Стандарт'!D72*5/100</f>
        <v>54.169038000000008</v>
      </c>
      <c r="E72" s="194">
        <f>'КОМБО В-52 Стандарт'!E72+'КОМБО В-52 Стандарт'!E72*5/100</f>
        <v>59.482269000000009</v>
      </c>
      <c r="F72" s="194">
        <f>'КОМБО В-52 Стандарт'!F72+'КОМБО В-52 Стандарт'!F72*5/100</f>
        <v>64.665908999999999</v>
      </c>
      <c r="G72" s="194">
        <f>'КОМБО В-52 Стандарт'!G72+'КОМБО В-52 Стандарт'!G72*5/100</f>
        <v>69.849549000000025</v>
      </c>
      <c r="H72" s="194">
        <f>'КОМБО В-52 Стандарт'!H72+'КОМБО В-52 Стандарт'!H72*5/100</f>
        <v>75.162780000000026</v>
      </c>
      <c r="I72" s="194">
        <f>'КОМБО В-52 Стандарт'!I72+'КОМБО В-52 Стандарт'!I72*5/100</f>
        <v>80.346420000000009</v>
      </c>
      <c r="J72" s="194">
        <f>'КОМБО В-52 Стандарт'!J72+'КОМБО В-52 Стандарт'!J72*5/100</f>
        <v>85.530060000000034</v>
      </c>
      <c r="K72" s="194">
        <f>'КОМБО В-52 Стандарт'!K72+'КОМБО В-52 Стандарт'!K72*5/100</f>
        <v>90.843291000000022</v>
      </c>
      <c r="L72" s="194">
        <f>'КОМБО В-52 Стандарт'!L72+'КОМБО В-52 Стандарт'!L72*5/100</f>
        <v>95.897340000000014</v>
      </c>
      <c r="M72" s="194">
        <f>'КОМБО В-52 Стандарт'!M72+'КОМБО В-52 Стандарт'!M72*5/100</f>
        <v>101.08098000000001</v>
      </c>
      <c r="N72" s="194">
        <f>'КОМБО В-52 Стандарт'!N72+'КОМБО В-52 Стандарт'!N72*5/100</f>
        <v>106.394211</v>
      </c>
      <c r="O72" s="194">
        <f>'КОМБО В-52 Стандарт'!O72+'КОМБО В-52 Стандарт'!O72*5/100</f>
        <v>111.57785100000002</v>
      </c>
      <c r="P72" s="195">
        <f>'КОМБО В-52 Стандарт'!P72+'КОМБО В-52 Стандарт'!P72*5/100</f>
        <v>116.76149100000001</v>
      </c>
    </row>
    <row r="73" spans="1:16">
      <c r="A73" s="1781"/>
      <c r="B73" s="333">
        <v>0.7</v>
      </c>
      <c r="C73" s="247">
        <f>'КОМБО В-52 Стандарт'!C73+'КОМБО В-52 Стандарт'!C73*5/100</f>
        <v>50.540490000000005</v>
      </c>
      <c r="D73" s="194">
        <f>'КОМБО В-52 Стандарт'!D73+'КОМБО В-52 Стандарт'!D73*5/100</f>
        <v>56.112903000000003</v>
      </c>
      <c r="E73" s="194">
        <f>'КОМБО В-52 Стандарт'!E73+'КОМБО В-52 Стандарт'!E73*5/100</f>
        <v>61.685316000000007</v>
      </c>
      <c r="F73" s="194">
        <f>'КОМБО В-52 Стандарт'!F73+'КОМБО В-52 Стандарт'!F73*5/100</f>
        <v>67.257729000000012</v>
      </c>
      <c r="G73" s="194">
        <f>'КОМБО В-52 Стандарт'!G73+'КОМБО В-52 Стандарт'!G73*5/100</f>
        <v>72.700551000000019</v>
      </c>
      <c r="H73" s="194">
        <f>'КОМБО В-52 Стандарт'!H73+'КОМБО В-52 Стандарт'!H73*5/100</f>
        <v>78.272964000000002</v>
      </c>
      <c r="I73" s="194">
        <f>'КОМБО В-52 Стандарт'!I73+'КОМБО В-52 Стандарт'!I73*5/100</f>
        <v>83.845377000000013</v>
      </c>
      <c r="J73" s="194">
        <f>'КОМБО В-52 Стандарт'!J73+'КОМБО В-52 Стандарт'!J73*5/100</f>
        <v>89.417790000000025</v>
      </c>
      <c r="K73" s="194">
        <f>'КОМБО В-52 Стандарт'!K73+'КОМБО В-52 Стандарт'!K73*5/100</f>
        <v>94.990203000000022</v>
      </c>
      <c r="L73" s="194">
        <f>'КОМБО В-52 Стандарт'!L73+'КОМБО В-52 Стандарт'!L73*5/100</f>
        <v>100.43302500000001</v>
      </c>
      <c r="M73" s="194">
        <f>'КОМБО В-52 Стандарт'!M73+'КОМБО В-52 Стандарт'!M73*5/100</f>
        <v>106.00543800000001</v>
      </c>
      <c r="N73" s="194">
        <f>'КОМБО В-52 Стандарт'!N73+'КОМБО В-52 Стандарт'!N73*5/100</f>
        <v>111.57785100000002</v>
      </c>
      <c r="O73" s="194">
        <f>'КОМБО В-52 Стандарт'!O73+'КОМБО В-52 Стандарт'!O73*5/100</f>
        <v>117.15026400000004</v>
      </c>
      <c r="P73" s="195">
        <f>'КОМБО В-52 Стандарт'!P73+'КОМБО В-52 Стандарт'!P73*5/100</f>
        <v>122.72267700000002</v>
      </c>
    </row>
    <row r="74" spans="1:16">
      <c r="A74" s="1781"/>
      <c r="B74" s="333">
        <v>0.8</v>
      </c>
      <c r="C74" s="247">
        <f>'КОМБО В-52 Стандарт'!C74+'КОМБО В-52 Стандарт'!C74*5/100</f>
        <v>51.965991000000002</v>
      </c>
      <c r="D74" s="194">
        <f>'КОМБО В-52 Стандарт'!D74+'КОМБО В-52 Стандарт'!D74*5/100</f>
        <v>57.797586000000017</v>
      </c>
      <c r="E74" s="194">
        <f>'КОМБО В-52 Стандарт'!E74+'КОМБО В-52 Стандарт'!E74*5/100</f>
        <v>63.758772000000022</v>
      </c>
      <c r="F74" s="194">
        <f>'КОМБО В-52 Стандарт'!F74+'КОМБО В-52 Стандарт'!F74*5/100</f>
        <v>69.590367000000015</v>
      </c>
      <c r="G74" s="194">
        <f>'КОМБО В-52 Стандарт'!G74+'КОМБО В-52 Стандарт'!G74*5/100</f>
        <v>75.421962000000022</v>
      </c>
      <c r="H74" s="194">
        <f>'КОМБО В-52 Стандарт'!H74+'КОМБО В-52 Стандарт'!H74*5/100</f>
        <v>81.51273900000001</v>
      </c>
      <c r="I74" s="194">
        <f>'КОМБО В-52 Стандарт'!I74+'КОМБО В-52 Стандарт'!I74*5/100</f>
        <v>87.344334000000018</v>
      </c>
      <c r="J74" s="194">
        <f>'КОМБО В-52 Стандарт'!J74+'КОМБО В-52 Стандарт'!J74*5/100</f>
        <v>93.175929000000025</v>
      </c>
      <c r="K74" s="194">
        <f>'КОМБО В-52 Стандарт'!K74+'КОМБО В-52 Стандарт'!K74*5/100</f>
        <v>99.007524000000046</v>
      </c>
      <c r="L74" s="194">
        <f>'КОМБО В-52 Стандарт'!L74+'КОМБО В-52 Стандарт'!L74*5/100</f>
        <v>104.96871000000003</v>
      </c>
      <c r="M74" s="194">
        <f>'КОМБО В-52 Стандарт'!M74+'КОМБО В-52 Стандарт'!M74*5/100</f>
        <v>110.92989600000001</v>
      </c>
      <c r="N74" s="194">
        <f>'КОМБО В-52 Стандарт'!N74+'КОМБО В-52 Стандарт'!N74*5/100</f>
        <v>116.76149100000001</v>
      </c>
      <c r="O74" s="194">
        <f>'КОМБО В-52 Стандарт'!O74+'КОМБО В-52 Стандарт'!O74*5/100</f>
        <v>122.72267700000002</v>
      </c>
      <c r="P74" s="195">
        <f>'КОМБО В-52 Стандарт'!P74+'КОМБО В-52 Стандарт'!P74*5/100</f>
        <v>128.55427200000003</v>
      </c>
    </row>
    <row r="75" spans="1:16">
      <c r="A75" s="1781"/>
      <c r="B75" s="333">
        <v>0.9</v>
      </c>
      <c r="C75" s="247">
        <f>'КОМБО В-52 Стандарт'!C75+'КОМБО В-52 Стандарт'!C75*5/100</f>
        <v>53.391492000000007</v>
      </c>
      <c r="D75" s="194">
        <f>'КОМБО В-52 Стандарт'!D75+'КОМБО В-52 Стандарт'!D75*5/100</f>
        <v>59.611860000000021</v>
      </c>
      <c r="E75" s="194">
        <f>'КОМБО В-52 Стандарт'!E75+'КОМБО В-52 Стандарт'!E75*5/100</f>
        <v>65.96181900000002</v>
      </c>
      <c r="F75" s="194">
        <f>'КОМБО В-52 Стандарт'!F75+'КОМБО В-52 Стандарт'!F75*5/100</f>
        <v>72.052596000000023</v>
      </c>
      <c r="G75" s="194">
        <f>'КОМБО В-52 Стандарт'!G75+'КОМБО В-52 Стандарт'!G75*5/100</f>
        <v>78.272964000000002</v>
      </c>
      <c r="H75" s="194">
        <f>'КОМБО В-52 Стандарт'!H75+'КОМБО В-52 Стандарт'!H75*5/100</f>
        <v>84.622923</v>
      </c>
      <c r="I75" s="194">
        <f>'КОМБО В-52 Стандарт'!I75+'КОМБО В-52 Стандарт'!I75*5/100</f>
        <v>90.843291000000022</v>
      </c>
      <c r="J75" s="194">
        <f>'КОМБО В-52 Стандарт'!J75+'КОМБО В-52 Стандарт'!J75*5/100</f>
        <v>96.934068000000011</v>
      </c>
      <c r="K75" s="194">
        <f>'КОМБО В-52 Стандарт'!K75+'КОМБО В-52 Стандарт'!K75*5/100</f>
        <v>103.28402700000004</v>
      </c>
      <c r="L75" s="194">
        <f>'КОМБО В-52 Стандарт'!L75+'КОМБО В-52 Стандарт'!L75*5/100</f>
        <v>109.50439500000002</v>
      </c>
      <c r="M75" s="194">
        <f>'КОМБО В-52 Стандарт'!M75+'КОМБО В-52 Стандарт'!M75*5/100</f>
        <v>115.72476300000002</v>
      </c>
      <c r="N75" s="194">
        <f>'КОМБО В-52 Стандарт'!N75+'КОМБО В-52 Стандарт'!N75*5/100</f>
        <v>122.07472200000001</v>
      </c>
      <c r="O75" s="194">
        <f>'КОМБО В-52 Стандарт'!O75+'КОМБО В-52 Стандарт'!O75*5/100</f>
        <v>128.16549900000004</v>
      </c>
      <c r="P75" s="195">
        <f>'КОМБО В-52 Стандарт'!P75+'КОМБО В-52 Стандарт'!P75*5/100</f>
        <v>134.38586700000002</v>
      </c>
    </row>
    <row r="76" spans="1:16">
      <c r="A76" s="1781"/>
      <c r="B76" s="333">
        <v>1</v>
      </c>
      <c r="C76" s="247">
        <f>'КОМБО В-52 Стандарт'!C76+'КОМБО В-52 Стандарт'!C76*5/100</f>
        <v>54.816993000000011</v>
      </c>
      <c r="D76" s="194">
        <f>'КОМБО В-52 Стандарт'!D76+'КОМБО В-52 Стандарт'!D76*5/100</f>
        <v>61.55572500000001</v>
      </c>
      <c r="E76" s="194">
        <f>'КОМБО В-52 Стандарт'!E76+'КОМБО В-52 Стандарт'!E76*5/100</f>
        <v>68.035275000000013</v>
      </c>
      <c r="F76" s="194">
        <f>'КОМБО В-52 Стандарт'!F76+'КОМБО В-52 Стандарт'!F76*5/100</f>
        <v>74.644416000000007</v>
      </c>
      <c r="G76" s="194">
        <f>'КОМБО В-52 Стандарт'!G76+'КОМБО В-52 Стандарт'!G76*5/100</f>
        <v>81.123966000000024</v>
      </c>
      <c r="H76" s="194">
        <f>'КОМБО В-52 Стандарт'!H76+'КОМБО В-52 Стандарт'!H76*5/100</f>
        <v>87.862698000000009</v>
      </c>
      <c r="I76" s="194">
        <f>'КОМБО В-52 Стандарт'!I76+'КОМБО В-52 Стандарт'!I76*5/100</f>
        <v>94.342248000000012</v>
      </c>
      <c r="J76" s="194">
        <f>'КОМБО В-52 Стандарт'!J76+'КОМБО В-52 Стандарт'!J76*5/100</f>
        <v>100.82179800000002</v>
      </c>
      <c r="K76" s="194">
        <f>'КОМБО В-52 Стандарт'!K76+'КОМБО В-52 Стандарт'!K76*5/100</f>
        <v>107.43093900000002</v>
      </c>
      <c r="L76" s="194">
        <f>'КОМБО В-52 Стандарт'!L76+'КОМБО В-52 Стандарт'!L76*5/100</f>
        <v>113.91048900000001</v>
      </c>
      <c r="M76" s="194">
        <f>'КОМБО В-52 Стандарт'!M76+'КОМБО В-52 Стандарт'!M76*5/100</f>
        <v>120.649221</v>
      </c>
      <c r="N76" s="194">
        <f>'КОМБО В-52 Стандарт'!N76+'КОМБО В-52 Стандарт'!N76*5/100</f>
        <v>127.12877100000001</v>
      </c>
      <c r="O76" s="194">
        <f>'КОМБО В-52 Стандарт'!O76+'КОМБО В-52 Стандарт'!O76*5/100</f>
        <v>133.73791200000002</v>
      </c>
      <c r="P76" s="195">
        <f>'КОМБО В-52 Стандарт'!P76+'КОМБО В-52 Стандарт'!P76*5/100</f>
        <v>140.21746200000001</v>
      </c>
    </row>
    <row r="77" spans="1:16">
      <c r="A77" s="1781"/>
      <c r="B77" s="333">
        <v>1.1000000000000001</v>
      </c>
      <c r="C77" s="247">
        <f>'КОМБО В-52 Стандарт'!C77+'КОМБО В-52 Стандарт'!C77*5/100</f>
        <v>56.372085000000006</v>
      </c>
      <c r="D77" s="194">
        <f>'КОМБО В-52 Стандарт'!D77+'КОМБО В-52 Стандарт'!D77*5/100</f>
        <v>63.240408000000002</v>
      </c>
      <c r="E77" s="194">
        <f>'КОМБО В-52 Стандарт'!E77+'КОМБО В-52 Стандарт'!E77*5/100</f>
        <v>70.238322000000025</v>
      </c>
      <c r="F77" s="194">
        <f>'КОМБО В-52 Стандарт'!F77+'КОМБО В-52 Стандарт'!F77*5/100</f>
        <v>76.977054000000024</v>
      </c>
      <c r="G77" s="194">
        <f>'КОМБО В-52 Стандарт'!G77+'КОМБО В-52 Стандарт'!G77*5/100</f>
        <v>83.974968000000004</v>
      </c>
      <c r="H77" s="194">
        <f>'КОМБО В-52 Стандарт'!H77+'КОМБО В-52 Стандарт'!H77*5/100</f>
        <v>90.972882000000013</v>
      </c>
      <c r="I77" s="194">
        <f>'КОМБО В-52 Стандарт'!I77+'КОМБО В-52 Стандарт'!I77*5/100</f>
        <v>97.841205000000016</v>
      </c>
      <c r="J77" s="194">
        <f>'КОМБО В-52 Стандарт'!J77+'КОМБО В-52 Стандарт'!J77*5/100</f>
        <v>104.70952800000002</v>
      </c>
      <c r="K77" s="194">
        <f>'КОМБО В-52 Стандарт'!K77+'КОМБО В-52 Стандарт'!K77*5/100</f>
        <v>111.57785100000002</v>
      </c>
      <c r="L77" s="194">
        <f>'КОМБО В-52 Стандарт'!L77+'КОМБО В-52 Стандарт'!L77*5/100</f>
        <v>118.57576500000003</v>
      </c>
      <c r="M77" s="194">
        <f>'КОМБО В-52 Стандарт'!M77+'КОМБО В-52 Стандарт'!M77*5/100</f>
        <v>125.31449700000003</v>
      </c>
      <c r="N77" s="194">
        <f>'КОМБО В-52 Стандарт'!N77+'КОМБО В-52 Стандарт'!N77*5/100</f>
        <v>132.31241100000003</v>
      </c>
      <c r="O77" s="194">
        <f>'КОМБО В-52 Стандарт'!O77+'КОМБО В-52 Стандарт'!O77*5/100</f>
        <v>139.31032500000003</v>
      </c>
      <c r="P77" s="195">
        <f>'КОМБО В-52 Стандарт'!P77+'КОМБО В-52 Стандарт'!P77*5/100</f>
        <v>146.17864800000004</v>
      </c>
    </row>
    <row r="78" spans="1:16">
      <c r="A78" s="1781"/>
      <c r="B78" s="333">
        <v>1.2</v>
      </c>
      <c r="C78" s="247">
        <f>'КОМБО В-52 Стандарт'!C78+'КОМБО В-52 Стандарт'!C78*5/100</f>
        <v>57.797586000000017</v>
      </c>
      <c r="D78" s="194">
        <f>'КОМБО В-52 Стандарт'!D78+'КОМБО В-52 Стандарт'!D78*5/100</f>
        <v>65.184273000000005</v>
      </c>
      <c r="E78" s="194">
        <f>'КОМБО В-52 Стандарт'!E78+'КОМБО В-52 Стандарт'!E78*5/100</f>
        <v>72.311778000000004</v>
      </c>
      <c r="F78" s="194">
        <f>'КОМБО В-52 Стандарт'!F78+'КОМБО В-52 Стандарт'!F78*5/100</f>
        <v>79.568874000000008</v>
      </c>
      <c r="G78" s="194">
        <f>'КОМБО В-52 Стандарт'!G78+'КОМБО В-52 Стандарт'!G78*5/100</f>
        <v>86.825970000000012</v>
      </c>
      <c r="H78" s="194">
        <f>'КОМБО В-52 Стандарт'!H78+'КОМБО В-52 Стандарт'!H78*5/100</f>
        <v>93.953475000000012</v>
      </c>
      <c r="I78" s="194">
        <f>'КОМБО В-52 Стандарт'!I78+'КОМБО В-52 Стандарт'!I78*5/100</f>
        <v>101.210571</v>
      </c>
      <c r="J78" s="194">
        <f>'КОМБО В-52 Стандарт'!J78+'КОМБО В-52 Стандарт'!J78*5/100</f>
        <v>108.59725800000001</v>
      </c>
      <c r="K78" s="194">
        <f>'КОМБО В-52 Стандарт'!K78+'КОМБО В-52 Стандарт'!K78*5/100</f>
        <v>115.85435400000001</v>
      </c>
      <c r="L78" s="194">
        <f>'КОМБО В-52 Стандарт'!L78+'КОМБО В-52 Стандарт'!L78*5/100</f>
        <v>122.98185900000003</v>
      </c>
      <c r="M78" s="194">
        <f>'КОМБО В-52 Стандарт'!M78+'КОМБО В-52 Стандарт'!M78*5/100</f>
        <v>130.23895500000003</v>
      </c>
      <c r="N78" s="194">
        <f>'КОМБО В-52 Стандарт'!N78+'КОМБО В-52 Стандарт'!N78*5/100</f>
        <v>137.62564200000003</v>
      </c>
      <c r="O78" s="194">
        <f>'КОМБО В-52 Стандарт'!O78+'КОМБО В-52 Стандарт'!O78*5/100</f>
        <v>144.88273800000002</v>
      </c>
      <c r="P78" s="195">
        <f>'КОМБО В-52 Стандарт'!P78+'КОМБО В-52 Стандарт'!P78*5/100</f>
        <v>152.01024300000003</v>
      </c>
    </row>
    <row r="79" spans="1:16">
      <c r="A79" s="1781"/>
      <c r="B79" s="333">
        <v>1.3</v>
      </c>
      <c r="C79" s="247">
        <f>'КОМБО В-52 Стандарт'!C79+'КОМБО В-52 Стандарт'!C79*5/100</f>
        <v>59.223087000000014</v>
      </c>
      <c r="D79" s="194">
        <f>'КОМБО В-52 Стандарт'!D79+'КОМБО В-52 Стандарт'!D79*5/100</f>
        <v>66.868956000000011</v>
      </c>
      <c r="E79" s="194">
        <f>'КОМБО В-52 Стандарт'!E79+'КОМБО В-52 Стандарт'!E79*5/100</f>
        <v>74.514825000000016</v>
      </c>
      <c r="F79" s="194">
        <f>'КОМБО В-52 Стандарт'!F79+'КОМБО В-52 Стандарт'!F79*5/100</f>
        <v>82.160694000000021</v>
      </c>
      <c r="G79" s="194">
        <f>'КОМБО В-52 Стандарт'!G79+'КОМБО В-52 Стандарт'!G79*5/100</f>
        <v>89.676972000000006</v>
      </c>
      <c r="H79" s="194">
        <f>'КОМБО В-52 Стандарт'!H79+'КОМБО В-52 Стандарт'!H79*5/100</f>
        <v>97.193250000000006</v>
      </c>
      <c r="I79" s="194">
        <f>'КОМБО В-52 Стандарт'!I79+'КОМБО В-52 Стандарт'!I79*5/100</f>
        <v>104.70952800000002</v>
      </c>
      <c r="J79" s="194">
        <f>'КОМБО В-52 Стандарт'!J79+'КОМБО В-52 Стандарт'!J79*5/100</f>
        <v>112.35539700000001</v>
      </c>
      <c r="K79" s="194">
        <f>'КОМБО В-52 Стандарт'!K79+'КОМБО В-52 Стандарт'!K79*5/100</f>
        <v>120.00126600000003</v>
      </c>
      <c r="L79" s="194">
        <f>'КОМБО В-52 Стандарт'!L79+'КОМБО В-52 Стандарт'!L79*5/100</f>
        <v>127.64713500000002</v>
      </c>
      <c r="M79" s="194">
        <f>'КОМБО В-52 Стандарт'!M79+'КОМБО В-52 Стандарт'!M79*5/100</f>
        <v>135.16341300000002</v>
      </c>
      <c r="N79" s="194">
        <f>'КОМБО В-52 Стандарт'!N79+'КОМБО В-52 Стандарт'!N79*5/100</f>
        <v>142.80928200000002</v>
      </c>
      <c r="O79" s="194">
        <f>'КОМБО В-52 Стандарт'!O79+'КОМБО В-52 Стандарт'!O79*5/100</f>
        <v>150.19596900000002</v>
      </c>
      <c r="P79" s="195">
        <f>'КОМБО В-52 Стандарт'!P79+'КОМБО В-52 Стандарт'!P79*5/100</f>
        <v>157.84183800000002</v>
      </c>
    </row>
    <row r="80" spans="1:16">
      <c r="A80" s="1781"/>
      <c r="B80" s="333">
        <v>1.4</v>
      </c>
      <c r="C80" s="247">
        <f>'КОМБО В-52 Стандарт'!C80+'КОМБО В-52 Стандарт'!C80*5/100</f>
        <v>60.648588000000004</v>
      </c>
      <c r="D80" s="194">
        <f>'КОМБО В-52 Стандарт'!D80+'КОМБО В-52 Стандарт'!D80*5/100</f>
        <v>68.683230000000009</v>
      </c>
      <c r="E80" s="194">
        <f>'КОМБО В-52 Стандарт'!E80+'КОМБО В-52 Стандарт'!E80*5/100</f>
        <v>76.588281000000023</v>
      </c>
      <c r="F80" s="194">
        <f>'КОМБО В-52 Стандарт'!F80+'КОМБО В-52 Стандарт'!F80*5/100</f>
        <v>84.493332000000024</v>
      </c>
      <c r="G80" s="194">
        <f>'КОМБО В-52 Стандарт'!G80+'КОМБО В-52 Стандарт'!G80*5/100</f>
        <v>92.398383000000024</v>
      </c>
      <c r="H80" s="194">
        <f>'КОМБО В-52 Стандарт'!H80+'КОМБО В-52 Стандарт'!H80*5/100</f>
        <v>100.30343400000002</v>
      </c>
      <c r="I80" s="194">
        <f>'КОМБО В-52 Стандарт'!I80+'КОМБО В-52 Стандарт'!I80*5/100</f>
        <v>108.20848500000002</v>
      </c>
      <c r="J80" s="194">
        <f>'КОМБО В-52 Стандарт'!J80+'КОМБО В-52 Стандарт'!J80*5/100</f>
        <v>116.11353600000001</v>
      </c>
      <c r="K80" s="194">
        <f>'КОМБО В-52 Стандарт'!K80+'КОМБО В-52 Стандарт'!K80*5/100</f>
        <v>124.148178</v>
      </c>
      <c r="L80" s="194">
        <f>'КОМБО В-52 Стандарт'!L80+'КОМБО В-52 Стандарт'!L80*5/100</f>
        <v>132.05322900000002</v>
      </c>
      <c r="M80" s="194">
        <f>'КОМБО В-52 Стандарт'!M80+'КОМБО В-52 Стандарт'!M80*5/100</f>
        <v>139.95828000000003</v>
      </c>
      <c r="N80" s="194">
        <f>'КОМБО В-52 Стандарт'!N80+'КОМБО В-52 Стандарт'!N80*5/100</f>
        <v>147.86333099999999</v>
      </c>
      <c r="O80" s="194">
        <f>'КОМБО В-52 Стандарт'!O80+'КОМБО В-52 Стандарт'!O80*5/100</f>
        <v>155.76838200000003</v>
      </c>
      <c r="P80" s="195">
        <f>'КОМБО В-52 Стандарт'!P80+'КОМБО В-52 Стандарт'!P80*5/100</f>
        <v>163.67343300000002</v>
      </c>
    </row>
    <row r="81" spans="1:16">
      <c r="A81" s="1781"/>
      <c r="B81" s="333">
        <v>1.5</v>
      </c>
      <c r="C81" s="247">
        <f>'КОМБО В-52 Стандарт'!C81+'КОМБО В-52 Стандарт'!C81*5/100</f>
        <v>62.333271000000018</v>
      </c>
      <c r="D81" s="194">
        <f>'КОМБО В-52 Стандарт'!D81+'КОМБО В-52 Стандарт'!D81*5/100</f>
        <v>70.497504000000006</v>
      </c>
      <c r="E81" s="194">
        <f>'КОМБО В-52 Стандарт'!E81+'КОМБО В-52 Стандарт'!E81*5/100</f>
        <v>78.791328000000021</v>
      </c>
      <c r="F81" s="194">
        <f>'КОМБО В-52 Стандарт'!F81+'КОМБО В-52 Стандарт'!F81*5/100</f>
        <v>86.955561000000003</v>
      </c>
      <c r="G81" s="194">
        <f>'КОМБО В-52 Стандарт'!G81+'КОМБО В-52 Стандарт'!G81*5/100</f>
        <v>95.249385000000004</v>
      </c>
      <c r="H81" s="194">
        <f>'КОМБО В-52 Стандарт'!H81+'КОМБО В-52 Стандарт'!H81*5/100</f>
        <v>103.54320900000002</v>
      </c>
      <c r="I81" s="194">
        <f>'КОМБО В-52 Стандарт'!I81+'КОМБО В-52 Стандарт'!I81*5/100</f>
        <v>111.70744200000003</v>
      </c>
      <c r="J81" s="194">
        <f>'КОМБО В-52 Стандарт'!J81+'КОМБО В-52 Стандарт'!J81*5/100</f>
        <v>120.13085700000002</v>
      </c>
      <c r="K81" s="194">
        <f>'КОМБО В-52 Стандарт'!K81+'КОМБО В-52 Стандарт'!K81*5/100</f>
        <v>128.42468100000002</v>
      </c>
      <c r="L81" s="194">
        <f>'КОМБО В-52 Стандарт'!L81+'КОМБО В-52 Стандарт'!L81*5/100</f>
        <v>136.58891400000005</v>
      </c>
      <c r="M81" s="194">
        <f>'КОМБО В-52 Стандарт'!M81+'КОМБО В-52 Стандарт'!M81*5/100</f>
        <v>144.88273800000002</v>
      </c>
      <c r="N81" s="194">
        <f>'КОМБО В-52 Стандарт'!N81+'КОМБО В-52 Стандарт'!N81*5/100</f>
        <v>153.04697100000001</v>
      </c>
      <c r="O81" s="194">
        <f>'КОМБО В-52 Стандарт'!O81+'КОМБО В-52 Стандарт'!O81*5/100</f>
        <v>161.34079500000004</v>
      </c>
      <c r="P81" s="195">
        <f>'КОМБО В-52 Стандарт'!P81+'КОМБО В-52 Стандарт'!P81*5/100</f>
        <v>169.63461900000004</v>
      </c>
    </row>
    <row r="82" spans="1:16">
      <c r="A82" s="1781"/>
      <c r="B82" s="333">
        <v>1.6</v>
      </c>
      <c r="C82" s="247">
        <f>'КОМБО В-52 Стандарт'!C82+'КОМБО В-52 Стандарт'!C82*5/100</f>
        <v>63.758772000000022</v>
      </c>
      <c r="D82" s="194">
        <f>'КОМБО В-52 Стандарт'!D82+'КОМБО В-52 Стандарт'!D82*5/100</f>
        <v>72.311778000000004</v>
      </c>
      <c r="E82" s="194">
        <f>'КОМБО В-52 Стандарт'!E82+'КОМБО В-52 Стандарт'!E82*5/100</f>
        <v>80.864784000000014</v>
      </c>
      <c r="F82" s="194">
        <f>'КОМБО В-52 Стандарт'!F82+'КОМБО В-52 Стандарт'!F82*5/100</f>
        <v>89.547381000000016</v>
      </c>
      <c r="G82" s="194">
        <f>'КОМБО В-52 Стандарт'!G82+'КОМБО В-52 Стандарт'!G82*5/100</f>
        <v>98.100387000000012</v>
      </c>
      <c r="H82" s="194">
        <f>'КОМБО В-52 Стандарт'!H82+'КОМБО В-52 Стандарт'!H82*5/100</f>
        <v>106.65339300000002</v>
      </c>
      <c r="I82" s="194">
        <f>'КОМБО В-52 Стандарт'!I82+'КОМБО В-52 Стандарт'!I82*5/100</f>
        <v>115.20639900000003</v>
      </c>
      <c r="J82" s="194">
        <f>'КОМБО В-52 Стандарт'!J82+'КОМБО В-52 Стандарт'!J82*5/100</f>
        <v>123.88899600000003</v>
      </c>
      <c r="K82" s="194">
        <f>'КОМБО В-52 Стандарт'!K82+'КОМБО В-52 Стандарт'!K82*5/100</f>
        <v>132.442002</v>
      </c>
      <c r="L82" s="194">
        <f>'КОМБО В-52 Стандарт'!L82+'КОМБО В-52 Стандарт'!L82*5/100</f>
        <v>140.99500800000001</v>
      </c>
      <c r="M82" s="194">
        <f>'КОМБО В-52 Стандарт'!M82+'КОМБО В-52 Стандарт'!M82*5/100</f>
        <v>149.80719600000003</v>
      </c>
      <c r="N82" s="194">
        <f>'КОМБО В-52 Стандарт'!N82+'КОМБО В-52 Стандарт'!N82*5/100</f>
        <v>158.36020200000004</v>
      </c>
      <c r="O82" s="194">
        <f>'КОМБО В-52 Стандарт'!O82+'КОМБО В-52 Стандарт'!O82*5/100</f>
        <v>166.91320800000005</v>
      </c>
      <c r="P82" s="195">
        <f>'КОМБО В-52 Стандарт'!P82+'КОМБО В-52 Стандарт'!P82*5/100</f>
        <v>175.46621400000004</v>
      </c>
    </row>
    <row r="83" spans="1:16">
      <c r="A83" s="1781"/>
      <c r="B83" s="333">
        <v>1.7</v>
      </c>
      <c r="C83" s="247">
        <f>'КОМБО В-52 Стандарт'!C83+'КОМБО В-52 Стандарт'!C83*5/100</f>
        <v>65.184273000000005</v>
      </c>
      <c r="D83" s="194">
        <f>'КОМБО В-52 Стандарт'!D83+'КОМБО В-52 Стандарт'!D83*5/100</f>
        <v>74.12605200000003</v>
      </c>
      <c r="E83" s="194">
        <f>'КОМБО В-52 Стандарт'!E83+'КОМБО В-52 Стандарт'!E83*5/100</f>
        <v>83.067830999999998</v>
      </c>
      <c r="F83" s="194">
        <f>'КОМБО В-52 Стандарт'!F83+'КОМБО В-52 Стандарт'!F83*5/100</f>
        <v>91.880019000000033</v>
      </c>
      <c r="G83" s="194">
        <f>'КОМБО В-52 Стандарт'!G83+'КОМБО В-52 Стандарт'!G83*5/100</f>
        <v>100.95138900000003</v>
      </c>
      <c r="H83" s="194">
        <f>'КОМБО В-52 Стандарт'!H83+'КОМБО В-52 Стандарт'!H83*5/100</f>
        <v>109.893168</v>
      </c>
      <c r="I83" s="194">
        <f>'КОМБО В-52 Стандарт'!I83+'КОМБО В-52 Стандарт'!I83*5/100</f>
        <v>118.83494700000001</v>
      </c>
      <c r="J83" s="194">
        <f>'КОМБО В-52 Стандарт'!J83+'КОМБО В-52 Стандарт'!J83*5/100</f>
        <v>127.77672600000002</v>
      </c>
      <c r="K83" s="194">
        <f>'КОМБО В-52 Стандарт'!K83+'КОМБО В-52 Стандарт'!K83*5/100</f>
        <v>136.58891400000005</v>
      </c>
      <c r="L83" s="194">
        <f>'КОМБО В-52 Стандарт'!L83+'КОМБО В-52 Стандарт'!L83*5/100</f>
        <v>145.66028400000005</v>
      </c>
      <c r="M83" s="194">
        <f>'КОМБО В-52 Стандарт'!M83+'КОМБО В-52 Стандарт'!M83*5/100</f>
        <v>154.47247200000001</v>
      </c>
      <c r="N83" s="194">
        <f>'КОМБО В-52 Стандарт'!N83+'КОМБО В-52 Стандарт'!N83*5/100</f>
        <v>163.54384200000007</v>
      </c>
      <c r="O83" s="194">
        <f>'КОМБО В-52 Стандарт'!O83+'КОМБО В-52 Стандарт'!O83*5/100</f>
        <v>172.48562100000004</v>
      </c>
      <c r="P83" s="195">
        <f>'КОМБО В-52 Стандарт'!P83+'КОМБО В-52 Стандарт'!P83*5/100</f>
        <v>181.29780900000003</v>
      </c>
    </row>
    <row r="84" spans="1:16">
      <c r="A84" s="1781"/>
      <c r="B84" s="333">
        <v>1.8</v>
      </c>
      <c r="C84" s="247">
        <f>'КОМБО В-52 Стандарт'!C84+'КОМБО В-52 Стандарт'!C84*5/100</f>
        <v>66.609774000000002</v>
      </c>
      <c r="D84" s="194">
        <f>'КОМБО В-52 Стандарт'!D84+'КОМБО В-52 Стандарт'!D84*5/100</f>
        <v>75.940326000000027</v>
      </c>
      <c r="E84" s="194">
        <f>'КОМБО В-52 Стандарт'!E84+'КОМБО В-52 Стандарт'!E84*5/100</f>
        <v>85.141287000000034</v>
      </c>
      <c r="F84" s="194">
        <f>'КОМБО В-52 Стандарт'!F84+'КОМБО В-52 Стандарт'!F84*5/100</f>
        <v>94.471839000000017</v>
      </c>
      <c r="G84" s="194">
        <f>'КОМБО В-52 Стандарт'!G84+'КОМБО В-52 Стандарт'!G84*5/100</f>
        <v>103.80239100000001</v>
      </c>
      <c r="H84" s="194">
        <f>'КОМБО В-52 Стандарт'!H84+'КОМБО В-52 Стандарт'!H84*5/100</f>
        <v>113.00335200000002</v>
      </c>
      <c r="I84" s="194">
        <f>'КОМБО В-52 Стандарт'!I84+'КОМБО В-52 Стандарт'!I84*5/100</f>
        <v>122.33390400000003</v>
      </c>
      <c r="J84" s="194">
        <f>'КОМБО В-52 Стандарт'!J84+'КОМБО В-52 Стандарт'!J84*5/100</f>
        <v>131.53486500000002</v>
      </c>
      <c r="K84" s="194">
        <f>'КОМБО В-52 Стандарт'!K84+'КОМБО В-52 Стандарт'!K84*5/100</f>
        <v>140.86541700000004</v>
      </c>
      <c r="L84" s="194">
        <f>'КОМБО В-52 Стандарт'!L84+'КОМБО В-52 Стандарт'!L84*5/100</f>
        <v>150.06637800000001</v>
      </c>
      <c r="M84" s="194">
        <f>'КОМБО В-52 Стандарт'!M84+'КОМБО В-52 Стандарт'!M84*5/100</f>
        <v>159.39693000000003</v>
      </c>
      <c r="N84" s="194">
        <f>'КОМБО В-52 Стандарт'!N84+'КОМБО В-52 Стандарт'!N84*5/100</f>
        <v>168.59789100000003</v>
      </c>
      <c r="O84" s="194">
        <f>'КОМБО В-52 Стандарт'!O84+'КОМБО В-52 Стандарт'!O84*5/100</f>
        <v>177.92844300000004</v>
      </c>
      <c r="P84" s="195">
        <f>'КОМБО В-52 Стандарт'!P84+'КОМБО В-52 Стандарт'!P84*5/100</f>
        <v>187.12940400000002</v>
      </c>
    </row>
    <row r="85" spans="1:16">
      <c r="A85" s="1781"/>
      <c r="B85" s="333">
        <v>1.9</v>
      </c>
      <c r="C85" s="247">
        <f>'КОМБО В-52 Стандарт'!C85+'КОМБО В-52 Стандарт'!C85*5/100</f>
        <v>68.164866000000018</v>
      </c>
      <c r="D85" s="194">
        <f>'КОМБО В-52 Стандарт'!D85+'КОМБО В-52 Стандарт'!D85*5/100</f>
        <v>77.625009000000006</v>
      </c>
      <c r="E85" s="194">
        <f>'КОМБО В-52 Стандарт'!E85+'КОМБО В-52 Стандарт'!E85*5/100</f>
        <v>87.344334000000018</v>
      </c>
      <c r="F85" s="194">
        <f>'КОМБО В-52 Стандарт'!F85+'КОМБО В-52 Стандарт'!F85*5/100</f>
        <v>96.934068000000011</v>
      </c>
      <c r="G85" s="194">
        <f>'КОМБО В-52 Стандарт'!G85+'КОМБО В-52 Стандарт'!G85*5/100</f>
        <v>106.52380200000003</v>
      </c>
      <c r="H85" s="194">
        <f>'КОМБО В-52 Стандарт'!H85+'КОМБО В-52 Стандарт'!H85*5/100</f>
        <v>116.11353600000001</v>
      </c>
      <c r="I85" s="194">
        <f>'КОМБО В-52 Стандарт'!I85+'КОМБО В-52 Стандарт'!I85*5/100</f>
        <v>125.83286100000001</v>
      </c>
      <c r="J85" s="194">
        <f>'КОМБО В-52 Стандарт'!J85+'КОМБО В-52 Стандарт'!J85*5/100</f>
        <v>135.29300400000002</v>
      </c>
      <c r="K85" s="194">
        <f>'КОМБО В-52 Стандарт'!K85+'КОМБО В-52 Стандарт'!K85*5/100</f>
        <v>145.01232900000002</v>
      </c>
      <c r="L85" s="194">
        <f>'КОМБО В-52 Стандарт'!L85+'КОМБО В-52 Стандарт'!L85*5/100</f>
        <v>154.73165400000005</v>
      </c>
      <c r="M85" s="194">
        <f>'КОМБО В-52 Стандарт'!M85+'КОМБО В-52 Стандарт'!M85*5/100</f>
        <v>164.19179700000004</v>
      </c>
      <c r="N85" s="194">
        <f>'КОМБО В-52 Стандарт'!N85+'КОМБО В-52 Стандарт'!N85*5/100</f>
        <v>173.91112200000001</v>
      </c>
      <c r="O85" s="194">
        <f>'КОМБО В-52 Стандарт'!O85+'КОМБО В-52 Стандарт'!O85*5/100</f>
        <v>183.50085600000003</v>
      </c>
      <c r="P85" s="195">
        <f>'КОМБО В-52 Стандарт'!P85+'КОМБО В-52 Стандарт'!P85*5/100</f>
        <v>193.22018100000003</v>
      </c>
    </row>
    <row r="86" spans="1:16">
      <c r="A86" s="1781"/>
      <c r="B86" s="333">
        <v>2</v>
      </c>
      <c r="C86" s="247">
        <f>'КОМБО В-52 Стандарт'!C86+'КОМБО В-52 Стандарт'!C86*5/100</f>
        <v>69.590367000000015</v>
      </c>
      <c r="D86" s="194">
        <f>'КОМБО В-52 Стандарт'!D86+'КОМБО В-52 Стандарт'!D86*5/100</f>
        <v>79.568874000000008</v>
      </c>
      <c r="E86" s="194">
        <f>'КОМБО В-52 Стандарт'!E86+'КОМБО В-52 Стандарт'!E86*5/100</f>
        <v>89.547381000000016</v>
      </c>
      <c r="F86" s="194">
        <f>'КОМБО В-52 Стандарт'!F86+'КОМБО В-52 Стандарт'!F86*5/100</f>
        <v>99.396297000000033</v>
      </c>
      <c r="G86" s="194">
        <f>'КОМБО В-52 Стандарт'!G86+'КОМБО В-52 Стандарт'!G86*5/100</f>
        <v>109.37480400000003</v>
      </c>
      <c r="H86" s="194">
        <f>'КОМБО В-52 Стандарт'!H86+'КОМБО В-52 Стандарт'!H86*5/100</f>
        <v>119.35331100000002</v>
      </c>
      <c r="I86" s="194">
        <f>'КОМБО В-52 Стандарт'!I86+'КОМБО В-52 Стандарт'!I86*5/100</f>
        <v>129.331818</v>
      </c>
      <c r="J86" s="194">
        <f>'КОМБО В-52 Стандарт'!J86+'КОМБО В-52 Стандарт'!J86*5/100</f>
        <v>139.31032500000003</v>
      </c>
      <c r="K86" s="194">
        <f>'КОМБО В-52 Стандарт'!K86+'КОМБО В-52 Стандарт'!K86*5/100</f>
        <v>149.15924100000001</v>
      </c>
      <c r="L86" s="194">
        <f>'КОМБО В-52 Стандарт'!L86+'КОМБО В-52 Стандарт'!L86*5/100</f>
        <v>159.13774800000002</v>
      </c>
      <c r="M86" s="194">
        <f>'КОМБО В-52 Стандарт'!M86+'КОМБО В-52 Стандарт'!M86*5/100</f>
        <v>169.11625500000005</v>
      </c>
      <c r="N86" s="194">
        <f>'КОМБО В-52 Стандарт'!N86+'КОМБО В-52 Стандарт'!N86*5/100</f>
        <v>179.09476200000003</v>
      </c>
      <c r="O86" s="194">
        <f>'КОМБО В-52 Стандарт'!O86+'КОМБО В-52 Стандарт'!O86*5/100</f>
        <v>189.07326900000007</v>
      </c>
      <c r="P86" s="195">
        <f>'КОМБО В-52 Стандарт'!P86+'КОМБО В-52 Стандарт'!P86*5/100</f>
        <v>199.05177600000002</v>
      </c>
    </row>
    <row r="87" spans="1:16">
      <c r="A87" s="1781"/>
      <c r="B87" s="333">
        <v>2.1</v>
      </c>
      <c r="C87" s="247">
        <f>'КОМБО В-52 Стандарт'!C87+'КОМБО В-52 Стандарт'!C87*5/100</f>
        <v>71.015868000000012</v>
      </c>
      <c r="D87" s="194">
        <f>'КОМБО В-52 Стандарт'!D87+'КОМБО В-52 Стандарт'!D87*5/100</f>
        <v>81.253557000000015</v>
      </c>
      <c r="E87" s="194">
        <f>'КОМБО В-52 Стандарт'!E87+'КОМБО В-52 Стандарт'!E87*5/100</f>
        <v>91.620837000000023</v>
      </c>
      <c r="F87" s="194">
        <f>'КОМБО В-52 Стандарт'!F87+'КОМБО В-52 Стандарт'!F87*5/100</f>
        <v>101.85852600000001</v>
      </c>
      <c r="G87" s="194">
        <f>'КОМБО В-52 Стандарт'!G87+'КОМБО В-52 Стандарт'!G87*5/100</f>
        <v>112.22580600000001</v>
      </c>
      <c r="H87" s="194">
        <f>'КОМБО В-52 Стандарт'!H87+'КОМБО В-52 Стандарт'!H87*5/100</f>
        <v>122.46349500000002</v>
      </c>
      <c r="I87" s="194">
        <f>'КОМБО В-52 Стандарт'!I87+'КОМБО В-52 Стандарт'!I87*5/100</f>
        <v>132.83077500000002</v>
      </c>
      <c r="J87" s="194">
        <f>'КОМБО В-52 Стандарт'!J87+'КОМБО В-52 Стандарт'!J87*5/100</f>
        <v>143.06846400000003</v>
      </c>
      <c r="K87" s="194">
        <f>'КОМБО В-52 Стандарт'!K87+'КОМБО В-52 Стандарт'!K87*5/100</f>
        <v>153.43574400000003</v>
      </c>
      <c r="L87" s="194">
        <f>'КОМБО В-52 Стандарт'!L87+'КОМБО В-52 Стандарт'!L87*5/100</f>
        <v>163.67343300000002</v>
      </c>
      <c r="M87" s="194">
        <f>'КОМБО В-52 Стандарт'!M87+'КОМБО В-52 Стандарт'!M87*5/100</f>
        <v>174.04071300000007</v>
      </c>
      <c r="N87" s="194">
        <f>'КОМБО В-52 Стандарт'!N87+'КОМБО В-52 Стандарт'!N87*5/100</f>
        <v>184.278402</v>
      </c>
      <c r="O87" s="194">
        <f>'КОМБО В-52 Стандарт'!O87+'КОМБО В-52 Стандарт'!O87*5/100</f>
        <v>194.64568199999999</v>
      </c>
      <c r="P87" s="195">
        <f>'КОМБО В-52 Стандарт'!P87+'КОМБО В-52 Стандарт'!P87*5/100</f>
        <v>204.88337100000001</v>
      </c>
    </row>
    <row r="88" spans="1:16">
      <c r="A88" s="1781"/>
      <c r="B88" s="333">
        <v>2.2000000000000002</v>
      </c>
      <c r="C88" s="247">
        <f>'КОМБО В-52 Стандарт'!C88+'КОМБО В-52 Стандарт'!C88*5/100</f>
        <v>72.441369000000009</v>
      </c>
      <c r="D88" s="194">
        <f>'КОМБО В-52 Стандарт'!D88+'КОМБО В-52 Стандарт'!D88*5/100</f>
        <v>83.197422000000017</v>
      </c>
      <c r="E88" s="194">
        <f>'КОМБО В-52 Стандарт'!E88+'КОМБО В-52 Стандарт'!E88*5/100</f>
        <v>93.823884000000035</v>
      </c>
      <c r="F88" s="194">
        <f>'КОМБО В-52 Стандарт'!F88+'КОМБО В-52 Стандарт'!F88*5/100</f>
        <v>104.45034600000001</v>
      </c>
      <c r="G88" s="194">
        <f>'КОМБО В-52 Стандарт'!G88+'КОМБО В-52 Стандарт'!G88*5/100</f>
        <v>115.07680800000001</v>
      </c>
      <c r="H88" s="194">
        <f>'КОМБО В-52 Стандарт'!H88+'КОМБО В-52 Стандарт'!H88*5/100</f>
        <v>125.70327000000002</v>
      </c>
      <c r="I88" s="194">
        <f>'КОМБО В-52 Стандарт'!I88+'КОМБО В-52 Стандарт'!I88*5/100</f>
        <v>136.32973200000004</v>
      </c>
      <c r="J88" s="194">
        <f>'КОМБО В-52 Стандарт'!J88+'КОМБО В-52 Стандарт'!J88*5/100</f>
        <v>146.95619400000004</v>
      </c>
      <c r="K88" s="194">
        <f>'КОМБО В-52 Стандарт'!K88+'КОМБО В-52 Стандарт'!K88*5/100</f>
        <v>157.58265600000004</v>
      </c>
      <c r="L88" s="194">
        <f>'КОМБО В-52 Стандарт'!L88+'КОМБО В-52 Стандарт'!L88*5/100</f>
        <v>168.20911800000007</v>
      </c>
      <c r="M88" s="194">
        <f>'КОМБО В-52 Стандарт'!M88+'КОМБО В-52 Стандарт'!M88*5/100</f>
        <v>178.83558000000005</v>
      </c>
      <c r="N88" s="194">
        <f>'КОМБО В-52 Стандарт'!N88+'КОМБО В-52 Стандарт'!N88*5/100</f>
        <v>189.33245100000002</v>
      </c>
      <c r="O88" s="194">
        <f>'КОМБО В-52 Стандарт'!O88+'КОМБО В-52 Стандарт'!O88*5/100</f>
        <v>200.21809500000003</v>
      </c>
      <c r="P88" s="195">
        <f>'КОМБО В-52 Стандарт'!P88+'КОМБО В-52 Стандарт'!P88*5/100</f>
        <v>210.84455700000001</v>
      </c>
    </row>
    <row r="89" spans="1:16">
      <c r="A89" s="1781"/>
      <c r="B89" s="333">
        <v>2.2999999999999998</v>
      </c>
      <c r="C89" s="247">
        <f>'КОМБО В-52 Стандарт'!C89+'КОМБО В-52 Стандарт'!C89*5/100</f>
        <v>73.996461000000011</v>
      </c>
      <c r="D89" s="194">
        <f>'КОМБО В-52 Стандарт'!D89+'КОМБО В-52 Стандарт'!D89*5/100</f>
        <v>85.011696000000001</v>
      </c>
      <c r="E89" s="194">
        <f>'КОМБО В-52 Стандарт'!E89+'КОМБО В-52 Стандарт'!E89*5/100</f>
        <v>95.897340000000014</v>
      </c>
      <c r="F89" s="194">
        <f>'КОМБО В-52 Стандарт'!F89+'КОМБО В-52 Стандарт'!F89*5/100</f>
        <v>106.78298400000001</v>
      </c>
      <c r="G89" s="194">
        <f>'КОМБО В-52 Стандарт'!G89+'КОМБО В-52 Стандарт'!G89*5/100</f>
        <v>117.92781000000004</v>
      </c>
      <c r="H89" s="194">
        <f>'КОМБО В-52 Стандарт'!H89+'КОМБО В-52 Стандарт'!H89*5/100</f>
        <v>128.81345400000001</v>
      </c>
      <c r="I89" s="194">
        <f>'КОМБО В-52 Стандарт'!I89+'КОМБО В-52 Стандарт'!I89*5/100</f>
        <v>139.82868900000003</v>
      </c>
      <c r="J89" s="194">
        <f>'КОМБО В-52 Стандарт'!J89+'КОМБО В-52 Стандарт'!J89*5/100</f>
        <v>150.71433300000004</v>
      </c>
      <c r="K89" s="194">
        <f>'КОМБО В-52 Стандарт'!K89+'КОМБО В-52 Стандарт'!K89*5/100</f>
        <v>161.85915900000006</v>
      </c>
      <c r="L89" s="194">
        <f>'КОМБО В-52 Стандарт'!L89+'КОМБО В-52 Стандарт'!L89*5/100</f>
        <v>172.74480300000005</v>
      </c>
      <c r="M89" s="194">
        <f>'КОМБО В-52 Стандарт'!M89+'КОМБО В-52 Стандарт'!M89*5/100</f>
        <v>183.630447</v>
      </c>
      <c r="N89" s="194">
        <f>'КОМБО В-52 Стандарт'!N89+'КОМБО В-52 Стандарт'!N89*5/100</f>
        <v>194.64568199999999</v>
      </c>
      <c r="O89" s="194">
        <f>'КОМБО В-52 Стандарт'!O89+'КОМБО В-52 Стандарт'!O89*5/100</f>
        <v>205.53132600000004</v>
      </c>
      <c r="P89" s="195">
        <f>'КОМБО В-52 Стандарт'!P89+'КОМБО В-52 Стандарт'!P89*5/100</f>
        <v>216.67615200000003</v>
      </c>
    </row>
    <row r="90" spans="1:16">
      <c r="A90" s="1781"/>
      <c r="B90" s="333">
        <v>2.4</v>
      </c>
      <c r="C90" s="247">
        <f>'КОМБО В-52 Стандарт'!C90+'КОМБО В-52 Стандарт'!C90*5/100</f>
        <v>75.421962000000022</v>
      </c>
      <c r="D90" s="194">
        <f>'КОМБО В-52 Стандарт'!D90+'КОМБО В-52 Стандарт'!D90*5/100</f>
        <v>86.696379000000036</v>
      </c>
      <c r="E90" s="194">
        <f>'КОМБО В-52 Стандарт'!E90+'КОМБО В-52 Стандарт'!E90*5/100</f>
        <v>98.100387000000012</v>
      </c>
      <c r="F90" s="194">
        <f>'КОМБО В-52 Стандарт'!F90+'КОМБО В-52 Стандарт'!F90*5/100</f>
        <v>109.37480400000003</v>
      </c>
      <c r="G90" s="194">
        <f>'КОМБО В-52 Стандарт'!G90+'КОМБО В-52 Стандарт'!G90*5/100</f>
        <v>120.649221</v>
      </c>
      <c r="H90" s="194">
        <f>'КОМБО В-52 Стандарт'!H90+'КОМБО В-52 Стандарт'!H90*5/100</f>
        <v>132.05322900000002</v>
      </c>
      <c r="I90" s="194">
        <f>'КОМБО В-52 Стандарт'!I90+'КОМБО В-52 Стандарт'!I90*5/100</f>
        <v>143.32764600000004</v>
      </c>
      <c r="J90" s="194">
        <f>'КОМБО В-52 Стандарт'!J90+'КОМБО В-52 Стандарт'!J90*5/100</f>
        <v>154.47247200000001</v>
      </c>
      <c r="K90" s="194">
        <f>'КОМБО В-52 Стандарт'!K90+'КОМБО В-52 Стандарт'!K90*5/100</f>
        <v>165.87648000000002</v>
      </c>
      <c r="L90" s="194">
        <f>'КОМБО В-52 Стандарт'!L90+'КОМБО В-52 Стандарт'!L90*5/100</f>
        <v>177.15089700000004</v>
      </c>
      <c r="M90" s="194">
        <f>'КОМБО В-52 Стандарт'!M90+'КОМБО В-52 Стандарт'!M90*5/100</f>
        <v>188.55490500000002</v>
      </c>
      <c r="N90" s="194">
        <f>'КОМБО В-52 Стандарт'!N90+'КОМБО В-52 Стандарт'!N90*5/100</f>
        <v>199.82932200000002</v>
      </c>
      <c r="O90" s="194">
        <f>'КОМБО В-52 Стандарт'!O90+'КОМБО В-52 Стандарт'!O90*5/100</f>
        <v>211.10373900000005</v>
      </c>
      <c r="P90" s="195">
        <f>'КОМБО В-52 Стандарт'!P90+'КОМБО В-52 Стандарт'!P90*5/100</f>
        <v>222.50774700000002</v>
      </c>
    </row>
    <row r="91" spans="1:16">
      <c r="A91" s="1781"/>
      <c r="B91" s="333">
        <v>2.5</v>
      </c>
      <c r="C91" s="247">
        <f>'КОМБО В-52 Стандарт'!C91+'КОМБО В-52 Стандарт'!C91*5/100</f>
        <v>76.847463000000005</v>
      </c>
      <c r="D91" s="194">
        <f>'КОМБО В-52 Стандарт'!D91+'КОМБО В-52 Стандарт'!D91*5/100</f>
        <v>88.64024400000001</v>
      </c>
      <c r="E91" s="194">
        <f>'КОМБО В-52 Стандарт'!E91+'КОМБО В-52 Стандарт'!E91*5/100</f>
        <v>100.17384300000002</v>
      </c>
      <c r="F91" s="194">
        <f>'КОМБО В-52 Стандарт'!F91+'КОМБО В-52 Стандарт'!F91*5/100</f>
        <v>111.83703300000002</v>
      </c>
      <c r="G91" s="194">
        <f>'КОМБО В-52 Стандарт'!G91+'КОМБО В-52 Стандарт'!G91*5/100</f>
        <v>123.50022300000001</v>
      </c>
      <c r="H91" s="194">
        <f>'КОМБО В-52 Стандарт'!H91+'КОМБО В-52 Стандарт'!H91*5/100</f>
        <v>135.16341300000002</v>
      </c>
      <c r="I91" s="194">
        <f>'КОМБО В-52 Стандарт'!I91+'КОМБО В-52 Стандарт'!I91*5/100</f>
        <v>146.697012</v>
      </c>
      <c r="J91" s="194">
        <f>'КОМБО В-52 Стандарт'!J91+'КОМБО В-52 Стандарт'!J91*5/100</f>
        <v>158.48979300000005</v>
      </c>
      <c r="K91" s="194">
        <f>'КОМБО В-52 Стандарт'!K91+'КОМБО В-52 Стандарт'!K91*5/100</f>
        <v>170.023392</v>
      </c>
      <c r="L91" s="194">
        <f>'КОМБО В-52 Стандарт'!L91+'КОМБО В-52 Стандарт'!L91*5/100</f>
        <v>181.81617300000008</v>
      </c>
      <c r="M91" s="194">
        <f>'КОМБО В-52 Стандарт'!M91+'КОМБО В-52 Стандарт'!M91*5/100</f>
        <v>193.34977200000003</v>
      </c>
      <c r="N91" s="194">
        <f>'КОМБО В-52 Стандарт'!N91+'КОМБО В-52 Стандарт'!N91*5/100</f>
        <v>205.14255300000005</v>
      </c>
      <c r="O91" s="194">
        <f>'КОМБО В-52 Стандарт'!O91+'КОМБО В-52 Стандарт'!O91*5/100</f>
        <v>216.67615200000003</v>
      </c>
      <c r="P91" s="195">
        <f>'КОМБО В-52 Стандарт'!P91+'КОМБО В-52 Стандарт'!P91*5/100</f>
        <v>228.33934200000002</v>
      </c>
    </row>
    <row r="92" spans="1:16">
      <c r="A92" s="1781"/>
      <c r="B92" s="333">
        <v>2.6</v>
      </c>
      <c r="C92" s="247">
        <f>'КОМБО В-52 Стандарт'!C92+'КОМБО В-52 Стандарт'!C92*5/100</f>
        <v>78.272964000000002</v>
      </c>
      <c r="D92" s="194">
        <f>'КОМБО В-52 Стандарт'!D92+'КОМБО В-52 Стандарт'!D92*5/100</f>
        <v>90.324927000000017</v>
      </c>
      <c r="E92" s="194">
        <f>'КОМБО В-52 Стандарт'!E92+'КОМБО В-52 Стандарт'!E92*5/100</f>
        <v>102.37689000000002</v>
      </c>
      <c r="F92" s="194">
        <f>'КОМБО В-52 Стандарт'!F92+'КОМБО В-52 Стандарт'!F92*5/100</f>
        <v>114.29926200000003</v>
      </c>
      <c r="G92" s="194">
        <f>'КОМБО В-52 Стандарт'!G92+'КОМБО В-52 Стандарт'!G92*5/100</f>
        <v>126.35122500000003</v>
      </c>
      <c r="H92" s="194">
        <f>'КОМБО В-52 Стандарт'!H92+'КОМБО В-52 Стандарт'!H92*5/100</f>
        <v>138.40318800000003</v>
      </c>
      <c r="I92" s="194">
        <f>'КОМБО В-52 Стандарт'!I92+'КОМБО В-52 Стандарт'!I92*5/100</f>
        <v>150.19596900000002</v>
      </c>
      <c r="J92" s="194">
        <f>'КОМБО В-52 Стандарт'!J92+'КОМБО В-52 Стандарт'!J92*5/100</f>
        <v>162.24793200000005</v>
      </c>
      <c r="K92" s="194">
        <f>'КОМБО В-52 Стандарт'!K92+'КОМБО В-52 Стандарт'!K92*5/100</f>
        <v>174.29989500000002</v>
      </c>
      <c r="L92" s="194">
        <f>'КОМБО В-52 Стандарт'!L92+'КОМБО В-52 Стандарт'!L92*5/100</f>
        <v>186.22226700000002</v>
      </c>
      <c r="M92" s="194">
        <f>'КОМБО В-52 Стандарт'!M92+'КОМБО В-52 Стандарт'!M92*5/100</f>
        <v>198.27423000000005</v>
      </c>
      <c r="N92" s="194">
        <f>'КОМБО В-52 Стандарт'!N92+'КОМБО В-52 Стандарт'!N92*5/100</f>
        <v>210.19660200000004</v>
      </c>
      <c r="O92" s="194">
        <f>'КОМБО В-52 Стандарт'!O92+'КОМБО В-52 Стандарт'!O92*5/100</f>
        <v>222.24856500000007</v>
      </c>
      <c r="P92" s="195">
        <f>'КОМБО В-52 Стандарт'!P92+'КОМБО В-52 Стандарт'!P92*5/100</f>
        <v>234.30052800000007</v>
      </c>
    </row>
    <row r="93" spans="1:16">
      <c r="A93" s="1781"/>
      <c r="B93" s="333">
        <v>2.7</v>
      </c>
      <c r="C93" s="247">
        <f>'КОМБО В-52 Стандарт'!C93+'КОМБО В-52 Стандарт'!C93*5/100</f>
        <v>79.828056000000018</v>
      </c>
      <c r="D93" s="194">
        <f>'КОМБО В-52 Стандарт'!D93+'КОМБО В-52 Стандарт'!D93*5/100</f>
        <v>92.139201</v>
      </c>
      <c r="E93" s="194">
        <f>'КОМБО В-52 Стандарт'!E93+'КОМБО В-52 Стандарт'!E93*5/100</f>
        <v>104.45034600000001</v>
      </c>
      <c r="F93" s="194">
        <f>'КОМБО В-52 Стандарт'!F93+'КОМБО В-52 Стандарт'!F93*5/100</f>
        <v>116.76149100000001</v>
      </c>
      <c r="G93" s="194">
        <f>'КОМБО В-52 Стандарт'!G93+'КОМБО В-52 Стандарт'!G93*5/100</f>
        <v>129.20222700000002</v>
      </c>
      <c r="H93" s="194">
        <f>'КОМБО В-52 Стандарт'!H93+'КОМБО В-52 Стандарт'!H93*5/100</f>
        <v>141.513372</v>
      </c>
      <c r="I93" s="194">
        <f>'КОМБО В-52 Стандарт'!I93+'КОМБО В-52 Стандарт'!I93*5/100</f>
        <v>153.69492600000001</v>
      </c>
      <c r="J93" s="194">
        <f>'КОМБО В-52 Стандарт'!J93+'КОМБО В-52 Стандарт'!J93*5/100</f>
        <v>166.135662</v>
      </c>
      <c r="K93" s="194">
        <f>'КОМБО В-52 Стандарт'!K93+'КОМБО В-52 Стандарт'!K93*5/100</f>
        <v>178.44680699999998</v>
      </c>
      <c r="L93" s="194">
        <f>'КОМБО В-52 Стандарт'!L93+'КОМБО В-52 Стандарт'!L93*5/100</f>
        <v>190.75795200000002</v>
      </c>
      <c r="M93" s="194">
        <f>'КОМБО В-52 Стандарт'!M93+'КОМБО В-52 Стандарт'!M93*5/100</f>
        <v>203.06909700000006</v>
      </c>
      <c r="N93" s="194">
        <f>'КОМБО В-52 Стандарт'!N93+'КОМБО В-52 Стандарт'!N93*5/100</f>
        <v>215.38024200000004</v>
      </c>
      <c r="O93" s="194">
        <f>'КОМБО В-52 Стандарт'!O93+'КОМБО В-52 Стандарт'!O93*5/100</f>
        <v>227.69138700000002</v>
      </c>
      <c r="P93" s="195">
        <f>'КОМБО В-52 Стандарт'!P93+'КОМБО В-52 Стандарт'!P93*5/100</f>
        <v>240.13212300000009</v>
      </c>
    </row>
    <row r="94" spans="1:16">
      <c r="A94" s="1781"/>
      <c r="B94" s="333">
        <v>2.8</v>
      </c>
      <c r="C94" s="247">
        <f>'КОМБО В-52 Стандарт'!C94+'КОМБО В-52 Стандарт'!C94*5/100</f>
        <v>81.253557000000015</v>
      </c>
      <c r="D94" s="194">
        <f>'КОМБО В-52 Стандарт'!D94+'КОМБО В-52 Стандарт'!D94*5/100</f>
        <v>93.953475000000012</v>
      </c>
      <c r="E94" s="194">
        <f>'КОМБО В-52 Стандарт'!E94+'КОМБО В-52 Стандарт'!E94*5/100</f>
        <v>106.65339300000002</v>
      </c>
      <c r="F94" s="194">
        <f>'КОМБО В-52 Стандарт'!F94+'КОМБО В-52 Стандарт'!F94*5/100</f>
        <v>119.35331100000002</v>
      </c>
      <c r="G94" s="194">
        <f>'КОМБО В-52 Стандарт'!G94+'КОМБО В-52 Стандарт'!G94*5/100</f>
        <v>132.05322900000002</v>
      </c>
      <c r="H94" s="194">
        <f>'КОМБО В-52 Стандарт'!H94+'КОМБО В-52 Стандарт'!H94*5/100</f>
        <v>144.75314700000004</v>
      </c>
      <c r="I94" s="194">
        <f>'КОМБО В-52 Стандарт'!I94+'КОМБО В-52 Стандарт'!I94*5/100</f>
        <v>157.19388300000003</v>
      </c>
      <c r="J94" s="194">
        <f>'КОМБО В-52 Стандарт'!J94+'КОМБО В-52 Стандарт'!J94*5/100</f>
        <v>169.89380100000005</v>
      </c>
      <c r="K94" s="194">
        <f>'КОМБО В-52 Стандарт'!K94+'КОМБО В-52 Стандарт'!K94*5/100</f>
        <v>182.59371900000005</v>
      </c>
      <c r="L94" s="194">
        <f>'КОМБО В-52 Стандарт'!L94+'КОМБО В-52 Стандарт'!L94*5/100</f>
        <v>195.29363700000005</v>
      </c>
      <c r="M94" s="194">
        <f>'КОМБО В-52 Стандарт'!M94+'КОМБО В-52 Стандарт'!M94*5/100</f>
        <v>207.99355500000004</v>
      </c>
      <c r="N94" s="194">
        <f>'КОМБО В-52 Стандарт'!N94+'КОМБО В-52 Стандарт'!N94*5/100</f>
        <v>220.56388200000004</v>
      </c>
      <c r="O94" s="194">
        <f>'КОМБО В-52 Стандарт'!O94+'КОМБО В-52 Стандарт'!O94*5/100</f>
        <v>233.26380000000003</v>
      </c>
      <c r="P94" s="195">
        <f>'КОМБО В-52 Стандарт'!P94+'КОМБО В-52 Стандарт'!P94*5/100</f>
        <v>245.96371800000006</v>
      </c>
    </row>
    <row r="95" spans="1:16">
      <c r="A95" s="1781"/>
      <c r="B95" s="333">
        <v>2.9</v>
      </c>
      <c r="C95" s="247">
        <f>'КОМБО В-52 Стандарт'!C95+'КОМБО В-52 Стандарт'!C95*5/100</f>
        <v>82.679058000000012</v>
      </c>
      <c r="D95" s="194">
        <f>'КОМБО В-52 Стандарт'!D95+'КОМБО В-52 Стандарт'!D95*5/100</f>
        <v>95.767749000000009</v>
      </c>
      <c r="E95" s="194">
        <f>'КОМБО В-52 Стандарт'!E95+'КОМБО В-52 Стандарт'!E95*5/100</f>
        <v>108.72684900000003</v>
      </c>
      <c r="F95" s="194">
        <f>'КОМБО В-52 Стандарт'!F95+'КОМБО В-52 Стандарт'!F95*5/100</f>
        <v>121.68594900000002</v>
      </c>
      <c r="G95" s="194">
        <f>'КОМБО В-52 Стандарт'!G95+'КОМБО В-52 Стандарт'!G95*5/100</f>
        <v>134.77464000000003</v>
      </c>
      <c r="H95" s="194">
        <f>'КОМБО В-52 Стандарт'!H95+'КОМБО В-52 Стандарт'!H95*5/100</f>
        <v>147.73374000000004</v>
      </c>
      <c r="I95" s="194">
        <f>'КОМБО В-52 Стандарт'!I95+'КОМБО В-52 Стандарт'!I95*5/100</f>
        <v>160.82243100000002</v>
      </c>
      <c r="J95" s="194">
        <f>'КОМБО В-52 Стандарт'!J95+'КОМБО В-52 Стандарт'!J95*5/100</f>
        <v>173.91112200000001</v>
      </c>
      <c r="K95" s="194">
        <f>'КОМБО В-52 Стандарт'!K95+'КОМБО В-52 Стандарт'!K95*5/100</f>
        <v>186.87022200000004</v>
      </c>
      <c r="L95" s="194">
        <f>'КОМБО В-52 Стандарт'!L95+'КОМБО В-52 Стандарт'!L95*5/100</f>
        <v>199.82932200000002</v>
      </c>
      <c r="M95" s="194">
        <f>'КОМБО В-52 Стандарт'!M95+'КОМБО В-52 Стандарт'!M95*5/100</f>
        <v>212.788422</v>
      </c>
      <c r="N95" s="194">
        <f>'КОМБО В-52 Стандарт'!N95+'КОМБО В-52 Стандарт'!N95*5/100</f>
        <v>225.87711300000004</v>
      </c>
      <c r="O95" s="194">
        <f>'КОМБО В-52 Стандарт'!O95+'КОМБО В-52 Стандарт'!O95*5/100</f>
        <v>238.83621300000007</v>
      </c>
      <c r="P95" s="195">
        <f>'КОМБО В-52 Стандарт'!P95+'КОМБО В-52 Стандарт'!P95*5/100</f>
        <v>251.79531300000005</v>
      </c>
    </row>
    <row r="96" spans="1:16">
      <c r="A96" s="1781"/>
      <c r="B96" s="333">
        <v>3</v>
      </c>
      <c r="C96" s="247">
        <f>'КОМБО В-52 Стандарт'!C96+'КОМБО В-52 Стандарт'!C96*5/100</f>
        <v>84.104559000000037</v>
      </c>
      <c r="D96" s="194">
        <f>'КОМБО В-52 Стандарт'!D96+'КОМБО В-52 Стандарт'!D96*5/100</f>
        <v>97.582023000000021</v>
      </c>
      <c r="E96" s="194">
        <f>'КОМБО В-52 Стандарт'!E96+'КОМБО В-52 Стандарт'!E96*5/100</f>
        <v>110.92989600000001</v>
      </c>
      <c r="F96" s="194">
        <f>'КОМБО В-52 Стандарт'!F96+'КОМБО В-52 Стандарт'!F96*5/100</f>
        <v>124.27776900000003</v>
      </c>
      <c r="G96" s="194">
        <f>'КОМБО В-52 Стандарт'!G96+'КОМБО В-52 Стандарт'!G96*5/100</f>
        <v>137.62564200000003</v>
      </c>
      <c r="H96" s="194">
        <f>'КОМБО В-52 Стандарт'!H96+'КОМБО В-52 Стандарт'!H96*5/100</f>
        <v>150.84392400000004</v>
      </c>
      <c r="I96" s="194">
        <f>'КОМБО В-52 Стандарт'!I96+'КОМБО В-52 Стандарт'!I96*5/100</f>
        <v>164.32138800000004</v>
      </c>
      <c r="J96" s="194">
        <f>'КОМБО В-52 Стандарт'!J96+'КОМБО В-52 Стандарт'!J96*5/100</f>
        <v>177.66926100000001</v>
      </c>
      <c r="K96" s="194">
        <f>'КОМБО В-52 Стандарт'!K96+'КОМБО В-52 Стандарт'!K96*5/100</f>
        <v>191.01713400000006</v>
      </c>
      <c r="L96" s="194">
        <f>'КОМБО В-52 Стандарт'!L96+'КОМБО В-52 Стандарт'!L96*5/100</f>
        <v>204.23541600000004</v>
      </c>
      <c r="M96" s="194">
        <f>'КОМБО В-52 Стандарт'!M96+'КОМБО В-52 Стандарт'!M96*5/100</f>
        <v>217.58328900000006</v>
      </c>
      <c r="N96" s="194">
        <f>'КОМБО В-52 Стандарт'!N96+'КОМБО В-52 Стандарт'!N96*5/100</f>
        <v>231.06075300000006</v>
      </c>
      <c r="O96" s="194">
        <f>'КОМБО В-52 Стандарт'!O96+'КОМБО В-52 Стандарт'!O96*5/100</f>
        <v>244.40862600000006</v>
      </c>
      <c r="P96" s="195">
        <f>'КОМБО В-52 Стандарт'!P96+'КОМБО В-52 Стандарт'!P96*5/100</f>
        <v>257.75649900000008</v>
      </c>
    </row>
    <row r="97" spans="1:16">
      <c r="A97" s="1781"/>
      <c r="B97" s="333">
        <v>3.1</v>
      </c>
      <c r="C97" s="247">
        <f>'КОМБО В-52 Стандарт'!C97+'КОМБО В-52 Стандарт'!C97*5/100</f>
        <v>85.789242000000016</v>
      </c>
      <c r="D97" s="194">
        <f>'КОМБО В-52 Стандарт'!D97+'КОМБО В-52 Стандарт'!D97*5/100</f>
        <v>99.396297000000033</v>
      </c>
      <c r="E97" s="194">
        <f>'КОМБО В-52 Стандарт'!E97+'КОМБО В-52 Стандарт'!E97*5/100</f>
        <v>113.00335200000002</v>
      </c>
      <c r="F97" s="194">
        <f>'КОМБО В-52 Стандарт'!F97+'КОМБО В-52 Стандарт'!F97*5/100</f>
        <v>126.73999800000003</v>
      </c>
      <c r="G97" s="194">
        <f>'КОМБО В-52 Стандарт'!G97+'КОМБО В-52 Стандарт'!G97*5/100</f>
        <v>140.47664400000005</v>
      </c>
      <c r="H97" s="194">
        <f>'КОМБО В-52 Стандарт'!H97+'КОМБО В-52 Стандарт'!H97*5/100</f>
        <v>154.08369900000005</v>
      </c>
      <c r="I97" s="194">
        <f>'КОМБО В-52 Стандарт'!I97+'КОМБО В-52 Стандарт'!I97*5/100</f>
        <v>167.82034500000003</v>
      </c>
      <c r="J97" s="194">
        <f>'КОМБО В-52 Стандарт'!J97+'КОМБО В-52 Стандарт'!J97*5/100</f>
        <v>181.42740000000003</v>
      </c>
      <c r="K97" s="194">
        <f>'КОМБО В-52 Стандарт'!K97+'КОМБО В-52 Стандарт'!K97*5/100</f>
        <v>195.16404600000004</v>
      </c>
      <c r="L97" s="194">
        <f>'КОМБО В-52 Стандарт'!L97+'КОМБО В-52 Стандарт'!L97*5/100</f>
        <v>208.90069200000002</v>
      </c>
      <c r="M97" s="194">
        <f>'КОМБО В-52 Стандарт'!M97+'КОМБО В-52 Стандарт'!M97*5/100</f>
        <v>222.50774700000002</v>
      </c>
      <c r="N97" s="194">
        <f>'КОМБО В-52 Стандарт'!N97+'КОМБО В-52 Стандарт'!N97*5/100</f>
        <v>236.11480200000003</v>
      </c>
      <c r="O97" s="194">
        <f>'КОМБО В-52 Стандарт'!O97+'КОМБО В-52 Стандарт'!O97*5/100</f>
        <v>249.98103900000004</v>
      </c>
      <c r="P97" s="195">
        <f>'КОМБО В-52 Стандарт'!P97+'КОМБО В-52 Стандарт'!P97*5/100</f>
        <v>263.58809400000007</v>
      </c>
    </row>
    <row r="98" spans="1:16" ht="13.8" thickBot="1">
      <c r="A98" s="1782"/>
      <c r="B98" s="335">
        <v>3.2</v>
      </c>
      <c r="C98" s="248">
        <f>'КОМБО В-52 Стандарт'!C98+'КОМБО В-52 Стандарт'!C98*5/100</f>
        <v>87.214743000000013</v>
      </c>
      <c r="D98" s="196">
        <f>'КОМБО В-52 Стандарт'!D98+'КОМБО В-52 Стандарт'!D98*5/100</f>
        <v>101.08098000000001</v>
      </c>
      <c r="E98" s="196">
        <f>'КОМБО В-52 Стандарт'!E98+'КОМБО В-52 Стандарт'!E98*5/100</f>
        <v>115.20639900000003</v>
      </c>
      <c r="F98" s="196">
        <f>'КОМБО В-52 Стандарт'!F98+'КОМБО В-52 Стандарт'!F98*5/100</f>
        <v>129.20222700000002</v>
      </c>
      <c r="G98" s="196">
        <f>'КОМБО В-52 Стандарт'!G98+'КОМБО В-52 Стандарт'!G98*5/100</f>
        <v>143.32764600000004</v>
      </c>
      <c r="H98" s="196">
        <f>'КОМБО В-52 Стандарт'!H98+'КОМБО В-52 Стандарт'!H98*5/100</f>
        <v>157.19388300000003</v>
      </c>
      <c r="I98" s="196">
        <f>'КОМБО В-52 Стандарт'!I98+'КОМБО В-52 Стандарт'!I98*5/100</f>
        <v>171.31930200000002</v>
      </c>
      <c r="J98" s="196">
        <f>'КОМБО В-52 Стандарт'!J98+'КОМБО В-52 Стандарт'!J98*5/100</f>
        <v>185.31513000000007</v>
      </c>
      <c r="K98" s="196">
        <f>'КОМБО В-52 Стандарт'!K98+'КОМБО В-52 Стандарт'!K98*5/100</f>
        <v>199.44054900000003</v>
      </c>
      <c r="L98" s="196">
        <f>'КОМБО В-52 Стандарт'!L98+'КОМБО В-52 Стандарт'!L98*5/100</f>
        <v>213.30678600000005</v>
      </c>
      <c r="M98" s="196">
        <f>'КОМБО В-52 Стандарт'!M98+'КОМБО В-52 Стандарт'!M98*5/100</f>
        <v>227.43220500000001</v>
      </c>
      <c r="N98" s="196">
        <f>'КОМБО В-52 Стандарт'!N98+'КОМБО В-52 Стандарт'!N98*5/100</f>
        <v>241.42803300000008</v>
      </c>
      <c r="O98" s="196">
        <f>'КОМБО В-52 Стандарт'!O98+'КОМБО В-52 Стандарт'!O98*5/100</f>
        <v>255.42386100000004</v>
      </c>
      <c r="P98" s="197">
        <f>'КОМБО В-52 Стандарт'!P98+'КОМБО В-52 Стандарт'!P98*5/100</f>
        <v>269.41968900000006</v>
      </c>
    </row>
    <row r="99" spans="1:16" ht="13.8" thickBot="1"/>
    <row r="100" spans="1:16" ht="13.8" thickBot="1">
      <c r="A100" s="1413" t="s">
        <v>319</v>
      </c>
      <c r="B100" s="1415"/>
      <c r="C100" s="1898" t="s">
        <v>207</v>
      </c>
      <c r="D100" s="1899"/>
      <c r="E100" s="1899"/>
      <c r="F100" s="1899"/>
      <c r="G100" s="1899"/>
      <c r="H100" s="1899"/>
      <c r="I100" s="1899"/>
      <c r="J100" s="1899"/>
      <c r="K100" s="1899"/>
      <c r="L100" s="1899"/>
      <c r="M100" s="1899"/>
      <c r="N100" s="1899"/>
      <c r="O100" s="1899"/>
      <c r="P100" s="1900"/>
    </row>
    <row r="101" spans="1:16" ht="13.8" thickBot="1">
      <c r="A101" s="1803"/>
      <c r="B101" s="1802"/>
      <c r="C101" s="328">
        <v>0.4</v>
      </c>
      <c r="D101" s="329">
        <v>0.5</v>
      </c>
      <c r="E101" s="329">
        <v>0.6</v>
      </c>
      <c r="F101" s="329">
        <v>0.7</v>
      </c>
      <c r="G101" s="329">
        <v>0.8</v>
      </c>
      <c r="H101" s="329">
        <v>0.9</v>
      </c>
      <c r="I101" s="329">
        <v>1</v>
      </c>
      <c r="J101" s="329">
        <v>1.1000000000000001</v>
      </c>
      <c r="K101" s="329">
        <v>1.2</v>
      </c>
      <c r="L101" s="329">
        <v>1.3</v>
      </c>
      <c r="M101" s="329">
        <v>1.4</v>
      </c>
      <c r="N101" s="329">
        <v>1.5</v>
      </c>
      <c r="O101" s="329">
        <v>1.6</v>
      </c>
      <c r="P101" s="330">
        <v>1.7</v>
      </c>
    </row>
    <row r="102" spans="1:16">
      <c r="A102" s="1780" t="s">
        <v>3</v>
      </c>
      <c r="B102" s="331">
        <v>0.5</v>
      </c>
      <c r="C102" s="246">
        <f>'КОМБО В-52 Стандарт'!C102+'КОМБО В-52 Стандарт'!C102*5/100</f>
        <v>57.986081999999996</v>
      </c>
      <c r="D102" s="192">
        <f>'КОМБО В-52 Стандарт'!D102+'КОМБО В-52 Стандарт'!D102*5/100</f>
        <v>64.89563849999999</v>
      </c>
      <c r="E102" s="192">
        <f>'КОМБО В-52 Стандарт'!E102+'КОМБО В-52 Стандарт'!E102*5/100</f>
        <v>72.076158000000007</v>
      </c>
      <c r="F102" s="192">
        <f>'КОМБО В-52 Стандарт'!F102+'КОМБО В-52 Стандарт'!F102*5/100</f>
        <v>78.9857145</v>
      </c>
      <c r="G102" s="192">
        <f>'КОМБО В-52 Стандарт'!G102+'КОМБО В-52 Стандарт'!G102*5/100</f>
        <v>86.030752500000006</v>
      </c>
      <c r="H102" s="192">
        <f>'КОМБО В-52 Стандарт'!H102+'КОМБО В-52 Стандарт'!H102*5/100</f>
        <v>93.075790500000011</v>
      </c>
      <c r="I102" s="192">
        <f>'КОМБО В-52 Стандарт'!I102+'КОМБО В-52 Стандарт'!I102*5/100</f>
        <v>100.1208285</v>
      </c>
      <c r="J102" s="192">
        <f>'КОМБО В-52 Стандарт'!J102+'КОМБО В-52 Стандарт'!J102*5/100</f>
        <v>107.03038499999998</v>
      </c>
      <c r="K102" s="192">
        <f>'КОМБО В-52 Стандарт'!K102+'КОМБО В-52 Стандарт'!K102*5/100</f>
        <v>113.93994149999997</v>
      </c>
      <c r="L102" s="192">
        <f>'КОМБО В-52 Стандарт'!L102+'КОМБО В-52 Стандарт'!L102*5/100</f>
        <v>121.12046099999999</v>
      </c>
      <c r="M102" s="192">
        <f>'КОМБО В-52 Стандарт'!M102+'КОМБО В-52 Стандарт'!M102*5/100</f>
        <v>128.03001749999999</v>
      </c>
      <c r="N102" s="192">
        <f>'КОМБО В-52 Стандарт'!N102+'КОМБО В-52 Стандарт'!N102*5/100</f>
        <v>135.07505549999999</v>
      </c>
      <c r="O102" s="192">
        <f>'КОМБО В-52 Стандарт'!O102+'КОМБО В-52 Стандарт'!O102*5/100</f>
        <v>142.12009350000002</v>
      </c>
      <c r="P102" s="193">
        <f>'КОМБО В-52 Стандарт'!P102+'КОМБО В-52 Стандарт'!P102*5/100</f>
        <v>149.1651315</v>
      </c>
    </row>
    <row r="103" spans="1:16">
      <c r="A103" s="1781"/>
      <c r="B103" s="333">
        <v>0.6</v>
      </c>
      <c r="C103" s="247">
        <f>'КОМБО В-52 Стандарт'!C103+'КОМБО В-52 Стандарт'!C103*5/100</f>
        <v>60.153785999999997</v>
      </c>
      <c r="D103" s="194">
        <f>'КОМБО В-52 Стандарт'!D103+'КОМБО В-52 Стандарт'!D103*5/100</f>
        <v>67.469786999999997</v>
      </c>
      <c r="E103" s="194">
        <f>'КОМБО В-52 Стандарт'!E103+'КОМБО В-52 Стандарт'!E103*5/100</f>
        <v>74.921269499999994</v>
      </c>
      <c r="F103" s="194">
        <f>'КОМБО В-52 Стандарт'!F103+'КОМБО В-52 Стандарт'!F103*5/100</f>
        <v>82.237270500000008</v>
      </c>
      <c r="G103" s="194">
        <f>'КОМБО В-52 Стандарт'!G103+'КОМБО В-52 Стандарт'!G103*5/100</f>
        <v>89.688753000000005</v>
      </c>
      <c r="H103" s="194">
        <f>'КОМБО В-52 Стандарт'!H103+'КОМБО В-52 Стандарт'!H103*5/100</f>
        <v>96.869272500000022</v>
      </c>
      <c r="I103" s="194">
        <f>'КОМБО В-52 Стандарт'!I103+'КОМБО В-52 Стандарт'!I103*5/100</f>
        <v>104.32075500000002</v>
      </c>
      <c r="J103" s="194">
        <f>'КОМБО В-52 Стандарт'!J103+'КОМБО В-52 Стандарт'!J103*5/100</f>
        <v>111.63675600000001</v>
      </c>
      <c r="K103" s="194">
        <f>'КОМБО В-52 Стандарт'!K103+'КОМБО В-52 Стандарт'!K103*5/100</f>
        <v>119.08823849999999</v>
      </c>
      <c r="L103" s="194">
        <f>'КОМБО В-52 Стандарт'!L103+'КОМБО В-52 Стандарт'!L103*5/100</f>
        <v>126.40423949999999</v>
      </c>
      <c r="M103" s="194">
        <f>'КОМБО В-52 Стандарт'!M103+'КОМБО В-52 Стандарт'!M103*5/100</f>
        <v>133.72024049999999</v>
      </c>
      <c r="N103" s="194">
        <f>'КОМБО В-52 Стандарт'!N103+'КОМБО В-52 Стандарт'!N103*5/100</f>
        <v>141.17172300000001</v>
      </c>
      <c r="O103" s="194">
        <f>'КОМБО В-52 Стандарт'!O103+'КОМБО В-52 Стандарт'!O103*5/100</f>
        <v>148.48772400000001</v>
      </c>
      <c r="P103" s="195">
        <f>'КОМБО В-52 Стандарт'!P103+'КОМБО В-52 Стандарт'!P103*5/100</f>
        <v>155.93920650000001</v>
      </c>
    </row>
    <row r="104" spans="1:16">
      <c r="A104" s="1781"/>
      <c r="B104" s="333">
        <v>0.7</v>
      </c>
      <c r="C104" s="247">
        <f>'КОМБО В-52 Стандарт'!C104+'КОМБО В-52 Стандарт'!C104*5/100</f>
        <v>62.321489999999997</v>
      </c>
      <c r="D104" s="194">
        <f>'КОМБО В-52 Стандарт'!D104+'КОМБО В-52 Стандарт'!D104*5/100</f>
        <v>70.043935500000003</v>
      </c>
      <c r="E104" s="194">
        <f>'КОМБО В-52 Стандарт'!E104+'КОМБО В-52 Стандарт'!E104*5/100</f>
        <v>77.766380999999996</v>
      </c>
      <c r="F104" s="194">
        <f>'КОМБО В-52 Стандарт'!F104+'КОМБО В-52 Стандарт'!F104*5/100</f>
        <v>85.488826500000016</v>
      </c>
      <c r="G104" s="194">
        <f>'КОМБО В-52 Стандарт'!G104+'КОМБО В-52 Стандарт'!G104*5/100</f>
        <v>93.075790500000011</v>
      </c>
      <c r="H104" s="194">
        <f>'КОМБО В-52 Стандарт'!H104+'КОМБО В-52 Стандарт'!H104*5/100</f>
        <v>100.9337175</v>
      </c>
      <c r="I104" s="194">
        <f>'КОМБО В-52 Стандарт'!I104+'КОМБО В-52 Стандарт'!I104*5/100</f>
        <v>108.52068149999999</v>
      </c>
      <c r="J104" s="194">
        <f>'КОМБО В-52 Стандарт'!J104+'КОМБО В-52 Стандарт'!J104*5/100</f>
        <v>116.37860850000001</v>
      </c>
      <c r="K104" s="194">
        <f>'КОМБО В-52 Стандарт'!K104+'КОМБО В-52 Стандарт'!K104*5/100</f>
        <v>124.101054</v>
      </c>
      <c r="L104" s="194">
        <f>'КОМБО В-52 Стандарт'!L104+'КОМБО В-52 Стандарт'!L104*5/100</f>
        <v>131.688018</v>
      </c>
      <c r="M104" s="194">
        <f>'КОМБО В-52 Стандарт'!M104+'КОМБО В-52 Стандарт'!M104*5/100</f>
        <v>139.54594500000002</v>
      </c>
      <c r="N104" s="194">
        <f>'КОМБО В-52 Стандарт'!N104+'КОМБО В-52 Стандарт'!N104*5/100</f>
        <v>147.13290899999998</v>
      </c>
      <c r="O104" s="194">
        <f>'КОМБО В-52 Стандарт'!O104+'КОМБО В-52 Стандарт'!O104*5/100</f>
        <v>154.990836</v>
      </c>
      <c r="P104" s="195">
        <f>'КОМБО В-52 Стандарт'!P104+'КОМБО В-52 Стандарт'!P104*5/100</f>
        <v>162.57780000000002</v>
      </c>
    </row>
    <row r="105" spans="1:16">
      <c r="A105" s="1781"/>
      <c r="B105" s="333">
        <v>0.8</v>
      </c>
      <c r="C105" s="247">
        <f>'КОМБО В-52 Стандарт'!C105+'КОМБО В-52 Стандарт'!C105*5/100</f>
        <v>64.489193999999998</v>
      </c>
      <c r="D105" s="194">
        <f>'КОМБО В-52 Стандарт'!D105+'КОМБО В-52 Стандарт'!D105*5/100</f>
        <v>72.61808400000001</v>
      </c>
      <c r="E105" s="194">
        <f>'КОМБО В-52 Стандарт'!E105+'КОМБО В-52 Стандарт'!E105*5/100</f>
        <v>80.476011</v>
      </c>
      <c r="F105" s="194">
        <f>'КОМБО В-52 Стандарт'!F105+'КОМБО В-52 Стандарт'!F105*5/100</f>
        <v>88.604901000000012</v>
      </c>
      <c r="G105" s="194">
        <f>'КОМБО В-52 Стандарт'!G105+'КОМБО В-52 Стандарт'!G105*5/100</f>
        <v>96.733791000000011</v>
      </c>
      <c r="H105" s="194">
        <f>'КОМБО В-52 Стандарт'!H105+'КОМБО В-52 Стандарт'!H105*5/100</f>
        <v>104.72719950000001</v>
      </c>
      <c r="I105" s="194">
        <f>'КОМБО В-52 Стандарт'!I105+'КОМБО В-52 Стандарт'!I105*5/100</f>
        <v>112.85608949999998</v>
      </c>
      <c r="J105" s="194">
        <f>'КОМБО В-52 Стандарт'!J105+'КОМБО В-52 Стандарт'!J105*5/100</f>
        <v>120.98497949999999</v>
      </c>
      <c r="K105" s="194">
        <f>'КОМБО В-52 Стандарт'!K105+'КОМБО В-52 Стандарт'!K105*5/100</f>
        <v>129.11386949999999</v>
      </c>
      <c r="L105" s="194">
        <f>'КОМБО В-52 Стандарт'!L105+'КОМБО В-52 Стандарт'!L105*5/100</f>
        <v>136.97179650000001</v>
      </c>
      <c r="M105" s="194">
        <f>'КОМБО В-52 Стандарт'!M105+'КОМБО В-52 Стандарт'!M105*5/100</f>
        <v>145.10068649999999</v>
      </c>
      <c r="N105" s="194">
        <f>'КОМБО В-52 Стандарт'!N105+'КОМБО В-52 Стандарт'!N105*5/100</f>
        <v>153.22957650000001</v>
      </c>
      <c r="O105" s="194">
        <f>'КОМБО В-52 Стандарт'!O105+'КОМБО В-52 Стандарт'!O105*5/100</f>
        <v>161.35846650000002</v>
      </c>
      <c r="P105" s="195">
        <f>'КОМБО В-52 Стандарт'!P105+'КОМБО В-52 Стандарт'!P105*5/100</f>
        <v>169.35187500000004</v>
      </c>
    </row>
    <row r="106" spans="1:16">
      <c r="A106" s="1781"/>
      <c r="B106" s="333">
        <v>0.9</v>
      </c>
      <c r="C106" s="247">
        <f>'КОМБО В-52 Стандарт'!C106+'КОМБО В-52 Стандарт'!C106*5/100</f>
        <v>66.656898000000012</v>
      </c>
      <c r="D106" s="194">
        <f>'КОМБО В-52 Стандарт'!D106+'КОМБО В-52 Стандарт'!D106*5/100</f>
        <v>75.056751000000006</v>
      </c>
      <c r="E106" s="194">
        <f>'КОМБО В-52 Стандарт'!E106+'КОМБО В-52 Стандарт'!E106*5/100</f>
        <v>83.456604000000013</v>
      </c>
      <c r="F106" s="194">
        <f>'КОМБО В-52 Стандарт'!F106+'КОМБО В-52 Стандарт'!F106*5/100</f>
        <v>91.856456999999978</v>
      </c>
      <c r="G106" s="194">
        <f>'КОМБО В-52 Стандарт'!G106+'КОМБО В-52 Стандарт'!G106*5/100</f>
        <v>100.25631000000001</v>
      </c>
      <c r="H106" s="194">
        <f>'КОМБО В-52 Стандарт'!H106+'КОМБО В-52 Стандарт'!H106*5/100</f>
        <v>108.65616299999999</v>
      </c>
      <c r="I106" s="194">
        <f>'КОМБО В-52 Стандарт'!I106+'КОМБО В-52 Стандарт'!I106*5/100</f>
        <v>117.19149750000003</v>
      </c>
      <c r="J106" s="194">
        <f>'КОМБО В-52 Стандарт'!J106+'КОМБО В-52 Стандарт'!J106*5/100</f>
        <v>125.5913505</v>
      </c>
      <c r="K106" s="194">
        <f>'КОМБО В-52 Стандарт'!K106+'КОМБО В-52 Стандарт'!K106*5/100</f>
        <v>133.99120350000004</v>
      </c>
      <c r="L106" s="194">
        <f>'КОМБО В-52 Стандарт'!L106+'КОМБО В-52 Стандарт'!L106*5/100</f>
        <v>142.52653800000002</v>
      </c>
      <c r="M106" s="194">
        <f>'КОМБО В-52 Стандарт'!M106+'КОМБО В-52 Стандарт'!M106*5/100</f>
        <v>150.7909095</v>
      </c>
      <c r="N106" s="194">
        <f>'КОМБО В-52 Стандарт'!N106+'КОМБО В-52 Стандарт'!N106*5/100</f>
        <v>159.19076250000001</v>
      </c>
      <c r="O106" s="194">
        <f>'КОМБО В-52 Стандарт'!O106+'КОМБО В-52 Стандарт'!O106*5/100</f>
        <v>167.72609700000001</v>
      </c>
      <c r="P106" s="195">
        <f>'КОМБО В-52 Стандарт'!P106+'КОМБО В-52 Стандарт'!P106*5/100</f>
        <v>176.12595000000002</v>
      </c>
    </row>
    <row r="107" spans="1:16">
      <c r="A107" s="1781"/>
      <c r="B107" s="333">
        <v>1</v>
      </c>
      <c r="C107" s="247">
        <f>'КОМБО В-52 Стандарт'!C107+'КОМБО В-52 Стандарт'!C107*5/100</f>
        <v>68.824601999999999</v>
      </c>
      <c r="D107" s="194">
        <f>'КОМБО В-52 Стандарт'!D107+'КОМБО В-52 Стандарт'!D107*5/100</f>
        <v>77.495418000000001</v>
      </c>
      <c r="E107" s="194">
        <f>'КОМБО В-52 Стандарт'!E107+'КОМБО В-52 Стандарт'!E107*5/100</f>
        <v>86.301715500000014</v>
      </c>
      <c r="F107" s="194">
        <f>'КОМБО В-52 Стандарт'!F107+'КОМБО В-52 Стандарт'!F107*5/100</f>
        <v>95.108013000000014</v>
      </c>
      <c r="G107" s="194">
        <f>'КОМБО В-52 Стандарт'!G107+'КОМБО В-52 Стандарт'!G107*5/100</f>
        <v>103.91431050000001</v>
      </c>
      <c r="H107" s="194">
        <f>'КОМБО В-52 Стандарт'!H107+'КОМБО В-52 Стандарт'!H107*5/100</f>
        <v>112.72060800000001</v>
      </c>
      <c r="I107" s="194">
        <f>'КОМБО В-52 Стандарт'!I107+'КОМБО В-52 Стандарт'!I107*5/100</f>
        <v>121.391424</v>
      </c>
      <c r="J107" s="194">
        <f>'КОМБО В-52 Стандарт'!J107+'КОМБО В-52 Стандарт'!J107*5/100</f>
        <v>130.19772149999997</v>
      </c>
      <c r="K107" s="194">
        <f>'КОМБО В-52 Стандарт'!K107+'КОМБО В-52 Стандарт'!K107*5/100</f>
        <v>139.004019</v>
      </c>
      <c r="L107" s="194">
        <f>'КОМБО В-52 Стандарт'!L107+'КОМБО В-52 Стандарт'!L107*5/100</f>
        <v>147.8103165</v>
      </c>
      <c r="M107" s="194">
        <f>'КОМБО В-52 Стандарт'!M107+'КОМБО В-52 Стандарт'!M107*5/100</f>
        <v>156.616614</v>
      </c>
      <c r="N107" s="194">
        <f>'КОМБО В-52 Стандарт'!N107+'КОМБО В-52 Стандарт'!N107*5/100</f>
        <v>165.42291150000003</v>
      </c>
      <c r="O107" s="194">
        <f>'КОМБО В-52 Стандарт'!O107+'КОМБО В-52 Стандарт'!O107*5/100</f>
        <v>174.0937275</v>
      </c>
      <c r="P107" s="195">
        <f>'КОМБО В-52 Стандарт'!P107+'КОМБО В-52 Стандарт'!P107*5/100</f>
        <v>182.90002499999994</v>
      </c>
    </row>
    <row r="108" spans="1:16">
      <c r="A108" s="1781"/>
      <c r="B108" s="333">
        <v>1.1000000000000001</v>
      </c>
      <c r="C108" s="247">
        <f>'КОМБО В-52 Стандарт'!C108+'КОМБО В-52 Стандарт'!C108*5/100</f>
        <v>70.856824499999988</v>
      </c>
      <c r="D108" s="194">
        <f>'КОМБО В-52 Стандарт'!D108+'КОМБО В-52 Стандарт'!D108*5/100</f>
        <v>80.069566500000008</v>
      </c>
      <c r="E108" s="194">
        <f>'КОМБО В-52 Стандарт'!E108+'КОМБО В-52 Стандарт'!E108*5/100</f>
        <v>89.146827000000002</v>
      </c>
      <c r="F108" s="194">
        <f>'КОМБО В-52 Стандарт'!F108+'КОМБО В-52 Стандарт'!F108*5/100</f>
        <v>98.224087499999996</v>
      </c>
      <c r="G108" s="194">
        <f>'КОМБО В-52 Стандарт'!G108+'КОМБО В-52 Стандарт'!G108*5/100</f>
        <v>107.43682949999999</v>
      </c>
      <c r="H108" s="194">
        <f>'КОМБО В-52 Стандарт'!H108+'КОМБО В-52 Стандарт'!H108*5/100</f>
        <v>116.51408999999998</v>
      </c>
      <c r="I108" s="194">
        <f>'КОМБО В-52 Стандарт'!I108+'КОМБО В-52 Стандарт'!I108*5/100</f>
        <v>125.72683199999999</v>
      </c>
      <c r="J108" s="194">
        <f>'КОМБО В-52 Стандарт'!J108+'КОМБО В-52 Стандарт'!J108*5/100</f>
        <v>134.93957399999999</v>
      </c>
      <c r="K108" s="194">
        <f>'КОМБО В-52 Стандарт'!K108+'КОМБО В-52 Стандарт'!K108*5/100</f>
        <v>144.01683450000002</v>
      </c>
      <c r="L108" s="194">
        <f>'КОМБО В-52 Стандарт'!L108+'КОМБО В-52 Стандарт'!L108*5/100</f>
        <v>153.09409500000004</v>
      </c>
      <c r="M108" s="194">
        <f>'КОМБО В-52 Стандарт'!M108+'КОМБО В-52 Стандарт'!M108*5/100</f>
        <v>162.1713555</v>
      </c>
      <c r="N108" s="194">
        <f>'КОМБО В-52 Стандарт'!N108+'КОМБО В-52 Стандарт'!N108*5/100</f>
        <v>171.38409750000002</v>
      </c>
      <c r="O108" s="194">
        <f>'КОМБО В-52 Стандарт'!O108+'КОМБО В-52 Стандарт'!O108*5/100</f>
        <v>180.46135800000002</v>
      </c>
      <c r="P108" s="195">
        <f>'КОМБО В-52 Стандарт'!P108+'КОМБО В-52 Стандарт'!P108*5/100</f>
        <v>189.53861850000001</v>
      </c>
    </row>
    <row r="109" spans="1:16">
      <c r="A109" s="1781"/>
      <c r="B109" s="333">
        <v>1.2</v>
      </c>
      <c r="C109" s="247">
        <f>'КОМБО В-52 Стандарт'!C109+'КОМБО В-52 Стандарт'!C109*5/100</f>
        <v>73.024528500000002</v>
      </c>
      <c r="D109" s="194">
        <f>'КОМБО В-52 Стандарт'!D109+'КОМБО В-52 Стандарт'!D109*5/100</f>
        <v>82.508233500000003</v>
      </c>
      <c r="E109" s="194">
        <f>'КОМБО В-52 Стандарт'!E109+'КОМБО В-52 Стандарт'!E109*5/100</f>
        <v>91.991938500000018</v>
      </c>
      <c r="F109" s="194">
        <f>'КОМБО В-52 Стандарт'!F109+'КОМБО В-52 Стандарт'!F109*5/100</f>
        <v>101.61112500000002</v>
      </c>
      <c r="G109" s="194">
        <f>'КОМБО В-52 Стандарт'!G109+'КОМБО В-52 Стандарт'!G109*5/100</f>
        <v>110.95934850000002</v>
      </c>
      <c r="H109" s="194">
        <f>'КОМБО В-52 Стандарт'!H109+'КОМБО В-52 Стандарт'!H109*5/100</f>
        <v>120.44305350000002</v>
      </c>
      <c r="I109" s="194">
        <f>'КОМБО В-52 Стандарт'!I109+'КОМБО В-52 Стандарт'!I109*5/100</f>
        <v>129.92675850000003</v>
      </c>
      <c r="J109" s="194">
        <f>'КОМБО В-52 Стандарт'!J109+'КОМБО В-52 Стандарт'!J109*5/100</f>
        <v>139.54594500000002</v>
      </c>
      <c r="K109" s="194">
        <f>'КОМБО В-52 Стандарт'!K109+'КОМБО В-52 Стандарт'!K109*5/100</f>
        <v>148.89416850000003</v>
      </c>
      <c r="L109" s="194">
        <f>'КОМБО В-52 Стандарт'!L109+'КОМБО В-52 Стандарт'!L109*5/100</f>
        <v>158.37787350000005</v>
      </c>
      <c r="M109" s="194">
        <f>'КОМБО В-52 Стандарт'!M109+'КОМБО В-52 Стандарт'!M109*5/100</f>
        <v>167.86157850000001</v>
      </c>
      <c r="N109" s="194">
        <f>'КОМБО В-52 Стандарт'!N109+'КОМБО В-52 Стандарт'!N109*5/100</f>
        <v>177.48076500000002</v>
      </c>
      <c r="O109" s="194">
        <f>'КОМБО В-52 Стандарт'!O109+'КОМБО В-52 Стандарт'!O109*5/100</f>
        <v>186.96447000000001</v>
      </c>
      <c r="P109" s="195">
        <f>'КОМБО В-52 Стандарт'!P109+'КОМБО В-52 Стандарт'!P109*5/100</f>
        <v>196.31269349999999</v>
      </c>
    </row>
    <row r="110" spans="1:16">
      <c r="A110" s="1781"/>
      <c r="B110" s="333">
        <v>1.3</v>
      </c>
      <c r="C110" s="247">
        <f>'КОМБО В-52 Стандарт'!C110+'КОМБО В-52 Стандарт'!C110*5/100</f>
        <v>75.192232500000003</v>
      </c>
      <c r="D110" s="194">
        <f>'КОМБО В-52 Стандарт'!D110+'КОМБО В-52 Стандарт'!D110*5/100</f>
        <v>84.946900500000012</v>
      </c>
      <c r="E110" s="194">
        <f>'КОМБО В-52 Стандарт'!E110+'КОМБО В-52 Стандарт'!E110*5/100</f>
        <v>94.972531500000002</v>
      </c>
      <c r="F110" s="194">
        <f>'КОМБО В-52 Стандарт'!F110+'КОМБО В-52 Стандарт'!F110*5/100</f>
        <v>104.72719950000001</v>
      </c>
      <c r="G110" s="194">
        <f>'КОМБО В-52 Стандарт'!G110+'КОМБО В-52 Стандарт'!G110*5/100</f>
        <v>114.48186749999998</v>
      </c>
      <c r="H110" s="194">
        <f>'КОМБО В-52 Стандарт'!H110+'КОМБО В-52 Стандарт'!H110*5/100</f>
        <v>124.37201699999999</v>
      </c>
      <c r="I110" s="194">
        <f>'КОМБО В-52 Стандарт'!I110+'КОМБО В-52 Стандарт'!I110*5/100</f>
        <v>134.26216649999998</v>
      </c>
      <c r="J110" s="194">
        <f>'КОМБО В-52 Стандарт'!J110+'КОМБО В-52 Стандарт'!J110*5/100</f>
        <v>144.15231600000001</v>
      </c>
      <c r="K110" s="194">
        <f>'КОМБО В-52 Стандарт'!K110+'КОМБО В-52 Стандарт'!K110*5/100</f>
        <v>153.90698399999999</v>
      </c>
      <c r="L110" s="194">
        <f>'КОМБО В-52 Стандарт'!L110+'КОМБО В-52 Стандарт'!L110*5/100</f>
        <v>163.661652</v>
      </c>
      <c r="M110" s="194">
        <f>'КОМБО В-52 Стандарт'!M110+'КОМБО В-52 Стандарт'!M110*5/100</f>
        <v>173.68728300000001</v>
      </c>
      <c r="N110" s="194">
        <f>'КОМБО В-52 Стандарт'!N110+'КОМБО В-52 Стандарт'!N110*5/100</f>
        <v>183.44195100000002</v>
      </c>
      <c r="O110" s="194">
        <f>'КОМБО В-52 Стандарт'!O110+'КОМБО В-52 Стандарт'!O110*5/100</f>
        <v>193.3321005</v>
      </c>
      <c r="P110" s="195">
        <f>'КОМБО В-52 Стандарт'!P110+'КОМБО В-52 Стандарт'!P110*5/100</f>
        <v>203.08676850000001</v>
      </c>
    </row>
    <row r="111" spans="1:16">
      <c r="A111" s="1781"/>
      <c r="B111" s="333">
        <v>1.4</v>
      </c>
      <c r="C111" s="247">
        <f>'КОМБО В-52 Стандарт'!C111+'КОМБО В-52 Стандарт'!C111*5/100</f>
        <v>77.359936500000018</v>
      </c>
      <c r="D111" s="194">
        <f>'КОМБО В-52 Стандарт'!D111+'КОМБО В-52 Стандарт'!D111*5/100</f>
        <v>87.521049000000005</v>
      </c>
      <c r="E111" s="194">
        <f>'КОМБО В-52 Стандарт'!E111+'КОМБО В-52 Стандарт'!E111*5/100</f>
        <v>97.817643000000018</v>
      </c>
      <c r="F111" s="194">
        <f>'КОМБО В-52 Стандарт'!F111+'КОМБО В-52 Стандарт'!F111*5/100</f>
        <v>107.84327399999999</v>
      </c>
      <c r="G111" s="194">
        <f>'КОМБО В-52 Стандарт'!G111+'КОМБО В-52 Стандарт'!G111*5/100</f>
        <v>118.13986799999999</v>
      </c>
      <c r="H111" s="194">
        <f>'КОМБО В-52 Стандарт'!H111+'КОМБО В-52 Стандарт'!H111*5/100</f>
        <v>128.30098050000001</v>
      </c>
      <c r="I111" s="194">
        <f>'КОМБО В-52 Стандарт'!I111+'КОМБО В-52 Стандарт'!I111*5/100</f>
        <v>138.46209300000001</v>
      </c>
      <c r="J111" s="194">
        <f>'КОМБО В-52 Стандарт'!J111+'КОМБО В-52 Стандарт'!J111*5/100</f>
        <v>148.62320550000001</v>
      </c>
      <c r="K111" s="194">
        <f>'КОМБО В-52 Стандарт'!K111+'КОМБО В-52 Стандарт'!K111*5/100</f>
        <v>158.91979950000001</v>
      </c>
      <c r="L111" s="194">
        <f>'КОМБО В-52 Стандарт'!L111+'КОМБО В-52 Стандарт'!L111*5/100</f>
        <v>169.21639350000004</v>
      </c>
      <c r="M111" s="194">
        <f>'КОМБО В-52 Стандарт'!M111+'КОМБО В-52 Стандарт'!M111*5/100</f>
        <v>179.24202450000004</v>
      </c>
      <c r="N111" s="194">
        <f>'КОМБО В-52 Стандарт'!N111+'КОМБО В-52 Стандарт'!N111*5/100</f>
        <v>189.53861850000001</v>
      </c>
      <c r="O111" s="194">
        <f>'КОМБО В-52 Стандарт'!O111+'КОМБО В-52 Стандарт'!O111*5/100</f>
        <v>199.69973100000004</v>
      </c>
      <c r="P111" s="195">
        <f>'КОМБО В-52 Стандарт'!P111+'КОМБО В-52 Стандарт'!P111*5/100</f>
        <v>209.99632499999996</v>
      </c>
    </row>
    <row r="112" spans="1:16">
      <c r="A112" s="1781"/>
      <c r="B112" s="333">
        <v>1.5</v>
      </c>
      <c r="C112" s="247">
        <f>'КОМБО В-52 Стандарт'!C112+'КОМБО В-52 Стандарт'!C112*5/100</f>
        <v>79.527640500000004</v>
      </c>
      <c r="D112" s="194">
        <f>'КОМБО В-52 Стандарт'!D112+'КОМБО В-52 Стандарт'!D112*5/100</f>
        <v>89.959716000000014</v>
      </c>
      <c r="E112" s="194">
        <f>'КОМБО В-52 Стандарт'!E112+'КОМБО В-52 Стандарт'!E112*5/100</f>
        <v>100.52727300000001</v>
      </c>
      <c r="F112" s="194">
        <f>'КОМБО В-52 Стандарт'!F112+'КОМБО В-52 Стандарт'!F112*5/100</f>
        <v>111.23031149999997</v>
      </c>
      <c r="G112" s="194">
        <f>'КОМБО В-52 Стандарт'!G112+'КОМБО В-52 Стандарт'!G112*5/100</f>
        <v>121.662387</v>
      </c>
      <c r="H112" s="194">
        <f>'КОМБО В-52 Стандарт'!H112+'КОМБО В-52 Стандарт'!H112*5/100</f>
        <v>132.22994399999999</v>
      </c>
      <c r="I112" s="194">
        <f>'КОМБО В-52 Стандарт'!I112+'КОМБО В-52 Стандарт'!I112*5/100</f>
        <v>142.79750100000001</v>
      </c>
      <c r="J112" s="194">
        <f>'КОМБО В-52 Стандарт'!J112+'КОМБО В-52 Стандарт'!J112*5/100</f>
        <v>153.22957650000001</v>
      </c>
      <c r="K112" s="194">
        <f>'КОМБО В-52 Стандарт'!K112+'КОМБО В-52 Стандарт'!K112*5/100</f>
        <v>163.93261500000003</v>
      </c>
      <c r="L112" s="194">
        <f>'КОМБО В-52 Стандарт'!L112+'КОМБО В-52 Стандарт'!L112*5/100</f>
        <v>174.50017200000002</v>
      </c>
      <c r="M112" s="194">
        <f>'КОМБО В-52 Стандарт'!M112+'КОМБО В-52 Стандарт'!M112*5/100</f>
        <v>184.93224749999999</v>
      </c>
      <c r="N112" s="194">
        <f>'КОМБО В-52 Стандарт'!N112+'КОМБО В-52 Стандарт'!N112*5/100</f>
        <v>195.49980450000004</v>
      </c>
      <c r="O112" s="194">
        <f>'КОМБО В-52 Стандарт'!O112+'КОМБО В-52 Стандарт'!O112*5/100</f>
        <v>206.06736150000003</v>
      </c>
      <c r="P112" s="195">
        <f>'КОМБО В-52 Стандарт'!P112+'КОМБО В-52 Стандарт'!P112*5/100</f>
        <v>216.49943700000003</v>
      </c>
    </row>
    <row r="113" spans="1:16">
      <c r="A113" s="1781"/>
      <c r="B113" s="333">
        <v>1.6</v>
      </c>
      <c r="C113" s="247">
        <f>'КОМБО В-52 Стандарт'!C113+'КОМБО В-52 Стандарт'!C113*5/100</f>
        <v>81.695344500000004</v>
      </c>
      <c r="D113" s="194">
        <f>'КОМБО В-52 Стандарт'!D113+'КОМБО В-52 Стандарт'!D113*5/100</f>
        <v>92.39838300000001</v>
      </c>
      <c r="E113" s="194">
        <f>'КОМБО В-52 Стандарт'!E113+'КОМБО В-52 Стандарт'!E113*5/100</f>
        <v>103.37238449999998</v>
      </c>
      <c r="F113" s="194">
        <f>'КОМБО В-52 Стандарт'!F113+'КОМБО В-52 Стандарт'!F113*5/100</f>
        <v>114.34638600000001</v>
      </c>
      <c r="G113" s="194">
        <f>'КОМБО В-52 Стандарт'!G113+'КОМБО В-52 Стандарт'!G113*5/100</f>
        <v>125.3203875</v>
      </c>
      <c r="H113" s="194">
        <f>'КОМБО В-52 Стандарт'!H113+'КОМБО В-52 Стандарт'!H113*5/100</f>
        <v>136.1589075</v>
      </c>
      <c r="I113" s="194">
        <f>'КОМБО В-52 Стандарт'!I113+'КОМБО В-52 Стандарт'!I113*5/100</f>
        <v>146.99742750000001</v>
      </c>
      <c r="J113" s="194">
        <f>'КОМБО В-52 Стандарт'!J113+'КОМБО В-52 Стандарт'!J113*5/100</f>
        <v>157.971429</v>
      </c>
      <c r="K113" s="194">
        <f>'КОМБО В-52 Стандарт'!K113+'КОМБО В-52 Стандарт'!K113*5/100</f>
        <v>168.80994900000002</v>
      </c>
      <c r="L113" s="194">
        <f>'КОМБО В-52 Стандарт'!L113+'КОМБО В-52 Стандарт'!L113*5/100</f>
        <v>179.78395049999995</v>
      </c>
      <c r="M113" s="194">
        <f>'КОМБО В-52 Стандарт'!M113+'КОМБО В-52 Стандарт'!M113*5/100</f>
        <v>190.75795200000002</v>
      </c>
      <c r="N113" s="194">
        <f>'КОМБО В-52 Стандарт'!N113+'КОМБО В-52 Стандарт'!N113*5/100</f>
        <v>201.59647200000001</v>
      </c>
      <c r="O113" s="194">
        <f>'КОМБО В-52 Стандарт'!O113+'КОМБО В-52 Стандарт'!O113*5/100</f>
        <v>212.43499200000002</v>
      </c>
      <c r="P113" s="195">
        <f>'КОМБО В-52 Стандарт'!P113+'КОМБО В-52 Стандарт'!P113*5/100</f>
        <v>223.40899350000001</v>
      </c>
    </row>
    <row r="114" spans="1:16">
      <c r="A114" s="1781"/>
      <c r="B114" s="333">
        <v>1.7</v>
      </c>
      <c r="C114" s="247">
        <f>'КОМБО В-52 Стандарт'!C114+'КОМБО В-52 Стандарт'!C114*5/100</f>
        <v>83.863048500000005</v>
      </c>
      <c r="D114" s="194">
        <f>'КОМБО В-52 Стандарт'!D114+'КОМБО В-52 Стандарт'!D114*5/100</f>
        <v>95.108013000000014</v>
      </c>
      <c r="E114" s="194">
        <f>'КОМБО В-52 Стандарт'!E114+'КОМБО В-52 Стандарт'!E114*5/100</f>
        <v>106.21749600000001</v>
      </c>
      <c r="F114" s="194">
        <f>'КОМБО В-52 Стандарт'!F114+'КОМБО В-52 Стандарт'!F114*5/100</f>
        <v>117.46246049999999</v>
      </c>
      <c r="G114" s="194">
        <f>'КОМБО В-52 Стандарт'!G114+'КОМБО В-52 Стандарт'!G114*5/100</f>
        <v>128.707425</v>
      </c>
      <c r="H114" s="194">
        <f>'КОМБО В-52 Стандарт'!H114+'КОМБО В-52 Стандарт'!H114*5/100</f>
        <v>139.95238950000001</v>
      </c>
      <c r="I114" s="194">
        <f>'КОМБО В-52 Стандарт'!I114+'КОМБО В-52 Стандарт'!I114*5/100</f>
        <v>151.33283550000002</v>
      </c>
      <c r="J114" s="194">
        <f>'КОМБО В-52 Стандарт'!J114+'КОМБО В-52 Стандарт'!J114*5/100</f>
        <v>162.57780000000002</v>
      </c>
      <c r="K114" s="194">
        <f>'КОМБО В-52 Стандарт'!K114+'КОМБО В-52 Стандарт'!K114*5/100</f>
        <v>173.82276450000003</v>
      </c>
      <c r="L114" s="194">
        <f>'КОМБО В-52 Стандарт'!L114+'КОМБО В-52 Стандарт'!L114*5/100</f>
        <v>185.06772900000001</v>
      </c>
      <c r="M114" s="194">
        <f>'КОМБО В-52 Стандарт'!M114+'КОМБО В-52 Стандарт'!M114*5/100</f>
        <v>196.31269349999999</v>
      </c>
      <c r="N114" s="194">
        <f>'КОМБО В-52 Стандарт'!N114+'КОМБО В-52 Стандарт'!N114*5/100</f>
        <v>207.55765799999998</v>
      </c>
      <c r="O114" s="194">
        <f>'КОМБО В-52 Стандарт'!O114+'КОМБО В-52 Стандарт'!O114*5/100</f>
        <v>218.93810399999998</v>
      </c>
      <c r="P114" s="195">
        <f>'КОМБО В-52 Стандарт'!P114+'КОМБО В-52 Стандарт'!P114*5/100</f>
        <v>230.18306850000002</v>
      </c>
    </row>
    <row r="115" spans="1:16">
      <c r="A115" s="1781"/>
      <c r="B115" s="333">
        <v>1.8</v>
      </c>
      <c r="C115" s="247">
        <f>'КОМБО В-52 Стандарт'!C115+'КОМБО В-52 Стандарт'!C115*5/100</f>
        <v>86.030752500000006</v>
      </c>
      <c r="D115" s="194">
        <f>'КОМБО В-52 Стандарт'!D115+'КОМБО В-52 Стандарт'!D115*5/100</f>
        <v>97.546680000000009</v>
      </c>
      <c r="E115" s="194">
        <f>'КОМБО В-52 Стандарт'!E115+'КОМБО В-52 Стандарт'!E115*5/100</f>
        <v>109.19808899999998</v>
      </c>
      <c r="F115" s="194">
        <f>'КОМБО В-52 Стандарт'!F115+'КОМБО В-52 Стандарт'!F115*5/100</f>
        <v>120.84949800000003</v>
      </c>
      <c r="G115" s="194">
        <f>'КОМБО В-52 Стандарт'!G115+'КОМБО В-52 Стандарт'!G115*5/100</f>
        <v>132.36542550000001</v>
      </c>
      <c r="H115" s="194">
        <f>'КОМБО В-52 Стандарт'!H115+'КОМБО В-52 Стандарт'!H115*5/100</f>
        <v>144.01683450000002</v>
      </c>
      <c r="I115" s="194">
        <f>'КОМБО В-52 Стандарт'!I115+'КОМБО В-52 Стандарт'!I115*5/100</f>
        <v>155.53276199999999</v>
      </c>
      <c r="J115" s="194">
        <f>'КОМБО В-52 Стандарт'!J115+'КОМБО В-52 Стандарт'!J115*5/100</f>
        <v>167.18417100000002</v>
      </c>
      <c r="K115" s="194">
        <f>'КОМБО В-52 Стандарт'!K115+'КОМБО В-52 Стандарт'!K115*5/100</f>
        <v>178.83558000000005</v>
      </c>
      <c r="L115" s="194">
        <f>'КОМБО В-52 Стандарт'!L115+'КОМБО В-52 Стандарт'!L115*5/100</f>
        <v>190.35150750000003</v>
      </c>
      <c r="M115" s="194">
        <f>'КОМБО В-52 Стандарт'!M115+'КОМБО В-52 Стандарт'!M115*5/100</f>
        <v>202.00291650000003</v>
      </c>
      <c r="N115" s="194">
        <f>'КОМБО В-52 Стандарт'!N115+'КОМБО В-52 Стандарт'!N115*5/100</f>
        <v>213.51884400000003</v>
      </c>
      <c r="O115" s="194">
        <f>'КОМБО В-52 Стандарт'!O115+'КОМБО В-52 Стандарт'!O115*5/100</f>
        <v>225.30573450000003</v>
      </c>
      <c r="P115" s="195">
        <f>'КОМБО В-52 Стандарт'!P115+'КОМБО В-52 Стандарт'!P115*5/100</f>
        <v>236.95714349999997</v>
      </c>
    </row>
    <row r="116" spans="1:16">
      <c r="A116" s="1781"/>
      <c r="B116" s="333">
        <v>1.9</v>
      </c>
      <c r="C116" s="247">
        <f>'КОМБО В-52 Стандарт'!C116+'КОМБО В-52 Стандарт'!C116*5/100</f>
        <v>87.927493500000011</v>
      </c>
      <c r="D116" s="194">
        <f>'КОМБО В-52 Стандарт'!D116+'КОМБО В-52 Стандарт'!D116*5/100</f>
        <v>100.1208285</v>
      </c>
      <c r="E116" s="194">
        <f>'КОМБО В-52 Стандарт'!E116+'КОМБО В-52 Стандарт'!E116*5/100</f>
        <v>112.04320050000001</v>
      </c>
      <c r="F116" s="194">
        <f>'КОМБО В-52 Стандарт'!F116+'КОМБО В-52 Стандарт'!F116*5/100</f>
        <v>123.96557249999999</v>
      </c>
      <c r="G116" s="194">
        <f>'КОМБО В-52 Стандарт'!G116+'КОМБО В-52 Стандарт'!G116*5/100</f>
        <v>135.8879445</v>
      </c>
      <c r="H116" s="194">
        <f>'КОМБО В-52 Стандарт'!H116+'КОМБО В-52 Стандарт'!H116*5/100</f>
        <v>147.94579800000002</v>
      </c>
      <c r="I116" s="194">
        <f>'КОМБО В-52 Стандарт'!I116+'КОМБО В-52 Стандарт'!I116*5/100</f>
        <v>159.86817000000002</v>
      </c>
      <c r="J116" s="194">
        <f>'КОМБО В-52 Стандарт'!J116+'КОМБО В-52 Стандарт'!J116*5/100</f>
        <v>171.79054200000002</v>
      </c>
      <c r="K116" s="194">
        <f>'КОМБО В-52 Стандарт'!K116+'КОМБО В-52 Стандарт'!K116*5/100</f>
        <v>183.71291399999996</v>
      </c>
      <c r="L116" s="194">
        <f>'КОМБО В-52 Стандарт'!L116+'КОМБО В-52 Стандарт'!L116*5/100</f>
        <v>195.63528600000004</v>
      </c>
      <c r="M116" s="194">
        <f>'КОМБО В-52 Стандарт'!M116+'КОМБО В-52 Стандарт'!M116*5/100</f>
        <v>207.82862100000003</v>
      </c>
      <c r="N116" s="194">
        <f>'КОМБО В-52 Стандарт'!N116+'КОМБО В-52 Стандарт'!N116*5/100</f>
        <v>219.75099299999999</v>
      </c>
      <c r="O116" s="194">
        <f>'КОМБО В-52 Стандарт'!O116+'КОМБО В-52 Стандарт'!O116*5/100</f>
        <v>231.67336500000005</v>
      </c>
      <c r="P116" s="195">
        <f>'КОМБО В-52 Стандарт'!P116+'КОМБО В-52 Стандарт'!P116*5/100</f>
        <v>243.59573700000004</v>
      </c>
    </row>
    <row r="117" spans="1:16">
      <c r="A117" s="1781"/>
      <c r="B117" s="333">
        <v>2</v>
      </c>
      <c r="C117" s="247">
        <f>'КОМБО В-52 Стандарт'!C117+'КОМБО В-52 Стандарт'!C117*5/100</f>
        <v>90.095197500000012</v>
      </c>
      <c r="D117" s="194">
        <f>'КОМБО В-52 Стандарт'!D117+'КОМБО В-52 Стандарт'!D117*5/100</f>
        <v>102.55949550000001</v>
      </c>
      <c r="E117" s="194">
        <f>'КОМБО В-52 Стандарт'!E117+'КОМБО В-52 Стандарт'!E117*5/100</f>
        <v>114.88831199999998</v>
      </c>
      <c r="F117" s="194">
        <f>'КОМБО В-52 Стандарт'!F117+'КОМБО В-52 Стандарт'!F117*5/100</f>
        <v>127.2171285</v>
      </c>
      <c r="G117" s="194">
        <f>'КОМБО В-52 Стандарт'!G117+'КОМБО В-52 Стандарт'!G117*5/100</f>
        <v>139.54594500000002</v>
      </c>
      <c r="H117" s="194">
        <f>'КОМБО В-52 Стандарт'!H117+'КОМБО В-52 Стандарт'!H117*5/100</f>
        <v>151.73928000000004</v>
      </c>
      <c r="I117" s="194">
        <f>'КОМБО В-52 Стандарт'!I117+'КОМБО В-52 Стандарт'!I117*5/100</f>
        <v>164.20357800000002</v>
      </c>
      <c r="J117" s="194">
        <f>'КОМБО В-52 Стандарт'!J117+'КОМБО В-52 Стандарт'!J117*5/100</f>
        <v>176.39691300000001</v>
      </c>
      <c r="K117" s="194">
        <f>'КОМБО В-52 Стандарт'!K117+'КОМБО В-52 Стандарт'!K117*5/100</f>
        <v>188.72572950000003</v>
      </c>
      <c r="L117" s="194">
        <f>'КОМБО В-52 Стандарт'!L117+'КОМБО В-52 Стандарт'!L117*5/100</f>
        <v>201.19002750000001</v>
      </c>
      <c r="M117" s="194">
        <f>'КОМБО В-52 Стандарт'!M117+'КОМБО В-52 Стандарт'!M117*5/100</f>
        <v>213.38336250000003</v>
      </c>
      <c r="N117" s="194">
        <f>'КОМБО В-52 Стандарт'!N117+'КОМБО В-52 Стандарт'!N117*5/100</f>
        <v>225.71217899999996</v>
      </c>
      <c r="O117" s="194">
        <f>'КОМБО В-52 Стандарт'!O117+'КОМБО В-52 Стандарт'!O117*5/100</f>
        <v>238.04099549999998</v>
      </c>
      <c r="P117" s="195">
        <f>'КОМБО В-52 Стандарт'!P117+'КОМБО В-52 Стандарт'!P117*5/100</f>
        <v>250.369812</v>
      </c>
    </row>
    <row r="118" spans="1:16">
      <c r="A118" s="1781"/>
      <c r="B118" s="333">
        <v>2.1</v>
      </c>
      <c r="C118" s="247">
        <f>'КОМБО В-52 Стандарт'!C118+'КОМБО В-52 Стандарт'!C118*5/100</f>
        <v>92.262901499999984</v>
      </c>
      <c r="D118" s="194">
        <f>'КОМБО В-52 Стандарт'!D118+'КОМБО В-52 Стандарт'!D118*5/100</f>
        <v>104.99816249999998</v>
      </c>
      <c r="E118" s="194">
        <f>'КОМБО В-52 Стандарт'!E118+'КОМБО В-52 Стандарт'!E118*5/100</f>
        <v>117.59794199999999</v>
      </c>
      <c r="F118" s="194">
        <f>'КОМБО В-52 Стандарт'!F118+'КОМБО В-52 Стандарт'!F118*5/100</f>
        <v>130.46868449999999</v>
      </c>
      <c r="G118" s="194">
        <f>'КОМБО В-52 Стандарт'!G118+'КОМБО В-52 Стандарт'!G118*5/100</f>
        <v>142.93298250000001</v>
      </c>
      <c r="H118" s="194">
        <f>'КОМБО В-52 Стандарт'!H118+'КОМБО В-52 Стандарт'!H118*5/100</f>
        <v>155.80372500000001</v>
      </c>
      <c r="I118" s="194">
        <f>'КОМБО В-52 Стандарт'!I118+'КОМБО В-52 Стандарт'!I118*5/100</f>
        <v>168.40350450000003</v>
      </c>
      <c r="J118" s="194">
        <f>'КОМБО В-52 Стандарт'!J118+'КОМБО В-52 Стандарт'!J118*5/100</f>
        <v>181.13876550000001</v>
      </c>
      <c r="K118" s="194">
        <f>'КОМБО В-52 Стандарт'!K118+'КОМБО В-52 Стандарт'!K118*5/100</f>
        <v>193.73854500000004</v>
      </c>
      <c r="L118" s="194">
        <f>'КОМБО В-52 Стандарт'!L118+'КОМБО В-52 Стандарт'!L118*5/100</f>
        <v>206.47380600000002</v>
      </c>
      <c r="M118" s="194">
        <f>'КОМБО В-52 Стандарт'!M118+'КОМБО В-52 Стандарт'!M118*5/100</f>
        <v>219.07358549999998</v>
      </c>
      <c r="N118" s="194">
        <f>'КОМБО В-52 Стандарт'!N118+'КОМБО В-52 Стандарт'!N118*5/100</f>
        <v>231.80884649999996</v>
      </c>
      <c r="O118" s="194">
        <f>'КОМБО В-52 Стандарт'!O118+'КОМБО В-52 Стандарт'!O118*5/100</f>
        <v>244.408626</v>
      </c>
      <c r="P118" s="195">
        <f>'КОМБО В-52 Стандарт'!P118+'КОМБО В-52 Стандарт'!P118*5/100</f>
        <v>257.14388700000001</v>
      </c>
    </row>
    <row r="119" spans="1:16">
      <c r="A119" s="1781"/>
      <c r="B119" s="333">
        <v>2.2000000000000002</v>
      </c>
      <c r="C119" s="247">
        <f>'КОМБО В-52 Стандарт'!C119+'КОМБО В-52 Стандарт'!C119*5/100</f>
        <v>94.430605500000013</v>
      </c>
      <c r="D119" s="194">
        <f>'КОМБО В-52 Стандарт'!D119+'КОМБО В-52 Стандарт'!D119*5/100</f>
        <v>107.57231100000001</v>
      </c>
      <c r="E119" s="194">
        <f>'КОМБО В-52 Стандарт'!E119+'КОМБО В-52 Стандарт'!E119*5/100</f>
        <v>120.57853499999999</v>
      </c>
      <c r="F119" s="194">
        <f>'КОМБО В-52 Стандарт'!F119+'КОМБО В-52 Стандарт'!F119*5/100</f>
        <v>133.58475899999999</v>
      </c>
      <c r="G119" s="194">
        <f>'КОМБО В-52 Стандарт'!G119+'КОМБО В-52 Стандарт'!G119*5/100</f>
        <v>146.59098300000002</v>
      </c>
      <c r="H119" s="194">
        <f>'КОМБО В-52 Стандарт'!H119+'КОМБО В-52 Стандарт'!H119*5/100</f>
        <v>159.73268849999999</v>
      </c>
      <c r="I119" s="194">
        <f>'КОМБО В-52 Стандарт'!I119+'КОМБО В-52 Стандарт'!I119*5/100</f>
        <v>172.60343100000003</v>
      </c>
      <c r="J119" s="194">
        <f>'КОМБО В-52 Стандарт'!J119+'КОМБО В-52 Стандарт'!J119*5/100</f>
        <v>185.7451365</v>
      </c>
      <c r="K119" s="194">
        <f>'КОМБО В-52 Стандарт'!K119+'КОМБО В-52 Стандарт'!K119*5/100</f>
        <v>198.61587900000004</v>
      </c>
      <c r="L119" s="194">
        <f>'КОМБО В-52 Стандарт'!L119+'КОМБО В-52 Стандарт'!L119*5/100</f>
        <v>211.75758450000004</v>
      </c>
      <c r="M119" s="194">
        <f>'КОМБО В-52 Стандарт'!M119+'КОМБО В-52 Стандарт'!M119*5/100</f>
        <v>224.89929000000001</v>
      </c>
      <c r="N119" s="194">
        <f>'КОМБО В-52 Стандарт'!N119+'КОМБО В-52 Стандарт'!N119*5/100</f>
        <v>237.77003249999999</v>
      </c>
      <c r="O119" s="194">
        <f>'КОМБО В-52 Стандарт'!O119+'КОМБО В-52 Стандарт'!O119*5/100</f>
        <v>250.91173799999996</v>
      </c>
      <c r="P119" s="195">
        <f>'КОМБО В-52 Стандарт'!P119+'КОМБО В-52 Стандарт'!P119*5/100</f>
        <v>263.91796200000005</v>
      </c>
    </row>
    <row r="120" spans="1:16">
      <c r="A120" s="1781"/>
      <c r="B120" s="333">
        <v>2.2999999999999998</v>
      </c>
      <c r="C120" s="247">
        <f>'КОМБО В-52 Стандарт'!C120+'КОМБО В-52 Стандарт'!C120*5/100</f>
        <v>96.598309499999999</v>
      </c>
      <c r="D120" s="194">
        <f>'КОМБО В-52 Стандарт'!D120+'КОМБО В-52 Стандарт'!D120*5/100</f>
        <v>110.01097799999999</v>
      </c>
      <c r="E120" s="194">
        <f>'КОМБО В-52 Стандарт'!E120+'КОМБО В-52 Стандарт'!E120*5/100</f>
        <v>123.42364649999999</v>
      </c>
      <c r="F120" s="194">
        <f>'КОМБО В-52 Стандарт'!F120+'КОМБО В-52 Стандарт'!F120*5/100</f>
        <v>136.83631500000001</v>
      </c>
      <c r="G120" s="194">
        <f>'КОМБО В-52 Стандарт'!G120+'КОМБО В-52 Стандарт'!G120*5/100</f>
        <v>150.11350200000001</v>
      </c>
      <c r="H120" s="194">
        <f>'КОМБО В-52 Стандарт'!H120+'КОМБО В-52 Стандарт'!H120*5/100</f>
        <v>163.52617050000001</v>
      </c>
      <c r="I120" s="194">
        <f>'КОМБО В-52 Стандарт'!I120+'КОМБО В-52 Стандарт'!I120*5/100</f>
        <v>176.938839</v>
      </c>
      <c r="J120" s="194">
        <f>'КОМБО В-52 Стандарт'!J120+'КОМБО В-52 Стандарт'!J120*5/100</f>
        <v>190.35150750000003</v>
      </c>
      <c r="K120" s="194">
        <f>'КОМБО В-52 Стандарт'!K120+'КОМБО В-52 Стандарт'!K120*5/100</f>
        <v>203.62869450000002</v>
      </c>
      <c r="L120" s="194">
        <f>'КОМБО В-52 Стандарт'!L120+'КОМБО В-52 Стандарт'!L120*5/100</f>
        <v>217.04136299999999</v>
      </c>
      <c r="M120" s="194">
        <f>'КОМБО В-52 Стандарт'!M120+'КОМБО В-52 Стандарт'!M120*5/100</f>
        <v>230.45403150000004</v>
      </c>
      <c r="N120" s="194">
        <f>'КОМБО В-52 Стандарт'!N120+'КОМБО В-52 Стандарт'!N120*5/100</f>
        <v>243.86669999999998</v>
      </c>
      <c r="O120" s="194">
        <f>'КОМБО В-52 Стандарт'!O120+'КОМБО В-52 Стандарт'!O120*5/100</f>
        <v>257.27936850000003</v>
      </c>
      <c r="P120" s="195">
        <f>'КОМБО В-52 Стандарт'!P120+'КОМБО В-52 Стандарт'!P120*5/100</f>
        <v>270.5565555</v>
      </c>
    </row>
    <row r="121" spans="1:16">
      <c r="A121" s="1781"/>
      <c r="B121" s="333">
        <v>2.4</v>
      </c>
      <c r="C121" s="247">
        <f>'КОМБО В-52 Стандарт'!C121+'КОМБО В-52 Стандарт'!C121*5/100</f>
        <v>98.766013500000014</v>
      </c>
      <c r="D121" s="194">
        <f>'КОМБО В-52 Стандарт'!D121+'КОМБО В-52 Стандарт'!D121*5/100</f>
        <v>112.449645</v>
      </c>
      <c r="E121" s="194">
        <f>'КОМБО В-52 Стандарт'!E121+'КОМБО В-52 Стандарт'!E121*5/100</f>
        <v>126.26875800000001</v>
      </c>
      <c r="F121" s="194">
        <f>'КОМБО В-52 Стандарт'!F121+'КОМБО В-52 Стандарт'!F121*5/100</f>
        <v>139.95238950000001</v>
      </c>
      <c r="G121" s="194">
        <f>'КОМБО В-52 Стандарт'!G121+'КОМБО В-52 Стандарт'!G121*5/100</f>
        <v>153.7715025</v>
      </c>
      <c r="H121" s="194">
        <f>'КОМБО В-52 Стандарт'!H121+'КОМБО В-52 Стандарт'!H121*5/100</f>
        <v>167.45513400000002</v>
      </c>
      <c r="I121" s="194">
        <f>'КОМБО В-52 Стандарт'!I121+'КОМБО В-52 Стандарт'!I121*5/100</f>
        <v>181.27424700000003</v>
      </c>
      <c r="J121" s="194">
        <f>'КОМБО В-52 Стандарт'!J121+'КОМБО В-52 Стандарт'!J121*5/100</f>
        <v>194.95787850000002</v>
      </c>
      <c r="K121" s="194">
        <f>'КОМБО В-52 Стандарт'!K121+'КОМБО В-52 Стандарт'!K121*5/100</f>
        <v>208.77699149999995</v>
      </c>
      <c r="L121" s="194">
        <f>'КОМБО В-52 Стандарт'!L121+'КОМБО В-52 Стандарт'!L121*5/100</f>
        <v>222.32514150000003</v>
      </c>
      <c r="M121" s="194">
        <f>'КОМБО В-52 Стандарт'!M121+'КОМБО В-52 Стандарт'!M121*5/100</f>
        <v>236.14425449999999</v>
      </c>
      <c r="N121" s="194">
        <f>'КОМБО В-52 Стандарт'!N121+'КОМБО В-52 Стандарт'!N121*5/100</f>
        <v>249.82788600000006</v>
      </c>
      <c r="O121" s="194">
        <f>'КОМБО В-52 Стандарт'!O121+'КОМБО В-52 Стандарт'!O121*5/100</f>
        <v>263.64699899999999</v>
      </c>
      <c r="P121" s="195">
        <f>'КОМБО В-52 Стандарт'!P121+'КОМБО В-52 Стандарт'!P121*5/100</f>
        <v>277.33063049999998</v>
      </c>
    </row>
    <row r="122" spans="1:16">
      <c r="A122" s="1781"/>
      <c r="B122" s="333">
        <v>2.5</v>
      </c>
      <c r="C122" s="247">
        <f>'КОМБО В-52 Стандарт'!C122+'КОМБО В-52 Стандарт'!C122*5/100</f>
        <v>100.9337175</v>
      </c>
      <c r="D122" s="194">
        <f>'КОМБО В-52 Стандарт'!D122+'КОМБО В-52 Стандарт'!D122*5/100</f>
        <v>115.02379350000002</v>
      </c>
      <c r="E122" s="194">
        <f>'КОМБО В-52 Стандарт'!E122+'КОМБО В-52 Стандарт'!E122*5/100</f>
        <v>129.11386949999999</v>
      </c>
      <c r="F122" s="194">
        <f>'КОМБО В-52 Стандарт'!F122+'КОМБО В-52 Стандарт'!F122*5/100</f>
        <v>143.2039455</v>
      </c>
      <c r="G122" s="194">
        <f>'КОМБО В-52 Стандарт'!G122+'КОМБО В-52 Стандарт'!G122*5/100</f>
        <v>157.29402150000001</v>
      </c>
      <c r="H122" s="194">
        <f>'КОМБО В-52 Стандарт'!H122+'КОМБО В-52 Стандарт'!H122*5/100</f>
        <v>171.38409750000002</v>
      </c>
      <c r="I122" s="194">
        <f>'КОМБО В-52 Стандарт'!I122+'КОМБО В-52 Стандарт'!I122*5/100</f>
        <v>185.60965500000003</v>
      </c>
      <c r="J122" s="194">
        <f>'КОМБО В-52 Стандарт'!J122+'КОМБО В-52 Стандарт'!J122*5/100</f>
        <v>199.69973100000004</v>
      </c>
      <c r="K122" s="194">
        <f>'КОМБО В-52 Стандарт'!K122+'КОМБО В-52 Стандарт'!K122*5/100</f>
        <v>213.78980700000002</v>
      </c>
      <c r="L122" s="194">
        <f>'КОМБО В-52 Стандарт'!L122+'КОМБО В-52 Стандарт'!L122*5/100</f>
        <v>227.87988299999995</v>
      </c>
      <c r="M122" s="194">
        <f>'КОМБО В-52 Стандарт'!M122+'КОМБО В-52 Стандарт'!M122*5/100</f>
        <v>241.96995899999999</v>
      </c>
      <c r="N122" s="194">
        <f>'КОМБО В-52 Стандарт'!N122+'КОМБО В-52 Стандарт'!N122*5/100</f>
        <v>256.06003499999997</v>
      </c>
      <c r="O122" s="194">
        <f>'КОМБО В-52 Стандарт'!O122+'КОМБО В-52 Стандарт'!O122*5/100</f>
        <v>270.01462950000001</v>
      </c>
      <c r="P122" s="195">
        <f>'КОМБО В-52 Стандарт'!P122+'КОМБО В-52 Стандарт'!P122*5/100</f>
        <v>284.10470550000002</v>
      </c>
    </row>
    <row r="123" spans="1:16">
      <c r="A123" s="1781"/>
      <c r="B123" s="333">
        <v>2.6</v>
      </c>
      <c r="C123" s="247">
        <f>'КОМБО В-52 Стандарт'!C123+'КОМБО В-52 Стандарт'!C123*5/100</f>
        <v>103.10142150000001</v>
      </c>
      <c r="D123" s="194">
        <f>'КОМБО В-52 Стандарт'!D123+'КОМБО В-52 Стандарт'!D123*5/100</f>
        <v>117.46246049999999</v>
      </c>
      <c r="E123" s="194">
        <f>'КОМБО В-52 Стандарт'!E123+'КОМБО В-52 Стандарт'!E123*5/100</f>
        <v>132.09446249999999</v>
      </c>
      <c r="F123" s="194">
        <f>'КОМБО В-52 Стандарт'!F123+'КОМБО В-52 Стандарт'!F123*5/100</f>
        <v>146.45550150000003</v>
      </c>
      <c r="G123" s="194">
        <f>'КОМБО В-52 Стандарт'!G123+'КОМБО В-52 Стандарт'!G123*5/100</f>
        <v>160.952022</v>
      </c>
      <c r="H123" s="194">
        <f>'КОМБО В-52 Стандарт'!H123+'КОМБО В-52 Стандарт'!H123*5/100</f>
        <v>175.313061</v>
      </c>
      <c r="I123" s="194">
        <f>'КОМБО В-52 Стандарт'!I123+'КОМБО В-52 Стандарт'!I123*5/100</f>
        <v>189.67410000000004</v>
      </c>
      <c r="J123" s="194">
        <f>'КОМБО В-52 Стандарт'!J123+'КОМБО В-52 Стандарт'!J123*5/100</f>
        <v>204.17062050000001</v>
      </c>
      <c r="K123" s="194">
        <f>'КОМБО В-52 Стандарт'!K123+'КОМБО В-52 Стандарт'!K123*5/100</f>
        <v>218.66714100000004</v>
      </c>
      <c r="L123" s="194">
        <f>'КОМБО В-52 Стандарт'!L123+'КОМБО В-52 Стандарт'!L123*5/100</f>
        <v>233.16366150000005</v>
      </c>
      <c r="M123" s="194">
        <f>'КОМБО В-52 Стандарт'!M123+'КОМБО В-52 Стандарт'!M123*5/100</f>
        <v>247.52470049999997</v>
      </c>
      <c r="N123" s="194">
        <f>'КОМБО В-52 Стандарт'!N123+'КОМБО В-52 Стандарт'!N123*5/100</f>
        <v>262.02122099999997</v>
      </c>
      <c r="O123" s="194">
        <f>'КОМБО В-52 Стандарт'!O123+'КОМБО В-52 Стандарт'!O123*5/100</f>
        <v>276.38226000000003</v>
      </c>
      <c r="P123" s="195">
        <f>'КОМБО В-52 Стандарт'!P123+'КОМБО В-52 Стандарт'!P123*5/100</f>
        <v>291.01426200000003</v>
      </c>
    </row>
    <row r="124" spans="1:16">
      <c r="A124" s="1781"/>
      <c r="B124" s="333">
        <v>2.7</v>
      </c>
      <c r="C124" s="247">
        <f>'КОМБО В-52 Стандарт'!C124+'КОМБО В-52 Стандарт'!C124*5/100</f>
        <v>105.26912550000002</v>
      </c>
      <c r="D124" s="194">
        <f>'КОМБО В-52 Стандарт'!D124+'КОМБО В-52 Стандарт'!D124*5/100</f>
        <v>120.1720905</v>
      </c>
      <c r="E124" s="194">
        <f>'КОМБО В-52 Стандарт'!E124+'КОМБО В-52 Стандарт'!E124*5/100</f>
        <v>134.93957399999999</v>
      </c>
      <c r="F124" s="194">
        <f>'КОМБО В-52 Стандарт'!F124+'КОМБО В-52 Стандарт'!F124*5/100</f>
        <v>149.57157600000002</v>
      </c>
      <c r="G124" s="194">
        <f>'КОМБО В-52 Стандарт'!G124+'КОМБО В-52 Стандарт'!G124*5/100</f>
        <v>164.33905950000002</v>
      </c>
      <c r="H124" s="194">
        <f>'КОМБО В-52 Стандарт'!H124+'КОМБО В-52 Стандарт'!H124*5/100</f>
        <v>179.24202450000004</v>
      </c>
      <c r="I124" s="194">
        <f>'КОМБО В-52 Стандарт'!I124+'КОМБО В-52 Стандарт'!I124*5/100</f>
        <v>194.00950800000001</v>
      </c>
      <c r="J124" s="194">
        <f>'КОМБО В-52 Стандарт'!J124+'КОМБО В-52 Стандарт'!J124*5/100</f>
        <v>208.77699149999995</v>
      </c>
      <c r="K124" s="194">
        <f>'КОМБО В-52 Стандарт'!K124+'КОМБО В-52 Стандарт'!K124*5/100</f>
        <v>223.67995649999995</v>
      </c>
      <c r="L124" s="194">
        <f>'КОМБО В-52 Стандарт'!L124+'КОМБО В-52 Стандарт'!L124*5/100</f>
        <v>238.44744000000003</v>
      </c>
      <c r="M124" s="194">
        <f>'КОМБО В-52 Стандарт'!M124+'КОМБО В-52 Стандарт'!M124*5/100</f>
        <v>253.2149235</v>
      </c>
      <c r="N124" s="194">
        <f>'КОМБО В-52 Стандарт'!N124+'КОМБО В-52 Стандарт'!N124*5/100</f>
        <v>268.11788849999999</v>
      </c>
      <c r="O124" s="194">
        <f>'КОМБО В-52 Стандарт'!O124+'КОМБО В-52 Стандарт'!O124*5/100</f>
        <v>282.88537200000002</v>
      </c>
      <c r="P124" s="195">
        <f>'КОМБО В-52 Стандарт'!P124+'КОМБО В-52 Стандарт'!P124*5/100</f>
        <v>297.65285549999999</v>
      </c>
    </row>
    <row r="125" spans="1:16">
      <c r="A125" s="1781"/>
      <c r="B125" s="333">
        <v>2.8</v>
      </c>
      <c r="C125" s="247">
        <f>'КОМБО В-52 Стандарт'!C125+'КОМБО В-52 Стандарт'!C125*5/100</f>
        <v>107.43682949999999</v>
      </c>
      <c r="D125" s="194">
        <f>'КОМБО В-52 Стандарт'!D125+'КОМБО В-52 Стандарт'!D125*5/100</f>
        <v>122.61075749999999</v>
      </c>
      <c r="E125" s="194">
        <f>'КОМБО В-52 Стандарт'!E125+'КОМБО В-52 Стандарт'!E125*5/100</f>
        <v>137.649204</v>
      </c>
      <c r="F125" s="194">
        <f>'КОМБО В-52 Стандарт'!F125+'КОМБО В-52 Стандарт'!F125*5/100</f>
        <v>152.95861350000001</v>
      </c>
      <c r="G125" s="194">
        <f>'КОМБО В-52 Стандарт'!G125+'КОМБО В-52 Стандарт'!G125*5/100</f>
        <v>167.99706000000003</v>
      </c>
      <c r="H125" s="194">
        <f>'КОМБО В-52 Стандарт'!H125+'КОМБО В-52 Стандарт'!H125*5/100</f>
        <v>183.03550650000003</v>
      </c>
      <c r="I125" s="194">
        <f>'КОМБО В-52 Стандарт'!I125+'КОМБО В-52 Стандарт'!I125*5/100</f>
        <v>198.34491600000001</v>
      </c>
      <c r="J125" s="194">
        <f>'КОМБО В-52 Стандарт'!J125+'КОМБО В-52 Стандарт'!J125*5/100</f>
        <v>213.38336250000003</v>
      </c>
      <c r="K125" s="194">
        <f>'КОМБО В-52 Стандарт'!K125+'КОМБО В-52 Стандарт'!K125*5/100</f>
        <v>228.69277200000002</v>
      </c>
      <c r="L125" s="194">
        <f>'КОМБО В-52 Стандарт'!L125+'КОМБО В-52 Стандарт'!L125*5/100</f>
        <v>243.73121850000004</v>
      </c>
      <c r="M125" s="194">
        <f>'КОМБО В-52 Стандарт'!M125+'КОМБО В-52 Стандарт'!M125*5/100</f>
        <v>259.04062799999997</v>
      </c>
      <c r="N125" s="194">
        <f>'КОМБО В-52 Стандарт'!N125+'КОМБО В-52 Стандарт'!N125*5/100</f>
        <v>274.07907449999999</v>
      </c>
      <c r="O125" s="194">
        <f>'КОМБО В-52 Стандарт'!O125+'КОМБО В-52 Стандарт'!O125*5/100</f>
        <v>289.25300250000004</v>
      </c>
      <c r="P125" s="195">
        <f>'КОМБО В-52 Стандарт'!P125+'КОМБО В-52 Стандарт'!P125*5/100</f>
        <v>304.42693049999997</v>
      </c>
    </row>
    <row r="126" spans="1:16">
      <c r="A126" s="1781"/>
      <c r="B126" s="333">
        <v>2.9</v>
      </c>
      <c r="C126" s="247">
        <f>'КОМБО В-52 Стандарт'!C126+'КОМБО В-52 Стандарт'!C126*5/100</f>
        <v>109.46905199999999</v>
      </c>
      <c r="D126" s="194">
        <f>'КОМБО В-52 Стандарт'!D126+'КОМБО В-52 Стандарт'!D126*5/100</f>
        <v>125.0494245</v>
      </c>
      <c r="E126" s="194">
        <f>'КОМБО В-52 Стандарт'!E126+'КОМБО В-52 Стандарт'!E126*5/100</f>
        <v>140.4943155</v>
      </c>
      <c r="F126" s="194">
        <f>'КОМБО В-52 Стандарт'!F126+'КОМБО В-52 Стандарт'!F126*5/100</f>
        <v>156.07468800000001</v>
      </c>
      <c r="G126" s="194">
        <f>'КОМБО В-52 Стандарт'!G126+'КОМБО В-52 Стандарт'!G126*5/100</f>
        <v>171.51957900000002</v>
      </c>
      <c r="H126" s="194">
        <f>'КОМБО В-52 Стандарт'!H126+'КОМБО В-52 Стандарт'!H126*5/100</f>
        <v>187.09995150000003</v>
      </c>
      <c r="I126" s="194">
        <f>'КОМБО В-52 Стандарт'!I126+'КОМБО В-52 Стандарт'!I126*5/100</f>
        <v>202.68032399999996</v>
      </c>
      <c r="J126" s="194">
        <f>'КОМБО В-52 Стандарт'!J126+'КОМБО В-52 Стандарт'!J126*5/100</f>
        <v>217.98973349999997</v>
      </c>
      <c r="K126" s="194">
        <f>'КОМБО В-52 Стандарт'!K126+'КОМБО В-52 Стандарт'!K126*5/100</f>
        <v>233.57010600000004</v>
      </c>
      <c r="L126" s="194">
        <f>'КОМБО В-52 Стандарт'!L126+'КОМБО В-52 Стандарт'!L126*5/100</f>
        <v>249.01499700000005</v>
      </c>
      <c r="M126" s="194">
        <f>'КОМБО В-52 Стандарт'!M126+'КОМБО В-52 Стандарт'!M126*5/100</f>
        <v>264.59536950000006</v>
      </c>
      <c r="N126" s="194">
        <f>'КОМБО В-52 Стандарт'!N126+'КОМБО В-52 Стандарт'!N126*5/100</f>
        <v>280.17574200000001</v>
      </c>
      <c r="O126" s="194">
        <f>'КОМБО В-52 Стандарт'!O126+'КОМБО В-52 Стандарт'!O126*5/100</f>
        <v>295.620633</v>
      </c>
      <c r="P126" s="195">
        <f>'КОМБО В-52 Стандарт'!P126+'КОМБО В-52 Стандарт'!P126*5/100</f>
        <v>311.20100550000001</v>
      </c>
    </row>
    <row r="127" spans="1:16">
      <c r="A127" s="1781"/>
      <c r="B127" s="333">
        <v>3</v>
      </c>
      <c r="C127" s="247">
        <f>'КОМБО В-52 Стандарт'!C127+'КОМБО В-52 Стандарт'!C127*5/100</f>
        <v>111.63675600000001</v>
      </c>
      <c r="D127" s="194">
        <f>'КОМБО В-52 Стандарт'!D127+'КОМБО В-52 Стандарт'!D127*5/100</f>
        <v>127.62357300000001</v>
      </c>
      <c r="E127" s="194">
        <f>'КОМБО В-52 Стандарт'!E127+'КОМБО В-52 Стандарт'!E127*5/100</f>
        <v>143.47490850000003</v>
      </c>
      <c r="F127" s="194">
        <f>'КОМБО В-52 Стандарт'!F127+'КОМБО В-52 Стандарт'!F127*5/100</f>
        <v>159.19076250000001</v>
      </c>
      <c r="G127" s="194">
        <f>'КОМБО В-52 Стандарт'!G127+'КОМБО В-52 Стандарт'!G127*5/100</f>
        <v>175.17757950000004</v>
      </c>
      <c r="H127" s="194">
        <f>'КОМБО В-52 Стандарт'!H127+'КОМБО В-52 Стандарт'!H127*5/100</f>
        <v>191.02891499999998</v>
      </c>
      <c r="I127" s="194">
        <f>'КОМБО В-52 Стандарт'!I127+'КОМБО В-52 Стандарт'!I127*5/100</f>
        <v>206.74476899999996</v>
      </c>
      <c r="J127" s="194">
        <f>'КОМБО В-52 Стандарт'!J127+'КОМБО В-52 Стандарт'!J127*5/100</f>
        <v>222.73158600000005</v>
      </c>
      <c r="K127" s="194">
        <f>'КОМБО В-52 Стандарт'!K127+'КОМБО В-52 Стандарт'!K127*5/100</f>
        <v>238.5829215</v>
      </c>
      <c r="L127" s="194">
        <f>'КОМБО В-52 Стандарт'!L127+'КОМБО В-52 Стандарт'!L127*5/100</f>
        <v>254.5697385</v>
      </c>
      <c r="M127" s="194">
        <f>'КОМБО В-52 Стандарт'!M127+'КОМБО В-52 Стандарт'!M127*5/100</f>
        <v>270.28559250000001</v>
      </c>
      <c r="N127" s="194">
        <f>'КОМБО В-52 Стандарт'!N127+'КОМБО В-52 Стандарт'!N127*5/100</f>
        <v>286.13692799999995</v>
      </c>
      <c r="O127" s="194">
        <f>'КОМБО В-52 Стандарт'!O127+'КОМБО В-52 Стандарт'!O127*5/100</f>
        <v>302.12374500000004</v>
      </c>
      <c r="P127" s="195">
        <f>'КОМБО В-52 Стандарт'!P127+'КОМБО В-52 Стандарт'!P127*5/100</f>
        <v>317.97508049999999</v>
      </c>
    </row>
    <row r="128" spans="1:16">
      <c r="A128" s="1781"/>
      <c r="B128" s="333">
        <v>3.1</v>
      </c>
      <c r="C128" s="247">
        <f>'КОМБО В-52 Стандарт'!C128+'КОМБО В-52 Стандарт'!C128*5/100</f>
        <v>113.80446000000001</v>
      </c>
      <c r="D128" s="194">
        <f>'КОМБО В-52 Стандарт'!D128+'КОМБО В-52 Стандарт'!D128*5/100</f>
        <v>130.06224</v>
      </c>
      <c r="E128" s="194">
        <f>'КОМБО В-52 Стандарт'!E128+'КОМБО В-52 Стандарт'!E128*5/100</f>
        <v>146.32002</v>
      </c>
      <c r="F128" s="194">
        <f>'КОМБО В-52 Стандарт'!F128+'КОМБО В-52 Стандарт'!F128*5/100</f>
        <v>162.57780000000002</v>
      </c>
      <c r="G128" s="194">
        <f>'КОМБО В-52 Стандарт'!G128+'КОМБО В-52 Стандарт'!G128*5/100</f>
        <v>178.564617</v>
      </c>
      <c r="H128" s="194">
        <f>'КОМБО В-52 Стандарт'!H128+'КОМБО В-52 Стандарт'!H128*5/100</f>
        <v>194.82239700000002</v>
      </c>
      <c r="I128" s="194">
        <f>'КОМБО В-52 Стандарт'!I128+'КОМБО В-52 Стандарт'!I128*5/100</f>
        <v>211.08017700000005</v>
      </c>
      <c r="J128" s="194">
        <f>'КОМБО В-52 Стандарт'!J128+'КОМБО В-52 Стандарт'!J128*5/100</f>
        <v>227.33795700000002</v>
      </c>
      <c r="K128" s="194">
        <f>'КОМБО В-52 Стандарт'!K128+'КОМБО В-52 Стандарт'!K128*5/100</f>
        <v>243.59573700000004</v>
      </c>
      <c r="L128" s="194">
        <f>'КОМБО В-52 Стандарт'!L128+'КОМБО В-52 Стандарт'!L128*5/100</f>
        <v>259.85351700000007</v>
      </c>
      <c r="M128" s="194">
        <f>'КОМБО В-52 Стандарт'!M128+'КОМБО В-52 Стандарт'!M128*5/100</f>
        <v>276.11129700000004</v>
      </c>
      <c r="N128" s="194">
        <f>'КОМБО В-52 Стандарт'!N128+'КОМБО В-52 Стандарт'!N128*5/100</f>
        <v>292.23359549999998</v>
      </c>
      <c r="O128" s="194">
        <f>'КОМБО В-52 Стандарт'!O128+'КОМБО В-52 Стандарт'!O128*5/100</f>
        <v>308.35589399999998</v>
      </c>
      <c r="P128" s="195">
        <f>'КОМБО В-52 Стандарт'!P128+'КОМБО В-52 Стандарт'!P128*5/100</f>
        <v>324.613674</v>
      </c>
    </row>
    <row r="129" spans="1:16" ht="13.8" thickBot="1">
      <c r="A129" s="1782"/>
      <c r="B129" s="335">
        <v>3.2</v>
      </c>
      <c r="C129" s="248">
        <f>'КОМБО В-52 Стандарт'!C129+'КОМБО В-52 Стандарт'!C129*5/100</f>
        <v>115.97216399999999</v>
      </c>
      <c r="D129" s="196">
        <f>'КОМБО В-52 Стандарт'!D129+'КОМБО В-52 Стандарт'!D129*5/100</f>
        <v>132.50090699999998</v>
      </c>
      <c r="E129" s="196">
        <f>'КОМБО В-52 Стандарт'!E129+'КОМБО В-52 Стандарт'!E129*5/100</f>
        <v>149.1651315</v>
      </c>
      <c r="F129" s="196">
        <f>'КОМБО В-52 Стандарт'!F129+'КОМБО В-52 Стандарт'!F129*5/100</f>
        <v>165.69387450000002</v>
      </c>
      <c r="G129" s="196">
        <f>'КОМБО В-52 Стандарт'!G129+'КОМБО В-52 Стандарт'!G129*5/100</f>
        <v>182.22261750000001</v>
      </c>
      <c r="H129" s="196">
        <f>'КОМБО В-52 Стандарт'!H129+'КОМБО В-52 Стандарт'!H129*5/100</f>
        <v>198.88684200000003</v>
      </c>
      <c r="I129" s="196">
        <f>'КОМБО В-52 Стандарт'!I129+'КОМБО В-52 Стандарт'!I129*5/100</f>
        <v>215.41558500000002</v>
      </c>
      <c r="J129" s="196">
        <f>'КОМБО В-52 Стандарт'!J129+'КОМБО В-52 Стандарт'!J129*5/100</f>
        <v>231.94432799999998</v>
      </c>
      <c r="K129" s="196">
        <f>'КОМБО В-52 Стандарт'!K129+'КОМБО В-52 Стандарт'!K129*5/100</f>
        <v>248.6085525</v>
      </c>
      <c r="L129" s="196">
        <f>'КОМБО В-52 Стандарт'!L129+'КОМБО В-52 Стандарт'!L129*5/100</f>
        <v>265.13729549999999</v>
      </c>
      <c r="M129" s="196">
        <f>'КОМБО В-52 Стандарт'!M129+'КОМБО В-52 Стандарт'!M129*5/100</f>
        <v>281.66603850000001</v>
      </c>
      <c r="N129" s="196">
        <f>'КОМБО В-52 Стандарт'!N129+'КОМБО В-52 Стандарт'!N129*5/100</f>
        <v>298.19478150000003</v>
      </c>
      <c r="O129" s="196">
        <f>'КОМБО В-52 Стандарт'!O129+'КОМБО В-52 Стандарт'!O129*5/100</f>
        <v>314.85900600000002</v>
      </c>
      <c r="P129" s="197">
        <f>'КОМБО В-52 Стандарт'!P129+'КОМБО В-52 Стандарт'!P129*5/100</f>
        <v>331.38774900000004</v>
      </c>
    </row>
    <row r="130" spans="1:16">
      <c r="A130" s="180" t="s">
        <v>303</v>
      </c>
      <c r="B130" s="182"/>
      <c r="C130" s="182"/>
      <c r="D130" s="182"/>
      <c r="E130" s="182"/>
      <c r="F130" s="182"/>
      <c r="G130" s="182"/>
      <c r="H130" s="182"/>
      <c r="I130" s="182"/>
      <c r="J130" s="182"/>
      <c r="K130" s="182"/>
      <c r="L130" s="182"/>
      <c r="M130" s="182"/>
      <c r="N130" s="182"/>
      <c r="O130" s="182"/>
      <c r="P130" s="182"/>
    </row>
    <row r="131" spans="1:16" ht="13.8">
      <c r="A131" s="116" t="s">
        <v>215</v>
      </c>
      <c r="B131" s="114"/>
      <c r="C131" s="114"/>
      <c r="D131" s="114"/>
      <c r="E131" s="114"/>
      <c r="F131" s="114"/>
      <c r="G131" s="114"/>
      <c r="H131" s="114"/>
      <c r="I131" s="114"/>
      <c r="J131" s="114"/>
      <c r="K131" s="114"/>
      <c r="L131" s="114"/>
      <c r="M131" s="114"/>
      <c r="N131" s="114"/>
      <c r="O131" s="114"/>
      <c r="P131" s="114"/>
    </row>
    <row r="132" spans="1:16" ht="15.6">
      <c r="A132" s="117" t="s">
        <v>632</v>
      </c>
      <c r="B132" s="73"/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73"/>
      <c r="N132" s="73"/>
      <c r="O132" s="73"/>
      <c r="P132" s="73"/>
    </row>
    <row r="133" spans="1:16" ht="26.4" customHeight="1" thickBot="1">
      <c r="A133" s="1895" t="s">
        <v>790</v>
      </c>
      <c r="B133" s="1895"/>
      <c r="C133" s="1895"/>
      <c r="D133" s="1895"/>
      <c r="E133" s="1895"/>
      <c r="F133" s="1895"/>
      <c r="G133" s="1895"/>
      <c r="H133" s="1895"/>
      <c r="I133" s="1895"/>
      <c r="J133" s="1895"/>
      <c r="K133" s="1895"/>
      <c r="L133" s="1895"/>
      <c r="M133" s="1895"/>
      <c r="N133" s="1895"/>
      <c r="O133" s="1895"/>
      <c r="P133" s="1895"/>
    </row>
    <row r="134" spans="1:16" ht="13.8" thickBot="1">
      <c r="A134" s="1580" t="s">
        <v>766</v>
      </c>
      <c r="B134" s="1581"/>
      <c r="C134" s="1581"/>
      <c r="D134" s="1581"/>
      <c r="E134" s="1581"/>
      <c r="F134" s="1581"/>
      <c r="G134" s="1581"/>
      <c r="H134" s="1582"/>
      <c r="I134" s="499"/>
      <c r="J134" s="499"/>
      <c r="K134" s="499"/>
      <c r="L134" s="499"/>
      <c r="M134" s="499"/>
      <c r="N134" s="499"/>
      <c r="O134" s="499"/>
      <c r="P134" s="499"/>
    </row>
    <row r="135" spans="1:16">
      <c r="A135" s="1584" t="s">
        <v>556</v>
      </c>
      <c r="B135" s="1576"/>
      <c r="C135" s="1576" t="s">
        <v>767</v>
      </c>
      <c r="D135" s="1576"/>
      <c r="E135" s="1576" t="s">
        <v>770</v>
      </c>
      <c r="F135" s="1576"/>
      <c r="G135" s="1576" t="s">
        <v>771</v>
      </c>
      <c r="H135" s="1577"/>
      <c r="I135" s="499"/>
      <c r="J135" s="499"/>
      <c r="K135" s="499"/>
      <c r="L135" s="499"/>
      <c r="M135" s="499"/>
      <c r="N135" s="499"/>
      <c r="O135" s="499"/>
      <c r="P135" s="499"/>
    </row>
    <row r="136" spans="1:16" ht="13.8" thickBot="1">
      <c r="A136" s="1583">
        <f>(7*KFC!$B$20*1.1+KFC!$C$20)*KFC!$C$5</f>
        <v>7.7000000000000011</v>
      </c>
      <c r="B136" s="1578"/>
      <c r="C136" s="1578">
        <f>(7.6*KFC!$B$20*1.1+KFC!$C$20)*KFC!$C$5</f>
        <v>8.36</v>
      </c>
      <c r="D136" s="1578"/>
      <c r="E136" s="1578">
        <f>(54.8*KFC!$B$20*1.1+KFC!$C$20)*KFC!$C$5</f>
        <v>60.28</v>
      </c>
      <c r="F136" s="1578"/>
      <c r="G136" s="1578">
        <f>(45.6*KFC!$B$20*1.1+KFC!$C$20)*KFC!$C$5</f>
        <v>50.160000000000004</v>
      </c>
      <c r="H136" s="1579"/>
      <c r="I136" s="499"/>
      <c r="J136" s="499"/>
      <c r="K136" s="499"/>
      <c r="L136" s="499"/>
      <c r="M136" s="499"/>
      <c r="N136" s="499"/>
      <c r="O136" s="499"/>
      <c r="P136" s="499"/>
    </row>
    <row r="137" spans="1:16" ht="26.4" customHeight="1">
      <c r="A137" s="1283" t="s">
        <v>772</v>
      </c>
      <c r="B137" s="1283"/>
      <c r="C137" s="1283"/>
      <c r="D137" s="1283"/>
      <c r="E137" s="1283"/>
      <c r="F137" s="1283"/>
      <c r="G137" s="1283"/>
      <c r="H137" s="1283"/>
      <c r="I137" s="1283"/>
      <c r="J137" s="1283"/>
      <c r="K137" s="1283"/>
      <c r="L137" s="1283"/>
      <c r="M137" s="1283"/>
      <c r="N137" s="1283"/>
      <c r="O137" s="1283"/>
      <c r="P137" s="1283"/>
    </row>
    <row r="138" spans="1:16">
      <c r="A138" s="1283" t="s">
        <v>764</v>
      </c>
      <c r="B138" s="1283"/>
      <c r="C138" s="1283"/>
      <c r="D138" s="498">
        <f>(2.04*KFC!$B$20*1.1+KFC!$C$20)*KFC!$C$5</f>
        <v>2.2440000000000002</v>
      </c>
      <c r="E138" s="1566" t="s">
        <v>773</v>
      </c>
      <c r="F138" s="1567"/>
      <c r="G138" s="1568"/>
      <c r="H138" s="498">
        <f>(3.23*KFC!$B$20*1.1+KFC!$C$20)*KFC!$C$5</f>
        <v>3.5530000000000004</v>
      </c>
      <c r="I138" s="1569" t="s">
        <v>774</v>
      </c>
      <c r="J138" s="1283"/>
      <c r="K138" s="1283"/>
      <c r="L138" s="1283"/>
      <c r="M138" s="422"/>
      <c r="N138" s="422"/>
      <c r="O138" s="422"/>
      <c r="P138" s="422"/>
    </row>
    <row r="139" spans="1:16">
      <c r="A139" s="508" t="s">
        <v>804</v>
      </c>
    </row>
  </sheetData>
  <mergeCells count="32">
    <mergeCell ref="A3:P3"/>
    <mergeCell ref="A4:P4"/>
    <mergeCell ref="A6:D6"/>
    <mergeCell ref="E6:P6"/>
    <mergeCell ref="A7:B8"/>
    <mergeCell ref="C7:P7"/>
    <mergeCell ref="A5:D5"/>
    <mergeCell ref="E5:P5"/>
    <mergeCell ref="A134:H134"/>
    <mergeCell ref="A9:A36"/>
    <mergeCell ref="A38:B39"/>
    <mergeCell ref="C38:P38"/>
    <mergeCell ref="A40:A67"/>
    <mergeCell ref="A69:B70"/>
    <mergeCell ref="C69:P69"/>
    <mergeCell ref="A71:A98"/>
    <mergeCell ref="A100:B101"/>
    <mergeCell ref="C100:P100"/>
    <mergeCell ref="A102:A129"/>
    <mergeCell ref="A133:P133"/>
    <mergeCell ref="A137:P137"/>
    <mergeCell ref="A138:C138"/>
    <mergeCell ref="E138:G138"/>
    <mergeCell ref="I138:L138"/>
    <mergeCell ref="A135:B135"/>
    <mergeCell ref="C135:D135"/>
    <mergeCell ref="E135:F135"/>
    <mergeCell ref="G135:H135"/>
    <mergeCell ref="A136:B136"/>
    <mergeCell ref="C136:D136"/>
    <mergeCell ref="E136:F136"/>
    <mergeCell ref="G136:H136"/>
  </mergeCells>
  <hyperlinks>
    <hyperlink ref="E6" r:id="rId1" xr:uid="{BEB1EB28-3469-4E33-9E73-02409E5877A6}"/>
    <hyperlink ref="E5" r:id="rId2" xr:uid="{BFDE2B32-C527-4D98-80CD-013546331352}"/>
  </hyperlinks>
  <pageMargins left="0.7" right="0.7" top="0.75" bottom="0.75" header="0.3" footer="0.3"/>
  <pageSetup paperSize="9" scale="73" orientation="portrait" verticalDpi="203" r:id="rId3"/>
  <rowBreaks count="1" manualBreakCount="1">
    <brk id="68" max="16383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8E603C-FC85-40B2-B9BE-9CB2406F3673}">
  <sheetPr>
    <tabColor indexed="43"/>
  </sheetPr>
  <dimension ref="A1:AA265"/>
  <sheetViews>
    <sheetView view="pageBreakPreview" zoomScale="75" zoomScaleNormal="90" zoomScaleSheetLayoutView="75" workbookViewId="0">
      <pane ySplit="4" topLeftCell="A141" activePane="bottomLeft" state="frozen"/>
      <selection pane="bottomLeft" activeCell="AC169" sqref="AC169"/>
    </sheetView>
  </sheetViews>
  <sheetFormatPr defaultColWidth="9.109375" defaultRowHeight="13.2"/>
  <cols>
    <col min="1" max="1" width="6.5546875" style="69" customWidth="1"/>
    <col min="2" max="2" width="8.44140625" style="70" customWidth="1"/>
    <col min="3" max="3" width="5.44140625" style="70" bestFit="1" customWidth="1"/>
    <col min="4" max="7" width="6.44140625" style="70" bestFit="1" customWidth="1"/>
    <col min="8" max="13" width="6.5546875" style="70" bestFit="1" customWidth="1"/>
    <col min="14" max="15" width="6.44140625" style="70" bestFit="1" customWidth="1"/>
    <col min="16" max="16" width="6.5546875" style="70" bestFit="1" customWidth="1"/>
    <col min="17" max="17" width="8.6640625" style="70" customWidth="1"/>
    <col min="18" max="18" width="8.44140625" style="70" customWidth="1"/>
    <col min="19" max="19" width="7" style="69" customWidth="1"/>
    <col min="20" max="22" width="6.5546875" style="69" bestFit="1" customWidth="1"/>
    <col min="23" max="23" width="7.33203125" style="69" customWidth="1"/>
    <col min="24" max="24" width="6.44140625" style="69" bestFit="1" customWidth="1"/>
    <col min="25" max="25" width="7" style="69" customWidth="1"/>
    <col min="26" max="26" width="8.5546875" style="69" customWidth="1"/>
    <col min="27" max="16384" width="9.109375" style="69"/>
  </cols>
  <sheetData>
    <row r="1" spans="1:26" ht="3.75" customHeight="1">
      <c r="J1" s="69"/>
      <c r="K1" s="69"/>
      <c r="L1" s="69"/>
      <c r="M1" s="69"/>
      <c r="N1" s="69"/>
      <c r="O1" s="69"/>
      <c r="P1" s="69"/>
      <c r="Q1" s="69"/>
      <c r="R1" s="69"/>
    </row>
    <row r="2" spans="1:26" ht="31.5" customHeight="1">
      <c r="A2" s="1821" t="s">
        <v>329</v>
      </c>
      <c r="B2" s="1821"/>
      <c r="C2" s="1821"/>
      <c r="D2" s="1821"/>
      <c r="E2" s="1821"/>
      <c r="F2" s="1821"/>
      <c r="G2" s="1821"/>
      <c r="H2" s="1821"/>
      <c r="I2" s="1821"/>
      <c r="J2" s="1821"/>
      <c r="K2" s="1821"/>
      <c r="L2" s="1821"/>
      <c r="M2" s="1821"/>
      <c r="N2" s="1821"/>
      <c r="O2" s="1821"/>
      <c r="P2" s="1821"/>
      <c r="Q2" s="1821"/>
      <c r="R2" s="1821"/>
      <c r="S2" s="1821"/>
      <c r="T2" s="1821"/>
      <c r="U2" s="1821"/>
      <c r="V2" s="1821"/>
      <c r="W2" s="1821"/>
      <c r="X2" s="1821"/>
      <c r="Y2" s="1821"/>
    </row>
    <row r="3" spans="1:26" ht="31.5" customHeight="1">
      <c r="A3" s="1897" t="s">
        <v>1256</v>
      </c>
      <c r="B3" s="1897"/>
      <c r="C3" s="1897"/>
      <c r="D3" s="1897"/>
      <c r="E3" s="1897"/>
      <c r="F3" s="1897"/>
      <c r="G3" s="1897"/>
      <c r="H3" s="1897"/>
      <c r="I3" s="1897"/>
      <c r="J3" s="1897"/>
      <c r="K3" s="1897"/>
      <c r="L3" s="1897"/>
      <c r="M3" s="1897"/>
      <c r="N3" s="1897"/>
      <c r="O3" s="1897"/>
      <c r="P3" s="1897"/>
      <c r="Q3" s="1897"/>
      <c r="R3" s="1897"/>
      <c r="S3" s="1897"/>
      <c r="T3" s="1897"/>
      <c r="U3" s="1897"/>
      <c r="V3" s="1897"/>
      <c r="W3" s="1897"/>
      <c r="X3" s="1897"/>
      <c r="Y3" s="1897"/>
      <c r="Z3" s="948"/>
    </row>
    <row r="4" spans="1:26" ht="19.5" customHeight="1">
      <c r="A4" s="1897" t="s">
        <v>562</v>
      </c>
      <c r="B4" s="1897"/>
      <c r="C4" s="1897"/>
      <c r="D4" s="1897"/>
      <c r="E4" s="1897"/>
      <c r="F4" s="1897"/>
      <c r="G4" s="1897"/>
      <c r="H4" s="1897"/>
      <c r="I4" s="1897"/>
      <c r="J4" s="1897"/>
      <c r="K4" s="1897"/>
      <c r="L4" s="1897"/>
      <c r="M4" s="1897"/>
      <c r="N4" s="1897"/>
      <c r="O4" s="1897"/>
      <c r="P4" s="1897"/>
      <c r="Q4" s="1897"/>
      <c r="R4" s="1897"/>
      <c r="S4" s="1897"/>
      <c r="T4" s="1897"/>
      <c r="U4" s="1897"/>
      <c r="V4" s="1897"/>
      <c r="W4" s="1897"/>
      <c r="X4" s="1897"/>
      <c r="Y4" s="1897"/>
    </row>
    <row r="5" spans="1:26" ht="19.5" customHeight="1">
      <c r="A5" s="1089" t="s">
        <v>593</v>
      </c>
      <c r="B5" s="1089"/>
      <c r="C5" s="1089"/>
      <c r="D5" s="1089"/>
      <c r="E5" s="1406" t="s">
        <v>625</v>
      </c>
      <c r="F5" s="1406"/>
      <c r="G5" s="1406"/>
      <c r="H5" s="1406"/>
      <c r="I5" s="1406"/>
      <c r="J5" s="1406"/>
      <c r="K5" s="1406"/>
      <c r="L5" s="1406"/>
      <c r="M5" s="1406"/>
      <c r="N5" s="1406"/>
      <c r="O5" s="1406"/>
      <c r="P5" s="1406"/>
      <c r="Q5" s="1406"/>
      <c r="R5" s="1406"/>
      <c r="S5" s="1406"/>
      <c r="T5" s="1406"/>
      <c r="U5" s="1406"/>
      <c r="V5" s="1406"/>
      <c r="W5" s="1406"/>
      <c r="X5" s="1406"/>
      <c r="Y5" s="1406"/>
      <c r="Z5" s="1406"/>
    </row>
    <row r="6" spans="1:26" ht="19.5" customHeight="1" thickBot="1">
      <c r="A6" s="1896" t="s">
        <v>611</v>
      </c>
      <c r="B6" s="1896"/>
      <c r="C6" s="1896"/>
      <c r="D6" s="1896"/>
      <c r="E6" s="1168" t="s">
        <v>623</v>
      </c>
      <c r="F6" s="1168"/>
      <c r="G6" s="1168"/>
      <c r="H6" s="1168"/>
      <c r="I6" s="1168"/>
      <c r="J6" s="1168"/>
      <c r="K6" s="1168"/>
      <c r="L6" s="1168"/>
      <c r="M6" s="1168"/>
      <c r="N6" s="1168"/>
      <c r="O6" s="1168"/>
      <c r="P6" s="1168"/>
      <c r="Q6" s="1168"/>
      <c r="R6" s="1168"/>
      <c r="S6" s="1168"/>
      <c r="T6" s="1168"/>
      <c r="U6" s="1168"/>
      <c r="V6" s="1168"/>
      <c r="W6" s="1168"/>
      <c r="X6" s="1168"/>
      <c r="Y6" s="1168"/>
      <c r="Z6" s="1168"/>
    </row>
    <row r="7" spans="1:26" ht="21" customHeight="1" thickBot="1">
      <c r="A7" s="1413" t="s">
        <v>314</v>
      </c>
      <c r="B7" s="1414"/>
      <c r="C7" s="1914" t="s">
        <v>207</v>
      </c>
      <c r="D7" s="1915"/>
      <c r="E7" s="1915"/>
      <c r="F7" s="1915"/>
      <c r="G7" s="1915"/>
      <c r="H7" s="1915"/>
      <c r="I7" s="1915"/>
      <c r="J7" s="1915"/>
      <c r="K7" s="1915"/>
      <c r="L7" s="1915"/>
      <c r="M7" s="1915"/>
      <c r="N7" s="1915"/>
      <c r="O7" s="1915"/>
      <c r="P7" s="1915"/>
      <c r="Q7" s="1915"/>
      <c r="R7" s="1915"/>
      <c r="S7" s="1915"/>
      <c r="T7" s="1915"/>
      <c r="U7" s="1915"/>
      <c r="V7" s="1915"/>
      <c r="W7" s="1915"/>
      <c r="X7" s="1915"/>
      <c r="Y7" s="1915"/>
      <c r="Z7" s="1915"/>
    </row>
    <row r="8" spans="1:26" ht="19.5" customHeight="1" thickBot="1">
      <c r="A8" s="1803"/>
      <c r="B8" s="1910"/>
      <c r="C8" s="243">
        <v>0.4</v>
      </c>
      <c r="D8" s="244">
        <v>0.5</v>
      </c>
      <c r="E8" s="244">
        <v>0.6</v>
      </c>
      <c r="F8" s="244">
        <v>0.7</v>
      </c>
      <c r="G8" s="244">
        <v>0.8</v>
      </c>
      <c r="H8" s="244">
        <v>0.9</v>
      </c>
      <c r="I8" s="244">
        <v>1</v>
      </c>
      <c r="J8" s="244">
        <v>1.1000000000000001</v>
      </c>
      <c r="K8" s="244">
        <v>1.2</v>
      </c>
      <c r="L8" s="244">
        <v>1.3</v>
      </c>
      <c r="M8" s="244">
        <v>1.4</v>
      </c>
      <c r="N8" s="244">
        <v>1.5</v>
      </c>
      <c r="O8" s="244">
        <v>1.6</v>
      </c>
      <c r="P8" s="244">
        <v>1.7</v>
      </c>
      <c r="Q8" s="244">
        <v>1.8</v>
      </c>
      <c r="R8" s="244">
        <v>1.9</v>
      </c>
      <c r="S8" s="244">
        <v>2</v>
      </c>
      <c r="T8" s="244">
        <v>2.1</v>
      </c>
      <c r="U8" s="244">
        <v>2.2000000000000002</v>
      </c>
      <c r="V8" s="244">
        <v>2.2999999999999998</v>
      </c>
      <c r="W8" s="244">
        <v>2.4</v>
      </c>
      <c r="X8" s="244">
        <v>2.5</v>
      </c>
      <c r="Y8" s="244">
        <v>2.6</v>
      </c>
      <c r="Z8" s="365">
        <v>2.65</v>
      </c>
    </row>
    <row r="9" spans="1:26" ht="15.9" customHeight="1">
      <c r="A9" s="1911" t="s">
        <v>3</v>
      </c>
      <c r="B9" s="236">
        <v>0.5</v>
      </c>
      <c r="C9" s="241">
        <f>(29.4*KFC!$B$33*1.02*1.15*1.1+KFC!$C$33)*KFC!$C$5</f>
        <v>37.934820000000002</v>
      </c>
      <c r="D9" s="242">
        <f>(31.9*KFC!$B$33*1.02*1.15*1.1+KFC!$C$33)*KFC!$C$5</f>
        <v>41.16057</v>
      </c>
      <c r="E9" s="242">
        <f>(34.5*KFC!$B$33*1.02*1.15*1.1+KFC!$C$33)*KFC!$C$5</f>
        <v>44.515349999999998</v>
      </c>
      <c r="F9" s="242">
        <f>(37.1*KFC!$B$33*1.02*1.15*1.1+KFC!$C$33)*KFC!$C$5</f>
        <v>47.870130000000003</v>
      </c>
      <c r="G9" s="242">
        <f>(39.5*KFC!$B$33*1.02*1.15*1.1+KFC!$C$33)*KFC!$C$5</f>
        <v>50.966849999999994</v>
      </c>
      <c r="H9" s="242">
        <f>(42.1*KFC!$B$33*1.02*1.15*1.1+KFC!$C$33)*KFC!$C$5</f>
        <v>54.321630000000006</v>
      </c>
      <c r="I9" s="242">
        <f>(44.6*KFC!$B$33*1.02*1.15*1.1+KFC!$C$33)*KFC!$C$5</f>
        <v>57.547380000000011</v>
      </c>
      <c r="J9" s="242">
        <f>(47.2*KFC!$B$33*1.02*1.15*1.1+KFC!$C$33)*KFC!$C$5</f>
        <v>60.902160000000002</v>
      </c>
      <c r="K9" s="242">
        <f>(49.8*KFC!$B$33*1.02*1.15*1.1+KFC!$C$33)*KFC!$C$5</f>
        <v>64.25694</v>
      </c>
      <c r="L9" s="242">
        <f>(52.3*KFC!$B$33*1.02*1.15*1.1+KFC!$C$33)*KFC!$C$5</f>
        <v>67.482689999999991</v>
      </c>
      <c r="M9" s="242">
        <f>(54.8*KFC!$B$33*1.02*1.15*1.1+KFC!$C$33)*KFC!$C$5</f>
        <v>70.70844000000001</v>
      </c>
      <c r="N9" s="242">
        <f>(57.4*KFC!$B$33*1.02*1.15*1.1+KFC!$C$33)*KFC!$C$5</f>
        <v>74.063220000000001</v>
      </c>
      <c r="O9" s="242">
        <f>(59.9*KFC!$B$33*1.02*1.15*1.1+KFC!$C$33)*KFC!$C$5</f>
        <v>77.288970000000006</v>
      </c>
      <c r="P9" s="242">
        <f>(62.5*KFC!$B$33*1.02*1.15*1.1+KFC!$C$33)*KFC!$C$5</f>
        <v>80.643750000000011</v>
      </c>
      <c r="Q9" s="242">
        <f>(65.1*KFC!$B$33*1.02*1.15*1.1+KFC!$C$33)*KFC!$C$5</f>
        <v>83.998530000000002</v>
      </c>
      <c r="R9" s="242">
        <f>(67.6*KFC!$B$33*1.02*1.15*1.1+KFC!$C$33)*KFC!$C$5</f>
        <v>87.224280000000007</v>
      </c>
      <c r="S9" s="242">
        <f>(70.1*KFC!$B$33*1.02*1.15*1.1+KFC!$C$33)*KFC!$C$5</f>
        <v>90.450029999999998</v>
      </c>
      <c r="T9" s="242">
        <f>(72.6*KFC!$B$33*1.02*1.15*1.1+KFC!$C$33)*KFC!$C$5</f>
        <v>93.675780000000003</v>
      </c>
      <c r="U9" s="242">
        <f>(75.2*KFC!$B$33*1.02*1.15*1.1+KFC!$C$33)*KFC!$C$5</f>
        <v>97.030560000000023</v>
      </c>
      <c r="V9" s="242">
        <f>(77.8*KFC!$B$33*1.02*1.15*1.1+KFC!$C$33)*KFC!$C$5</f>
        <v>100.38533999999999</v>
      </c>
      <c r="W9" s="242">
        <f>(80.4*KFC!$B$33*1.02*1.15*1.1+KFC!$C$33)*KFC!$C$5</f>
        <v>103.74012000000002</v>
      </c>
      <c r="X9" s="242">
        <f>(82.9*KFC!$B$33*1.02*1.15*1.1+KFC!$C$33)*KFC!$C$5</f>
        <v>106.96587000000001</v>
      </c>
      <c r="Y9" s="242">
        <f>(85.4*KFC!$B$33*1.02*1.15*1.1+KFC!$C$33)*KFC!$C$5</f>
        <v>110.19162000000001</v>
      </c>
      <c r="Z9" s="242">
        <f>(87.9*KFC!$B$33*1.02*1.15*1.1+KFC!$C$33)*KFC!$C$5</f>
        <v>113.41736999999999</v>
      </c>
    </row>
    <row r="10" spans="1:26" ht="15.9" customHeight="1">
      <c r="A10" s="1912"/>
      <c r="B10" s="237">
        <v>0.6</v>
      </c>
      <c r="C10" s="239">
        <f>(30.1*KFC!$B$33*1.02*1.15*1.1+KFC!$C$33)*KFC!$C$5</f>
        <v>38.838030000000003</v>
      </c>
      <c r="D10" s="233">
        <f>(32.7*KFC!$B$33*1.02*1.15*1.1+KFC!$C$33)*KFC!$C$5</f>
        <v>42.192810000000009</v>
      </c>
      <c r="E10" s="233">
        <f>(35.3*KFC!$B$33*1.02*1.15*1.1+KFC!$C$33)*KFC!$C$5</f>
        <v>45.547590000000007</v>
      </c>
      <c r="F10" s="233">
        <f>(38*KFC!$B$33*1.02*1.15*1.1+KFC!$C$33)*KFC!$C$5</f>
        <v>49.031399999999991</v>
      </c>
      <c r="G10" s="233">
        <f>(40.6*KFC!$B$33*1.02*1.15*1.1+KFC!$C$33)*KFC!$C$5</f>
        <v>52.386179999999996</v>
      </c>
      <c r="H10" s="233">
        <f>(43.3*KFC!$B$33*1.02*1.15*1.1+KFC!$C$33)*KFC!$C$5</f>
        <v>55.869989999999994</v>
      </c>
      <c r="I10" s="233">
        <f>(45.9*KFC!$B$33*1.02*1.15*1.1+KFC!$C$33)*KFC!$C$5</f>
        <v>59.224769999999992</v>
      </c>
      <c r="J10" s="233">
        <f>(48.6*KFC!$B$33*1.02*1.15*1.1+KFC!$C$33)*KFC!$C$5</f>
        <v>62.708579999999998</v>
      </c>
      <c r="K10" s="233">
        <f>(51.2*KFC!$B$33*1.02*1.15*1.1+KFC!$C$33)*KFC!$C$5</f>
        <v>66.063360000000003</v>
      </c>
      <c r="L10" s="233">
        <f>(53.8*KFC!$B$33*1.02*1.15*1.1+KFC!$C$33)*KFC!$C$5</f>
        <v>69.418139999999994</v>
      </c>
      <c r="M10" s="233">
        <f>(56.5*KFC!$B$33*1.02*1.15*1.1+KFC!$C$33)*KFC!$C$5</f>
        <v>72.901950000000014</v>
      </c>
      <c r="N10" s="233">
        <f>(59.2*KFC!$B$33*1.02*1.15*1.1+KFC!$C$33)*KFC!$C$5</f>
        <v>76.385760000000019</v>
      </c>
      <c r="O10" s="233">
        <f>(61.8*KFC!$B$33*1.02*1.15*1.1+KFC!$C$33)*KFC!$C$5</f>
        <v>79.74054000000001</v>
      </c>
      <c r="P10" s="233">
        <f>(64.5*KFC!$B$33*1.02*1.15*1.1+KFC!$C$33)*KFC!$C$5</f>
        <v>83.224350000000015</v>
      </c>
      <c r="Q10" s="233">
        <f>(67*KFC!$B$33*1.02*1.15*1.1+KFC!$C$33)*KFC!$C$5</f>
        <v>86.450100000000006</v>
      </c>
      <c r="R10" s="233">
        <f>(69.7*KFC!$B$33*1.02*1.15*1.1+KFC!$C$33)*KFC!$C$5</f>
        <v>89.933910000000012</v>
      </c>
      <c r="S10" s="233">
        <f>(72.4*KFC!$B$33*1.02*1.15*1.1+KFC!$C$33)*KFC!$C$5</f>
        <v>93.417720000000017</v>
      </c>
      <c r="T10" s="233">
        <f>(75*KFC!$B$33*1.02*1.15*1.1+KFC!$C$33)*KFC!$C$5</f>
        <v>96.772500000000008</v>
      </c>
      <c r="U10" s="233">
        <f>(77.7*KFC!$B$33*1.02*1.15*1.1+KFC!$C$33)*KFC!$C$5</f>
        <v>100.25631000000001</v>
      </c>
      <c r="V10" s="233">
        <f>(80.2*KFC!$B$33*1.02*1.15*1.1+KFC!$C$33)*KFC!$C$5</f>
        <v>103.48205999999999</v>
      </c>
      <c r="W10" s="233">
        <f>(82.9*KFC!$B$33*1.02*1.15*1.1+KFC!$C$33)*KFC!$C$5</f>
        <v>106.96587000000001</v>
      </c>
      <c r="X10" s="233">
        <f>(85.6*KFC!$B$33*1.02*1.15*1.1+KFC!$C$33)*KFC!$C$5</f>
        <v>110.44967999999999</v>
      </c>
      <c r="Y10" s="233">
        <f>(88.2*KFC!$B$33*1.02*1.15*1.1+KFC!$C$33)*KFC!$C$5</f>
        <v>113.80445999999999</v>
      </c>
      <c r="Z10" s="233">
        <f>(90.9*KFC!$B$33*1.02*1.15*1.1+KFC!$C$33)*KFC!$C$5</f>
        <v>117.28827</v>
      </c>
    </row>
    <row r="11" spans="1:26" ht="15.9" customHeight="1">
      <c r="A11" s="1912"/>
      <c r="B11" s="237">
        <v>0.7</v>
      </c>
      <c r="C11" s="239">
        <f>(30.7*KFC!$B$33*1.02*1.15*1.1+KFC!$C$33)*KFC!$C$5</f>
        <v>39.612210000000005</v>
      </c>
      <c r="D11" s="233">
        <f>(33.5*KFC!$B$33*1.02*1.15*1.1+KFC!$C$33)*KFC!$C$5</f>
        <v>43.225050000000003</v>
      </c>
      <c r="E11" s="233">
        <f>(36.2*KFC!$B$33*1.02*1.15*1.1+KFC!$C$33)*KFC!$C$5</f>
        <v>46.708860000000008</v>
      </c>
      <c r="F11" s="233">
        <f>(39*KFC!$B$33*1.02*1.15*1.1+KFC!$C$33)*KFC!$C$5</f>
        <v>50.321700000000007</v>
      </c>
      <c r="G11" s="233">
        <f>(41.7*KFC!$B$33*1.02*1.15*1.1+KFC!$C$33)*KFC!$C$5</f>
        <v>53.805510000000012</v>
      </c>
      <c r="H11" s="233">
        <f>(44.4*KFC!$B$33*1.02*1.15*1.1+KFC!$C$33)*KFC!$C$5</f>
        <v>57.289319999999996</v>
      </c>
      <c r="I11" s="233">
        <f>(47.2*KFC!$B$33*1.02*1.15*1.1+KFC!$C$33)*KFC!$C$5</f>
        <v>60.902160000000002</v>
      </c>
      <c r="J11" s="233">
        <f>(49.9*KFC!$B$33*1.02*1.15*1.1+KFC!$C$33)*KFC!$C$5</f>
        <v>64.38597</v>
      </c>
      <c r="K11" s="233">
        <f>(52.7*KFC!$B$33*1.02*1.15*1.1+KFC!$C$33)*KFC!$C$5</f>
        <v>67.998810000000006</v>
      </c>
      <c r="L11" s="233">
        <f>(55.4*KFC!$B$33*1.02*1.15*1.1+KFC!$C$33)*KFC!$C$5</f>
        <v>71.482620000000011</v>
      </c>
      <c r="M11" s="233">
        <f>(58.1*KFC!$B$33*1.02*1.15*1.1+KFC!$C$33)*KFC!$C$5</f>
        <v>74.966430000000003</v>
      </c>
      <c r="N11" s="233">
        <f>(60.9*KFC!$B$33*1.02*1.15*1.1+KFC!$C$33)*KFC!$C$5</f>
        <v>78.579270000000008</v>
      </c>
      <c r="O11" s="233">
        <f>(63.6*KFC!$B$33*1.02*1.15*1.1+KFC!$C$33)*KFC!$C$5</f>
        <v>82.063079999999999</v>
      </c>
      <c r="P11" s="233">
        <f>(66.4*KFC!$B$33*1.02*1.15*1.1+KFC!$C$33)*KFC!$C$5</f>
        <v>85.675920000000019</v>
      </c>
      <c r="Q11" s="233">
        <f>(69.1*KFC!$B$33*1.02*1.15*1.1+KFC!$C$33)*KFC!$C$5</f>
        <v>89.15973000000001</v>
      </c>
      <c r="R11" s="233">
        <f>(71.9*KFC!$B$33*1.02*1.15*1.1+KFC!$C$33)*KFC!$C$5</f>
        <v>92.772570000000016</v>
      </c>
      <c r="S11" s="233">
        <f>(74.6*KFC!$B$33*1.02*1.15*1.1+KFC!$C$33)*KFC!$C$5</f>
        <v>96.256380000000007</v>
      </c>
      <c r="T11" s="233">
        <f>(77.3*KFC!$B$33*1.02*1.15*1.1+KFC!$C$33)*KFC!$C$5</f>
        <v>99.740190000000013</v>
      </c>
      <c r="U11" s="233">
        <f>(80.1*KFC!$B$33*1.02*1.15*1.1+KFC!$C$33)*KFC!$C$5</f>
        <v>103.35302999999999</v>
      </c>
      <c r="V11" s="233">
        <f>(82.8*KFC!$B$33*1.02*1.15*1.1+KFC!$C$33)*KFC!$C$5</f>
        <v>106.83684000000001</v>
      </c>
      <c r="W11" s="233">
        <f>(85.6*KFC!$B$33*1.02*1.15*1.1+KFC!$C$33)*KFC!$C$5</f>
        <v>110.44967999999999</v>
      </c>
      <c r="X11" s="233">
        <f>(88.3*KFC!$B$33*1.02*1.15*1.1+KFC!$C$33)*KFC!$C$5</f>
        <v>113.93348999999999</v>
      </c>
      <c r="Y11" s="233">
        <f>(91*KFC!$B$33*1.02*1.15*1.1+KFC!$C$33)*KFC!$C$5</f>
        <v>117.4173</v>
      </c>
      <c r="Z11" s="233">
        <f>(93.8*KFC!$B$33*1.02*1.15*1.1+KFC!$C$33)*KFC!$C$5</f>
        <v>121.03014</v>
      </c>
    </row>
    <row r="12" spans="1:26" ht="15.9" customHeight="1">
      <c r="A12" s="1912"/>
      <c r="B12" s="237">
        <v>0.8</v>
      </c>
      <c r="C12" s="239">
        <f>(31.4*KFC!$B$33*1.02*1.15*1.1+KFC!$C$33)*KFC!$C$5</f>
        <v>40.515419999999999</v>
      </c>
      <c r="D12" s="233">
        <f>(34.2*KFC!$B$33*1.02*1.15*1.1+KFC!$C$33)*KFC!$C$5</f>
        <v>44.128260000000004</v>
      </c>
      <c r="E12" s="233">
        <f>(37.2*KFC!$B$33*1.02*1.15*1.1+KFC!$C$33)*KFC!$C$5</f>
        <v>47.999160000000003</v>
      </c>
      <c r="F12" s="233">
        <f>(40*KFC!$B$33*1.02*1.15*1.1+KFC!$C$33)*KFC!$C$5</f>
        <v>51.611999999999995</v>
      </c>
      <c r="G12" s="233">
        <f>(42.8*KFC!$B$33*1.02*1.15*1.1+KFC!$C$33)*KFC!$C$5</f>
        <v>55.224839999999993</v>
      </c>
      <c r="H12" s="233">
        <f>(45.6*KFC!$B$33*1.02*1.15*1.1+KFC!$C$33)*KFC!$C$5</f>
        <v>58.837679999999999</v>
      </c>
      <c r="I12" s="233">
        <f>(48.4*KFC!$B$33*1.02*1.15*1.1+KFC!$C$33)*KFC!$C$5</f>
        <v>62.450519999999997</v>
      </c>
      <c r="J12" s="233">
        <f>(51.2*KFC!$B$33*1.02*1.15*1.1+KFC!$C$33)*KFC!$C$5</f>
        <v>66.063360000000003</v>
      </c>
      <c r="K12" s="233">
        <f>(54.2*KFC!$B$33*1.02*1.15*1.1+KFC!$C$33)*KFC!$C$5</f>
        <v>69.934260000000009</v>
      </c>
      <c r="L12" s="233">
        <f>(57*KFC!$B$33*1.02*1.15*1.1+KFC!$C$33)*KFC!$C$5</f>
        <v>73.5471</v>
      </c>
      <c r="M12" s="233">
        <f>(59.8*KFC!$B$33*1.02*1.15*1.1+KFC!$C$33)*KFC!$C$5</f>
        <v>77.159940000000006</v>
      </c>
      <c r="N12" s="233">
        <f>(62.6*KFC!$B$33*1.02*1.15*1.1+KFC!$C$33)*KFC!$C$5</f>
        <v>80.772780000000012</v>
      </c>
      <c r="O12" s="233">
        <f>(65.4*KFC!$B$33*1.02*1.15*1.1+KFC!$C$33)*KFC!$C$5</f>
        <v>84.385620000000017</v>
      </c>
      <c r="P12" s="233">
        <f>(68.4*KFC!$B$33*1.02*1.15*1.1+KFC!$C$33)*KFC!$C$5</f>
        <v>88.256520000000009</v>
      </c>
      <c r="Q12" s="233">
        <f>(71.2*KFC!$B$33*1.02*1.15*1.1+KFC!$C$33)*KFC!$C$5</f>
        <v>91.869360000000015</v>
      </c>
      <c r="R12" s="233">
        <f>(74*KFC!$B$33*1.02*1.15*1.1+KFC!$C$33)*KFC!$C$5</f>
        <v>95.482200000000006</v>
      </c>
      <c r="S12" s="233">
        <f>(76.8*KFC!$B$33*1.02*1.15*1.1+KFC!$C$33)*KFC!$C$5</f>
        <v>99.095040000000012</v>
      </c>
      <c r="T12" s="233">
        <f>(79.6*KFC!$B$33*1.02*1.15*1.1+KFC!$C$33)*KFC!$C$5</f>
        <v>102.70787999999999</v>
      </c>
      <c r="U12" s="233">
        <f>(82.6*KFC!$B$33*1.02*1.15*1.1+KFC!$C$33)*KFC!$C$5</f>
        <v>106.57878000000001</v>
      </c>
      <c r="V12" s="233">
        <f>(85.4*KFC!$B$33*1.02*1.15*1.1+KFC!$C$33)*KFC!$C$5</f>
        <v>110.19162000000001</v>
      </c>
      <c r="W12" s="233">
        <f>(88.2*KFC!$B$33*1.02*1.15*1.1+KFC!$C$33)*KFC!$C$5</f>
        <v>113.80445999999999</v>
      </c>
      <c r="X12" s="233">
        <f>(91*KFC!$B$33*1.02*1.15*1.1+KFC!$C$33)*KFC!$C$5</f>
        <v>117.4173</v>
      </c>
      <c r="Y12" s="233">
        <f>(93.8*KFC!$B$33*1.02*1.15*1.1+KFC!$C$33)*KFC!$C$5</f>
        <v>121.03014</v>
      </c>
      <c r="Z12" s="233">
        <f>(96.7*KFC!$B$33*1.02*1.15*1.1+KFC!$C$33)*KFC!$C$5</f>
        <v>124.77200999999999</v>
      </c>
    </row>
    <row r="13" spans="1:26" ht="15.9" customHeight="1">
      <c r="A13" s="1912"/>
      <c r="B13" s="237">
        <v>0.9</v>
      </c>
      <c r="C13" s="239">
        <f>(32.2*KFC!$B$33*1.02*1.15*1.1+KFC!$C$33)*KFC!$C$5</f>
        <v>41.547660000000008</v>
      </c>
      <c r="D13" s="233">
        <f>(35.1*KFC!$B$33*1.02*1.15*1.1+KFC!$C$33)*KFC!$C$5</f>
        <v>45.289530000000006</v>
      </c>
      <c r="E13" s="233">
        <f>(38*KFC!$B$33*1.02*1.15*1.1+KFC!$C$33)*KFC!$C$5</f>
        <v>49.031399999999991</v>
      </c>
      <c r="F13" s="233">
        <f>(41*KFC!$B$33*1.02*1.15*1.1+KFC!$C$33)*KFC!$C$5</f>
        <v>52.902300000000004</v>
      </c>
      <c r="G13" s="233">
        <f>(43.9*KFC!$B$33*1.02*1.15*1.1+KFC!$C$33)*KFC!$C$5</f>
        <v>56.644169999999995</v>
      </c>
      <c r="H13" s="233">
        <f>(46.8*KFC!$B$33*1.02*1.15*1.1+KFC!$C$33)*KFC!$C$5</f>
        <v>60.386039999999994</v>
      </c>
      <c r="I13" s="233">
        <f>(49.8*KFC!$B$33*1.02*1.15*1.1+KFC!$C$33)*KFC!$C$5</f>
        <v>64.25694</v>
      </c>
      <c r="J13" s="233">
        <f>(52.7*KFC!$B$33*1.02*1.15*1.1+KFC!$C$33)*KFC!$C$5</f>
        <v>67.998810000000006</v>
      </c>
      <c r="K13" s="233">
        <f>(55.6*KFC!$B$33*1.02*1.15*1.1+KFC!$C$33)*KFC!$C$5</f>
        <v>71.740680000000012</v>
      </c>
      <c r="L13" s="233">
        <f>(58.6*KFC!$B$33*1.02*1.15*1.1+KFC!$C$33)*KFC!$C$5</f>
        <v>75.611580000000018</v>
      </c>
      <c r="M13" s="233">
        <f>(61.5*KFC!$B$33*1.02*1.15*1.1+KFC!$C$33)*KFC!$C$5</f>
        <v>79.353450000000009</v>
      </c>
      <c r="N13" s="233">
        <f>(64.5*KFC!$B$33*1.02*1.15*1.1+KFC!$C$33)*KFC!$C$5</f>
        <v>83.224350000000015</v>
      </c>
      <c r="O13" s="233">
        <f>(67.4*KFC!$B$33*1.02*1.15*1.1+KFC!$C$33)*KFC!$C$5</f>
        <v>86.966220000000007</v>
      </c>
      <c r="P13" s="233">
        <f>(70.3*KFC!$B$33*1.02*1.15*1.1+KFC!$C$33)*KFC!$C$5</f>
        <v>90.708090000000013</v>
      </c>
      <c r="Q13" s="233">
        <f>(73.3*KFC!$B$33*1.02*1.15*1.1+KFC!$C$33)*KFC!$C$5</f>
        <v>94.578990000000019</v>
      </c>
      <c r="R13" s="233">
        <f>(76.2*KFC!$B$33*1.02*1.15*1.1+KFC!$C$33)*KFC!$C$5</f>
        <v>98.32086000000001</v>
      </c>
      <c r="S13" s="233">
        <f>(79*KFC!$B$33*1.02*1.15*1.1+KFC!$C$33)*KFC!$C$5</f>
        <v>101.93369999999999</v>
      </c>
      <c r="T13" s="233">
        <f>(81.9*KFC!$B$33*1.02*1.15*1.1+KFC!$C$33)*KFC!$C$5</f>
        <v>105.67557000000002</v>
      </c>
      <c r="U13" s="233">
        <f>(84.9*KFC!$B$33*1.02*1.15*1.1+KFC!$C$33)*KFC!$C$5</f>
        <v>109.54647000000003</v>
      </c>
      <c r="V13" s="233">
        <f>(87.8*KFC!$B$33*1.02*1.15*1.1+KFC!$C$33)*KFC!$C$5</f>
        <v>113.28833999999999</v>
      </c>
      <c r="W13" s="233">
        <f>(90.7*KFC!$B$33*1.02*1.15*1.1+KFC!$C$33)*KFC!$C$5</f>
        <v>117.03021000000003</v>
      </c>
      <c r="X13" s="233">
        <f>(93.7*KFC!$B$33*1.02*1.15*1.1+KFC!$C$33)*KFC!$C$5</f>
        <v>120.90110999999999</v>
      </c>
      <c r="Y13" s="233">
        <f>(96.6*KFC!$B$33*1.02*1.15*1.1+KFC!$C$33)*KFC!$C$5</f>
        <v>124.64297999999999</v>
      </c>
      <c r="Z13" s="233">
        <f>(99.6*KFC!$B$33*1.02*1.15*1.1+KFC!$C$33)*KFC!$C$5</f>
        <v>128.51388</v>
      </c>
    </row>
    <row r="14" spans="1:26" ht="15.9" customHeight="1">
      <c r="A14" s="1912"/>
      <c r="B14" s="237">
        <v>1</v>
      </c>
      <c r="C14" s="239">
        <f>(32.9*KFC!$B$33*1.02*1.15*1.1+KFC!$C$33)*KFC!$C$5</f>
        <v>42.450870000000002</v>
      </c>
      <c r="D14" s="233">
        <f>(35.8*KFC!$B$33*1.02*1.15*1.1+KFC!$C$33)*KFC!$C$5</f>
        <v>46.192740000000001</v>
      </c>
      <c r="E14" s="233">
        <f>(38.9*KFC!$B$33*1.02*1.15*1.1+KFC!$C$33)*KFC!$C$5</f>
        <v>50.192669999999993</v>
      </c>
      <c r="F14" s="233">
        <f>(41.9*KFC!$B$33*1.02*1.15*1.1+KFC!$C$33)*KFC!$C$5</f>
        <v>54.063570000000006</v>
      </c>
      <c r="G14" s="233">
        <f>(45*KFC!$B$33*1.02*1.15*1.1+KFC!$C$33)*KFC!$C$5</f>
        <v>58.063499999999998</v>
      </c>
      <c r="H14" s="233">
        <f>(47.9*KFC!$B$33*1.02*1.15*1.1+KFC!$C$33)*KFC!$C$5</f>
        <v>61.805369999999996</v>
      </c>
      <c r="I14" s="233">
        <f>(51*KFC!$B$33*1.02*1.15*1.1+KFC!$C$33)*KFC!$C$5</f>
        <v>65.805300000000003</v>
      </c>
      <c r="J14" s="233">
        <f>(54.1*KFC!$B$33*1.02*1.15*1.1+KFC!$C$33)*KFC!$C$5</f>
        <v>69.805230000000009</v>
      </c>
      <c r="K14" s="233">
        <f>(57.1*KFC!$B$33*1.02*1.15*1.1+KFC!$C$33)*KFC!$C$5</f>
        <v>73.676130000000015</v>
      </c>
      <c r="L14" s="233">
        <f>(60*KFC!$B$33*1.02*1.15*1.1+KFC!$C$33)*KFC!$C$5</f>
        <v>77.418000000000006</v>
      </c>
      <c r="M14" s="233">
        <f>(63.1*KFC!$B$33*1.02*1.15*1.1+KFC!$C$33)*KFC!$C$5</f>
        <v>81.417930000000013</v>
      </c>
      <c r="N14" s="233">
        <f>(66.2*KFC!$B$33*1.02*1.15*1.1+KFC!$C$33)*KFC!$C$5</f>
        <v>85.417860000000005</v>
      </c>
      <c r="O14" s="233">
        <f>(69.2*KFC!$B$33*1.02*1.15*1.1+KFC!$C$33)*KFC!$C$5</f>
        <v>89.288760000000011</v>
      </c>
      <c r="P14" s="233">
        <f>(72.2*KFC!$B$33*1.02*1.15*1.1+KFC!$C$33)*KFC!$C$5</f>
        <v>93.159660000000017</v>
      </c>
      <c r="Q14" s="233">
        <f>(75.2*KFC!$B$33*1.02*1.15*1.1+KFC!$C$33)*KFC!$C$5</f>
        <v>97.030560000000023</v>
      </c>
      <c r="R14" s="233">
        <f>(78.3*KFC!$B$33*1.02*1.15*1.1+KFC!$C$33)*KFC!$C$5</f>
        <v>101.03048999999999</v>
      </c>
      <c r="S14" s="233">
        <f>(81.3*KFC!$B$33*1.02*1.15*1.1+KFC!$C$33)*KFC!$C$5</f>
        <v>104.90138999999999</v>
      </c>
      <c r="T14" s="233">
        <f>(84.4*KFC!$B$33*1.02*1.15*1.1+KFC!$C$33)*KFC!$C$5</f>
        <v>108.90132000000001</v>
      </c>
      <c r="U14" s="233">
        <f>(87.3*KFC!$B$33*1.02*1.15*1.1+KFC!$C$33)*KFC!$C$5</f>
        <v>112.64318999999999</v>
      </c>
      <c r="V14" s="233">
        <f>(90.4*KFC!$B$33*1.02*1.15*1.1+KFC!$C$33)*KFC!$C$5</f>
        <v>116.64312000000002</v>
      </c>
      <c r="W14" s="233">
        <f>(93.4*KFC!$B$33*1.02*1.15*1.1+KFC!$C$33)*KFC!$C$5</f>
        <v>120.51402</v>
      </c>
      <c r="X14" s="233">
        <f>(96.5*KFC!$B$33*1.02*1.15*1.1+KFC!$C$33)*KFC!$C$5</f>
        <v>124.51395000000002</v>
      </c>
      <c r="Y14" s="233">
        <f>(99.4*KFC!$B$33*1.02*1.15*1.1+KFC!$C$33)*KFC!$C$5</f>
        <v>128.25582</v>
      </c>
      <c r="Z14" s="233">
        <f>(102.5*KFC!$B$33*1.02*1.15*1.1+KFC!$C$33)*KFC!$C$5</f>
        <v>132.25575000000001</v>
      </c>
    </row>
    <row r="15" spans="1:26" ht="15.9" customHeight="1">
      <c r="A15" s="1912"/>
      <c r="B15" s="237">
        <v>1.1000000000000001</v>
      </c>
      <c r="C15" s="239">
        <f>(33.5*KFC!$B$33*1.02*1.15*1.1+KFC!$C$33)*KFC!$C$5</f>
        <v>43.225050000000003</v>
      </c>
      <c r="D15" s="233">
        <f>(36.7*KFC!$B$33*1.02*1.15*1.1+KFC!$C$33)*KFC!$C$5</f>
        <v>47.354010000000009</v>
      </c>
      <c r="E15" s="233">
        <f>(39.7*KFC!$B$33*1.02*1.15*1.1+KFC!$C$33)*KFC!$C$5</f>
        <v>51.224910000000008</v>
      </c>
      <c r="F15" s="233">
        <f>(42.9*KFC!$B$33*1.02*1.15*1.1+KFC!$C$33)*KFC!$C$5</f>
        <v>55.353870000000008</v>
      </c>
      <c r="G15" s="233">
        <f>(46*KFC!$B$33*1.02*1.15*1.1+KFC!$C$33)*KFC!$C$5</f>
        <v>59.3538</v>
      </c>
      <c r="H15" s="233">
        <f>(49.2*KFC!$B$33*1.02*1.15*1.1+KFC!$C$33)*KFC!$C$5</f>
        <v>63.482760000000013</v>
      </c>
      <c r="I15" s="233">
        <f>(52.3*KFC!$B$33*1.02*1.15*1.1+KFC!$C$33)*KFC!$C$5</f>
        <v>67.482689999999991</v>
      </c>
      <c r="J15" s="233">
        <f>(55.4*KFC!$B$33*1.02*1.15*1.1+KFC!$C$33)*KFC!$C$5</f>
        <v>71.482620000000011</v>
      </c>
      <c r="K15" s="233">
        <f>(58.6*KFC!$B$33*1.02*1.15*1.1+KFC!$C$33)*KFC!$C$5</f>
        <v>75.611580000000018</v>
      </c>
      <c r="L15" s="233">
        <f>(61.6*KFC!$B$33*1.02*1.15*1.1+KFC!$C$33)*KFC!$C$5</f>
        <v>79.48248000000001</v>
      </c>
      <c r="M15" s="233">
        <f>(64.8*KFC!$B$33*1.02*1.15*1.1+KFC!$C$33)*KFC!$C$5</f>
        <v>83.611440000000016</v>
      </c>
      <c r="N15" s="233">
        <f>(67.9*KFC!$B$33*1.02*1.15*1.1+KFC!$C$33)*KFC!$C$5</f>
        <v>87.611370000000022</v>
      </c>
      <c r="O15" s="233">
        <f>(71.1*KFC!$B$33*1.02*1.15*1.1+KFC!$C$33)*KFC!$C$5</f>
        <v>91.74033</v>
      </c>
      <c r="P15" s="233">
        <f>(74.1*KFC!$B$33*1.02*1.15*1.1+KFC!$C$33)*KFC!$C$5</f>
        <v>95.611230000000006</v>
      </c>
      <c r="Q15" s="233">
        <f>(77.3*KFC!$B$33*1.02*1.15*1.1+KFC!$C$33)*KFC!$C$5</f>
        <v>99.740190000000013</v>
      </c>
      <c r="R15" s="233">
        <f>(80.5*KFC!$B$33*1.02*1.15*1.1+KFC!$C$33)*KFC!$C$5</f>
        <v>103.86914999999999</v>
      </c>
      <c r="S15" s="233">
        <f>(83.5*KFC!$B$33*1.02*1.15*1.1+KFC!$C$33)*KFC!$C$5</f>
        <v>107.74005000000001</v>
      </c>
      <c r="T15" s="233">
        <f>(86.7*KFC!$B$33*1.02*1.15*1.1+KFC!$C$33)*KFC!$C$5</f>
        <v>111.86900999999999</v>
      </c>
      <c r="U15" s="233">
        <f>(89.8*KFC!$B$33*1.02*1.15*1.1+KFC!$C$33)*KFC!$C$5</f>
        <v>115.86893999999999</v>
      </c>
      <c r="V15" s="233">
        <f>(92.9*KFC!$B$33*1.02*1.15*1.1+KFC!$C$33)*KFC!$C$5</f>
        <v>119.86887</v>
      </c>
      <c r="W15" s="233">
        <f>(96*KFC!$B$33*1.02*1.15*1.1+KFC!$C$33)*KFC!$C$5</f>
        <v>123.86879999999999</v>
      </c>
      <c r="X15" s="233">
        <f>(99.2*KFC!$B$33*1.02*1.15*1.1+KFC!$C$33)*KFC!$C$5</f>
        <v>127.99776000000003</v>
      </c>
      <c r="Y15" s="233">
        <f>(102.2*KFC!$B$33*1.02*1.15*1.1+KFC!$C$33)*KFC!$C$5</f>
        <v>131.86866000000001</v>
      </c>
      <c r="Z15" s="233">
        <f>(105.4*KFC!$B$33*1.02*1.15*1.1+KFC!$C$33)*KFC!$C$5</f>
        <v>135.99762000000001</v>
      </c>
    </row>
    <row r="16" spans="1:26" ht="15.9" customHeight="1">
      <c r="A16" s="1912"/>
      <c r="B16" s="237">
        <v>1.2</v>
      </c>
      <c r="C16" s="239">
        <f>(34.2*KFC!$B$33*1.02*1.15*1.1+KFC!$C$33)*KFC!$C$5</f>
        <v>44.128260000000004</v>
      </c>
      <c r="D16" s="233">
        <f>(37.4*KFC!$B$33*1.02*1.15*1.1+KFC!$C$33)*KFC!$C$5</f>
        <v>48.25721999999999</v>
      </c>
      <c r="E16" s="233">
        <f>(40.7*KFC!$B$33*1.02*1.15*1.1+KFC!$C$33)*KFC!$C$5</f>
        <v>52.51521000000001</v>
      </c>
      <c r="F16" s="233">
        <f>(43.9*KFC!$B$33*1.02*1.15*1.1+KFC!$C$33)*KFC!$C$5</f>
        <v>56.644169999999995</v>
      </c>
      <c r="G16" s="233">
        <f>(47.1*KFC!$B$33*1.02*1.15*1.1+KFC!$C$33)*KFC!$C$5</f>
        <v>60.773130000000002</v>
      </c>
      <c r="H16" s="233">
        <f>(50.4*KFC!$B$33*1.02*1.15*1.1+KFC!$C$33)*KFC!$C$5</f>
        <v>65.031120000000001</v>
      </c>
      <c r="I16" s="233">
        <f>(53.6*KFC!$B$33*1.02*1.15*1.1+KFC!$C$33)*KFC!$C$5</f>
        <v>69.160080000000008</v>
      </c>
      <c r="J16" s="233">
        <f>(56.7*KFC!$B$33*1.02*1.15*1.1+KFC!$C$33)*KFC!$C$5</f>
        <v>73.160010000000014</v>
      </c>
      <c r="K16" s="233">
        <f>(60*KFC!$B$33*1.02*1.15*1.1+KFC!$C$33)*KFC!$C$5</f>
        <v>77.418000000000006</v>
      </c>
      <c r="L16" s="233">
        <f>(63.2*KFC!$B$33*1.02*1.15*1.1+KFC!$C$33)*KFC!$C$5</f>
        <v>81.546959999999999</v>
      </c>
      <c r="M16" s="233">
        <f>(66.4*KFC!$B$33*1.02*1.15*1.1+KFC!$C$33)*KFC!$C$5</f>
        <v>85.675920000000019</v>
      </c>
      <c r="N16" s="233">
        <f>(69.7*KFC!$B$33*1.02*1.15*1.1+KFC!$C$33)*KFC!$C$5</f>
        <v>89.933910000000012</v>
      </c>
      <c r="O16" s="233">
        <f>(72.9*KFC!$B$33*1.02*1.15*1.1+KFC!$C$33)*KFC!$C$5</f>
        <v>94.062870000000018</v>
      </c>
      <c r="P16" s="233">
        <f>(76.1*KFC!$B$33*1.02*1.15*1.1+KFC!$C$33)*KFC!$C$5</f>
        <v>98.19183000000001</v>
      </c>
      <c r="Q16" s="233">
        <f>(79.4*KFC!$B$33*1.02*1.15*1.1+KFC!$C$33)*KFC!$C$5</f>
        <v>102.44982000000002</v>
      </c>
      <c r="R16" s="233">
        <f>(82.6*KFC!$B$33*1.02*1.15*1.1+KFC!$C$33)*KFC!$C$5</f>
        <v>106.57878000000001</v>
      </c>
      <c r="S16" s="233">
        <f>(85.7*KFC!$B$33*1.02*1.15*1.1+KFC!$C$33)*KFC!$C$5</f>
        <v>110.57871000000002</v>
      </c>
      <c r="T16" s="233">
        <f>(89*KFC!$B$33*1.02*1.15*1.1+KFC!$C$33)*KFC!$C$5</f>
        <v>114.83669999999999</v>
      </c>
      <c r="U16" s="233">
        <f>(92.2*KFC!$B$33*1.02*1.15*1.1+KFC!$C$33)*KFC!$C$5</f>
        <v>118.96566000000003</v>
      </c>
      <c r="V16" s="233">
        <f>(95.4*KFC!$B$33*1.02*1.15*1.1+KFC!$C$33)*KFC!$C$5</f>
        <v>123.09462000000001</v>
      </c>
      <c r="W16" s="233">
        <f>(98.7*KFC!$B$33*1.02*1.15*1.1+KFC!$C$33)*KFC!$C$5</f>
        <v>127.35261</v>
      </c>
      <c r="X16" s="233">
        <f>(101.9*KFC!$B$33*1.02*1.15*1.1+KFC!$C$33)*KFC!$C$5</f>
        <v>131.48157</v>
      </c>
      <c r="Y16" s="233">
        <f>(105.1*KFC!$B$33*1.02*1.15*1.1+KFC!$C$33)*KFC!$C$5</f>
        <v>135.61053000000001</v>
      </c>
      <c r="Z16" s="233">
        <f>(108.4*KFC!$B$33*1.02*1.15*1.1+KFC!$C$33)*KFC!$C$5</f>
        <v>139.86852000000002</v>
      </c>
    </row>
    <row r="17" spans="1:26" ht="15.9" customHeight="1">
      <c r="A17" s="1912"/>
      <c r="B17" s="237">
        <v>1.3</v>
      </c>
      <c r="C17" s="239">
        <f>(35*KFC!$B$33*1.02*1.15*1.1+KFC!$C$33)*KFC!$C$5</f>
        <v>45.160500000000006</v>
      </c>
      <c r="D17" s="233">
        <f>(38.3*KFC!$B$33*1.02*1.15*1.1+KFC!$C$33)*KFC!$C$5</f>
        <v>49.418489999999991</v>
      </c>
      <c r="E17" s="233">
        <f>(41.6*KFC!$B$33*1.02*1.15*1.1+KFC!$C$33)*KFC!$C$5</f>
        <v>53.676480000000005</v>
      </c>
      <c r="F17" s="233">
        <f>(44.9*KFC!$B$33*1.02*1.15*1.1+KFC!$C$33)*KFC!$C$5</f>
        <v>57.934469999999997</v>
      </c>
      <c r="G17" s="233">
        <f>(48.2*KFC!$B$33*1.02*1.15*1.1+KFC!$C$33)*KFC!$C$5</f>
        <v>62.192459999999997</v>
      </c>
      <c r="H17" s="233">
        <f>(51.5*KFC!$B$33*1.02*1.15*1.1+KFC!$C$33)*KFC!$C$5</f>
        <v>66.450450000000004</v>
      </c>
      <c r="I17" s="233">
        <f>(54.8*KFC!$B$33*1.02*1.15*1.1+KFC!$C$33)*KFC!$C$5</f>
        <v>70.70844000000001</v>
      </c>
      <c r="J17" s="233">
        <f>(58.2*KFC!$B$33*1.02*1.15*1.1+KFC!$C$33)*KFC!$C$5</f>
        <v>75.095460000000017</v>
      </c>
      <c r="K17" s="233">
        <f>(61.5*KFC!$B$33*1.02*1.15*1.1+KFC!$C$33)*KFC!$C$5</f>
        <v>79.353450000000009</v>
      </c>
      <c r="L17" s="233">
        <f>(64.8*KFC!$B$33*1.02*1.15*1.1+KFC!$C$33)*KFC!$C$5</f>
        <v>83.611440000000016</v>
      </c>
      <c r="M17" s="233">
        <f>(68.1*KFC!$B$33*1.02*1.15*1.1+KFC!$C$33)*KFC!$C$5</f>
        <v>87.86942999999998</v>
      </c>
      <c r="N17" s="233">
        <f>(71.4*KFC!$B$33*1.02*1.15*1.1+KFC!$C$33)*KFC!$C$5</f>
        <v>92.127420000000015</v>
      </c>
      <c r="O17" s="233">
        <f>(74.7*KFC!$B$33*1.02*1.15*1.1+KFC!$C$33)*KFC!$C$5</f>
        <v>96.385410000000007</v>
      </c>
      <c r="P17" s="233">
        <f>(78*KFC!$B$33*1.02*1.15*1.1+KFC!$C$33)*KFC!$C$5</f>
        <v>100.64340000000001</v>
      </c>
      <c r="Q17" s="233">
        <f>(81.3*KFC!$B$33*1.02*1.15*1.1+KFC!$C$33)*KFC!$C$5</f>
        <v>104.90138999999999</v>
      </c>
      <c r="R17" s="233">
        <f>(84.8*KFC!$B$33*1.02*1.15*1.1+KFC!$C$33)*KFC!$C$5</f>
        <v>109.41743999999998</v>
      </c>
      <c r="S17" s="233">
        <f>(88.1*KFC!$B$33*1.02*1.15*1.1+KFC!$C$33)*KFC!$C$5</f>
        <v>113.67542999999999</v>
      </c>
      <c r="T17" s="233">
        <f>(91.4*KFC!$B$33*1.02*1.15*1.1+KFC!$C$33)*KFC!$C$5</f>
        <v>117.93342</v>
      </c>
      <c r="U17" s="233">
        <f>(94.7*KFC!$B$33*1.02*1.15*1.1+KFC!$C$33)*KFC!$C$5</f>
        <v>122.19141</v>
      </c>
      <c r="V17" s="233">
        <f>(98*KFC!$B$33*1.02*1.15*1.1+KFC!$C$33)*KFC!$C$5</f>
        <v>126.4494</v>
      </c>
      <c r="W17" s="233">
        <f>(101.3*KFC!$B$33*1.02*1.15*1.1+KFC!$C$33)*KFC!$C$5</f>
        <v>130.70739</v>
      </c>
      <c r="X17" s="233">
        <f>(104.6*KFC!$B$33*1.02*1.15*1.1+KFC!$C$33)*KFC!$C$5</f>
        <v>134.96537999999998</v>
      </c>
      <c r="Y17" s="233">
        <f>(107.9*KFC!$B$33*1.02*1.15*1.1+KFC!$C$33)*KFC!$C$5</f>
        <v>139.22337000000002</v>
      </c>
      <c r="Z17" s="233">
        <f>(111.2*KFC!$B$33*1.02*1.15*1.1+KFC!$C$33)*KFC!$C$5</f>
        <v>143.48136000000002</v>
      </c>
    </row>
    <row r="18" spans="1:26" ht="15.9" customHeight="1">
      <c r="A18" s="1912"/>
      <c r="B18" s="237">
        <v>1.4</v>
      </c>
      <c r="C18" s="239">
        <f>(35.6*KFC!$B$33*1.02*1.15*1.1+KFC!$C$33)*KFC!$C$5</f>
        <v>45.934680000000007</v>
      </c>
      <c r="D18" s="233">
        <f>(39*KFC!$B$33*1.02*1.15*1.1+KFC!$C$33)*KFC!$C$5</f>
        <v>50.321700000000007</v>
      </c>
      <c r="E18" s="233">
        <f>(42.4*KFC!$B$33*1.02*1.15*1.1+KFC!$C$33)*KFC!$C$5</f>
        <v>54.708719999999992</v>
      </c>
      <c r="F18" s="233">
        <f>(45.9*KFC!$B$33*1.02*1.15*1.1+KFC!$C$33)*KFC!$C$5</f>
        <v>59.224769999999992</v>
      </c>
      <c r="G18" s="233">
        <f>(49.3*KFC!$B$33*1.02*1.15*1.1+KFC!$C$33)*KFC!$C$5</f>
        <v>63.611789999999999</v>
      </c>
      <c r="H18" s="233">
        <f>(52.7*KFC!$B$33*1.02*1.15*1.1+KFC!$C$33)*KFC!$C$5</f>
        <v>67.998810000000006</v>
      </c>
      <c r="I18" s="233">
        <f>(56.1*KFC!$B$33*1.02*1.15*1.1+KFC!$C$33)*KFC!$C$5</f>
        <v>72.385830000000013</v>
      </c>
      <c r="J18" s="233">
        <f>(59.6*KFC!$B$33*1.02*1.15*1.1+KFC!$C$33)*KFC!$C$5</f>
        <v>76.901880000000006</v>
      </c>
      <c r="K18" s="233">
        <f>(63*KFC!$B$33*1.02*1.15*1.1+KFC!$C$33)*KFC!$C$5</f>
        <v>81.288900000000012</v>
      </c>
      <c r="L18" s="233">
        <f>(66.4*KFC!$B$33*1.02*1.15*1.1+KFC!$C$33)*KFC!$C$5</f>
        <v>85.675920000000019</v>
      </c>
      <c r="M18" s="233">
        <f>(69.7*KFC!$B$33*1.02*1.15*1.1+KFC!$C$33)*KFC!$C$5</f>
        <v>89.933910000000012</v>
      </c>
      <c r="N18" s="233">
        <f>(73.1*KFC!$B$33*1.02*1.15*1.1+KFC!$C$33)*KFC!$C$5</f>
        <v>94.320930000000004</v>
      </c>
      <c r="O18" s="233">
        <f>(76.6*KFC!$B$33*1.02*1.15*1.1+KFC!$C$33)*KFC!$C$5</f>
        <v>98.836979999999983</v>
      </c>
      <c r="P18" s="233">
        <f>(80*KFC!$B$33*1.02*1.15*1.1+KFC!$C$33)*KFC!$C$5</f>
        <v>103.22399999999999</v>
      </c>
      <c r="Q18" s="233">
        <f>(83.4*KFC!$B$33*1.02*1.15*1.1+KFC!$C$33)*KFC!$C$5</f>
        <v>107.61102000000002</v>
      </c>
      <c r="R18" s="233">
        <f>(86.8*KFC!$B$33*1.02*1.15*1.1+KFC!$C$33)*KFC!$C$5</f>
        <v>111.99803999999999</v>
      </c>
      <c r="S18" s="233">
        <f>(90.3*KFC!$B$33*1.02*1.15*1.1+KFC!$C$33)*KFC!$C$5</f>
        <v>116.51408999999998</v>
      </c>
      <c r="T18" s="233">
        <f>(93.7*KFC!$B$33*1.02*1.15*1.1+KFC!$C$33)*KFC!$C$5</f>
        <v>120.90110999999999</v>
      </c>
      <c r="U18" s="233">
        <f>(97.1*KFC!$B$33*1.02*1.15*1.1+KFC!$C$33)*KFC!$C$5</f>
        <v>125.28813</v>
      </c>
      <c r="V18" s="233">
        <f>(100.5*KFC!$B$33*1.02*1.15*1.1+KFC!$C$33)*KFC!$C$5</f>
        <v>129.67515</v>
      </c>
      <c r="W18" s="233">
        <f>(104*KFC!$B$33*1.02*1.15*1.1+KFC!$C$33)*KFC!$C$5</f>
        <v>134.19120000000001</v>
      </c>
      <c r="X18" s="233">
        <f>(107.3*KFC!$B$33*1.02*1.15*1.1+KFC!$C$33)*KFC!$C$5</f>
        <v>138.44918999999999</v>
      </c>
      <c r="Y18" s="233">
        <f>(110.7*KFC!$B$33*1.02*1.15*1.1+KFC!$C$33)*KFC!$C$5</f>
        <v>142.83621000000002</v>
      </c>
      <c r="Z18" s="233">
        <f>(114.1*KFC!$B$33*1.02*1.15*1.1+KFC!$C$33)*KFC!$C$5</f>
        <v>147.22323</v>
      </c>
    </row>
    <row r="19" spans="1:26" ht="15.9" customHeight="1">
      <c r="A19" s="1912"/>
      <c r="B19" s="237">
        <v>1.5</v>
      </c>
      <c r="C19" s="239">
        <f>(36.3*KFC!$B$33*1.02*1.15*1.1+KFC!$C$33)*KFC!$C$5</f>
        <v>46.837890000000002</v>
      </c>
      <c r="D19" s="233">
        <f>(39.9*KFC!$B$33*1.02*1.15*1.1+KFC!$C$33)*KFC!$C$5</f>
        <v>51.482969999999995</v>
      </c>
      <c r="E19" s="233">
        <f>(43.4*KFC!$B$33*1.02*1.15*1.1+KFC!$C$33)*KFC!$C$5</f>
        <v>55.999019999999994</v>
      </c>
      <c r="F19" s="233">
        <f>(46.8*KFC!$B$33*1.02*1.15*1.1+KFC!$C$33)*KFC!$C$5</f>
        <v>60.386039999999994</v>
      </c>
      <c r="G19" s="233">
        <f>(50.4*KFC!$B$33*1.02*1.15*1.1+KFC!$C$33)*KFC!$C$5</f>
        <v>65.031120000000001</v>
      </c>
      <c r="H19" s="233">
        <f>(53.9*KFC!$B$33*1.02*1.15*1.1+KFC!$C$33)*KFC!$C$5</f>
        <v>69.547170000000008</v>
      </c>
      <c r="I19" s="233">
        <f>(57.4*KFC!$B$33*1.02*1.15*1.1+KFC!$C$33)*KFC!$C$5</f>
        <v>74.063220000000001</v>
      </c>
      <c r="J19" s="233">
        <f>(60.9*KFC!$B$33*1.02*1.15*1.1+KFC!$C$33)*KFC!$C$5</f>
        <v>78.579270000000008</v>
      </c>
      <c r="K19" s="233">
        <f>(64.5*KFC!$B$33*1.02*1.15*1.1+KFC!$C$33)*KFC!$C$5</f>
        <v>83.224350000000015</v>
      </c>
      <c r="L19" s="233">
        <f>(67.9*KFC!$B$33*1.02*1.15*1.1+KFC!$C$33)*KFC!$C$5</f>
        <v>87.611370000000022</v>
      </c>
      <c r="M19" s="233">
        <f>(71.4*KFC!$B$33*1.02*1.15*1.1+KFC!$C$33)*KFC!$C$5</f>
        <v>92.127420000000015</v>
      </c>
      <c r="N19" s="233">
        <f>(75*KFC!$B$33*1.02*1.15*1.1+KFC!$C$33)*KFC!$C$5</f>
        <v>96.772500000000008</v>
      </c>
      <c r="O19" s="233">
        <f>(78.4*KFC!$B$33*1.02*1.15*1.1+KFC!$C$33)*KFC!$C$5</f>
        <v>101.15952000000001</v>
      </c>
      <c r="P19" s="233">
        <f>(81.9*KFC!$B$33*1.02*1.15*1.1+KFC!$C$33)*KFC!$C$5</f>
        <v>105.67557000000002</v>
      </c>
      <c r="Q19" s="233">
        <f>(85.5*KFC!$B$33*1.02*1.15*1.1+KFC!$C$33)*KFC!$C$5</f>
        <v>110.32065000000001</v>
      </c>
      <c r="R19" s="233">
        <f>(89*KFC!$B$33*1.02*1.15*1.1+KFC!$C$33)*KFC!$C$5</f>
        <v>114.83669999999999</v>
      </c>
      <c r="S19" s="233">
        <f>(92.5*KFC!$B$33*1.02*1.15*1.1+KFC!$C$33)*KFC!$C$5</f>
        <v>119.35275</v>
      </c>
      <c r="T19" s="233">
        <f>(96*KFC!$B$33*1.02*1.15*1.1+KFC!$C$33)*KFC!$C$5</f>
        <v>123.86879999999999</v>
      </c>
      <c r="U19" s="233">
        <f>(99.6*KFC!$B$33*1.02*1.15*1.1+KFC!$C$33)*KFC!$C$5</f>
        <v>128.51388</v>
      </c>
      <c r="V19" s="233">
        <f>(103*KFC!$B$33*1.02*1.15*1.1+KFC!$C$33)*KFC!$C$5</f>
        <v>132.90090000000001</v>
      </c>
      <c r="W19" s="233">
        <f>(106.5*KFC!$B$33*1.02*1.15*1.1+KFC!$C$33)*KFC!$C$5</f>
        <v>137.41694999999999</v>
      </c>
      <c r="X19" s="233">
        <f>(110.1*KFC!$B$33*1.02*1.15*1.1+KFC!$C$33)*KFC!$C$5</f>
        <v>142.06202999999999</v>
      </c>
      <c r="Y19" s="233">
        <f>(113.5*KFC!$B$33*1.02*1.15*1.1+KFC!$C$33)*KFC!$C$5</f>
        <v>146.44905</v>
      </c>
      <c r="Z19" s="233">
        <f>(117*KFC!$B$33*1.02*1.15*1.1+KFC!$C$33)*KFC!$C$5</f>
        <v>150.96510000000001</v>
      </c>
    </row>
    <row r="20" spans="1:26" ht="15.9" customHeight="1">
      <c r="A20" s="1912"/>
      <c r="B20" s="237">
        <v>1.6</v>
      </c>
      <c r="C20" s="239">
        <f>(37.1*KFC!$B$33*1.02*1.15*1.1+KFC!$C$33)*KFC!$C$5</f>
        <v>47.870130000000003</v>
      </c>
      <c r="D20" s="233">
        <f>(40.6*KFC!$B$33*1.02*1.15*1.1+KFC!$C$33)*KFC!$C$5</f>
        <v>52.386179999999996</v>
      </c>
      <c r="E20" s="233">
        <f>(44.3*KFC!$B$33*1.02*1.15*1.1+KFC!$C$33)*KFC!$C$5</f>
        <v>57.160289999999996</v>
      </c>
      <c r="F20" s="233">
        <f>(47.8*KFC!$B$33*1.02*1.15*1.1+KFC!$C$33)*KFC!$C$5</f>
        <v>61.676339999999996</v>
      </c>
      <c r="G20" s="233">
        <f>(51.5*KFC!$B$33*1.02*1.15*1.1+KFC!$C$33)*KFC!$C$5</f>
        <v>66.450450000000004</v>
      </c>
      <c r="H20" s="233">
        <f>(55*KFC!$B$33*1.02*1.15*1.1+KFC!$C$33)*KFC!$C$5</f>
        <v>70.966500000000011</v>
      </c>
      <c r="I20" s="233">
        <f>(58.7*KFC!$B$33*1.02*1.15*1.1+KFC!$C$33)*KFC!$C$5</f>
        <v>75.740610000000004</v>
      </c>
      <c r="J20" s="233">
        <f>(62.3*KFC!$B$33*1.02*1.15*1.1+KFC!$C$33)*KFC!$C$5</f>
        <v>80.385690000000011</v>
      </c>
      <c r="K20" s="233">
        <f>(65.9*KFC!$B$33*1.02*1.15*1.1+KFC!$C$33)*KFC!$C$5</f>
        <v>85.030770000000004</v>
      </c>
      <c r="L20" s="233">
        <f>(69.5*KFC!$B$33*1.02*1.15*1.1+KFC!$C$33)*KFC!$C$5</f>
        <v>89.675850000000011</v>
      </c>
      <c r="M20" s="233">
        <f>(73.1*KFC!$B$33*1.02*1.15*1.1+KFC!$C$33)*KFC!$C$5</f>
        <v>94.320930000000004</v>
      </c>
      <c r="N20" s="233">
        <f>(76.7*KFC!$B$33*1.02*1.15*1.1+KFC!$C$33)*KFC!$C$5</f>
        <v>98.966010000000011</v>
      </c>
      <c r="O20" s="233">
        <f>(80.4*KFC!$B$33*1.02*1.15*1.1+KFC!$C$33)*KFC!$C$5</f>
        <v>103.74012000000002</v>
      </c>
      <c r="P20" s="233">
        <f>(83.9*KFC!$B$33*1.02*1.15*1.1+KFC!$C$33)*KFC!$C$5</f>
        <v>108.25617000000001</v>
      </c>
      <c r="Q20" s="233">
        <f>(87.6*KFC!$B$33*1.02*1.15*1.1+KFC!$C$33)*KFC!$C$5</f>
        <v>113.03027999999998</v>
      </c>
      <c r="R20" s="233">
        <f>(91.1*KFC!$B$33*1.02*1.15*1.1+KFC!$C$33)*KFC!$C$5</f>
        <v>117.54633</v>
      </c>
      <c r="S20" s="233">
        <f>(94.7*KFC!$B$33*1.02*1.15*1.1+KFC!$C$33)*KFC!$C$5</f>
        <v>122.19141</v>
      </c>
      <c r="T20" s="233">
        <f>(98.3*KFC!$B$33*1.02*1.15*1.1+KFC!$C$33)*KFC!$C$5</f>
        <v>126.83649</v>
      </c>
      <c r="U20" s="233">
        <f>(101.9*KFC!$B$33*1.02*1.15*1.1+KFC!$C$33)*KFC!$C$5</f>
        <v>131.48157</v>
      </c>
      <c r="V20" s="233">
        <f>(105.5*KFC!$B$33*1.02*1.15*1.1+KFC!$C$33)*KFC!$C$5</f>
        <v>136.12665000000001</v>
      </c>
      <c r="W20" s="233">
        <f>(109.1*KFC!$B$33*1.02*1.15*1.1+KFC!$C$33)*KFC!$C$5</f>
        <v>140.77172999999999</v>
      </c>
      <c r="X20" s="233">
        <f>(112.8*KFC!$B$33*1.02*1.15*1.1+KFC!$C$33)*KFC!$C$5</f>
        <v>145.54584</v>
      </c>
      <c r="Y20" s="233">
        <f>(116.3*KFC!$B$33*1.02*1.15*1.1+KFC!$C$33)*KFC!$C$5</f>
        <v>150.06189000000001</v>
      </c>
      <c r="Z20" s="233">
        <f>(120*KFC!$B$33*1.02*1.15*1.1+KFC!$C$33)*KFC!$C$5</f>
        <v>154.83600000000001</v>
      </c>
    </row>
    <row r="21" spans="1:26" ht="15.9" customHeight="1">
      <c r="A21" s="1912"/>
      <c r="B21" s="237">
        <v>1.7</v>
      </c>
      <c r="C21" s="239">
        <f>(37.8*KFC!$B$33*1.02*1.15*1.1+KFC!$C$33)*KFC!$C$5</f>
        <v>48.77333999999999</v>
      </c>
      <c r="D21" s="233">
        <f>(41.5*KFC!$B$33*1.02*1.15*1.1+KFC!$C$33)*KFC!$C$5</f>
        <v>53.547450000000005</v>
      </c>
      <c r="E21" s="233">
        <f>(45.1*KFC!$B$33*1.02*1.15*1.1+KFC!$C$33)*KFC!$C$5</f>
        <v>58.192529999999998</v>
      </c>
      <c r="F21" s="233">
        <f>(48.8*KFC!$B$33*1.02*1.15*1.1+KFC!$C$33)*KFC!$C$5</f>
        <v>62.966639999999991</v>
      </c>
      <c r="G21" s="233">
        <f>(52.6*KFC!$B$33*1.02*1.15*1.1+KFC!$C$33)*KFC!$C$5</f>
        <v>67.869780000000006</v>
      </c>
      <c r="H21" s="233">
        <f>(56.3*KFC!$B$33*1.02*1.15*1.1+KFC!$C$33)*KFC!$C$5</f>
        <v>72.643889999999999</v>
      </c>
      <c r="I21" s="233">
        <f>(59.9*KFC!$B$33*1.02*1.15*1.1+KFC!$C$33)*KFC!$C$5</f>
        <v>77.288970000000006</v>
      </c>
      <c r="J21" s="233">
        <f>(63.6*KFC!$B$33*1.02*1.15*1.1+KFC!$C$33)*KFC!$C$5</f>
        <v>82.063079999999999</v>
      </c>
      <c r="K21" s="233">
        <f>(67.4*KFC!$B$33*1.02*1.15*1.1+KFC!$C$33)*KFC!$C$5</f>
        <v>86.966220000000007</v>
      </c>
      <c r="L21" s="233">
        <f>(71.1*KFC!$B$33*1.02*1.15*1.1+KFC!$C$33)*KFC!$C$5</f>
        <v>91.74033</v>
      </c>
      <c r="M21" s="233">
        <f>(74.7*KFC!$B$33*1.02*1.15*1.1+KFC!$C$33)*KFC!$C$5</f>
        <v>96.385410000000007</v>
      </c>
      <c r="N21" s="233">
        <f>(78.4*KFC!$B$33*1.02*1.15*1.1+KFC!$C$33)*KFC!$C$5</f>
        <v>101.15952000000001</v>
      </c>
      <c r="O21" s="233">
        <f>(82.2*KFC!$B$33*1.02*1.15*1.1+KFC!$C$33)*KFC!$C$5</f>
        <v>106.06266000000002</v>
      </c>
      <c r="P21" s="233">
        <f>(85.9*KFC!$B$33*1.02*1.15*1.1+KFC!$C$33)*KFC!$C$5</f>
        <v>110.83677000000002</v>
      </c>
      <c r="Q21" s="233">
        <f>(89.5*KFC!$B$33*1.02*1.15*1.1+KFC!$C$33)*KFC!$C$5</f>
        <v>115.48184999999999</v>
      </c>
      <c r="R21" s="233">
        <f>(93.3*KFC!$B$33*1.02*1.15*1.1+KFC!$C$33)*KFC!$C$5</f>
        <v>120.38498999999999</v>
      </c>
      <c r="S21" s="233">
        <f>(97*KFC!$B$33*1.02*1.15*1.1+KFC!$C$33)*KFC!$C$5</f>
        <v>125.1591</v>
      </c>
      <c r="T21" s="233">
        <f>(100.7*KFC!$B$33*1.02*1.15*1.1+KFC!$C$33)*KFC!$C$5</f>
        <v>129.93321</v>
      </c>
      <c r="U21" s="233">
        <f>(104.3*KFC!$B$33*1.02*1.15*1.1+KFC!$C$33)*KFC!$C$5</f>
        <v>134.57829000000001</v>
      </c>
      <c r="V21" s="233">
        <f>(108.1*KFC!$B$33*1.02*1.15*1.1+KFC!$C$33)*KFC!$C$5</f>
        <v>139.48143000000002</v>
      </c>
      <c r="W21" s="233">
        <f>(111.8*KFC!$B$33*1.02*1.15*1.1+KFC!$C$33)*KFC!$C$5</f>
        <v>144.25554000000002</v>
      </c>
      <c r="X21" s="233">
        <f>(115.5*KFC!$B$33*1.02*1.15*1.1+KFC!$C$33)*KFC!$C$5</f>
        <v>149.02965</v>
      </c>
      <c r="Y21" s="233">
        <f>(119.1*KFC!$B$33*1.02*1.15*1.1+KFC!$C$33)*KFC!$C$5</f>
        <v>153.67473000000001</v>
      </c>
      <c r="Z21" s="233">
        <f>(122.9*KFC!$B$33*1.02*1.15*1.1+KFC!$C$33)*KFC!$C$5</f>
        <v>158.57787000000002</v>
      </c>
    </row>
    <row r="22" spans="1:26" ht="15.9" customHeight="1">
      <c r="A22" s="1912"/>
      <c r="B22" s="237">
        <v>1.8</v>
      </c>
      <c r="C22" s="239">
        <f>(38.4*KFC!$B$33*1.02*1.15*1.1+KFC!$C$33)*KFC!$C$5</f>
        <v>49.547520000000006</v>
      </c>
      <c r="D22" s="233">
        <f>(42.2*KFC!$B$33*1.02*1.15*1.1+KFC!$C$33)*KFC!$C$5</f>
        <v>54.450660000000006</v>
      </c>
      <c r="E22" s="233">
        <f>(46*KFC!$B$33*1.02*1.15*1.1+KFC!$C$33)*KFC!$C$5</f>
        <v>59.3538</v>
      </c>
      <c r="F22" s="233">
        <f>(49.8*KFC!$B$33*1.02*1.15*1.1+KFC!$C$33)*KFC!$C$5</f>
        <v>64.25694</v>
      </c>
      <c r="G22" s="233">
        <f>(53.6*KFC!$B$33*1.02*1.15*1.1+KFC!$C$33)*KFC!$C$5</f>
        <v>69.160080000000008</v>
      </c>
      <c r="H22" s="233">
        <f>(57.5*KFC!$B$33*1.02*1.15*1.1+KFC!$C$33)*KFC!$C$5</f>
        <v>74.192250000000001</v>
      </c>
      <c r="I22" s="233">
        <f>(61.3*KFC!$B$33*1.02*1.15*1.1+KFC!$C$33)*KFC!$C$5</f>
        <v>79.095389999999995</v>
      </c>
      <c r="J22" s="233">
        <f>(65.1*KFC!$B$33*1.02*1.15*1.1+KFC!$C$33)*KFC!$C$5</f>
        <v>83.998530000000002</v>
      </c>
      <c r="K22" s="233">
        <f>(68.9*KFC!$B$33*1.02*1.15*1.1+KFC!$C$33)*KFC!$C$5</f>
        <v>88.90167000000001</v>
      </c>
      <c r="L22" s="233">
        <f>(72.6*KFC!$B$33*1.02*1.15*1.1+KFC!$C$33)*KFC!$C$5</f>
        <v>93.675780000000003</v>
      </c>
      <c r="M22" s="233">
        <f>(76.4*KFC!$B$33*1.02*1.15*1.1+KFC!$C$33)*KFC!$C$5</f>
        <v>98.578920000000025</v>
      </c>
      <c r="N22" s="233">
        <f>(80.2*KFC!$B$33*1.02*1.15*1.1+KFC!$C$33)*KFC!$C$5</f>
        <v>103.48205999999999</v>
      </c>
      <c r="O22" s="233">
        <f>(84*KFC!$B$33*1.02*1.15*1.1+KFC!$C$33)*KFC!$C$5</f>
        <v>108.38520000000001</v>
      </c>
      <c r="P22" s="233">
        <f>(87.9*KFC!$B$33*1.02*1.15*1.1+KFC!$C$33)*KFC!$C$5</f>
        <v>113.41736999999999</v>
      </c>
      <c r="Q22" s="233">
        <f>(91.6*KFC!$B$33*1.02*1.15*1.1+KFC!$C$33)*KFC!$C$5</f>
        <v>118.19148</v>
      </c>
      <c r="R22" s="233">
        <f>(95.4*KFC!$B$33*1.02*1.15*1.1+KFC!$C$33)*KFC!$C$5</f>
        <v>123.09462000000001</v>
      </c>
      <c r="S22" s="233">
        <f>(99.2*KFC!$B$33*1.02*1.15*1.1+KFC!$C$33)*KFC!$C$5</f>
        <v>127.99776000000003</v>
      </c>
      <c r="T22" s="233">
        <f>(103*KFC!$B$33*1.02*1.15*1.1+KFC!$C$33)*KFC!$C$5</f>
        <v>132.90090000000001</v>
      </c>
      <c r="U22" s="233">
        <f>(106.8*KFC!$B$33*1.02*1.15*1.1+KFC!$C$33)*KFC!$C$5</f>
        <v>137.80403999999999</v>
      </c>
      <c r="V22" s="233">
        <f>(110.6*KFC!$B$33*1.02*1.15*1.1+KFC!$C$33)*KFC!$C$5</f>
        <v>142.70717999999999</v>
      </c>
      <c r="W22" s="233">
        <f>(114.4*KFC!$B$33*1.02*1.15*1.1+KFC!$C$33)*KFC!$C$5</f>
        <v>147.61032</v>
      </c>
      <c r="X22" s="233">
        <f>(118.1*KFC!$B$33*1.02*1.15*1.1+KFC!$C$33)*KFC!$C$5</f>
        <v>152.38443000000001</v>
      </c>
      <c r="Y22" s="233">
        <f>(121.9*KFC!$B$33*1.02*1.15*1.1+KFC!$C$33)*KFC!$C$5</f>
        <v>157.28757000000002</v>
      </c>
      <c r="Z22" s="233">
        <f>(125.7*KFC!$B$33*1.02*1.15*1.1+KFC!$C$33)*KFC!$C$5</f>
        <v>162.19071</v>
      </c>
    </row>
    <row r="23" spans="1:26" ht="15.9" customHeight="1">
      <c r="A23" s="1912"/>
      <c r="B23" s="237">
        <v>1.9</v>
      </c>
      <c r="C23" s="239">
        <f>(39.1*KFC!$B$33*1.02*1.15*1.1+KFC!$C$33)*KFC!$C$5</f>
        <v>50.450730000000007</v>
      </c>
      <c r="D23" s="233">
        <f>(43*KFC!$B$33*1.02*1.15*1.1+KFC!$C$33)*KFC!$C$5</f>
        <v>55.482899999999994</v>
      </c>
      <c r="E23" s="233">
        <f>(47*KFC!$B$33*1.02*1.15*1.1+KFC!$C$33)*KFC!$C$5</f>
        <v>60.644099999999995</v>
      </c>
      <c r="F23" s="233">
        <f>(50.9*KFC!$B$33*1.02*1.15*1.1+KFC!$C$33)*KFC!$C$5</f>
        <v>65.676270000000002</v>
      </c>
      <c r="G23" s="233">
        <f>(54.7*KFC!$B$33*1.02*1.15*1.1+KFC!$C$33)*KFC!$C$5</f>
        <v>70.57941000000001</v>
      </c>
      <c r="H23" s="233">
        <f>(58.6*KFC!$B$33*1.02*1.15*1.1+KFC!$C$33)*KFC!$C$5</f>
        <v>75.611580000000018</v>
      </c>
      <c r="I23" s="233">
        <f>(62.5*KFC!$B$33*1.02*1.15*1.1+KFC!$C$33)*KFC!$C$5</f>
        <v>80.643750000000011</v>
      </c>
      <c r="J23" s="233">
        <f>(66.4*KFC!$B$33*1.02*1.15*1.1+KFC!$C$33)*KFC!$C$5</f>
        <v>85.675920000000019</v>
      </c>
      <c r="K23" s="233">
        <f>(70.3*KFC!$B$33*1.02*1.15*1.1+KFC!$C$33)*KFC!$C$5</f>
        <v>90.708090000000013</v>
      </c>
      <c r="L23" s="233">
        <f>(74.2*KFC!$B$33*1.02*1.15*1.1+KFC!$C$33)*KFC!$C$5</f>
        <v>95.740260000000006</v>
      </c>
      <c r="M23" s="233">
        <f>(78*KFC!$B$33*1.02*1.15*1.1+KFC!$C$33)*KFC!$C$5</f>
        <v>100.64340000000001</v>
      </c>
      <c r="N23" s="233">
        <f>(81.9*KFC!$B$33*1.02*1.15*1.1+KFC!$C$33)*KFC!$C$5</f>
        <v>105.67557000000002</v>
      </c>
      <c r="O23" s="233">
        <f>(85.9*KFC!$B$33*1.02*1.15*1.1+KFC!$C$33)*KFC!$C$5</f>
        <v>110.83677000000002</v>
      </c>
      <c r="P23" s="233">
        <f>(89.8*KFC!$B$33*1.02*1.15*1.1+KFC!$C$33)*KFC!$C$5</f>
        <v>115.86893999999999</v>
      </c>
      <c r="Q23" s="233">
        <f>(93.7*KFC!$B$33*1.02*1.15*1.1+KFC!$C$33)*KFC!$C$5</f>
        <v>120.90110999999999</v>
      </c>
      <c r="R23" s="233">
        <f>(97.6*KFC!$B$33*1.02*1.15*1.1+KFC!$C$33)*KFC!$C$5</f>
        <v>125.93327999999998</v>
      </c>
      <c r="S23" s="233">
        <f>(101.4*KFC!$B$33*1.02*1.15*1.1+KFC!$C$33)*KFC!$C$5</f>
        <v>130.83642</v>
      </c>
      <c r="T23" s="233">
        <f>(105.3*KFC!$B$33*1.02*1.15*1.1+KFC!$C$33)*KFC!$C$5</f>
        <v>135.86859000000001</v>
      </c>
      <c r="U23" s="233">
        <f>(109.2*KFC!$B$33*1.02*1.15*1.1+KFC!$C$33)*KFC!$C$5</f>
        <v>140.90076000000002</v>
      </c>
      <c r="V23" s="233">
        <f>(113.1*KFC!$B$33*1.02*1.15*1.1+KFC!$C$33)*KFC!$C$5</f>
        <v>145.93293</v>
      </c>
      <c r="W23" s="233">
        <f>(117*KFC!$B$33*1.02*1.15*1.1+KFC!$C$33)*KFC!$C$5</f>
        <v>150.96510000000001</v>
      </c>
      <c r="X23" s="233">
        <f>(121*KFC!$B$33*1.02*1.15*1.1+KFC!$C$33)*KFC!$C$5</f>
        <v>156.12630000000001</v>
      </c>
      <c r="Y23" s="233">
        <f>(124.7*KFC!$B$33*1.02*1.15*1.1+KFC!$C$33)*KFC!$C$5</f>
        <v>160.90041000000002</v>
      </c>
      <c r="Z23" s="233">
        <f>(128.7*KFC!$B$33*1.02*1.15*1.1+KFC!$C$33)*KFC!$C$5</f>
        <v>166.06161</v>
      </c>
    </row>
    <row r="24" spans="1:26" ht="15.9" customHeight="1">
      <c r="A24" s="1912"/>
      <c r="B24" s="237">
        <v>2</v>
      </c>
      <c r="C24" s="239">
        <f>(39.9*KFC!$B$33*1.02*1.15*1.1+KFC!$C$33)*KFC!$C$5</f>
        <v>51.482969999999995</v>
      </c>
      <c r="D24" s="233">
        <f>(43.8*KFC!$B$33*1.02*1.15*1.1+KFC!$C$33)*KFC!$C$5</f>
        <v>56.515139999999988</v>
      </c>
      <c r="E24" s="233">
        <f>(47.8*KFC!$B$33*1.02*1.15*1.1+KFC!$C$33)*KFC!$C$5</f>
        <v>61.676339999999996</v>
      </c>
      <c r="F24" s="233">
        <f>(51.9*KFC!$B$33*1.02*1.15*1.1+KFC!$C$33)*KFC!$C$5</f>
        <v>66.966570000000004</v>
      </c>
      <c r="G24" s="233">
        <f>(55.8*KFC!$B$33*1.02*1.15*1.1+KFC!$C$33)*KFC!$C$5</f>
        <v>71.998739999999998</v>
      </c>
      <c r="H24" s="233">
        <f>(59.8*KFC!$B$33*1.02*1.15*1.1+KFC!$C$33)*KFC!$C$5</f>
        <v>77.159940000000006</v>
      </c>
      <c r="I24" s="233">
        <f>(63.7*KFC!$B$33*1.02*1.15*1.1+KFC!$C$33)*KFC!$C$5</f>
        <v>82.192110000000014</v>
      </c>
      <c r="J24" s="233">
        <f>(67.8*KFC!$B$33*1.02*1.15*1.1+KFC!$C$33)*KFC!$C$5</f>
        <v>87.482339999999979</v>
      </c>
      <c r="K24" s="233">
        <f>(71.8*KFC!$B$33*1.02*1.15*1.1+KFC!$C$33)*KFC!$C$5</f>
        <v>92.643540000000016</v>
      </c>
      <c r="L24" s="233">
        <f>(75.7*KFC!$B$33*1.02*1.15*1.1+KFC!$C$33)*KFC!$C$5</f>
        <v>97.675710000000009</v>
      </c>
      <c r="M24" s="233">
        <f>(79.7*KFC!$B$33*1.02*1.15*1.1+KFC!$C$33)*KFC!$C$5</f>
        <v>102.83691000000002</v>
      </c>
      <c r="N24" s="233">
        <f>(83.8*KFC!$B$33*1.02*1.15*1.1+KFC!$C$33)*KFC!$C$5</f>
        <v>108.12714000000001</v>
      </c>
      <c r="O24" s="233">
        <f>(87.7*KFC!$B$33*1.02*1.15*1.1+KFC!$C$33)*KFC!$C$5</f>
        <v>113.15931000000002</v>
      </c>
      <c r="P24" s="233">
        <f>(91.7*KFC!$B$33*1.02*1.15*1.1+KFC!$C$33)*KFC!$C$5</f>
        <v>118.32051</v>
      </c>
      <c r="Q24" s="233">
        <f>(95.6*KFC!$B$33*1.02*1.15*1.1+KFC!$C$33)*KFC!$C$5</f>
        <v>123.35267999999999</v>
      </c>
      <c r="R24" s="233">
        <f>(99.7*KFC!$B$33*1.02*1.15*1.1+KFC!$C$33)*KFC!$C$5</f>
        <v>128.64291</v>
      </c>
      <c r="S24" s="233">
        <f>(103.7*KFC!$B$33*1.02*1.15*1.1+KFC!$C$33)*KFC!$C$5</f>
        <v>133.80411000000001</v>
      </c>
      <c r="T24" s="233">
        <f>(107.6*KFC!$B$33*1.02*1.15*1.1+KFC!$C$33)*KFC!$C$5</f>
        <v>138.83627999999999</v>
      </c>
      <c r="U24" s="233">
        <f>(111.7*KFC!$B$33*1.02*1.15*1.1+KFC!$C$33)*KFC!$C$5</f>
        <v>144.12651000000002</v>
      </c>
      <c r="V24" s="233">
        <f>(115.6*KFC!$B$33*1.02*1.15*1.1+KFC!$C$33)*KFC!$C$5</f>
        <v>149.15868</v>
      </c>
      <c r="W24" s="233">
        <f>(119.6*KFC!$B$33*1.02*1.15*1.1+KFC!$C$33)*KFC!$C$5</f>
        <v>154.31988000000001</v>
      </c>
      <c r="X24" s="233">
        <f>(123.6*KFC!$B$33*1.02*1.15*1.1+KFC!$C$33)*KFC!$C$5</f>
        <v>159.48108000000002</v>
      </c>
      <c r="Y24" s="233">
        <f>(127.6*KFC!$B$33*1.02*1.15*1.1+KFC!$C$33)*KFC!$C$5</f>
        <v>164.64228</v>
      </c>
      <c r="Z24" s="233">
        <f>(131.6*KFC!$B$33*1.02*1.15*1.1+KFC!$C$33)*KFC!$C$5</f>
        <v>169.80348000000001</v>
      </c>
    </row>
    <row r="25" spans="1:26" ht="15.9" customHeight="1">
      <c r="A25" s="1912"/>
      <c r="B25" s="237">
        <v>2.1</v>
      </c>
      <c r="C25" s="239">
        <f>(40.5*KFC!$B$33*1.02*1.15*1.1+KFC!$C$33)*KFC!$C$5</f>
        <v>52.257149999999996</v>
      </c>
      <c r="D25" s="233">
        <f>(44.6*KFC!$B$33*1.02*1.15*1.1+KFC!$C$33)*KFC!$C$5</f>
        <v>57.547380000000011</v>
      </c>
      <c r="E25" s="233">
        <f>(48.7*KFC!$B$33*1.02*1.15*1.1+KFC!$C$33)*KFC!$C$5</f>
        <v>62.837610000000012</v>
      </c>
      <c r="F25" s="233">
        <f>(52.8*KFC!$B$33*1.02*1.15*1.1+KFC!$C$33)*KFC!$C$5</f>
        <v>68.127839999999992</v>
      </c>
      <c r="G25" s="233">
        <f>(56.9*KFC!$B$33*1.02*1.15*1.1+KFC!$C$33)*KFC!$C$5</f>
        <v>73.41807</v>
      </c>
      <c r="H25" s="233">
        <f>(60.9*KFC!$B$33*1.02*1.15*1.1+KFC!$C$33)*KFC!$C$5</f>
        <v>78.579270000000008</v>
      </c>
      <c r="I25" s="233">
        <f>(65.1*KFC!$B$33*1.02*1.15*1.1+KFC!$C$33)*KFC!$C$5</f>
        <v>83.998530000000002</v>
      </c>
      <c r="J25" s="233">
        <f>(69.1*KFC!$B$33*1.02*1.15*1.1+KFC!$C$33)*KFC!$C$5</f>
        <v>89.15973000000001</v>
      </c>
      <c r="K25" s="233">
        <f>(73.3*KFC!$B$33*1.02*1.15*1.1+KFC!$C$33)*KFC!$C$5</f>
        <v>94.578990000000019</v>
      </c>
      <c r="L25" s="233">
        <f>(77.3*KFC!$B$33*1.02*1.15*1.1+KFC!$C$33)*KFC!$C$5</f>
        <v>99.740190000000013</v>
      </c>
      <c r="M25" s="233">
        <f>(81.3*KFC!$B$33*1.02*1.15*1.1+KFC!$C$33)*KFC!$C$5</f>
        <v>104.90138999999999</v>
      </c>
      <c r="N25" s="233">
        <f>(85.5*KFC!$B$33*1.02*1.15*1.1+KFC!$C$33)*KFC!$C$5</f>
        <v>110.32065000000001</v>
      </c>
      <c r="O25" s="233">
        <f>(89.5*KFC!$B$33*1.02*1.15*1.1+KFC!$C$33)*KFC!$C$5</f>
        <v>115.48184999999999</v>
      </c>
      <c r="P25" s="233">
        <f>(93.7*KFC!$B$33*1.02*1.15*1.1+KFC!$C$33)*KFC!$C$5</f>
        <v>120.90110999999999</v>
      </c>
      <c r="Q25" s="233">
        <f>(97.7*KFC!$B$33*1.02*1.15*1.1+KFC!$C$33)*KFC!$C$5</f>
        <v>126.06231000000002</v>
      </c>
      <c r="R25" s="233">
        <f>(101.9*KFC!$B$33*1.02*1.15*1.1+KFC!$C$33)*KFC!$C$5</f>
        <v>131.48157</v>
      </c>
      <c r="S25" s="233">
        <f>(105.9*KFC!$B$33*1.02*1.15*1.1+KFC!$C$33)*KFC!$C$5</f>
        <v>136.64277000000001</v>
      </c>
      <c r="T25" s="233">
        <f>(109.9*KFC!$B$33*1.02*1.15*1.1+KFC!$C$33)*KFC!$C$5</f>
        <v>141.80397000000002</v>
      </c>
      <c r="U25" s="233">
        <f>(114.1*KFC!$B$33*1.02*1.15*1.1+KFC!$C$33)*KFC!$C$5</f>
        <v>147.22323</v>
      </c>
      <c r="V25" s="233">
        <f>(118.1*KFC!$B$33*1.02*1.15*1.1+KFC!$C$33)*KFC!$C$5</f>
        <v>152.38443000000001</v>
      </c>
      <c r="W25" s="233">
        <f>(122.3*KFC!$B$33*1.02*1.15*1.1+KFC!$C$33)*KFC!$C$5</f>
        <v>157.80369000000002</v>
      </c>
      <c r="X25" s="233">
        <f>(126.3*KFC!$B$33*1.02*1.15*1.1+KFC!$C$33)*KFC!$C$5</f>
        <v>162.96489</v>
      </c>
      <c r="Y25" s="233">
        <f>(130.4*KFC!$B$33*1.02*1.15*1.1+KFC!$C$33)*KFC!$C$5</f>
        <v>168.25512000000003</v>
      </c>
      <c r="Z25" s="233">
        <f>(134.5*KFC!$B$33*1.02*1.15*1.1+KFC!$C$33)*KFC!$C$5</f>
        <v>173.54535000000001</v>
      </c>
    </row>
    <row r="26" spans="1:26" ht="15.9" customHeight="1">
      <c r="A26" s="1912"/>
      <c r="B26" s="237">
        <v>2.2000000000000002</v>
      </c>
      <c r="C26" s="239">
        <f>(41.2*KFC!$B$33*1.02*1.15*1.1+KFC!$C$33)*KFC!$C$5</f>
        <v>53.160360000000004</v>
      </c>
      <c r="D26" s="233">
        <f>(45.4*KFC!$B$33*1.02*1.15*1.1+KFC!$C$33)*KFC!$C$5</f>
        <v>58.579619999999998</v>
      </c>
      <c r="E26" s="233">
        <f>(49.7*KFC!$B$33*1.02*1.15*1.1+KFC!$C$33)*KFC!$C$5</f>
        <v>64.12791</v>
      </c>
      <c r="F26" s="233">
        <f>(53.8*KFC!$B$33*1.02*1.15*1.1+KFC!$C$33)*KFC!$C$5</f>
        <v>69.418139999999994</v>
      </c>
      <c r="G26" s="233">
        <f>(58*KFC!$B$33*1.02*1.15*1.1+KFC!$C$33)*KFC!$C$5</f>
        <v>74.837400000000017</v>
      </c>
      <c r="H26" s="233">
        <f>(62.1*KFC!$B$33*1.02*1.15*1.1+KFC!$C$33)*KFC!$C$5</f>
        <v>80.127630000000011</v>
      </c>
      <c r="I26" s="233">
        <f>(66.3*KFC!$B$33*1.02*1.15*1.1+KFC!$C$33)*KFC!$C$5</f>
        <v>85.546890000000005</v>
      </c>
      <c r="J26" s="233">
        <f>(70.4*KFC!$B$33*1.02*1.15*1.1+KFC!$C$33)*KFC!$C$5</f>
        <v>90.837120000000013</v>
      </c>
      <c r="K26" s="233">
        <f>(74.7*KFC!$B$33*1.02*1.15*1.1+KFC!$C$33)*KFC!$C$5</f>
        <v>96.385410000000007</v>
      </c>
      <c r="L26" s="233">
        <f>(78.9*KFC!$B$33*1.02*1.15*1.1+KFC!$C$33)*KFC!$C$5</f>
        <v>101.80467000000002</v>
      </c>
      <c r="M26" s="233">
        <f>(83*KFC!$B$33*1.02*1.15*1.1+KFC!$C$33)*KFC!$C$5</f>
        <v>107.09490000000001</v>
      </c>
      <c r="N26" s="233">
        <f>(87.2*KFC!$B$33*1.02*1.15*1.1+KFC!$C$33)*KFC!$C$5</f>
        <v>112.51415999999999</v>
      </c>
      <c r="O26" s="233">
        <f>(91.4*KFC!$B$33*1.02*1.15*1.1+KFC!$C$33)*KFC!$C$5</f>
        <v>117.93342</v>
      </c>
      <c r="P26" s="233">
        <f>(95.6*KFC!$B$33*1.02*1.15*1.1+KFC!$C$33)*KFC!$C$5</f>
        <v>123.35267999999999</v>
      </c>
      <c r="Q26" s="233">
        <f>(99.8*KFC!$B$33*1.02*1.15*1.1+KFC!$C$33)*KFC!$C$5</f>
        <v>128.77194</v>
      </c>
      <c r="R26" s="233">
        <f>(104*KFC!$B$33*1.02*1.15*1.1+KFC!$C$33)*KFC!$C$5</f>
        <v>134.19120000000001</v>
      </c>
      <c r="S26" s="233">
        <f>(108.1*KFC!$B$33*1.02*1.15*1.1+KFC!$C$33)*KFC!$C$5</f>
        <v>139.48143000000002</v>
      </c>
      <c r="T26" s="233">
        <f>(112.3*KFC!$B$33*1.02*1.15*1.1+KFC!$C$33)*KFC!$C$5</f>
        <v>144.90069</v>
      </c>
      <c r="U26" s="233">
        <f>(116.6*KFC!$B$33*1.02*1.15*1.1+KFC!$C$33)*KFC!$C$5</f>
        <v>150.44898000000001</v>
      </c>
      <c r="V26" s="233">
        <f>(120.7*KFC!$B$33*1.02*1.15*1.1+KFC!$C$33)*KFC!$C$5</f>
        <v>155.73921000000001</v>
      </c>
      <c r="W26" s="233">
        <f>(124.9*KFC!$B$33*1.02*1.15*1.1+KFC!$C$33)*KFC!$C$5</f>
        <v>161.15847000000002</v>
      </c>
      <c r="X26" s="233">
        <f>(129*KFC!$B$33*1.02*1.15*1.1+KFC!$C$33)*KFC!$C$5</f>
        <v>166.44870000000003</v>
      </c>
      <c r="Y26" s="233">
        <f>(133.2*KFC!$B$33*1.02*1.15*1.1+KFC!$C$33)*KFC!$C$5</f>
        <v>171.86796000000001</v>
      </c>
      <c r="Z26" s="233">
        <f>(137.5*KFC!$B$33*1.02*1.15*1.1+KFC!$C$33)*KFC!$C$5</f>
        <v>177.41625000000002</v>
      </c>
    </row>
    <row r="27" spans="1:26">
      <c r="A27" s="1912"/>
      <c r="B27" s="237">
        <v>2.2999999999999998</v>
      </c>
      <c r="C27" s="239">
        <f>(41.9*KFC!$B$33*1.02*1.15*1.1+KFC!$C$33)*KFC!$C$5</f>
        <v>54.063570000000006</v>
      </c>
      <c r="D27" s="233">
        <f>(46.2*KFC!$B$33*1.02*1.15*1.1+KFC!$C$33)*KFC!$C$5</f>
        <v>59.61186</v>
      </c>
      <c r="E27" s="233">
        <f>(50.5*KFC!$B$33*1.02*1.15*1.1+KFC!$C$33)*KFC!$C$5</f>
        <v>65.160150000000002</v>
      </c>
      <c r="F27" s="233">
        <f>(54.8*KFC!$B$33*1.02*1.15*1.1+KFC!$C$33)*KFC!$C$5</f>
        <v>70.70844000000001</v>
      </c>
      <c r="G27" s="233">
        <f>(59.1*KFC!$B$33*1.02*1.15*1.1+KFC!$C$33)*KFC!$C$5</f>
        <v>76.256730000000005</v>
      </c>
      <c r="H27" s="233">
        <f>(63.4*KFC!$B$33*1.02*1.15*1.1+KFC!$C$33)*KFC!$C$5</f>
        <v>81.805020000000013</v>
      </c>
      <c r="I27" s="233">
        <f>(67.6*KFC!$B$33*1.02*1.15*1.1+KFC!$C$33)*KFC!$C$5</f>
        <v>87.224280000000007</v>
      </c>
      <c r="J27" s="233">
        <f>(71.9*KFC!$B$33*1.02*1.15*1.1+KFC!$C$33)*KFC!$C$5</f>
        <v>92.772570000000016</v>
      </c>
      <c r="K27" s="233">
        <f>(76.2*KFC!$B$33*1.02*1.15*1.1+KFC!$C$33)*KFC!$C$5</f>
        <v>98.32086000000001</v>
      </c>
      <c r="L27" s="233">
        <f>(80.5*KFC!$B$33*1.02*1.15*1.1+KFC!$C$33)*KFC!$C$5</f>
        <v>103.86914999999999</v>
      </c>
      <c r="M27" s="233">
        <f>(84.8*KFC!$B$33*1.02*1.15*1.1+KFC!$C$33)*KFC!$C$5</f>
        <v>109.41743999999998</v>
      </c>
      <c r="N27" s="233">
        <f>(89*KFC!$B$33*1.02*1.15*1.1+KFC!$C$33)*KFC!$C$5</f>
        <v>114.83669999999999</v>
      </c>
      <c r="O27" s="233">
        <f>(93.3*KFC!$B$33*1.02*1.15*1.1+KFC!$C$33)*KFC!$C$5</f>
        <v>120.38498999999999</v>
      </c>
      <c r="P27" s="233">
        <f>(97.6*KFC!$B$33*1.02*1.15*1.1+KFC!$C$33)*KFC!$C$5</f>
        <v>125.93327999999998</v>
      </c>
      <c r="Q27" s="233">
        <f>(101.9*KFC!$B$33*1.02*1.15*1.1+KFC!$C$33)*KFC!$C$5</f>
        <v>131.48157</v>
      </c>
      <c r="R27" s="233">
        <f>(106.2*KFC!$B$33*1.02*1.15*1.1+KFC!$C$33)*KFC!$C$5</f>
        <v>137.02986000000001</v>
      </c>
      <c r="S27" s="233">
        <f>(110.3*KFC!$B$33*1.02*1.15*1.1+KFC!$C$33)*KFC!$C$5</f>
        <v>142.32009000000002</v>
      </c>
      <c r="T27" s="233">
        <f>(114.6*KFC!$B$33*1.02*1.15*1.1+KFC!$C$33)*KFC!$C$5</f>
        <v>147.86838</v>
      </c>
      <c r="U27" s="233">
        <f>(118.9*KFC!$B$33*1.02*1.15*1.1+KFC!$C$33)*KFC!$C$5</f>
        <v>153.41667000000001</v>
      </c>
      <c r="V27" s="233">
        <f>(123.2*KFC!$B$33*1.02*1.15*1.1+KFC!$C$33)*KFC!$C$5</f>
        <v>158.96496000000002</v>
      </c>
      <c r="W27" s="233">
        <f>(127.4*KFC!$B$33*1.02*1.15*1.1+KFC!$C$33)*KFC!$C$5</f>
        <v>164.38422000000003</v>
      </c>
      <c r="X27" s="233">
        <f>(131.7*KFC!$B$33*1.02*1.15*1.1+KFC!$C$33)*KFC!$C$5</f>
        <v>169.93251000000001</v>
      </c>
      <c r="Y27" s="233">
        <f>(136*KFC!$B$33*1.02*1.15*1.1+KFC!$C$33)*KFC!$C$5</f>
        <v>175.48080000000002</v>
      </c>
      <c r="Z27" s="233">
        <f>(140.3*KFC!$B$33*1.02*1.15*1.1+KFC!$C$33)*KFC!$C$5</f>
        <v>181.02909000000005</v>
      </c>
    </row>
    <row r="28" spans="1:26">
      <c r="A28" s="1912"/>
      <c r="B28" s="237">
        <v>2.4</v>
      </c>
      <c r="C28" s="239">
        <f>(42.7*KFC!$B$33*1.02*1.15*1.1+KFC!$C$33)*KFC!$C$5</f>
        <v>55.095810000000007</v>
      </c>
      <c r="D28" s="233">
        <f>(47*KFC!$B$33*1.02*1.15*1.1+KFC!$C$33)*KFC!$C$5</f>
        <v>60.644099999999995</v>
      </c>
      <c r="E28" s="233">
        <f>(51.4*KFC!$B$33*1.02*1.15*1.1+KFC!$C$33)*KFC!$C$5</f>
        <v>66.321420000000003</v>
      </c>
      <c r="F28" s="233">
        <f>(55.8*KFC!$B$33*1.02*1.15*1.1+KFC!$C$33)*KFC!$C$5</f>
        <v>71.998739999999998</v>
      </c>
      <c r="G28" s="233">
        <f>(60.2*KFC!$B$33*1.02*1.15*1.1+KFC!$C$33)*KFC!$C$5</f>
        <v>77.676060000000007</v>
      </c>
      <c r="H28" s="233">
        <f>(64.5*KFC!$B$33*1.02*1.15*1.1+KFC!$C$33)*KFC!$C$5</f>
        <v>83.224350000000015</v>
      </c>
      <c r="I28" s="233">
        <f>(68.9*KFC!$B$33*1.02*1.15*1.1+KFC!$C$33)*KFC!$C$5</f>
        <v>88.90167000000001</v>
      </c>
      <c r="J28" s="233">
        <f>(73.3*KFC!$B$33*1.02*1.15*1.1+KFC!$C$33)*KFC!$C$5</f>
        <v>94.578990000000019</v>
      </c>
      <c r="K28" s="233">
        <f>(77.7*KFC!$B$33*1.02*1.15*1.1+KFC!$C$33)*KFC!$C$5</f>
        <v>100.25631000000001</v>
      </c>
      <c r="L28" s="233">
        <f>(81.9*KFC!$B$33*1.02*1.15*1.1+KFC!$C$33)*KFC!$C$5</f>
        <v>105.67557000000002</v>
      </c>
      <c r="M28" s="233">
        <f>(86.3*KFC!$B$33*1.02*1.15*1.1+KFC!$C$33)*KFC!$C$5</f>
        <v>111.35288999999999</v>
      </c>
      <c r="N28" s="233">
        <f>(90.7*KFC!$B$33*1.02*1.15*1.1+KFC!$C$33)*KFC!$C$5</f>
        <v>117.03021000000003</v>
      </c>
      <c r="O28" s="233">
        <f>(95.1*KFC!$B$33*1.02*1.15*1.1+KFC!$C$33)*KFC!$C$5</f>
        <v>122.70752999999999</v>
      </c>
      <c r="P28" s="233">
        <f>(99.4*KFC!$B$33*1.02*1.15*1.1+KFC!$C$33)*KFC!$C$5</f>
        <v>128.25582</v>
      </c>
      <c r="Q28" s="233">
        <f>(103.8*KFC!$B$33*1.02*1.15*1.1+KFC!$C$33)*KFC!$C$5</f>
        <v>133.93314000000001</v>
      </c>
      <c r="R28" s="233">
        <f>(108.2*KFC!$B$33*1.02*1.15*1.1+KFC!$C$33)*KFC!$C$5</f>
        <v>139.61046000000002</v>
      </c>
      <c r="S28" s="233">
        <f>(112.6*KFC!$B$33*1.02*1.15*1.1+KFC!$C$33)*KFC!$C$5</f>
        <v>145.28778</v>
      </c>
      <c r="T28" s="233">
        <f>(117*KFC!$B$33*1.02*1.15*1.1+KFC!$C$33)*KFC!$C$5</f>
        <v>150.96510000000001</v>
      </c>
      <c r="U28" s="233">
        <f>(121.3*KFC!$B$33*1.02*1.15*1.1+KFC!$C$33)*KFC!$C$5</f>
        <v>156.51339000000002</v>
      </c>
      <c r="V28" s="233">
        <f>(125.7*KFC!$B$33*1.02*1.15*1.1+KFC!$C$33)*KFC!$C$5</f>
        <v>162.19071</v>
      </c>
      <c r="W28" s="233">
        <f>(130.1*KFC!$B$33*1.02*1.15*1.1+KFC!$C$33)*KFC!$C$5</f>
        <v>167.86803</v>
      </c>
      <c r="X28" s="233">
        <f>(134.5*KFC!$B$33*1.02*1.15*1.1+KFC!$C$33)*KFC!$C$5</f>
        <v>173.54535000000001</v>
      </c>
      <c r="Y28" s="233">
        <f>(138.8*KFC!$B$33*1.02*1.15*1.1+KFC!$C$33)*KFC!$C$5</f>
        <v>179.09364000000005</v>
      </c>
      <c r="Z28" s="233">
        <f>(143.2*KFC!$B$33*1.02*1.15*1.1+KFC!$C$33)*KFC!$C$5</f>
        <v>184.77096</v>
      </c>
    </row>
    <row r="29" spans="1:26">
      <c r="A29" s="1912"/>
      <c r="B29" s="237">
        <v>2.5</v>
      </c>
      <c r="C29" s="239">
        <f>(43.3*KFC!$B$33*1.02*1.15*1.1+KFC!$C$33)*KFC!$C$5</f>
        <v>55.869989999999994</v>
      </c>
      <c r="D29" s="233">
        <f>(47.8*KFC!$B$33*1.02*1.15*1.1+KFC!$C$33)*KFC!$C$5</f>
        <v>61.676339999999996</v>
      </c>
      <c r="E29" s="233">
        <f>(52.2*KFC!$B$33*1.02*1.15*1.1+KFC!$C$33)*KFC!$C$5</f>
        <v>67.353660000000005</v>
      </c>
      <c r="F29" s="233">
        <f>(56.7*KFC!$B$33*1.02*1.15*1.1+KFC!$C$33)*KFC!$C$5</f>
        <v>73.160010000000014</v>
      </c>
      <c r="G29" s="233">
        <f>(61.2*KFC!$B$33*1.02*1.15*1.1+KFC!$C$33)*KFC!$C$5</f>
        <v>78.966360000000009</v>
      </c>
      <c r="H29" s="233">
        <f>(65.7*KFC!$B$33*1.02*1.15*1.1+KFC!$C$33)*KFC!$C$5</f>
        <v>84.772710000000018</v>
      </c>
      <c r="I29" s="233">
        <f>(70.2*KFC!$B$33*1.02*1.15*1.1+KFC!$C$33)*KFC!$C$5</f>
        <v>90.579060000000013</v>
      </c>
      <c r="J29" s="233">
        <f>(74.6*KFC!$B$33*1.02*1.15*1.1+KFC!$C$33)*KFC!$C$5</f>
        <v>96.256380000000007</v>
      </c>
      <c r="K29" s="233">
        <f>(79.1*KFC!$B$33*1.02*1.15*1.1+KFC!$C$33)*KFC!$C$5</f>
        <v>102.06273000000002</v>
      </c>
      <c r="L29" s="233">
        <f>(83.5*KFC!$B$33*1.02*1.15*1.1+KFC!$C$33)*KFC!$C$5</f>
        <v>107.74005000000001</v>
      </c>
      <c r="M29" s="233">
        <f>(88.1*KFC!$B$33*1.02*1.15*1.1+KFC!$C$33)*KFC!$C$5</f>
        <v>113.67542999999999</v>
      </c>
      <c r="N29" s="233">
        <f>(92.5*KFC!$B$33*1.02*1.15*1.1+KFC!$C$33)*KFC!$C$5</f>
        <v>119.35275</v>
      </c>
      <c r="O29" s="233">
        <f>(97*KFC!$B$33*1.02*1.15*1.1+KFC!$C$33)*KFC!$C$5</f>
        <v>125.1591</v>
      </c>
      <c r="P29" s="233">
        <f>(101.4*KFC!$B$33*1.02*1.15*1.1+KFC!$C$33)*KFC!$C$5</f>
        <v>130.83642</v>
      </c>
      <c r="Q29" s="233">
        <f>(105.9*KFC!$B$33*1.02*1.15*1.1+KFC!$C$33)*KFC!$C$5</f>
        <v>136.64277000000001</v>
      </c>
      <c r="R29" s="233">
        <f>(110.4*KFC!$B$33*1.02*1.15*1.1+KFC!$C$33)*KFC!$C$5</f>
        <v>142.44912000000002</v>
      </c>
      <c r="S29" s="233">
        <f>(114.8*KFC!$B$33*1.02*1.15*1.1+KFC!$C$33)*KFC!$C$5</f>
        <v>148.12644</v>
      </c>
      <c r="T29" s="233">
        <f>(119.4*KFC!$B$33*1.02*1.15*1.1+KFC!$C$33)*KFC!$C$5</f>
        <v>154.06182000000001</v>
      </c>
      <c r="U29" s="233">
        <f>(123.8*KFC!$B$33*1.02*1.15*1.1+KFC!$C$33)*KFC!$C$5</f>
        <v>159.73914000000002</v>
      </c>
      <c r="V29" s="233">
        <f>(128.3*KFC!$B$33*1.02*1.15*1.1+KFC!$C$33)*KFC!$C$5</f>
        <v>165.54549000000003</v>
      </c>
      <c r="W29" s="233">
        <f>(132.7*KFC!$B$33*1.02*1.15*1.1+KFC!$C$33)*KFC!$C$5</f>
        <v>171.22280999999995</v>
      </c>
      <c r="X29" s="233">
        <f>(137.2*KFC!$B$33*1.02*1.15*1.1+KFC!$C$33)*KFC!$C$5</f>
        <v>177.02915999999999</v>
      </c>
      <c r="Y29" s="233">
        <f>(141.6*KFC!$B$33*1.02*1.15*1.1+KFC!$C$33)*KFC!$C$5</f>
        <v>182.70648</v>
      </c>
      <c r="Z29" s="233">
        <f>(146.1*KFC!$B$33*1.02*1.15*1.1+KFC!$C$33)*KFC!$C$5</f>
        <v>188.51283000000001</v>
      </c>
    </row>
    <row r="30" spans="1:26">
      <c r="A30" s="1912"/>
      <c r="B30" s="237">
        <v>2.6</v>
      </c>
      <c r="C30" s="239">
        <f>(44*KFC!$B$33*1.02*1.15*1.1+KFC!$C$33)*KFC!$C$5</f>
        <v>56.77320000000001</v>
      </c>
      <c r="D30" s="233">
        <f>(48.6*KFC!$B$33*1.02*1.15*1.1+KFC!$C$33)*KFC!$C$5</f>
        <v>62.708579999999998</v>
      </c>
      <c r="E30" s="233">
        <f>(53.2*KFC!$B$33*1.02*1.15*1.1+KFC!$C$33)*KFC!$C$5</f>
        <v>68.643960000000007</v>
      </c>
      <c r="F30" s="233">
        <f>(57.7*KFC!$B$33*1.02*1.15*1.1+KFC!$C$33)*KFC!$C$5</f>
        <v>74.450310000000016</v>
      </c>
      <c r="G30" s="233">
        <f>(62.3*KFC!$B$33*1.02*1.15*1.1+KFC!$C$33)*KFC!$C$5</f>
        <v>80.385690000000011</v>
      </c>
      <c r="H30" s="233">
        <f>(66.7*KFC!$B$33*1.02*1.15*1.1+KFC!$C$33)*KFC!$C$5</f>
        <v>86.06301000000002</v>
      </c>
      <c r="I30" s="233">
        <f>(71.4*KFC!$B$33*1.02*1.15*1.1+KFC!$C$33)*KFC!$C$5</f>
        <v>92.127420000000015</v>
      </c>
      <c r="J30" s="233">
        <f>(75.9*KFC!$B$33*1.02*1.15*1.1+KFC!$C$33)*KFC!$C$5</f>
        <v>97.93377000000001</v>
      </c>
      <c r="K30" s="233">
        <f>(80.6*KFC!$B$33*1.02*1.15*1.1+KFC!$C$33)*KFC!$C$5</f>
        <v>103.99817999999998</v>
      </c>
      <c r="L30" s="233">
        <f>(85.1*KFC!$B$33*1.02*1.15*1.1+KFC!$C$33)*KFC!$C$5</f>
        <v>109.80452999999999</v>
      </c>
      <c r="M30" s="233">
        <f>(89.6*KFC!$B$33*1.02*1.15*1.1+KFC!$C$33)*KFC!$C$5</f>
        <v>115.61087999999999</v>
      </c>
      <c r="N30" s="233">
        <f>(94.3*KFC!$B$33*1.02*1.15*1.1+KFC!$C$33)*KFC!$C$5</f>
        <v>121.67528999999999</v>
      </c>
      <c r="O30" s="233">
        <f>(98.8*KFC!$B$33*1.02*1.15*1.1+KFC!$C$33)*KFC!$C$5</f>
        <v>127.48163999999998</v>
      </c>
      <c r="P30" s="233">
        <f>(103.3*KFC!$B$33*1.02*1.15*1.1+KFC!$C$33)*KFC!$C$5</f>
        <v>133.28799000000001</v>
      </c>
      <c r="Q30" s="233">
        <f>(108*KFC!$B$33*1.02*1.15*1.1+KFC!$C$33)*KFC!$C$5</f>
        <v>139.35239999999999</v>
      </c>
      <c r="R30" s="233">
        <f>(112.5*KFC!$B$33*1.02*1.15*1.1+KFC!$C$33)*KFC!$C$5</f>
        <v>145.15875</v>
      </c>
      <c r="S30" s="233">
        <f>(117*KFC!$B$33*1.02*1.15*1.1+KFC!$C$33)*KFC!$C$5</f>
        <v>150.96510000000001</v>
      </c>
      <c r="T30" s="233">
        <f>(121.7*KFC!$B$33*1.02*1.15*1.1+KFC!$C$33)*KFC!$C$5</f>
        <v>157.02951000000002</v>
      </c>
      <c r="U30" s="233">
        <f>(126.2*KFC!$B$33*1.02*1.15*1.1+KFC!$C$33)*KFC!$C$5</f>
        <v>162.83586000000003</v>
      </c>
      <c r="V30" s="233">
        <f>(130.7*KFC!$B$33*1.02*1.15*1.1+KFC!$C$33)*KFC!$C$5</f>
        <v>168.64221000000001</v>
      </c>
      <c r="W30" s="233">
        <f>(135.4*KFC!$B$33*1.02*1.15*1.1+KFC!$C$33)*KFC!$C$5</f>
        <v>174.70662000000002</v>
      </c>
      <c r="X30" s="233">
        <f>(139.9*KFC!$B$33*1.02*1.15*1.1+KFC!$C$33)*KFC!$C$5</f>
        <v>180.51297000000002</v>
      </c>
      <c r="Y30" s="233">
        <f>(144.4*KFC!$B$33*1.02*1.15*1.1+KFC!$C$33)*KFC!$C$5</f>
        <v>186.31932000000003</v>
      </c>
      <c r="Z30" s="233">
        <f>(159.1*KFC!$B$33*1.02*1.15*1.1+KFC!$C$33)*KFC!$C$5</f>
        <v>205.28673000000003</v>
      </c>
    </row>
    <row r="31" spans="1:26">
      <c r="A31" s="1912"/>
      <c r="B31" s="237">
        <v>2.7</v>
      </c>
      <c r="C31" s="239">
        <f>(44.8*KFC!$B$33*1.02*1.15*1.1+KFC!$C$33)*KFC!$C$5</f>
        <v>57.805439999999997</v>
      </c>
      <c r="D31" s="233">
        <f>(49.4*KFC!$B$33*1.02*1.15*1.1+KFC!$C$33)*KFC!$C$5</f>
        <v>63.740819999999992</v>
      </c>
      <c r="E31" s="233">
        <f>(54.1*KFC!$B$33*1.02*1.15*1.1+KFC!$C$33)*KFC!$C$5</f>
        <v>69.805230000000009</v>
      </c>
      <c r="F31" s="233">
        <f>(58.7*KFC!$B$33*1.02*1.15*1.1+KFC!$C$33)*KFC!$C$5</f>
        <v>75.740610000000004</v>
      </c>
      <c r="G31" s="233">
        <f>(63.4*KFC!$B$33*1.02*1.15*1.1+KFC!$C$33)*KFC!$C$5</f>
        <v>81.805020000000013</v>
      </c>
      <c r="H31" s="233">
        <f>(68*KFC!$B$33*1.02*1.15*1.1+KFC!$C$33)*KFC!$C$5</f>
        <v>87.740400000000008</v>
      </c>
      <c r="I31" s="233">
        <f>(72.6*KFC!$B$33*1.02*1.15*1.1+KFC!$C$33)*KFC!$C$5</f>
        <v>93.675780000000003</v>
      </c>
      <c r="J31" s="233">
        <f>(77.4*KFC!$B$33*1.02*1.15*1.1+KFC!$C$33)*KFC!$C$5</f>
        <v>99.869220000000013</v>
      </c>
      <c r="K31" s="233">
        <f>(82.1*KFC!$B$33*1.02*1.15*1.1+KFC!$C$33)*KFC!$C$5</f>
        <v>105.93362999999998</v>
      </c>
      <c r="L31" s="233">
        <f>(86.7*KFC!$B$33*1.02*1.15*1.1+KFC!$C$33)*KFC!$C$5</f>
        <v>111.86900999999999</v>
      </c>
      <c r="M31" s="233">
        <f>(91.4*KFC!$B$33*1.02*1.15*1.1+KFC!$C$33)*KFC!$C$5</f>
        <v>117.93342</v>
      </c>
      <c r="N31" s="233">
        <f>(96*KFC!$B$33*1.02*1.15*1.1+KFC!$C$33)*KFC!$C$5</f>
        <v>123.86879999999999</v>
      </c>
      <c r="O31" s="233">
        <f>(100.7*KFC!$B$33*1.02*1.15*1.1+KFC!$C$33)*KFC!$C$5</f>
        <v>129.93321</v>
      </c>
      <c r="P31" s="233">
        <f>(105.3*KFC!$B$33*1.02*1.15*1.1+KFC!$C$33)*KFC!$C$5</f>
        <v>135.86859000000001</v>
      </c>
      <c r="Q31" s="233">
        <f>(109.9*KFC!$B$33*1.02*1.15*1.1+KFC!$C$33)*KFC!$C$5</f>
        <v>141.80397000000002</v>
      </c>
      <c r="R31" s="233">
        <f>(114.7*KFC!$B$33*1.02*1.15*1.1+KFC!$C$33)*KFC!$C$5</f>
        <v>147.99741</v>
      </c>
      <c r="S31" s="233">
        <f>(119.4*KFC!$B$33*1.02*1.15*1.1+KFC!$C$33)*KFC!$C$5</f>
        <v>154.06182000000001</v>
      </c>
      <c r="T31" s="233">
        <f>(124*KFC!$B$33*1.02*1.15*1.1+KFC!$C$33)*KFC!$C$5</f>
        <v>159.99720000000002</v>
      </c>
      <c r="U31" s="233">
        <f>(128.7*KFC!$B$33*1.02*1.15*1.1+KFC!$C$33)*KFC!$C$5</f>
        <v>166.06161</v>
      </c>
      <c r="V31" s="233">
        <f>(133.3*KFC!$B$33*1.02*1.15*1.1+KFC!$C$33)*KFC!$C$5</f>
        <v>171.99699000000001</v>
      </c>
      <c r="W31" s="233">
        <f>(138*KFC!$B$33*1.02*1.15*1.1+KFC!$C$33)*KFC!$C$5</f>
        <v>178.06139999999999</v>
      </c>
      <c r="X31" s="233">
        <f>(142.6*KFC!$B$33*1.02*1.15*1.1+KFC!$C$33)*KFC!$C$5</f>
        <v>183.99678</v>
      </c>
      <c r="Y31" s="233">
        <f>(147.2*KFC!$B$33*1.02*1.15*1.1+KFC!$C$33)*KFC!$C$5</f>
        <v>189.93215999999995</v>
      </c>
      <c r="Z31" s="233">
        <f>(151.9*KFC!$B$33*1.02*1.15*1.1+KFC!$C$33)*KFC!$C$5</f>
        <v>195.99657000000002</v>
      </c>
    </row>
    <row r="32" spans="1:26">
      <c r="A32" s="1912"/>
      <c r="B32" s="237">
        <v>2.8</v>
      </c>
      <c r="C32" s="239">
        <f>(45.4*KFC!$B$33*1.02*1.15*1.1+KFC!$C$33)*KFC!$C$5</f>
        <v>58.579619999999998</v>
      </c>
      <c r="D32" s="233">
        <f>(50.1*KFC!$B$33*1.02*1.15*1.1+KFC!$C$33)*KFC!$C$5</f>
        <v>64.644030000000001</v>
      </c>
      <c r="E32" s="233">
        <f>(54.9*KFC!$B$33*1.02*1.15*1.1+KFC!$C$33)*KFC!$C$5</f>
        <v>70.837469999999996</v>
      </c>
      <c r="F32" s="233">
        <f>(59.7*KFC!$B$33*1.02*1.15*1.1+KFC!$C$33)*KFC!$C$5</f>
        <v>77.030910000000006</v>
      </c>
      <c r="G32" s="233">
        <f>(64.5*KFC!$B$33*1.02*1.15*1.1+KFC!$C$33)*KFC!$C$5</f>
        <v>83.224350000000015</v>
      </c>
      <c r="H32" s="233">
        <f>(69.2*KFC!$B$33*1.02*1.15*1.1+KFC!$C$33)*KFC!$C$5</f>
        <v>89.288760000000011</v>
      </c>
      <c r="I32" s="233">
        <f>(74*KFC!$B$33*1.02*1.15*1.1+KFC!$C$33)*KFC!$C$5</f>
        <v>95.482200000000006</v>
      </c>
      <c r="J32" s="233">
        <f>(78.8*KFC!$B$33*1.02*1.15*1.1+KFC!$C$33)*KFC!$C$5</f>
        <v>101.67564000000002</v>
      </c>
      <c r="K32" s="233">
        <f>(83.5*KFC!$B$33*1.02*1.15*1.1+KFC!$C$33)*KFC!$C$5</f>
        <v>107.74005000000001</v>
      </c>
      <c r="L32" s="233">
        <f>(88.3*KFC!$B$33*1.02*1.15*1.1+KFC!$C$33)*KFC!$C$5</f>
        <v>113.93348999999999</v>
      </c>
      <c r="M32" s="233">
        <f>(92.9*KFC!$B$33*1.02*1.15*1.1+KFC!$C$33)*KFC!$C$5</f>
        <v>119.86887</v>
      </c>
      <c r="N32" s="233">
        <f>(97.7*KFC!$B$33*1.02*1.15*1.1+KFC!$C$33)*KFC!$C$5</f>
        <v>126.06231000000002</v>
      </c>
      <c r="O32" s="233">
        <f>(102.5*KFC!$B$33*1.02*1.15*1.1+KFC!$C$33)*KFC!$C$5</f>
        <v>132.25575000000001</v>
      </c>
      <c r="P32" s="233">
        <f>(107.3*KFC!$B$33*1.02*1.15*1.1+KFC!$C$33)*KFC!$C$5</f>
        <v>138.44918999999999</v>
      </c>
      <c r="Q32" s="233">
        <f>(112*KFC!$B$33*1.02*1.15*1.1+KFC!$C$33)*KFC!$C$5</f>
        <v>144.51360000000003</v>
      </c>
      <c r="R32" s="233">
        <f>(116.8*KFC!$B$33*1.02*1.15*1.1+KFC!$C$33)*KFC!$C$5</f>
        <v>150.70704000000001</v>
      </c>
      <c r="S32" s="233">
        <f>(121.6*KFC!$B$33*1.02*1.15*1.1+KFC!$C$33)*KFC!$C$5</f>
        <v>156.90048000000002</v>
      </c>
      <c r="T32" s="233">
        <f>(126.3*KFC!$B$33*1.02*1.15*1.1+KFC!$C$33)*KFC!$C$5</f>
        <v>162.96489</v>
      </c>
      <c r="U32" s="233">
        <f>(131.1*KFC!$B$33*1.02*1.15*1.1+KFC!$C$33)*KFC!$C$5</f>
        <v>169.15833000000003</v>
      </c>
      <c r="V32" s="233">
        <f>(135.9*KFC!$B$33*1.02*1.15*1.1+KFC!$C$33)*KFC!$C$5</f>
        <v>175.35177000000002</v>
      </c>
      <c r="W32" s="233">
        <f>(140.6*KFC!$B$33*1.02*1.15*1.1+KFC!$C$33)*KFC!$C$5</f>
        <v>181.41618000000003</v>
      </c>
      <c r="X32" s="233">
        <f>(145.3*KFC!$B$33*1.02*1.15*1.1+KFC!$C$33)*KFC!$C$5</f>
        <v>187.48059000000003</v>
      </c>
      <c r="Y32" s="233">
        <f>(150.1*KFC!$B$33*1.02*1.15*1.1+KFC!$C$33)*KFC!$C$5</f>
        <v>193.67403000000002</v>
      </c>
      <c r="Z32" s="233">
        <f>(154.8*KFC!$B$33*1.02*1.15*1.1+KFC!$C$33)*KFC!$C$5</f>
        <v>199.73844000000003</v>
      </c>
    </row>
    <row r="33" spans="1:26">
      <c r="A33" s="1912"/>
      <c r="B33" s="237">
        <v>2.9</v>
      </c>
      <c r="C33" s="239">
        <f>(46.1*KFC!$B$33*1.02*1.15*1.1+KFC!$C$33)*KFC!$C$5</f>
        <v>59.482830000000014</v>
      </c>
      <c r="D33" s="233">
        <f>(51*KFC!$B$33*1.02*1.15*1.1+KFC!$C$33)*KFC!$C$5</f>
        <v>65.805300000000003</v>
      </c>
      <c r="E33" s="233">
        <f>(55.9*KFC!$B$33*1.02*1.15*1.1+KFC!$C$33)*KFC!$C$5</f>
        <v>72.127770000000012</v>
      </c>
      <c r="F33" s="233">
        <f>(60.7*KFC!$B$33*1.02*1.15*1.1+KFC!$C$33)*KFC!$C$5</f>
        <v>78.321210000000008</v>
      </c>
      <c r="G33" s="233">
        <f>(65.6*KFC!$B$33*1.02*1.15*1.1+KFC!$C$33)*KFC!$C$5</f>
        <v>84.643680000000003</v>
      </c>
      <c r="H33" s="233">
        <f>(70.4*KFC!$B$33*1.02*1.15*1.1+KFC!$C$33)*KFC!$C$5</f>
        <v>90.837120000000013</v>
      </c>
      <c r="I33" s="233">
        <f>(75.2*KFC!$B$33*1.02*1.15*1.1+KFC!$C$33)*KFC!$C$5</f>
        <v>97.030560000000023</v>
      </c>
      <c r="J33" s="233">
        <f>(80.1*KFC!$B$33*1.02*1.15*1.1+KFC!$C$33)*KFC!$C$5</f>
        <v>103.35302999999999</v>
      </c>
      <c r="K33" s="233">
        <f>(85*KFC!$B$33*1.02*1.15*1.1+KFC!$C$33)*KFC!$C$5</f>
        <v>109.67550000000001</v>
      </c>
      <c r="L33" s="233">
        <f>(89.8*KFC!$B$33*1.02*1.15*1.1+KFC!$C$33)*KFC!$C$5</f>
        <v>115.86893999999999</v>
      </c>
      <c r="M33" s="233">
        <f>(94.7*KFC!$B$33*1.02*1.15*1.1+KFC!$C$33)*KFC!$C$5</f>
        <v>122.19141</v>
      </c>
      <c r="N33" s="233">
        <f>(99.6*KFC!$B$33*1.02*1.15*1.1+KFC!$C$33)*KFC!$C$5</f>
        <v>128.51388</v>
      </c>
      <c r="O33" s="233">
        <f>(104.3*KFC!$B$33*1.02*1.15*1.1+KFC!$C$33)*KFC!$C$5</f>
        <v>134.57829000000001</v>
      </c>
      <c r="P33" s="233">
        <f>(109.2*KFC!$B$33*1.02*1.15*1.1+KFC!$C$33)*KFC!$C$5</f>
        <v>140.90076000000002</v>
      </c>
      <c r="Q33" s="233">
        <f>(114.1*KFC!$B$33*1.02*1.15*1.1+KFC!$C$33)*KFC!$C$5</f>
        <v>147.22323</v>
      </c>
      <c r="R33" s="233">
        <f>(119*KFC!$B$33*1.02*1.15*1.1+KFC!$C$33)*KFC!$C$5</f>
        <v>153.54570000000001</v>
      </c>
      <c r="S33" s="233">
        <f>(123.8*KFC!$B$33*1.02*1.15*1.1+KFC!$C$33)*KFC!$C$5</f>
        <v>159.73914000000002</v>
      </c>
      <c r="T33" s="233">
        <f>(128.7*KFC!$B$33*1.02*1.15*1.1+KFC!$C$33)*KFC!$C$5</f>
        <v>166.06161</v>
      </c>
      <c r="U33" s="233">
        <f>(133.6*KFC!$B$33*1.02*1.15*1.1+KFC!$C$33)*KFC!$C$5</f>
        <v>172.38408000000001</v>
      </c>
      <c r="V33" s="233">
        <f>(138.3*KFC!$B$33*1.02*1.15*1.1+KFC!$C$33)*KFC!$C$5</f>
        <v>178.44849000000002</v>
      </c>
      <c r="W33" s="233">
        <f>(143.2*KFC!$B$33*1.02*1.15*1.1+KFC!$C$33)*KFC!$C$5</f>
        <v>184.77096</v>
      </c>
      <c r="X33" s="233">
        <f>(148.1*KFC!$B$33*1.02*1.15*1.1+KFC!$C$33)*KFC!$C$5</f>
        <v>191.09342999999996</v>
      </c>
      <c r="Y33" s="233">
        <f>(152.9*KFC!$B$33*1.02*1.15*1.1+KFC!$C$33)*KFC!$C$5</f>
        <v>197.28687000000002</v>
      </c>
      <c r="Z33" s="233">
        <f>(157.8*KFC!$B$33*1.02*1.15*1.1+KFC!$C$33)*KFC!$C$5</f>
        <v>203.60934000000003</v>
      </c>
    </row>
    <row r="34" spans="1:26">
      <c r="A34" s="1912"/>
      <c r="B34" s="237">
        <v>3</v>
      </c>
      <c r="C34" s="239">
        <f>(46.8*KFC!$B$33*1.02*1.15*1.1+KFC!$C$33)*KFC!$C$5</f>
        <v>60.386039999999994</v>
      </c>
      <c r="D34" s="233">
        <f>(51.7*KFC!$B$33*1.02*1.15*1.1+KFC!$C$33)*KFC!$C$5</f>
        <v>66.708510000000004</v>
      </c>
      <c r="E34" s="233">
        <f>(56.7*KFC!$B$33*1.02*1.15*1.1+KFC!$C$33)*KFC!$C$5</f>
        <v>73.160010000000014</v>
      </c>
      <c r="F34" s="233">
        <f>(61.6*KFC!$B$33*1.02*1.15*1.1+KFC!$C$33)*KFC!$C$5</f>
        <v>79.48248000000001</v>
      </c>
      <c r="G34" s="233">
        <f>(66.7*KFC!$B$33*1.02*1.15*1.1+KFC!$C$33)*KFC!$C$5</f>
        <v>86.06301000000002</v>
      </c>
      <c r="H34" s="233">
        <f>(71.5*KFC!$B$33*1.02*1.15*1.1+KFC!$C$33)*KFC!$C$5</f>
        <v>92.256450000000015</v>
      </c>
      <c r="I34" s="233">
        <f>(76.6*KFC!$B$33*1.02*1.15*1.1+KFC!$C$33)*KFC!$C$5</f>
        <v>98.836979999999983</v>
      </c>
      <c r="J34" s="233">
        <f>(81.5*KFC!$B$33*1.02*1.15*1.1+KFC!$C$33)*KFC!$C$5</f>
        <v>105.15944999999999</v>
      </c>
      <c r="K34" s="233">
        <f>(86.5*KFC!$B$33*1.02*1.15*1.1+KFC!$C$33)*KFC!$C$5</f>
        <v>111.61095000000002</v>
      </c>
      <c r="L34" s="233">
        <f>(91.4*KFC!$B$33*1.02*1.15*1.1+KFC!$C$33)*KFC!$C$5</f>
        <v>117.93342</v>
      </c>
      <c r="M34" s="233">
        <f>(96.4*KFC!$B$33*1.02*1.15*1.1+KFC!$C$33)*KFC!$C$5</f>
        <v>124.38491999999999</v>
      </c>
      <c r="N34" s="233">
        <f>(101.3*KFC!$B$33*1.02*1.15*1.1+KFC!$C$33)*KFC!$C$5</f>
        <v>130.70739</v>
      </c>
      <c r="O34" s="233">
        <f>(106.3*KFC!$B$33*1.02*1.15*1.1+KFC!$C$33)*KFC!$C$5</f>
        <v>137.15889000000001</v>
      </c>
      <c r="P34" s="233">
        <f>(111.2*KFC!$B$33*1.02*1.15*1.1+KFC!$C$33)*KFC!$C$5</f>
        <v>143.48136000000002</v>
      </c>
      <c r="Q34" s="233">
        <f>(116.2*KFC!$B$33*1.02*1.15*1.1+KFC!$C$33)*KFC!$C$5</f>
        <v>149.93286000000001</v>
      </c>
      <c r="R34" s="233">
        <f>(121.1*KFC!$B$33*1.02*1.15*1.1+KFC!$C$33)*KFC!$C$5</f>
        <v>156.25533000000001</v>
      </c>
      <c r="S34" s="233">
        <f>(126*KFC!$B$33*1.02*1.15*1.1+KFC!$C$33)*KFC!$C$5</f>
        <v>162.57780000000002</v>
      </c>
      <c r="T34" s="233">
        <f>(131*KFC!$B$33*1.02*1.15*1.1+KFC!$C$33)*KFC!$C$5</f>
        <v>169.02930000000001</v>
      </c>
      <c r="U34" s="233">
        <f>(135.9*KFC!$B$33*1.02*1.15*1.1+KFC!$C$33)*KFC!$C$5</f>
        <v>175.35177000000002</v>
      </c>
      <c r="V34" s="233">
        <f>(140.9*KFC!$B$33*1.02*1.15*1.1+KFC!$C$33)*KFC!$C$5</f>
        <v>181.80327000000003</v>
      </c>
      <c r="W34" s="233">
        <f>(145.8*KFC!$B$33*1.02*1.15*1.1+KFC!$C$33)*KFC!$C$5</f>
        <v>188.12574000000004</v>
      </c>
      <c r="X34" s="233">
        <f>(150.8*KFC!$B$33*1.02*1.15*1.1+KFC!$C$33)*KFC!$C$5</f>
        <v>194.57724000000002</v>
      </c>
      <c r="Y34" s="233">
        <f>(155.7*KFC!$B$33*1.02*1.15*1.1+KFC!$C$33)*KFC!$C$5</f>
        <v>200.89970999999997</v>
      </c>
      <c r="Z34" s="233">
        <f>(160.7*KFC!$B$33*1.02*1.15*1.1+KFC!$C$33)*KFC!$C$5</f>
        <v>207.35120999999998</v>
      </c>
    </row>
    <row r="35" spans="1:26">
      <c r="A35" s="1912"/>
      <c r="B35" s="237">
        <v>3.1</v>
      </c>
      <c r="C35" s="239">
        <f>(47.6*KFC!$B$33*1.02*1.15*1.1+KFC!$C$33)*KFC!$C$5</f>
        <v>61.418279999999996</v>
      </c>
      <c r="D35" s="233">
        <f>(52.6*KFC!$B$33*1.02*1.15*1.1+KFC!$C$33)*KFC!$C$5</f>
        <v>67.869780000000006</v>
      </c>
      <c r="E35" s="233">
        <f>(57.6*KFC!$B$33*1.02*1.15*1.1+KFC!$C$33)*KFC!$C$5</f>
        <v>74.321280000000002</v>
      </c>
      <c r="F35" s="233">
        <f>(62.6*KFC!$B$33*1.02*1.15*1.1+KFC!$C$33)*KFC!$C$5</f>
        <v>80.772780000000012</v>
      </c>
      <c r="G35" s="233">
        <f>(67.8*KFC!$B$33*1.02*1.15*1.1+KFC!$C$33)*KFC!$C$5</f>
        <v>87.482339999999979</v>
      </c>
      <c r="H35" s="233">
        <f>(72.8*KFC!$B$33*1.02*1.15*1.1+KFC!$C$33)*KFC!$C$5</f>
        <v>93.933840000000004</v>
      </c>
      <c r="I35" s="233">
        <f>(77.8*KFC!$B$33*1.02*1.15*1.1+KFC!$C$33)*KFC!$C$5</f>
        <v>100.38533999999999</v>
      </c>
      <c r="J35" s="233">
        <f>(82.8*KFC!$B$33*1.02*1.15*1.1+KFC!$C$33)*KFC!$C$5</f>
        <v>106.83684000000001</v>
      </c>
      <c r="K35" s="233">
        <f>(87.9*KFC!$B$33*1.02*1.15*1.1+KFC!$C$33)*KFC!$C$5</f>
        <v>113.41736999999999</v>
      </c>
      <c r="L35" s="233">
        <f>(92.9*KFC!$B$33*1.02*1.15*1.1+KFC!$C$33)*KFC!$C$5</f>
        <v>119.86887</v>
      </c>
      <c r="M35" s="233">
        <f>(98*KFC!$B$33*1.02*1.15*1.1+KFC!$C$33)*KFC!$C$5</f>
        <v>126.4494</v>
      </c>
      <c r="N35" s="233">
        <f>(103*KFC!$B$33*1.02*1.15*1.1+KFC!$C$33)*KFC!$C$5</f>
        <v>132.90090000000001</v>
      </c>
      <c r="O35" s="233">
        <f>(108.1*KFC!$B$33*1.02*1.15*1.1+KFC!$C$33)*KFC!$C$5</f>
        <v>139.48143000000002</v>
      </c>
      <c r="P35" s="233">
        <f>(113.1*KFC!$B$33*1.02*1.15*1.1+KFC!$C$33)*KFC!$C$5</f>
        <v>145.93293</v>
      </c>
      <c r="Q35" s="233">
        <f>(118.1*KFC!$B$33*1.02*1.15*1.1+KFC!$C$33)*KFC!$C$5</f>
        <v>152.38443000000001</v>
      </c>
      <c r="R35" s="233">
        <f>(123.3*KFC!$B$33*1.02*1.15*1.1+KFC!$C$33)*KFC!$C$5</f>
        <v>159.09399000000002</v>
      </c>
      <c r="S35" s="233">
        <f>(128.3*KFC!$B$33*1.02*1.15*1.1+KFC!$C$33)*KFC!$C$5</f>
        <v>165.54549000000003</v>
      </c>
      <c r="T35" s="233">
        <f>(133.3*KFC!$B$33*1.02*1.15*1.1+KFC!$C$33)*KFC!$C$5</f>
        <v>171.99699000000001</v>
      </c>
      <c r="U35" s="233">
        <f>(138.3*KFC!$B$33*1.02*1.15*1.1+KFC!$C$33)*KFC!$C$5</f>
        <v>178.44849000000002</v>
      </c>
      <c r="V35" s="233">
        <f>(143.5*KFC!$B$33*1.02*1.15*1.1+KFC!$C$33)*KFC!$C$5</f>
        <v>185.15805000000003</v>
      </c>
      <c r="W35" s="233">
        <f>(148.5*KFC!$B$33*1.02*1.15*1.1+KFC!$C$33)*KFC!$C$5</f>
        <v>191.60955000000001</v>
      </c>
      <c r="X35" s="233">
        <f>(153.5*KFC!$B$33*1.02*1.15*1.1+KFC!$C$33)*KFC!$C$5</f>
        <v>198.06104999999997</v>
      </c>
      <c r="Y35" s="233">
        <f>(158.5*KFC!$B$33*1.02*1.15*1.1+KFC!$C$33)*KFC!$C$5</f>
        <v>204.51255000000003</v>
      </c>
      <c r="Z35" s="233">
        <f>(163.6*KFC!$B$33*1.02*1.15*1.1+KFC!$C$33)*KFC!$C$5</f>
        <v>211.09307999999996</v>
      </c>
    </row>
    <row r="36" spans="1:26">
      <c r="A36" s="1912"/>
      <c r="B36" s="237">
        <v>3.2</v>
      </c>
      <c r="C36" s="239">
        <f>(48.2*KFC!$B$33*1.02*1.15*1.1+KFC!$C$33)*KFC!$C$5</f>
        <v>62.192459999999997</v>
      </c>
      <c r="D36" s="233">
        <f>(53.3*KFC!$B$33*1.02*1.15*1.1+KFC!$C$33)*KFC!$C$5</f>
        <v>68.772990000000007</v>
      </c>
      <c r="E36" s="233">
        <f>(58.5*KFC!$B$33*1.02*1.15*1.1+KFC!$C$33)*KFC!$C$5</f>
        <v>75.482550000000003</v>
      </c>
      <c r="F36" s="233">
        <f>(63.6*KFC!$B$33*1.02*1.15*1.1+KFC!$C$33)*KFC!$C$5</f>
        <v>82.063079999999999</v>
      </c>
      <c r="G36" s="233">
        <f>(68.7*KFC!$B$33*1.02*1.15*1.1+KFC!$C$33)*KFC!$C$5</f>
        <v>88.64361000000001</v>
      </c>
      <c r="H36" s="233">
        <f>(74*KFC!$B$33*1.02*1.15*1.1+KFC!$C$33)*KFC!$C$5</f>
        <v>95.482200000000006</v>
      </c>
      <c r="I36" s="233">
        <f>(79.1*KFC!$B$33*1.02*1.15*1.1+KFC!$C$33)*KFC!$C$5</f>
        <v>102.06273000000002</v>
      </c>
      <c r="J36" s="233">
        <f>(84.3*KFC!$B$33*1.02*1.15*1.1+KFC!$C$33)*KFC!$C$5</f>
        <v>108.77229000000001</v>
      </c>
      <c r="K36" s="233">
        <f>(89.4*KFC!$B$33*1.02*1.15*1.1+KFC!$C$33)*KFC!$C$5</f>
        <v>115.35281999999999</v>
      </c>
      <c r="L36" s="233">
        <f>(94.5*KFC!$B$33*1.02*1.15*1.1+KFC!$C$33)*KFC!$C$5</f>
        <v>121.93334999999999</v>
      </c>
      <c r="M36" s="233">
        <f>(99.7*KFC!$B$33*1.02*1.15*1.1+KFC!$C$33)*KFC!$C$5</f>
        <v>128.64291</v>
      </c>
      <c r="N36" s="233">
        <f>(104.8*KFC!$B$33*1.02*1.15*1.1+KFC!$C$33)*KFC!$C$5</f>
        <v>135.22344000000001</v>
      </c>
      <c r="O36" s="233">
        <f>(109.9*KFC!$B$33*1.02*1.15*1.1+KFC!$C$33)*KFC!$C$5</f>
        <v>141.80397000000002</v>
      </c>
      <c r="P36" s="233">
        <f>(115.1*KFC!$B$33*1.02*1.15*1.1+KFC!$C$33)*KFC!$C$5</f>
        <v>148.51353</v>
      </c>
      <c r="Q36" s="233">
        <f>(120.2*KFC!$B$33*1.02*1.15*1.1+KFC!$C$33)*KFC!$C$5</f>
        <v>155.09406000000001</v>
      </c>
      <c r="R36" s="233">
        <f>(125.4*KFC!$B$33*1.02*1.15*1.1+KFC!$C$33)*KFC!$C$5</f>
        <v>161.80362000000002</v>
      </c>
      <c r="S36" s="233">
        <f>(130.5*KFC!$B$33*1.02*1.15*1.1+KFC!$C$33)*KFC!$C$5</f>
        <v>168.38415000000003</v>
      </c>
      <c r="T36" s="233">
        <f>(135.6*KFC!$B$33*1.02*1.15*1.1+KFC!$C$33)*KFC!$C$5</f>
        <v>174.96467999999996</v>
      </c>
      <c r="U36" s="233">
        <f>(140.8*KFC!$B$33*1.02*1.15*1.1+KFC!$C$33)*KFC!$C$5</f>
        <v>181.67424000000003</v>
      </c>
      <c r="V36" s="233">
        <f>(145.9*KFC!$B$33*1.02*1.15*1.1+KFC!$C$33)*KFC!$C$5</f>
        <v>188.25477000000004</v>
      </c>
      <c r="W36" s="233">
        <f>(151*KFC!$B$33*1.02*1.15*1.1+KFC!$C$33)*KFC!$C$5</f>
        <v>194.83530000000002</v>
      </c>
      <c r="X36" s="233">
        <f>(156.2*KFC!$B$33*1.02*1.15*1.1+KFC!$C$33)*KFC!$C$5</f>
        <v>201.54485999999997</v>
      </c>
      <c r="Y36" s="233">
        <f>(161.3*KFC!$B$33*1.02*1.15*1.1+KFC!$C$33)*KFC!$C$5</f>
        <v>208.12539000000004</v>
      </c>
      <c r="Z36" s="233">
        <f>(166.5*KFC!$B$33*1.02*1.15*1.1+KFC!$C$33)*KFC!$C$5</f>
        <v>214.83495000000002</v>
      </c>
    </row>
    <row r="37" spans="1:26">
      <c r="A37" s="1912"/>
      <c r="B37" s="237">
        <v>3.3</v>
      </c>
      <c r="C37" s="239">
        <f>(48.9*KFC!$B$33*1.02*1.15*1.1+KFC!$C$33)*KFC!$C$5</f>
        <v>63.095669999999998</v>
      </c>
      <c r="D37" s="233">
        <f>(54.2*KFC!$B$33*1.02*1.15*1.1+KFC!$C$33)*KFC!$C$5</f>
        <v>69.934260000000009</v>
      </c>
      <c r="E37" s="233">
        <f>(59.4*KFC!$B$33*1.02*1.15*1.1+KFC!$C$33)*KFC!$C$5</f>
        <v>76.643820000000005</v>
      </c>
      <c r="F37" s="233">
        <f>(64.7*KFC!$B$33*1.02*1.15*1.1+KFC!$C$33)*KFC!$C$5</f>
        <v>83.482410000000002</v>
      </c>
      <c r="G37" s="233">
        <f>(69.8*KFC!$B$33*1.02*1.15*1.1+KFC!$C$33)*KFC!$C$5</f>
        <v>90.062939999999998</v>
      </c>
      <c r="H37" s="233">
        <f>(75.1*KFC!$B$33*1.02*1.15*1.1+KFC!$C$33)*KFC!$C$5</f>
        <v>96.90152999999998</v>
      </c>
      <c r="I37" s="233">
        <f>(80.4*KFC!$B$33*1.02*1.15*1.1+KFC!$C$33)*KFC!$C$5</f>
        <v>103.74012000000002</v>
      </c>
      <c r="J37" s="233">
        <f>(85.6*KFC!$B$33*1.02*1.15*1.1+KFC!$C$33)*KFC!$C$5</f>
        <v>110.44967999999999</v>
      </c>
      <c r="K37" s="233">
        <f>(90.9*KFC!$B$33*1.02*1.15*1.1+KFC!$C$33)*KFC!$C$5</f>
        <v>117.28827</v>
      </c>
      <c r="L37" s="233">
        <f>(96*KFC!$B$33*1.02*1.15*1.1+KFC!$C$33)*KFC!$C$5</f>
        <v>123.86879999999999</v>
      </c>
      <c r="M37" s="233">
        <f>(101.3*KFC!$B$33*1.02*1.15*1.1+KFC!$C$33)*KFC!$C$5</f>
        <v>130.70739</v>
      </c>
      <c r="N37" s="233">
        <f>(106.5*KFC!$B$33*1.02*1.15*1.1+KFC!$C$33)*KFC!$C$5</f>
        <v>137.41694999999999</v>
      </c>
      <c r="O37" s="233">
        <f>(111.8*KFC!$B$33*1.02*1.15*1.1+KFC!$C$33)*KFC!$C$5</f>
        <v>144.25554000000002</v>
      </c>
      <c r="P37" s="233">
        <f>(117*KFC!$B$33*1.02*1.15*1.1+KFC!$C$33)*KFC!$C$5</f>
        <v>150.96510000000001</v>
      </c>
      <c r="Q37" s="233">
        <f>(122.3*KFC!$B$33*1.02*1.15*1.1+KFC!$C$33)*KFC!$C$5</f>
        <v>157.80369000000002</v>
      </c>
      <c r="R37" s="233">
        <f>(127.6*KFC!$B$33*1.02*1.15*1.1+KFC!$C$33)*KFC!$C$5</f>
        <v>164.64228</v>
      </c>
      <c r="S37" s="233">
        <f>(132.7*KFC!$B$33*1.02*1.15*1.1+KFC!$C$33)*KFC!$C$5</f>
        <v>171.22280999999995</v>
      </c>
      <c r="T37" s="233">
        <f>(138*KFC!$B$33*1.02*1.15*1.1+KFC!$C$33)*KFC!$C$5</f>
        <v>178.06139999999999</v>
      </c>
      <c r="U37" s="233">
        <f>(143.2*KFC!$B$33*1.02*1.15*1.1+KFC!$C$33)*KFC!$C$5</f>
        <v>184.77096</v>
      </c>
      <c r="V37" s="233">
        <f>(148.5*KFC!$B$33*1.02*1.15*1.1+KFC!$C$33)*KFC!$C$5</f>
        <v>191.60955000000001</v>
      </c>
      <c r="W37" s="233">
        <f>(153.7*KFC!$B$33*1.02*1.15*1.1+KFC!$C$33)*KFC!$C$5</f>
        <v>198.31911000000002</v>
      </c>
      <c r="X37" s="233">
        <f>(159*KFC!$B$33*1.02*1.15*1.1+KFC!$C$33)*KFC!$C$5</f>
        <v>205.15770000000003</v>
      </c>
      <c r="Y37" s="233">
        <f>(164.1*KFC!$B$33*1.02*1.15*1.1+KFC!$C$33)*KFC!$C$5</f>
        <v>211.73823000000002</v>
      </c>
      <c r="Z37" s="233">
        <f>(169.4*KFC!$B$33*1.02*1.15*1.1+KFC!$C$33)*KFC!$C$5</f>
        <v>218.57682000000003</v>
      </c>
    </row>
    <row r="38" spans="1:26">
      <c r="A38" s="1912"/>
      <c r="B38" s="237">
        <v>3.4</v>
      </c>
      <c r="C38" s="239">
        <f>(49.7*KFC!$B$33*1.02*1.15*1.1+KFC!$C$33)*KFC!$C$5</f>
        <v>64.12791</v>
      </c>
      <c r="D38" s="233">
        <f>(54.9*KFC!$B$33*1.02*1.15*1.1+KFC!$C$33)*KFC!$C$5</f>
        <v>70.837469999999996</v>
      </c>
      <c r="E38" s="233">
        <f>(60.3*KFC!$B$33*1.02*1.15*1.1+KFC!$C$33)*KFC!$C$5</f>
        <v>77.805090000000007</v>
      </c>
      <c r="F38" s="233">
        <f>(65.7*KFC!$B$33*1.02*1.15*1.1+KFC!$C$33)*KFC!$C$5</f>
        <v>84.772710000000018</v>
      </c>
      <c r="G38" s="233">
        <f>(70.9*KFC!$B$33*1.02*1.15*1.1+KFC!$C$33)*KFC!$C$5</f>
        <v>91.482270000000014</v>
      </c>
      <c r="H38" s="233">
        <f>(76.3*KFC!$B$33*1.02*1.15*1.1+KFC!$C$33)*KFC!$C$5</f>
        <v>98.449889999999982</v>
      </c>
      <c r="I38" s="233">
        <f>(81.6*KFC!$B$33*1.02*1.15*1.1+KFC!$C$33)*KFC!$C$5</f>
        <v>105.28847999999999</v>
      </c>
      <c r="J38" s="233">
        <f>(87*KFC!$B$33*1.02*1.15*1.1+KFC!$C$33)*KFC!$C$5</f>
        <v>112.25609999999999</v>
      </c>
      <c r="K38" s="233">
        <f>(92.3*KFC!$B$33*1.02*1.15*1.1+KFC!$C$33)*KFC!$C$5</f>
        <v>119.09469</v>
      </c>
      <c r="L38" s="233">
        <f>(97.6*KFC!$B$33*1.02*1.15*1.1+KFC!$C$33)*KFC!$C$5</f>
        <v>125.93327999999998</v>
      </c>
      <c r="M38" s="233">
        <f>(103*KFC!$B$33*1.02*1.15*1.1+KFC!$C$33)*KFC!$C$5</f>
        <v>132.90090000000001</v>
      </c>
      <c r="N38" s="233">
        <f>(108.4*KFC!$B$33*1.02*1.15*1.1+KFC!$C$33)*KFC!$C$5</f>
        <v>139.86852000000002</v>
      </c>
      <c r="O38" s="233">
        <f>(113.6*KFC!$B$33*1.02*1.15*1.1+KFC!$C$33)*KFC!$C$5</f>
        <v>146.57808</v>
      </c>
      <c r="P38" s="233">
        <f>(119*KFC!$B$33*1.02*1.15*1.1+KFC!$C$33)*KFC!$C$5</f>
        <v>153.54570000000001</v>
      </c>
      <c r="Q38" s="233">
        <f>(124.3*KFC!$B$33*1.02*1.15*1.1+KFC!$C$33)*KFC!$C$5</f>
        <v>160.38429000000002</v>
      </c>
      <c r="R38" s="233">
        <f>(129.6*KFC!$B$33*1.02*1.15*1.1+KFC!$C$33)*KFC!$C$5</f>
        <v>167.22288000000003</v>
      </c>
      <c r="S38" s="233">
        <f>(135*KFC!$B$33*1.02*1.15*1.1+KFC!$C$33)*KFC!$C$5</f>
        <v>174.19049999999996</v>
      </c>
      <c r="T38" s="233">
        <f>(140.3*KFC!$B$33*1.02*1.15*1.1+KFC!$C$33)*KFC!$C$5</f>
        <v>181.02909000000005</v>
      </c>
      <c r="U38" s="233">
        <f>(145.7*KFC!$B$33*1.02*1.15*1.1+KFC!$C$33)*KFC!$C$5</f>
        <v>187.99671000000001</v>
      </c>
      <c r="V38" s="233">
        <f>(150.9*KFC!$B$33*1.02*1.15*1.1+KFC!$C$33)*KFC!$C$5</f>
        <v>194.70627000000002</v>
      </c>
      <c r="W38" s="233">
        <f>(156.3*KFC!$B$33*1.02*1.15*1.1+KFC!$C$33)*KFC!$C$5</f>
        <v>201.67389000000003</v>
      </c>
      <c r="X38" s="233">
        <f>(161.7*KFC!$B$33*1.02*1.15*1.1+KFC!$C$33)*KFC!$C$5</f>
        <v>208.64150999999998</v>
      </c>
      <c r="Y38" s="233">
        <f>(166.9*KFC!$B$33*1.02*1.15*1.1+KFC!$C$33)*KFC!$C$5</f>
        <v>215.35107000000002</v>
      </c>
      <c r="Z38" s="233">
        <f>(172.3*KFC!$B$33*1.02*1.15*1.1+KFC!$C$33)*KFC!$C$5</f>
        <v>222.31869000000003</v>
      </c>
    </row>
    <row r="39" spans="1:26">
      <c r="A39" s="1912"/>
      <c r="B39" s="237">
        <v>3.5</v>
      </c>
      <c r="C39" s="239">
        <f>(50.3*KFC!$B$33*1.02*1.15*1.1+KFC!$C$33)*KFC!$C$5</f>
        <v>64.902090000000001</v>
      </c>
      <c r="D39" s="233">
        <f>(55.8*KFC!$B$33*1.02*1.15*1.1+KFC!$C$33)*KFC!$C$5</f>
        <v>71.998739999999998</v>
      </c>
      <c r="E39" s="233">
        <f>(61.2*KFC!$B$33*1.02*1.15*1.1+KFC!$C$33)*KFC!$C$5</f>
        <v>78.966360000000009</v>
      </c>
      <c r="F39" s="233">
        <f>(66.7*KFC!$B$33*1.02*1.15*1.1+KFC!$C$33)*KFC!$C$5</f>
        <v>86.06301000000002</v>
      </c>
      <c r="G39" s="233">
        <f>(72*KFC!$B$33*1.02*1.15*1.1+KFC!$C$33)*KFC!$C$5</f>
        <v>92.901600000000002</v>
      </c>
      <c r="H39" s="233">
        <f>(77.4*KFC!$B$33*1.02*1.15*1.1+KFC!$C$33)*KFC!$C$5</f>
        <v>99.869220000000013</v>
      </c>
      <c r="I39" s="233">
        <f>(82.9*KFC!$B$33*1.02*1.15*1.1+KFC!$C$33)*KFC!$C$5</f>
        <v>106.96587000000001</v>
      </c>
      <c r="J39" s="233">
        <f>(88.3*KFC!$B$33*1.02*1.15*1.1+KFC!$C$33)*KFC!$C$5</f>
        <v>113.93348999999999</v>
      </c>
      <c r="K39" s="233">
        <f>(93.8*KFC!$B$33*1.02*1.15*1.1+KFC!$C$33)*KFC!$C$5</f>
        <v>121.03014</v>
      </c>
      <c r="L39" s="233">
        <f>(99.2*KFC!$B$33*1.02*1.15*1.1+KFC!$C$33)*KFC!$C$5</f>
        <v>127.99776000000003</v>
      </c>
      <c r="M39" s="233">
        <f>(104.6*KFC!$B$33*1.02*1.15*1.1+KFC!$C$33)*KFC!$C$5</f>
        <v>134.96537999999998</v>
      </c>
      <c r="N39" s="233">
        <f>(110.1*KFC!$B$33*1.02*1.15*1.1+KFC!$C$33)*KFC!$C$5</f>
        <v>142.06202999999999</v>
      </c>
      <c r="O39" s="233">
        <f>(115.5*KFC!$B$33*1.02*1.15*1.1+KFC!$C$33)*KFC!$C$5</f>
        <v>149.02965</v>
      </c>
      <c r="P39" s="233">
        <f>(121*KFC!$B$33*1.02*1.15*1.1+KFC!$C$33)*KFC!$C$5</f>
        <v>156.12630000000001</v>
      </c>
      <c r="Q39" s="233">
        <f>(126.3*KFC!$B$33*1.02*1.15*1.1+KFC!$C$33)*KFC!$C$5</f>
        <v>162.96489</v>
      </c>
      <c r="R39" s="233">
        <f>(131.8*KFC!$B$33*1.02*1.15*1.1+KFC!$C$33)*KFC!$C$5</f>
        <v>170.06154000000001</v>
      </c>
      <c r="S39" s="233">
        <f>(137.2*KFC!$B$33*1.02*1.15*1.1+KFC!$C$33)*KFC!$C$5</f>
        <v>177.02915999999999</v>
      </c>
      <c r="T39" s="233">
        <f>(142.6*KFC!$B$33*1.02*1.15*1.1+KFC!$C$33)*KFC!$C$5</f>
        <v>183.99678</v>
      </c>
      <c r="U39" s="233">
        <f>(148.1*KFC!$B$33*1.02*1.15*1.1+KFC!$C$33)*KFC!$C$5</f>
        <v>191.09342999999996</v>
      </c>
      <c r="V39" s="233">
        <f>(153.5*KFC!$B$33*1.02*1.15*1.1+KFC!$C$33)*KFC!$C$5</f>
        <v>198.06104999999997</v>
      </c>
      <c r="W39" s="233">
        <f>(159*KFC!$B$33*1.02*1.15*1.1+KFC!$C$33)*KFC!$C$5</f>
        <v>205.15770000000003</v>
      </c>
      <c r="X39" s="233">
        <f>(164.4*KFC!$B$33*1.02*1.15*1.1+KFC!$C$33)*KFC!$C$5</f>
        <v>212.12532000000004</v>
      </c>
      <c r="Y39" s="233">
        <f>(169.8*KFC!$B$33*1.02*1.15*1.1+KFC!$C$33)*KFC!$C$5</f>
        <v>219.09294000000006</v>
      </c>
      <c r="Z39" s="233">
        <f>(175.3*KFC!$B$33*1.02*1.15*1.1+KFC!$C$33)*KFC!$C$5</f>
        <v>226.18959000000004</v>
      </c>
    </row>
    <row r="40" spans="1:26">
      <c r="A40" s="1912"/>
      <c r="B40" s="237">
        <v>3.6</v>
      </c>
      <c r="C40" s="239">
        <f>(51*KFC!$B$33*1.02*1.15*1.1+KFC!$C$33)*KFC!$C$5</f>
        <v>65.805300000000003</v>
      </c>
      <c r="D40" s="233">
        <f>(56.5*KFC!$B$33*1.02*1.15*1.1+KFC!$C$33)*KFC!$C$5</f>
        <v>72.901950000000014</v>
      </c>
      <c r="E40" s="233">
        <f>(62.1*KFC!$B$33*1.02*1.15*1.1+KFC!$C$33)*KFC!$C$5</f>
        <v>80.127630000000011</v>
      </c>
      <c r="F40" s="233">
        <f>(67.6*KFC!$B$33*1.02*1.15*1.1+KFC!$C$33)*KFC!$C$5</f>
        <v>87.224280000000007</v>
      </c>
      <c r="G40" s="233">
        <f>(73.1*KFC!$B$33*1.02*1.15*1.1+KFC!$C$33)*KFC!$C$5</f>
        <v>94.320930000000004</v>
      </c>
      <c r="H40" s="233">
        <f>(78.6*KFC!$B$33*1.02*1.15*1.1+KFC!$C$33)*KFC!$C$5</f>
        <v>101.41757999999999</v>
      </c>
      <c r="I40" s="233">
        <f>(84.1*KFC!$B$33*1.02*1.15*1.1+KFC!$C$33)*KFC!$C$5</f>
        <v>108.51422999999998</v>
      </c>
      <c r="J40" s="233">
        <f>(89.6*KFC!$B$33*1.02*1.15*1.1+KFC!$C$33)*KFC!$C$5</f>
        <v>115.61087999999999</v>
      </c>
      <c r="K40" s="233">
        <f>(95.3*KFC!$B$33*1.02*1.15*1.1+KFC!$C$33)*KFC!$C$5</f>
        <v>122.96558999999999</v>
      </c>
      <c r="L40" s="233">
        <f>(100.8*KFC!$B$33*1.02*1.15*1.1+KFC!$C$33)*KFC!$C$5</f>
        <v>130.06224</v>
      </c>
      <c r="M40" s="233">
        <f>(106.3*KFC!$B$33*1.02*1.15*1.1+KFC!$C$33)*KFC!$C$5</f>
        <v>137.15889000000001</v>
      </c>
      <c r="N40" s="233">
        <f>(111.8*KFC!$B$33*1.02*1.15*1.1+KFC!$C$33)*KFC!$C$5</f>
        <v>144.25554000000002</v>
      </c>
      <c r="O40" s="233">
        <f>(117.3*KFC!$B$33*1.02*1.15*1.1+KFC!$C$33)*KFC!$C$5</f>
        <v>151.35219000000001</v>
      </c>
      <c r="P40" s="233">
        <f>(122.9*KFC!$B$33*1.02*1.15*1.1+KFC!$C$33)*KFC!$C$5</f>
        <v>158.57787000000002</v>
      </c>
      <c r="Q40" s="233">
        <f>(128.4*KFC!$B$33*1.02*1.15*1.1+KFC!$C$33)*KFC!$C$5</f>
        <v>165.67452000000003</v>
      </c>
      <c r="R40" s="233">
        <f>(133.8*KFC!$B$33*1.02*1.15*1.1+KFC!$C$33)*KFC!$C$5</f>
        <v>172.64214000000004</v>
      </c>
      <c r="S40" s="233">
        <f>(139.4*KFC!$B$33*1.02*1.15*1.1+KFC!$C$33)*KFC!$C$5</f>
        <v>179.86782000000002</v>
      </c>
      <c r="T40" s="233">
        <f>(144.9*KFC!$B$33*1.02*1.15*1.1+KFC!$C$33)*KFC!$C$5</f>
        <v>186.96447000000001</v>
      </c>
      <c r="U40" s="233">
        <f>(150.6*KFC!$B$33*1.02*1.15*1.1+KFC!$C$33)*KFC!$C$5</f>
        <v>194.31918000000002</v>
      </c>
      <c r="V40" s="233">
        <f>(156.1*KFC!$B$33*1.02*1.15*1.1+KFC!$C$33)*KFC!$C$5</f>
        <v>201.41583000000003</v>
      </c>
      <c r="W40" s="233">
        <f>(161.6*KFC!$B$33*1.02*1.15*1.1+KFC!$C$33)*KFC!$C$5</f>
        <v>208.51247999999998</v>
      </c>
      <c r="X40" s="233">
        <f>(167.1*KFC!$B$33*1.02*1.15*1.1+KFC!$C$33)*KFC!$C$5</f>
        <v>215.60913000000002</v>
      </c>
      <c r="Y40" s="233">
        <f>(172.6*KFC!$B$33*1.02*1.15*1.1+KFC!$C$33)*KFC!$C$5</f>
        <v>222.70577999999998</v>
      </c>
      <c r="Z40" s="233">
        <f>(178.2*KFC!$B$33*1.02*1.15*1.1+KFC!$C$33)*KFC!$C$5</f>
        <v>229.93145999999996</v>
      </c>
    </row>
    <row r="41" spans="1:26">
      <c r="A41" s="1912"/>
      <c r="B41" s="237">
        <v>3.7</v>
      </c>
      <c r="C41" s="239">
        <f>(51.7*KFC!$B$33*1.02*1.15*1.1+KFC!$C$33)*KFC!$C$5</f>
        <v>66.708510000000004</v>
      </c>
      <c r="D41" s="233">
        <f>(57.4*KFC!$B$33*1.02*1.15*1.1+KFC!$C$33)*KFC!$C$5</f>
        <v>74.063220000000001</v>
      </c>
      <c r="E41" s="233">
        <f>(63*KFC!$B$33*1.02*1.15*1.1+KFC!$C$33)*KFC!$C$5</f>
        <v>81.288900000000012</v>
      </c>
      <c r="F41" s="233">
        <f>(68.6*KFC!$B$33*1.02*1.15*1.1+KFC!$C$33)*KFC!$C$5</f>
        <v>88.514579999999995</v>
      </c>
      <c r="G41" s="233">
        <f>(74.2*KFC!$B$33*1.02*1.15*1.1+KFC!$C$33)*KFC!$C$5</f>
        <v>95.740260000000006</v>
      </c>
      <c r="H41" s="233">
        <f>(79.9*KFC!$B$33*1.02*1.15*1.1+KFC!$C$33)*KFC!$C$5</f>
        <v>103.09497000000002</v>
      </c>
      <c r="I41" s="233">
        <f>(85.5*KFC!$B$33*1.02*1.15*1.1+KFC!$C$33)*KFC!$C$5</f>
        <v>110.32065000000001</v>
      </c>
      <c r="J41" s="233">
        <f>(91.1*KFC!$B$33*1.02*1.15*1.1+KFC!$C$33)*KFC!$C$5</f>
        <v>117.54633</v>
      </c>
      <c r="K41" s="233">
        <f>(96.7*KFC!$B$33*1.02*1.15*1.1+KFC!$C$33)*KFC!$C$5</f>
        <v>124.77200999999999</v>
      </c>
      <c r="L41" s="233">
        <f>(102.4*KFC!$B$33*1.02*1.15*1.1+KFC!$C$33)*KFC!$C$5</f>
        <v>132.12672000000001</v>
      </c>
      <c r="M41" s="233">
        <f>(108*KFC!$B$33*1.02*1.15*1.1+KFC!$C$33)*KFC!$C$5</f>
        <v>139.35239999999999</v>
      </c>
      <c r="N41" s="233">
        <f>(113.6*KFC!$B$33*1.02*1.15*1.1+KFC!$C$33)*KFC!$C$5</f>
        <v>146.57808</v>
      </c>
      <c r="O41" s="233">
        <f>(119.2*KFC!$B$33*1.02*1.15*1.1+KFC!$C$33)*KFC!$C$5</f>
        <v>153.80376000000001</v>
      </c>
      <c r="P41" s="233">
        <f>(124.9*KFC!$B$33*1.02*1.15*1.1+KFC!$C$33)*KFC!$C$5</f>
        <v>161.15847000000002</v>
      </c>
      <c r="Q41" s="233">
        <f>(130.5*KFC!$B$33*1.02*1.15*1.1+KFC!$C$33)*KFC!$C$5</f>
        <v>168.38415000000003</v>
      </c>
      <c r="R41" s="233">
        <f>(136.1*KFC!$B$33*1.02*1.15*1.1+KFC!$C$33)*KFC!$C$5</f>
        <v>175.60983000000002</v>
      </c>
      <c r="S41" s="233">
        <f>(141.6*KFC!$B$33*1.02*1.15*1.1+KFC!$C$33)*KFC!$C$5</f>
        <v>182.70648</v>
      </c>
      <c r="T41" s="233">
        <f>(147.2*KFC!$B$33*1.02*1.15*1.1+KFC!$C$33)*KFC!$C$5</f>
        <v>189.93215999999995</v>
      </c>
      <c r="U41" s="233">
        <f>(152.9*KFC!$B$33*1.02*1.15*1.1+KFC!$C$33)*KFC!$C$5</f>
        <v>197.28687000000002</v>
      </c>
      <c r="V41" s="233">
        <f>(158.5*KFC!$B$33*1.02*1.15*1.1+KFC!$C$33)*KFC!$C$5</f>
        <v>204.51255000000003</v>
      </c>
      <c r="W41" s="233">
        <f>(164.1*KFC!$B$33*1.02*1.15*1.1+KFC!$C$33)*KFC!$C$5</f>
        <v>211.73823000000002</v>
      </c>
      <c r="X41" s="233">
        <f>(169.8*KFC!$B$33*1.02*1.15*1.1+KFC!$C$33)*KFC!$C$5</f>
        <v>219.09294000000006</v>
      </c>
      <c r="Y41" s="233">
        <f>(175.4*KFC!$B$33*1.02*1.15*1.1+KFC!$C$33)*KFC!$C$5</f>
        <v>226.31862000000004</v>
      </c>
      <c r="Z41" s="233">
        <f>(181*KFC!$B$33*1.02*1.15*1.1+KFC!$C$33)*KFC!$C$5</f>
        <v>233.54429999999999</v>
      </c>
    </row>
    <row r="42" spans="1:26">
      <c r="A42" s="1912"/>
      <c r="B42" s="237">
        <v>3.8</v>
      </c>
      <c r="C42" s="239">
        <f>(52.5*KFC!$B$33*1.02*1.15*1.1+KFC!$C$33)*KFC!$C$5</f>
        <v>67.740750000000006</v>
      </c>
      <c r="D42" s="233">
        <f>(58.1*KFC!$B$33*1.02*1.15*1.1+KFC!$C$33)*KFC!$C$5</f>
        <v>74.966430000000003</v>
      </c>
      <c r="E42" s="233">
        <f>(63.8*KFC!$B$33*1.02*1.15*1.1+KFC!$C$33)*KFC!$C$5</f>
        <v>82.32114</v>
      </c>
      <c r="F42" s="233">
        <f>(69.6*KFC!$B$33*1.02*1.15*1.1+KFC!$C$33)*KFC!$C$5</f>
        <v>89.804879999999997</v>
      </c>
      <c r="G42" s="233">
        <f>(75.3*KFC!$B$33*1.02*1.15*1.1+KFC!$C$33)*KFC!$C$5</f>
        <v>97.159590000000009</v>
      </c>
      <c r="H42" s="233">
        <f>(81*KFC!$B$33*1.02*1.15*1.1+KFC!$C$33)*KFC!$C$5</f>
        <v>104.51429999999999</v>
      </c>
      <c r="I42" s="233">
        <f>(86.7*KFC!$B$33*1.02*1.15*1.1+KFC!$C$33)*KFC!$C$5</f>
        <v>111.86900999999999</v>
      </c>
      <c r="J42" s="233">
        <f>(92.5*KFC!$B$33*1.02*1.15*1.1+KFC!$C$33)*KFC!$C$5</f>
        <v>119.35275</v>
      </c>
      <c r="K42" s="233">
        <f>(98.2*KFC!$B$33*1.02*1.15*1.1+KFC!$C$33)*KFC!$C$5</f>
        <v>126.70746</v>
      </c>
      <c r="L42" s="233">
        <f>(103.8*KFC!$B$33*1.02*1.15*1.1+KFC!$C$33)*KFC!$C$5</f>
        <v>133.93314000000001</v>
      </c>
      <c r="M42" s="233">
        <f>(109.6*KFC!$B$33*1.02*1.15*1.1+KFC!$C$33)*KFC!$C$5</f>
        <v>141.41688000000002</v>
      </c>
      <c r="N42" s="233">
        <f>(115.3*KFC!$B$33*1.02*1.15*1.1+KFC!$C$33)*KFC!$C$5</f>
        <v>148.77159</v>
      </c>
      <c r="O42" s="233">
        <f>(121.1*KFC!$B$33*1.02*1.15*1.1+KFC!$C$33)*KFC!$C$5</f>
        <v>156.25533000000001</v>
      </c>
      <c r="P42" s="233">
        <f>(126.7*KFC!$B$33*1.02*1.15*1.1+KFC!$C$33)*KFC!$C$5</f>
        <v>163.48101000000003</v>
      </c>
      <c r="Q42" s="233">
        <f>(132.5*KFC!$B$33*1.02*1.15*1.1+KFC!$C$33)*KFC!$C$5</f>
        <v>170.96475000000001</v>
      </c>
      <c r="R42" s="233">
        <f>(138.1*KFC!$B$33*1.02*1.15*1.1+KFC!$C$33)*KFC!$C$5</f>
        <v>178.19043000000002</v>
      </c>
      <c r="S42" s="233">
        <f>(143.9*KFC!$B$33*1.02*1.15*1.1+KFC!$C$33)*KFC!$C$5</f>
        <v>185.67417000000003</v>
      </c>
      <c r="T42" s="233">
        <f>(149.7*KFC!$B$33*1.02*1.15*1.1+KFC!$C$33)*KFC!$C$5</f>
        <v>193.15790999999996</v>
      </c>
      <c r="U42" s="233">
        <f>(155.3*KFC!$B$33*1.02*1.15*1.1+KFC!$C$33)*KFC!$C$5</f>
        <v>200.38359000000003</v>
      </c>
      <c r="V42" s="233">
        <f>(161.1*KFC!$B$33*1.02*1.15*1.1+KFC!$C$33)*KFC!$C$5</f>
        <v>207.86732999999998</v>
      </c>
      <c r="W42" s="233">
        <f>(166.8*KFC!$B$33*1.02*1.15*1.1+KFC!$C$33)*KFC!$C$5</f>
        <v>215.22204000000005</v>
      </c>
      <c r="X42" s="233">
        <f>(172.6*KFC!$B$33*1.02*1.15*1.1+KFC!$C$33)*KFC!$C$5</f>
        <v>222.70577999999998</v>
      </c>
      <c r="Y42" s="233">
        <f>(178.2*KFC!$B$33*1.02*1.15*1.1+KFC!$C$33)*KFC!$C$5</f>
        <v>229.93145999999996</v>
      </c>
      <c r="Z42" s="233">
        <f>(183.9*KFC!$B$33*1.02*1.15*1.1+KFC!$C$33)*KFC!$C$5</f>
        <v>237.28617</v>
      </c>
    </row>
    <row r="43" spans="1:26">
      <c r="A43" s="1912"/>
      <c r="B43" s="237">
        <v>3.9</v>
      </c>
      <c r="C43" s="239">
        <f>(53.1*KFC!$B$33*1.02*1.15*1.1+KFC!$C$33)*KFC!$C$5</f>
        <v>68.514930000000007</v>
      </c>
      <c r="D43" s="233">
        <f>(58.9*KFC!$B$33*1.02*1.15*1.1+KFC!$C$33)*KFC!$C$5</f>
        <v>75.998670000000004</v>
      </c>
      <c r="E43" s="233">
        <f>(64.7*KFC!$B$33*1.02*1.15*1.1+KFC!$C$33)*KFC!$C$5</f>
        <v>83.482410000000002</v>
      </c>
      <c r="F43" s="233">
        <f>(70.6*KFC!$B$33*1.02*1.15*1.1+KFC!$C$33)*KFC!$C$5</f>
        <v>91.095180000000013</v>
      </c>
      <c r="G43" s="233">
        <f>(76.3*KFC!$B$33*1.02*1.15*1.1+KFC!$C$33)*KFC!$C$5</f>
        <v>98.449889999999982</v>
      </c>
      <c r="H43" s="233">
        <f>(82.2*KFC!$B$33*1.02*1.15*1.1+KFC!$C$33)*KFC!$C$5</f>
        <v>106.06266000000002</v>
      </c>
      <c r="I43" s="233">
        <f>(88.1*KFC!$B$33*1.02*1.15*1.1+KFC!$C$33)*KFC!$C$5</f>
        <v>113.67542999999999</v>
      </c>
      <c r="J43" s="233">
        <f>(93.8*KFC!$B$33*1.02*1.15*1.1+KFC!$C$33)*KFC!$C$5</f>
        <v>121.03014</v>
      </c>
      <c r="K43" s="233">
        <f>(99.7*KFC!$B$33*1.02*1.15*1.1+KFC!$C$33)*KFC!$C$5</f>
        <v>128.64291</v>
      </c>
      <c r="L43" s="233">
        <f>(105.4*KFC!$B$33*1.02*1.15*1.1+KFC!$C$33)*KFC!$C$5</f>
        <v>135.99762000000001</v>
      </c>
      <c r="M43" s="233">
        <f>(111.3*KFC!$B$33*1.02*1.15*1.1+KFC!$C$33)*KFC!$C$5</f>
        <v>143.61039</v>
      </c>
      <c r="N43" s="233">
        <f>(117*KFC!$B$33*1.02*1.15*1.1+KFC!$C$33)*KFC!$C$5</f>
        <v>150.96510000000001</v>
      </c>
      <c r="O43" s="233">
        <f>(122.9*KFC!$B$33*1.02*1.15*1.1+KFC!$C$33)*KFC!$C$5</f>
        <v>158.57787000000002</v>
      </c>
      <c r="P43" s="233">
        <f>(128.7*KFC!$B$33*1.02*1.15*1.1+KFC!$C$33)*KFC!$C$5</f>
        <v>166.06161</v>
      </c>
      <c r="Q43" s="233">
        <f>(134.5*KFC!$B$33*1.02*1.15*1.1+KFC!$C$33)*KFC!$C$5</f>
        <v>173.54535000000001</v>
      </c>
      <c r="R43" s="233">
        <f>(140.4*KFC!$B$33*1.02*1.15*1.1+KFC!$C$33)*KFC!$C$5</f>
        <v>181.15812000000003</v>
      </c>
      <c r="S43" s="233">
        <f>(146.1*KFC!$B$33*1.02*1.15*1.1+KFC!$C$33)*KFC!$C$5</f>
        <v>188.51283000000001</v>
      </c>
      <c r="T43" s="233">
        <f>(152*KFC!$B$33*1.02*1.15*1.1+KFC!$C$33)*KFC!$C$5</f>
        <v>196.12559999999996</v>
      </c>
      <c r="U43" s="233">
        <f>(157.8*KFC!$B$33*1.02*1.15*1.1+KFC!$C$33)*KFC!$C$5</f>
        <v>203.60934000000003</v>
      </c>
      <c r="V43" s="233">
        <f>(163.6*KFC!$B$33*1.02*1.15*1.1+KFC!$C$33)*KFC!$C$5</f>
        <v>211.09307999999996</v>
      </c>
      <c r="W43" s="233">
        <f>(169.4*KFC!$B$33*1.02*1.15*1.1+KFC!$C$33)*KFC!$C$5</f>
        <v>218.57682000000003</v>
      </c>
      <c r="X43" s="233">
        <f>(175.3*KFC!$B$33*1.02*1.15*1.1+KFC!$C$33)*KFC!$C$5</f>
        <v>226.18959000000004</v>
      </c>
      <c r="Y43" s="233">
        <f>(181*KFC!$B$33*1.02*1.15*1.1+KFC!$C$33)*KFC!$C$5</f>
        <v>233.54429999999999</v>
      </c>
      <c r="Z43" s="233">
        <f>(186.9*KFC!$B$33*1.02*1.15*1.1+KFC!$C$33)*KFC!$C$5</f>
        <v>241.15707</v>
      </c>
    </row>
    <row r="44" spans="1:26" ht="13.8" thickBot="1">
      <c r="A44" s="1913"/>
      <c r="B44" s="238">
        <v>4</v>
      </c>
      <c r="C44" s="240">
        <f>(53.8*KFC!$B$33*1.02*1.15*1.1+KFC!$C$33)*KFC!$C$5</f>
        <v>69.418139999999994</v>
      </c>
      <c r="D44" s="234">
        <f>(59.7*KFC!$B$33*1.02*1.15*1.1+KFC!$C$33)*KFC!$C$5</f>
        <v>77.030910000000006</v>
      </c>
      <c r="E44" s="234">
        <f>(65.7*KFC!$B$33*1.02*1.15*1.1+KFC!$C$33)*KFC!$C$5</f>
        <v>84.772710000000018</v>
      </c>
      <c r="F44" s="234">
        <f>(71.5*KFC!$B$33*1.02*1.15*1.1+KFC!$C$33)*KFC!$C$5</f>
        <v>92.256450000000015</v>
      </c>
      <c r="G44" s="234">
        <f>(77.4*KFC!$B$33*1.02*1.15*1.1+KFC!$C$33)*KFC!$C$5</f>
        <v>99.869220000000013</v>
      </c>
      <c r="H44" s="234">
        <f>(83.4*KFC!$B$33*1.02*1.15*1.1+KFC!$C$33)*KFC!$C$5</f>
        <v>107.61102000000002</v>
      </c>
      <c r="I44" s="234">
        <f>(89.3*KFC!$B$33*1.02*1.15*1.1+KFC!$C$33)*KFC!$C$5</f>
        <v>115.22378999999999</v>
      </c>
      <c r="J44" s="234">
        <f>(95.1*KFC!$B$33*1.02*1.15*1.1+KFC!$C$33)*KFC!$C$5</f>
        <v>122.70752999999999</v>
      </c>
      <c r="K44" s="234">
        <f>(101.1*KFC!$B$33*1.02*1.15*1.1+KFC!$C$33)*KFC!$C$5</f>
        <v>130.44933</v>
      </c>
      <c r="L44" s="234">
        <f>(107*KFC!$B$33*1.02*1.15*1.1+KFC!$C$33)*KFC!$C$5</f>
        <v>138.06210000000002</v>
      </c>
      <c r="M44" s="234">
        <f>(112.9*KFC!$B$33*1.02*1.15*1.1+KFC!$C$33)*KFC!$C$5</f>
        <v>145.67487</v>
      </c>
      <c r="N44" s="234">
        <f>(118.9*KFC!$B$33*1.02*1.15*1.1+KFC!$C$33)*KFC!$C$5</f>
        <v>153.41667000000001</v>
      </c>
      <c r="O44" s="234">
        <f>(124.7*KFC!$B$33*1.02*1.15*1.1+KFC!$C$33)*KFC!$C$5</f>
        <v>160.90041000000002</v>
      </c>
      <c r="P44" s="234">
        <f>(130.6*KFC!$B$33*1.02*1.15*1.1+KFC!$C$33)*KFC!$C$5</f>
        <v>168.51318000000001</v>
      </c>
      <c r="Q44" s="234">
        <f>(136.6*KFC!$B$33*1.02*1.15*1.1+KFC!$C$33)*KFC!$C$5</f>
        <v>176.25498000000002</v>
      </c>
      <c r="R44" s="234">
        <f>(142.5*KFC!$B$33*1.02*1.15*1.1+KFC!$C$33)*KFC!$C$5</f>
        <v>183.86775</v>
      </c>
      <c r="S44" s="234">
        <f>(148.3*KFC!$B$33*1.02*1.15*1.1+KFC!$C$33)*KFC!$C$5</f>
        <v>191.35149000000004</v>
      </c>
      <c r="T44" s="234">
        <f>(154.3*KFC!$B$33*1.02*1.15*1.1+KFC!$C$33)*KFC!$C$5</f>
        <v>199.09329000000005</v>
      </c>
      <c r="U44" s="234">
        <f>(160.2*KFC!$B$33*1.02*1.15*1.1+KFC!$C$33)*KFC!$C$5</f>
        <v>206.70605999999998</v>
      </c>
      <c r="V44" s="234">
        <f>(166.1*KFC!$B$33*1.02*1.15*1.1+KFC!$C$33)*KFC!$C$5</f>
        <v>214.31883000000002</v>
      </c>
      <c r="W44" s="234">
        <f>(172.1*KFC!$B$33*1.02*1.15*1.1+KFC!$C$33)*KFC!$C$5</f>
        <v>222.06063000000003</v>
      </c>
      <c r="X44" s="234">
        <f>(177.9*KFC!$B$33*1.02*1.15*1.1+KFC!$C$33)*KFC!$C$5</f>
        <v>229.54436999999999</v>
      </c>
      <c r="Y44" s="234">
        <f>(183.8*KFC!$B$33*1.02*1.15*1.1+KFC!$C$33)*KFC!$C$5</f>
        <v>237.15714000000006</v>
      </c>
      <c r="Z44" s="234">
        <f>(189.8*KFC!$B$33*1.02*1.15*1.1+KFC!$C$33)*KFC!$C$5</f>
        <v>244.89893999999998</v>
      </c>
    </row>
    <row r="45" spans="1:26" ht="13.8" thickBot="1"/>
    <row r="46" spans="1:26" ht="21" customHeight="1" thickBot="1">
      <c r="A46" s="1413" t="s">
        <v>315</v>
      </c>
      <c r="B46" s="1414"/>
      <c r="C46" s="1914" t="s">
        <v>207</v>
      </c>
      <c r="D46" s="1915"/>
      <c r="E46" s="1915"/>
      <c r="F46" s="1915"/>
      <c r="G46" s="1915"/>
      <c r="H46" s="1915"/>
      <c r="I46" s="1915"/>
      <c r="J46" s="1915"/>
      <c r="K46" s="1915"/>
      <c r="L46" s="1915"/>
      <c r="M46" s="1915"/>
      <c r="N46" s="1915"/>
      <c r="O46" s="1915"/>
      <c r="P46" s="1915"/>
      <c r="Q46" s="1915"/>
      <c r="R46" s="1915"/>
      <c r="S46" s="1915"/>
      <c r="T46" s="1915"/>
      <c r="U46" s="1915"/>
      <c r="V46" s="1915"/>
      <c r="W46" s="1915"/>
      <c r="X46" s="1915"/>
      <c r="Y46" s="1915"/>
      <c r="Z46" s="1915"/>
    </row>
    <row r="47" spans="1:26" ht="19.5" customHeight="1" thickBot="1">
      <c r="A47" s="1803"/>
      <c r="B47" s="1910"/>
      <c r="C47" s="243">
        <v>0.4</v>
      </c>
      <c r="D47" s="244">
        <v>0.5</v>
      </c>
      <c r="E47" s="244">
        <v>0.6</v>
      </c>
      <c r="F47" s="244">
        <v>0.7</v>
      </c>
      <c r="G47" s="244">
        <v>0.8</v>
      </c>
      <c r="H47" s="244">
        <v>0.9</v>
      </c>
      <c r="I47" s="244">
        <v>1</v>
      </c>
      <c r="J47" s="244">
        <v>1.1000000000000001</v>
      </c>
      <c r="K47" s="244">
        <v>1.2</v>
      </c>
      <c r="L47" s="244">
        <v>1.3</v>
      </c>
      <c r="M47" s="244">
        <v>1.4</v>
      </c>
      <c r="N47" s="244">
        <v>1.5</v>
      </c>
      <c r="O47" s="244">
        <v>1.6</v>
      </c>
      <c r="P47" s="244">
        <v>1.7</v>
      </c>
      <c r="Q47" s="244">
        <v>1.8</v>
      </c>
      <c r="R47" s="244">
        <v>1.9</v>
      </c>
      <c r="S47" s="244">
        <v>2</v>
      </c>
      <c r="T47" s="244">
        <v>2.1</v>
      </c>
      <c r="U47" s="244">
        <v>2.2000000000000002</v>
      </c>
      <c r="V47" s="244">
        <v>2.2999999999999998</v>
      </c>
      <c r="W47" s="244">
        <v>2.4</v>
      </c>
      <c r="X47" s="244">
        <v>2.5</v>
      </c>
      <c r="Y47" s="244">
        <v>2.6</v>
      </c>
      <c r="Z47" s="365">
        <v>2.65</v>
      </c>
    </row>
    <row r="48" spans="1:26" ht="15.9" customHeight="1">
      <c r="A48" s="1911" t="s">
        <v>3</v>
      </c>
      <c r="B48" s="236">
        <v>0.5</v>
      </c>
      <c r="C48" s="241">
        <f>(34.2*KFC!$B$33*1.02*1.25*1.1+KFC!$C$33)*KFC!$C$5</f>
        <v>47.965500000000006</v>
      </c>
      <c r="D48" s="242">
        <f>(37.2*KFC!$B$33*1.02*1.25*1.1+KFC!$C$33)*KFC!$C$5</f>
        <v>52.173000000000009</v>
      </c>
      <c r="E48" s="242">
        <f>(40.1*KFC!$B$33*1.02*1.25*1.1+KFC!$C$33)*KFC!$C$5</f>
        <v>56.240250000000003</v>
      </c>
      <c r="F48" s="242">
        <f>(43.2*KFC!$B$33*1.02*1.25*1.1+KFC!$C$33)*KFC!$C$5</f>
        <v>60.588000000000015</v>
      </c>
      <c r="G48" s="242">
        <f>(46.1*KFC!$B$33*1.02*1.25*1.1+KFC!$C$33)*KFC!$C$5</f>
        <v>64.655250000000009</v>
      </c>
      <c r="H48" s="242">
        <f>(49*KFC!$B$33*1.02*1.25*1.1+KFC!$C$33)*KFC!$C$5</f>
        <v>68.722500000000011</v>
      </c>
      <c r="I48" s="242">
        <f>(52*KFC!$B$33*1.02*1.25*1.1+KFC!$C$33)*KFC!$C$5</f>
        <v>72.930000000000007</v>
      </c>
      <c r="J48" s="242">
        <f>(54.9*KFC!$B$33*1.02*1.25*1.1+KFC!$C$33)*KFC!$C$5</f>
        <v>76.997250000000008</v>
      </c>
      <c r="K48" s="242">
        <f>(57.8*KFC!$B$33*1.02*1.25*1.1+KFC!$C$33)*KFC!$C$5</f>
        <v>81.064499999999995</v>
      </c>
      <c r="L48" s="242">
        <f>(60.9*KFC!$B$33*1.02*1.25*1.1+KFC!$C$33)*KFC!$C$5</f>
        <v>85.412250000000014</v>
      </c>
      <c r="M48" s="242">
        <f>(63.8*KFC!$B$33*1.02*1.25*1.1+KFC!$C$33)*KFC!$C$5</f>
        <v>89.479500000000002</v>
      </c>
      <c r="N48" s="242">
        <f>(66.8*KFC!$B$33*1.02*1.25*1.1+KFC!$C$33)*KFC!$C$5</f>
        <v>93.686999999999998</v>
      </c>
      <c r="O48" s="242">
        <f>(69.7*KFC!$B$33*1.02*1.25*1.1+KFC!$C$33)*KFC!$C$5</f>
        <v>97.754250000000013</v>
      </c>
      <c r="P48" s="242">
        <f>(72.6*KFC!$B$33*1.02*1.25*1.1+KFC!$C$33)*KFC!$C$5</f>
        <v>101.8215</v>
      </c>
      <c r="Q48" s="242">
        <f>(75.6*KFC!$B$33*1.02*1.25*1.1+KFC!$C$33)*KFC!$C$5</f>
        <v>106.029</v>
      </c>
      <c r="R48" s="242">
        <f>(78.6*KFC!$B$33*1.02*1.25*1.1+KFC!$C$33)*KFC!$C$5</f>
        <v>110.23650000000001</v>
      </c>
      <c r="S48" s="242">
        <f>(81.6*KFC!$B$33*1.02*1.25*1.1+KFC!$C$33)*KFC!$C$5</f>
        <v>114.444</v>
      </c>
      <c r="T48" s="242">
        <f>(84.5*KFC!$B$33*1.02*1.25*1.1+KFC!$C$33)*KFC!$C$5</f>
        <v>118.51125</v>
      </c>
      <c r="U48" s="242">
        <f>(87.4*KFC!$B$33*1.02*1.25*1.1+KFC!$C$33)*KFC!$C$5</f>
        <v>122.57850000000003</v>
      </c>
      <c r="V48" s="242">
        <f>(90.4*KFC!$B$33*1.02*1.25*1.1+KFC!$C$33)*KFC!$C$5</f>
        <v>126.78600000000003</v>
      </c>
      <c r="W48" s="242">
        <f>(93.3*KFC!$B$33*1.02*1.25*1.1+KFC!$C$33)*KFC!$C$5</f>
        <v>130.85325</v>
      </c>
      <c r="X48" s="242">
        <f>(96.4*KFC!$B$33*1.02*1.25*1.1+KFC!$C$33)*KFC!$C$5</f>
        <v>135.20099999999999</v>
      </c>
      <c r="Y48" s="242">
        <f>(99.3*KFC!$B$33*1.02*1.25*1.1+KFC!$C$33)*KFC!$C$5</f>
        <v>139.26825000000002</v>
      </c>
      <c r="Z48" s="242">
        <f>(102.2*KFC!$B$33*1.02*1.25*1.1+KFC!$C$33)*KFC!$C$5</f>
        <v>143.33550000000002</v>
      </c>
    </row>
    <row r="49" spans="1:26" ht="15.9" customHeight="1">
      <c r="A49" s="1912"/>
      <c r="B49" s="237">
        <v>0.6</v>
      </c>
      <c r="C49" s="239">
        <f>(35.1*KFC!$B$33*1.02*1.25*1.1+KFC!$C$33)*KFC!$C$5</f>
        <v>49.22775</v>
      </c>
      <c r="D49" s="233">
        <f>(38.3*KFC!$B$33*1.02*1.25*1.1+KFC!$C$33)*KFC!$C$5</f>
        <v>53.71575</v>
      </c>
      <c r="E49" s="233">
        <f>(41.3*KFC!$B$33*1.02*1.25*1.1+KFC!$C$33)*KFC!$C$5</f>
        <v>57.923250000000003</v>
      </c>
      <c r="F49" s="233">
        <f>(44.5*KFC!$B$33*1.02*1.25*1.1+KFC!$C$33)*KFC!$C$5</f>
        <v>62.411250000000003</v>
      </c>
      <c r="G49" s="233">
        <f>(47.6*KFC!$B$33*1.02*1.25*1.1+KFC!$C$33)*KFC!$C$5</f>
        <v>66.759</v>
      </c>
      <c r="H49" s="233">
        <f>(50.8*KFC!$B$33*1.02*1.25*1.1+KFC!$C$33)*KFC!$C$5</f>
        <v>71.247</v>
      </c>
      <c r="I49" s="233">
        <f>(53.8*KFC!$B$33*1.02*1.25*1.1+KFC!$C$33)*KFC!$C$5</f>
        <v>75.45450000000001</v>
      </c>
      <c r="J49" s="233">
        <f>(57*KFC!$B$33*1.02*1.25*1.1+KFC!$C$33)*KFC!$C$5</f>
        <v>79.94250000000001</v>
      </c>
      <c r="K49" s="233">
        <f>(60*KFC!$B$33*1.02*1.25*1.1+KFC!$C$33)*KFC!$C$5</f>
        <v>84.15</v>
      </c>
      <c r="L49" s="233">
        <f>(63.2*KFC!$B$33*1.02*1.25*1.1+KFC!$C$33)*KFC!$C$5</f>
        <v>88.638000000000005</v>
      </c>
      <c r="M49" s="233">
        <f>(66.3*KFC!$B$33*1.02*1.25*1.1+KFC!$C$33)*KFC!$C$5</f>
        <v>92.98575000000001</v>
      </c>
      <c r="N49" s="233">
        <f>(69.3*KFC!$B$33*1.02*1.25*1.1+KFC!$C$33)*KFC!$C$5</f>
        <v>97.193249999999992</v>
      </c>
      <c r="O49" s="233">
        <f>(72.5*KFC!$B$33*1.02*1.25*1.1+KFC!$C$33)*KFC!$C$5</f>
        <v>101.68125000000001</v>
      </c>
      <c r="P49" s="233">
        <f>(75.6*KFC!$B$33*1.02*1.25*1.1+KFC!$C$33)*KFC!$C$5</f>
        <v>106.029</v>
      </c>
      <c r="Q49" s="233">
        <f>(78.8*KFC!$B$33*1.02*1.25*1.1+KFC!$C$33)*KFC!$C$5</f>
        <v>110.51700000000001</v>
      </c>
      <c r="R49" s="233">
        <f>(81.6*KFC!$B$33*1.02*1.25*1.1+KFC!$C$33)*KFC!$C$5</f>
        <v>114.444</v>
      </c>
      <c r="S49" s="233">
        <f>(85*KFC!$B$33*1.02*1.25*1.1+KFC!$C$33)*KFC!$C$5</f>
        <v>119.21250000000001</v>
      </c>
      <c r="T49" s="233">
        <f>(88.1*KFC!$B$33*1.02*1.25*1.1+KFC!$C$33)*KFC!$C$5</f>
        <v>123.56025</v>
      </c>
      <c r="U49" s="233">
        <f>(91.2*KFC!$B$33*1.02*1.25*1.1+KFC!$C$33)*KFC!$C$5</f>
        <v>127.90800000000002</v>
      </c>
      <c r="V49" s="233">
        <f>(94.3*KFC!$B$33*1.02*1.25*1.1+KFC!$C$33)*KFC!$C$5</f>
        <v>132.25575000000001</v>
      </c>
      <c r="W49" s="233">
        <f>(97.4*KFC!$B$33*1.02*1.25*1.1+KFC!$C$33)*KFC!$C$5</f>
        <v>136.60350000000003</v>
      </c>
      <c r="X49" s="233">
        <f>(100.5*KFC!$B$33*1.02*1.25*1.1+KFC!$C$33)*KFC!$C$5</f>
        <v>140.95125000000004</v>
      </c>
      <c r="Y49" s="233">
        <f>(103.6*KFC!$B$33*1.02*1.25*1.1+KFC!$C$33)*KFC!$C$5</f>
        <v>145.29900000000001</v>
      </c>
      <c r="Z49" s="233">
        <f>(106.8*KFC!$B$33*1.02*1.25*1.1+KFC!$C$33)*KFC!$C$5</f>
        <v>149.78700000000001</v>
      </c>
    </row>
    <row r="50" spans="1:26" ht="15.9" customHeight="1">
      <c r="A50" s="1912"/>
      <c r="B50" s="237">
        <v>0.7</v>
      </c>
      <c r="C50" s="239">
        <f>(36.1*KFC!$B$33*1.02*1.25*1.1+KFC!$C$33)*KFC!$C$5</f>
        <v>50.630250000000011</v>
      </c>
      <c r="D50" s="233">
        <f>(39.4*KFC!$B$33*1.02*1.25*1.1+KFC!$C$33)*KFC!$C$5</f>
        <v>55.258500000000005</v>
      </c>
      <c r="E50" s="233">
        <f>(42.6*KFC!$B$33*1.02*1.25*1.1+KFC!$C$33)*KFC!$C$5</f>
        <v>59.746500000000012</v>
      </c>
      <c r="F50" s="233">
        <f>(45.9*KFC!$B$33*1.02*1.25*1.1+KFC!$C$33)*KFC!$C$5</f>
        <v>64.374749999999992</v>
      </c>
      <c r="G50" s="233">
        <f>(49.2*KFC!$B$33*1.02*1.25*1.1+KFC!$C$33)*KFC!$C$5</f>
        <v>69.003000000000014</v>
      </c>
      <c r="H50" s="233">
        <f>(52.2*KFC!$B$33*1.02*1.25*1.1+KFC!$C$33)*KFC!$C$5</f>
        <v>73.21050000000001</v>
      </c>
      <c r="I50" s="233">
        <f>(55.6*KFC!$B$33*1.02*1.25*1.1+KFC!$C$33)*KFC!$C$5</f>
        <v>77.979000000000013</v>
      </c>
      <c r="J50" s="233">
        <f>(58.9*KFC!$B$33*1.02*1.25*1.1+KFC!$C$33)*KFC!$C$5</f>
        <v>82.607250000000008</v>
      </c>
      <c r="K50" s="233">
        <f>(62.3*KFC!$B$33*1.02*1.25*1.1+KFC!$C$33)*KFC!$C$5</f>
        <v>87.375750000000011</v>
      </c>
      <c r="L50" s="233">
        <f>(65.6*KFC!$B$33*1.02*1.25*1.1+KFC!$C$33)*KFC!$C$5</f>
        <v>92.003999999999991</v>
      </c>
      <c r="M50" s="233">
        <f>(68.7*KFC!$B$33*1.02*1.25*1.1+KFC!$C$33)*KFC!$C$5</f>
        <v>96.35175000000001</v>
      </c>
      <c r="N50" s="233">
        <f>(72*KFC!$B$33*1.02*1.25*1.1+KFC!$C$33)*KFC!$C$5</f>
        <v>100.98</v>
      </c>
      <c r="O50" s="233">
        <f>(75.3*KFC!$B$33*1.02*1.25*1.1+KFC!$C$33)*KFC!$C$5</f>
        <v>105.60825</v>
      </c>
      <c r="P50" s="233">
        <f>(78.5*KFC!$B$33*1.02*1.25*1.1+KFC!$C$33)*KFC!$C$5</f>
        <v>110.09625000000001</v>
      </c>
      <c r="Q50" s="233">
        <f>(81.8*KFC!$B$33*1.02*1.25*1.1+KFC!$C$33)*KFC!$C$5</f>
        <v>114.72449999999999</v>
      </c>
      <c r="R50" s="233">
        <f>(85.1*KFC!$B$33*1.02*1.25*1.1+KFC!$C$33)*KFC!$C$5</f>
        <v>119.35275</v>
      </c>
      <c r="S50" s="233">
        <f>(88.4*KFC!$B$33*1.02*1.25*1.1+KFC!$C$33)*KFC!$C$5</f>
        <v>123.98100000000002</v>
      </c>
      <c r="T50" s="233">
        <f>(91.6*KFC!$B$33*1.02*1.25*1.1+KFC!$C$33)*KFC!$C$5</f>
        <v>128.46900000000002</v>
      </c>
      <c r="U50" s="233">
        <f>(94.9*KFC!$B$33*1.02*1.25*1.1+KFC!$C$33)*KFC!$C$5</f>
        <v>133.09725</v>
      </c>
      <c r="V50" s="233">
        <f>(98.2*KFC!$B$33*1.02*1.25*1.1+KFC!$C$33)*KFC!$C$5</f>
        <v>137.72550000000001</v>
      </c>
      <c r="W50" s="233">
        <f>(101.5*KFC!$B$33*1.02*1.25*1.1+KFC!$C$33)*KFC!$C$5</f>
        <v>142.35375000000002</v>
      </c>
      <c r="X50" s="233">
        <f>(104.7*KFC!$B$33*1.02*1.25*1.1+KFC!$C$33)*KFC!$C$5</f>
        <v>146.84175000000002</v>
      </c>
      <c r="Y50" s="233">
        <f>(108*KFC!$B$33*1.02*1.25*1.1+KFC!$C$33)*KFC!$C$5</f>
        <v>151.47</v>
      </c>
      <c r="Z50" s="233">
        <f>(111.3*KFC!$B$33*1.02*1.25*1.1+KFC!$C$33)*KFC!$C$5</f>
        <v>156.09825000000001</v>
      </c>
    </row>
    <row r="51" spans="1:26" ht="15.9" customHeight="1">
      <c r="A51" s="1912"/>
      <c r="B51" s="237">
        <v>0.8</v>
      </c>
      <c r="C51" s="239">
        <f>(36.9*KFC!$B$33*1.02*1.25*1.1+KFC!$C$33)*KFC!$C$5</f>
        <v>51.752250000000004</v>
      </c>
      <c r="D51" s="233">
        <f>(40.4*KFC!$B$33*1.02*1.25*1.1+KFC!$C$33)*KFC!$C$5</f>
        <v>56.661000000000001</v>
      </c>
      <c r="E51" s="233">
        <f>(43.8*KFC!$B$33*1.02*1.25*1.1+KFC!$C$33)*KFC!$C$5</f>
        <v>61.429499999999997</v>
      </c>
      <c r="F51" s="233">
        <f>(47.2*KFC!$B$33*1.02*1.25*1.1+KFC!$C$33)*KFC!$C$5</f>
        <v>66.198000000000008</v>
      </c>
      <c r="G51" s="233">
        <f>(50.6*KFC!$B$33*1.02*1.25*1.1+KFC!$C$33)*KFC!$C$5</f>
        <v>70.966500000000011</v>
      </c>
      <c r="H51" s="233">
        <f>(54.1*KFC!$B$33*1.02*1.25*1.1+KFC!$C$33)*KFC!$C$5</f>
        <v>75.875250000000008</v>
      </c>
      <c r="I51" s="233">
        <f>(57.5*KFC!$B$33*1.02*1.25*1.1+KFC!$C$33)*KFC!$C$5</f>
        <v>80.643750000000011</v>
      </c>
      <c r="J51" s="233">
        <f>(60.9*KFC!$B$33*1.02*1.25*1.1+KFC!$C$33)*KFC!$C$5</f>
        <v>85.412250000000014</v>
      </c>
      <c r="K51" s="233">
        <f>(64.3*KFC!$B$33*1.02*1.25*1.1+KFC!$C$33)*KFC!$C$5</f>
        <v>90.180750000000003</v>
      </c>
      <c r="L51" s="233">
        <f>(67.9*KFC!$B$33*1.02*1.25*1.1+KFC!$C$33)*KFC!$C$5</f>
        <v>95.229750000000024</v>
      </c>
      <c r="M51" s="233">
        <f>(71.3*KFC!$B$33*1.02*1.25*1.1+KFC!$C$33)*KFC!$C$5</f>
        <v>99.998250000000013</v>
      </c>
      <c r="N51" s="233">
        <f>(74.7*KFC!$B$33*1.02*1.25*1.1+KFC!$C$33)*KFC!$C$5</f>
        <v>104.76675000000002</v>
      </c>
      <c r="O51" s="233">
        <f>(78.1*KFC!$B$33*1.02*1.25*1.1+KFC!$C$33)*KFC!$C$5</f>
        <v>109.53524999999999</v>
      </c>
      <c r="P51" s="233">
        <f>(81.6*KFC!$B$33*1.02*1.25*1.1+KFC!$C$33)*KFC!$C$5</f>
        <v>114.444</v>
      </c>
      <c r="Q51" s="233">
        <f>(85*KFC!$B$33*1.02*1.25*1.1+KFC!$C$33)*KFC!$C$5</f>
        <v>119.21250000000001</v>
      </c>
      <c r="R51" s="233">
        <f>(88.4*KFC!$B$33*1.02*1.25*1.1+KFC!$C$33)*KFC!$C$5</f>
        <v>123.98100000000002</v>
      </c>
      <c r="S51" s="233">
        <f>(91.8*KFC!$B$33*1.02*1.25*1.1+KFC!$C$33)*KFC!$C$5</f>
        <v>128.74949999999998</v>
      </c>
      <c r="T51" s="233">
        <f>(95.3*KFC!$B$33*1.02*1.25*1.1+KFC!$C$33)*KFC!$C$5</f>
        <v>133.65825000000001</v>
      </c>
      <c r="U51" s="233">
        <f>(98.7*KFC!$B$33*1.02*1.25*1.1+KFC!$C$33)*KFC!$C$5</f>
        <v>138.42675</v>
      </c>
      <c r="V51" s="233">
        <f>(102.1*KFC!$B$33*1.02*1.25*1.1+KFC!$C$33)*KFC!$C$5</f>
        <v>143.19525000000002</v>
      </c>
      <c r="W51" s="233">
        <f>(105.5*KFC!$B$33*1.02*1.25*1.1+KFC!$C$33)*KFC!$C$5</f>
        <v>147.96375</v>
      </c>
      <c r="X51" s="233">
        <f>(109*KFC!$B$33*1.02*1.25*1.1+KFC!$C$33)*KFC!$C$5</f>
        <v>152.87250000000003</v>
      </c>
      <c r="Y51" s="233">
        <f>(112.4*KFC!$B$33*1.02*1.25*1.1+KFC!$C$33)*KFC!$C$5</f>
        <v>157.64100000000002</v>
      </c>
      <c r="Z51" s="233">
        <f>(115.8*KFC!$B$33*1.02*1.25*1.1+KFC!$C$33)*KFC!$C$5</f>
        <v>162.40950000000004</v>
      </c>
    </row>
    <row r="52" spans="1:26" ht="15.9" customHeight="1">
      <c r="A52" s="1912"/>
      <c r="B52" s="237">
        <v>0.9</v>
      </c>
      <c r="C52" s="239">
        <f>(37.9*KFC!$B$33*1.02*1.25*1.1+KFC!$C$33)*KFC!$C$5</f>
        <v>53.154750000000007</v>
      </c>
      <c r="D52" s="233">
        <f>(41.5*KFC!$B$33*1.02*1.25*1.1+KFC!$C$33)*KFC!$C$5</f>
        <v>58.203749999999999</v>
      </c>
      <c r="E52" s="233">
        <f>(45*KFC!$B$33*1.02*1.25*1.1+KFC!$C$33)*KFC!$C$5</f>
        <v>63.112500000000004</v>
      </c>
      <c r="F52" s="233">
        <f>(48.7*KFC!$B$33*1.02*1.25*1.1+KFC!$C$33)*KFC!$C$5</f>
        <v>68.301750000000013</v>
      </c>
      <c r="G52" s="233">
        <f>(52.2*KFC!$B$33*1.02*1.25*1.1+KFC!$C$33)*KFC!$C$5</f>
        <v>73.21050000000001</v>
      </c>
      <c r="H52" s="233">
        <f>(55.8*KFC!$B$33*1.02*1.25*1.1+KFC!$C$33)*KFC!$C$5</f>
        <v>78.259500000000003</v>
      </c>
      <c r="I52" s="233">
        <f>(59.4*KFC!$B$33*1.02*1.25*1.1+KFC!$C$33)*KFC!$C$5</f>
        <v>83.308500000000009</v>
      </c>
      <c r="J52" s="233">
        <f>(63*KFC!$B$33*1.02*1.25*1.1+KFC!$C$33)*KFC!$C$5</f>
        <v>88.357500000000016</v>
      </c>
      <c r="K52" s="233">
        <f>(66.5*KFC!$B$33*1.02*1.25*1.1+KFC!$C$33)*KFC!$C$5</f>
        <v>93.266249999999999</v>
      </c>
      <c r="L52" s="233">
        <f>(70.2*KFC!$B$33*1.02*1.25*1.1+KFC!$C$33)*KFC!$C$5</f>
        <v>98.455500000000001</v>
      </c>
      <c r="M52" s="233">
        <f>(73.7*KFC!$B$33*1.02*1.25*1.1+KFC!$C$33)*KFC!$C$5</f>
        <v>103.36425000000001</v>
      </c>
      <c r="N52" s="233">
        <f>(77.3*KFC!$B$33*1.02*1.25*1.1+KFC!$C$33)*KFC!$C$5</f>
        <v>108.41325000000002</v>
      </c>
      <c r="O52" s="233">
        <f>(80.8*KFC!$B$33*1.02*1.25*1.1+KFC!$C$33)*KFC!$C$5</f>
        <v>113.322</v>
      </c>
      <c r="P52" s="233">
        <f>(84.5*KFC!$B$33*1.02*1.25*1.1+KFC!$C$33)*KFC!$C$5</f>
        <v>118.51125</v>
      </c>
      <c r="Q52" s="233">
        <f>(88.1*KFC!$B$33*1.02*1.25*1.1+KFC!$C$33)*KFC!$C$5</f>
        <v>123.56025</v>
      </c>
      <c r="R52" s="233">
        <f>(91.6*KFC!$B$33*1.02*1.25*1.1+KFC!$C$33)*KFC!$C$5</f>
        <v>128.46900000000002</v>
      </c>
      <c r="S52" s="233">
        <f>(95.3*KFC!$B$33*1.02*1.25*1.1+KFC!$C$33)*KFC!$C$5</f>
        <v>133.65825000000001</v>
      </c>
      <c r="T52" s="233">
        <f>(98.8*KFC!$B$33*1.02*1.25*1.1+KFC!$C$33)*KFC!$C$5</f>
        <v>138.56700000000001</v>
      </c>
      <c r="U52" s="233">
        <f>(102.4*KFC!$B$33*1.02*1.25*1.1+KFC!$C$33)*KFC!$C$5</f>
        <v>143.61600000000001</v>
      </c>
      <c r="V52" s="233">
        <f>(106*KFC!$B$33*1.02*1.25*1.1+KFC!$C$33)*KFC!$C$5</f>
        <v>148.66500000000002</v>
      </c>
      <c r="W52" s="233">
        <f>(109.6*KFC!$B$33*1.02*1.25*1.1+KFC!$C$33)*KFC!$C$5</f>
        <v>153.71400000000003</v>
      </c>
      <c r="X52" s="233">
        <f>(113.1*KFC!$B$33*1.02*1.25*1.1+KFC!$C$33)*KFC!$C$5</f>
        <v>158.62275</v>
      </c>
      <c r="Y52" s="233">
        <f>(116.8*KFC!$B$33*1.02*1.25*1.1+KFC!$C$33)*KFC!$C$5</f>
        <v>163.81200000000001</v>
      </c>
      <c r="Z52" s="233">
        <f>(120.3*KFC!$B$33*1.02*1.25*1.1+KFC!$C$33)*KFC!$C$5</f>
        <v>168.72075000000001</v>
      </c>
    </row>
    <row r="53" spans="1:26" ht="15.9" customHeight="1">
      <c r="A53" s="1912"/>
      <c r="B53" s="237">
        <v>1</v>
      </c>
      <c r="C53" s="239">
        <f>(36.8*KFC!$B$33*1.02*1.25*1.1+KFC!$C$33)*KFC!$C$5</f>
        <v>51.611999999999995</v>
      </c>
      <c r="D53" s="233">
        <f>(42.6*KFC!$B$33*1.02*1.25*1.1+KFC!$C$33)*KFC!$C$5</f>
        <v>59.746500000000012</v>
      </c>
      <c r="E53" s="233">
        <f>(46.2*KFC!$B$33*1.02*1.25*1.1+KFC!$C$33)*KFC!$C$5</f>
        <v>64.795500000000004</v>
      </c>
      <c r="F53" s="233">
        <f>(50*KFC!$B$33*1.02*1.25*1.1+KFC!$C$33)*KFC!$C$5</f>
        <v>70.125</v>
      </c>
      <c r="G53" s="233">
        <f>(53.8*KFC!$B$33*1.02*1.25*1.1+KFC!$C$33)*KFC!$C$5</f>
        <v>75.45450000000001</v>
      </c>
      <c r="H53" s="233">
        <f>(57.5*KFC!$B$33*1.02*1.25*1.1+KFC!$C$33)*KFC!$C$5</f>
        <v>80.643750000000011</v>
      </c>
      <c r="I53" s="233">
        <f>(61.3*KFC!$B$33*1.02*1.25*1.1+KFC!$C$33)*KFC!$C$5</f>
        <v>85.973250000000007</v>
      </c>
      <c r="J53" s="233">
        <f>(64.9*KFC!$B$33*1.02*1.25*1.1+KFC!$C$33)*KFC!$C$5</f>
        <v>91.022250000000014</v>
      </c>
      <c r="K53" s="233">
        <f>(68.7*KFC!$B$33*1.02*1.25*1.1+KFC!$C$33)*KFC!$C$5</f>
        <v>96.35175000000001</v>
      </c>
      <c r="L53" s="233">
        <f>(72.5*KFC!$B$33*1.02*1.25*1.1+KFC!$C$33)*KFC!$C$5</f>
        <v>101.68125000000001</v>
      </c>
      <c r="M53" s="233">
        <f>(76.2*KFC!$B$33*1.02*1.25*1.1+KFC!$C$33)*KFC!$C$5</f>
        <v>106.87050000000001</v>
      </c>
      <c r="N53" s="233">
        <f>(80*KFC!$B$33*1.02*1.25*1.1+KFC!$C$33)*KFC!$C$5</f>
        <v>112.2</v>
      </c>
      <c r="O53" s="233">
        <f>(83.7*KFC!$B$33*1.02*1.25*1.1+KFC!$C$33)*KFC!$C$5</f>
        <v>117.38925000000003</v>
      </c>
      <c r="P53" s="233">
        <f>(87.4*KFC!$B$33*1.02*1.25*1.1+KFC!$C$33)*KFC!$C$5</f>
        <v>122.57850000000003</v>
      </c>
      <c r="Q53" s="233">
        <f>(91.1*KFC!$B$33*1.02*1.25*1.1+KFC!$C$33)*KFC!$C$5</f>
        <v>127.76775000000002</v>
      </c>
      <c r="R53" s="233">
        <f>(94.9*KFC!$B$33*1.02*1.25*1.1+KFC!$C$33)*KFC!$C$5</f>
        <v>133.09725</v>
      </c>
      <c r="S53" s="233">
        <f>(98.7*KFC!$B$33*1.02*1.25*1.1+KFC!$C$33)*KFC!$C$5</f>
        <v>138.42675</v>
      </c>
      <c r="T53" s="233">
        <f>(102.4*KFC!$B$33*1.02*1.25*1.1+KFC!$C$33)*KFC!$C$5</f>
        <v>143.61600000000001</v>
      </c>
      <c r="U53" s="233">
        <f>(106.2*KFC!$B$33*1.02*1.25*1.1+KFC!$C$33)*KFC!$C$5</f>
        <v>148.94550000000001</v>
      </c>
      <c r="V53" s="233">
        <f>(109.8*KFC!$B$33*1.02*1.25*1.1+KFC!$C$33)*KFC!$C$5</f>
        <v>153.99450000000002</v>
      </c>
      <c r="W53" s="233">
        <f>(113.6*KFC!$B$33*1.02*1.25*1.1+KFC!$C$33)*KFC!$C$5</f>
        <v>159.32400000000001</v>
      </c>
      <c r="X53" s="233">
        <f>(117.4*KFC!$B$33*1.02*1.25*1.1+KFC!$C$33)*KFC!$C$5</f>
        <v>164.65350000000001</v>
      </c>
      <c r="Y53" s="233">
        <f>(121.1*KFC!$B$33*1.02*1.25*1.1+KFC!$C$33)*KFC!$C$5</f>
        <v>169.84275</v>
      </c>
      <c r="Z53" s="233">
        <f>(124.9*KFC!$B$33*1.02*1.25*1.1+KFC!$C$33)*KFC!$C$5</f>
        <v>175.17225000000002</v>
      </c>
    </row>
    <row r="54" spans="1:26" ht="15.9" customHeight="1">
      <c r="A54" s="1912"/>
      <c r="B54" s="237">
        <v>1.1000000000000001</v>
      </c>
      <c r="C54" s="239">
        <f>(39.7*KFC!$B$33*1.02*1.25*1.1+KFC!$C$33)*KFC!$C$5</f>
        <v>55.67925000000001</v>
      </c>
      <c r="D54" s="233">
        <f>(43.5*KFC!$B$33*1.02*1.25*1.1+KFC!$C$33)*KFC!$C$5</f>
        <v>61.008750000000006</v>
      </c>
      <c r="E54" s="233">
        <f>(47.5*KFC!$B$33*1.02*1.25*1.1+KFC!$C$33)*KFC!$C$5</f>
        <v>66.618750000000006</v>
      </c>
      <c r="F54" s="233">
        <f>(51.4*KFC!$B$33*1.02*1.25*1.1+KFC!$C$33)*KFC!$C$5</f>
        <v>72.088499999999996</v>
      </c>
      <c r="G54" s="233">
        <f>(55.3*KFC!$B$33*1.02*1.25*1.1+KFC!$C$33)*KFC!$C$5</f>
        <v>77.558250000000001</v>
      </c>
      <c r="H54" s="233">
        <f>(59.2*KFC!$B$33*1.02*1.25*1.1+KFC!$C$33)*KFC!$C$5</f>
        <v>83.028000000000006</v>
      </c>
      <c r="I54" s="233">
        <f>(63.1*KFC!$B$33*1.02*1.25*1.1+KFC!$C$33)*KFC!$C$5</f>
        <v>88.497750000000025</v>
      </c>
      <c r="J54" s="233">
        <f>(67*KFC!$B$33*1.02*1.25*1.1+KFC!$C$33)*KFC!$C$5</f>
        <v>93.967500000000015</v>
      </c>
      <c r="K54" s="233">
        <f>(70.9*KFC!$B$33*1.02*1.25*1.1+KFC!$C$33)*KFC!$C$5</f>
        <v>99.43725000000002</v>
      </c>
      <c r="L54" s="233">
        <f>(74.8*KFC!$B$33*1.02*1.25*1.1+KFC!$C$33)*KFC!$C$5</f>
        <v>104.907</v>
      </c>
      <c r="M54" s="233">
        <f>(78.6*KFC!$B$33*1.02*1.25*1.1+KFC!$C$33)*KFC!$C$5</f>
        <v>110.23650000000001</v>
      </c>
      <c r="N54" s="233">
        <f>(82.6*KFC!$B$33*1.02*1.25*1.1+KFC!$C$33)*KFC!$C$5</f>
        <v>115.84650000000001</v>
      </c>
      <c r="O54" s="233">
        <f>(86.5*KFC!$B$33*1.02*1.25*1.1+KFC!$C$33)*KFC!$C$5</f>
        <v>121.31625000000003</v>
      </c>
      <c r="P54" s="233">
        <f>(90.4*KFC!$B$33*1.02*1.25*1.1+KFC!$C$33)*KFC!$C$5</f>
        <v>126.78600000000003</v>
      </c>
      <c r="Q54" s="233">
        <f>(94.3*KFC!$B$33*1.02*1.25*1.1+KFC!$C$33)*KFC!$C$5</f>
        <v>132.25575000000001</v>
      </c>
      <c r="R54" s="233">
        <f>(98.2*KFC!$B$33*1.02*1.25*1.1+KFC!$C$33)*KFC!$C$5</f>
        <v>137.72550000000001</v>
      </c>
      <c r="S54" s="233">
        <f>(102.1*KFC!$B$33*1.02*1.25*1.1+KFC!$C$33)*KFC!$C$5</f>
        <v>143.19525000000002</v>
      </c>
      <c r="T54" s="233">
        <f>(106*KFC!$B$33*1.02*1.25*1.1+KFC!$C$33)*KFC!$C$5</f>
        <v>148.66500000000002</v>
      </c>
      <c r="U54" s="233">
        <f>(109.8*KFC!$B$33*1.02*1.25*1.1+KFC!$C$33)*KFC!$C$5</f>
        <v>153.99450000000002</v>
      </c>
      <c r="V54" s="233">
        <f>(113.7*KFC!$B$33*1.02*1.25*1.1+KFC!$C$33)*KFC!$C$5</f>
        <v>159.46425000000002</v>
      </c>
      <c r="W54" s="233">
        <f>(117.7*KFC!$B$33*1.02*1.25*1.1+KFC!$C$33)*KFC!$C$5</f>
        <v>165.07425000000001</v>
      </c>
      <c r="X54" s="233">
        <f>(121.6*KFC!$B$33*1.02*1.25*1.1+KFC!$C$33)*KFC!$C$5</f>
        <v>170.54400000000001</v>
      </c>
      <c r="Y54" s="233">
        <f>(125.5*KFC!$B$33*1.02*1.25*1.1+KFC!$C$33)*KFC!$C$5</f>
        <v>176.01375000000002</v>
      </c>
      <c r="Z54" s="233">
        <f>(129.4*KFC!$B$33*1.02*1.25*1.1+KFC!$C$33)*KFC!$C$5</f>
        <v>181.48350000000002</v>
      </c>
    </row>
    <row r="55" spans="1:26" ht="15.9" customHeight="1">
      <c r="A55" s="1912"/>
      <c r="B55" s="237">
        <v>1.2</v>
      </c>
      <c r="C55" s="239">
        <f>(40.6*KFC!$B$33*1.02*1.25*1.1+KFC!$C$33)*KFC!$C$5</f>
        <v>56.941500000000005</v>
      </c>
      <c r="D55" s="233">
        <f>(44.6*KFC!$B$33*1.02*1.25*1.1+KFC!$C$33)*KFC!$C$5</f>
        <v>62.551500000000019</v>
      </c>
      <c r="E55" s="233">
        <f>(48.7*KFC!$B$33*1.02*1.25*1.1+KFC!$C$33)*KFC!$C$5</f>
        <v>68.301750000000013</v>
      </c>
      <c r="F55" s="233">
        <f>(52.8*KFC!$B$33*1.02*1.25*1.1+KFC!$C$33)*KFC!$C$5</f>
        <v>74.051999999999992</v>
      </c>
      <c r="G55" s="233">
        <f>(56.9*KFC!$B$33*1.02*1.25*1.1+KFC!$C$33)*KFC!$C$5</f>
        <v>79.802250000000001</v>
      </c>
      <c r="H55" s="233">
        <f>(60.9*KFC!$B$33*1.02*1.25*1.1+KFC!$C$33)*KFC!$C$5</f>
        <v>85.412250000000014</v>
      </c>
      <c r="I55" s="233">
        <f>(64.9*KFC!$B$33*1.02*1.25*1.1+KFC!$C$33)*KFC!$C$5</f>
        <v>91.022250000000014</v>
      </c>
      <c r="J55" s="233">
        <f>(69*KFC!$B$33*1.02*1.25*1.1+KFC!$C$33)*KFC!$C$5</f>
        <v>96.772500000000008</v>
      </c>
      <c r="K55" s="233">
        <f>(73*KFC!$B$33*1.02*1.25*1.1+KFC!$C$33)*KFC!$C$5</f>
        <v>102.38250000000002</v>
      </c>
      <c r="L55" s="233">
        <f>(77.2*KFC!$B$33*1.02*1.25*1.1+KFC!$C$33)*KFC!$C$5</f>
        <v>108.27300000000001</v>
      </c>
      <c r="M55" s="233">
        <f>(81.2*KFC!$B$33*1.02*1.25*1.1+KFC!$C$33)*KFC!$C$5</f>
        <v>113.88300000000001</v>
      </c>
      <c r="N55" s="233">
        <f>(85.2*KFC!$B$33*1.02*1.25*1.1+KFC!$C$33)*KFC!$C$5</f>
        <v>119.49300000000002</v>
      </c>
      <c r="O55" s="233">
        <f>(89.3*KFC!$B$33*1.02*1.25*1.1+KFC!$C$33)*KFC!$C$5</f>
        <v>125.24325000000002</v>
      </c>
      <c r="P55" s="233">
        <f>(93.3*KFC!$B$33*1.02*1.25*1.1+KFC!$C$33)*KFC!$C$5</f>
        <v>130.85325</v>
      </c>
      <c r="Q55" s="233">
        <f>(97.4*KFC!$B$33*1.02*1.25*1.1+KFC!$C$33)*KFC!$C$5</f>
        <v>136.60350000000003</v>
      </c>
      <c r="R55" s="233">
        <f>(101.5*KFC!$B$33*1.02*1.25*1.1+KFC!$C$33)*KFC!$C$5</f>
        <v>142.35375000000002</v>
      </c>
      <c r="S55" s="233">
        <f>(105.5*KFC!$B$33*1.02*1.25*1.1+KFC!$C$33)*KFC!$C$5</f>
        <v>147.96375</v>
      </c>
      <c r="T55" s="233">
        <f>(109.6*KFC!$B$33*1.02*1.25*1.1+KFC!$C$33)*KFC!$C$5</f>
        <v>153.71400000000003</v>
      </c>
      <c r="U55" s="233">
        <f>(113.6*KFC!$B$33*1.02*1.25*1.1+KFC!$C$33)*KFC!$C$5</f>
        <v>159.32400000000001</v>
      </c>
      <c r="V55" s="233">
        <f>(117.7*KFC!$B$33*1.02*1.25*1.1+KFC!$C$33)*KFC!$C$5</f>
        <v>165.07425000000001</v>
      </c>
      <c r="W55" s="233">
        <f>(121.7*KFC!$B$33*1.02*1.25*1.1+KFC!$C$33)*KFC!$C$5</f>
        <v>170.68424999999999</v>
      </c>
      <c r="X55" s="233">
        <f>(125.8*KFC!$B$33*1.02*1.25*1.1+KFC!$C$33)*KFC!$C$5</f>
        <v>176.43450000000001</v>
      </c>
      <c r="Y55" s="233">
        <f>(129.9*KFC!$B$33*1.02*1.25*1.1+KFC!$C$33)*KFC!$C$5</f>
        <v>182.18475000000004</v>
      </c>
      <c r="Z55" s="233">
        <f>(133.9*KFC!$B$33*1.02*1.25*1.1+KFC!$C$33)*KFC!$C$5</f>
        <v>187.79475000000002</v>
      </c>
    </row>
    <row r="56" spans="1:26" ht="15.9" customHeight="1">
      <c r="A56" s="1912"/>
      <c r="B56" s="237">
        <v>1.3</v>
      </c>
      <c r="C56" s="239">
        <f>(41.5*KFC!$B$33*1.02*1.25*1.1+KFC!$C$33)*KFC!$C$5</f>
        <v>58.203749999999999</v>
      </c>
      <c r="D56" s="233">
        <f>(45.7*KFC!$B$33*1.02*1.25*1.1+KFC!$C$33)*KFC!$C$5</f>
        <v>64.094250000000017</v>
      </c>
      <c r="E56" s="233">
        <f>(49.9*KFC!$B$33*1.02*1.25*1.1+KFC!$C$33)*KFC!$C$5</f>
        <v>69.984750000000005</v>
      </c>
      <c r="F56" s="233">
        <f>(54.2*KFC!$B$33*1.02*1.25*1.1+KFC!$C$33)*KFC!$C$5</f>
        <v>76.015500000000017</v>
      </c>
      <c r="G56" s="233">
        <f>(58.3*KFC!$B$33*1.02*1.25*1.1+KFC!$C$33)*KFC!$C$5</f>
        <v>81.765749999999997</v>
      </c>
      <c r="H56" s="233">
        <f>(62.6*KFC!$B$33*1.02*1.25*1.1+KFC!$C$33)*KFC!$C$5</f>
        <v>87.796500000000009</v>
      </c>
      <c r="I56" s="233">
        <f>(66.8*KFC!$B$33*1.02*1.25*1.1+KFC!$C$33)*KFC!$C$5</f>
        <v>93.686999999999998</v>
      </c>
      <c r="J56" s="233">
        <f>(71.1*KFC!$B$33*1.02*1.25*1.1+KFC!$C$33)*KFC!$C$5</f>
        <v>99.717749999999995</v>
      </c>
      <c r="K56" s="233">
        <f>(75.2*KFC!$B$33*1.02*1.25*1.1+KFC!$C$33)*KFC!$C$5</f>
        <v>105.46800000000002</v>
      </c>
      <c r="L56" s="233">
        <f>(79.5*KFC!$B$33*1.02*1.25*1.1+KFC!$C$33)*KFC!$C$5</f>
        <v>111.49875000000002</v>
      </c>
      <c r="M56" s="233">
        <f>(83.7*KFC!$B$33*1.02*1.25*1.1+KFC!$C$33)*KFC!$C$5</f>
        <v>117.38925000000003</v>
      </c>
      <c r="N56" s="233">
        <f>(87.8*KFC!$B$33*1.02*1.25*1.1+KFC!$C$33)*KFC!$C$5</f>
        <v>123.1395</v>
      </c>
      <c r="O56" s="233">
        <f>(92.1*KFC!$B$33*1.02*1.25*1.1+KFC!$C$33)*KFC!$C$5</f>
        <v>129.17025000000001</v>
      </c>
      <c r="P56" s="233">
        <f>(96.3*KFC!$B$33*1.02*1.25*1.1+KFC!$C$33)*KFC!$C$5</f>
        <v>135.06075000000001</v>
      </c>
      <c r="Q56" s="233">
        <f>(100.5*KFC!$B$33*1.02*1.25*1.1+KFC!$C$33)*KFC!$C$5</f>
        <v>140.95125000000004</v>
      </c>
      <c r="R56" s="233">
        <f>(104.7*KFC!$B$33*1.02*1.25*1.1+KFC!$C$33)*KFC!$C$5</f>
        <v>146.84175000000002</v>
      </c>
      <c r="S56" s="233">
        <f>(109*KFC!$B$33*1.02*1.25*1.1+KFC!$C$33)*KFC!$C$5</f>
        <v>152.87250000000003</v>
      </c>
      <c r="T56" s="233">
        <f>(113.1*KFC!$B$33*1.02*1.25*1.1+KFC!$C$33)*KFC!$C$5</f>
        <v>158.62275</v>
      </c>
      <c r="U56" s="233">
        <f>(117.4*KFC!$B$33*1.02*1.25*1.1+KFC!$C$33)*KFC!$C$5</f>
        <v>164.65350000000001</v>
      </c>
      <c r="V56" s="233">
        <f>(121.6*KFC!$B$33*1.02*1.25*1.1+KFC!$C$33)*KFC!$C$5</f>
        <v>170.54400000000001</v>
      </c>
      <c r="W56" s="233">
        <f>(125.7*KFC!$B$33*1.02*1.25*1.1+KFC!$C$33)*KFC!$C$5</f>
        <v>176.29425000000001</v>
      </c>
      <c r="X56" s="233">
        <f>(130*KFC!$B$33*1.02*1.25*1.1+KFC!$C$33)*KFC!$C$5</f>
        <v>182.32500000000002</v>
      </c>
      <c r="Y56" s="233">
        <f>(134.2*KFC!$B$33*1.02*1.25*1.1+KFC!$C$33)*KFC!$C$5</f>
        <v>188.21549999999999</v>
      </c>
      <c r="Z56" s="233">
        <f>(138.4*KFC!$B$33*1.02*1.25*1.1+KFC!$C$33)*KFC!$C$5</f>
        <v>194.10600000000002</v>
      </c>
    </row>
    <row r="57" spans="1:26" ht="15.9" customHeight="1">
      <c r="A57" s="1912"/>
      <c r="B57" s="237">
        <v>1.4</v>
      </c>
      <c r="C57" s="239">
        <f>(42.4*KFC!$B$33*1.02*1.25*1.1+KFC!$C$33)*KFC!$C$5</f>
        <v>59.466000000000001</v>
      </c>
      <c r="D57" s="233">
        <f>(46.8*KFC!$B$33*1.02*1.25*1.1+KFC!$C$33)*KFC!$C$5</f>
        <v>65.637</v>
      </c>
      <c r="E57" s="233">
        <f>(51.1*KFC!$B$33*1.02*1.25*1.1+KFC!$C$33)*KFC!$C$5</f>
        <v>71.667750000000012</v>
      </c>
      <c r="F57" s="233">
        <f>(55.5*KFC!$B$33*1.02*1.25*1.1+KFC!$C$33)*KFC!$C$5</f>
        <v>77.838750000000005</v>
      </c>
      <c r="G57" s="233">
        <f>(59.9*KFC!$B$33*1.02*1.25*1.1+KFC!$C$33)*KFC!$C$5</f>
        <v>84.009750000000011</v>
      </c>
      <c r="H57" s="233">
        <f>(64.3*KFC!$B$33*1.02*1.25*1.1+KFC!$C$33)*KFC!$C$5</f>
        <v>90.180750000000003</v>
      </c>
      <c r="I57" s="233">
        <f>(68.6*KFC!$B$33*1.02*1.25*1.1+KFC!$C$33)*KFC!$C$5</f>
        <v>96.211500000000001</v>
      </c>
      <c r="J57" s="233">
        <f>(73*KFC!$B$33*1.02*1.25*1.1+KFC!$C$33)*KFC!$C$5</f>
        <v>102.38250000000002</v>
      </c>
      <c r="K57" s="233">
        <f>(77.4*KFC!$B$33*1.02*1.25*1.1+KFC!$C$33)*KFC!$C$5</f>
        <v>108.55350000000001</v>
      </c>
      <c r="L57" s="233">
        <f>(81.8*KFC!$B$33*1.02*1.25*1.1+KFC!$C$33)*KFC!$C$5</f>
        <v>114.72449999999999</v>
      </c>
      <c r="M57" s="233">
        <f>(86.1*KFC!$B$33*1.02*1.25*1.1+KFC!$C$33)*KFC!$C$5</f>
        <v>120.75525000000002</v>
      </c>
      <c r="N57" s="233">
        <f>(90.5*KFC!$B$33*1.02*1.25*1.1+KFC!$C$33)*KFC!$C$5</f>
        <v>126.92625000000001</v>
      </c>
      <c r="O57" s="233">
        <f>(94.9*KFC!$B$33*1.02*1.25*1.1+KFC!$C$33)*KFC!$C$5</f>
        <v>133.09725</v>
      </c>
      <c r="P57" s="233">
        <f>(99.2*KFC!$B$33*1.02*1.25*1.1+KFC!$C$33)*KFC!$C$5</f>
        <v>139.12800000000004</v>
      </c>
      <c r="Q57" s="233">
        <f>(103.6*KFC!$B$33*1.02*1.25*1.1+KFC!$C$33)*KFC!$C$5</f>
        <v>145.29900000000001</v>
      </c>
      <c r="R57" s="233">
        <f>(108*KFC!$B$33*1.02*1.25*1.1+KFC!$C$33)*KFC!$C$5</f>
        <v>151.47</v>
      </c>
      <c r="S57" s="233">
        <f>(112.4*KFC!$B$33*1.02*1.25*1.1+KFC!$C$33)*KFC!$C$5</f>
        <v>157.64100000000002</v>
      </c>
      <c r="T57" s="233">
        <f>(116.7*KFC!$B$33*1.02*1.25*1.1+KFC!$C$33)*KFC!$C$5</f>
        <v>163.67175000000003</v>
      </c>
      <c r="U57" s="233">
        <f>(121.1*KFC!$B$33*1.02*1.25*1.1+KFC!$C$33)*KFC!$C$5</f>
        <v>169.84275</v>
      </c>
      <c r="V57" s="233">
        <f>(125.5*KFC!$B$33*1.02*1.25*1.1+KFC!$C$33)*KFC!$C$5</f>
        <v>176.01375000000002</v>
      </c>
      <c r="W57" s="233">
        <f>(129.9*KFC!$B$33*1.02*1.25*1.1+KFC!$C$33)*KFC!$C$5</f>
        <v>182.18475000000004</v>
      </c>
      <c r="X57" s="233">
        <f>(134.2*KFC!$B$33*1.02*1.25*1.1+KFC!$C$33)*KFC!$C$5</f>
        <v>188.21549999999999</v>
      </c>
      <c r="Y57" s="233">
        <f>(138.6*KFC!$B$33*1.02*1.25*1.1+KFC!$C$33)*KFC!$C$5</f>
        <v>194.38649999999998</v>
      </c>
      <c r="Z57" s="233">
        <f>(143*KFC!$B$33*1.02*1.25*1.1+KFC!$C$33)*KFC!$C$5</f>
        <v>200.55750000000003</v>
      </c>
    </row>
    <row r="58" spans="1:26" ht="15.9" customHeight="1">
      <c r="A58" s="1912"/>
      <c r="B58" s="237">
        <v>1.5</v>
      </c>
      <c r="C58" s="239">
        <f>(43.3*KFC!$B$33*1.02*1.25*1.1+KFC!$C$33)*KFC!$C$5</f>
        <v>60.728250000000003</v>
      </c>
      <c r="D58" s="233">
        <f>(47.8*KFC!$B$33*1.02*1.25*1.1+KFC!$C$33)*KFC!$C$5</f>
        <v>67.039500000000004</v>
      </c>
      <c r="E58" s="233">
        <f>(52.3*KFC!$B$33*1.02*1.25*1.1+KFC!$C$33)*KFC!$C$5</f>
        <v>73.350749999999991</v>
      </c>
      <c r="F58" s="233">
        <f>(56.9*KFC!$B$33*1.02*1.25*1.1+KFC!$C$33)*KFC!$C$5</f>
        <v>79.802250000000001</v>
      </c>
      <c r="G58" s="233">
        <f>(61.4*KFC!$B$33*1.02*1.25*1.1+KFC!$C$33)*KFC!$C$5</f>
        <v>86.113500000000002</v>
      </c>
      <c r="H58" s="233">
        <f>(65.9*KFC!$B$33*1.02*1.25*1.1+KFC!$C$33)*KFC!$C$5</f>
        <v>92.424750000000017</v>
      </c>
      <c r="I58" s="233">
        <f>(70.4*KFC!$B$33*1.02*1.25*1.1+KFC!$C$33)*KFC!$C$5</f>
        <v>98.736000000000018</v>
      </c>
      <c r="J58" s="233">
        <f>(75*KFC!$B$33*1.02*1.25*1.1+KFC!$C$33)*KFC!$C$5</f>
        <v>105.18750000000001</v>
      </c>
      <c r="K58" s="233">
        <f>(79.5*KFC!$B$33*1.02*1.25*1.1+KFC!$C$33)*KFC!$C$5</f>
        <v>111.49875000000002</v>
      </c>
      <c r="L58" s="233">
        <f>(84.1*KFC!$B$33*1.02*1.25*1.1+KFC!$C$33)*KFC!$C$5</f>
        <v>117.95025</v>
      </c>
      <c r="M58" s="233">
        <f>(88.7*KFC!$B$33*1.02*1.25*1.1+KFC!$C$33)*KFC!$C$5</f>
        <v>124.40175000000001</v>
      </c>
      <c r="N58" s="233">
        <f>(93.2*KFC!$B$33*1.02*1.25*1.1+KFC!$C$33)*KFC!$C$5</f>
        <v>130.71300000000002</v>
      </c>
      <c r="O58" s="233">
        <f>(97.7*KFC!$B$33*1.02*1.25*1.1+KFC!$C$33)*KFC!$C$5</f>
        <v>137.02425000000002</v>
      </c>
      <c r="P58" s="233">
        <f>(102.2*KFC!$B$33*1.02*1.25*1.1+KFC!$C$33)*KFC!$C$5</f>
        <v>143.33550000000002</v>
      </c>
      <c r="Q58" s="233">
        <f>(106.8*KFC!$B$33*1.02*1.25*1.1+KFC!$C$33)*KFC!$C$5</f>
        <v>149.78700000000001</v>
      </c>
      <c r="R58" s="233">
        <f>(111.3*KFC!$B$33*1.02*1.25*1.1+KFC!$C$33)*KFC!$C$5</f>
        <v>156.09825000000001</v>
      </c>
      <c r="S58" s="233">
        <f>(115.8*KFC!$B$33*1.02*1.25*1.1+KFC!$C$33)*KFC!$C$5</f>
        <v>162.40950000000004</v>
      </c>
      <c r="T58" s="233">
        <f>(120.3*KFC!$B$33*1.02*1.25*1.1+KFC!$C$33)*KFC!$C$5</f>
        <v>168.72075000000001</v>
      </c>
      <c r="U58" s="233">
        <f>(124.9*KFC!$B$33*1.02*1.25*1.1+KFC!$C$33)*KFC!$C$5</f>
        <v>175.17225000000002</v>
      </c>
      <c r="V58" s="233">
        <f>(129.4*KFC!$B$33*1.02*1.25*1.1+KFC!$C$33)*KFC!$C$5</f>
        <v>181.48350000000002</v>
      </c>
      <c r="W58" s="233">
        <f>(133.9*KFC!$B$33*1.02*1.25*1.1+KFC!$C$33)*KFC!$C$5</f>
        <v>187.79475000000002</v>
      </c>
      <c r="X58" s="233">
        <f>(138.4*KFC!$B$33*1.02*1.25*1.1+KFC!$C$33)*KFC!$C$5</f>
        <v>194.10600000000002</v>
      </c>
      <c r="Y58" s="233">
        <f>(143*KFC!$B$33*1.02*1.25*1.1+KFC!$C$33)*KFC!$C$5</f>
        <v>200.55750000000003</v>
      </c>
      <c r="Z58" s="233">
        <f>(147.5*KFC!$B$33*1.02*1.25*1.1+KFC!$C$33)*KFC!$C$5</f>
        <v>206.86875000000001</v>
      </c>
    </row>
    <row r="59" spans="1:26" ht="15.9" customHeight="1">
      <c r="A59" s="1912"/>
      <c r="B59" s="237">
        <v>1.6</v>
      </c>
      <c r="C59" s="239">
        <f>(44.3*KFC!$B$33*1.02*1.25*1.1+KFC!$C$33)*KFC!$C$5</f>
        <v>62.130750000000006</v>
      </c>
      <c r="D59" s="233">
        <f>(48.9*KFC!$B$33*1.02*1.25*1.1+KFC!$C$33)*KFC!$C$5</f>
        <v>68.582250000000002</v>
      </c>
      <c r="E59" s="233">
        <f>(53.6*KFC!$B$33*1.02*1.25*1.1+KFC!$C$33)*KFC!$C$5</f>
        <v>75.174000000000007</v>
      </c>
      <c r="F59" s="233">
        <f>(58.3*KFC!$B$33*1.02*1.25*1.1+KFC!$C$33)*KFC!$C$5</f>
        <v>81.765749999999997</v>
      </c>
      <c r="G59" s="233">
        <f>(63*KFC!$B$33*1.02*1.25*1.1+KFC!$C$33)*KFC!$C$5</f>
        <v>88.357500000000016</v>
      </c>
      <c r="H59" s="233">
        <f>(67.6*KFC!$B$33*1.02*1.25*1.1+KFC!$C$33)*KFC!$C$5</f>
        <v>94.809000000000012</v>
      </c>
      <c r="I59" s="233">
        <f>(72.4*KFC!$B$33*1.02*1.25*1.1+KFC!$C$33)*KFC!$C$5</f>
        <v>101.54100000000003</v>
      </c>
      <c r="J59" s="233">
        <f>(77*KFC!$B$33*1.02*1.25*1.1+KFC!$C$33)*KFC!$C$5</f>
        <v>107.99250000000002</v>
      </c>
      <c r="K59" s="233">
        <f>(81.7*KFC!$B$33*1.02*1.25*1.1+KFC!$C$33)*KFC!$C$5</f>
        <v>114.58425000000001</v>
      </c>
      <c r="L59" s="233">
        <f>(86.5*KFC!$B$33*1.02*1.25*1.1+KFC!$C$33)*KFC!$C$5</f>
        <v>121.31625000000003</v>
      </c>
      <c r="M59" s="233">
        <f>(91.1*KFC!$B$33*1.02*1.25*1.1+KFC!$C$33)*KFC!$C$5</f>
        <v>127.76775000000002</v>
      </c>
      <c r="N59" s="233">
        <f>(95.8*KFC!$B$33*1.02*1.25*1.1+KFC!$C$33)*KFC!$C$5</f>
        <v>134.3595</v>
      </c>
      <c r="O59" s="233">
        <f>(100.4*KFC!$B$33*1.02*1.25*1.1+KFC!$C$33)*KFC!$C$5</f>
        <v>140.81100000000001</v>
      </c>
      <c r="P59" s="233">
        <f>(105.2*KFC!$B$33*1.02*1.25*1.1+KFC!$C$33)*KFC!$C$5</f>
        <v>147.54300000000001</v>
      </c>
      <c r="Q59" s="233">
        <f>(109.8*KFC!$B$33*1.02*1.25*1.1+KFC!$C$33)*KFC!$C$5</f>
        <v>153.99450000000002</v>
      </c>
      <c r="R59" s="233">
        <f>(114.5*KFC!$B$33*1.02*1.25*1.1+KFC!$C$33)*KFC!$C$5</f>
        <v>160.58625000000004</v>
      </c>
      <c r="S59" s="233">
        <f>(119.2*KFC!$B$33*1.02*1.25*1.1+KFC!$C$33)*KFC!$C$5</f>
        <v>167.17800000000003</v>
      </c>
      <c r="T59" s="233">
        <f>(123.9*KFC!$B$33*1.02*1.25*1.1+KFC!$C$33)*KFC!$C$5</f>
        <v>173.76975000000004</v>
      </c>
      <c r="U59" s="233">
        <f>(128.5*KFC!$B$33*1.02*1.25*1.1+KFC!$C$33)*KFC!$C$5</f>
        <v>180.22125</v>
      </c>
      <c r="V59" s="233">
        <f>(133.3*KFC!$B$33*1.02*1.25*1.1+KFC!$C$33)*KFC!$C$5</f>
        <v>186.95325000000003</v>
      </c>
      <c r="W59" s="233">
        <f>(138*KFC!$B$33*1.02*1.25*1.1+KFC!$C$33)*KFC!$C$5</f>
        <v>193.54500000000002</v>
      </c>
      <c r="X59" s="233">
        <f>(142.6*KFC!$B$33*1.02*1.25*1.1+KFC!$C$33)*KFC!$C$5</f>
        <v>199.99650000000003</v>
      </c>
      <c r="Y59" s="233">
        <f>(147.4*KFC!$B$33*1.02*1.25*1.1+KFC!$C$33)*KFC!$C$5</f>
        <v>206.72850000000003</v>
      </c>
      <c r="Z59" s="233">
        <f>(152*KFC!$B$33*1.02*1.25*1.1+KFC!$C$33)*KFC!$C$5</f>
        <v>213.18</v>
      </c>
    </row>
    <row r="60" spans="1:26" ht="15.9" customHeight="1">
      <c r="A60" s="1912"/>
      <c r="B60" s="237">
        <v>1.7</v>
      </c>
      <c r="C60" s="239">
        <f>(45.1*KFC!$B$33*1.02*1.25*1.1+KFC!$C$33)*KFC!$C$5</f>
        <v>63.252750000000013</v>
      </c>
      <c r="D60" s="233">
        <f>(50*KFC!$B$33*1.02*1.25*1.1+KFC!$C$33)*KFC!$C$5</f>
        <v>70.125</v>
      </c>
      <c r="E60" s="233">
        <f>(54.8*KFC!$B$33*1.02*1.25*1.1+KFC!$C$33)*KFC!$C$5</f>
        <v>76.857000000000014</v>
      </c>
      <c r="F60" s="233">
        <f>(59.7*KFC!$B$33*1.02*1.25*1.1+KFC!$C$33)*KFC!$C$5</f>
        <v>83.729250000000008</v>
      </c>
      <c r="G60" s="233">
        <f>(64.6*KFC!$B$33*1.02*1.25*1.1+KFC!$C$33)*KFC!$C$5</f>
        <v>90.601500000000001</v>
      </c>
      <c r="H60" s="233">
        <f>(69.3*KFC!$B$33*1.02*1.25*1.1+KFC!$C$33)*KFC!$C$5</f>
        <v>97.193249999999992</v>
      </c>
      <c r="I60" s="233">
        <f>(74.2*KFC!$B$33*1.02*1.25*1.1+KFC!$C$33)*KFC!$C$5</f>
        <v>104.0655</v>
      </c>
      <c r="J60" s="233">
        <f>(79*KFC!$B$33*1.02*1.25*1.1+KFC!$C$33)*KFC!$C$5</f>
        <v>110.7975</v>
      </c>
      <c r="K60" s="233">
        <f>(83.9*KFC!$B$33*1.02*1.25*1.1+KFC!$C$33)*KFC!$C$5</f>
        <v>117.66975000000001</v>
      </c>
      <c r="L60" s="233">
        <f>(88.8*KFC!$B$33*1.02*1.25*1.1+KFC!$C$33)*KFC!$C$5</f>
        <v>124.54200000000002</v>
      </c>
      <c r="M60" s="233">
        <f>(93.6*KFC!$B$33*1.02*1.25*1.1+KFC!$C$33)*KFC!$C$5</f>
        <v>131.274</v>
      </c>
      <c r="N60" s="233">
        <f>(98.5*KFC!$B$33*1.02*1.25*1.1+KFC!$C$33)*KFC!$C$5</f>
        <v>138.14625000000001</v>
      </c>
      <c r="O60" s="233">
        <f>(103.2*KFC!$B$33*1.02*1.25*1.1+KFC!$C$33)*KFC!$C$5</f>
        <v>144.73800000000003</v>
      </c>
      <c r="P60" s="233">
        <f>(108.1*KFC!$B$33*1.02*1.25*1.1+KFC!$C$33)*KFC!$C$5</f>
        <v>151.61025000000001</v>
      </c>
      <c r="Q60" s="233">
        <f>(112.9*KFC!$B$33*1.02*1.25*1.1+KFC!$C$33)*KFC!$C$5</f>
        <v>158.34225000000001</v>
      </c>
      <c r="R60" s="233">
        <f>(117.8*KFC!$B$33*1.02*1.25*1.1+KFC!$C$33)*KFC!$C$5</f>
        <v>165.21450000000002</v>
      </c>
      <c r="S60" s="233">
        <f>(122.7*KFC!$B$33*1.02*1.25*1.1+KFC!$C$33)*KFC!$C$5</f>
        <v>172.08675000000005</v>
      </c>
      <c r="T60" s="233">
        <f>(127.4*KFC!$B$33*1.02*1.25*1.1+KFC!$C$33)*KFC!$C$5</f>
        <v>178.67850000000001</v>
      </c>
      <c r="U60" s="233">
        <f>(132.3*KFC!$B$33*1.02*1.25*1.1+KFC!$C$33)*KFC!$C$5</f>
        <v>185.55075000000005</v>
      </c>
      <c r="V60" s="233">
        <f>(137.1*KFC!$B$33*1.02*1.25*1.1+KFC!$C$33)*KFC!$C$5</f>
        <v>192.28274999999999</v>
      </c>
      <c r="W60" s="233">
        <f>(142*KFC!$B$33*1.02*1.25*1.1+KFC!$C$33)*KFC!$C$5</f>
        <v>199.15500000000003</v>
      </c>
      <c r="X60" s="233">
        <f>(146.9*KFC!$B$33*1.02*1.25*1.1+KFC!$C$33)*KFC!$C$5</f>
        <v>206.02725000000004</v>
      </c>
      <c r="Y60" s="233">
        <f>(151.7*KFC!$B$33*1.02*1.25*1.1+KFC!$C$33)*KFC!$C$5</f>
        <v>212.75924999999998</v>
      </c>
      <c r="Z60" s="233">
        <f>(156.5*KFC!$B$33*1.02*1.25*1.1+KFC!$C$33)*KFC!$C$5</f>
        <v>219.49125000000001</v>
      </c>
    </row>
    <row r="61" spans="1:26" ht="15.9" customHeight="1">
      <c r="A61" s="1912"/>
      <c r="B61" s="237">
        <v>1.8</v>
      </c>
      <c r="C61" s="239">
        <f>(46.1*KFC!$B$33*1.02*1.25*1.1+KFC!$C$33)*KFC!$C$5</f>
        <v>64.655250000000009</v>
      </c>
      <c r="D61" s="233">
        <f>(51*KFC!$B$33*1.02*1.25*1.1+KFC!$C$33)*KFC!$C$5</f>
        <v>71.527500000000018</v>
      </c>
      <c r="E61" s="233">
        <f>(56*KFC!$B$33*1.02*1.25*1.1+KFC!$C$33)*KFC!$C$5</f>
        <v>78.540000000000006</v>
      </c>
      <c r="F61" s="233">
        <f>(61*KFC!$B$33*1.02*1.25*1.1+KFC!$C$33)*KFC!$C$5</f>
        <v>85.552500000000009</v>
      </c>
      <c r="G61" s="233">
        <f>(66*KFC!$B$33*1.02*1.25*1.1+KFC!$C$33)*KFC!$C$5</f>
        <v>92.565000000000012</v>
      </c>
      <c r="H61" s="233">
        <f>(71.1*KFC!$B$33*1.02*1.25*1.1+KFC!$C$33)*KFC!$C$5</f>
        <v>99.717749999999995</v>
      </c>
      <c r="I61" s="233">
        <f>(76.1*KFC!$B$33*1.02*1.25*1.1+KFC!$C$33)*KFC!$C$5</f>
        <v>106.73025000000001</v>
      </c>
      <c r="J61" s="233">
        <f>(81.1*KFC!$B$33*1.02*1.25*1.1+KFC!$C$33)*KFC!$C$5</f>
        <v>113.74275</v>
      </c>
      <c r="K61" s="233">
        <f>(86.1*KFC!$B$33*1.02*1.25*1.1+KFC!$C$33)*KFC!$C$5</f>
        <v>120.75525000000002</v>
      </c>
      <c r="L61" s="233">
        <f>(91.1*KFC!$B$33*1.02*1.25*1.1+KFC!$C$33)*KFC!$C$5</f>
        <v>127.76775000000002</v>
      </c>
      <c r="M61" s="233">
        <f>(96*KFC!$B$33*1.02*1.25*1.1+KFC!$C$33)*KFC!$C$5</f>
        <v>134.64000000000001</v>
      </c>
      <c r="N61" s="233">
        <f>(101*KFC!$B$33*1.02*1.25*1.1+KFC!$C$33)*KFC!$C$5</f>
        <v>141.65250000000003</v>
      </c>
      <c r="O61" s="233">
        <f>(106*KFC!$B$33*1.02*1.25*1.1+KFC!$C$33)*KFC!$C$5</f>
        <v>148.66500000000002</v>
      </c>
      <c r="P61" s="233">
        <f>(111*KFC!$B$33*1.02*1.25*1.1+KFC!$C$33)*KFC!$C$5</f>
        <v>155.67750000000001</v>
      </c>
      <c r="Q61" s="233">
        <f>(116.1*KFC!$B$33*1.02*1.25*1.1+KFC!$C$33)*KFC!$C$5</f>
        <v>162.83025000000001</v>
      </c>
      <c r="R61" s="233">
        <f>(121.1*KFC!$B$33*1.02*1.25*1.1+KFC!$C$33)*KFC!$C$5</f>
        <v>169.84275</v>
      </c>
      <c r="S61" s="233">
        <f>(126.1*KFC!$B$33*1.02*1.25*1.1+KFC!$C$33)*KFC!$C$5</f>
        <v>176.85524999999998</v>
      </c>
      <c r="T61" s="233">
        <f>(131.1*KFC!$B$33*1.02*1.25*1.1+KFC!$C$33)*KFC!$C$5</f>
        <v>183.86775000000003</v>
      </c>
      <c r="U61" s="233">
        <f>(136*KFC!$B$33*1.02*1.25*1.1+KFC!$C$33)*KFC!$C$5</f>
        <v>190.74</v>
      </c>
      <c r="V61" s="233">
        <f>(141*KFC!$B$33*1.02*1.25*1.1+KFC!$C$33)*KFC!$C$5</f>
        <v>197.7525</v>
      </c>
      <c r="W61" s="233">
        <f>(146*KFC!$B$33*1.02*1.25*1.1+KFC!$C$33)*KFC!$C$5</f>
        <v>204.76500000000004</v>
      </c>
      <c r="X61" s="233">
        <f>(151*KFC!$B$33*1.02*1.25*1.1+KFC!$C$33)*KFC!$C$5</f>
        <v>211.77750000000003</v>
      </c>
      <c r="Y61" s="233">
        <f>(156.1*KFC!$B$33*1.02*1.25*1.1+KFC!$C$33)*KFC!$C$5</f>
        <v>218.93025000000003</v>
      </c>
      <c r="Z61" s="233">
        <f>(161.1*KFC!$B$33*1.02*1.25*1.1+KFC!$C$33)*KFC!$C$5</f>
        <v>225.94275000000002</v>
      </c>
    </row>
    <row r="62" spans="1:26" ht="15.9" customHeight="1">
      <c r="A62" s="1912"/>
      <c r="B62" s="237">
        <v>1.9</v>
      </c>
      <c r="C62" s="239">
        <f>(47*KFC!$B$33*1.02*1.25*1.1+KFC!$C$33)*KFC!$C$5</f>
        <v>65.917500000000004</v>
      </c>
      <c r="D62" s="233">
        <f>(52.1*KFC!$B$33*1.02*1.25*1.1+KFC!$C$33)*KFC!$C$5</f>
        <v>73.070250000000016</v>
      </c>
      <c r="E62" s="233">
        <f>(57.2*KFC!$B$33*1.02*1.25*1.1+KFC!$C$33)*KFC!$C$5</f>
        <v>80.223000000000013</v>
      </c>
      <c r="F62" s="233">
        <f>(62.5*KFC!$B$33*1.02*1.25*1.1+KFC!$C$33)*KFC!$C$5</f>
        <v>87.65625</v>
      </c>
      <c r="G62" s="233">
        <f>(67.6*KFC!$B$33*1.02*1.25*1.1+KFC!$C$33)*KFC!$C$5</f>
        <v>94.809000000000012</v>
      </c>
      <c r="H62" s="233">
        <f>(72.8*KFC!$B$33*1.02*1.25*1.1+KFC!$C$33)*KFC!$C$5</f>
        <v>102.102</v>
      </c>
      <c r="I62" s="233">
        <f>(77.9*KFC!$B$33*1.02*1.25*1.1+KFC!$C$33)*KFC!$C$5</f>
        <v>109.25475000000003</v>
      </c>
      <c r="J62" s="233">
        <f>(83*KFC!$B$33*1.02*1.25*1.1+KFC!$C$33)*KFC!$C$5</f>
        <v>116.4075</v>
      </c>
      <c r="K62" s="233">
        <f>(88.2*KFC!$B$33*1.02*1.25*1.1+KFC!$C$33)*KFC!$C$5</f>
        <v>123.70050000000001</v>
      </c>
      <c r="L62" s="233">
        <f>(93.4*KFC!$B$33*1.02*1.25*1.1+KFC!$C$33)*KFC!$C$5</f>
        <v>130.99350000000001</v>
      </c>
      <c r="M62" s="233">
        <f>(98.6*KFC!$B$33*1.02*1.25*1.1+KFC!$C$33)*KFC!$C$5</f>
        <v>138.28650000000002</v>
      </c>
      <c r="N62" s="233">
        <f>(103.7*KFC!$B$33*1.02*1.25*1.1+KFC!$C$33)*KFC!$C$5</f>
        <v>145.43925000000002</v>
      </c>
      <c r="O62" s="233">
        <f>(108.8*KFC!$B$33*1.02*1.25*1.1+KFC!$C$33)*KFC!$C$5</f>
        <v>152.59200000000001</v>
      </c>
      <c r="P62" s="233">
        <f>(114*KFC!$B$33*1.02*1.25*1.1+KFC!$C$33)*KFC!$C$5</f>
        <v>159.88500000000002</v>
      </c>
      <c r="Q62" s="233">
        <f>(119.1*KFC!$B$33*1.02*1.25*1.1+KFC!$C$33)*KFC!$C$5</f>
        <v>167.03775000000002</v>
      </c>
      <c r="R62" s="233">
        <f>(124.4*KFC!$B$33*1.02*1.25*1.1+KFC!$C$33)*KFC!$C$5</f>
        <v>174.47100000000003</v>
      </c>
      <c r="S62" s="233">
        <f>(129.5*KFC!$B$33*1.02*1.25*1.1+KFC!$C$33)*KFC!$C$5</f>
        <v>181.62375000000003</v>
      </c>
      <c r="T62" s="233">
        <f>(134.7*KFC!$B$33*1.02*1.25*1.1+KFC!$C$33)*KFC!$C$5</f>
        <v>188.91674999999998</v>
      </c>
      <c r="U62" s="233">
        <f>(139.8*KFC!$B$33*1.02*1.25*1.1+KFC!$C$33)*KFC!$C$5</f>
        <v>196.06950000000003</v>
      </c>
      <c r="V62" s="233">
        <f>(144.9*KFC!$B$33*1.02*1.25*1.1+KFC!$C$33)*KFC!$C$5</f>
        <v>203.22225000000003</v>
      </c>
      <c r="W62" s="233">
        <f>(150.1*KFC!$B$33*1.02*1.25*1.1+KFC!$C$33)*KFC!$C$5</f>
        <v>210.51525000000001</v>
      </c>
      <c r="X62" s="233">
        <f>(155.3*KFC!$B$33*1.02*1.25*1.1+KFC!$C$33)*KFC!$C$5</f>
        <v>217.80825000000002</v>
      </c>
      <c r="Y62" s="233">
        <f>(160.5*KFC!$B$33*1.02*1.25*1.1+KFC!$C$33)*KFC!$C$5</f>
        <v>225.10125000000005</v>
      </c>
      <c r="Z62" s="233">
        <f>(165.6*KFC!$B$33*1.02*1.25*1.1+KFC!$C$33)*KFC!$C$5</f>
        <v>232.25400000000005</v>
      </c>
    </row>
    <row r="63" spans="1:26" ht="15.9" customHeight="1">
      <c r="A63" s="1912"/>
      <c r="B63" s="237">
        <v>2</v>
      </c>
      <c r="C63" s="239">
        <f>(47.8*KFC!$B$33*1.02*1.25*1.1+KFC!$C$33)*KFC!$C$5</f>
        <v>67.039500000000004</v>
      </c>
      <c r="D63" s="233">
        <f>(53.2*KFC!$B$33*1.02*1.25*1.1+KFC!$C$33)*KFC!$C$5</f>
        <v>74.613</v>
      </c>
      <c r="E63" s="233">
        <f>(58.5*KFC!$B$33*1.02*1.25*1.1+KFC!$C$33)*KFC!$C$5</f>
        <v>82.046250000000015</v>
      </c>
      <c r="F63" s="233">
        <f>(63.8*KFC!$B$33*1.02*1.25*1.1+KFC!$C$33)*KFC!$C$5</f>
        <v>89.479500000000002</v>
      </c>
      <c r="G63" s="233">
        <f>(69.1*KFC!$B$33*1.02*1.25*1.1+KFC!$C$33)*KFC!$C$5</f>
        <v>96.912750000000003</v>
      </c>
      <c r="H63" s="233">
        <f>(74.5*KFC!$B$33*1.02*1.25*1.1+KFC!$C$33)*KFC!$C$5</f>
        <v>104.48625</v>
      </c>
      <c r="I63" s="233">
        <f>(79.7*KFC!$B$33*1.02*1.25*1.1+KFC!$C$33)*KFC!$C$5</f>
        <v>111.77925000000002</v>
      </c>
      <c r="J63" s="233">
        <f>(85.1*KFC!$B$33*1.02*1.25*1.1+KFC!$C$33)*KFC!$C$5</f>
        <v>119.35275</v>
      </c>
      <c r="K63" s="233">
        <f>(90.4*KFC!$B$33*1.02*1.25*1.1+KFC!$C$33)*KFC!$C$5</f>
        <v>126.78600000000003</v>
      </c>
      <c r="L63" s="233">
        <f>(95.8*KFC!$B$33*1.02*1.25*1.1+KFC!$C$33)*KFC!$C$5</f>
        <v>134.3595</v>
      </c>
      <c r="M63" s="233">
        <f>(101*KFC!$B$33*1.02*1.25*1.1+KFC!$C$33)*KFC!$C$5</f>
        <v>141.65250000000003</v>
      </c>
      <c r="N63" s="233">
        <f>(106.3*KFC!$B$33*1.02*1.25*1.1+KFC!$C$33)*KFC!$C$5</f>
        <v>149.08575000000002</v>
      </c>
      <c r="O63" s="233">
        <f>(111.7*KFC!$B$33*1.02*1.25*1.1+KFC!$C$33)*KFC!$C$5</f>
        <v>156.65925000000004</v>
      </c>
      <c r="P63" s="233">
        <f>(116.9*KFC!$B$33*1.02*1.25*1.1+KFC!$C$33)*KFC!$C$5</f>
        <v>163.95225000000002</v>
      </c>
      <c r="Q63" s="233">
        <f>(122.3*KFC!$B$33*1.02*1.25*1.1+KFC!$C$33)*KFC!$C$5</f>
        <v>171.52575000000002</v>
      </c>
      <c r="R63" s="233">
        <f>(127.6*KFC!$B$33*1.02*1.25*1.1+KFC!$C$33)*KFC!$C$5</f>
        <v>178.959</v>
      </c>
      <c r="S63" s="233">
        <f>(132.9*KFC!$B$33*1.02*1.25*1.1+KFC!$C$33)*KFC!$C$5</f>
        <v>186.39225000000005</v>
      </c>
      <c r="T63" s="233">
        <f>(138.2*KFC!$B$33*1.02*1.25*1.1+KFC!$C$33)*KFC!$C$5</f>
        <v>193.82550000000001</v>
      </c>
      <c r="U63" s="233">
        <f>(153.6*KFC!$B$33*1.02*1.25*1.1+KFC!$C$33)*KFC!$C$5</f>
        <v>215.42400000000004</v>
      </c>
      <c r="V63" s="233">
        <f>(148.8*KFC!$B$33*1.02*1.25*1.1+KFC!$C$33)*KFC!$C$5</f>
        <v>208.69200000000004</v>
      </c>
      <c r="W63" s="233">
        <f>(154.1*KFC!$B$33*1.02*1.25*1.1+KFC!$C$33)*KFC!$C$5</f>
        <v>216.12525000000002</v>
      </c>
      <c r="X63" s="233">
        <f>(159.5*KFC!$B$33*1.02*1.25*1.1+KFC!$C$33)*KFC!$C$5</f>
        <v>223.69875000000002</v>
      </c>
      <c r="Y63" s="233">
        <f>(164.7*KFC!$B$33*1.02*1.25*1.1+KFC!$C$33)*KFC!$C$5</f>
        <v>230.99175000000002</v>
      </c>
      <c r="Z63" s="233">
        <f>(170.1*KFC!$B$33*1.02*1.25*1.1+KFC!$C$33)*KFC!$C$5</f>
        <v>238.56525000000002</v>
      </c>
    </row>
    <row r="64" spans="1:26" ht="15.9" customHeight="1">
      <c r="A64" s="1912"/>
      <c r="B64" s="237">
        <v>2.1</v>
      </c>
      <c r="C64" s="239">
        <f>(48.8*KFC!$B$33*1.02*1.25*1.1+KFC!$C$33)*KFC!$C$5</f>
        <v>68.442000000000007</v>
      </c>
      <c r="D64" s="233">
        <f>(54.3*KFC!$B$33*1.02*1.25*1.1+KFC!$C$33)*KFC!$C$5</f>
        <v>76.155749999999998</v>
      </c>
      <c r="E64" s="233">
        <f>(59.7*KFC!$B$33*1.02*1.25*1.1+KFC!$C$33)*KFC!$C$5</f>
        <v>83.729250000000008</v>
      </c>
      <c r="F64" s="233">
        <f>(65.2*KFC!$B$33*1.02*1.25*1.1+KFC!$C$33)*KFC!$C$5</f>
        <v>91.443000000000012</v>
      </c>
      <c r="G64" s="233">
        <f>(70.7*KFC!$B$33*1.02*1.25*1.1+KFC!$C$33)*KFC!$C$5</f>
        <v>99.156750000000017</v>
      </c>
      <c r="H64" s="233">
        <f>(76.2*KFC!$B$33*1.02*1.25*1.1+KFC!$C$33)*KFC!$C$5</f>
        <v>106.87050000000001</v>
      </c>
      <c r="I64" s="233">
        <f>(81.6*KFC!$B$33*1.02*1.25*1.1+KFC!$C$33)*KFC!$C$5</f>
        <v>114.444</v>
      </c>
      <c r="J64" s="233">
        <f>(87.1*KFC!$B$33*1.02*1.25*1.1+KFC!$C$33)*KFC!$C$5</f>
        <v>122.15775000000001</v>
      </c>
      <c r="K64" s="233">
        <f>(92.6*KFC!$B$33*1.02*1.25*1.1+KFC!$C$33)*KFC!$C$5</f>
        <v>129.8715</v>
      </c>
      <c r="L64" s="233">
        <f>(98.1*KFC!$B$33*1.02*1.25*1.1+KFC!$C$33)*KFC!$C$5</f>
        <v>137.58525</v>
      </c>
      <c r="M64" s="233">
        <f>(103.5*KFC!$B$33*1.02*1.25*1.1+KFC!$C$33)*KFC!$C$5</f>
        <v>145.15875000000003</v>
      </c>
      <c r="N64" s="233">
        <f>(109*KFC!$B$33*1.02*1.25*1.1+KFC!$C$33)*KFC!$C$5</f>
        <v>152.87250000000003</v>
      </c>
      <c r="O64" s="233">
        <f>(114.5*KFC!$B$33*1.02*1.25*1.1+KFC!$C$33)*KFC!$C$5</f>
        <v>160.58625000000004</v>
      </c>
      <c r="P64" s="233">
        <f>(119.9*KFC!$B$33*1.02*1.25*1.1+KFC!$C$33)*KFC!$C$5</f>
        <v>168.15975</v>
      </c>
      <c r="Q64" s="233">
        <f>(125.4*KFC!$B$33*1.02*1.25*1.1+KFC!$C$33)*KFC!$C$5</f>
        <v>175.87350000000001</v>
      </c>
      <c r="R64" s="233">
        <f>(130.9*KFC!$B$33*1.02*1.25*1.1+KFC!$C$33)*KFC!$C$5</f>
        <v>183.58725000000001</v>
      </c>
      <c r="S64" s="233">
        <f>(136.4*KFC!$B$33*1.02*1.25*1.1+KFC!$C$33)*KFC!$C$5</f>
        <v>191.30100000000004</v>
      </c>
      <c r="T64" s="233">
        <f>(141.7*KFC!$B$33*1.02*1.25*1.1+KFC!$C$33)*KFC!$C$5</f>
        <v>198.73425</v>
      </c>
      <c r="U64" s="233">
        <f>(147.2*KFC!$B$33*1.02*1.25*1.1+KFC!$C$33)*KFC!$C$5</f>
        <v>206.44799999999998</v>
      </c>
      <c r="V64" s="233">
        <f>(152.8*KFC!$B$33*1.02*1.25*1.1+KFC!$C$33)*KFC!$C$5</f>
        <v>214.30200000000005</v>
      </c>
      <c r="W64" s="233">
        <f>(158.3*KFC!$B$33*1.02*1.25*1.1+KFC!$C$33)*KFC!$C$5</f>
        <v>222.01575000000003</v>
      </c>
      <c r="X64" s="233">
        <f>(163.6*KFC!$B$33*1.02*1.25*1.1+KFC!$C$33)*KFC!$C$5</f>
        <v>229.44899999999998</v>
      </c>
      <c r="Y64" s="233">
        <f>(169.1*KFC!$B$33*1.02*1.25*1.1+KFC!$C$33)*KFC!$C$5</f>
        <v>237.16275000000002</v>
      </c>
      <c r="Z64" s="233">
        <f>(174.6*KFC!$B$33*1.02*1.25*1.1+KFC!$C$33)*KFC!$C$5</f>
        <v>244.87649999999999</v>
      </c>
    </row>
    <row r="65" spans="1:26" ht="15.9" customHeight="1">
      <c r="A65" s="1912"/>
      <c r="B65" s="237">
        <v>2.2000000000000002</v>
      </c>
      <c r="C65" s="239">
        <f>(49.7*KFC!$B$33*1.02*1.25*1.1+KFC!$C$33)*KFC!$C$5</f>
        <v>69.704250000000016</v>
      </c>
      <c r="D65" s="233">
        <f>(55.3*KFC!$B$33*1.02*1.25*1.1+KFC!$C$33)*KFC!$C$5</f>
        <v>77.558250000000001</v>
      </c>
      <c r="E65" s="233">
        <f>(60.9*KFC!$B$33*1.02*1.25*1.1+KFC!$C$33)*KFC!$C$5</f>
        <v>85.412250000000014</v>
      </c>
      <c r="F65" s="233">
        <f>(66.5*KFC!$B$33*1.02*1.25*1.1+KFC!$C$33)*KFC!$C$5</f>
        <v>93.266249999999999</v>
      </c>
      <c r="G65" s="233">
        <f>(72.2*KFC!$B$33*1.02*1.25*1.1+KFC!$C$33)*KFC!$C$5</f>
        <v>101.26050000000002</v>
      </c>
      <c r="H65" s="233">
        <f>(77.8*KFC!$B$33*1.02*1.25*1.1+KFC!$C$33)*KFC!$C$5</f>
        <v>109.11450000000001</v>
      </c>
      <c r="I65" s="233">
        <f>(83.4*KFC!$B$33*1.02*1.25*1.1+KFC!$C$33)*KFC!$C$5</f>
        <v>116.96850000000002</v>
      </c>
      <c r="J65" s="233">
        <f>(89*KFC!$B$33*1.02*1.25*1.1+KFC!$C$33)*KFC!$C$5</f>
        <v>124.82250000000001</v>
      </c>
      <c r="K65" s="233">
        <f>(94.7*KFC!$B$33*1.02*1.25*1.1+KFC!$C$33)*KFC!$C$5</f>
        <v>132.81675000000001</v>
      </c>
      <c r="L65" s="233">
        <f>(100.4*KFC!$B$33*1.02*1.25*1.1+KFC!$C$33)*KFC!$C$5</f>
        <v>140.81100000000001</v>
      </c>
      <c r="M65" s="233">
        <f>(106*KFC!$B$33*1.02*1.25*1.1+KFC!$C$33)*KFC!$C$5</f>
        <v>148.66500000000002</v>
      </c>
      <c r="N65" s="233">
        <f>(111.7*KFC!$B$33*1.02*1.25*1.1+KFC!$C$33)*KFC!$C$5</f>
        <v>156.65925000000004</v>
      </c>
      <c r="O65" s="233">
        <f>(117.3*KFC!$B$33*1.02*1.25*1.1+KFC!$C$33)*KFC!$C$5</f>
        <v>164.51325000000003</v>
      </c>
      <c r="P65" s="233">
        <f>(122.9*KFC!$B$33*1.02*1.25*1.1+KFC!$C$33)*KFC!$C$5</f>
        <v>172.36725000000001</v>
      </c>
      <c r="Q65" s="233">
        <f>(128.5*KFC!$B$33*1.02*1.25*1.1+KFC!$C$33)*KFC!$C$5</f>
        <v>180.22125</v>
      </c>
      <c r="R65" s="233">
        <f>(134.2*KFC!$B$33*1.02*1.25*1.1+KFC!$C$33)*KFC!$C$5</f>
        <v>188.21549999999999</v>
      </c>
      <c r="S65" s="233">
        <f>(139.8*KFC!$B$33*1.02*1.25*1.1+KFC!$C$33)*KFC!$C$5</f>
        <v>196.06950000000003</v>
      </c>
      <c r="T65" s="233">
        <f>(145.4*KFC!$B$33*1.02*1.25*1.1+KFC!$C$33)*KFC!$C$5</f>
        <v>203.92350000000005</v>
      </c>
      <c r="U65" s="233">
        <f>(151*KFC!$B$33*1.02*1.25*1.1+KFC!$C$33)*KFC!$C$5</f>
        <v>211.77750000000003</v>
      </c>
      <c r="V65" s="233">
        <f>(156.7*KFC!$B$33*1.02*1.25*1.1+KFC!$C$33)*KFC!$C$5</f>
        <v>219.77175000000003</v>
      </c>
      <c r="W65" s="233">
        <f>(162.3*KFC!$B$33*1.02*1.25*1.1+KFC!$C$33)*KFC!$C$5</f>
        <v>227.62575000000007</v>
      </c>
      <c r="X65" s="233">
        <f>(167.9*KFC!$B$33*1.02*1.25*1.1+KFC!$C$33)*KFC!$C$5</f>
        <v>235.47975000000005</v>
      </c>
      <c r="Y65" s="233">
        <f>(173.5*KFC!$B$33*1.02*1.25*1.1+KFC!$C$33)*KFC!$C$5</f>
        <v>243.33375000000004</v>
      </c>
      <c r="Z65" s="233">
        <f>(179.2*KFC!$B$33*1.02*1.25*1.1+KFC!$C$33)*KFC!$C$5</f>
        <v>251.328</v>
      </c>
    </row>
    <row r="66" spans="1:26" ht="15.9" customHeight="1">
      <c r="A66" s="1912"/>
      <c r="B66" s="237">
        <v>2.2999999999999998</v>
      </c>
      <c r="C66" s="239">
        <f>(50.6*KFC!$B$33*1.02*1.25*1.1+KFC!$C$33)*KFC!$C$5</f>
        <v>70.966500000000011</v>
      </c>
      <c r="D66" s="233">
        <f>(56.4*KFC!$B$33*1.02*1.25*1.1+KFC!$C$33)*KFC!$C$5</f>
        <v>79.100999999999999</v>
      </c>
      <c r="E66" s="233">
        <f>(62.1*KFC!$B$33*1.02*1.25*1.1+KFC!$C$33)*KFC!$C$5</f>
        <v>87.095250000000021</v>
      </c>
      <c r="F66" s="233">
        <f>(68*KFC!$B$33*1.02*1.25*1.1+KFC!$C$33)*KFC!$C$5</f>
        <v>95.37</v>
      </c>
      <c r="G66" s="233">
        <f>(73.7*KFC!$B$33*1.02*1.25*1.1+KFC!$C$33)*KFC!$C$5</f>
        <v>103.36425000000001</v>
      </c>
      <c r="H66" s="233">
        <f>(79.5*KFC!$B$33*1.02*1.25*1.1+KFC!$C$33)*KFC!$C$5</f>
        <v>111.49875000000002</v>
      </c>
      <c r="I66" s="233">
        <f>(85.4*KFC!$B$33*1.02*1.25*1.1+KFC!$C$33)*KFC!$C$5</f>
        <v>119.77350000000001</v>
      </c>
      <c r="J66" s="233">
        <f>(91.1*KFC!$B$33*1.02*1.25*1.1+KFC!$C$33)*KFC!$C$5</f>
        <v>127.76775000000002</v>
      </c>
      <c r="K66" s="233">
        <f>(96.9*KFC!$B$33*1.02*1.25*1.1+KFC!$C$33)*KFC!$C$5</f>
        <v>135.90225000000004</v>
      </c>
      <c r="L66" s="233">
        <f>(102.7*KFC!$B$33*1.02*1.25*1.1+KFC!$C$33)*KFC!$C$5</f>
        <v>144.03675000000001</v>
      </c>
      <c r="M66" s="233">
        <f>(108.5*KFC!$B$33*1.02*1.25*1.1+KFC!$C$33)*KFC!$C$5</f>
        <v>152.17125000000001</v>
      </c>
      <c r="N66" s="233">
        <f>(114.2*KFC!$B$33*1.02*1.25*1.1+KFC!$C$33)*KFC!$C$5</f>
        <v>160.16550000000004</v>
      </c>
      <c r="O66" s="233">
        <f>(120*KFC!$B$33*1.02*1.25*1.1+KFC!$C$33)*KFC!$C$5</f>
        <v>168.3</v>
      </c>
      <c r="P66" s="233">
        <f>(125.8*KFC!$B$33*1.02*1.25*1.1+KFC!$C$33)*KFC!$C$5</f>
        <v>176.43450000000001</v>
      </c>
      <c r="Q66" s="233">
        <f>(131.6*KFC!$B$33*1.02*1.25*1.1+KFC!$C$33)*KFC!$C$5</f>
        <v>184.56900000000002</v>
      </c>
      <c r="R66" s="233">
        <f>(137.3*KFC!$B$33*1.02*1.25*1.1+KFC!$C$33)*KFC!$C$5</f>
        <v>192.56325000000004</v>
      </c>
      <c r="S66" s="233">
        <f>(143.2*KFC!$B$33*1.02*1.25*1.1+KFC!$C$33)*KFC!$C$5</f>
        <v>200.83799999999999</v>
      </c>
      <c r="T66" s="233">
        <f>(149*KFC!$B$33*1.02*1.25*1.1+KFC!$C$33)*KFC!$C$5</f>
        <v>208.9725</v>
      </c>
      <c r="U66" s="233">
        <f>(154.7*KFC!$B$33*1.02*1.25*1.1+KFC!$C$33)*KFC!$C$5</f>
        <v>216.96674999999999</v>
      </c>
      <c r="V66" s="233">
        <f>(160.6*KFC!$B$33*1.02*1.25*1.1+KFC!$C$33)*KFC!$C$5</f>
        <v>225.2415</v>
      </c>
      <c r="W66" s="233">
        <f>(166.3*KFC!$B$33*1.02*1.25*1.1+KFC!$C$33)*KFC!$C$5</f>
        <v>233.23575000000002</v>
      </c>
      <c r="X66" s="233">
        <f>(172.1*KFC!$B$33*1.02*1.25*1.1+KFC!$C$33)*KFC!$C$5</f>
        <v>241.37025000000003</v>
      </c>
      <c r="Y66" s="233">
        <f>(177.9*KFC!$B$33*1.02*1.25*1.1+KFC!$C$33)*KFC!$C$5</f>
        <v>249.50475</v>
      </c>
      <c r="Z66" s="233">
        <f>(183.7*KFC!$B$33*1.02*1.25*1.1+KFC!$C$33)*KFC!$C$5</f>
        <v>257.63925</v>
      </c>
    </row>
    <row r="67" spans="1:26" ht="15.9" customHeight="1">
      <c r="A67" s="1912"/>
      <c r="B67" s="237">
        <v>2.4</v>
      </c>
      <c r="C67" s="239">
        <f>(51.5*KFC!$B$33*1.02*1.25*1.1+KFC!$C$33)*KFC!$C$5</f>
        <v>72.228750000000005</v>
      </c>
      <c r="D67" s="233">
        <f>(57.5*KFC!$B$33*1.02*1.25*1.1+KFC!$C$33)*KFC!$C$5</f>
        <v>80.643750000000011</v>
      </c>
      <c r="E67" s="233">
        <f>(63.4*KFC!$B$33*1.02*1.25*1.1+KFC!$C$33)*KFC!$C$5</f>
        <v>88.918500000000023</v>
      </c>
      <c r="F67" s="233">
        <f>(69.3*KFC!$B$33*1.02*1.25*1.1+KFC!$C$33)*KFC!$C$5</f>
        <v>97.193249999999992</v>
      </c>
      <c r="G67" s="233">
        <f>(75.3*KFC!$B$33*1.02*1.25*1.1+KFC!$C$33)*KFC!$C$5</f>
        <v>105.60825</v>
      </c>
      <c r="H67" s="233">
        <f>(81.2*KFC!$B$33*1.02*1.25*1.1+KFC!$C$33)*KFC!$C$5</f>
        <v>113.88300000000001</v>
      </c>
      <c r="I67" s="233">
        <f>(87.2*KFC!$B$33*1.02*1.25*1.1+KFC!$C$33)*KFC!$C$5</f>
        <v>122.29800000000002</v>
      </c>
      <c r="J67" s="233">
        <f>(93.1*KFC!$B$33*1.02*1.25*1.1+KFC!$C$33)*KFC!$C$5</f>
        <v>130.57274999999998</v>
      </c>
      <c r="K67" s="233">
        <f>(99.1*KFC!$B$33*1.02*1.25*1.1+KFC!$C$33)*KFC!$C$5</f>
        <v>138.98775000000001</v>
      </c>
      <c r="L67" s="233">
        <f>(105.1*KFC!$B$33*1.02*1.25*1.1+KFC!$C$33)*KFC!$C$5</f>
        <v>147.40275</v>
      </c>
      <c r="M67" s="233">
        <f>(110.9*KFC!$B$33*1.02*1.25*1.1+KFC!$C$33)*KFC!$C$5</f>
        <v>155.53725000000003</v>
      </c>
      <c r="N67" s="233">
        <f>(116.9*KFC!$B$33*1.02*1.25*1.1+KFC!$C$33)*KFC!$C$5</f>
        <v>163.95225000000002</v>
      </c>
      <c r="O67" s="233">
        <f>(122.8*KFC!$B$33*1.02*1.25*1.1+KFC!$C$33)*KFC!$C$5</f>
        <v>172.227</v>
      </c>
      <c r="P67" s="233">
        <f>(128.8*KFC!$B$33*1.02*1.25*1.1+KFC!$C$33)*KFC!$C$5</f>
        <v>180.64200000000002</v>
      </c>
      <c r="Q67" s="233">
        <f>(134.7*KFC!$B$33*1.02*1.25*1.1+KFC!$C$33)*KFC!$C$5</f>
        <v>188.91674999999998</v>
      </c>
      <c r="R67" s="233">
        <f>(140.6*KFC!$B$33*1.02*1.25*1.1+KFC!$C$33)*KFC!$C$5</f>
        <v>197.19150000000002</v>
      </c>
      <c r="S67" s="233">
        <f>(146.6*KFC!$B$33*1.02*1.25*1.1+KFC!$C$33)*KFC!$C$5</f>
        <v>205.60650000000004</v>
      </c>
      <c r="T67" s="233">
        <f>(152.5*KFC!$B$33*1.02*1.25*1.1+KFC!$C$33)*KFC!$C$5</f>
        <v>213.88125000000002</v>
      </c>
      <c r="U67" s="233">
        <f>(158.5*KFC!$B$33*1.02*1.25*1.1+KFC!$C$33)*KFC!$C$5</f>
        <v>222.29625000000004</v>
      </c>
      <c r="V67" s="233">
        <f>(164.4*KFC!$B$33*1.02*1.25*1.1+KFC!$C$33)*KFC!$C$5</f>
        <v>230.57100000000003</v>
      </c>
      <c r="W67" s="233">
        <f>(170.4*KFC!$B$33*1.02*1.25*1.1+KFC!$C$33)*KFC!$C$5</f>
        <v>238.98600000000005</v>
      </c>
      <c r="X67" s="233">
        <f>(176.4*KFC!$B$33*1.02*1.25*1.1+KFC!$C$33)*KFC!$C$5</f>
        <v>247.40100000000001</v>
      </c>
      <c r="Y67" s="233">
        <f>(182.2*KFC!$B$33*1.02*1.25*1.1+KFC!$C$33)*KFC!$C$5</f>
        <v>255.53550000000004</v>
      </c>
      <c r="Z67" s="233">
        <f>(188.2*KFC!$B$33*1.02*1.25*1.1+KFC!$C$33)*KFC!$C$5</f>
        <v>263.95049999999998</v>
      </c>
    </row>
    <row r="68" spans="1:26" ht="15.9" customHeight="1">
      <c r="A68" s="1912"/>
      <c r="B68" s="237">
        <v>2.5</v>
      </c>
      <c r="C68" s="239">
        <f>(52.5*KFC!$B$33*1.02*1.25*1.1+KFC!$C$33)*KFC!$C$5</f>
        <v>73.631250000000009</v>
      </c>
      <c r="D68" s="233">
        <f>(58.5*KFC!$B$33*1.02*1.25*1.1+KFC!$C$33)*KFC!$C$5</f>
        <v>82.046250000000015</v>
      </c>
      <c r="E68" s="233">
        <f>(64.6*KFC!$B$33*1.02*1.25*1.1+KFC!$C$33)*KFC!$C$5</f>
        <v>90.601500000000001</v>
      </c>
      <c r="F68" s="233">
        <f>(70.7*KFC!$B$33*1.02*1.25*1.1+KFC!$C$33)*KFC!$C$5</f>
        <v>99.156750000000017</v>
      </c>
      <c r="G68" s="233">
        <f>(76.8*KFC!$B$33*1.02*1.25*1.1+KFC!$C$33)*KFC!$C$5</f>
        <v>107.71200000000002</v>
      </c>
      <c r="H68" s="233">
        <f>(82.9*KFC!$B$33*1.02*1.25*1.1+KFC!$C$33)*KFC!$C$5</f>
        <v>116.26725000000002</v>
      </c>
      <c r="I68" s="233">
        <f>(89*KFC!$B$33*1.02*1.25*1.1+KFC!$C$33)*KFC!$C$5</f>
        <v>124.82250000000001</v>
      </c>
      <c r="J68" s="233">
        <f>(95.1*KFC!$B$33*1.02*1.25*1.1+KFC!$C$33)*KFC!$C$5</f>
        <v>133.37775000000002</v>
      </c>
      <c r="K68" s="233">
        <f>(101.3*KFC!$B$33*1.02*1.25*1.1+KFC!$C$33)*KFC!$C$5</f>
        <v>142.07325</v>
      </c>
      <c r="L68" s="233">
        <f>(107.4*KFC!$B$33*1.02*1.25*1.1+KFC!$C$33)*KFC!$C$5</f>
        <v>150.6285</v>
      </c>
      <c r="M68" s="233">
        <f>(113.4*KFC!$B$33*1.02*1.25*1.1+KFC!$C$33)*KFC!$C$5</f>
        <v>159.04350000000002</v>
      </c>
      <c r="N68" s="233">
        <f>(119.5*KFC!$B$33*1.02*1.25*1.1+KFC!$C$33)*KFC!$C$5</f>
        <v>167.59875000000002</v>
      </c>
      <c r="O68" s="233">
        <f>(125.6*KFC!$B$33*1.02*1.25*1.1+KFC!$C$33)*KFC!$C$5</f>
        <v>176.154</v>
      </c>
      <c r="P68" s="233">
        <f>(131.7*KFC!$B$33*1.02*1.25*1.1+KFC!$C$33)*KFC!$C$5</f>
        <v>184.70925000000003</v>
      </c>
      <c r="Q68" s="233">
        <f>(137.8*KFC!$B$33*1.02*1.25*1.1+KFC!$C$33)*KFC!$C$5</f>
        <v>193.26450000000003</v>
      </c>
      <c r="R68" s="233">
        <f>(143.9*KFC!$B$33*1.02*1.25*1.1+KFC!$C$33)*KFC!$C$5</f>
        <v>201.81975000000006</v>
      </c>
      <c r="S68" s="233">
        <f>(150.1*KFC!$B$33*1.02*1.25*1.1+KFC!$C$33)*KFC!$C$5</f>
        <v>210.51525000000001</v>
      </c>
      <c r="T68" s="233">
        <f>(156.2*KFC!$B$33*1.02*1.25*1.1+KFC!$C$33)*KFC!$C$5</f>
        <v>219.07049999999998</v>
      </c>
      <c r="U68" s="233">
        <f>(162.2*KFC!$B$33*1.02*1.25*1.1+KFC!$C$33)*KFC!$C$5</f>
        <v>227.4855</v>
      </c>
      <c r="V68" s="233">
        <f>(168.3*KFC!$B$33*1.02*1.25*1.1+KFC!$C$33)*KFC!$C$5</f>
        <v>236.04075000000006</v>
      </c>
      <c r="W68" s="233">
        <f>(174.4*KFC!$B$33*1.02*1.25*1.1+KFC!$C$33)*KFC!$C$5</f>
        <v>244.59600000000003</v>
      </c>
      <c r="X68" s="233">
        <f>(180.5*KFC!$B$33*1.02*1.25*1.1+KFC!$C$33)*KFC!$C$5</f>
        <v>253.15125000000003</v>
      </c>
      <c r="Y68" s="233">
        <f>(186.6*KFC!$B$33*1.02*1.25*1.1+KFC!$C$33)*KFC!$C$5</f>
        <v>261.70650000000001</v>
      </c>
      <c r="Z68" s="233">
        <f>(192.7*KFC!$B$33*1.02*1.25*1.1+KFC!$C$33)*KFC!$C$5</f>
        <v>270.26175000000001</v>
      </c>
    </row>
    <row r="69" spans="1:26" ht="15.9" customHeight="1">
      <c r="A69" s="1912"/>
      <c r="B69" s="237">
        <v>2.6</v>
      </c>
      <c r="C69" s="239">
        <f>(53.3*KFC!$B$33*1.02*1.25*1.1+KFC!$C$33)*KFC!$C$5</f>
        <v>74.753250000000008</v>
      </c>
      <c r="D69" s="233">
        <f>(59.6*KFC!$B$33*1.02*1.25*1.1+KFC!$C$33)*KFC!$C$5</f>
        <v>83.589000000000013</v>
      </c>
      <c r="E69" s="233">
        <f>(65.8*KFC!$B$33*1.02*1.25*1.1+KFC!$C$33)*KFC!$C$5</f>
        <v>92.284500000000008</v>
      </c>
      <c r="F69" s="233">
        <f>(72.2*KFC!$B$33*1.02*1.25*1.1+KFC!$C$33)*KFC!$C$5</f>
        <v>101.26050000000002</v>
      </c>
      <c r="G69" s="233">
        <f>(78.4*KFC!$B$33*1.02*1.25*1.1+KFC!$C$33)*KFC!$C$5</f>
        <v>109.95600000000002</v>
      </c>
      <c r="H69" s="233">
        <f>(84.6*KFC!$B$33*1.02*1.25*1.1+KFC!$C$33)*KFC!$C$5</f>
        <v>118.65150000000001</v>
      </c>
      <c r="I69" s="233">
        <f>(90.9*KFC!$B$33*1.02*1.25*1.1+KFC!$C$33)*KFC!$C$5</f>
        <v>127.48725000000002</v>
      </c>
      <c r="J69" s="233">
        <f>(97.1*KFC!$B$33*1.02*1.25*1.1+KFC!$C$33)*KFC!$C$5</f>
        <v>136.18275000000003</v>
      </c>
      <c r="K69" s="233">
        <f>(103.3*KFC!$B$33*1.02*1.25*1.1+KFC!$C$33)*KFC!$C$5</f>
        <v>144.87825000000004</v>
      </c>
      <c r="L69" s="233">
        <f>(109.7*KFC!$B$33*1.02*1.25*1.1+KFC!$C$33)*KFC!$C$5</f>
        <v>153.85425000000001</v>
      </c>
      <c r="M69" s="233">
        <f>(115.9*KFC!$B$33*1.02*1.25*1.1+KFC!$C$33)*KFC!$C$5</f>
        <v>162.54975000000002</v>
      </c>
      <c r="N69" s="233">
        <f>(122.2*KFC!$B$33*1.02*1.25*1.1+KFC!$C$33)*KFC!$C$5</f>
        <v>171.38550000000001</v>
      </c>
      <c r="O69" s="233">
        <f>(128.4*KFC!$B$33*1.02*1.25*1.1+KFC!$C$33)*KFC!$C$5</f>
        <v>180.08100000000005</v>
      </c>
      <c r="P69" s="233">
        <f>(134.7*KFC!$B$33*1.02*1.25*1.1+KFC!$C$33)*KFC!$C$5</f>
        <v>188.91674999999998</v>
      </c>
      <c r="Q69" s="233">
        <f>(140.9*KFC!$B$33*1.02*1.25*1.1+KFC!$C$33)*KFC!$C$5</f>
        <v>197.61225000000005</v>
      </c>
      <c r="R69" s="233">
        <f>(147.2*KFC!$B$33*1.02*1.25*1.1+KFC!$C$33)*KFC!$C$5</f>
        <v>206.44799999999998</v>
      </c>
      <c r="S69" s="233">
        <f>(153.5*KFC!$B$33*1.02*1.25*1.1+KFC!$C$33)*KFC!$C$5</f>
        <v>215.28375</v>
      </c>
      <c r="T69" s="233">
        <f>(159.7*KFC!$B$33*1.02*1.25*1.1+KFC!$C$33)*KFC!$C$5</f>
        <v>223.97925000000004</v>
      </c>
      <c r="U69" s="233">
        <f>(166*KFC!$B$33*1.02*1.25*1.1+KFC!$C$33)*KFC!$C$5</f>
        <v>232.815</v>
      </c>
      <c r="V69" s="233">
        <f>(172.2*KFC!$B$33*1.02*1.25*1.1+KFC!$C$33)*KFC!$C$5</f>
        <v>241.51050000000004</v>
      </c>
      <c r="W69" s="233">
        <f>(178.4*KFC!$B$33*1.02*1.25*1.1+KFC!$C$33)*KFC!$C$5</f>
        <v>250.20600000000007</v>
      </c>
      <c r="X69" s="233">
        <f>(184.8*KFC!$B$33*1.02*1.25*1.1+KFC!$C$33)*KFC!$C$5</f>
        <v>259.18200000000002</v>
      </c>
      <c r="Y69" s="233">
        <f>(191*KFC!$B$33*1.02*1.25*1.1+KFC!$C$33)*KFC!$C$5</f>
        <v>267.8775</v>
      </c>
      <c r="Z69" s="233">
        <f>(197.3*KFC!$B$33*1.02*1.25*1.1+KFC!$C$33)*KFC!$C$5</f>
        <v>276.71325000000002</v>
      </c>
    </row>
    <row r="70" spans="1:26" ht="15.9" customHeight="1">
      <c r="A70" s="1912"/>
      <c r="B70" s="237">
        <v>2.7</v>
      </c>
      <c r="C70" s="239">
        <f>(54.2*KFC!$B$33*1.02*1.25*1.1+KFC!$C$33)*KFC!$C$5</f>
        <v>76.015500000000017</v>
      </c>
      <c r="D70" s="233">
        <f>(60.7*KFC!$B$33*1.02*1.25*1.1+KFC!$C$33)*KFC!$C$5</f>
        <v>85.131750000000011</v>
      </c>
      <c r="E70" s="233">
        <f>(67*KFC!$B$33*1.02*1.25*1.1+KFC!$C$33)*KFC!$C$5</f>
        <v>93.967500000000015</v>
      </c>
      <c r="F70" s="233">
        <f>(73.5*KFC!$B$33*1.02*1.25*1.1+KFC!$C$33)*KFC!$C$5</f>
        <v>103.08375000000001</v>
      </c>
      <c r="G70" s="233">
        <f>(79.9*KFC!$B$33*1.02*1.25*1.1+KFC!$C$33)*KFC!$C$5</f>
        <v>112.05975000000001</v>
      </c>
      <c r="H70" s="233">
        <f>(86.3*KFC!$B$33*1.02*1.25*1.1+KFC!$C$33)*KFC!$C$5</f>
        <v>121.03575000000001</v>
      </c>
      <c r="I70" s="233">
        <f>(92.7*KFC!$B$33*1.02*1.25*1.1+KFC!$C$33)*KFC!$C$5</f>
        <v>130.01175000000001</v>
      </c>
      <c r="J70" s="233">
        <f>(99.2*KFC!$B$33*1.02*1.25*1.1+KFC!$C$33)*KFC!$C$5</f>
        <v>139.12800000000004</v>
      </c>
      <c r="K70" s="233">
        <f>(105.5*KFC!$B$33*1.02*1.25*1.1+KFC!$C$33)*KFC!$C$5</f>
        <v>147.96375</v>
      </c>
      <c r="L70" s="233">
        <f>(112*KFC!$B$33*1.02*1.25*1.1+KFC!$C$33)*KFC!$C$5</f>
        <v>157.08000000000001</v>
      </c>
      <c r="M70" s="233">
        <f>(118.4*KFC!$B$33*1.02*1.25*1.1+KFC!$C$33)*KFC!$C$5</f>
        <v>166.05600000000001</v>
      </c>
      <c r="N70" s="233">
        <f>(124.7*KFC!$B$33*1.02*1.25*1.1+KFC!$C$33)*KFC!$C$5</f>
        <v>174.89175000000003</v>
      </c>
      <c r="O70" s="233">
        <f>(131.2*KFC!$B$33*1.02*1.25*1.1+KFC!$C$33)*KFC!$C$5</f>
        <v>184.00799999999998</v>
      </c>
      <c r="P70" s="233">
        <f>(137.6*KFC!$B$33*1.02*1.25*1.1+KFC!$C$33)*KFC!$C$5</f>
        <v>192.98400000000001</v>
      </c>
      <c r="Q70" s="233">
        <f>(144.1*KFC!$B$33*1.02*1.25*1.1+KFC!$C$33)*KFC!$C$5</f>
        <v>202.10025000000002</v>
      </c>
      <c r="R70" s="233">
        <f>(150.4*KFC!$B$33*1.02*1.25*1.1+KFC!$C$33)*KFC!$C$5</f>
        <v>210.93600000000004</v>
      </c>
      <c r="S70" s="233">
        <f>(156.9*KFC!$B$33*1.02*1.25*1.1+KFC!$C$33)*KFC!$C$5</f>
        <v>220.05225000000004</v>
      </c>
      <c r="T70" s="233">
        <f>(163.3*KFC!$B$33*1.02*1.25*1.1+KFC!$C$33)*KFC!$C$5</f>
        <v>229.02825000000004</v>
      </c>
      <c r="U70" s="233">
        <f>(169.8*KFC!$B$33*1.02*1.25*1.1+KFC!$C$33)*KFC!$C$5</f>
        <v>238.14450000000005</v>
      </c>
      <c r="V70" s="233">
        <f>(176.1*KFC!$B$33*1.02*1.25*1.1+KFC!$C$33)*KFC!$C$5</f>
        <v>246.98024999999998</v>
      </c>
      <c r="W70" s="233">
        <f>(182.5*KFC!$B$33*1.02*1.25*1.1+KFC!$C$33)*KFC!$C$5</f>
        <v>255.95625000000001</v>
      </c>
      <c r="X70" s="233">
        <f>(189*KFC!$B$33*1.02*1.25*1.1+KFC!$C$33)*KFC!$C$5</f>
        <v>265.07249999999999</v>
      </c>
      <c r="Y70" s="233">
        <f>(195.3*KFC!$B$33*1.02*1.25*1.1+KFC!$C$33)*KFC!$C$5</f>
        <v>273.90825000000007</v>
      </c>
      <c r="Z70" s="233">
        <f>(201.8*KFC!$B$33*1.02*1.25*1.1+KFC!$C$33)*KFC!$C$5</f>
        <v>283.02450000000005</v>
      </c>
    </row>
    <row r="71" spans="1:26" ht="15.9" customHeight="1">
      <c r="A71" s="1912"/>
      <c r="B71" s="237">
        <v>2.8</v>
      </c>
      <c r="C71" s="239">
        <f>(55.2*KFC!$B$33*1.02*1.25*1.1+KFC!$C$33)*KFC!$C$5</f>
        <v>77.418000000000006</v>
      </c>
      <c r="D71" s="233">
        <f>(61.8*KFC!$B$33*1.02*1.25*1.1+KFC!$C$33)*KFC!$C$5</f>
        <v>86.674500000000009</v>
      </c>
      <c r="E71" s="233">
        <f>(68.2*KFC!$B$33*1.02*1.25*1.1+KFC!$C$33)*KFC!$C$5</f>
        <v>95.650500000000022</v>
      </c>
      <c r="F71" s="233">
        <f>(74.8*KFC!$B$33*1.02*1.25*1.1+KFC!$C$33)*KFC!$C$5</f>
        <v>104.907</v>
      </c>
      <c r="G71" s="233">
        <f>(81.5*KFC!$B$33*1.02*1.25*1.1+KFC!$C$33)*KFC!$C$5</f>
        <v>114.30375000000001</v>
      </c>
      <c r="H71" s="233">
        <f>(88.1*KFC!$B$33*1.02*1.25*1.1+KFC!$C$33)*KFC!$C$5</f>
        <v>123.56025</v>
      </c>
      <c r="I71" s="233">
        <f>(94.5*KFC!$B$33*1.02*1.25*1.1+KFC!$C$33)*KFC!$C$5</f>
        <v>132.53625</v>
      </c>
      <c r="J71" s="233">
        <f>(101.1*KFC!$B$33*1.02*1.25*1.1+KFC!$C$33)*KFC!$C$5</f>
        <v>141.79275000000001</v>
      </c>
      <c r="K71" s="233">
        <f>(107.7*KFC!$B$33*1.02*1.25*1.1+KFC!$C$33)*KFC!$C$5</f>
        <v>151.04925</v>
      </c>
      <c r="L71" s="233">
        <f>(114.4*KFC!$B$33*1.02*1.25*1.1+KFC!$C$33)*KFC!$C$5</f>
        <v>160.44600000000003</v>
      </c>
      <c r="M71" s="233">
        <f>(120.8*KFC!$B$33*1.02*1.25*1.1+KFC!$C$33)*KFC!$C$5</f>
        <v>169.422</v>
      </c>
      <c r="N71" s="233">
        <f>(127.4*KFC!$B$33*1.02*1.25*1.1+KFC!$C$33)*KFC!$C$5</f>
        <v>178.67850000000001</v>
      </c>
      <c r="O71" s="233">
        <f>(134*KFC!$B$33*1.02*1.25*1.1+KFC!$C$33)*KFC!$C$5</f>
        <v>187.93500000000003</v>
      </c>
      <c r="P71" s="233">
        <f>(140.5*KFC!$B$33*1.02*1.25*1.1+KFC!$C$33)*KFC!$C$5</f>
        <v>197.05125000000001</v>
      </c>
      <c r="Q71" s="233">
        <f>(147.1*KFC!$B$33*1.02*1.25*1.1+KFC!$C$33)*KFC!$C$5</f>
        <v>206.30775000000003</v>
      </c>
      <c r="R71" s="233">
        <f>(153.7*KFC!$B$33*1.02*1.25*1.1+KFC!$C$33)*KFC!$C$5</f>
        <v>215.56425000000002</v>
      </c>
      <c r="S71" s="233">
        <f>(160.3*KFC!$B$33*1.02*1.25*1.1+KFC!$C$33)*KFC!$C$5</f>
        <v>224.82075000000006</v>
      </c>
      <c r="T71" s="233">
        <f>(166.8*KFC!$B$33*1.02*1.25*1.1+KFC!$C$33)*KFC!$C$5</f>
        <v>233.93700000000004</v>
      </c>
      <c r="U71" s="233">
        <f>(173.4*KFC!$B$33*1.02*1.25*1.1+KFC!$C$33)*KFC!$C$5</f>
        <v>243.1935</v>
      </c>
      <c r="V71" s="233">
        <f>(180*KFC!$B$33*1.02*1.25*1.1+KFC!$C$33)*KFC!$C$5</f>
        <v>252.45000000000002</v>
      </c>
      <c r="W71" s="233">
        <f>(186.6*KFC!$B$33*1.02*1.25*1.1+KFC!$C$33)*KFC!$C$5</f>
        <v>261.70650000000001</v>
      </c>
      <c r="X71" s="233">
        <f>(193.1*KFC!$B$33*1.02*1.25*1.1+KFC!$C$33)*KFC!$C$5</f>
        <v>270.82274999999998</v>
      </c>
      <c r="Y71" s="233">
        <f>(199.7*KFC!$B$33*1.02*1.25*1.1+KFC!$C$33)*KFC!$C$5</f>
        <v>280.07925</v>
      </c>
      <c r="Z71" s="233">
        <f>(206.3*KFC!$B$33*1.02*1.25*1.1+KFC!$C$33)*KFC!$C$5</f>
        <v>289.33575000000008</v>
      </c>
    </row>
    <row r="72" spans="1:26" ht="15.9" customHeight="1">
      <c r="A72" s="1912"/>
      <c r="B72" s="237">
        <v>2.9</v>
      </c>
      <c r="C72" s="239">
        <f>(56*KFC!$B$33*1.02*1.25*1.1+KFC!$C$33)*KFC!$C$5</f>
        <v>78.540000000000006</v>
      </c>
      <c r="D72" s="233">
        <f>(62.7*KFC!$B$33*1.02*1.25*1.1+KFC!$C$33)*KFC!$C$5</f>
        <v>87.936750000000004</v>
      </c>
      <c r="E72" s="233">
        <f>(69.5*KFC!$B$33*1.02*1.25*1.1+KFC!$C$33)*KFC!$C$5</f>
        <v>97.47375000000001</v>
      </c>
      <c r="F72" s="233">
        <f>(76.2*KFC!$B$33*1.02*1.25*1.1+KFC!$C$33)*KFC!$C$5</f>
        <v>106.87050000000001</v>
      </c>
      <c r="G72" s="233">
        <f>(82.9*KFC!$B$33*1.02*1.25*1.1+KFC!$C$33)*KFC!$C$5</f>
        <v>116.26725000000002</v>
      </c>
      <c r="H72" s="233">
        <f>(89.6*KFC!$B$33*1.02*1.25*1.1+KFC!$C$33)*KFC!$C$5</f>
        <v>125.664</v>
      </c>
      <c r="I72" s="233">
        <f>(96.4*KFC!$B$33*1.02*1.25*1.1+KFC!$C$33)*KFC!$C$5</f>
        <v>135.20099999999999</v>
      </c>
      <c r="J72" s="233">
        <f>(103.1*KFC!$B$33*1.02*1.25*1.1+KFC!$C$33)*KFC!$C$5</f>
        <v>144.59774999999999</v>
      </c>
      <c r="K72" s="233">
        <f>(109.8*KFC!$B$33*1.02*1.25*1.1+KFC!$C$33)*KFC!$C$5</f>
        <v>153.99450000000002</v>
      </c>
      <c r="L72" s="233">
        <f>(116.7*KFC!$B$33*1.02*1.25*1.1+KFC!$C$33)*KFC!$C$5</f>
        <v>163.67175000000003</v>
      </c>
      <c r="M72" s="233">
        <f>(123.4*KFC!$B$33*1.02*1.25*1.1+KFC!$C$33)*KFC!$C$5</f>
        <v>173.06850000000003</v>
      </c>
      <c r="N72" s="233">
        <f>(130.1*KFC!$B$33*1.02*1.25*1.1+KFC!$C$33)*KFC!$C$5</f>
        <v>182.46525000000003</v>
      </c>
      <c r="O72" s="233">
        <f>(136.9*KFC!$B$33*1.02*1.25*1.1+KFC!$C$33)*KFC!$C$5</f>
        <v>192.00225000000003</v>
      </c>
      <c r="P72" s="233">
        <f>(143.6*KFC!$B$33*1.02*1.25*1.1+KFC!$C$33)*KFC!$C$5</f>
        <v>201.39900000000003</v>
      </c>
      <c r="Q72" s="233">
        <f>(150.3*KFC!$B$33*1.02*1.25*1.1+KFC!$C$33)*KFC!$C$5</f>
        <v>210.79575000000003</v>
      </c>
      <c r="R72" s="233">
        <f>(157*KFC!$B$33*1.02*1.25*1.1+KFC!$C$33)*KFC!$C$5</f>
        <v>220.19250000000002</v>
      </c>
      <c r="S72" s="233">
        <f>(163.8*KFC!$B$33*1.02*1.25*1.1+KFC!$C$33)*KFC!$C$5</f>
        <v>229.72950000000006</v>
      </c>
      <c r="T72" s="233">
        <f>(170.5*KFC!$B$33*1.02*1.25*1.1+KFC!$C$33)*KFC!$C$5</f>
        <v>239.12625</v>
      </c>
      <c r="U72" s="233">
        <f>(177.2*KFC!$B$33*1.02*1.25*1.1+KFC!$C$33)*KFC!$C$5</f>
        <v>248.52300000000002</v>
      </c>
      <c r="V72" s="233">
        <f>(183.9*KFC!$B$33*1.02*1.25*1.1+KFC!$C$33)*KFC!$C$5</f>
        <v>257.91975000000002</v>
      </c>
      <c r="W72" s="233">
        <f>(190.7*KFC!$B$33*1.02*1.25*1.1+KFC!$C$33)*KFC!$C$5</f>
        <v>267.45675</v>
      </c>
      <c r="X72" s="233">
        <f>(197.4*KFC!$B$33*1.02*1.25*1.1+KFC!$C$33)*KFC!$C$5</f>
        <v>276.8535</v>
      </c>
      <c r="Y72" s="233">
        <f>(204.1*KFC!$B$33*1.02*1.25*1.1+KFC!$C$33)*KFC!$C$5</f>
        <v>286.25024999999999</v>
      </c>
      <c r="Z72" s="233">
        <f>(210.8*KFC!$B$33*1.02*1.25*1.1+KFC!$C$33)*KFC!$C$5</f>
        <v>295.64700000000005</v>
      </c>
    </row>
    <row r="73" spans="1:26" ht="15.9" customHeight="1">
      <c r="A73" s="1912"/>
      <c r="B73" s="237">
        <v>3</v>
      </c>
      <c r="C73" s="239">
        <f>(57*KFC!$B$33*1.02*1.25*1.1+KFC!$C$33)*KFC!$C$5</f>
        <v>79.94250000000001</v>
      </c>
      <c r="D73" s="233">
        <f>(63.7*KFC!$B$33*1.02*1.25*1.1+KFC!$C$33)*KFC!$C$5</f>
        <v>89.339250000000007</v>
      </c>
      <c r="E73" s="233">
        <f>(70.7*KFC!$B$33*1.02*1.25*1.1+KFC!$C$33)*KFC!$C$5</f>
        <v>99.156750000000017</v>
      </c>
      <c r="F73" s="233">
        <f>(77.7*KFC!$B$33*1.02*1.25*1.1+KFC!$C$33)*KFC!$C$5</f>
        <v>108.97425000000003</v>
      </c>
      <c r="G73" s="233">
        <f>(84.5*KFC!$B$33*1.02*1.25*1.1+KFC!$C$33)*KFC!$C$5</f>
        <v>118.51125</v>
      </c>
      <c r="H73" s="233">
        <f>(91.4*KFC!$B$33*1.02*1.25*1.1+KFC!$C$33)*KFC!$C$5</f>
        <v>128.18850000000003</v>
      </c>
      <c r="I73" s="233">
        <f>(98.3*KFC!$B$33*1.02*1.25*1.1+KFC!$C$33)*KFC!$C$5</f>
        <v>137.86575000000002</v>
      </c>
      <c r="J73" s="233">
        <f>(105.2*KFC!$B$33*1.02*1.25*1.1+KFC!$C$33)*KFC!$C$5</f>
        <v>147.54300000000001</v>
      </c>
      <c r="K73" s="233">
        <f>(112*KFC!$B$33*1.02*1.25*1.1+KFC!$C$33)*KFC!$C$5</f>
        <v>157.08000000000001</v>
      </c>
      <c r="L73" s="233">
        <f>(119*KFC!$B$33*1.02*1.25*1.1+KFC!$C$33)*KFC!$C$5</f>
        <v>166.89750000000001</v>
      </c>
      <c r="M73" s="233">
        <f>(125.8*KFC!$B$33*1.02*1.25*1.1+KFC!$C$33)*KFC!$C$5</f>
        <v>176.43450000000001</v>
      </c>
      <c r="N73" s="233">
        <f>(132.7*KFC!$B$33*1.02*1.25*1.1+KFC!$C$33)*KFC!$C$5</f>
        <v>186.11175</v>
      </c>
      <c r="O73" s="233">
        <f>(139.5*KFC!$B$33*1.02*1.25*1.1+KFC!$C$33)*KFC!$C$5</f>
        <v>195.64875000000001</v>
      </c>
      <c r="P73" s="233">
        <f>(146.5*KFC!$B$33*1.02*1.25*1.1+KFC!$C$33)*KFC!$C$5</f>
        <v>205.46625000000003</v>
      </c>
      <c r="Q73" s="233">
        <f>(153.4*KFC!$B$33*1.02*1.25*1.1+KFC!$C$33)*KFC!$C$5</f>
        <v>215.14350000000005</v>
      </c>
      <c r="R73" s="233">
        <f>(160.2*KFC!$B$33*1.02*1.25*1.1+KFC!$C$33)*KFC!$C$5</f>
        <v>224.68050000000002</v>
      </c>
      <c r="S73" s="233">
        <f>(167.2*KFC!$B$33*1.02*1.25*1.1+KFC!$C$33)*KFC!$C$5</f>
        <v>234.49799999999999</v>
      </c>
      <c r="T73" s="233">
        <f>(174*KFC!$B$33*1.02*1.25*1.1+KFC!$C$33)*KFC!$C$5</f>
        <v>244.03500000000003</v>
      </c>
      <c r="U73" s="233">
        <f>(180.9*KFC!$B$33*1.02*1.25*1.1+KFC!$C$33)*KFC!$C$5</f>
        <v>253.71225000000004</v>
      </c>
      <c r="V73" s="233">
        <f>(187.9*KFC!$B$33*1.02*1.25*1.1+KFC!$C$33)*KFC!$C$5</f>
        <v>263.52975000000004</v>
      </c>
      <c r="W73" s="233">
        <f>(194.7*KFC!$B$33*1.02*1.25*1.1+KFC!$C$33)*KFC!$C$5</f>
        <v>273.06675000000001</v>
      </c>
      <c r="X73" s="233">
        <f>(201.6*KFC!$B$33*1.02*1.25*1.1+KFC!$C$33)*KFC!$C$5</f>
        <v>282.74400000000003</v>
      </c>
      <c r="Y73" s="233">
        <f>(208.5*KFC!$B$33*1.02*1.25*1.1+KFC!$C$33)*KFC!$C$5</f>
        <v>292.42125000000004</v>
      </c>
      <c r="Z73" s="233">
        <f>(215.4*KFC!$B$33*1.02*1.25*1.1+KFC!$C$33)*KFC!$C$5</f>
        <v>302.0985</v>
      </c>
    </row>
    <row r="74" spans="1:26" ht="15.9" customHeight="1">
      <c r="A74" s="1912"/>
      <c r="B74" s="237">
        <v>3.1</v>
      </c>
      <c r="C74" s="239">
        <f>(57.8*KFC!$B$33*1.02*1.25*1.1+KFC!$C$33)*KFC!$C$5</f>
        <v>81.064499999999995</v>
      </c>
      <c r="D74" s="233">
        <f>(64.9*KFC!$B$33*1.02*1.25*1.1+KFC!$C$33)*KFC!$C$5</f>
        <v>91.022250000000014</v>
      </c>
      <c r="E74" s="233">
        <f>(71.9*KFC!$B$33*1.02*1.25*1.1+KFC!$C$33)*KFC!$C$5</f>
        <v>100.83975000000002</v>
      </c>
      <c r="F74" s="233">
        <f>(79*KFC!$B$33*1.02*1.25*1.1+KFC!$C$33)*KFC!$C$5</f>
        <v>110.7975</v>
      </c>
      <c r="G74" s="233">
        <f>(86.1*KFC!$B$33*1.02*1.25*1.1+KFC!$C$33)*KFC!$C$5</f>
        <v>120.75525000000002</v>
      </c>
      <c r="H74" s="233">
        <f>(93.1*KFC!$B$33*1.02*1.25*1.1+KFC!$C$33)*KFC!$C$5</f>
        <v>130.57274999999998</v>
      </c>
      <c r="I74" s="233">
        <f>(100.2*KFC!$B$33*1.02*1.25*1.1+KFC!$C$33)*KFC!$C$5</f>
        <v>140.53050000000002</v>
      </c>
      <c r="J74" s="233">
        <f>(107.1*KFC!$B$33*1.02*1.25*1.1+KFC!$C$33)*KFC!$C$5</f>
        <v>150.20775</v>
      </c>
      <c r="K74" s="233">
        <f>(114.2*KFC!$B$33*1.02*1.25*1.1+KFC!$C$33)*KFC!$C$5</f>
        <v>160.16550000000004</v>
      </c>
      <c r="L74" s="233">
        <f>(121.3*KFC!$B$33*1.02*1.25*1.1+KFC!$C$33)*KFC!$C$5</f>
        <v>170.12325000000001</v>
      </c>
      <c r="M74" s="233">
        <f>(128.3*KFC!$B$33*1.02*1.25*1.1+KFC!$C$33)*KFC!$C$5</f>
        <v>179.94075000000004</v>
      </c>
      <c r="N74" s="233">
        <f>(135.4*KFC!$B$33*1.02*1.25*1.1+KFC!$C$33)*KFC!$C$5</f>
        <v>189.89850000000001</v>
      </c>
      <c r="O74" s="233">
        <f>(142.4*KFC!$B$33*1.02*1.25*1.1+KFC!$C$33)*KFC!$C$5</f>
        <v>199.71600000000004</v>
      </c>
      <c r="P74" s="233">
        <f>(149.5*KFC!$B$33*1.02*1.25*1.1+KFC!$C$33)*KFC!$C$5</f>
        <v>209.67375000000004</v>
      </c>
      <c r="Q74" s="233">
        <f>(156.4*KFC!$B$33*1.02*1.25*1.1+KFC!$C$33)*KFC!$C$5</f>
        <v>219.35100000000006</v>
      </c>
      <c r="R74" s="233">
        <f>(163.5*KFC!$B$33*1.02*1.25*1.1+KFC!$C$33)*KFC!$C$5</f>
        <v>229.30875000000003</v>
      </c>
      <c r="S74" s="233">
        <f>(170.6*KFC!$B$33*1.02*1.25*1.1+KFC!$C$33)*KFC!$C$5</f>
        <v>239.26650000000001</v>
      </c>
      <c r="T74" s="233">
        <f>(177.6*KFC!$B$33*1.02*1.25*1.1+KFC!$C$33)*KFC!$C$5</f>
        <v>249.08400000000003</v>
      </c>
      <c r="U74" s="233">
        <f>(184.7*KFC!$B$33*1.02*1.25*1.1+KFC!$C$33)*KFC!$C$5</f>
        <v>259.04175000000004</v>
      </c>
      <c r="V74" s="233">
        <f>(191.6*KFC!$B$33*1.02*1.25*1.1+KFC!$C$33)*KFC!$C$5</f>
        <v>268.71899999999999</v>
      </c>
      <c r="W74" s="233">
        <f>(198.7*KFC!$B$33*1.02*1.25*1.1+KFC!$C$33)*KFC!$C$5</f>
        <v>278.67674999999997</v>
      </c>
      <c r="X74" s="233">
        <f>(205.8*KFC!$B$33*1.02*1.25*1.1+KFC!$C$33)*KFC!$C$5</f>
        <v>288.63450000000006</v>
      </c>
      <c r="Y74" s="233">
        <f>(212.8*KFC!$B$33*1.02*1.25*1.1+KFC!$C$33)*KFC!$C$5</f>
        <v>298.452</v>
      </c>
      <c r="Z74" s="233">
        <f>(219.9*KFC!$B$33*1.02*1.25*1.1+KFC!$C$33)*KFC!$C$5</f>
        <v>308.40975000000003</v>
      </c>
    </row>
    <row r="75" spans="1:26" ht="15.9" customHeight="1">
      <c r="A75" s="1912"/>
      <c r="B75" s="237">
        <v>3.2</v>
      </c>
      <c r="C75" s="239">
        <f>(58.8*KFC!$B$33*1.02*1.25*1.1+KFC!$C$33)*KFC!$C$5</f>
        <v>82.466999999999999</v>
      </c>
      <c r="D75" s="233">
        <f>(65.9*KFC!$B$33*1.02*1.25*1.1+KFC!$C$33)*KFC!$C$5</f>
        <v>92.424750000000017</v>
      </c>
      <c r="E75" s="233">
        <f>(73.1*KFC!$B$33*1.02*1.25*1.1+KFC!$C$33)*KFC!$C$5</f>
        <v>102.52275</v>
      </c>
      <c r="F75" s="233">
        <f>(80.4*KFC!$B$33*1.02*1.25*1.1+KFC!$C$33)*KFC!$C$5</f>
        <v>112.76100000000002</v>
      </c>
      <c r="G75" s="233">
        <f>(87.6*KFC!$B$33*1.02*1.25*1.1+KFC!$C$33)*KFC!$C$5</f>
        <v>122.85899999999999</v>
      </c>
      <c r="H75" s="233">
        <f>(94.8*KFC!$B$33*1.02*1.25*1.1+KFC!$C$33)*KFC!$C$5</f>
        <v>132.95700000000002</v>
      </c>
      <c r="I75" s="233">
        <f>(102*KFC!$B$33*1.02*1.25*1.1+KFC!$C$33)*KFC!$C$5</f>
        <v>143.05500000000004</v>
      </c>
      <c r="J75" s="233">
        <f>(109.2*KFC!$B$33*1.02*1.25*1.1+KFC!$C$33)*KFC!$C$5</f>
        <v>153.15299999999999</v>
      </c>
      <c r="K75" s="233">
        <f>(116.4*KFC!$B$33*1.02*1.25*1.1+KFC!$C$33)*KFC!$C$5</f>
        <v>163.25100000000003</v>
      </c>
      <c r="L75" s="233">
        <f>(123.6*KFC!$B$33*1.02*1.25*1.1+KFC!$C$33)*KFC!$C$5</f>
        <v>173.34900000000002</v>
      </c>
      <c r="M75" s="233">
        <f>(130.7*KFC!$B$33*1.02*1.25*1.1+KFC!$C$33)*KFC!$C$5</f>
        <v>183.30674999999999</v>
      </c>
      <c r="N75" s="233">
        <f>(138*KFC!$B$33*1.02*1.25*1.1+KFC!$C$33)*KFC!$C$5</f>
        <v>193.54500000000002</v>
      </c>
      <c r="O75" s="233">
        <f>(145.2*KFC!$B$33*1.02*1.25*1.1+KFC!$C$33)*KFC!$C$5</f>
        <v>203.643</v>
      </c>
      <c r="P75" s="233">
        <f>(152.4*KFC!$B$33*1.02*1.25*1.1+KFC!$C$33)*KFC!$C$5</f>
        <v>213.74100000000001</v>
      </c>
      <c r="Q75" s="233">
        <f>(159.6*KFC!$B$33*1.02*1.25*1.1+KFC!$C$33)*KFC!$C$5</f>
        <v>223.83900000000003</v>
      </c>
      <c r="R75" s="233">
        <f>(166.8*KFC!$B$33*1.02*1.25*1.1+KFC!$C$33)*KFC!$C$5</f>
        <v>233.93700000000004</v>
      </c>
      <c r="S75" s="233">
        <f>(174*KFC!$B$33*1.02*1.25*1.1+KFC!$C$33)*KFC!$C$5</f>
        <v>244.03500000000003</v>
      </c>
      <c r="T75" s="233">
        <f>(181.2*KFC!$B$33*1.02*1.25*1.1+KFC!$C$33)*KFC!$C$5</f>
        <v>254.13299999999998</v>
      </c>
      <c r="U75" s="233">
        <f>(188.3*KFC!$B$33*1.02*1.25*1.1+KFC!$C$33)*KFC!$C$5</f>
        <v>264.09075000000001</v>
      </c>
      <c r="V75" s="233">
        <f>(195.6*KFC!$B$33*1.02*1.25*1.1+KFC!$C$33)*KFC!$C$5</f>
        <v>274.32900000000001</v>
      </c>
      <c r="W75" s="233">
        <f>(202.8*KFC!$B$33*1.02*1.25*1.1+KFC!$C$33)*KFC!$C$5</f>
        <v>284.42700000000008</v>
      </c>
      <c r="X75" s="233">
        <f>(210*KFC!$B$33*1.02*1.25*1.1+KFC!$C$33)*KFC!$C$5</f>
        <v>294.52500000000003</v>
      </c>
      <c r="Y75" s="233">
        <f>(217.2*KFC!$B$33*1.02*1.25*1.1+KFC!$C$33)*KFC!$C$5</f>
        <v>304.62299999999999</v>
      </c>
      <c r="Z75" s="233">
        <f>(224.4*KFC!$B$33*1.02*1.25*1.1+KFC!$C$33)*KFC!$C$5</f>
        <v>314.72100000000006</v>
      </c>
    </row>
    <row r="76" spans="1:26" ht="15.9" customHeight="1">
      <c r="A76" s="1912"/>
      <c r="B76" s="237">
        <v>3.3</v>
      </c>
      <c r="C76" s="239">
        <f>(59.7*KFC!$B$33*1.02*1.25*1.1+KFC!$C$33)*KFC!$C$5</f>
        <v>83.729250000000008</v>
      </c>
      <c r="D76" s="233">
        <f>(67*KFC!$B$33*1.02*1.25*1.1+KFC!$C$33)*KFC!$C$5</f>
        <v>93.967500000000015</v>
      </c>
      <c r="E76" s="233">
        <f>(74.4*KFC!$B$33*1.02*1.25*1.1+KFC!$C$33)*KFC!$C$5</f>
        <v>104.34600000000002</v>
      </c>
      <c r="F76" s="233">
        <f>(81.8*KFC!$B$33*1.02*1.25*1.1+KFC!$C$33)*KFC!$C$5</f>
        <v>114.72449999999999</v>
      </c>
      <c r="G76" s="233">
        <f>(89.2*KFC!$B$33*1.02*1.25*1.1+KFC!$C$33)*KFC!$C$5</f>
        <v>125.10300000000004</v>
      </c>
      <c r="H76" s="233">
        <f>(96.5*KFC!$B$33*1.02*1.25*1.1+KFC!$C$33)*KFC!$C$5</f>
        <v>135.34125000000003</v>
      </c>
      <c r="I76" s="233">
        <f>(103.8*KFC!$B$33*1.02*1.25*1.1+KFC!$C$33)*KFC!$C$5</f>
        <v>145.57950000000002</v>
      </c>
      <c r="J76" s="233">
        <f>(111.2*KFC!$B$33*1.02*1.25*1.1+KFC!$C$33)*KFC!$C$5</f>
        <v>155.95800000000003</v>
      </c>
      <c r="K76" s="233">
        <f>(118.5*KFC!$B$33*1.02*1.25*1.1+KFC!$C$33)*KFC!$C$5</f>
        <v>166.19625000000002</v>
      </c>
      <c r="L76" s="233">
        <f>(126*KFC!$B$33*1.02*1.25*1.1+KFC!$C$33)*KFC!$C$5</f>
        <v>176.71500000000003</v>
      </c>
      <c r="M76" s="233">
        <f>(133.3*KFC!$B$33*1.02*1.25*1.1+KFC!$C$33)*KFC!$C$5</f>
        <v>186.95325000000003</v>
      </c>
      <c r="N76" s="233">
        <f>(140.6*KFC!$B$33*1.02*1.25*1.1+KFC!$C$33)*KFC!$C$5</f>
        <v>197.19150000000002</v>
      </c>
      <c r="O76" s="233">
        <f>(148*KFC!$B$33*1.02*1.25*1.1+KFC!$C$33)*KFC!$C$5</f>
        <v>207.57000000000002</v>
      </c>
      <c r="P76" s="233">
        <f>(155.3*KFC!$B$33*1.02*1.25*1.1+KFC!$C$33)*KFC!$C$5</f>
        <v>217.80825000000002</v>
      </c>
      <c r="Q76" s="233">
        <f>(162.7*KFC!$B$33*1.02*1.25*1.1+KFC!$C$33)*KFC!$C$5</f>
        <v>228.18674999999999</v>
      </c>
      <c r="R76" s="233">
        <f>(170.1*KFC!$B$33*1.02*1.25*1.1+KFC!$C$33)*KFC!$C$5</f>
        <v>238.56525000000002</v>
      </c>
      <c r="S76" s="233">
        <f>(177.5*KFC!$B$33*1.02*1.25*1.1+KFC!$C$33)*KFC!$C$5</f>
        <v>248.94375000000002</v>
      </c>
      <c r="T76" s="233">
        <f>(184.8*KFC!$B$33*1.02*1.25*1.1+KFC!$C$33)*KFC!$C$5</f>
        <v>259.18200000000002</v>
      </c>
      <c r="U76" s="233">
        <f>(192.1*KFC!$B$33*1.02*1.25*1.1+KFC!$C$33)*KFC!$C$5</f>
        <v>269.42025000000001</v>
      </c>
      <c r="V76" s="233">
        <f>(199.5*KFC!$B$33*1.02*1.25*1.1+KFC!$C$33)*KFC!$C$5</f>
        <v>279.79875000000004</v>
      </c>
      <c r="W76" s="233">
        <f>(206.8*KFC!$B$33*1.02*1.25*1.1+KFC!$C$33)*KFC!$C$5</f>
        <v>290.03700000000003</v>
      </c>
      <c r="X76" s="233">
        <f>(214.3*KFC!$B$33*1.02*1.25*1.1+KFC!$C$33)*KFC!$C$5</f>
        <v>300.55575000000005</v>
      </c>
      <c r="Y76" s="233">
        <f>(221.6*KFC!$B$33*1.02*1.25*1.1+KFC!$C$33)*KFC!$C$5</f>
        <v>310.79400000000004</v>
      </c>
      <c r="Z76" s="233">
        <f>(228.9*KFC!$B$33*1.02*1.25*1.1+KFC!$C$33)*KFC!$C$5</f>
        <v>321.03225000000003</v>
      </c>
    </row>
    <row r="77" spans="1:26" ht="15.9" customHeight="1">
      <c r="A77" s="1912"/>
      <c r="B77" s="237">
        <v>3.4</v>
      </c>
      <c r="C77" s="239">
        <f>(60.5*KFC!$B$33*1.02*1.25*1.1+KFC!$C$33)*KFC!$C$5</f>
        <v>84.851250000000007</v>
      </c>
      <c r="D77" s="233">
        <f>(68.1*KFC!$B$33*1.02*1.25*1.1+KFC!$C$33)*KFC!$C$5</f>
        <v>95.510249999999999</v>
      </c>
      <c r="E77" s="233">
        <f>(75.6*KFC!$B$33*1.02*1.25*1.1+KFC!$C$33)*KFC!$C$5</f>
        <v>106.029</v>
      </c>
      <c r="F77" s="233">
        <f>(83.2*KFC!$B$33*1.02*1.25*1.1+KFC!$C$33)*KFC!$C$5</f>
        <v>116.68800000000002</v>
      </c>
      <c r="G77" s="233">
        <f>(90.6*KFC!$B$33*1.02*1.25*1.1+KFC!$C$33)*KFC!$C$5</f>
        <v>127.06649999999999</v>
      </c>
      <c r="H77" s="233">
        <f>(98.2*KFC!$B$33*1.02*1.25*1.1+KFC!$C$33)*KFC!$C$5</f>
        <v>137.72550000000001</v>
      </c>
      <c r="I77" s="233">
        <f>(105.7*KFC!$B$33*1.02*1.25*1.1+KFC!$C$33)*KFC!$C$5</f>
        <v>148.24425000000002</v>
      </c>
      <c r="J77" s="233">
        <f>(113.2*KFC!$B$33*1.02*1.25*1.1+KFC!$C$33)*KFC!$C$5</f>
        <v>158.76300000000001</v>
      </c>
      <c r="K77" s="233">
        <f>(120.7*KFC!$B$33*1.02*1.25*1.1+KFC!$C$33)*KFC!$C$5</f>
        <v>169.28175000000002</v>
      </c>
      <c r="L77" s="233">
        <f>(128.3*KFC!$B$33*1.02*1.25*1.1+KFC!$C$33)*KFC!$C$5</f>
        <v>179.94075000000004</v>
      </c>
      <c r="M77" s="233">
        <f>(135.8*KFC!$B$33*1.02*1.25*1.1+KFC!$C$33)*KFC!$C$5</f>
        <v>190.45950000000005</v>
      </c>
      <c r="N77" s="233">
        <f>(143.2*KFC!$B$33*1.02*1.25*1.1+KFC!$C$33)*KFC!$C$5</f>
        <v>200.83799999999999</v>
      </c>
      <c r="O77" s="233">
        <f>(150.8*KFC!$B$33*1.02*1.25*1.1+KFC!$C$33)*KFC!$C$5</f>
        <v>211.49700000000004</v>
      </c>
      <c r="P77" s="233">
        <f>(158.3*KFC!$B$33*1.02*1.25*1.1+KFC!$C$33)*KFC!$C$5</f>
        <v>222.01575000000003</v>
      </c>
      <c r="Q77" s="233">
        <f>(165.8*KFC!$B$33*1.02*1.25*1.1+KFC!$C$33)*KFC!$C$5</f>
        <v>232.53450000000004</v>
      </c>
      <c r="R77" s="233">
        <f>(173.3*KFC!$B$33*1.02*1.25*1.1+KFC!$C$33)*KFC!$C$5</f>
        <v>243.05325000000005</v>
      </c>
      <c r="S77" s="233">
        <f>(180.9*KFC!$B$33*1.02*1.25*1.1+KFC!$C$33)*KFC!$C$5</f>
        <v>253.71225000000004</v>
      </c>
      <c r="T77" s="233">
        <f>(188.3*KFC!$B$33*1.02*1.25*1.1+KFC!$C$33)*KFC!$C$5</f>
        <v>264.09075000000001</v>
      </c>
      <c r="U77" s="233">
        <f>(195.9*KFC!$B$33*1.02*1.25*1.1+KFC!$C$33)*KFC!$C$5</f>
        <v>274.74975000000001</v>
      </c>
      <c r="V77" s="233">
        <f>(203.4*KFC!$B$33*1.02*1.25*1.1+KFC!$C$33)*KFC!$C$5</f>
        <v>285.26850000000007</v>
      </c>
      <c r="W77" s="233">
        <f>(210.8*KFC!$B$33*1.02*1.25*1.1+KFC!$C$33)*KFC!$C$5</f>
        <v>295.64700000000005</v>
      </c>
      <c r="X77" s="233">
        <f>(218.4*KFC!$B$33*1.02*1.25*1.1+KFC!$C$33)*KFC!$C$5</f>
        <v>306.30599999999998</v>
      </c>
      <c r="Y77" s="233">
        <f>(225.9*KFC!$B$33*1.02*1.25*1.1+KFC!$C$33)*KFC!$C$5</f>
        <v>316.82475000000005</v>
      </c>
      <c r="Z77" s="233">
        <f>(233.5*KFC!$B$33*1.02*1.25*1.1+KFC!$C$33)*KFC!$C$5</f>
        <v>327.48375000000004</v>
      </c>
    </row>
    <row r="78" spans="1:26" ht="15.9" customHeight="1">
      <c r="A78" s="1912"/>
      <c r="B78" s="237">
        <v>3.5</v>
      </c>
      <c r="C78" s="239">
        <f>(61.5*KFC!$B$33*1.02*1.25*1.1+KFC!$C$33)*KFC!$C$5</f>
        <v>86.253750000000011</v>
      </c>
      <c r="D78" s="233">
        <f>(69.2*KFC!$B$33*1.02*1.25*1.1+KFC!$C$33)*KFC!$C$5</f>
        <v>97.053000000000011</v>
      </c>
      <c r="E78" s="233">
        <f>(76.8*KFC!$B$33*1.02*1.25*1.1+KFC!$C$33)*KFC!$C$5</f>
        <v>107.71200000000002</v>
      </c>
      <c r="F78" s="233">
        <f>(84.5*KFC!$B$33*1.02*1.25*1.1+KFC!$C$33)*KFC!$C$5</f>
        <v>118.51125</v>
      </c>
      <c r="G78" s="233">
        <f>(92.2*KFC!$B$33*1.02*1.25*1.1+KFC!$C$33)*KFC!$C$5</f>
        <v>129.31050000000002</v>
      </c>
      <c r="H78" s="233">
        <f>(99.9*KFC!$B$33*1.02*1.25*1.1+KFC!$C$33)*KFC!$C$5</f>
        <v>140.10975000000002</v>
      </c>
      <c r="I78" s="233">
        <f>(107.5*KFC!$B$33*1.02*1.25*1.1+KFC!$C$33)*KFC!$C$5</f>
        <v>150.76875000000001</v>
      </c>
      <c r="J78" s="233">
        <f>(115.2*KFC!$B$33*1.02*1.25*1.1+KFC!$C$33)*KFC!$C$5</f>
        <v>161.56800000000001</v>
      </c>
      <c r="K78" s="233">
        <f>(122.9*KFC!$B$33*1.02*1.25*1.1+KFC!$C$33)*KFC!$C$5</f>
        <v>172.36725000000001</v>
      </c>
      <c r="L78" s="233">
        <f>(130.6*KFC!$B$33*1.02*1.25*1.1+KFC!$C$33)*KFC!$C$5</f>
        <v>183.16650000000001</v>
      </c>
      <c r="M78" s="233">
        <f>(138.2*KFC!$B$33*1.02*1.25*1.1+KFC!$C$33)*KFC!$C$5</f>
        <v>193.82550000000001</v>
      </c>
      <c r="N78" s="233">
        <f>(145.9*KFC!$B$33*1.02*1.25*1.1+KFC!$C$33)*KFC!$C$5</f>
        <v>204.62475000000003</v>
      </c>
      <c r="O78" s="233">
        <f>(153.6*KFC!$B$33*1.02*1.25*1.1+KFC!$C$33)*KFC!$C$5</f>
        <v>215.42400000000004</v>
      </c>
      <c r="P78" s="233">
        <f>(161.2*KFC!$B$33*1.02*1.25*1.1+KFC!$C$33)*KFC!$C$5</f>
        <v>226.083</v>
      </c>
      <c r="Q78" s="233">
        <f>(168.9*KFC!$B$33*1.02*1.25*1.1+KFC!$C$33)*KFC!$C$5</f>
        <v>236.88225000000006</v>
      </c>
      <c r="R78" s="233">
        <f>(176.6*KFC!$B$33*1.02*1.25*1.1+KFC!$C$33)*KFC!$C$5</f>
        <v>247.68150000000006</v>
      </c>
      <c r="S78" s="233">
        <f>(184.3*KFC!$B$33*1.02*1.25*1.1+KFC!$C$33)*KFC!$C$5</f>
        <v>258.48075000000006</v>
      </c>
      <c r="T78" s="233">
        <f>(191.9*KFC!$B$33*1.02*1.25*1.1+KFC!$C$33)*KFC!$C$5</f>
        <v>269.13975000000005</v>
      </c>
      <c r="U78" s="233">
        <f>(199.6*KFC!$B$33*1.02*1.25*1.1+KFC!$C$33)*KFC!$C$5</f>
        <v>279.93900000000002</v>
      </c>
      <c r="V78" s="233">
        <f>(207.3*KFC!$B$33*1.02*1.25*1.1+KFC!$C$33)*KFC!$C$5</f>
        <v>290.73825000000005</v>
      </c>
      <c r="W78" s="233">
        <f>(215*KFC!$B$33*1.02*1.25*1.1+KFC!$C$33)*KFC!$C$5</f>
        <v>301.53750000000002</v>
      </c>
      <c r="X78" s="233">
        <f>(222.6*KFC!$B$33*1.02*1.25*1.1+KFC!$C$33)*KFC!$C$5</f>
        <v>312.19650000000001</v>
      </c>
      <c r="Y78" s="233">
        <f>(230.3*KFC!$B$33*1.02*1.25*1.1+KFC!$C$33)*KFC!$C$5</f>
        <v>322.99575000000004</v>
      </c>
      <c r="Z78" s="233">
        <f>(238*KFC!$B$33*1.02*1.25*1.1+KFC!$C$33)*KFC!$C$5</f>
        <v>333.79500000000002</v>
      </c>
    </row>
    <row r="79" spans="1:26" ht="15.9" customHeight="1">
      <c r="A79" s="1912"/>
      <c r="B79" s="237">
        <v>3.6</v>
      </c>
      <c r="C79" s="239">
        <f>(62.4*KFC!$B$33*1.02*1.25*1.1+KFC!$C$33)*KFC!$C$5</f>
        <v>87.516000000000005</v>
      </c>
      <c r="D79" s="233">
        <f>(70.2*KFC!$B$33*1.02*1.25*1.1+KFC!$C$33)*KFC!$C$5</f>
        <v>98.455500000000001</v>
      </c>
      <c r="E79" s="233">
        <f>(78*KFC!$B$33*1.02*1.25*1.1+KFC!$C$33)*KFC!$C$5</f>
        <v>109.39500000000001</v>
      </c>
      <c r="F79" s="233">
        <f>(85.9*KFC!$B$33*1.02*1.25*1.1+KFC!$C$33)*KFC!$C$5</f>
        <v>120.47475000000001</v>
      </c>
      <c r="G79" s="233">
        <f>(93.7*KFC!$B$33*1.02*1.25*1.1+KFC!$C$33)*KFC!$C$5</f>
        <v>131.41425000000001</v>
      </c>
      <c r="H79" s="233">
        <f>(101.5*KFC!$B$33*1.02*1.25*1.1+KFC!$C$33)*KFC!$C$5</f>
        <v>142.35375000000002</v>
      </c>
      <c r="I79" s="233">
        <f>(109.3*KFC!$B$33*1.02*1.25*1.1+KFC!$C$33)*KFC!$C$5</f>
        <v>153.29325000000003</v>
      </c>
      <c r="J79" s="233">
        <f>(117.2*KFC!$B$33*1.02*1.25*1.1+KFC!$C$33)*KFC!$C$5</f>
        <v>164.37300000000002</v>
      </c>
      <c r="K79" s="233">
        <f>(125*KFC!$B$33*1.02*1.25*1.1+KFC!$C$33)*KFC!$C$5</f>
        <v>175.3125</v>
      </c>
      <c r="L79" s="233">
        <f>(132.9*KFC!$B$33*1.02*1.25*1.1+KFC!$C$33)*KFC!$C$5</f>
        <v>186.39225000000005</v>
      </c>
      <c r="M79" s="233">
        <f>(140.8*KFC!$B$33*1.02*1.25*1.1+KFC!$C$33)*KFC!$C$5</f>
        <v>197.47200000000004</v>
      </c>
      <c r="N79" s="233">
        <f>(148.6*KFC!$B$33*1.02*1.25*1.1+KFC!$C$33)*KFC!$C$5</f>
        <v>208.41150000000002</v>
      </c>
      <c r="O79" s="233">
        <f>(156.4*KFC!$B$33*1.02*1.25*1.1+KFC!$C$33)*KFC!$C$5</f>
        <v>219.35100000000006</v>
      </c>
      <c r="P79" s="233">
        <f>(164.2*KFC!$B$33*1.02*1.25*1.1+KFC!$C$33)*KFC!$C$5</f>
        <v>230.29049999999998</v>
      </c>
      <c r="Q79" s="233">
        <f>(172.1*KFC!$B$33*1.02*1.25*1.1+KFC!$C$33)*KFC!$C$5</f>
        <v>241.37025000000003</v>
      </c>
      <c r="R79" s="233">
        <f>(179.9*KFC!$B$33*1.02*1.25*1.1+KFC!$C$33)*KFC!$C$5</f>
        <v>252.30975000000007</v>
      </c>
      <c r="S79" s="233">
        <f>(187.7*KFC!$B$33*1.02*1.25*1.1+KFC!$C$33)*KFC!$C$5</f>
        <v>263.24924999999996</v>
      </c>
      <c r="T79" s="233">
        <f>(195.6*KFC!$B$33*1.02*1.25*1.1+KFC!$C$33)*KFC!$C$5</f>
        <v>274.32900000000001</v>
      </c>
      <c r="U79" s="233">
        <f>(203.4*KFC!$B$33*1.02*1.25*1.1+KFC!$C$33)*KFC!$C$5</f>
        <v>285.26850000000007</v>
      </c>
      <c r="V79" s="233">
        <f>(211.2*KFC!$B$33*1.02*1.25*1.1+KFC!$C$33)*KFC!$C$5</f>
        <v>296.20799999999997</v>
      </c>
      <c r="W79" s="233">
        <f>(219*KFC!$B$33*1.02*1.25*1.1+KFC!$C$33)*KFC!$C$5</f>
        <v>307.14750000000004</v>
      </c>
      <c r="X79" s="233">
        <f>(226.9*KFC!$B$33*1.02*1.25*1.1+KFC!$C$33)*KFC!$C$5</f>
        <v>318.22725000000003</v>
      </c>
      <c r="Y79" s="233">
        <f>(234.7*KFC!$B$33*1.02*1.25*1.1+KFC!$C$33)*KFC!$C$5</f>
        <v>329.16675000000004</v>
      </c>
      <c r="Z79" s="233">
        <f>(242.5*KFC!$B$33*1.02*1.25*1.1+KFC!$C$33)*KFC!$C$5</f>
        <v>340.10625000000005</v>
      </c>
    </row>
    <row r="80" spans="1:26" ht="15.9" customHeight="1">
      <c r="A80" s="1912"/>
      <c r="B80" s="237">
        <v>3.7</v>
      </c>
      <c r="C80" s="239">
        <f>(63.4*KFC!$B$33*1.02*1.25*1.1+KFC!$C$33)*KFC!$C$5</f>
        <v>88.918500000000023</v>
      </c>
      <c r="D80" s="233">
        <f>(71.3*KFC!$B$33*1.02*1.25*1.1+KFC!$C$33)*KFC!$C$5</f>
        <v>99.998250000000013</v>
      </c>
      <c r="E80" s="233">
        <f>(79.3*KFC!$B$33*1.02*1.25*1.1+KFC!$C$33)*KFC!$C$5</f>
        <v>111.21825</v>
      </c>
      <c r="F80" s="233">
        <f>(87.3*KFC!$B$33*1.02*1.25*1.1+KFC!$C$33)*KFC!$C$5</f>
        <v>122.43825</v>
      </c>
      <c r="G80" s="233">
        <f>(95.3*KFC!$B$33*1.02*1.25*1.1+KFC!$C$33)*KFC!$C$5</f>
        <v>133.65825000000001</v>
      </c>
      <c r="H80" s="233">
        <f>(103.2*KFC!$B$33*1.02*1.25*1.1+KFC!$C$33)*KFC!$C$5</f>
        <v>144.73800000000003</v>
      </c>
      <c r="I80" s="233">
        <f>(111.3*KFC!$B$33*1.02*1.25*1.1+KFC!$C$33)*KFC!$C$5</f>
        <v>156.09825000000001</v>
      </c>
      <c r="J80" s="233">
        <f>(119.2*KFC!$B$33*1.02*1.25*1.1+KFC!$C$33)*KFC!$C$5</f>
        <v>167.17800000000003</v>
      </c>
      <c r="K80" s="233">
        <f>(127.2*KFC!$B$33*1.02*1.25*1.1+KFC!$C$33)*KFC!$C$5</f>
        <v>178.39800000000002</v>
      </c>
      <c r="L80" s="233">
        <f>(135.3*KFC!$B$33*1.02*1.25*1.1+KFC!$C$33)*KFC!$C$5</f>
        <v>189.75825</v>
      </c>
      <c r="M80" s="233">
        <f>(143.2*KFC!$B$33*1.02*1.25*1.1+KFC!$C$33)*KFC!$C$5</f>
        <v>200.83799999999999</v>
      </c>
      <c r="N80" s="233">
        <f>(151.2*KFC!$B$33*1.02*1.25*1.1+KFC!$C$33)*KFC!$C$5</f>
        <v>212.05799999999999</v>
      </c>
      <c r="O80" s="233">
        <f>(159.1*KFC!$B$33*1.02*1.25*1.1+KFC!$C$33)*KFC!$C$5</f>
        <v>223.13775000000004</v>
      </c>
      <c r="P80" s="233">
        <f>(167.2*KFC!$B$33*1.02*1.25*1.1+KFC!$C$33)*KFC!$C$5</f>
        <v>234.49799999999999</v>
      </c>
      <c r="Q80" s="233">
        <f>(175.1*KFC!$B$33*1.02*1.25*1.1+KFC!$C$33)*KFC!$C$5</f>
        <v>245.57775000000001</v>
      </c>
      <c r="R80" s="233">
        <f>(183.1*KFC!$B$33*1.02*1.25*1.1+KFC!$C$33)*KFC!$C$5</f>
        <v>256.79775000000001</v>
      </c>
      <c r="S80" s="233">
        <f>(191.2*KFC!$B$33*1.02*1.25*1.1+KFC!$C$33)*KFC!$C$5</f>
        <v>268.15800000000002</v>
      </c>
      <c r="T80" s="233">
        <f>(199.1*KFC!$B$33*1.02*1.25*1.1+KFC!$C$33)*KFC!$C$5</f>
        <v>279.23775000000001</v>
      </c>
      <c r="U80" s="233">
        <f>(207.1*KFC!$B$33*1.02*1.25*1.1+KFC!$C$33)*KFC!$C$5</f>
        <v>290.45775000000003</v>
      </c>
      <c r="V80" s="233">
        <f>(215.1*KFC!$B$33*1.02*1.25*1.1+KFC!$C$33)*KFC!$C$5</f>
        <v>301.67775</v>
      </c>
      <c r="W80" s="233">
        <f>(223.1*KFC!$B$33*1.02*1.25*1.1+KFC!$C$33)*KFC!$C$5</f>
        <v>312.89775000000003</v>
      </c>
      <c r="X80" s="233">
        <f>(231*KFC!$B$33*1.02*1.25*1.1+KFC!$C$33)*KFC!$C$5</f>
        <v>323.97750000000002</v>
      </c>
      <c r="Y80" s="233">
        <f>(239.1*KFC!$B$33*1.02*1.25*1.1+KFC!$C$33)*KFC!$C$5</f>
        <v>335.33775000000003</v>
      </c>
      <c r="Z80" s="233">
        <f>(247*KFC!$B$33*1.02*1.25*1.1+KFC!$C$33)*KFC!$C$5</f>
        <v>346.41750000000002</v>
      </c>
    </row>
    <row r="81" spans="1:26" ht="15.9" customHeight="1">
      <c r="A81" s="1912"/>
      <c r="B81" s="237">
        <v>3.8</v>
      </c>
      <c r="C81" s="239">
        <f>(64.2*KFC!$B$33*1.02*1.25*1.1+KFC!$C$33)*KFC!$C$5</f>
        <v>90.040500000000023</v>
      </c>
      <c r="D81" s="233">
        <f>(72.4*KFC!$B$33*1.02*1.25*1.1+KFC!$C$33)*KFC!$C$5</f>
        <v>101.54100000000003</v>
      </c>
      <c r="E81" s="233">
        <f>(80.5*KFC!$B$33*1.02*1.25*1.1+KFC!$C$33)*KFC!$C$5</f>
        <v>112.90125000000002</v>
      </c>
      <c r="F81" s="233">
        <f>(88.7*KFC!$B$33*1.02*1.25*1.1+KFC!$C$33)*KFC!$C$5</f>
        <v>124.40175000000001</v>
      </c>
      <c r="G81" s="233">
        <f>(96.9*KFC!$B$33*1.02*1.25*1.1+KFC!$C$33)*KFC!$C$5</f>
        <v>135.90225000000004</v>
      </c>
      <c r="H81" s="233">
        <f>(104.9*KFC!$B$33*1.02*1.25*1.1+KFC!$C$33)*KFC!$C$5</f>
        <v>147.12225000000001</v>
      </c>
      <c r="I81" s="233">
        <f>(113.1*KFC!$B$33*1.02*1.25*1.1+KFC!$C$33)*KFC!$C$5</f>
        <v>158.62275</v>
      </c>
      <c r="J81" s="233">
        <f>(121.2*KFC!$B$33*1.02*1.25*1.1+KFC!$C$33)*KFC!$C$5</f>
        <v>169.983</v>
      </c>
      <c r="K81" s="233">
        <f>(129.4*KFC!$B$33*1.02*1.25*1.1+KFC!$C$33)*KFC!$C$5</f>
        <v>181.48350000000002</v>
      </c>
      <c r="L81" s="233">
        <f>(137.6*KFC!$B$33*1.02*1.25*1.1+KFC!$C$33)*KFC!$C$5</f>
        <v>192.98400000000001</v>
      </c>
      <c r="M81" s="233">
        <f>(145.7*KFC!$B$33*1.02*1.25*1.1+KFC!$C$33)*KFC!$C$5</f>
        <v>204.34425000000002</v>
      </c>
      <c r="N81" s="233">
        <f>(153.9*KFC!$B$33*1.02*1.25*1.1+KFC!$C$33)*KFC!$C$5</f>
        <v>215.84475000000003</v>
      </c>
      <c r="O81" s="233">
        <f>(161.9*KFC!$B$33*1.02*1.25*1.1+KFC!$C$33)*KFC!$C$5</f>
        <v>227.06475000000003</v>
      </c>
      <c r="P81" s="233">
        <f>(170.1*KFC!$B$33*1.02*1.25*1.1+KFC!$C$33)*KFC!$C$5</f>
        <v>238.56525000000002</v>
      </c>
      <c r="Q81" s="233">
        <f>(178.2*KFC!$B$33*1.02*1.25*1.1+KFC!$C$33)*KFC!$C$5</f>
        <v>249.9255</v>
      </c>
      <c r="R81" s="233">
        <f>(186.4*KFC!$B$33*1.02*1.25*1.1+KFC!$C$33)*KFC!$C$5</f>
        <v>261.42600000000004</v>
      </c>
      <c r="S81" s="233">
        <f>(194.6*KFC!$B$33*1.02*1.25*1.1+KFC!$C$33)*KFC!$C$5</f>
        <v>272.92649999999998</v>
      </c>
      <c r="T81" s="233">
        <f>(202.7*KFC!$B$33*1.02*1.25*1.1+KFC!$C$33)*KFC!$C$5</f>
        <v>284.28675000000004</v>
      </c>
      <c r="U81" s="233">
        <f>(210.8*KFC!$B$33*1.02*1.25*1.1+KFC!$C$33)*KFC!$C$5</f>
        <v>295.64700000000005</v>
      </c>
      <c r="V81" s="233">
        <f>(218.9*KFC!$B$33*1.02*1.25*1.1+KFC!$C$33)*KFC!$C$5</f>
        <v>307.00725000000006</v>
      </c>
      <c r="W81" s="233">
        <f>(227.1*KFC!$B$33*1.02*1.25*1.1+KFC!$C$33)*KFC!$C$5</f>
        <v>318.50775000000004</v>
      </c>
      <c r="X81" s="233">
        <f>(235.3*KFC!$B$33*1.02*1.25*1.1+KFC!$C$33)*KFC!$C$5</f>
        <v>330.00825000000009</v>
      </c>
      <c r="Y81" s="233">
        <f>(243.4*KFC!$B$33*1.02*1.25*1.1+KFC!$C$33)*KFC!$C$5</f>
        <v>341.36849999999998</v>
      </c>
      <c r="Z81" s="233">
        <f>(251.6*KFC!$B$33*1.02*1.25*1.1+KFC!$C$33)*KFC!$C$5</f>
        <v>352.86900000000003</v>
      </c>
    </row>
    <row r="82" spans="1:26" ht="15.9" customHeight="1">
      <c r="A82" s="1912"/>
      <c r="B82" s="237">
        <v>3.9</v>
      </c>
      <c r="C82" s="239">
        <f>(65.2*KFC!$B$33*1.02*1.25*1.1+KFC!$C$33)*KFC!$C$5</f>
        <v>91.443000000000012</v>
      </c>
      <c r="D82" s="233">
        <f>(73.4*KFC!$B$33*1.02*1.25*1.1+KFC!$C$33)*KFC!$C$5</f>
        <v>102.94350000000001</v>
      </c>
      <c r="E82" s="233">
        <f>(81.7*KFC!$B$33*1.02*1.25*1.1+KFC!$C$33)*KFC!$C$5</f>
        <v>114.58425000000001</v>
      </c>
      <c r="F82" s="233">
        <f>(90*KFC!$B$33*1.02*1.25*1.1+KFC!$C$33)*KFC!$C$5</f>
        <v>126.22500000000001</v>
      </c>
      <c r="G82" s="233">
        <f>(98.3*KFC!$B$33*1.02*1.25*1.1+KFC!$C$33)*KFC!$C$5</f>
        <v>137.86575000000002</v>
      </c>
      <c r="H82" s="233">
        <f>(106.6*KFC!$B$33*1.02*1.25*1.1+KFC!$C$33)*KFC!$C$5</f>
        <v>149.50650000000002</v>
      </c>
      <c r="I82" s="233">
        <f>(115*KFC!$B$33*1.02*1.25*1.1+KFC!$C$33)*KFC!$C$5</f>
        <v>161.28750000000002</v>
      </c>
      <c r="J82" s="233">
        <f>(123.3*KFC!$B$33*1.02*1.25*1.1+KFC!$C$33)*KFC!$C$5</f>
        <v>172.92825000000002</v>
      </c>
      <c r="K82" s="233">
        <f>(131.6*KFC!$B$33*1.02*1.25*1.1+KFC!$C$33)*KFC!$C$5</f>
        <v>184.56900000000002</v>
      </c>
      <c r="L82" s="233">
        <f>(139.9*KFC!$B$33*1.02*1.25*1.1+KFC!$C$33)*KFC!$C$5</f>
        <v>196.20975000000001</v>
      </c>
      <c r="M82" s="233">
        <f>(148.1*KFC!$B$33*1.02*1.25*1.1+KFC!$C$33)*KFC!$C$5</f>
        <v>207.71025</v>
      </c>
      <c r="N82" s="233">
        <f>(156.4*KFC!$B$33*1.02*1.25*1.1+KFC!$C$33)*KFC!$C$5</f>
        <v>219.35100000000006</v>
      </c>
      <c r="O82" s="233">
        <f>(164.7*KFC!$B$33*1.02*1.25*1.1+KFC!$C$33)*KFC!$C$5</f>
        <v>230.99175000000002</v>
      </c>
      <c r="P82" s="233">
        <f>(173.1*KFC!$B$33*1.02*1.25*1.1+KFC!$C$33)*KFC!$C$5</f>
        <v>242.77275</v>
      </c>
      <c r="Q82" s="233">
        <f>(181.4*KFC!$B$33*1.02*1.25*1.1+KFC!$C$33)*KFC!$C$5</f>
        <v>254.41350000000006</v>
      </c>
      <c r="R82" s="233">
        <f>(189.7*KFC!$B$33*1.02*1.25*1.1+KFC!$C$33)*KFC!$C$5</f>
        <v>266.05425000000002</v>
      </c>
      <c r="S82" s="233">
        <f>(198*KFC!$B$33*1.02*1.25*1.1+KFC!$C$33)*KFC!$C$5</f>
        <v>277.69500000000005</v>
      </c>
      <c r="T82" s="233">
        <f>(206.3*KFC!$B$33*1.02*1.25*1.1+KFC!$C$33)*KFC!$C$5</f>
        <v>289.33575000000008</v>
      </c>
      <c r="U82" s="233">
        <f>(214.5*KFC!$B$33*1.02*1.25*1.1+KFC!$C$33)*KFC!$C$5</f>
        <v>300.83625000000006</v>
      </c>
      <c r="V82" s="233">
        <f>(222.8*KFC!$B$33*1.02*1.25*1.1+KFC!$C$33)*KFC!$C$5</f>
        <v>312.47700000000009</v>
      </c>
      <c r="W82" s="233">
        <f>(231.1*KFC!$B$33*1.02*1.25*1.1+KFC!$C$33)*KFC!$C$5</f>
        <v>324.11775000000006</v>
      </c>
      <c r="X82" s="233">
        <f>(239.5*KFC!$B$33*1.02*1.25*1.1+KFC!$C$33)*KFC!$C$5</f>
        <v>335.89875000000006</v>
      </c>
      <c r="Y82" s="233">
        <f>(247.8*KFC!$B$33*1.02*1.25*1.1+KFC!$C$33)*KFC!$C$5</f>
        <v>347.53950000000009</v>
      </c>
      <c r="Z82" s="233">
        <f>(256.1*KFC!$B$33*1.02*1.25*1.1+KFC!$C$33)*KFC!$C$5</f>
        <v>359.18025000000006</v>
      </c>
    </row>
    <row r="83" spans="1:26" ht="15.9" customHeight="1" thickBot="1">
      <c r="A83" s="1913"/>
      <c r="B83" s="238">
        <v>4</v>
      </c>
      <c r="C83" s="240">
        <f>(66*KFC!$B$33*1.02*1.25*1.1+KFC!$C$33)*KFC!$C$5</f>
        <v>92.565000000000012</v>
      </c>
      <c r="D83" s="234">
        <f>(74.5*KFC!$B$33*1.02*1.25*1.1+KFC!$C$33)*KFC!$C$5</f>
        <v>104.48625</v>
      </c>
      <c r="E83" s="234">
        <f>(82.9*KFC!$B$33*1.02*1.25*1.1+KFC!$C$33)*KFC!$C$5</f>
        <v>116.26725000000002</v>
      </c>
      <c r="F83" s="234">
        <f>(91.5*KFC!$B$33*1.02*1.25*1.1+KFC!$C$33)*KFC!$C$5</f>
        <v>128.32875000000001</v>
      </c>
      <c r="G83" s="234">
        <f>(99.9*KFC!$B$33*1.02*1.25*1.1+KFC!$C$33)*KFC!$C$5</f>
        <v>140.10975000000002</v>
      </c>
      <c r="H83" s="234">
        <f>(108.4*KFC!$B$33*1.02*1.25*1.1+KFC!$C$33)*KFC!$C$5</f>
        <v>152.03100000000003</v>
      </c>
      <c r="I83" s="234">
        <f>(116.8*KFC!$B$33*1.02*1.25*1.1+KFC!$C$33)*KFC!$C$5</f>
        <v>163.81200000000001</v>
      </c>
      <c r="J83" s="234">
        <f>(125.2*KFC!$B$33*1.02*1.25*1.1+KFC!$C$33)*KFC!$C$5</f>
        <v>175.59300000000002</v>
      </c>
      <c r="K83" s="234">
        <f>(133.7*KFC!$B$33*1.02*1.25*1.1+KFC!$C$33)*KFC!$C$5</f>
        <v>187.51425</v>
      </c>
      <c r="L83" s="234">
        <f>(142.2*KFC!$B$33*1.02*1.25*1.1+KFC!$C$33)*KFC!$C$5</f>
        <v>199.43549999999999</v>
      </c>
      <c r="M83" s="234">
        <f>(150.7*KFC!$B$33*1.02*1.25*1.1+KFC!$C$33)*KFC!$C$5</f>
        <v>211.35675000000001</v>
      </c>
      <c r="N83" s="234">
        <f>(159.1*KFC!$B$33*1.02*1.25*1.1+KFC!$C$33)*KFC!$C$5</f>
        <v>223.13775000000004</v>
      </c>
      <c r="O83" s="234">
        <f>(167.6*KFC!$B$33*1.02*1.25*1.1+KFC!$C$33)*KFC!$C$5</f>
        <v>235.05900000000003</v>
      </c>
      <c r="P83" s="234">
        <f>(176*KFC!$B$33*1.02*1.25*1.1+KFC!$C$33)*KFC!$C$5</f>
        <v>246.84000000000003</v>
      </c>
      <c r="Q83" s="234">
        <f>(184.4*KFC!$B$33*1.02*1.25*1.1+KFC!$C$33)*KFC!$C$5</f>
        <v>258.62100000000004</v>
      </c>
      <c r="R83" s="234">
        <f>(193*KFC!$B$33*1.02*1.25*1.1+KFC!$C$33)*KFC!$C$5</f>
        <v>270.68250000000006</v>
      </c>
      <c r="S83" s="234">
        <f>(201.4*KFC!$B$33*1.02*1.25*1.1+KFC!$C$33)*KFC!$C$5</f>
        <v>282.46350000000001</v>
      </c>
      <c r="T83" s="234">
        <f>(209.9*KFC!$B$33*1.02*1.25*1.1+KFC!$C$33)*KFC!$C$5</f>
        <v>294.38475000000005</v>
      </c>
      <c r="U83" s="234">
        <f>(218.3*KFC!$B$33*1.02*1.25*1.1+KFC!$C$33)*KFC!$C$5</f>
        <v>306.16575000000006</v>
      </c>
      <c r="V83" s="234">
        <f>(226.7*KFC!$B$33*1.02*1.25*1.1+KFC!$C$33)*KFC!$C$5</f>
        <v>317.94675000000001</v>
      </c>
      <c r="W83" s="234">
        <f>(235.2*KFC!$B$33*1.02*1.25*1.1+KFC!$C$33)*KFC!$C$5</f>
        <v>329.86799999999999</v>
      </c>
      <c r="X83" s="234">
        <f>(243.7*KFC!$B$33*1.02*1.25*1.1+KFC!$C$33)*KFC!$C$5</f>
        <v>341.78924999999998</v>
      </c>
      <c r="Y83" s="234">
        <f>(252.2*KFC!$B$33*1.02*1.25*1.1+KFC!$C$33)*KFC!$C$5</f>
        <v>353.71049999999997</v>
      </c>
      <c r="Z83" s="234">
        <f>(260.6*KFC!$B$33*1.02*1.25*1.1+KFC!$C$33)*KFC!$C$5</f>
        <v>365.49150000000003</v>
      </c>
    </row>
    <row r="84" spans="1:26" ht="15.9" customHeight="1" thickBot="1">
      <c r="A84" s="183"/>
      <c r="B84" s="245"/>
      <c r="C84" s="235"/>
      <c r="D84" s="235"/>
      <c r="E84" s="235"/>
      <c r="F84" s="235"/>
      <c r="G84" s="235"/>
      <c r="H84" s="235"/>
      <c r="I84" s="235"/>
      <c r="J84" s="235"/>
      <c r="K84" s="235"/>
      <c r="L84" s="235"/>
      <c r="M84" s="235"/>
      <c r="N84" s="235"/>
      <c r="O84" s="235"/>
      <c r="P84" s="235"/>
      <c r="Q84" s="235"/>
      <c r="R84" s="235"/>
      <c r="S84" s="235"/>
      <c r="T84" s="235"/>
      <c r="U84" s="235"/>
      <c r="V84" s="235"/>
      <c r="W84" s="235"/>
      <c r="X84" s="235"/>
      <c r="Y84" s="235"/>
    </row>
    <row r="85" spans="1:26" ht="15.9" customHeight="1" thickBot="1">
      <c r="A85" s="1413" t="s">
        <v>318</v>
      </c>
      <c r="B85" s="1414"/>
      <c r="C85" s="1914" t="s">
        <v>207</v>
      </c>
      <c r="D85" s="1915"/>
      <c r="E85" s="1915"/>
      <c r="F85" s="1915"/>
      <c r="G85" s="1915"/>
      <c r="H85" s="1915"/>
      <c r="I85" s="1915"/>
      <c r="J85" s="1915"/>
      <c r="K85" s="1915"/>
      <c r="L85" s="1915"/>
      <c r="M85" s="1915"/>
      <c r="N85" s="1915"/>
      <c r="O85" s="1915"/>
      <c r="P85" s="1915"/>
      <c r="Q85" s="1915"/>
      <c r="R85" s="1915"/>
      <c r="S85" s="1915"/>
      <c r="T85" s="1915"/>
      <c r="U85" s="1915"/>
      <c r="V85" s="1915"/>
      <c r="W85" s="1915"/>
      <c r="X85" s="1915"/>
      <c r="Y85" s="1915"/>
      <c r="Z85" s="1915"/>
    </row>
    <row r="86" spans="1:26" ht="15.9" customHeight="1" thickBot="1">
      <c r="A86" s="1803"/>
      <c r="B86" s="1910"/>
      <c r="C86" s="243">
        <v>0.4</v>
      </c>
      <c r="D86" s="244">
        <v>0.5</v>
      </c>
      <c r="E86" s="244">
        <v>0.6</v>
      </c>
      <c r="F86" s="244">
        <v>0.7</v>
      </c>
      <c r="G86" s="244">
        <v>0.8</v>
      </c>
      <c r="H86" s="244">
        <v>0.9</v>
      </c>
      <c r="I86" s="244">
        <v>1</v>
      </c>
      <c r="J86" s="244">
        <v>1.1000000000000001</v>
      </c>
      <c r="K86" s="244">
        <v>1.2</v>
      </c>
      <c r="L86" s="244">
        <v>1.3</v>
      </c>
      <c r="M86" s="244">
        <v>1.4</v>
      </c>
      <c r="N86" s="244">
        <v>1.5</v>
      </c>
      <c r="O86" s="244">
        <v>1.6</v>
      </c>
      <c r="P86" s="244">
        <v>1.7</v>
      </c>
      <c r="Q86" s="244">
        <v>1.8</v>
      </c>
      <c r="R86" s="244">
        <v>1.9</v>
      </c>
      <c r="S86" s="244">
        <v>2</v>
      </c>
      <c r="T86" s="244">
        <v>2.1</v>
      </c>
      <c r="U86" s="244">
        <v>2.2000000000000002</v>
      </c>
      <c r="V86" s="244">
        <v>2.2999999999999998</v>
      </c>
      <c r="W86" s="244">
        <v>2.4</v>
      </c>
      <c r="X86" s="244">
        <v>2.5</v>
      </c>
      <c r="Y86" s="244">
        <v>2.6</v>
      </c>
      <c r="Z86" s="365">
        <v>2.65</v>
      </c>
    </row>
    <row r="87" spans="1:26" ht="15.9" customHeight="1">
      <c r="A87" s="1911" t="s">
        <v>3</v>
      </c>
      <c r="B87" s="236">
        <v>0.5</v>
      </c>
      <c r="C87" s="343">
        <f>(39.1*KFC!$B$33*1.02*1.25*1.1+KFC!$C$33)*KFC!$C$5</f>
        <v>54.837750000000014</v>
      </c>
      <c r="D87" s="344">
        <f>(42.8*KFC!$B$33*1.02*1.25*1.1+KFC!$C$33)*KFC!$C$5</f>
        <v>60.027000000000008</v>
      </c>
      <c r="E87" s="344">
        <f>(46.6*KFC!$B$33*1.02*1.25*1.1+KFC!$C$33)*KFC!$C$5</f>
        <v>65.356500000000011</v>
      </c>
      <c r="F87" s="344">
        <f>(50.3*KFC!$B$33*1.02*1.25*1.1+KFC!$C$33)*KFC!$C$5</f>
        <v>70.545749999999998</v>
      </c>
      <c r="G87" s="344">
        <f>(54.1*KFC!$B$33*1.02*1.25*1.1+KFC!$C$33)*KFC!$C$5</f>
        <v>75.875250000000008</v>
      </c>
      <c r="H87" s="344">
        <f>(57.7*KFC!$B$33*1.02*1.25*1.1+KFC!$C$33)*KFC!$C$5</f>
        <v>80.924250000000015</v>
      </c>
      <c r="I87" s="344">
        <f>(61.5*KFC!$B$33*1.02*1.25*1.1+KFC!$C$33)*KFC!$C$5</f>
        <v>86.253750000000011</v>
      </c>
      <c r="J87" s="344">
        <f>(65.2*KFC!$B$33*1.02*1.25*1.1+KFC!$C$33)*KFC!$C$5</f>
        <v>91.443000000000012</v>
      </c>
      <c r="K87" s="344">
        <f>(68.9*KFC!$B$33*1.02*1.25*1.1+KFC!$C$33)*KFC!$C$5</f>
        <v>96.632250000000013</v>
      </c>
      <c r="L87" s="344">
        <f>(72.6*KFC!$B$33*1.02*1.25*1.1+KFC!$C$33)*KFC!$C$5</f>
        <v>101.8215</v>
      </c>
      <c r="M87" s="344">
        <f>(76.3*KFC!$B$33*1.02*1.25*1.1+KFC!$C$33)*KFC!$C$5</f>
        <v>107.01075</v>
      </c>
      <c r="N87" s="344">
        <f>(80.1*KFC!$B$33*1.02*1.25*1.1+KFC!$C$33)*KFC!$C$5</f>
        <v>112.34025000000001</v>
      </c>
      <c r="O87" s="344">
        <f>(83.8*KFC!$B$33*1.02*1.25*1.1+KFC!$C$33)*KFC!$C$5</f>
        <v>117.52950000000001</v>
      </c>
      <c r="P87" s="344">
        <f>(87.4*KFC!$B$33*1.02*1.25*1.1+KFC!$C$33)*KFC!$C$5</f>
        <v>122.57850000000003</v>
      </c>
      <c r="Q87" s="344">
        <f>(91.2*KFC!$B$33*1.02*1.25*1.1+KFC!$C$33)*KFC!$C$5</f>
        <v>127.90800000000002</v>
      </c>
      <c r="R87" s="344">
        <f>(94.9*KFC!$B$33*1.02*1.25*1.1+KFC!$C$33)*KFC!$C$5</f>
        <v>133.09725</v>
      </c>
      <c r="S87" s="344">
        <f>(98.7*KFC!$B$33*1.02*1.25*1.1+KFC!$C$33)*KFC!$C$5</f>
        <v>138.42675</v>
      </c>
      <c r="T87" s="344">
        <f>(102.4*KFC!$B$33*1.02*1.25*1.1+KFC!$C$33)*KFC!$C$5</f>
        <v>143.61600000000001</v>
      </c>
      <c r="U87" s="344">
        <f>(106.2*KFC!$B$33*1.02*1.25*1.1+KFC!$C$33)*KFC!$C$5</f>
        <v>148.94550000000001</v>
      </c>
      <c r="V87" s="344">
        <f>(109.8*KFC!$B$33*1.02*1.25*1.1+KFC!$C$33)*KFC!$C$5</f>
        <v>153.99450000000002</v>
      </c>
      <c r="W87" s="344">
        <f>(113.5*KFC!$B$33*1.02*1.25*1.1+KFC!$C$33)*KFC!$C$5</f>
        <v>159.18375000000003</v>
      </c>
      <c r="X87" s="344">
        <f>(117.3*KFC!$B$33*1.02*1.25*1.1+KFC!$C$33)*KFC!$C$5</f>
        <v>164.51325000000003</v>
      </c>
      <c r="Y87" s="344">
        <f>(121*KFC!$B$33*1.02*1.25*1.1+KFC!$C$33)*KFC!$C$5</f>
        <v>169.70250000000001</v>
      </c>
      <c r="Z87" s="344">
        <f>(124.7*KFC!$B$33*1.02*1.25*1.1+KFC!$C$33)*KFC!$C$5</f>
        <v>174.89175000000003</v>
      </c>
    </row>
    <row r="88" spans="1:26" ht="15.9" customHeight="1">
      <c r="A88" s="1912"/>
      <c r="B88" s="237">
        <v>0.6</v>
      </c>
      <c r="C88" s="239">
        <f>(40.2*KFC!$B$33*1.02*1.25*1.1+KFC!$C$33)*KFC!$C$5</f>
        <v>56.380500000000012</v>
      </c>
      <c r="D88" s="233">
        <f>(44.3*KFC!$B$33*1.02*1.25*1.1+KFC!$C$33)*KFC!$C$5</f>
        <v>62.130750000000006</v>
      </c>
      <c r="E88" s="233">
        <f>(48.2*KFC!$B$33*1.02*1.25*1.1+KFC!$C$33)*KFC!$C$5</f>
        <v>67.600499999999997</v>
      </c>
      <c r="F88" s="233">
        <f>(52.1*KFC!$B$33*1.02*1.25*1.1+KFC!$C$33)*KFC!$C$5</f>
        <v>73.070250000000016</v>
      </c>
      <c r="G88" s="233">
        <f>(56*KFC!$B$33*1.02*1.25*1.1+KFC!$C$33)*KFC!$C$5</f>
        <v>78.540000000000006</v>
      </c>
      <c r="H88" s="233">
        <f>(59.9*KFC!$B$33*1.02*1.25*1.1+KFC!$C$33)*KFC!$C$5</f>
        <v>84.009750000000011</v>
      </c>
      <c r="I88" s="233">
        <f>(63.8*KFC!$B$33*1.02*1.25*1.1+KFC!$C$33)*KFC!$C$5</f>
        <v>89.479500000000002</v>
      </c>
      <c r="J88" s="233">
        <f>(67.8*KFC!$B$33*1.02*1.25*1.1+KFC!$C$33)*KFC!$C$5</f>
        <v>95.089500000000001</v>
      </c>
      <c r="K88" s="233">
        <f>(71.7*KFC!$B$33*1.02*1.25*1.1+KFC!$C$33)*KFC!$C$5</f>
        <v>100.55925000000001</v>
      </c>
      <c r="L88" s="233">
        <f>(75.6*KFC!$B$33*1.02*1.25*1.1+KFC!$C$33)*KFC!$C$5</f>
        <v>106.029</v>
      </c>
      <c r="M88" s="233">
        <f>(79.6*KFC!$B$33*1.02*1.25*1.1+KFC!$C$33)*KFC!$C$5</f>
        <v>111.63900000000001</v>
      </c>
      <c r="N88" s="233">
        <f>(83.5*KFC!$B$33*1.02*1.25*1.1+KFC!$C$33)*KFC!$C$5</f>
        <v>117.10875000000001</v>
      </c>
      <c r="O88" s="233">
        <f>(87.4*KFC!$B$33*1.02*1.25*1.1+KFC!$C$33)*KFC!$C$5</f>
        <v>122.57850000000003</v>
      </c>
      <c r="P88" s="233">
        <f>(91.4*KFC!$B$33*1.02*1.25*1.1+KFC!$C$33)*KFC!$C$5</f>
        <v>128.18850000000003</v>
      </c>
      <c r="Q88" s="233">
        <f>(95.3*KFC!$B$33*1.02*1.25*1.1+KFC!$C$33)*KFC!$C$5</f>
        <v>133.65825000000001</v>
      </c>
      <c r="R88" s="233">
        <f>(99.2*KFC!$B$33*1.02*1.25*1.1+KFC!$C$33)*KFC!$C$5</f>
        <v>139.12800000000004</v>
      </c>
      <c r="S88" s="233">
        <f>(103.1*KFC!$B$33*1.02*1.25*1.1+KFC!$C$33)*KFC!$C$5</f>
        <v>144.59774999999999</v>
      </c>
      <c r="T88" s="233">
        <f>(107*KFC!$B$33*1.02*1.25*1.1+KFC!$C$33)*KFC!$C$5</f>
        <v>150.06750000000002</v>
      </c>
      <c r="U88" s="233">
        <f>(110.9*KFC!$B$33*1.02*1.25*1.1+KFC!$C$33)*KFC!$C$5</f>
        <v>155.53725000000003</v>
      </c>
      <c r="V88" s="233">
        <f>(114.8*KFC!$B$33*1.02*1.25*1.1+KFC!$C$33)*KFC!$C$5</f>
        <v>161.00700000000001</v>
      </c>
      <c r="W88" s="233">
        <f>(118.9*KFC!$B$33*1.02*1.25*1.1+KFC!$C$33)*KFC!$C$5</f>
        <v>166.75725</v>
      </c>
      <c r="X88" s="233">
        <f>(122.8*KFC!$B$33*1.02*1.25*1.1+KFC!$C$33)*KFC!$C$5</f>
        <v>172.227</v>
      </c>
      <c r="Y88" s="233">
        <f>(126.7*KFC!$B$33*1.02*1.25*1.1+KFC!$C$33)*KFC!$C$5</f>
        <v>177.69675000000004</v>
      </c>
      <c r="Z88" s="233">
        <f>(130.6*KFC!$B$33*1.02*1.25*1.1+KFC!$C$33)*KFC!$C$5</f>
        <v>183.16650000000001</v>
      </c>
    </row>
    <row r="89" spans="1:26" ht="15.9" customHeight="1">
      <c r="A89" s="1912"/>
      <c r="B89" s="237">
        <v>0.7</v>
      </c>
      <c r="C89" s="239">
        <f>(41.5*KFC!$B$33*1.02*1.25*1.1+KFC!$C$33)*KFC!$C$5</f>
        <v>58.203749999999999</v>
      </c>
      <c r="D89" s="233">
        <f>(45.6*KFC!$B$33*1.02*1.25*1.1+KFC!$C$33)*KFC!$C$5</f>
        <v>63.954000000000008</v>
      </c>
      <c r="E89" s="233">
        <f>(49.7*KFC!$B$33*1.02*1.25*1.1+KFC!$C$33)*KFC!$C$5</f>
        <v>69.704250000000016</v>
      </c>
      <c r="F89" s="233">
        <f>(53.8*KFC!$B$33*1.02*1.25*1.1+KFC!$C$33)*KFC!$C$5</f>
        <v>75.45450000000001</v>
      </c>
      <c r="G89" s="233">
        <f>(58*KFC!$B$33*1.02*1.25*1.1+KFC!$C$33)*KFC!$C$5</f>
        <v>81.345000000000013</v>
      </c>
      <c r="H89" s="233">
        <f>(62.1*KFC!$B$33*1.02*1.25*1.1+KFC!$C$33)*KFC!$C$5</f>
        <v>87.095250000000021</v>
      </c>
      <c r="I89" s="233">
        <f>(66.3*KFC!$B$33*1.02*1.25*1.1+KFC!$C$33)*KFC!$C$5</f>
        <v>92.98575000000001</v>
      </c>
      <c r="J89" s="233">
        <f>(70.3*KFC!$B$33*1.02*1.25*1.1+KFC!$C$33)*KFC!$C$5</f>
        <v>98.59575000000001</v>
      </c>
      <c r="K89" s="233">
        <f>(74.5*KFC!$B$33*1.02*1.25*1.1+KFC!$C$33)*KFC!$C$5</f>
        <v>104.48625</v>
      </c>
      <c r="L89" s="233">
        <f>(78.6*KFC!$B$33*1.02*1.25*1.1+KFC!$C$33)*KFC!$C$5</f>
        <v>110.23650000000001</v>
      </c>
      <c r="M89" s="233">
        <f>(82.8*KFC!$B$33*1.02*1.25*1.1+KFC!$C$33)*KFC!$C$5</f>
        <v>116.12700000000002</v>
      </c>
      <c r="N89" s="233">
        <f>(87*KFC!$B$33*1.02*1.25*1.1+KFC!$C$33)*KFC!$C$5</f>
        <v>122.01750000000001</v>
      </c>
      <c r="O89" s="233">
        <f>(91*KFC!$B$33*1.02*1.25*1.1+KFC!$C$33)*KFC!$C$5</f>
        <v>127.62750000000001</v>
      </c>
      <c r="P89" s="233">
        <f>(95.1*KFC!$B$33*1.02*1.25*1.1+KFC!$C$33)*KFC!$C$5</f>
        <v>133.37775000000002</v>
      </c>
      <c r="Q89" s="233">
        <f>(99.3*KFC!$B$33*1.02*1.25*1.1+KFC!$C$33)*KFC!$C$5</f>
        <v>139.26825000000002</v>
      </c>
      <c r="R89" s="233">
        <f>(103.5*KFC!$B$33*1.02*1.25*1.1+KFC!$C$33)*KFC!$C$5</f>
        <v>145.15875000000003</v>
      </c>
      <c r="S89" s="233">
        <f>(107.6*KFC!$B$33*1.02*1.25*1.1+KFC!$C$33)*KFC!$C$5</f>
        <v>150.90900000000002</v>
      </c>
      <c r="T89" s="233">
        <f>(111.7*KFC!$B$33*1.02*1.25*1.1+KFC!$C$33)*KFC!$C$5</f>
        <v>156.65925000000004</v>
      </c>
      <c r="U89" s="233">
        <f>(115.8*KFC!$B$33*1.02*1.25*1.1+KFC!$C$33)*KFC!$C$5</f>
        <v>162.40950000000004</v>
      </c>
      <c r="V89" s="233">
        <f>(120*KFC!$B$33*1.02*1.25*1.1+KFC!$C$33)*KFC!$C$5</f>
        <v>168.3</v>
      </c>
      <c r="W89" s="233">
        <f>(124.1*KFC!$B$33*1.02*1.25*1.1+KFC!$C$33)*KFC!$C$5</f>
        <v>174.05025000000001</v>
      </c>
      <c r="X89" s="233">
        <f>(128.3*KFC!$B$33*1.02*1.25*1.1+KFC!$C$33)*KFC!$C$5</f>
        <v>179.94075000000004</v>
      </c>
      <c r="Y89" s="233">
        <f>(132.3*KFC!$B$33*1.02*1.25*1.1+KFC!$C$33)*KFC!$C$5</f>
        <v>185.55075000000005</v>
      </c>
      <c r="Z89" s="233">
        <f>(136.5*KFC!$B$33*1.02*1.25*1.1+KFC!$C$33)*KFC!$C$5</f>
        <v>191.44125</v>
      </c>
    </row>
    <row r="90" spans="1:26" ht="15.9" customHeight="1">
      <c r="A90" s="1912"/>
      <c r="B90" s="237">
        <v>0.8</v>
      </c>
      <c r="C90" s="239">
        <f>(42.6*KFC!$B$33*1.02*1.25*1.1+KFC!$C$33)*KFC!$C$5</f>
        <v>59.746500000000012</v>
      </c>
      <c r="D90" s="233">
        <f>(47*KFC!$B$33*1.02*1.25*1.1+KFC!$C$33)*KFC!$C$5</f>
        <v>65.917500000000004</v>
      </c>
      <c r="E90" s="233">
        <f>(51.2*KFC!$B$33*1.02*1.25*1.1+KFC!$C$33)*KFC!$C$5</f>
        <v>71.808000000000007</v>
      </c>
      <c r="F90" s="233">
        <f>(55.6*KFC!$B$33*1.02*1.25*1.1+KFC!$C$33)*KFC!$C$5</f>
        <v>77.979000000000013</v>
      </c>
      <c r="G90" s="233">
        <f>(59.9*KFC!$B$33*1.02*1.25*1.1+KFC!$C$33)*KFC!$C$5</f>
        <v>84.009750000000011</v>
      </c>
      <c r="H90" s="233">
        <f>(64.3*KFC!$B$33*1.02*1.25*1.1+KFC!$C$33)*KFC!$C$5</f>
        <v>90.180750000000003</v>
      </c>
      <c r="I90" s="233">
        <f>(68.6*KFC!$B$33*1.02*1.25*1.1+KFC!$C$33)*KFC!$C$5</f>
        <v>96.211500000000001</v>
      </c>
      <c r="J90" s="233">
        <f>(73*KFC!$B$33*1.02*1.25*1.1+KFC!$C$33)*KFC!$C$5</f>
        <v>102.38250000000002</v>
      </c>
      <c r="K90" s="233">
        <f>(77.3*KFC!$B$33*1.02*1.25*1.1+KFC!$C$33)*KFC!$C$5</f>
        <v>108.41325000000002</v>
      </c>
      <c r="L90" s="233">
        <f>(81.7*KFC!$B$33*1.02*1.25*1.1+KFC!$C$33)*KFC!$C$5</f>
        <v>114.58425000000001</v>
      </c>
      <c r="M90" s="233">
        <f>(86*KFC!$B$33*1.02*1.25*1.1+KFC!$C$33)*KFC!$C$5</f>
        <v>120.61500000000001</v>
      </c>
      <c r="N90" s="233">
        <f>(90.4*KFC!$B$33*1.02*1.25*1.1+KFC!$C$33)*KFC!$C$5</f>
        <v>126.78600000000003</v>
      </c>
      <c r="O90" s="233">
        <f>(94.7*KFC!$B$33*1.02*1.25*1.1+KFC!$C$33)*KFC!$C$5</f>
        <v>132.81675000000001</v>
      </c>
      <c r="P90" s="233">
        <f>(99.1*KFC!$B$33*1.02*1.25*1.1+KFC!$C$33)*KFC!$C$5</f>
        <v>138.98775000000001</v>
      </c>
      <c r="Q90" s="233">
        <f>(103.3*KFC!$B$33*1.02*1.25*1.1+KFC!$C$33)*KFC!$C$5</f>
        <v>144.87825000000004</v>
      </c>
      <c r="R90" s="233">
        <f>(107.7*KFC!$B$33*1.02*1.25*1.1+KFC!$C$33)*KFC!$C$5</f>
        <v>151.04925</v>
      </c>
      <c r="S90" s="233">
        <f>(112*KFC!$B$33*1.02*1.25*1.1+KFC!$C$33)*KFC!$C$5</f>
        <v>157.08000000000001</v>
      </c>
      <c r="T90" s="233">
        <f>(116.4*KFC!$B$33*1.02*1.25*1.1+KFC!$C$33)*KFC!$C$5</f>
        <v>163.25100000000003</v>
      </c>
      <c r="U90" s="233">
        <f>(120.7*KFC!$B$33*1.02*1.25*1.1+KFC!$C$33)*KFC!$C$5</f>
        <v>169.28175000000002</v>
      </c>
      <c r="V90" s="233">
        <f>(125.1*KFC!$B$33*1.02*1.25*1.1+KFC!$C$33)*KFC!$C$5</f>
        <v>175.45275000000001</v>
      </c>
      <c r="W90" s="233">
        <f>(129.4*KFC!$B$33*1.02*1.25*1.1+KFC!$C$33)*KFC!$C$5</f>
        <v>181.48350000000002</v>
      </c>
      <c r="X90" s="233">
        <f>(133.8*KFC!$B$33*1.02*1.25*1.1+KFC!$C$33)*KFC!$C$5</f>
        <v>187.65450000000004</v>
      </c>
      <c r="Y90" s="233">
        <f>(138.1*KFC!$B$33*1.02*1.25*1.1+KFC!$C$33)*KFC!$C$5</f>
        <v>193.68525</v>
      </c>
      <c r="Z90" s="233">
        <f>(142.5*KFC!$B$33*1.02*1.25*1.1+KFC!$C$33)*KFC!$C$5</f>
        <v>199.85625000000002</v>
      </c>
    </row>
    <row r="91" spans="1:26" ht="15.9" customHeight="1">
      <c r="A91" s="1912"/>
      <c r="B91" s="237">
        <v>0.9</v>
      </c>
      <c r="C91" s="239">
        <f>(43.8*KFC!$B$33*1.02*1.25*1.1+KFC!$C$33)*KFC!$C$5</f>
        <v>61.429499999999997</v>
      </c>
      <c r="D91" s="233">
        <f>(48.3*KFC!$B$33*1.02*1.25*1.1+KFC!$C$33)*KFC!$C$5</f>
        <v>67.740750000000006</v>
      </c>
      <c r="E91" s="233">
        <f>(52.8*KFC!$B$33*1.02*1.25*1.1+KFC!$C$33)*KFC!$C$5</f>
        <v>74.051999999999992</v>
      </c>
      <c r="F91" s="233">
        <f>(57.4*KFC!$B$33*1.02*1.25*1.1+KFC!$C$33)*KFC!$C$5</f>
        <v>80.503500000000003</v>
      </c>
      <c r="G91" s="233">
        <f>(61.9*KFC!$B$33*1.02*1.25*1.1+KFC!$C$33)*KFC!$C$5</f>
        <v>86.814750000000004</v>
      </c>
      <c r="H91" s="233">
        <f>(66.5*KFC!$B$33*1.02*1.25*1.1+KFC!$C$33)*KFC!$C$5</f>
        <v>93.266249999999999</v>
      </c>
      <c r="I91" s="233">
        <f>(71.1*KFC!$B$33*1.02*1.25*1.1+KFC!$C$33)*KFC!$C$5</f>
        <v>99.717749999999995</v>
      </c>
      <c r="J91" s="233">
        <f>(75.6*KFC!$B$33*1.02*1.25*1.1+KFC!$C$33)*KFC!$C$5</f>
        <v>106.029</v>
      </c>
      <c r="K91" s="233">
        <f>(80.1*KFC!$B$33*1.02*1.25*1.1+KFC!$C$33)*KFC!$C$5</f>
        <v>112.34025000000001</v>
      </c>
      <c r="L91" s="233">
        <f>(84.6*KFC!$B$33*1.02*1.25*1.1+KFC!$C$33)*KFC!$C$5</f>
        <v>118.65150000000001</v>
      </c>
      <c r="M91" s="233">
        <f>(89.3*KFC!$B$33*1.02*1.25*1.1+KFC!$C$33)*KFC!$C$5</f>
        <v>125.24325000000002</v>
      </c>
      <c r="N91" s="233">
        <f>(93.8*KFC!$B$33*1.02*1.25*1.1+KFC!$C$33)*KFC!$C$5</f>
        <v>131.55450000000002</v>
      </c>
      <c r="O91" s="233">
        <f>(98.3*KFC!$B$33*1.02*1.25*1.1+KFC!$C$33)*KFC!$C$5</f>
        <v>137.86575000000002</v>
      </c>
      <c r="P91" s="233">
        <f>(102.9*KFC!$B$33*1.02*1.25*1.1+KFC!$C$33)*KFC!$C$5</f>
        <v>144.31725000000003</v>
      </c>
      <c r="Q91" s="233">
        <f>(107.4*KFC!$B$33*1.02*1.25*1.1+KFC!$C$33)*KFC!$C$5</f>
        <v>150.6285</v>
      </c>
      <c r="R91" s="233">
        <f>(111.9*KFC!$B$33*1.02*1.25*1.1+KFC!$C$33)*KFC!$C$5</f>
        <v>156.93975000000003</v>
      </c>
      <c r="S91" s="233">
        <f>(116.6*KFC!$B$33*1.02*1.25*1.1+KFC!$C$33)*KFC!$C$5</f>
        <v>163.53149999999999</v>
      </c>
      <c r="T91" s="233">
        <f>(121.1*KFC!$B$33*1.02*1.25*1.1+KFC!$C$33)*KFC!$C$5</f>
        <v>169.84275</v>
      </c>
      <c r="U91" s="233">
        <f>(125.6*KFC!$B$33*1.02*1.25*1.1+KFC!$C$33)*KFC!$C$5</f>
        <v>176.154</v>
      </c>
      <c r="V91" s="233">
        <f>(130.1*KFC!$B$33*1.02*1.25*1.1+KFC!$C$33)*KFC!$C$5</f>
        <v>182.46525000000003</v>
      </c>
      <c r="W91" s="233">
        <f>(134.7*KFC!$B$33*1.02*1.25*1.1+KFC!$C$33)*KFC!$C$5</f>
        <v>188.91674999999998</v>
      </c>
      <c r="X91" s="233">
        <f>(139.2*KFC!$B$33*1.02*1.25*1.1+KFC!$C$33)*KFC!$C$5</f>
        <v>195.22799999999998</v>
      </c>
      <c r="Y91" s="233">
        <f>(143.8*KFC!$B$33*1.02*1.25*1.1+KFC!$C$33)*KFC!$C$5</f>
        <v>201.67950000000005</v>
      </c>
      <c r="Z91" s="233">
        <f>(148.3*KFC!$B$33*1.02*1.25*1.1+KFC!$C$33)*KFC!$C$5</f>
        <v>207.99075000000005</v>
      </c>
    </row>
    <row r="92" spans="1:26" ht="15.9" customHeight="1">
      <c r="A92" s="1912"/>
      <c r="B92" s="237">
        <v>1</v>
      </c>
      <c r="C92" s="239">
        <f>(44.9*KFC!$B$33*1.02*1.25*1.1+KFC!$C$33)*KFC!$C$5</f>
        <v>62.97225000000001</v>
      </c>
      <c r="D92" s="233">
        <f>(49.7*KFC!$B$33*1.02*1.25*1.1+KFC!$C$33)*KFC!$C$5</f>
        <v>69.704250000000016</v>
      </c>
      <c r="E92" s="233">
        <f>(54.4*KFC!$B$33*1.02*1.25*1.1+KFC!$C$33)*KFC!$C$5</f>
        <v>76.296000000000006</v>
      </c>
      <c r="F92" s="233">
        <f>(59.2*KFC!$B$33*1.02*1.25*1.1+KFC!$C$33)*KFC!$C$5</f>
        <v>83.028000000000006</v>
      </c>
      <c r="G92" s="233">
        <f>(64*KFC!$B$33*1.02*1.25*1.1+KFC!$C$33)*KFC!$C$5</f>
        <v>89.76</v>
      </c>
      <c r="H92" s="233">
        <f>(68.6*KFC!$B$33*1.02*1.25*1.1+KFC!$C$33)*KFC!$C$5</f>
        <v>96.211500000000001</v>
      </c>
      <c r="I92" s="233">
        <f>(73.4*KFC!$B$33*1.02*1.25*1.1+KFC!$C$33)*KFC!$C$5</f>
        <v>102.94350000000001</v>
      </c>
      <c r="J92" s="233">
        <f>(78.1*KFC!$B$33*1.02*1.25*1.1+KFC!$C$33)*KFC!$C$5</f>
        <v>109.53524999999999</v>
      </c>
      <c r="K92" s="233">
        <f>(82.9*KFC!$B$33*1.02*1.25*1.1+KFC!$C$33)*KFC!$C$5</f>
        <v>116.26725000000002</v>
      </c>
      <c r="L92" s="233">
        <f>(87.7*KFC!$B$33*1.02*1.25*1.1+KFC!$C$33)*KFC!$C$5</f>
        <v>122.99925000000002</v>
      </c>
      <c r="M92" s="233">
        <f>(92.5*KFC!$B$33*1.02*1.25*1.1+KFC!$C$33)*KFC!$C$5</f>
        <v>129.73125000000002</v>
      </c>
      <c r="N92" s="233">
        <f>(97.2*KFC!$B$33*1.02*1.25*1.1+KFC!$C$33)*KFC!$C$5</f>
        <v>136.32300000000001</v>
      </c>
      <c r="O92" s="233">
        <f>(102*KFC!$B$33*1.02*1.25*1.1+KFC!$C$33)*KFC!$C$5</f>
        <v>143.05500000000004</v>
      </c>
      <c r="P92" s="233">
        <f>(106.6*KFC!$B$33*1.02*1.25*1.1+KFC!$C$33)*KFC!$C$5</f>
        <v>149.50650000000002</v>
      </c>
      <c r="Q92" s="233">
        <f>(111.4*KFC!$B$33*1.02*1.25*1.1+KFC!$C$33)*KFC!$C$5</f>
        <v>156.23850000000004</v>
      </c>
      <c r="R92" s="233">
        <f>(116.2*KFC!$B$33*1.02*1.25*1.1+KFC!$C$33)*KFC!$C$5</f>
        <v>162.97050000000002</v>
      </c>
      <c r="S92" s="233">
        <f>(121*KFC!$B$33*1.02*1.25*1.1+KFC!$C$33)*KFC!$C$5</f>
        <v>169.70250000000001</v>
      </c>
      <c r="T92" s="233">
        <f>(125.7*KFC!$B$33*1.02*1.25*1.1+KFC!$C$33)*KFC!$C$5</f>
        <v>176.29425000000001</v>
      </c>
      <c r="U92" s="233">
        <f>(130.5*KFC!$B$33*1.02*1.25*1.1+KFC!$C$33)*KFC!$C$5</f>
        <v>183.02625000000003</v>
      </c>
      <c r="V92" s="233">
        <f>(135.3*KFC!$B$33*1.02*1.25*1.1+KFC!$C$33)*KFC!$C$5</f>
        <v>189.75825</v>
      </c>
      <c r="W92" s="233">
        <f>(140*KFC!$B$33*1.02*1.25*1.1+KFC!$C$33)*KFC!$C$5</f>
        <v>196.35000000000002</v>
      </c>
      <c r="X92" s="233">
        <f>(144.7*KFC!$B$33*1.02*1.25*1.1+KFC!$C$33)*KFC!$C$5</f>
        <v>202.94175000000001</v>
      </c>
      <c r="Y92" s="233">
        <f>(149.5*KFC!$B$33*1.02*1.25*1.1+KFC!$C$33)*KFC!$C$5</f>
        <v>209.67375000000004</v>
      </c>
      <c r="Z92" s="233">
        <f>(154.2*KFC!$B$33*1.02*1.25*1.1+KFC!$C$33)*KFC!$C$5</f>
        <v>216.2655</v>
      </c>
    </row>
    <row r="93" spans="1:26" ht="15.9" customHeight="1">
      <c r="A93" s="1912"/>
      <c r="B93" s="237">
        <v>1.1000000000000001</v>
      </c>
      <c r="C93" s="239">
        <f>(46.1*KFC!$B$33*1.02*1.25*1.1+KFC!$C$33)*KFC!$C$5</f>
        <v>64.655250000000009</v>
      </c>
      <c r="D93" s="233">
        <f>(51*KFC!$B$33*1.02*1.25*1.1+KFC!$C$33)*KFC!$C$5</f>
        <v>71.527500000000018</v>
      </c>
      <c r="E93" s="233">
        <f>(56*KFC!$B$33*1.02*1.25*1.1+KFC!$C$33)*KFC!$C$5</f>
        <v>78.540000000000006</v>
      </c>
      <c r="F93" s="233">
        <f>(60.9*KFC!$B$33*1.02*1.25*1.1+KFC!$C$33)*KFC!$C$5</f>
        <v>85.412250000000014</v>
      </c>
      <c r="G93" s="233">
        <f>(65.9*KFC!$B$33*1.02*1.25*1.1+KFC!$C$33)*KFC!$C$5</f>
        <v>92.424750000000017</v>
      </c>
      <c r="H93" s="233">
        <f>(70.8*KFC!$B$33*1.02*1.25*1.1+KFC!$C$33)*KFC!$C$5</f>
        <v>99.296999999999997</v>
      </c>
      <c r="I93" s="233">
        <f>(75.8*KFC!$B$33*1.02*1.25*1.1+KFC!$C$33)*KFC!$C$5</f>
        <v>106.30950000000001</v>
      </c>
      <c r="J93" s="233">
        <f>(80.7*KFC!$B$33*1.02*1.25*1.1+KFC!$C$33)*KFC!$C$5</f>
        <v>113.18175000000002</v>
      </c>
      <c r="K93" s="233">
        <f>(85.7*KFC!$B$33*1.02*1.25*1.1+KFC!$C$33)*KFC!$C$5</f>
        <v>120.19425000000001</v>
      </c>
      <c r="L93" s="233">
        <f>(90.7*KFC!$B$33*1.02*1.25*1.1+KFC!$C$33)*KFC!$C$5</f>
        <v>127.20675000000003</v>
      </c>
      <c r="M93" s="233">
        <f>(95.6*KFC!$B$33*1.02*1.25*1.1+KFC!$C$33)*KFC!$C$5</f>
        <v>134.07900000000001</v>
      </c>
      <c r="N93" s="233">
        <f>(100.7*KFC!$B$33*1.02*1.25*1.1+KFC!$C$33)*KFC!$C$5</f>
        <v>141.23175000000001</v>
      </c>
      <c r="O93" s="233">
        <f>(105.5*KFC!$B$33*1.02*1.25*1.1+KFC!$C$33)*KFC!$C$5</f>
        <v>147.96375</v>
      </c>
      <c r="P93" s="233">
        <f>(110.6*KFC!$B$33*1.02*1.25*1.1+KFC!$C$33)*KFC!$C$5</f>
        <v>155.1165</v>
      </c>
      <c r="Q93" s="233">
        <f>(115.5*KFC!$B$33*1.02*1.25*1.1+KFC!$C$33)*KFC!$C$5</f>
        <v>161.98875000000001</v>
      </c>
      <c r="R93" s="233">
        <f>(120.5*KFC!$B$33*1.02*1.25*1.1+KFC!$C$33)*KFC!$C$5</f>
        <v>169.00125</v>
      </c>
      <c r="S93" s="233">
        <f>(125.5*KFC!$B$33*1.02*1.25*1.1+KFC!$C$33)*KFC!$C$5</f>
        <v>176.01375000000002</v>
      </c>
      <c r="T93" s="233">
        <f>(130.4*KFC!$B$33*1.02*1.25*1.1+KFC!$C$33)*KFC!$C$5</f>
        <v>182.88600000000002</v>
      </c>
      <c r="U93" s="233">
        <f>(135.4*KFC!$B$33*1.02*1.25*1.1+KFC!$C$33)*KFC!$C$5</f>
        <v>189.89850000000001</v>
      </c>
      <c r="V93" s="233">
        <f>(140.3*KFC!$B$33*1.02*1.25*1.1+KFC!$C$33)*KFC!$C$5</f>
        <v>196.77075000000005</v>
      </c>
      <c r="W93" s="233">
        <f>(145.3*KFC!$B$33*1.02*1.25*1.1+KFC!$C$33)*KFC!$C$5</f>
        <v>203.78325000000004</v>
      </c>
      <c r="X93" s="233">
        <f>(150.2*KFC!$B$33*1.02*1.25*1.1+KFC!$C$33)*KFC!$C$5</f>
        <v>210.65549999999999</v>
      </c>
      <c r="Y93" s="233">
        <f>(155.2*KFC!$B$33*1.02*1.25*1.1+KFC!$C$33)*KFC!$C$5</f>
        <v>217.66800000000001</v>
      </c>
      <c r="Z93" s="233">
        <f>(160.1*KFC!$B$33*1.02*1.25*1.1+KFC!$C$33)*KFC!$C$5</f>
        <v>224.54025000000001</v>
      </c>
    </row>
    <row r="94" spans="1:26" ht="15.9" customHeight="1">
      <c r="A94" s="1912"/>
      <c r="B94" s="237">
        <v>1.2</v>
      </c>
      <c r="C94" s="239">
        <f>(47.2*KFC!$B$33*1.02*1.25*1.1+KFC!$C$33)*KFC!$C$5</f>
        <v>66.198000000000008</v>
      </c>
      <c r="D94" s="233">
        <f>(52.3*KFC!$B$33*1.02*1.25*1.1+KFC!$C$33)*KFC!$C$5</f>
        <v>73.350749999999991</v>
      </c>
      <c r="E94" s="233">
        <f>(57.6*KFC!$B$33*1.02*1.25*1.1+KFC!$C$33)*KFC!$C$5</f>
        <v>80.784000000000006</v>
      </c>
      <c r="F94" s="233">
        <f>(62.7*KFC!$B$33*1.02*1.25*1.1+KFC!$C$33)*KFC!$C$5</f>
        <v>87.936750000000004</v>
      </c>
      <c r="G94" s="233">
        <f>(67.9*KFC!$B$33*1.02*1.25*1.1+KFC!$C$33)*KFC!$C$5</f>
        <v>95.229750000000024</v>
      </c>
      <c r="H94" s="233">
        <f>(73*KFC!$B$33*1.02*1.25*1.1+KFC!$C$33)*KFC!$C$5</f>
        <v>102.38250000000002</v>
      </c>
      <c r="I94" s="233">
        <f>(78.3*KFC!$B$33*1.02*1.25*1.1+KFC!$C$33)*KFC!$C$5</f>
        <v>109.81575000000001</v>
      </c>
      <c r="J94" s="233">
        <f>(83.4*KFC!$B$33*1.02*1.25*1.1+KFC!$C$33)*KFC!$C$5</f>
        <v>116.96850000000002</v>
      </c>
      <c r="K94" s="233">
        <f>(88.5*KFC!$B$33*1.02*1.25*1.1+KFC!$C$33)*KFC!$C$5</f>
        <v>124.12125</v>
      </c>
      <c r="L94" s="233">
        <f>(93.7*KFC!$B$33*1.02*1.25*1.1+KFC!$C$33)*KFC!$C$5</f>
        <v>131.41425000000001</v>
      </c>
      <c r="M94" s="233">
        <f>(98.9*KFC!$B$33*1.02*1.25*1.1+KFC!$C$33)*KFC!$C$5</f>
        <v>138.70725000000004</v>
      </c>
      <c r="N94" s="233">
        <f>(104.1*KFC!$B$33*1.02*1.25*1.1+KFC!$C$33)*KFC!$C$5</f>
        <v>146.00024999999999</v>
      </c>
      <c r="O94" s="233">
        <f>(109.2*KFC!$B$33*1.02*1.25*1.1+KFC!$C$33)*KFC!$C$5</f>
        <v>153.15299999999999</v>
      </c>
      <c r="P94" s="233">
        <f>(114.4*KFC!$B$33*1.02*1.25*1.1+KFC!$C$33)*KFC!$C$5</f>
        <v>160.44600000000003</v>
      </c>
      <c r="Q94" s="233">
        <f>(119.6*KFC!$B$33*1.02*1.25*1.1+KFC!$C$33)*KFC!$C$5</f>
        <v>167.739</v>
      </c>
      <c r="R94" s="233">
        <f>(124.7*KFC!$B$33*1.02*1.25*1.1+KFC!$C$33)*KFC!$C$5</f>
        <v>174.89175000000003</v>
      </c>
      <c r="S94" s="233">
        <f>(129.9*KFC!$B$33*1.02*1.25*1.1+KFC!$C$33)*KFC!$C$5</f>
        <v>182.18475000000004</v>
      </c>
      <c r="T94" s="233">
        <f>(135*KFC!$B$33*1.02*1.25*1.1+KFC!$C$33)*KFC!$C$5</f>
        <v>189.33750000000001</v>
      </c>
      <c r="U94" s="233">
        <f>(140.3*KFC!$B$33*1.02*1.25*1.1+KFC!$C$33)*KFC!$C$5</f>
        <v>196.77075000000005</v>
      </c>
      <c r="V94" s="233">
        <f>(145.4*KFC!$B$33*1.02*1.25*1.1+KFC!$C$33)*KFC!$C$5</f>
        <v>203.92350000000005</v>
      </c>
      <c r="W94" s="233">
        <f>(150.6*KFC!$B$33*1.02*1.25*1.1+KFC!$C$33)*KFC!$C$5</f>
        <v>211.2165</v>
      </c>
      <c r="X94" s="233">
        <f>(155.7*KFC!$B$33*1.02*1.25*1.1+KFC!$C$33)*KFC!$C$5</f>
        <v>218.36924999999999</v>
      </c>
      <c r="Y94" s="233">
        <f>(160.9*KFC!$B$33*1.02*1.25*1.1+KFC!$C$33)*KFC!$C$5</f>
        <v>225.66225</v>
      </c>
      <c r="Z94" s="233">
        <f>(166.1*KFC!$B$33*1.02*1.25*1.1+KFC!$C$33)*KFC!$C$5</f>
        <v>232.95525000000004</v>
      </c>
    </row>
    <row r="95" spans="1:26" ht="15.9" customHeight="1">
      <c r="A95" s="1912"/>
      <c r="B95" s="237">
        <v>1.3</v>
      </c>
      <c r="C95" s="239">
        <f>(48.3*KFC!$B$33*1.02*1.25*1.1+KFC!$C$33)*KFC!$C$5</f>
        <v>67.740750000000006</v>
      </c>
      <c r="D95" s="233">
        <f>(53.7*KFC!$B$33*1.02*1.25*1.1+KFC!$C$33)*KFC!$C$5</f>
        <v>75.314250000000001</v>
      </c>
      <c r="E95" s="233">
        <f>(59.1*KFC!$B$33*1.02*1.25*1.1+KFC!$C$33)*KFC!$C$5</f>
        <v>82.887750000000011</v>
      </c>
      <c r="F95" s="233">
        <f>(64.5*KFC!$B$33*1.02*1.25*1.1+KFC!$C$33)*KFC!$C$5</f>
        <v>90.461250000000021</v>
      </c>
      <c r="G95" s="233">
        <f>(69.8*KFC!$B$33*1.02*1.25*1.1+KFC!$C$33)*KFC!$C$5</f>
        <v>97.894500000000008</v>
      </c>
      <c r="H95" s="233">
        <f>(75.2*KFC!$B$33*1.02*1.25*1.1+KFC!$C$33)*KFC!$C$5</f>
        <v>105.46800000000002</v>
      </c>
      <c r="I95" s="233">
        <f>(80.6*KFC!$B$33*1.02*1.25*1.1+KFC!$C$33)*KFC!$C$5</f>
        <v>113.0415</v>
      </c>
      <c r="J95" s="233">
        <f>(86*KFC!$B$33*1.02*1.25*1.1+KFC!$C$33)*KFC!$C$5</f>
        <v>120.61500000000001</v>
      </c>
      <c r="K95" s="233">
        <f>(91.4*KFC!$B$33*1.02*1.25*1.1+KFC!$C$33)*KFC!$C$5</f>
        <v>128.18850000000003</v>
      </c>
      <c r="L95" s="233">
        <f>(96.7*KFC!$B$33*1.02*1.25*1.1+KFC!$C$33)*KFC!$C$5</f>
        <v>135.62175000000002</v>
      </c>
      <c r="M95" s="233">
        <f>(102.1*KFC!$B$33*1.02*1.25*1.1+KFC!$C$33)*KFC!$C$5</f>
        <v>143.19525000000002</v>
      </c>
      <c r="N95" s="233">
        <f>(107.5*KFC!$B$33*1.02*1.25*1.1+KFC!$C$33)*KFC!$C$5</f>
        <v>150.76875000000001</v>
      </c>
      <c r="O95" s="233">
        <f>(112.9*KFC!$B$33*1.02*1.25*1.1+KFC!$C$33)*KFC!$C$5</f>
        <v>158.34225000000001</v>
      </c>
      <c r="P95" s="233">
        <f>(118.3*KFC!$B$33*1.02*1.25*1.1+KFC!$C$33)*KFC!$C$5</f>
        <v>165.91575</v>
      </c>
      <c r="Q95" s="233">
        <f>(123.6*KFC!$B$33*1.02*1.25*1.1+KFC!$C$33)*KFC!$C$5</f>
        <v>173.34900000000002</v>
      </c>
      <c r="R95" s="233">
        <f>(129*KFC!$B$33*1.02*1.25*1.1+KFC!$C$33)*KFC!$C$5</f>
        <v>180.92250000000004</v>
      </c>
      <c r="S95" s="233">
        <f>(134.3*KFC!$B$33*1.02*1.25*1.1+KFC!$C$33)*KFC!$C$5</f>
        <v>188.35575000000003</v>
      </c>
      <c r="T95" s="233">
        <f>(139.7*KFC!$B$33*1.02*1.25*1.1+KFC!$C$33)*KFC!$C$5</f>
        <v>195.92925000000002</v>
      </c>
      <c r="U95" s="233">
        <f>(145.3*KFC!$B$33*1.02*1.25*1.1+KFC!$C$33)*KFC!$C$5</f>
        <v>203.78325000000004</v>
      </c>
      <c r="V95" s="233">
        <f>(150.4*KFC!$B$33*1.02*1.25*1.1+KFC!$C$33)*KFC!$C$5</f>
        <v>210.93600000000004</v>
      </c>
      <c r="W95" s="233">
        <f>(155.8*KFC!$B$33*1.02*1.25*1.1+KFC!$C$33)*KFC!$C$5</f>
        <v>218.50950000000006</v>
      </c>
      <c r="X95" s="233">
        <f>(161.2*KFC!$B$33*1.02*1.25*1.1+KFC!$C$33)*KFC!$C$5</f>
        <v>226.083</v>
      </c>
      <c r="Y95" s="233">
        <f>(166.6*KFC!$B$33*1.02*1.25*1.1+KFC!$C$33)*KFC!$C$5</f>
        <v>233.65650000000002</v>
      </c>
      <c r="Z95" s="233">
        <f>(172*KFC!$B$33*1.02*1.25*1.1+KFC!$C$33)*KFC!$C$5</f>
        <v>241.23000000000002</v>
      </c>
    </row>
    <row r="96" spans="1:26" ht="15.9" customHeight="1">
      <c r="A96" s="1912"/>
      <c r="B96" s="237">
        <v>1.4</v>
      </c>
      <c r="C96" s="239">
        <f>(49.5*KFC!$B$33*1.02*1.25*1.1+KFC!$C$33)*KFC!$C$5</f>
        <v>69.423750000000013</v>
      </c>
      <c r="D96" s="233">
        <f>(55*KFC!$B$33*1.02*1.25*1.1+KFC!$C$33)*KFC!$C$5</f>
        <v>77.137500000000003</v>
      </c>
      <c r="E96" s="233">
        <f>(60.7*KFC!$B$33*1.02*1.25*1.1+KFC!$C$33)*KFC!$C$5</f>
        <v>85.131750000000011</v>
      </c>
      <c r="F96" s="233">
        <f>(66.3*KFC!$B$33*1.02*1.25*1.1+KFC!$C$33)*KFC!$C$5</f>
        <v>92.98575000000001</v>
      </c>
      <c r="G96" s="233">
        <f>(71.8*KFC!$B$33*1.02*1.25*1.1+KFC!$C$33)*KFC!$C$5</f>
        <v>100.69950000000001</v>
      </c>
      <c r="H96" s="233">
        <f>(77.4*KFC!$B$33*1.02*1.25*1.1+KFC!$C$33)*KFC!$C$5</f>
        <v>108.55350000000001</v>
      </c>
      <c r="I96" s="233">
        <f>(83*KFC!$B$33*1.02*1.25*1.1+KFC!$C$33)*KFC!$C$5</f>
        <v>116.4075</v>
      </c>
      <c r="J96" s="233">
        <f>(88.5*KFC!$B$33*1.02*1.25*1.1+KFC!$C$33)*KFC!$C$5</f>
        <v>124.12125</v>
      </c>
      <c r="K96" s="233">
        <f>(94.2*KFC!$B$33*1.02*1.25*1.1+KFC!$C$33)*KFC!$C$5</f>
        <v>132.11550000000003</v>
      </c>
      <c r="L96" s="233">
        <f>(99.8*KFC!$B$33*1.02*1.25*1.1+KFC!$C$33)*KFC!$C$5</f>
        <v>139.96950000000001</v>
      </c>
      <c r="M96" s="233">
        <f>(105.3*KFC!$B$33*1.02*1.25*1.1+KFC!$C$33)*KFC!$C$5</f>
        <v>147.68325000000002</v>
      </c>
      <c r="N96" s="233">
        <f>(110.9*KFC!$B$33*1.02*1.25*1.1+KFC!$C$33)*KFC!$C$5</f>
        <v>155.53725000000003</v>
      </c>
      <c r="O96" s="233">
        <f>(116.4*KFC!$B$33*1.02*1.25*1.1+KFC!$C$33)*KFC!$C$5</f>
        <v>163.25100000000003</v>
      </c>
      <c r="P96" s="233">
        <f>(122.1*KFC!$B$33*1.02*1.25*1.1+KFC!$C$33)*KFC!$C$5</f>
        <v>171.24525000000003</v>
      </c>
      <c r="Q96" s="233">
        <f>(127.7*KFC!$B$33*1.02*1.25*1.1+KFC!$C$33)*KFC!$C$5</f>
        <v>179.09925000000004</v>
      </c>
      <c r="R96" s="233">
        <f>(133.2*KFC!$B$33*1.02*1.25*1.1+KFC!$C$33)*KFC!$C$5</f>
        <v>186.81300000000002</v>
      </c>
      <c r="S96" s="233">
        <f>(138.8*KFC!$B$33*1.02*1.25*1.1+KFC!$C$33)*KFC!$C$5</f>
        <v>194.66700000000006</v>
      </c>
      <c r="T96" s="233">
        <f>(144.4*KFC!$B$33*1.02*1.25*1.1+KFC!$C$33)*KFC!$C$5</f>
        <v>202.52100000000004</v>
      </c>
      <c r="U96" s="233">
        <f>(149.9*KFC!$B$33*1.02*1.25*1.1+KFC!$C$33)*KFC!$C$5</f>
        <v>210.23475000000002</v>
      </c>
      <c r="V96" s="233">
        <f>(155.6*KFC!$B$33*1.02*1.25*1.1+KFC!$C$33)*KFC!$C$5</f>
        <v>218.22900000000001</v>
      </c>
      <c r="W96" s="233">
        <f>(161.1*KFC!$B$33*1.02*1.25*1.1+KFC!$C$33)*KFC!$C$5</f>
        <v>225.94275000000002</v>
      </c>
      <c r="X96" s="233">
        <f>(166.7*KFC!$B$33*1.02*1.25*1.1+KFC!$C$33)*KFC!$C$5</f>
        <v>233.79675</v>
      </c>
      <c r="Y96" s="233">
        <f>(172.3*KFC!$B$33*1.02*1.25*1.1+KFC!$C$33)*KFC!$C$5</f>
        <v>241.65075000000002</v>
      </c>
      <c r="Z96" s="233">
        <f>(177.8*KFC!$B$33*1.02*1.25*1.1+KFC!$C$33)*KFC!$C$5</f>
        <v>249.36450000000005</v>
      </c>
    </row>
    <row r="97" spans="1:26" ht="15.9" customHeight="1">
      <c r="A97" s="1912"/>
      <c r="B97" s="237">
        <v>1.5</v>
      </c>
      <c r="C97" s="239">
        <f>(50.6*KFC!$B$33*1.02*1.25*1.1+KFC!$C$33)*KFC!$C$5</f>
        <v>70.966500000000011</v>
      </c>
      <c r="D97" s="233">
        <f>(56.5*KFC!$B$33*1.02*1.25*1.1+KFC!$C$33)*KFC!$C$5</f>
        <v>79.241250000000022</v>
      </c>
      <c r="E97" s="233">
        <f>(62.3*KFC!$B$33*1.02*1.25*1.1+KFC!$C$33)*KFC!$C$5</f>
        <v>87.375750000000011</v>
      </c>
      <c r="F97" s="233">
        <f>(68*KFC!$B$33*1.02*1.25*1.1+KFC!$C$33)*KFC!$C$5</f>
        <v>95.37</v>
      </c>
      <c r="G97" s="233">
        <f>(73.9*KFC!$B$33*1.02*1.25*1.1+KFC!$C$33)*KFC!$C$5</f>
        <v>103.64475</v>
      </c>
      <c r="H97" s="233">
        <f>(79.6*KFC!$B$33*1.02*1.25*1.1+KFC!$C$33)*KFC!$C$5</f>
        <v>111.63900000000001</v>
      </c>
      <c r="I97" s="233">
        <f>(85.4*KFC!$B$33*1.02*1.25*1.1+KFC!$C$33)*KFC!$C$5</f>
        <v>119.77350000000001</v>
      </c>
      <c r="J97" s="233">
        <f>(91.2*KFC!$B$33*1.02*1.25*1.1+KFC!$C$33)*KFC!$C$5</f>
        <v>127.90800000000002</v>
      </c>
      <c r="K97" s="233">
        <f>(97*KFC!$B$33*1.02*1.25*1.1+KFC!$C$33)*KFC!$C$5</f>
        <v>136.04250000000002</v>
      </c>
      <c r="L97" s="233">
        <f>(102.7*KFC!$B$33*1.02*1.25*1.1+KFC!$C$33)*KFC!$C$5</f>
        <v>144.03675000000001</v>
      </c>
      <c r="M97" s="233">
        <f>(108.6*KFC!$B$33*1.02*1.25*1.1+KFC!$C$33)*KFC!$C$5</f>
        <v>152.3115</v>
      </c>
      <c r="N97" s="233">
        <f>(114.4*KFC!$B$33*1.02*1.25*1.1+KFC!$C$33)*KFC!$C$5</f>
        <v>160.44600000000003</v>
      </c>
      <c r="O97" s="233">
        <f>(120.1*KFC!$B$33*1.02*1.25*1.1+KFC!$C$33)*KFC!$C$5</f>
        <v>168.44025000000002</v>
      </c>
      <c r="P97" s="233">
        <f>(125.8*KFC!$B$33*1.02*1.25*1.1+KFC!$C$33)*KFC!$C$5</f>
        <v>176.43450000000001</v>
      </c>
      <c r="Q97" s="233">
        <f>(131.7*KFC!$B$33*1.02*1.25*1.1+KFC!$C$33)*KFC!$C$5</f>
        <v>184.70925000000003</v>
      </c>
      <c r="R97" s="233">
        <f>(137.5*KFC!$B$33*1.02*1.25*1.1+KFC!$C$33)*KFC!$C$5</f>
        <v>192.84375000000003</v>
      </c>
      <c r="S97" s="233">
        <f>(143.2*KFC!$B$33*1.02*1.25*1.1+KFC!$C$33)*KFC!$C$5</f>
        <v>200.83799999999999</v>
      </c>
      <c r="T97" s="233">
        <f>(149.1*KFC!$B$33*1.02*1.25*1.1+KFC!$C$33)*KFC!$C$5</f>
        <v>209.11275000000001</v>
      </c>
      <c r="U97" s="233">
        <f>(154.8*KFC!$B$33*1.02*1.25*1.1+KFC!$C$33)*KFC!$C$5</f>
        <v>217.10700000000003</v>
      </c>
      <c r="V97" s="233">
        <f>(160.6*KFC!$B$33*1.02*1.25*1.1+KFC!$C$33)*KFC!$C$5</f>
        <v>225.2415</v>
      </c>
      <c r="W97" s="233">
        <f>(166.5*KFC!$B$33*1.02*1.25*1.1+KFC!$C$33)*KFC!$C$5</f>
        <v>233.51625000000004</v>
      </c>
      <c r="X97" s="233">
        <f>(172.2*KFC!$B$33*1.02*1.25*1.1+KFC!$C$33)*KFC!$C$5</f>
        <v>241.51050000000004</v>
      </c>
      <c r="Y97" s="233">
        <f>(177.9*KFC!$B$33*1.02*1.25*1.1+KFC!$C$33)*KFC!$C$5</f>
        <v>249.50475</v>
      </c>
      <c r="Z97" s="233">
        <f>(183.8*KFC!$B$33*1.02*1.25*1.1+KFC!$C$33)*KFC!$C$5</f>
        <v>257.77950000000004</v>
      </c>
    </row>
    <row r="98" spans="1:26" ht="15.9" customHeight="1">
      <c r="A98" s="1912"/>
      <c r="B98" s="237">
        <v>1.6</v>
      </c>
      <c r="C98" s="239">
        <f>(51.9*KFC!$B$33*1.02*1.25*1.1+KFC!$C$33)*KFC!$C$5</f>
        <v>72.789750000000012</v>
      </c>
      <c r="D98" s="233">
        <f>(57.8*KFC!$B$33*1.02*1.25*1.1+KFC!$C$33)*KFC!$C$5</f>
        <v>81.064499999999995</v>
      </c>
      <c r="E98" s="233">
        <f>(63.8*KFC!$B$33*1.02*1.25*1.1+KFC!$C$33)*KFC!$C$5</f>
        <v>89.479500000000002</v>
      </c>
      <c r="F98" s="233">
        <f>(69.8*KFC!$B$33*1.02*1.25*1.1+KFC!$C$33)*KFC!$C$5</f>
        <v>97.894500000000008</v>
      </c>
      <c r="G98" s="233">
        <f>(75.8*KFC!$B$33*1.02*1.25*1.1+KFC!$C$33)*KFC!$C$5</f>
        <v>106.30950000000001</v>
      </c>
      <c r="H98" s="233">
        <f>(81.8*KFC!$B$33*1.02*1.25*1.1+KFC!$C$33)*KFC!$C$5</f>
        <v>114.72449999999999</v>
      </c>
      <c r="I98" s="233">
        <f>(87.8*KFC!$B$33*1.02*1.25*1.1+KFC!$C$33)*KFC!$C$5</f>
        <v>123.1395</v>
      </c>
      <c r="J98" s="233">
        <f>(93.8*KFC!$B$33*1.02*1.25*1.1+KFC!$C$33)*KFC!$C$5</f>
        <v>131.55450000000002</v>
      </c>
      <c r="K98" s="233">
        <f>(99.8*KFC!$B$33*1.02*1.25*1.1+KFC!$C$33)*KFC!$C$5</f>
        <v>139.96950000000001</v>
      </c>
      <c r="L98" s="233">
        <f>(105.8*KFC!$B$33*1.02*1.25*1.1+KFC!$C$33)*KFC!$C$5</f>
        <v>148.3845</v>
      </c>
      <c r="M98" s="233">
        <f>(111.8*KFC!$B$33*1.02*1.25*1.1+KFC!$C$33)*KFC!$C$5</f>
        <v>156.79950000000002</v>
      </c>
      <c r="N98" s="233">
        <f>(117.8*KFC!$B$33*1.02*1.25*1.1+KFC!$C$33)*KFC!$C$5</f>
        <v>165.21450000000002</v>
      </c>
      <c r="O98" s="233">
        <f>(123.8*KFC!$B$33*1.02*1.25*1.1+KFC!$C$33)*KFC!$C$5</f>
        <v>173.62950000000001</v>
      </c>
      <c r="P98" s="233">
        <f>(129.8*KFC!$B$33*1.02*1.25*1.1+KFC!$C$33)*KFC!$C$5</f>
        <v>182.04450000000003</v>
      </c>
      <c r="Q98" s="233">
        <f>(135.8*KFC!$B$33*1.02*1.25*1.1+KFC!$C$33)*KFC!$C$5</f>
        <v>190.45950000000005</v>
      </c>
      <c r="R98" s="233">
        <f>(141.7*KFC!$B$33*1.02*1.25*1.1+KFC!$C$33)*KFC!$C$5</f>
        <v>198.73425</v>
      </c>
      <c r="S98" s="233">
        <f>(147.7*KFC!$B$33*1.02*1.25*1.1+KFC!$C$33)*KFC!$C$5</f>
        <v>207.14925000000002</v>
      </c>
      <c r="T98" s="233">
        <f>(153.7*KFC!$B$33*1.02*1.25*1.1+KFC!$C$33)*KFC!$C$5</f>
        <v>215.56425000000002</v>
      </c>
      <c r="U98" s="233">
        <f>(159.7*KFC!$B$33*1.02*1.25*1.1+KFC!$C$33)*KFC!$C$5</f>
        <v>223.97925000000004</v>
      </c>
      <c r="V98" s="233">
        <f>(165.7*KFC!$B$33*1.02*1.25*1.1+KFC!$C$33)*KFC!$C$5</f>
        <v>232.39425</v>
      </c>
      <c r="W98" s="233">
        <f>(171.7*KFC!$B$33*1.02*1.25*1.1+KFC!$C$33)*KFC!$C$5</f>
        <v>240.80925000000002</v>
      </c>
      <c r="X98" s="233">
        <f>(177.7*KFC!$B$33*1.02*1.25*1.1+KFC!$C$33)*KFC!$C$5</f>
        <v>249.22425000000001</v>
      </c>
      <c r="Y98" s="233">
        <f>(183.7*KFC!$B$33*1.02*1.25*1.1+KFC!$C$33)*KFC!$C$5</f>
        <v>257.63925</v>
      </c>
      <c r="Z98" s="233">
        <f>(189.7*KFC!$B$33*1.02*1.25*1.1+KFC!$C$33)*KFC!$C$5</f>
        <v>266.05425000000002</v>
      </c>
    </row>
    <row r="99" spans="1:26" ht="15.9" customHeight="1">
      <c r="A99" s="1912"/>
      <c r="B99" s="237">
        <v>1.7</v>
      </c>
      <c r="C99" s="239">
        <f>(53*KFC!$B$33*1.02*1.25*1.1+KFC!$C$33)*KFC!$C$5</f>
        <v>74.33250000000001</v>
      </c>
      <c r="D99" s="233">
        <f>(59.2*KFC!$B$33*1.02*1.25*1.1+KFC!$C$33)*KFC!$C$5</f>
        <v>83.028000000000006</v>
      </c>
      <c r="E99" s="233">
        <f>(65.4*KFC!$B$33*1.02*1.25*1.1+KFC!$C$33)*KFC!$C$5</f>
        <v>91.72350000000003</v>
      </c>
      <c r="F99" s="233">
        <f>(71.5*KFC!$B$33*1.02*1.25*1.1+KFC!$C$33)*KFC!$C$5</f>
        <v>100.27875000000002</v>
      </c>
      <c r="G99" s="233">
        <f>(77.8*KFC!$B$33*1.02*1.25*1.1+KFC!$C$33)*KFC!$C$5</f>
        <v>109.11450000000001</v>
      </c>
      <c r="H99" s="233">
        <f>(84*KFC!$B$33*1.02*1.25*1.1+KFC!$C$33)*KFC!$C$5</f>
        <v>117.81000000000002</v>
      </c>
      <c r="I99" s="233">
        <f>(90.1*KFC!$B$33*1.02*1.25*1.1+KFC!$C$33)*KFC!$C$5</f>
        <v>126.36525</v>
      </c>
      <c r="J99" s="233">
        <f>(96.4*KFC!$B$33*1.02*1.25*1.1+KFC!$C$33)*KFC!$C$5</f>
        <v>135.20099999999999</v>
      </c>
      <c r="K99" s="233">
        <f>(102.6*KFC!$B$33*1.02*1.25*1.1+KFC!$C$33)*KFC!$C$5</f>
        <v>143.8965</v>
      </c>
      <c r="L99" s="233">
        <f>(108.7*KFC!$B$33*1.02*1.25*1.1+KFC!$C$33)*KFC!$C$5</f>
        <v>152.45175</v>
      </c>
      <c r="M99" s="233">
        <f>(115*KFC!$B$33*1.02*1.25*1.1+KFC!$C$33)*KFC!$C$5</f>
        <v>161.28750000000002</v>
      </c>
      <c r="N99" s="233">
        <f>(121.2*KFC!$B$33*1.02*1.25*1.1+KFC!$C$33)*KFC!$C$5</f>
        <v>169.983</v>
      </c>
      <c r="O99" s="233">
        <f>(127.4*KFC!$B$33*1.02*1.25*1.1+KFC!$C$33)*KFC!$C$5</f>
        <v>178.67850000000001</v>
      </c>
      <c r="P99" s="233">
        <f>(133.6*KFC!$B$33*1.02*1.25*1.1+KFC!$C$33)*KFC!$C$5</f>
        <v>187.374</v>
      </c>
      <c r="Q99" s="233">
        <f>(139.8*KFC!$B$33*1.02*1.25*1.1+KFC!$C$33)*KFC!$C$5</f>
        <v>196.06950000000003</v>
      </c>
      <c r="R99" s="233">
        <f>(146*KFC!$B$33*1.02*1.25*1.1+KFC!$C$33)*KFC!$C$5</f>
        <v>204.76500000000004</v>
      </c>
      <c r="S99" s="233">
        <f>(152.1*KFC!$B$33*1.02*1.25*1.1+KFC!$C$33)*KFC!$C$5</f>
        <v>213.32025000000002</v>
      </c>
      <c r="T99" s="233">
        <f>(158.4*KFC!$B$33*1.02*1.25*1.1+KFC!$C$33)*KFC!$C$5</f>
        <v>222.15600000000003</v>
      </c>
      <c r="U99" s="233">
        <f>(164.6*KFC!$B$33*1.02*1.25*1.1+KFC!$C$33)*KFC!$C$5</f>
        <v>230.85150000000002</v>
      </c>
      <c r="V99" s="233">
        <f>(170.7*KFC!$B$33*1.02*1.25*1.1+KFC!$C$33)*KFC!$C$5</f>
        <v>239.40675000000005</v>
      </c>
      <c r="W99" s="233">
        <f>(177*KFC!$B$33*1.02*1.25*1.1+KFC!$C$33)*KFC!$C$5</f>
        <v>248.24250000000001</v>
      </c>
      <c r="X99" s="233">
        <f>(183.2*KFC!$B$33*1.02*1.25*1.1+KFC!$C$33)*KFC!$C$5</f>
        <v>256.93800000000005</v>
      </c>
      <c r="Y99" s="233">
        <f>(189.4*KFC!$B$33*1.02*1.25*1.1+KFC!$C$33)*KFC!$C$5</f>
        <v>265.63350000000003</v>
      </c>
      <c r="Z99" s="233">
        <f>(195.6*KFC!$B$33*1.02*1.25*1.1+KFC!$C$33)*KFC!$C$5</f>
        <v>274.32900000000001</v>
      </c>
    </row>
    <row r="100" spans="1:26" ht="15.9" customHeight="1">
      <c r="A100" s="1912"/>
      <c r="B100" s="237">
        <v>1.8</v>
      </c>
      <c r="C100" s="239">
        <f>(54.2*KFC!$B$33*1.02*1.25*1.1+KFC!$C$33)*KFC!$C$5</f>
        <v>76.015500000000017</v>
      </c>
      <c r="D100" s="233">
        <f>(60.5*KFC!$B$33*1.02*1.25*1.1+KFC!$C$33)*KFC!$C$5</f>
        <v>84.851250000000007</v>
      </c>
      <c r="E100" s="233">
        <f>(66.9*KFC!$B$33*1.02*1.25*1.1+KFC!$C$33)*KFC!$C$5</f>
        <v>93.827250000000021</v>
      </c>
      <c r="F100" s="233">
        <f>(73.4*KFC!$B$33*1.02*1.25*1.1+KFC!$C$33)*KFC!$C$5</f>
        <v>102.94350000000001</v>
      </c>
      <c r="G100" s="233">
        <f>(79.7*KFC!$B$33*1.02*1.25*1.1+KFC!$C$33)*KFC!$C$5</f>
        <v>111.77925000000002</v>
      </c>
      <c r="H100" s="233">
        <f>(86.2*KFC!$B$33*1.02*1.25*1.1+KFC!$C$33)*KFC!$C$5</f>
        <v>120.89550000000001</v>
      </c>
      <c r="I100" s="233">
        <f>(92.6*KFC!$B$33*1.02*1.25*1.1+KFC!$C$33)*KFC!$C$5</f>
        <v>129.8715</v>
      </c>
      <c r="J100" s="233">
        <f>(98.9*KFC!$B$33*1.02*1.25*1.1+KFC!$C$33)*KFC!$C$5</f>
        <v>138.70725000000004</v>
      </c>
      <c r="K100" s="233">
        <f>(105.4*KFC!$B$33*1.02*1.25*1.1+KFC!$C$33)*KFC!$C$5</f>
        <v>147.82350000000002</v>
      </c>
      <c r="L100" s="233">
        <f>(111.8*KFC!$B$33*1.02*1.25*1.1+KFC!$C$33)*KFC!$C$5</f>
        <v>156.79950000000002</v>
      </c>
      <c r="M100" s="233">
        <f>(118.3*KFC!$B$33*1.02*1.25*1.1+KFC!$C$33)*KFC!$C$5</f>
        <v>165.91575</v>
      </c>
      <c r="N100" s="233">
        <f>(124.6*KFC!$B$33*1.02*1.25*1.1+KFC!$C$33)*KFC!$C$5</f>
        <v>174.75150000000002</v>
      </c>
      <c r="O100" s="233">
        <f>(131*KFC!$B$33*1.02*1.25*1.1+KFC!$C$33)*KFC!$C$5</f>
        <v>183.72750000000002</v>
      </c>
      <c r="P100" s="233">
        <f>(137.5*KFC!$B$33*1.02*1.25*1.1+KFC!$C$33)*KFC!$C$5</f>
        <v>192.84375000000003</v>
      </c>
      <c r="Q100" s="233">
        <f>(143.8*KFC!$B$33*1.02*1.25*1.1+KFC!$C$33)*KFC!$C$5</f>
        <v>201.67950000000005</v>
      </c>
      <c r="R100" s="233">
        <f>(150.2*KFC!$B$33*1.02*1.25*1.1+KFC!$C$33)*KFC!$C$5</f>
        <v>210.65549999999999</v>
      </c>
      <c r="S100" s="233">
        <f>(156.7*KFC!$B$33*1.02*1.25*1.1+KFC!$C$33)*KFC!$C$5</f>
        <v>219.77175000000003</v>
      </c>
      <c r="T100" s="233">
        <f>(163*KFC!$B$33*1.02*1.25*1.1+KFC!$C$33)*KFC!$C$5</f>
        <v>228.60750000000002</v>
      </c>
      <c r="U100" s="233">
        <f>(169.5*KFC!$B$33*1.02*1.25*1.1+KFC!$C$33)*KFC!$C$5</f>
        <v>237.72375000000002</v>
      </c>
      <c r="V100" s="233">
        <f>(175.9*KFC!$B$33*1.02*1.25*1.1+KFC!$C$33)*KFC!$C$5</f>
        <v>246.69975000000002</v>
      </c>
      <c r="W100" s="233">
        <f>(182.2*KFC!$B$33*1.02*1.25*1.1+KFC!$C$33)*KFC!$C$5</f>
        <v>255.53550000000004</v>
      </c>
      <c r="X100" s="233">
        <f>(188.7*KFC!$B$33*1.02*1.25*1.1+KFC!$C$33)*KFC!$C$5</f>
        <v>264.65174999999999</v>
      </c>
      <c r="Y100" s="233">
        <f>(195.1*KFC!$B$33*1.02*1.25*1.1+KFC!$C$33)*KFC!$C$5</f>
        <v>273.62774999999999</v>
      </c>
      <c r="Z100" s="233">
        <f>(201.6*KFC!$B$33*1.02*1.25*1.1+KFC!$C$33)*KFC!$C$5</f>
        <v>282.74400000000003</v>
      </c>
    </row>
    <row r="101" spans="1:26" ht="15.9" customHeight="1">
      <c r="A101" s="1912"/>
      <c r="B101" s="237">
        <v>1.9</v>
      </c>
      <c r="C101" s="239">
        <f>(55.3*KFC!$B$33*1.02*1.25*1.1+KFC!$C$33)*KFC!$C$5</f>
        <v>77.558250000000001</v>
      </c>
      <c r="D101" s="233">
        <f>(61.9*KFC!$B$33*1.02*1.25*1.1+KFC!$C$33)*KFC!$C$5</f>
        <v>86.814750000000004</v>
      </c>
      <c r="E101" s="233">
        <f>(68.5*KFC!$B$33*1.02*1.25*1.1+KFC!$C$33)*KFC!$C$5</f>
        <v>96.07125000000002</v>
      </c>
      <c r="F101" s="233">
        <f>(75.1*KFC!$B$33*1.02*1.25*1.1+KFC!$C$33)*KFC!$C$5</f>
        <v>105.32774999999999</v>
      </c>
      <c r="G101" s="233">
        <f>(81.7*KFC!$B$33*1.02*1.25*1.1+KFC!$C$33)*KFC!$C$5</f>
        <v>114.58425000000001</v>
      </c>
      <c r="H101" s="233">
        <f>(88.3*KFC!$B$33*1.02*1.25*1.1+KFC!$C$33)*KFC!$C$5</f>
        <v>123.84075000000003</v>
      </c>
      <c r="I101" s="233">
        <f>(95*KFC!$B$33*1.02*1.25*1.1+KFC!$C$33)*KFC!$C$5</f>
        <v>133.23750000000001</v>
      </c>
      <c r="J101" s="233">
        <f>(101.6*KFC!$B$33*1.02*1.25*1.1+KFC!$C$33)*KFC!$C$5</f>
        <v>142.494</v>
      </c>
      <c r="K101" s="233">
        <f>(108.2*KFC!$B$33*1.02*1.25*1.1+KFC!$C$33)*KFC!$C$5</f>
        <v>151.75050000000002</v>
      </c>
      <c r="L101" s="233">
        <f>(114.8*KFC!$B$33*1.02*1.25*1.1+KFC!$C$33)*KFC!$C$5</f>
        <v>161.00700000000001</v>
      </c>
      <c r="M101" s="233">
        <f>(121.4*KFC!$B$33*1.02*1.25*1.1+KFC!$C$33)*KFC!$C$5</f>
        <v>170.26350000000002</v>
      </c>
      <c r="N101" s="233">
        <f>(128*KFC!$B$33*1.02*1.25*1.1+KFC!$C$33)*KFC!$C$5</f>
        <v>179.52</v>
      </c>
      <c r="O101" s="233">
        <f>(134.7*KFC!$B$33*1.02*1.25*1.1+KFC!$C$33)*KFC!$C$5</f>
        <v>188.91674999999998</v>
      </c>
      <c r="P101" s="233">
        <f>(141.3*KFC!$B$33*1.02*1.25*1.1+KFC!$C$33)*KFC!$C$5</f>
        <v>198.17325000000002</v>
      </c>
      <c r="Q101" s="233">
        <f>(147.9*KFC!$B$33*1.02*1.25*1.1+KFC!$C$33)*KFC!$C$5</f>
        <v>207.42975000000001</v>
      </c>
      <c r="R101" s="233">
        <f>(154.5*KFC!$B$33*1.02*1.25*1.1+KFC!$C$33)*KFC!$C$5</f>
        <v>216.68625000000003</v>
      </c>
      <c r="S101" s="233">
        <f>(161.1*KFC!$B$33*1.02*1.25*1.1+KFC!$C$33)*KFC!$C$5</f>
        <v>225.94275000000002</v>
      </c>
      <c r="T101" s="233">
        <f>(167.7*KFC!$B$33*1.02*1.25*1.1+KFC!$C$33)*KFC!$C$5</f>
        <v>235.19925000000001</v>
      </c>
      <c r="U101" s="233">
        <f>(174.4*KFC!$B$33*1.02*1.25*1.1+KFC!$C$33)*KFC!$C$5</f>
        <v>244.59600000000003</v>
      </c>
      <c r="V101" s="233">
        <f>(181*KFC!$B$33*1.02*1.25*1.1+KFC!$C$33)*KFC!$C$5</f>
        <v>253.85250000000002</v>
      </c>
      <c r="W101" s="233">
        <f>(187.6*KFC!$B$33*1.02*1.25*1.1+KFC!$C$33)*KFC!$C$5</f>
        <v>263.10900000000004</v>
      </c>
      <c r="X101" s="233">
        <f>(194.2*KFC!$B$33*1.02*1.25*1.1+KFC!$C$33)*KFC!$C$5</f>
        <v>272.36550000000005</v>
      </c>
      <c r="Y101" s="233">
        <f>(200.8*KFC!$B$33*1.02*1.25*1.1+KFC!$C$33)*KFC!$C$5</f>
        <v>281.62200000000001</v>
      </c>
      <c r="Z101" s="233">
        <f>(207.4*KFC!$B$33*1.02*1.25*1.1+KFC!$C$33)*KFC!$C$5</f>
        <v>290.87850000000003</v>
      </c>
    </row>
    <row r="102" spans="1:26" ht="15.9" customHeight="1">
      <c r="A102" s="1912"/>
      <c r="B102" s="237">
        <v>2</v>
      </c>
      <c r="C102" s="239">
        <f>(56.4*KFC!$B$33*1.02*1.25*1.1+KFC!$C$33)*KFC!$C$5</f>
        <v>79.100999999999999</v>
      </c>
      <c r="D102" s="233">
        <f>(63.2*KFC!$B$33*1.02*1.25*1.1+KFC!$C$33)*KFC!$C$5</f>
        <v>88.638000000000005</v>
      </c>
      <c r="E102" s="233">
        <f>(70.1*KFC!$B$33*1.02*1.25*1.1+KFC!$C$33)*KFC!$C$5</f>
        <v>98.315250000000006</v>
      </c>
      <c r="F102" s="233">
        <f>(76.9*KFC!$B$33*1.02*1.25*1.1+KFC!$C$33)*KFC!$C$5</f>
        <v>107.85225000000001</v>
      </c>
      <c r="G102" s="233">
        <f>(83.8*KFC!$B$33*1.02*1.25*1.1+KFC!$C$33)*KFC!$C$5</f>
        <v>117.52950000000001</v>
      </c>
      <c r="H102" s="233">
        <f>(90.5*KFC!$B$33*1.02*1.25*1.1+KFC!$C$33)*KFC!$C$5</f>
        <v>126.92625000000001</v>
      </c>
      <c r="I102" s="233">
        <f>(97.4*KFC!$B$33*1.02*1.25*1.1+KFC!$C$33)*KFC!$C$5</f>
        <v>136.60350000000003</v>
      </c>
      <c r="J102" s="233">
        <f>(104.2*KFC!$B$33*1.02*1.25*1.1+KFC!$C$33)*KFC!$C$5</f>
        <v>146.14050000000003</v>
      </c>
      <c r="K102" s="233">
        <f>(111*KFC!$B$33*1.02*1.25*1.1+KFC!$C$33)*KFC!$C$5</f>
        <v>155.67750000000001</v>
      </c>
      <c r="L102" s="233">
        <f>(117.8*KFC!$B$33*1.02*1.25*1.1+KFC!$C$33)*KFC!$C$5</f>
        <v>165.21450000000002</v>
      </c>
      <c r="M102" s="233">
        <f>(124.6*KFC!$B$33*1.02*1.25*1.1+KFC!$C$33)*KFC!$C$5</f>
        <v>174.75150000000002</v>
      </c>
      <c r="N102" s="233">
        <f>(131.5*KFC!$B$33*1.02*1.25*1.1+KFC!$C$33)*KFC!$C$5</f>
        <v>184.42875000000001</v>
      </c>
      <c r="O102" s="233">
        <f>(138.3*KFC!$B$33*1.02*1.25*1.1+KFC!$C$33)*KFC!$C$5</f>
        <v>193.96575000000001</v>
      </c>
      <c r="P102" s="233">
        <f>(145*KFC!$B$33*1.02*1.25*1.1+KFC!$C$33)*KFC!$C$5</f>
        <v>203.36250000000001</v>
      </c>
      <c r="Q102" s="233">
        <f>(151.9*KFC!$B$33*1.02*1.25*1.1+KFC!$C$33)*KFC!$C$5</f>
        <v>213.03975000000003</v>
      </c>
      <c r="R102" s="233">
        <f>(158.7*KFC!$B$33*1.02*1.25*1.1+KFC!$C$33)*KFC!$C$5</f>
        <v>222.57675000000003</v>
      </c>
      <c r="S102" s="233">
        <f>(165.6*KFC!$B$33*1.02*1.25*1.1+KFC!$C$33)*KFC!$C$5</f>
        <v>232.25400000000005</v>
      </c>
      <c r="T102" s="233">
        <f>(172.4*KFC!$B$33*1.02*1.25*1.1+KFC!$C$33)*KFC!$C$5</f>
        <v>241.79100000000003</v>
      </c>
      <c r="U102" s="233">
        <f>(179.2*KFC!$B$33*1.02*1.25*1.1+KFC!$C$33)*KFC!$C$5</f>
        <v>251.328</v>
      </c>
      <c r="V102" s="233">
        <f>(186*KFC!$B$33*1.02*1.25*1.1+KFC!$C$33)*KFC!$C$5</f>
        <v>260.86500000000001</v>
      </c>
      <c r="W102" s="233">
        <f>(192.9*KFC!$B$33*1.02*1.25*1.1+KFC!$C$33)*KFC!$C$5</f>
        <v>270.54225000000002</v>
      </c>
      <c r="X102" s="233">
        <f>(199.7*KFC!$B$33*1.02*1.25*1.1+KFC!$C$33)*KFC!$C$5</f>
        <v>280.07925</v>
      </c>
      <c r="Y102" s="233">
        <f>(206.4*KFC!$B$33*1.02*1.25*1.1+KFC!$C$33)*KFC!$C$5</f>
        <v>289.47600000000006</v>
      </c>
      <c r="Z102" s="233">
        <f>(213.3*KFC!$B$33*1.02*1.25*1.1+KFC!$C$33)*KFC!$C$5</f>
        <v>299.15325000000001</v>
      </c>
    </row>
    <row r="103" spans="1:26" ht="15.9" customHeight="1">
      <c r="A103" s="1912"/>
      <c r="B103" s="237">
        <v>2.1</v>
      </c>
      <c r="C103" s="239">
        <f>(57.6*KFC!$B$33*1.02*1.25*1.1+KFC!$C$33)*KFC!$C$5</f>
        <v>80.784000000000006</v>
      </c>
      <c r="D103" s="233">
        <f>(64.6*KFC!$B$33*1.02*1.25*1.1+KFC!$C$33)*KFC!$C$5</f>
        <v>90.601500000000001</v>
      </c>
      <c r="E103" s="233">
        <f>(71.7*KFC!$B$33*1.02*1.25*1.1+KFC!$C$33)*KFC!$C$5</f>
        <v>100.55925000000001</v>
      </c>
      <c r="F103" s="233">
        <f>(78.6*KFC!$B$33*1.02*1.25*1.1+KFC!$C$33)*KFC!$C$5</f>
        <v>110.23650000000001</v>
      </c>
      <c r="G103" s="233">
        <f>(85.7*KFC!$B$33*1.02*1.25*1.1+KFC!$C$33)*KFC!$C$5</f>
        <v>120.19425000000001</v>
      </c>
      <c r="H103" s="233">
        <f>(92.7*KFC!$B$33*1.02*1.25*1.1+KFC!$C$33)*KFC!$C$5</f>
        <v>130.01175000000001</v>
      </c>
      <c r="I103" s="233">
        <f>(99.8*KFC!$B$33*1.02*1.25*1.1+KFC!$C$33)*KFC!$C$5</f>
        <v>139.96950000000001</v>
      </c>
      <c r="J103" s="233">
        <f>(106.8*KFC!$B$33*1.02*1.25*1.1+KFC!$C$33)*KFC!$C$5</f>
        <v>149.78700000000001</v>
      </c>
      <c r="K103" s="233">
        <f>(113.9*KFC!$B$33*1.02*1.25*1.1+KFC!$C$33)*KFC!$C$5</f>
        <v>159.74475000000004</v>
      </c>
      <c r="L103" s="233">
        <f>(120.8*KFC!$B$33*1.02*1.25*1.1+KFC!$C$33)*KFC!$C$5</f>
        <v>169.422</v>
      </c>
      <c r="M103" s="233">
        <f>(127.9*KFC!$B$33*1.02*1.25*1.1+KFC!$C$33)*KFC!$C$5</f>
        <v>179.37975</v>
      </c>
      <c r="N103" s="233">
        <f>(134.9*KFC!$B$33*1.02*1.25*1.1+KFC!$C$33)*KFC!$C$5</f>
        <v>189.19725000000003</v>
      </c>
      <c r="O103" s="233">
        <f>(141.9*KFC!$B$33*1.02*1.25*1.1+KFC!$C$33)*KFC!$C$5</f>
        <v>199.01475000000002</v>
      </c>
      <c r="P103" s="233">
        <f>(149*KFC!$B$33*1.02*1.25*1.1+KFC!$C$33)*KFC!$C$5</f>
        <v>208.9725</v>
      </c>
      <c r="Q103" s="233">
        <f>(155.9*KFC!$B$33*1.02*1.25*1.1+KFC!$C$33)*KFC!$C$5</f>
        <v>218.64975000000004</v>
      </c>
      <c r="R103" s="233">
        <f>(163*KFC!$B$33*1.02*1.25*1.1+KFC!$C$33)*KFC!$C$5</f>
        <v>228.60750000000002</v>
      </c>
      <c r="S103" s="233">
        <f>(170*KFC!$B$33*1.02*1.25*1.1+KFC!$C$33)*KFC!$C$5</f>
        <v>238.42500000000001</v>
      </c>
      <c r="T103" s="233">
        <f>(177.1*KFC!$B$33*1.02*1.25*1.1+KFC!$C$33)*KFC!$C$5</f>
        <v>248.38275000000004</v>
      </c>
      <c r="U103" s="233">
        <f>(184.1*KFC!$B$33*1.02*1.25*1.1+KFC!$C$33)*KFC!$C$5</f>
        <v>258.20025000000004</v>
      </c>
      <c r="V103" s="233">
        <f>(191.2*KFC!$B$33*1.02*1.25*1.1+KFC!$C$33)*KFC!$C$5</f>
        <v>268.15800000000002</v>
      </c>
      <c r="W103" s="233">
        <f>(198.1*KFC!$B$33*1.02*1.25*1.1+KFC!$C$33)*KFC!$C$5</f>
        <v>277.83525000000003</v>
      </c>
      <c r="X103" s="233">
        <f>(205.2*KFC!$B$33*1.02*1.25*1.1+KFC!$C$33)*KFC!$C$5</f>
        <v>287.79300000000001</v>
      </c>
      <c r="Y103" s="233">
        <f>(212.2*KFC!$B$33*1.02*1.25*1.1+KFC!$C$33)*KFC!$C$5</f>
        <v>297.61050000000006</v>
      </c>
      <c r="Z103" s="233">
        <f>(219.3*KFC!$B$33*1.02*1.25*1.1+KFC!$C$33)*KFC!$C$5</f>
        <v>307.56825000000003</v>
      </c>
    </row>
    <row r="104" spans="1:26" ht="15.9" customHeight="1">
      <c r="A104" s="1912"/>
      <c r="B104" s="237">
        <v>2.2000000000000002</v>
      </c>
      <c r="C104" s="239">
        <f>(58.7*KFC!$B$33*1.02*1.25*1.1+KFC!$C$33)*KFC!$C$5</f>
        <v>82.326750000000004</v>
      </c>
      <c r="D104" s="233">
        <f>(65.9*KFC!$B$33*1.02*1.25*1.1+KFC!$C$33)*KFC!$C$5</f>
        <v>92.424750000000017</v>
      </c>
      <c r="E104" s="233">
        <f>(73.3*KFC!$B$33*1.02*1.25*1.1+KFC!$C$33)*KFC!$C$5</f>
        <v>102.80325000000002</v>
      </c>
      <c r="F104" s="233">
        <f>(80.5*KFC!$B$33*1.02*1.25*1.1+KFC!$C$33)*KFC!$C$5</f>
        <v>112.90125000000002</v>
      </c>
      <c r="G104" s="233">
        <f>(87.7*KFC!$B$33*1.02*1.25*1.1+KFC!$C$33)*KFC!$C$5</f>
        <v>122.99925000000002</v>
      </c>
      <c r="H104" s="233">
        <f>(94.9*KFC!$B$33*1.02*1.25*1.1+KFC!$C$33)*KFC!$C$5</f>
        <v>133.09725</v>
      </c>
      <c r="I104" s="233">
        <f>(102.1*KFC!$B$33*1.02*1.25*1.1+KFC!$C$33)*KFC!$C$5</f>
        <v>143.19525000000002</v>
      </c>
      <c r="J104" s="233">
        <f>(109.3*KFC!$B$33*1.02*1.25*1.1+KFC!$C$33)*KFC!$C$5</f>
        <v>153.29325000000003</v>
      </c>
      <c r="K104" s="233">
        <f>(116.7*KFC!$B$33*1.02*1.25*1.1+KFC!$C$33)*KFC!$C$5</f>
        <v>163.67175000000003</v>
      </c>
      <c r="L104" s="233">
        <f>(123.9*KFC!$B$33*1.02*1.25*1.1+KFC!$C$33)*KFC!$C$5</f>
        <v>173.76975000000004</v>
      </c>
      <c r="M104" s="233">
        <f>(131.1*KFC!$B$33*1.02*1.25*1.1+KFC!$C$33)*KFC!$C$5</f>
        <v>183.86775000000003</v>
      </c>
      <c r="N104" s="233">
        <f>(138.3*KFC!$B$33*1.02*1.25*1.1+KFC!$C$33)*KFC!$C$5</f>
        <v>193.96575000000001</v>
      </c>
      <c r="O104" s="233">
        <f>(145.5*KFC!$B$33*1.02*1.25*1.1+KFC!$C$33)*KFC!$C$5</f>
        <v>204.06375</v>
      </c>
      <c r="P104" s="233">
        <f>(152.8*KFC!$B$33*1.02*1.25*1.1+KFC!$C$33)*KFC!$C$5</f>
        <v>214.30200000000005</v>
      </c>
      <c r="Q104" s="233">
        <f>(160*KFC!$B$33*1.02*1.25*1.1+KFC!$C$33)*KFC!$C$5</f>
        <v>224.4</v>
      </c>
      <c r="R104" s="233">
        <f>(167.3*KFC!$B$33*1.02*1.25*1.1+KFC!$C$33)*KFC!$C$5</f>
        <v>234.63825000000003</v>
      </c>
      <c r="S104" s="233">
        <f>(174.5*KFC!$B$33*1.02*1.25*1.1+KFC!$C$33)*KFC!$C$5</f>
        <v>244.73625000000004</v>
      </c>
      <c r="T104" s="233">
        <f>(181.7*KFC!$B$33*1.02*1.25*1.1+KFC!$C$33)*KFC!$C$5</f>
        <v>254.83425000000005</v>
      </c>
      <c r="U104" s="233">
        <f>(189*KFC!$B$33*1.02*1.25*1.1+KFC!$C$33)*KFC!$C$5</f>
        <v>265.07249999999999</v>
      </c>
      <c r="V104" s="233">
        <f>(196.2*KFC!$B$33*1.02*1.25*1.1+KFC!$C$33)*KFC!$C$5</f>
        <v>275.1705</v>
      </c>
      <c r="W104" s="233">
        <f>(203.4*KFC!$B$33*1.02*1.25*1.1+KFC!$C$33)*KFC!$C$5</f>
        <v>285.26850000000007</v>
      </c>
      <c r="X104" s="233">
        <f>(210.7*KFC!$B$33*1.02*1.25*1.1+KFC!$C$33)*KFC!$C$5</f>
        <v>295.50675000000001</v>
      </c>
      <c r="Y104" s="233">
        <f>(217.9*KFC!$B$33*1.02*1.25*1.1+KFC!$C$33)*KFC!$C$5</f>
        <v>305.60475000000002</v>
      </c>
      <c r="Z104" s="233">
        <f>(225.2*KFC!$B$33*1.02*1.25*1.1+KFC!$C$33)*KFC!$C$5</f>
        <v>315.84300000000002</v>
      </c>
    </row>
    <row r="105" spans="1:26" ht="15.9" customHeight="1">
      <c r="A105" s="1912"/>
      <c r="B105" s="237">
        <v>2.2999999999999998</v>
      </c>
      <c r="C105" s="239">
        <f>(59.9*KFC!$B$33*1.02*1.25*1.1+KFC!$C$33)*KFC!$C$5</f>
        <v>84.009750000000011</v>
      </c>
      <c r="D105" s="233">
        <f>(67.4*KFC!$B$33*1.02*1.25*1.1+KFC!$C$33)*KFC!$C$5</f>
        <v>94.528500000000008</v>
      </c>
      <c r="E105" s="233">
        <f>(74.7*KFC!$B$33*1.02*1.25*1.1+KFC!$C$33)*KFC!$C$5</f>
        <v>104.76675000000002</v>
      </c>
      <c r="F105" s="233">
        <f>(82.2*KFC!$B$33*1.02*1.25*1.1+KFC!$C$33)*KFC!$C$5</f>
        <v>115.28550000000001</v>
      </c>
      <c r="G105" s="233">
        <f>(89.6*KFC!$B$33*1.02*1.25*1.1+KFC!$C$33)*KFC!$C$5</f>
        <v>125.664</v>
      </c>
      <c r="H105" s="233">
        <f>(97.1*KFC!$B$33*1.02*1.25*1.1+KFC!$C$33)*KFC!$C$5</f>
        <v>136.18275000000003</v>
      </c>
      <c r="I105" s="233">
        <f>(104.6*KFC!$B$33*1.02*1.25*1.1+KFC!$C$33)*KFC!$C$5</f>
        <v>146.70149999999998</v>
      </c>
      <c r="J105" s="233">
        <f>(112*KFC!$B$33*1.02*1.25*1.1+KFC!$C$33)*KFC!$C$5</f>
        <v>157.08000000000001</v>
      </c>
      <c r="K105" s="233">
        <f>(119.4*KFC!$B$33*1.02*1.25*1.1+KFC!$C$33)*KFC!$C$5</f>
        <v>167.45850000000002</v>
      </c>
      <c r="L105" s="233">
        <f>(126.9*KFC!$B$33*1.02*1.25*1.1+KFC!$C$33)*KFC!$C$5</f>
        <v>177.97725000000003</v>
      </c>
      <c r="M105" s="233">
        <f>(134.3*KFC!$B$33*1.02*1.25*1.1+KFC!$C$33)*KFC!$C$5</f>
        <v>188.35575000000003</v>
      </c>
      <c r="N105" s="233">
        <f>(141.7*KFC!$B$33*1.02*1.25*1.1+KFC!$C$33)*KFC!$C$5</f>
        <v>198.73425</v>
      </c>
      <c r="O105" s="233">
        <f>(149.2*KFC!$B$33*1.02*1.25*1.1+KFC!$C$33)*KFC!$C$5</f>
        <v>209.25300000000001</v>
      </c>
      <c r="P105" s="233">
        <f>(156.7*KFC!$B$33*1.02*1.25*1.1+KFC!$C$33)*KFC!$C$5</f>
        <v>219.77175000000003</v>
      </c>
      <c r="Q105" s="233">
        <f>(164.1*KFC!$B$33*1.02*1.25*1.1+KFC!$C$33)*KFC!$C$5</f>
        <v>230.15025000000003</v>
      </c>
      <c r="R105" s="233">
        <f>(171.5*KFC!$B$33*1.02*1.25*1.1+KFC!$C$33)*KFC!$C$5</f>
        <v>240.52875000000003</v>
      </c>
      <c r="S105" s="233">
        <f>(178.9*KFC!$B$33*1.02*1.25*1.1+KFC!$C$33)*KFC!$C$5</f>
        <v>250.90725000000006</v>
      </c>
      <c r="T105" s="233">
        <f>(186.4*KFC!$B$33*1.02*1.25*1.1+KFC!$C$33)*KFC!$C$5</f>
        <v>261.42600000000004</v>
      </c>
      <c r="U105" s="233">
        <f>(193.8*KFC!$B$33*1.02*1.25*1.1+KFC!$C$33)*KFC!$C$5</f>
        <v>271.80450000000008</v>
      </c>
      <c r="V105" s="233">
        <f>(201.3*KFC!$B$33*1.02*1.25*1.1+KFC!$C$33)*KFC!$C$5</f>
        <v>282.32325000000003</v>
      </c>
      <c r="W105" s="233">
        <f>(208.8*KFC!$B$33*1.02*1.25*1.1+KFC!$C$33)*KFC!$C$5</f>
        <v>292.84200000000004</v>
      </c>
      <c r="X105" s="233">
        <f>(216.1*KFC!$B$33*1.02*1.25*1.1+KFC!$C$33)*KFC!$C$5</f>
        <v>303.08024999999998</v>
      </c>
      <c r="Y105" s="233">
        <f>(223.6*KFC!$B$33*1.02*1.25*1.1+KFC!$C$33)*KFC!$C$5</f>
        <v>313.59900000000005</v>
      </c>
      <c r="Z105" s="233">
        <f>(231*KFC!$B$33*1.02*1.25*1.1+KFC!$C$33)*KFC!$C$5</f>
        <v>323.97750000000002</v>
      </c>
    </row>
    <row r="106" spans="1:26" ht="15.9" customHeight="1">
      <c r="A106" s="1912"/>
      <c r="B106" s="237">
        <v>2.4</v>
      </c>
      <c r="C106" s="239">
        <f>(61*KFC!$B$33*1.02*1.25*1.1+KFC!$C$33)*KFC!$C$5</f>
        <v>85.552500000000009</v>
      </c>
      <c r="D106" s="233">
        <f>(68.7*KFC!$B$33*1.02*1.25*1.1+KFC!$C$33)*KFC!$C$5</f>
        <v>96.35175000000001</v>
      </c>
      <c r="E106" s="233">
        <f>(76.3*KFC!$B$33*1.02*1.25*1.1+KFC!$C$33)*KFC!$C$5</f>
        <v>107.01075</v>
      </c>
      <c r="F106" s="233">
        <f>(84*KFC!$B$33*1.02*1.25*1.1+KFC!$C$33)*KFC!$C$5</f>
        <v>117.81000000000002</v>
      </c>
      <c r="G106" s="233">
        <f>(91.6*KFC!$B$33*1.02*1.25*1.1+KFC!$C$33)*KFC!$C$5</f>
        <v>128.46900000000002</v>
      </c>
      <c r="H106" s="233">
        <f>(99.3*KFC!$B$33*1.02*1.25*1.1+KFC!$C$33)*KFC!$C$5</f>
        <v>139.26825000000002</v>
      </c>
      <c r="I106" s="233">
        <f>(106.9*KFC!$B$33*1.02*1.25*1.1+KFC!$C$33)*KFC!$C$5</f>
        <v>149.92725000000002</v>
      </c>
      <c r="J106" s="233">
        <f>(114.6*KFC!$B$33*1.02*1.25*1.1+KFC!$C$33)*KFC!$C$5</f>
        <v>160.72650000000002</v>
      </c>
      <c r="K106" s="233">
        <f>(122.2*KFC!$B$33*1.02*1.25*1.1+KFC!$C$33)*KFC!$C$5</f>
        <v>171.38550000000001</v>
      </c>
      <c r="L106" s="233">
        <f>(129.9*KFC!$B$33*1.02*1.25*1.1+KFC!$C$33)*KFC!$C$5</f>
        <v>182.18475000000004</v>
      </c>
      <c r="M106" s="233">
        <f>(137.6*KFC!$B$33*1.02*1.25*1.1+KFC!$C$33)*KFC!$C$5</f>
        <v>192.98400000000001</v>
      </c>
      <c r="N106" s="233">
        <f>(145.2*KFC!$B$33*1.02*1.25*1.1+KFC!$C$33)*KFC!$C$5</f>
        <v>203.643</v>
      </c>
      <c r="O106" s="233">
        <f>(152.9*KFC!$B$33*1.02*1.25*1.1+KFC!$C$33)*KFC!$C$5</f>
        <v>214.44225</v>
      </c>
      <c r="P106" s="233">
        <f>(160.5*KFC!$B$33*1.02*1.25*1.1+KFC!$C$33)*KFC!$C$5</f>
        <v>225.10125000000005</v>
      </c>
      <c r="Q106" s="233">
        <f>(168.2*KFC!$B$33*1.02*1.25*1.1+KFC!$C$33)*KFC!$C$5</f>
        <v>235.90049999999999</v>
      </c>
      <c r="R106" s="233">
        <f>(175.7*KFC!$B$33*1.02*1.25*1.1+KFC!$C$33)*KFC!$C$5</f>
        <v>246.41925000000001</v>
      </c>
      <c r="S106" s="233">
        <f>(183.5*KFC!$B$33*1.02*1.25*1.1+KFC!$C$33)*KFC!$C$5</f>
        <v>257.35875000000004</v>
      </c>
      <c r="T106" s="233">
        <f>(191*KFC!$B$33*1.02*1.25*1.1+KFC!$C$33)*KFC!$C$5</f>
        <v>267.8775</v>
      </c>
      <c r="U106" s="233">
        <f>(198.7*KFC!$B$33*1.02*1.25*1.1+KFC!$C$33)*KFC!$C$5</f>
        <v>278.67674999999997</v>
      </c>
      <c r="V106" s="233">
        <f>(206.3*KFC!$B$33*1.02*1.25*1.1+KFC!$C$33)*KFC!$C$5</f>
        <v>289.33575000000008</v>
      </c>
      <c r="W106" s="233">
        <f>(214*KFC!$B$33*1.02*1.25*1.1+KFC!$C$33)*KFC!$C$5</f>
        <v>300.13500000000005</v>
      </c>
      <c r="X106" s="233">
        <f>(221.6*KFC!$B$33*1.02*1.25*1.1+KFC!$C$33)*KFC!$C$5</f>
        <v>310.79400000000004</v>
      </c>
      <c r="Y106" s="233">
        <f>(229.3*KFC!$B$33*1.02*1.25*1.1+KFC!$C$33)*KFC!$C$5</f>
        <v>321.59325000000007</v>
      </c>
      <c r="Z106" s="233">
        <f>(236.9*KFC!$B$33*1.02*1.25*1.1+KFC!$C$33)*KFC!$C$5</f>
        <v>332.25225000000006</v>
      </c>
    </row>
    <row r="107" spans="1:26" ht="15.9" customHeight="1">
      <c r="A107" s="1912"/>
      <c r="B107" s="237">
        <v>2.5</v>
      </c>
      <c r="C107" s="239">
        <f>(62.3*KFC!$B$33*1.02*1.25*1.1+KFC!$C$33)*KFC!$C$5</f>
        <v>87.375750000000011</v>
      </c>
      <c r="D107" s="233">
        <f>(70.1*KFC!$B$33*1.02*1.25*1.1+KFC!$C$33)*KFC!$C$5</f>
        <v>98.315250000000006</v>
      </c>
      <c r="E107" s="233">
        <f>(77.9*KFC!$B$33*1.02*1.25*1.1+KFC!$C$33)*KFC!$C$5</f>
        <v>109.25475000000003</v>
      </c>
      <c r="F107" s="233">
        <f>(85.7*KFC!$B$33*1.02*1.25*1.1+KFC!$C$33)*KFC!$C$5</f>
        <v>120.19425000000001</v>
      </c>
      <c r="G107" s="233">
        <f>(93.6*KFC!$B$33*1.02*1.25*1.1+KFC!$C$33)*KFC!$C$5</f>
        <v>131.274</v>
      </c>
      <c r="H107" s="233">
        <f>(101.5*KFC!$B$33*1.02*1.25*1.1+KFC!$C$33)*KFC!$C$5</f>
        <v>142.35375000000002</v>
      </c>
      <c r="I107" s="233">
        <f>(109.3*KFC!$B$33*1.02*1.25*1.1+KFC!$C$33)*KFC!$C$5</f>
        <v>153.29325000000003</v>
      </c>
      <c r="J107" s="233">
        <f>(117.2*KFC!$B$33*1.02*1.25*1.1+KFC!$C$33)*KFC!$C$5</f>
        <v>164.37300000000002</v>
      </c>
      <c r="K107" s="233">
        <f>(125*KFC!$B$33*1.02*1.25*1.1+KFC!$C$33)*KFC!$C$5</f>
        <v>175.3125</v>
      </c>
      <c r="L107" s="233">
        <f>(132.9*KFC!$B$33*1.02*1.25*1.1+KFC!$C$33)*KFC!$C$5</f>
        <v>186.39225000000005</v>
      </c>
      <c r="M107" s="233">
        <f>(140.8*KFC!$B$33*1.02*1.25*1.1+KFC!$C$33)*KFC!$C$5</f>
        <v>197.47200000000004</v>
      </c>
      <c r="N107" s="233">
        <f>(148.6*KFC!$B$33*1.02*1.25*1.1+KFC!$C$33)*KFC!$C$5</f>
        <v>208.41150000000002</v>
      </c>
      <c r="O107" s="233">
        <f>(156.4*KFC!$B$33*1.02*1.25*1.1+KFC!$C$33)*KFC!$C$5</f>
        <v>219.35100000000006</v>
      </c>
      <c r="P107" s="233">
        <f>(164.4*KFC!$B$33*1.02*1.25*1.1+KFC!$C$33)*KFC!$C$5</f>
        <v>230.57100000000003</v>
      </c>
      <c r="Q107" s="233">
        <f>(172.2*KFC!$B$33*1.02*1.25*1.1+KFC!$C$33)*KFC!$C$5</f>
        <v>241.51050000000004</v>
      </c>
      <c r="R107" s="233">
        <f>(180*KFC!$B$33*1.02*1.25*1.1+KFC!$C$33)*KFC!$C$5</f>
        <v>252.45000000000002</v>
      </c>
      <c r="S107" s="233">
        <f>(187.9*KFC!$B$33*1.02*1.25*1.1+KFC!$C$33)*KFC!$C$5</f>
        <v>263.52975000000004</v>
      </c>
      <c r="T107" s="233">
        <f>(195.7*KFC!$B$33*1.02*1.25*1.1+KFC!$C$33)*KFC!$C$5</f>
        <v>274.46925000000005</v>
      </c>
      <c r="U107" s="233">
        <f>(203.6*KFC!$B$33*1.02*1.25*1.1+KFC!$C$33)*KFC!$C$5</f>
        <v>285.54899999999998</v>
      </c>
      <c r="V107" s="233">
        <f>(211.5*KFC!$B$33*1.02*1.25*1.1+KFC!$C$33)*KFC!$C$5</f>
        <v>296.62874999999997</v>
      </c>
      <c r="W107" s="233">
        <f>(219.3*KFC!$B$33*1.02*1.25*1.1+KFC!$C$33)*KFC!$C$5</f>
        <v>307.56825000000003</v>
      </c>
      <c r="X107" s="233">
        <f>(227.1*KFC!$B$33*1.02*1.25*1.1+KFC!$C$33)*KFC!$C$5</f>
        <v>318.50775000000004</v>
      </c>
      <c r="Y107" s="233">
        <f>(235.1*KFC!$B$33*1.02*1.25*1.1+KFC!$C$33)*KFC!$C$5</f>
        <v>329.72775000000001</v>
      </c>
      <c r="Z107" s="233">
        <f>(242.9*KFC!$B$33*1.02*1.25*1.1+KFC!$C$33)*KFC!$C$5</f>
        <v>340.66725000000002</v>
      </c>
    </row>
    <row r="108" spans="1:26" ht="15.9" customHeight="1">
      <c r="A108" s="1912"/>
      <c r="B108" s="237">
        <v>2.6</v>
      </c>
      <c r="C108" s="239">
        <f>(63.4*KFC!$B$33*1.02*1.25*1.1+KFC!$C$33)*KFC!$C$5</f>
        <v>88.918500000000023</v>
      </c>
      <c r="D108" s="233">
        <f>(71.4*KFC!$B$33*1.02*1.25*1.1+KFC!$C$33)*KFC!$C$5</f>
        <v>100.13850000000001</v>
      </c>
      <c r="E108" s="233">
        <f>(79.5*KFC!$B$33*1.02*1.25*1.1+KFC!$C$33)*KFC!$C$5</f>
        <v>111.49875000000002</v>
      </c>
      <c r="F108" s="233">
        <f>(87.6*KFC!$B$33*1.02*1.25*1.1+KFC!$C$33)*KFC!$C$5</f>
        <v>122.85899999999999</v>
      </c>
      <c r="G108" s="233">
        <f>(95.6*KFC!$B$33*1.02*1.25*1.1+KFC!$C$33)*KFC!$C$5</f>
        <v>134.07900000000001</v>
      </c>
      <c r="H108" s="233">
        <f>(103.7*KFC!$B$33*1.02*1.25*1.1+KFC!$C$33)*KFC!$C$5</f>
        <v>145.43925000000002</v>
      </c>
      <c r="I108" s="233">
        <f>(111.8*KFC!$B$33*1.02*1.25*1.1+KFC!$C$33)*KFC!$C$5</f>
        <v>156.79950000000002</v>
      </c>
      <c r="J108" s="233">
        <f>(119.7*KFC!$B$33*1.02*1.25*1.1+KFC!$C$33)*KFC!$C$5</f>
        <v>167.87925000000001</v>
      </c>
      <c r="K108" s="233">
        <f>(127.8*KFC!$B$33*1.02*1.25*1.1+KFC!$C$33)*KFC!$C$5</f>
        <v>179.23950000000002</v>
      </c>
      <c r="L108" s="233">
        <f>(135.9*KFC!$B$33*1.02*1.25*1.1+KFC!$C$33)*KFC!$C$5</f>
        <v>190.59975</v>
      </c>
      <c r="M108" s="233">
        <f>(143.9*KFC!$B$33*1.02*1.25*1.1+KFC!$C$33)*KFC!$C$5</f>
        <v>201.81975000000006</v>
      </c>
      <c r="N108" s="233">
        <f>(152*KFC!$B$33*1.02*1.25*1.1+KFC!$C$33)*KFC!$C$5</f>
        <v>213.18</v>
      </c>
      <c r="O108" s="233">
        <f>(160.1*KFC!$B$33*1.02*1.25*1.1+KFC!$C$33)*KFC!$C$5</f>
        <v>224.54025000000001</v>
      </c>
      <c r="P108" s="233">
        <f>(168.2*KFC!$B$33*1.02*1.25*1.1+KFC!$C$33)*KFC!$C$5</f>
        <v>235.90049999999999</v>
      </c>
      <c r="Q108" s="233">
        <f>(176.2*KFC!$B$33*1.02*1.25*1.1+KFC!$C$33)*KFC!$C$5</f>
        <v>247.12049999999999</v>
      </c>
      <c r="R108" s="233">
        <f>(184.3*KFC!$B$33*1.02*1.25*1.1+KFC!$C$33)*KFC!$C$5</f>
        <v>258.48075000000006</v>
      </c>
      <c r="S108" s="233">
        <f>(192.4*KFC!$B$33*1.02*1.25*1.1+KFC!$C$33)*KFC!$C$5</f>
        <v>269.84100000000007</v>
      </c>
      <c r="T108" s="233">
        <f>(200.4*KFC!$B$33*1.02*1.25*1.1+KFC!$C$33)*KFC!$C$5</f>
        <v>281.06100000000004</v>
      </c>
      <c r="U108" s="233">
        <f>(208.5*KFC!$B$33*1.02*1.25*1.1+KFC!$C$33)*KFC!$C$5</f>
        <v>292.42125000000004</v>
      </c>
      <c r="V108" s="233">
        <f>(216.5*KFC!$B$33*1.02*1.25*1.1+KFC!$C$33)*KFC!$C$5</f>
        <v>303.64125000000007</v>
      </c>
      <c r="W108" s="233">
        <f>(224.5*KFC!$B$33*1.02*1.25*1.1+KFC!$C$33)*KFC!$C$5</f>
        <v>314.86125000000004</v>
      </c>
      <c r="X108" s="233">
        <f>(232.6*KFC!$B$33*1.02*1.25*1.1+KFC!$C$33)*KFC!$C$5</f>
        <v>326.22150000000005</v>
      </c>
      <c r="Y108" s="233">
        <f>(240.7*KFC!$B$33*1.02*1.25*1.1+KFC!$C$33)*KFC!$C$5</f>
        <v>337.58175</v>
      </c>
      <c r="Z108" s="233">
        <f>(248.8*KFC!$B$33*1.02*1.25*1.1+KFC!$C$33)*KFC!$C$5</f>
        <v>348.94200000000006</v>
      </c>
    </row>
    <row r="109" spans="1:26" ht="15.9" customHeight="1">
      <c r="A109" s="1912"/>
      <c r="B109" s="237">
        <v>2.7</v>
      </c>
      <c r="C109" s="239">
        <f>(64.5*KFC!$B$33*1.02*1.25*1.1+KFC!$C$33)*KFC!$C$5</f>
        <v>90.461250000000021</v>
      </c>
      <c r="D109" s="233">
        <f>(72.8*KFC!$B$33*1.02*1.25*1.1+KFC!$C$33)*KFC!$C$5</f>
        <v>102.102</v>
      </c>
      <c r="E109" s="233">
        <f>(81.1*KFC!$B$33*1.02*1.25*1.1+KFC!$C$33)*KFC!$C$5</f>
        <v>113.74275</v>
      </c>
      <c r="F109" s="233">
        <f>(89.3*KFC!$B$33*1.02*1.25*1.1+KFC!$C$33)*KFC!$C$5</f>
        <v>125.24325000000002</v>
      </c>
      <c r="G109" s="233">
        <f>(97.6*KFC!$B$33*1.02*1.25*1.1+KFC!$C$33)*KFC!$C$5</f>
        <v>136.88400000000001</v>
      </c>
      <c r="H109" s="233">
        <f>(105.8*KFC!$B$33*1.02*1.25*1.1+KFC!$C$33)*KFC!$C$5</f>
        <v>148.3845</v>
      </c>
      <c r="I109" s="233">
        <f>(114.1*KFC!$B$33*1.02*1.25*1.1+KFC!$C$33)*KFC!$C$5</f>
        <v>160.02525</v>
      </c>
      <c r="J109" s="233">
        <f>(122.4*KFC!$B$33*1.02*1.25*1.1+KFC!$C$33)*KFC!$C$5</f>
        <v>171.66600000000003</v>
      </c>
      <c r="K109" s="233">
        <f>(130.6*KFC!$B$33*1.02*1.25*1.1+KFC!$C$33)*KFC!$C$5</f>
        <v>183.16650000000001</v>
      </c>
      <c r="L109" s="233">
        <f>(138.9*KFC!$B$33*1.02*1.25*1.1+KFC!$C$33)*KFC!$C$5</f>
        <v>194.80725000000001</v>
      </c>
      <c r="M109" s="233">
        <f>(147.2*KFC!$B$33*1.02*1.25*1.1+KFC!$C$33)*KFC!$C$5</f>
        <v>206.44799999999998</v>
      </c>
      <c r="N109" s="233">
        <f>(155.4*KFC!$B$33*1.02*1.25*1.1+KFC!$C$33)*KFC!$C$5</f>
        <v>217.94850000000005</v>
      </c>
      <c r="O109" s="233">
        <f>(163.8*KFC!$B$33*1.02*1.25*1.1+KFC!$C$33)*KFC!$C$5</f>
        <v>229.72950000000006</v>
      </c>
      <c r="P109" s="233">
        <f>(172*KFC!$B$33*1.02*1.25*1.1+KFC!$C$33)*KFC!$C$5</f>
        <v>241.23000000000002</v>
      </c>
      <c r="Q109" s="233">
        <f>(180.3*KFC!$B$33*1.02*1.25*1.1+KFC!$C$33)*KFC!$C$5</f>
        <v>252.87075000000002</v>
      </c>
      <c r="R109" s="233">
        <f>(188.6*KFC!$B$33*1.02*1.25*1.1+KFC!$C$33)*KFC!$C$5</f>
        <v>264.51150000000001</v>
      </c>
      <c r="S109" s="233">
        <f>(196.8*KFC!$B$33*1.02*1.25*1.1+KFC!$C$33)*KFC!$C$5</f>
        <v>276.01200000000006</v>
      </c>
      <c r="T109" s="233">
        <f>(205.1*KFC!$B$33*1.02*1.25*1.1+KFC!$C$33)*KFC!$C$5</f>
        <v>287.65275000000003</v>
      </c>
      <c r="U109" s="233">
        <f>(213.3*KFC!$B$33*1.02*1.25*1.1+KFC!$C$33)*KFC!$C$5</f>
        <v>299.15325000000001</v>
      </c>
      <c r="V109" s="233">
        <f>(221.6*KFC!$B$33*1.02*1.25*1.1+KFC!$C$33)*KFC!$C$5</f>
        <v>310.79400000000004</v>
      </c>
      <c r="W109" s="233">
        <f>(229.9*KFC!$B$33*1.02*1.25*1.1+KFC!$C$33)*KFC!$C$5</f>
        <v>322.43475000000001</v>
      </c>
      <c r="X109" s="233">
        <f>(238.1*KFC!$B$33*1.02*1.25*1.1+KFC!$C$33)*KFC!$C$5</f>
        <v>333.93525</v>
      </c>
      <c r="Y109" s="233">
        <f>(246.4*KFC!$B$33*1.02*1.25*1.1+KFC!$C$33)*KFC!$C$5</f>
        <v>345.57600000000008</v>
      </c>
      <c r="Z109" s="233">
        <f>(254.6*KFC!$B$33*1.02*1.25*1.1+KFC!$C$33)*KFC!$C$5</f>
        <v>357.07650000000007</v>
      </c>
    </row>
    <row r="110" spans="1:26" ht="15.9" customHeight="1">
      <c r="A110" s="1912"/>
      <c r="B110" s="237">
        <v>2.8</v>
      </c>
      <c r="C110" s="239">
        <f>(65.7*KFC!$B$33*1.02*1.25*1.1+KFC!$C$33)*KFC!$C$5</f>
        <v>92.144250000000028</v>
      </c>
      <c r="D110" s="233">
        <f>(74.1*KFC!$B$33*1.02*1.25*1.1+KFC!$C$33)*KFC!$C$5</f>
        <v>103.92525000000001</v>
      </c>
      <c r="E110" s="233">
        <f>(82.6*KFC!$B$33*1.02*1.25*1.1+KFC!$C$33)*KFC!$C$5</f>
        <v>115.84650000000001</v>
      </c>
      <c r="F110" s="233">
        <f>(91.1*KFC!$B$33*1.02*1.25*1.1+KFC!$C$33)*KFC!$C$5</f>
        <v>127.76775000000002</v>
      </c>
      <c r="G110" s="233">
        <f>(99.6*KFC!$B$33*1.02*1.25*1.1+KFC!$C$33)*KFC!$C$5</f>
        <v>139.68899999999999</v>
      </c>
      <c r="H110" s="233">
        <f>(108*KFC!$B$33*1.02*1.25*1.1+KFC!$C$33)*KFC!$C$5</f>
        <v>151.47</v>
      </c>
      <c r="I110" s="233">
        <f>(116.6*KFC!$B$33*1.02*1.25*1.1+KFC!$C$33)*KFC!$C$5</f>
        <v>163.53149999999999</v>
      </c>
      <c r="J110" s="233">
        <f>(125*KFC!$B$33*1.02*1.25*1.1+KFC!$C$33)*KFC!$C$5</f>
        <v>175.3125</v>
      </c>
      <c r="K110" s="233">
        <f>(133.4*KFC!$B$33*1.02*1.25*1.1+KFC!$C$33)*KFC!$C$5</f>
        <v>187.09350000000003</v>
      </c>
      <c r="L110" s="233">
        <f>(142*KFC!$B$33*1.02*1.25*1.1+KFC!$C$33)*KFC!$C$5</f>
        <v>199.15500000000003</v>
      </c>
      <c r="M110" s="233">
        <f>(150.4*KFC!$B$33*1.02*1.25*1.1+KFC!$C$33)*KFC!$C$5</f>
        <v>210.93600000000004</v>
      </c>
      <c r="N110" s="233">
        <f>(158.9*KFC!$B$33*1.02*1.25*1.1+KFC!$C$33)*KFC!$C$5</f>
        <v>222.85725000000002</v>
      </c>
      <c r="O110" s="233">
        <f>(167.3*KFC!$B$33*1.02*1.25*1.1+KFC!$C$33)*KFC!$C$5</f>
        <v>234.63825000000003</v>
      </c>
      <c r="P110" s="233">
        <f>(175.9*KFC!$B$33*1.02*1.25*1.1+KFC!$C$33)*KFC!$C$5</f>
        <v>246.69975000000002</v>
      </c>
      <c r="Q110" s="233">
        <f>(184.3*KFC!$B$33*1.02*1.25*1.1+KFC!$C$33)*KFC!$C$5</f>
        <v>258.48075000000006</v>
      </c>
      <c r="R110" s="233">
        <f>(192.7*KFC!$B$33*1.02*1.25*1.1+KFC!$C$33)*KFC!$C$5</f>
        <v>270.26175000000001</v>
      </c>
      <c r="S110" s="233">
        <f>(201.3*KFC!$B$33*1.02*1.25*1.1+KFC!$C$33)*KFC!$C$5</f>
        <v>282.32325000000003</v>
      </c>
      <c r="T110" s="233">
        <f>(209.7*KFC!$B$33*1.02*1.25*1.1+KFC!$C$33)*KFC!$C$5</f>
        <v>294.10425000000004</v>
      </c>
      <c r="U110" s="233">
        <f>(218.2*KFC!$B$33*1.02*1.25*1.1+KFC!$C$33)*KFC!$C$5</f>
        <v>306.02550000000002</v>
      </c>
      <c r="V110" s="233">
        <f>(226.7*KFC!$B$33*1.02*1.25*1.1+KFC!$C$33)*KFC!$C$5</f>
        <v>317.94675000000001</v>
      </c>
      <c r="W110" s="233">
        <f>(235.2*KFC!$B$33*1.02*1.25*1.1+KFC!$C$33)*KFC!$C$5</f>
        <v>329.86799999999999</v>
      </c>
      <c r="X110" s="233">
        <f>(243.6*KFC!$B$33*1.02*1.25*1.1+KFC!$C$33)*KFC!$C$5</f>
        <v>341.64900000000006</v>
      </c>
      <c r="Y110" s="233">
        <f>(252.1*KFC!$B$33*1.02*1.25*1.1+KFC!$C$33)*KFC!$C$5</f>
        <v>353.57025000000004</v>
      </c>
      <c r="Z110" s="233">
        <f>(260.6*KFC!$B$33*1.02*1.25*1.1+KFC!$C$33)*KFC!$C$5</f>
        <v>365.49150000000003</v>
      </c>
    </row>
    <row r="111" spans="1:26" ht="15.9" customHeight="1">
      <c r="A111" s="1912"/>
      <c r="B111" s="237">
        <v>2.9</v>
      </c>
      <c r="C111" s="239">
        <f>(66.8*KFC!$B$33*1.02*1.25*1.1+KFC!$C$33)*KFC!$C$5</f>
        <v>93.686999999999998</v>
      </c>
      <c r="D111" s="233">
        <f>(75.5*KFC!$B$33*1.02*1.25*1.1+KFC!$C$33)*KFC!$C$5</f>
        <v>105.88875000000002</v>
      </c>
      <c r="E111" s="233">
        <f>(84.1*KFC!$B$33*1.02*1.25*1.1+KFC!$C$33)*KFC!$C$5</f>
        <v>117.95025</v>
      </c>
      <c r="F111" s="233">
        <f>(92.8*KFC!$B$33*1.02*1.25*1.1+KFC!$C$33)*KFC!$C$5</f>
        <v>130.15200000000002</v>
      </c>
      <c r="G111" s="233">
        <f>(101.5*KFC!$B$33*1.02*1.25*1.1+KFC!$C$33)*KFC!$C$5</f>
        <v>142.35375000000002</v>
      </c>
      <c r="H111" s="233">
        <f>(110.2*KFC!$B$33*1.02*1.25*1.1+KFC!$C$33)*KFC!$C$5</f>
        <v>154.55550000000005</v>
      </c>
      <c r="I111" s="233">
        <f>(118.9*KFC!$B$33*1.02*1.25*1.1+KFC!$C$33)*KFC!$C$5</f>
        <v>166.75725</v>
      </c>
      <c r="J111" s="233">
        <f>(127.6*KFC!$B$33*1.02*1.25*1.1+KFC!$C$33)*KFC!$C$5</f>
        <v>178.959</v>
      </c>
      <c r="K111" s="233">
        <f>(136.2*KFC!$B$33*1.02*1.25*1.1+KFC!$C$33)*KFC!$C$5</f>
        <v>191.0205</v>
      </c>
      <c r="L111" s="233">
        <f>(144.9*KFC!$B$33*1.02*1.25*1.1+KFC!$C$33)*KFC!$C$5</f>
        <v>203.22225000000003</v>
      </c>
      <c r="M111" s="233">
        <f>(153.6*KFC!$B$33*1.02*1.25*1.1+KFC!$C$33)*KFC!$C$5</f>
        <v>215.42400000000004</v>
      </c>
      <c r="N111" s="233">
        <f>(162.3*KFC!$B$33*1.02*1.25*1.1+KFC!$C$33)*KFC!$C$5</f>
        <v>227.62575000000007</v>
      </c>
      <c r="O111" s="233">
        <f>(171*KFC!$B$33*1.02*1.25*1.1+KFC!$C$33)*KFC!$C$5</f>
        <v>239.82750000000004</v>
      </c>
      <c r="P111" s="233">
        <f>(179.7*KFC!$B$33*1.02*1.25*1.1+KFC!$C$33)*KFC!$C$5</f>
        <v>252.02924999999999</v>
      </c>
      <c r="Q111" s="233">
        <f>(188.3*KFC!$B$33*1.02*1.25*1.1+KFC!$C$33)*KFC!$C$5</f>
        <v>264.09075000000001</v>
      </c>
      <c r="R111" s="233">
        <f>(197*KFC!$B$33*1.02*1.25*1.1+KFC!$C$33)*KFC!$C$5</f>
        <v>276.29250000000002</v>
      </c>
      <c r="S111" s="233">
        <f>(205.7*KFC!$B$33*1.02*1.25*1.1+KFC!$C$33)*KFC!$C$5</f>
        <v>288.49425000000002</v>
      </c>
      <c r="T111" s="233">
        <f>(214.4*KFC!$B$33*1.02*1.25*1.1+KFC!$C$33)*KFC!$C$5</f>
        <v>300.69600000000003</v>
      </c>
      <c r="U111" s="233">
        <f>(223.1*KFC!$B$33*1.02*1.25*1.1+KFC!$C$33)*KFC!$C$5</f>
        <v>312.89775000000003</v>
      </c>
      <c r="V111" s="233">
        <f>(231.8*KFC!$B$33*1.02*1.25*1.1+KFC!$C$33)*KFC!$C$5</f>
        <v>325.09950000000003</v>
      </c>
      <c r="W111" s="233">
        <f>(240.4*KFC!$B$33*1.02*1.25*1.1+KFC!$C$33)*KFC!$C$5</f>
        <v>337.161</v>
      </c>
      <c r="X111" s="233">
        <f>(249.1*KFC!$B$33*1.02*1.25*1.1+KFC!$C$33)*KFC!$C$5</f>
        <v>349.36275000000001</v>
      </c>
      <c r="Y111" s="233">
        <f>(257.8*KFC!$B$33*1.02*1.25*1.1+KFC!$C$33)*KFC!$C$5</f>
        <v>361.56450000000007</v>
      </c>
      <c r="Z111" s="233">
        <f>(266.5*KFC!$B$33*1.02*1.25*1.1+KFC!$C$33)*KFC!$C$5</f>
        <v>373.76625000000001</v>
      </c>
    </row>
    <row r="112" spans="1:26" ht="15.9" customHeight="1">
      <c r="A112" s="1912"/>
      <c r="B112" s="237">
        <v>3</v>
      </c>
      <c r="C112" s="239">
        <f>(68*KFC!$B$33*1.02*1.25*1.1+KFC!$C$33)*KFC!$C$5</f>
        <v>95.37</v>
      </c>
      <c r="D112" s="233">
        <f>(76.8*KFC!$B$33*1.02*1.25*1.1+KFC!$C$33)*KFC!$C$5</f>
        <v>107.71200000000002</v>
      </c>
      <c r="E112" s="233">
        <f>(85.7*KFC!$B$33*1.02*1.25*1.1+KFC!$C$33)*KFC!$C$5</f>
        <v>120.19425000000001</v>
      </c>
      <c r="F112" s="233">
        <f>(94.7*KFC!$B$33*1.02*1.25*1.1+KFC!$C$33)*KFC!$C$5</f>
        <v>132.81675000000001</v>
      </c>
      <c r="G112" s="233">
        <f>(103.5*KFC!$B$33*1.02*1.25*1.1+KFC!$C$33)*KFC!$C$5</f>
        <v>145.15875000000003</v>
      </c>
      <c r="H112" s="233">
        <f>(112.4*KFC!$B$33*1.02*1.25*1.1+KFC!$C$33)*KFC!$C$5</f>
        <v>157.64100000000002</v>
      </c>
      <c r="I112" s="233">
        <f>(121.3*KFC!$B$33*1.02*1.25*1.1+KFC!$C$33)*KFC!$C$5</f>
        <v>170.12325000000001</v>
      </c>
      <c r="J112" s="233">
        <f>(130.1*KFC!$B$33*1.02*1.25*1.1+KFC!$C$33)*KFC!$C$5</f>
        <v>182.46525000000003</v>
      </c>
      <c r="K112" s="233">
        <f>(139.1*KFC!$B$33*1.02*1.25*1.1+KFC!$C$33)*KFC!$C$5</f>
        <v>195.08775000000003</v>
      </c>
      <c r="L112" s="233">
        <f>(148*KFC!$B$33*1.02*1.25*1.1+KFC!$C$33)*KFC!$C$5</f>
        <v>207.57000000000002</v>
      </c>
      <c r="M112" s="233">
        <f>(156.9*KFC!$B$33*1.02*1.25*1.1+KFC!$C$33)*KFC!$C$5</f>
        <v>220.05225000000004</v>
      </c>
      <c r="N112" s="233">
        <f>(165.7*KFC!$B$33*1.02*1.25*1.1+KFC!$C$33)*KFC!$C$5</f>
        <v>232.39425</v>
      </c>
      <c r="O112" s="233">
        <f>(174.6*KFC!$B$33*1.02*1.25*1.1+KFC!$C$33)*KFC!$C$5</f>
        <v>244.87649999999999</v>
      </c>
      <c r="P112" s="233">
        <f>(183.6*KFC!$B$33*1.02*1.25*1.1+KFC!$C$33)*KFC!$C$5</f>
        <v>257.49899999999997</v>
      </c>
      <c r="Q112" s="233">
        <f>(192.4*KFC!$B$33*1.02*1.25*1.1+KFC!$C$33)*KFC!$C$5</f>
        <v>269.84100000000007</v>
      </c>
      <c r="R112" s="233">
        <f>(201.3*KFC!$B$33*1.02*1.25*1.1+KFC!$C$33)*KFC!$C$5</f>
        <v>282.32325000000003</v>
      </c>
      <c r="S112" s="233">
        <f>(210.2*KFC!$B$33*1.02*1.25*1.1+KFC!$C$33)*KFC!$C$5</f>
        <v>294.80549999999999</v>
      </c>
      <c r="T112" s="233">
        <f>(219*KFC!$B$33*1.02*1.25*1.1+KFC!$C$33)*KFC!$C$5</f>
        <v>307.14750000000004</v>
      </c>
      <c r="U112" s="233">
        <f>(228*KFC!$B$33*1.02*1.25*1.1+KFC!$C$33)*KFC!$C$5</f>
        <v>319.77000000000004</v>
      </c>
      <c r="V112" s="233">
        <f>(236.9*KFC!$B$33*1.02*1.25*1.1+KFC!$C$33)*KFC!$C$5</f>
        <v>332.25225000000006</v>
      </c>
      <c r="W112" s="233">
        <f>(245.7*KFC!$B$33*1.02*1.25*1.1+KFC!$C$33)*KFC!$C$5</f>
        <v>344.59424999999999</v>
      </c>
      <c r="X112" s="233">
        <f>(254.6*KFC!$B$33*1.02*1.25*1.1+KFC!$C$33)*KFC!$C$5</f>
        <v>357.07650000000007</v>
      </c>
      <c r="Y112" s="233">
        <f>(263.6*KFC!$B$33*1.02*1.25*1.1+KFC!$C$33)*KFC!$C$5</f>
        <v>369.69900000000007</v>
      </c>
      <c r="Z112" s="233">
        <f>(272.4*KFC!$B$33*1.02*1.25*1.1+KFC!$C$33)*KFC!$C$5</f>
        <v>382.041</v>
      </c>
    </row>
    <row r="113" spans="1:26" ht="15.9" customHeight="1">
      <c r="A113" s="1912"/>
      <c r="B113" s="237">
        <v>3.1</v>
      </c>
      <c r="C113" s="239">
        <f>(69.1*KFC!$B$33*1.02*1.25*1.1+KFC!$C$33)*KFC!$C$5</f>
        <v>96.912750000000003</v>
      </c>
      <c r="D113" s="233">
        <f>(78.3*KFC!$B$33*1.02*1.25*1.1+KFC!$C$33)*KFC!$C$5</f>
        <v>109.81575000000001</v>
      </c>
      <c r="E113" s="233">
        <f>(87.3*KFC!$B$33*1.02*1.25*1.1+KFC!$C$33)*KFC!$C$5</f>
        <v>122.43825</v>
      </c>
      <c r="F113" s="233">
        <f>(96.4*KFC!$B$33*1.02*1.25*1.1+KFC!$C$33)*KFC!$C$5</f>
        <v>135.20099999999999</v>
      </c>
      <c r="G113" s="233">
        <f>(105.5*KFC!$B$33*1.02*1.25*1.1+KFC!$C$33)*KFC!$C$5</f>
        <v>147.96375</v>
      </c>
      <c r="H113" s="233">
        <f>(114.6*KFC!$B$33*1.02*1.25*1.1+KFC!$C$33)*KFC!$C$5</f>
        <v>160.72650000000002</v>
      </c>
      <c r="I113" s="233">
        <f>(123.6*KFC!$B$33*1.02*1.25*1.1+KFC!$C$33)*KFC!$C$5</f>
        <v>173.34900000000002</v>
      </c>
      <c r="J113" s="233">
        <f>(132.8*KFC!$B$33*1.02*1.25*1.1+KFC!$C$33)*KFC!$C$5</f>
        <v>186.25200000000004</v>
      </c>
      <c r="K113" s="233">
        <f>(141.9*KFC!$B$33*1.02*1.25*1.1+KFC!$C$33)*KFC!$C$5</f>
        <v>199.01475000000002</v>
      </c>
      <c r="L113" s="233">
        <f>(150.9*KFC!$B$33*1.02*1.25*1.1+KFC!$C$33)*KFC!$C$5</f>
        <v>211.63725000000002</v>
      </c>
      <c r="M113" s="233">
        <f>(160.1*KFC!$B$33*1.02*1.25*1.1+KFC!$C$33)*KFC!$C$5</f>
        <v>224.54025000000001</v>
      </c>
      <c r="N113" s="233">
        <f>(169.1*KFC!$B$33*1.02*1.25*1.1+KFC!$C$33)*KFC!$C$5</f>
        <v>237.16275000000002</v>
      </c>
      <c r="O113" s="233">
        <f>(178.3*KFC!$B$33*1.02*1.25*1.1+KFC!$C$33)*KFC!$C$5</f>
        <v>250.06575000000004</v>
      </c>
      <c r="P113" s="233">
        <f>(187.4*KFC!$B$33*1.02*1.25*1.1+KFC!$C$33)*KFC!$C$5</f>
        <v>262.82850000000002</v>
      </c>
      <c r="Q113" s="233">
        <f>(196.4*KFC!$B$33*1.02*1.25*1.1+KFC!$C$33)*KFC!$C$5</f>
        <v>275.45100000000002</v>
      </c>
      <c r="R113" s="233">
        <f>(205.6*KFC!$B$33*1.02*1.25*1.1+KFC!$C$33)*KFC!$C$5</f>
        <v>288.35399999999998</v>
      </c>
      <c r="S113" s="233">
        <f>(214.6*KFC!$B$33*1.02*1.25*1.1+KFC!$C$33)*KFC!$C$5</f>
        <v>300.97650000000004</v>
      </c>
      <c r="T113" s="233">
        <f>(223.7*KFC!$B$33*1.02*1.25*1.1+KFC!$C$33)*KFC!$C$5</f>
        <v>313.73924999999997</v>
      </c>
      <c r="U113" s="233">
        <f>(232.9*KFC!$B$33*1.02*1.25*1.1+KFC!$C$33)*KFC!$C$5</f>
        <v>326.6422500000001</v>
      </c>
      <c r="V113" s="233">
        <f>(241.9*KFC!$B$33*1.02*1.25*1.1+KFC!$C$33)*KFC!$C$5</f>
        <v>339.26475000000005</v>
      </c>
      <c r="W113" s="233">
        <f>(251.1*KFC!$B$33*1.02*1.25*1.1+KFC!$C$33)*KFC!$C$5</f>
        <v>352.16775000000007</v>
      </c>
      <c r="X113" s="233">
        <f>(260.1*KFC!$B$33*1.02*1.25*1.1+KFC!$C$33)*KFC!$C$5</f>
        <v>364.79025000000007</v>
      </c>
      <c r="Y113" s="233">
        <f>(269.2*KFC!$B$33*1.02*1.25*1.1+KFC!$C$33)*KFC!$C$5</f>
        <v>377.55300000000005</v>
      </c>
      <c r="Z113" s="233">
        <f>(278.4*KFC!$B$33*1.02*1.25*1.1+KFC!$C$33)*KFC!$C$5</f>
        <v>390.45599999999996</v>
      </c>
    </row>
    <row r="114" spans="1:26" ht="15.9" customHeight="1">
      <c r="A114" s="1912"/>
      <c r="B114" s="237">
        <v>3.2</v>
      </c>
      <c r="C114" s="239">
        <f>(70.3*KFC!$B$33*1.02*1.25*1.1+KFC!$C$33)*KFC!$C$5</f>
        <v>98.59575000000001</v>
      </c>
      <c r="D114" s="233">
        <f>(79.6*KFC!$B$33*1.02*1.25*1.1+KFC!$C$33)*KFC!$C$5</f>
        <v>111.63900000000001</v>
      </c>
      <c r="E114" s="233">
        <f>(88.9*KFC!$B$33*1.02*1.25*1.1+KFC!$C$33)*KFC!$C$5</f>
        <v>124.68225000000002</v>
      </c>
      <c r="F114" s="233">
        <f>(98.2*KFC!$B$33*1.02*1.25*1.1+KFC!$C$33)*KFC!$C$5</f>
        <v>137.72550000000001</v>
      </c>
      <c r="G114" s="233">
        <f>(107.5*KFC!$B$33*1.02*1.25*1.1+KFC!$C$33)*KFC!$C$5</f>
        <v>150.76875000000001</v>
      </c>
      <c r="H114" s="233">
        <f>(116.8*KFC!$B$33*1.02*1.25*1.1+KFC!$C$33)*KFC!$C$5</f>
        <v>163.81200000000001</v>
      </c>
      <c r="I114" s="233">
        <f>(126.1*KFC!$B$33*1.02*1.25*1.1+KFC!$C$33)*KFC!$C$5</f>
        <v>176.85524999999998</v>
      </c>
      <c r="J114" s="233">
        <f>(135.4*KFC!$B$33*1.02*1.25*1.1+KFC!$C$33)*KFC!$C$5</f>
        <v>189.89850000000001</v>
      </c>
      <c r="K114" s="233">
        <f>(144.7*KFC!$B$33*1.02*1.25*1.1+KFC!$C$33)*KFC!$C$5</f>
        <v>202.94175000000001</v>
      </c>
      <c r="L114" s="233">
        <f>(154*KFC!$B$33*1.02*1.25*1.1+KFC!$C$33)*KFC!$C$5</f>
        <v>215.98500000000004</v>
      </c>
      <c r="M114" s="233">
        <f>(163.3*KFC!$B$33*1.02*1.25*1.1+KFC!$C$33)*KFC!$C$5</f>
        <v>229.02825000000004</v>
      </c>
      <c r="N114" s="233">
        <f>(172.6*KFC!$B$33*1.02*1.25*1.1+KFC!$C$33)*KFC!$C$5</f>
        <v>242.07150000000001</v>
      </c>
      <c r="O114" s="233">
        <f>(181.9*KFC!$B$33*1.02*1.25*1.1+KFC!$C$33)*KFC!$C$5</f>
        <v>255.11475000000004</v>
      </c>
      <c r="P114" s="233">
        <f>(191.2*KFC!$B$33*1.02*1.25*1.1+KFC!$C$33)*KFC!$C$5</f>
        <v>268.15800000000002</v>
      </c>
      <c r="Q114" s="233">
        <f>(200.4*KFC!$B$33*1.02*1.25*1.1+KFC!$C$33)*KFC!$C$5</f>
        <v>281.06100000000004</v>
      </c>
      <c r="R114" s="233">
        <f>(209.7*KFC!$B$33*1.02*1.25*1.1+KFC!$C$33)*KFC!$C$5</f>
        <v>294.10425000000004</v>
      </c>
      <c r="S114" s="233">
        <f>(219.2*KFC!$B$33*1.02*1.25*1.1+KFC!$C$33)*KFC!$C$5</f>
        <v>307.42800000000005</v>
      </c>
      <c r="T114" s="233">
        <f>(228.5*KFC!$B$33*1.02*1.25*1.1+KFC!$C$33)*KFC!$C$5</f>
        <v>320.47125</v>
      </c>
      <c r="U114" s="233">
        <f>(237.8*KFC!$B$33*1.02*1.25*1.1+KFC!$C$33)*KFC!$C$5</f>
        <v>333.5145</v>
      </c>
      <c r="V114" s="233">
        <f>(247*KFC!$B$33*1.02*1.25*1.1+KFC!$C$33)*KFC!$C$5</f>
        <v>346.41750000000002</v>
      </c>
      <c r="W114" s="233">
        <f>(256.3*KFC!$B$33*1.02*1.25*1.1+KFC!$C$33)*KFC!$C$5</f>
        <v>359.46075000000008</v>
      </c>
      <c r="X114" s="233">
        <f>(265.6*KFC!$B$33*1.02*1.25*1.1+KFC!$C$33)*KFC!$C$5</f>
        <v>372.50400000000008</v>
      </c>
      <c r="Y114" s="233">
        <f>(274.9*KFC!$B$33*1.02*1.25*1.1+KFC!$C$33)*KFC!$C$5</f>
        <v>385.54724999999996</v>
      </c>
      <c r="Z114" s="233">
        <f>(284.2*KFC!$B$33*1.02*1.25*1.1+KFC!$C$33)*KFC!$C$5</f>
        <v>398.59050000000008</v>
      </c>
    </row>
    <row r="115" spans="1:26" ht="15.9" customHeight="1">
      <c r="A115" s="1912"/>
      <c r="B115" s="237">
        <v>3.3</v>
      </c>
      <c r="C115" s="239">
        <f>(71.4*KFC!$B$33*1.02*1.25*1.1+KFC!$C$33)*KFC!$C$5</f>
        <v>100.13850000000001</v>
      </c>
      <c r="D115" s="233">
        <f>(81*KFC!$B$33*1.02*1.25*1.1+KFC!$C$33)*KFC!$C$5</f>
        <v>113.60250000000002</v>
      </c>
      <c r="E115" s="233">
        <f>(90.5*KFC!$B$33*1.02*1.25*1.1+KFC!$C$33)*KFC!$C$5</f>
        <v>126.92625000000001</v>
      </c>
      <c r="F115" s="233">
        <f>(99.9*KFC!$B$33*1.02*1.25*1.1+KFC!$C$33)*KFC!$C$5</f>
        <v>140.10975000000002</v>
      </c>
      <c r="G115" s="233">
        <f>(109.5*KFC!$B$33*1.02*1.25*1.1+KFC!$C$33)*KFC!$C$5</f>
        <v>153.57375000000002</v>
      </c>
      <c r="H115" s="233">
        <f>(119*KFC!$B$33*1.02*1.25*1.1+KFC!$C$33)*KFC!$C$5</f>
        <v>166.89750000000001</v>
      </c>
      <c r="I115" s="233">
        <f>(128.5*KFC!$B$33*1.02*1.25*1.1+KFC!$C$33)*KFC!$C$5</f>
        <v>180.22125</v>
      </c>
      <c r="J115" s="233">
        <f>(138*KFC!$B$33*1.02*1.25*1.1+KFC!$C$33)*KFC!$C$5</f>
        <v>193.54500000000002</v>
      </c>
      <c r="K115" s="233">
        <f>(147.5*KFC!$B$33*1.02*1.25*1.1+KFC!$C$33)*KFC!$C$5</f>
        <v>206.86875000000001</v>
      </c>
      <c r="L115" s="233">
        <f>(157*KFC!$B$33*1.02*1.25*1.1+KFC!$C$33)*KFC!$C$5</f>
        <v>220.19250000000002</v>
      </c>
      <c r="M115" s="233">
        <f>(166.6*KFC!$B$33*1.02*1.25*1.1+KFC!$C$33)*KFC!$C$5</f>
        <v>233.65650000000002</v>
      </c>
      <c r="N115" s="233">
        <f>(176*KFC!$B$33*1.02*1.25*1.1+KFC!$C$33)*KFC!$C$5</f>
        <v>246.84000000000003</v>
      </c>
      <c r="O115" s="233">
        <f>(185.5*KFC!$B$33*1.02*1.25*1.1+KFC!$C$33)*KFC!$C$5</f>
        <v>260.16375000000005</v>
      </c>
      <c r="P115" s="233">
        <f>(195.1*KFC!$B$33*1.02*1.25*1.1+KFC!$C$33)*KFC!$C$5</f>
        <v>273.62774999999999</v>
      </c>
      <c r="Q115" s="233">
        <f>(204.6*KFC!$B$33*1.02*1.25*1.1+KFC!$C$33)*KFC!$C$5</f>
        <v>286.95150000000001</v>
      </c>
      <c r="R115" s="233">
        <f>(214*KFC!$B$33*1.02*1.25*1.1+KFC!$C$33)*KFC!$C$5</f>
        <v>300.13500000000005</v>
      </c>
      <c r="S115" s="233">
        <f>(223.6*KFC!$B$33*1.02*1.25*1.1+KFC!$C$33)*KFC!$C$5</f>
        <v>313.59900000000005</v>
      </c>
      <c r="T115" s="233">
        <f>(233.1*KFC!$B$33*1.02*1.25*1.1+KFC!$C$33)*KFC!$C$5</f>
        <v>326.92275000000001</v>
      </c>
      <c r="U115" s="233">
        <f>(242.6*KFC!$B$33*1.02*1.25*1.1+KFC!$C$33)*KFC!$C$5</f>
        <v>340.24650000000003</v>
      </c>
      <c r="V115" s="233">
        <f>(252.1*KFC!$B$33*1.02*1.25*1.1+KFC!$C$33)*KFC!$C$5</f>
        <v>353.57025000000004</v>
      </c>
      <c r="W115" s="233">
        <f>(261.6*KFC!$B$33*1.02*1.25*1.1+KFC!$C$33)*KFC!$C$5</f>
        <v>366.89400000000012</v>
      </c>
      <c r="X115" s="233">
        <f>(271.1*KFC!$B$33*1.02*1.25*1.1+KFC!$C$33)*KFC!$C$5</f>
        <v>380.21775000000008</v>
      </c>
      <c r="Y115" s="233">
        <f>(280.7*KFC!$B$33*1.02*1.25*1.1+KFC!$C$33)*KFC!$C$5</f>
        <v>393.68175000000008</v>
      </c>
      <c r="Z115" s="233">
        <f>(290.1*KFC!$B$33*1.02*1.25*1.1+KFC!$C$33)*KFC!$C$5</f>
        <v>406.86525000000012</v>
      </c>
    </row>
    <row r="116" spans="1:26" ht="15.9" customHeight="1">
      <c r="A116" s="1912"/>
      <c r="B116" s="237">
        <v>3.4</v>
      </c>
      <c r="C116" s="239">
        <f>(72.5*KFC!$B$33*1.02*1.25*1.1+KFC!$C$33)*KFC!$C$5</f>
        <v>101.68125000000001</v>
      </c>
      <c r="D116" s="233">
        <f>(82.3*KFC!$B$33*1.02*1.25*1.1+KFC!$C$33)*KFC!$C$5</f>
        <v>115.42575000000001</v>
      </c>
      <c r="E116" s="233">
        <f>(92*KFC!$B$33*1.02*1.25*1.1+KFC!$C$33)*KFC!$C$5</f>
        <v>129.03000000000003</v>
      </c>
      <c r="F116" s="233">
        <f>(101.8*KFC!$B$33*1.02*1.25*1.1+KFC!$C$33)*KFC!$C$5</f>
        <v>142.77449999999999</v>
      </c>
      <c r="G116" s="233">
        <f>(111.4*KFC!$B$33*1.02*1.25*1.1+KFC!$C$33)*KFC!$C$5</f>
        <v>156.23850000000004</v>
      </c>
      <c r="H116" s="233">
        <f>(121.2*KFC!$B$33*1.02*1.25*1.1+KFC!$C$33)*KFC!$C$5</f>
        <v>169.983</v>
      </c>
      <c r="I116" s="233">
        <f>(130.9*KFC!$B$33*1.02*1.25*1.1+KFC!$C$33)*KFC!$C$5</f>
        <v>183.58725000000001</v>
      </c>
      <c r="J116" s="233">
        <f>(140.6*KFC!$B$33*1.02*1.25*1.1+KFC!$C$33)*KFC!$C$5</f>
        <v>197.19150000000002</v>
      </c>
      <c r="K116" s="233">
        <f>(150.3*KFC!$B$33*1.02*1.25*1.1+KFC!$C$33)*KFC!$C$5</f>
        <v>210.79575000000003</v>
      </c>
      <c r="L116" s="233">
        <f>(160*KFC!$B$33*1.02*1.25*1.1+KFC!$C$33)*KFC!$C$5</f>
        <v>224.4</v>
      </c>
      <c r="M116" s="233">
        <f>(169.8*KFC!$B$33*1.02*1.25*1.1+KFC!$C$33)*KFC!$C$5</f>
        <v>238.14450000000005</v>
      </c>
      <c r="N116" s="233">
        <f>(179.4*KFC!$B$33*1.02*1.25*1.1+KFC!$C$33)*KFC!$C$5</f>
        <v>251.60850000000005</v>
      </c>
      <c r="O116" s="233">
        <f>(189.2*KFC!$B$33*1.02*1.25*1.1+KFC!$C$33)*KFC!$C$5</f>
        <v>265.35299999999995</v>
      </c>
      <c r="P116" s="233">
        <f>(198.9*KFC!$B$33*1.02*1.25*1.1+KFC!$C$33)*KFC!$C$5</f>
        <v>278.95725000000004</v>
      </c>
      <c r="Q116" s="233">
        <f>(208.6*KFC!$B$33*1.02*1.25*1.1+KFC!$C$33)*KFC!$C$5</f>
        <v>292.56150000000002</v>
      </c>
      <c r="R116" s="233">
        <f>(218.3*KFC!$B$33*1.02*1.25*1.1+KFC!$C$33)*KFC!$C$5</f>
        <v>306.16575000000006</v>
      </c>
      <c r="S116" s="233">
        <f>(228*KFC!$B$33*1.02*1.25*1.1+KFC!$C$33)*KFC!$C$5</f>
        <v>319.77000000000004</v>
      </c>
      <c r="T116" s="233">
        <f>(237.8*KFC!$B$33*1.02*1.25*1.1+KFC!$C$33)*KFC!$C$5</f>
        <v>333.5145</v>
      </c>
      <c r="U116" s="233">
        <f>(247.4*KFC!$B$33*1.02*1.25*1.1+KFC!$C$33)*KFC!$C$5</f>
        <v>346.97850000000005</v>
      </c>
      <c r="V116" s="233">
        <f>(257.2*KFC!$B$33*1.02*1.25*1.1+KFC!$C$33)*KFC!$C$5</f>
        <v>360.72300000000001</v>
      </c>
      <c r="W116" s="233">
        <f>(266.9*KFC!$B$33*1.02*1.25*1.1+KFC!$C$33)*KFC!$C$5</f>
        <v>374.32725000000005</v>
      </c>
      <c r="X116" s="233">
        <f>(276.6*KFC!$B$33*1.02*1.25*1.1+KFC!$C$33)*KFC!$C$5</f>
        <v>387.93150000000003</v>
      </c>
      <c r="Y116" s="233">
        <f>(286.3*KFC!$B$33*1.02*1.25*1.1+KFC!$C$33)*KFC!$C$5</f>
        <v>401.53575000000006</v>
      </c>
      <c r="Z116" s="233">
        <f>(296.1*KFC!$B$33*1.02*1.25*1.1+KFC!$C$33)*KFC!$C$5</f>
        <v>415.28025000000008</v>
      </c>
    </row>
    <row r="117" spans="1:26" ht="15.9" customHeight="1">
      <c r="A117" s="1912"/>
      <c r="B117" s="237">
        <v>3.5</v>
      </c>
      <c r="C117" s="239">
        <f>(73.7*KFC!$B$33*1.02*1.25*1.1+KFC!$C$33)*KFC!$C$5</f>
        <v>103.36425000000001</v>
      </c>
      <c r="D117" s="233">
        <f>(83.7*KFC!$B$33*1.02*1.25*1.1+KFC!$C$33)*KFC!$C$5</f>
        <v>117.38925000000003</v>
      </c>
      <c r="E117" s="233">
        <f>(93.6*KFC!$B$33*1.02*1.25*1.1+KFC!$C$33)*KFC!$C$5</f>
        <v>131.274</v>
      </c>
      <c r="F117" s="233">
        <f>(103.5*KFC!$B$33*1.02*1.25*1.1+KFC!$C$33)*KFC!$C$5</f>
        <v>145.15875000000003</v>
      </c>
      <c r="G117" s="233">
        <f>(113.4*KFC!$B$33*1.02*1.25*1.1+KFC!$C$33)*KFC!$C$5</f>
        <v>159.04350000000002</v>
      </c>
      <c r="H117" s="233">
        <f>(123.4*KFC!$B$33*1.02*1.25*1.1+KFC!$C$33)*KFC!$C$5</f>
        <v>173.06850000000003</v>
      </c>
      <c r="I117" s="233">
        <f>(133.3*KFC!$B$33*1.02*1.25*1.1+KFC!$C$33)*KFC!$C$5</f>
        <v>186.95325000000003</v>
      </c>
      <c r="J117" s="233">
        <f>(143.2*KFC!$B$33*1.02*1.25*1.1+KFC!$C$33)*KFC!$C$5</f>
        <v>200.83799999999999</v>
      </c>
      <c r="K117" s="233">
        <f>(153.1*KFC!$B$33*1.02*1.25*1.1+KFC!$C$33)*KFC!$C$5</f>
        <v>214.72275000000005</v>
      </c>
      <c r="L117" s="233">
        <f>(163*KFC!$B$33*1.02*1.25*1.1+KFC!$C$33)*KFC!$C$5</f>
        <v>228.60750000000002</v>
      </c>
      <c r="M117" s="233">
        <f>(172.9*KFC!$B$33*1.02*1.25*1.1+KFC!$C$33)*KFC!$C$5</f>
        <v>242.49225000000001</v>
      </c>
      <c r="N117" s="233">
        <f>(182.8*KFC!$B$33*1.02*1.25*1.1+KFC!$C$33)*KFC!$C$5</f>
        <v>256.37700000000007</v>
      </c>
      <c r="O117" s="233">
        <f>(192.7*KFC!$B$33*1.02*1.25*1.1+KFC!$C$33)*KFC!$C$5</f>
        <v>270.26175000000001</v>
      </c>
      <c r="P117" s="233">
        <f>(202.8*KFC!$B$33*1.02*1.25*1.1+KFC!$C$33)*KFC!$C$5</f>
        <v>284.42700000000008</v>
      </c>
      <c r="Q117" s="233">
        <f>(212.7*KFC!$B$33*1.02*1.25*1.1+KFC!$C$33)*KFC!$C$5</f>
        <v>298.31175000000002</v>
      </c>
      <c r="R117" s="233">
        <f>(222.6*KFC!$B$33*1.02*1.25*1.1+KFC!$C$33)*KFC!$C$5</f>
        <v>312.19650000000001</v>
      </c>
      <c r="S117" s="233">
        <f>(232.5*KFC!$B$33*1.02*1.25*1.1+KFC!$C$33)*KFC!$C$5</f>
        <v>326.08125000000001</v>
      </c>
      <c r="T117" s="233">
        <f>(242.4*KFC!$B$33*1.02*1.25*1.1+KFC!$C$33)*KFC!$C$5</f>
        <v>339.96600000000001</v>
      </c>
      <c r="U117" s="233">
        <f>(252.3*KFC!$B$33*1.02*1.25*1.1+KFC!$C$33)*KFC!$C$5</f>
        <v>353.85075000000006</v>
      </c>
      <c r="V117" s="233">
        <f>(262.2*KFC!$B$33*1.02*1.25*1.1+KFC!$C$33)*KFC!$C$5</f>
        <v>367.73550000000006</v>
      </c>
      <c r="W117" s="233">
        <f>(272.1*KFC!$B$33*1.02*1.25*1.1+KFC!$C$33)*KFC!$C$5</f>
        <v>381.62025000000006</v>
      </c>
      <c r="X117" s="233">
        <f>(282.1*KFC!$B$33*1.02*1.25*1.1+KFC!$C$33)*KFC!$C$5</f>
        <v>395.64525000000003</v>
      </c>
      <c r="Y117" s="233">
        <f>(292.1*KFC!$B$33*1.02*1.25*1.1+KFC!$C$33)*KFC!$C$5</f>
        <v>409.67025000000007</v>
      </c>
      <c r="Z117" s="233">
        <f>(302*KFC!$B$33*1.02*1.25*1.1+KFC!$C$33)*KFC!$C$5</f>
        <v>423.55500000000006</v>
      </c>
    </row>
    <row r="118" spans="1:26" ht="15.9" customHeight="1">
      <c r="A118" s="1912"/>
      <c r="B118" s="237">
        <v>3.6</v>
      </c>
      <c r="C118" s="239">
        <f>(74.8*KFC!$B$33*1.02*1.25*1.1+KFC!$C$33)*KFC!$C$5</f>
        <v>104.907</v>
      </c>
      <c r="D118" s="233">
        <f>(85*KFC!$B$33*1.02*1.25*1.1+KFC!$C$33)*KFC!$C$5</f>
        <v>119.21250000000001</v>
      </c>
      <c r="E118" s="233">
        <f>(95.1*KFC!$B$33*1.02*1.25*1.1+KFC!$C$33)*KFC!$C$5</f>
        <v>133.37775000000002</v>
      </c>
      <c r="F118" s="233">
        <f>(105.3*KFC!$B$33*1.02*1.25*1.1+KFC!$C$33)*KFC!$C$5</f>
        <v>147.68325000000002</v>
      </c>
      <c r="G118" s="233">
        <f>(115.5*KFC!$B$33*1.02*1.25*1.1+KFC!$C$33)*KFC!$C$5</f>
        <v>161.98875000000001</v>
      </c>
      <c r="H118" s="233">
        <f>(125.5*KFC!$B$33*1.02*1.25*1.1+KFC!$C$33)*KFC!$C$5</f>
        <v>176.01375000000002</v>
      </c>
      <c r="I118" s="233">
        <f>(135.6*KFC!$B$33*1.02*1.25*1.1+KFC!$C$33)*KFC!$C$5</f>
        <v>190.179</v>
      </c>
      <c r="J118" s="233">
        <f>(145.8*KFC!$B$33*1.02*1.25*1.1+KFC!$C$33)*KFC!$C$5</f>
        <v>204.48450000000003</v>
      </c>
      <c r="K118" s="233">
        <f>(155.9*KFC!$B$33*1.02*1.25*1.1+KFC!$C$33)*KFC!$C$5</f>
        <v>218.64975000000004</v>
      </c>
      <c r="L118" s="233">
        <f>(166.1*KFC!$B$33*1.02*1.25*1.1+KFC!$C$33)*KFC!$C$5</f>
        <v>232.95525000000004</v>
      </c>
      <c r="M118" s="233">
        <f>(176.2*KFC!$B$33*1.02*1.25*1.1+KFC!$C$33)*KFC!$C$5</f>
        <v>247.12049999999999</v>
      </c>
      <c r="N118" s="233">
        <f>(186.3*KFC!$B$33*1.02*1.25*1.1+KFC!$C$33)*KFC!$C$5</f>
        <v>261.28575000000006</v>
      </c>
      <c r="O118" s="233">
        <f>(196.4*KFC!$B$33*1.02*1.25*1.1+KFC!$C$33)*KFC!$C$5</f>
        <v>275.45100000000002</v>
      </c>
      <c r="P118" s="233">
        <f>(206.6*KFC!$B$33*1.02*1.25*1.1+KFC!$C$33)*KFC!$C$5</f>
        <v>289.75650000000007</v>
      </c>
      <c r="Q118" s="233">
        <f>(216.7*KFC!$B$33*1.02*1.25*1.1+KFC!$C$33)*KFC!$C$5</f>
        <v>303.92175000000003</v>
      </c>
      <c r="R118" s="233">
        <f>(226.9*KFC!$B$33*1.02*1.25*1.1+KFC!$C$33)*KFC!$C$5</f>
        <v>318.22725000000003</v>
      </c>
      <c r="S118" s="233">
        <f>(236.9*KFC!$B$33*1.02*1.25*1.1+KFC!$C$33)*KFC!$C$5</f>
        <v>332.25225000000006</v>
      </c>
      <c r="T118" s="233">
        <f>(247*KFC!$B$33*1.02*1.25*1.1+KFC!$C$33)*KFC!$C$5</f>
        <v>346.41750000000002</v>
      </c>
      <c r="U118" s="233">
        <f>(257.2*KFC!$B$33*1.02*1.25*1.1+KFC!$C$33)*KFC!$C$5</f>
        <v>360.72300000000001</v>
      </c>
      <c r="V118" s="233">
        <f>(267.3*KFC!$B$33*1.02*1.25*1.1+KFC!$C$33)*KFC!$C$5</f>
        <v>374.88825000000003</v>
      </c>
      <c r="W118" s="233">
        <f>(277.5*KFC!$B$33*1.02*1.25*1.1+KFC!$C$33)*KFC!$C$5</f>
        <v>389.19375000000002</v>
      </c>
      <c r="X118" s="233">
        <f>(287.6*KFC!$B$33*1.02*1.25*1.1+KFC!$C$33)*KFC!$C$5</f>
        <v>403.35900000000009</v>
      </c>
      <c r="Y118" s="233">
        <f>(297.7*KFC!$B$33*1.02*1.25*1.1+KFC!$C$33)*KFC!$C$5</f>
        <v>417.52425000000005</v>
      </c>
      <c r="Z118" s="233">
        <f>(307.8*KFC!$B$33*1.02*1.25*1.1+KFC!$C$33)*KFC!$C$5</f>
        <v>431.68950000000007</v>
      </c>
    </row>
    <row r="119" spans="1:26" ht="15.9" customHeight="1">
      <c r="A119" s="1912"/>
      <c r="B119" s="237">
        <v>3.7</v>
      </c>
      <c r="C119" s="239">
        <f>(76.1*KFC!$B$33*1.02*1.25*1.1+KFC!$C$33)*KFC!$C$5</f>
        <v>106.73025000000001</v>
      </c>
      <c r="D119" s="233">
        <f>(86.3*KFC!$B$33*1.02*1.25*1.1+KFC!$C$33)*KFC!$C$5</f>
        <v>121.03575000000001</v>
      </c>
      <c r="E119" s="233">
        <f>(96.7*KFC!$B$33*1.02*1.25*1.1+KFC!$C$33)*KFC!$C$5</f>
        <v>135.62175000000002</v>
      </c>
      <c r="F119" s="233">
        <f>(107*KFC!$B$33*1.02*1.25*1.1+KFC!$C$33)*KFC!$C$5</f>
        <v>150.06750000000002</v>
      </c>
      <c r="G119" s="233">
        <f>(117.4*KFC!$B$33*1.02*1.25*1.1+KFC!$C$33)*KFC!$C$5</f>
        <v>164.65350000000001</v>
      </c>
      <c r="H119" s="233">
        <f>(127.7*KFC!$B$33*1.02*1.25*1.1+KFC!$C$33)*KFC!$C$5</f>
        <v>179.09925000000004</v>
      </c>
      <c r="I119" s="233">
        <f>(138.1*KFC!$B$33*1.02*1.25*1.1+KFC!$C$33)*KFC!$C$5</f>
        <v>193.68525</v>
      </c>
      <c r="J119" s="233">
        <f>(148.3*KFC!$B$33*1.02*1.25*1.1+KFC!$C$33)*KFC!$C$5</f>
        <v>207.99075000000005</v>
      </c>
      <c r="K119" s="233">
        <f>(158.7*KFC!$B$33*1.02*1.25*1.1+KFC!$C$33)*KFC!$C$5</f>
        <v>222.57675000000003</v>
      </c>
      <c r="L119" s="233">
        <f>(169*KFC!$B$33*1.02*1.25*1.1+KFC!$C$33)*KFC!$C$5</f>
        <v>237.02250000000001</v>
      </c>
      <c r="M119" s="233">
        <f>(179.4*KFC!$B$33*1.02*1.25*1.1+KFC!$C$33)*KFC!$C$5</f>
        <v>251.60850000000005</v>
      </c>
      <c r="N119" s="233">
        <f>(189.7*KFC!$B$33*1.02*1.25*1.1+KFC!$C$33)*KFC!$C$5</f>
        <v>266.05425000000002</v>
      </c>
      <c r="O119" s="233">
        <f>(200.1*KFC!$B$33*1.02*1.25*1.1+KFC!$C$33)*KFC!$C$5</f>
        <v>280.64025000000004</v>
      </c>
      <c r="P119" s="233">
        <f>(210.4*KFC!$B$33*1.02*1.25*1.1+KFC!$C$33)*KFC!$C$5</f>
        <v>295.08600000000001</v>
      </c>
      <c r="Q119" s="233">
        <f>(220.8*KFC!$B$33*1.02*1.25*1.1+KFC!$C$33)*KFC!$C$5</f>
        <v>309.67200000000003</v>
      </c>
      <c r="R119" s="233">
        <f>(231*KFC!$B$33*1.02*1.25*1.1+KFC!$C$33)*KFC!$C$5</f>
        <v>323.97750000000002</v>
      </c>
      <c r="S119" s="233">
        <f>(241.4*KFC!$B$33*1.02*1.25*1.1+KFC!$C$33)*KFC!$C$5</f>
        <v>338.56350000000003</v>
      </c>
      <c r="T119" s="233">
        <f>(251.7*KFC!$B$33*1.02*1.25*1.1+KFC!$C$33)*KFC!$C$5</f>
        <v>353.00925000000001</v>
      </c>
      <c r="U119" s="233">
        <f>(262.1*KFC!$B$33*1.02*1.25*1.1+KFC!$C$33)*KFC!$C$5</f>
        <v>367.59525000000008</v>
      </c>
      <c r="V119" s="233">
        <f>(272.4*KFC!$B$33*1.02*1.25*1.1+KFC!$C$33)*KFC!$C$5</f>
        <v>382.041</v>
      </c>
      <c r="W119" s="233">
        <f>(282.8*KFC!$B$33*1.02*1.25*1.1+KFC!$C$33)*KFC!$C$5</f>
        <v>396.62700000000007</v>
      </c>
      <c r="X119" s="233">
        <f>(293*KFC!$B$33*1.02*1.25*1.1+KFC!$C$33)*KFC!$C$5</f>
        <v>410.93250000000006</v>
      </c>
      <c r="Y119" s="233">
        <f>(303.4*KFC!$B$33*1.02*1.25*1.1+KFC!$C$33)*KFC!$C$5</f>
        <v>425.51849999999996</v>
      </c>
      <c r="Z119" s="233">
        <f>(313.7*KFC!$B$33*1.02*1.25*1.1+KFC!$C$33)*KFC!$C$5</f>
        <v>439.96424999999999</v>
      </c>
    </row>
    <row r="120" spans="1:26" ht="15.9" customHeight="1">
      <c r="A120" s="1912"/>
      <c r="B120" s="237">
        <v>3.8</v>
      </c>
      <c r="C120" s="239">
        <f>(77.2*KFC!$B$33*1.02*1.25*1.1+KFC!$C$33)*KFC!$C$5</f>
        <v>108.27300000000001</v>
      </c>
      <c r="D120" s="233">
        <f>(87.7*KFC!$B$33*1.02*1.25*1.1+KFC!$C$33)*KFC!$C$5</f>
        <v>122.99925000000002</v>
      </c>
      <c r="E120" s="233">
        <f>(98.3*KFC!$B$33*1.02*1.25*1.1+KFC!$C$33)*KFC!$C$5</f>
        <v>137.86575000000002</v>
      </c>
      <c r="F120" s="233">
        <f>(108.8*KFC!$B$33*1.02*1.25*1.1+KFC!$C$33)*KFC!$C$5</f>
        <v>152.59200000000001</v>
      </c>
      <c r="G120" s="233">
        <f>(119.4*KFC!$B$33*1.02*1.25*1.1+KFC!$C$33)*KFC!$C$5</f>
        <v>167.45850000000002</v>
      </c>
      <c r="H120" s="233">
        <f>(129.9*KFC!$B$33*1.02*1.25*1.1+KFC!$C$33)*KFC!$C$5</f>
        <v>182.18475000000004</v>
      </c>
      <c r="I120" s="233">
        <f>(140.4*KFC!$B$33*1.02*1.25*1.1+KFC!$C$33)*KFC!$C$5</f>
        <v>196.911</v>
      </c>
      <c r="J120" s="233">
        <f>(151*KFC!$B$33*1.02*1.25*1.1+KFC!$C$33)*KFC!$C$5</f>
        <v>211.77750000000003</v>
      </c>
      <c r="K120" s="233">
        <f>(161.6*KFC!$B$33*1.02*1.25*1.1+KFC!$C$33)*KFC!$C$5</f>
        <v>226.64400000000001</v>
      </c>
      <c r="L120" s="233">
        <f>(172.1*KFC!$B$33*1.02*1.25*1.1+KFC!$C$33)*KFC!$C$5</f>
        <v>241.37025000000003</v>
      </c>
      <c r="M120" s="233">
        <f>(182.6*KFC!$B$33*1.02*1.25*1.1+KFC!$C$33)*KFC!$C$5</f>
        <v>256.09649999999999</v>
      </c>
      <c r="N120" s="233">
        <f>(193.1*KFC!$B$33*1.02*1.25*1.1+KFC!$C$33)*KFC!$C$5</f>
        <v>270.82274999999998</v>
      </c>
      <c r="O120" s="233">
        <f>(203.8*KFC!$B$33*1.02*1.25*1.1+KFC!$C$33)*KFC!$C$5</f>
        <v>285.82950000000005</v>
      </c>
      <c r="P120" s="233">
        <f>(214.3*KFC!$B$33*1.02*1.25*1.1+KFC!$C$33)*KFC!$C$5</f>
        <v>300.55575000000005</v>
      </c>
      <c r="Q120" s="233">
        <f>(224.8*KFC!$B$33*1.02*1.25*1.1+KFC!$C$33)*KFC!$C$5</f>
        <v>315.28200000000004</v>
      </c>
      <c r="R120" s="233">
        <f>(235.3*KFC!$B$33*1.02*1.25*1.1+KFC!$C$33)*KFC!$C$5</f>
        <v>330.00825000000009</v>
      </c>
      <c r="S120" s="233">
        <f>(245.8*KFC!$B$33*1.02*1.25*1.1+KFC!$C$33)*KFC!$C$5</f>
        <v>344.73450000000003</v>
      </c>
      <c r="T120" s="233">
        <f>(256.5*KFC!$B$33*1.02*1.25*1.1+KFC!$C$33)*KFC!$C$5</f>
        <v>359.74125000000004</v>
      </c>
      <c r="U120" s="233">
        <f>(267*KFC!$B$33*1.02*1.25*1.1+KFC!$C$33)*KFC!$C$5</f>
        <v>374.46750000000009</v>
      </c>
      <c r="V120" s="233">
        <f>(277.5*KFC!$B$33*1.02*1.25*1.1+KFC!$C$33)*KFC!$C$5</f>
        <v>389.19375000000002</v>
      </c>
      <c r="W120" s="233">
        <f>(288*KFC!$B$33*1.02*1.25*1.1+KFC!$C$33)*KFC!$C$5</f>
        <v>403.92</v>
      </c>
      <c r="X120" s="233">
        <f>(298.5*KFC!$B$33*1.02*1.25*1.1+KFC!$C$33)*KFC!$C$5</f>
        <v>418.64625000000007</v>
      </c>
      <c r="Y120" s="233">
        <f>(309.2*KFC!$B$33*1.02*1.25*1.1+KFC!$C$33)*KFC!$C$5</f>
        <v>433.65300000000008</v>
      </c>
      <c r="Z120" s="233">
        <f>(319.7*KFC!$B$33*1.02*1.25*1.1+KFC!$C$33)*KFC!$C$5</f>
        <v>448.37925000000007</v>
      </c>
    </row>
    <row r="121" spans="1:26" ht="15.9" customHeight="1">
      <c r="A121" s="1912"/>
      <c r="B121" s="237">
        <v>3.9</v>
      </c>
      <c r="C121" s="239">
        <f>(78.4*KFC!$B$33*1.02*1.25*1.1+KFC!$C$33)*KFC!$C$5</f>
        <v>109.95600000000002</v>
      </c>
      <c r="D121" s="233">
        <f>(89*KFC!$B$33*1.02*1.25*1.1+KFC!$C$33)*KFC!$C$5</f>
        <v>124.82250000000001</v>
      </c>
      <c r="E121" s="233">
        <f>(99.8*KFC!$B$33*1.02*1.25*1.1+KFC!$C$33)*KFC!$C$5</f>
        <v>139.96950000000001</v>
      </c>
      <c r="F121" s="233">
        <f>(110.6*KFC!$B$33*1.02*1.25*1.1+KFC!$C$33)*KFC!$C$5</f>
        <v>155.1165</v>
      </c>
      <c r="G121" s="233">
        <f>(121.3*KFC!$B$33*1.02*1.25*1.1+KFC!$C$33)*KFC!$C$5</f>
        <v>170.12325000000001</v>
      </c>
      <c r="H121" s="233">
        <f>(132.1*KFC!$B$33*1.02*1.25*1.1+KFC!$C$33)*KFC!$C$5</f>
        <v>185.27025</v>
      </c>
      <c r="I121" s="233">
        <f>(142.8*KFC!$B$33*1.02*1.25*1.1+KFC!$C$33)*KFC!$C$5</f>
        <v>200.27700000000002</v>
      </c>
      <c r="J121" s="233">
        <f>(153.6*KFC!$B$33*1.02*1.25*1.1+KFC!$C$33)*KFC!$C$5</f>
        <v>215.42400000000004</v>
      </c>
      <c r="K121" s="233">
        <f>(164.4*KFC!$B$33*1.02*1.25*1.1+KFC!$C$33)*KFC!$C$5</f>
        <v>230.57100000000003</v>
      </c>
      <c r="L121" s="233">
        <f>(175.1*KFC!$B$33*1.02*1.25*1.1+KFC!$C$33)*KFC!$C$5</f>
        <v>245.57775000000001</v>
      </c>
      <c r="M121" s="233">
        <f>(185.9*KFC!$B$33*1.02*1.25*1.1+KFC!$C$33)*KFC!$C$5</f>
        <v>260.72474999999997</v>
      </c>
      <c r="N121" s="233">
        <f>(196.5*KFC!$B$33*1.02*1.25*1.1+KFC!$C$33)*KFC!$C$5</f>
        <v>275.59125000000006</v>
      </c>
      <c r="O121" s="233">
        <f>(207.3*KFC!$B$33*1.02*1.25*1.1+KFC!$C$33)*KFC!$C$5</f>
        <v>290.73825000000005</v>
      </c>
      <c r="P121" s="233">
        <f>(218.1*KFC!$B$33*1.02*1.25*1.1+KFC!$C$33)*KFC!$C$5</f>
        <v>305.88524999999998</v>
      </c>
      <c r="Q121" s="233">
        <f>(228.8*KFC!$B$33*1.02*1.25*1.1+KFC!$C$33)*KFC!$C$5</f>
        <v>320.89200000000005</v>
      </c>
      <c r="R121" s="233">
        <f>(239.6*KFC!$B$33*1.02*1.25*1.1+KFC!$C$33)*KFC!$C$5</f>
        <v>336.03900000000004</v>
      </c>
      <c r="S121" s="233">
        <f>(250.3*KFC!$B$33*1.02*1.25*1.1+KFC!$C$33)*KFC!$C$5</f>
        <v>351.04575</v>
      </c>
      <c r="T121" s="233">
        <f>(261.1*KFC!$B$33*1.02*1.25*1.1+KFC!$C$33)*KFC!$C$5</f>
        <v>366.19275000000005</v>
      </c>
      <c r="U121" s="233">
        <f>(271.9*KFC!$B$33*1.02*1.25*1.1+KFC!$C$33)*KFC!$C$5</f>
        <v>381.33974999999998</v>
      </c>
      <c r="V121" s="233">
        <f>(282.6*KFC!$B$33*1.02*1.25*1.1+KFC!$C$33)*KFC!$C$5</f>
        <v>396.34650000000005</v>
      </c>
      <c r="W121" s="233">
        <f>(293.3*KFC!$B$33*1.02*1.25*1.1+KFC!$C$33)*KFC!$C$5</f>
        <v>411.35325</v>
      </c>
      <c r="X121" s="233">
        <f>(304*KFC!$B$33*1.02*1.25*1.1+KFC!$C$33)*KFC!$C$5</f>
        <v>426.36</v>
      </c>
      <c r="Y121" s="233">
        <f>(214.8*KFC!$B$33*1.02*1.25*1.1+KFC!$C$33)*KFC!$C$5</f>
        <v>301.25700000000001</v>
      </c>
      <c r="Z121" s="233">
        <f>(325.6*KFC!$B$33*1.02*1.25*1.1+KFC!$C$33)*KFC!$C$5</f>
        <v>456.65400000000011</v>
      </c>
    </row>
    <row r="122" spans="1:26" ht="15.9" customHeight="1" thickBot="1">
      <c r="A122" s="1913"/>
      <c r="B122" s="238">
        <v>4</v>
      </c>
      <c r="C122" s="240">
        <f>(79.5*KFC!$B$33*1.02*1.25*1.1+KFC!$C$33)*KFC!$C$5</f>
        <v>111.49875000000002</v>
      </c>
      <c r="D122" s="234">
        <f>(90.5*KFC!$B$33*1.02*1.25*1.1+KFC!$C$33)*KFC!$C$5</f>
        <v>126.92625000000001</v>
      </c>
      <c r="E122" s="234">
        <f>(101.4*KFC!$B$33*1.02*1.25*1.1+KFC!$C$33)*KFC!$C$5</f>
        <v>142.21350000000004</v>
      </c>
      <c r="F122" s="234">
        <f>(112.4*KFC!$B$33*1.02*1.25*1.1+KFC!$C$33)*KFC!$C$5</f>
        <v>157.64100000000002</v>
      </c>
      <c r="G122" s="234">
        <f>(123.3*KFC!$B$33*1.02*1.25*1.1+KFC!$C$33)*KFC!$C$5</f>
        <v>172.92825000000002</v>
      </c>
      <c r="H122" s="234">
        <f>(134.3*KFC!$B$33*1.02*1.25*1.1+KFC!$C$33)*KFC!$C$5</f>
        <v>188.35575000000003</v>
      </c>
      <c r="I122" s="234">
        <f>(145.3*KFC!$B$33*1.02*1.25*1.1+KFC!$C$33)*KFC!$C$5</f>
        <v>203.78325000000004</v>
      </c>
      <c r="J122" s="234">
        <f>(156.2*KFC!$B$33*1.02*1.25*1.1+KFC!$C$33)*KFC!$C$5</f>
        <v>219.07049999999998</v>
      </c>
      <c r="K122" s="234">
        <f>(167.2*KFC!$B$33*1.02*1.25*1.1+KFC!$C$33)*KFC!$C$5</f>
        <v>234.49799999999999</v>
      </c>
      <c r="L122" s="234">
        <f>(178.1*KFC!$B$33*1.02*1.25*1.1+KFC!$C$33)*KFC!$C$5</f>
        <v>249.78525000000005</v>
      </c>
      <c r="M122" s="234">
        <f>(189.1*KFC!$B$33*1.02*1.25*1.1+KFC!$C$33)*KFC!$C$5</f>
        <v>265.21275000000003</v>
      </c>
      <c r="N122" s="234">
        <f>(200*KFC!$B$33*1.02*1.25*1.1+KFC!$C$33)*KFC!$C$5</f>
        <v>280.5</v>
      </c>
      <c r="O122" s="234">
        <f>(211*KFC!$B$33*1.02*1.25*1.1+KFC!$C$33)*KFC!$C$5</f>
        <v>295.92750000000001</v>
      </c>
      <c r="P122" s="234">
        <f>(222*KFC!$B$33*1.02*1.25*1.1+KFC!$C$33)*KFC!$C$5</f>
        <v>311.35500000000002</v>
      </c>
      <c r="Q122" s="234">
        <f>(232.9*KFC!$B$33*1.02*1.25*1.1+KFC!$C$33)*KFC!$C$5</f>
        <v>326.6422500000001</v>
      </c>
      <c r="R122" s="234">
        <f>(243.9*KFC!$B$33*1.02*1.25*1.1+KFC!$C$33)*KFC!$C$5</f>
        <v>342.06975000000006</v>
      </c>
      <c r="S122" s="234">
        <f>(254.8*KFC!$B$33*1.02*1.25*1.1+KFC!$C$33)*KFC!$C$5</f>
        <v>357.35700000000003</v>
      </c>
      <c r="T122" s="234">
        <f>(265.8*KFC!$B$33*1.02*1.25*1.1+KFC!$C$33)*KFC!$C$5</f>
        <v>372.78450000000009</v>
      </c>
      <c r="U122" s="234">
        <f>(276.8*KFC!$B$33*1.02*1.25*1.1+KFC!$C$33)*KFC!$C$5</f>
        <v>388.21200000000005</v>
      </c>
      <c r="V122" s="234">
        <f>(287.6*KFC!$B$33*1.02*1.25*1.1+KFC!$C$33)*KFC!$C$5</f>
        <v>403.35900000000009</v>
      </c>
      <c r="W122" s="234">
        <f>(298.7*KFC!$B$33*1.02*1.25*1.1+KFC!$C$33)*KFC!$C$5</f>
        <v>418.92675000000003</v>
      </c>
      <c r="X122" s="234">
        <f>(309.5*KFC!$B$33*1.02*1.25*1.1+KFC!$C$33)*KFC!$C$5</f>
        <v>434.07375000000008</v>
      </c>
      <c r="Y122" s="234">
        <f>(320.5*KFC!$B$33*1.02*1.25*1.1+KFC!$C$33)*KFC!$C$5</f>
        <v>449.50125000000008</v>
      </c>
      <c r="Z122" s="234">
        <f>(331.4*KFC!$B$33*1.02*1.25*1.1+KFC!$C$33)*KFC!$C$5</f>
        <v>464.7885</v>
      </c>
    </row>
    <row r="123" spans="1:26" ht="15.9" customHeight="1" thickBot="1">
      <c r="A123" s="183"/>
      <c r="B123" s="245"/>
      <c r="C123" s="235"/>
      <c r="D123" s="235"/>
      <c r="E123" s="235"/>
      <c r="F123" s="235"/>
      <c r="G123" s="235"/>
      <c r="H123" s="235"/>
      <c r="I123" s="235"/>
      <c r="J123" s="235"/>
      <c r="K123" s="235"/>
      <c r="L123" s="235"/>
      <c r="M123" s="235"/>
      <c r="N123" s="235"/>
      <c r="O123" s="235"/>
      <c r="P123" s="235"/>
      <c r="Q123" s="235"/>
      <c r="R123" s="235"/>
      <c r="S123" s="235"/>
      <c r="T123" s="235"/>
      <c r="U123" s="235"/>
      <c r="V123" s="235"/>
      <c r="W123" s="235"/>
      <c r="X123" s="235"/>
      <c r="Y123" s="235"/>
    </row>
    <row r="124" spans="1:26" ht="15.9" customHeight="1" thickBot="1">
      <c r="A124" s="1413" t="s">
        <v>319</v>
      </c>
      <c r="B124" s="1414"/>
      <c r="C124" s="1914" t="s">
        <v>207</v>
      </c>
      <c r="D124" s="1915"/>
      <c r="E124" s="1915"/>
      <c r="F124" s="1915"/>
      <c r="G124" s="1915"/>
      <c r="H124" s="1915"/>
      <c r="I124" s="1915"/>
      <c r="J124" s="1915"/>
      <c r="K124" s="1915"/>
      <c r="L124" s="1915"/>
      <c r="M124" s="1915"/>
      <c r="N124" s="1915"/>
      <c r="O124" s="1915"/>
      <c r="P124" s="1915"/>
      <c r="Q124" s="1915"/>
      <c r="R124" s="1915"/>
      <c r="S124" s="1915"/>
      <c r="T124" s="1915"/>
      <c r="U124" s="1915"/>
      <c r="V124" s="1915"/>
      <c r="W124" s="1915"/>
      <c r="X124" s="1915"/>
      <c r="Y124" s="1915"/>
      <c r="Z124" s="1915"/>
    </row>
    <row r="125" spans="1:26" ht="15.9" customHeight="1" thickBot="1">
      <c r="A125" s="1803"/>
      <c r="B125" s="1910"/>
      <c r="C125" s="243">
        <v>0.4</v>
      </c>
      <c r="D125" s="244">
        <v>0.5</v>
      </c>
      <c r="E125" s="244">
        <v>0.6</v>
      </c>
      <c r="F125" s="244">
        <v>0.7</v>
      </c>
      <c r="G125" s="244">
        <v>0.8</v>
      </c>
      <c r="H125" s="244">
        <v>0.9</v>
      </c>
      <c r="I125" s="244">
        <v>1</v>
      </c>
      <c r="J125" s="244">
        <v>1.1000000000000001</v>
      </c>
      <c r="K125" s="244">
        <v>1.2</v>
      </c>
      <c r="L125" s="244">
        <v>1.3</v>
      </c>
      <c r="M125" s="244">
        <v>1.4</v>
      </c>
      <c r="N125" s="244">
        <v>1.5</v>
      </c>
      <c r="O125" s="244">
        <v>1.6</v>
      </c>
      <c r="P125" s="244">
        <v>1.7</v>
      </c>
      <c r="Q125" s="244">
        <v>1.8</v>
      </c>
      <c r="R125" s="244">
        <v>1.9</v>
      </c>
      <c r="S125" s="244">
        <v>2</v>
      </c>
      <c r="T125" s="244">
        <v>2.1</v>
      </c>
      <c r="U125" s="244">
        <v>2.2000000000000002</v>
      </c>
      <c r="V125" s="244">
        <v>2.2999999999999998</v>
      </c>
      <c r="W125" s="244">
        <v>2.4</v>
      </c>
      <c r="X125" s="244">
        <v>2.5</v>
      </c>
      <c r="Y125" s="244">
        <v>2.6</v>
      </c>
      <c r="Z125" s="365">
        <v>2.65</v>
      </c>
    </row>
    <row r="126" spans="1:26" ht="15.9" customHeight="1">
      <c r="A126" s="1911" t="s">
        <v>3</v>
      </c>
      <c r="B126" s="236">
        <v>0.5</v>
      </c>
      <c r="C126" s="241">
        <f>(44*KFC!$B$33*1.02*1.3*1.1+KFC!$C$33)*KFC!$C$5</f>
        <v>64.178400000000011</v>
      </c>
      <c r="D126" s="242">
        <f>(48.3*KFC!$B$33*1.02*1.3*1.1+KFC!$C$33)*KFC!$C$5</f>
        <v>70.45038000000001</v>
      </c>
      <c r="E126" s="242">
        <f>(52.6*KFC!$B$33*1.02*1.3*1.1+KFC!$C$33)*KFC!$C$5</f>
        <v>76.722360000000009</v>
      </c>
      <c r="F126" s="242">
        <f>(56.9*KFC!$B$33*1.02*1.3*1.1+KFC!$C$33)*KFC!$C$5</f>
        <v>82.994340000000008</v>
      </c>
      <c r="G126" s="242">
        <f>(61.2*KFC!$B$33*1.02*1.3*1.1+KFC!$C$33)*KFC!$C$5</f>
        <v>89.266320000000022</v>
      </c>
      <c r="H126" s="242">
        <f>(65.4*KFC!$B$33*1.02*1.3*1.1+KFC!$C$33)*KFC!$C$5</f>
        <v>95.392440000000036</v>
      </c>
      <c r="I126" s="242">
        <f>(69.7*KFC!$B$33*1.02*1.3*1.1+KFC!$C$33)*KFC!$C$5</f>
        <v>101.66442000000002</v>
      </c>
      <c r="J126" s="242">
        <f>(74*KFC!$B$33*1.02*1.3*1.1+KFC!$C$33)*KFC!$C$5</f>
        <v>107.93640000000002</v>
      </c>
      <c r="K126" s="242">
        <f>(78.3*KFC!$B$33*1.02*1.3*1.1+KFC!$C$33)*KFC!$C$5</f>
        <v>114.20838000000001</v>
      </c>
      <c r="L126" s="242">
        <f>(82.6*KFC!$B$33*1.02*1.3*1.1+KFC!$C$33)*KFC!$C$5</f>
        <v>120.48036</v>
      </c>
      <c r="M126" s="242">
        <f>(86.8*KFC!$B$33*1.02*1.3*1.1+KFC!$C$33)*KFC!$C$5</f>
        <v>126.60648000000002</v>
      </c>
      <c r="N126" s="242">
        <f>(91.1*KFC!$B$33*1.02*1.3*1.1+KFC!$C$33)*KFC!$C$5</f>
        <v>132.87845999999999</v>
      </c>
      <c r="O126" s="242">
        <f>(95.4*KFC!$B$33*1.02*1.3*1.1+KFC!$C$33)*KFC!$C$5</f>
        <v>139.15044000000003</v>
      </c>
      <c r="P126" s="242">
        <f>(99.7*KFC!$B$33*1.02*1.3*1.1+KFC!$C$33)*KFC!$C$5</f>
        <v>145.42242000000002</v>
      </c>
      <c r="Q126" s="242">
        <f>(104*KFC!$B$33*1.02*1.3*1.1+KFC!$C$33)*KFC!$C$5</f>
        <v>151.6944</v>
      </c>
      <c r="R126" s="242">
        <f>(108.2*KFC!$B$33*1.02*1.3*1.1+KFC!$C$33)*KFC!$C$5</f>
        <v>157.82052000000004</v>
      </c>
      <c r="S126" s="242">
        <f>(112.5*KFC!$B$33*1.02*1.3*1.1+KFC!$C$33)*KFC!$C$5</f>
        <v>164.09250000000003</v>
      </c>
      <c r="T126" s="242">
        <f>(116.8*KFC!$B$33*1.02*1.3*1.1+KFC!$C$33)*KFC!$C$5</f>
        <v>170.36448000000001</v>
      </c>
      <c r="U126" s="242">
        <f>(121.1*KFC!$B$33*1.02*1.3*1.1+KFC!$C$33)*KFC!$C$5</f>
        <v>176.63646</v>
      </c>
      <c r="V126" s="242">
        <f>(125.4*KFC!$B$33*1.02*1.3*1.1+KFC!$C$33)*KFC!$C$5</f>
        <v>182.90844000000004</v>
      </c>
      <c r="W126" s="242">
        <f>(129.6*KFC!$B$33*1.02*1.3*1.1+KFC!$C$33)*KFC!$C$5</f>
        <v>189.03456000000003</v>
      </c>
      <c r="X126" s="242">
        <f>(133.9*KFC!$B$33*1.02*1.3*1.1+KFC!$C$33)*KFC!$C$5</f>
        <v>195.30654000000001</v>
      </c>
      <c r="Y126" s="242">
        <f>(138.2*KFC!$B$33*1.02*1.3*1.1+KFC!$C$33)*KFC!$C$5</f>
        <v>201.57852</v>
      </c>
      <c r="Z126" s="242">
        <f>(142.5*KFC!$B$33*1.02*1.3*1.1+KFC!$C$33)*KFC!$C$5</f>
        <v>207.85050000000004</v>
      </c>
    </row>
    <row r="127" spans="1:26" ht="15.9" customHeight="1">
      <c r="A127" s="1912"/>
      <c r="B127" s="237">
        <v>0.6</v>
      </c>
      <c r="C127" s="239">
        <f>(45.6*KFC!$B$33*1.02*1.3*1.1+KFC!$C$33)*KFC!$C$5</f>
        <v>66.512160000000009</v>
      </c>
      <c r="D127" s="233">
        <f>(50.1*KFC!$B$33*1.02*1.3*1.1+KFC!$C$33)*KFC!$C$5</f>
        <v>73.07586000000002</v>
      </c>
      <c r="E127" s="233">
        <f>(54.7*KFC!$B$33*1.02*1.3*1.1+KFC!$C$33)*KFC!$C$5</f>
        <v>79.785420000000016</v>
      </c>
      <c r="F127" s="233">
        <f>(59.2*KFC!$B$33*1.02*1.3*1.1+KFC!$C$33)*KFC!$C$5</f>
        <v>86.349120000000028</v>
      </c>
      <c r="G127" s="233">
        <f>(63.7*KFC!$B$33*1.02*1.3*1.1+KFC!$C$33)*KFC!$C$5</f>
        <v>92.912820000000025</v>
      </c>
      <c r="H127" s="233">
        <f>(68.4*KFC!$B$33*1.02*1.3*1.1+KFC!$C$33)*KFC!$C$5</f>
        <v>99.76824000000002</v>
      </c>
      <c r="I127" s="233">
        <f>(72.9*KFC!$B$33*1.02*1.3*1.1+KFC!$C$33)*KFC!$C$5</f>
        <v>106.33194000000002</v>
      </c>
      <c r="J127" s="233">
        <f>(77.4*KFC!$B$33*1.02*1.3*1.1+KFC!$C$33)*KFC!$C$5</f>
        <v>112.89564000000003</v>
      </c>
      <c r="K127" s="233">
        <f>(81.9*KFC!$B$33*1.02*1.3*1.1+KFC!$C$33)*KFC!$C$5</f>
        <v>119.45934000000003</v>
      </c>
      <c r="L127" s="233">
        <f>(86.6*KFC!$B$33*1.02*1.3*1.1+KFC!$C$33)*KFC!$C$5</f>
        <v>126.31476000000001</v>
      </c>
      <c r="M127" s="233">
        <f>(91.1*KFC!$B$33*1.02*1.3*1.1+KFC!$C$33)*KFC!$C$5</f>
        <v>132.87845999999999</v>
      </c>
      <c r="N127" s="233">
        <f>(95.6*KFC!$B$33*1.02*1.3*1.1+KFC!$C$33)*KFC!$C$5</f>
        <v>139.44216000000003</v>
      </c>
      <c r="O127" s="233">
        <f>(100.2*KFC!$B$33*1.02*1.3*1.1+KFC!$C$33)*KFC!$C$5</f>
        <v>146.15172000000004</v>
      </c>
      <c r="P127" s="233">
        <f>(104.7*KFC!$B$33*1.02*1.3*1.1+KFC!$C$33)*KFC!$C$5</f>
        <v>152.71542000000005</v>
      </c>
      <c r="Q127" s="233">
        <f>(109.3*KFC!$B$33*1.02*1.3*1.1+KFC!$C$33)*KFC!$C$5</f>
        <v>159.42498000000003</v>
      </c>
      <c r="R127" s="233">
        <f>(113.9*KFC!$B$33*1.02*1.3*1.1+KFC!$C$33)*KFC!$C$5</f>
        <v>166.13454000000004</v>
      </c>
      <c r="S127" s="233">
        <f>(118.4*KFC!$B$33*1.02*1.3*1.1+KFC!$C$33)*KFC!$C$5</f>
        <v>172.69824000000006</v>
      </c>
      <c r="T127" s="233">
        <f>(122.9*KFC!$B$33*1.02*1.3*1.1+KFC!$C$33)*KFC!$C$5</f>
        <v>179.26194000000004</v>
      </c>
      <c r="U127" s="233">
        <f>(127.4*KFC!$B$33*1.02*1.3*1.1+KFC!$C$33)*KFC!$C$5</f>
        <v>185.82564000000005</v>
      </c>
      <c r="V127" s="233">
        <f>(132.1*KFC!$B$33*1.02*1.3*1.1+KFC!$C$33)*KFC!$C$5</f>
        <v>192.68106000000003</v>
      </c>
      <c r="W127" s="233">
        <f>(136.6*KFC!$B$33*1.02*1.3*1.1+KFC!$C$33)*KFC!$C$5</f>
        <v>199.24476000000001</v>
      </c>
      <c r="X127" s="233">
        <f>(141.1*KFC!$B$33*1.02*1.3*1.1+KFC!$C$33)*KFC!$C$5</f>
        <v>205.80846000000003</v>
      </c>
      <c r="Y127" s="233">
        <f>(145.7*KFC!$B$33*1.02*1.3*1.1+KFC!$C$33)*KFC!$C$5</f>
        <v>212.51802000000004</v>
      </c>
      <c r="Z127" s="233">
        <f>(150.3*KFC!$B$33*1.02*1.3*1.1+KFC!$C$33)*KFC!$C$5</f>
        <v>219.22758000000005</v>
      </c>
    </row>
    <row r="128" spans="1:26" ht="15.9" customHeight="1">
      <c r="A128" s="1912"/>
      <c r="B128" s="237">
        <v>0.7</v>
      </c>
      <c r="C128" s="239">
        <f>(47.1*KFC!$B$33*1.02*1.3*1.1+KFC!$C$33)*KFC!$C$5</f>
        <v>68.700060000000008</v>
      </c>
      <c r="D128" s="233">
        <f>(52*KFC!$B$33*1.02*1.3*1.1+KFC!$C$33)*KFC!$C$5</f>
        <v>75.847200000000001</v>
      </c>
      <c r="E128" s="233">
        <f>(56.7*KFC!$B$33*1.02*1.3*1.1+KFC!$C$33)*KFC!$C$5</f>
        <v>82.70262000000001</v>
      </c>
      <c r="F128" s="233">
        <f>(61.5*KFC!$B$33*1.02*1.3*1.1+KFC!$C$33)*KFC!$C$5</f>
        <v>89.703900000000019</v>
      </c>
      <c r="G128" s="233">
        <f>(66.4*KFC!$B$33*1.02*1.3*1.1+KFC!$C$33)*KFC!$C$5</f>
        <v>96.851040000000026</v>
      </c>
      <c r="H128" s="233">
        <f>(71.2*KFC!$B$33*1.02*1.3*1.1+KFC!$C$33)*KFC!$C$5</f>
        <v>103.85232000000003</v>
      </c>
      <c r="I128" s="233">
        <f>(76.1*KFC!$B$33*1.02*1.3*1.1+KFC!$C$33)*KFC!$C$5</f>
        <v>110.99946000000001</v>
      </c>
      <c r="J128" s="233">
        <f>(80.8*KFC!$B$33*1.02*1.3*1.1+KFC!$C$33)*KFC!$C$5</f>
        <v>117.85488000000001</v>
      </c>
      <c r="K128" s="233">
        <f>(85.7*KFC!$B$33*1.02*1.3*1.1+KFC!$C$33)*KFC!$C$5</f>
        <v>125.00202000000003</v>
      </c>
      <c r="L128" s="233">
        <f>(90.5*KFC!$B$33*1.02*1.3*1.1+KFC!$C$33)*KFC!$C$5</f>
        <v>132.00330000000002</v>
      </c>
      <c r="M128" s="233">
        <f>(95.3*KFC!$B$33*1.02*1.3*1.1+KFC!$C$33)*KFC!$C$5</f>
        <v>139.00458</v>
      </c>
      <c r="N128" s="233">
        <f>(100.2*KFC!$B$33*1.02*1.3*1.1+KFC!$C$33)*KFC!$C$5</f>
        <v>146.15172000000004</v>
      </c>
      <c r="O128" s="233">
        <f>(104.9*KFC!$B$33*1.02*1.3*1.1+KFC!$C$33)*KFC!$C$5</f>
        <v>153.00714000000005</v>
      </c>
      <c r="P128" s="233">
        <f>(109.8*KFC!$B$33*1.02*1.3*1.1+KFC!$C$33)*KFC!$C$5</f>
        <v>160.15428</v>
      </c>
      <c r="Q128" s="233">
        <f>(114.6*KFC!$B$33*1.02*1.3*1.1+KFC!$C$33)*KFC!$C$5</f>
        <v>167.15556000000001</v>
      </c>
      <c r="R128" s="233">
        <f>(119.5*KFC!$B$33*1.02*1.3*1.1+KFC!$C$33)*KFC!$C$5</f>
        <v>174.30270000000002</v>
      </c>
      <c r="S128" s="233">
        <f>(124.3*KFC!$B$33*1.02*1.3*1.1+KFC!$C$33)*KFC!$C$5</f>
        <v>181.30398000000002</v>
      </c>
      <c r="T128" s="233">
        <f>(129*KFC!$B$33*1.02*1.3*1.1+KFC!$C$33)*KFC!$C$5</f>
        <v>188.15940000000006</v>
      </c>
      <c r="U128" s="233">
        <f>(133.9*KFC!$B$33*1.02*1.3*1.1+KFC!$C$33)*KFC!$C$5</f>
        <v>195.30654000000001</v>
      </c>
      <c r="V128" s="233">
        <f>(138.7*KFC!$B$33*1.02*1.3*1.1+KFC!$C$33)*KFC!$C$5</f>
        <v>202.30782000000002</v>
      </c>
      <c r="W128" s="233">
        <f>(143.6*KFC!$B$33*1.02*1.3*1.1+KFC!$C$33)*KFC!$C$5</f>
        <v>209.45496000000006</v>
      </c>
      <c r="X128" s="233">
        <f>(148.3*KFC!$B$33*1.02*1.3*1.1+KFC!$C$33)*KFC!$C$5</f>
        <v>216.31038000000007</v>
      </c>
      <c r="Y128" s="233">
        <f>(153.2*KFC!$B$33*1.02*1.3*1.1+KFC!$C$33)*KFC!$C$5</f>
        <v>223.45751999999999</v>
      </c>
      <c r="Z128" s="233">
        <f>(158*KFC!$B$33*1.02*1.3*1.1+KFC!$C$33)*KFC!$C$5</f>
        <v>230.45880000000002</v>
      </c>
    </row>
    <row r="129" spans="1:26" ht="15.9" customHeight="1">
      <c r="A129" s="1912"/>
      <c r="B129" s="237">
        <v>0.8</v>
      </c>
      <c r="C129" s="239">
        <f>(48.7*KFC!$B$33*1.02*1.3*1.1+KFC!$C$33)*KFC!$C$5</f>
        <v>71.03382000000002</v>
      </c>
      <c r="D129" s="233">
        <f>(53.7*KFC!$B$33*1.02*1.3*1.1+KFC!$C$33)*KFC!$C$5</f>
        <v>78.326820000000012</v>
      </c>
      <c r="E129" s="233">
        <f>(58.8*KFC!$B$33*1.02*1.3*1.1+KFC!$C$33)*KFC!$C$5</f>
        <v>85.765680000000003</v>
      </c>
      <c r="F129" s="233">
        <f>(64*KFC!$B$33*1.02*1.3*1.1+KFC!$C$33)*KFC!$C$5</f>
        <v>93.350400000000008</v>
      </c>
      <c r="G129" s="233">
        <f>(69*KFC!$B$33*1.02*1.3*1.1+KFC!$C$33)*KFC!$C$5</f>
        <v>100.64340000000001</v>
      </c>
      <c r="H129" s="233">
        <f>(74.1*KFC!$B$33*1.02*1.3*1.1+KFC!$C$33)*KFC!$C$5</f>
        <v>108.08226000000001</v>
      </c>
      <c r="I129" s="233">
        <f>(79.3*KFC!$B$33*1.02*1.3*1.1+KFC!$C$33)*KFC!$C$5</f>
        <v>115.66698000000001</v>
      </c>
      <c r="J129" s="233">
        <f>(84.3*KFC!$B$33*1.02*1.3*1.1+KFC!$C$33)*KFC!$C$5</f>
        <v>122.95998000000002</v>
      </c>
      <c r="K129" s="233">
        <f>(89.4*KFC!$B$33*1.02*1.3*1.1+KFC!$C$33)*KFC!$C$5</f>
        <v>130.39884000000004</v>
      </c>
      <c r="L129" s="233">
        <f>(94.5*KFC!$B$33*1.02*1.3*1.1+KFC!$C$33)*KFC!$C$5</f>
        <v>137.83770000000001</v>
      </c>
      <c r="M129" s="233">
        <f>(99.6*KFC!$B$33*1.02*1.3*1.1+KFC!$C$33)*KFC!$C$5</f>
        <v>145.27656000000002</v>
      </c>
      <c r="N129" s="233">
        <f>(104.7*KFC!$B$33*1.02*1.3*1.1+KFC!$C$33)*KFC!$C$5</f>
        <v>152.71542000000005</v>
      </c>
      <c r="O129" s="233">
        <f>(109.7*KFC!$B$33*1.02*1.3*1.1+KFC!$C$33)*KFC!$C$5</f>
        <v>160.00842000000003</v>
      </c>
      <c r="P129" s="233">
        <f>(114.8*KFC!$B$33*1.02*1.3*1.1+KFC!$C$33)*KFC!$C$5</f>
        <v>167.44728000000003</v>
      </c>
      <c r="Q129" s="233">
        <f>(120*KFC!$B$33*1.02*1.3*1.1+KFC!$C$33)*KFC!$C$5</f>
        <v>175.03200000000001</v>
      </c>
      <c r="R129" s="233">
        <f>(125*KFC!$B$33*1.02*1.3*1.1+KFC!$C$33)*KFC!$C$5</f>
        <v>182.32500000000002</v>
      </c>
      <c r="S129" s="233">
        <f>(130.1*KFC!$B$33*1.02*1.3*1.1+KFC!$C$33)*KFC!$C$5</f>
        <v>189.76385999999999</v>
      </c>
      <c r="T129" s="233">
        <f>(135.3*KFC!$B$33*1.02*1.3*1.1+KFC!$C$33)*KFC!$C$5</f>
        <v>197.34858000000003</v>
      </c>
      <c r="U129" s="233">
        <f>(140.3*KFC!$B$33*1.02*1.3*1.1+KFC!$C$33)*KFC!$C$5</f>
        <v>204.64158000000006</v>
      </c>
      <c r="V129" s="233">
        <f>(145.4*KFC!$B$33*1.02*1.3*1.1+KFC!$C$33)*KFC!$C$5</f>
        <v>212.08044000000004</v>
      </c>
      <c r="W129" s="233">
        <f>(150.6*KFC!$B$33*1.02*1.3*1.1+KFC!$C$33)*KFC!$C$5</f>
        <v>219.66516000000004</v>
      </c>
      <c r="X129" s="233">
        <f>(155.6*KFC!$B$33*1.02*1.3*1.1+KFC!$C$33)*KFC!$C$5</f>
        <v>226.95815999999999</v>
      </c>
      <c r="Y129" s="233">
        <f>(160.7*KFC!$B$33*1.02*1.3*1.1+KFC!$C$33)*KFC!$C$5</f>
        <v>234.39702000000003</v>
      </c>
      <c r="Z129" s="233">
        <f>(165.8*KFC!$B$33*1.02*1.3*1.1+KFC!$C$33)*KFC!$C$5</f>
        <v>241.83588000000003</v>
      </c>
    </row>
    <row r="130" spans="1:26" ht="15.9" customHeight="1">
      <c r="A130" s="1912"/>
      <c r="B130" s="237">
        <v>0.9</v>
      </c>
      <c r="C130" s="239">
        <f>(50.1*KFC!$B$33*1.02*1.3*1.1+KFC!$C$33)*KFC!$C$5</f>
        <v>73.07586000000002</v>
      </c>
      <c r="D130" s="233">
        <f>(55.5*KFC!$B$33*1.02*1.3*1.1+KFC!$C$33)*KFC!$C$5</f>
        <v>80.952300000000008</v>
      </c>
      <c r="E130" s="233">
        <f>(60.9*KFC!$B$33*1.02*1.3*1.1+KFC!$C$33)*KFC!$C$5</f>
        <v>88.82874000000001</v>
      </c>
      <c r="F130" s="233">
        <f>(66.3*KFC!$B$33*1.02*1.3*1.1+KFC!$C$33)*KFC!$C$5</f>
        <v>96.705180000000013</v>
      </c>
      <c r="G130" s="233">
        <f>(71.7*KFC!$B$33*1.02*1.3*1.1+KFC!$C$33)*KFC!$C$5</f>
        <v>104.58162000000002</v>
      </c>
      <c r="H130" s="233">
        <f>(77*KFC!$B$33*1.02*1.3*1.1+KFC!$C$33)*KFC!$C$5</f>
        <v>112.31220000000003</v>
      </c>
      <c r="I130" s="233">
        <f>(82.3*KFC!$B$33*1.02*1.3*1.1+KFC!$C$33)*KFC!$C$5</f>
        <v>120.04278000000001</v>
      </c>
      <c r="J130" s="233">
        <f>(87.7*KFC!$B$33*1.02*1.3*1.1+KFC!$C$33)*KFC!$C$5</f>
        <v>127.91922000000002</v>
      </c>
      <c r="K130" s="233">
        <f>(93.1*KFC!$B$33*1.02*1.3*1.1+KFC!$C$33)*KFC!$C$5</f>
        <v>135.79566</v>
      </c>
      <c r="L130" s="233">
        <f>(98.5*KFC!$B$33*1.02*1.3*1.1+KFC!$C$33)*KFC!$C$5</f>
        <v>143.6721</v>
      </c>
      <c r="M130" s="233">
        <f>(103.8*KFC!$B$33*1.02*1.3*1.1+KFC!$C$33)*KFC!$C$5</f>
        <v>151.40268</v>
      </c>
      <c r="N130" s="233">
        <f>(109.2*KFC!$B$33*1.02*1.3*1.1+KFC!$C$33)*KFC!$C$5</f>
        <v>159.27912000000003</v>
      </c>
      <c r="O130" s="233">
        <f>(114.6*KFC!$B$33*1.02*1.3*1.1+KFC!$C$33)*KFC!$C$5</f>
        <v>167.15556000000001</v>
      </c>
      <c r="P130" s="233">
        <f>(119.9*KFC!$B$33*1.02*1.3*1.1+KFC!$C$33)*KFC!$C$5</f>
        <v>174.88614000000001</v>
      </c>
      <c r="Q130" s="233">
        <f>(125.2*KFC!$B$33*1.02*1.3*1.1+KFC!$C$33)*KFC!$C$5</f>
        <v>182.61672000000004</v>
      </c>
      <c r="R130" s="233">
        <f>(130.6*KFC!$B$33*1.02*1.3*1.1+KFC!$C$33)*KFC!$C$5</f>
        <v>190.49316000000002</v>
      </c>
      <c r="S130" s="233">
        <f>(136*KFC!$B$33*1.02*1.3*1.1+KFC!$C$33)*KFC!$C$5</f>
        <v>198.36960000000002</v>
      </c>
      <c r="T130" s="233">
        <f>(141.4*KFC!$B$33*1.02*1.3*1.1+KFC!$C$33)*KFC!$C$5</f>
        <v>206.24604000000005</v>
      </c>
      <c r="U130" s="233">
        <f>(146.8*KFC!$B$33*1.02*1.3*1.1+KFC!$C$33)*KFC!$C$5</f>
        <v>214.12248000000005</v>
      </c>
      <c r="V130" s="233">
        <f>(152.1*KFC!$B$33*1.02*1.3*1.1+KFC!$C$33)*KFC!$C$5</f>
        <v>221.85306</v>
      </c>
      <c r="W130" s="233">
        <f>(157.4*KFC!$B$33*1.02*1.3*1.1+KFC!$C$33)*KFC!$C$5</f>
        <v>229.58364000000003</v>
      </c>
      <c r="X130" s="233">
        <f>(162.8*KFC!$B$33*1.02*1.3*1.1+KFC!$C$33)*KFC!$C$5</f>
        <v>237.46008000000003</v>
      </c>
      <c r="Y130" s="233">
        <f>(168.2*KFC!$B$33*1.02*1.3*1.1+KFC!$C$33)*KFC!$C$5</f>
        <v>245.33652000000001</v>
      </c>
      <c r="Z130" s="233">
        <f>(173.5*KFC!$B$33*1.02*1.3*1.1+KFC!$C$33)*KFC!$C$5</f>
        <v>253.06710000000004</v>
      </c>
    </row>
    <row r="131" spans="1:26" ht="15.9" customHeight="1">
      <c r="A131" s="1912"/>
      <c r="B131" s="237">
        <v>1</v>
      </c>
      <c r="C131" s="239">
        <f>(51.7*KFC!$B$33*1.02*1.3*1.1+KFC!$C$33)*KFC!$C$5</f>
        <v>75.409620000000018</v>
      </c>
      <c r="D131" s="233">
        <f>(57.4*KFC!$B$33*1.02*1.3*1.1+KFC!$C$33)*KFC!$C$5</f>
        <v>83.723640000000017</v>
      </c>
      <c r="E131" s="233">
        <f>(63*KFC!$B$33*1.02*1.3*1.1+KFC!$C$33)*KFC!$C$5</f>
        <v>91.891800000000018</v>
      </c>
      <c r="F131" s="233">
        <f>(68.6*KFC!$B$33*1.02*1.3*1.1+KFC!$C$33)*KFC!$C$5</f>
        <v>100.05996</v>
      </c>
      <c r="G131" s="233">
        <f>(74.2*KFC!$B$33*1.02*1.3*1.1+KFC!$C$33)*KFC!$C$5</f>
        <v>108.22812000000002</v>
      </c>
      <c r="H131" s="233">
        <f>(79.9*KFC!$B$33*1.02*1.3*1.1+KFC!$C$33)*KFC!$C$5</f>
        <v>116.54214000000003</v>
      </c>
      <c r="I131" s="233">
        <f>(85.5*KFC!$B$33*1.02*1.3*1.1+KFC!$C$33)*KFC!$C$5</f>
        <v>124.71030000000003</v>
      </c>
      <c r="J131" s="233">
        <f>(91.1*KFC!$B$33*1.02*1.3*1.1+KFC!$C$33)*KFC!$C$5</f>
        <v>132.87845999999999</v>
      </c>
      <c r="K131" s="233">
        <f>(96.7*KFC!$B$33*1.02*1.3*1.1+KFC!$C$33)*KFC!$C$5</f>
        <v>141.04662000000002</v>
      </c>
      <c r="L131" s="233">
        <f>(102.5*KFC!$B$33*1.02*1.3*1.1+KFC!$C$33)*KFC!$C$5</f>
        <v>149.50650000000002</v>
      </c>
      <c r="M131" s="233">
        <f>(108.1*KFC!$B$33*1.02*1.3*1.1+KFC!$C$33)*KFC!$C$5</f>
        <v>157.67466000000002</v>
      </c>
      <c r="N131" s="233">
        <f>(113.7*KFC!$B$33*1.02*1.3*1.1+KFC!$C$33)*KFC!$C$5</f>
        <v>165.84282000000002</v>
      </c>
      <c r="O131" s="233">
        <f>(119.4*KFC!$B$33*1.02*1.3*1.1+KFC!$C$33)*KFC!$C$5</f>
        <v>174.15684000000005</v>
      </c>
      <c r="P131" s="233">
        <f>(125*KFC!$B$33*1.02*1.3*1.1+KFC!$C$33)*KFC!$C$5</f>
        <v>182.32500000000002</v>
      </c>
      <c r="Q131" s="233">
        <f>(130.6*KFC!$B$33*1.02*1.3*1.1+KFC!$C$33)*KFC!$C$5</f>
        <v>190.49316000000002</v>
      </c>
      <c r="R131" s="233">
        <f>(136.2*KFC!$B$33*1.02*1.3*1.1+KFC!$C$33)*KFC!$C$5</f>
        <v>198.66131999999999</v>
      </c>
      <c r="S131" s="233">
        <f>(141.9*KFC!$B$33*1.02*1.3*1.1+KFC!$C$33)*KFC!$C$5</f>
        <v>206.97534000000002</v>
      </c>
      <c r="T131" s="233">
        <f>(147.5*KFC!$B$33*1.02*1.3*1.1+KFC!$C$33)*KFC!$C$5</f>
        <v>215.14349999999999</v>
      </c>
      <c r="U131" s="233">
        <f>(153.1*KFC!$B$33*1.02*1.3*1.1+KFC!$C$33)*KFC!$C$5</f>
        <v>223.31166000000002</v>
      </c>
      <c r="V131" s="233">
        <f>(158.7*KFC!$B$33*1.02*1.3*1.1+KFC!$C$33)*KFC!$C$5</f>
        <v>231.47982000000005</v>
      </c>
      <c r="W131" s="233">
        <f>(164.4*KFC!$B$33*1.02*1.3*1.1+KFC!$C$33)*KFC!$C$5</f>
        <v>239.79384000000007</v>
      </c>
      <c r="X131" s="233">
        <f>(170*KFC!$B$33*1.02*1.3*1.1+KFC!$C$33)*KFC!$C$5</f>
        <v>247.96200000000005</v>
      </c>
      <c r="Y131" s="233">
        <f>(175.6*KFC!$B$33*1.02*1.3*1.1+KFC!$C$33)*KFC!$C$5</f>
        <v>256.13015999999999</v>
      </c>
      <c r="Z131" s="233">
        <f>(181.4*KFC!$B$33*1.02*1.3*1.1+KFC!$C$33)*KFC!$C$5</f>
        <v>264.59004000000004</v>
      </c>
    </row>
    <row r="132" spans="1:26" ht="15.9" customHeight="1">
      <c r="A132" s="1912"/>
      <c r="B132" s="237">
        <v>1.1000000000000001</v>
      </c>
      <c r="C132" s="239">
        <f>(53.2*KFC!$B$33*1.02*1.3*1.1+KFC!$C$33)*KFC!$C$5</f>
        <v>77.597520000000017</v>
      </c>
      <c r="D132" s="233">
        <f>(59.2*KFC!$B$33*1.02*1.3*1.1+KFC!$C$33)*KFC!$C$5</f>
        <v>86.349120000000028</v>
      </c>
      <c r="E132" s="233">
        <f>(65.1*KFC!$B$33*1.02*1.3*1.1+KFC!$C$33)*KFC!$C$5</f>
        <v>94.954860000000011</v>
      </c>
      <c r="F132" s="233">
        <f>(70.9*KFC!$B$33*1.02*1.3*1.1+KFC!$C$33)*KFC!$C$5</f>
        <v>103.41474000000002</v>
      </c>
      <c r="G132" s="233">
        <f>(76.9*KFC!$B$33*1.02*1.3*1.1+KFC!$C$33)*KFC!$C$5</f>
        <v>112.16634000000002</v>
      </c>
      <c r="H132" s="233">
        <f>(82.8*KFC!$B$33*1.02*1.3*1.1+KFC!$C$33)*KFC!$C$5</f>
        <v>120.77208000000003</v>
      </c>
      <c r="I132" s="233">
        <f>(88.7*KFC!$B$33*1.02*1.3*1.1+KFC!$C$33)*KFC!$C$5</f>
        <v>129.37782000000001</v>
      </c>
      <c r="J132" s="233">
        <f>(94.5*KFC!$B$33*1.02*1.3*1.1+KFC!$C$33)*KFC!$C$5</f>
        <v>137.83770000000001</v>
      </c>
      <c r="K132" s="233">
        <f>(100.5*KFC!$B$33*1.02*1.3*1.1+KFC!$C$33)*KFC!$C$5</f>
        <v>146.58930000000001</v>
      </c>
      <c r="L132" s="233">
        <f>(106.4*KFC!$B$33*1.02*1.3*1.1+KFC!$C$33)*KFC!$C$5</f>
        <v>155.19504000000003</v>
      </c>
      <c r="M132" s="233">
        <f>(112.3*KFC!$B$33*1.02*1.3*1.1+KFC!$C$33)*KFC!$C$5</f>
        <v>163.80078</v>
      </c>
      <c r="N132" s="233">
        <f>(118.3*KFC!$B$33*1.02*1.3*1.1+KFC!$C$33)*KFC!$C$5</f>
        <v>172.55238000000003</v>
      </c>
      <c r="O132" s="233">
        <f>(124.1*KFC!$B$33*1.02*1.3*1.1+KFC!$C$33)*KFC!$C$5</f>
        <v>181.01226000000003</v>
      </c>
      <c r="P132" s="233">
        <f>(130*KFC!$B$33*1.02*1.3*1.1+KFC!$C$33)*KFC!$C$5</f>
        <v>189.61800000000002</v>
      </c>
      <c r="Q132" s="233">
        <f>(135.9*KFC!$B$33*1.02*1.3*1.1+KFC!$C$33)*KFC!$C$5</f>
        <v>198.22373999999999</v>
      </c>
      <c r="R132" s="233">
        <f>(141.9*KFC!$B$33*1.02*1.3*1.1+KFC!$C$33)*KFC!$C$5</f>
        <v>206.97534000000002</v>
      </c>
      <c r="S132" s="233">
        <f>(147.7*KFC!$B$33*1.02*1.3*1.1+KFC!$C$33)*KFC!$C$5</f>
        <v>215.43522000000002</v>
      </c>
      <c r="T132" s="233">
        <f>(153.6*KFC!$B$33*1.02*1.3*1.1+KFC!$C$33)*KFC!$C$5</f>
        <v>224.04096000000001</v>
      </c>
      <c r="U132" s="233">
        <f>(159.6*KFC!$B$33*1.02*1.3*1.1+KFC!$C$33)*KFC!$C$5</f>
        <v>232.79256000000004</v>
      </c>
      <c r="V132" s="233">
        <f>(165.5*KFC!$B$33*1.02*1.3*1.1+KFC!$C$33)*KFC!$C$5</f>
        <v>241.39830000000003</v>
      </c>
      <c r="W132" s="233">
        <f>(171.3*KFC!$B$33*1.02*1.3*1.1+KFC!$C$33)*KFC!$C$5</f>
        <v>249.85818000000009</v>
      </c>
      <c r="X132" s="233">
        <f>(177.2*KFC!$B$33*1.02*1.3*1.1+KFC!$C$33)*KFC!$C$5</f>
        <v>258.46392000000003</v>
      </c>
      <c r="Y132" s="233">
        <f>(183.2*KFC!$B$33*1.02*1.3*1.1+KFC!$C$33)*KFC!$C$5</f>
        <v>267.21552000000003</v>
      </c>
      <c r="Z132" s="233">
        <f>(189.1*KFC!$B$33*1.02*1.3*1.1+KFC!$C$33)*KFC!$C$5</f>
        <v>275.82126000000005</v>
      </c>
    </row>
    <row r="133" spans="1:26" ht="15.9" customHeight="1">
      <c r="A133" s="1912"/>
      <c r="B133" s="237">
        <v>1.2</v>
      </c>
      <c r="C133" s="239">
        <f>(54.8*KFC!$B$33*1.02*1.3*1.1+KFC!$C$33)*KFC!$C$5</f>
        <v>79.931280000000001</v>
      </c>
      <c r="D133" s="233">
        <f>(61*KFC!$B$33*1.02*1.3*1.1+KFC!$C$33)*KFC!$C$5</f>
        <v>88.974600000000009</v>
      </c>
      <c r="E133" s="233">
        <f>(67.1*KFC!$B$33*1.02*1.3*1.1+KFC!$C$33)*KFC!$C$5</f>
        <v>97.872060000000005</v>
      </c>
      <c r="F133" s="233">
        <f>(73.4*KFC!$B$33*1.02*1.3*1.1+KFC!$C$33)*KFC!$C$5</f>
        <v>107.06124000000003</v>
      </c>
      <c r="G133" s="233">
        <f>(79.5*KFC!$B$33*1.02*1.3*1.1+KFC!$C$33)*KFC!$C$5</f>
        <v>115.95870000000001</v>
      </c>
      <c r="H133" s="233">
        <f>(85.7*KFC!$B$33*1.02*1.3*1.1+KFC!$C$33)*KFC!$C$5</f>
        <v>125.00202000000003</v>
      </c>
      <c r="I133" s="233">
        <f>(91.8*KFC!$B$33*1.02*1.3*1.1+KFC!$C$33)*KFC!$C$5</f>
        <v>133.89948000000001</v>
      </c>
      <c r="J133" s="233">
        <f>(98.1*KFC!$B$33*1.02*1.3*1.1+KFC!$C$33)*KFC!$C$5</f>
        <v>143.08866</v>
      </c>
      <c r="K133" s="233">
        <f>(104.2*KFC!$B$33*1.02*1.3*1.1+KFC!$C$33)*KFC!$C$5</f>
        <v>151.98612000000003</v>
      </c>
      <c r="L133" s="233">
        <f>(110.4*KFC!$B$33*1.02*1.3*1.1+KFC!$C$33)*KFC!$C$5</f>
        <v>161.02944000000002</v>
      </c>
      <c r="M133" s="233">
        <f>(116.6*KFC!$B$33*1.02*1.3*1.1+KFC!$C$33)*KFC!$C$5</f>
        <v>170.07276000000002</v>
      </c>
      <c r="N133" s="233">
        <f>(122.8*KFC!$B$33*1.02*1.3*1.1+KFC!$C$33)*KFC!$C$5</f>
        <v>179.11608000000001</v>
      </c>
      <c r="O133" s="233">
        <f>(128.9*KFC!$B$33*1.02*1.3*1.1+KFC!$C$33)*KFC!$C$5</f>
        <v>188.01354000000003</v>
      </c>
      <c r="P133" s="233">
        <f>(135.1*KFC!$B$33*1.02*1.3*1.1+KFC!$C$33)*KFC!$C$5</f>
        <v>197.05686</v>
      </c>
      <c r="Q133" s="233">
        <f>(141.3*KFC!$B$33*1.02*1.3*1.1+KFC!$C$33)*KFC!$C$5</f>
        <v>206.10018000000005</v>
      </c>
      <c r="R133" s="233">
        <f>(147.5*KFC!$B$33*1.02*1.3*1.1+KFC!$C$33)*KFC!$C$5</f>
        <v>215.14349999999999</v>
      </c>
      <c r="S133" s="233">
        <f>(153.6*KFC!$B$33*1.02*1.3*1.1+KFC!$C$33)*KFC!$C$5</f>
        <v>224.04096000000001</v>
      </c>
      <c r="T133" s="233">
        <f>(159.8*KFC!$B$33*1.02*1.3*1.1+KFC!$C$33)*KFC!$C$5</f>
        <v>233.08428000000006</v>
      </c>
      <c r="U133" s="233">
        <f>(166*KFC!$B$33*1.02*1.3*1.1+KFC!$C$33)*KFC!$C$5</f>
        <v>242.1276</v>
      </c>
      <c r="V133" s="233">
        <f>(172.7*KFC!$B$33*1.02*1.3*1.1+KFC!$C$33)*KFC!$C$5</f>
        <v>251.90022000000002</v>
      </c>
      <c r="W133" s="233">
        <f>(178.3*KFC!$B$33*1.02*1.3*1.1+KFC!$C$33)*KFC!$C$5</f>
        <v>260.06838000000005</v>
      </c>
      <c r="X133" s="233">
        <f>(184.6*KFC!$B$33*1.02*1.3*1.1+KFC!$C$33)*KFC!$C$5</f>
        <v>269.25756000000001</v>
      </c>
      <c r="Y133" s="233">
        <f>(190.7*KFC!$B$33*1.02*1.3*1.1+KFC!$C$33)*KFC!$C$5</f>
        <v>278.15501999999998</v>
      </c>
      <c r="Z133" s="233">
        <f>(196.9*KFC!$B$33*1.02*1.3*1.1+KFC!$C$33)*KFC!$C$5</f>
        <v>287.19834000000003</v>
      </c>
    </row>
    <row r="134" spans="1:26" ht="15.9" customHeight="1">
      <c r="A134" s="1912"/>
      <c r="B134" s="237">
        <v>1.3</v>
      </c>
      <c r="C134" s="239">
        <f>(56.4*KFC!$B$33*1.02*1.3*1.1+KFC!$C$33)*KFC!$C$5</f>
        <v>82.265040000000013</v>
      </c>
      <c r="D134" s="233">
        <f>(62.7*KFC!$B$33*1.02*1.3*1.1+KFC!$C$33)*KFC!$C$5</f>
        <v>91.454220000000021</v>
      </c>
      <c r="E134" s="233">
        <f>(69.2*KFC!$B$33*1.02*1.3*1.1+KFC!$C$33)*KFC!$C$5</f>
        <v>100.93512000000001</v>
      </c>
      <c r="F134" s="233">
        <f>(75.7*KFC!$B$33*1.02*1.3*1.1+KFC!$C$33)*KFC!$C$5</f>
        <v>110.41602000000002</v>
      </c>
      <c r="G134" s="233">
        <f>(82.1*KFC!$B$33*1.02*1.3*1.1+KFC!$C$33)*KFC!$C$5</f>
        <v>119.75106000000001</v>
      </c>
      <c r="H134" s="233">
        <f>(88.5*KFC!$B$33*1.02*1.3*1.1+KFC!$C$33)*KFC!$C$5</f>
        <v>129.08610000000002</v>
      </c>
      <c r="I134" s="233">
        <f>(95*KFC!$B$33*1.02*1.3*1.1+KFC!$C$33)*KFC!$C$5</f>
        <v>138.56700000000004</v>
      </c>
      <c r="J134" s="233">
        <f>(101.5*KFC!$B$33*1.02*1.3*1.1+KFC!$C$33)*KFC!$C$5</f>
        <v>148.0479</v>
      </c>
      <c r="K134" s="233">
        <f>(107.9*KFC!$B$33*1.02*1.3*1.1+KFC!$C$33)*KFC!$C$5</f>
        <v>157.38294000000002</v>
      </c>
      <c r="L134" s="233">
        <f>(114.4*KFC!$B$33*1.02*1.3*1.1+KFC!$C$33)*KFC!$C$5</f>
        <v>166.86384000000001</v>
      </c>
      <c r="M134" s="233">
        <f>(120.8*KFC!$B$33*1.02*1.3*1.1+KFC!$C$33)*KFC!$C$5</f>
        <v>176.19888000000003</v>
      </c>
      <c r="N134" s="233">
        <f>(127.2*KFC!$B$33*1.02*1.3*1.1+KFC!$C$33)*KFC!$C$5</f>
        <v>185.53392000000002</v>
      </c>
      <c r="O134" s="233">
        <f>(133.7*KFC!$B$33*1.02*1.3*1.1+KFC!$C$33)*KFC!$C$5</f>
        <v>195.01482000000001</v>
      </c>
      <c r="P134" s="233">
        <f>(140.2*KFC!$B$33*1.02*1.3*1.1+KFC!$C$33)*KFC!$C$5</f>
        <v>204.49572000000003</v>
      </c>
      <c r="Q134" s="233">
        <f>(146.6*KFC!$B$33*1.02*1.3*1.1+KFC!$C$33)*KFC!$C$5</f>
        <v>213.83076000000003</v>
      </c>
      <c r="R134" s="233">
        <f>(153*KFC!$B$33*1.02*1.3*1.1+KFC!$C$33)*KFC!$C$5</f>
        <v>223.16580000000005</v>
      </c>
      <c r="S134" s="233">
        <f>(159.5*KFC!$B$33*1.02*1.3*1.1+KFC!$C$33)*KFC!$C$5</f>
        <v>232.64670000000004</v>
      </c>
      <c r="T134" s="233">
        <f>(166*KFC!$B$33*1.02*1.3*1.1+KFC!$C$33)*KFC!$C$5</f>
        <v>242.1276</v>
      </c>
      <c r="U134" s="233">
        <f>(172.3*KFC!$B$33*1.02*1.3*1.1+KFC!$C$33)*KFC!$C$5</f>
        <v>251.31678000000005</v>
      </c>
      <c r="V134" s="233">
        <f>(178.8*KFC!$B$33*1.02*1.3*1.1+KFC!$C$33)*KFC!$C$5</f>
        <v>260.79768000000007</v>
      </c>
      <c r="W134" s="233">
        <f>(185.3*KFC!$B$33*1.02*1.3*1.1+KFC!$C$33)*KFC!$C$5</f>
        <v>270.27858000000009</v>
      </c>
      <c r="X134" s="233">
        <f>(191.8*KFC!$B$33*1.02*1.3*1.1+KFC!$C$33)*KFC!$C$5</f>
        <v>279.75948000000005</v>
      </c>
      <c r="Y134" s="233">
        <f>(198.1*KFC!$B$33*1.02*1.3*1.1+KFC!$C$33)*KFC!$C$5</f>
        <v>288.94866000000007</v>
      </c>
      <c r="Z134" s="233">
        <f>(204.6*KFC!$B$33*1.02*1.3*1.1+KFC!$C$33)*KFC!$C$5</f>
        <v>298.42956000000004</v>
      </c>
    </row>
    <row r="135" spans="1:26" ht="15.9" customHeight="1">
      <c r="A135" s="1912"/>
      <c r="B135" s="237">
        <v>1.4</v>
      </c>
      <c r="C135" s="239">
        <f>(57.8*KFC!$B$33*1.02*1.3*1.1+KFC!$C$33)*KFC!$C$5</f>
        <v>84.307079999999999</v>
      </c>
      <c r="D135" s="233">
        <f>(64.6*KFC!$B$33*1.02*1.3*1.1+KFC!$C$33)*KFC!$C$5</f>
        <v>94.225560000000002</v>
      </c>
      <c r="E135" s="233">
        <f>(71.3*KFC!$B$33*1.02*1.3*1.1+KFC!$C$33)*KFC!$C$5</f>
        <v>103.99818000000002</v>
      </c>
      <c r="F135" s="233">
        <f>(78*KFC!$B$33*1.02*1.3*1.1+KFC!$C$33)*KFC!$C$5</f>
        <v>113.77080000000002</v>
      </c>
      <c r="G135" s="233">
        <f>(84.8*KFC!$B$33*1.02*1.3*1.1+KFC!$C$33)*KFC!$C$5</f>
        <v>123.68928000000001</v>
      </c>
      <c r="H135" s="233">
        <f>(91.5*KFC!$B$33*1.02*1.3*1.1+KFC!$C$33)*KFC!$C$5</f>
        <v>133.46190000000001</v>
      </c>
      <c r="I135" s="233">
        <f>(98.2*KFC!$B$33*1.02*1.3*1.1+KFC!$C$33)*KFC!$C$5</f>
        <v>143.23452</v>
      </c>
      <c r="J135" s="233">
        <f>(104.9*KFC!$B$33*1.02*1.3*1.1+KFC!$C$33)*KFC!$C$5</f>
        <v>153.00714000000005</v>
      </c>
      <c r="K135" s="233">
        <f>(111.7*KFC!$B$33*1.02*1.3*1.1+KFC!$C$33)*KFC!$C$5</f>
        <v>162.92562000000004</v>
      </c>
      <c r="L135" s="233">
        <f>(118.4*KFC!$B$33*1.02*1.3*1.1+KFC!$C$33)*KFC!$C$5</f>
        <v>172.69824000000006</v>
      </c>
      <c r="M135" s="233">
        <f>(125*KFC!$B$33*1.02*1.3*1.1+KFC!$C$33)*KFC!$C$5</f>
        <v>182.32500000000002</v>
      </c>
      <c r="N135" s="233">
        <f>(131.7*KFC!$B$33*1.02*1.3*1.1+KFC!$C$33)*KFC!$C$5</f>
        <v>192.09762000000003</v>
      </c>
      <c r="O135" s="233">
        <f>(138.4*KFC!$B$33*1.02*1.3*1.1+KFC!$C$33)*KFC!$C$5</f>
        <v>201.87024000000002</v>
      </c>
      <c r="P135" s="233">
        <f>(145.2*KFC!$B$33*1.02*1.3*1.1+KFC!$C$33)*KFC!$C$5</f>
        <v>211.78871999999998</v>
      </c>
      <c r="Q135" s="233">
        <f>(151.9*KFC!$B$33*1.02*1.3*1.1+KFC!$C$33)*KFC!$C$5</f>
        <v>221.56134000000006</v>
      </c>
      <c r="R135" s="233">
        <f>(158.6*KFC!$B$33*1.02*1.3*1.1+KFC!$C$33)*KFC!$C$5</f>
        <v>231.33396000000002</v>
      </c>
      <c r="S135" s="233">
        <f>(165.3*KFC!$B$33*1.02*1.3*1.1+KFC!$C$33)*KFC!$C$5</f>
        <v>241.10658000000006</v>
      </c>
      <c r="T135" s="233">
        <f>(172.1*KFC!$B$33*1.02*1.3*1.1+KFC!$C$33)*KFC!$C$5</f>
        <v>251.02506000000002</v>
      </c>
      <c r="U135" s="233">
        <f>(178.8*KFC!$B$33*1.02*1.3*1.1+KFC!$C$33)*KFC!$C$5</f>
        <v>260.79768000000007</v>
      </c>
      <c r="V135" s="233">
        <f>(185.5*KFC!$B$33*1.02*1.3*1.1+KFC!$C$33)*KFC!$C$5</f>
        <v>270.57030000000003</v>
      </c>
      <c r="W135" s="233">
        <f>(192.3*KFC!$B$33*1.02*1.3*1.1+KFC!$C$33)*KFC!$C$5</f>
        <v>280.48878000000008</v>
      </c>
      <c r="X135" s="233">
        <f>(199*KFC!$B$33*1.02*1.3*1.1+KFC!$C$33)*KFC!$C$5</f>
        <v>290.26140000000004</v>
      </c>
      <c r="Y135" s="233">
        <f>(205.7*KFC!$B$33*1.02*1.3*1.1+KFC!$C$33)*KFC!$C$5</f>
        <v>300.03402</v>
      </c>
      <c r="Z135" s="233">
        <f>(212.4*KFC!$B$33*1.02*1.3*1.1+KFC!$C$33)*KFC!$C$5</f>
        <v>309.80664000000002</v>
      </c>
    </row>
    <row r="136" spans="1:26" ht="15.9" customHeight="1">
      <c r="A136" s="1912"/>
      <c r="B136" s="237">
        <v>1.5</v>
      </c>
      <c r="C136" s="239">
        <f>(59.4*KFC!$B$33*1.02*1.3*1.1+KFC!$C$33)*KFC!$C$5</f>
        <v>86.640840000000011</v>
      </c>
      <c r="D136" s="233">
        <f>(66.4*KFC!$B$33*1.02*1.3*1.1+KFC!$C$33)*KFC!$C$5</f>
        <v>96.851040000000026</v>
      </c>
      <c r="E136" s="233">
        <f>(73.4*KFC!$B$33*1.02*1.3*1.1+KFC!$C$33)*KFC!$C$5</f>
        <v>107.06124000000003</v>
      </c>
      <c r="F136" s="233">
        <f>(80.4*KFC!$B$33*1.02*1.3*1.1+KFC!$C$33)*KFC!$C$5</f>
        <v>117.27144000000003</v>
      </c>
      <c r="G136" s="233">
        <f>(87.3*KFC!$B$33*1.02*1.3*1.1+KFC!$C$33)*KFC!$C$5</f>
        <v>127.33578000000001</v>
      </c>
      <c r="H136" s="233">
        <f>(94.3*KFC!$B$33*1.02*1.3*1.1+KFC!$C$33)*KFC!$C$5</f>
        <v>137.54598000000001</v>
      </c>
      <c r="I136" s="233">
        <f>(101.4*KFC!$B$33*1.02*1.3*1.1+KFC!$C$33)*KFC!$C$5</f>
        <v>147.90204000000006</v>
      </c>
      <c r="J136" s="233">
        <f>(108.4*KFC!$B$33*1.02*1.3*1.1+KFC!$C$33)*KFC!$C$5</f>
        <v>158.11224000000001</v>
      </c>
      <c r="K136" s="233">
        <f>(115.3*KFC!$B$33*1.02*1.3*1.1+KFC!$C$33)*KFC!$C$5</f>
        <v>168.17658</v>
      </c>
      <c r="L136" s="233">
        <f>(122.3*KFC!$B$33*1.02*1.3*1.1+KFC!$C$33)*KFC!$C$5</f>
        <v>178.38678000000002</v>
      </c>
      <c r="M136" s="233">
        <f>(129.3*KFC!$B$33*1.02*1.3*1.1+KFC!$C$33)*KFC!$C$5</f>
        <v>188.59698000000006</v>
      </c>
      <c r="N136" s="233">
        <f>(136.2*KFC!$B$33*1.02*1.3*1.1+KFC!$C$33)*KFC!$C$5</f>
        <v>198.66131999999999</v>
      </c>
      <c r="O136" s="233">
        <f>(143.2*KFC!$B$33*1.02*1.3*1.1+KFC!$C$33)*KFC!$C$5</f>
        <v>208.87152</v>
      </c>
      <c r="P136" s="233">
        <f>(150.3*KFC!$B$33*1.02*1.3*1.1+KFC!$C$33)*KFC!$C$5</f>
        <v>219.22758000000005</v>
      </c>
      <c r="Q136" s="233">
        <f>(157.3*KFC!$B$33*1.02*1.3*1.1+KFC!$C$33)*KFC!$C$5</f>
        <v>229.43778000000006</v>
      </c>
      <c r="R136" s="233">
        <f>(164.2*KFC!$B$33*1.02*1.3*1.1+KFC!$C$33)*KFC!$C$5</f>
        <v>239.50212000000002</v>
      </c>
      <c r="S136" s="233">
        <f>(171.2*KFC!$B$33*1.02*1.3*1.1+KFC!$C$33)*KFC!$C$5</f>
        <v>249.71232000000003</v>
      </c>
      <c r="T136" s="233">
        <f>(178.2*KFC!$B$33*1.02*1.3*1.1+KFC!$C$33)*KFC!$C$5</f>
        <v>259.92252000000002</v>
      </c>
      <c r="U136" s="233">
        <f>(185.2*KFC!$B$33*1.02*1.3*1.1+KFC!$C$33)*KFC!$C$5</f>
        <v>270.13272000000001</v>
      </c>
      <c r="V136" s="233">
        <f>(192.1*KFC!$B$33*1.02*1.3*1.1+KFC!$C$33)*KFC!$C$5</f>
        <v>280.19706000000002</v>
      </c>
      <c r="W136" s="233">
        <f>(199.2*KFC!$B$33*1.02*1.3*1.1+KFC!$C$33)*KFC!$C$5</f>
        <v>290.55312000000004</v>
      </c>
      <c r="X136" s="233">
        <f>(206.2*KFC!$B$33*1.02*1.3*1.1+KFC!$C$33)*KFC!$C$5</f>
        <v>300.76332000000002</v>
      </c>
      <c r="Y136" s="233">
        <f>(213.2*KFC!$B$33*1.02*1.3*1.1+KFC!$C$33)*KFC!$C$5</f>
        <v>310.97352000000001</v>
      </c>
      <c r="Z136" s="233">
        <f>(220.1*KFC!$B$33*1.02*1.3*1.1+KFC!$C$33)*KFC!$C$5</f>
        <v>321.03786000000002</v>
      </c>
    </row>
    <row r="137" spans="1:26" ht="15.9" customHeight="1">
      <c r="A137" s="1912"/>
      <c r="B137" s="237">
        <v>1.6</v>
      </c>
      <c r="C137" s="239">
        <f>(60.9*KFC!$B$33*1.02*1.3*1.1+KFC!$C$33)*KFC!$C$5</f>
        <v>88.82874000000001</v>
      </c>
      <c r="D137" s="233">
        <f>(68.2*KFC!$B$33*1.02*1.3*1.1+KFC!$C$33)*KFC!$C$5</f>
        <v>99.476520000000022</v>
      </c>
      <c r="E137" s="233">
        <f>(75.5*KFC!$B$33*1.02*1.3*1.1+KFC!$C$33)*KFC!$C$5</f>
        <v>110.12430000000002</v>
      </c>
      <c r="F137" s="233">
        <f>(82.7*KFC!$B$33*1.02*1.3*1.1+KFC!$C$33)*KFC!$C$5</f>
        <v>120.62622000000002</v>
      </c>
      <c r="G137" s="233">
        <f>(90*KFC!$B$33*1.02*1.3*1.1+KFC!$C$33)*KFC!$C$5</f>
        <v>131.274</v>
      </c>
      <c r="H137" s="233">
        <f>(97.2*KFC!$B$33*1.02*1.3*1.1+KFC!$C$33)*KFC!$C$5</f>
        <v>141.77592000000001</v>
      </c>
      <c r="I137" s="233">
        <f>(104.4*KFC!$B$33*1.02*1.3*1.1+KFC!$C$33)*KFC!$C$5</f>
        <v>152.27784000000003</v>
      </c>
      <c r="J137" s="233">
        <f>(111.8*KFC!$B$33*1.02*1.3*1.1+KFC!$C$33)*KFC!$C$5</f>
        <v>163.07148000000001</v>
      </c>
      <c r="K137" s="233">
        <f>(119*KFC!$B$33*1.02*1.3*1.1+KFC!$C$33)*KFC!$C$5</f>
        <v>173.57340000000002</v>
      </c>
      <c r="L137" s="233">
        <f>(126.3*KFC!$B$33*1.02*1.3*1.1+KFC!$C$33)*KFC!$C$5</f>
        <v>184.22118000000003</v>
      </c>
      <c r="M137" s="233">
        <f>(133.6*KFC!$B$33*1.02*1.3*1.1+KFC!$C$33)*KFC!$C$5</f>
        <v>194.86895999999999</v>
      </c>
      <c r="N137" s="233">
        <f>(140.8*KFC!$B$33*1.02*1.3*1.1+KFC!$C$33)*KFC!$C$5</f>
        <v>205.37088000000003</v>
      </c>
      <c r="O137" s="233">
        <f>(148.1*KFC!$B$33*1.02*1.3*1.1+KFC!$C$33)*KFC!$C$5</f>
        <v>216.01866000000001</v>
      </c>
      <c r="P137" s="233">
        <f>(155.3*KFC!$B$33*1.02*1.3*1.1+KFC!$C$33)*KFC!$C$5</f>
        <v>226.52058000000005</v>
      </c>
      <c r="Q137" s="233">
        <f>(162.5*KFC!$B$33*1.02*1.3*1.1+KFC!$C$33)*KFC!$C$5</f>
        <v>237.02250000000001</v>
      </c>
      <c r="R137" s="233">
        <f>(169.9*KFC!$B$33*1.02*1.3*1.1+KFC!$C$33)*KFC!$C$5</f>
        <v>247.81614000000005</v>
      </c>
      <c r="S137" s="233">
        <f>(177.1*KFC!$B$33*1.02*1.3*1.1+KFC!$C$33)*KFC!$C$5</f>
        <v>258.31806</v>
      </c>
      <c r="T137" s="233">
        <f>(184.3*KFC!$B$33*1.02*1.3*1.1+KFC!$C$33)*KFC!$C$5</f>
        <v>268.81998000000004</v>
      </c>
      <c r="U137" s="233">
        <f>(191.6*KFC!$B$33*1.02*1.3*1.1+KFC!$C$33)*KFC!$C$5</f>
        <v>279.46776</v>
      </c>
      <c r="V137" s="233">
        <f>(198.9*KFC!$B$33*1.02*1.3*1.1+KFC!$C$33)*KFC!$C$5</f>
        <v>290.11554000000007</v>
      </c>
      <c r="W137" s="233">
        <f>(206.1*KFC!$B$33*1.02*1.3*1.1+KFC!$C$33)*KFC!$C$5</f>
        <v>300.61746000000005</v>
      </c>
      <c r="X137" s="233">
        <f>(213.4*KFC!$B$33*1.02*1.3*1.1+KFC!$C$33)*KFC!$C$5</f>
        <v>311.26524000000006</v>
      </c>
      <c r="Y137" s="233">
        <f>(220.6*KFC!$B$33*1.02*1.3*1.1+KFC!$C$33)*KFC!$C$5</f>
        <v>321.76716000000005</v>
      </c>
      <c r="Z137" s="233">
        <f>(228*KFC!$B$33*1.02*1.3*1.1+KFC!$C$33)*KFC!$C$5</f>
        <v>332.56080000000009</v>
      </c>
    </row>
    <row r="138" spans="1:26" ht="15.9" customHeight="1">
      <c r="A138" s="1912"/>
      <c r="B138" s="237">
        <v>1.7</v>
      </c>
      <c r="C138" s="239">
        <f>(62.5*KFC!$B$33*1.02*1.3*1.1+KFC!$C$33)*KFC!$C$5</f>
        <v>91.162500000000009</v>
      </c>
      <c r="D138" s="233">
        <f>(70*KFC!$B$33*1.02*1.3*1.1+KFC!$C$33)*KFC!$C$5</f>
        <v>102.10200000000002</v>
      </c>
      <c r="E138" s="233">
        <f>(77.5*KFC!$B$33*1.02*1.3*1.1+KFC!$C$33)*KFC!$C$5</f>
        <v>113.04150000000001</v>
      </c>
      <c r="F138" s="233">
        <f>(85.1*KFC!$B$33*1.02*1.3*1.1+KFC!$C$33)*KFC!$C$5</f>
        <v>124.12685999999999</v>
      </c>
      <c r="G138" s="233">
        <f>(92.6*KFC!$B$33*1.02*1.3*1.1+KFC!$C$33)*KFC!$C$5</f>
        <v>135.06636</v>
      </c>
      <c r="H138" s="233">
        <f>(100.2*KFC!$B$33*1.02*1.3*1.1+KFC!$C$33)*KFC!$C$5</f>
        <v>146.15172000000004</v>
      </c>
      <c r="I138" s="233">
        <f>(107.6*KFC!$B$33*1.02*1.3*1.1+KFC!$C$33)*KFC!$C$5</f>
        <v>156.94536000000002</v>
      </c>
      <c r="J138" s="233">
        <f>(115.2*KFC!$B$33*1.02*1.3*1.1+KFC!$C$33)*KFC!$C$5</f>
        <v>168.03072</v>
      </c>
      <c r="K138" s="233">
        <f>(122.7*KFC!$B$33*1.02*1.3*1.1+KFC!$C$33)*KFC!$C$5</f>
        <v>178.97022000000004</v>
      </c>
      <c r="L138" s="233">
        <f>(130.2*KFC!$B$33*1.02*1.3*1.1+KFC!$C$33)*KFC!$C$5</f>
        <v>189.90972000000002</v>
      </c>
      <c r="M138" s="233">
        <f>(137.8*KFC!$B$33*1.02*1.3*1.1+KFC!$C$33)*KFC!$C$5</f>
        <v>200.99508000000006</v>
      </c>
      <c r="N138" s="233">
        <f>(145.3*KFC!$B$33*1.02*1.3*1.1+KFC!$C$33)*KFC!$C$5</f>
        <v>211.93458000000004</v>
      </c>
      <c r="O138" s="233">
        <f>(152.9*KFC!$B$33*1.02*1.3*1.1+KFC!$C$33)*KFC!$C$5</f>
        <v>223.01994000000005</v>
      </c>
      <c r="P138" s="233">
        <f>(160.3*KFC!$B$33*1.02*1.3*1.1+KFC!$C$33)*KFC!$C$5</f>
        <v>233.81358000000006</v>
      </c>
      <c r="Q138" s="233">
        <f>(167.9*KFC!$B$33*1.02*1.3*1.1+KFC!$C$33)*KFC!$C$5</f>
        <v>244.89894000000007</v>
      </c>
      <c r="R138" s="233">
        <f>(175.4*KFC!$B$33*1.02*1.3*1.1+KFC!$C$33)*KFC!$C$5</f>
        <v>255.83844000000005</v>
      </c>
      <c r="S138" s="233">
        <f>(183*KFC!$B$33*1.02*1.3*1.1+KFC!$C$33)*KFC!$C$5</f>
        <v>266.92380000000003</v>
      </c>
      <c r="T138" s="233">
        <f>(190.5*KFC!$B$33*1.02*1.3*1.1+KFC!$C$33)*KFC!$C$5</f>
        <v>277.86330000000004</v>
      </c>
      <c r="U138" s="233">
        <f>(198*KFC!$B$33*1.02*1.3*1.1+KFC!$C$33)*KFC!$C$5</f>
        <v>288.80280000000005</v>
      </c>
      <c r="V138" s="233">
        <f>(205.6*KFC!$B$33*1.02*1.3*1.1+KFC!$C$33)*KFC!$C$5</f>
        <v>299.88816000000003</v>
      </c>
      <c r="W138" s="233">
        <f>(213*KFC!$B$33*1.02*1.3*1.1+KFC!$C$33)*KFC!$C$5</f>
        <v>310.68180000000001</v>
      </c>
      <c r="X138" s="233">
        <f>(220.6*KFC!$B$33*1.02*1.3*1.1+KFC!$C$33)*KFC!$C$5</f>
        <v>321.76716000000005</v>
      </c>
      <c r="Y138" s="233">
        <f>(228.1*KFC!$B$33*1.02*1.3*1.1+KFC!$C$33)*KFC!$C$5</f>
        <v>332.70666</v>
      </c>
      <c r="Z138" s="233">
        <f>(235.7*KFC!$B$33*1.02*1.3*1.1+KFC!$C$33)*KFC!$C$5</f>
        <v>343.79202000000004</v>
      </c>
    </row>
    <row r="139" spans="1:26" ht="15.9" customHeight="1">
      <c r="A139" s="1912"/>
      <c r="B139" s="237">
        <v>1.8</v>
      </c>
      <c r="C139" s="239">
        <f>(64*KFC!$B$33*1.02*1.3*1.1+KFC!$C$33)*KFC!$C$5</f>
        <v>93.350400000000008</v>
      </c>
      <c r="D139" s="233">
        <f>(71.8*KFC!$B$33*1.02*1.3*1.1+KFC!$C$33)*KFC!$C$5</f>
        <v>104.72748000000003</v>
      </c>
      <c r="E139" s="233">
        <f>(79.6*KFC!$B$33*1.02*1.3*1.1+KFC!$C$33)*KFC!$C$5</f>
        <v>116.10456000000001</v>
      </c>
      <c r="F139" s="233">
        <f>(87.4*KFC!$B$33*1.02*1.3*1.1+KFC!$C$33)*KFC!$C$5</f>
        <v>127.48164000000004</v>
      </c>
      <c r="G139" s="233">
        <f>(95.3*KFC!$B$33*1.02*1.3*1.1+KFC!$C$33)*KFC!$C$5</f>
        <v>139.00458</v>
      </c>
      <c r="H139" s="233">
        <f>(103*KFC!$B$33*1.02*1.3*1.1+KFC!$C$33)*KFC!$C$5</f>
        <v>150.23580000000001</v>
      </c>
      <c r="I139" s="233">
        <f>(110.8*KFC!$B$33*1.02*1.3*1.1+KFC!$C$33)*KFC!$C$5</f>
        <v>161.61288000000002</v>
      </c>
      <c r="J139" s="233">
        <f>(118.6*KFC!$B$33*1.02*1.3*1.1+KFC!$C$33)*KFC!$C$5</f>
        <v>172.98996</v>
      </c>
      <c r="K139" s="233">
        <f>(126.5*KFC!$B$33*1.02*1.3*1.1+KFC!$C$33)*KFC!$C$5</f>
        <v>184.51290000000003</v>
      </c>
      <c r="L139" s="233">
        <f>(134.3*KFC!$B$33*1.02*1.3*1.1+KFC!$C$33)*KFC!$C$5</f>
        <v>195.88998000000007</v>
      </c>
      <c r="M139" s="233">
        <f>(142*KFC!$B$33*1.02*1.3*1.1+KFC!$C$33)*KFC!$C$5</f>
        <v>207.12120000000002</v>
      </c>
      <c r="N139" s="233">
        <f>(149.8*KFC!$B$33*1.02*1.3*1.1+KFC!$C$33)*KFC!$C$5</f>
        <v>218.49828000000005</v>
      </c>
      <c r="O139" s="233">
        <f>(157.6*KFC!$B$33*1.02*1.3*1.1+KFC!$C$33)*KFC!$C$5</f>
        <v>229.87536000000006</v>
      </c>
      <c r="P139" s="233">
        <f>(165.5*KFC!$B$33*1.02*1.3*1.1+KFC!$C$33)*KFC!$C$5</f>
        <v>241.39830000000003</v>
      </c>
      <c r="Q139" s="233">
        <f>(173.2*KFC!$B$33*1.02*1.3*1.1+KFC!$C$33)*KFC!$C$5</f>
        <v>252.62952000000001</v>
      </c>
      <c r="R139" s="233">
        <f>(181*KFC!$B$33*1.02*1.3*1.1+KFC!$C$33)*KFC!$C$5</f>
        <v>264.00660000000005</v>
      </c>
      <c r="S139" s="233">
        <f>(188.8*KFC!$B$33*1.02*1.3*1.1+KFC!$C$33)*KFC!$C$5</f>
        <v>275.38368000000008</v>
      </c>
      <c r="T139" s="233">
        <f>(196.7*KFC!$B$33*1.02*1.3*1.1+KFC!$C$33)*KFC!$C$5</f>
        <v>286.90662000000003</v>
      </c>
      <c r="U139" s="233">
        <f>(204.5*KFC!$B$33*1.02*1.3*1.1+KFC!$C$33)*KFC!$C$5</f>
        <v>298.28370000000007</v>
      </c>
      <c r="V139" s="233">
        <f>(212.2*KFC!$B$33*1.02*1.3*1.1+KFC!$C$33)*KFC!$C$5</f>
        <v>309.51492000000002</v>
      </c>
      <c r="W139" s="233">
        <f>(220*KFC!$B$33*1.02*1.3*1.1+KFC!$C$33)*KFC!$C$5</f>
        <v>320.89200000000005</v>
      </c>
      <c r="X139" s="233">
        <f>(227.8*KFC!$B$33*1.02*1.3*1.1+KFC!$C$33)*KFC!$C$5</f>
        <v>332.26908000000009</v>
      </c>
      <c r="Y139" s="233">
        <f>(235.7*KFC!$B$33*1.02*1.3*1.1+KFC!$C$33)*KFC!$C$5</f>
        <v>343.79202000000004</v>
      </c>
      <c r="Z139" s="233">
        <f>(243.5*KFC!$B$33*1.02*1.3*1.1+KFC!$C$33)*KFC!$C$5</f>
        <v>355.16910000000007</v>
      </c>
    </row>
    <row r="140" spans="1:26" ht="15.9" customHeight="1">
      <c r="A140" s="1912"/>
      <c r="B140" s="237">
        <v>1.9</v>
      </c>
      <c r="C140" s="239">
        <f>(65.6*KFC!$B$33*1.02*1.3*1.1+KFC!$C$33)*KFC!$C$5</f>
        <v>95.684159999999991</v>
      </c>
      <c r="D140" s="233">
        <f>(73.6*KFC!$B$33*1.02*1.3*1.1+KFC!$C$33)*KFC!$C$5</f>
        <v>107.35296000000001</v>
      </c>
      <c r="E140" s="233">
        <f>(81.7*KFC!$B$33*1.02*1.3*1.1+KFC!$C$33)*KFC!$C$5</f>
        <v>119.16762000000001</v>
      </c>
      <c r="F140" s="233">
        <f>(89.8*KFC!$B$33*1.02*1.3*1.1+KFC!$C$33)*KFC!$C$5</f>
        <v>130.98228000000003</v>
      </c>
      <c r="G140" s="233">
        <f>(97.8*KFC!$B$33*1.02*1.3*1.1+KFC!$C$33)*KFC!$C$5</f>
        <v>142.65108000000004</v>
      </c>
      <c r="H140" s="233">
        <f>(405.9*KFC!$B$33*1.02*1.3*1.1+KFC!$C$33)*KFC!$C$5</f>
        <v>592.04574000000002</v>
      </c>
      <c r="I140" s="233">
        <f>(114*KFC!$B$33*1.02*1.3*1.1+KFC!$C$33)*KFC!$C$5</f>
        <v>166.28040000000004</v>
      </c>
      <c r="J140" s="233">
        <f>(122.1*KFC!$B$33*1.02*1.3*1.1+KFC!$C$33)*KFC!$C$5</f>
        <v>178.09506000000005</v>
      </c>
      <c r="K140" s="233">
        <f>(130.1*KFC!$B$33*1.02*1.3*1.1+KFC!$C$33)*KFC!$C$5</f>
        <v>189.76385999999999</v>
      </c>
      <c r="L140" s="233">
        <f>(138.2*KFC!$B$33*1.02*1.3*1.1+KFC!$C$33)*KFC!$C$5</f>
        <v>201.57852</v>
      </c>
      <c r="M140" s="233">
        <f>(146.3*KFC!$B$33*1.02*1.3*1.1+KFC!$C$33)*KFC!$C$5</f>
        <v>213.39318000000009</v>
      </c>
      <c r="N140" s="233">
        <f>(154.3*KFC!$B$33*1.02*1.3*1.1+KFC!$C$33)*KFC!$C$5</f>
        <v>225.06198000000003</v>
      </c>
      <c r="O140" s="233">
        <f>(162.4*KFC!$B$33*1.02*1.3*1.1+KFC!$C$33)*KFC!$C$5</f>
        <v>236.87664000000001</v>
      </c>
      <c r="P140" s="233">
        <f>(170.5*KFC!$B$33*1.02*1.3*1.1+KFC!$C$33)*KFC!$C$5</f>
        <v>248.69130000000001</v>
      </c>
      <c r="Q140" s="233">
        <f>(178.6*KFC!$B$33*1.02*1.3*1.1+KFC!$C$33)*KFC!$C$5</f>
        <v>260.50596000000002</v>
      </c>
      <c r="R140" s="233">
        <f>(186.6*KFC!$B$33*1.02*1.3*1.1+KFC!$C$33)*KFC!$C$5</f>
        <v>272.17476000000005</v>
      </c>
      <c r="S140" s="233">
        <f>(194.7*KFC!$B$33*1.02*1.3*1.1+KFC!$C$33)*KFC!$C$5</f>
        <v>283.98942</v>
      </c>
      <c r="T140" s="233">
        <f>(202.8*KFC!$B$33*1.02*1.3*1.1+KFC!$C$33)*KFC!$C$5</f>
        <v>295.80408000000011</v>
      </c>
      <c r="U140" s="233">
        <f>(210.8*KFC!$B$33*1.02*1.3*1.1+KFC!$C$33)*KFC!$C$5</f>
        <v>307.47288000000003</v>
      </c>
      <c r="V140" s="233">
        <f>(218.9*KFC!$B$33*1.02*1.3*1.1+KFC!$C$33)*KFC!$C$5</f>
        <v>319.28754000000009</v>
      </c>
      <c r="W140" s="233">
        <f>(227*KFC!$B$33*1.02*1.3*1.1+KFC!$C$33)*KFC!$C$5</f>
        <v>331.10220000000004</v>
      </c>
      <c r="X140" s="233">
        <f>(235.1*KFC!$B$33*1.02*1.3*1.1+KFC!$C$33)*KFC!$C$5</f>
        <v>342.91685999999999</v>
      </c>
      <c r="Y140" s="233">
        <f>(243.1*KFC!$B$33*1.02*1.3*1.1+KFC!$C$33)*KFC!$C$5</f>
        <v>354.58566000000002</v>
      </c>
      <c r="Z140" s="233">
        <f>(251.2*KFC!$B$33*1.02*1.3*1.1+KFC!$C$33)*KFC!$C$5</f>
        <v>366.40032000000002</v>
      </c>
    </row>
    <row r="141" spans="1:26" ht="15.9" customHeight="1">
      <c r="A141" s="1912"/>
      <c r="B141" s="237">
        <v>2</v>
      </c>
      <c r="C141" s="239">
        <f>(67.1*KFC!$B$33*1.02*1.3*1.1+KFC!$C$33)*KFC!$C$5</f>
        <v>97.872060000000005</v>
      </c>
      <c r="D141" s="233">
        <f>(75.5*KFC!$B$33*1.02*1.3*1.1+KFC!$C$33)*KFC!$C$5</f>
        <v>110.12430000000002</v>
      </c>
      <c r="E141" s="233">
        <f>(83.8*KFC!$B$33*1.02*1.3*1.1+KFC!$C$33)*KFC!$C$5</f>
        <v>122.23068000000002</v>
      </c>
      <c r="F141" s="233">
        <f>(92.1*KFC!$B$33*1.02*1.3*1.1+KFC!$C$33)*KFC!$C$5</f>
        <v>134.33706000000001</v>
      </c>
      <c r="G141" s="233">
        <f>(100.4*KFC!$B$33*1.02*1.3*1.1+KFC!$C$33)*KFC!$C$5</f>
        <v>146.44344000000001</v>
      </c>
      <c r="H141" s="233">
        <f>(108.8*KFC!$B$33*1.02*1.3*1.1+KFC!$C$33)*KFC!$C$5</f>
        <v>158.69568000000001</v>
      </c>
      <c r="I141" s="233">
        <f>(117.2*KFC!$B$33*1.02*1.3*1.1+KFC!$C$33)*KFC!$C$5</f>
        <v>170.94792000000004</v>
      </c>
      <c r="J141" s="233">
        <f>(125.5*KFC!$B$33*1.02*1.3*1.1+KFC!$C$33)*KFC!$C$5</f>
        <v>183.05429999999998</v>
      </c>
      <c r="K141" s="233">
        <f>(133.8*KFC!$B$33*1.02*1.3*1.1+KFC!$C$33)*KFC!$C$5</f>
        <v>195.16068000000004</v>
      </c>
      <c r="L141" s="233">
        <f>(142.2*KFC!$B$33*1.02*1.3*1.1+KFC!$C$33)*KFC!$C$5</f>
        <v>207.41292000000001</v>
      </c>
      <c r="M141" s="233">
        <f>(150.6*KFC!$B$33*1.02*1.3*1.1+KFC!$C$33)*KFC!$C$5</f>
        <v>219.66516000000004</v>
      </c>
      <c r="N141" s="233">
        <f>(158.9*KFC!$B$33*1.02*1.3*1.1+KFC!$C$33)*KFC!$C$5</f>
        <v>231.77154000000002</v>
      </c>
      <c r="O141" s="233">
        <f>(167.2*KFC!$B$33*1.02*1.3*1.1+KFC!$C$33)*KFC!$C$5</f>
        <v>243.87791999999999</v>
      </c>
      <c r="P141" s="233">
        <f>(175.5*KFC!$B$33*1.02*1.3*1.1+KFC!$C$33)*KFC!$C$5</f>
        <v>255.98430000000002</v>
      </c>
      <c r="Q141" s="233">
        <f>(183.9*KFC!$B$33*1.02*1.3*1.1+KFC!$C$33)*KFC!$C$5</f>
        <v>268.23654000000005</v>
      </c>
      <c r="R141" s="233">
        <f>(192.3*KFC!$B$33*1.02*1.3*1.1+KFC!$C$33)*KFC!$C$5</f>
        <v>280.48878000000008</v>
      </c>
      <c r="S141" s="233">
        <f>(200.6*KFC!$B$33*1.02*1.3*1.1+KFC!$C$33)*KFC!$C$5</f>
        <v>292.59516000000008</v>
      </c>
      <c r="T141" s="233">
        <f>(208.9*KFC!$B$33*1.02*1.3*1.1+KFC!$C$33)*KFC!$C$5</f>
        <v>304.70154000000002</v>
      </c>
      <c r="U141" s="233">
        <f>(217.2*KFC!$B$33*1.02*1.3*1.1+KFC!$C$33)*KFC!$C$5</f>
        <v>316.80792000000002</v>
      </c>
      <c r="V141" s="233">
        <f>(225.6*KFC!$B$33*1.02*1.3*1.1+KFC!$C$33)*KFC!$C$5</f>
        <v>329.06016000000005</v>
      </c>
      <c r="W141" s="233">
        <f>(234*KFC!$B$33*1.02*1.3*1.1+KFC!$C$33)*KFC!$C$5</f>
        <v>341.31240000000003</v>
      </c>
      <c r="X141" s="233">
        <f>(242.3*KFC!$B$33*1.02*1.3*1.1+KFC!$C$33)*KFC!$C$5</f>
        <v>353.41878000000003</v>
      </c>
      <c r="Y141" s="233">
        <f>(250.6*KFC!$B$33*1.02*1.3*1.1+KFC!$C$33)*KFC!$C$5</f>
        <v>365.52516000000003</v>
      </c>
      <c r="Z141" s="233">
        <f>(259*KFC!$B$33*1.02*1.3*1.1+KFC!$C$33)*KFC!$C$5</f>
        <v>377.77740000000006</v>
      </c>
    </row>
    <row r="142" spans="1:26" ht="15.9" customHeight="1">
      <c r="A142" s="1912"/>
      <c r="B142" s="237">
        <v>2.1</v>
      </c>
      <c r="C142" s="239">
        <f>(68.6*KFC!$B$33*1.02*1.3*1.1+KFC!$C$33)*KFC!$C$5</f>
        <v>100.05996</v>
      </c>
      <c r="D142" s="233">
        <f>(77.3*KFC!$B$33*1.02*1.3*1.1+KFC!$C$33)*KFC!$C$5</f>
        <v>112.74978000000002</v>
      </c>
      <c r="E142" s="233">
        <f>(85.9*KFC!$B$33*1.02*1.3*1.1+KFC!$C$33)*KFC!$C$5</f>
        <v>125.29374000000003</v>
      </c>
      <c r="F142" s="233">
        <f>(94.4*KFC!$B$33*1.02*1.3*1.1+KFC!$C$33)*KFC!$C$5</f>
        <v>137.69184000000004</v>
      </c>
      <c r="G142" s="233">
        <f>(103.1*KFC!$B$33*1.02*1.3*1.1+KFC!$C$33)*KFC!$C$5</f>
        <v>150.38166000000001</v>
      </c>
      <c r="H142" s="233">
        <f>(111.7*KFC!$B$33*1.02*1.3*1.1+KFC!$C$33)*KFC!$C$5</f>
        <v>162.92562000000004</v>
      </c>
      <c r="I142" s="233">
        <f>(120.3*KFC!$B$33*1.02*1.3*1.1+KFC!$C$33)*KFC!$C$5</f>
        <v>175.46958000000004</v>
      </c>
      <c r="J142" s="233">
        <f>(128.9*KFC!$B$33*1.02*1.3*1.1+KFC!$C$33)*KFC!$C$5</f>
        <v>188.01354000000003</v>
      </c>
      <c r="K142" s="233">
        <f>(137.6*KFC!$B$33*1.02*1.3*1.1+KFC!$C$33)*KFC!$C$5</f>
        <v>200.70336000000003</v>
      </c>
      <c r="L142" s="233">
        <f>(146.1*KFC!$B$33*1.02*1.3*1.1+KFC!$C$33)*KFC!$C$5</f>
        <v>213.10146000000003</v>
      </c>
      <c r="M142" s="233">
        <f>(154.7*KFC!$B$33*1.02*1.3*1.1+KFC!$C$33)*KFC!$C$5</f>
        <v>225.64542</v>
      </c>
      <c r="N142" s="233">
        <f>(163.4*KFC!$B$33*1.02*1.3*1.1+KFC!$C$33)*KFC!$C$5</f>
        <v>238.33524000000003</v>
      </c>
      <c r="O142" s="233">
        <f>(172*KFC!$B$33*1.02*1.3*1.1+KFC!$C$33)*KFC!$C$5</f>
        <v>250.87920000000003</v>
      </c>
      <c r="P142" s="233">
        <f>(180.6*KFC!$B$33*1.02*1.3*1.1+KFC!$C$33)*KFC!$C$5</f>
        <v>263.42316</v>
      </c>
      <c r="Q142" s="233">
        <f>(189.2*KFC!$B$33*1.02*1.3*1.1+KFC!$C$33)*KFC!$C$5</f>
        <v>275.96712000000002</v>
      </c>
      <c r="R142" s="233">
        <f>(197.9*KFC!$B$33*1.02*1.3*1.1+KFC!$C$33)*KFC!$C$5</f>
        <v>288.65694000000008</v>
      </c>
      <c r="S142" s="233">
        <f>(206.4*KFC!$B$33*1.02*1.3*1.1+KFC!$C$33)*KFC!$C$5</f>
        <v>301.05504000000008</v>
      </c>
      <c r="T142" s="233">
        <f>(215*KFC!$B$33*1.02*1.3*1.1+KFC!$C$33)*KFC!$C$5</f>
        <v>313.59900000000005</v>
      </c>
      <c r="U142" s="233">
        <f>(223.7*KFC!$B$33*1.02*1.3*1.1+KFC!$C$33)*KFC!$C$5</f>
        <v>326.28881999999999</v>
      </c>
      <c r="V142" s="233">
        <f>(232.2*KFC!$B$33*1.02*1.3*1.1+KFC!$C$33)*KFC!$C$5</f>
        <v>338.68692000000004</v>
      </c>
      <c r="W142" s="233">
        <f>(240.9*KFC!$B$33*1.02*1.3*1.1+KFC!$C$33)*KFC!$C$5</f>
        <v>351.37674000000004</v>
      </c>
      <c r="X142" s="233">
        <f>(249.5*KFC!$B$33*1.02*1.3*1.1+KFC!$C$33)*KFC!$C$5</f>
        <v>363.92070000000007</v>
      </c>
      <c r="Y142" s="233">
        <f>(258.2*KFC!$B$33*1.02*1.3*1.1+KFC!$C$33)*KFC!$C$5</f>
        <v>376.61052000000001</v>
      </c>
      <c r="Z142" s="233">
        <f>(266.7*KFC!$B$33*1.02*1.3*1.1+KFC!$C$33)*KFC!$C$5</f>
        <v>389.00862000000006</v>
      </c>
    </row>
    <row r="143" spans="1:26" ht="15.9" customHeight="1">
      <c r="A143" s="1912"/>
      <c r="B143" s="237">
        <v>2.2000000000000002</v>
      </c>
      <c r="C143" s="239">
        <f>(70.2*KFC!$B$33*1.02*1.3*1.1+KFC!$C$33)*KFC!$C$5</f>
        <v>102.39372</v>
      </c>
      <c r="D143" s="233">
        <f>(79*KFC!$B$33*1.02*1.3*1.1+KFC!$C$33)*KFC!$C$5</f>
        <v>115.22940000000001</v>
      </c>
      <c r="E143" s="233">
        <f>(87.9*KFC!$B$33*1.02*1.3*1.1+KFC!$C$33)*KFC!$C$5</f>
        <v>128.21094000000002</v>
      </c>
      <c r="F143" s="233">
        <f>(96.9*KFC!$B$33*1.02*1.3*1.1+KFC!$C$33)*KFC!$C$5</f>
        <v>141.33834000000004</v>
      </c>
      <c r="G143" s="233">
        <f>(105.7*KFC!$B$33*1.02*1.3*1.1+KFC!$C$33)*KFC!$C$5</f>
        <v>154.17402000000004</v>
      </c>
      <c r="H143" s="233">
        <f>(114.6*KFC!$B$33*1.02*1.3*1.1+KFC!$C$33)*KFC!$C$5</f>
        <v>167.15556000000001</v>
      </c>
      <c r="I143" s="233">
        <f>(123.5*KFC!$B$33*1.02*1.3*1.1+KFC!$C$33)*KFC!$C$5</f>
        <v>180.1371</v>
      </c>
      <c r="J143" s="233">
        <f>(132.3*KFC!$B$33*1.02*1.3*1.1+KFC!$C$33)*KFC!$C$5</f>
        <v>192.97278000000006</v>
      </c>
      <c r="K143" s="233">
        <f>(141.3*KFC!$B$33*1.02*1.3*1.1+KFC!$C$33)*KFC!$C$5</f>
        <v>206.10018000000005</v>
      </c>
      <c r="L143" s="233">
        <f>(150.2*KFC!$B$33*1.02*1.3*1.1+KFC!$C$33)*KFC!$C$5</f>
        <v>219.08171999999999</v>
      </c>
      <c r="M143" s="233">
        <f>(159*KFC!$B$33*1.02*1.3*1.1+KFC!$C$33)*KFC!$C$5</f>
        <v>231.91740000000001</v>
      </c>
      <c r="N143" s="233">
        <f>(167.9*KFC!$B$33*1.02*1.3*1.1+KFC!$C$33)*KFC!$C$5</f>
        <v>244.89894000000007</v>
      </c>
      <c r="O143" s="233">
        <f>(176.7*KFC!$B$33*1.02*1.3*1.1+KFC!$C$33)*KFC!$C$5</f>
        <v>257.73462000000001</v>
      </c>
      <c r="P143" s="233">
        <f>(185.7*KFC!$B$33*1.02*1.3*1.1+KFC!$C$33)*KFC!$C$5</f>
        <v>270.86201999999997</v>
      </c>
      <c r="Q143" s="233">
        <f>(194.6*KFC!$B$33*1.02*1.3*1.1+KFC!$C$33)*KFC!$C$5</f>
        <v>283.84356000000002</v>
      </c>
      <c r="R143" s="233">
        <f>(203.4*KFC!$B$33*1.02*1.3*1.1+KFC!$C$33)*KFC!$C$5</f>
        <v>296.67924000000005</v>
      </c>
      <c r="S143" s="233">
        <f>(212.3*KFC!$B$33*1.02*1.3*1.1+KFC!$C$33)*KFC!$C$5</f>
        <v>309.66078000000005</v>
      </c>
      <c r="T143" s="233">
        <f>(221.2*KFC!$B$33*1.02*1.3*1.1+KFC!$C$33)*KFC!$C$5</f>
        <v>322.64231999999998</v>
      </c>
      <c r="U143" s="233">
        <f>(230*KFC!$B$33*1.02*1.3*1.1+KFC!$C$33)*KFC!$C$5</f>
        <v>335.47800000000007</v>
      </c>
      <c r="V143" s="233">
        <f>(239*KFC!$B$33*1.02*1.3*1.1+KFC!$C$33)*KFC!$C$5</f>
        <v>348.60540000000003</v>
      </c>
      <c r="W143" s="233">
        <f>(247.9*KFC!$B$33*1.02*1.3*1.1+KFC!$C$33)*KFC!$C$5</f>
        <v>361.58694000000003</v>
      </c>
      <c r="X143" s="233">
        <f>(256.7*KFC!$B$33*1.02*1.3*1.1+KFC!$C$33)*KFC!$C$5</f>
        <v>374.42262000000005</v>
      </c>
      <c r="Y143" s="233">
        <f>(265.6*KFC!$B$33*1.02*1.3*1.1+KFC!$C$33)*KFC!$C$5</f>
        <v>387.4041600000001</v>
      </c>
      <c r="Z143" s="233">
        <f>(274.6*KFC!$B$33*1.02*1.3*1.1+KFC!$C$33)*KFC!$C$5</f>
        <v>400.53156000000007</v>
      </c>
    </row>
    <row r="144" spans="1:26" ht="15.9" customHeight="1">
      <c r="A144" s="1912"/>
      <c r="B144" s="237">
        <v>2.2999999999999998</v>
      </c>
      <c r="C144" s="239">
        <f>(71.7*KFC!$B$33*1.02*1.3*1.1+KFC!$C$33)*KFC!$C$5</f>
        <v>104.58162000000002</v>
      </c>
      <c r="D144" s="233">
        <f>(80.8*KFC!$B$33*1.02*1.3*1.1+KFC!$C$33)*KFC!$C$5</f>
        <v>117.85488000000001</v>
      </c>
      <c r="E144" s="233">
        <f>(90*KFC!$B$33*1.02*1.3*1.1+KFC!$C$33)*KFC!$C$5</f>
        <v>131.274</v>
      </c>
      <c r="F144" s="233">
        <f>(99.2*KFC!$B$33*1.02*1.3*1.1+KFC!$C$33)*KFC!$C$5</f>
        <v>144.69312000000005</v>
      </c>
      <c r="G144" s="233">
        <f>(108.4*KFC!$B$33*1.02*1.3*1.1+KFC!$C$33)*KFC!$C$5</f>
        <v>158.11224000000001</v>
      </c>
      <c r="H144" s="233">
        <f>(117.5*KFC!$B$33*1.02*1.3*1.1+KFC!$C$33)*KFC!$C$5</f>
        <v>171.38550000000001</v>
      </c>
      <c r="I144" s="233">
        <f>(126.6*KFC!$B$33*1.02*1.3*1.1+KFC!$C$33)*KFC!$C$5</f>
        <v>184.65876000000003</v>
      </c>
      <c r="J144" s="233">
        <f>(135.8*KFC!$B$33*1.02*1.3*1.1+KFC!$C$33)*KFC!$C$5</f>
        <v>198.07788000000005</v>
      </c>
      <c r="K144" s="233">
        <f>(144.9*KFC!$B$33*1.02*1.3*1.1+KFC!$C$33)*KFC!$C$5</f>
        <v>211.35114000000004</v>
      </c>
      <c r="L144" s="233">
        <f>(154.1*KFC!$B$33*1.02*1.3*1.1+KFC!$C$33)*KFC!$C$5</f>
        <v>224.77026000000004</v>
      </c>
      <c r="M144" s="233">
        <f>(163.3*KFC!$B$33*1.02*1.3*1.1+KFC!$C$33)*KFC!$C$5</f>
        <v>238.18938000000006</v>
      </c>
      <c r="N144" s="233">
        <f>(172.4*KFC!$B$33*1.02*1.3*1.1+KFC!$C$33)*KFC!$C$5</f>
        <v>251.46264000000005</v>
      </c>
      <c r="O144" s="233">
        <f>(181.6*KFC!$B$33*1.02*1.3*1.1+KFC!$C$33)*KFC!$C$5</f>
        <v>264.88176000000004</v>
      </c>
      <c r="P144" s="233">
        <f>(190.7*KFC!$B$33*1.02*1.3*1.1+KFC!$C$33)*KFC!$C$5</f>
        <v>278.15501999999998</v>
      </c>
      <c r="Q144" s="233">
        <f>(199.8*KFC!$B$33*1.02*1.3*1.1+KFC!$C$33)*KFC!$C$5</f>
        <v>291.42828000000009</v>
      </c>
      <c r="R144" s="233">
        <f>(209*KFC!$B$33*1.02*1.3*1.1+KFC!$C$33)*KFC!$C$5</f>
        <v>304.84740000000005</v>
      </c>
      <c r="S144" s="233">
        <f>(218.2*KFC!$B$33*1.02*1.3*1.1+KFC!$C$33)*KFC!$C$5</f>
        <v>318.26652000000001</v>
      </c>
      <c r="T144" s="233">
        <f>(227.4*KFC!$B$33*1.02*1.3*1.1+KFC!$C$33)*KFC!$C$5</f>
        <v>331.68564000000003</v>
      </c>
      <c r="U144" s="233">
        <f>(236.5*KFC!$B$33*1.02*1.3*1.1+KFC!$C$33)*KFC!$C$5</f>
        <v>344.95890000000009</v>
      </c>
      <c r="V144" s="233">
        <f>(245.7*KFC!$B$33*1.02*1.3*1.1+KFC!$C$33)*KFC!$C$5</f>
        <v>358.37802000000005</v>
      </c>
      <c r="W144" s="233">
        <f>(254.8*KFC!$B$33*1.02*1.3*1.1+KFC!$C$33)*KFC!$C$5</f>
        <v>371.6512800000001</v>
      </c>
      <c r="X144" s="233">
        <f>(263.9*KFC!$B$33*1.02*1.3*1.1+KFC!$C$33)*KFC!$C$5</f>
        <v>384.92454000000004</v>
      </c>
      <c r="Y144" s="233">
        <f>(273.1*KFC!$B$33*1.02*1.3*1.1+KFC!$C$33)*KFC!$C$5</f>
        <v>398.34366000000006</v>
      </c>
      <c r="Z144" s="233">
        <f>(282.3*KFC!$B$33*1.02*1.3*1.1+KFC!$C$33)*KFC!$C$5</f>
        <v>411.76278000000008</v>
      </c>
    </row>
    <row r="145" spans="1:26" ht="15.9" customHeight="1">
      <c r="A145" s="1912"/>
      <c r="B145" s="237">
        <v>2.4</v>
      </c>
      <c r="C145" s="239">
        <f>(73.3*KFC!$B$33*1.02*1.3*1.1+KFC!$C$33)*KFC!$C$5</f>
        <v>106.91538000000001</v>
      </c>
      <c r="D145" s="233">
        <f>(82.7*KFC!$B$33*1.02*1.3*1.1+KFC!$C$33)*KFC!$C$5</f>
        <v>120.62622000000002</v>
      </c>
      <c r="E145" s="233">
        <f>(92.1*KFC!$B$33*1.02*1.3*1.1+KFC!$C$33)*KFC!$C$5</f>
        <v>134.33706000000001</v>
      </c>
      <c r="F145" s="233">
        <f>(101.5*KFC!$B$33*1.02*1.3*1.1+KFC!$C$33)*KFC!$C$5</f>
        <v>148.0479</v>
      </c>
      <c r="G145" s="233">
        <f>(110.9*KFC!$B$33*1.02*1.3*1.1+KFC!$C$33)*KFC!$C$5</f>
        <v>161.75874000000002</v>
      </c>
      <c r="H145" s="233">
        <f>(120.3*KFC!$B$33*1.02*1.3*1.1+KFC!$C$33)*KFC!$C$5</f>
        <v>175.46958000000004</v>
      </c>
      <c r="I145" s="233">
        <f>(129.8*KFC!$B$33*1.02*1.3*1.1+KFC!$C$33)*KFC!$C$5</f>
        <v>189.32628000000005</v>
      </c>
      <c r="J145" s="233">
        <f>(139.2*KFC!$B$33*1.02*1.3*1.1+KFC!$C$33)*KFC!$C$5</f>
        <v>203.03711999999999</v>
      </c>
      <c r="K145" s="233">
        <f>(148.6*KFC!$B$33*1.02*1.3*1.1+KFC!$C$33)*KFC!$C$5</f>
        <v>216.74796000000001</v>
      </c>
      <c r="L145" s="233">
        <f>(158.1*KFC!$B$33*1.02*1.3*1.1+KFC!$C$33)*KFC!$C$5</f>
        <v>230.60466000000002</v>
      </c>
      <c r="M145" s="233">
        <f>(167.6*KFC!$B$33*1.02*1.3*1.1+KFC!$C$33)*KFC!$C$5</f>
        <v>244.46136000000004</v>
      </c>
      <c r="N145" s="233">
        <f>(177*KFC!$B$33*1.02*1.3*1.1+KFC!$C$33)*KFC!$C$5</f>
        <v>258.17220000000003</v>
      </c>
      <c r="O145" s="233">
        <f>(186.4*KFC!$B$33*1.02*1.3*1.1+KFC!$C$33)*KFC!$C$5</f>
        <v>271.88304000000005</v>
      </c>
      <c r="P145" s="233">
        <f>(195.8*KFC!$B$33*1.02*1.3*1.1+KFC!$C$33)*KFC!$C$5</f>
        <v>285.59388000000007</v>
      </c>
      <c r="Q145" s="233">
        <f>(205.2*KFC!$B$33*1.02*1.3*1.1+KFC!$C$33)*KFC!$C$5</f>
        <v>299.30472000000009</v>
      </c>
      <c r="R145" s="233">
        <f>(214.6*KFC!$B$33*1.02*1.3*1.1+KFC!$C$33)*KFC!$C$5</f>
        <v>313.01555999999999</v>
      </c>
      <c r="S145" s="233">
        <f>(224.1*KFC!$B$33*1.02*1.3*1.1+KFC!$C$33)*KFC!$C$5</f>
        <v>326.87226000000004</v>
      </c>
      <c r="T145" s="233">
        <f>(233.5*KFC!$B$33*1.02*1.3*1.1+KFC!$C$33)*KFC!$C$5</f>
        <v>340.58310000000006</v>
      </c>
      <c r="U145" s="233">
        <f>(242.9*KFC!$B$33*1.02*1.3*1.1+KFC!$C$33)*KFC!$C$5</f>
        <v>354.29394000000008</v>
      </c>
      <c r="V145" s="233">
        <f>(252.3*KFC!$B$33*1.02*1.3*1.1+KFC!$C$33)*KFC!$C$5</f>
        <v>368.00478000000004</v>
      </c>
      <c r="W145" s="233">
        <f>(261.7*KFC!$B$33*1.02*1.3*1.1+KFC!$C$33)*KFC!$C$5</f>
        <v>381.71562</v>
      </c>
      <c r="X145" s="233">
        <f>(271.1*KFC!$B$33*1.02*1.3*1.1+KFC!$C$33)*KFC!$C$5</f>
        <v>395.42646000000013</v>
      </c>
      <c r="Y145" s="233">
        <f>(280.6*KFC!$B$33*1.02*1.3*1.1+KFC!$C$33)*KFC!$C$5</f>
        <v>409.28316000000012</v>
      </c>
      <c r="Z145" s="233">
        <f>(290.1*KFC!$B$33*1.02*1.3*1.1+KFC!$C$33)*KFC!$C$5</f>
        <v>423.13986000000011</v>
      </c>
    </row>
    <row r="146" spans="1:26" ht="15.9" customHeight="1">
      <c r="A146" s="1912"/>
      <c r="B146" s="237">
        <v>2.5</v>
      </c>
      <c r="C146" s="239">
        <f>(74.7*KFC!$B$33*1.02*1.3*1.1+KFC!$C$33)*KFC!$C$5</f>
        <v>108.95742000000003</v>
      </c>
      <c r="D146" s="233">
        <f>(84.5*KFC!$B$33*1.02*1.3*1.1+KFC!$C$33)*KFC!$C$5</f>
        <v>123.25170000000001</v>
      </c>
      <c r="E146" s="233">
        <f>(94.2*KFC!$B$33*1.02*1.3*1.1+KFC!$C$33)*KFC!$C$5</f>
        <v>137.40012000000002</v>
      </c>
      <c r="F146" s="233">
        <f>(103.8*KFC!$B$33*1.02*1.3*1.1+KFC!$C$33)*KFC!$C$5</f>
        <v>151.40268</v>
      </c>
      <c r="G146" s="233">
        <f>(113.6*KFC!$B$33*1.02*1.3*1.1+KFC!$C$33)*KFC!$C$5</f>
        <v>165.69696000000002</v>
      </c>
      <c r="H146" s="233">
        <f>(123.3*KFC!$B$33*1.02*1.3*1.1+KFC!$C$33)*KFC!$C$5</f>
        <v>179.84538000000001</v>
      </c>
      <c r="I146" s="233">
        <f>(132.9*KFC!$B$33*1.02*1.3*1.1+KFC!$C$33)*KFC!$C$5</f>
        <v>193.84794000000005</v>
      </c>
      <c r="J146" s="233">
        <f>(142.6*KFC!$B$33*1.02*1.3*1.1+KFC!$C$33)*KFC!$C$5</f>
        <v>207.99636000000004</v>
      </c>
      <c r="K146" s="233">
        <f>(152.4*KFC!$B$33*1.02*1.3*1.1+KFC!$C$33)*KFC!$C$5</f>
        <v>222.29064000000002</v>
      </c>
      <c r="L146" s="233">
        <f>(162*KFC!$B$33*1.02*1.3*1.1+KFC!$C$33)*KFC!$C$5</f>
        <v>236.29320000000004</v>
      </c>
      <c r="M146" s="233">
        <f>(171.7*KFC!$B$33*1.02*1.3*1.1+KFC!$C$33)*KFC!$C$5</f>
        <v>250.44162</v>
      </c>
      <c r="N146" s="233">
        <f>(181.5*KFC!$B$33*1.02*1.3*1.1+KFC!$C$33)*KFC!$C$5</f>
        <v>264.73590000000002</v>
      </c>
      <c r="O146" s="233">
        <f>(191.2*KFC!$B$33*1.02*1.3*1.1+KFC!$C$33)*KFC!$C$5</f>
        <v>278.88432000000006</v>
      </c>
      <c r="P146" s="233">
        <f>(200.8*KFC!$B$33*1.02*1.3*1.1+KFC!$C$33)*KFC!$C$5</f>
        <v>292.88688000000002</v>
      </c>
      <c r="Q146" s="233">
        <f>(210.5*KFC!$B$33*1.02*1.3*1.1+KFC!$C$33)*KFC!$C$5</f>
        <v>307.03530000000006</v>
      </c>
      <c r="R146" s="233">
        <f>(220.3*KFC!$B$33*1.02*1.3*1.1+KFC!$C$33)*KFC!$C$5</f>
        <v>321.32958000000008</v>
      </c>
      <c r="S146" s="233">
        <f>(229.9*KFC!$B$33*1.02*1.3*1.1+KFC!$C$33)*KFC!$C$5</f>
        <v>335.33214000000009</v>
      </c>
      <c r="T146" s="233">
        <f>(239.6*KFC!$B$33*1.02*1.3*1.1+KFC!$C$33)*KFC!$C$5</f>
        <v>349.48056000000003</v>
      </c>
      <c r="U146" s="233">
        <f>(249.4*KFC!$B$33*1.02*1.3*1.1+KFC!$C$33)*KFC!$C$5</f>
        <v>363.77484000000004</v>
      </c>
      <c r="V146" s="233">
        <f>(259*KFC!$B$33*1.02*1.3*1.1+KFC!$C$33)*KFC!$C$5</f>
        <v>377.77740000000006</v>
      </c>
      <c r="W146" s="233">
        <f>(268.7*KFC!$B$33*1.02*1.3*1.1+KFC!$C$33)*KFC!$C$5</f>
        <v>391.9258200000001</v>
      </c>
      <c r="X146" s="233">
        <f>(178.4*KFC!$B$33*1.02*1.3*1.1+KFC!$C$33)*KFC!$C$5</f>
        <v>260.21424000000007</v>
      </c>
      <c r="Y146" s="233">
        <f>(288.1*KFC!$B$33*1.02*1.3*1.1+KFC!$C$33)*KFC!$C$5</f>
        <v>420.22266000000008</v>
      </c>
      <c r="Z146" s="233">
        <f>(297.8*KFC!$B$33*1.02*1.3*1.1+KFC!$C$33)*KFC!$C$5</f>
        <v>434.37108000000006</v>
      </c>
    </row>
    <row r="147" spans="1:26" ht="15.9" customHeight="1">
      <c r="A147" s="1912"/>
      <c r="B147" s="237">
        <v>2.6</v>
      </c>
      <c r="C147" s="239">
        <f>(76.3*KFC!$B$33*1.02*1.3*1.1+KFC!$C$33)*KFC!$C$5</f>
        <v>111.29118000000001</v>
      </c>
      <c r="D147" s="233">
        <f>(86.3*KFC!$B$33*1.02*1.3*1.1+KFC!$C$33)*KFC!$C$5</f>
        <v>125.87718000000001</v>
      </c>
      <c r="E147" s="233">
        <f>(96.3*KFC!$B$33*1.02*1.3*1.1+KFC!$C$33)*KFC!$C$5</f>
        <v>140.46318000000002</v>
      </c>
      <c r="F147" s="233">
        <f>(106.3*KFC!$B$33*1.02*1.3*1.1+KFC!$C$33)*KFC!$C$5</f>
        <v>155.04918000000001</v>
      </c>
      <c r="G147" s="233">
        <f>(116.2*KFC!$B$33*1.02*1.3*1.1+KFC!$C$33)*KFC!$C$5</f>
        <v>169.48932000000002</v>
      </c>
      <c r="H147" s="233">
        <f>(126.2*KFC!$B$33*1.02*1.3*1.1+KFC!$C$33)*KFC!$C$5</f>
        <v>184.07532000000006</v>
      </c>
      <c r="I147" s="233">
        <f>(136.1*KFC!$B$33*1.02*1.3*1.1+KFC!$C$33)*KFC!$C$5</f>
        <v>198.51546000000002</v>
      </c>
      <c r="J147" s="233">
        <f>(146.1*KFC!$B$33*1.02*1.3*1.1+KFC!$C$33)*KFC!$C$5</f>
        <v>213.10146000000003</v>
      </c>
      <c r="K147" s="233">
        <f>(156.1*KFC!$B$33*1.02*1.3*1.1+KFC!$C$33)*KFC!$C$5</f>
        <v>227.68746000000004</v>
      </c>
      <c r="L147" s="233">
        <f>(166.1*KFC!$B$33*1.02*1.3*1.1+KFC!$C$33)*KFC!$C$5</f>
        <v>242.27346000000003</v>
      </c>
      <c r="M147" s="233">
        <f>(176*KFC!$B$33*1.02*1.3*1.1+KFC!$C$33)*KFC!$C$5</f>
        <v>256.71360000000004</v>
      </c>
      <c r="N147" s="233">
        <f>(186*KFC!$B$33*1.02*1.3*1.1+KFC!$C$33)*KFC!$C$5</f>
        <v>271.2996</v>
      </c>
      <c r="O147" s="233">
        <f>(195.9*KFC!$B$33*1.02*1.3*1.1+KFC!$C$33)*KFC!$C$5</f>
        <v>285.7397400000001</v>
      </c>
      <c r="P147" s="233">
        <f>(206*KFC!$B$33*1.02*1.3*1.1+KFC!$C$33)*KFC!$C$5</f>
        <v>300.47160000000002</v>
      </c>
      <c r="Q147" s="233">
        <f>(215.9*KFC!$B$33*1.02*1.3*1.1+KFC!$C$33)*KFC!$C$5</f>
        <v>314.91174000000007</v>
      </c>
      <c r="R147" s="233">
        <f>(225.9*KFC!$B$33*1.02*1.3*1.1+KFC!$C$33)*KFC!$C$5</f>
        <v>329.49774000000002</v>
      </c>
      <c r="S147" s="233">
        <f>(235.8*KFC!$B$33*1.02*1.3*1.1+KFC!$C$33)*KFC!$C$5</f>
        <v>343.93788000000006</v>
      </c>
      <c r="T147" s="233">
        <f>(245.8*KFC!$B$33*1.02*1.3*1.1+KFC!$C$33)*KFC!$C$5</f>
        <v>358.52388000000008</v>
      </c>
      <c r="U147" s="233">
        <f>(255.7*KFC!$B$33*1.02*1.3*1.1+KFC!$C$33)*KFC!$C$5</f>
        <v>372.96401999999995</v>
      </c>
      <c r="V147" s="233">
        <f>(265.8*KFC!$B$33*1.02*1.3*1.1+KFC!$C$33)*KFC!$C$5</f>
        <v>387.6958800000001</v>
      </c>
      <c r="W147" s="233">
        <f>(275.7*KFC!$B$33*1.02*1.3*1.1+KFC!$C$33)*KFC!$C$5</f>
        <v>402.13602000000009</v>
      </c>
      <c r="X147" s="233">
        <f>(285.7*KFC!$B$33*1.02*1.3*1.1+KFC!$C$33)*KFC!$C$5</f>
        <v>416.72201999999999</v>
      </c>
      <c r="Y147" s="233">
        <f>(295.6*KFC!$B$33*1.02*1.3*1.1+KFC!$C$33)*KFC!$C$5</f>
        <v>431.16216000000003</v>
      </c>
      <c r="Z147" s="233">
        <f>(305.6*KFC!$B$33*1.02*1.3*1.1+KFC!$C$33)*KFC!$C$5</f>
        <v>445.74816000000015</v>
      </c>
    </row>
    <row r="148" spans="1:26" ht="15.9" customHeight="1">
      <c r="A148" s="1912"/>
      <c r="B148" s="237">
        <v>2.7</v>
      </c>
      <c r="C148" s="239">
        <f>(77.9*KFC!$B$33*1.02*1.3*1.1+KFC!$C$33)*KFC!$C$5</f>
        <v>113.62494000000002</v>
      </c>
      <c r="D148" s="233">
        <f>(88.1*KFC!$B$33*1.02*1.3*1.1+KFC!$C$33)*KFC!$C$5</f>
        <v>128.50266000000002</v>
      </c>
      <c r="E148" s="233">
        <f>(98.3*KFC!$B$33*1.02*1.3*1.1+KFC!$C$33)*KFC!$C$5</f>
        <v>143.38038000000003</v>
      </c>
      <c r="F148" s="233">
        <f>(108.6*KFC!$B$33*1.02*1.3*1.1+KFC!$C$33)*KFC!$C$5</f>
        <v>158.40396000000001</v>
      </c>
      <c r="G148" s="233">
        <f>(118.8*KFC!$B$33*1.02*1.3*1.1+KFC!$C$33)*KFC!$C$5</f>
        <v>173.28168000000002</v>
      </c>
      <c r="H148" s="233">
        <f>(129*KFC!$B$33*1.02*1.3*1.1+KFC!$C$33)*KFC!$C$5</f>
        <v>188.15940000000006</v>
      </c>
      <c r="I148" s="233">
        <f>(139.3*KFC!$B$33*1.02*1.3*1.1+KFC!$C$33)*KFC!$C$5</f>
        <v>203.18298000000001</v>
      </c>
      <c r="J148" s="233">
        <f>(149.6*KFC!$B$33*1.02*1.3*1.1+KFC!$C$33)*KFC!$C$5</f>
        <v>218.20656</v>
      </c>
      <c r="K148" s="233">
        <f>(159.7*KFC!$B$33*1.02*1.3*1.1+KFC!$C$33)*KFC!$C$5</f>
        <v>232.93842000000004</v>
      </c>
      <c r="L148" s="233">
        <f>(170*KFC!$B$33*1.02*1.3*1.1+KFC!$C$33)*KFC!$C$5</f>
        <v>247.96200000000005</v>
      </c>
      <c r="M148" s="233">
        <f>(180.3*KFC!$B$33*1.02*1.3*1.1+KFC!$C$33)*KFC!$C$5</f>
        <v>262.98558000000003</v>
      </c>
      <c r="N148" s="233">
        <f>(190.4*KFC!$B$33*1.02*1.3*1.1+KFC!$C$33)*KFC!$C$5</f>
        <v>277.71744000000001</v>
      </c>
      <c r="O148" s="233">
        <f>(200.7*KFC!$B$33*1.02*1.3*1.1+KFC!$C$33)*KFC!$C$5</f>
        <v>292.74101999999999</v>
      </c>
      <c r="P148" s="233">
        <f>(211*KFC!$B$33*1.02*1.3*1.1+KFC!$C$33)*KFC!$C$5</f>
        <v>307.76460000000003</v>
      </c>
      <c r="Q148" s="233">
        <f>(221.2*KFC!$B$33*1.02*1.3*1.1+KFC!$C$33)*KFC!$C$5</f>
        <v>322.64231999999998</v>
      </c>
      <c r="R148" s="233">
        <f>(231.4*KFC!$B$33*1.02*1.3*1.1+KFC!$C$33)*KFC!$C$5</f>
        <v>337.52004000000005</v>
      </c>
      <c r="S148" s="233">
        <f>(241.7*KFC!$B$33*1.02*1.3*1.1+KFC!$C$33)*KFC!$C$5</f>
        <v>352.54362000000003</v>
      </c>
      <c r="T148" s="233">
        <f>(251.9*KFC!$B$33*1.02*1.3*1.1+KFC!$C$33)*KFC!$C$5</f>
        <v>367.42134000000004</v>
      </c>
      <c r="U148" s="233">
        <f>(262.1*KFC!$B$33*1.02*1.3*1.1+KFC!$C$33)*KFC!$C$5</f>
        <v>382.29906000000011</v>
      </c>
      <c r="V148" s="233">
        <f>(272.4*KFC!$B$33*1.02*1.3*1.1+KFC!$C$33)*KFC!$C$5</f>
        <v>397.32263999999998</v>
      </c>
      <c r="W148" s="233">
        <f>(282.6*KFC!$B$33*1.02*1.3*1.1+KFC!$C$33)*KFC!$C$5</f>
        <v>412.2003600000001</v>
      </c>
      <c r="X148" s="233">
        <f>(292.9*KFC!$B$33*1.02*1.3*1.1+KFC!$C$33)*KFC!$C$5</f>
        <v>427.22394000000003</v>
      </c>
      <c r="Y148" s="233">
        <f>(303.1*KFC!$B$33*1.02*1.3*1.1+KFC!$C$33)*KFC!$C$5</f>
        <v>442.10166000000009</v>
      </c>
      <c r="Z148" s="233">
        <f>(313.3*KFC!$B$33*1.02*1.3*1.1+KFC!$C$33)*KFC!$C$5</f>
        <v>456.97938000000005</v>
      </c>
    </row>
    <row r="149" spans="1:26" ht="15.9" customHeight="1">
      <c r="A149" s="1912"/>
      <c r="B149" s="237">
        <v>2.8</v>
      </c>
      <c r="C149" s="239">
        <f>(79.4*KFC!$B$33*1.02*1.3*1.1+KFC!$C$33)*KFC!$C$5</f>
        <v>115.81284000000004</v>
      </c>
      <c r="D149" s="233">
        <f>(89.9*KFC!$B$33*1.02*1.3*1.1+KFC!$C$33)*KFC!$C$5</f>
        <v>131.12814000000003</v>
      </c>
      <c r="E149" s="233">
        <f>(100.4*KFC!$B$33*1.02*1.3*1.1+KFC!$C$33)*KFC!$C$5</f>
        <v>146.44344000000001</v>
      </c>
      <c r="F149" s="233">
        <f>(110.9*KFC!$B$33*1.02*1.3*1.1+KFC!$C$33)*KFC!$C$5</f>
        <v>161.75874000000002</v>
      </c>
      <c r="G149" s="233">
        <f>(121.4*KFC!$B$33*1.02*1.3*1.1+KFC!$C$33)*KFC!$C$5</f>
        <v>177.07404000000002</v>
      </c>
      <c r="H149" s="233">
        <f>(132*KFC!$B$33*1.02*1.3*1.1+KFC!$C$33)*KFC!$C$5</f>
        <v>192.53520000000006</v>
      </c>
      <c r="I149" s="233">
        <f>(142.5*KFC!$B$33*1.02*1.3*1.1+KFC!$C$33)*KFC!$C$5</f>
        <v>207.85050000000004</v>
      </c>
      <c r="J149" s="233">
        <f>(153*KFC!$B$33*1.02*1.3*1.1+KFC!$C$33)*KFC!$C$5</f>
        <v>223.16580000000005</v>
      </c>
      <c r="K149" s="233">
        <f>(163.5*KFC!$B$33*1.02*1.3*1.1+KFC!$C$33)*KFC!$C$5</f>
        <v>238.48110000000003</v>
      </c>
      <c r="L149" s="233">
        <f>(174*KFC!$B$33*1.02*1.3*1.1+KFC!$C$33)*KFC!$C$5</f>
        <v>253.79640000000001</v>
      </c>
      <c r="M149" s="233">
        <f>(184.4*KFC!$B$33*1.02*1.3*1.1+KFC!$C$33)*KFC!$C$5</f>
        <v>268.96584000000007</v>
      </c>
      <c r="N149" s="233">
        <f>(194.9*KFC!$B$33*1.02*1.3*1.1+KFC!$C$33)*KFC!$C$5</f>
        <v>284.28114000000005</v>
      </c>
      <c r="O149" s="233">
        <f>(205.5*KFC!$B$33*1.02*1.3*1.1+KFC!$C$33)*KFC!$C$5</f>
        <v>299.74230000000006</v>
      </c>
      <c r="P149" s="233">
        <f>(216*KFC!$B$33*1.02*1.3*1.1+KFC!$C$33)*KFC!$C$5</f>
        <v>315.05760000000004</v>
      </c>
      <c r="Q149" s="233">
        <f>(226.5*KFC!$B$33*1.02*1.3*1.1+KFC!$C$33)*KFC!$C$5</f>
        <v>330.37290000000002</v>
      </c>
      <c r="R149" s="233">
        <f>(237*KFC!$B$33*1.02*1.3*1.1+KFC!$C$33)*KFC!$C$5</f>
        <v>345.68820000000005</v>
      </c>
      <c r="S149" s="233">
        <f>(247.5*KFC!$B$33*1.02*1.3*1.1+KFC!$C$33)*KFC!$C$5</f>
        <v>361.00350000000009</v>
      </c>
      <c r="T149" s="233">
        <f>(258.1*KFC!$B$33*1.02*1.3*1.1+KFC!$C$33)*KFC!$C$5</f>
        <v>376.46466000000004</v>
      </c>
      <c r="U149" s="233">
        <f>(268.6*KFC!$B$33*1.02*1.3*1.1+KFC!$C$33)*KFC!$C$5</f>
        <v>391.77996000000013</v>
      </c>
      <c r="V149" s="233">
        <f>(279.1*KFC!$B$33*1.02*1.3*1.1+KFC!$C$33)*KFC!$C$5</f>
        <v>407.09526000000005</v>
      </c>
      <c r="W149" s="233">
        <f>(289.6*KFC!$B$33*1.02*1.3*1.1+KFC!$C$33)*KFC!$C$5</f>
        <v>422.41056000000015</v>
      </c>
      <c r="X149" s="233">
        <f>(300.1*KFC!$B$33*1.02*1.3*1.1+KFC!$C$33)*KFC!$C$5</f>
        <v>437.72586000000007</v>
      </c>
      <c r="Y149" s="233">
        <f>(310.6*KFC!$B$33*1.02*1.3*1.1+KFC!$C$33)*KFC!$C$5</f>
        <v>453.0411600000001</v>
      </c>
      <c r="Z149" s="233">
        <f>(321.2*KFC!$B$33*1.02*1.3*1.1+KFC!$C$33)*KFC!$C$5</f>
        <v>468.50232</v>
      </c>
    </row>
    <row r="150" spans="1:26" ht="15.9" customHeight="1">
      <c r="A150" s="1912"/>
      <c r="B150" s="237">
        <v>2.9</v>
      </c>
      <c r="C150" s="239">
        <f>(81*KFC!$B$33*1.02*1.3*1.1+KFC!$C$33)*KFC!$C$5</f>
        <v>118.14660000000002</v>
      </c>
      <c r="D150" s="233">
        <f>(91.7*KFC!$B$33*1.02*1.3*1.1+KFC!$C$33)*KFC!$C$5</f>
        <v>133.75362000000004</v>
      </c>
      <c r="E150" s="233">
        <f>(102.5*KFC!$B$33*1.02*1.3*1.1+KFC!$C$33)*KFC!$C$5</f>
        <v>149.50650000000002</v>
      </c>
      <c r="F150" s="233">
        <f>(113.2*KFC!$B$33*1.02*1.3*1.1+KFC!$C$33)*KFC!$C$5</f>
        <v>165.11352000000002</v>
      </c>
      <c r="G150" s="233">
        <f>(124*KFC!$B$33*1.02*1.3*1.1+KFC!$C$33)*KFC!$C$5</f>
        <v>180.86640000000003</v>
      </c>
      <c r="H150" s="233">
        <f>(134.8*KFC!$B$33*1.02*1.3*1.1+KFC!$C$33)*KFC!$C$5</f>
        <v>196.61928000000003</v>
      </c>
      <c r="I150" s="233">
        <f>(145.7*KFC!$B$33*1.02*1.3*1.1+KFC!$C$33)*KFC!$C$5</f>
        <v>212.51802000000004</v>
      </c>
      <c r="J150" s="233">
        <f>(156.4*KFC!$B$33*1.02*1.3*1.1+KFC!$C$33)*KFC!$C$5</f>
        <v>228.12504000000007</v>
      </c>
      <c r="K150" s="233">
        <f>(167.2*KFC!$B$33*1.02*1.3*1.1+KFC!$C$33)*KFC!$C$5</f>
        <v>243.87791999999999</v>
      </c>
      <c r="L150" s="233">
        <f>(177.9*KFC!$B$33*1.02*1.3*1.1+KFC!$C$33)*KFC!$C$5</f>
        <v>259.48493999999999</v>
      </c>
      <c r="M150" s="233">
        <f>(188.7*KFC!$B$33*1.02*1.3*1.1+KFC!$C$33)*KFC!$C$5</f>
        <v>275.23782</v>
      </c>
      <c r="N150" s="233">
        <f>(199.5*KFC!$B$33*1.02*1.3*1.1+KFC!$C$33)*KFC!$C$5</f>
        <v>290.99070000000006</v>
      </c>
      <c r="O150" s="233">
        <f>(210.2*KFC!$B$33*1.02*1.3*1.1+KFC!$C$33)*KFC!$C$5</f>
        <v>306.59772000000004</v>
      </c>
      <c r="P150" s="233">
        <f>(221.1*KFC!$B$33*1.02*1.3*1.1+KFC!$C$33)*KFC!$C$5</f>
        <v>322.49646000000007</v>
      </c>
      <c r="Q150" s="233">
        <f>(231.9*KFC!$B$33*1.02*1.3*1.1+KFC!$C$33)*KFC!$C$5</f>
        <v>338.24934000000007</v>
      </c>
      <c r="R150" s="233">
        <f>(242.6*KFC!$B$33*1.02*1.3*1.1+KFC!$C$33)*KFC!$C$5</f>
        <v>353.85636000000005</v>
      </c>
      <c r="S150" s="233">
        <f>(253.4*KFC!$B$33*1.02*1.3*1.1+KFC!$C$33)*KFC!$C$5</f>
        <v>369.60924000000011</v>
      </c>
      <c r="T150" s="233">
        <f>(264.2*KFC!$B$33*1.02*1.3*1.1+KFC!$C$33)*KFC!$C$5</f>
        <v>385.36212000000006</v>
      </c>
      <c r="U150" s="233">
        <f>(274.9*KFC!$B$33*1.02*1.3*1.1+KFC!$C$33)*KFC!$C$5</f>
        <v>400.96913999999998</v>
      </c>
      <c r="V150" s="233">
        <f>(285.7*KFC!$B$33*1.02*1.3*1.1+KFC!$C$33)*KFC!$C$5</f>
        <v>416.72201999999999</v>
      </c>
      <c r="W150" s="233">
        <f>(296.6*KFC!$B$33*1.02*1.3*1.1+KFC!$C$33)*KFC!$C$5</f>
        <v>432.62076000000013</v>
      </c>
      <c r="X150" s="233">
        <f>(307.3*KFC!$B$33*1.02*1.3*1.1+KFC!$C$33)*KFC!$C$5</f>
        <v>448.22778000000011</v>
      </c>
      <c r="Y150" s="233">
        <f>(318.1*KFC!$B$33*1.02*1.3*1.1+KFC!$C$33)*KFC!$C$5</f>
        <v>463.98066000000011</v>
      </c>
      <c r="Z150" s="233">
        <f>(328.9*KFC!$B$33*1.02*1.3*1.1+KFC!$C$33)*KFC!$C$5</f>
        <v>479.73354000000012</v>
      </c>
    </row>
    <row r="151" spans="1:26" ht="15.9" customHeight="1">
      <c r="A151" s="1912"/>
      <c r="B151" s="237">
        <v>3</v>
      </c>
      <c r="C151" s="239">
        <f>(82.4*KFC!$B$33*1.02*1.3*1.1+KFC!$C$33)*KFC!$C$5</f>
        <v>120.18864000000001</v>
      </c>
      <c r="D151" s="233">
        <f>(93.6*KFC!$B$33*1.02*1.3*1.1+KFC!$C$33)*KFC!$C$5</f>
        <v>136.52495999999999</v>
      </c>
      <c r="E151" s="233">
        <f>(104.6*KFC!$B$33*1.02*1.3*1.1+KFC!$C$33)*KFC!$C$5</f>
        <v>152.56956000000002</v>
      </c>
      <c r="F151" s="233">
        <f>(115.6*KFC!$B$33*1.02*1.3*1.1+KFC!$C$33)*KFC!$C$5</f>
        <v>168.61416</v>
      </c>
      <c r="G151" s="233">
        <f>(126.7*KFC!$B$33*1.02*1.3*1.1+KFC!$C$33)*KFC!$C$5</f>
        <v>184.80462000000006</v>
      </c>
      <c r="H151" s="233">
        <f>(137.7*KFC!$B$33*1.02*1.3*1.1+KFC!$C$33)*KFC!$C$5</f>
        <v>200.84922</v>
      </c>
      <c r="I151" s="233">
        <f>(148.7*KFC!$B$33*1.02*1.3*1.1+KFC!$C$33)*KFC!$C$5</f>
        <v>216.89381999999998</v>
      </c>
      <c r="J151" s="233">
        <f>(159.8*KFC!$B$33*1.02*1.3*1.1+KFC!$C$33)*KFC!$C$5</f>
        <v>233.08428000000006</v>
      </c>
      <c r="K151" s="233">
        <f>(170.9*KFC!$B$33*1.02*1.3*1.1+KFC!$C$33)*KFC!$C$5</f>
        <v>249.27474000000004</v>
      </c>
      <c r="L151" s="233">
        <f>(182*KFC!$B$33*1.02*1.3*1.1+KFC!$C$33)*KFC!$C$5</f>
        <v>265.46520000000004</v>
      </c>
      <c r="M151" s="233">
        <f>(193*KFC!$B$33*1.02*1.3*1.1+KFC!$C$33)*KFC!$C$5</f>
        <v>281.50980000000004</v>
      </c>
      <c r="N151" s="233">
        <f>(204*KFC!$B$33*1.02*1.3*1.1+KFC!$C$33)*KFC!$C$5</f>
        <v>297.55440000000004</v>
      </c>
      <c r="O151" s="233">
        <f>(215.1*KFC!$B$33*1.02*1.3*1.1+KFC!$C$33)*KFC!$C$5</f>
        <v>313.74486000000002</v>
      </c>
      <c r="P151" s="233">
        <f>(226.1*KFC!$B$33*1.02*1.3*1.1+KFC!$C$33)*KFC!$C$5</f>
        <v>329.78946000000002</v>
      </c>
      <c r="Q151" s="233">
        <f>(237.1*KFC!$B$33*1.02*1.3*1.1+KFC!$C$33)*KFC!$C$5</f>
        <v>345.83405999999997</v>
      </c>
      <c r="R151" s="233">
        <f>(248.3*KFC!$B$33*1.02*1.3*1.1+KFC!$C$33)*KFC!$C$5</f>
        <v>362.17038000000008</v>
      </c>
      <c r="S151" s="233">
        <f>(259.3*KFC!$B$33*1.02*1.3*1.1+KFC!$C$33)*KFC!$C$5</f>
        <v>378.21498000000003</v>
      </c>
      <c r="T151" s="233">
        <f>(270.3*KFC!$B$33*1.02*1.3*1.1+KFC!$C$33)*KFC!$C$5</f>
        <v>394.25958000000008</v>
      </c>
      <c r="U151" s="233">
        <f>(281.4*KFC!$B$33*1.02*1.3*1.1+KFC!$C$33)*KFC!$C$5</f>
        <v>410.45004</v>
      </c>
      <c r="V151" s="233">
        <f>(292.4*KFC!$B$33*1.02*1.3*1.1+KFC!$C$33)*KFC!$C$5</f>
        <v>426.49464</v>
      </c>
      <c r="W151" s="233">
        <f>(303.4*KFC!$B$33*1.02*1.3*1.1+KFC!$C$33)*KFC!$C$5</f>
        <v>442.53924000000001</v>
      </c>
      <c r="X151" s="233">
        <f>(214.6*KFC!$B$33*1.02*1.3*1.1+KFC!$C$33)*KFC!$C$5</f>
        <v>313.01555999999999</v>
      </c>
      <c r="Y151" s="233">
        <f>(325.6*KFC!$B$33*1.02*1.3*1.1+KFC!$C$33)*KFC!$C$5</f>
        <v>474.92016000000007</v>
      </c>
      <c r="Z151" s="233">
        <f>(336.7*KFC!$B$33*1.02*1.3*1.1+KFC!$C$33)*KFC!$C$5</f>
        <v>491.11061999999998</v>
      </c>
    </row>
    <row r="152" spans="1:26" ht="15.9" customHeight="1">
      <c r="A152" s="1912"/>
      <c r="B152" s="237">
        <v>3.1</v>
      </c>
      <c r="C152" s="239">
        <f>(84*KFC!$B$33*1.02*1.3*1.1+KFC!$C$33)*KFC!$C$5</f>
        <v>122.52240000000002</v>
      </c>
      <c r="D152" s="233">
        <f>(95.3*KFC!$B$33*1.02*1.3*1.1+KFC!$C$33)*KFC!$C$5</f>
        <v>139.00458</v>
      </c>
      <c r="E152" s="233">
        <f>(106.6*KFC!$B$33*1.02*1.3*1.1+KFC!$C$33)*KFC!$C$5</f>
        <v>155.48676</v>
      </c>
      <c r="F152" s="233">
        <f>(118*KFC!$B$33*1.02*1.3*1.1+KFC!$C$33)*KFC!$C$5</f>
        <v>172.11480000000003</v>
      </c>
      <c r="G152" s="233">
        <f>(129.3*KFC!$B$33*1.02*1.3*1.1+KFC!$C$33)*KFC!$C$5</f>
        <v>188.59698000000006</v>
      </c>
      <c r="H152" s="233">
        <f>(140.6*KFC!$B$33*1.02*1.3*1.1+KFC!$C$33)*KFC!$C$5</f>
        <v>205.07916000000003</v>
      </c>
      <c r="I152" s="233">
        <f>(151.9*KFC!$B$33*1.02*1.3*1.1+KFC!$C$33)*KFC!$C$5</f>
        <v>221.56134000000006</v>
      </c>
      <c r="J152" s="233">
        <f>(163.3*KFC!$B$33*1.02*1.3*1.1+KFC!$C$33)*KFC!$C$5</f>
        <v>238.18938000000006</v>
      </c>
      <c r="K152" s="233">
        <f>(141.5*KFC!$B$33*1.02*1.3*1.1+KFC!$C$33)*KFC!$C$5</f>
        <v>206.39190000000005</v>
      </c>
      <c r="L152" s="233">
        <f>(185.9*KFC!$B$33*1.02*1.3*1.1+KFC!$C$33)*KFC!$C$5</f>
        <v>271.15374000000003</v>
      </c>
      <c r="M152" s="233">
        <f>(197.3*KFC!$B$33*1.02*1.3*1.1+KFC!$C$33)*KFC!$C$5</f>
        <v>287.78178000000003</v>
      </c>
      <c r="N152" s="233">
        <f>(208.5*KFC!$B$33*1.02*1.3*1.1+KFC!$C$33)*KFC!$C$5</f>
        <v>304.11810000000003</v>
      </c>
      <c r="O152" s="233">
        <f>(219.9*KFC!$B$33*1.02*1.3*1.1+KFC!$C$33)*KFC!$C$5</f>
        <v>320.74614000000003</v>
      </c>
      <c r="P152" s="233">
        <f>(231.1*KFC!$B$33*1.02*1.3*1.1+KFC!$C$33)*KFC!$C$5</f>
        <v>337.08246000000003</v>
      </c>
      <c r="Q152" s="233">
        <f>(242.5*KFC!$B$33*1.02*1.3*1.1+KFC!$C$33)*KFC!$C$5</f>
        <v>353.71050000000002</v>
      </c>
      <c r="R152" s="233">
        <f>(253.8*KFC!$B$33*1.02*1.3*1.1+KFC!$C$33)*KFC!$C$5</f>
        <v>370.19268000000005</v>
      </c>
      <c r="S152" s="233">
        <f>(265.1*KFC!$B$33*1.02*1.3*1.1+KFC!$C$33)*KFC!$C$5</f>
        <v>386.67486000000008</v>
      </c>
      <c r="T152" s="233">
        <f>(276.5*KFC!$B$33*1.02*1.3*1.1+KFC!$C$33)*KFC!$C$5</f>
        <v>403.30290000000008</v>
      </c>
      <c r="U152" s="233">
        <f>(287.8*KFC!$B$33*1.02*1.3*1.1+KFC!$C$33)*KFC!$C$5</f>
        <v>419.78508000000005</v>
      </c>
      <c r="V152" s="233">
        <f>(299.1*KFC!$B$33*1.02*1.3*1.1+KFC!$C$33)*KFC!$C$5</f>
        <v>436.26726000000014</v>
      </c>
      <c r="W152" s="233">
        <f>(310.4*KFC!$B$33*1.02*1.3*1.1+KFC!$C$33)*KFC!$C$5</f>
        <v>452.74944000000011</v>
      </c>
      <c r="X152" s="233">
        <f>(321.8*KFC!$B$33*1.02*1.3*1.1+KFC!$C$33)*KFC!$C$5</f>
        <v>469.37748000000005</v>
      </c>
      <c r="Y152" s="233">
        <f>(330*KFC!$B$33*1.02*1.3*1.1+KFC!$C$33)*KFC!$C$5</f>
        <v>481.33800000000008</v>
      </c>
      <c r="Z152" s="233">
        <f>(344.4*KFC!$B$33*1.02*1.3*1.1+KFC!$C$33)*KFC!$C$5</f>
        <v>502.3418400000001</v>
      </c>
    </row>
    <row r="153" spans="1:26" ht="15.9" customHeight="1">
      <c r="A153" s="1912"/>
      <c r="B153" s="237">
        <v>3.2</v>
      </c>
      <c r="C153" s="239">
        <f>(85.5*KFC!$B$33*1.02*1.3*1.1+KFC!$C$33)*KFC!$C$5</f>
        <v>124.71030000000003</v>
      </c>
      <c r="D153" s="233">
        <f>(97.1*KFC!$B$33*1.02*1.3*1.1+KFC!$C$33)*KFC!$C$5</f>
        <v>141.63006000000001</v>
      </c>
      <c r="E153" s="233">
        <f>(108.7*KFC!$B$33*1.02*1.3*1.1+KFC!$C$33)*KFC!$C$5</f>
        <v>158.54982000000004</v>
      </c>
      <c r="F153" s="233">
        <f>(120.3*KFC!$B$33*1.02*1.3*1.1+KFC!$C$33)*KFC!$C$5</f>
        <v>175.46958000000004</v>
      </c>
      <c r="G153" s="233">
        <f>(132*KFC!$B$33*1.02*1.3*1.1+KFC!$C$33)*KFC!$C$5</f>
        <v>192.53520000000006</v>
      </c>
      <c r="H153" s="233">
        <f>(143.5*KFC!$B$33*1.02*1.3*1.1+KFC!$C$33)*KFC!$C$5</f>
        <v>209.30910000000003</v>
      </c>
      <c r="I153" s="233">
        <f>(155.1*KFC!$B$33*1.02*1.3*1.1+KFC!$C$33)*KFC!$C$5</f>
        <v>226.22886000000003</v>
      </c>
      <c r="J153" s="233">
        <f>(166+0.7*KFC!$B$33*1.02*1.3*1.1+KFC!$C$33)*KFC!$C$5</f>
        <v>167.02101999999999</v>
      </c>
      <c r="K153" s="233">
        <f>(178.3*KFC!$B$33*1.02*1.3*1.1+KFC!$C$33)*KFC!$C$5</f>
        <v>260.06838000000005</v>
      </c>
      <c r="L153" s="233">
        <f>(189.9*KFC!$B$33*1.02*1.3*1.1+KFC!$C$33)*KFC!$C$5</f>
        <v>276.98814000000004</v>
      </c>
      <c r="M153" s="233">
        <f>(201.4*KFC!$B$33*1.02*1.3*1.1+KFC!$C$33)*KFC!$C$5</f>
        <v>293.76204000000001</v>
      </c>
      <c r="N153" s="233">
        <f>(213*KFC!$B$33*1.02*1.3*1.1+KFC!$C$33)*KFC!$C$5</f>
        <v>310.68180000000001</v>
      </c>
      <c r="O153" s="233">
        <f>(224.7*KFC!$B$33*1.02*1.3*1.1+KFC!$C$33)*KFC!$C$5</f>
        <v>327.74742000000003</v>
      </c>
      <c r="P153" s="233">
        <f>(236.3*KFC!$B$33*1.02*1.3*1.1+KFC!$C$33)*KFC!$C$5</f>
        <v>344.66718000000003</v>
      </c>
      <c r="Q153" s="233">
        <f>(247.8*KFC!$B$33*1.02*1.3*1.1+KFC!$C$33)*KFC!$C$5</f>
        <v>361.44108000000006</v>
      </c>
      <c r="R153" s="233">
        <f>(259.4*KFC!$B$33*1.02*1.3*1.1+KFC!$C$33)*KFC!$C$5</f>
        <v>378.36084</v>
      </c>
      <c r="S153" s="233">
        <f>(271*KFC!$B$33*1.02*1.3*1.1+KFC!$C$33)*KFC!$C$5</f>
        <v>395.28060000000011</v>
      </c>
      <c r="T153" s="233">
        <f>(282.6*KFC!$B$33*1.02*1.3*1.1+KFC!$C$33)*KFC!$C$5</f>
        <v>412.2003600000001</v>
      </c>
      <c r="U153" s="233">
        <f>(294.3*KFC!$B$33*1.02*1.3*1.1+KFC!$C$33)*KFC!$C$5</f>
        <v>429.26598000000013</v>
      </c>
      <c r="V153" s="233">
        <f>(305.8*KFC!$B$33*1.02*1.3*1.1+KFC!$C$33)*KFC!$C$5</f>
        <v>446.0398800000001</v>
      </c>
      <c r="W153" s="233">
        <f>(317.4*KFC!$B$33*1.02*1.3*1.1+KFC!$C$33)*KFC!$C$5</f>
        <v>462.95964000000009</v>
      </c>
      <c r="X153" s="233">
        <f>(329*KFC!$B$33*1.02*1.3*1.1+KFC!$C$33)*KFC!$C$5</f>
        <v>479.87940000000003</v>
      </c>
      <c r="Y153" s="233">
        <f>(340.6*KFC!$B$33*1.02*1.3*1.1+KFC!$C$33)*KFC!$C$5</f>
        <v>496.79916000000014</v>
      </c>
      <c r="Z153" s="233">
        <f>(352.2*KFC!$B$33*1.02*1.3*1.1+KFC!$C$33)*KFC!$C$5</f>
        <v>513.71892000000003</v>
      </c>
    </row>
    <row r="154" spans="1:26" ht="15.9" customHeight="1">
      <c r="A154" s="1912"/>
      <c r="B154" s="237">
        <v>3.3</v>
      </c>
      <c r="C154" s="239">
        <f>(87.1*KFC!$B$33*1.02*1.3*1.1+KFC!$C$33)*KFC!$C$5</f>
        <v>127.04406000000002</v>
      </c>
      <c r="D154" s="233">
        <f>(98.9*KFC!$B$33*1.02*1.3*1.1+KFC!$C$33)*KFC!$C$5</f>
        <v>144.25554000000005</v>
      </c>
      <c r="E154" s="233">
        <f>(110.8*KFC!$B$33*1.02*1.3*1.1+KFC!$C$33)*KFC!$C$5</f>
        <v>161.61288000000002</v>
      </c>
      <c r="F154" s="233">
        <f>(122.7*KFC!$B$33*1.02*1.3*1.1+KFC!$C$33)*KFC!$C$5</f>
        <v>178.97022000000004</v>
      </c>
      <c r="G154" s="233">
        <f>(134.5*KFC!$B$33*1.02*1.3*1.1+KFC!$C$33)*KFC!$C$5</f>
        <v>196.18170000000003</v>
      </c>
      <c r="H154" s="233">
        <f>(146.4*KFC!$B$33*1.02*1.3*1.1+KFC!$C$33)*KFC!$C$5</f>
        <v>213.53904000000003</v>
      </c>
      <c r="I154" s="233">
        <f>(158.3*KFC!$B$33*1.02*1.3*1.1+KFC!$C$33)*KFC!$C$5</f>
        <v>230.89638000000005</v>
      </c>
      <c r="J154" s="233">
        <f>(170.1*KFC!$B$33*1.02*1.3*1.1+KFC!$C$33)*KFC!$C$5</f>
        <v>248.10786000000004</v>
      </c>
      <c r="K154" s="233">
        <f>(182*KFC!$B$33*1.02*1.3*1.1+KFC!$C$33)*KFC!$C$5</f>
        <v>265.46520000000004</v>
      </c>
      <c r="L154" s="233">
        <f>(193.8*KFC!$B$33*1.02*1.3*1.1+KFC!$C$33)*KFC!$C$5</f>
        <v>282.67668000000009</v>
      </c>
      <c r="M154" s="233">
        <f>(205.7*KFC!$B$33*1.02*1.3*1.1+KFC!$C$33)*KFC!$C$5</f>
        <v>300.03402</v>
      </c>
      <c r="N154" s="233">
        <f>(217.6*KFC!$B$33*1.02*1.3*1.1+KFC!$C$33)*KFC!$C$5</f>
        <v>317.39136000000002</v>
      </c>
      <c r="O154" s="233">
        <f>(229.4*KFC!$B$33*1.02*1.3*1.1+KFC!$C$33)*KFC!$C$5</f>
        <v>334.60284000000001</v>
      </c>
      <c r="P154" s="233">
        <f>(241.3*KFC!$B$33*1.02*1.3*1.1+KFC!$C$33)*KFC!$C$5</f>
        <v>351.96018000000004</v>
      </c>
      <c r="Q154" s="233">
        <f>(253.2*KFC!$B$33*1.02*1.3*1.1+KFC!$C$33)*KFC!$C$5</f>
        <v>369.31752000000006</v>
      </c>
      <c r="R154" s="233">
        <f>(265*KFC!$B$33*1.02*1.3*1.1+KFC!$C$33)*KFC!$C$5</f>
        <v>386.52900000000005</v>
      </c>
      <c r="S154" s="233">
        <f>(276.9*KFC!$B$33*1.02*1.3*1.1+KFC!$C$33)*KFC!$C$5</f>
        <v>403.88634000000002</v>
      </c>
      <c r="T154" s="233">
        <f>(288.8*KFC!$B$33*1.02*1.3*1.1+KFC!$C$33)*KFC!$C$5</f>
        <v>421.2436800000001</v>
      </c>
      <c r="U154" s="233">
        <f>(300.6*KFC!$B$33*1.02*1.3*1.1+KFC!$C$33)*KFC!$C$5</f>
        <v>438.45516000000009</v>
      </c>
      <c r="V154" s="233">
        <f>(312.5*KFC!$B$33*1.02*1.3*1.1+KFC!$C$33)*KFC!$C$5</f>
        <v>455.81250000000006</v>
      </c>
      <c r="W154" s="233">
        <f>(324.3*KFC!$B$33*1.02*1.3*1.1+KFC!$C$33)*KFC!$C$5</f>
        <v>473.02398000000011</v>
      </c>
      <c r="X154" s="233">
        <f>(336.2*KFC!$B$33*1.02*1.3*1.1+KFC!$C$33)*KFC!$C$5</f>
        <v>490.38132000000002</v>
      </c>
      <c r="Y154" s="233">
        <f>(348.1*KFC!$B$33*1.02*1.3*1.1+KFC!$C$33)*KFC!$C$5</f>
        <v>507.73866000000004</v>
      </c>
      <c r="Z154" s="233">
        <f>(359.9*KFC!$B$33*1.02*1.3*1.1+KFC!$C$33)*KFC!$C$5</f>
        <v>524.95013999999992</v>
      </c>
    </row>
    <row r="155" spans="1:26" ht="15.9" customHeight="1">
      <c r="A155" s="1912"/>
      <c r="B155" s="237">
        <v>3.4</v>
      </c>
      <c r="C155" s="239">
        <f>(88.7*KFC!$B$33*1.02*1.3*1.1+KFC!$C$33)*KFC!$C$5</f>
        <v>129.37782000000001</v>
      </c>
      <c r="D155" s="233">
        <f>(100.8*KFC!$B$33*1.02*1.3*1.1+KFC!$C$33)*KFC!$C$5</f>
        <v>147.02688000000001</v>
      </c>
      <c r="E155" s="233">
        <f>(112.9*KFC!$B$33*1.02*1.3*1.1+KFC!$C$33)*KFC!$C$5</f>
        <v>164.67594</v>
      </c>
      <c r="F155" s="233">
        <f>(125*KFC!$B$33*1.02*1.3*1.1+KFC!$C$33)*KFC!$C$5</f>
        <v>182.32500000000002</v>
      </c>
      <c r="G155" s="233">
        <f>(137.1*KFC!$B$33*1.02*1.3*1.1+KFC!$C$33)*KFC!$C$5</f>
        <v>199.97405999999998</v>
      </c>
      <c r="H155" s="233">
        <f>(149.3*KFC!$B$33*1.02*1.3*1.1+KFC!$C$33)*KFC!$C$5</f>
        <v>217.76898000000003</v>
      </c>
      <c r="I155" s="233">
        <f>(161.4*KFC!$B$33*1.02*1.3*1.1+KFC!$C$33)*KFC!$C$5</f>
        <v>235.41804000000005</v>
      </c>
      <c r="J155" s="233">
        <f>(173.5*KFC!$B$33*1.02*1.3*1.1+KFC!$C$33)*KFC!$C$5</f>
        <v>253.06710000000004</v>
      </c>
      <c r="K155" s="233">
        <f>(185.7*KFC!$B$33*1.02*1.3*1.1+KFC!$C$33)*KFC!$C$5</f>
        <v>270.86201999999997</v>
      </c>
      <c r="L155" s="233">
        <f>(197.9*KFC!$B$33*1.02*1.3*1.1+KFC!$C$33)*KFC!$C$5</f>
        <v>288.65694000000008</v>
      </c>
      <c r="M155" s="233">
        <f>(210*KFC!$B$33*1.02*1.3*1.1+KFC!$C$33)*KFC!$C$5</f>
        <v>306.30600000000004</v>
      </c>
      <c r="N155" s="233">
        <f>(222.1*KFC!$B$33*1.02*1.3*1.1+KFC!$C$33)*KFC!$C$5</f>
        <v>323.95506000000006</v>
      </c>
      <c r="O155" s="233">
        <f>(234.2*KFC!$B$33*1.02*1.3*1.1+KFC!$C$33)*KFC!$C$5</f>
        <v>341.60412000000002</v>
      </c>
      <c r="P155" s="233">
        <f>(246.3*KFC!$B$33*1.02*1.3*1.1+KFC!$C$33)*KFC!$C$5</f>
        <v>359.2531800000001</v>
      </c>
      <c r="Q155" s="233">
        <f>(258.5*KFC!$B$33*1.02*1.3*1.1+KFC!$C$33)*KFC!$C$5</f>
        <v>377.04810000000003</v>
      </c>
      <c r="R155" s="233">
        <f>(270.6*KFC!$B$33*1.02*1.3*1.1+KFC!$C$33)*KFC!$C$5</f>
        <v>394.69716000000005</v>
      </c>
      <c r="S155" s="233">
        <f>(282.8*KFC!$B$33*1.02*1.3*1.1+KFC!$C$33)*KFC!$C$5</f>
        <v>412.4920800000001</v>
      </c>
      <c r="T155" s="233">
        <f>(294.9*KFC!$B$33*1.02*1.3*1.1+KFC!$C$33)*KFC!$C$5</f>
        <v>430.14114000000001</v>
      </c>
      <c r="U155" s="233">
        <f>(307*KFC!$B$33*1.02*1.3*1.1+KFC!$C$33)*KFC!$C$5</f>
        <v>447.79020000000003</v>
      </c>
      <c r="V155" s="233">
        <f>(319.2*KFC!$B$33*1.02*1.3*1.1+KFC!$C$33)*KFC!$C$5</f>
        <v>465.58512000000007</v>
      </c>
      <c r="W155" s="233">
        <f>(331.3*KFC!$B$33*1.02*1.3*1.1+KFC!$C$33)*KFC!$C$5</f>
        <v>483.23418000000015</v>
      </c>
      <c r="X155" s="233">
        <f>(343.4*KFC!$B$33*1.02*1.3*1.1+KFC!$C$33)*KFC!$C$5</f>
        <v>500.88324</v>
      </c>
      <c r="Y155" s="233">
        <f>(355.5*KFC!$B$33*1.02*1.3*1.1+KFC!$C$33)*KFC!$C$5</f>
        <v>518.53230000000008</v>
      </c>
      <c r="Z155" s="233">
        <f>(367.8*KFC!$B$33*1.02*1.3*1.1+KFC!$C$33)*KFC!$C$5</f>
        <v>536.4730800000001</v>
      </c>
    </row>
    <row r="156" spans="1:26" ht="15.9" customHeight="1">
      <c r="A156" s="1912"/>
      <c r="B156" s="237">
        <v>3.5</v>
      </c>
      <c r="C156" s="239">
        <f>(90.1*KFC!$B$33*1.02*1.3*1.1+KFC!$C$33)*KFC!$C$5</f>
        <v>131.41986</v>
      </c>
      <c r="D156" s="233">
        <f>(102.6*KFC!$B$33*1.02*1.3*1.1+KFC!$C$33)*KFC!$C$5</f>
        <v>149.65236000000004</v>
      </c>
      <c r="E156" s="233">
        <f>(115*KFC!$B$33*1.02*1.3*1.1+KFC!$C$33)*KFC!$C$5</f>
        <v>167.73900000000003</v>
      </c>
      <c r="F156" s="233">
        <f>(127.3*KFC!$B$33*1.02*1.3*1.1+KFC!$C$33)*KFC!$C$5</f>
        <v>185.67978000000002</v>
      </c>
      <c r="G156" s="233">
        <f>(139.8*KFC!$B$33*1.02*1.3*1.1+KFC!$C$33)*KFC!$C$5</f>
        <v>203.91228000000004</v>
      </c>
      <c r="H156" s="233">
        <f>(152.1*KFC!$B$33*1.02*1.3*1.1+KFC!$C$33)*KFC!$C$5</f>
        <v>221.85306</v>
      </c>
      <c r="I156" s="233">
        <f>(164.6*KFC!$B$33*1.02*1.3*1.1+KFC!$C$33)*KFC!$C$5</f>
        <v>240.08556000000002</v>
      </c>
      <c r="J156" s="233">
        <f>(177*KFC!$B$33*1.02*1.3*1.1+KFC!$C$33)*KFC!$C$5</f>
        <v>258.17220000000003</v>
      </c>
      <c r="K156" s="233">
        <f>(189.4*KFC!$B$33*1.02*1.3*1.1+KFC!$C$33)*KFC!$C$5</f>
        <v>276.25884000000002</v>
      </c>
      <c r="L156" s="233">
        <f>(201.8*KFC!$B$33*1.02*1.3*1.1+KFC!$C$33)*KFC!$C$5</f>
        <v>294.34548000000007</v>
      </c>
      <c r="M156" s="233">
        <f>(214.1*KFC!$B$33*1.02*1.3*1.1+KFC!$C$33)*KFC!$C$5</f>
        <v>312.28626000000008</v>
      </c>
      <c r="N156" s="233">
        <f>(226.6*KFC!$B$33*1.02*1.3*1.1+KFC!$C$33)*KFC!$C$5</f>
        <v>330.51876000000004</v>
      </c>
      <c r="O156" s="233">
        <f>(239*KFC!$B$33*1.02*1.3*1.1+KFC!$C$33)*KFC!$C$5</f>
        <v>348.60540000000003</v>
      </c>
      <c r="P156" s="233">
        <f>(251.4*KFC!$B$33*1.02*1.3*1.1+KFC!$C$33)*KFC!$C$5</f>
        <v>366.69204000000002</v>
      </c>
      <c r="Q156" s="233">
        <f>(263.8*KFC!$B$33*1.02*1.3*1.1+KFC!$C$33)*KFC!$C$5</f>
        <v>384.77868000000007</v>
      </c>
      <c r="R156" s="233">
        <f>(276.3*KFC!$B$33*1.02*1.3*1.1+KFC!$C$33)*KFC!$C$5</f>
        <v>403.01118000000002</v>
      </c>
      <c r="S156" s="233">
        <f>(288.6*KFC!$B$33*1.02*1.3*1.1+KFC!$C$33)*KFC!$C$5</f>
        <v>420.95196000000004</v>
      </c>
      <c r="T156" s="233">
        <f>(301*KFC!$B$33*1.02*1.3*1.1+KFC!$C$33)*KFC!$C$5</f>
        <v>439.03860000000003</v>
      </c>
      <c r="U156" s="233">
        <f>(313.5*KFC!$B$33*1.02*1.3*1.1+KFC!$C$33)*KFC!$C$5</f>
        <v>457.27109999999999</v>
      </c>
      <c r="V156" s="233">
        <f>(325.8*KFC!$B$33*1.02*1.3*1.1+KFC!$C$33)*KFC!$C$5</f>
        <v>475.21188000000012</v>
      </c>
      <c r="W156" s="233">
        <f>(338.3*KFC!$B$33*1.02*1.3*1.1+KFC!$C$33)*KFC!$C$5</f>
        <v>493.44438000000014</v>
      </c>
      <c r="X156" s="233">
        <f>(350.6*KFC!$B$33*1.02*1.3*1.1+KFC!$C$33)*KFC!$C$5</f>
        <v>511.3851600000001</v>
      </c>
      <c r="Y156" s="233">
        <f>(363.1*KFC!$B$33*1.02*1.3*1.1+KFC!$C$33)*KFC!$C$5</f>
        <v>529.61766000000011</v>
      </c>
      <c r="Z156" s="233">
        <f>(375.5*KFC!$B$33*1.02*1.3*1.1+KFC!$C$33)*KFC!$C$5</f>
        <v>547.7043000000001</v>
      </c>
    </row>
    <row r="157" spans="1:26" ht="15.9" customHeight="1">
      <c r="A157" s="1912"/>
      <c r="B157" s="237">
        <v>3.6</v>
      </c>
      <c r="C157" s="239">
        <f>(91.7*KFC!$B$33*1.02*1.3*1.1+KFC!$C$33)*KFC!$C$5</f>
        <v>133.75362000000004</v>
      </c>
      <c r="D157" s="233">
        <f>(104.3*KFC!$B$33*1.02*1.3*1.1+KFC!$C$33)*KFC!$C$5</f>
        <v>152.13198</v>
      </c>
      <c r="E157" s="233">
        <f>(117*KFC!$B$33*1.02*1.3*1.1+KFC!$C$33)*KFC!$C$5</f>
        <v>170.65620000000001</v>
      </c>
      <c r="F157" s="233">
        <f>(129.8*KFC!$B$33*1.02*1.3*1.1+KFC!$C$33)*KFC!$C$5</f>
        <v>189.32628000000005</v>
      </c>
      <c r="G157" s="233">
        <f>(142.4*KFC!$B$33*1.02*1.3*1.1+KFC!$C$33)*KFC!$C$5</f>
        <v>207.70464000000007</v>
      </c>
      <c r="H157" s="233">
        <f>(155.1*KFC!$B$33*1.02*1.3*1.1+KFC!$C$33)*KFC!$C$5</f>
        <v>226.22886000000003</v>
      </c>
      <c r="I157" s="233">
        <f>(167.8*KFC!$B$33*1.02*1.3*1.1+KFC!$C$33)*KFC!$C$5</f>
        <v>244.75308000000004</v>
      </c>
      <c r="J157" s="233">
        <f>(180.4*KFC!$B$33*1.02*1.3*1.1+KFC!$C$33)*KFC!$C$5</f>
        <v>263.13144000000005</v>
      </c>
      <c r="K157" s="233">
        <f>(193.1*KFC!$B$33*1.02*1.3*1.1+KFC!$C$33)*KFC!$C$5</f>
        <v>281.65566000000001</v>
      </c>
      <c r="L157" s="233">
        <f>(205.8*KFC!$B$33*1.02*1.3*1.1+KFC!$C$33)*KFC!$C$5</f>
        <v>300.17988000000008</v>
      </c>
      <c r="M157" s="233">
        <f>(218.4*KFC!$B$33*1.02*1.3*1.1+KFC!$C$33)*KFC!$C$5</f>
        <v>318.55824000000007</v>
      </c>
      <c r="N157" s="233">
        <f>(231.1*KFC!$B$33*1.02*1.3*1.1+KFC!$C$33)*KFC!$C$5</f>
        <v>337.08246000000003</v>
      </c>
      <c r="O157" s="233">
        <f>(243.7*KFC!$B$33*1.02*1.3*1.1+KFC!$C$33)*KFC!$C$5</f>
        <v>355.46082000000001</v>
      </c>
      <c r="P157" s="233">
        <f>(256.5*KFC!$B$33*1.02*1.3*1.1+KFC!$C$33)*KFC!$C$5</f>
        <v>374.13090000000005</v>
      </c>
      <c r="Q157" s="233">
        <f>(269.2*KFC!$B$33*1.02*1.3*1.1+KFC!$C$33)*KFC!$C$5</f>
        <v>392.65512000000007</v>
      </c>
      <c r="R157" s="233">
        <f>(281.8*KFC!$B$33*1.02*1.3*1.1+KFC!$C$33)*KFC!$C$5</f>
        <v>411.03348000000011</v>
      </c>
      <c r="S157" s="233">
        <f>(294.5*KFC!$B$33*1.02*1.3*1.1+KFC!$C$33)*KFC!$C$5</f>
        <v>429.55770000000007</v>
      </c>
      <c r="T157" s="233">
        <f>(307.2*KFC!$B$33*1.02*1.3*1.1+KFC!$C$33)*KFC!$C$5</f>
        <v>448.08192000000003</v>
      </c>
      <c r="U157" s="233">
        <f>(319.8*KFC!$B$33*1.02*1.3*1.1+KFC!$C$33)*KFC!$C$5</f>
        <v>466.46028000000013</v>
      </c>
      <c r="V157" s="233">
        <f>(332.5*KFC!$B$33*1.02*1.3*1.1+KFC!$C$33)*KFC!$C$5</f>
        <v>484.98450000000008</v>
      </c>
      <c r="W157" s="233">
        <f>(345.3*KFC!$B$33*1.02*1.3*1.1+KFC!$C$33)*KFC!$C$5</f>
        <v>503.65458000000007</v>
      </c>
      <c r="X157" s="233">
        <f>(357.8*KFC!$B$33*1.02*1.3*1.1+KFC!$C$33)*KFC!$C$5</f>
        <v>521.88708000000008</v>
      </c>
      <c r="Y157" s="233">
        <f>(370.6*KFC!$B$33*1.02*1.3*1.1+KFC!$C$33)*KFC!$C$5</f>
        <v>540.55716000000018</v>
      </c>
      <c r="Z157" s="233">
        <f>(383.3*KFC!$B$33*1.02*1.3*1.1+KFC!$C$33)*KFC!$C$5</f>
        <v>559.08138000000008</v>
      </c>
    </row>
    <row r="158" spans="1:26" ht="15.9" customHeight="1">
      <c r="A158" s="1912"/>
      <c r="B158" s="237">
        <v>3.7</v>
      </c>
      <c r="C158" s="239">
        <f>(93.2*KFC!$B$33*1.02*1.3*1.1+KFC!$C$33)*KFC!$C$5</f>
        <v>135.94152000000003</v>
      </c>
      <c r="D158" s="233">
        <f>(106.2*KFC!$B$33*1.02*1.3*1.1+KFC!$C$33)*KFC!$C$5</f>
        <v>154.90332000000001</v>
      </c>
      <c r="E158" s="233">
        <f>(119.1*KFC!$B$33*1.02*1.3*1.1+KFC!$C$33)*KFC!$C$5</f>
        <v>173.71926000000002</v>
      </c>
      <c r="F158" s="233">
        <f>(132.1*KFC!$B$33*1.02*1.3*1.1+KFC!$C$33)*KFC!$C$5</f>
        <v>192.68106000000003</v>
      </c>
      <c r="G158" s="233">
        <f>(145*KFC!$B$33*1.02*1.3*1.1+KFC!$C$33)*KFC!$C$5</f>
        <v>211.49700000000004</v>
      </c>
      <c r="H158" s="233">
        <f>(158*KFC!$B$33*1.02*1.3*1.1+KFC!$C$33)*KFC!$C$5</f>
        <v>230.45880000000002</v>
      </c>
      <c r="I158" s="233">
        <f>(170.9*KFC!$B$33*1.02*1.3*1.1+KFC!$C$33)*KFC!$C$5</f>
        <v>249.27474000000004</v>
      </c>
      <c r="J158" s="233">
        <f>(183.8*KFC!$B$33*1.02*1.3*1.1+KFC!$C$33)*KFC!$C$5</f>
        <v>268.09068000000008</v>
      </c>
      <c r="K158" s="233">
        <f>(196.8*KFC!$B$33*1.02*1.3*1.1+KFC!$C$33)*KFC!$C$5</f>
        <v>287.05248000000006</v>
      </c>
      <c r="L158" s="233">
        <f>(209.7*KFC!$B$33*1.02*1.3*1.1+KFC!$C$33)*KFC!$C$5</f>
        <v>305.86842000000007</v>
      </c>
      <c r="M158" s="233">
        <f>(222.7*KFC!$B$33*1.02*1.3*1.1+KFC!$C$33)*KFC!$C$5</f>
        <v>324.83022000000005</v>
      </c>
      <c r="N158" s="233">
        <f>(235.7*KFC!$B$33*1.02*1.3*1.1+KFC!$C$33)*KFC!$C$5</f>
        <v>343.79202000000004</v>
      </c>
      <c r="O158" s="233">
        <f>(248.6*KFC!$B$33*1.02*1.3*1.1+KFC!$C$33)*KFC!$C$5</f>
        <v>362.60796000000005</v>
      </c>
      <c r="P158" s="233">
        <f>(261.5*KFC!$B$33*1.02*1.3*1.1+KFC!$C$33)*KFC!$C$5</f>
        <v>381.42390000000006</v>
      </c>
      <c r="Q158" s="233">
        <f>(274.4*KFC!$B$33*1.02*1.3*1.1+KFC!$C$33)*KFC!$C$5</f>
        <v>400.23984000000002</v>
      </c>
      <c r="R158" s="233">
        <f>(287.4*KFC!$B$33*1.02*1.3*1.1+KFC!$C$33)*KFC!$C$5</f>
        <v>419.20164000000005</v>
      </c>
      <c r="S158" s="233">
        <f>(300.4*KFC!$B$33*1.02*1.3*1.1+KFC!$C$33)*KFC!$C$5</f>
        <v>438.16343999999998</v>
      </c>
      <c r="T158" s="233">
        <f>(313.3*KFC!$B$33*1.02*1.3*1.1+KFC!$C$33)*KFC!$C$5</f>
        <v>456.97938000000005</v>
      </c>
      <c r="U158" s="233">
        <f>(326.3*KFC!$B$33*1.02*1.3*1.1+KFC!$C$33)*KFC!$C$5</f>
        <v>475.94118000000009</v>
      </c>
      <c r="V158" s="233">
        <f>(339.3*KFC!$B$33*1.02*1.3*1.1+KFC!$C$33)*KFC!$C$5</f>
        <v>494.90298000000007</v>
      </c>
      <c r="W158" s="233">
        <f>(352.1*KFC!$B$33*1.02*1.3*1.1+KFC!$C$33)*KFC!$C$5</f>
        <v>513.57306000000017</v>
      </c>
      <c r="X158" s="233">
        <f>(365.1*KFC!$B$33*1.02*1.3*1.1+KFC!$C$33)*KFC!$C$5</f>
        <v>532.53486000000009</v>
      </c>
      <c r="Y158" s="233">
        <f>(378*KFC!$B$33*1.02*1.3*1.1+KFC!$C$33)*KFC!$C$5</f>
        <v>551.35080000000005</v>
      </c>
      <c r="Z158" s="233">
        <f>(391*KFC!$B$33*1.02*1.3*1.1+KFC!$C$33)*KFC!$C$5</f>
        <v>570.31260000000009</v>
      </c>
    </row>
    <row r="159" spans="1:26" ht="15.9" customHeight="1">
      <c r="A159" s="1912"/>
      <c r="B159" s="237">
        <v>3.8</v>
      </c>
      <c r="C159" s="239">
        <f>(94.8*KFC!$B$33*1.02*1.3*1.1+KFC!$C$33)*KFC!$C$5</f>
        <v>138.27528000000001</v>
      </c>
      <c r="D159" s="233">
        <f>(108*KFC!$B$33*1.02*1.3*1.1+KFC!$C$33)*KFC!$C$5</f>
        <v>157.52880000000002</v>
      </c>
      <c r="E159" s="233">
        <f>(121.2*KFC!$B$33*1.02*1.3*1.1+KFC!$C$33)*KFC!$C$5</f>
        <v>176.78232000000003</v>
      </c>
      <c r="F159" s="233">
        <f>(134.4*KFC!$B$33*1.02*1.3*1.1+KFC!$C$33)*KFC!$C$5</f>
        <v>196.03584000000006</v>
      </c>
      <c r="G159" s="233">
        <f>(147.6*KFC!$B$33*1.02*1.3*1.1+KFC!$C$33)*KFC!$C$5</f>
        <v>215.28936000000002</v>
      </c>
      <c r="H159" s="233">
        <f>(160.8*KFC!$B$33*1.02*1.3*1.1+KFC!$C$33)*KFC!$C$5</f>
        <v>234.54288000000005</v>
      </c>
      <c r="I159" s="233">
        <f>(174*KFC!$B$33*1.02*1.3*1.1+KFC!$C$33)*KFC!$C$5</f>
        <v>253.79640000000001</v>
      </c>
      <c r="J159" s="233">
        <f>(187.2*KFC!$B$33*1.02*1.3*1.1+KFC!$C$33)*KFC!$C$5</f>
        <v>273.04991999999999</v>
      </c>
      <c r="K159" s="233">
        <f>(200.4*KFC!$B$33*1.02*1.3*1.1+KFC!$C$33)*KFC!$C$5</f>
        <v>292.30344000000008</v>
      </c>
      <c r="L159" s="233">
        <f>(213.8*KFC!$B$33*1.02*1.3*1.1+KFC!$C$33)*KFC!$C$5</f>
        <v>311.84868000000006</v>
      </c>
      <c r="M159" s="233">
        <f>(227*KFC!$B$33*1.02*1.3*1.1+KFC!$C$33)*KFC!$C$5</f>
        <v>331.10220000000004</v>
      </c>
      <c r="N159" s="233">
        <f>(240.2*KFC!$B$33*1.02*1.3*1.1+KFC!$C$33)*KFC!$C$5</f>
        <v>350.35572000000002</v>
      </c>
      <c r="O159" s="233">
        <f>(253.4*KFC!$B$33*1.02*1.3*1.1+KFC!$C$33)*KFC!$C$5</f>
        <v>369.60924000000011</v>
      </c>
      <c r="P159" s="233">
        <f>(266.6*KFC!$B$33*1.02*1.3*1.1+KFC!$C$33)*KFC!$C$5</f>
        <v>388.86276000000009</v>
      </c>
      <c r="Q159" s="233">
        <f>(279.8*KFC!$B$33*1.02*1.3*1.1+KFC!$C$33)*KFC!$C$5</f>
        <v>408.11628000000007</v>
      </c>
      <c r="R159" s="233">
        <f>(293*KFC!$B$33*1.02*1.3*1.1+KFC!$C$33)*KFC!$C$5</f>
        <v>427.36980000000005</v>
      </c>
      <c r="S159" s="233">
        <f>(306.2*KFC!$B$33*1.02*1.3*1.1+KFC!$C$33)*KFC!$C$5</f>
        <v>446.62332000000004</v>
      </c>
      <c r="T159" s="233">
        <f>(319.4*KFC!$B$33*1.02*1.3*1.1+KFC!$C$33)*KFC!$C$5</f>
        <v>465.87684000000007</v>
      </c>
      <c r="U159" s="233">
        <f>(332.7*KFC!$B$33*1.02*1.3*1.1+KFC!$C$33)*KFC!$C$5</f>
        <v>485.27622000000002</v>
      </c>
      <c r="V159" s="233">
        <f>(345.9*KFC!$B$33*1.02*1.3*1.1+KFC!$C$33)*KFC!$C$5</f>
        <v>504.52974</v>
      </c>
      <c r="W159" s="233">
        <f>(359.1*KFC!$B$33*1.02*1.3*1.1+KFC!$C$33)*KFC!$C$5</f>
        <v>523.78326000000015</v>
      </c>
      <c r="X159" s="233">
        <f>(372.3*KFC!$B$33*1.02*1.3*1.1+KFC!$C$33)*KFC!$C$5</f>
        <v>543.03678000000014</v>
      </c>
      <c r="Y159" s="233">
        <f>(385.5*KFC!$B$33*1.02*1.3*1.1+KFC!$C$33)*KFC!$C$5</f>
        <v>562.2903</v>
      </c>
      <c r="Z159" s="233">
        <f>(398.8*KFC!$B$33*1.02*1.3*1.1+KFC!$C$33)*KFC!$C$5</f>
        <v>581.68968000000007</v>
      </c>
    </row>
    <row r="160" spans="1:26" ht="15.9" customHeight="1">
      <c r="A160" s="1912"/>
      <c r="B160" s="237">
        <v>3.9</v>
      </c>
      <c r="C160" s="239">
        <f>(96.3*KFC!$B$33*1.02*1.3*1.1+KFC!$C$33)*KFC!$C$5</f>
        <v>140.46318000000002</v>
      </c>
      <c r="D160" s="233">
        <f>(109.8*KFC!$B$33*1.02*1.3*1.1+KFC!$C$33)*KFC!$C$5</f>
        <v>160.15428</v>
      </c>
      <c r="E160" s="233">
        <f>(123.3*KFC!$B$33*1.02*1.3*1.1+KFC!$C$33)*KFC!$C$5</f>
        <v>179.84538000000001</v>
      </c>
      <c r="F160" s="233">
        <f>(136.7*KFC!$B$33*1.02*1.3*1.1+KFC!$C$33)*KFC!$C$5</f>
        <v>199.39062000000004</v>
      </c>
      <c r="G160" s="233">
        <f>(150.3*KFC!$B$33*1.02*1.3*1.1+KFC!$C$33)*KFC!$C$5</f>
        <v>219.22758000000005</v>
      </c>
      <c r="H160" s="233">
        <f>(163.8*KFC!$B$33*1.02*1.3*1.1+KFC!$C$33)*KFC!$C$5</f>
        <v>238.91868000000005</v>
      </c>
      <c r="I160" s="233">
        <f>(177.2*KFC!$B$33*1.02*1.3*1.1+KFC!$C$33)*KFC!$C$5</f>
        <v>258.46392000000003</v>
      </c>
      <c r="J160" s="233">
        <f>(190.7*KFC!$B$33*1.02*1.3*1.1+KFC!$C$33)*KFC!$C$5</f>
        <v>278.15501999999998</v>
      </c>
      <c r="K160" s="233">
        <f>(204.2*KFC!$B$33*1.02*1.3*1.1+KFC!$C$33)*KFC!$C$5</f>
        <v>297.84612000000004</v>
      </c>
      <c r="L160" s="233">
        <f>(217.7*KFC!$B$33*1.02*1.3*1.1+KFC!$C$33)*KFC!$C$5</f>
        <v>317.53722000000005</v>
      </c>
      <c r="M160" s="233">
        <f>(231.1*KFC!$B$33*1.02*1.3*1.1+KFC!$C$33)*KFC!$C$5</f>
        <v>337.08246000000003</v>
      </c>
      <c r="N160" s="233">
        <f>(244.7*KFC!$B$33*1.02*1.3*1.1+KFC!$C$33)*KFC!$C$5</f>
        <v>356.91942</v>
      </c>
      <c r="O160" s="233">
        <f>(258.2*KFC!$B$33*1.02*1.3*1.1+KFC!$C$33)*KFC!$C$5</f>
        <v>376.61052000000001</v>
      </c>
      <c r="P160" s="233">
        <f>(271.6*KFC!$B$33*1.02*1.3*1.1+KFC!$C$33)*KFC!$C$5</f>
        <v>396.1557600000001</v>
      </c>
      <c r="Q160" s="233">
        <f>(285.1*KFC!$B$33*1.02*1.3*1.1+KFC!$C$33)*KFC!$C$5</f>
        <v>415.84686000000011</v>
      </c>
      <c r="R160" s="233">
        <f>(298.7*KFC!$B$33*1.02*1.3*1.1+KFC!$C$33)*KFC!$C$5</f>
        <v>435.68382000000003</v>
      </c>
      <c r="S160" s="233">
        <f>(312.1*KFC!$B$33*1.02*1.3*1.1+KFC!$C$33)*KFC!$C$5</f>
        <v>455.22906000000012</v>
      </c>
      <c r="T160" s="233">
        <f>(325.6*KFC!$B$33*1.02*1.3*1.1+KFC!$C$33)*KFC!$C$5</f>
        <v>474.92016000000007</v>
      </c>
      <c r="U160" s="233">
        <f>(339.1*KFC!$B$33*1.02*1.3*1.1+KFC!$C$33)*KFC!$C$5</f>
        <v>494.61126000000007</v>
      </c>
      <c r="V160" s="233">
        <f>(352.6*KFC!$B$33*1.02*1.3*1.1+KFC!$C$33)*KFC!$C$5</f>
        <v>514.30236000000014</v>
      </c>
      <c r="W160" s="233">
        <f>(366*KFC!$B$33*1.02*1.3*1.1+KFC!$C$33)*KFC!$C$5</f>
        <v>533.84760000000006</v>
      </c>
      <c r="X160" s="233">
        <f>(379.5*KFC!$B$33*1.02*1.3*1.1+KFC!$C$33)*KFC!$C$5</f>
        <v>553.53870000000006</v>
      </c>
      <c r="Y160" s="233">
        <f>(393.1*KFC!$B$33*1.02*1.3*1.1+KFC!$C$33)*KFC!$C$5</f>
        <v>573.37566000000015</v>
      </c>
      <c r="Z160" s="233">
        <f>(406.5*KFC!$B$33*1.02*1.3*1.1+KFC!$C$33)*KFC!$C$5</f>
        <v>592.92090000000007</v>
      </c>
    </row>
    <row r="161" spans="1:26" ht="15.9" customHeight="1" thickBot="1">
      <c r="A161" s="1913"/>
      <c r="B161" s="238">
        <v>4</v>
      </c>
      <c r="C161" s="240">
        <f>(97.8*KFC!$B$33*1.02*1.3*1.1+KFC!$C$33)*KFC!$C$5</f>
        <v>142.65108000000004</v>
      </c>
      <c r="D161" s="234">
        <f>(111.7*KFC!$B$33*1.02*1.3*1.1+KFC!$C$33)*KFC!$C$5</f>
        <v>162.92562000000004</v>
      </c>
      <c r="E161" s="234">
        <f>(125.4*KFC!$B$33*1.02*1.3*1.1+KFC!$C$33)*KFC!$C$5</f>
        <v>182.90844000000004</v>
      </c>
      <c r="F161" s="234">
        <f>(139.2*KFC!$B$33*1.02*1.3*1.1+KFC!$C$33)*KFC!$C$5</f>
        <v>203.03711999999999</v>
      </c>
      <c r="G161" s="234">
        <f>(152.9*KFC!$B$33*1.02*1.3*1.1+KFC!$C$33)*KFC!$C$5</f>
        <v>223.01994000000005</v>
      </c>
      <c r="H161" s="234">
        <f>(166.7*KFC!$B$33*1.02*1.3*1.1+KFC!$C$33)*KFC!$C$5</f>
        <v>243.14861999999999</v>
      </c>
      <c r="I161" s="234">
        <f>(180.4*KFC!$B$33*1.02*1.3*1.1+KFC!$C$33)*KFC!$C$5</f>
        <v>263.13144000000005</v>
      </c>
      <c r="J161" s="234">
        <f>(194.2*KFC!$B$33*1.02*1.3*1.1+KFC!$C$33)*KFC!$C$5</f>
        <v>283.26012000000003</v>
      </c>
      <c r="K161" s="234">
        <f>(207.9*KFC!$B$33*1.02*1.3*1.1+KFC!$C$33)*KFC!$C$5</f>
        <v>303.24294000000003</v>
      </c>
      <c r="L161" s="234">
        <f>(221.7*KFC!$B$33*1.02*1.3*1.1+KFC!$C$33)*KFC!$C$5</f>
        <v>323.37162000000001</v>
      </c>
      <c r="M161" s="234">
        <f>(235.4*KFC!$B$33*1.02*1.3*1.1+KFC!$C$33)*KFC!$C$5</f>
        <v>343.35444000000001</v>
      </c>
      <c r="N161" s="234">
        <f>(249.2*KFC!$B$33*1.02*1.3*1.1+KFC!$C$33)*KFC!$C$5</f>
        <v>363.48312000000004</v>
      </c>
      <c r="O161" s="234">
        <f>(262.9*KFC!$B$33*1.02*1.3*1.1+KFC!$C$33)*KFC!$C$5</f>
        <v>383.46593999999999</v>
      </c>
      <c r="P161" s="234">
        <f>(276.8*KFC!$B$33*1.02*1.3*1.1+KFC!$C$33)*KFC!$C$5</f>
        <v>403.74048000000005</v>
      </c>
      <c r="Q161" s="234">
        <f>(290.5*KFC!$B$33*1.02*1.3*1.1+KFC!$C$33)*KFC!$C$5</f>
        <v>423.72330000000005</v>
      </c>
      <c r="R161" s="234">
        <f>(304.3*KFC!$B$33*1.02*1.3*1.1+KFC!$C$33)*KFC!$C$5</f>
        <v>443.85198000000008</v>
      </c>
      <c r="S161" s="234">
        <f>(318*KFC!$B$33*1.02*1.3*1.1+KFC!$C$33)*KFC!$C$5</f>
        <v>463.83480000000003</v>
      </c>
      <c r="T161" s="234">
        <f>(331.8*KFC!$B$33*1.02*1.3*1.1+KFC!$C$33)*KFC!$C$5</f>
        <v>483.96348000000006</v>
      </c>
      <c r="U161" s="234">
        <f>(345.5*KFC!$B$33*1.02*1.3*1.1+KFC!$C$33)*KFC!$C$5</f>
        <v>503.94630000000006</v>
      </c>
      <c r="V161" s="234">
        <f>(359.3*KFC!$B$33*1.02*1.3*1.1+KFC!$C$33)*KFC!$C$5</f>
        <v>524.0749800000001</v>
      </c>
      <c r="W161" s="234">
        <f>(373*KFC!$B$33*1.02*1.3*1.1+KFC!$C$33)*KFC!$C$5</f>
        <v>544.05780000000004</v>
      </c>
      <c r="X161" s="234">
        <f>(386.8*KFC!$B$33*1.02*1.3*1.1+KFC!$C$33)*KFC!$C$5</f>
        <v>564.18648000000007</v>
      </c>
      <c r="Y161" s="234">
        <f>(400.5*KFC!$B$33*1.02*1.3*1.1+KFC!$C$33)*KFC!$C$5</f>
        <v>584.16930000000002</v>
      </c>
      <c r="Z161" s="234">
        <f>(414.4*KFC!$B$33*1.02*1.3*1.1+KFC!$C$33)*KFC!$C$5</f>
        <v>604.44384000000014</v>
      </c>
    </row>
    <row r="162" spans="1:26" ht="15.9" customHeight="1">
      <c r="A162" s="180" t="s">
        <v>303</v>
      </c>
      <c r="B162" s="182"/>
      <c r="C162" s="182"/>
      <c r="D162" s="182"/>
      <c r="E162" s="182"/>
      <c r="F162" s="182"/>
      <c r="G162" s="182"/>
      <c r="H162" s="182"/>
      <c r="I162" s="182"/>
      <c r="J162" s="182"/>
      <c r="K162" s="182"/>
      <c r="L162" s="182"/>
      <c r="M162" s="182"/>
      <c r="N162" s="182"/>
      <c r="O162" s="182"/>
      <c r="P162" s="182"/>
      <c r="Q162" s="182"/>
      <c r="R162" s="182"/>
      <c r="S162" s="182"/>
      <c r="T162" s="182"/>
      <c r="U162" s="182"/>
      <c r="V162" s="182"/>
      <c r="W162" s="182"/>
      <c r="X162" s="182"/>
      <c r="Y162" s="182"/>
    </row>
    <row r="163" spans="1:26" ht="15" customHeight="1">
      <c r="A163" s="116" t="s">
        <v>215</v>
      </c>
      <c r="B163" s="114"/>
      <c r="C163" s="114"/>
      <c r="D163" s="114"/>
      <c r="E163" s="114"/>
      <c r="F163" s="114"/>
      <c r="G163" s="114"/>
      <c r="H163" s="114"/>
      <c r="I163" s="114"/>
      <c r="J163" s="114"/>
      <c r="K163" s="114"/>
      <c r="L163" s="114"/>
      <c r="M163" s="114"/>
      <c r="N163" s="114"/>
      <c r="O163" s="114"/>
      <c r="P163" s="114"/>
      <c r="Q163" s="114"/>
      <c r="R163" s="114"/>
      <c r="S163" s="115"/>
      <c r="T163" s="115"/>
      <c r="U163" s="115"/>
      <c r="V163" s="115"/>
      <c r="W163" s="115"/>
      <c r="X163" s="115"/>
      <c r="Y163" s="115"/>
    </row>
    <row r="164" spans="1:26" ht="15" customHeight="1">
      <c r="A164" s="117" t="s">
        <v>633</v>
      </c>
      <c r="B164" s="73"/>
      <c r="C164" s="73"/>
      <c r="D164" s="73"/>
      <c r="E164" s="73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115"/>
      <c r="T164" s="115"/>
      <c r="U164" s="115"/>
      <c r="V164" s="115"/>
      <c r="W164" s="115"/>
      <c r="X164" s="115"/>
      <c r="Y164" s="115"/>
    </row>
    <row r="165" spans="1:26" ht="21.6" customHeight="1">
      <c r="A165" s="117" t="s">
        <v>939</v>
      </c>
      <c r="B165" s="73"/>
      <c r="C165" s="73"/>
      <c r="D165" s="73"/>
      <c r="E165" s="73"/>
      <c r="F165" s="73"/>
      <c r="G165" s="73"/>
      <c r="H165" s="73"/>
      <c r="I165" s="73"/>
      <c r="J165" s="73"/>
      <c r="K165" s="115"/>
      <c r="L165" s="115"/>
      <c r="M165" s="115"/>
      <c r="N165" s="115"/>
      <c r="O165" s="115"/>
      <c r="P165" s="73"/>
      <c r="Q165" s="73"/>
      <c r="R165" s="73"/>
      <c r="S165" s="115"/>
      <c r="T165" s="115"/>
      <c r="U165" s="115"/>
      <c r="V165" s="115"/>
      <c r="W165" s="115"/>
      <c r="X165" s="115"/>
      <c r="Y165" s="115"/>
    </row>
    <row r="166" spans="1:26" ht="13.8" thickBot="1">
      <c r="A166" s="508" t="s">
        <v>804</v>
      </c>
    </row>
    <row r="167" spans="1:26" ht="35.4" customHeight="1" thickBot="1">
      <c r="A167" s="1620" t="s">
        <v>182</v>
      </c>
      <c r="B167" s="1621"/>
      <c r="C167" s="1621"/>
      <c r="D167" s="1621"/>
      <c r="E167" s="1621"/>
      <c r="F167" s="1621"/>
      <c r="G167" s="1621"/>
      <c r="H167" s="1621"/>
      <c r="I167" s="1621"/>
      <c r="J167" s="1621"/>
      <c r="K167" s="1621"/>
      <c r="L167" s="1621"/>
      <c r="M167" s="1621"/>
      <c r="N167" s="1621"/>
      <c r="O167" s="1621"/>
      <c r="P167" s="1621"/>
      <c r="Q167" s="1621"/>
      <c r="R167" s="1621"/>
      <c r="S167" s="1621"/>
      <c r="T167" s="1923"/>
      <c r="U167" s="1923"/>
      <c r="V167" s="1923"/>
      <c r="W167" s="1923"/>
      <c r="X167" s="1923"/>
      <c r="Y167" s="1923"/>
      <c r="Z167" s="1924"/>
    </row>
    <row r="168" spans="1:26" ht="13.8" thickBot="1">
      <c r="A168" s="572"/>
      <c r="B168" s="176"/>
      <c r="C168" s="176"/>
      <c r="D168" s="176"/>
      <c r="E168" s="573"/>
      <c r="F168" s="574"/>
      <c r="G168" s="574"/>
      <c r="H168" s="1901" t="s">
        <v>561</v>
      </c>
      <c r="I168" s="1902"/>
      <c r="J168" s="1902"/>
      <c r="K168" s="1902"/>
      <c r="L168" s="1902"/>
      <c r="M168" s="1902"/>
      <c r="N168" s="1902"/>
      <c r="O168" s="1902"/>
      <c r="P168" s="1902"/>
      <c r="Q168" s="1902"/>
      <c r="R168" s="1902"/>
      <c r="S168" s="1902"/>
      <c r="T168" s="1916" t="s">
        <v>1195</v>
      </c>
      <c r="U168" s="1917"/>
      <c r="V168" s="1917"/>
      <c r="W168" s="1917"/>
      <c r="X168" s="1917"/>
      <c r="Y168" s="1917"/>
      <c r="Z168" s="1918"/>
    </row>
    <row r="169" spans="1:26" ht="27.6" customHeight="1" thickBot="1">
      <c r="A169" s="514"/>
      <c r="B169" s="220"/>
      <c r="C169" s="220"/>
      <c r="D169" s="220"/>
      <c r="E169" s="570"/>
      <c r="F169" s="574"/>
      <c r="G169" s="574"/>
      <c r="H169" s="1903" t="s">
        <v>556</v>
      </c>
      <c r="I169" s="1904"/>
      <c r="J169" s="1903" t="s">
        <v>557</v>
      </c>
      <c r="K169" s="1904"/>
      <c r="L169" s="1903" t="s">
        <v>558</v>
      </c>
      <c r="M169" s="1904"/>
      <c r="N169" s="1903" t="s">
        <v>559</v>
      </c>
      <c r="O169" s="1904"/>
      <c r="P169" s="1903" t="s">
        <v>553</v>
      </c>
      <c r="Q169" s="1904"/>
      <c r="R169" s="1903" t="s">
        <v>554</v>
      </c>
      <c r="S169" s="1714"/>
      <c r="T169" s="1919">
        <f>(1.07*KFC!$B$33+KFC!$C$33)*KFC!$C$5</f>
        <v>1.07</v>
      </c>
      <c r="U169" s="1920"/>
      <c r="V169" s="1920"/>
      <c r="W169" s="1920"/>
      <c r="X169" s="1920"/>
      <c r="Y169" s="1920"/>
      <c r="Z169" s="1921"/>
    </row>
    <row r="170" spans="1:26" ht="13.8" thickBot="1">
      <c r="A170" s="514"/>
      <c r="B170" s="220"/>
      <c r="C170" s="220"/>
      <c r="D170" s="220"/>
      <c r="E170" s="571"/>
      <c r="F170" s="575"/>
      <c r="G170" s="575"/>
      <c r="H170" s="1908" t="s">
        <v>1255</v>
      </c>
      <c r="I170" s="1909"/>
      <c r="J170" s="1908">
        <f>(17.68*KFC!$B$20*1.02*1.1+KFC!$C$20)*KFC!$C$5</f>
        <v>19.836960000000001</v>
      </c>
      <c r="K170" s="1909"/>
      <c r="L170" s="1908" t="s">
        <v>1255</v>
      </c>
      <c r="M170" s="1909"/>
      <c r="N170" s="1908">
        <f>(19.89*KFC!$B$20*1.02*1.1+KFC!$C$20)*KFC!$C$5</f>
        <v>22.316580000000002</v>
      </c>
      <c r="O170" s="1909"/>
      <c r="P170" s="1908">
        <f>(63.3*KFC!$B$20*1.02*1.1+KFC!$C$20)*KFC!$C$5</f>
        <v>71.022600000000011</v>
      </c>
      <c r="Q170" s="1909"/>
      <c r="R170" s="1908">
        <f>(72.15*KFC!$B$20*1.02*1.1+KFC!$C$20)*KFC!$C$5</f>
        <v>80.952300000000008</v>
      </c>
      <c r="S170" s="1925"/>
      <c r="T170" s="1922"/>
      <c r="U170" s="1614"/>
      <c r="V170" s="1614"/>
      <c r="W170" s="1614"/>
      <c r="X170" s="1614"/>
      <c r="Y170" s="1614"/>
      <c r="Z170" s="1623"/>
    </row>
    <row r="171" spans="1:26" ht="21" customHeight="1">
      <c r="A171" s="1283" t="s">
        <v>938</v>
      </c>
      <c r="B171" s="1283"/>
      <c r="C171" s="1283"/>
      <c r="D171" s="1283"/>
      <c r="E171" s="1283"/>
      <c r="F171" s="1283"/>
      <c r="G171" s="1283"/>
      <c r="H171" s="1283"/>
      <c r="I171" s="1283"/>
      <c r="J171" s="1637"/>
      <c r="K171" s="1637"/>
      <c r="L171" s="1637"/>
      <c r="M171" s="1637"/>
      <c r="N171" s="1637"/>
      <c r="O171" s="1637"/>
      <c r="P171" s="1637"/>
      <c r="Q171" s="1637"/>
      <c r="R171" s="1637"/>
      <c r="S171" s="1637"/>
      <c r="T171" s="1283"/>
      <c r="U171" s="1283"/>
      <c r="V171" s="1283"/>
      <c r="W171" s="1283"/>
      <c r="X171" s="1283"/>
      <c r="Y171" s="1283"/>
      <c r="Z171" s="1283"/>
    </row>
    <row r="172" spans="1:26" ht="22.2" customHeight="1">
      <c r="A172" s="1283" t="s">
        <v>772</v>
      </c>
      <c r="B172" s="1283"/>
      <c r="C172" s="1283"/>
      <c r="D172" s="1283"/>
      <c r="E172" s="1283"/>
      <c r="F172" s="1283"/>
      <c r="G172" s="1283"/>
      <c r="H172" s="1283"/>
      <c r="I172" s="1283"/>
      <c r="J172" s="1283"/>
      <c r="K172" s="1283"/>
      <c r="L172" s="1283"/>
      <c r="M172" s="1283"/>
      <c r="N172" s="1283"/>
      <c r="O172" s="1283"/>
      <c r="P172" s="1283"/>
      <c r="Q172" s="1283"/>
      <c r="R172" s="1283"/>
      <c r="S172" s="1283"/>
      <c r="T172" s="1283"/>
      <c r="U172" s="1283"/>
      <c r="V172" s="1283"/>
      <c r="W172" s="1283"/>
      <c r="X172" s="1283"/>
      <c r="Y172" s="1283"/>
      <c r="Z172" s="1283"/>
    </row>
    <row r="173" spans="1:26" ht="25.95" customHeight="1">
      <c r="A173" s="1283" t="s">
        <v>764</v>
      </c>
      <c r="B173" s="1283"/>
      <c r="C173" s="1283"/>
      <c r="D173" s="498">
        <f>(2.04*KFC!$B$20*1.1+KFC!$C$20)*KFC!$C$5</f>
        <v>2.2440000000000002</v>
      </c>
      <c r="E173" s="1566" t="s">
        <v>773</v>
      </c>
      <c r="F173" s="1567"/>
      <c r="G173" s="1567"/>
      <c r="H173" s="1567"/>
      <c r="I173" s="1567"/>
      <c r="J173" s="498">
        <f>(3.23*KFC!$B$20*1.1+KFC!$C$20)*KFC!$C$5</f>
        <v>3.5530000000000004</v>
      </c>
      <c r="K173" s="1569" t="s">
        <v>774</v>
      </c>
      <c r="L173" s="1283"/>
      <c r="M173" s="1283"/>
      <c r="N173" s="1283"/>
      <c r="O173" s="1283"/>
      <c r="P173" s="1283"/>
      <c r="Q173" s="1283"/>
      <c r="R173" s="1"/>
      <c r="S173" s="422"/>
      <c r="T173" s="422"/>
      <c r="U173" s="422"/>
      <c r="V173" s="422"/>
      <c r="W173" s="422"/>
      <c r="X173" s="422"/>
      <c r="Y173" s="422"/>
      <c r="Z173" s="422"/>
    </row>
    <row r="174" spans="1:26" ht="44.4" customHeight="1" thickBot="1">
      <c r="A174" s="1800" t="s">
        <v>935</v>
      </c>
      <c r="B174" s="1800"/>
      <c r="C174" s="1800"/>
      <c r="D174" s="1800"/>
      <c r="E174" s="1800"/>
      <c r="F174" s="1800"/>
      <c r="G174" s="1800"/>
      <c r="H174" s="1800"/>
      <c r="I174" s="1800"/>
      <c r="J174" s="1800"/>
      <c r="K174" s="1800"/>
      <c r="L174" s="1800"/>
      <c r="M174" s="1800"/>
      <c r="N174" s="1800"/>
      <c r="O174" s="1800"/>
      <c r="P174" s="1800"/>
      <c r="Q174" s="1800"/>
      <c r="R174" s="1800"/>
      <c r="S174" s="1800"/>
      <c r="T174" s="1800"/>
      <c r="U174" s="1800"/>
      <c r="V174" s="1800"/>
      <c r="W174" s="1800"/>
      <c r="X174" s="1800"/>
      <c r="Y174" s="1800"/>
      <c r="Z174" s="1800"/>
    </row>
    <row r="175" spans="1:26" ht="18">
      <c r="A175" s="569"/>
      <c r="B175" s="569"/>
      <c r="C175" s="569"/>
      <c r="D175" s="569"/>
      <c r="E175" s="569"/>
      <c r="F175" s="569"/>
      <c r="G175" s="569"/>
      <c r="H175" s="1617" t="s">
        <v>926</v>
      </c>
      <c r="I175" s="1618"/>
      <c r="J175" s="1618"/>
      <c r="K175" s="1618"/>
      <c r="L175" s="1618"/>
      <c r="M175" s="1618"/>
      <c r="N175" s="1618"/>
      <c r="O175" s="1618"/>
      <c r="P175" s="1618"/>
      <c r="Q175" s="1618"/>
      <c r="R175" s="1618"/>
      <c r="S175" s="1618"/>
      <c r="T175" s="1618"/>
      <c r="U175" s="1619"/>
      <c r="V175" s="569"/>
      <c r="W175" s="569"/>
      <c r="X175" s="569"/>
      <c r="Y175" s="569"/>
      <c r="Z175" s="569"/>
    </row>
    <row r="176" spans="1:26" ht="25.95" customHeight="1">
      <c r="A176" s="569"/>
      <c r="B176" s="569"/>
      <c r="C176" s="569"/>
      <c r="D176" s="569"/>
      <c r="E176" s="569"/>
      <c r="F176" s="569"/>
      <c r="G176" s="569"/>
      <c r="H176" s="1616" t="s">
        <v>927</v>
      </c>
      <c r="I176" s="1611"/>
      <c r="J176" s="1611" t="s">
        <v>928</v>
      </c>
      <c r="K176" s="1611"/>
      <c r="L176" s="1611" t="s">
        <v>929</v>
      </c>
      <c r="M176" s="1611"/>
      <c r="N176" s="1611" t="s">
        <v>930</v>
      </c>
      <c r="O176" s="1611"/>
      <c r="P176" s="1611" t="s">
        <v>931</v>
      </c>
      <c r="Q176" s="1611"/>
      <c r="R176" s="1611" t="s">
        <v>932</v>
      </c>
      <c r="S176" s="1611"/>
      <c r="T176" s="1611" t="s">
        <v>933</v>
      </c>
      <c r="U176" s="1615"/>
      <c r="V176" s="569"/>
      <c r="W176" s="569"/>
      <c r="X176" s="569"/>
      <c r="Y176" s="569"/>
      <c r="Z176" s="569"/>
    </row>
    <row r="177" spans="1:26" ht="18.600000000000001" thickBot="1">
      <c r="A177" s="569"/>
      <c r="B177" s="569"/>
      <c r="C177" s="569"/>
      <c r="D177" s="569"/>
      <c r="E177" s="569"/>
      <c r="F177" s="569"/>
      <c r="G177" s="569"/>
      <c r="H177" s="1908" t="s">
        <v>1255</v>
      </c>
      <c r="I177" s="1909"/>
      <c r="J177" s="1908" t="s">
        <v>1255</v>
      </c>
      <c r="K177" s="1909"/>
      <c r="L177" s="1645">
        <f>(19.8*KFC!$B$20*1.1+KFC!$C$20)*KFC!$C$5</f>
        <v>21.78</v>
      </c>
      <c r="M177" s="1645"/>
      <c r="N177" s="1645">
        <f>(26.3*KFC!$B$20*1.1+KFC!$C$20)*KFC!$C$5</f>
        <v>28.930000000000003</v>
      </c>
      <c r="O177" s="1645"/>
      <c r="P177" s="1645">
        <f>(28.6*KFC!$B$20*1.1+KFC!$C$20)*KFC!$C$5</f>
        <v>31.460000000000004</v>
      </c>
      <c r="Q177" s="1645"/>
      <c r="R177" s="1645">
        <f>(31.7*KFC!$B$20*1.1+KFC!$C$20)*KFC!$C$5</f>
        <v>34.870000000000005</v>
      </c>
      <c r="S177" s="1645"/>
      <c r="T177" s="1645">
        <f>(31.3*KFC!$B$20*1.1+KFC!$C$20)*KFC!$C$5</f>
        <v>34.430000000000007</v>
      </c>
      <c r="U177" s="1703"/>
      <c r="V177" s="569"/>
      <c r="W177" s="569"/>
      <c r="X177" s="569"/>
      <c r="Y177" s="569"/>
      <c r="Z177" s="569"/>
    </row>
    <row r="178" spans="1:26" ht="16.2" thickBot="1">
      <c r="A178" s="1644" t="s">
        <v>936</v>
      </c>
      <c r="B178" s="1644"/>
      <c r="C178" s="1644"/>
      <c r="D178" s="1644"/>
      <c r="E178" s="1644"/>
      <c r="F178" s="1644"/>
      <c r="G178" s="1644"/>
      <c r="H178" s="1644"/>
      <c r="I178" s="1644"/>
      <c r="J178" s="1644"/>
      <c r="K178" s="1644"/>
      <c r="L178" s="1644"/>
      <c r="M178" s="1644"/>
      <c r="N178" s="1644"/>
      <c r="O178" s="1644"/>
      <c r="P178" s="1644"/>
      <c r="Q178" s="1644"/>
      <c r="R178" s="1644"/>
      <c r="S178" s="1644"/>
      <c r="T178" s="1644"/>
      <c r="U178" s="1644"/>
      <c r="V178" s="1644"/>
      <c r="W178" s="1644"/>
      <c r="X178" s="1644"/>
      <c r="Y178" s="1644"/>
      <c r="Z178" s="1644"/>
    </row>
    <row r="179" spans="1:26" ht="31.2" customHeight="1" thickBot="1">
      <c r="A179" s="1"/>
      <c r="B179" s="1"/>
      <c r="C179" s="1"/>
      <c r="D179" s="1"/>
      <c r="E179" s="1"/>
      <c r="F179" s="1"/>
      <c r="G179" s="1"/>
      <c r="H179" s="1638" t="s">
        <v>88</v>
      </c>
      <c r="I179" s="1639"/>
      <c r="J179" s="1640"/>
      <c r="K179" s="1114" t="s">
        <v>87</v>
      </c>
      <c r="L179" s="1006"/>
      <c r="M179" s="1006"/>
      <c r="N179" s="1006"/>
      <c r="O179" s="1006"/>
      <c r="P179" s="1006"/>
      <c r="Q179" s="1006"/>
      <c r="R179" s="1006"/>
      <c r="S179" s="1115"/>
      <c r="T179" s="1641" t="s">
        <v>24</v>
      </c>
      <c r="U179" s="1642"/>
      <c r="V179" s="1"/>
      <c r="W179" s="1"/>
      <c r="X179" s="1"/>
      <c r="Y179" s="1"/>
      <c r="Z179" s="1"/>
    </row>
    <row r="180" spans="1:26" ht="13.8">
      <c r="A180" s="1"/>
      <c r="B180" s="1"/>
      <c r="C180" s="1"/>
      <c r="D180" s="1"/>
      <c r="E180" s="1"/>
      <c r="F180" s="1"/>
      <c r="G180" s="1"/>
      <c r="H180" s="1653" t="s">
        <v>695</v>
      </c>
      <c r="I180" s="1654"/>
      <c r="J180" s="1654"/>
      <c r="K180" s="1117" t="s">
        <v>704</v>
      </c>
      <c r="L180" s="1117"/>
      <c r="M180" s="1117"/>
      <c r="N180" s="1117"/>
      <c r="O180" s="1117"/>
      <c r="P180" s="1117"/>
      <c r="Q180" s="1117"/>
      <c r="R180" s="1117"/>
      <c r="S180" s="1117"/>
      <c r="T180" s="1655">
        <f>(348.1*KFC!$B$41+KFC!$C$41)*KFC!$C$5</f>
        <v>348.1</v>
      </c>
      <c r="U180" s="1656"/>
      <c r="V180" s="1"/>
      <c r="W180" s="1"/>
      <c r="X180" s="1"/>
      <c r="Y180" s="1"/>
      <c r="Z180" s="1"/>
    </row>
    <row r="181" spans="1:26" ht="13.8">
      <c r="A181" s="1"/>
      <c r="B181" s="1"/>
      <c r="C181" s="1"/>
      <c r="D181" s="1"/>
      <c r="E181" s="1"/>
      <c r="F181" s="1"/>
      <c r="G181" s="1"/>
      <c r="H181" s="1035"/>
      <c r="I181" s="1218"/>
      <c r="J181" s="1218"/>
      <c r="K181" s="1647" t="s">
        <v>852</v>
      </c>
      <c r="L181" s="1118"/>
      <c r="M181" s="1118"/>
      <c r="N181" s="1118"/>
      <c r="O181" s="1118"/>
      <c r="P181" s="1118"/>
      <c r="Q181" s="1118"/>
      <c r="R181" s="1118"/>
      <c r="S181" s="1118"/>
      <c r="T181" s="1293"/>
      <c r="U181" s="1294"/>
      <c r="V181" s="1"/>
      <c r="W181" s="1"/>
      <c r="X181" s="1"/>
      <c r="Y181" s="1"/>
      <c r="Z181" s="1"/>
    </row>
    <row r="182" spans="1:26" ht="13.8">
      <c r="A182" s="1"/>
      <c r="B182" s="1"/>
      <c r="C182" s="1"/>
      <c r="D182" s="1"/>
      <c r="E182" s="1"/>
      <c r="F182" s="1"/>
      <c r="G182" s="1"/>
      <c r="H182" s="1035" t="s">
        <v>698</v>
      </c>
      <c r="I182" s="1218"/>
      <c r="J182" s="1218"/>
      <c r="K182" s="1118" t="s">
        <v>705</v>
      </c>
      <c r="L182" s="1118"/>
      <c r="M182" s="1118"/>
      <c r="N182" s="1118"/>
      <c r="O182" s="1118"/>
      <c r="P182" s="1118"/>
      <c r="Q182" s="1118"/>
      <c r="R182" s="1118"/>
      <c r="S182" s="1118"/>
      <c r="T182" s="1293">
        <f>(493.7*KFC!$B$41+KFC!$C$41)*KFC!$C$5</f>
        <v>493.7</v>
      </c>
      <c r="U182" s="1294"/>
      <c r="V182" s="1"/>
      <c r="W182" s="1"/>
      <c r="X182" s="1"/>
      <c r="Y182" s="1"/>
      <c r="Z182" s="1"/>
    </row>
    <row r="183" spans="1:26" ht="13.8">
      <c r="A183" s="1"/>
      <c r="B183" s="1"/>
      <c r="C183" s="1"/>
      <c r="D183" s="1"/>
      <c r="E183" s="1"/>
      <c r="F183" s="1"/>
      <c r="G183" s="1"/>
      <c r="H183" s="1035"/>
      <c r="I183" s="1218"/>
      <c r="J183" s="1218"/>
      <c r="K183" s="1647" t="s">
        <v>853</v>
      </c>
      <c r="L183" s="1118"/>
      <c r="M183" s="1118"/>
      <c r="N183" s="1118"/>
      <c r="O183" s="1118"/>
      <c r="P183" s="1118"/>
      <c r="Q183" s="1118"/>
      <c r="R183" s="1118"/>
      <c r="S183" s="1118"/>
      <c r="T183" s="1293"/>
      <c r="U183" s="1294"/>
      <c r="V183" s="1"/>
      <c r="W183" s="1"/>
      <c r="X183" s="1"/>
      <c r="Y183" s="1"/>
      <c r="Z183" s="1"/>
    </row>
    <row r="184" spans="1:26" ht="13.8">
      <c r="A184" s="1"/>
      <c r="B184" s="1"/>
      <c r="C184" s="1"/>
      <c r="D184" s="1"/>
      <c r="E184" s="1"/>
      <c r="F184" s="1"/>
      <c r="G184" s="1"/>
      <c r="H184" s="1035" t="s">
        <v>691</v>
      </c>
      <c r="I184" s="1218"/>
      <c r="J184" s="1218"/>
      <c r="K184" s="1650" t="s">
        <v>663</v>
      </c>
      <c r="L184" s="1650"/>
      <c r="M184" s="1650"/>
      <c r="N184" s="1650"/>
      <c r="O184" s="1650"/>
      <c r="P184" s="1650"/>
      <c r="Q184" s="1650"/>
      <c r="R184" s="1650"/>
      <c r="S184" s="1650"/>
      <c r="T184" s="1293">
        <f>(154.43*KFC!$B$41*1.45+KFC!$C$41)*KFC!$C$5</f>
        <v>223.92349999999999</v>
      </c>
      <c r="U184" s="1294"/>
      <c r="V184" s="1"/>
      <c r="W184" s="1"/>
      <c r="X184" s="1"/>
      <c r="Y184" s="1"/>
      <c r="Z184" s="1"/>
    </row>
    <row r="185" spans="1:26" ht="13.8">
      <c r="A185" s="1"/>
      <c r="B185" s="1"/>
      <c r="C185" s="1"/>
      <c r="D185" s="1"/>
      <c r="E185" s="1"/>
      <c r="F185" s="1"/>
      <c r="G185" s="1"/>
      <c r="H185" s="1648"/>
      <c r="I185" s="1649"/>
      <c r="J185" s="1649"/>
      <c r="K185" s="1647" t="s">
        <v>854</v>
      </c>
      <c r="L185" s="1650"/>
      <c r="M185" s="1650"/>
      <c r="N185" s="1650"/>
      <c r="O185" s="1650"/>
      <c r="P185" s="1650"/>
      <c r="Q185" s="1650"/>
      <c r="R185" s="1650"/>
      <c r="S185" s="1650"/>
      <c r="T185" s="1651"/>
      <c r="U185" s="1652"/>
      <c r="V185" s="1"/>
      <c r="W185" s="1"/>
      <c r="X185" s="1"/>
      <c r="Y185" s="1"/>
      <c r="Z185" s="1"/>
    </row>
    <row r="186" spans="1:26" ht="30" customHeight="1">
      <c r="A186" s="1"/>
      <c r="B186" s="1"/>
      <c r="C186" s="1"/>
      <c r="D186" s="1"/>
      <c r="E186" s="1"/>
      <c r="F186" s="1"/>
      <c r="G186" s="1"/>
      <c r="H186" s="1035" t="s">
        <v>691</v>
      </c>
      <c r="I186" s="1218"/>
      <c r="J186" s="1218"/>
      <c r="K186" s="1650" t="s">
        <v>664</v>
      </c>
      <c r="L186" s="1650"/>
      <c r="M186" s="1650"/>
      <c r="N186" s="1650"/>
      <c r="O186" s="1650"/>
      <c r="P186" s="1650"/>
      <c r="Q186" s="1650"/>
      <c r="R186" s="1650"/>
      <c r="S186" s="1650"/>
      <c r="T186" s="1293">
        <f>(227.85*KFC!$B$41*1.45+KFC!$C$41)*KFC!$C$5</f>
        <v>330.38249999999999</v>
      </c>
      <c r="U186" s="1294"/>
      <c r="V186" s="1"/>
      <c r="W186" s="1"/>
      <c r="X186" s="1"/>
      <c r="Y186" s="1"/>
      <c r="Z186" s="1"/>
    </row>
    <row r="187" spans="1:26" ht="13.8">
      <c r="A187" s="1"/>
      <c r="B187" s="1"/>
      <c r="C187" s="1"/>
      <c r="D187" s="1"/>
      <c r="E187" s="1"/>
      <c r="F187" s="1"/>
      <c r="G187" s="1"/>
      <c r="H187" s="1035" t="s">
        <v>691</v>
      </c>
      <c r="I187" s="1218"/>
      <c r="J187" s="1218"/>
      <c r="K187" s="1650" t="s">
        <v>665</v>
      </c>
      <c r="L187" s="1650"/>
      <c r="M187" s="1650"/>
      <c r="N187" s="1650"/>
      <c r="O187" s="1650"/>
      <c r="P187" s="1650"/>
      <c r="Q187" s="1650"/>
      <c r="R187" s="1650"/>
      <c r="S187" s="1650"/>
      <c r="T187" s="1293">
        <f>(265.82*KFC!$B$41*1.45+KFC!$C$41)*KFC!$C$5</f>
        <v>385.43899999999996</v>
      </c>
      <c r="U187" s="1294"/>
      <c r="V187" s="1"/>
      <c r="W187" s="1"/>
      <c r="X187" s="1"/>
      <c r="Y187" s="1"/>
      <c r="Z187" s="1"/>
    </row>
    <row r="188" spans="1:26" ht="13.8">
      <c r="A188" s="1"/>
      <c r="B188" s="1"/>
      <c r="C188" s="1"/>
      <c r="D188" s="1"/>
      <c r="E188" s="1"/>
      <c r="F188" s="1"/>
      <c r="G188" s="1"/>
      <c r="H188" s="1648"/>
      <c r="I188" s="1649"/>
      <c r="J188" s="1649"/>
      <c r="K188" s="1647" t="s">
        <v>873</v>
      </c>
      <c r="L188" s="1650"/>
      <c r="M188" s="1650"/>
      <c r="N188" s="1650"/>
      <c r="O188" s="1650"/>
      <c r="P188" s="1650"/>
      <c r="Q188" s="1650"/>
      <c r="R188" s="1650"/>
      <c r="S188" s="1650"/>
      <c r="T188" s="1651"/>
      <c r="U188" s="1652"/>
      <c r="V188" s="1"/>
      <c r="W188" s="1"/>
      <c r="X188" s="1"/>
      <c r="Y188" s="1"/>
      <c r="Z188" s="1"/>
    </row>
    <row r="189" spans="1:26" ht="13.8">
      <c r="A189" s="1"/>
      <c r="B189" s="1"/>
      <c r="C189" s="1"/>
      <c r="D189" s="1"/>
      <c r="E189" s="1"/>
      <c r="F189" s="1"/>
      <c r="G189" s="1"/>
      <c r="H189" s="1035" t="s">
        <v>903</v>
      </c>
      <c r="I189" s="1218"/>
      <c r="J189" s="1218"/>
      <c r="K189" s="1118" t="s">
        <v>1039</v>
      </c>
      <c r="L189" s="1118"/>
      <c r="M189" s="1118"/>
      <c r="N189" s="1118"/>
      <c r="O189" s="1118"/>
      <c r="P189" s="1118"/>
      <c r="Q189" s="1118"/>
      <c r="R189" s="1118"/>
      <c r="S189" s="1118"/>
      <c r="T189" s="1293">
        <f>(120.3*KFC!$B$41+KFC!$C$41)*KFC!$C$5</f>
        <v>120.3</v>
      </c>
      <c r="U189" s="1294"/>
      <c r="V189" s="1"/>
      <c r="W189" s="1"/>
      <c r="X189" s="1"/>
      <c r="Y189" s="1"/>
      <c r="Z189" s="1"/>
    </row>
    <row r="190" spans="1:26" ht="13.8">
      <c r="A190" s="1"/>
      <c r="B190" s="1"/>
      <c r="C190" s="1"/>
      <c r="D190" s="1"/>
      <c r="E190" s="1"/>
      <c r="F190" s="1"/>
      <c r="G190" s="1"/>
      <c r="H190" s="1035"/>
      <c r="I190" s="1218"/>
      <c r="J190" s="1218"/>
      <c r="K190" s="1647" t="s">
        <v>855</v>
      </c>
      <c r="L190" s="1118"/>
      <c r="M190" s="1118"/>
      <c r="N190" s="1118"/>
      <c r="O190" s="1118"/>
      <c r="P190" s="1118"/>
      <c r="Q190" s="1118"/>
      <c r="R190" s="1118"/>
      <c r="S190" s="1118"/>
      <c r="T190" s="1293"/>
      <c r="U190" s="1294"/>
      <c r="V190" s="1"/>
      <c r="W190" s="1"/>
      <c r="X190" s="1"/>
      <c r="Y190" s="1"/>
      <c r="Z190" s="1"/>
    </row>
    <row r="191" spans="1:26" ht="29.4" customHeight="1">
      <c r="A191" s="1"/>
      <c r="B191" s="1"/>
      <c r="C191" s="1"/>
      <c r="D191" s="1"/>
      <c r="E191" s="1"/>
      <c r="F191" s="1"/>
      <c r="G191" s="1"/>
      <c r="H191" s="1035" t="s">
        <v>903</v>
      </c>
      <c r="I191" s="1218"/>
      <c r="J191" s="1218"/>
      <c r="K191" s="1118" t="s">
        <v>1008</v>
      </c>
      <c r="L191" s="1118"/>
      <c r="M191" s="1118"/>
      <c r="N191" s="1118"/>
      <c r="O191" s="1118"/>
      <c r="P191" s="1118"/>
      <c r="Q191" s="1118"/>
      <c r="R191" s="1118"/>
      <c r="S191" s="1118"/>
      <c r="T191" s="1293">
        <f>(132.9*KFC!$B$41+KFC!$C$41)*KFC!$C$5</f>
        <v>132.9</v>
      </c>
      <c r="U191" s="1294"/>
      <c r="V191" s="1"/>
      <c r="W191" s="1"/>
      <c r="X191" s="1"/>
      <c r="Y191" s="1"/>
      <c r="Z191" s="1"/>
    </row>
    <row r="192" spans="1:26" ht="13.8">
      <c r="A192" s="1"/>
      <c r="B192" s="1"/>
      <c r="C192" s="1"/>
      <c r="D192" s="1"/>
      <c r="E192" s="1"/>
      <c r="F192" s="1"/>
      <c r="G192" s="1"/>
      <c r="H192" s="1035"/>
      <c r="I192" s="1218"/>
      <c r="J192" s="1218"/>
      <c r="K192" s="1647" t="s">
        <v>856</v>
      </c>
      <c r="L192" s="1118"/>
      <c r="M192" s="1118"/>
      <c r="N192" s="1118"/>
      <c r="O192" s="1118"/>
      <c r="P192" s="1118"/>
      <c r="Q192" s="1118"/>
      <c r="R192" s="1118"/>
      <c r="S192" s="1118"/>
      <c r="T192" s="1293"/>
      <c r="U192" s="1294"/>
      <c r="V192" s="1"/>
      <c r="W192" s="1"/>
      <c r="X192" s="1"/>
      <c r="Y192" s="1"/>
      <c r="Z192" s="1"/>
    </row>
    <row r="193" spans="1:26" ht="13.95" customHeight="1">
      <c r="A193" s="1"/>
      <c r="B193" s="1"/>
      <c r="C193" s="1"/>
      <c r="D193" s="1"/>
      <c r="E193" s="1"/>
      <c r="F193" s="1"/>
      <c r="G193" s="1"/>
      <c r="H193" s="1526" t="s">
        <v>904</v>
      </c>
      <c r="I193" s="1252"/>
      <c r="J193" s="1253"/>
      <c r="K193" s="1905" t="s">
        <v>1003</v>
      </c>
      <c r="L193" s="1906"/>
      <c r="M193" s="1906"/>
      <c r="N193" s="1906"/>
      <c r="O193" s="1906"/>
      <c r="P193" s="1906"/>
      <c r="Q193" s="1906"/>
      <c r="R193" s="1906"/>
      <c r="S193" s="1907"/>
      <c r="T193" s="1657">
        <f>(177*KFC!$B$41+KFC!$C$41)*KFC!$C$5</f>
        <v>177</v>
      </c>
      <c r="U193" s="1658"/>
      <c r="V193" s="1"/>
      <c r="W193" s="1"/>
      <c r="X193" s="1"/>
      <c r="Y193" s="1"/>
      <c r="Z193" s="1"/>
    </row>
    <row r="194" spans="1:26" ht="13.95" customHeight="1">
      <c r="A194" s="1"/>
      <c r="B194" s="1"/>
      <c r="C194" s="1"/>
      <c r="D194" s="1"/>
      <c r="E194" s="1"/>
      <c r="F194" s="1"/>
      <c r="G194" s="1"/>
      <c r="H194" s="1663"/>
      <c r="I194" s="1255"/>
      <c r="J194" s="1256"/>
      <c r="K194" s="1233" t="s">
        <v>1002</v>
      </c>
      <c r="L194" s="1234"/>
      <c r="M194" s="1234"/>
      <c r="N194" s="1234"/>
      <c r="O194" s="1234"/>
      <c r="P194" s="1234"/>
      <c r="Q194" s="1234"/>
      <c r="R194" s="1234"/>
      <c r="S194" s="1235"/>
      <c r="T194" s="1659"/>
      <c r="U194" s="1660"/>
      <c r="V194" s="1"/>
      <c r="W194" s="1"/>
      <c r="X194" s="1"/>
      <c r="Y194" s="1"/>
      <c r="Z194" s="1"/>
    </row>
    <row r="195" spans="1:26" ht="29.4" customHeight="1">
      <c r="A195" s="1"/>
      <c r="B195" s="1"/>
      <c r="C195" s="1"/>
      <c r="D195" s="1"/>
      <c r="E195" s="1"/>
      <c r="F195" s="1"/>
      <c r="G195" s="1"/>
      <c r="H195" s="1035" t="s">
        <v>904</v>
      </c>
      <c r="I195" s="1218"/>
      <c r="J195" s="1218"/>
      <c r="K195" s="1650" t="s">
        <v>912</v>
      </c>
      <c r="L195" s="1650"/>
      <c r="M195" s="1650"/>
      <c r="N195" s="1650"/>
      <c r="O195" s="1650"/>
      <c r="P195" s="1650"/>
      <c r="Q195" s="1650"/>
      <c r="R195" s="1650"/>
      <c r="S195" s="1650"/>
      <c r="T195" s="1293">
        <f>(120.3*KFC!$B$41+KFC!$C$41)*KFC!$C$5</f>
        <v>120.3</v>
      </c>
      <c r="U195" s="1294"/>
      <c r="V195" s="1"/>
      <c r="W195" s="1"/>
      <c r="X195" s="1"/>
      <c r="Y195" s="1"/>
      <c r="Z195" s="1"/>
    </row>
    <row r="196" spans="1:26" ht="29.4" customHeight="1">
      <c r="A196" s="1"/>
      <c r="B196" s="1"/>
      <c r="C196" s="1"/>
      <c r="D196" s="1"/>
      <c r="E196" s="1"/>
      <c r="F196" s="1"/>
      <c r="G196" s="1"/>
      <c r="H196" s="1035" t="s">
        <v>904</v>
      </c>
      <c r="I196" s="1218"/>
      <c r="J196" s="1218"/>
      <c r="K196" s="1650" t="s">
        <v>913</v>
      </c>
      <c r="L196" s="1650"/>
      <c r="M196" s="1650"/>
      <c r="N196" s="1650"/>
      <c r="O196" s="1650"/>
      <c r="P196" s="1650"/>
      <c r="Q196" s="1650"/>
      <c r="R196" s="1650"/>
      <c r="S196" s="1650"/>
      <c r="T196" s="1293">
        <f>(126.6*KFC!$B$41+KFC!$C$41)*KFC!$C$5</f>
        <v>126.6</v>
      </c>
      <c r="U196" s="1294"/>
      <c r="V196" s="1"/>
      <c r="W196" s="1"/>
      <c r="X196" s="1"/>
      <c r="Y196" s="1"/>
      <c r="Z196" s="1"/>
    </row>
    <row r="197" spans="1:26" ht="29.4" customHeight="1">
      <c r="A197" s="1"/>
      <c r="B197" s="1"/>
      <c r="C197" s="1"/>
      <c r="D197" s="1"/>
      <c r="E197" s="1"/>
      <c r="F197" s="1"/>
      <c r="G197" s="1"/>
      <c r="H197" s="1035" t="s">
        <v>904</v>
      </c>
      <c r="I197" s="1218"/>
      <c r="J197" s="1218"/>
      <c r="K197" s="1650" t="s">
        <v>914</v>
      </c>
      <c r="L197" s="1650"/>
      <c r="M197" s="1650"/>
      <c r="N197" s="1650"/>
      <c r="O197" s="1650"/>
      <c r="P197" s="1650"/>
      <c r="Q197" s="1650"/>
      <c r="R197" s="1650"/>
      <c r="S197" s="1650"/>
      <c r="T197" s="1293">
        <f>(126.3*KFC!$B$41+KFC!$C$41)*KFC!$C$5</f>
        <v>126.3</v>
      </c>
      <c r="U197" s="1294"/>
      <c r="V197" s="1"/>
      <c r="W197" s="1"/>
      <c r="X197" s="1"/>
      <c r="Y197" s="1"/>
      <c r="Z197" s="1"/>
    </row>
    <row r="198" spans="1:26" ht="29.4" customHeight="1" thickBot="1">
      <c r="A198" s="1"/>
      <c r="B198" s="1"/>
      <c r="C198" s="1"/>
      <c r="D198" s="1"/>
      <c r="E198" s="1"/>
      <c r="F198" s="1"/>
      <c r="G198" s="1"/>
      <c r="H198" s="1036" t="s">
        <v>904</v>
      </c>
      <c r="I198" s="1564"/>
      <c r="J198" s="1564"/>
      <c r="K198" s="1556" t="s">
        <v>905</v>
      </c>
      <c r="L198" s="1556"/>
      <c r="M198" s="1556"/>
      <c r="N198" s="1556"/>
      <c r="O198" s="1556"/>
      <c r="P198" s="1556"/>
      <c r="Q198" s="1556"/>
      <c r="R198" s="1556"/>
      <c r="S198" s="1556"/>
      <c r="T198" s="1295">
        <f>(173.42*KFC!$B$41+KFC!$C$41)*KFC!$C$5</f>
        <v>173.42</v>
      </c>
      <c r="U198" s="1296"/>
      <c r="V198" s="1"/>
      <c r="W198" s="1"/>
      <c r="X198" s="1"/>
      <c r="Y198" s="1"/>
      <c r="Z198" s="1"/>
    </row>
    <row r="199" spans="1:26">
      <c r="A199" s="398"/>
      <c r="B199" s="398"/>
      <c r="C199" s="398"/>
      <c r="D199" s="398"/>
      <c r="E199" s="398"/>
      <c r="F199" s="398"/>
      <c r="G199" s="398"/>
      <c r="H199" s="398"/>
      <c r="I199" s="398"/>
      <c r="J199" s="398"/>
      <c r="K199" s="398"/>
      <c r="L199" s="398"/>
      <c r="M199" s="398"/>
      <c r="N199" s="399"/>
      <c r="O199" s="576"/>
      <c r="P199" s="576"/>
      <c r="Q199" s="576"/>
      <c r="R199" s="576"/>
      <c r="S199" s="576"/>
      <c r="T199" s="576"/>
      <c r="U199" s="576"/>
      <c r="V199" s="576"/>
      <c r="W199" s="576"/>
      <c r="X199" s="576"/>
      <c r="Y199" s="576"/>
      <c r="Z199" s="1"/>
    </row>
    <row r="200" spans="1:26">
      <c r="A200" s="58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27.6" customHeight="1" thickBot="1">
      <c r="A201" s="1"/>
      <c r="B201" s="1"/>
      <c r="C201" s="1"/>
      <c r="D201" s="1"/>
      <c r="E201" s="1"/>
      <c r="F201" s="1"/>
      <c r="G201" s="1"/>
      <c r="H201" s="1664" t="s">
        <v>937</v>
      </c>
      <c r="I201" s="1664"/>
      <c r="J201" s="1664"/>
      <c r="K201" s="1664"/>
      <c r="L201" s="1664"/>
      <c r="M201" s="1664"/>
      <c r="N201" s="1664"/>
      <c r="O201" s="1664"/>
      <c r="P201" s="1664"/>
      <c r="Q201" s="1664"/>
      <c r="R201" s="1664"/>
      <c r="S201" s="1664"/>
      <c r="T201" s="1664"/>
      <c r="U201" s="1664"/>
      <c r="V201" s="1664"/>
      <c r="W201" s="1664"/>
      <c r="X201" s="1664"/>
      <c r="Y201" s="1"/>
      <c r="Z201" s="1"/>
    </row>
    <row r="202" spans="1:26" ht="14.4" thickBot="1">
      <c r="A202" s="1"/>
      <c r="B202" s="1"/>
      <c r="C202" s="1"/>
      <c r="D202" s="1"/>
      <c r="E202" s="1"/>
      <c r="F202" s="1"/>
      <c r="G202" s="1"/>
      <c r="H202" s="1665" t="s">
        <v>88</v>
      </c>
      <c r="I202" s="1666"/>
      <c r="J202" s="1666"/>
      <c r="K202" s="1051" t="s">
        <v>87</v>
      </c>
      <c r="L202" s="1052"/>
      <c r="M202" s="1052"/>
      <c r="N202" s="1052"/>
      <c r="O202" s="1052"/>
      <c r="P202" s="1052"/>
      <c r="Q202" s="1052"/>
      <c r="R202" s="1052"/>
      <c r="S202" s="1052"/>
      <c r="T202" s="1053"/>
      <c r="U202" s="1049" t="s">
        <v>24</v>
      </c>
      <c r="V202" s="1667"/>
      <c r="W202" s="1667"/>
      <c r="X202" s="1050"/>
      <c r="Y202" s="1"/>
      <c r="Z202" s="1"/>
    </row>
    <row r="203" spans="1:26" ht="13.8">
      <c r="A203" s="1"/>
      <c r="B203" s="1"/>
      <c r="C203" s="1"/>
      <c r="D203" s="1"/>
      <c r="E203" s="1"/>
      <c r="F203" s="1"/>
      <c r="G203" s="1"/>
      <c r="H203" s="1668" t="s">
        <v>689</v>
      </c>
      <c r="I203" s="1669"/>
      <c r="J203" s="1669"/>
      <c r="K203" s="1192" t="s">
        <v>644</v>
      </c>
      <c r="L203" s="1193"/>
      <c r="M203" s="1193"/>
      <c r="N203" s="1193"/>
      <c r="O203" s="1193"/>
      <c r="P203" s="1193"/>
      <c r="Q203" s="1193"/>
      <c r="R203" s="1193"/>
      <c r="S203" s="1193"/>
      <c r="T203" s="1194"/>
      <c r="U203" s="1672">
        <f>(44.31*KFC!$B$41*1.6+KFC!$C$41)*KFC!$C$5</f>
        <v>70.896000000000001</v>
      </c>
      <c r="V203" s="1673"/>
      <c r="W203" s="1673"/>
      <c r="X203" s="1674"/>
      <c r="Y203" s="1"/>
      <c r="Z203" s="1"/>
    </row>
    <row r="204" spans="1:26" ht="13.8">
      <c r="A204" s="1"/>
      <c r="B204" s="1"/>
      <c r="C204" s="1"/>
      <c r="D204" s="1"/>
      <c r="E204" s="1"/>
      <c r="F204" s="1"/>
      <c r="G204" s="1"/>
      <c r="H204" s="1670"/>
      <c r="I204" s="1671"/>
      <c r="J204" s="1671"/>
      <c r="K204" s="1388" t="s">
        <v>858</v>
      </c>
      <c r="L204" s="1678"/>
      <c r="M204" s="1678"/>
      <c r="N204" s="1678"/>
      <c r="O204" s="1678"/>
      <c r="P204" s="1678"/>
      <c r="Q204" s="1678"/>
      <c r="R204" s="1678"/>
      <c r="S204" s="1678"/>
      <c r="T204" s="1679"/>
      <c r="U204" s="1675"/>
      <c r="V204" s="1676"/>
      <c r="W204" s="1676"/>
      <c r="X204" s="1677"/>
      <c r="Y204" s="1"/>
      <c r="Z204" s="1"/>
    </row>
    <row r="205" spans="1:26" ht="13.8">
      <c r="A205" s="1"/>
      <c r="B205" s="1"/>
      <c r="C205" s="1"/>
      <c r="D205" s="1"/>
      <c r="E205" s="1"/>
      <c r="F205" s="1"/>
      <c r="G205" s="1"/>
      <c r="H205" s="1680" t="s">
        <v>689</v>
      </c>
      <c r="I205" s="1681"/>
      <c r="J205" s="1681"/>
      <c r="K205" s="1170" t="s">
        <v>645</v>
      </c>
      <c r="L205" s="1171"/>
      <c r="M205" s="1171"/>
      <c r="N205" s="1171"/>
      <c r="O205" s="1171"/>
      <c r="P205" s="1171"/>
      <c r="Q205" s="1171"/>
      <c r="R205" s="1171"/>
      <c r="S205" s="1171"/>
      <c r="T205" s="1172"/>
      <c r="U205" s="1657">
        <f>(75.95*KFC!$B$41*1.6+KFC!$C$41)*KFC!$C$5</f>
        <v>121.52000000000001</v>
      </c>
      <c r="V205" s="1682"/>
      <c r="W205" s="1682"/>
      <c r="X205" s="1658"/>
      <c r="Y205" s="1"/>
      <c r="Z205" s="1"/>
    </row>
    <row r="206" spans="1:26" ht="13.8">
      <c r="A206" s="1"/>
      <c r="B206" s="1"/>
      <c r="C206" s="1"/>
      <c r="D206" s="1"/>
      <c r="E206" s="1"/>
      <c r="F206" s="1"/>
      <c r="G206" s="1"/>
      <c r="H206" s="1670"/>
      <c r="I206" s="1671"/>
      <c r="J206" s="1671"/>
      <c r="K206" s="1388" t="s">
        <v>859</v>
      </c>
      <c r="L206" s="1678"/>
      <c r="M206" s="1678"/>
      <c r="N206" s="1678"/>
      <c r="O206" s="1678"/>
      <c r="P206" s="1678"/>
      <c r="Q206" s="1678"/>
      <c r="R206" s="1678"/>
      <c r="S206" s="1678"/>
      <c r="T206" s="1679"/>
      <c r="U206" s="1675"/>
      <c r="V206" s="1676"/>
      <c r="W206" s="1676"/>
      <c r="X206" s="1677"/>
      <c r="Y206" s="1"/>
      <c r="Z206" s="1"/>
    </row>
    <row r="207" spans="1:26" ht="13.8">
      <c r="A207" s="1"/>
      <c r="B207" s="1"/>
      <c r="C207" s="1"/>
      <c r="D207" s="1"/>
      <c r="E207" s="1"/>
      <c r="F207" s="1"/>
      <c r="G207" s="1"/>
      <c r="H207" s="1680" t="s">
        <v>695</v>
      </c>
      <c r="I207" s="1681"/>
      <c r="J207" s="1681"/>
      <c r="K207" s="1170" t="s">
        <v>91</v>
      </c>
      <c r="L207" s="1171"/>
      <c r="M207" s="1171"/>
      <c r="N207" s="1171"/>
      <c r="O207" s="1171"/>
      <c r="P207" s="1171"/>
      <c r="Q207" s="1171"/>
      <c r="R207" s="1171"/>
      <c r="S207" s="1171"/>
      <c r="T207" s="1172"/>
      <c r="U207" s="1657">
        <f>(181.52*KFC!$B$41*1.6+KFC!$C$41)*KFC!$C$5</f>
        <v>290.43200000000002</v>
      </c>
      <c r="V207" s="1682"/>
      <c r="W207" s="1682"/>
      <c r="X207" s="1658"/>
      <c r="Y207" s="1"/>
      <c r="Z207" s="1"/>
    </row>
    <row r="208" spans="1:26" ht="13.8">
      <c r="A208" s="1"/>
      <c r="B208" s="1"/>
      <c r="C208" s="1"/>
      <c r="D208" s="1"/>
      <c r="E208" s="1"/>
      <c r="F208" s="1"/>
      <c r="G208" s="1"/>
      <c r="H208" s="1670"/>
      <c r="I208" s="1671"/>
      <c r="J208" s="1671"/>
      <c r="K208" s="1388" t="s">
        <v>860</v>
      </c>
      <c r="L208" s="1678"/>
      <c r="M208" s="1678"/>
      <c r="N208" s="1678"/>
      <c r="O208" s="1678"/>
      <c r="P208" s="1678"/>
      <c r="Q208" s="1678"/>
      <c r="R208" s="1678"/>
      <c r="S208" s="1678"/>
      <c r="T208" s="1679"/>
      <c r="U208" s="1683"/>
      <c r="V208" s="1684"/>
      <c r="W208" s="1684"/>
      <c r="X208" s="1685"/>
      <c r="Y208" s="1"/>
      <c r="Z208" s="1"/>
    </row>
    <row r="209" spans="1:26" ht="13.8">
      <c r="A209" s="1"/>
      <c r="B209" s="1"/>
      <c r="C209" s="1"/>
      <c r="D209" s="1"/>
      <c r="E209" s="1"/>
      <c r="F209" s="1"/>
      <c r="G209" s="1"/>
      <c r="H209" s="1680" t="s">
        <v>696</v>
      </c>
      <c r="I209" s="1681"/>
      <c r="J209" s="1681"/>
      <c r="K209" s="1170" t="s">
        <v>819</v>
      </c>
      <c r="L209" s="1171"/>
      <c r="M209" s="1171"/>
      <c r="N209" s="1171"/>
      <c r="O209" s="1171"/>
      <c r="P209" s="1171"/>
      <c r="Q209" s="1171"/>
      <c r="R209" s="1171"/>
      <c r="S209" s="1171"/>
      <c r="T209" s="1171"/>
      <c r="U209" s="1657">
        <f>(95.07*KFC!$B$41*1.6+KFC!$C$41)*KFC!$C$5</f>
        <v>152.11199999999999</v>
      </c>
      <c r="V209" s="1682"/>
      <c r="W209" s="1682"/>
      <c r="X209" s="1658"/>
      <c r="Y209" s="1"/>
      <c r="Z209" s="1"/>
    </row>
    <row r="210" spans="1:26" ht="13.8">
      <c r="A210" s="1"/>
      <c r="B210" s="1"/>
      <c r="C210" s="1"/>
      <c r="D210" s="1"/>
      <c r="E210" s="1"/>
      <c r="F210" s="1"/>
      <c r="G210" s="1"/>
      <c r="H210" s="1670"/>
      <c r="I210" s="1671"/>
      <c r="J210" s="1671"/>
      <c r="K210" s="1388" t="s">
        <v>861</v>
      </c>
      <c r="L210" s="1678"/>
      <c r="M210" s="1678"/>
      <c r="N210" s="1678"/>
      <c r="O210" s="1678"/>
      <c r="P210" s="1678"/>
      <c r="Q210" s="1678"/>
      <c r="R210" s="1678"/>
      <c r="S210" s="1678"/>
      <c r="T210" s="1678"/>
      <c r="U210" s="559"/>
      <c r="V210" s="560"/>
      <c r="W210" s="560"/>
      <c r="X210" s="561"/>
      <c r="Y210" s="1"/>
      <c r="Z210" s="1"/>
    </row>
    <row r="211" spans="1:26" ht="13.8">
      <c r="A211" s="1"/>
      <c r="B211" s="1"/>
      <c r="C211" s="1"/>
      <c r="D211" s="1"/>
      <c r="E211" s="1"/>
      <c r="F211" s="1"/>
      <c r="G211" s="1"/>
      <c r="H211" s="1680" t="s">
        <v>690</v>
      </c>
      <c r="I211" s="1681"/>
      <c r="J211" s="1681"/>
      <c r="K211" s="1170" t="s">
        <v>820</v>
      </c>
      <c r="L211" s="1171"/>
      <c r="M211" s="1171"/>
      <c r="N211" s="1171"/>
      <c r="O211" s="1171"/>
      <c r="P211" s="1171"/>
      <c r="Q211" s="1171"/>
      <c r="R211" s="1171"/>
      <c r="S211" s="1171"/>
      <c r="T211" s="1172"/>
      <c r="U211" s="1657">
        <f>(113.93*KFC!$B$41*1.6+KFC!$C$41)*KFC!$C$5</f>
        <v>182.28800000000001</v>
      </c>
      <c r="V211" s="1682"/>
      <c r="W211" s="1682"/>
      <c r="X211" s="1658"/>
      <c r="Y211" s="1"/>
      <c r="Z211" s="1"/>
    </row>
    <row r="212" spans="1:26" ht="13.8">
      <c r="A212" s="1"/>
      <c r="B212" s="1"/>
      <c r="C212" s="1"/>
      <c r="D212" s="1"/>
      <c r="E212" s="1"/>
      <c r="F212" s="1"/>
      <c r="G212" s="1"/>
      <c r="H212" s="1670"/>
      <c r="I212" s="1671"/>
      <c r="J212" s="1671"/>
      <c r="K212" s="1388" t="s">
        <v>862</v>
      </c>
      <c r="L212" s="1678"/>
      <c r="M212" s="1678"/>
      <c r="N212" s="1678"/>
      <c r="O212" s="1678"/>
      <c r="P212" s="1678"/>
      <c r="Q212" s="1678"/>
      <c r="R212" s="1678"/>
      <c r="S212" s="1678"/>
      <c r="T212" s="1679"/>
      <c r="U212" s="1675"/>
      <c r="V212" s="1676"/>
      <c r="W212" s="1676"/>
      <c r="X212" s="1677"/>
      <c r="Y212" s="1"/>
      <c r="Z212" s="1"/>
    </row>
    <row r="213" spans="1:26" ht="13.8">
      <c r="A213" s="1"/>
      <c r="B213" s="1"/>
      <c r="C213" s="1"/>
      <c r="D213" s="1"/>
      <c r="E213" s="1"/>
      <c r="F213" s="1"/>
      <c r="G213" s="1"/>
      <c r="H213" s="1680" t="s">
        <v>697</v>
      </c>
      <c r="I213" s="1681"/>
      <c r="J213" s="1681"/>
      <c r="K213" s="1170" t="s">
        <v>92</v>
      </c>
      <c r="L213" s="1171"/>
      <c r="M213" s="1171"/>
      <c r="N213" s="1171"/>
      <c r="O213" s="1171"/>
      <c r="P213" s="1171"/>
      <c r="Q213" s="1171"/>
      <c r="R213" s="1171"/>
      <c r="S213" s="1171"/>
      <c r="T213" s="1172"/>
      <c r="U213" s="1657">
        <f>(38.74*KFC!$B$41*1.6+KFC!$C$41)*KFC!$C$5</f>
        <v>61.984000000000009</v>
      </c>
      <c r="V213" s="1682"/>
      <c r="W213" s="1682"/>
      <c r="X213" s="1658"/>
      <c r="Y213" s="1"/>
      <c r="Z213" s="1"/>
    </row>
    <row r="214" spans="1:26" ht="13.8">
      <c r="A214" s="1"/>
      <c r="B214" s="1"/>
      <c r="C214" s="1"/>
      <c r="D214" s="1"/>
      <c r="E214" s="1"/>
      <c r="F214" s="1"/>
      <c r="G214" s="1"/>
      <c r="H214" s="1670"/>
      <c r="I214" s="1671"/>
      <c r="J214" s="1671"/>
      <c r="K214" s="1017" t="s">
        <v>863</v>
      </c>
      <c r="L214" s="1403"/>
      <c r="M214" s="1403"/>
      <c r="N214" s="1403"/>
      <c r="O214" s="1403"/>
      <c r="P214" s="1403"/>
      <c r="Q214" s="1403"/>
      <c r="R214" s="1403"/>
      <c r="S214" s="1403"/>
      <c r="T214" s="1404"/>
      <c r="U214" s="1675"/>
      <c r="V214" s="1676"/>
      <c r="W214" s="1676"/>
      <c r="X214" s="1677"/>
      <c r="Y214" s="1"/>
      <c r="Z214" s="1"/>
    </row>
    <row r="215" spans="1:26" ht="30" customHeight="1">
      <c r="A215" s="1"/>
      <c r="B215" s="1"/>
      <c r="C215" s="1"/>
      <c r="D215" s="1"/>
      <c r="E215" s="1"/>
      <c r="F215" s="1"/>
      <c r="G215" s="1"/>
      <c r="H215" s="1686" t="s">
        <v>696</v>
      </c>
      <c r="I215" s="1687"/>
      <c r="J215" s="1687"/>
      <c r="K215" s="1008" t="s">
        <v>93</v>
      </c>
      <c r="L215" s="1008"/>
      <c r="M215" s="1008"/>
      <c r="N215" s="1008"/>
      <c r="O215" s="1008"/>
      <c r="P215" s="1008"/>
      <c r="Q215" s="1008"/>
      <c r="R215" s="1008"/>
      <c r="S215" s="1008"/>
      <c r="T215" s="1008"/>
      <c r="U215" s="1293">
        <f>(143.17*KFC!$B$41*1.6+KFC!$C$41)*KFC!$C$5</f>
        <v>229.072</v>
      </c>
      <c r="V215" s="1293"/>
      <c r="W215" s="1293"/>
      <c r="X215" s="1294"/>
      <c r="Y215" s="1"/>
      <c r="Z215" s="1"/>
    </row>
    <row r="216" spans="1:26" ht="30" customHeight="1">
      <c r="A216" s="1"/>
      <c r="B216" s="1"/>
      <c r="C216" s="1"/>
      <c r="D216" s="1"/>
      <c r="E216" s="1"/>
      <c r="F216" s="1"/>
      <c r="G216" s="1"/>
      <c r="H216" s="1686" t="s">
        <v>697</v>
      </c>
      <c r="I216" s="1687"/>
      <c r="J216" s="1687"/>
      <c r="K216" s="1003" t="s">
        <v>649</v>
      </c>
      <c r="L216" s="1003"/>
      <c r="M216" s="1003"/>
      <c r="N216" s="1003"/>
      <c r="O216" s="1003"/>
      <c r="P216" s="1003"/>
      <c r="Q216" s="1003"/>
      <c r="R216" s="1003"/>
      <c r="S216" s="1003"/>
      <c r="T216" s="1003"/>
      <c r="U216" s="1293">
        <f>(21.52*KFC!$B$41*1.6+KFC!$C$41)*KFC!$C$5</f>
        <v>34.432000000000002</v>
      </c>
      <c r="V216" s="1293"/>
      <c r="W216" s="1293"/>
      <c r="X216" s="1294"/>
      <c r="Y216" s="1"/>
      <c r="Z216" s="1"/>
    </row>
    <row r="217" spans="1:26" ht="30" customHeight="1">
      <c r="A217" s="1"/>
      <c r="B217" s="1"/>
      <c r="C217" s="1"/>
      <c r="D217" s="1"/>
      <c r="E217" s="1"/>
      <c r="F217" s="1"/>
      <c r="G217" s="1"/>
      <c r="H217" s="1686" t="s">
        <v>695</v>
      </c>
      <c r="I217" s="1687"/>
      <c r="J217" s="1687"/>
      <c r="K217" s="1003" t="s">
        <v>650</v>
      </c>
      <c r="L217" s="1003"/>
      <c r="M217" s="1003"/>
      <c r="N217" s="1003"/>
      <c r="O217" s="1003"/>
      <c r="P217" s="1003"/>
      <c r="Q217" s="1003"/>
      <c r="R217" s="1003"/>
      <c r="S217" s="1003"/>
      <c r="T217" s="1003"/>
      <c r="U217" s="1293">
        <f>(1.9*KFC!$B$41*1.6+KFC!$C$41)*KFC!$C$5</f>
        <v>3.04</v>
      </c>
      <c r="V217" s="1293"/>
      <c r="W217" s="1293"/>
      <c r="X217" s="1294"/>
      <c r="Y217" s="1"/>
      <c r="Z217" s="1"/>
    </row>
    <row r="218" spans="1:26" ht="30" customHeight="1">
      <c r="A218" s="1"/>
      <c r="B218" s="1"/>
      <c r="C218" s="1"/>
      <c r="D218" s="1"/>
      <c r="E218" s="1"/>
      <c r="F218" s="1"/>
      <c r="G218" s="1"/>
      <c r="H218" s="1686" t="s">
        <v>690</v>
      </c>
      <c r="I218" s="1687"/>
      <c r="J218" s="1687"/>
      <c r="K218" s="1003" t="s">
        <v>651</v>
      </c>
      <c r="L218" s="1003"/>
      <c r="M218" s="1003"/>
      <c r="N218" s="1003"/>
      <c r="O218" s="1003"/>
      <c r="P218" s="1003"/>
      <c r="Q218" s="1003"/>
      <c r="R218" s="1003"/>
      <c r="S218" s="1003"/>
      <c r="T218" s="1003"/>
      <c r="U218" s="1293">
        <f>(4.43*KFC!$B$41*1.6+KFC!$C$41)*KFC!$C$5</f>
        <v>7.0880000000000001</v>
      </c>
      <c r="V218" s="1293"/>
      <c r="W218" s="1293"/>
      <c r="X218" s="1294"/>
      <c r="Y218" s="1"/>
      <c r="Z218" s="1"/>
    </row>
    <row r="219" spans="1:26" ht="30" customHeight="1">
      <c r="A219" s="1"/>
      <c r="B219" s="1"/>
      <c r="C219" s="1"/>
      <c r="D219" s="1"/>
      <c r="E219" s="1"/>
      <c r="F219" s="1"/>
      <c r="G219" s="1"/>
      <c r="H219" s="1686" t="s">
        <v>696</v>
      </c>
      <c r="I219" s="1687"/>
      <c r="J219" s="1687"/>
      <c r="K219" s="1003" t="s">
        <v>816</v>
      </c>
      <c r="L219" s="1003"/>
      <c r="M219" s="1003"/>
      <c r="N219" s="1003"/>
      <c r="O219" s="1003"/>
      <c r="P219" s="1003"/>
      <c r="Q219" s="1003"/>
      <c r="R219" s="1003"/>
      <c r="S219" s="1003"/>
      <c r="T219" s="1003"/>
      <c r="U219" s="1293">
        <f>(17.85*KFC!$B$41*1.6+KFC!$C$41)*KFC!$C$5</f>
        <v>28.560000000000002</v>
      </c>
      <c r="V219" s="1293"/>
      <c r="W219" s="1293"/>
      <c r="X219" s="1294"/>
      <c r="Y219" s="1"/>
      <c r="Z219" s="1"/>
    </row>
    <row r="220" spans="1:26" ht="30" customHeight="1">
      <c r="A220" s="1"/>
      <c r="B220" s="1"/>
      <c r="C220" s="1"/>
      <c r="D220" s="1"/>
      <c r="E220" s="1"/>
      <c r="F220" s="1"/>
      <c r="G220" s="1"/>
      <c r="H220" s="1686" t="s">
        <v>890</v>
      </c>
      <c r="I220" s="1687"/>
      <c r="J220" s="1687"/>
      <c r="K220" s="1003" t="s">
        <v>643</v>
      </c>
      <c r="L220" s="1003"/>
      <c r="M220" s="1003"/>
      <c r="N220" s="1003"/>
      <c r="O220" s="1003"/>
      <c r="P220" s="1003"/>
      <c r="Q220" s="1003"/>
      <c r="R220" s="1003"/>
      <c r="S220" s="1003"/>
      <c r="T220" s="1003"/>
      <c r="U220" s="1293">
        <f>(17.73*KFC!$B$41+KFC!$C$41)*KFC!$C$5</f>
        <v>17.73</v>
      </c>
      <c r="V220" s="1293"/>
      <c r="W220" s="1293"/>
      <c r="X220" s="1294"/>
      <c r="Y220" s="1"/>
      <c r="Z220" s="1"/>
    </row>
    <row r="221" spans="1:26" ht="13.8">
      <c r="A221" s="1"/>
      <c r="B221" s="1"/>
      <c r="C221" s="1"/>
      <c r="D221" s="1"/>
      <c r="E221" s="1"/>
      <c r="F221" s="1"/>
      <c r="G221" s="1"/>
      <c r="H221" s="1680" t="s">
        <v>891</v>
      </c>
      <c r="I221" s="1681"/>
      <c r="J221" s="1688"/>
      <c r="K221" s="1408" t="s">
        <v>458</v>
      </c>
      <c r="L221" s="1408"/>
      <c r="M221" s="1408"/>
      <c r="N221" s="1408"/>
      <c r="O221" s="1408"/>
      <c r="P221" s="1408"/>
      <c r="Q221" s="1408"/>
      <c r="R221" s="1408"/>
      <c r="S221" s="1408"/>
      <c r="T221" s="1408"/>
      <c r="U221" s="1657">
        <f>(31.65*KFC!$B$41+KFC!$C$41)*KFC!$C$5</f>
        <v>31.65</v>
      </c>
      <c r="V221" s="1682"/>
      <c r="W221" s="1682"/>
      <c r="X221" s="1658"/>
      <c r="Y221" s="1"/>
      <c r="Z221" s="1"/>
    </row>
    <row r="222" spans="1:26">
      <c r="A222" s="1"/>
      <c r="B222" s="1"/>
      <c r="C222" s="1"/>
      <c r="D222" s="1"/>
      <c r="E222" s="1"/>
      <c r="F222" s="1"/>
      <c r="G222" s="1"/>
      <c r="H222" s="1689"/>
      <c r="I222" s="1690"/>
      <c r="J222" s="1691"/>
      <c r="K222" s="1047" t="s">
        <v>870</v>
      </c>
      <c r="L222" s="1047"/>
      <c r="M222" s="1047"/>
      <c r="N222" s="1047"/>
      <c r="O222" s="1047"/>
      <c r="P222" s="1047"/>
      <c r="Q222" s="1047"/>
      <c r="R222" s="1047"/>
      <c r="S222" s="1047"/>
      <c r="T222" s="1047"/>
      <c r="U222" s="1692"/>
      <c r="V222" s="1551"/>
      <c r="W222" s="1551"/>
      <c r="X222" s="1693"/>
      <c r="Y222" s="1"/>
      <c r="Z222" s="1"/>
    </row>
    <row r="223" spans="1:26" ht="13.8">
      <c r="A223" s="1"/>
      <c r="B223" s="1"/>
      <c r="C223" s="1"/>
      <c r="D223" s="1"/>
      <c r="E223" s="1"/>
      <c r="F223" s="1"/>
      <c r="G223" s="1"/>
      <c r="H223" s="1680" t="s">
        <v>892</v>
      </c>
      <c r="I223" s="1681"/>
      <c r="J223" s="1688"/>
      <c r="K223" s="1408" t="s">
        <v>459</v>
      </c>
      <c r="L223" s="1408"/>
      <c r="M223" s="1408"/>
      <c r="N223" s="1408"/>
      <c r="O223" s="1408"/>
      <c r="P223" s="1408"/>
      <c r="Q223" s="1408"/>
      <c r="R223" s="1408"/>
      <c r="S223" s="1408"/>
      <c r="T223" s="1408"/>
      <c r="U223" s="1657">
        <f>(40.51*KFC!$B$41+KFC!$C$41)*KFC!$C$5</f>
        <v>40.51</v>
      </c>
      <c r="V223" s="1682"/>
      <c r="W223" s="1682"/>
      <c r="X223" s="1658"/>
      <c r="Y223" s="1"/>
      <c r="Z223" s="1"/>
    </row>
    <row r="224" spans="1:26">
      <c r="A224" s="1"/>
      <c r="B224" s="1"/>
      <c r="C224" s="1"/>
      <c r="D224" s="1"/>
      <c r="E224" s="1"/>
      <c r="F224" s="1"/>
      <c r="G224" s="1"/>
      <c r="H224" s="1689"/>
      <c r="I224" s="1690"/>
      <c r="J224" s="1691"/>
      <c r="K224" s="1694" t="s">
        <v>864</v>
      </c>
      <c r="L224" s="1694"/>
      <c r="M224" s="1694"/>
      <c r="N224" s="1694"/>
      <c r="O224" s="1694"/>
      <c r="P224" s="1694"/>
      <c r="Q224" s="1694"/>
      <c r="R224" s="1694"/>
      <c r="S224" s="1694"/>
      <c r="T224" s="1694"/>
      <c r="U224" s="1692"/>
      <c r="V224" s="1551"/>
      <c r="W224" s="1551"/>
      <c r="X224" s="1693"/>
      <c r="Y224" s="1"/>
      <c r="Z224" s="1"/>
    </row>
    <row r="225" spans="1:26" ht="13.8">
      <c r="A225" s="1"/>
      <c r="B225" s="1"/>
      <c r="C225" s="1"/>
      <c r="D225" s="1"/>
      <c r="E225" s="1"/>
      <c r="F225" s="1"/>
      <c r="G225" s="1"/>
      <c r="H225" s="1680" t="s">
        <v>893</v>
      </c>
      <c r="I225" s="1681"/>
      <c r="J225" s="1688"/>
      <c r="K225" s="1695" t="s">
        <v>460</v>
      </c>
      <c r="L225" s="1695"/>
      <c r="M225" s="1695"/>
      <c r="N225" s="1695"/>
      <c r="O225" s="1695"/>
      <c r="P225" s="1695"/>
      <c r="Q225" s="1695"/>
      <c r="R225" s="1695"/>
      <c r="S225" s="1695"/>
      <c r="T225" s="1695"/>
      <c r="U225" s="1293">
        <f>(31.65*KFC!$B$41+KFC!$C$41)*KFC!$C$5</f>
        <v>31.65</v>
      </c>
      <c r="V225" s="1293"/>
      <c r="W225" s="1293"/>
      <c r="X225" s="1294"/>
      <c r="Y225" s="1"/>
      <c r="Z225" s="1"/>
    </row>
    <row r="226" spans="1:26">
      <c r="A226" s="1"/>
      <c r="B226" s="1"/>
      <c r="C226" s="1"/>
      <c r="D226" s="1"/>
      <c r="E226" s="1"/>
      <c r="F226" s="1"/>
      <c r="G226" s="1"/>
      <c r="H226" s="1689"/>
      <c r="I226" s="1690"/>
      <c r="J226" s="1691"/>
      <c r="K226" s="1047" t="s">
        <v>867</v>
      </c>
      <c r="L226" s="1047"/>
      <c r="M226" s="1047"/>
      <c r="N226" s="1047"/>
      <c r="O226" s="1047"/>
      <c r="P226" s="1047"/>
      <c r="Q226" s="1047"/>
      <c r="R226" s="1047"/>
      <c r="S226" s="1047"/>
      <c r="T226" s="1047"/>
      <c r="U226" s="1293"/>
      <c r="V226" s="1293"/>
      <c r="W226" s="1293"/>
      <c r="X226" s="1294"/>
      <c r="Y226" s="1"/>
      <c r="Z226" s="1"/>
    </row>
    <row r="227" spans="1:26" ht="13.8">
      <c r="A227" s="1"/>
      <c r="B227" s="1"/>
      <c r="C227" s="1"/>
      <c r="D227" s="1"/>
      <c r="E227" s="1"/>
      <c r="F227" s="1"/>
      <c r="G227" s="1"/>
      <c r="H227" s="1680" t="s">
        <v>892</v>
      </c>
      <c r="I227" s="1681"/>
      <c r="J227" s="1688"/>
      <c r="K227" s="1408" t="s">
        <v>485</v>
      </c>
      <c r="L227" s="1408"/>
      <c r="M227" s="1408"/>
      <c r="N227" s="1408"/>
      <c r="O227" s="1408"/>
      <c r="P227" s="1408"/>
      <c r="Q227" s="1408"/>
      <c r="R227" s="1408"/>
      <c r="S227" s="1408"/>
      <c r="T227" s="1408"/>
      <c r="U227" s="1293">
        <f>(40.51*KFC!$B$41+KFC!$C$41)*KFC!$C$5</f>
        <v>40.51</v>
      </c>
      <c r="V227" s="1293"/>
      <c r="W227" s="1293"/>
      <c r="X227" s="1294"/>
      <c r="Y227" s="1"/>
      <c r="Z227" s="1"/>
    </row>
    <row r="228" spans="1:26">
      <c r="A228" s="1"/>
      <c r="B228" s="1"/>
      <c r="C228" s="1"/>
      <c r="D228" s="1"/>
      <c r="E228" s="1"/>
      <c r="F228" s="1"/>
      <c r="G228" s="1"/>
      <c r="H228" s="1689"/>
      <c r="I228" s="1690"/>
      <c r="J228" s="1691"/>
      <c r="K228" s="1047" t="s">
        <v>868</v>
      </c>
      <c r="L228" s="1047"/>
      <c r="M228" s="1047"/>
      <c r="N228" s="1047"/>
      <c r="O228" s="1047"/>
      <c r="P228" s="1047"/>
      <c r="Q228" s="1047"/>
      <c r="R228" s="1047"/>
      <c r="S228" s="1047"/>
      <c r="T228" s="1047"/>
      <c r="U228" s="1293"/>
      <c r="V228" s="1293"/>
      <c r="W228" s="1293"/>
      <c r="X228" s="1294"/>
      <c r="Y228" s="1"/>
      <c r="Z228" s="1"/>
    </row>
    <row r="229" spans="1:26" ht="30" customHeight="1">
      <c r="A229" s="1"/>
      <c r="B229" s="1"/>
      <c r="C229" s="1"/>
      <c r="D229" s="1"/>
      <c r="E229" s="1"/>
      <c r="F229" s="1"/>
      <c r="G229" s="1"/>
      <c r="H229" s="1686" t="s">
        <v>892</v>
      </c>
      <c r="I229" s="1687"/>
      <c r="J229" s="1687"/>
      <c r="K229" s="1003" t="s">
        <v>652</v>
      </c>
      <c r="L229" s="1003"/>
      <c r="M229" s="1003"/>
      <c r="N229" s="1003"/>
      <c r="O229" s="1003"/>
      <c r="P229" s="1003"/>
      <c r="Q229" s="1003"/>
      <c r="R229" s="1003"/>
      <c r="S229" s="1003"/>
      <c r="T229" s="1003"/>
      <c r="U229" s="1293">
        <f>(50.64*KFC!$B$41+KFC!$C$41)*KFC!$C$5</f>
        <v>50.64</v>
      </c>
      <c r="V229" s="1293"/>
      <c r="W229" s="1293"/>
      <c r="X229" s="1294"/>
      <c r="Y229" s="1"/>
      <c r="Z229" s="1"/>
    </row>
    <row r="230" spans="1:26" ht="13.8">
      <c r="A230" s="1"/>
      <c r="B230" s="1"/>
      <c r="C230" s="1"/>
      <c r="D230" s="1"/>
      <c r="E230" s="1"/>
      <c r="F230" s="1"/>
      <c r="G230" s="1"/>
      <c r="H230" s="1680" t="s">
        <v>893</v>
      </c>
      <c r="I230" s="1681"/>
      <c r="J230" s="1688"/>
      <c r="K230" s="1408" t="s">
        <v>653</v>
      </c>
      <c r="L230" s="1408"/>
      <c r="M230" s="1408"/>
      <c r="N230" s="1408"/>
      <c r="O230" s="1408"/>
      <c r="P230" s="1408"/>
      <c r="Q230" s="1408"/>
      <c r="R230" s="1408"/>
      <c r="S230" s="1408"/>
      <c r="T230" s="1408"/>
      <c r="U230" s="1293">
        <f>(7.6*KFC!$B$41+KFC!$C$41)*KFC!$C$5</f>
        <v>7.6</v>
      </c>
      <c r="V230" s="1293"/>
      <c r="W230" s="1293"/>
      <c r="X230" s="1294"/>
      <c r="Y230" s="1"/>
      <c r="Z230" s="1"/>
    </row>
    <row r="231" spans="1:26">
      <c r="A231" s="1"/>
      <c r="B231" s="1"/>
      <c r="C231" s="1"/>
      <c r="D231" s="1"/>
      <c r="E231" s="1"/>
      <c r="F231" s="1"/>
      <c r="G231" s="1"/>
      <c r="H231" s="1689"/>
      <c r="I231" s="1690"/>
      <c r="J231" s="1691"/>
      <c r="K231" s="1047" t="s">
        <v>869</v>
      </c>
      <c r="L231" s="1047"/>
      <c r="M231" s="1047"/>
      <c r="N231" s="1047"/>
      <c r="O231" s="1047"/>
      <c r="P231" s="1047"/>
      <c r="Q231" s="1047"/>
      <c r="R231" s="1047"/>
      <c r="S231" s="1047"/>
      <c r="T231" s="1047"/>
      <c r="U231" s="1293"/>
      <c r="V231" s="1293"/>
      <c r="W231" s="1293"/>
      <c r="X231" s="1294"/>
      <c r="Y231" s="1"/>
      <c r="Z231" s="1"/>
    </row>
    <row r="232" spans="1:26" ht="31.2" customHeight="1">
      <c r="A232" s="1"/>
      <c r="B232" s="1"/>
      <c r="C232" s="1"/>
      <c r="D232" s="1"/>
      <c r="E232" s="1"/>
      <c r="F232" s="1"/>
      <c r="G232" s="1"/>
      <c r="H232" s="1686" t="s">
        <v>894</v>
      </c>
      <c r="I232" s="1687"/>
      <c r="J232" s="1687"/>
      <c r="K232" s="1003" t="s">
        <v>654</v>
      </c>
      <c r="L232" s="1003"/>
      <c r="M232" s="1003"/>
      <c r="N232" s="1003"/>
      <c r="O232" s="1003"/>
      <c r="P232" s="1003"/>
      <c r="Q232" s="1003"/>
      <c r="R232" s="1003"/>
      <c r="S232" s="1003"/>
      <c r="T232" s="1003"/>
      <c r="U232" s="1293">
        <f>(2.54*KFC!$B$41+KFC!$C$41)*KFC!$C$5</f>
        <v>2.54</v>
      </c>
      <c r="V232" s="1293"/>
      <c r="W232" s="1293"/>
      <c r="X232" s="1294"/>
      <c r="Y232" s="1"/>
      <c r="Z232" s="1"/>
    </row>
    <row r="233" spans="1:26" ht="31.2" customHeight="1" thickBot="1">
      <c r="A233" s="1"/>
      <c r="B233" s="1"/>
      <c r="C233" s="1"/>
      <c r="D233" s="1"/>
      <c r="E233" s="1"/>
      <c r="F233" s="1"/>
      <c r="G233" s="1"/>
      <c r="H233" s="1701" t="s">
        <v>891</v>
      </c>
      <c r="I233" s="1702"/>
      <c r="J233" s="1702"/>
      <c r="K233" s="1170" t="s">
        <v>655</v>
      </c>
      <c r="L233" s="1171"/>
      <c r="M233" s="1171"/>
      <c r="N233" s="1171"/>
      <c r="O233" s="1171"/>
      <c r="P233" s="1171"/>
      <c r="Q233" s="1171"/>
      <c r="R233" s="1171"/>
      <c r="S233" s="1171"/>
      <c r="T233" s="1172"/>
      <c r="U233" s="1704">
        <f>(37.98*KFC!$B$41+KFC!$C$41)*KFC!$C$5</f>
        <v>37.979999999999997</v>
      </c>
      <c r="V233" s="1704"/>
      <c r="W233" s="1704"/>
      <c r="X233" s="1397"/>
      <c r="Y233" s="1"/>
      <c r="Z233" s="1"/>
    </row>
    <row r="234" spans="1:26" ht="31.2" customHeight="1">
      <c r="A234" s="1"/>
      <c r="B234" s="1"/>
      <c r="C234" s="1"/>
      <c r="D234" s="1"/>
      <c r="E234" s="1"/>
      <c r="F234" s="1"/>
      <c r="G234" s="1"/>
      <c r="H234" s="1705" t="s">
        <v>895</v>
      </c>
      <c r="I234" s="1706"/>
      <c r="J234" s="1706"/>
      <c r="K234" s="1192" t="s">
        <v>896</v>
      </c>
      <c r="L234" s="1193"/>
      <c r="M234" s="1193"/>
      <c r="N234" s="1193"/>
      <c r="O234" s="1193"/>
      <c r="P234" s="1193"/>
      <c r="Q234" s="1193"/>
      <c r="R234" s="1193"/>
      <c r="S234" s="1193"/>
      <c r="T234" s="1194"/>
      <c r="U234" s="1655">
        <f>(31.65*KFC!$B$41+KFC!$C$41)*KFC!$C$5</f>
        <v>31.65</v>
      </c>
      <c r="V234" s="1655"/>
      <c r="W234" s="1655"/>
      <c r="X234" s="1656"/>
      <c r="Y234" s="1"/>
      <c r="Z234" s="1"/>
    </row>
    <row r="235" spans="1:26" ht="31.2" customHeight="1">
      <c r="A235" s="1"/>
      <c r="B235" s="1"/>
      <c r="C235" s="1"/>
      <c r="D235" s="1"/>
      <c r="E235" s="1"/>
      <c r="F235" s="1"/>
      <c r="G235" s="1"/>
      <c r="H235" s="1701" t="s">
        <v>895</v>
      </c>
      <c r="I235" s="1702"/>
      <c r="J235" s="1702"/>
      <c r="K235" s="1170" t="s">
        <v>897</v>
      </c>
      <c r="L235" s="1171"/>
      <c r="M235" s="1171"/>
      <c r="N235" s="1171"/>
      <c r="O235" s="1171"/>
      <c r="P235" s="1171"/>
      <c r="Q235" s="1171"/>
      <c r="R235" s="1171"/>
      <c r="S235" s="1171"/>
      <c r="T235" s="1172"/>
      <c r="U235" s="1293">
        <f>(37.98*KFC!$B$41+KFC!$C$41)*KFC!$C$5</f>
        <v>37.979999999999997</v>
      </c>
      <c r="V235" s="1293"/>
      <c r="W235" s="1293"/>
      <c r="X235" s="1294"/>
      <c r="Y235" s="1"/>
      <c r="Z235" s="1"/>
    </row>
    <row r="236" spans="1:26" ht="31.2" customHeight="1">
      <c r="A236" s="1"/>
      <c r="B236" s="1"/>
      <c r="C236" s="1"/>
      <c r="D236" s="1"/>
      <c r="E236" s="1"/>
      <c r="F236" s="1"/>
      <c r="G236" s="1"/>
      <c r="H236" s="1701" t="s">
        <v>895</v>
      </c>
      <c r="I236" s="1702"/>
      <c r="J236" s="1702"/>
      <c r="K236" s="1170" t="s">
        <v>898</v>
      </c>
      <c r="L236" s="1171"/>
      <c r="M236" s="1171"/>
      <c r="N236" s="1171"/>
      <c r="O236" s="1171"/>
      <c r="P236" s="1171"/>
      <c r="Q236" s="1171"/>
      <c r="R236" s="1171"/>
      <c r="S236" s="1171"/>
      <c r="T236" s="1172"/>
      <c r="U236" s="1293">
        <f>(44.31*KFC!$B$41+KFC!$C$41)*KFC!$C$5</f>
        <v>44.31</v>
      </c>
      <c r="V236" s="1293"/>
      <c r="W236" s="1293"/>
      <c r="X236" s="1294"/>
      <c r="Y236" s="1"/>
      <c r="Z236" s="1"/>
    </row>
    <row r="237" spans="1:26" ht="31.2" customHeight="1">
      <c r="A237" s="1"/>
      <c r="B237" s="1"/>
      <c r="C237" s="1"/>
      <c r="D237" s="1"/>
      <c r="E237" s="1"/>
      <c r="F237" s="1"/>
      <c r="G237" s="1"/>
      <c r="H237" s="1701" t="s">
        <v>895</v>
      </c>
      <c r="I237" s="1702"/>
      <c r="J237" s="1702"/>
      <c r="K237" s="1170" t="s">
        <v>899</v>
      </c>
      <c r="L237" s="1171"/>
      <c r="M237" s="1171"/>
      <c r="N237" s="1171"/>
      <c r="O237" s="1171"/>
      <c r="P237" s="1171"/>
      <c r="Q237" s="1171"/>
      <c r="R237" s="1171"/>
      <c r="S237" s="1171"/>
      <c r="T237" s="1172"/>
      <c r="U237" s="1293">
        <f>(31.65*KFC!$B$41+KFC!$C$41)*KFC!$C$5</f>
        <v>31.65</v>
      </c>
      <c r="V237" s="1293"/>
      <c r="W237" s="1293"/>
      <c r="X237" s="1294"/>
      <c r="Y237" s="1"/>
      <c r="Z237" s="1"/>
    </row>
    <row r="238" spans="1:26" ht="31.2" customHeight="1">
      <c r="A238" s="1"/>
      <c r="B238" s="1"/>
      <c r="C238" s="1"/>
      <c r="D238" s="1"/>
      <c r="E238" s="1"/>
      <c r="F238" s="1"/>
      <c r="G238" s="1"/>
      <c r="H238" s="1701" t="s">
        <v>895</v>
      </c>
      <c r="I238" s="1702"/>
      <c r="J238" s="1702"/>
      <c r="K238" s="1170" t="s">
        <v>900</v>
      </c>
      <c r="L238" s="1171"/>
      <c r="M238" s="1171"/>
      <c r="N238" s="1171"/>
      <c r="O238" s="1171"/>
      <c r="P238" s="1171"/>
      <c r="Q238" s="1171"/>
      <c r="R238" s="1171"/>
      <c r="S238" s="1171"/>
      <c r="T238" s="1172"/>
      <c r="U238" s="1293">
        <f>(37.98*KFC!$B$41+KFC!$C$41)*KFC!$C$5</f>
        <v>37.979999999999997</v>
      </c>
      <c r="V238" s="1293"/>
      <c r="W238" s="1293"/>
      <c r="X238" s="1294"/>
      <c r="Y238" s="1"/>
      <c r="Z238" s="1"/>
    </row>
    <row r="239" spans="1:26" ht="31.2" customHeight="1">
      <c r="A239" s="1"/>
      <c r="B239" s="1"/>
      <c r="C239" s="1"/>
      <c r="D239" s="1"/>
      <c r="E239" s="1"/>
      <c r="F239" s="1"/>
      <c r="G239" s="1"/>
      <c r="H239" s="1701" t="s">
        <v>895</v>
      </c>
      <c r="I239" s="1702"/>
      <c r="J239" s="1702"/>
      <c r="K239" s="1170" t="s">
        <v>901</v>
      </c>
      <c r="L239" s="1171"/>
      <c r="M239" s="1171"/>
      <c r="N239" s="1171"/>
      <c r="O239" s="1171"/>
      <c r="P239" s="1171"/>
      <c r="Q239" s="1171"/>
      <c r="R239" s="1171"/>
      <c r="S239" s="1171"/>
      <c r="T239" s="1172"/>
      <c r="U239" s="1293">
        <f>(75.95*KFC!$B$41+KFC!$C$41)*KFC!$C$5</f>
        <v>75.95</v>
      </c>
      <c r="V239" s="1293"/>
      <c r="W239" s="1293"/>
      <c r="X239" s="1294"/>
      <c r="Y239" s="1"/>
      <c r="Z239" s="1"/>
    </row>
    <row r="240" spans="1:26" ht="31.2" customHeight="1">
      <c r="A240" s="1"/>
      <c r="B240" s="1"/>
      <c r="C240" s="1"/>
      <c r="D240" s="1"/>
      <c r="E240" s="1"/>
      <c r="F240" s="1"/>
      <c r="G240" s="1"/>
      <c r="H240" s="1701" t="s">
        <v>895</v>
      </c>
      <c r="I240" s="1702"/>
      <c r="J240" s="1702"/>
      <c r="K240" s="1170" t="s">
        <v>1054</v>
      </c>
      <c r="L240" s="1171"/>
      <c r="M240" s="1171"/>
      <c r="N240" s="1171"/>
      <c r="O240" s="1171"/>
      <c r="P240" s="1171"/>
      <c r="Q240" s="1171"/>
      <c r="R240" s="1171"/>
      <c r="S240" s="1171"/>
      <c r="T240" s="1172"/>
      <c r="U240" s="1293">
        <f>(76*KFC!$B$41+KFC!$C$41)*KFC!$C$5</f>
        <v>76</v>
      </c>
      <c r="V240" s="1293"/>
      <c r="W240" s="1293"/>
      <c r="X240" s="1294"/>
      <c r="Y240" s="1"/>
      <c r="Z240" s="1"/>
    </row>
    <row r="241" spans="1:27" ht="31.2" customHeight="1" thickBot="1">
      <c r="A241" s="1"/>
      <c r="B241" s="1"/>
      <c r="C241" s="1"/>
      <c r="D241" s="1"/>
      <c r="E241" s="1"/>
      <c r="F241" s="1"/>
      <c r="G241" s="1"/>
      <c r="H241" s="1696" t="s">
        <v>895</v>
      </c>
      <c r="I241" s="1697"/>
      <c r="J241" s="1697"/>
      <c r="K241" s="1698" t="s">
        <v>902</v>
      </c>
      <c r="L241" s="1699"/>
      <c r="M241" s="1699"/>
      <c r="N241" s="1699"/>
      <c r="O241" s="1699"/>
      <c r="P241" s="1699"/>
      <c r="Q241" s="1699"/>
      <c r="R241" s="1699"/>
      <c r="S241" s="1699"/>
      <c r="T241" s="1700"/>
      <c r="U241" s="1295">
        <f>(25.32*KFC!$B$41+KFC!$C$41)*KFC!$C$5</f>
        <v>25.32</v>
      </c>
      <c r="V241" s="1295"/>
      <c r="W241" s="1295"/>
      <c r="X241" s="1296"/>
      <c r="Y241" s="1"/>
      <c r="Z241" s="1"/>
    </row>
    <row r="244" spans="1:27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>
      <c r="A245" s="1"/>
      <c r="B245" s="1"/>
      <c r="C245" s="1"/>
      <c r="D245" s="1"/>
      <c r="E245" s="1"/>
      <c r="F245" s="1"/>
      <c r="G245" s="1"/>
      <c r="H245" s="719"/>
      <c r="I245" s="719"/>
      <c r="J245" s="719"/>
      <c r="K245" s="719"/>
      <c r="L245" s="719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>
      <c r="A246" s="1"/>
      <c r="B246" s="1"/>
      <c r="C246" s="1"/>
      <c r="D246" s="1"/>
      <c r="E246" s="1"/>
      <c r="F246" s="1"/>
      <c r="G246" s="1"/>
      <c r="H246" s="719"/>
      <c r="I246" s="719"/>
      <c r="J246" s="719"/>
      <c r="K246" s="719"/>
      <c r="L246" s="719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3.8">
      <c r="A247" s="1"/>
      <c r="B247" s="1"/>
      <c r="C247" s="1"/>
      <c r="D247" s="1"/>
      <c r="E247" s="1"/>
      <c r="F247" s="1"/>
      <c r="G247" s="1"/>
      <c r="H247" s="870"/>
      <c r="I247" s="870"/>
      <c r="J247" s="870"/>
      <c r="K247" s="870"/>
      <c r="L247" s="719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3.8">
      <c r="A248" s="1"/>
      <c r="B248" s="1"/>
      <c r="C248" s="1"/>
      <c r="D248" s="1"/>
      <c r="E248" s="1"/>
      <c r="F248" s="1"/>
      <c r="G248" s="1"/>
      <c r="H248" s="870"/>
      <c r="I248" s="870"/>
      <c r="J248" s="870"/>
      <c r="K248" s="870"/>
      <c r="L248" s="719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3.8">
      <c r="A249" s="1"/>
      <c r="B249" s="1"/>
      <c r="C249" s="1"/>
      <c r="D249" s="1"/>
      <c r="E249" s="1"/>
      <c r="F249" s="1"/>
      <c r="G249" s="1"/>
      <c r="H249" s="870"/>
      <c r="I249" s="870"/>
      <c r="J249" s="870"/>
      <c r="K249" s="870"/>
      <c r="L249" s="719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5.6">
      <c r="A251" s="1"/>
      <c r="B251" s="1"/>
      <c r="C251" s="1"/>
      <c r="D251" s="1"/>
      <c r="E251" s="1"/>
      <c r="F251" s="1"/>
      <c r="G251" s="1"/>
      <c r="H251" s="1004" t="s">
        <v>1190</v>
      </c>
      <c r="I251" s="1004"/>
      <c r="J251" s="1004"/>
      <c r="K251" s="1004"/>
      <c r="L251" s="1004"/>
      <c r="M251" s="1004"/>
      <c r="N251" s="1004"/>
      <c r="O251" s="1004"/>
      <c r="P251" s="1004"/>
      <c r="Q251" s="1004"/>
      <c r="R251" s="1004"/>
      <c r="S251" s="1004"/>
      <c r="T251" s="1004"/>
      <c r="U251" s="1004"/>
      <c r="V251" s="1004"/>
      <c r="W251" s="1004"/>
      <c r="X251" s="1004"/>
      <c r="Y251" s="1"/>
      <c r="Z251" s="1"/>
      <c r="AA251" s="1"/>
    </row>
    <row r="252" spans="1:27" ht="13.8" thickBo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27" thickBot="1">
      <c r="A253" s="1"/>
      <c r="B253" s="1"/>
      <c r="C253" s="1"/>
      <c r="D253" s="1"/>
      <c r="E253" s="1"/>
      <c r="F253" s="1"/>
      <c r="G253" s="1"/>
      <c r="H253" s="1727" t="s">
        <v>87</v>
      </c>
      <c r="I253" s="1409"/>
      <c r="J253" s="1409"/>
      <c r="K253" s="1409"/>
      <c r="L253" s="1409"/>
      <c r="M253" s="1409"/>
      <c r="N253" s="1409"/>
      <c r="O253" s="1409"/>
      <c r="P253" s="1409"/>
      <c r="Q253" s="1409"/>
      <c r="R253" s="1409"/>
      <c r="S253" s="1409"/>
      <c r="T253" s="1409"/>
      <c r="U253" s="839" t="s">
        <v>1191</v>
      </c>
      <c r="V253" s="1092" t="s">
        <v>1194</v>
      </c>
      <c r="W253" s="1092"/>
      <c r="X253" s="1093"/>
      <c r="Y253" s="1"/>
      <c r="Z253" s="1"/>
      <c r="AA253" s="1"/>
    </row>
    <row r="254" spans="1:27" ht="13.8">
      <c r="A254" s="1"/>
      <c r="B254" s="1"/>
      <c r="C254" s="1"/>
      <c r="D254" s="1"/>
      <c r="E254" s="1"/>
      <c r="F254" s="1"/>
      <c r="G254" s="1"/>
      <c r="H254" s="1725" t="s">
        <v>1180</v>
      </c>
      <c r="I254" s="1726"/>
      <c r="J254" s="1726"/>
      <c r="K254" s="1726"/>
      <c r="L254" s="1726"/>
      <c r="M254" s="1726"/>
      <c r="N254" s="1726"/>
      <c r="O254" s="1726"/>
      <c r="P254" s="1726"/>
      <c r="Q254" s="1726"/>
      <c r="R254" s="1726"/>
      <c r="S254" s="1726"/>
      <c r="T254" s="1726"/>
      <c r="U254" s="873" t="s">
        <v>526</v>
      </c>
      <c r="V254" s="1655">
        <f>(206.72*KFC!$B$41+KFC!$C$41)</f>
        <v>206.72</v>
      </c>
      <c r="W254" s="1655"/>
      <c r="X254" s="1656"/>
      <c r="Y254" s="1"/>
      <c r="Z254" s="1"/>
      <c r="AA254" s="1"/>
    </row>
    <row r="255" spans="1:27" ht="13.8">
      <c r="A255" s="1"/>
      <c r="B255" s="1"/>
      <c r="C255" s="1"/>
      <c r="D255" s="1"/>
      <c r="E255" s="1"/>
      <c r="F255" s="1"/>
      <c r="G255" s="1"/>
      <c r="H255" s="1215" t="s">
        <v>1181</v>
      </c>
      <c r="I255" s="1003"/>
      <c r="J255" s="1003"/>
      <c r="K255" s="1003"/>
      <c r="L255" s="1003"/>
      <c r="M255" s="1003"/>
      <c r="N255" s="1003"/>
      <c r="O255" s="1003"/>
      <c r="P255" s="1003"/>
      <c r="Q255" s="1003"/>
      <c r="R255" s="1003"/>
      <c r="S255" s="1003"/>
      <c r="T255" s="1003"/>
      <c r="U255" s="869" t="s">
        <v>526</v>
      </c>
      <c r="V255" s="1293">
        <f>(226.92*KFC!$B$41+KFC!$C$41)</f>
        <v>226.92</v>
      </c>
      <c r="W255" s="1293"/>
      <c r="X255" s="1294"/>
      <c r="Y255" s="1"/>
      <c r="Z255" s="1"/>
      <c r="AA255" s="1"/>
    </row>
    <row r="256" spans="1:27" ht="13.8">
      <c r="A256" s="1"/>
      <c r="B256" s="1"/>
      <c r="C256" s="1"/>
      <c r="D256" s="1"/>
      <c r="E256" s="1"/>
      <c r="F256" s="1"/>
      <c r="G256" s="1"/>
      <c r="H256" s="1215" t="s">
        <v>1182</v>
      </c>
      <c r="I256" s="1003"/>
      <c r="J256" s="1003"/>
      <c r="K256" s="1003"/>
      <c r="L256" s="1003"/>
      <c r="M256" s="1003"/>
      <c r="N256" s="1003"/>
      <c r="O256" s="1003"/>
      <c r="P256" s="1003"/>
      <c r="Q256" s="1003"/>
      <c r="R256" s="1003"/>
      <c r="S256" s="1003"/>
      <c r="T256" s="1003"/>
      <c r="U256" s="869" t="s">
        <v>526</v>
      </c>
      <c r="V256" s="1293">
        <f>(624.88*KFC!$B$41+KFC!$C$41)</f>
        <v>624.88</v>
      </c>
      <c r="W256" s="1293"/>
      <c r="X256" s="1294"/>
      <c r="Y256" s="1"/>
      <c r="Z256" s="1"/>
      <c r="AA256" s="1"/>
    </row>
    <row r="257" spans="1:27" ht="13.8">
      <c r="A257" s="1"/>
      <c r="B257" s="1"/>
      <c r="C257" s="1"/>
      <c r="D257" s="1"/>
      <c r="E257" s="1"/>
      <c r="F257" s="1"/>
      <c r="G257" s="1"/>
      <c r="H257" s="1215" t="s">
        <v>1183</v>
      </c>
      <c r="I257" s="1003"/>
      <c r="J257" s="1003"/>
      <c r="K257" s="1003"/>
      <c r="L257" s="1003"/>
      <c r="M257" s="1003"/>
      <c r="N257" s="1003"/>
      <c r="O257" s="1003"/>
      <c r="P257" s="1003"/>
      <c r="Q257" s="1003"/>
      <c r="R257" s="1003"/>
      <c r="S257" s="1003"/>
      <c r="T257" s="1003"/>
      <c r="U257" s="869" t="s">
        <v>526</v>
      </c>
      <c r="V257" s="1293">
        <f>(687.38*KFC!$B$41+KFC!$C$41)</f>
        <v>687.38</v>
      </c>
      <c r="W257" s="1293"/>
      <c r="X257" s="1294"/>
      <c r="Y257" s="1"/>
      <c r="Z257" s="1"/>
      <c r="AA257" s="1"/>
    </row>
    <row r="258" spans="1:27" ht="13.8">
      <c r="A258" s="1"/>
      <c r="B258" s="1"/>
      <c r="C258" s="1"/>
      <c r="D258" s="1"/>
      <c r="E258" s="1"/>
      <c r="F258" s="1"/>
      <c r="G258" s="1"/>
      <c r="H258" s="1215" t="s">
        <v>1184</v>
      </c>
      <c r="I258" s="1003"/>
      <c r="J258" s="1003"/>
      <c r="K258" s="1003"/>
      <c r="L258" s="1003"/>
      <c r="M258" s="1003"/>
      <c r="N258" s="1003"/>
      <c r="O258" s="1003"/>
      <c r="P258" s="1003"/>
      <c r="Q258" s="1003"/>
      <c r="R258" s="1003"/>
      <c r="S258" s="1003"/>
      <c r="T258" s="1003"/>
      <c r="U258" s="869" t="s">
        <v>1192</v>
      </c>
      <c r="V258" s="1293">
        <f>(97.05*KFC!$B$41+KFC!$C$41)</f>
        <v>97.05</v>
      </c>
      <c r="W258" s="1293"/>
      <c r="X258" s="1294"/>
      <c r="Y258" s="1"/>
      <c r="Z258" s="1"/>
      <c r="AA258" s="1"/>
    </row>
    <row r="259" spans="1:27" ht="13.8">
      <c r="A259" s="1"/>
      <c r="B259" s="1"/>
      <c r="C259" s="1"/>
      <c r="D259" s="1"/>
      <c r="E259" s="1"/>
      <c r="F259" s="1"/>
      <c r="G259" s="1"/>
      <c r="H259" s="1215" t="s">
        <v>1185</v>
      </c>
      <c r="I259" s="1003"/>
      <c r="J259" s="1003"/>
      <c r="K259" s="1003"/>
      <c r="L259" s="1003"/>
      <c r="M259" s="1003"/>
      <c r="N259" s="1003"/>
      <c r="O259" s="1003"/>
      <c r="P259" s="1003"/>
      <c r="Q259" s="1003"/>
      <c r="R259" s="1003"/>
      <c r="S259" s="1003"/>
      <c r="T259" s="1003"/>
      <c r="U259" s="869" t="s">
        <v>1192</v>
      </c>
      <c r="V259" s="1293">
        <f>(125.45*KFC!$B$41+KFC!$C$41)</f>
        <v>125.45</v>
      </c>
      <c r="W259" s="1293"/>
      <c r="X259" s="1294"/>
      <c r="Y259" s="1"/>
      <c r="Z259" s="1"/>
      <c r="AA259" s="1"/>
    </row>
    <row r="260" spans="1:27" ht="13.8">
      <c r="A260" s="1"/>
      <c r="B260" s="1"/>
      <c r="C260" s="1"/>
      <c r="D260" s="1"/>
      <c r="E260" s="1"/>
      <c r="F260" s="1"/>
      <c r="G260" s="1"/>
      <c r="H260" s="1215" t="s">
        <v>1186</v>
      </c>
      <c r="I260" s="1003"/>
      <c r="J260" s="1003"/>
      <c r="K260" s="1003"/>
      <c r="L260" s="1003"/>
      <c r="M260" s="1003"/>
      <c r="N260" s="1003"/>
      <c r="O260" s="1003"/>
      <c r="P260" s="1003"/>
      <c r="Q260" s="1003"/>
      <c r="R260" s="1003"/>
      <c r="S260" s="1003"/>
      <c r="T260" s="1003"/>
      <c r="U260" s="869" t="s">
        <v>1192</v>
      </c>
      <c r="V260" s="1293">
        <f>(222.81*KFC!$B$41+KFC!$C$41)</f>
        <v>222.81</v>
      </c>
      <c r="W260" s="1293"/>
      <c r="X260" s="1294"/>
      <c r="Y260" s="1"/>
      <c r="Z260" s="1"/>
      <c r="AA260" s="1"/>
    </row>
    <row r="261" spans="1:27" ht="13.8">
      <c r="A261" s="1"/>
      <c r="B261" s="1"/>
      <c r="C261" s="1"/>
      <c r="D261" s="1"/>
      <c r="E261" s="1"/>
      <c r="F261" s="1"/>
      <c r="G261" s="1"/>
      <c r="H261" s="1215" t="s">
        <v>1187</v>
      </c>
      <c r="I261" s="1003"/>
      <c r="J261" s="1003"/>
      <c r="K261" s="1003"/>
      <c r="L261" s="1003"/>
      <c r="M261" s="1003"/>
      <c r="N261" s="1003"/>
      <c r="O261" s="1003"/>
      <c r="P261" s="1003"/>
      <c r="Q261" s="1003"/>
      <c r="R261" s="1003"/>
      <c r="S261" s="1003"/>
      <c r="T261" s="1003"/>
      <c r="U261" s="869" t="s">
        <v>526</v>
      </c>
      <c r="V261" s="1293">
        <f>(269.6*KFC!$B$41+KFC!$C$41)</f>
        <v>269.60000000000002</v>
      </c>
      <c r="W261" s="1293"/>
      <c r="X261" s="1294"/>
      <c r="Y261" s="1"/>
      <c r="Z261" s="1"/>
      <c r="AA261" s="1"/>
    </row>
    <row r="262" spans="1:27" ht="13.8">
      <c r="A262" s="1"/>
      <c r="B262" s="1"/>
      <c r="C262" s="1"/>
      <c r="D262" s="1"/>
      <c r="E262" s="1"/>
      <c r="F262" s="1"/>
      <c r="G262" s="1"/>
      <c r="H262" s="1215" t="s">
        <v>1193</v>
      </c>
      <c r="I262" s="1003"/>
      <c r="J262" s="1003"/>
      <c r="K262" s="1003"/>
      <c r="L262" s="1003"/>
      <c r="M262" s="1003"/>
      <c r="N262" s="1003"/>
      <c r="O262" s="1003"/>
      <c r="P262" s="1003"/>
      <c r="Q262" s="1003"/>
      <c r="R262" s="1003"/>
      <c r="S262" s="1003"/>
      <c r="T262" s="1003"/>
      <c r="U262" s="869" t="s">
        <v>526</v>
      </c>
      <c r="V262" s="1293">
        <f>(402.86*KFC!$B$41+KFC!$C$41)</f>
        <v>402.86</v>
      </c>
      <c r="W262" s="1293"/>
      <c r="X262" s="1294"/>
      <c r="Y262" s="1"/>
      <c r="Z262" s="1"/>
      <c r="AA262" s="1"/>
    </row>
    <row r="263" spans="1:27" ht="13.8">
      <c r="A263" s="1"/>
      <c r="B263" s="1"/>
      <c r="C263" s="1"/>
      <c r="D263" s="1"/>
      <c r="E263" s="1"/>
      <c r="F263" s="1"/>
      <c r="G263" s="1"/>
      <c r="H263" s="1215" t="s">
        <v>1188</v>
      </c>
      <c r="I263" s="1003"/>
      <c r="J263" s="1003"/>
      <c r="K263" s="1003"/>
      <c r="L263" s="1003"/>
      <c r="M263" s="1003"/>
      <c r="N263" s="1003"/>
      <c r="O263" s="1003"/>
      <c r="P263" s="1003"/>
      <c r="Q263" s="1003"/>
      <c r="R263" s="1003"/>
      <c r="S263" s="1003"/>
      <c r="T263" s="1003"/>
      <c r="U263" s="869" t="s">
        <v>526</v>
      </c>
      <c r="V263" s="1293">
        <f>(132.48*KFC!$B$41+KFC!$C$41)</f>
        <v>132.47999999999999</v>
      </c>
      <c r="W263" s="1293"/>
      <c r="X263" s="1294"/>
      <c r="Y263" s="1"/>
      <c r="Z263" s="1"/>
      <c r="AA263" s="1"/>
    </row>
    <row r="264" spans="1:27" ht="14.4" thickBot="1">
      <c r="A264" s="1"/>
      <c r="B264" s="1"/>
      <c r="C264" s="1"/>
      <c r="D264" s="1"/>
      <c r="E264" s="1"/>
      <c r="F264" s="1"/>
      <c r="G264" s="1"/>
      <c r="H264" s="1213" t="s">
        <v>1189</v>
      </c>
      <c r="I264" s="1214"/>
      <c r="J264" s="1214"/>
      <c r="K264" s="1214"/>
      <c r="L264" s="1214"/>
      <c r="M264" s="1214"/>
      <c r="N264" s="1214"/>
      <c r="O264" s="1214"/>
      <c r="P264" s="1214"/>
      <c r="Q264" s="1214"/>
      <c r="R264" s="1214"/>
      <c r="S264" s="1214"/>
      <c r="T264" s="1214"/>
      <c r="U264" s="872" t="s">
        <v>526</v>
      </c>
      <c r="V264" s="1295">
        <f>(121.32*KFC!$B$41+KFC!$C$41)</f>
        <v>121.32</v>
      </c>
      <c r="W264" s="1295"/>
      <c r="X264" s="1296"/>
      <c r="Y264" s="1"/>
      <c r="Z264" s="1"/>
      <c r="AA264" s="1"/>
    </row>
    <row r="265" spans="1:27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</row>
  </sheetData>
  <mergeCells count="227">
    <mergeCell ref="H240:J240"/>
    <mergeCell ref="K240:T240"/>
    <mergeCell ref="U240:X240"/>
    <mergeCell ref="U202:X202"/>
    <mergeCell ref="H201:X201"/>
    <mergeCell ref="H203:J204"/>
    <mergeCell ref="K203:T203"/>
    <mergeCell ref="H256:T256"/>
    <mergeCell ref="V256:X256"/>
    <mergeCell ref="K205:T205"/>
    <mergeCell ref="U205:X206"/>
    <mergeCell ref="K206:T206"/>
    <mergeCell ref="U203:X204"/>
    <mergeCell ref="K204:T204"/>
    <mergeCell ref="H205:J206"/>
    <mergeCell ref="H207:J208"/>
    <mergeCell ref="K207:T207"/>
    <mergeCell ref="U207:X208"/>
    <mergeCell ref="K208:T208"/>
    <mergeCell ref="H209:J210"/>
    <mergeCell ref="K209:T209"/>
    <mergeCell ref="U209:X209"/>
    <mergeCell ref="K210:T210"/>
    <mergeCell ref="H211:J212"/>
    <mergeCell ref="H257:T257"/>
    <mergeCell ref="V257:X257"/>
    <mergeCell ref="H251:X251"/>
    <mergeCell ref="H253:T253"/>
    <mergeCell ref="V253:X253"/>
    <mergeCell ref="H254:T254"/>
    <mergeCell ref="V254:X254"/>
    <mergeCell ref="H255:T255"/>
    <mergeCell ref="V255:X255"/>
    <mergeCell ref="H264:T264"/>
    <mergeCell ref="V264:X264"/>
    <mergeCell ref="H259:T259"/>
    <mergeCell ref="V259:X259"/>
    <mergeCell ref="H260:T260"/>
    <mergeCell ref="V260:X260"/>
    <mergeCell ref="H261:T261"/>
    <mergeCell ref="V261:X261"/>
    <mergeCell ref="H258:T258"/>
    <mergeCell ref="V258:X258"/>
    <mergeCell ref="H262:T262"/>
    <mergeCell ref="V262:X262"/>
    <mergeCell ref="H263:T263"/>
    <mergeCell ref="V263:X263"/>
    <mergeCell ref="A126:A161"/>
    <mergeCell ref="A48:A83"/>
    <mergeCell ref="C124:Z124"/>
    <mergeCell ref="A85:B86"/>
    <mergeCell ref="A87:A122"/>
    <mergeCell ref="A124:B125"/>
    <mergeCell ref="C85:Z85"/>
    <mergeCell ref="E6:Z6"/>
    <mergeCell ref="H191:J192"/>
    <mergeCell ref="K191:S191"/>
    <mergeCell ref="T191:U192"/>
    <mergeCell ref="T168:Z168"/>
    <mergeCell ref="T169:Z170"/>
    <mergeCell ref="A167:Z167"/>
    <mergeCell ref="N170:O170"/>
    <mergeCell ref="P170:Q170"/>
    <mergeCell ref="R177:S177"/>
    <mergeCell ref="H177:I177"/>
    <mergeCell ref="R176:S176"/>
    <mergeCell ref="T176:U176"/>
    <mergeCell ref="T177:U177"/>
    <mergeCell ref="H176:I176"/>
    <mergeCell ref="J176:K176"/>
    <mergeCell ref="R170:S170"/>
    <mergeCell ref="A2:Y2"/>
    <mergeCell ref="A46:B47"/>
    <mergeCell ref="A7:B8"/>
    <mergeCell ref="A4:Y4"/>
    <mergeCell ref="A9:A44"/>
    <mergeCell ref="C7:Z7"/>
    <mergeCell ref="C46:Z46"/>
    <mergeCell ref="A5:D5"/>
    <mergeCell ref="A6:D6"/>
    <mergeCell ref="E5:Z5"/>
    <mergeCell ref="A3:Y3"/>
    <mergeCell ref="N176:O176"/>
    <mergeCell ref="P176:Q176"/>
    <mergeCell ref="J170:K170"/>
    <mergeCell ref="A172:Z172"/>
    <mergeCell ref="H170:I170"/>
    <mergeCell ref="A174:Z174"/>
    <mergeCell ref="L170:M170"/>
    <mergeCell ref="L176:M176"/>
    <mergeCell ref="H175:U175"/>
    <mergeCell ref="A173:C173"/>
    <mergeCell ref="E173:I173"/>
    <mergeCell ref="K173:Q173"/>
    <mergeCell ref="J177:K177"/>
    <mergeCell ref="L177:M177"/>
    <mergeCell ref="N177:O177"/>
    <mergeCell ref="P177:Q177"/>
    <mergeCell ref="T179:U179"/>
    <mergeCell ref="T187:U188"/>
    <mergeCell ref="T195:U195"/>
    <mergeCell ref="H193:J194"/>
    <mergeCell ref="A178:Z178"/>
    <mergeCell ref="K183:S183"/>
    <mergeCell ref="K192:S192"/>
    <mergeCell ref="H180:J181"/>
    <mergeCell ref="H179:J179"/>
    <mergeCell ref="K179:S179"/>
    <mergeCell ref="T193:U194"/>
    <mergeCell ref="K194:S194"/>
    <mergeCell ref="H184:J185"/>
    <mergeCell ref="T186:U186"/>
    <mergeCell ref="K189:S189"/>
    <mergeCell ref="T189:U190"/>
    <mergeCell ref="H186:J186"/>
    <mergeCell ref="K181:S181"/>
    <mergeCell ref="T182:U183"/>
    <mergeCell ref="H182:J183"/>
    <mergeCell ref="K182:S182"/>
    <mergeCell ref="H187:J188"/>
    <mergeCell ref="K187:S187"/>
    <mergeCell ref="K190:S190"/>
    <mergeCell ref="K185:S185"/>
    <mergeCell ref="H189:J190"/>
    <mergeCell ref="K188:S188"/>
    <mergeCell ref="K186:S186"/>
    <mergeCell ref="K211:T211"/>
    <mergeCell ref="T197:U197"/>
    <mergeCell ref="H198:J198"/>
    <mergeCell ref="K198:S198"/>
    <mergeCell ref="T198:U198"/>
    <mergeCell ref="H197:J197"/>
    <mergeCell ref="H202:J202"/>
    <mergeCell ref="K202:T202"/>
    <mergeCell ref="K197:S197"/>
    <mergeCell ref="K184:S184"/>
    <mergeCell ref="T184:U185"/>
    <mergeCell ref="K193:S193"/>
    <mergeCell ref="H196:J196"/>
    <mergeCell ref="K196:S196"/>
    <mergeCell ref="T196:U196"/>
    <mergeCell ref="U211:X212"/>
    <mergeCell ref="K212:T212"/>
    <mergeCell ref="H213:J214"/>
    <mergeCell ref="K213:T213"/>
    <mergeCell ref="U213:X214"/>
    <mergeCell ref="K214:T214"/>
    <mergeCell ref="H215:J215"/>
    <mergeCell ref="K215:T215"/>
    <mergeCell ref="U215:X215"/>
    <mergeCell ref="H219:J219"/>
    <mergeCell ref="K219:T219"/>
    <mergeCell ref="U219:X219"/>
    <mergeCell ref="H220:J220"/>
    <mergeCell ref="K220:T220"/>
    <mergeCell ref="U220:X220"/>
    <mergeCell ref="H216:J216"/>
    <mergeCell ref="K216:T216"/>
    <mergeCell ref="U216:X216"/>
    <mergeCell ref="H217:J217"/>
    <mergeCell ref="K217:T217"/>
    <mergeCell ref="U217:X217"/>
    <mergeCell ref="H218:J218"/>
    <mergeCell ref="K218:T218"/>
    <mergeCell ref="U218:X218"/>
    <mergeCell ref="K225:T225"/>
    <mergeCell ref="U225:X226"/>
    <mergeCell ref="K226:T226"/>
    <mergeCell ref="H221:J222"/>
    <mergeCell ref="K221:T221"/>
    <mergeCell ref="U221:X222"/>
    <mergeCell ref="K222:T222"/>
    <mergeCell ref="K229:T229"/>
    <mergeCell ref="H225:J226"/>
    <mergeCell ref="H223:J224"/>
    <mergeCell ref="K223:T223"/>
    <mergeCell ref="U223:X224"/>
    <mergeCell ref="K224:T224"/>
    <mergeCell ref="U232:X232"/>
    <mergeCell ref="H227:J228"/>
    <mergeCell ref="K227:T227"/>
    <mergeCell ref="U227:X228"/>
    <mergeCell ref="K228:T228"/>
    <mergeCell ref="H229:J229"/>
    <mergeCell ref="U229:X229"/>
    <mergeCell ref="U230:X231"/>
    <mergeCell ref="K231:T231"/>
    <mergeCell ref="K230:T230"/>
    <mergeCell ref="H232:J232"/>
    <mergeCell ref="K232:T232"/>
    <mergeCell ref="H233:J233"/>
    <mergeCell ref="K233:T233"/>
    <mergeCell ref="U233:X233"/>
    <mergeCell ref="H234:J234"/>
    <mergeCell ref="K234:T234"/>
    <mergeCell ref="U234:X234"/>
    <mergeCell ref="U237:X237"/>
    <mergeCell ref="H238:J238"/>
    <mergeCell ref="K238:T238"/>
    <mergeCell ref="U238:X238"/>
    <mergeCell ref="H236:J236"/>
    <mergeCell ref="K236:T236"/>
    <mergeCell ref="U236:X236"/>
    <mergeCell ref="U239:X239"/>
    <mergeCell ref="U235:X235"/>
    <mergeCell ref="H241:J241"/>
    <mergeCell ref="K241:T241"/>
    <mergeCell ref="U241:X241"/>
    <mergeCell ref="H237:J237"/>
    <mergeCell ref="K237:T237"/>
    <mergeCell ref="H168:S168"/>
    <mergeCell ref="H169:I169"/>
    <mergeCell ref="J169:K169"/>
    <mergeCell ref="L169:M169"/>
    <mergeCell ref="N169:O169"/>
    <mergeCell ref="H239:J239"/>
    <mergeCell ref="K239:T239"/>
    <mergeCell ref="H235:J235"/>
    <mergeCell ref="K235:T235"/>
    <mergeCell ref="H230:J231"/>
    <mergeCell ref="R169:S169"/>
    <mergeCell ref="P169:Q169"/>
    <mergeCell ref="H195:J195"/>
    <mergeCell ref="K195:S195"/>
    <mergeCell ref="A171:Z171"/>
    <mergeCell ref="K180:S180"/>
    <mergeCell ref="T180:U181"/>
  </mergeCells>
  <phoneticPr fontId="7" type="noConversion"/>
  <hyperlinks>
    <hyperlink ref="E6" r:id="rId1" xr:uid="{08A8E942-F817-4828-A5FE-40CE044119B7}"/>
    <hyperlink ref="E5" r:id="rId2" xr:uid="{5ADD95B4-B84F-4DF2-AF0F-020D850A949D}"/>
    <hyperlink ref="K181" r:id="rId3" xr:uid="{95D362CB-AA07-403B-8005-A4D8C9DDA19F}"/>
    <hyperlink ref="K183" r:id="rId4" xr:uid="{DE45CC57-F0F7-46E7-9949-28BF6537AA76}"/>
    <hyperlink ref="K190" r:id="rId5" xr:uid="{7991B363-545F-4998-8A0F-13F5D5742E8E}"/>
    <hyperlink ref="K228" r:id="rId6" xr:uid="{240006BE-0E97-4C05-9FB8-3E211B41ED7A}"/>
    <hyperlink ref="K226" r:id="rId7" xr:uid="{AB99D3F6-3166-4753-9A84-7CE15F406057}"/>
    <hyperlink ref="K231" r:id="rId8" xr:uid="{381089EC-ADE7-4C2C-8C88-0CC342DC24CB}"/>
    <hyperlink ref="K224" r:id="rId9" xr:uid="{84D08938-AE50-4CA9-B429-FC38996BEDC3}"/>
    <hyperlink ref="K222" r:id="rId10" xr:uid="{4BF60D78-5FEF-4637-8EA3-E89F7D794B65}"/>
    <hyperlink ref="K185" r:id="rId11" xr:uid="{7EA5BFFC-B954-48CC-8C5B-5C3E4CA7CB66}"/>
    <hyperlink ref="K188" r:id="rId12" xr:uid="{9DE6C855-95CC-4907-AE1C-D2A8151C6C2D}"/>
    <hyperlink ref="K204" r:id="rId13" xr:uid="{DE95CB2C-2937-4005-B255-7B85F21FC290}"/>
    <hyperlink ref="K206" r:id="rId14" xr:uid="{B707F10D-D2D5-4C1B-8045-ED7C93F6B3A6}"/>
    <hyperlink ref="K208" r:id="rId15" xr:uid="{4700EA26-AAE8-495E-A5D8-5D43287229EE}"/>
    <hyperlink ref="K210" r:id="rId16" xr:uid="{99898F84-3CF9-4723-84D7-B3B7DD1E3B57}"/>
    <hyperlink ref="K212" r:id="rId17" xr:uid="{6DA465D8-236C-4CE1-A29E-1C6E3BB80171}"/>
    <hyperlink ref="K214" r:id="rId18" xr:uid="{B0D6978D-E7E6-40C3-8F0D-96D19826C55D}"/>
    <hyperlink ref="K192" r:id="rId19" xr:uid="{58EAD1CD-716E-4A35-879C-D108ABF79308}"/>
    <hyperlink ref="K194" r:id="rId20" xr:uid="{D00C059A-1636-40DB-B48D-5A05642EB42C}"/>
  </hyperlinks>
  <pageMargins left="0" right="0.23622047244094491" top="0" bottom="0" header="0" footer="0"/>
  <pageSetup paperSize="9" scale="70" fitToHeight="2" orientation="landscape" r:id="rId21"/>
  <headerFooter alignWithMargins="0"/>
  <rowBreaks count="5" manualBreakCount="5">
    <brk id="45" max="25" man="1"/>
    <brk id="84" max="25" man="1"/>
    <brk id="123" max="25" man="1"/>
    <brk id="173" max="25" man="1"/>
    <brk id="200" max="25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9166BE-A692-4099-AD6F-40BC477115C4}">
  <sheetPr>
    <tabColor rgb="FF92D050"/>
  </sheetPr>
  <dimension ref="A1:BA140"/>
  <sheetViews>
    <sheetView view="pageBreakPreview" zoomScale="90" zoomScaleNormal="100" zoomScaleSheetLayoutView="90" workbookViewId="0">
      <selection sqref="A1:IV4"/>
    </sheetView>
  </sheetViews>
  <sheetFormatPr defaultRowHeight="13.2"/>
  <cols>
    <col min="18" max="31" width="0" hidden="1" customWidth="1"/>
  </cols>
  <sheetData>
    <row r="1" spans="1:31">
      <c r="A1" s="650"/>
      <c r="B1" s="650"/>
      <c r="C1" s="650"/>
      <c r="D1" s="670"/>
      <c r="E1" s="653"/>
      <c r="F1" s="670"/>
      <c r="G1" s="670"/>
      <c r="H1" s="670"/>
      <c r="I1" s="462"/>
      <c r="J1" s="462"/>
      <c r="K1" s="462"/>
      <c r="L1" s="652"/>
      <c r="M1" s="652"/>
      <c r="N1" s="462"/>
      <c r="O1" s="462"/>
      <c r="P1" s="462"/>
    </row>
    <row r="2" spans="1:31" ht="15.6" customHeight="1">
      <c r="A2" s="1222" t="s">
        <v>1125</v>
      </c>
      <c r="B2" s="1222"/>
      <c r="C2" s="1222"/>
      <c r="D2" s="1222"/>
      <c r="E2" s="1222"/>
      <c r="F2" s="1222"/>
      <c r="G2" s="1222"/>
      <c r="H2" s="1222"/>
      <c r="I2" s="1222"/>
      <c r="J2" s="1222"/>
      <c r="K2" s="1222"/>
      <c r="L2" s="1222"/>
      <c r="M2" s="1222"/>
      <c r="N2" s="1222"/>
      <c r="O2" s="1222"/>
      <c r="P2" s="1222"/>
      <c r="Q2" s="808"/>
      <c r="R2" s="808"/>
      <c r="S2" s="808"/>
    </row>
    <row r="3" spans="1:31" ht="13.2" customHeight="1">
      <c r="A3" s="1729" t="s">
        <v>761</v>
      </c>
      <c r="B3" s="1729"/>
      <c r="C3" s="1729"/>
      <c r="D3" s="1729"/>
      <c r="E3" s="1729"/>
      <c r="F3" s="1729"/>
      <c r="G3" s="1729"/>
      <c r="H3" s="1729"/>
      <c r="I3" s="1729"/>
      <c r="J3" s="1729"/>
      <c r="K3" s="1729"/>
      <c r="L3" s="1729"/>
      <c r="M3" s="1729"/>
      <c r="N3" s="1729"/>
      <c r="O3" s="1729"/>
      <c r="P3" s="1729"/>
      <c r="Q3" s="809"/>
      <c r="R3" s="809"/>
      <c r="S3" s="809"/>
    </row>
    <row r="4" spans="1:31">
      <c r="A4" s="1729" t="s">
        <v>1130</v>
      </c>
      <c r="B4" s="1729"/>
      <c r="C4" s="1729"/>
      <c r="D4" s="1729"/>
      <c r="E4" s="1729"/>
      <c r="F4" s="1729"/>
      <c r="G4" s="1729"/>
      <c r="H4" s="1729"/>
      <c r="I4" s="1729"/>
      <c r="J4" s="1729"/>
      <c r="K4" s="1729"/>
      <c r="L4" s="1729"/>
      <c r="M4" s="1729"/>
      <c r="N4" s="1729"/>
      <c r="O4" s="1729"/>
      <c r="P4" s="1729"/>
      <c r="Q4" s="810"/>
      <c r="R4" s="810"/>
      <c r="S4" s="810"/>
    </row>
    <row r="5" spans="1:31" ht="13.2" customHeight="1" thickBot="1">
      <c r="A5" s="1729" t="s">
        <v>1131</v>
      </c>
      <c r="B5" s="1729"/>
      <c r="C5" s="1729"/>
      <c r="D5" s="1729"/>
      <c r="E5" s="1729"/>
      <c r="F5" s="1729"/>
      <c r="G5" s="1729"/>
      <c r="H5" s="1729"/>
      <c r="I5" s="1729"/>
      <c r="J5" s="1729"/>
      <c r="K5" s="1729"/>
      <c r="L5" s="1729"/>
      <c r="M5" s="1729"/>
      <c r="N5" s="1729"/>
      <c r="O5" s="1729"/>
      <c r="P5" s="1729"/>
      <c r="Q5" s="809"/>
      <c r="R5" s="809"/>
      <c r="S5" s="809"/>
    </row>
    <row r="6" spans="1:31">
      <c r="A6" s="1089" t="s">
        <v>593</v>
      </c>
      <c r="B6" s="1089"/>
      <c r="C6" s="1089"/>
      <c r="D6" s="1089"/>
      <c r="E6" s="1406" t="s">
        <v>1139</v>
      </c>
      <c r="F6" s="1406"/>
      <c r="G6" s="1406"/>
      <c r="H6" s="1406"/>
      <c r="I6" s="1406"/>
      <c r="J6" s="1406"/>
      <c r="K6" s="1406"/>
      <c r="L6" s="1406"/>
      <c r="M6" s="1406"/>
      <c r="N6" s="1406"/>
      <c r="O6" s="1406"/>
      <c r="P6" s="1406"/>
      <c r="S6" s="782"/>
    </row>
    <row r="7" spans="1:31" ht="13.8" thickBot="1">
      <c r="A7" s="1896" t="s">
        <v>611</v>
      </c>
      <c r="B7" s="1896"/>
      <c r="C7" s="1896"/>
      <c r="D7" s="1896"/>
      <c r="E7" s="1406" t="s">
        <v>1140</v>
      </c>
      <c r="F7" s="1406"/>
      <c r="G7" s="1406"/>
      <c r="H7" s="1406"/>
      <c r="I7" s="1406"/>
      <c r="J7" s="1406"/>
      <c r="K7" s="1406"/>
      <c r="L7" s="1406"/>
      <c r="M7" s="1406"/>
      <c r="N7" s="1406"/>
      <c r="O7" s="1406"/>
      <c r="P7" s="1406"/>
    </row>
    <row r="8" spans="1:31" ht="13.8" thickBot="1">
      <c r="A8" s="1931" t="s">
        <v>314</v>
      </c>
      <c r="B8" s="1932"/>
      <c r="C8" s="1935" t="s">
        <v>207</v>
      </c>
      <c r="D8" s="1936"/>
      <c r="E8" s="1936"/>
      <c r="F8" s="1936"/>
      <c r="G8" s="1936"/>
      <c r="H8" s="1936"/>
      <c r="I8" s="1936"/>
      <c r="J8" s="1936"/>
      <c r="K8" s="1936"/>
      <c r="L8" s="1936"/>
      <c r="M8" s="1936"/>
      <c r="N8" s="1936"/>
      <c r="O8" s="1936"/>
      <c r="P8" s="1937"/>
    </row>
    <row r="9" spans="1:31" ht="13.8" thickBot="1">
      <c r="A9" s="1933"/>
      <c r="B9" s="1934"/>
      <c r="C9" s="778">
        <v>0.4</v>
      </c>
      <c r="D9" s="779">
        <v>0.5</v>
      </c>
      <c r="E9" s="779">
        <v>0.6</v>
      </c>
      <c r="F9" s="779">
        <v>0.7</v>
      </c>
      <c r="G9" s="779">
        <v>0.8</v>
      </c>
      <c r="H9" s="779">
        <v>0.9</v>
      </c>
      <c r="I9" s="779">
        <v>1</v>
      </c>
      <c r="J9" s="779">
        <v>1.1000000000000001</v>
      </c>
      <c r="K9" s="779">
        <v>1.2</v>
      </c>
      <c r="L9" s="779">
        <v>1.3</v>
      </c>
      <c r="M9" s="779">
        <v>1.4</v>
      </c>
      <c r="N9" s="779">
        <v>1.5</v>
      </c>
      <c r="O9" s="779">
        <v>1.6</v>
      </c>
      <c r="P9" s="780">
        <v>1.7</v>
      </c>
    </row>
    <row r="10" spans="1:31">
      <c r="A10" s="1928" t="s">
        <v>3</v>
      </c>
      <c r="B10" s="781">
        <v>0.5</v>
      </c>
      <c r="C10" s="784">
        <f>(R10*KFC!$B$34+KFC!$C$34)*KFC!$C$5</f>
        <v>45.276316694999991</v>
      </c>
      <c r="D10" s="784">
        <f>(S10*KFC!$B$34+KFC!$C$34)*KFC!$C$5</f>
        <v>48.337045501153838</v>
      </c>
      <c r="E10" s="784">
        <f>(T10*KFC!$B$34+KFC!$C$34)*KFC!$C$5</f>
        <v>51.397774307307678</v>
      </c>
      <c r="F10" s="784">
        <f>(U10*KFC!$B$34+KFC!$C$34)*KFC!$C$5</f>
        <v>54.458503113461525</v>
      </c>
      <c r="G10" s="784">
        <f>(V10*KFC!$B$34+KFC!$C$34)*KFC!$C$5</f>
        <v>57.519231919615365</v>
      </c>
      <c r="H10" s="784">
        <f>(W10*KFC!$B$34+KFC!$C$34)*KFC!$C$5</f>
        <v>60.579960725769205</v>
      </c>
      <c r="I10" s="784">
        <f>(X10*KFC!$B$34+KFC!$C$34)*KFC!$C$5</f>
        <v>63.640689531923051</v>
      </c>
      <c r="J10" s="784">
        <f>(Y10*KFC!$B$34+KFC!$C$34)*KFC!$C$5</f>
        <v>66.701418338076891</v>
      </c>
      <c r="K10" s="784">
        <f>(Z10*KFC!$B$34+KFC!$C$34)*KFC!$C$5</f>
        <v>69.762147144230738</v>
      </c>
      <c r="L10" s="784">
        <f>(AA10*KFC!$B$34+KFC!$C$34)*KFC!$C$5</f>
        <v>72.822875950384571</v>
      </c>
      <c r="M10" s="784">
        <f>(AB10*KFC!$B$34+KFC!$C$34)*KFC!$C$5</f>
        <v>75.883604756538418</v>
      </c>
      <c r="N10" s="784">
        <f>(AC10*KFC!$B$34+KFC!$C$34)*KFC!$C$5</f>
        <v>78.944333562692265</v>
      </c>
      <c r="O10" s="784">
        <f>(AD10*KFC!$B$34+KFC!$C$34)*KFC!$C$5</f>
        <v>82.005062368846112</v>
      </c>
      <c r="P10" s="785">
        <f>(AE10*KFC!$B$34+KFC!$C$34)*KFC!$C$5</f>
        <v>85.065791175000001</v>
      </c>
      <c r="R10" s="246">
        <v>45.276316694999991</v>
      </c>
      <c r="S10" s="192">
        <v>48.337045501153838</v>
      </c>
      <c r="T10" s="192">
        <v>51.397774307307678</v>
      </c>
      <c r="U10" s="192">
        <v>54.458503113461525</v>
      </c>
      <c r="V10" s="192">
        <v>57.519231919615365</v>
      </c>
      <c r="W10" s="192">
        <v>60.579960725769205</v>
      </c>
      <c r="X10" s="192">
        <v>63.640689531923051</v>
      </c>
      <c r="Y10" s="192">
        <v>66.701418338076891</v>
      </c>
      <c r="Z10" s="192">
        <v>69.762147144230738</v>
      </c>
      <c r="AA10" s="192">
        <v>72.822875950384571</v>
      </c>
      <c r="AB10" s="192">
        <v>75.883604756538418</v>
      </c>
      <c r="AC10" s="192">
        <v>78.944333562692265</v>
      </c>
      <c r="AD10" s="192">
        <v>82.005062368846112</v>
      </c>
      <c r="AE10" s="193">
        <v>85.065791175000001</v>
      </c>
    </row>
    <row r="11" spans="1:31">
      <c r="A11" s="1929"/>
      <c r="B11" s="783">
        <v>0.6</v>
      </c>
      <c r="C11" s="784">
        <f>(R11*KFC!$B$34+KFC!$C$34)*KFC!$C$5</f>
        <v>45.58235958611111</v>
      </c>
      <c r="D11" s="784">
        <f>(S11*KFC!$B$34+KFC!$C$34)*KFC!$C$5</f>
        <v>48.719524141282051</v>
      </c>
      <c r="E11" s="784">
        <f>(T11*KFC!$B$34+KFC!$C$34)*KFC!$C$5</f>
        <v>51.856688696452998</v>
      </c>
      <c r="F11" s="784">
        <f>(U11*KFC!$B$34+KFC!$C$34)*KFC!$C$5</f>
        <v>54.993853251623939</v>
      </c>
      <c r="G11" s="784">
        <f>(V11*KFC!$B$34+KFC!$C$34)*KFC!$C$5</f>
        <v>58.131017806794887</v>
      </c>
      <c r="H11" s="784">
        <f>(W11*KFC!$B$34+KFC!$C$34)*KFC!$C$5</f>
        <v>61.268182361965827</v>
      </c>
      <c r="I11" s="784">
        <f>(X11*KFC!$B$34+KFC!$C$34)*KFC!$C$5</f>
        <v>64.405346917136782</v>
      </c>
      <c r="J11" s="784">
        <f>(Y11*KFC!$B$34+KFC!$C$34)*KFC!$C$5</f>
        <v>67.542511472307723</v>
      </c>
      <c r="K11" s="784">
        <f>(Z11*KFC!$B$34+KFC!$C$34)*KFC!$C$5</f>
        <v>70.679676027478664</v>
      </c>
      <c r="L11" s="784">
        <f>(AA11*KFC!$B$34+KFC!$C$34)*KFC!$C$5</f>
        <v>73.816840582649604</v>
      </c>
      <c r="M11" s="784">
        <f>(AB11*KFC!$B$34+KFC!$C$34)*KFC!$C$5</f>
        <v>76.954005137820559</v>
      </c>
      <c r="N11" s="784">
        <f>(AC11*KFC!$B$34+KFC!$C$34)*KFC!$C$5</f>
        <v>80.0911696929915</v>
      </c>
      <c r="O11" s="784">
        <f>(AD11*KFC!$B$34+KFC!$C$34)*KFC!$C$5</f>
        <v>83.22833424816244</v>
      </c>
      <c r="P11" s="785">
        <f>(AE11*KFC!$B$34+KFC!$C$34)*KFC!$C$5</f>
        <v>86.365498803333338</v>
      </c>
      <c r="R11" s="247">
        <v>45.58235958611111</v>
      </c>
      <c r="S11" s="194">
        <v>48.719524141282051</v>
      </c>
      <c r="T11" s="194">
        <v>51.856688696452998</v>
      </c>
      <c r="U11" s="194">
        <v>54.993853251623939</v>
      </c>
      <c r="V11" s="194">
        <v>58.131017806794887</v>
      </c>
      <c r="W11" s="194">
        <v>61.268182361965827</v>
      </c>
      <c r="X11" s="194">
        <v>64.405346917136782</v>
      </c>
      <c r="Y11" s="194">
        <v>67.542511472307723</v>
      </c>
      <c r="Z11" s="194">
        <v>70.679676027478664</v>
      </c>
      <c r="AA11" s="194">
        <v>73.816840582649604</v>
      </c>
      <c r="AB11" s="194">
        <v>76.954005137820559</v>
      </c>
      <c r="AC11" s="194">
        <v>80.0911696929915</v>
      </c>
      <c r="AD11" s="194">
        <v>83.22833424816244</v>
      </c>
      <c r="AE11" s="195">
        <v>86.365498803333338</v>
      </c>
    </row>
    <row r="12" spans="1:31">
      <c r="A12" s="1929"/>
      <c r="B12" s="783">
        <v>0.7</v>
      </c>
      <c r="C12" s="784">
        <f>(R12*KFC!$B$34+KFC!$C$34)*KFC!$C$5</f>
        <v>45.888402477222222</v>
      </c>
      <c r="D12" s="784">
        <f>(S12*KFC!$B$34+KFC!$C$34)*KFC!$C$5</f>
        <v>49.102002781410263</v>
      </c>
      <c r="E12" s="784">
        <f>(T12*KFC!$B$34+KFC!$C$34)*KFC!$C$5</f>
        <v>52.315603085598298</v>
      </c>
      <c r="F12" s="784">
        <f>(U12*KFC!$B$34+KFC!$C$34)*KFC!$C$5</f>
        <v>55.529203389786332</v>
      </c>
      <c r="G12" s="784">
        <f>(V12*KFC!$B$34+KFC!$C$34)*KFC!$C$5</f>
        <v>58.742803693974373</v>
      </c>
      <c r="H12" s="784">
        <f>(W12*KFC!$B$34+KFC!$C$34)*KFC!$C$5</f>
        <v>61.956403998162408</v>
      </c>
      <c r="I12" s="784">
        <f>(X12*KFC!$B$34+KFC!$C$34)*KFC!$C$5</f>
        <v>65.170004302350449</v>
      </c>
      <c r="J12" s="784">
        <f>(Y12*KFC!$B$34+KFC!$C$34)*KFC!$C$5</f>
        <v>68.383604606538483</v>
      </c>
      <c r="K12" s="784">
        <f>(Z12*KFC!$B$34+KFC!$C$34)*KFC!$C$5</f>
        <v>71.597204910726518</v>
      </c>
      <c r="L12" s="784">
        <f>(AA12*KFC!$B$34+KFC!$C$34)*KFC!$C$5</f>
        <v>74.810805214914552</v>
      </c>
      <c r="M12" s="784">
        <f>(AB12*KFC!$B$34+KFC!$C$34)*KFC!$C$5</f>
        <v>78.024405519102586</v>
      </c>
      <c r="N12" s="784">
        <f>(AC12*KFC!$B$34+KFC!$C$34)*KFC!$C$5</f>
        <v>81.238005823290635</v>
      </c>
      <c r="O12" s="784">
        <f>(AD12*KFC!$B$34+KFC!$C$34)*KFC!$C$5</f>
        <v>84.451606127478669</v>
      </c>
      <c r="P12" s="785">
        <f>(AE12*KFC!$B$34+KFC!$C$34)*KFC!$C$5</f>
        <v>87.665206431666675</v>
      </c>
      <c r="R12" s="247">
        <v>45.888402477222222</v>
      </c>
      <c r="S12" s="194">
        <v>49.102002781410263</v>
      </c>
      <c r="T12" s="194">
        <v>52.315603085598298</v>
      </c>
      <c r="U12" s="194">
        <v>55.529203389786332</v>
      </c>
      <c r="V12" s="194">
        <v>58.742803693974373</v>
      </c>
      <c r="W12" s="194">
        <v>61.956403998162408</v>
      </c>
      <c r="X12" s="194">
        <v>65.170004302350449</v>
      </c>
      <c r="Y12" s="194">
        <v>68.383604606538483</v>
      </c>
      <c r="Z12" s="194">
        <v>71.597204910726518</v>
      </c>
      <c r="AA12" s="194">
        <v>74.810805214914552</v>
      </c>
      <c r="AB12" s="194">
        <v>78.024405519102586</v>
      </c>
      <c r="AC12" s="194">
        <v>81.238005823290635</v>
      </c>
      <c r="AD12" s="194">
        <v>84.451606127478669</v>
      </c>
      <c r="AE12" s="195">
        <v>87.665206431666675</v>
      </c>
    </row>
    <row r="13" spans="1:31">
      <c r="A13" s="1929"/>
      <c r="B13" s="783">
        <v>0.8</v>
      </c>
      <c r="C13" s="784">
        <f>(R13*KFC!$B$34+KFC!$C$34)*KFC!$C$5</f>
        <v>46.194445368333341</v>
      </c>
      <c r="D13" s="784">
        <f>(S13*KFC!$B$34+KFC!$C$34)*KFC!$C$5</f>
        <v>49.484481421538469</v>
      </c>
      <c r="E13" s="784">
        <f>(T13*KFC!$B$34+KFC!$C$34)*KFC!$C$5</f>
        <v>52.774517474743597</v>
      </c>
      <c r="F13" s="784">
        <f>(U13*KFC!$B$34+KFC!$C$34)*KFC!$C$5</f>
        <v>56.064553527948725</v>
      </c>
      <c r="G13" s="784">
        <f>(V13*KFC!$B$34+KFC!$C$34)*KFC!$C$5</f>
        <v>59.35458958115386</v>
      </c>
      <c r="H13" s="784">
        <f>(W13*KFC!$B$34+KFC!$C$34)*KFC!$C$5</f>
        <v>62.644625634358988</v>
      </c>
      <c r="I13" s="784">
        <f>(X13*KFC!$B$34+KFC!$C$34)*KFC!$C$5</f>
        <v>65.934661687564116</v>
      </c>
      <c r="J13" s="784">
        <f>(Y13*KFC!$B$34+KFC!$C$34)*KFC!$C$5</f>
        <v>69.224697740769244</v>
      </c>
      <c r="K13" s="784">
        <f>(Z13*KFC!$B$34+KFC!$C$34)*KFC!$C$5</f>
        <v>72.514733793974372</v>
      </c>
      <c r="L13" s="784">
        <f>(AA13*KFC!$B$34+KFC!$C$34)*KFC!$C$5</f>
        <v>75.8047698471795</v>
      </c>
      <c r="M13" s="784">
        <f>(AB13*KFC!$B$34+KFC!$C$34)*KFC!$C$5</f>
        <v>79.094805900384628</v>
      </c>
      <c r="N13" s="784">
        <f>(AC13*KFC!$B$34+KFC!$C$34)*KFC!$C$5</f>
        <v>82.384841953589756</v>
      </c>
      <c r="O13" s="784">
        <f>(AD13*KFC!$B$34+KFC!$C$34)*KFC!$C$5</f>
        <v>85.674878006794884</v>
      </c>
      <c r="P13" s="785">
        <f>(AE13*KFC!$B$34+KFC!$C$34)*KFC!$C$5</f>
        <v>88.964914060000012</v>
      </c>
      <c r="R13" s="247">
        <v>46.194445368333341</v>
      </c>
      <c r="S13" s="194">
        <v>49.484481421538469</v>
      </c>
      <c r="T13" s="194">
        <v>52.774517474743597</v>
      </c>
      <c r="U13" s="194">
        <v>56.064553527948725</v>
      </c>
      <c r="V13" s="194">
        <v>59.35458958115386</v>
      </c>
      <c r="W13" s="194">
        <v>62.644625634358988</v>
      </c>
      <c r="X13" s="194">
        <v>65.934661687564116</v>
      </c>
      <c r="Y13" s="194">
        <v>69.224697740769244</v>
      </c>
      <c r="Z13" s="194">
        <v>72.514733793974372</v>
      </c>
      <c r="AA13" s="194">
        <v>75.8047698471795</v>
      </c>
      <c r="AB13" s="194">
        <v>79.094805900384628</v>
      </c>
      <c r="AC13" s="194">
        <v>82.384841953589756</v>
      </c>
      <c r="AD13" s="194">
        <v>85.674878006794884</v>
      </c>
      <c r="AE13" s="195">
        <v>88.964914060000012</v>
      </c>
    </row>
    <row r="14" spans="1:31">
      <c r="A14" s="1929"/>
      <c r="B14" s="783">
        <v>0.9</v>
      </c>
      <c r="C14" s="784">
        <f>(R14*KFC!$B$34+KFC!$C$34)*KFC!$C$5</f>
        <v>46.500488259444452</v>
      </c>
      <c r="D14" s="784">
        <f>(S14*KFC!$B$34+KFC!$C$34)*KFC!$C$5</f>
        <v>49.866960061666674</v>
      </c>
      <c r="E14" s="784">
        <f>(T14*KFC!$B$34+KFC!$C$34)*KFC!$C$5</f>
        <v>53.233431863888896</v>
      </c>
      <c r="F14" s="784">
        <f>(U14*KFC!$B$34+KFC!$C$34)*KFC!$C$5</f>
        <v>56.599903666111118</v>
      </c>
      <c r="G14" s="784">
        <f>(V14*KFC!$B$34+KFC!$C$34)*KFC!$C$5</f>
        <v>59.966375468333339</v>
      </c>
      <c r="H14" s="784">
        <f>(W14*KFC!$B$34+KFC!$C$34)*KFC!$C$5</f>
        <v>63.332847270555561</v>
      </c>
      <c r="I14" s="784">
        <f>(X14*KFC!$B$34+KFC!$C$34)*KFC!$C$5</f>
        <v>66.699319072777783</v>
      </c>
      <c r="J14" s="784">
        <f>(Y14*KFC!$B$34+KFC!$C$34)*KFC!$C$5</f>
        <v>70.065790875000005</v>
      </c>
      <c r="K14" s="784">
        <f>(Z14*KFC!$B$34+KFC!$C$34)*KFC!$C$5</f>
        <v>73.432262677222226</v>
      </c>
      <c r="L14" s="784">
        <f>(AA14*KFC!$B$34+KFC!$C$34)*KFC!$C$5</f>
        <v>76.798734479444448</v>
      </c>
      <c r="M14" s="784">
        <f>(AB14*KFC!$B$34+KFC!$C$34)*KFC!$C$5</f>
        <v>80.16520628166667</v>
      </c>
      <c r="N14" s="784">
        <f>(AC14*KFC!$B$34+KFC!$C$34)*KFC!$C$5</f>
        <v>83.531678083888892</v>
      </c>
      <c r="O14" s="784">
        <f>(AD14*KFC!$B$34+KFC!$C$34)*KFC!$C$5</f>
        <v>86.898149886111113</v>
      </c>
      <c r="P14" s="785">
        <f>(AE14*KFC!$B$34+KFC!$C$34)*KFC!$C$5</f>
        <v>90.264621688333349</v>
      </c>
      <c r="R14" s="247">
        <v>46.500488259444452</v>
      </c>
      <c r="S14" s="194">
        <v>49.866960061666674</v>
      </c>
      <c r="T14" s="194">
        <v>53.233431863888896</v>
      </c>
      <c r="U14" s="194">
        <v>56.599903666111118</v>
      </c>
      <c r="V14" s="194">
        <v>59.966375468333339</v>
      </c>
      <c r="W14" s="194">
        <v>63.332847270555561</v>
      </c>
      <c r="X14" s="194">
        <v>66.699319072777783</v>
      </c>
      <c r="Y14" s="194">
        <v>70.065790875000005</v>
      </c>
      <c r="Z14" s="194">
        <v>73.432262677222226</v>
      </c>
      <c r="AA14" s="194">
        <v>76.798734479444448</v>
      </c>
      <c r="AB14" s="194">
        <v>80.16520628166667</v>
      </c>
      <c r="AC14" s="194">
        <v>83.531678083888892</v>
      </c>
      <c r="AD14" s="194">
        <v>86.898149886111113</v>
      </c>
      <c r="AE14" s="195">
        <v>90.264621688333349</v>
      </c>
    </row>
    <row r="15" spans="1:31">
      <c r="A15" s="1929"/>
      <c r="B15" s="783">
        <v>1</v>
      </c>
      <c r="C15" s="784">
        <f>(R15*KFC!$B$34+KFC!$C$34)*KFC!$C$5</f>
        <v>46.806531150555571</v>
      </c>
      <c r="D15" s="784">
        <f>(S15*KFC!$B$34+KFC!$C$34)*KFC!$C$5</f>
        <v>50.249438701794887</v>
      </c>
      <c r="E15" s="784">
        <f>(T15*KFC!$B$34+KFC!$C$34)*KFC!$C$5</f>
        <v>53.692346253034195</v>
      </c>
      <c r="F15" s="784">
        <f>(U15*KFC!$B$34+KFC!$C$34)*KFC!$C$5</f>
        <v>57.135253804273511</v>
      </c>
      <c r="G15" s="784">
        <f>(V15*KFC!$B$34+KFC!$C$34)*KFC!$C$5</f>
        <v>60.578161355512826</v>
      </c>
      <c r="H15" s="784">
        <f>(W15*KFC!$B$34+KFC!$C$34)*KFC!$C$5</f>
        <v>64.021068906752134</v>
      </c>
      <c r="I15" s="784">
        <f>(X15*KFC!$B$34+KFC!$C$34)*KFC!$C$5</f>
        <v>67.46397645799145</v>
      </c>
      <c r="J15" s="784">
        <f>(Y15*KFC!$B$34+KFC!$C$34)*KFC!$C$5</f>
        <v>70.906884009230765</v>
      </c>
      <c r="K15" s="784">
        <f>(Z15*KFC!$B$34+KFC!$C$34)*KFC!$C$5</f>
        <v>74.349791560470081</v>
      </c>
      <c r="L15" s="784">
        <f>(AA15*KFC!$B$34+KFC!$C$34)*KFC!$C$5</f>
        <v>77.792699111709396</v>
      </c>
      <c r="M15" s="784">
        <f>(AB15*KFC!$B$34+KFC!$C$34)*KFC!$C$5</f>
        <v>81.235606662948712</v>
      </c>
      <c r="N15" s="784">
        <f>(AC15*KFC!$B$34+KFC!$C$34)*KFC!$C$5</f>
        <v>84.678514214188041</v>
      </c>
      <c r="O15" s="784">
        <f>(AD15*KFC!$B$34+KFC!$C$34)*KFC!$C$5</f>
        <v>88.121421765427357</v>
      </c>
      <c r="P15" s="785">
        <f>(AE15*KFC!$B$34+KFC!$C$34)*KFC!$C$5</f>
        <v>91.564329316666687</v>
      </c>
      <c r="R15" s="247">
        <v>46.806531150555571</v>
      </c>
      <c r="S15" s="194">
        <v>50.249438701794887</v>
      </c>
      <c r="T15" s="194">
        <v>53.692346253034195</v>
      </c>
      <c r="U15" s="194">
        <v>57.135253804273511</v>
      </c>
      <c r="V15" s="194">
        <v>60.578161355512826</v>
      </c>
      <c r="W15" s="194">
        <v>64.021068906752134</v>
      </c>
      <c r="X15" s="194">
        <v>67.46397645799145</v>
      </c>
      <c r="Y15" s="194">
        <v>70.906884009230765</v>
      </c>
      <c r="Z15" s="194">
        <v>74.349791560470081</v>
      </c>
      <c r="AA15" s="194">
        <v>77.792699111709396</v>
      </c>
      <c r="AB15" s="194">
        <v>81.235606662948712</v>
      </c>
      <c r="AC15" s="194">
        <v>84.678514214188041</v>
      </c>
      <c r="AD15" s="194">
        <v>88.121421765427357</v>
      </c>
      <c r="AE15" s="195">
        <v>91.564329316666687</v>
      </c>
    </row>
    <row r="16" spans="1:31">
      <c r="A16" s="1929"/>
      <c r="B16" s="783">
        <v>1.1000000000000001</v>
      </c>
      <c r="C16" s="784">
        <f>(R16*KFC!$B$34+KFC!$C$34)*KFC!$C$5</f>
        <v>47.112574041666683</v>
      </c>
      <c r="D16" s="784">
        <f>(S16*KFC!$B$34+KFC!$C$34)*KFC!$C$5</f>
        <v>50.631917341923092</v>
      </c>
      <c r="E16" s="784">
        <f>(T16*KFC!$B$34+KFC!$C$34)*KFC!$C$5</f>
        <v>54.151260642179501</v>
      </c>
      <c r="F16" s="784">
        <f>(U16*KFC!$B$34+KFC!$C$34)*KFC!$C$5</f>
        <v>57.670603942435903</v>
      </c>
      <c r="G16" s="784">
        <f>(V16*KFC!$B$34+KFC!$C$34)*KFC!$C$5</f>
        <v>61.189947242692313</v>
      </c>
      <c r="H16" s="784">
        <f>(W16*KFC!$B$34+KFC!$C$34)*KFC!$C$5</f>
        <v>64.709290542948722</v>
      </c>
      <c r="I16" s="784">
        <f>(X16*KFC!$B$34+KFC!$C$34)*KFC!$C$5</f>
        <v>68.228633843205131</v>
      </c>
      <c r="J16" s="784">
        <f>(Y16*KFC!$B$34+KFC!$C$34)*KFC!$C$5</f>
        <v>71.747977143461526</v>
      </c>
      <c r="K16" s="784">
        <f>(Z16*KFC!$B$34+KFC!$C$34)*KFC!$C$5</f>
        <v>75.267320443717935</v>
      </c>
      <c r="L16" s="784">
        <f>(AA16*KFC!$B$34+KFC!$C$34)*KFC!$C$5</f>
        <v>78.786663743974344</v>
      </c>
      <c r="M16" s="784">
        <f>(AB16*KFC!$B$34+KFC!$C$34)*KFC!$C$5</f>
        <v>82.306007044230753</v>
      </c>
      <c r="N16" s="784">
        <f>(AC16*KFC!$B$34+KFC!$C$34)*KFC!$C$5</f>
        <v>85.825350344487163</v>
      </c>
      <c r="O16" s="784">
        <f>(AD16*KFC!$B$34+KFC!$C$34)*KFC!$C$5</f>
        <v>89.344693644743586</v>
      </c>
      <c r="P16" s="785">
        <f>(AE16*KFC!$B$34+KFC!$C$34)*KFC!$C$5</f>
        <v>92.864036945000024</v>
      </c>
      <c r="R16" s="247">
        <v>47.112574041666683</v>
      </c>
      <c r="S16" s="194">
        <v>50.631917341923092</v>
      </c>
      <c r="T16" s="194">
        <v>54.151260642179501</v>
      </c>
      <c r="U16" s="194">
        <v>57.670603942435903</v>
      </c>
      <c r="V16" s="194">
        <v>61.189947242692313</v>
      </c>
      <c r="W16" s="194">
        <v>64.709290542948722</v>
      </c>
      <c r="X16" s="194">
        <v>68.228633843205131</v>
      </c>
      <c r="Y16" s="194">
        <v>71.747977143461526</v>
      </c>
      <c r="Z16" s="194">
        <v>75.267320443717935</v>
      </c>
      <c r="AA16" s="194">
        <v>78.786663743974344</v>
      </c>
      <c r="AB16" s="194">
        <v>82.306007044230753</v>
      </c>
      <c r="AC16" s="194">
        <v>85.825350344487163</v>
      </c>
      <c r="AD16" s="194">
        <v>89.344693644743586</v>
      </c>
      <c r="AE16" s="195">
        <v>92.864036945000024</v>
      </c>
    </row>
    <row r="17" spans="1:31">
      <c r="A17" s="1929"/>
      <c r="B17" s="783">
        <v>1.2</v>
      </c>
      <c r="C17" s="784">
        <f>(R17*KFC!$B$34+KFC!$C$34)*KFC!$C$5</f>
        <v>47.418616932777802</v>
      </c>
      <c r="D17" s="784">
        <f>(S17*KFC!$B$34+KFC!$C$34)*KFC!$C$5</f>
        <v>51.014395982051312</v>
      </c>
      <c r="E17" s="784">
        <f>(T17*KFC!$B$34+KFC!$C$34)*KFC!$C$5</f>
        <v>54.610175031324815</v>
      </c>
      <c r="F17" s="784">
        <f>(U17*KFC!$B$34+KFC!$C$34)*KFC!$C$5</f>
        <v>58.205954080598325</v>
      </c>
      <c r="G17" s="784">
        <f>(V17*KFC!$B$34+KFC!$C$34)*KFC!$C$5</f>
        <v>61.801733129871835</v>
      </c>
      <c r="H17" s="784">
        <f>(W17*KFC!$B$34+KFC!$C$34)*KFC!$C$5</f>
        <v>65.397512179145338</v>
      </c>
      <c r="I17" s="784">
        <f>(X17*KFC!$B$34+KFC!$C$34)*KFC!$C$5</f>
        <v>68.993291228418855</v>
      </c>
      <c r="J17" s="784">
        <f>(Y17*KFC!$B$34+KFC!$C$34)*KFC!$C$5</f>
        <v>72.589070277692358</v>
      </c>
      <c r="K17" s="784">
        <f>(Z17*KFC!$B$34+KFC!$C$34)*KFC!$C$5</f>
        <v>76.18484932696586</v>
      </c>
      <c r="L17" s="784">
        <f>(AA17*KFC!$B$34+KFC!$C$34)*KFC!$C$5</f>
        <v>79.780628376239378</v>
      </c>
      <c r="M17" s="784">
        <f>(AB17*KFC!$B$34+KFC!$C$34)*KFC!$C$5</f>
        <v>83.37640742551288</v>
      </c>
      <c r="N17" s="784">
        <f>(AC17*KFC!$B$34+KFC!$C$34)*KFC!$C$5</f>
        <v>86.972186474786398</v>
      </c>
      <c r="O17" s="784">
        <f>(AD17*KFC!$B$34+KFC!$C$34)*KFC!$C$5</f>
        <v>90.5679655240599</v>
      </c>
      <c r="P17" s="785">
        <f>(AE17*KFC!$B$34+KFC!$C$34)*KFC!$C$5</f>
        <v>94.163744573333346</v>
      </c>
      <c r="R17" s="247">
        <v>47.418616932777802</v>
      </c>
      <c r="S17" s="194">
        <v>51.014395982051312</v>
      </c>
      <c r="T17" s="194">
        <v>54.610175031324815</v>
      </c>
      <c r="U17" s="194">
        <v>58.205954080598325</v>
      </c>
      <c r="V17" s="194">
        <v>61.801733129871835</v>
      </c>
      <c r="W17" s="194">
        <v>65.397512179145338</v>
      </c>
      <c r="X17" s="194">
        <v>68.993291228418855</v>
      </c>
      <c r="Y17" s="194">
        <v>72.589070277692358</v>
      </c>
      <c r="Z17" s="194">
        <v>76.18484932696586</v>
      </c>
      <c r="AA17" s="194">
        <v>79.780628376239378</v>
      </c>
      <c r="AB17" s="194">
        <v>83.37640742551288</v>
      </c>
      <c r="AC17" s="194">
        <v>86.972186474786398</v>
      </c>
      <c r="AD17" s="194">
        <v>90.5679655240599</v>
      </c>
      <c r="AE17" s="195">
        <v>94.163744573333346</v>
      </c>
    </row>
    <row r="18" spans="1:31">
      <c r="A18" s="1929"/>
      <c r="B18" s="783">
        <v>1.3</v>
      </c>
      <c r="C18" s="784">
        <f>(R18*KFC!$B$34+KFC!$C$34)*KFC!$C$5</f>
        <v>47.724659823888913</v>
      </c>
      <c r="D18" s="784">
        <f>(S18*KFC!$B$34+KFC!$C$34)*KFC!$C$5</f>
        <v>51.396874622179517</v>
      </c>
      <c r="E18" s="784">
        <f>(T18*KFC!$B$34+KFC!$C$34)*KFC!$C$5</f>
        <v>55.069089420470121</v>
      </c>
      <c r="F18" s="784">
        <f>(U18*KFC!$B$34+KFC!$C$34)*KFC!$C$5</f>
        <v>58.741304218760718</v>
      </c>
      <c r="G18" s="784">
        <f>(V18*KFC!$B$34+KFC!$C$34)*KFC!$C$5</f>
        <v>62.413519017051321</v>
      </c>
      <c r="H18" s="784">
        <f>(W18*KFC!$B$34+KFC!$C$34)*KFC!$C$5</f>
        <v>66.085733815341925</v>
      </c>
      <c r="I18" s="784">
        <f>(X18*KFC!$B$34+KFC!$C$34)*KFC!$C$5</f>
        <v>69.757948613632522</v>
      </c>
      <c r="J18" s="784">
        <f>(Y18*KFC!$B$34+KFC!$C$34)*KFC!$C$5</f>
        <v>73.430163411923118</v>
      </c>
      <c r="K18" s="784">
        <f>(Z18*KFC!$B$34+KFC!$C$34)*KFC!$C$5</f>
        <v>77.102378210213715</v>
      </c>
      <c r="L18" s="784">
        <f>(AA18*KFC!$B$34+KFC!$C$34)*KFC!$C$5</f>
        <v>80.774593008504326</v>
      </c>
      <c r="M18" s="784">
        <f>(AB18*KFC!$B$34+KFC!$C$34)*KFC!$C$5</f>
        <v>84.446807806794922</v>
      </c>
      <c r="N18" s="784">
        <f>(AC18*KFC!$B$34+KFC!$C$34)*KFC!$C$5</f>
        <v>88.119022605085519</v>
      </c>
      <c r="O18" s="784">
        <f>(AD18*KFC!$B$34+KFC!$C$34)*KFC!$C$5</f>
        <v>91.79123740337613</v>
      </c>
      <c r="P18" s="785">
        <f>(AE18*KFC!$B$34+KFC!$C$34)*KFC!$C$5</f>
        <v>95.463452201666684</v>
      </c>
      <c r="R18" s="247">
        <v>47.724659823888913</v>
      </c>
      <c r="S18" s="194">
        <v>51.396874622179517</v>
      </c>
      <c r="T18" s="194">
        <v>55.069089420470121</v>
      </c>
      <c r="U18" s="194">
        <v>58.741304218760718</v>
      </c>
      <c r="V18" s="194">
        <v>62.413519017051321</v>
      </c>
      <c r="W18" s="194">
        <v>66.085733815341925</v>
      </c>
      <c r="X18" s="194">
        <v>69.757948613632522</v>
      </c>
      <c r="Y18" s="194">
        <v>73.430163411923118</v>
      </c>
      <c r="Z18" s="194">
        <v>77.102378210213715</v>
      </c>
      <c r="AA18" s="194">
        <v>80.774593008504326</v>
      </c>
      <c r="AB18" s="194">
        <v>84.446807806794922</v>
      </c>
      <c r="AC18" s="194">
        <v>88.119022605085519</v>
      </c>
      <c r="AD18" s="194">
        <v>91.79123740337613</v>
      </c>
      <c r="AE18" s="195">
        <v>95.463452201666684</v>
      </c>
    </row>
    <row r="19" spans="1:31">
      <c r="A19" s="1929"/>
      <c r="B19" s="783">
        <v>1.4</v>
      </c>
      <c r="C19" s="784">
        <f>(R19*KFC!$B$34+KFC!$C$34)*KFC!$C$5</f>
        <v>48.030702715000032</v>
      </c>
      <c r="D19" s="784">
        <f>(S19*KFC!$B$34+KFC!$C$34)*KFC!$C$5</f>
        <v>51.779353262307723</v>
      </c>
      <c r="E19" s="784">
        <f>(T19*KFC!$B$34+KFC!$C$34)*KFC!$C$5</f>
        <v>55.52800380961542</v>
      </c>
      <c r="F19" s="784">
        <f>(U19*KFC!$B$34+KFC!$C$34)*KFC!$C$5</f>
        <v>59.27665435692311</v>
      </c>
      <c r="G19" s="784">
        <f>(V19*KFC!$B$34+KFC!$C$34)*KFC!$C$5</f>
        <v>63.025304904230801</v>
      </c>
      <c r="H19" s="784">
        <f>(W19*KFC!$B$34+KFC!$C$34)*KFC!$C$5</f>
        <v>66.773955451538498</v>
      </c>
      <c r="I19" s="784">
        <f>(X19*KFC!$B$34+KFC!$C$34)*KFC!$C$5</f>
        <v>70.522605998846188</v>
      </c>
      <c r="J19" s="784">
        <f>(Y19*KFC!$B$34+KFC!$C$34)*KFC!$C$5</f>
        <v>74.271256546153879</v>
      </c>
      <c r="K19" s="784">
        <f>(Z19*KFC!$B$34+KFC!$C$34)*KFC!$C$5</f>
        <v>78.019907093461569</v>
      </c>
      <c r="L19" s="784">
        <f>(AA19*KFC!$B$34+KFC!$C$34)*KFC!$C$5</f>
        <v>81.768557640769274</v>
      </c>
      <c r="M19" s="784">
        <f>(AB19*KFC!$B$34+KFC!$C$34)*KFC!$C$5</f>
        <v>85.517208188076964</v>
      </c>
      <c r="N19" s="784">
        <f>(AC19*KFC!$B$34+KFC!$C$34)*KFC!$C$5</f>
        <v>89.265858735384654</v>
      </c>
      <c r="O19" s="784">
        <f>(AD19*KFC!$B$34+KFC!$C$34)*KFC!$C$5</f>
        <v>93.014509282692345</v>
      </c>
      <c r="P19" s="785">
        <f>(AE19*KFC!$B$34+KFC!$C$34)*KFC!$C$5</f>
        <v>96.763159830000021</v>
      </c>
      <c r="R19" s="247">
        <v>48.030702715000032</v>
      </c>
      <c r="S19" s="194">
        <v>51.779353262307723</v>
      </c>
      <c r="T19" s="194">
        <v>55.52800380961542</v>
      </c>
      <c r="U19" s="194">
        <v>59.27665435692311</v>
      </c>
      <c r="V19" s="194">
        <v>63.025304904230801</v>
      </c>
      <c r="W19" s="194">
        <v>66.773955451538498</v>
      </c>
      <c r="X19" s="194">
        <v>70.522605998846188</v>
      </c>
      <c r="Y19" s="194">
        <v>74.271256546153879</v>
      </c>
      <c r="Z19" s="194">
        <v>78.019907093461569</v>
      </c>
      <c r="AA19" s="194">
        <v>81.768557640769274</v>
      </c>
      <c r="AB19" s="194">
        <v>85.517208188076964</v>
      </c>
      <c r="AC19" s="194">
        <v>89.265858735384654</v>
      </c>
      <c r="AD19" s="194">
        <v>93.014509282692345</v>
      </c>
      <c r="AE19" s="195">
        <v>96.763159830000021</v>
      </c>
    </row>
    <row r="20" spans="1:31">
      <c r="A20" s="1929"/>
      <c r="B20" s="783">
        <v>1.5</v>
      </c>
      <c r="C20" s="784">
        <f>(R20*KFC!$B$34+KFC!$C$34)*KFC!$C$5</f>
        <v>48.336745606111144</v>
      </c>
      <c r="D20" s="784">
        <f>(S20*KFC!$B$34+KFC!$C$34)*KFC!$C$5</f>
        <v>52.161831902435935</v>
      </c>
      <c r="E20" s="784">
        <f>(T20*KFC!$B$34+KFC!$C$34)*KFC!$C$5</f>
        <v>55.986918198760719</v>
      </c>
      <c r="F20" s="784">
        <f>(U20*KFC!$B$34+KFC!$C$34)*KFC!$C$5</f>
        <v>59.812004495085503</v>
      </c>
      <c r="G20" s="784">
        <f>(V20*KFC!$B$34+KFC!$C$34)*KFC!$C$5</f>
        <v>63.637090791410287</v>
      </c>
      <c r="H20" s="784">
        <f>(W20*KFC!$B$34+KFC!$C$34)*KFC!$C$5</f>
        <v>67.462177087735071</v>
      </c>
      <c r="I20" s="784">
        <f>(X20*KFC!$B$34+KFC!$C$34)*KFC!$C$5</f>
        <v>71.287263384059855</v>
      </c>
      <c r="J20" s="784">
        <f>(Y20*KFC!$B$34+KFC!$C$34)*KFC!$C$5</f>
        <v>75.112349680384639</v>
      </c>
      <c r="K20" s="784">
        <f>(Z20*KFC!$B$34+KFC!$C$34)*KFC!$C$5</f>
        <v>78.937435976709438</v>
      </c>
      <c r="L20" s="784">
        <f>(AA20*KFC!$B$34+KFC!$C$34)*KFC!$C$5</f>
        <v>82.762522273034222</v>
      </c>
      <c r="M20" s="784">
        <f>(AB20*KFC!$B$34+KFC!$C$34)*KFC!$C$5</f>
        <v>86.587608569359006</v>
      </c>
      <c r="N20" s="784">
        <f>(AC20*KFC!$B$34+KFC!$C$34)*KFC!$C$5</f>
        <v>90.41269486568379</v>
      </c>
      <c r="O20" s="784">
        <f>(AD20*KFC!$B$34+KFC!$C$34)*KFC!$C$5</f>
        <v>94.237781162008574</v>
      </c>
      <c r="P20" s="785">
        <f>(AE20*KFC!$B$34+KFC!$C$34)*KFC!$C$5</f>
        <v>98.062867458333358</v>
      </c>
      <c r="R20" s="247">
        <v>48.336745606111144</v>
      </c>
      <c r="S20" s="194">
        <v>52.161831902435935</v>
      </c>
      <c r="T20" s="194">
        <v>55.986918198760719</v>
      </c>
      <c r="U20" s="194">
        <v>59.812004495085503</v>
      </c>
      <c r="V20" s="194">
        <v>63.637090791410287</v>
      </c>
      <c r="W20" s="194">
        <v>67.462177087735071</v>
      </c>
      <c r="X20" s="194">
        <v>71.287263384059855</v>
      </c>
      <c r="Y20" s="194">
        <v>75.112349680384639</v>
      </c>
      <c r="Z20" s="194">
        <v>78.937435976709438</v>
      </c>
      <c r="AA20" s="194">
        <v>82.762522273034222</v>
      </c>
      <c r="AB20" s="194">
        <v>86.587608569359006</v>
      </c>
      <c r="AC20" s="194">
        <v>90.41269486568379</v>
      </c>
      <c r="AD20" s="194">
        <v>94.237781162008574</v>
      </c>
      <c r="AE20" s="195">
        <v>98.062867458333358</v>
      </c>
    </row>
    <row r="21" spans="1:31">
      <c r="A21" s="1929"/>
      <c r="B21" s="783">
        <v>1.6</v>
      </c>
      <c r="C21" s="784">
        <f>(R21*KFC!$B$34+KFC!$C$34)*KFC!$C$5</f>
        <v>48.642788497222263</v>
      </c>
      <c r="D21" s="784">
        <f>(S21*KFC!$B$34+KFC!$C$34)*KFC!$C$5</f>
        <v>52.544310542564141</v>
      </c>
      <c r="E21" s="784">
        <f>(T21*KFC!$B$34+KFC!$C$34)*KFC!$C$5</f>
        <v>56.445832587906018</v>
      </c>
      <c r="F21" s="784">
        <f>(U21*KFC!$B$34+KFC!$C$34)*KFC!$C$5</f>
        <v>60.347354633247896</v>
      </c>
      <c r="G21" s="784">
        <f>(V21*KFC!$B$34+KFC!$C$34)*KFC!$C$5</f>
        <v>64.248876678589767</v>
      </c>
      <c r="H21" s="784">
        <f>(W21*KFC!$B$34+KFC!$C$34)*KFC!$C$5</f>
        <v>68.150398723931659</v>
      </c>
      <c r="I21" s="784">
        <f>(X21*KFC!$B$34+KFC!$C$34)*KFC!$C$5</f>
        <v>72.051920769273536</v>
      </c>
      <c r="J21" s="784">
        <f>(Y21*KFC!$B$34+KFC!$C$34)*KFC!$C$5</f>
        <v>75.953442814615414</v>
      </c>
      <c r="K21" s="784">
        <f>(Z21*KFC!$B$34+KFC!$C$34)*KFC!$C$5</f>
        <v>79.854964859957292</v>
      </c>
      <c r="L21" s="784">
        <f>(AA21*KFC!$B$34+KFC!$C$34)*KFC!$C$5</f>
        <v>83.75648690529917</v>
      </c>
      <c r="M21" s="784">
        <f>(AB21*KFC!$B$34+KFC!$C$34)*KFC!$C$5</f>
        <v>87.658008950641047</v>
      </c>
      <c r="N21" s="784">
        <f>(AC21*KFC!$B$34+KFC!$C$34)*KFC!$C$5</f>
        <v>91.559530995982925</v>
      </c>
      <c r="O21" s="784">
        <f>(AD21*KFC!$B$34+KFC!$C$34)*KFC!$C$5</f>
        <v>95.461053041324803</v>
      </c>
      <c r="P21" s="785">
        <f>(AE21*KFC!$B$34+KFC!$C$34)*KFC!$C$5</f>
        <v>99.362575086666695</v>
      </c>
      <c r="R21" s="247">
        <v>48.642788497222263</v>
      </c>
      <c r="S21" s="194">
        <v>52.544310542564141</v>
      </c>
      <c r="T21" s="194">
        <v>56.445832587906018</v>
      </c>
      <c r="U21" s="194">
        <v>60.347354633247896</v>
      </c>
      <c r="V21" s="194">
        <v>64.248876678589767</v>
      </c>
      <c r="W21" s="194">
        <v>68.150398723931659</v>
      </c>
      <c r="X21" s="194">
        <v>72.051920769273536</v>
      </c>
      <c r="Y21" s="194">
        <v>75.953442814615414</v>
      </c>
      <c r="Z21" s="194">
        <v>79.854964859957292</v>
      </c>
      <c r="AA21" s="194">
        <v>83.75648690529917</v>
      </c>
      <c r="AB21" s="194">
        <v>87.658008950641047</v>
      </c>
      <c r="AC21" s="194">
        <v>91.559530995982925</v>
      </c>
      <c r="AD21" s="194">
        <v>95.461053041324803</v>
      </c>
      <c r="AE21" s="195">
        <v>99.362575086666695</v>
      </c>
    </row>
    <row r="22" spans="1:31">
      <c r="A22" s="1929"/>
      <c r="B22" s="783">
        <v>1.7</v>
      </c>
      <c r="C22" s="784">
        <f>(R22*KFC!$B$34+KFC!$C$34)*KFC!$C$5</f>
        <v>48.948831388333375</v>
      </c>
      <c r="D22" s="784">
        <f>(S22*KFC!$B$34+KFC!$C$34)*KFC!$C$5</f>
        <v>52.926789182692346</v>
      </c>
      <c r="E22" s="784">
        <f>(T22*KFC!$B$34+KFC!$C$34)*KFC!$C$5</f>
        <v>56.904746977051317</v>
      </c>
      <c r="F22" s="784">
        <f>(U22*KFC!$B$34+KFC!$C$34)*KFC!$C$5</f>
        <v>60.882704771410289</v>
      </c>
      <c r="G22" s="784">
        <f>(V22*KFC!$B$34+KFC!$C$34)*KFC!$C$5</f>
        <v>64.86066256576926</v>
      </c>
      <c r="H22" s="784">
        <f>(W22*KFC!$B$34+KFC!$C$34)*KFC!$C$5</f>
        <v>68.838620360128232</v>
      </c>
      <c r="I22" s="784">
        <f>(X22*KFC!$B$34+KFC!$C$34)*KFC!$C$5</f>
        <v>72.816578154487203</v>
      </c>
      <c r="J22" s="784">
        <f>(Y22*KFC!$B$34+KFC!$C$34)*KFC!$C$5</f>
        <v>76.794535948846175</v>
      </c>
      <c r="K22" s="784">
        <f>(Z22*KFC!$B$34+KFC!$C$34)*KFC!$C$5</f>
        <v>80.772493743205146</v>
      </c>
      <c r="L22" s="784">
        <f>(AA22*KFC!$B$34+KFC!$C$34)*KFC!$C$5</f>
        <v>84.750451537564103</v>
      </c>
      <c r="M22" s="784">
        <f>(AB22*KFC!$B$34+KFC!$C$34)*KFC!$C$5</f>
        <v>88.728409331923075</v>
      </c>
      <c r="N22" s="784">
        <f>(AC22*KFC!$B$34+KFC!$C$34)*KFC!$C$5</f>
        <v>92.706367126282046</v>
      </c>
      <c r="O22" s="784">
        <f>(AD22*KFC!$B$34+KFC!$C$34)*KFC!$C$5</f>
        <v>96.684324920641018</v>
      </c>
      <c r="P22" s="785">
        <f>(AE22*KFC!$B$34+KFC!$C$34)*KFC!$C$5</f>
        <v>100.66228271500003</v>
      </c>
      <c r="R22" s="247">
        <v>48.948831388333375</v>
      </c>
      <c r="S22" s="194">
        <v>52.926789182692346</v>
      </c>
      <c r="T22" s="194">
        <v>56.904746977051317</v>
      </c>
      <c r="U22" s="194">
        <v>60.882704771410289</v>
      </c>
      <c r="V22" s="194">
        <v>64.86066256576926</v>
      </c>
      <c r="W22" s="194">
        <v>68.838620360128232</v>
      </c>
      <c r="X22" s="194">
        <v>72.816578154487203</v>
      </c>
      <c r="Y22" s="194">
        <v>76.794535948846175</v>
      </c>
      <c r="Z22" s="194">
        <v>80.772493743205146</v>
      </c>
      <c r="AA22" s="194">
        <v>84.750451537564103</v>
      </c>
      <c r="AB22" s="194">
        <v>88.728409331923075</v>
      </c>
      <c r="AC22" s="194">
        <v>92.706367126282046</v>
      </c>
      <c r="AD22" s="194">
        <v>96.684324920641018</v>
      </c>
      <c r="AE22" s="195">
        <v>100.66228271500003</v>
      </c>
    </row>
    <row r="23" spans="1:31">
      <c r="A23" s="1929"/>
      <c r="B23" s="783">
        <v>1.8</v>
      </c>
      <c r="C23" s="784">
        <f>(R23*KFC!$B$34+KFC!$C$34)*KFC!$C$5</f>
        <v>49.254874279444493</v>
      </c>
      <c r="D23" s="784">
        <f>(S23*KFC!$B$34+KFC!$C$34)*KFC!$C$5</f>
        <v>53.309267822820559</v>
      </c>
      <c r="E23" s="784">
        <f>(T23*KFC!$B$34+KFC!$C$34)*KFC!$C$5</f>
        <v>57.363661366196617</v>
      </c>
      <c r="F23" s="784">
        <f>(U23*KFC!$B$34+KFC!$C$34)*KFC!$C$5</f>
        <v>61.418054909572682</v>
      </c>
      <c r="G23" s="784">
        <f>(V23*KFC!$B$34+KFC!$C$34)*KFC!$C$5</f>
        <v>65.47244845294874</v>
      </c>
      <c r="H23" s="784">
        <f>(W23*KFC!$B$34+KFC!$C$34)*KFC!$C$5</f>
        <v>69.526841996324805</v>
      </c>
      <c r="I23" s="784">
        <f>(X23*KFC!$B$34+KFC!$C$34)*KFC!$C$5</f>
        <v>73.58123553970087</v>
      </c>
      <c r="J23" s="784">
        <f>(Y23*KFC!$B$34+KFC!$C$34)*KFC!$C$5</f>
        <v>77.635629083076935</v>
      </c>
      <c r="K23" s="784">
        <f>(Z23*KFC!$B$34+KFC!$C$34)*KFC!$C$5</f>
        <v>81.690022626453</v>
      </c>
      <c r="L23" s="784">
        <f>(AA23*KFC!$B$34+KFC!$C$34)*KFC!$C$5</f>
        <v>85.744416169829051</v>
      </c>
      <c r="M23" s="784">
        <f>(AB23*KFC!$B$34+KFC!$C$34)*KFC!$C$5</f>
        <v>89.798809713205117</v>
      </c>
      <c r="N23" s="784">
        <f>(AC23*KFC!$B$34+KFC!$C$34)*KFC!$C$5</f>
        <v>93.853203256581182</v>
      </c>
      <c r="O23" s="784">
        <f>(AD23*KFC!$B$34+KFC!$C$34)*KFC!$C$5</f>
        <v>97.907596799957247</v>
      </c>
      <c r="P23" s="785">
        <f>(AE23*KFC!$B$34+KFC!$C$34)*KFC!$C$5</f>
        <v>101.96199034333337</v>
      </c>
      <c r="R23" s="247">
        <v>49.254874279444493</v>
      </c>
      <c r="S23" s="194">
        <v>53.309267822820559</v>
      </c>
      <c r="T23" s="194">
        <v>57.363661366196617</v>
      </c>
      <c r="U23" s="194">
        <v>61.418054909572682</v>
      </c>
      <c r="V23" s="194">
        <v>65.47244845294874</v>
      </c>
      <c r="W23" s="194">
        <v>69.526841996324805</v>
      </c>
      <c r="X23" s="194">
        <v>73.58123553970087</v>
      </c>
      <c r="Y23" s="194">
        <v>77.635629083076935</v>
      </c>
      <c r="Z23" s="194">
        <v>81.690022626453</v>
      </c>
      <c r="AA23" s="194">
        <v>85.744416169829051</v>
      </c>
      <c r="AB23" s="194">
        <v>89.798809713205117</v>
      </c>
      <c r="AC23" s="194">
        <v>93.853203256581182</v>
      </c>
      <c r="AD23" s="194">
        <v>97.907596799957247</v>
      </c>
      <c r="AE23" s="195">
        <v>101.96199034333337</v>
      </c>
    </row>
    <row r="24" spans="1:31">
      <c r="A24" s="1929"/>
      <c r="B24" s="783">
        <v>1.9</v>
      </c>
      <c r="C24" s="784">
        <f>(R24*KFC!$B$34+KFC!$C$34)*KFC!$C$5</f>
        <v>49.560917170555605</v>
      </c>
      <c r="D24" s="784">
        <f>(S24*KFC!$B$34+KFC!$C$34)*KFC!$C$5</f>
        <v>53.691746462948771</v>
      </c>
      <c r="E24" s="784">
        <f>(T24*KFC!$B$34+KFC!$C$34)*KFC!$C$5</f>
        <v>57.822575755341937</v>
      </c>
      <c r="F24" s="784">
        <f>(U24*KFC!$B$34+KFC!$C$34)*KFC!$C$5</f>
        <v>61.953405047735103</v>
      </c>
      <c r="G24" s="784">
        <f>(V24*KFC!$B$34+KFC!$C$34)*KFC!$C$5</f>
        <v>66.084234340128262</v>
      </c>
      <c r="H24" s="784">
        <f>(W24*KFC!$B$34+KFC!$C$34)*KFC!$C$5</f>
        <v>70.215063632521435</v>
      </c>
      <c r="I24" s="784">
        <f>(X24*KFC!$B$34+KFC!$C$34)*KFC!$C$5</f>
        <v>74.345892924914594</v>
      </c>
      <c r="J24" s="784">
        <f>(Y24*KFC!$B$34+KFC!$C$34)*KFC!$C$5</f>
        <v>78.476722217307753</v>
      </c>
      <c r="K24" s="784">
        <f>(Z24*KFC!$B$34+KFC!$C$34)*KFC!$C$5</f>
        <v>82.607551509700926</v>
      </c>
      <c r="L24" s="784">
        <f>(AA24*KFC!$B$34+KFC!$C$34)*KFC!$C$5</f>
        <v>86.738380802094085</v>
      </c>
      <c r="M24" s="784">
        <f>(AB24*KFC!$B$34+KFC!$C$34)*KFC!$C$5</f>
        <v>90.869210094487229</v>
      </c>
      <c r="N24" s="784">
        <f>(AC24*KFC!$B$34+KFC!$C$34)*KFC!$C$5</f>
        <v>95.000039386880388</v>
      </c>
      <c r="O24" s="784">
        <f>(AD24*KFC!$B$34+KFC!$C$34)*KFC!$C$5</f>
        <v>99.130868679273547</v>
      </c>
      <c r="P24" s="785">
        <f>(AE24*KFC!$B$34+KFC!$C$34)*KFC!$C$5</f>
        <v>103.26169797166671</v>
      </c>
      <c r="R24" s="247">
        <v>49.560917170555605</v>
      </c>
      <c r="S24" s="194">
        <v>53.691746462948771</v>
      </c>
      <c r="T24" s="194">
        <v>57.822575755341937</v>
      </c>
      <c r="U24" s="194">
        <v>61.953405047735103</v>
      </c>
      <c r="V24" s="194">
        <v>66.084234340128262</v>
      </c>
      <c r="W24" s="194">
        <v>70.215063632521435</v>
      </c>
      <c r="X24" s="194">
        <v>74.345892924914594</v>
      </c>
      <c r="Y24" s="194">
        <v>78.476722217307753</v>
      </c>
      <c r="Z24" s="194">
        <v>82.607551509700926</v>
      </c>
      <c r="AA24" s="194">
        <v>86.738380802094085</v>
      </c>
      <c r="AB24" s="194">
        <v>90.869210094487229</v>
      </c>
      <c r="AC24" s="194">
        <v>95.000039386880388</v>
      </c>
      <c r="AD24" s="194">
        <v>99.130868679273547</v>
      </c>
      <c r="AE24" s="195">
        <v>103.26169797166671</v>
      </c>
    </row>
    <row r="25" spans="1:31">
      <c r="A25" s="1929"/>
      <c r="B25" s="783">
        <v>2</v>
      </c>
      <c r="C25" s="784">
        <f>(R25*KFC!$B$34+KFC!$C$34)*KFC!$C$5</f>
        <v>49.866960061666724</v>
      </c>
      <c r="D25" s="784">
        <f>(S25*KFC!$B$34+KFC!$C$34)*KFC!$C$5</f>
        <v>54.074225103076984</v>
      </c>
      <c r="E25" s="784">
        <f>(T25*KFC!$B$34+KFC!$C$34)*KFC!$C$5</f>
        <v>58.281490144487236</v>
      </c>
      <c r="F25" s="784">
        <f>(U25*KFC!$B$34+KFC!$C$34)*KFC!$C$5</f>
        <v>62.488755185897496</v>
      </c>
      <c r="G25" s="784">
        <f>(V25*KFC!$B$34+KFC!$C$34)*KFC!$C$5</f>
        <v>66.696020227307756</v>
      </c>
      <c r="H25" s="784">
        <f>(W25*KFC!$B$34+KFC!$C$34)*KFC!$C$5</f>
        <v>70.903285268718008</v>
      </c>
      <c r="I25" s="784">
        <f>(X25*KFC!$B$34+KFC!$C$34)*KFC!$C$5</f>
        <v>75.110550310128261</v>
      </c>
      <c r="J25" s="784">
        <f>(Y25*KFC!$B$34+KFC!$C$34)*KFC!$C$5</f>
        <v>79.317815351538528</v>
      </c>
      <c r="K25" s="784">
        <f>(Z25*KFC!$B$34+KFC!$C$34)*KFC!$C$5</f>
        <v>83.52508039294878</v>
      </c>
      <c r="L25" s="784">
        <f>(AA25*KFC!$B$34+KFC!$C$34)*KFC!$C$5</f>
        <v>87.732345434359033</v>
      </c>
      <c r="M25" s="784">
        <f>(AB25*KFC!$B$34+KFC!$C$34)*KFC!$C$5</f>
        <v>91.939610475769271</v>
      </c>
      <c r="N25" s="784">
        <f>(AC25*KFC!$B$34+KFC!$C$34)*KFC!$C$5</f>
        <v>96.146875517179524</v>
      </c>
      <c r="O25" s="784">
        <f>(AD25*KFC!$B$34+KFC!$C$34)*KFC!$C$5</f>
        <v>100.35414055858978</v>
      </c>
      <c r="P25" s="785">
        <f>(AE25*KFC!$B$34+KFC!$C$34)*KFC!$C$5</f>
        <v>104.56140560000003</v>
      </c>
      <c r="R25" s="247">
        <v>49.866960061666724</v>
      </c>
      <c r="S25" s="194">
        <v>54.074225103076984</v>
      </c>
      <c r="T25" s="194">
        <v>58.281490144487236</v>
      </c>
      <c r="U25" s="194">
        <v>62.488755185897496</v>
      </c>
      <c r="V25" s="194">
        <v>66.696020227307756</v>
      </c>
      <c r="W25" s="194">
        <v>70.903285268718008</v>
      </c>
      <c r="X25" s="194">
        <v>75.110550310128261</v>
      </c>
      <c r="Y25" s="194">
        <v>79.317815351538528</v>
      </c>
      <c r="Z25" s="194">
        <v>83.52508039294878</v>
      </c>
      <c r="AA25" s="194">
        <v>87.732345434359033</v>
      </c>
      <c r="AB25" s="194">
        <v>91.939610475769271</v>
      </c>
      <c r="AC25" s="194">
        <v>96.146875517179524</v>
      </c>
      <c r="AD25" s="194">
        <v>100.35414055858978</v>
      </c>
      <c r="AE25" s="195">
        <v>104.56140560000003</v>
      </c>
    </row>
    <row r="26" spans="1:31">
      <c r="A26" s="1929"/>
      <c r="B26" s="783">
        <v>2.1</v>
      </c>
      <c r="C26" s="784">
        <f>(R26*KFC!$B$34+KFC!$C$34)*KFC!$C$5</f>
        <v>50.173002952777836</v>
      </c>
      <c r="D26" s="784">
        <f>(S26*KFC!$B$34+KFC!$C$34)*KFC!$C$5</f>
        <v>54.456703743205189</v>
      </c>
      <c r="E26" s="784">
        <f>(T26*KFC!$B$34+KFC!$C$34)*KFC!$C$5</f>
        <v>58.740404533632535</v>
      </c>
      <c r="F26" s="784">
        <f>(U26*KFC!$B$34+KFC!$C$34)*KFC!$C$5</f>
        <v>63.024105324059889</v>
      </c>
      <c r="G26" s="784">
        <f>(V26*KFC!$B$34+KFC!$C$34)*KFC!$C$5</f>
        <v>67.307806114487235</v>
      </c>
      <c r="H26" s="784">
        <f>(W26*KFC!$B$34+KFC!$C$34)*KFC!$C$5</f>
        <v>71.591506904914581</v>
      </c>
      <c r="I26" s="784">
        <f>(X26*KFC!$B$34+KFC!$C$34)*KFC!$C$5</f>
        <v>75.875207695341942</v>
      </c>
      <c r="J26" s="784">
        <f>(Y26*KFC!$B$34+KFC!$C$34)*KFC!$C$5</f>
        <v>80.158908485769288</v>
      </c>
      <c r="K26" s="784">
        <f>(Z26*KFC!$B$34+KFC!$C$34)*KFC!$C$5</f>
        <v>84.442609276196634</v>
      </c>
      <c r="L26" s="784">
        <f>(AA26*KFC!$B$34+KFC!$C$34)*KFC!$C$5</f>
        <v>88.726310066623967</v>
      </c>
      <c r="M26" s="784">
        <f>(AB26*KFC!$B$34+KFC!$C$34)*KFC!$C$5</f>
        <v>93.010010857051313</v>
      </c>
      <c r="N26" s="784">
        <f>(AC26*KFC!$B$34+KFC!$C$34)*KFC!$C$5</f>
        <v>97.293711647478659</v>
      </c>
      <c r="O26" s="784">
        <f>(AD26*KFC!$B$34+KFC!$C$34)*KFC!$C$5</f>
        <v>101.57741243790599</v>
      </c>
      <c r="P26" s="785">
        <f>(AE26*KFC!$B$34+KFC!$C$34)*KFC!$C$5</f>
        <v>105.86111322833337</v>
      </c>
      <c r="R26" s="247">
        <v>50.173002952777836</v>
      </c>
      <c r="S26" s="194">
        <v>54.456703743205189</v>
      </c>
      <c r="T26" s="194">
        <v>58.740404533632535</v>
      </c>
      <c r="U26" s="194">
        <v>63.024105324059889</v>
      </c>
      <c r="V26" s="194">
        <v>67.307806114487235</v>
      </c>
      <c r="W26" s="194">
        <v>71.591506904914581</v>
      </c>
      <c r="X26" s="194">
        <v>75.875207695341942</v>
      </c>
      <c r="Y26" s="194">
        <v>80.158908485769288</v>
      </c>
      <c r="Z26" s="194">
        <v>84.442609276196634</v>
      </c>
      <c r="AA26" s="194">
        <v>88.726310066623967</v>
      </c>
      <c r="AB26" s="194">
        <v>93.010010857051313</v>
      </c>
      <c r="AC26" s="194">
        <v>97.293711647478659</v>
      </c>
      <c r="AD26" s="194">
        <v>101.57741243790599</v>
      </c>
      <c r="AE26" s="195">
        <v>105.86111322833337</v>
      </c>
    </row>
    <row r="27" spans="1:31">
      <c r="A27" s="1929"/>
      <c r="B27" s="783">
        <v>2.2000000000000002</v>
      </c>
      <c r="C27" s="784">
        <f>(R27*KFC!$B$34+KFC!$C$34)*KFC!$C$5</f>
        <v>50.479045843888954</v>
      </c>
      <c r="D27" s="784">
        <f>(S27*KFC!$B$34+KFC!$C$34)*KFC!$C$5</f>
        <v>54.839182383333394</v>
      </c>
      <c r="E27" s="784">
        <f>(T27*KFC!$B$34+KFC!$C$34)*KFC!$C$5</f>
        <v>59.199318922777834</v>
      </c>
      <c r="F27" s="784">
        <f>(U27*KFC!$B$34+KFC!$C$34)*KFC!$C$5</f>
        <v>63.559455462222282</v>
      </c>
      <c r="G27" s="784">
        <f>(V27*KFC!$B$34+KFC!$C$34)*KFC!$C$5</f>
        <v>67.919592001666715</v>
      </c>
      <c r="H27" s="784">
        <f>(W27*KFC!$B$34+KFC!$C$34)*KFC!$C$5</f>
        <v>72.279728541111169</v>
      </c>
      <c r="I27" s="784">
        <f>(X27*KFC!$B$34+KFC!$C$34)*KFC!$C$5</f>
        <v>76.639865080555609</v>
      </c>
      <c r="J27" s="784">
        <f>(Y27*KFC!$B$34+KFC!$C$34)*KFC!$C$5</f>
        <v>81.000001620000049</v>
      </c>
      <c r="K27" s="784">
        <f>(Z27*KFC!$B$34+KFC!$C$34)*KFC!$C$5</f>
        <v>85.360138159444489</v>
      </c>
      <c r="L27" s="784">
        <f>(AA27*KFC!$B$34+KFC!$C$34)*KFC!$C$5</f>
        <v>89.720274698888943</v>
      </c>
      <c r="M27" s="784">
        <f>(AB27*KFC!$B$34+KFC!$C$34)*KFC!$C$5</f>
        <v>94.080411238333397</v>
      </c>
      <c r="N27" s="784">
        <f>(AC27*KFC!$B$34+KFC!$C$34)*KFC!$C$5</f>
        <v>98.440547777777837</v>
      </c>
      <c r="O27" s="784">
        <f>(AD27*KFC!$B$34+KFC!$C$34)*KFC!$C$5</f>
        <v>102.80068431722229</v>
      </c>
      <c r="P27" s="785">
        <f>(AE27*KFC!$B$34+KFC!$C$34)*KFC!$C$5</f>
        <v>107.1608208566667</v>
      </c>
      <c r="R27" s="247">
        <v>50.479045843888954</v>
      </c>
      <c r="S27" s="194">
        <v>54.839182383333394</v>
      </c>
      <c r="T27" s="194">
        <v>59.199318922777834</v>
      </c>
      <c r="U27" s="194">
        <v>63.559455462222282</v>
      </c>
      <c r="V27" s="194">
        <v>67.919592001666715</v>
      </c>
      <c r="W27" s="194">
        <v>72.279728541111169</v>
      </c>
      <c r="X27" s="194">
        <v>76.639865080555609</v>
      </c>
      <c r="Y27" s="194">
        <v>81.000001620000049</v>
      </c>
      <c r="Z27" s="194">
        <v>85.360138159444489</v>
      </c>
      <c r="AA27" s="194">
        <v>89.720274698888943</v>
      </c>
      <c r="AB27" s="194">
        <v>94.080411238333397</v>
      </c>
      <c r="AC27" s="194">
        <v>98.440547777777837</v>
      </c>
      <c r="AD27" s="194">
        <v>102.80068431722229</v>
      </c>
      <c r="AE27" s="195">
        <v>107.1608208566667</v>
      </c>
    </row>
    <row r="28" spans="1:31">
      <c r="A28" s="1929"/>
      <c r="B28" s="783">
        <v>2.2999999999999998</v>
      </c>
      <c r="C28" s="784">
        <f>(R28*KFC!$B$34+KFC!$C$34)*KFC!$C$5</f>
        <v>50.785088735000066</v>
      </c>
      <c r="D28" s="784">
        <f>(S28*KFC!$B$34+KFC!$C$34)*KFC!$C$5</f>
        <v>55.2216610234616</v>
      </c>
      <c r="E28" s="784">
        <f>(T28*KFC!$B$34+KFC!$C$34)*KFC!$C$5</f>
        <v>59.658233311923141</v>
      </c>
      <c r="F28" s="784">
        <f>(U28*KFC!$B$34+KFC!$C$34)*KFC!$C$5</f>
        <v>64.094805600384674</v>
      </c>
      <c r="G28" s="784">
        <f>(V28*KFC!$B$34+KFC!$C$34)*KFC!$C$5</f>
        <v>68.531377888846208</v>
      </c>
      <c r="H28" s="784">
        <f>(W28*KFC!$B$34+KFC!$C$34)*KFC!$C$5</f>
        <v>72.967950177307742</v>
      </c>
      <c r="I28" s="784">
        <f>(X28*KFC!$B$34+KFC!$C$34)*KFC!$C$5</f>
        <v>77.404522465769276</v>
      </c>
      <c r="J28" s="784">
        <f>(Y28*KFC!$B$34+KFC!$C$34)*KFC!$C$5</f>
        <v>81.841094754230809</v>
      </c>
      <c r="K28" s="784">
        <f>(Z28*KFC!$B$34+KFC!$C$34)*KFC!$C$5</f>
        <v>86.277667042692343</v>
      </c>
      <c r="L28" s="784">
        <f>(AA28*KFC!$B$34+KFC!$C$34)*KFC!$C$5</f>
        <v>90.714239331153891</v>
      </c>
      <c r="M28" s="784">
        <f>(AB28*KFC!$B$34+KFC!$C$34)*KFC!$C$5</f>
        <v>95.150811619615425</v>
      </c>
      <c r="N28" s="784">
        <f>(AC28*KFC!$B$34+KFC!$C$34)*KFC!$C$5</f>
        <v>99.587383908076973</v>
      </c>
      <c r="O28" s="784">
        <f>(AD28*KFC!$B$34+KFC!$C$34)*KFC!$C$5</f>
        <v>104.02395619653852</v>
      </c>
      <c r="P28" s="785">
        <f>(AE28*KFC!$B$34+KFC!$C$34)*KFC!$C$5</f>
        <v>108.46052848500004</v>
      </c>
      <c r="R28" s="247">
        <v>50.785088735000066</v>
      </c>
      <c r="S28" s="194">
        <v>55.2216610234616</v>
      </c>
      <c r="T28" s="194">
        <v>59.658233311923141</v>
      </c>
      <c r="U28" s="194">
        <v>64.094805600384674</v>
      </c>
      <c r="V28" s="194">
        <v>68.531377888846208</v>
      </c>
      <c r="W28" s="194">
        <v>72.967950177307742</v>
      </c>
      <c r="X28" s="194">
        <v>77.404522465769276</v>
      </c>
      <c r="Y28" s="194">
        <v>81.841094754230809</v>
      </c>
      <c r="Z28" s="194">
        <v>86.277667042692343</v>
      </c>
      <c r="AA28" s="194">
        <v>90.714239331153891</v>
      </c>
      <c r="AB28" s="194">
        <v>95.150811619615425</v>
      </c>
      <c r="AC28" s="194">
        <v>99.587383908076973</v>
      </c>
      <c r="AD28" s="194">
        <v>104.02395619653852</v>
      </c>
      <c r="AE28" s="195">
        <v>108.46052848500004</v>
      </c>
    </row>
    <row r="29" spans="1:31">
      <c r="A29" s="1929"/>
      <c r="B29" s="783">
        <v>2.4</v>
      </c>
      <c r="C29" s="784">
        <f>(R29*KFC!$B$34+KFC!$C$34)*KFC!$C$5</f>
        <v>51.091131626111185</v>
      </c>
      <c r="D29" s="784">
        <f>(S29*KFC!$B$34+KFC!$C$34)*KFC!$C$5</f>
        <v>55.604139663589812</v>
      </c>
      <c r="E29" s="784">
        <f>(T29*KFC!$B$34+KFC!$C$34)*KFC!$C$5</f>
        <v>60.11714770106844</v>
      </c>
      <c r="F29" s="784">
        <f>(U29*KFC!$B$34+KFC!$C$34)*KFC!$C$5</f>
        <v>64.63015573854706</v>
      </c>
      <c r="G29" s="784">
        <f>(V29*KFC!$B$34+KFC!$C$34)*KFC!$C$5</f>
        <v>69.143163776025688</v>
      </c>
      <c r="H29" s="784">
        <f>(W29*KFC!$B$34+KFC!$C$34)*KFC!$C$5</f>
        <v>73.656171813504315</v>
      </c>
      <c r="I29" s="784">
        <f>(X29*KFC!$B$34+KFC!$C$34)*KFC!$C$5</f>
        <v>78.169179850982943</v>
      </c>
      <c r="J29" s="784">
        <f>(Y29*KFC!$B$34+KFC!$C$34)*KFC!$C$5</f>
        <v>82.68218788846157</v>
      </c>
      <c r="K29" s="784">
        <f>(Z29*KFC!$B$34+KFC!$C$34)*KFC!$C$5</f>
        <v>87.195195925940197</v>
      </c>
      <c r="L29" s="784">
        <f>(AA29*KFC!$B$34+KFC!$C$34)*KFC!$C$5</f>
        <v>91.708203963418839</v>
      </c>
      <c r="M29" s="784">
        <f>(AB29*KFC!$B$34+KFC!$C$34)*KFC!$C$5</f>
        <v>96.221212000897467</v>
      </c>
      <c r="N29" s="784">
        <f>(AC29*KFC!$B$34+KFC!$C$34)*KFC!$C$5</f>
        <v>100.73422003837611</v>
      </c>
      <c r="O29" s="784">
        <f>(AD29*KFC!$B$34+KFC!$C$34)*KFC!$C$5</f>
        <v>105.24722807585474</v>
      </c>
      <c r="P29" s="785">
        <f>(AE29*KFC!$B$34+KFC!$C$34)*KFC!$C$5</f>
        <v>109.76023611333338</v>
      </c>
      <c r="R29" s="247">
        <v>51.091131626111185</v>
      </c>
      <c r="S29" s="194">
        <v>55.604139663589812</v>
      </c>
      <c r="T29" s="194">
        <v>60.11714770106844</v>
      </c>
      <c r="U29" s="194">
        <v>64.63015573854706</v>
      </c>
      <c r="V29" s="194">
        <v>69.143163776025688</v>
      </c>
      <c r="W29" s="194">
        <v>73.656171813504315</v>
      </c>
      <c r="X29" s="194">
        <v>78.169179850982943</v>
      </c>
      <c r="Y29" s="194">
        <v>82.68218788846157</v>
      </c>
      <c r="Z29" s="194">
        <v>87.195195925940197</v>
      </c>
      <c r="AA29" s="194">
        <v>91.708203963418839</v>
      </c>
      <c r="AB29" s="194">
        <v>96.221212000897467</v>
      </c>
      <c r="AC29" s="194">
        <v>100.73422003837611</v>
      </c>
      <c r="AD29" s="194">
        <v>105.24722807585474</v>
      </c>
      <c r="AE29" s="195">
        <v>109.76023611333338</v>
      </c>
    </row>
    <row r="30" spans="1:31">
      <c r="A30" s="1929"/>
      <c r="B30" s="783">
        <v>2.5</v>
      </c>
      <c r="C30" s="784">
        <f>(R30*KFC!$B$34+KFC!$C$34)*KFC!$C$5</f>
        <v>51.397174517222297</v>
      </c>
      <c r="D30" s="784">
        <f>(S30*KFC!$B$34+KFC!$C$34)*KFC!$C$5</f>
        <v>55.986618303718025</v>
      </c>
      <c r="E30" s="784">
        <f>(T30*KFC!$B$34+KFC!$C$34)*KFC!$C$5</f>
        <v>60.576062090213753</v>
      </c>
      <c r="F30" s="784">
        <f>(U30*KFC!$B$34+KFC!$C$34)*KFC!$C$5</f>
        <v>65.165505876709489</v>
      </c>
      <c r="G30" s="784">
        <f>(V30*KFC!$B$34+KFC!$C$34)*KFC!$C$5</f>
        <v>69.75494966320521</v>
      </c>
      <c r="H30" s="784">
        <f>(W30*KFC!$B$34+KFC!$C$34)*KFC!$C$5</f>
        <v>74.344393449700945</v>
      </c>
      <c r="I30" s="784">
        <f>(X30*KFC!$B$34+KFC!$C$34)*KFC!$C$5</f>
        <v>78.933837236196666</v>
      </c>
      <c r="J30" s="784">
        <f>(Y30*KFC!$B$34+KFC!$C$34)*KFC!$C$5</f>
        <v>83.523281022692402</v>
      </c>
      <c r="K30" s="784">
        <f>(Z30*KFC!$B$34+KFC!$C$34)*KFC!$C$5</f>
        <v>88.112724809188123</v>
      </c>
      <c r="L30" s="784">
        <f>(AA30*KFC!$B$34+KFC!$C$34)*KFC!$C$5</f>
        <v>92.702168595683858</v>
      </c>
      <c r="M30" s="784">
        <f>(AB30*KFC!$B$34+KFC!$C$34)*KFC!$C$5</f>
        <v>97.291612382179579</v>
      </c>
      <c r="N30" s="784">
        <f>(AC30*KFC!$B$34+KFC!$C$34)*KFC!$C$5</f>
        <v>101.88105616867531</v>
      </c>
      <c r="O30" s="784">
        <f>(AD30*KFC!$B$34+KFC!$C$34)*KFC!$C$5</f>
        <v>106.47049995517104</v>
      </c>
      <c r="P30" s="785">
        <f>(AE30*KFC!$B$34+KFC!$C$34)*KFC!$C$5</f>
        <v>111.05994374166671</v>
      </c>
      <c r="R30" s="247">
        <v>51.397174517222297</v>
      </c>
      <c r="S30" s="194">
        <v>55.986618303718025</v>
      </c>
      <c r="T30" s="194">
        <v>60.576062090213753</v>
      </c>
      <c r="U30" s="194">
        <v>65.165505876709489</v>
      </c>
      <c r="V30" s="194">
        <v>69.75494966320521</v>
      </c>
      <c r="W30" s="194">
        <v>74.344393449700945</v>
      </c>
      <c r="X30" s="194">
        <v>78.933837236196666</v>
      </c>
      <c r="Y30" s="194">
        <v>83.523281022692402</v>
      </c>
      <c r="Z30" s="194">
        <v>88.112724809188123</v>
      </c>
      <c r="AA30" s="194">
        <v>92.702168595683858</v>
      </c>
      <c r="AB30" s="194">
        <v>97.291612382179579</v>
      </c>
      <c r="AC30" s="194">
        <v>101.88105616867531</v>
      </c>
      <c r="AD30" s="194">
        <v>106.47049995517104</v>
      </c>
      <c r="AE30" s="195">
        <v>111.05994374166671</v>
      </c>
    </row>
    <row r="31" spans="1:31">
      <c r="A31" s="1929"/>
      <c r="B31" s="783">
        <v>2.6</v>
      </c>
      <c r="C31" s="784">
        <f>(R31*KFC!$B$34+KFC!$C$34)*KFC!$C$5</f>
        <v>51.703217408333416</v>
      </c>
      <c r="D31" s="784">
        <f>(S31*KFC!$B$34+KFC!$C$34)*KFC!$C$5</f>
        <v>56.369096943846237</v>
      </c>
      <c r="E31" s="784">
        <f>(T31*KFC!$B$34+KFC!$C$34)*KFC!$C$5</f>
        <v>61.034976479359059</v>
      </c>
      <c r="F31" s="784">
        <f>(U31*KFC!$B$34+KFC!$C$34)*KFC!$C$5</f>
        <v>65.700856014871874</v>
      </c>
      <c r="G31" s="784">
        <f>(V31*KFC!$B$34+KFC!$C$34)*KFC!$C$5</f>
        <v>70.366735550384703</v>
      </c>
      <c r="H31" s="784">
        <f>(W31*KFC!$B$34+KFC!$C$34)*KFC!$C$5</f>
        <v>75.032615085897518</v>
      </c>
      <c r="I31" s="784">
        <f>(X31*KFC!$B$34+KFC!$C$34)*KFC!$C$5</f>
        <v>79.698494621410333</v>
      </c>
      <c r="J31" s="784">
        <f>(Y31*KFC!$B$34+KFC!$C$34)*KFC!$C$5</f>
        <v>84.364374156923162</v>
      </c>
      <c r="K31" s="784">
        <f>(Z31*KFC!$B$34+KFC!$C$34)*KFC!$C$5</f>
        <v>89.030253692435977</v>
      </c>
      <c r="L31" s="784">
        <f>(AA31*KFC!$B$34+KFC!$C$34)*KFC!$C$5</f>
        <v>93.696133227948806</v>
      </c>
      <c r="M31" s="784">
        <f>(AB31*KFC!$B$34+KFC!$C$34)*KFC!$C$5</f>
        <v>98.362012763461621</v>
      </c>
      <c r="N31" s="784">
        <f>(AC31*KFC!$B$34+KFC!$C$34)*KFC!$C$5</f>
        <v>103.02789229897445</v>
      </c>
      <c r="O31" s="784">
        <f>(AD31*KFC!$B$34+KFC!$C$34)*KFC!$C$5</f>
        <v>107.69377183448726</v>
      </c>
      <c r="P31" s="785">
        <f>(AE31*KFC!$B$34+KFC!$C$34)*KFC!$C$5</f>
        <v>112.35965137000005</v>
      </c>
      <c r="R31" s="247">
        <v>51.703217408333416</v>
      </c>
      <c r="S31" s="194">
        <v>56.369096943846237</v>
      </c>
      <c r="T31" s="194">
        <v>61.034976479359059</v>
      </c>
      <c r="U31" s="194">
        <v>65.700856014871874</v>
      </c>
      <c r="V31" s="194">
        <v>70.366735550384703</v>
      </c>
      <c r="W31" s="194">
        <v>75.032615085897518</v>
      </c>
      <c r="X31" s="194">
        <v>79.698494621410333</v>
      </c>
      <c r="Y31" s="194">
        <v>84.364374156923162</v>
      </c>
      <c r="Z31" s="194">
        <v>89.030253692435977</v>
      </c>
      <c r="AA31" s="194">
        <v>93.696133227948806</v>
      </c>
      <c r="AB31" s="194">
        <v>98.362012763461621</v>
      </c>
      <c r="AC31" s="194">
        <v>103.02789229897445</v>
      </c>
      <c r="AD31" s="194">
        <v>107.69377183448726</v>
      </c>
      <c r="AE31" s="195">
        <v>112.35965137000005</v>
      </c>
    </row>
    <row r="32" spans="1:31">
      <c r="A32" s="1929"/>
      <c r="B32" s="783">
        <v>2.7</v>
      </c>
      <c r="C32" s="784">
        <f>(R32*KFC!$B$34+KFC!$C$34)*KFC!$C$5</f>
        <v>52.009260299444527</v>
      </c>
      <c r="D32" s="784">
        <f>(S32*KFC!$B$34+KFC!$C$34)*KFC!$C$5</f>
        <v>56.751575583974443</v>
      </c>
      <c r="E32" s="784">
        <f>(T32*KFC!$B$34+KFC!$C$34)*KFC!$C$5</f>
        <v>61.493890868504359</v>
      </c>
      <c r="F32" s="784">
        <f>(U32*KFC!$B$34+KFC!$C$34)*KFC!$C$5</f>
        <v>66.236206153034274</v>
      </c>
      <c r="G32" s="784">
        <f>(V32*KFC!$B$34+KFC!$C$34)*KFC!$C$5</f>
        <v>70.978521437564183</v>
      </c>
      <c r="H32" s="784">
        <f>(W32*KFC!$B$34+KFC!$C$34)*KFC!$C$5</f>
        <v>75.720836722094091</v>
      </c>
      <c r="I32" s="784">
        <f>(X32*KFC!$B$34+KFC!$C$34)*KFC!$C$5</f>
        <v>80.463152006624014</v>
      </c>
      <c r="J32" s="784">
        <f>(Y32*KFC!$B$34+KFC!$C$34)*KFC!$C$5</f>
        <v>85.205467291153923</v>
      </c>
      <c r="K32" s="784">
        <f>(Z32*KFC!$B$34+KFC!$C$34)*KFC!$C$5</f>
        <v>89.947782575683831</v>
      </c>
      <c r="L32" s="784">
        <f>(AA32*KFC!$B$34+KFC!$C$34)*KFC!$C$5</f>
        <v>94.690097860213754</v>
      </c>
      <c r="M32" s="784">
        <f>(AB32*KFC!$B$34+KFC!$C$34)*KFC!$C$5</f>
        <v>99.432413144743663</v>
      </c>
      <c r="N32" s="784">
        <f>(AC32*KFC!$B$34+KFC!$C$34)*KFC!$C$5</f>
        <v>104.17472842927357</v>
      </c>
      <c r="O32" s="784">
        <f>(AD32*KFC!$B$34+KFC!$C$34)*KFC!$C$5</f>
        <v>108.91704371380349</v>
      </c>
      <c r="P32" s="785">
        <f>(AE32*KFC!$B$34+KFC!$C$34)*KFC!$C$5</f>
        <v>113.65935899833339</v>
      </c>
      <c r="R32" s="247">
        <v>52.009260299444527</v>
      </c>
      <c r="S32" s="194">
        <v>56.751575583974443</v>
      </c>
      <c r="T32" s="194">
        <v>61.493890868504359</v>
      </c>
      <c r="U32" s="194">
        <v>66.236206153034274</v>
      </c>
      <c r="V32" s="194">
        <v>70.978521437564183</v>
      </c>
      <c r="W32" s="194">
        <v>75.720836722094091</v>
      </c>
      <c r="X32" s="194">
        <v>80.463152006624014</v>
      </c>
      <c r="Y32" s="194">
        <v>85.205467291153923</v>
      </c>
      <c r="Z32" s="194">
        <v>89.947782575683831</v>
      </c>
      <c r="AA32" s="194">
        <v>94.690097860213754</v>
      </c>
      <c r="AB32" s="194">
        <v>99.432413144743663</v>
      </c>
      <c r="AC32" s="194">
        <v>104.17472842927357</v>
      </c>
      <c r="AD32" s="194">
        <v>108.91704371380349</v>
      </c>
      <c r="AE32" s="195">
        <v>113.65935899833339</v>
      </c>
    </row>
    <row r="33" spans="1:31">
      <c r="A33" s="1929"/>
      <c r="B33" s="783">
        <v>2.8</v>
      </c>
      <c r="C33" s="784">
        <f>(R33*KFC!$B$34+KFC!$C$34)*KFC!$C$5</f>
        <v>52.315303190555646</v>
      </c>
      <c r="D33" s="784">
        <f>(S33*KFC!$B$34+KFC!$C$34)*KFC!$C$5</f>
        <v>57.134054224102648</v>
      </c>
      <c r="E33" s="784">
        <f>(T33*KFC!$B$34+KFC!$C$34)*KFC!$C$5</f>
        <v>61.952805257649658</v>
      </c>
      <c r="F33" s="784">
        <f>(U33*KFC!$B$34+KFC!$C$34)*KFC!$C$5</f>
        <v>66.77155629119666</v>
      </c>
      <c r="G33" s="784">
        <f>(V33*KFC!$B$34+KFC!$C$34)*KFC!$C$5</f>
        <v>71.590307324743662</v>
      </c>
      <c r="H33" s="784">
        <f>(W33*KFC!$B$34+KFC!$C$34)*KFC!$C$5</f>
        <v>76.409058358290679</v>
      </c>
      <c r="I33" s="784">
        <f>(X33*KFC!$B$34+KFC!$C$34)*KFC!$C$5</f>
        <v>81.227809391837681</v>
      </c>
      <c r="J33" s="784">
        <f>(Y33*KFC!$B$34+KFC!$C$34)*KFC!$C$5</f>
        <v>86.046560425384683</v>
      </c>
      <c r="K33" s="784">
        <f>(Z33*KFC!$B$34+KFC!$C$34)*KFC!$C$5</f>
        <v>90.865311458931686</v>
      </c>
      <c r="L33" s="784">
        <f>(AA33*KFC!$B$34+KFC!$C$34)*KFC!$C$5</f>
        <v>95.684062492478702</v>
      </c>
      <c r="M33" s="784">
        <f>(AB33*KFC!$B$34+KFC!$C$34)*KFC!$C$5</f>
        <v>100.5028135260257</v>
      </c>
      <c r="N33" s="784">
        <f>(AC33*KFC!$B$34+KFC!$C$34)*KFC!$C$5</f>
        <v>105.32156455957271</v>
      </c>
      <c r="O33" s="784">
        <f>(AD33*KFC!$B$34+KFC!$C$34)*KFC!$C$5</f>
        <v>110.14031559311971</v>
      </c>
      <c r="P33" s="785">
        <f>(AE33*KFC!$B$34+KFC!$C$34)*KFC!$C$5</f>
        <v>114.95906662666673</v>
      </c>
      <c r="R33" s="247">
        <v>52.315303190555646</v>
      </c>
      <c r="S33" s="194">
        <v>57.134054224102648</v>
      </c>
      <c r="T33" s="194">
        <v>61.952805257649658</v>
      </c>
      <c r="U33" s="194">
        <v>66.77155629119666</v>
      </c>
      <c r="V33" s="194">
        <v>71.590307324743662</v>
      </c>
      <c r="W33" s="194">
        <v>76.409058358290679</v>
      </c>
      <c r="X33" s="194">
        <v>81.227809391837681</v>
      </c>
      <c r="Y33" s="194">
        <v>86.046560425384683</v>
      </c>
      <c r="Z33" s="194">
        <v>90.865311458931686</v>
      </c>
      <c r="AA33" s="194">
        <v>95.684062492478702</v>
      </c>
      <c r="AB33" s="194">
        <v>100.5028135260257</v>
      </c>
      <c r="AC33" s="194">
        <v>105.32156455957271</v>
      </c>
      <c r="AD33" s="194">
        <v>110.14031559311971</v>
      </c>
      <c r="AE33" s="195">
        <v>114.95906662666673</v>
      </c>
    </row>
    <row r="34" spans="1:31">
      <c r="A34" s="1929"/>
      <c r="B34" s="783">
        <v>2.9</v>
      </c>
      <c r="C34" s="784">
        <f>(R34*KFC!$B$34+KFC!$C$34)*KFC!$C$5</f>
        <v>52.621346081666758</v>
      </c>
      <c r="D34" s="784">
        <f>(S34*KFC!$B$34+KFC!$C$34)*KFC!$C$5</f>
        <v>57.516532864230861</v>
      </c>
      <c r="E34" s="784">
        <f>(T34*KFC!$B$34+KFC!$C$34)*KFC!$C$5</f>
        <v>62.411719646794957</v>
      </c>
      <c r="F34" s="784">
        <f>(U34*KFC!$B$34+KFC!$C$34)*KFC!$C$5</f>
        <v>67.30690642935906</v>
      </c>
      <c r="G34" s="784">
        <f>(V34*KFC!$B$34+KFC!$C$34)*KFC!$C$5</f>
        <v>72.202093211923156</v>
      </c>
      <c r="H34" s="784">
        <f>(W34*KFC!$B$34+KFC!$C$34)*KFC!$C$5</f>
        <v>77.097279994487252</v>
      </c>
      <c r="I34" s="784">
        <f>(X34*KFC!$B$34+KFC!$C$34)*KFC!$C$5</f>
        <v>81.992466777051348</v>
      </c>
      <c r="J34" s="784">
        <f>(Y34*KFC!$B$34+KFC!$C$34)*KFC!$C$5</f>
        <v>86.887653559615444</v>
      </c>
      <c r="K34" s="784">
        <f>(Z34*KFC!$B$34+KFC!$C$34)*KFC!$C$5</f>
        <v>91.78284034217954</v>
      </c>
      <c r="L34" s="784">
        <f>(AA34*KFC!$B$34+KFC!$C$34)*KFC!$C$5</f>
        <v>96.67802712474365</v>
      </c>
      <c r="M34" s="784">
        <f>(AB34*KFC!$B$34+KFC!$C$34)*KFC!$C$5</f>
        <v>101.57321390730775</v>
      </c>
      <c r="N34" s="784">
        <f>(AC34*KFC!$B$34+KFC!$C$34)*KFC!$C$5</f>
        <v>106.46840068987184</v>
      </c>
      <c r="O34" s="784">
        <f>(AD34*KFC!$B$34+KFC!$C$34)*KFC!$C$5</f>
        <v>111.36358747243594</v>
      </c>
      <c r="P34" s="785">
        <f>(AE34*KFC!$B$34+KFC!$C$34)*KFC!$C$5</f>
        <v>116.25877425500005</v>
      </c>
      <c r="R34" s="247">
        <v>52.621346081666758</v>
      </c>
      <c r="S34" s="194">
        <v>57.516532864230861</v>
      </c>
      <c r="T34" s="194">
        <v>62.411719646794957</v>
      </c>
      <c r="U34" s="194">
        <v>67.30690642935906</v>
      </c>
      <c r="V34" s="194">
        <v>72.202093211923156</v>
      </c>
      <c r="W34" s="194">
        <v>77.097279994487252</v>
      </c>
      <c r="X34" s="194">
        <v>81.992466777051348</v>
      </c>
      <c r="Y34" s="194">
        <v>86.887653559615444</v>
      </c>
      <c r="Z34" s="194">
        <v>91.78284034217954</v>
      </c>
      <c r="AA34" s="194">
        <v>96.67802712474365</v>
      </c>
      <c r="AB34" s="194">
        <v>101.57321390730775</v>
      </c>
      <c r="AC34" s="194">
        <v>106.46840068987184</v>
      </c>
      <c r="AD34" s="194">
        <v>111.36358747243594</v>
      </c>
      <c r="AE34" s="195">
        <v>116.25877425500005</v>
      </c>
    </row>
    <row r="35" spans="1:31">
      <c r="A35" s="1929"/>
      <c r="B35" s="783">
        <v>3</v>
      </c>
      <c r="C35" s="784">
        <f>(R35*KFC!$B$34+KFC!$C$34)*KFC!$C$5</f>
        <v>52.927388972777877</v>
      </c>
      <c r="D35" s="784">
        <f>(S35*KFC!$B$34+KFC!$C$34)*KFC!$C$5</f>
        <v>57.899011504359066</v>
      </c>
      <c r="E35" s="784">
        <f>(T35*KFC!$B$34+KFC!$C$34)*KFC!$C$5</f>
        <v>62.870634035940256</v>
      </c>
      <c r="F35" s="784">
        <f>(U35*KFC!$B$34+KFC!$C$34)*KFC!$C$5</f>
        <v>67.842256567521446</v>
      </c>
      <c r="G35" s="784">
        <f>(V35*KFC!$B$34+KFC!$C$34)*KFC!$C$5</f>
        <v>72.813879099102635</v>
      </c>
      <c r="H35" s="784">
        <f>(W35*KFC!$B$34+KFC!$C$34)*KFC!$C$5</f>
        <v>77.785501630683825</v>
      </c>
      <c r="I35" s="784">
        <f>(X35*KFC!$B$34+KFC!$C$34)*KFC!$C$5</f>
        <v>82.757124162265015</v>
      </c>
      <c r="J35" s="784">
        <f>(Y35*KFC!$B$34+KFC!$C$34)*KFC!$C$5</f>
        <v>87.728746693846205</v>
      </c>
      <c r="K35" s="784">
        <f>(Z35*KFC!$B$34+KFC!$C$34)*KFC!$C$5</f>
        <v>92.700369225427394</v>
      </c>
      <c r="L35" s="784">
        <f>(AA35*KFC!$B$34+KFC!$C$34)*KFC!$C$5</f>
        <v>97.671991757008584</v>
      </c>
      <c r="M35" s="784">
        <f>(AB35*KFC!$B$34+KFC!$C$34)*KFC!$C$5</f>
        <v>102.64361428858979</v>
      </c>
      <c r="N35" s="784">
        <f>(AC35*KFC!$B$34+KFC!$C$34)*KFC!$C$5</f>
        <v>107.61523682017098</v>
      </c>
      <c r="O35" s="784">
        <f>(AD35*KFC!$B$34+KFC!$C$34)*KFC!$C$5</f>
        <v>112.58685935175217</v>
      </c>
      <c r="P35" s="785">
        <f>(AE35*KFC!$B$34+KFC!$C$34)*KFC!$C$5</f>
        <v>117.55848188333339</v>
      </c>
      <c r="R35" s="247">
        <v>52.927388972777877</v>
      </c>
      <c r="S35" s="194">
        <v>57.899011504359066</v>
      </c>
      <c r="T35" s="194">
        <v>62.870634035940256</v>
      </c>
      <c r="U35" s="194">
        <v>67.842256567521446</v>
      </c>
      <c r="V35" s="194">
        <v>72.813879099102635</v>
      </c>
      <c r="W35" s="194">
        <v>77.785501630683825</v>
      </c>
      <c r="X35" s="194">
        <v>82.757124162265015</v>
      </c>
      <c r="Y35" s="194">
        <v>87.728746693846205</v>
      </c>
      <c r="Z35" s="194">
        <v>92.700369225427394</v>
      </c>
      <c r="AA35" s="194">
        <v>97.671991757008584</v>
      </c>
      <c r="AB35" s="194">
        <v>102.64361428858979</v>
      </c>
      <c r="AC35" s="194">
        <v>107.61523682017098</v>
      </c>
      <c r="AD35" s="194">
        <v>112.58685935175217</v>
      </c>
      <c r="AE35" s="195">
        <v>117.55848188333339</v>
      </c>
    </row>
    <row r="36" spans="1:31">
      <c r="A36" s="1929"/>
      <c r="B36" s="783">
        <v>3.1</v>
      </c>
      <c r="C36" s="784">
        <f>(R36*KFC!$B$34+KFC!$C$34)*KFC!$C$5</f>
        <v>53.233431863888988</v>
      </c>
      <c r="D36" s="784">
        <f>(S36*KFC!$B$34+KFC!$C$34)*KFC!$C$5</f>
        <v>58.281490144487272</v>
      </c>
      <c r="E36" s="784">
        <f>(T36*KFC!$B$34+KFC!$C$34)*KFC!$C$5</f>
        <v>63.329548425085555</v>
      </c>
      <c r="F36" s="784">
        <f>(U36*KFC!$B$34+KFC!$C$34)*KFC!$C$5</f>
        <v>68.377606705683846</v>
      </c>
      <c r="G36" s="784">
        <f>(V36*KFC!$B$34+KFC!$C$34)*KFC!$C$5</f>
        <v>73.425664986282129</v>
      </c>
      <c r="H36" s="784">
        <f>(W36*KFC!$B$34+KFC!$C$34)*KFC!$C$5</f>
        <v>78.473723266880413</v>
      </c>
      <c r="I36" s="784">
        <f>(X36*KFC!$B$34+KFC!$C$34)*KFC!$C$5</f>
        <v>83.521781547478696</v>
      </c>
      <c r="J36" s="784">
        <f>(Y36*KFC!$B$34+KFC!$C$34)*KFC!$C$5</f>
        <v>88.569839828076965</v>
      </c>
      <c r="K36" s="784">
        <f>(Z36*KFC!$B$34+KFC!$C$34)*KFC!$C$5</f>
        <v>93.617898108675249</v>
      </c>
      <c r="L36" s="784">
        <f>(AA36*KFC!$B$34+KFC!$C$34)*KFC!$C$5</f>
        <v>98.665956389273532</v>
      </c>
      <c r="M36" s="784">
        <f>(AB36*KFC!$B$34+KFC!$C$34)*KFC!$C$5</f>
        <v>103.71401466987182</v>
      </c>
      <c r="N36" s="784">
        <f>(AC36*KFC!$B$34+KFC!$C$34)*KFC!$C$5</f>
        <v>108.7620729504701</v>
      </c>
      <c r="O36" s="784">
        <f>(AD36*KFC!$B$34+KFC!$C$34)*KFC!$C$5</f>
        <v>113.81013123106838</v>
      </c>
      <c r="P36" s="785">
        <f>(AE36*KFC!$B$34+KFC!$C$34)*KFC!$C$5</f>
        <v>118.85818951166672</v>
      </c>
      <c r="R36" s="247">
        <v>53.233431863888988</v>
      </c>
      <c r="S36" s="194">
        <v>58.281490144487272</v>
      </c>
      <c r="T36" s="194">
        <v>63.329548425085555</v>
      </c>
      <c r="U36" s="194">
        <v>68.377606705683846</v>
      </c>
      <c r="V36" s="194">
        <v>73.425664986282129</v>
      </c>
      <c r="W36" s="194">
        <v>78.473723266880413</v>
      </c>
      <c r="X36" s="194">
        <v>83.521781547478696</v>
      </c>
      <c r="Y36" s="194">
        <v>88.569839828076965</v>
      </c>
      <c r="Z36" s="194">
        <v>93.617898108675249</v>
      </c>
      <c r="AA36" s="194">
        <v>98.665956389273532</v>
      </c>
      <c r="AB36" s="194">
        <v>103.71401466987182</v>
      </c>
      <c r="AC36" s="194">
        <v>108.7620729504701</v>
      </c>
      <c r="AD36" s="194">
        <v>113.81013123106838</v>
      </c>
      <c r="AE36" s="195">
        <v>118.85818951166672</v>
      </c>
    </row>
    <row r="37" spans="1:31" ht="13.8" thickBot="1">
      <c r="A37" s="1930"/>
      <c r="B37" s="786">
        <v>3.2</v>
      </c>
      <c r="C37" s="787">
        <f>(R37*KFC!$B$34+KFC!$C$34)*KFC!$C$5</f>
        <v>53.539474754999993</v>
      </c>
      <c r="D37" s="787">
        <f>(S37*KFC!$B$34+KFC!$C$34)*KFC!$C$5</f>
        <v>58.663968784615378</v>
      </c>
      <c r="E37" s="787">
        <f>(T37*KFC!$B$34+KFC!$C$34)*KFC!$C$5</f>
        <v>63.788462814230762</v>
      </c>
      <c r="F37" s="787">
        <f>(U37*KFC!$B$34+KFC!$C$34)*KFC!$C$5</f>
        <v>68.912956843846146</v>
      </c>
      <c r="G37" s="787">
        <f>(V37*KFC!$B$34+KFC!$C$34)*KFC!$C$5</f>
        <v>74.037450873461538</v>
      </c>
      <c r="H37" s="787">
        <f>(W37*KFC!$B$34+KFC!$C$34)*KFC!$C$5</f>
        <v>79.161944903076915</v>
      </c>
      <c r="I37" s="787">
        <f>(X37*KFC!$B$34+KFC!$C$34)*KFC!$C$5</f>
        <v>84.286438932692306</v>
      </c>
      <c r="J37" s="787">
        <f>(Y37*KFC!$B$34+KFC!$C$34)*KFC!$C$5</f>
        <v>89.410932962307683</v>
      </c>
      <c r="K37" s="787">
        <f>(Z37*KFC!$B$34+KFC!$C$34)*KFC!$C$5</f>
        <v>94.53542699192306</v>
      </c>
      <c r="L37" s="787">
        <f>(AA37*KFC!$B$34+KFC!$C$34)*KFC!$C$5</f>
        <v>99.659921021538423</v>
      </c>
      <c r="M37" s="787">
        <f>(AB37*KFC!$B$34+KFC!$C$34)*KFC!$C$5</f>
        <v>104.7844150511538</v>
      </c>
      <c r="N37" s="787">
        <f>(AC37*KFC!$B$34+KFC!$C$34)*KFC!$C$5</f>
        <v>109.90890908076918</v>
      </c>
      <c r="O37" s="787">
        <f>(AD37*KFC!$B$34+KFC!$C$34)*KFC!$C$5</f>
        <v>115.03340311038455</v>
      </c>
      <c r="P37" s="788">
        <f>(AE37*KFC!$B$34+KFC!$C$34)*KFC!$C$5</f>
        <v>120.15789713999999</v>
      </c>
      <c r="R37" s="248">
        <v>53.539474754999993</v>
      </c>
      <c r="S37" s="196">
        <v>58.663968784615378</v>
      </c>
      <c r="T37" s="196">
        <v>63.788462814230762</v>
      </c>
      <c r="U37" s="196">
        <v>68.912956843846146</v>
      </c>
      <c r="V37" s="196">
        <v>74.037450873461538</v>
      </c>
      <c r="W37" s="196">
        <v>79.161944903076915</v>
      </c>
      <c r="X37" s="196">
        <v>84.286438932692306</v>
      </c>
      <c r="Y37" s="196">
        <v>89.410932962307683</v>
      </c>
      <c r="Z37" s="196">
        <v>94.53542699192306</v>
      </c>
      <c r="AA37" s="196">
        <v>99.659921021538423</v>
      </c>
      <c r="AB37" s="196">
        <v>104.7844150511538</v>
      </c>
      <c r="AC37" s="196">
        <v>109.90890908076918</v>
      </c>
      <c r="AD37" s="196">
        <v>115.03340311038455</v>
      </c>
      <c r="AE37" s="197">
        <v>120.15789713999999</v>
      </c>
    </row>
    <row r="38" spans="1:31" ht="13.8" thickBot="1">
      <c r="A38" s="777"/>
      <c r="B38" s="777"/>
      <c r="C38" s="777"/>
      <c r="D38" s="777"/>
      <c r="E38" s="777"/>
      <c r="F38" s="777"/>
      <c r="G38" s="777"/>
      <c r="H38" s="777"/>
      <c r="I38" s="777"/>
      <c r="J38" s="777"/>
      <c r="K38" s="777"/>
      <c r="L38" s="777"/>
      <c r="M38" s="777"/>
      <c r="N38" s="777"/>
      <c r="O38" s="777"/>
      <c r="P38" s="777"/>
    </row>
    <row r="39" spans="1:31" ht="13.8" thickBot="1">
      <c r="A39" s="1931" t="s">
        <v>315</v>
      </c>
      <c r="B39" s="1932"/>
      <c r="C39" s="1935" t="s">
        <v>207</v>
      </c>
      <c r="D39" s="1936"/>
      <c r="E39" s="1936"/>
      <c r="F39" s="1936"/>
      <c r="G39" s="1936"/>
      <c r="H39" s="1936"/>
      <c r="I39" s="1936"/>
      <c r="J39" s="1936"/>
      <c r="K39" s="1936"/>
      <c r="L39" s="1936"/>
      <c r="M39" s="1936"/>
      <c r="N39" s="1936"/>
      <c r="O39" s="1936"/>
      <c r="P39" s="1937"/>
    </row>
    <row r="40" spans="1:31" ht="13.8" thickBot="1">
      <c r="A40" s="1933"/>
      <c r="B40" s="1934"/>
      <c r="C40" s="778">
        <v>0.4</v>
      </c>
      <c r="D40" s="779">
        <v>0.5</v>
      </c>
      <c r="E40" s="779">
        <v>0.6</v>
      </c>
      <c r="F40" s="779">
        <v>0.7</v>
      </c>
      <c r="G40" s="779">
        <v>0.8</v>
      </c>
      <c r="H40" s="779">
        <v>0.9</v>
      </c>
      <c r="I40" s="779">
        <v>1</v>
      </c>
      <c r="J40" s="779">
        <v>1.1000000000000001</v>
      </c>
      <c r="K40" s="779">
        <v>1.2</v>
      </c>
      <c r="L40" s="779">
        <v>1.3</v>
      </c>
      <c r="M40" s="779">
        <v>1.4</v>
      </c>
      <c r="N40" s="779">
        <v>1.5</v>
      </c>
      <c r="O40" s="779">
        <v>1.6</v>
      </c>
      <c r="P40" s="780">
        <v>1.7</v>
      </c>
    </row>
    <row r="41" spans="1:31">
      <c r="A41" s="1928" t="s">
        <v>3</v>
      </c>
      <c r="B41" s="789">
        <v>0.5</v>
      </c>
      <c r="C41" s="784">
        <f>(R41*KFC!$B$34+KFC!$C$34)*KFC!$C$5</f>
        <v>49.118422034999995</v>
      </c>
      <c r="D41" s="784">
        <f>(S41*KFC!$B$34+KFC!$C$34)*KFC!$C$5</f>
        <v>53.139677176153846</v>
      </c>
      <c r="E41" s="784">
        <f>(T41*KFC!$B$34+KFC!$C$34)*KFC!$C$5</f>
        <v>57.16093231730769</v>
      </c>
      <c r="F41" s="784">
        <f>(U41*KFC!$B$34+KFC!$C$34)*KFC!$C$5</f>
        <v>61.182187458461541</v>
      </c>
      <c r="G41" s="784">
        <f>(V41*KFC!$B$34+KFC!$C$34)*KFC!$C$5</f>
        <v>65.203442599615386</v>
      </c>
      <c r="H41" s="784">
        <f>(W41*KFC!$B$34+KFC!$C$34)*KFC!$C$5</f>
        <v>69.22469774076923</v>
      </c>
      <c r="I41" s="784">
        <f>(X41*KFC!$B$34+KFC!$C$34)*KFC!$C$5</f>
        <v>73.245952881923088</v>
      </c>
      <c r="J41" s="784">
        <f>(Y41*KFC!$B$34+KFC!$C$34)*KFC!$C$5</f>
        <v>77.267208023076932</v>
      </c>
      <c r="K41" s="784">
        <f>(Z41*KFC!$B$34+KFC!$C$34)*KFC!$C$5</f>
        <v>81.288463164230777</v>
      </c>
      <c r="L41" s="784">
        <f>(AA41*KFC!$B$34+KFC!$C$34)*KFC!$C$5</f>
        <v>85.309718305384621</v>
      </c>
      <c r="M41" s="784">
        <f>(AB41*KFC!$B$34+KFC!$C$34)*KFC!$C$5</f>
        <v>89.330973446538479</v>
      </c>
      <c r="N41" s="784">
        <f>(AC41*KFC!$B$34+KFC!$C$34)*KFC!$C$5</f>
        <v>93.352228587692323</v>
      </c>
      <c r="O41" s="784">
        <f>(AD41*KFC!$B$34+KFC!$C$34)*KFC!$C$5</f>
        <v>97.373483728846168</v>
      </c>
      <c r="P41" s="785">
        <f>(AE41*KFC!$B$34+KFC!$C$34)*KFC!$C$5</f>
        <v>101.39473887</v>
      </c>
      <c r="R41" s="246">
        <v>49.118422034999995</v>
      </c>
      <c r="S41" s="192">
        <v>53.139677176153846</v>
      </c>
      <c r="T41" s="192">
        <v>57.16093231730769</v>
      </c>
      <c r="U41" s="192">
        <v>61.182187458461541</v>
      </c>
      <c r="V41" s="192">
        <v>65.203442599615386</v>
      </c>
      <c r="W41" s="192">
        <v>69.22469774076923</v>
      </c>
      <c r="X41" s="192">
        <v>73.245952881923088</v>
      </c>
      <c r="Y41" s="192">
        <v>77.267208023076932</v>
      </c>
      <c r="Z41" s="192">
        <v>81.288463164230777</v>
      </c>
      <c r="AA41" s="192">
        <v>85.309718305384621</v>
      </c>
      <c r="AB41" s="192">
        <v>89.330973446538479</v>
      </c>
      <c r="AC41" s="192">
        <v>93.352228587692323</v>
      </c>
      <c r="AD41" s="192">
        <v>97.373483728846168</v>
      </c>
      <c r="AE41" s="193">
        <v>101.39473887</v>
      </c>
    </row>
    <row r="42" spans="1:31">
      <c r="A42" s="1929"/>
      <c r="B42" s="790">
        <v>0.6</v>
      </c>
      <c r="C42" s="784">
        <f>(R42*KFC!$B$34+KFC!$C$34)*KFC!$C$5</f>
        <v>50.064815816111107</v>
      </c>
      <c r="D42" s="784">
        <f>(S42*KFC!$B$34+KFC!$C$34)*KFC!$C$5</f>
        <v>54.322613172222219</v>
      </c>
      <c r="E42" s="784">
        <f>(T42*KFC!$B$34+KFC!$C$34)*KFC!$C$5</f>
        <v>58.580410528333331</v>
      </c>
      <c r="F42" s="784">
        <f>(U42*KFC!$B$34+KFC!$C$34)*KFC!$C$5</f>
        <v>62.838207884444444</v>
      </c>
      <c r="G42" s="784">
        <f>(V42*KFC!$B$34+KFC!$C$34)*KFC!$C$5</f>
        <v>67.096005240555556</v>
      </c>
      <c r="H42" s="784">
        <f>(W42*KFC!$B$34+KFC!$C$34)*KFC!$C$5</f>
        <v>71.353802596666668</v>
      </c>
      <c r="I42" s="784">
        <f>(X42*KFC!$B$34+KFC!$C$34)*KFC!$C$5</f>
        <v>75.61159995277778</v>
      </c>
      <c r="J42" s="784">
        <f>(Y42*KFC!$B$34+KFC!$C$34)*KFC!$C$5</f>
        <v>79.869397308888892</v>
      </c>
      <c r="K42" s="784">
        <f>(Z42*KFC!$B$34+KFC!$C$34)*KFC!$C$5</f>
        <v>84.12719466499999</v>
      </c>
      <c r="L42" s="784">
        <f>(AA42*KFC!$B$34+KFC!$C$34)*KFC!$C$5</f>
        <v>88.384992021111103</v>
      </c>
      <c r="M42" s="784">
        <f>(AB42*KFC!$B$34+KFC!$C$34)*KFC!$C$5</f>
        <v>92.642789377222215</v>
      </c>
      <c r="N42" s="784">
        <f>(AC42*KFC!$B$34+KFC!$C$34)*KFC!$C$5</f>
        <v>96.900586733333327</v>
      </c>
      <c r="O42" s="784">
        <f>(AD42*KFC!$B$34+KFC!$C$34)*KFC!$C$5</f>
        <v>101.15838408944444</v>
      </c>
      <c r="P42" s="785">
        <f>(AE42*KFC!$B$34+KFC!$C$34)*KFC!$C$5</f>
        <v>105.41618144555555</v>
      </c>
      <c r="R42" s="247">
        <v>50.064815816111107</v>
      </c>
      <c r="S42" s="194">
        <v>54.322613172222219</v>
      </c>
      <c r="T42" s="194">
        <v>58.580410528333331</v>
      </c>
      <c r="U42" s="194">
        <v>62.838207884444444</v>
      </c>
      <c r="V42" s="194">
        <v>67.096005240555556</v>
      </c>
      <c r="W42" s="194">
        <v>71.353802596666668</v>
      </c>
      <c r="X42" s="194">
        <v>75.61159995277778</v>
      </c>
      <c r="Y42" s="194">
        <v>79.869397308888892</v>
      </c>
      <c r="Z42" s="194">
        <v>84.12719466499999</v>
      </c>
      <c r="AA42" s="194">
        <v>88.384992021111103</v>
      </c>
      <c r="AB42" s="194">
        <v>92.642789377222215</v>
      </c>
      <c r="AC42" s="194">
        <v>96.900586733333327</v>
      </c>
      <c r="AD42" s="194">
        <v>101.15838408944444</v>
      </c>
      <c r="AE42" s="195">
        <v>105.41618144555555</v>
      </c>
    </row>
    <row r="43" spans="1:31">
      <c r="A43" s="1929"/>
      <c r="B43" s="790">
        <v>0.7</v>
      </c>
      <c r="C43" s="784">
        <f>(R43*KFC!$B$34+KFC!$C$34)*KFC!$C$5</f>
        <v>51.011209597222219</v>
      </c>
      <c r="D43" s="784">
        <f>(S43*KFC!$B$34+KFC!$C$34)*KFC!$C$5</f>
        <v>55.505549168290592</v>
      </c>
      <c r="E43" s="784">
        <f>(T43*KFC!$B$34+KFC!$C$34)*KFC!$C$5</f>
        <v>59.999888739358973</v>
      </c>
      <c r="F43" s="784">
        <f>(U43*KFC!$B$34+KFC!$C$34)*KFC!$C$5</f>
        <v>64.494228310427346</v>
      </c>
      <c r="G43" s="784">
        <f>(V43*KFC!$B$34+KFC!$C$34)*KFC!$C$5</f>
        <v>68.988567881495712</v>
      </c>
      <c r="H43" s="784">
        <f>(W43*KFC!$B$34+KFC!$C$34)*KFC!$C$5</f>
        <v>73.482907452564092</v>
      </c>
      <c r="I43" s="784">
        <f>(X43*KFC!$B$34+KFC!$C$34)*KFC!$C$5</f>
        <v>77.977247023632472</v>
      </c>
      <c r="J43" s="784">
        <f>(Y43*KFC!$B$34+KFC!$C$34)*KFC!$C$5</f>
        <v>82.471586594700838</v>
      </c>
      <c r="K43" s="784">
        <f>(Z43*KFC!$B$34+KFC!$C$34)*KFC!$C$5</f>
        <v>86.965926165769218</v>
      </c>
      <c r="L43" s="784">
        <f>(AA43*KFC!$B$34+KFC!$C$34)*KFC!$C$5</f>
        <v>91.460265736837584</v>
      </c>
      <c r="M43" s="784">
        <f>(AB43*KFC!$B$34+KFC!$C$34)*KFC!$C$5</f>
        <v>95.954605307905965</v>
      </c>
      <c r="N43" s="784">
        <f>(AC43*KFC!$B$34+KFC!$C$34)*KFC!$C$5</f>
        <v>100.44894487897434</v>
      </c>
      <c r="O43" s="784">
        <f>(AD43*KFC!$B$34+KFC!$C$34)*KFC!$C$5</f>
        <v>104.94328445004271</v>
      </c>
      <c r="P43" s="785">
        <f>(AE43*KFC!$B$34+KFC!$C$34)*KFC!$C$5</f>
        <v>109.43762402111111</v>
      </c>
      <c r="R43" s="247">
        <v>51.011209597222219</v>
      </c>
      <c r="S43" s="194">
        <v>55.505549168290592</v>
      </c>
      <c r="T43" s="194">
        <v>59.999888739358973</v>
      </c>
      <c r="U43" s="194">
        <v>64.494228310427346</v>
      </c>
      <c r="V43" s="194">
        <v>68.988567881495712</v>
      </c>
      <c r="W43" s="194">
        <v>73.482907452564092</v>
      </c>
      <c r="X43" s="194">
        <v>77.977247023632472</v>
      </c>
      <c r="Y43" s="194">
        <v>82.471586594700838</v>
      </c>
      <c r="Z43" s="194">
        <v>86.965926165769218</v>
      </c>
      <c r="AA43" s="194">
        <v>91.460265736837584</v>
      </c>
      <c r="AB43" s="194">
        <v>95.954605307905965</v>
      </c>
      <c r="AC43" s="194">
        <v>100.44894487897434</v>
      </c>
      <c r="AD43" s="194">
        <v>104.94328445004271</v>
      </c>
      <c r="AE43" s="195">
        <v>109.43762402111111</v>
      </c>
    </row>
    <row r="44" spans="1:31">
      <c r="A44" s="1929"/>
      <c r="B44" s="790">
        <v>0.8</v>
      </c>
      <c r="C44" s="784">
        <f>(R44*KFC!$B$34+KFC!$C$34)*KFC!$C$5</f>
        <v>51.957603378333332</v>
      </c>
      <c r="D44" s="784">
        <f>(S44*KFC!$B$34+KFC!$C$34)*KFC!$C$5</f>
        <v>56.688485164358973</v>
      </c>
      <c r="E44" s="784">
        <f>(T44*KFC!$B$34+KFC!$C$34)*KFC!$C$5</f>
        <v>61.419366950384607</v>
      </c>
      <c r="F44" s="784">
        <f>(U44*KFC!$B$34+KFC!$C$34)*KFC!$C$5</f>
        <v>66.150248736410248</v>
      </c>
      <c r="G44" s="784">
        <f>(V44*KFC!$B$34+KFC!$C$34)*KFC!$C$5</f>
        <v>70.881130522435882</v>
      </c>
      <c r="H44" s="784">
        <f>(W44*KFC!$B$34+KFC!$C$34)*KFC!$C$5</f>
        <v>75.612012308461516</v>
      </c>
      <c r="I44" s="784">
        <f>(X44*KFC!$B$34+KFC!$C$34)*KFC!$C$5</f>
        <v>80.342894094487164</v>
      </c>
      <c r="J44" s="784">
        <f>(Y44*KFC!$B$34+KFC!$C$34)*KFC!$C$5</f>
        <v>85.073775880512798</v>
      </c>
      <c r="K44" s="784">
        <f>(Z44*KFC!$B$34+KFC!$C$34)*KFC!$C$5</f>
        <v>89.804657666538432</v>
      </c>
      <c r="L44" s="784">
        <f>(AA44*KFC!$B$34+KFC!$C$34)*KFC!$C$5</f>
        <v>94.53553945256408</v>
      </c>
      <c r="M44" s="784">
        <f>(AB44*KFC!$B$34+KFC!$C$34)*KFC!$C$5</f>
        <v>99.266421238589714</v>
      </c>
      <c r="N44" s="784">
        <f>(AC44*KFC!$B$34+KFC!$C$34)*KFC!$C$5</f>
        <v>103.99730302461535</v>
      </c>
      <c r="O44" s="784">
        <f>(AD44*KFC!$B$34+KFC!$C$34)*KFC!$C$5</f>
        <v>108.72818481064098</v>
      </c>
      <c r="P44" s="785">
        <f>(AE44*KFC!$B$34+KFC!$C$34)*KFC!$C$5</f>
        <v>113.45906659666666</v>
      </c>
      <c r="R44" s="247">
        <v>51.957603378333332</v>
      </c>
      <c r="S44" s="194">
        <v>56.688485164358973</v>
      </c>
      <c r="T44" s="194">
        <v>61.419366950384607</v>
      </c>
      <c r="U44" s="194">
        <v>66.150248736410248</v>
      </c>
      <c r="V44" s="194">
        <v>70.881130522435882</v>
      </c>
      <c r="W44" s="194">
        <v>75.612012308461516</v>
      </c>
      <c r="X44" s="194">
        <v>80.342894094487164</v>
      </c>
      <c r="Y44" s="194">
        <v>85.073775880512798</v>
      </c>
      <c r="Z44" s="194">
        <v>89.804657666538432</v>
      </c>
      <c r="AA44" s="194">
        <v>94.53553945256408</v>
      </c>
      <c r="AB44" s="194">
        <v>99.266421238589714</v>
      </c>
      <c r="AC44" s="194">
        <v>103.99730302461535</v>
      </c>
      <c r="AD44" s="194">
        <v>108.72818481064098</v>
      </c>
      <c r="AE44" s="195">
        <v>113.45906659666666</v>
      </c>
    </row>
    <row r="45" spans="1:31">
      <c r="A45" s="1929"/>
      <c r="B45" s="790">
        <v>0.9</v>
      </c>
      <c r="C45" s="784">
        <f>(R45*KFC!$B$34+KFC!$C$34)*KFC!$C$5</f>
        <v>52.903997159444444</v>
      </c>
      <c r="D45" s="784">
        <f>(S45*KFC!$B$34+KFC!$C$34)*KFC!$C$5</f>
        <v>57.871421160427346</v>
      </c>
      <c r="E45" s="784">
        <f>(T45*KFC!$B$34+KFC!$C$34)*KFC!$C$5</f>
        <v>62.838845161410248</v>
      </c>
      <c r="F45" s="784">
        <f>(U45*KFC!$B$34+KFC!$C$34)*KFC!$C$5</f>
        <v>67.80626916239315</v>
      </c>
      <c r="G45" s="784">
        <f>(V45*KFC!$B$34+KFC!$C$34)*KFC!$C$5</f>
        <v>72.773693163376052</v>
      </c>
      <c r="H45" s="784">
        <f>(W45*KFC!$B$34+KFC!$C$34)*KFC!$C$5</f>
        <v>77.741117164358954</v>
      </c>
      <c r="I45" s="784">
        <f>(X45*KFC!$B$34+KFC!$C$34)*KFC!$C$5</f>
        <v>82.708541165341856</v>
      </c>
      <c r="J45" s="784">
        <f>(Y45*KFC!$B$34+KFC!$C$34)*KFC!$C$5</f>
        <v>87.675965166324758</v>
      </c>
      <c r="K45" s="784">
        <f>(Z45*KFC!$B$34+KFC!$C$34)*KFC!$C$5</f>
        <v>92.64338916730766</v>
      </c>
      <c r="L45" s="784">
        <f>(AA45*KFC!$B$34+KFC!$C$34)*KFC!$C$5</f>
        <v>97.610813168290562</v>
      </c>
      <c r="M45" s="784">
        <f>(AB45*KFC!$B$34+KFC!$C$34)*KFC!$C$5</f>
        <v>102.57823716927346</v>
      </c>
      <c r="N45" s="784">
        <f>(AC45*KFC!$B$34+KFC!$C$34)*KFC!$C$5</f>
        <v>107.54566117025635</v>
      </c>
      <c r="O45" s="784">
        <f>(AD45*KFC!$B$34+KFC!$C$34)*KFC!$C$5</f>
        <v>112.51308517123925</v>
      </c>
      <c r="P45" s="785">
        <f>(AE45*KFC!$B$34+KFC!$C$34)*KFC!$C$5</f>
        <v>117.48050917222221</v>
      </c>
      <c r="R45" s="247">
        <v>52.903997159444444</v>
      </c>
      <c r="S45" s="194">
        <v>57.871421160427346</v>
      </c>
      <c r="T45" s="194">
        <v>62.838845161410248</v>
      </c>
      <c r="U45" s="194">
        <v>67.80626916239315</v>
      </c>
      <c r="V45" s="194">
        <v>72.773693163376052</v>
      </c>
      <c r="W45" s="194">
        <v>77.741117164358954</v>
      </c>
      <c r="X45" s="194">
        <v>82.708541165341856</v>
      </c>
      <c r="Y45" s="194">
        <v>87.675965166324758</v>
      </c>
      <c r="Z45" s="194">
        <v>92.64338916730766</v>
      </c>
      <c r="AA45" s="194">
        <v>97.610813168290562</v>
      </c>
      <c r="AB45" s="194">
        <v>102.57823716927346</v>
      </c>
      <c r="AC45" s="194">
        <v>107.54566117025635</v>
      </c>
      <c r="AD45" s="194">
        <v>112.51308517123925</v>
      </c>
      <c r="AE45" s="195">
        <v>117.48050917222221</v>
      </c>
    </row>
    <row r="46" spans="1:31">
      <c r="A46" s="1929"/>
      <c r="B46" s="790">
        <v>1</v>
      </c>
      <c r="C46" s="784">
        <f>(R46*KFC!$B$34+KFC!$C$34)*KFC!$C$5</f>
        <v>53.850390940555556</v>
      </c>
      <c r="D46" s="784">
        <f>(S46*KFC!$B$34+KFC!$C$34)*KFC!$C$5</f>
        <v>59.054357156495733</v>
      </c>
      <c r="E46" s="784">
        <f>(T46*KFC!$B$34+KFC!$C$34)*KFC!$C$5</f>
        <v>64.25832337243591</v>
      </c>
      <c r="F46" s="784">
        <f>(U46*KFC!$B$34+KFC!$C$34)*KFC!$C$5</f>
        <v>69.46228958837608</v>
      </c>
      <c r="G46" s="784">
        <f>(V46*KFC!$B$34+KFC!$C$34)*KFC!$C$5</f>
        <v>74.666255804316251</v>
      </c>
      <c r="H46" s="784">
        <f>(W46*KFC!$B$34+KFC!$C$34)*KFC!$C$5</f>
        <v>79.870222020256421</v>
      </c>
      <c r="I46" s="784">
        <f>(X46*KFC!$B$34+KFC!$C$34)*KFC!$C$5</f>
        <v>85.074188236196605</v>
      </c>
      <c r="J46" s="784">
        <f>(Y46*KFC!$B$34+KFC!$C$34)*KFC!$C$5</f>
        <v>90.278154452136761</v>
      </c>
      <c r="K46" s="784">
        <f>(Z46*KFC!$B$34+KFC!$C$34)*KFC!$C$5</f>
        <v>95.482120668076931</v>
      </c>
      <c r="L46" s="784">
        <f>(AA46*KFC!$B$34+KFC!$C$34)*KFC!$C$5</f>
        <v>100.6860868840171</v>
      </c>
      <c r="M46" s="784">
        <f>(AB46*KFC!$B$34+KFC!$C$34)*KFC!$C$5</f>
        <v>105.89005309995726</v>
      </c>
      <c r="N46" s="784">
        <f>(AC46*KFC!$B$34+KFC!$C$34)*KFC!$C$5</f>
        <v>111.09401931589743</v>
      </c>
      <c r="O46" s="784">
        <f>(AD46*KFC!$B$34+KFC!$C$34)*KFC!$C$5</f>
        <v>116.29798553183758</v>
      </c>
      <c r="P46" s="785">
        <f>(AE46*KFC!$B$34+KFC!$C$34)*KFC!$C$5</f>
        <v>121.50195174777777</v>
      </c>
      <c r="R46" s="247">
        <v>53.850390940555556</v>
      </c>
      <c r="S46" s="194">
        <v>59.054357156495733</v>
      </c>
      <c r="T46" s="194">
        <v>64.25832337243591</v>
      </c>
      <c r="U46" s="194">
        <v>69.46228958837608</v>
      </c>
      <c r="V46" s="194">
        <v>74.666255804316251</v>
      </c>
      <c r="W46" s="194">
        <v>79.870222020256421</v>
      </c>
      <c r="X46" s="194">
        <v>85.074188236196605</v>
      </c>
      <c r="Y46" s="194">
        <v>90.278154452136761</v>
      </c>
      <c r="Z46" s="194">
        <v>95.482120668076931</v>
      </c>
      <c r="AA46" s="194">
        <v>100.6860868840171</v>
      </c>
      <c r="AB46" s="194">
        <v>105.89005309995726</v>
      </c>
      <c r="AC46" s="194">
        <v>111.09401931589743</v>
      </c>
      <c r="AD46" s="194">
        <v>116.29798553183758</v>
      </c>
      <c r="AE46" s="195">
        <v>121.50195174777777</v>
      </c>
    </row>
    <row r="47" spans="1:31">
      <c r="A47" s="1929"/>
      <c r="B47" s="790">
        <v>1.1000000000000001</v>
      </c>
      <c r="C47" s="784">
        <f>(R47*KFC!$B$34+KFC!$C$34)*KFC!$C$5</f>
        <v>54.796784721666668</v>
      </c>
      <c r="D47" s="784">
        <f>(S47*KFC!$B$34+KFC!$C$34)*KFC!$C$5</f>
        <v>60.237293152564106</v>
      </c>
      <c r="E47" s="784">
        <f>(T47*KFC!$B$34+KFC!$C$34)*KFC!$C$5</f>
        <v>65.677801583461545</v>
      </c>
      <c r="F47" s="784">
        <f>(U47*KFC!$B$34+KFC!$C$34)*KFC!$C$5</f>
        <v>71.118310014358983</v>
      </c>
      <c r="G47" s="784">
        <f>(V47*KFC!$B$34+KFC!$C$34)*KFC!$C$5</f>
        <v>76.558818445256421</v>
      </c>
      <c r="H47" s="784">
        <f>(W47*KFC!$B$34+KFC!$C$34)*KFC!$C$5</f>
        <v>81.999326876153859</v>
      </c>
      <c r="I47" s="784">
        <f>(X47*KFC!$B$34+KFC!$C$34)*KFC!$C$5</f>
        <v>87.439835307051297</v>
      </c>
      <c r="J47" s="784">
        <f>(Y47*KFC!$B$34+KFC!$C$34)*KFC!$C$5</f>
        <v>92.880343737948721</v>
      </c>
      <c r="K47" s="784">
        <f>(Z47*KFC!$B$34+KFC!$C$34)*KFC!$C$5</f>
        <v>98.320852168846145</v>
      </c>
      <c r="L47" s="784">
        <f>(AA47*KFC!$B$34+KFC!$C$34)*KFC!$C$5</f>
        <v>103.76136059974358</v>
      </c>
      <c r="M47" s="784">
        <f>(AB47*KFC!$B$34+KFC!$C$34)*KFC!$C$5</f>
        <v>109.20186903064101</v>
      </c>
      <c r="N47" s="784">
        <f>(AC47*KFC!$B$34+KFC!$C$34)*KFC!$C$5</f>
        <v>114.64237746153843</v>
      </c>
      <c r="O47" s="784">
        <f>(AD47*KFC!$B$34+KFC!$C$34)*KFC!$C$5</f>
        <v>120.08288589243585</v>
      </c>
      <c r="P47" s="785">
        <f>(AE47*KFC!$B$34+KFC!$C$34)*KFC!$C$5</f>
        <v>125.52339432333332</v>
      </c>
      <c r="R47" s="247">
        <v>54.796784721666668</v>
      </c>
      <c r="S47" s="194">
        <v>60.237293152564106</v>
      </c>
      <c r="T47" s="194">
        <v>65.677801583461545</v>
      </c>
      <c r="U47" s="194">
        <v>71.118310014358983</v>
      </c>
      <c r="V47" s="194">
        <v>76.558818445256421</v>
      </c>
      <c r="W47" s="194">
        <v>81.999326876153859</v>
      </c>
      <c r="X47" s="194">
        <v>87.439835307051297</v>
      </c>
      <c r="Y47" s="194">
        <v>92.880343737948721</v>
      </c>
      <c r="Z47" s="194">
        <v>98.320852168846145</v>
      </c>
      <c r="AA47" s="194">
        <v>103.76136059974358</v>
      </c>
      <c r="AB47" s="194">
        <v>109.20186903064101</v>
      </c>
      <c r="AC47" s="194">
        <v>114.64237746153843</v>
      </c>
      <c r="AD47" s="194">
        <v>120.08288589243585</v>
      </c>
      <c r="AE47" s="195">
        <v>125.52339432333332</v>
      </c>
    </row>
    <row r="48" spans="1:31">
      <c r="A48" s="1929"/>
      <c r="B48" s="790">
        <v>1.2</v>
      </c>
      <c r="C48" s="784">
        <f>(R48*KFC!$B$34+KFC!$C$34)*KFC!$C$5</f>
        <v>55.743178502777781</v>
      </c>
      <c r="D48" s="784">
        <f>(S48*KFC!$B$34+KFC!$C$34)*KFC!$C$5</f>
        <v>61.420229148632487</v>
      </c>
      <c r="E48" s="784">
        <f>(T48*KFC!$B$34+KFC!$C$34)*KFC!$C$5</f>
        <v>67.097279794487179</v>
      </c>
      <c r="F48" s="784">
        <f>(U48*KFC!$B$34+KFC!$C$34)*KFC!$C$5</f>
        <v>72.774330440341885</v>
      </c>
      <c r="G48" s="784">
        <f>(V48*KFC!$B$34+KFC!$C$34)*KFC!$C$5</f>
        <v>78.451381086196591</v>
      </c>
      <c r="H48" s="784">
        <f>(W48*KFC!$B$34+KFC!$C$34)*KFC!$C$5</f>
        <v>84.128431732051283</v>
      </c>
      <c r="I48" s="784">
        <f>(X48*KFC!$B$34+KFC!$C$34)*KFC!$C$5</f>
        <v>89.805482377905989</v>
      </c>
      <c r="J48" s="784">
        <f>(Y48*KFC!$B$34+KFC!$C$34)*KFC!$C$5</f>
        <v>95.482533023760681</v>
      </c>
      <c r="K48" s="784">
        <f>(Z48*KFC!$B$34+KFC!$C$34)*KFC!$C$5</f>
        <v>101.15958366961537</v>
      </c>
      <c r="L48" s="784">
        <f>(AA48*KFC!$B$34+KFC!$C$34)*KFC!$C$5</f>
        <v>106.83663431547006</v>
      </c>
      <c r="M48" s="784">
        <f>(AB48*KFC!$B$34+KFC!$C$34)*KFC!$C$5</f>
        <v>112.51368496132476</v>
      </c>
      <c r="N48" s="784">
        <f>(AC48*KFC!$B$34+KFC!$C$34)*KFC!$C$5</f>
        <v>118.19073560717945</v>
      </c>
      <c r="O48" s="784">
        <f>(AD48*KFC!$B$34+KFC!$C$34)*KFC!$C$5</f>
        <v>123.86778625303414</v>
      </c>
      <c r="P48" s="785">
        <f>(AE48*KFC!$B$34+KFC!$C$34)*KFC!$C$5</f>
        <v>129.54483689888889</v>
      </c>
      <c r="R48" s="247">
        <v>55.743178502777781</v>
      </c>
      <c r="S48" s="194">
        <v>61.420229148632487</v>
      </c>
      <c r="T48" s="194">
        <v>67.097279794487179</v>
      </c>
      <c r="U48" s="194">
        <v>72.774330440341885</v>
      </c>
      <c r="V48" s="194">
        <v>78.451381086196591</v>
      </c>
      <c r="W48" s="194">
        <v>84.128431732051283</v>
      </c>
      <c r="X48" s="194">
        <v>89.805482377905989</v>
      </c>
      <c r="Y48" s="194">
        <v>95.482533023760681</v>
      </c>
      <c r="Z48" s="194">
        <v>101.15958366961537</v>
      </c>
      <c r="AA48" s="194">
        <v>106.83663431547006</v>
      </c>
      <c r="AB48" s="194">
        <v>112.51368496132476</v>
      </c>
      <c r="AC48" s="194">
        <v>118.19073560717945</v>
      </c>
      <c r="AD48" s="194">
        <v>123.86778625303414</v>
      </c>
      <c r="AE48" s="195">
        <v>129.54483689888889</v>
      </c>
    </row>
    <row r="49" spans="1:31">
      <c r="A49" s="1929"/>
      <c r="B49" s="790">
        <v>1.3</v>
      </c>
      <c r="C49" s="784">
        <f>(R49*KFC!$B$34+KFC!$C$34)*KFC!$C$5</f>
        <v>56.689572283888893</v>
      </c>
      <c r="D49" s="784">
        <f>(S49*KFC!$B$34+KFC!$C$34)*KFC!$C$5</f>
        <v>62.60316514470086</v>
      </c>
      <c r="E49" s="784">
        <f>(T49*KFC!$B$34+KFC!$C$34)*KFC!$C$5</f>
        <v>68.516758005512827</v>
      </c>
      <c r="F49" s="784">
        <f>(U49*KFC!$B$34+KFC!$C$34)*KFC!$C$5</f>
        <v>74.430350866324787</v>
      </c>
      <c r="G49" s="784">
        <f>(V49*KFC!$B$34+KFC!$C$34)*KFC!$C$5</f>
        <v>80.343943727136747</v>
      </c>
      <c r="H49" s="784">
        <f>(W49*KFC!$B$34+KFC!$C$34)*KFC!$C$5</f>
        <v>86.257536587948721</v>
      </c>
      <c r="I49" s="784">
        <f>(X49*KFC!$B$34+KFC!$C$34)*KFC!$C$5</f>
        <v>92.171129448760695</v>
      </c>
      <c r="J49" s="784">
        <f>(Y49*KFC!$B$34+KFC!$C$34)*KFC!$C$5</f>
        <v>98.084722309572669</v>
      </c>
      <c r="K49" s="784">
        <f>(Z49*KFC!$B$34+KFC!$C$34)*KFC!$C$5</f>
        <v>103.99831517038464</v>
      </c>
      <c r="L49" s="784">
        <f>(AA49*KFC!$B$34+KFC!$C$34)*KFC!$C$5</f>
        <v>109.91190803119662</v>
      </c>
      <c r="M49" s="784">
        <f>(AB49*KFC!$B$34+KFC!$C$34)*KFC!$C$5</f>
        <v>115.82550089200859</v>
      </c>
      <c r="N49" s="784">
        <f>(AC49*KFC!$B$34+KFC!$C$34)*KFC!$C$5</f>
        <v>121.73909375282057</v>
      </c>
      <c r="O49" s="784">
        <f>(AD49*KFC!$B$34+KFC!$C$34)*KFC!$C$5</f>
        <v>127.65268661363254</v>
      </c>
      <c r="P49" s="785">
        <f>(AE49*KFC!$B$34+KFC!$C$34)*KFC!$C$5</f>
        <v>133.56627947444443</v>
      </c>
      <c r="R49" s="247">
        <v>56.689572283888893</v>
      </c>
      <c r="S49" s="194">
        <v>62.60316514470086</v>
      </c>
      <c r="T49" s="194">
        <v>68.516758005512827</v>
      </c>
      <c r="U49" s="194">
        <v>74.430350866324787</v>
      </c>
      <c r="V49" s="194">
        <v>80.343943727136747</v>
      </c>
      <c r="W49" s="194">
        <v>86.257536587948721</v>
      </c>
      <c r="X49" s="194">
        <v>92.171129448760695</v>
      </c>
      <c r="Y49" s="194">
        <v>98.084722309572669</v>
      </c>
      <c r="Z49" s="194">
        <v>103.99831517038464</v>
      </c>
      <c r="AA49" s="194">
        <v>109.91190803119662</v>
      </c>
      <c r="AB49" s="194">
        <v>115.82550089200859</v>
      </c>
      <c r="AC49" s="194">
        <v>121.73909375282057</v>
      </c>
      <c r="AD49" s="194">
        <v>127.65268661363254</v>
      </c>
      <c r="AE49" s="195">
        <v>133.56627947444443</v>
      </c>
    </row>
    <row r="50" spans="1:31">
      <c r="A50" s="1929"/>
      <c r="B50" s="790">
        <v>1.4</v>
      </c>
      <c r="C50" s="784">
        <f>(R50*KFC!$B$34+KFC!$C$34)*KFC!$C$5</f>
        <v>57.635966065000005</v>
      </c>
      <c r="D50" s="784">
        <f>(S50*KFC!$B$34+KFC!$C$34)*KFC!$C$5</f>
        <v>63.786101140769233</v>
      </c>
      <c r="E50" s="784">
        <f>(T50*KFC!$B$34+KFC!$C$34)*KFC!$C$5</f>
        <v>69.936236216538461</v>
      </c>
      <c r="F50" s="784">
        <f>(U50*KFC!$B$34+KFC!$C$34)*KFC!$C$5</f>
        <v>76.086371292307689</v>
      </c>
      <c r="G50" s="784">
        <f>(V50*KFC!$B$34+KFC!$C$34)*KFC!$C$5</f>
        <v>82.236506368076917</v>
      </c>
      <c r="H50" s="784">
        <f>(W50*KFC!$B$34+KFC!$C$34)*KFC!$C$5</f>
        <v>88.386641443846159</v>
      </c>
      <c r="I50" s="784">
        <f>(X50*KFC!$B$34+KFC!$C$34)*KFC!$C$5</f>
        <v>94.536776519615387</v>
      </c>
      <c r="J50" s="784">
        <f>(Y50*KFC!$B$34+KFC!$C$34)*KFC!$C$5</f>
        <v>100.68691159538463</v>
      </c>
      <c r="K50" s="784">
        <f>(Z50*KFC!$B$34+KFC!$C$34)*KFC!$C$5</f>
        <v>106.83704667115386</v>
      </c>
      <c r="L50" s="784">
        <f>(AA50*KFC!$B$34+KFC!$C$34)*KFC!$C$5</f>
        <v>112.9871817469231</v>
      </c>
      <c r="M50" s="784">
        <f>(AB50*KFC!$B$34+KFC!$C$34)*KFC!$C$5</f>
        <v>119.13731682269234</v>
      </c>
      <c r="N50" s="784">
        <f>(AC50*KFC!$B$34+KFC!$C$34)*KFC!$C$5</f>
        <v>125.28745189846157</v>
      </c>
      <c r="O50" s="784">
        <f>(AD50*KFC!$B$34+KFC!$C$34)*KFC!$C$5</f>
        <v>131.43758697423081</v>
      </c>
      <c r="P50" s="785">
        <f>(AE50*KFC!$B$34+KFC!$C$34)*KFC!$C$5</f>
        <v>137.58772205</v>
      </c>
      <c r="R50" s="247">
        <v>57.635966065000005</v>
      </c>
      <c r="S50" s="194">
        <v>63.786101140769233</v>
      </c>
      <c r="T50" s="194">
        <v>69.936236216538461</v>
      </c>
      <c r="U50" s="194">
        <v>76.086371292307689</v>
      </c>
      <c r="V50" s="194">
        <v>82.236506368076917</v>
      </c>
      <c r="W50" s="194">
        <v>88.386641443846159</v>
      </c>
      <c r="X50" s="194">
        <v>94.536776519615387</v>
      </c>
      <c r="Y50" s="194">
        <v>100.68691159538463</v>
      </c>
      <c r="Z50" s="194">
        <v>106.83704667115386</v>
      </c>
      <c r="AA50" s="194">
        <v>112.9871817469231</v>
      </c>
      <c r="AB50" s="194">
        <v>119.13731682269234</v>
      </c>
      <c r="AC50" s="194">
        <v>125.28745189846157</v>
      </c>
      <c r="AD50" s="194">
        <v>131.43758697423081</v>
      </c>
      <c r="AE50" s="195">
        <v>137.58772205</v>
      </c>
    </row>
    <row r="51" spans="1:31">
      <c r="A51" s="1929"/>
      <c r="B51" s="790">
        <v>1.5</v>
      </c>
      <c r="C51" s="784">
        <f>(R51*KFC!$B$34+KFC!$C$34)*KFC!$C$5</f>
        <v>58.582359846111125</v>
      </c>
      <c r="D51" s="784">
        <f>(S51*KFC!$B$34+KFC!$C$34)*KFC!$C$5</f>
        <v>64.969037136837613</v>
      </c>
      <c r="E51" s="784">
        <f>(T51*KFC!$B$34+KFC!$C$34)*KFC!$C$5</f>
        <v>71.355714427564095</v>
      </c>
      <c r="F51" s="784">
        <f>(U51*KFC!$B$34+KFC!$C$34)*KFC!$C$5</f>
        <v>77.742391718290591</v>
      </c>
      <c r="G51" s="784">
        <f>(V51*KFC!$B$34+KFC!$C$34)*KFC!$C$5</f>
        <v>84.129069009017087</v>
      </c>
      <c r="H51" s="784">
        <f>(W51*KFC!$B$34+KFC!$C$34)*KFC!$C$5</f>
        <v>90.515746299743583</v>
      </c>
      <c r="I51" s="784">
        <f>(X51*KFC!$B$34+KFC!$C$34)*KFC!$C$5</f>
        <v>96.902423590470079</v>
      </c>
      <c r="J51" s="784">
        <f>(Y51*KFC!$B$34+KFC!$C$34)*KFC!$C$5</f>
        <v>103.28910088119659</v>
      </c>
      <c r="K51" s="784">
        <f>(Z51*KFC!$B$34+KFC!$C$34)*KFC!$C$5</f>
        <v>109.67577817192308</v>
      </c>
      <c r="L51" s="784">
        <f>(AA51*KFC!$B$34+KFC!$C$34)*KFC!$C$5</f>
        <v>116.06245546264958</v>
      </c>
      <c r="M51" s="784">
        <f>(AB51*KFC!$B$34+KFC!$C$34)*KFC!$C$5</f>
        <v>122.44913275337608</v>
      </c>
      <c r="N51" s="784">
        <f>(AC51*KFC!$B$34+KFC!$C$34)*KFC!$C$5</f>
        <v>128.83581004410257</v>
      </c>
      <c r="O51" s="784">
        <f>(AD51*KFC!$B$34+KFC!$C$34)*KFC!$C$5</f>
        <v>135.22248733482908</v>
      </c>
      <c r="P51" s="785">
        <f>(AE51*KFC!$B$34+KFC!$C$34)*KFC!$C$5</f>
        <v>141.60916462555554</v>
      </c>
      <c r="R51" s="247">
        <v>58.582359846111125</v>
      </c>
      <c r="S51" s="194">
        <v>64.969037136837613</v>
      </c>
      <c r="T51" s="194">
        <v>71.355714427564095</v>
      </c>
      <c r="U51" s="194">
        <v>77.742391718290591</v>
      </c>
      <c r="V51" s="194">
        <v>84.129069009017087</v>
      </c>
      <c r="W51" s="194">
        <v>90.515746299743583</v>
      </c>
      <c r="X51" s="194">
        <v>96.902423590470079</v>
      </c>
      <c r="Y51" s="194">
        <v>103.28910088119659</v>
      </c>
      <c r="Z51" s="194">
        <v>109.67577817192308</v>
      </c>
      <c r="AA51" s="194">
        <v>116.06245546264958</v>
      </c>
      <c r="AB51" s="194">
        <v>122.44913275337608</v>
      </c>
      <c r="AC51" s="194">
        <v>128.83581004410257</v>
      </c>
      <c r="AD51" s="194">
        <v>135.22248733482908</v>
      </c>
      <c r="AE51" s="195">
        <v>141.60916462555554</v>
      </c>
    </row>
    <row r="52" spans="1:31">
      <c r="A52" s="1929"/>
      <c r="B52" s="790">
        <v>1.6</v>
      </c>
      <c r="C52" s="784">
        <f>(R52*KFC!$B$34+KFC!$C$34)*KFC!$C$5</f>
        <v>59.528753627222237</v>
      </c>
      <c r="D52" s="784">
        <f>(S52*KFC!$B$34+KFC!$C$34)*KFC!$C$5</f>
        <v>66.151973132905994</v>
      </c>
      <c r="E52" s="784">
        <f>(T52*KFC!$B$34+KFC!$C$34)*KFC!$C$5</f>
        <v>72.775192638589758</v>
      </c>
      <c r="F52" s="784">
        <f>(U52*KFC!$B$34+KFC!$C$34)*KFC!$C$5</f>
        <v>79.398412144273522</v>
      </c>
      <c r="G52" s="784">
        <f>(V52*KFC!$B$34+KFC!$C$34)*KFC!$C$5</f>
        <v>86.021631649957286</v>
      </c>
      <c r="H52" s="784">
        <f>(W52*KFC!$B$34+KFC!$C$34)*KFC!$C$5</f>
        <v>92.644851155641049</v>
      </c>
      <c r="I52" s="784">
        <f>(X52*KFC!$B$34+KFC!$C$34)*KFC!$C$5</f>
        <v>99.268070661324813</v>
      </c>
      <c r="J52" s="784">
        <f>(Y52*KFC!$B$34+KFC!$C$34)*KFC!$C$5</f>
        <v>105.89129016700858</v>
      </c>
      <c r="K52" s="784">
        <f>(Z52*KFC!$B$34+KFC!$C$34)*KFC!$C$5</f>
        <v>112.51450967269234</v>
      </c>
      <c r="L52" s="784">
        <f>(AA52*KFC!$B$34+KFC!$C$34)*KFC!$C$5</f>
        <v>119.13772917837611</v>
      </c>
      <c r="M52" s="784">
        <f>(AB52*KFC!$B$34+KFC!$C$34)*KFC!$C$5</f>
        <v>125.76094868405987</v>
      </c>
      <c r="N52" s="784">
        <f>(AC52*KFC!$B$34+KFC!$C$34)*KFC!$C$5</f>
        <v>132.38416818974363</v>
      </c>
      <c r="O52" s="784">
        <f>(AD52*KFC!$B$34+KFC!$C$34)*KFC!$C$5</f>
        <v>139.00738769542738</v>
      </c>
      <c r="P52" s="785">
        <f>(AE52*KFC!$B$34+KFC!$C$34)*KFC!$C$5</f>
        <v>145.6306072011111</v>
      </c>
      <c r="R52" s="247">
        <v>59.528753627222237</v>
      </c>
      <c r="S52" s="194">
        <v>66.151973132905994</v>
      </c>
      <c r="T52" s="194">
        <v>72.775192638589758</v>
      </c>
      <c r="U52" s="194">
        <v>79.398412144273522</v>
      </c>
      <c r="V52" s="194">
        <v>86.021631649957286</v>
      </c>
      <c r="W52" s="194">
        <v>92.644851155641049</v>
      </c>
      <c r="X52" s="194">
        <v>99.268070661324813</v>
      </c>
      <c r="Y52" s="194">
        <v>105.89129016700858</v>
      </c>
      <c r="Z52" s="194">
        <v>112.51450967269234</v>
      </c>
      <c r="AA52" s="194">
        <v>119.13772917837611</v>
      </c>
      <c r="AB52" s="194">
        <v>125.76094868405987</v>
      </c>
      <c r="AC52" s="194">
        <v>132.38416818974363</v>
      </c>
      <c r="AD52" s="194">
        <v>139.00738769542738</v>
      </c>
      <c r="AE52" s="195">
        <v>145.6306072011111</v>
      </c>
    </row>
    <row r="53" spans="1:31">
      <c r="A53" s="1929"/>
      <c r="B53" s="790">
        <v>1.7</v>
      </c>
      <c r="C53" s="784">
        <f>(R53*KFC!$B$34+KFC!$C$34)*KFC!$C$5</f>
        <v>60.475147408333349</v>
      </c>
      <c r="D53" s="784">
        <f>(S53*KFC!$B$34+KFC!$C$34)*KFC!$C$5</f>
        <v>67.334909128974374</v>
      </c>
      <c r="E53" s="784">
        <f>(T53*KFC!$B$34+KFC!$C$34)*KFC!$C$5</f>
        <v>74.194670849615406</v>
      </c>
      <c r="F53" s="784">
        <f>(U53*KFC!$B$34+KFC!$C$34)*KFC!$C$5</f>
        <v>81.054432570256424</v>
      </c>
      <c r="G53" s="784">
        <f>(V53*KFC!$B$34+KFC!$C$34)*KFC!$C$5</f>
        <v>87.914194290897456</v>
      </c>
      <c r="H53" s="784">
        <f>(W53*KFC!$B$34+KFC!$C$34)*KFC!$C$5</f>
        <v>94.773956011538473</v>
      </c>
      <c r="I53" s="784">
        <f>(X53*KFC!$B$34+KFC!$C$34)*KFC!$C$5</f>
        <v>101.63371773217951</v>
      </c>
      <c r="J53" s="784">
        <f>(Y53*KFC!$B$34+KFC!$C$34)*KFC!$C$5</f>
        <v>108.49347945282054</v>
      </c>
      <c r="K53" s="784">
        <f>(Z53*KFC!$B$34+KFC!$C$34)*KFC!$C$5</f>
        <v>115.35324117346156</v>
      </c>
      <c r="L53" s="784">
        <f>(AA53*KFC!$B$34+KFC!$C$34)*KFC!$C$5</f>
        <v>122.21300289410259</v>
      </c>
      <c r="M53" s="784">
        <f>(AB53*KFC!$B$34+KFC!$C$34)*KFC!$C$5</f>
        <v>129.07276461474362</v>
      </c>
      <c r="N53" s="784">
        <f>(AC53*KFC!$B$34+KFC!$C$34)*KFC!$C$5</f>
        <v>135.93252633538464</v>
      </c>
      <c r="O53" s="784">
        <f>(AD53*KFC!$B$34+KFC!$C$34)*KFC!$C$5</f>
        <v>142.79228805602565</v>
      </c>
      <c r="P53" s="785">
        <f>(AE53*KFC!$B$34+KFC!$C$34)*KFC!$C$5</f>
        <v>149.65204977666664</v>
      </c>
      <c r="R53" s="247">
        <v>60.475147408333349</v>
      </c>
      <c r="S53" s="194">
        <v>67.334909128974374</v>
      </c>
      <c r="T53" s="194">
        <v>74.194670849615406</v>
      </c>
      <c r="U53" s="194">
        <v>81.054432570256424</v>
      </c>
      <c r="V53" s="194">
        <v>87.914194290897456</v>
      </c>
      <c r="W53" s="194">
        <v>94.773956011538473</v>
      </c>
      <c r="X53" s="194">
        <v>101.63371773217951</v>
      </c>
      <c r="Y53" s="194">
        <v>108.49347945282054</v>
      </c>
      <c r="Z53" s="194">
        <v>115.35324117346156</v>
      </c>
      <c r="AA53" s="194">
        <v>122.21300289410259</v>
      </c>
      <c r="AB53" s="194">
        <v>129.07276461474362</v>
      </c>
      <c r="AC53" s="194">
        <v>135.93252633538464</v>
      </c>
      <c r="AD53" s="194">
        <v>142.79228805602565</v>
      </c>
      <c r="AE53" s="195">
        <v>149.65204977666664</v>
      </c>
    </row>
    <row r="54" spans="1:31">
      <c r="A54" s="1929"/>
      <c r="B54" s="790">
        <v>1.8</v>
      </c>
      <c r="C54" s="784">
        <f>(R54*KFC!$B$34+KFC!$C$34)*KFC!$C$5</f>
        <v>61.421541189444461</v>
      </c>
      <c r="D54" s="784">
        <f>(S54*KFC!$B$34+KFC!$C$34)*KFC!$C$5</f>
        <v>68.517845125042754</v>
      </c>
      <c r="E54" s="784">
        <f>(T54*KFC!$B$34+KFC!$C$34)*KFC!$C$5</f>
        <v>75.61414906064104</v>
      </c>
      <c r="F54" s="784">
        <f>(U54*KFC!$B$34+KFC!$C$34)*KFC!$C$5</f>
        <v>82.710452996239326</v>
      </c>
      <c r="G54" s="784">
        <f>(V54*KFC!$B$34+KFC!$C$34)*KFC!$C$5</f>
        <v>89.806756931837612</v>
      </c>
      <c r="H54" s="784">
        <f>(W54*KFC!$B$34+KFC!$C$34)*KFC!$C$5</f>
        <v>96.903060867435912</v>
      </c>
      <c r="I54" s="784">
        <f>(X54*KFC!$B$34+KFC!$C$34)*KFC!$C$5</f>
        <v>103.9993648030342</v>
      </c>
      <c r="J54" s="784">
        <f>(Y54*KFC!$B$34+KFC!$C$34)*KFC!$C$5</f>
        <v>111.09566873863248</v>
      </c>
      <c r="K54" s="784">
        <f>(Z54*KFC!$B$34+KFC!$C$34)*KFC!$C$5</f>
        <v>118.19197267423078</v>
      </c>
      <c r="L54" s="784">
        <f>(AA54*KFC!$B$34+KFC!$C$34)*KFC!$C$5</f>
        <v>125.28827660982907</v>
      </c>
      <c r="M54" s="784">
        <f>(AB54*KFC!$B$34+KFC!$C$34)*KFC!$C$5</f>
        <v>132.38458054542735</v>
      </c>
      <c r="N54" s="784">
        <f>(AC54*KFC!$B$34+KFC!$C$34)*KFC!$C$5</f>
        <v>139.48088448102564</v>
      </c>
      <c r="O54" s="784">
        <f>(AD54*KFC!$B$34+KFC!$C$34)*KFC!$C$5</f>
        <v>146.57718841662393</v>
      </c>
      <c r="P54" s="785">
        <f>(AE54*KFC!$B$34+KFC!$C$34)*KFC!$C$5</f>
        <v>153.67349235222221</v>
      </c>
      <c r="R54" s="247">
        <v>61.421541189444461</v>
      </c>
      <c r="S54" s="194">
        <v>68.517845125042754</v>
      </c>
      <c r="T54" s="194">
        <v>75.61414906064104</v>
      </c>
      <c r="U54" s="194">
        <v>82.710452996239326</v>
      </c>
      <c r="V54" s="194">
        <v>89.806756931837612</v>
      </c>
      <c r="W54" s="194">
        <v>96.903060867435912</v>
      </c>
      <c r="X54" s="194">
        <v>103.9993648030342</v>
      </c>
      <c r="Y54" s="194">
        <v>111.09566873863248</v>
      </c>
      <c r="Z54" s="194">
        <v>118.19197267423078</v>
      </c>
      <c r="AA54" s="194">
        <v>125.28827660982907</v>
      </c>
      <c r="AB54" s="194">
        <v>132.38458054542735</v>
      </c>
      <c r="AC54" s="194">
        <v>139.48088448102564</v>
      </c>
      <c r="AD54" s="194">
        <v>146.57718841662393</v>
      </c>
      <c r="AE54" s="195">
        <v>153.67349235222221</v>
      </c>
    </row>
    <row r="55" spans="1:31">
      <c r="A55" s="1929"/>
      <c r="B55" s="790">
        <v>1.9</v>
      </c>
      <c r="C55" s="784">
        <f>(R55*KFC!$B$34+KFC!$C$34)*KFC!$C$5</f>
        <v>62.367934970555574</v>
      </c>
      <c r="D55" s="784">
        <f>(S55*KFC!$B$34+KFC!$C$34)*KFC!$C$5</f>
        <v>69.70078112111112</v>
      </c>
      <c r="E55" s="784">
        <f>(T55*KFC!$B$34+KFC!$C$34)*KFC!$C$5</f>
        <v>77.033627271666674</v>
      </c>
      <c r="F55" s="784">
        <f>(U55*KFC!$B$34+KFC!$C$34)*KFC!$C$5</f>
        <v>84.366473422222228</v>
      </c>
      <c r="G55" s="784">
        <f>(V55*KFC!$B$34+KFC!$C$34)*KFC!$C$5</f>
        <v>91.699319572777782</v>
      </c>
      <c r="H55" s="784">
        <f>(W55*KFC!$B$34+KFC!$C$34)*KFC!$C$5</f>
        <v>99.032165723333335</v>
      </c>
      <c r="I55" s="784">
        <f>(X55*KFC!$B$34+KFC!$C$34)*KFC!$C$5</f>
        <v>106.36501187388889</v>
      </c>
      <c r="J55" s="784">
        <f>(Y55*KFC!$B$34+KFC!$C$34)*KFC!$C$5</f>
        <v>113.69785802444444</v>
      </c>
      <c r="K55" s="784">
        <f>(Z55*KFC!$B$34+KFC!$C$34)*KFC!$C$5</f>
        <v>121.030704175</v>
      </c>
      <c r="L55" s="784">
        <f>(AA55*KFC!$B$34+KFC!$C$34)*KFC!$C$5</f>
        <v>128.36355032555554</v>
      </c>
      <c r="M55" s="784">
        <f>(AB55*KFC!$B$34+KFC!$C$34)*KFC!$C$5</f>
        <v>135.69639647611109</v>
      </c>
      <c r="N55" s="784">
        <f>(AC55*KFC!$B$34+KFC!$C$34)*KFC!$C$5</f>
        <v>143.02924262666664</v>
      </c>
      <c r="O55" s="784">
        <f>(AD55*KFC!$B$34+KFC!$C$34)*KFC!$C$5</f>
        <v>150.3620887772222</v>
      </c>
      <c r="P55" s="785">
        <f>(AE55*KFC!$B$34+KFC!$C$34)*KFC!$C$5</f>
        <v>157.69493492777775</v>
      </c>
      <c r="R55" s="247">
        <v>62.367934970555574</v>
      </c>
      <c r="S55" s="194">
        <v>69.70078112111112</v>
      </c>
      <c r="T55" s="194">
        <v>77.033627271666674</v>
      </c>
      <c r="U55" s="194">
        <v>84.366473422222228</v>
      </c>
      <c r="V55" s="194">
        <v>91.699319572777782</v>
      </c>
      <c r="W55" s="194">
        <v>99.032165723333335</v>
      </c>
      <c r="X55" s="194">
        <v>106.36501187388889</v>
      </c>
      <c r="Y55" s="194">
        <v>113.69785802444444</v>
      </c>
      <c r="Z55" s="194">
        <v>121.030704175</v>
      </c>
      <c r="AA55" s="194">
        <v>128.36355032555554</v>
      </c>
      <c r="AB55" s="194">
        <v>135.69639647611109</v>
      </c>
      <c r="AC55" s="194">
        <v>143.02924262666664</v>
      </c>
      <c r="AD55" s="194">
        <v>150.3620887772222</v>
      </c>
      <c r="AE55" s="195">
        <v>157.69493492777775</v>
      </c>
    </row>
    <row r="56" spans="1:31">
      <c r="A56" s="1929"/>
      <c r="B56" s="790">
        <v>2</v>
      </c>
      <c r="C56" s="784">
        <f>(R56*KFC!$B$34+KFC!$C$34)*KFC!$C$5</f>
        <v>63.314328751666686</v>
      </c>
      <c r="D56" s="784">
        <f>(S56*KFC!$B$34+KFC!$C$34)*KFC!$C$5</f>
        <v>70.883717117179501</v>
      </c>
      <c r="E56" s="784">
        <f>(T56*KFC!$B$34+KFC!$C$34)*KFC!$C$5</f>
        <v>78.453105482692322</v>
      </c>
      <c r="F56" s="784">
        <f>(U56*KFC!$B$34+KFC!$C$34)*KFC!$C$5</f>
        <v>86.02249384820513</v>
      </c>
      <c r="G56" s="784">
        <f>(V56*KFC!$B$34+KFC!$C$34)*KFC!$C$5</f>
        <v>93.591882213717952</v>
      </c>
      <c r="H56" s="784">
        <f>(W56*KFC!$B$34+KFC!$C$34)*KFC!$C$5</f>
        <v>101.16127057923076</v>
      </c>
      <c r="I56" s="784">
        <f>(X56*KFC!$B$34+KFC!$C$34)*KFC!$C$5</f>
        <v>108.73065894474358</v>
      </c>
      <c r="J56" s="784">
        <f>(Y56*KFC!$B$34+KFC!$C$34)*KFC!$C$5</f>
        <v>116.3000473102564</v>
      </c>
      <c r="K56" s="784">
        <f>(Z56*KFC!$B$34+KFC!$C$34)*KFC!$C$5</f>
        <v>123.86943567576921</v>
      </c>
      <c r="L56" s="784">
        <f>(AA56*KFC!$B$34+KFC!$C$34)*KFC!$C$5</f>
        <v>131.43882404128203</v>
      </c>
      <c r="M56" s="784">
        <f>(AB56*KFC!$B$34+KFC!$C$34)*KFC!$C$5</f>
        <v>139.00821240679485</v>
      </c>
      <c r="N56" s="784">
        <f>(AC56*KFC!$B$34+KFC!$C$34)*KFC!$C$5</f>
        <v>146.57760077230768</v>
      </c>
      <c r="O56" s="784">
        <f>(AD56*KFC!$B$34+KFC!$C$34)*KFC!$C$5</f>
        <v>154.14698913782047</v>
      </c>
      <c r="P56" s="785">
        <f>(AE56*KFC!$B$34+KFC!$C$34)*KFC!$C$5</f>
        <v>161.71637750333332</v>
      </c>
      <c r="R56" s="247">
        <v>63.314328751666686</v>
      </c>
      <c r="S56" s="194">
        <v>70.883717117179501</v>
      </c>
      <c r="T56" s="194">
        <v>78.453105482692322</v>
      </c>
      <c r="U56" s="194">
        <v>86.02249384820513</v>
      </c>
      <c r="V56" s="194">
        <v>93.591882213717952</v>
      </c>
      <c r="W56" s="194">
        <v>101.16127057923076</v>
      </c>
      <c r="X56" s="194">
        <v>108.73065894474358</v>
      </c>
      <c r="Y56" s="194">
        <v>116.3000473102564</v>
      </c>
      <c r="Z56" s="194">
        <v>123.86943567576921</v>
      </c>
      <c r="AA56" s="194">
        <v>131.43882404128203</v>
      </c>
      <c r="AB56" s="194">
        <v>139.00821240679485</v>
      </c>
      <c r="AC56" s="194">
        <v>146.57760077230768</v>
      </c>
      <c r="AD56" s="194">
        <v>154.14698913782047</v>
      </c>
      <c r="AE56" s="195">
        <v>161.71637750333332</v>
      </c>
    </row>
    <row r="57" spans="1:31">
      <c r="A57" s="1929"/>
      <c r="B57" s="790">
        <v>2.1</v>
      </c>
      <c r="C57" s="784">
        <f>(R57*KFC!$B$34+KFC!$C$34)*KFC!$C$5</f>
        <v>64.260722532777791</v>
      </c>
      <c r="D57" s="784">
        <f>(S57*KFC!$B$34+KFC!$C$34)*KFC!$C$5</f>
        <v>72.066653113247881</v>
      </c>
      <c r="E57" s="784">
        <f>(T57*KFC!$B$34+KFC!$C$34)*KFC!$C$5</f>
        <v>79.872583693717957</v>
      </c>
      <c r="F57" s="784">
        <f>(U57*KFC!$B$34+KFC!$C$34)*KFC!$C$5</f>
        <v>87.678514274188032</v>
      </c>
      <c r="G57" s="784">
        <f>(V57*KFC!$B$34+KFC!$C$34)*KFC!$C$5</f>
        <v>95.484444854658122</v>
      </c>
      <c r="H57" s="784">
        <f>(W57*KFC!$B$34+KFC!$C$34)*KFC!$C$5</f>
        <v>103.2903754351282</v>
      </c>
      <c r="I57" s="784">
        <f>(X57*KFC!$B$34+KFC!$C$34)*KFC!$C$5</f>
        <v>111.09630601559827</v>
      </c>
      <c r="J57" s="784">
        <f>(Y57*KFC!$B$34+KFC!$C$34)*KFC!$C$5</f>
        <v>118.90223659606835</v>
      </c>
      <c r="K57" s="784">
        <f>(Z57*KFC!$B$34+KFC!$C$34)*KFC!$C$5</f>
        <v>126.70816717653844</v>
      </c>
      <c r="L57" s="784">
        <f>(AA57*KFC!$B$34+KFC!$C$34)*KFC!$C$5</f>
        <v>134.51409775700853</v>
      </c>
      <c r="M57" s="784">
        <f>(AB57*KFC!$B$34+KFC!$C$34)*KFC!$C$5</f>
        <v>142.32002833747859</v>
      </c>
      <c r="N57" s="784">
        <f>(AC57*KFC!$B$34+KFC!$C$34)*KFC!$C$5</f>
        <v>150.12595891794868</v>
      </c>
      <c r="O57" s="784">
        <f>(AD57*KFC!$B$34+KFC!$C$34)*KFC!$C$5</f>
        <v>157.93188949841874</v>
      </c>
      <c r="P57" s="785">
        <f>(AE57*KFC!$B$34+KFC!$C$34)*KFC!$C$5</f>
        <v>165.73782007888886</v>
      </c>
      <c r="R57" s="247">
        <v>64.260722532777791</v>
      </c>
      <c r="S57" s="194">
        <v>72.066653113247881</v>
      </c>
      <c r="T57" s="194">
        <v>79.872583693717957</v>
      </c>
      <c r="U57" s="194">
        <v>87.678514274188032</v>
      </c>
      <c r="V57" s="194">
        <v>95.484444854658122</v>
      </c>
      <c r="W57" s="194">
        <v>103.2903754351282</v>
      </c>
      <c r="X57" s="194">
        <v>111.09630601559827</v>
      </c>
      <c r="Y57" s="194">
        <v>118.90223659606835</v>
      </c>
      <c r="Z57" s="194">
        <v>126.70816717653844</v>
      </c>
      <c r="AA57" s="194">
        <v>134.51409775700853</v>
      </c>
      <c r="AB57" s="194">
        <v>142.32002833747859</v>
      </c>
      <c r="AC57" s="194">
        <v>150.12595891794868</v>
      </c>
      <c r="AD57" s="194">
        <v>157.93188949841874</v>
      </c>
      <c r="AE57" s="195">
        <v>165.73782007888886</v>
      </c>
    </row>
    <row r="58" spans="1:31">
      <c r="A58" s="1929"/>
      <c r="B58" s="790">
        <v>2.2000000000000002</v>
      </c>
      <c r="C58" s="784">
        <f>(R58*KFC!$B$34+KFC!$C$34)*KFC!$C$5</f>
        <v>65.207116313888903</v>
      </c>
      <c r="D58" s="784">
        <f>(S58*KFC!$B$34+KFC!$C$34)*KFC!$C$5</f>
        <v>73.249589109316247</v>
      </c>
      <c r="E58" s="784">
        <f>(T58*KFC!$B$34+KFC!$C$34)*KFC!$C$5</f>
        <v>81.292061904743591</v>
      </c>
      <c r="F58" s="784">
        <f>(U58*KFC!$B$34+KFC!$C$34)*KFC!$C$5</f>
        <v>89.334534700170934</v>
      </c>
      <c r="G58" s="784">
        <f>(V58*KFC!$B$34+KFC!$C$34)*KFC!$C$5</f>
        <v>97.377007495598278</v>
      </c>
      <c r="H58" s="784">
        <f>(W58*KFC!$B$34+KFC!$C$34)*KFC!$C$5</f>
        <v>105.41948029102562</v>
      </c>
      <c r="I58" s="784">
        <f>(X58*KFC!$B$34+KFC!$C$34)*KFC!$C$5</f>
        <v>113.46195308645297</v>
      </c>
      <c r="J58" s="784">
        <f>(Y58*KFC!$B$34+KFC!$C$34)*KFC!$C$5</f>
        <v>121.50442588188031</v>
      </c>
      <c r="K58" s="784">
        <f>(Z58*KFC!$B$34+KFC!$C$34)*KFC!$C$5</f>
        <v>129.54689867730767</v>
      </c>
      <c r="L58" s="784">
        <f>(AA58*KFC!$B$34+KFC!$C$34)*KFC!$C$5</f>
        <v>137.589371472735</v>
      </c>
      <c r="M58" s="784">
        <f>(AB58*KFC!$B$34+KFC!$C$34)*KFC!$C$5</f>
        <v>145.63184426816235</v>
      </c>
      <c r="N58" s="784">
        <f>(AC58*KFC!$B$34+KFC!$C$34)*KFC!$C$5</f>
        <v>153.67431706358968</v>
      </c>
      <c r="O58" s="784">
        <f>(AD58*KFC!$B$34+KFC!$C$34)*KFC!$C$5</f>
        <v>161.71678985901701</v>
      </c>
      <c r="P58" s="785">
        <f>(AE58*KFC!$B$34+KFC!$C$34)*KFC!$C$5</f>
        <v>169.75926265444443</v>
      </c>
      <c r="R58" s="247">
        <v>65.207116313888903</v>
      </c>
      <c r="S58" s="194">
        <v>73.249589109316247</v>
      </c>
      <c r="T58" s="194">
        <v>81.292061904743591</v>
      </c>
      <c r="U58" s="194">
        <v>89.334534700170934</v>
      </c>
      <c r="V58" s="194">
        <v>97.377007495598278</v>
      </c>
      <c r="W58" s="194">
        <v>105.41948029102562</v>
      </c>
      <c r="X58" s="194">
        <v>113.46195308645297</v>
      </c>
      <c r="Y58" s="194">
        <v>121.50442588188031</v>
      </c>
      <c r="Z58" s="194">
        <v>129.54689867730767</v>
      </c>
      <c r="AA58" s="194">
        <v>137.589371472735</v>
      </c>
      <c r="AB58" s="194">
        <v>145.63184426816235</v>
      </c>
      <c r="AC58" s="194">
        <v>153.67431706358968</v>
      </c>
      <c r="AD58" s="194">
        <v>161.71678985901701</v>
      </c>
      <c r="AE58" s="195">
        <v>169.75926265444443</v>
      </c>
    </row>
    <row r="59" spans="1:31">
      <c r="A59" s="1929"/>
      <c r="B59" s="790">
        <v>2.2999999999999998</v>
      </c>
      <c r="C59" s="784">
        <f>(R59*KFC!$B$34+KFC!$C$34)*KFC!$C$5</f>
        <v>66.153510095000016</v>
      </c>
      <c r="D59" s="784">
        <f>(S59*KFC!$B$34+KFC!$C$34)*KFC!$C$5</f>
        <v>74.432525105384642</v>
      </c>
      <c r="E59" s="784">
        <f>(T59*KFC!$B$34+KFC!$C$34)*KFC!$C$5</f>
        <v>82.711540115769253</v>
      </c>
      <c r="F59" s="784">
        <f>(U59*KFC!$B$34+KFC!$C$34)*KFC!$C$5</f>
        <v>90.990555126153865</v>
      </c>
      <c r="G59" s="784">
        <f>(V59*KFC!$B$34+KFC!$C$34)*KFC!$C$5</f>
        <v>99.269570136538462</v>
      </c>
      <c r="H59" s="784">
        <f>(W59*KFC!$B$34+KFC!$C$34)*KFC!$C$5</f>
        <v>107.54858514692307</v>
      </c>
      <c r="I59" s="784">
        <f>(X59*KFC!$B$34+KFC!$C$34)*KFC!$C$5</f>
        <v>115.82760015730769</v>
      </c>
      <c r="J59" s="784">
        <f>(Y59*KFC!$B$34+KFC!$C$34)*KFC!$C$5</f>
        <v>124.10661516769228</v>
      </c>
      <c r="K59" s="784">
        <f>(Z59*KFC!$B$34+KFC!$C$34)*KFC!$C$5</f>
        <v>132.38563017807689</v>
      </c>
      <c r="L59" s="784">
        <f>(AA59*KFC!$B$34+KFC!$C$34)*KFC!$C$5</f>
        <v>140.66464518846149</v>
      </c>
      <c r="M59" s="784">
        <f>(AB59*KFC!$B$34+KFC!$C$34)*KFC!$C$5</f>
        <v>148.94366019884612</v>
      </c>
      <c r="N59" s="784">
        <f>(AC59*KFC!$B$34+KFC!$C$34)*KFC!$C$5</f>
        <v>157.22267520923072</v>
      </c>
      <c r="O59" s="784">
        <f>(AD59*KFC!$B$34+KFC!$C$34)*KFC!$C$5</f>
        <v>165.50169021961531</v>
      </c>
      <c r="P59" s="785">
        <f>(AE59*KFC!$B$34+KFC!$C$34)*KFC!$C$5</f>
        <v>173.78070522999997</v>
      </c>
      <c r="R59" s="247">
        <v>66.153510095000016</v>
      </c>
      <c r="S59" s="194">
        <v>74.432525105384642</v>
      </c>
      <c r="T59" s="194">
        <v>82.711540115769253</v>
      </c>
      <c r="U59" s="194">
        <v>90.990555126153865</v>
      </c>
      <c r="V59" s="194">
        <v>99.269570136538462</v>
      </c>
      <c r="W59" s="194">
        <v>107.54858514692307</v>
      </c>
      <c r="X59" s="194">
        <v>115.82760015730769</v>
      </c>
      <c r="Y59" s="194">
        <v>124.10661516769228</v>
      </c>
      <c r="Z59" s="194">
        <v>132.38563017807689</v>
      </c>
      <c r="AA59" s="194">
        <v>140.66464518846149</v>
      </c>
      <c r="AB59" s="194">
        <v>148.94366019884612</v>
      </c>
      <c r="AC59" s="194">
        <v>157.22267520923072</v>
      </c>
      <c r="AD59" s="194">
        <v>165.50169021961531</v>
      </c>
      <c r="AE59" s="195">
        <v>173.78070522999997</v>
      </c>
    </row>
    <row r="60" spans="1:31">
      <c r="A60" s="1929"/>
      <c r="B60" s="790">
        <v>2.4</v>
      </c>
      <c r="C60" s="784">
        <f>(R60*KFC!$B$34+KFC!$C$34)*KFC!$C$5</f>
        <v>67.099903876111128</v>
      </c>
      <c r="D60" s="784">
        <f>(S60*KFC!$B$34+KFC!$C$34)*KFC!$C$5</f>
        <v>75.615461101453008</v>
      </c>
      <c r="E60" s="784">
        <f>(T60*KFC!$B$34+KFC!$C$34)*KFC!$C$5</f>
        <v>84.131018326794887</v>
      </c>
      <c r="F60" s="784">
        <f>(U60*KFC!$B$34+KFC!$C$34)*KFC!$C$5</f>
        <v>92.646575552136767</v>
      </c>
      <c r="G60" s="784">
        <f>(V60*KFC!$B$34+KFC!$C$34)*KFC!$C$5</f>
        <v>101.16213277747863</v>
      </c>
      <c r="H60" s="784">
        <f>(W60*KFC!$B$34+KFC!$C$34)*KFC!$C$5</f>
        <v>109.6776900028205</v>
      </c>
      <c r="I60" s="784">
        <f>(X60*KFC!$B$34+KFC!$C$34)*KFC!$C$5</f>
        <v>118.19324722816238</v>
      </c>
      <c r="J60" s="784">
        <f>(Y60*KFC!$B$34+KFC!$C$34)*KFC!$C$5</f>
        <v>126.70880445350424</v>
      </c>
      <c r="K60" s="784">
        <f>(Z60*KFC!$B$34+KFC!$C$34)*KFC!$C$5</f>
        <v>135.22436167884612</v>
      </c>
      <c r="L60" s="784">
        <f>(AA60*KFC!$B$34+KFC!$C$34)*KFC!$C$5</f>
        <v>143.73991890418799</v>
      </c>
      <c r="M60" s="784">
        <f>(AB60*KFC!$B$34+KFC!$C$34)*KFC!$C$5</f>
        <v>152.25547612952985</v>
      </c>
      <c r="N60" s="784">
        <f>(AC60*KFC!$B$34+KFC!$C$34)*KFC!$C$5</f>
        <v>160.77103335487172</v>
      </c>
      <c r="O60" s="784">
        <f>(AD60*KFC!$B$34+KFC!$C$34)*KFC!$C$5</f>
        <v>169.28659058021361</v>
      </c>
      <c r="P60" s="785">
        <f>(AE60*KFC!$B$34+KFC!$C$34)*KFC!$C$5</f>
        <v>177.80214780555553</v>
      </c>
      <c r="R60" s="247">
        <v>67.099903876111128</v>
      </c>
      <c r="S60" s="194">
        <v>75.615461101453008</v>
      </c>
      <c r="T60" s="194">
        <v>84.131018326794887</v>
      </c>
      <c r="U60" s="194">
        <v>92.646575552136767</v>
      </c>
      <c r="V60" s="194">
        <v>101.16213277747863</v>
      </c>
      <c r="W60" s="194">
        <v>109.6776900028205</v>
      </c>
      <c r="X60" s="194">
        <v>118.19324722816238</v>
      </c>
      <c r="Y60" s="194">
        <v>126.70880445350424</v>
      </c>
      <c r="Z60" s="194">
        <v>135.22436167884612</v>
      </c>
      <c r="AA60" s="194">
        <v>143.73991890418799</v>
      </c>
      <c r="AB60" s="194">
        <v>152.25547612952985</v>
      </c>
      <c r="AC60" s="194">
        <v>160.77103335487172</v>
      </c>
      <c r="AD60" s="194">
        <v>169.28659058021361</v>
      </c>
      <c r="AE60" s="195">
        <v>177.80214780555553</v>
      </c>
    </row>
    <row r="61" spans="1:31">
      <c r="A61" s="1929"/>
      <c r="B61" s="790">
        <v>2.5</v>
      </c>
      <c r="C61" s="784">
        <f>(R61*KFC!$B$34+KFC!$C$34)*KFC!$C$5</f>
        <v>68.04629765722224</v>
      </c>
      <c r="D61" s="784">
        <f>(S61*KFC!$B$34+KFC!$C$34)*KFC!$C$5</f>
        <v>76.798397097521388</v>
      </c>
      <c r="E61" s="784">
        <f>(T61*KFC!$B$34+KFC!$C$34)*KFC!$C$5</f>
        <v>85.550496537820536</v>
      </c>
      <c r="F61" s="784">
        <f>(U61*KFC!$B$34+KFC!$C$34)*KFC!$C$5</f>
        <v>94.302595978119669</v>
      </c>
      <c r="G61" s="784">
        <f>(V61*KFC!$B$34+KFC!$C$34)*KFC!$C$5</f>
        <v>103.0546954184188</v>
      </c>
      <c r="H61" s="784">
        <f>(W61*KFC!$B$34+KFC!$C$34)*KFC!$C$5</f>
        <v>111.80679485871794</v>
      </c>
      <c r="I61" s="784">
        <f>(X61*KFC!$B$34+KFC!$C$34)*KFC!$C$5</f>
        <v>120.55889429901707</v>
      </c>
      <c r="J61" s="784">
        <f>(Y61*KFC!$B$34+KFC!$C$34)*KFC!$C$5</f>
        <v>129.31099373931619</v>
      </c>
      <c r="K61" s="784">
        <f>(Z61*KFC!$B$34+KFC!$C$34)*KFC!$C$5</f>
        <v>138.06309317961532</v>
      </c>
      <c r="L61" s="784">
        <f>(AA61*KFC!$B$34+KFC!$C$34)*KFC!$C$5</f>
        <v>146.81519261991446</v>
      </c>
      <c r="M61" s="784">
        <f>(AB61*KFC!$B$34+KFC!$C$34)*KFC!$C$5</f>
        <v>155.56729206021359</v>
      </c>
      <c r="N61" s="784">
        <f>(AC61*KFC!$B$34+KFC!$C$34)*KFC!$C$5</f>
        <v>164.31939150051272</v>
      </c>
      <c r="O61" s="784">
        <f>(AD61*KFC!$B$34+KFC!$C$34)*KFC!$C$5</f>
        <v>173.07149094081186</v>
      </c>
      <c r="P61" s="785">
        <f>(AE61*KFC!$B$34+KFC!$C$34)*KFC!$C$5</f>
        <v>181.8235903811111</v>
      </c>
      <c r="R61" s="247">
        <v>68.04629765722224</v>
      </c>
      <c r="S61" s="194">
        <v>76.798397097521388</v>
      </c>
      <c r="T61" s="194">
        <v>85.550496537820536</v>
      </c>
      <c r="U61" s="194">
        <v>94.302595978119669</v>
      </c>
      <c r="V61" s="194">
        <v>103.0546954184188</v>
      </c>
      <c r="W61" s="194">
        <v>111.80679485871794</v>
      </c>
      <c r="X61" s="194">
        <v>120.55889429901707</v>
      </c>
      <c r="Y61" s="194">
        <v>129.31099373931619</v>
      </c>
      <c r="Z61" s="194">
        <v>138.06309317961532</v>
      </c>
      <c r="AA61" s="194">
        <v>146.81519261991446</v>
      </c>
      <c r="AB61" s="194">
        <v>155.56729206021359</v>
      </c>
      <c r="AC61" s="194">
        <v>164.31939150051272</v>
      </c>
      <c r="AD61" s="194">
        <v>173.07149094081186</v>
      </c>
      <c r="AE61" s="195">
        <v>181.8235903811111</v>
      </c>
    </row>
    <row r="62" spans="1:31">
      <c r="A62" s="1929"/>
      <c r="B62" s="790">
        <v>2.6</v>
      </c>
      <c r="C62" s="784">
        <f>(R62*KFC!$B$34+KFC!$C$34)*KFC!$C$5</f>
        <v>68.992691438333352</v>
      </c>
      <c r="D62" s="784">
        <f>(S62*KFC!$B$34+KFC!$C$34)*KFC!$C$5</f>
        <v>77.981333093589768</v>
      </c>
      <c r="E62" s="784">
        <f>(T62*KFC!$B$34+KFC!$C$34)*KFC!$C$5</f>
        <v>86.96997474884617</v>
      </c>
      <c r="F62" s="784">
        <f>(U62*KFC!$B$34+KFC!$C$34)*KFC!$C$5</f>
        <v>95.958616404102585</v>
      </c>
      <c r="G62" s="784">
        <f>(V62*KFC!$B$34+KFC!$C$34)*KFC!$C$5</f>
        <v>104.947258059359</v>
      </c>
      <c r="H62" s="784">
        <f>(W62*KFC!$B$34+KFC!$C$34)*KFC!$C$5</f>
        <v>113.93589971461542</v>
      </c>
      <c r="I62" s="784">
        <f>(X62*KFC!$B$34+KFC!$C$34)*KFC!$C$5</f>
        <v>122.92454136987183</v>
      </c>
      <c r="J62" s="784">
        <f>(Y62*KFC!$B$34+KFC!$C$34)*KFC!$C$5</f>
        <v>131.91318302512823</v>
      </c>
      <c r="K62" s="784">
        <f>(Z62*KFC!$B$34+KFC!$C$34)*KFC!$C$5</f>
        <v>140.90182468038466</v>
      </c>
      <c r="L62" s="784">
        <f>(AA62*KFC!$B$34+KFC!$C$34)*KFC!$C$5</f>
        <v>149.89046633564107</v>
      </c>
      <c r="M62" s="784">
        <f>(AB62*KFC!$B$34+KFC!$C$34)*KFC!$C$5</f>
        <v>158.8791079908975</v>
      </c>
      <c r="N62" s="784">
        <f>(AC62*KFC!$B$34+KFC!$C$34)*KFC!$C$5</f>
        <v>167.8677496461539</v>
      </c>
      <c r="O62" s="784">
        <f>(AD62*KFC!$B$34+KFC!$C$34)*KFC!$C$5</f>
        <v>176.8563913014103</v>
      </c>
      <c r="P62" s="785">
        <f>(AE62*KFC!$B$34+KFC!$C$34)*KFC!$C$5</f>
        <v>185.84503295666664</v>
      </c>
      <c r="R62" s="247">
        <v>68.992691438333352</v>
      </c>
      <c r="S62" s="194">
        <v>77.981333093589768</v>
      </c>
      <c r="T62" s="194">
        <v>86.96997474884617</v>
      </c>
      <c r="U62" s="194">
        <v>95.958616404102585</v>
      </c>
      <c r="V62" s="194">
        <v>104.947258059359</v>
      </c>
      <c r="W62" s="194">
        <v>113.93589971461542</v>
      </c>
      <c r="X62" s="194">
        <v>122.92454136987183</v>
      </c>
      <c r="Y62" s="194">
        <v>131.91318302512823</v>
      </c>
      <c r="Z62" s="194">
        <v>140.90182468038466</v>
      </c>
      <c r="AA62" s="194">
        <v>149.89046633564107</v>
      </c>
      <c r="AB62" s="194">
        <v>158.8791079908975</v>
      </c>
      <c r="AC62" s="194">
        <v>167.8677496461539</v>
      </c>
      <c r="AD62" s="194">
        <v>176.8563913014103</v>
      </c>
      <c r="AE62" s="195">
        <v>185.84503295666664</v>
      </c>
    </row>
    <row r="63" spans="1:31">
      <c r="A63" s="1929"/>
      <c r="B63" s="790">
        <v>2.7</v>
      </c>
      <c r="C63" s="784">
        <f>(R63*KFC!$B$34+KFC!$C$34)*KFC!$C$5</f>
        <v>69.939085219444465</v>
      </c>
      <c r="D63" s="784">
        <f>(S63*KFC!$B$34+KFC!$C$34)*KFC!$C$5</f>
        <v>79.164269089658134</v>
      </c>
      <c r="E63" s="784">
        <f>(T63*KFC!$B$34+KFC!$C$34)*KFC!$C$5</f>
        <v>88.389452959871804</v>
      </c>
      <c r="F63" s="784">
        <f>(U63*KFC!$B$34+KFC!$C$34)*KFC!$C$5</f>
        <v>97.614636830085487</v>
      </c>
      <c r="G63" s="784">
        <f>(V63*KFC!$B$34+KFC!$C$34)*KFC!$C$5</f>
        <v>106.83982070029917</v>
      </c>
      <c r="H63" s="784">
        <f>(W63*KFC!$B$34+KFC!$C$34)*KFC!$C$5</f>
        <v>116.06500457051284</v>
      </c>
      <c r="I63" s="784">
        <f>(X63*KFC!$B$34+KFC!$C$34)*KFC!$C$5</f>
        <v>125.29018844072652</v>
      </c>
      <c r="J63" s="784">
        <f>(Y63*KFC!$B$34+KFC!$C$34)*KFC!$C$5</f>
        <v>134.51537231094019</v>
      </c>
      <c r="K63" s="784">
        <f>(Z63*KFC!$B$34+KFC!$C$34)*KFC!$C$5</f>
        <v>143.74055618115389</v>
      </c>
      <c r="L63" s="784">
        <f>(AA63*KFC!$B$34+KFC!$C$34)*KFC!$C$5</f>
        <v>152.96574005136756</v>
      </c>
      <c r="M63" s="784">
        <f>(AB63*KFC!$B$34+KFC!$C$34)*KFC!$C$5</f>
        <v>162.19092392158123</v>
      </c>
      <c r="N63" s="784">
        <f>(AC63*KFC!$B$34+KFC!$C$34)*KFC!$C$5</f>
        <v>171.41610779179493</v>
      </c>
      <c r="O63" s="784">
        <f>(AD63*KFC!$B$34+KFC!$C$34)*KFC!$C$5</f>
        <v>180.6412916620086</v>
      </c>
      <c r="P63" s="785">
        <f>(AE63*KFC!$B$34+KFC!$C$34)*KFC!$C$5</f>
        <v>189.86647553222221</v>
      </c>
      <c r="R63" s="247">
        <v>69.939085219444465</v>
      </c>
      <c r="S63" s="194">
        <v>79.164269089658134</v>
      </c>
      <c r="T63" s="194">
        <v>88.389452959871804</v>
      </c>
      <c r="U63" s="194">
        <v>97.614636830085487</v>
      </c>
      <c r="V63" s="194">
        <v>106.83982070029917</v>
      </c>
      <c r="W63" s="194">
        <v>116.06500457051284</v>
      </c>
      <c r="X63" s="194">
        <v>125.29018844072652</v>
      </c>
      <c r="Y63" s="194">
        <v>134.51537231094019</v>
      </c>
      <c r="Z63" s="194">
        <v>143.74055618115389</v>
      </c>
      <c r="AA63" s="194">
        <v>152.96574005136756</v>
      </c>
      <c r="AB63" s="194">
        <v>162.19092392158123</v>
      </c>
      <c r="AC63" s="194">
        <v>171.41610779179493</v>
      </c>
      <c r="AD63" s="194">
        <v>180.6412916620086</v>
      </c>
      <c r="AE63" s="195">
        <v>189.86647553222221</v>
      </c>
    </row>
    <row r="64" spans="1:31">
      <c r="A64" s="1929"/>
      <c r="B64" s="790">
        <v>2.8</v>
      </c>
      <c r="C64" s="784">
        <f>(R64*KFC!$B$34+KFC!$C$34)*KFC!$C$5</f>
        <v>70.885479000555577</v>
      </c>
      <c r="D64" s="784">
        <f>(S64*KFC!$B$34+KFC!$C$34)*KFC!$C$5</f>
        <v>80.347205085726515</v>
      </c>
      <c r="E64" s="784">
        <f>(T64*KFC!$B$34+KFC!$C$34)*KFC!$C$5</f>
        <v>89.808931170897452</v>
      </c>
      <c r="F64" s="784">
        <f>(U64*KFC!$B$34+KFC!$C$34)*KFC!$C$5</f>
        <v>99.27065725606839</v>
      </c>
      <c r="G64" s="784">
        <f>(V64*KFC!$B$34+KFC!$C$34)*KFC!$C$5</f>
        <v>108.73238334123933</v>
      </c>
      <c r="H64" s="784">
        <f>(W64*KFC!$B$34+KFC!$C$34)*KFC!$C$5</f>
        <v>118.19410942641028</v>
      </c>
      <c r="I64" s="784">
        <f>(X64*KFC!$B$34+KFC!$C$34)*KFC!$C$5</f>
        <v>127.65583551158122</v>
      </c>
      <c r="J64" s="784">
        <f>(Y64*KFC!$B$34+KFC!$C$34)*KFC!$C$5</f>
        <v>137.11756159675215</v>
      </c>
      <c r="K64" s="784">
        <f>(Z64*KFC!$B$34+KFC!$C$34)*KFC!$C$5</f>
        <v>146.57928768192309</v>
      </c>
      <c r="L64" s="784">
        <f>(AA64*KFC!$B$34+KFC!$C$34)*KFC!$C$5</f>
        <v>156.04101376709403</v>
      </c>
      <c r="M64" s="784">
        <f>(AB64*KFC!$B$34+KFC!$C$34)*KFC!$C$5</f>
        <v>165.50273985226499</v>
      </c>
      <c r="N64" s="784">
        <f>(AC64*KFC!$B$34+KFC!$C$34)*KFC!$C$5</f>
        <v>174.9644659374359</v>
      </c>
      <c r="O64" s="784">
        <f>(AD64*KFC!$B$34+KFC!$C$34)*KFC!$C$5</f>
        <v>184.42619202260684</v>
      </c>
      <c r="P64" s="785">
        <f>(AE64*KFC!$B$34+KFC!$C$34)*KFC!$C$5</f>
        <v>193.88791810777775</v>
      </c>
      <c r="R64" s="247">
        <v>70.885479000555577</v>
      </c>
      <c r="S64" s="194">
        <v>80.347205085726515</v>
      </c>
      <c r="T64" s="194">
        <v>89.808931170897452</v>
      </c>
      <c r="U64" s="194">
        <v>99.27065725606839</v>
      </c>
      <c r="V64" s="194">
        <v>108.73238334123933</v>
      </c>
      <c r="W64" s="194">
        <v>118.19410942641028</v>
      </c>
      <c r="X64" s="194">
        <v>127.65583551158122</v>
      </c>
      <c r="Y64" s="194">
        <v>137.11756159675215</v>
      </c>
      <c r="Z64" s="194">
        <v>146.57928768192309</v>
      </c>
      <c r="AA64" s="194">
        <v>156.04101376709403</v>
      </c>
      <c r="AB64" s="194">
        <v>165.50273985226499</v>
      </c>
      <c r="AC64" s="194">
        <v>174.9644659374359</v>
      </c>
      <c r="AD64" s="194">
        <v>184.42619202260684</v>
      </c>
      <c r="AE64" s="195">
        <v>193.88791810777775</v>
      </c>
    </row>
    <row r="65" spans="1:31">
      <c r="A65" s="1929"/>
      <c r="B65" s="790">
        <v>2.9</v>
      </c>
      <c r="C65" s="784">
        <f>(R65*KFC!$B$34+KFC!$C$34)*KFC!$C$5</f>
        <v>71.831872781666704</v>
      </c>
      <c r="D65" s="784">
        <f>(S65*KFC!$B$34+KFC!$C$34)*KFC!$C$5</f>
        <v>81.530141081794895</v>
      </c>
      <c r="E65" s="784">
        <f>(T65*KFC!$B$34+KFC!$C$34)*KFC!$C$5</f>
        <v>91.2284093819231</v>
      </c>
      <c r="F65" s="784">
        <f>(U65*KFC!$B$34+KFC!$C$34)*KFC!$C$5</f>
        <v>100.92667768205131</v>
      </c>
      <c r="G65" s="784">
        <f>(V65*KFC!$B$34+KFC!$C$34)*KFC!$C$5</f>
        <v>110.62494598217951</v>
      </c>
      <c r="H65" s="784">
        <f>(W65*KFC!$B$34+KFC!$C$34)*KFC!$C$5</f>
        <v>120.32321428230772</v>
      </c>
      <c r="I65" s="784">
        <f>(X65*KFC!$B$34+KFC!$C$34)*KFC!$C$5</f>
        <v>130.02148258243594</v>
      </c>
      <c r="J65" s="784">
        <f>(Y65*KFC!$B$34+KFC!$C$34)*KFC!$C$5</f>
        <v>139.71975088256414</v>
      </c>
      <c r="K65" s="784">
        <f>(Z65*KFC!$B$34+KFC!$C$34)*KFC!$C$5</f>
        <v>149.41801918269235</v>
      </c>
      <c r="L65" s="784">
        <f>(AA65*KFC!$B$34+KFC!$C$34)*KFC!$C$5</f>
        <v>159.11628748282055</v>
      </c>
      <c r="M65" s="784">
        <f>(AB65*KFC!$B$34+KFC!$C$34)*KFC!$C$5</f>
        <v>168.81455578294873</v>
      </c>
      <c r="N65" s="784">
        <f>(AC65*KFC!$B$34+KFC!$C$34)*KFC!$C$5</f>
        <v>178.51282408307694</v>
      </c>
      <c r="O65" s="784">
        <f>(AD65*KFC!$B$34+KFC!$C$34)*KFC!$C$5</f>
        <v>188.21109238320514</v>
      </c>
      <c r="P65" s="785">
        <f>(AE65*KFC!$B$34+KFC!$C$34)*KFC!$C$5</f>
        <v>197.90936068333332</v>
      </c>
      <c r="R65" s="247">
        <v>71.831872781666704</v>
      </c>
      <c r="S65" s="194">
        <v>81.530141081794895</v>
      </c>
      <c r="T65" s="194">
        <v>91.2284093819231</v>
      </c>
      <c r="U65" s="194">
        <v>100.92667768205131</v>
      </c>
      <c r="V65" s="194">
        <v>110.62494598217951</v>
      </c>
      <c r="W65" s="194">
        <v>120.32321428230772</v>
      </c>
      <c r="X65" s="194">
        <v>130.02148258243594</v>
      </c>
      <c r="Y65" s="194">
        <v>139.71975088256414</v>
      </c>
      <c r="Z65" s="194">
        <v>149.41801918269235</v>
      </c>
      <c r="AA65" s="194">
        <v>159.11628748282055</v>
      </c>
      <c r="AB65" s="194">
        <v>168.81455578294873</v>
      </c>
      <c r="AC65" s="194">
        <v>178.51282408307694</v>
      </c>
      <c r="AD65" s="194">
        <v>188.21109238320514</v>
      </c>
      <c r="AE65" s="195">
        <v>197.90936068333332</v>
      </c>
    </row>
    <row r="66" spans="1:31">
      <c r="A66" s="1929"/>
      <c r="B66" s="790">
        <v>3</v>
      </c>
      <c r="C66" s="784">
        <f>(R66*KFC!$B$34+KFC!$C$34)*KFC!$C$5</f>
        <v>72.778266562777816</v>
      </c>
      <c r="D66" s="784">
        <f>(S66*KFC!$B$34+KFC!$C$34)*KFC!$C$5</f>
        <v>82.713077077863275</v>
      </c>
      <c r="E66" s="784">
        <f>(T66*KFC!$B$34+KFC!$C$34)*KFC!$C$5</f>
        <v>92.647887592948749</v>
      </c>
      <c r="F66" s="784">
        <f>(U66*KFC!$B$34+KFC!$C$34)*KFC!$C$5</f>
        <v>102.58269810803421</v>
      </c>
      <c r="G66" s="784">
        <f>(V66*KFC!$B$34+KFC!$C$34)*KFC!$C$5</f>
        <v>112.51750862311968</v>
      </c>
      <c r="H66" s="784">
        <f>(W66*KFC!$B$34+KFC!$C$34)*KFC!$C$5</f>
        <v>122.45231913820516</v>
      </c>
      <c r="I66" s="784">
        <f>(X66*KFC!$B$34+KFC!$C$34)*KFC!$C$5</f>
        <v>132.38712965329063</v>
      </c>
      <c r="J66" s="784">
        <f>(Y66*KFC!$B$34+KFC!$C$34)*KFC!$C$5</f>
        <v>142.3219401683761</v>
      </c>
      <c r="K66" s="784">
        <f>(Z66*KFC!$B$34+KFC!$C$34)*KFC!$C$5</f>
        <v>152.25675068346155</v>
      </c>
      <c r="L66" s="784">
        <f>(AA66*KFC!$B$34+KFC!$C$34)*KFC!$C$5</f>
        <v>162.19156119854702</v>
      </c>
      <c r="M66" s="784">
        <f>(AB66*KFC!$B$34+KFC!$C$34)*KFC!$C$5</f>
        <v>172.12637171363249</v>
      </c>
      <c r="N66" s="784">
        <f>(AC66*KFC!$B$34+KFC!$C$34)*KFC!$C$5</f>
        <v>182.06118222871797</v>
      </c>
      <c r="O66" s="784">
        <f>(AD66*KFC!$B$34+KFC!$C$34)*KFC!$C$5</f>
        <v>191.99599274380344</v>
      </c>
      <c r="P66" s="785">
        <f>(AE66*KFC!$B$34+KFC!$C$34)*KFC!$C$5</f>
        <v>201.93080325888886</v>
      </c>
      <c r="R66" s="247">
        <v>72.778266562777816</v>
      </c>
      <c r="S66" s="194">
        <v>82.713077077863275</v>
      </c>
      <c r="T66" s="194">
        <v>92.647887592948749</v>
      </c>
      <c r="U66" s="194">
        <v>102.58269810803421</v>
      </c>
      <c r="V66" s="194">
        <v>112.51750862311968</v>
      </c>
      <c r="W66" s="194">
        <v>122.45231913820516</v>
      </c>
      <c r="X66" s="194">
        <v>132.38712965329063</v>
      </c>
      <c r="Y66" s="194">
        <v>142.3219401683761</v>
      </c>
      <c r="Z66" s="194">
        <v>152.25675068346155</v>
      </c>
      <c r="AA66" s="194">
        <v>162.19156119854702</v>
      </c>
      <c r="AB66" s="194">
        <v>172.12637171363249</v>
      </c>
      <c r="AC66" s="194">
        <v>182.06118222871797</v>
      </c>
      <c r="AD66" s="194">
        <v>191.99599274380344</v>
      </c>
      <c r="AE66" s="195">
        <v>201.93080325888886</v>
      </c>
    </row>
    <row r="67" spans="1:31">
      <c r="A67" s="1929"/>
      <c r="B67" s="790">
        <v>3.1</v>
      </c>
      <c r="C67" s="784">
        <f>(R67*KFC!$B$34+KFC!$C$34)*KFC!$C$5</f>
        <v>73.724660343888928</v>
      </c>
      <c r="D67" s="784">
        <f>(S67*KFC!$B$34+KFC!$C$34)*KFC!$C$5</f>
        <v>83.896013073931655</v>
      </c>
      <c r="E67" s="784">
        <f>(T67*KFC!$B$34+KFC!$C$34)*KFC!$C$5</f>
        <v>94.067365803974383</v>
      </c>
      <c r="F67" s="784">
        <f>(U67*KFC!$B$34+KFC!$C$34)*KFC!$C$5</f>
        <v>104.23871853401711</v>
      </c>
      <c r="G67" s="784">
        <f>(V67*KFC!$B$34+KFC!$C$34)*KFC!$C$5</f>
        <v>114.41007126405985</v>
      </c>
      <c r="H67" s="784">
        <f>(W67*KFC!$B$34+KFC!$C$34)*KFC!$C$5</f>
        <v>124.58142399410258</v>
      </c>
      <c r="I67" s="784">
        <f>(X67*KFC!$B$34+KFC!$C$34)*KFC!$C$5</f>
        <v>134.75277672414532</v>
      </c>
      <c r="J67" s="784">
        <f>(Y67*KFC!$B$34+KFC!$C$34)*KFC!$C$5</f>
        <v>144.92412945418803</v>
      </c>
      <c r="K67" s="784">
        <f>(Z67*KFC!$B$34+KFC!$C$34)*KFC!$C$5</f>
        <v>155.09548218423078</v>
      </c>
      <c r="L67" s="784">
        <f>(AA67*KFC!$B$34+KFC!$C$34)*KFC!$C$5</f>
        <v>165.26683491427352</v>
      </c>
      <c r="M67" s="784">
        <f>(AB67*KFC!$B$34+KFC!$C$34)*KFC!$C$5</f>
        <v>175.43818764431623</v>
      </c>
      <c r="N67" s="784">
        <f>(AC67*KFC!$B$34+KFC!$C$34)*KFC!$C$5</f>
        <v>185.60954037435894</v>
      </c>
      <c r="O67" s="784">
        <f>(AD67*KFC!$B$34+KFC!$C$34)*KFC!$C$5</f>
        <v>195.78089310440168</v>
      </c>
      <c r="P67" s="785">
        <f>(AE67*KFC!$B$34+KFC!$C$34)*KFC!$C$5</f>
        <v>205.95224583444443</v>
      </c>
      <c r="R67" s="247">
        <v>73.724660343888928</v>
      </c>
      <c r="S67" s="194">
        <v>83.896013073931655</v>
      </c>
      <c r="T67" s="194">
        <v>94.067365803974383</v>
      </c>
      <c r="U67" s="194">
        <v>104.23871853401711</v>
      </c>
      <c r="V67" s="194">
        <v>114.41007126405985</v>
      </c>
      <c r="W67" s="194">
        <v>124.58142399410258</v>
      </c>
      <c r="X67" s="194">
        <v>134.75277672414532</v>
      </c>
      <c r="Y67" s="194">
        <v>144.92412945418803</v>
      </c>
      <c r="Z67" s="194">
        <v>155.09548218423078</v>
      </c>
      <c r="AA67" s="194">
        <v>165.26683491427352</v>
      </c>
      <c r="AB67" s="194">
        <v>175.43818764431623</v>
      </c>
      <c r="AC67" s="194">
        <v>185.60954037435894</v>
      </c>
      <c r="AD67" s="194">
        <v>195.78089310440168</v>
      </c>
      <c r="AE67" s="195">
        <v>205.95224583444443</v>
      </c>
    </row>
    <row r="68" spans="1:31" ht="13.8" thickBot="1">
      <c r="A68" s="1930"/>
      <c r="B68" s="791">
        <v>3.2</v>
      </c>
      <c r="C68" s="787">
        <f>(R68*KFC!$B$34+KFC!$C$34)*KFC!$C$5</f>
        <v>74.671054124999998</v>
      </c>
      <c r="D68" s="787">
        <f>(S68*KFC!$B$34+KFC!$C$34)*KFC!$C$5</f>
        <v>85.078949069999993</v>
      </c>
      <c r="E68" s="787">
        <f>(T68*KFC!$B$34+KFC!$C$34)*KFC!$C$5</f>
        <v>95.486844014999988</v>
      </c>
      <c r="F68" s="787">
        <f>(U68*KFC!$B$34+KFC!$C$34)*KFC!$C$5</f>
        <v>105.89473895999998</v>
      </c>
      <c r="G68" s="787">
        <f>(V68*KFC!$B$34+KFC!$C$34)*KFC!$C$5</f>
        <v>116.30263390499998</v>
      </c>
      <c r="H68" s="787">
        <f>(W68*KFC!$B$34+KFC!$C$34)*KFC!$C$5</f>
        <v>126.71052884999997</v>
      </c>
      <c r="I68" s="787">
        <f>(X68*KFC!$B$34+KFC!$C$34)*KFC!$C$5</f>
        <v>137.11842379499996</v>
      </c>
      <c r="J68" s="787">
        <f>(Y68*KFC!$B$34+KFC!$C$34)*KFC!$C$5</f>
        <v>147.52631873999997</v>
      </c>
      <c r="K68" s="787">
        <f>(Z68*KFC!$B$34+KFC!$C$34)*KFC!$C$5</f>
        <v>157.93421368499995</v>
      </c>
      <c r="L68" s="787">
        <f>(AA68*KFC!$B$34+KFC!$C$34)*KFC!$C$5</f>
        <v>168.34210862999996</v>
      </c>
      <c r="M68" s="787">
        <f>(AB68*KFC!$B$34+KFC!$C$34)*KFC!$C$5</f>
        <v>178.75000357499994</v>
      </c>
      <c r="N68" s="787">
        <f>(AC68*KFC!$B$34+KFC!$C$34)*KFC!$C$5</f>
        <v>189.15789851999995</v>
      </c>
      <c r="O68" s="787">
        <f>(AD68*KFC!$B$34+KFC!$C$34)*KFC!$C$5</f>
        <v>199.56579346499993</v>
      </c>
      <c r="P68" s="788">
        <f>(AE68*KFC!$B$34+KFC!$C$34)*KFC!$C$5</f>
        <v>209.97368840999999</v>
      </c>
      <c r="R68" s="248">
        <v>74.671054124999998</v>
      </c>
      <c r="S68" s="196">
        <v>85.078949069999993</v>
      </c>
      <c r="T68" s="196">
        <v>95.486844014999988</v>
      </c>
      <c r="U68" s="196">
        <v>105.89473895999998</v>
      </c>
      <c r="V68" s="196">
        <v>116.30263390499998</v>
      </c>
      <c r="W68" s="196">
        <v>126.71052884999997</v>
      </c>
      <c r="X68" s="196">
        <v>137.11842379499996</v>
      </c>
      <c r="Y68" s="196">
        <v>147.52631873999997</v>
      </c>
      <c r="Z68" s="196">
        <v>157.93421368499995</v>
      </c>
      <c r="AA68" s="196">
        <v>168.34210862999996</v>
      </c>
      <c r="AB68" s="196">
        <v>178.75000357499994</v>
      </c>
      <c r="AC68" s="196">
        <v>189.15789851999995</v>
      </c>
      <c r="AD68" s="196">
        <v>199.56579346499993</v>
      </c>
      <c r="AE68" s="197">
        <v>209.97368840999999</v>
      </c>
    </row>
    <row r="69" spans="1:31" ht="13.8" thickBot="1">
      <c r="A69" s="777"/>
      <c r="B69" s="777"/>
      <c r="C69" s="777"/>
      <c r="D69" s="777"/>
      <c r="E69" s="777"/>
      <c r="F69" s="777"/>
      <c r="G69" s="777"/>
      <c r="H69" s="777"/>
      <c r="I69" s="777"/>
      <c r="J69" s="777"/>
      <c r="K69" s="777"/>
      <c r="L69" s="777"/>
      <c r="M69" s="777"/>
      <c r="N69" s="777"/>
      <c r="O69" s="777"/>
      <c r="P69" s="777"/>
    </row>
    <row r="70" spans="1:31" ht="13.8" thickBot="1">
      <c r="A70" s="1931" t="s">
        <v>318</v>
      </c>
      <c r="B70" s="1932"/>
      <c r="C70" s="1935" t="s">
        <v>207</v>
      </c>
      <c r="D70" s="1936"/>
      <c r="E70" s="1936"/>
      <c r="F70" s="1936"/>
      <c r="G70" s="1936"/>
      <c r="H70" s="1936"/>
      <c r="I70" s="1936"/>
      <c r="J70" s="1936"/>
      <c r="K70" s="1936"/>
      <c r="L70" s="1936"/>
      <c r="M70" s="1936"/>
      <c r="N70" s="1936"/>
      <c r="O70" s="1936"/>
      <c r="P70" s="1937"/>
    </row>
    <row r="71" spans="1:31" ht="13.8" thickBot="1">
      <c r="A71" s="1933"/>
      <c r="B71" s="1934"/>
      <c r="C71" s="778">
        <v>0.4</v>
      </c>
      <c r="D71" s="779">
        <v>0.5</v>
      </c>
      <c r="E71" s="779">
        <v>0.6</v>
      </c>
      <c r="F71" s="779">
        <v>0.7</v>
      </c>
      <c r="G71" s="779">
        <v>0.8</v>
      </c>
      <c r="H71" s="779">
        <v>0.9</v>
      </c>
      <c r="I71" s="779">
        <v>1</v>
      </c>
      <c r="J71" s="779">
        <v>1.1000000000000001</v>
      </c>
      <c r="K71" s="779">
        <v>1.2</v>
      </c>
      <c r="L71" s="779">
        <v>1.3</v>
      </c>
      <c r="M71" s="779">
        <v>1.4</v>
      </c>
      <c r="N71" s="779">
        <v>1.5</v>
      </c>
      <c r="O71" s="779">
        <v>1.6</v>
      </c>
      <c r="P71" s="780">
        <v>1.7</v>
      </c>
    </row>
    <row r="72" spans="1:31">
      <c r="A72" s="1928" t="s">
        <v>3</v>
      </c>
      <c r="B72" s="789">
        <v>0.5</v>
      </c>
      <c r="C72" s="784">
        <f>(R72*KFC!$B$34+KFC!$C$34)*KFC!$C$5</f>
        <v>51.026316809999997</v>
      </c>
      <c r="D72" s="784">
        <f>(S72*KFC!$B$34+KFC!$C$34)*KFC!$C$5</f>
        <v>55.525304754230774</v>
      </c>
      <c r="E72" s="784">
        <f>(T72*KFC!$B$34+KFC!$C$34)*KFC!$C$5</f>
        <v>60.024292698461544</v>
      </c>
      <c r="F72" s="784">
        <f>(U72*KFC!$B$34+KFC!$C$34)*KFC!$C$5</f>
        <v>64.523280642692313</v>
      </c>
      <c r="G72" s="784">
        <f>(V72*KFC!$B$34+KFC!$C$34)*KFC!$C$5</f>
        <v>69.02226858692309</v>
      </c>
      <c r="H72" s="784">
        <f>(W72*KFC!$B$34+KFC!$C$34)*KFC!$C$5</f>
        <v>73.521256531153867</v>
      </c>
      <c r="I72" s="784">
        <f>(X72*KFC!$B$34+KFC!$C$34)*KFC!$C$5</f>
        <v>78.020244475384644</v>
      </c>
      <c r="J72" s="784">
        <f>(Y72*KFC!$B$34+KFC!$C$34)*KFC!$C$5</f>
        <v>82.519232419615406</v>
      </c>
      <c r="K72" s="784">
        <f>(Z72*KFC!$B$34+KFC!$C$34)*KFC!$C$5</f>
        <v>87.018220363846183</v>
      </c>
      <c r="L72" s="784">
        <f>(AA72*KFC!$B$34+KFC!$C$34)*KFC!$C$5</f>
        <v>91.517208308076945</v>
      </c>
      <c r="M72" s="784">
        <f>(AB72*KFC!$B$34+KFC!$C$34)*KFC!$C$5</f>
        <v>96.016196252307708</v>
      </c>
      <c r="N72" s="784">
        <f>(AC72*KFC!$B$34+KFC!$C$34)*KFC!$C$5</f>
        <v>100.51518419653847</v>
      </c>
      <c r="O72" s="784">
        <f>(AD72*KFC!$B$34+KFC!$C$34)*KFC!$C$5</f>
        <v>105.01417214076923</v>
      </c>
      <c r="P72" s="785">
        <f>(AE72*KFC!$B$34+KFC!$C$34)*KFC!$C$5</f>
        <v>109.513160085</v>
      </c>
      <c r="R72" s="246">
        <v>51.026316809999997</v>
      </c>
      <c r="S72" s="192">
        <v>55.525304754230774</v>
      </c>
      <c r="T72" s="192">
        <v>60.024292698461544</v>
      </c>
      <c r="U72" s="192">
        <v>64.523280642692313</v>
      </c>
      <c r="V72" s="192">
        <v>69.02226858692309</v>
      </c>
      <c r="W72" s="192">
        <v>73.521256531153867</v>
      </c>
      <c r="X72" s="192">
        <v>78.020244475384644</v>
      </c>
      <c r="Y72" s="192">
        <v>82.519232419615406</v>
      </c>
      <c r="Z72" s="192">
        <v>87.018220363846183</v>
      </c>
      <c r="AA72" s="192">
        <v>91.517208308076945</v>
      </c>
      <c r="AB72" s="192">
        <v>96.016196252307708</v>
      </c>
      <c r="AC72" s="192">
        <v>100.51518419653847</v>
      </c>
      <c r="AD72" s="192">
        <v>105.01417214076923</v>
      </c>
      <c r="AE72" s="193">
        <v>109.513160085</v>
      </c>
    </row>
    <row r="73" spans="1:31">
      <c r="A73" s="1929"/>
      <c r="B73" s="790">
        <v>0.6</v>
      </c>
      <c r="C73" s="784">
        <f>(R73*KFC!$B$34+KFC!$C$34)*KFC!$C$5</f>
        <v>52.290936718333327</v>
      </c>
      <c r="D73" s="784">
        <f>(S73*KFC!$B$34+KFC!$C$34)*KFC!$C$5</f>
        <v>57.106089011367516</v>
      </c>
      <c r="E73" s="784">
        <f>(T73*KFC!$B$34+KFC!$C$34)*KFC!$C$5</f>
        <v>61.921241304401704</v>
      </c>
      <c r="F73" s="784">
        <f>(U73*KFC!$B$34+KFC!$C$34)*KFC!$C$5</f>
        <v>66.736393597435892</v>
      </c>
      <c r="G73" s="784">
        <f>(V73*KFC!$B$34+KFC!$C$34)*KFC!$C$5</f>
        <v>71.551545890470081</v>
      </c>
      <c r="H73" s="784">
        <f>(W73*KFC!$B$34+KFC!$C$34)*KFC!$C$5</f>
        <v>76.366698183504269</v>
      </c>
      <c r="I73" s="784">
        <f>(X73*KFC!$B$34+KFC!$C$34)*KFC!$C$5</f>
        <v>81.181850476538457</v>
      </c>
      <c r="J73" s="784">
        <f>(Y73*KFC!$B$34+KFC!$C$34)*KFC!$C$5</f>
        <v>85.997002769572646</v>
      </c>
      <c r="K73" s="784">
        <f>(Z73*KFC!$B$34+KFC!$C$34)*KFC!$C$5</f>
        <v>90.812155062606834</v>
      </c>
      <c r="L73" s="784">
        <f>(AA73*KFC!$B$34+KFC!$C$34)*KFC!$C$5</f>
        <v>95.627307355641022</v>
      </c>
      <c r="M73" s="784">
        <f>(AB73*KFC!$B$34+KFC!$C$34)*KFC!$C$5</f>
        <v>100.44245964867523</v>
      </c>
      <c r="N73" s="784">
        <f>(AC73*KFC!$B$34+KFC!$C$34)*KFC!$C$5</f>
        <v>105.25761194170941</v>
      </c>
      <c r="O73" s="784">
        <f>(AD73*KFC!$B$34+KFC!$C$34)*KFC!$C$5</f>
        <v>110.0727642347436</v>
      </c>
      <c r="P73" s="785">
        <f>(AE73*KFC!$B$34+KFC!$C$34)*KFC!$C$5</f>
        <v>114.88791652777779</v>
      </c>
      <c r="R73" s="247">
        <v>52.290936718333327</v>
      </c>
      <c r="S73" s="194">
        <v>57.106089011367516</v>
      </c>
      <c r="T73" s="194">
        <v>61.921241304401704</v>
      </c>
      <c r="U73" s="194">
        <v>66.736393597435892</v>
      </c>
      <c r="V73" s="194">
        <v>71.551545890470081</v>
      </c>
      <c r="W73" s="194">
        <v>76.366698183504269</v>
      </c>
      <c r="X73" s="194">
        <v>81.181850476538457</v>
      </c>
      <c r="Y73" s="194">
        <v>85.997002769572646</v>
      </c>
      <c r="Z73" s="194">
        <v>90.812155062606834</v>
      </c>
      <c r="AA73" s="194">
        <v>95.627307355641022</v>
      </c>
      <c r="AB73" s="194">
        <v>100.44245964867523</v>
      </c>
      <c r="AC73" s="194">
        <v>105.25761194170941</v>
      </c>
      <c r="AD73" s="194">
        <v>110.0727642347436</v>
      </c>
      <c r="AE73" s="195">
        <v>114.88791652777779</v>
      </c>
    </row>
    <row r="74" spans="1:31">
      <c r="A74" s="1929"/>
      <c r="B74" s="790">
        <v>0.7</v>
      </c>
      <c r="C74" s="784">
        <f>(R74*KFC!$B$34+KFC!$C$34)*KFC!$C$5</f>
        <v>53.555556626666657</v>
      </c>
      <c r="D74" s="784">
        <f>(S74*KFC!$B$34+KFC!$C$34)*KFC!$C$5</f>
        <v>58.686873268504264</v>
      </c>
      <c r="E74" s="784">
        <f>(T74*KFC!$B$34+KFC!$C$34)*KFC!$C$5</f>
        <v>63.818189910341871</v>
      </c>
      <c r="F74" s="784">
        <f>(U74*KFC!$B$34+KFC!$C$34)*KFC!$C$5</f>
        <v>68.949506552179471</v>
      </c>
      <c r="G74" s="784">
        <f>(V74*KFC!$B$34+KFC!$C$34)*KFC!$C$5</f>
        <v>74.080823194017086</v>
      </c>
      <c r="H74" s="784">
        <f>(W74*KFC!$B$34+KFC!$C$34)*KFC!$C$5</f>
        <v>79.212139835854686</v>
      </c>
      <c r="I74" s="784">
        <f>(X74*KFC!$B$34+KFC!$C$34)*KFC!$C$5</f>
        <v>84.343456477692285</v>
      </c>
      <c r="J74" s="784">
        <f>(Y74*KFC!$B$34+KFC!$C$34)*KFC!$C$5</f>
        <v>89.4747731195299</v>
      </c>
      <c r="K74" s="784">
        <f>(Z74*KFC!$B$34+KFC!$C$34)*KFC!$C$5</f>
        <v>94.606089761367514</v>
      </c>
      <c r="L74" s="784">
        <f>(AA74*KFC!$B$34+KFC!$C$34)*KFC!$C$5</f>
        <v>99.737406403205128</v>
      </c>
      <c r="M74" s="784">
        <f>(AB74*KFC!$B$34+KFC!$C$34)*KFC!$C$5</f>
        <v>104.86872304504274</v>
      </c>
      <c r="N74" s="784">
        <f>(AC74*KFC!$B$34+KFC!$C$34)*KFC!$C$5</f>
        <v>110.00003968688036</v>
      </c>
      <c r="O74" s="784">
        <f>(AD74*KFC!$B$34+KFC!$C$34)*KFC!$C$5</f>
        <v>115.13135632871797</v>
      </c>
      <c r="P74" s="785">
        <f>(AE74*KFC!$B$34+KFC!$C$34)*KFC!$C$5</f>
        <v>120.26267297055557</v>
      </c>
      <c r="R74" s="247">
        <v>53.555556626666657</v>
      </c>
      <c r="S74" s="194">
        <v>58.686873268504264</v>
      </c>
      <c r="T74" s="194">
        <v>63.818189910341871</v>
      </c>
      <c r="U74" s="194">
        <v>68.949506552179471</v>
      </c>
      <c r="V74" s="194">
        <v>74.080823194017086</v>
      </c>
      <c r="W74" s="194">
        <v>79.212139835854686</v>
      </c>
      <c r="X74" s="194">
        <v>84.343456477692285</v>
      </c>
      <c r="Y74" s="194">
        <v>89.4747731195299</v>
      </c>
      <c r="Z74" s="194">
        <v>94.606089761367514</v>
      </c>
      <c r="AA74" s="194">
        <v>99.737406403205128</v>
      </c>
      <c r="AB74" s="194">
        <v>104.86872304504274</v>
      </c>
      <c r="AC74" s="194">
        <v>110.00003968688036</v>
      </c>
      <c r="AD74" s="194">
        <v>115.13135632871797</v>
      </c>
      <c r="AE74" s="195">
        <v>120.26267297055557</v>
      </c>
    </row>
    <row r="75" spans="1:31">
      <c r="A75" s="1929"/>
      <c r="B75" s="790">
        <v>0.8</v>
      </c>
      <c r="C75" s="784">
        <f>(R75*KFC!$B$34+KFC!$C$34)*KFC!$C$5</f>
        <v>54.820176534999987</v>
      </c>
      <c r="D75" s="784">
        <f>(S75*KFC!$B$34+KFC!$C$34)*KFC!$C$5</f>
        <v>60.26765752564102</v>
      </c>
      <c r="E75" s="784">
        <f>(T75*KFC!$B$34+KFC!$C$34)*KFC!$C$5</f>
        <v>65.715138516282053</v>
      </c>
      <c r="F75" s="784">
        <f>(U75*KFC!$B$34+KFC!$C$34)*KFC!$C$5</f>
        <v>71.162619506923079</v>
      </c>
      <c r="G75" s="784">
        <f>(V75*KFC!$B$34+KFC!$C$34)*KFC!$C$5</f>
        <v>76.610100497564105</v>
      </c>
      <c r="H75" s="784">
        <f>(W75*KFC!$B$34+KFC!$C$34)*KFC!$C$5</f>
        <v>82.057581488205145</v>
      </c>
      <c r="I75" s="784">
        <f>(X75*KFC!$B$34+KFC!$C$34)*KFC!$C$5</f>
        <v>87.50506247884617</v>
      </c>
      <c r="J75" s="784">
        <f>(Y75*KFC!$B$34+KFC!$C$34)*KFC!$C$5</f>
        <v>92.952543469487196</v>
      </c>
      <c r="K75" s="784">
        <f>(Z75*KFC!$B$34+KFC!$C$34)*KFC!$C$5</f>
        <v>98.400024460128208</v>
      </c>
      <c r="L75" s="784">
        <f>(AA75*KFC!$B$34+KFC!$C$34)*KFC!$C$5</f>
        <v>103.84750545076923</v>
      </c>
      <c r="M75" s="784">
        <f>(AB75*KFC!$B$34+KFC!$C$34)*KFC!$C$5</f>
        <v>109.29498644141026</v>
      </c>
      <c r="N75" s="784">
        <f>(AC75*KFC!$B$34+KFC!$C$34)*KFC!$C$5</f>
        <v>114.74246743205127</v>
      </c>
      <c r="O75" s="784">
        <f>(AD75*KFC!$B$34+KFC!$C$34)*KFC!$C$5</f>
        <v>120.1899484226923</v>
      </c>
      <c r="P75" s="785">
        <f>(AE75*KFC!$B$34+KFC!$C$34)*KFC!$C$5</f>
        <v>125.63742941333335</v>
      </c>
      <c r="R75" s="247">
        <v>54.820176534999987</v>
      </c>
      <c r="S75" s="194">
        <v>60.26765752564102</v>
      </c>
      <c r="T75" s="194">
        <v>65.715138516282053</v>
      </c>
      <c r="U75" s="194">
        <v>71.162619506923079</v>
      </c>
      <c r="V75" s="194">
        <v>76.610100497564105</v>
      </c>
      <c r="W75" s="194">
        <v>82.057581488205145</v>
      </c>
      <c r="X75" s="194">
        <v>87.50506247884617</v>
      </c>
      <c r="Y75" s="194">
        <v>92.952543469487196</v>
      </c>
      <c r="Z75" s="194">
        <v>98.400024460128208</v>
      </c>
      <c r="AA75" s="194">
        <v>103.84750545076923</v>
      </c>
      <c r="AB75" s="194">
        <v>109.29498644141026</v>
      </c>
      <c r="AC75" s="194">
        <v>114.74246743205127</v>
      </c>
      <c r="AD75" s="194">
        <v>120.1899484226923</v>
      </c>
      <c r="AE75" s="195">
        <v>125.63742941333335</v>
      </c>
    </row>
    <row r="76" spans="1:31">
      <c r="A76" s="1929"/>
      <c r="B76" s="790">
        <v>0.9</v>
      </c>
      <c r="C76" s="784">
        <f>(R76*KFC!$B$34+KFC!$C$34)*KFC!$C$5</f>
        <v>56.084796443333317</v>
      </c>
      <c r="D76" s="784">
        <f>(S76*KFC!$B$34+KFC!$C$34)*KFC!$C$5</f>
        <v>61.848441782777762</v>
      </c>
      <c r="E76" s="784">
        <f>(T76*KFC!$B$34+KFC!$C$34)*KFC!$C$5</f>
        <v>67.612087122222206</v>
      </c>
      <c r="F76" s="784">
        <f>(U76*KFC!$B$34+KFC!$C$34)*KFC!$C$5</f>
        <v>73.375732461666658</v>
      </c>
      <c r="G76" s="784">
        <f>(V76*KFC!$B$34+KFC!$C$34)*KFC!$C$5</f>
        <v>79.13937780111111</v>
      </c>
      <c r="H76" s="784">
        <f>(W76*KFC!$B$34+KFC!$C$34)*KFC!$C$5</f>
        <v>84.903023140555547</v>
      </c>
      <c r="I76" s="784">
        <f>(X76*KFC!$B$34+KFC!$C$34)*KFC!$C$5</f>
        <v>90.666668479999998</v>
      </c>
      <c r="J76" s="784">
        <f>(Y76*KFC!$B$34+KFC!$C$34)*KFC!$C$5</f>
        <v>96.430313819444436</v>
      </c>
      <c r="K76" s="784">
        <f>(Z76*KFC!$B$34+KFC!$C$34)*KFC!$C$5</f>
        <v>102.19395915888889</v>
      </c>
      <c r="L76" s="784">
        <f>(AA76*KFC!$B$34+KFC!$C$34)*KFC!$C$5</f>
        <v>107.95760449833334</v>
      </c>
      <c r="M76" s="784">
        <f>(AB76*KFC!$B$34+KFC!$C$34)*KFC!$C$5</f>
        <v>113.72124983777778</v>
      </c>
      <c r="N76" s="784">
        <f>(AC76*KFC!$B$34+KFC!$C$34)*KFC!$C$5</f>
        <v>119.48489517722223</v>
      </c>
      <c r="O76" s="784">
        <f>(AD76*KFC!$B$34+KFC!$C$34)*KFC!$C$5</f>
        <v>125.24854051666667</v>
      </c>
      <c r="P76" s="785">
        <f>(AE76*KFC!$B$34+KFC!$C$34)*KFC!$C$5</f>
        <v>131.01218585611113</v>
      </c>
      <c r="R76" s="247">
        <v>56.084796443333317</v>
      </c>
      <c r="S76" s="194">
        <v>61.848441782777762</v>
      </c>
      <c r="T76" s="194">
        <v>67.612087122222206</v>
      </c>
      <c r="U76" s="194">
        <v>73.375732461666658</v>
      </c>
      <c r="V76" s="194">
        <v>79.13937780111111</v>
      </c>
      <c r="W76" s="194">
        <v>84.903023140555547</v>
      </c>
      <c r="X76" s="194">
        <v>90.666668479999998</v>
      </c>
      <c r="Y76" s="194">
        <v>96.430313819444436</v>
      </c>
      <c r="Z76" s="194">
        <v>102.19395915888889</v>
      </c>
      <c r="AA76" s="194">
        <v>107.95760449833334</v>
      </c>
      <c r="AB76" s="194">
        <v>113.72124983777778</v>
      </c>
      <c r="AC76" s="194">
        <v>119.48489517722223</v>
      </c>
      <c r="AD76" s="194">
        <v>125.24854051666667</v>
      </c>
      <c r="AE76" s="195">
        <v>131.01218585611113</v>
      </c>
    </row>
    <row r="77" spans="1:31">
      <c r="A77" s="1929"/>
      <c r="B77" s="790">
        <v>1</v>
      </c>
      <c r="C77" s="784">
        <f>(R77*KFC!$B$34+KFC!$C$34)*KFC!$C$5</f>
        <v>57.349416351666648</v>
      </c>
      <c r="D77" s="784">
        <f>(S77*KFC!$B$34+KFC!$C$34)*KFC!$C$5</f>
        <v>63.429226039914518</v>
      </c>
      <c r="E77" s="784">
        <f>(T77*KFC!$B$34+KFC!$C$34)*KFC!$C$5</f>
        <v>69.509035728162388</v>
      </c>
      <c r="F77" s="784">
        <f>(U77*KFC!$B$34+KFC!$C$34)*KFC!$C$5</f>
        <v>75.588845416410265</v>
      </c>
      <c r="G77" s="784">
        <f>(V77*KFC!$B$34+KFC!$C$34)*KFC!$C$5</f>
        <v>81.668655104658129</v>
      </c>
      <c r="H77" s="784">
        <f>(W77*KFC!$B$34+KFC!$C$34)*KFC!$C$5</f>
        <v>87.748464792906006</v>
      </c>
      <c r="I77" s="784">
        <f>(X77*KFC!$B$34+KFC!$C$34)*KFC!$C$5</f>
        <v>93.828274481153883</v>
      </c>
      <c r="J77" s="784">
        <f>(Y77*KFC!$B$34+KFC!$C$34)*KFC!$C$5</f>
        <v>99.908084169401747</v>
      </c>
      <c r="K77" s="784">
        <f>(Z77*KFC!$B$34+KFC!$C$34)*KFC!$C$5</f>
        <v>105.98789385764962</v>
      </c>
      <c r="L77" s="784">
        <f>(AA77*KFC!$B$34+KFC!$C$34)*KFC!$C$5</f>
        <v>112.06770354589749</v>
      </c>
      <c r="M77" s="784">
        <f>(AB77*KFC!$B$34+KFC!$C$34)*KFC!$C$5</f>
        <v>118.14751323414536</v>
      </c>
      <c r="N77" s="784">
        <f>(AC77*KFC!$B$34+KFC!$C$34)*KFC!$C$5</f>
        <v>124.22732292239323</v>
      </c>
      <c r="O77" s="784">
        <f>(AD77*KFC!$B$34+KFC!$C$34)*KFC!$C$5</f>
        <v>130.3071326106411</v>
      </c>
      <c r="P77" s="785">
        <f>(AE77*KFC!$B$34+KFC!$C$34)*KFC!$C$5</f>
        <v>136.38694229888893</v>
      </c>
      <c r="R77" s="247">
        <v>57.349416351666648</v>
      </c>
      <c r="S77" s="194">
        <v>63.429226039914518</v>
      </c>
      <c r="T77" s="194">
        <v>69.509035728162388</v>
      </c>
      <c r="U77" s="194">
        <v>75.588845416410265</v>
      </c>
      <c r="V77" s="194">
        <v>81.668655104658129</v>
      </c>
      <c r="W77" s="194">
        <v>87.748464792906006</v>
      </c>
      <c r="X77" s="194">
        <v>93.828274481153883</v>
      </c>
      <c r="Y77" s="194">
        <v>99.908084169401747</v>
      </c>
      <c r="Z77" s="194">
        <v>105.98789385764962</v>
      </c>
      <c r="AA77" s="194">
        <v>112.06770354589749</v>
      </c>
      <c r="AB77" s="194">
        <v>118.14751323414536</v>
      </c>
      <c r="AC77" s="194">
        <v>124.22732292239323</v>
      </c>
      <c r="AD77" s="194">
        <v>130.3071326106411</v>
      </c>
      <c r="AE77" s="195">
        <v>136.38694229888893</v>
      </c>
    </row>
    <row r="78" spans="1:31">
      <c r="A78" s="1929"/>
      <c r="B78" s="790">
        <v>1.1000000000000001</v>
      </c>
      <c r="C78" s="784">
        <f>(R78*KFC!$B$34+KFC!$C$34)*KFC!$C$5</f>
        <v>58.614036259999978</v>
      </c>
      <c r="D78" s="784">
        <f>(S78*KFC!$B$34+KFC!$C$34)*KFC!$C$5</f>
        <v>65.010010297051267</v>
      </c>
      <c r="E78" s="784">
        <f>(T78*KFC!$B$34+KFC!$C$34)*KFC!$C$5</f>
        <v>71.405984334102556</v>
      </c>
      <c r="F78" s="784">
        <f>(U78*KFC!$B$34+KFC!$C$34)*KFC!$C$5</f>
        <v>77.801958371153844</v>
      </c>
      <c r="G78" s="784">
        <f>(V78*KFC!$B$34+KFC!$C$34)*KFC!$C$5</f>
        <v>84.197932408205133</v>
      </c>
      <c r="H78" s="784">
        <f>(W78*KFC!$B$34+KFC!$C$34)*KFC!$C$5</f>
        <v>90.593906445256408</v>
      </c>
      <c r="I78" s="784">
        <f>(X78*KFC!$B$34+KFC!$C$34)*KFC!$C$5</f>
        <v>96.989880482307683</v>
      </c>
      <c r="J78" s="784">
        <f>(Y78*KFC!$B$34+KFC!$C$34)*KFC!$C$5</f>
        <v>103.38585451935896</v>
      </c>
      <c r="K78" s="784">
        <f>(Z78*KFC!$B$34+KFC!$C$34)*KFC!$C$5</f>
        <v>109.78182855641025</v>
      </c>
      <c r="L78" s="784">
        <f>(AA78*KFC!$B$34+KFC!$C$34)*KFC!$C$5</f>
        <v>116.17780259346152</v>
      </c>
      <c r="M78" s="784">
        <f>(AB78*KFC!$B$34+KFC!$C$34)*KFC!$C$5</f>
        <v>122.5737766305128</v>
      </c>
      <c r="N78" s="784">
        <f>(AC78*KFC!$B$34+KFC!$C$34)*KFC!$C$5</f>
        <v>128.96975066756409</v>
      </c>
      <c r="O78" s="784">
        <f>(AD78*KFC!$B$34+KFC!$C$34)*KFC!$C$5</f>
        <v>135.36572470461536</v>
      </c>
      <c r="P78" s="785">
        <f>(AE78*KFC!$B$34+KFC!$C$34)*KFC!$C$5</f>
        <v>141.76169874166669</v>
      </c>
      <c r="R78" s="247">
        <v>58.614036259999978</v>
      </c>
      <c r="S78" s="194">
        <v>65.010010297051267</v>
      </c>
      <c r="T78" s="194">
        <v>71.405984334102556</v>
      </c>
      <c r="U78" s="194">
        <v>77.801958371153844</v>
      </c>
      <c r="V78" s="194">
        <v>84.197932408205133</v>
      </c>
      <c r="W78" s="194">
        <v>90.593906445256408</v>
      </c>
      <c r="X78" s="194">
        <v>96.989880482307683</v>
      </c>
      <c r="Y78" s="194">
        <v>103.38585451935896</v>
      </c>
      <c r="Z78" s="194">
        <v>109.78182855641025</v>
      </c>
      <c r="AA78" s="194">
        <v>116.17780259346152</v>
      </c>
      <c r="AB78" s="194">
        <v>122.5737766305128</v>
      </c>
      <c r="AC78" s="194">
        <v>128.96975066756409</v>
      </c>
      <c r="AD78" s="194">
        <v>135.36572470461536</v>
      </c>
      <c r="AE78" s="195">
        <v>141.76169874166669</v>
      </c>
    </row>
    <row r="79" spans="1:31">
      <c r="A79" s="1929"/>
      <c r="B79" s="790">
        <v>1.2</v>
      </c>
      <c r="C79" s="784">
        <f>(R79*KFC!$B$34+KFC!$C$34)*KFC!$C$5</f>
        <v>59.878656168333308</v>
      </c>
      <c r="D79" s="784">
        <f>(S79*KFC!$B$34+KFC!$C$34)*KFC!$C$5</f>
        <v>66.590794554188008</v>
      </c>
      <c r="E79" s="784">
        <f>(T79*KFC!$B$34+KFC!$C$34)*KFC!$C$5</f>
        <v>73.302932940042709</v>
      </c>
      <c r="F79" s="784">
        <f>(U79*KFC!$B$34+KFC!$C$34)*KFC!$C$5</f>
        <v>80.015071325897424</v>
      </c>
      <c r="G79" s="784">
        <f>(V79*KFC!$B$34+KFC!$C$34)*KFC!$C$5</f>
        <v>86.727209711752124</v>
      </c>
      <c r="H79" s="784">
        <f>(W79*KFC!$B$34+KFC!$C$34)*KFC!$C$5</f>
        <v>93.439348097606825</v>
      </c>
      <c r="I79" s="784">
        <f>(X79*KFC!$B$34+KFC!$C$34)*KFC!$C$5</f>
        <v>100.15148648346153</v>
      </c>
      <c r="J79" s="784">
        <f>(Y79*KFC!$B$34+KFC!$C$34)*KFC!$C$5</f>
        <v>106.86362486931623</v>
      </c>
      <c r="K79" s="784">
        <f>(Z79*KFC!$B$34+KFC!$C$34)*KFC!$C$5</f>
        <v>113.57576325517094</v>
      </c>
      <c r="L79" s="784">
        <f>(AA79*KFC!$B$34+KFC!$C$34)*KFC!$C$5</f>
        <v>120.28790164102564</v>
      </c>
      <c r="M79" s="784">
        <f>(AB79*KFC!$B$34+KFC!$C$34)*KFC!$C$5</f>
        <v>127.00004002688034</v>
      </c>
      <c r="N79" s="784">
        <f>(AC79*KFC!$B$34+KFC!$C$34)*KFC!$C$5</f>
        <v>133.71217841273506</v>
      </c>
      <c r="O79" s="784">
        <f>(AD79*KFC!$B$34+KFC!$C$34)*KFC!$C$5</f>
        <v>140.42431679858976</v>
      </c>
      <c r="P79" s="785">
        <f>(AE79*KFC!$B$34+KFC!$C$34)*KFC!$C$5</f>
        <v>147.13645518444449</v>
      </c>
      <c r="R79" s="247">
        <v>59.878656168333308</v>
      </c>
      <c r="S79" s="194">
        <v>66.590794554188008</v>
      </c>
      <c r="T79" s="194">
        <v>73.302932940042709</v>
      </c>
      <c r="U79" s="194">
        <v>80.015071325897424</v>
      </c>
      <c r="V79" s="194">
        <v>86.727209711752124</v>
      </c>
      <c r="W79" s="194">
        <v>93.439348097606825</v>
      </c>
      <c r="X79" s="194">
        <v>100.15148648346153</v>
      </c>
      <c r="Y79" s="194">
        <v>106.86362486931623</v>
      </c>
      <c r="Z79" s="194">
        <v>113.57576325517094</v>
      </c>
      <c r="AA79" s="194">
        <v>120.28790164102564</v>
      </c>
      <c r="AB79" s="194">
        <v>127.00004002688034</v>
      </c>
      <c r="AC79" s="194">
        <v>133.71217841273506</v>
      </c>
      <c r="AD79" s="194">
        <v>140.42431679858976</v>
      </c>
      <c r="AE79" s="195">
        <v>147.13645518444449</v>
      </c>
    </row>
    <row r="80" spans="1:31">
      <c r="A80" s="1929"/>
      <c r="B80" s="790">
        <v>1.3</v>
      </c>
      <c r="C80" s="784">
        <f>(R80*KFC!$B$34+KFC!$C$34)*KFC!$C$5</f>
        <v>61.143276076666638</v>
      </c>
      <c r="D80" s="784">
        <f>(S80*KFC!$B$34+KFC!$C$34)*KFC!$C$5</f>
        <v>68.171578811324764</v>
      </c>
      <c r="E80" s="784">
        <f>(T80*KFC!$B$34+KFC!$C$34)*KFC!$C$5</f>
        <v>75.19988154598289</v>
      </c>
      <c r="F80" s="784">
        <f>(U80*KFC!$B$34+KFC!$C$34)*KFC!$C$5</f>
        <v>82.228184280641031</v>
      </c>
      <c r="G80" s="784">
        <f>(V80*KFC!$B$34+KFC!$C$34)*KFC!$C$5</f>
        <v>89.256487015299157</v>
      </c>
      <c r="H80" s="784">
        <f>(W80*KFC!$B$34+KFC!$C$34)*KFC!$C$5</f>
        <v>96.284789749957284</v>
      </c>
      <c r="I80" s="784">
        <f>(X80*KFC!$B$34+KFC!$C$34)*KFC!$C$5</f>
        <v>103.31309248461541</v>
      </c>
      <c r="J80" s="784">
        <f>(Y80*KFC!$B$34+KFC!$C$34)*KFC!$C$5</f>
        <v>110.34139521927354</v>
      </c>
      <c r="K80" s="784">
        <f>(Z80*KFC!$B$34+KFC!$C$34)*KFC!$C$5</f>
        <v>117.36969795393166</v>
      </c>
      <c r="L80" s="784">
        <f>(AA80*KFC!$B$34+KFC!$C$34)*KFC!$C$5</f>
        <v>124.39800068858979</v>
      </c>
      <c r="M80" s="784">
        <f>(AB80*KFC!$B$34+KFC!$C$34)*KFC!$C$5</f>
        <v>131.42630342324793</v>
      </c>
      <c r="N80" s="784">
        <f>(AC80*KFC!$B$34+KFC!$C$34)*KFC!$C$5</f>
        <v>138.45460615790606</v>
      </c>
      <c r="O80" s="784">
        <f>(AD80*KFC!$B$34+KFC!$C$34)*KFC!$C$5</f>
        <v>145.48290889256418</v>
      </c>
      <c r="P80" s="785">
        <f>(AE80*KFC!$B$34+KFC!$C$34)*KFC!$C$5</f>
        <v>152.51121162722228</v>
      </c>
      <c r="R80" s="247">
        <v>61.143276076666638</v>
      </c>
      <c r="S80" s="194">
        <v>68.171578811324764</v>
      </c>
      <c r="T80" s="194">
        <v>75.19988154598289</v>
      </c>
      <c r="U80" s="194">
        <v>82.228184280641031</v>
      </c>
      <c r="V80" s="194">
        <v>89.256487015299157</v>
      </c>
      <c r="W80" s="194">
        <v>96.284789749957284</v>
      </c>
      <c r="X80" s="194">
        <v>103.31309248461541</v>
      </c>
      <c r="Y80" s="194">
        <v>110.34139521927354</v>
      </c>
      <c r="Z80" s="194">
        <v>117.36969795393166</v>
      </c>
      <c r="AA80" s="194">
        <v>124.39800068858979</v>
      </c>
      <c r="AB80" s="194">
        <v>131.42630342324793</v>
      </c>
      <c r="AC80" s="194">
        <v>138.45460615790606</v>
      </c>
      <c r="AD80" s="194">
        <v>145.48290889256418</v>
      </c>
      <c r="AE80" s="195">
        <v>152.51121162722228</v>
      </c>
    </row>
    <row r="81" spans="1:31">
      <c r="A81" s="1929"/>
      <c r="B81" s="790">
        <v>1.4</v>
      </c>
      <c r="C81" s="784">
        <f>(R81*KFC!$B$34+KFC!$C$34)*KFC!$C$5</f>
        <v>62.407895984999968</v>
      </c>
      <c r="D81" s="784">
        <f>(S81*KFC!$B$34+KFC!$C$34)*KFC!$C$5</f>
        <v>69.75236306846152</v>
      </c>
      <c r="E81" s="784">
        <f>(T81*KFC!$B$34+KFC!$C$34)*KFC!$C$5</f>
        <v>77.096830151923058</v>
      </c>
      <c r="F81" s="784">
        <f>(U81*KFC!$B$34+KFC!$C$34)*KFC!$C$5</f>
        <v>84.44129723538461</v>
      </c>
      <c r="G81" s="784">
        <f>(V81*KFC!$B$34+KFC!$C$34)*KFC!$C$5</f>
        <v>91.785764318846162</v>
      </c>
      <c r="H81" s="784">
        <f>(W81*KFC!$B$34+KFC!$C$34)*KFC!$C$5</f>
        <v>99.130231402307714</v>
      </c>
      <c r="I81" s="784">
        <f>(X81*KFC!$B$34+KFC!$C$34)*KFC!$C$5</f>
        <v>106.47469848576927</v>
      </c>
      <c r="J81" s="784">
        <f>(Y81*KFC!$B$34+KFC!$C$34)*KFC!$C$5</f>
        <v>113.81916556923083</v>
      </c>
      <c r="K81" s="784">
        <f>(Z81*KFC!$B$34+KFC!$C$34)*KFC!$C$5</f>
        <v>121.16363265269239</v>
      </c>
      <c r="L81" s="784">
        <f>(AA81*KFC!$B$34+KFC!$C$34)*KFC!$C$5</f>
        <v>128.50809973615392</v>
      </c>
      <c r="M81" s="784">
        <f>(AB81*KFC!$B$34+KFC!$C$34)*KFC!$C$5</f>
        <v>135.85256681961548</v>
      </c>
      <c r="N81" s="784">
        <f>(AC81*KFC!$B$34+KFC!$C$34)*KFC!$C$5</f>
        <v>143.19703390307706</v>
      </c>
      <c r="O81" s="784">
        <f>(AD81*KFC!$B$34+KFC!$C$34)*KFC!$C$5</f>
        <v>150.54150098653861</v>
      </c>
      <c r="P81" s="785">
        <f>(AE81*KFC!$B$34+KFC!$C$34)*KFC!$C$5</f>
        <v>157.88596807000005</v>
      </c>
      <c r="R81" s="247">
        <v>62.407895984999968</v>
      </c>
      <c r="S81" s="194">
        <v>69.75236306846152</v>
      </c>
      <c r="T81" s="194">
        <v>77.096830151923058</v>
      </c>
      <c r="U81" s="194">
        <v>84.44129723538461</v>
      </c>
      <c r="V81" s="194">
        <v>91.785764318846162</v>
      </c>
      <c r="W81" s="194">
        <v>99.130231402307714</v>
      </c>
      <c r="X81" s="194">
        <v>106.47469848576927</v>
      </c>
      <c r="Y81" s="194">
        <v>113.81916556923083</v>
      </c>
      <c r="Z81" s="194">
        <v>121.16363265269239</v>
      </c>
      <c r="AA81" s="194">
        <v>128.50809973615392</v>
      </c>
      <c r="AB81" s="194">
        <v>135.85256681961548</v>
      </c>
      <c r="AC81" s="194">
        <v>143.19703390307706</v>
      </c>
      <c r="AD81" s="194">
        <v>150.54150098653861</v>
      </c>
      <c r="AE81" s="195">
        <v>157.88596807000005</v>
      </c>
    </row>
    <row r="82" spans="1:31">
      <c r="A82" s="1929"/>
      <c r="B82" s="790">
        <v>1.5</v>
      </c>
      <c r="C82" s="784">
        <f>(R82*KFC!$B$34+KFC!$C$34)*KFC!$C$5</f>
        <v>63.672515893333298</v>
      </c>
      <c r="D82" s="784">
        <f>(S82*KFC!$B$34+KFC!$C$34)*KFC!$C$5</f>
        <v>71.333147325598262</v>
      </c>
      <c r="E82" s="784">
        <f>(T82*KFC!$B$34+KFC!$C$34)*KFC!$C$5</f>
        <v>78.993778757863225</v>
      </c>
      <c r="F82" s="784">
        <f>(U82*KFC!$B$34+KFC!$C$34)*KFC!$C$5</f>
        <v>86.654410190128175</v>
      </c>
      <c r="G82" s="784">
        <f>(V82*KFC!$B$34+KFC!$C$34)*KFC!$C$5</f>
        <v>94.315041622393139</v>
      </c>
      <c r="H82" s="784">
        <f>(W82*KFC!$B$34+KFC!$C$34)*KFC!$C$5</f>
        <v>101.9756730546581</v>
      </c>
      <c r="I82" s="784">
        <f>(X82*KFC!$B$34+KFC!$C$34)*KFC!$C$5</f>
        <v>109.63630448692307</v>
      </c>
      <c r="J82" s="784">
        <f>(Y82*KFC!$B$34+KFC!$C$34)*KFC!$C$5</f>
        <v>117.29693591918802</v>
      </c>
      <c r="K82" s="784">
        <f>(Z82*KFC!$B$34+KFC!$C$34)*KFC!$C$5</f>
        <v>124.95756735145298</v>
      </c>
      <c r="L82" s="784">
        <f>(AA82*KFC!$B$34+KFC!$C$34)*KFC!$C$5</f>
        <v>132.61819878371796</v>
      </c>
      <c r="M82" s="784">
        <f>(AB82*KFC!$B$34+KFC!$C$34)*KFC!$C$5</f>
        <v>140.27883021598291</v>
      </c>
      <c r="N82" s="784">
        <f>(AC82*KFC!$B$34+KFC!$C$34)*KFC!$C$5</f>
        <v>147.93946164824786</v>
      </c>
      <c r="O82" s="784">
        <f>(AD82*KFC!$B$34+KFC!$C$34)*KFC!$C$5</f>
        <v>155.60009308051283</v>
      </c>
      <c r="P82" s="785">
        <f>(AE82*KFC!$B$34+KFC!$C$34)*KFC!$C$5</f>
        <v>163.26072451277784</v>
      </c>
      <c r="R82" s="247">
        <v>63.672515893333298</v>
      </c>
      <c r="S82" s="194">
        <v>71.333147325598262</v>
      </c>
      <c r="T82" s="194">
        <v>78.993778757863225</v>
      </c>
      <c r="U82" s="194">
        <v>86.654410190128175</v>
      </c>
      <c r="V82" s="194">
        <v>94.315041622393139</v>
      </c>
      <c r="W82" s="194">
        <v>101.9756730546581</v>
      </c>
      <c r="X82" s="194">
        <v>109.63630448692307</v>
      </c>
      <c r="Y82" s="194">
        <v>117.29693591918802</v>
      </c>
      <c r="Z82" s="194">
        <v>124.95756735145298</v>
      </c>
      <c r="AA82" s="194">
        <v>132.61819878371796</v>
      </c>
      <c r="AB82" s="194">
        <v>140.27883021598291</v>
      </c>
      <c r="AC82" s="194">
        <v>147.93946164824786</v>
      </c>
      <c r="AD82" s="194">
        <v>155.60009308051283</v>
      </c>
      <c r="AE82" s="195">
        <v>163.26072451277784</v>
      </c>
    </row>
    <row r="83" spans="1:31">
      <c r="A83" s="1929"/>
      <c r="B83" s="790">
        <v>1.6</v>
      </c>
      <c r="C83" s="784">
        <f>(R83*KFC!$B$34+KFC!$C$34)*KFC!$C$5</f>
        <v>64.937135801666628</v>
      </c>
      <c r="D83" s="784">
        <f>(S83*KFC!$B$34+KFC!$C$34)*KFC!$C$5</f>
        <v>72.913931582735017</v>
      </c>
      <c r="E83" s="784">
        <f>(T83*KFC!$B$34+KFC!$C$34)*KFC!$C$5</f>
        <v>80.890727363803407</v>
      </c>
      <c r="F83" s="784">
        <f>(U83*KFC!$B$34+KFC!$C$34)*KFC!$C$5</f>
        <v>88.867523144871782</v>
      </c>
      <c r="G83" s="784">
        <f>(V83*KFC!$B$34+KFC!$C$34)*KFC!$C$5</f>
        <v>96.844318925940172</v>
      </c>
      <c r="H83" s="784">
        <f>(W83*KFC!$B$34+KFC!$C$34)*KFC!$C$5</f>
        <v>104.82111470700856</v>
      </c>
      <c r="I83" s="784">
        <f>(X83*KFC!$B$34+KFC!$C$34)*KFC!$C$5</f>
        <v>112.79791048807694</v>
      </c>
      <c r="J83" s="784">
        <f>(Y83*KFC!$B$34+KFC!$C$34)*KFC!$C$5</f>
        <v>120.77470626914533</v>
      </c>
      <c r="K83" s="784">
        <f>(Z83*KFC!$B$34+KFC!$C$34)*KFC!$C$5</f>
        <v>128.7515020502137</v>
      </c>
      <c r="L83" s="784">
        <f>(AA83*KFC!$B$34+KFC!$C$34)*KFC!$C$5</f>
        <v>136.72829783128211</v>
      </c>
      <c r="M83" s="784">
        <f>(AB83*KFC!$B$34+KFC!$C$34)*KFC!$C$5</f>
        <v>144.70509361235048</v>
      </c>
      <c r="N83" s="784">
        <f>(AC83*KFC!$B$34+KFC!$C$34)*KFC!$C$5</f>
        <v>152.68188939341888</v>
      </c>
      <c r="O83" s="784">
        <f>(AD83*KFC!$B$34+KFC!$C$34)*KFC!$C$5</f>
        <v>160.65868517448726</v>
      </c>
      <c r="P83" s="785">
        <f>(AE83*KFC!$B$34+KFC!$C$34)*KFC!$C$5</f>
        <v>168.63548095555561</v>
      </c>
      <c r="R83" s="247">
        <v>64.937135801666628</v>
      </c>
      <c r="S83" s="194">
        <v>72.913931582735017</v>
      </c>
      <c r="T83" s="194">
        <v>80.890727363803407</v>
      </c>
      <c r="U83" s="194">
        <v>88.867523144871782</v>
      </c>
      <c r="V83" s="194">
        <v>96.844318925940172</v>
      </c>
      <c r="W83" s="194">
        <v>104.82111470700856</v>
      </c>
      <c r="X83" s="194">
        <v>112.79791048807694</v>
      </c>
      <c r="Y83" s="194">
        <v>120.77470626914533</v>
      </c>
      <c r="Z83" s="194">
        <v>128.7515020502137</v>
      </c>
      <c r="AA83" s="194">
        <v>136.72829783128211</v>
      </c>
      <c r="AB83" s="194">
        <v>144.70509361235048</v>
      </c>
      <c r="AC83" s="194">
        <v>152.68188939341888</v>
      </c>
      <c r="AD83" s="194">
        <v>160.65868517448726</v>
      </c>
      <c r="AE83" s="195">
        <v>168.63548095555561</v>
      </c>
    </row>
    <row r="84" spans="1:31">
      <c r="A84" s="1929"/>
      <c r="B84" s="790">
        <v>1.7</v>
      </c>
      <c r="C84" s="784">
        <f>(R84*KFC!$B$34+KFC!$C$34)*KFC!$C$5</f>
        <v>66.201755709999958</v>
      </c>
      <c r="D84" s="784">
        <f>(S84*KFC!$B$34+KFC!$C$34)*KFC!$C$5</f>
        <v>74.494715839871759</v>
      </c>
      <c r="E84" s="784">
        <f>(T84*KFC!$B$34+KFC!$C$34)*KFC!$C$5</f>
        <v>82.78767596974356</v>
      </c>
      <c r="F84" s="784">
        <f>(U84*KFC!$B$34+KFC!$C$34)*KFC!$C$5</f>
        <v>91.080636099615376</v>
      </c>
      <c r="G84" s="784">
        <f>(V84*KFC!$B$34+KFC!$C$34)*KFC!$C$5</f>
        <v>99.373596229487191</v>
      </c>
      <c r="H84" s="784">
        <f>(W84*KFC!$B$34+KFC!$C$34)*KFC!$C$5</f>
        <v>107.66655635935899</v>
      </c>
      <c r="I84" s="784">
        <f>(X84*KFC!$B$34+KFC!$C$34)*KFC!$C$5</f>
        <v>115.95951648923081</v>
      </c>
      <c r="J84" s="784">
        <f>(Y84*KFC!$B$34+KFC!$C$34)*KFC!$C$5</f>
        <v>124.25247661910262</v>
      </c>
      <c r="K84" s="784">
        <f>(Z84*KFC!$B$34+KFC!$C$34)*KFC!$C$5</f>
        <v>132.54543674897442</v>
      </c>
      <c r="L84" s="784">
        <f>(AA84*KFC!$B$34+KFC!$C$34)*KFC!$C$5</f>
        <v>140.83839687884625</v>
      </c>
      <c r="M84" s="784">
        <f>(AB84*KFC!$B$34+KFC!$C$34)*KFC!$C$5</f>
        <v>149.13135700871806</v>
      </c>
      <c r="N84" s="784">
        <f>(AC84*KFC!$B$34+KFC!$C$34)*KFC!$C$5</f>
        <v>157.42431713858986</v>
      </c>
      <c r="O84" s="784">
        <f>(AD84*KFC!$B$34+KFC!$C$34)*KFC!$C$5</f>
        <v>165.71727726846169</v>
      </c>
      <c r="P84" s="785">
        <f>(AE84*KFC!$B$34+KFC!$C$34)*KFC!$C$5</f>
        <v>174.0102373983334</v>
      </c>
      <c r="R84" s="247">
        <v>66.201755709999958</v>
      </c>
      <c r="S84" s="194">
        <v>74.494715839871759</v>
      </c>
      <c r="T84" s="194">
        <v>82.78767596974356</v>
      </c>
      <c r="U84" s="194">
        <v>91.080636099615376</v>
      </c>
      <c r="V84" s="194">
        <v>99.373596229487191</v>
      </c>
      <c r="W84" s="194">
        <v>107.66655635935899</v>
      </c>
      <c r="X84" s="194">
        <v>115.95951648923081</v>
      </c>
      <c r="Y84" s="194">
        <v>124.25247661910262</v>
      </c>
      <c r="Z84" s="194">
        <v>132.54543674897442</v>
      </c>
      <c r="AA84" s="194">
        <v>140.83839687884625</v>
      </c>
      <c r="AB84" s="194">
        <v>149.13135700871806</v>
      </c>
      <c r="AC84" s="194">
        <v>157.42431713858986</v>
      </c>
      <c r="AD84" s="194">
        <v>165.71727726846169</v>
      </c>
      <c r="AE84" s="195">
        <v>174.0102373983334</v>
      </c>
    </row>
    <row r="85" spans="1:31">
      <c r="A85" s="1929"/>
      <c r="B85" s="790">
        <v>1.8</v>
      </c>
      <c r="C85" s="784">
        <f>(R85*KFC!$B$34+KFC!$C$34)*KFC!$C$5</f>
        <v>67.466375618333288</v>
      </c>
      <c r="D85" s="784">
        <f>(S85*KFC!$B$34+KFC!$C$34)*KFC!$C$5</f>
        <v>76.075500097008501</v>
      </c>
      <c r="E85" s="784">
        <f>(T85*KFC!$B$34+KFC!$C$34)*KFC!$C$5</f>
        <v>84.684624575683728</v>
      </c>
      <c r="F85" s="784">
        <f>(U85*KFC!$B$34+KFC!$C$34)*KFC!$C$5</f>
        <v>93.29374905435894</v>
      </c>
      <c r="G85" s="784">
        <f>(V85*KFC!$B$34+KFC!$C$34)*KFC!$C$5</f>
        <v>101.90287353303415</v>
      </c>
      <c r="H85" s="784">
        <f>(W85*KFC!$B$34+KFC!$C$34)*KFC!$C$5</f>
        <v>110.51199801170938</v>
      </c>
      <c r="I85" s="784">
        <f>(X85*KFC!$B$34+KFC!$C$34)*KFC!$C$5</f>
        <v>119.12112249038459</v>
      </c>
      <c r="J85" s="784">
        <f>(Y85*KFC!$B$34+KFC!$C$34)*KFC!$C$5</f>
        <v>127.73024696905981</v>
      </c>
      <c r="K85" s="784">
        <f>(Z85*KFC!$B$34+KFC!$C$34)*KFC!$C$5</f>
        <v>136.33937144773503</v>
      </c>
      <c r="L85" s="784">
        <f>(AA85*KFC!$B$34+KFC!$C$34)*KFC!$C$5</f>
        <v>144.94849592641026</v>
      </c>
      <c r="M85" s="784">
        <f>(AB85*KFC!$B$34+KFC!$C$34)*KFC!$C$5</f>
        <v>153.55762040508546</v>
      </c>
      <c r="N85" s="784">
        <f>(AC85*KFC!$B$34+KFC!$C$34)*KFC!$C$5</f>
        <v>162.16674488376069</v>
      </c>
      <c r="O85" s="784">
        <f>(AD85*KFC!$B$34+KFC!$C$34)*KFC!$C$5</f>
        <v>170.77586936243591</v>
      </c>
      <c r="P85" s="785">
        <f>(AE85*KFC!$B$34+KFC!$C$34)*KFC!$C$5</f>
        <v>179.38499384111117</v>
      </c>
      <c r="R85" s="247">
        <v>67.466375618333288</v>
      </c>
      <c r="S85" s="194">
        <v>76.075500097008501</v>
      </c>
      <c r="T85" s="194">
        <v>84.684624575683728</v>
      </c>
      <c r="U85" s="194">
        <v>93.29374905435894</v>
      </c>
      <c r="V85" s="194">
        <v>101.90287353303415</v>
      </c>
      <c r="W85" s="194">
        <v>110.51199801170938</v>
      </c>
      <c r="X85" s="194">
        <v>119.12112249038459</v>
      </c>
      <c r="Y85" s="194">
        <v>127.73024696905981</v>
      </c>
      <c r="Z85" s="194">
        <v>136.33937144773503</v>
      </c>
      <c r="AA85" s="194">
        <v>144.94849592641026</v>
      </c>
      <c r="AB85" s="194">
        <v>153.55762040508546</v>
      </c>
      <c r="AC85" s="194">
        <v>162.16674488376069</v>
      </c>
      <c r="AD85" s="194">
        <v>170.77586936243591</v>
      </c>
      <c r="AE85" s="195">
        <v>179.38499384111117</v>
      </c>
    </row>
    <row r="86" spans="1:31">
      <c r="A86" s="1929"/>
      <c r="B86" s="790">
        <v>1.9</v>
      </c>
      <c r="C86" s="784">
        <f>(R86*KFC!$B$34+KFC!$C$34)*KFC!$C$5</f>
        <v>68.730995526666618</v>
      </c>
      <c r="D86" s="784">
        <f>(S86*KFC!$B$34+KFC!$C$34)*KFC!$C$5</f>
        <v>77.656284354145257</v>
      </c>
      <c r="E86" s="784">
        <f>(T86*KFC!$B$34+KFC!$C$34)*KFC!$C$5</f>
        <v>86.581573181623909</v>
      </c>
      <c r="F86" s="784">
        <f>(U86*KFC!$B$34+KFC!$C$34)*KFC!$C$5</f>
        <v>95.506862009102548</v>
      </c>
      <c r="G86" s="784">
        <f>(V86*KFC!$B$34+KFC!$C$34)*KFC!$C$5</f>
        <v>104.43215083658119</v>
      </c>
      <c r="H86" s="784">
        <f>(W86*KFC!$B$34+KFC!$C$34)*KFC!$C$5</f>
        <v>113.35743966405984</v>
      </c>
      <c r="I86" s="784">
        <f>(X86*KFC!$B$34+KFC!$C$34)*KFC!$C$5</f>
        <v>122.28272849153848</v>
      </c>
      <c r="J86" s="784">
        <f>(Y86*KFC!$B$34+KFC!$C$34)*KFC!$C$5</f>
        <v>131.20801731901713</v>
      </c>
      <c r="K86" s="784">
        <f>(Z86*KFC!$B$34+KFC!$C$34)*KFC!$C$5</f>
        <v>140.13330614649576</v>
      </c>
      <c r="L86" s="784">
        <f>(AA86*KFC!$B$34+KFC!$C$34)*KFC!$C$5</f>
        <v>149.05859497397441</v>
      </c>
      <c r="M86" s="784">
        <f>(AB86*KFC!$B$34+KFC!$C$34)*KFC!$C$5</f>
        <v>157.98388380145306</v>
      </c>
      <c r="N86" s="784">
        <f>(AC86*KFC!$B$34+KFC!$C$34)*KFC!$C$5</f>
        <v>166.90917262893169</v>
      </c>
      <c r="O86" s="784">
        <f>(AD86*KFC!$B$34+KFC!$C$34)*KFC!$C$5</f>
        <v>175.83446145641034</v>
      </c>
      <c r="P86" s="785">
        <f>(AE86*KFC!$B$34+KFC!$C$34)*KFC!$C$5</f>
        <v>184.75975028388896</v>
      </c>
      <c r="R86" s="247">
        <v>68.730995526666618</v>
      </c>
      <c r="S86" s="194">
        <v>77.656284354145257</v>
      </c>
      <c r="T86" s="194">
        <v>86.581573181623909</v>
      </c>
      <c r="U86" s="194">
        <v>95.506862009102548</v>
      </c>
      <c r="V86" s="194">
        <v>104.43215083658119</v>
      </c>
      <c r="W86" s="194">
        <v>113.35743966405984</v>
      </c>
      <c r="X86" s="194">
        <v>122.28272849153848</v>
      </c>
      <c r="Y86" s="194">
        <v>131.20801731901713</v>
      </c>
      <c r="Z86" s="194">
        <v>140.13330614649576</v>
      </c>
      <c r="AA86" s="194">
        <v>149.05859497397441</v>
      </c>
      <c r="AB86" s="194">
        <v>157.98388380145306</v>
      </c>
      <c r="AC86" s="194">
        <v>166.90917262893169</v>
      </c>
      <c r="AD86" s="194">
        <v>175.83446145641034</v>
      </c>
      <c r="AE86" s="195">
        <v>184.75975028388896</v>
      </c>
    </row>
    <row r="87" spans="1:31">
      <c r="A87" s="1929"/>
      <c r="B87" s="790">
        <v>2</v>
      </c>
      <c r="C87" s="784">
        <f>(R87*KFC!$B$34+KFC!$C$34)*KFC!$C$5</f>
        <v>69.995615434999948</v>
      </c>
      <c r="D87" s="784">
        <f>(S87*KFC!$B$34+KFC!$C$34)*KFC!$C$5</f>
        <v>79.237068611282012</v>
      </c>
      <c r="E87" s="784">
        <f>(T87*KFC!$B$34+KFC!$C$34)*KFC!$C$5</f>
        <v>88.478521787564063</v>
      </c>
      <c r="F87" s="784">
        <f>(U87*KFC!$B$34+KFC!$C$34)*KFC!$C$5</f>
        <v>97.719974963846141</v>
      </c>
      <c r="G87" s="784">
        <f>(V87*KFC!$B$34+KFC!$C$34)*KFC!$C$5</f>
        <v>106.96142814012821</v>
      </c>
      <c r="H87" s="784">
        <f>(W87*KFC!$B$34+KFC!$C$34)*KFC!$C$5</f>
        <v>116.20288131641027</v>
      </c>
      <c r="I87" s="784">
        <f>(X87*KFC!$B$34+KFC!$C$34)*KFC!$C$5</f>
        <v>125.44433449269233</v>
      </c>
      <c r="J87" s="784">
        <f>(Y87*KFC!$B$34+KFC!$C$34)*KFC!$C$5</f>
        <v>134.6857876689744</v>
      </c>
      <c r="K87" s="784">
        <f>(Z87*KFC!$B$34+KFC!$C$34)*KFC!$C$5</f>
        <v>143.92724084525648</v>
      </c>
      <c r="L87" s="784">
        <f>(AA87*KFC!$B$34+KFC!$C$34)*KFC!$C$5</f>
        <v>153.16869402153856</v>
      </c>
      <c r="M87" s="784">
        <f>(AB87*KFC!$B$34+KFC!$C$34)*KFC!$C$5</f>
        <v>162.41014719782061</v>
      </c>
      <c r="N87" s="784">
        <f>(AC87*KFC!$B$34+KFC!$C$34)*KFC!$C$5</f>
        <v>171.65160037410269</v>
      </c>
      <c r="O87" s="784">
        <f>(AD87*KFC!$B$34+KFC!$C$34)*KFC!$C$5</f>
        <v>180.89305355038474</v>
      </c>
      <c r="P87" s="785">
        <f>(AE87*KFC!$B$34+KFC!$C$34)*KFC!$C$5</f>
        <v>190.13450672666676</v>
      </c>
      <c r="R87" s="247">
        <v>69.995615434999948</v>
      </c>
      <c r="S87" s="194">
        <v>79.237068611282012</v>
      </c>
      <c r="T87" s="194">
        <v>88.478521787564063</v>
      </c>
      <c r="U87" s="194">
        <v>97.719974963846141</v>
      </c>
      <c r="V87" s="194">
        <v>106.96142814012821</v>
      </c>
      <c r="W87" s="194">
        <v>116.20288131641027</v>
      </c>
      <c r="X87" s="194">
        <v>125.44433449269233</v>
      </c>
      <c r="Y87" s="194">
        <v>134.6857876689744</v>
      </c>
      <c r="Z87" s="194">
        <v>143.92724084525648</v>
      </c>
      <c r="AA87" s="194">
        <v>153.16869402153856</v>
      </c>
      <c r="AB87" s="194">
        <v>162.41014719782061</v>
      </c>
      <c r="AC87" s="194">
        <v>171.65160037410269</v>
      </c>
      <c r="AD87" s="194">
        <v>180.89305355038474</v>
      </c>
      <c r="AE87" s="195">
        <v>190.13450672666676</v>
      </c>
    </row>
    <row r="88" spans="1:31">
      <c r="A88" s="1929"/>
      <c r="B88" s="790">
        <v>2.1</v>
      </c>
      <c r="C88" s="784">
        <f>(R88*KFC!$B$34+KFC!$C$34)*KFC!$C$5</f>
        <v>71.260235343333278</v>
      </c>
      <c r="D88" s="784">
        <f>(S88*KFC!$B$34+KFC!$C$34)*KFC!$C$5</f>
        <v>80.817852868418768</v>
      </c>
      <c r="E88" s="784">
        <f>(T88*KFC!$B$34+KFC!$C$34)*KFC!$C$5</f>
        <v>90.375470393504244</v>
      </c>
      <c r="F88" s="784">
        <f>(U88*KFC!$B$34+KFC!$C$34)*KFC!$C$5</f>
        <v>99.93308791858972</v>
      </c>
      <c r="G88" s="784">
        <f>(V88*KFC!$B$34+KFC!$C$34)*KFC!$C$5</f>
        <v>109.4907054436752</v>
      </c>
      <c r="H88" s="784">
        <f>(W88*KFC!$B$34+KFC!$C$34)*KFC!$C$5</f>
        <v>119.04832296876067</v>
      </c>
      <c r="I88" s="784">
        <f>(X88*KFC!$B$34+KFC!$C$34)*KFC!$C$5</f>
        <v>128.60594049384613</v>
      </c>
      <c r="J88" s="784">
        <f>(Y88*KFC!$B$34+KFC!$C$34)*KFC!$C$5</f>
        <v>138.16355801893161</v>
      </c>
      <c r="K88" s="784">
        <f>(Z88*KFC!$B$34+KFC!$C$34)*KFC!$C$5</f>
        <v>147.72117554401709</v>
      </c>
      <c r="L88" s="784">
        <f>(AA88*KFC!$B$34+KFC!$C$34)*KFC!$C$5</f>
        <v>157.27879306910256</v>
      </c>
      <c r="M88" s="784">
        <f>(AB88*KFC!$B$34+KFC!$C$34)*KFC!$C$5</f>
        <v>166.83641059418804</v>
      </c>
      <c r="N88" s="784">
        <f>(AC88*KFC!$B$34+KFC!$C$34)*KFC!$C$5</f>
        <v>176.39402811927354</v>
      </c>
      <c r="O88" s="784">
        <f>(AD88*KFC!$B$34+KFC!$C$34)*KFC!$C$5</f>
        <v>185.95164564435902</v>
      </c>
      <c r="P88" s="785">
        <f>(AE88*KFC!$B$34+KFC!$C$34)*KFC!$C$5</f>
        <v>195.50926316944452</v>
      </c>
      <c r="R88" s="247">
        <v>71.260235343333278</v>
      </c>
      <c r="S88" s="194">
        <v>80.817852868418768</v>
      </c>
      <c r="T88" s="194">
        <v>90.375470393504244</v>
      </c>
      <c r="U88" s="194">
        <v>99.93308791858972</v>
      </c>
      <c r="V88" s="194">
        <v>109.4907054436752</v>
      </c>
      <c r="W88" s="194">
        <v>119.04832296876067</v>
      </c>
      <c r="X88" s="194">
        <v>128.60594049384613</v>
      </c>
      <c r="Y88" s="194">
        <v>138.16355801893161</v>
      </c>
      <c r="Z88" s="194">
        <v>147.72117554401709</v>
      </c>
      <c r="AA88" s="194">
        <v>157.27879306910256</v>
      </c>
      <c r="AB88" s="194">
        <v>166.83641059418804</v>
      </c>
      <c r="AC88" s="194">
        <v>176.39402811927354</v>
      </c>
      <c r="AD88" s="194">
        <v>185.95164564435902</v>
      </c>
      <c r="AE88" s="195">
        <v>195.50926316944452</v>
      </c>
    </row>
    <row r="89" spans="1:31">
      <c r="A89" s="1929"/>
      <c r="B89" s="790">
        <v>2.2000000000000002</v>
      </c>
      <c r="C89" s="784">
        <f>(R89*KFC!$B$34+KFC!$C$34)*KFC!$C$5</f>
        <v>72.524855251666608</v>
      </c>
      <c r="D89" s="784">
        <f>(S89*KFC!$B$34+KFC!$C$34)*KFC!$C$5</f>
        <v>82.39863712555551</v>
      </c>
      <c r="E89" s="784">
        <f>(T89*KFC!$B$34+KFC!$C$34)*KFC!$C$5</f>
        <v>92.272418999444412</v>
      </c>
      <c r="F89" s="784">
        <f>(U89*KFC!$B$34+KFC!$C$34)*KFC!$C$5</f>
        <v>102.14620087333331</v>
      </c>
      <c r="G89" s="784">
        <f>(V89*KFC!$B$34+KFC!$C$34)*KFC!$C$5</f>
        <v>112.01998274722222</v>
      </c>
      <c r="H89" s="784">
        <f>(W89*KFC!$B$34+KFC!$C$34)*KFC!$C$5</f>
        <v>121.8937646211111</v>
      </c>
      <c r="I89" s="784">
        <f>(X89*KFC!$B$34+KFC!$C$34)*KFC!$C$5</f>
        <v>131.767546495</v>
      </c>
      <c r="J89" s="784">
        <f>(Y89*KFC!$B$34+KFC!$C$34)*KFC!$C$5</f>
        <v>141.64132836888891</v>
      </c>
      <c r="K89" s="784">
        <f>(Z89*KFC!$B$34+KFC!$C$34)*KFC!$C$5</f>
        <v>151.51511024277781</v>
      </c>
      <c r="L89" s="784">
        <f>(AA89*KFC!$B$34+KFC!$C$34)*KFC!$C$5</f>
        <v>161.38889211666671</v>
      </c>
      <c r="M89" s="784">
        <f>(AB89*KFC!$B$34+KFC!$C$34)*KFC!$C$5</f>
        <v>171.26267399055561</v>
      </c>
      <c r="N89" s="784">
        <f>(AC89*KFC!$B$34+KFC!$C$34)*KFC!$C$5</f>
        <v>181.13645586444451</v>
      </c>
      <c r="O89" s="784">
        <f>(AD89*KFC!$B$34+KFC!$C$34)*KFC!$C$5</f>
        <v>191.01023773833342</v>
      </c>
      <c r="P89" s="785">
        <f>(AE89*KFC!$B$34+KFC!$C$34)*KFC!$C$5</f>
        <v>200.88401961222232</v>
      </c>
      <c r="R89" s="247">
        <v>72.524855251666608</v>
      </c>
      <c r="S89" s="194">
        <v>82.39863712555551</v>
      </c>
      <c r="T89" s="194">
        <v>92.272418999444412</v>
      </c>
      <c r="U89" s="194">
        <v>102.14620087333331</v>
      </c>
      <c r="V89" s="194">
        <v>112.01998274722222</v>
      </c>
      <c r="W89" s="194">
        <v>121.8937646211111</v>
      </c>
      <c r="X89" s="194">
        <v>131.767546495</v>
      </c>
      <c r="Y89" s="194">
        <v>141.64132836888891</v>
      </c>
      <c r="Z89" s="194">
        <v>151.51511024277781</v>
      </c>
      <c r="AA89" s="194">
        <v>161.38889211666671</v>
      </c>
      <c r="AB89" s="194">
        <v>171.26267399055561</v>
      </c>
      <c r="AC89" s="194">
        <v>181.13645586444451</v>
      </c>
      <c r="AD89" s="194">
        <v>191.01023773833342</v>
      </c>
      <c r="AE89" s="195">
        <v>200.88401961222232</v>
      </c>
    </row>
    <row r="90" spans="1:31">
      <c r="A90" s="1929"/>
      <c r="B90" s="790">
        <v>2.2999999999999998</v>
      </c>
      <c r="C90" s="784">
        <f>(R90*KFC!$B$34+KFC!$C$34)*KFC!$C$5</f>
        <v>73.789475159999938</v>
      </c>
      <c r="D90" s="784">
        <f>(S90*KFC!$B$34+KFC!$C$34)*KFC!$C$5</f>
        <v>83.979421382692252</v>
      </c>
      <c r="E90" s="784">
        <f>(T90*KFC!$B$34+KFC!$C$34)*KFC!$C$5</f>
        <v>94.169367605384565</v>
      </c>
      <c r="F90" s="784">
        <f>(U90*KFC!$B$34+KFC!$C$34)*KFC!$C$5</f>
        <v>104.35931382807689</v>
      </c>
      <c r="G90" s="784">
        <f>(V90*KFC!$B$34+KFC!$C$34)*KFC!$C$5</f>
        <v>114.54926005076922</v>
      </c>
      <c r="H90" s="784">
        <f>(W90*KFC!$B$34+KFC!$C$34)*KFC!$C$5</f>
        <v>124.73920627346155</v>
      </c>
      <c r="I90" s="784">
        <f>(X90*KFC!$B$34+KFC!$C$34)*KFC!$C$5</f>
        <v>134.92915249615388</v>
      </c>
      <c r="J90" s="784">
        <f>(Y90*KFC!$B$34+KFC!$C$34)*KFC!$C$5</f>
        <v>145.1190987188462</v>
      </c>
      <c r="K90" s="784">
        <f>(Z90*KFC!$B$34+KFC!$C$34)*KFC!$C$5</f>
        <v>155.30904494153853</v>
      </c>
      <c r="L90" s="784">
        <f>(AA90*KFC!$B$34+KFC!$C$34)*KFC!$C$5</f>
        <v>165.49899116423086</v>
      </c>
      <c r="M90" s="784">
        <f>(AB90*KFC!$B$34+KFC!$C$34)*KFC!$C$5</f>
        <v>175.68893738692316</v>
      </c>
      <c r="N90" s="784">
        <f>(AC90*KFC!$B$34+KFC!$C$34)*KFC!$C$5</f>
        <v>185.87888360961549</v>
      </c>
      <c r="O90" s="784">
        <f>(AD90*KFC!$B$34+KFC!$C$34)*KFC!$C$5</f>
        <v>196.06882983230781</v>
      </c>
      <c r="P90" s="785">
        <f>(AE90*KFC!$B$34+KFC!$C$34)*KFC!$C$5</f>
        <v>206.25877605500008</v>
      </c>
      <c r="R90" s="247">
        <v>73.789475159999938</v>
      </c>
      <c r="S90" s="194">
        <v>83.979421382692252</v>
      </c>
      <c r="T90" s="194">
        <v>94.169367605384565</v>
      </c>
      <c r="U90" s="194">
        <v>104.35931382807689</v>
      </c>
      <c r="V90" s="194">
        <v>114.54926005076922</v>
      </c>
      <c r="W90" s="194">
        <v>124.73920627346155</v>
      </c>
      <c r="X90" s="194">
        <v>134.92915249615388</v>
      </c>
      <c r="Y90" s="194">
        <v>145.1190987188462</v>
      </c>
      <c r="Z90" s="194">
        <v>155.30904494153853</v>
      </c>
      <c r="AA90" s="194">
        <v>165.49899116423086</v>
      </c>
      <c r="AB90" s="194">
        <v>175.68893738692316</v>
      </c>
      <c r="AC90" s="194">
        <v>185.87888360961549</v>
      </c>
      <c r="AD90" s="194">
        <v>196.06882983230781</v>
      </c>
      <c r="AE90" s="195">
        <v>206.25877605500008</v>
      </c>
    </row>
    <row r="91" spans="1:31">
      <c r="A91" s="1929"/>
      <c r="B91" s="790">
        <v>2.4</v>
      </c>
      <c r="C91" s="784">
        <f>(R91*KFC!$B$34+KFC!$C$34)*KFC!$C$5</f>
        <v>75.054095068333268</v>
      </c>
      <c r="D91" s="784">
        <f>(S91*KFC!$B$34+KFC!$C$34)*KFC!$C$5</f>
        <v>85.560205639829007</v>
      </c>
      <c r="E91" s="784">
        <f>(T91*KFC!$B$34+KFC!$C$34)*KFC!$C$5</f>
        <v>96.066316211324732</v>
      </c>
      <c r="F91" s="784">
        <f>(U91*KFC!$B$34+KFC!$C$34)*KFC!$C$5</f>
        <v>106.57242678282047</v>
      </c>
      <c r="G91" s="784">
        <f>(V91*KFC!$B$34+KFC!$C$34)*KFC!$C$5</f>
        <v>117.0785373543162</v>
      </c>
      <c r="H91" s="784">
        <f>(W91*KFC!$B$34+KFC!$C$34)*KFC!$C$5</f>
        <v>127.58464792581194</v>
      </c>
      <c r="I91" s="784">
        <f>(X91*KFC!$B$34+KFC!$C$34)*KFC!$C$5</f>
        <v>138.09075849730766</v>
      </c>
      <c r="J91" s="784">
        <f>(Y91*KFC!$B$34+KFC!$C$34)*KFC!$C$5</f>
        <v>148.59686906880339</v>
      </c>
      <c r="K91" s="784">
        <f>(Z91*KFC!$B$34+KFC!$C$34)*KFC!$C$5</f>
        <v>159.10297964029914</v>
      </c>
      <c r="L91" s="784">
        <f>(AA91*KFC!$B$34+KFC!$C$34)*KFC!$C$5</f>
        <v>169.60909021179486</v>
      </c>
      <c r="M91" s="784">
        <f>(AB91*KFC!$B$34+KFC!$C$34)*KFC!$C$5</f>
        <v>180.11520078329062</v>
      </c>
      <c r="N91" s="784">
        <f>(AC91*KFC!$B$34+KFC!$C$34)*KFC!$C$5</f>
        <v>190.62131135478637</v>
      </c>
      <c r="O91" s="784">
        <f>(AD91*KFC!$B$34+KFC!$C$34)*KFC!$C$5</f>
        <v>201.12742192628212</v>
      </c>
      <c r="P91" s="785">
        <f>(AE91*KFC!$B$34+KFC!$C$34)*KFC!$C$5</f>
        <v>211.63353249777788</v>
      </c>
      <c r="R91" s="247">
        <v>75.054095068333268</v>
      </c>
      <c r="S91" s="194">
        <v>85.560205639829007</v>
      </c>
      <c r="T91" s="194">
        <v>96.066316211324732</v>
      </c>
      <c r="U91" s="194">
        <v>106.57242678282047</v>
      </c>
      <c r="V91" s="194">
        <v>117.0785373543162</v>
      </c>
      <c r="W91" s="194">
        <v>127.58464792581194</v>
      </c>
      <c r="X91" s="194">
        <v>138.09075849730766</v>
      </c>
      <c r="Y91" s="194">
        <v>148.59686906880339</v>
      </c>
      <c r="Z91" s="194">
        <v>159.10297964029914</v>
      </c>
      <c r="AA91" s="194">
        <v>169.60909021179486</v>
      </c>
      <c r="AB91" s="194">
        <v>180.11520078329062</v>
      </c>
      <c r="AC91" s="194">
        <v>190.62131135478637</v>
      </c>
      <c r="AD91" s="194">
        <v>201.12742192628212</v>
      </c>
      <c r="AE91" s="195">
        <v>211.63353249777788</v>
      </c>
    </row>
    <row r="92" spans="1:31">
      <c r="A92" s="1929"/>
      <c r="B92" s="790">
        <v>2.5</v>
      </c>
      <c r="C92" s="784">
        <f>(R92*KFC!$B$34+KFC!$C$34)*KFC!$C$5</f>
        <v>76.318714976666598</v>
      </c>
      <c r="D92" s="784">
        <f>(S92*KFC!$B$34+KFC!$C$34)*KFC!$C$5</f>
        <v>87.140989896965749</v>
      </c>
      <c r="E92" s="784">
        <f>(T92*KFC!$B$34+KFC!$C$34)*KFC!$C$5</f>
        <v>97.963264817264914</v>
      </c>
      <c r="F92" s="784">
        <f>(U92*KFC!$B$34+KFC!$C$34)*KFC!$C$5</f>
        <v>108.78553973756406</v>
      </c>
      <c r="G92" s="784">
        <f>(V92*KFC!$B$34+KFC!$C$34)*KFC!$C$5</f>
        <v>119.60781465786323</v>
      </c>
      <c r="H92" s="784">
        <f>(W92*KFC!$B$34+KFC!$C$34)*KFC!$C$5</f>
        <v>130.43008957816238</v>
      </c>
      <c r="I92" s="784">
        <f>(X92*KFC!$B$34+KFC!$C$34)*KFC!$C$5</f>
        <v>141.25236449846153</v>
      </c>
      <c r="J92" s="784">
        <f>(Y92*KFC!$B$34+KFC!$C$34)*KFC!$C$5</f>
        <v>152.07463941876071</v>
      </c>
      <c r="K92" s="784">
        <f>(Z92*KFC!$B$34+KFC!$C$34)*KFC!$C$5</f>
        <v>162.89691433905986</v>
      </c>
      <c r="L92" s="784">
        <f>(AA92*KFC!$B$34+KFC!$C$34)*KFC!$C$5</f>
        <v>173.71918925935904</v>
      </c>
      <c r="M92" s="784">
        <f>(AB92*KFC!$B$34+KFC!$C$34)*KFC!$C$5</f>
        <v>184.54146417965822</v>
      </c>
      <c r="N92" s="784">
        <f>(AC92*KFC!$B$34+KFC!$C$34)*KFC!$C$5</f>
        <v>195.3637390999574</v>
      </c>
      <c r="O92" s="784">
        <f>(AD92*KFC!$B$34+KFC!$C$34)*KFC!$C$5</f>
        <v>206.18601402025655</v>
      </c>
      <c r="P92" s="785">
        <f>(AE92*KFC!$B$34+KFC!$C$34)*KFC!$C$5</f>
        <v>217.00828894055567</v>
      </c>
      <c r="R92" s="247">
        <v>76.318714976666598</v>
      </c>
      <c r="S92" s="194">
        <v>87.140989896965749</v>
      </c>
      <c r="T92" s="194">
        <v>97.963264817264914</v>
      </c>
      <c r="U92" s="194">
        <v>108.78553973756406</v>
      </c>
      <c r="V92" s="194">
        <v>119.60781465786323</v>
      </c>
      <c r="W92" s="194">
        <v>130.43008957816238</v>
      </c>
      <c r="X92" s="194">
        <v>141.25236449846153</v>
      </c>
      <c r="Y92" s="194">
        <v>152.07463941876071</v>
      </c>
      <c r="Z92" s="194">
        <v>162.89691433905986</v>
      </c>
      <c r="AA92" s="194">
        <v>173.71918925935904</v>
      </c>
      <c r="AB92" s="194">
        <v>184.54146417965822</v>
      </c>
      <c r="AC92" s="194">
        <v>195.3637390999574</v>
      </c>
      <c r="AD92" s="194">
        <v>206.18601402025655</v>
      </c>
      <c r="AE92" s="195">
        <v>217.00828894055567</v>
      </c>
    </row>
    <row r="93" spans="1:31">
      <c r="A93" s="1929"/>
      <c r="B93" s="790">
        <v>2.6</v>
      </c>
      <c r="C93" s="784">
        <f>(R93*KFC!$B$34+KFC!$C$34)*KFC!$C$5</f>
        <v>77.583334884999928</v>
      </c>
      <c r="D93" s="784">
        <f>(S93*KFC!$B$34+KFC!$C$34)*KFC!$C$5</f>
        <v>88.721774154102505</v>
      </c>
      <c r="E93" s="784">
        <f>(T93*KFC!$B$34+KFC!$C$34)*KFC!$C$5</f>
        <v>99.860213423205096</v>
      </c>
      <c r="F93" s="784">
        <f>(U93*KFC!$B$34+KFC!$C$34)*KFC!$C$5</f>
        <v>110.99865269230767</v>
      </c>
      <c r="G93" s="784">
        <f>(V93*KFC!$B$34+KFC!$C$34)*KFC!$C$5</f>
        <v>122.13709196141026</v>
      </c>
      <c r="H93" s="784">
        <f>(W93*KFC!$B$34+KFC!$C$34)*KFC!$C$5</f>
        <v>133.27553123051285</v>
      </c>
      <c r="I93" s="784">
        <f>(X93*KFC!$B$34+KFC!$C$34)*KFC!$C$5</f>
        <v>144.41397049961543</v>
      </c>
      <c r="J93" s="784">
        <f>(Y93*KFC!$B$34+KFC!$C$34)*KFC!$C$5</f>
        <v>155.55240976871801</v>
      </c>
      <c r="K93" s="784">
        <f>(Z93*KFC!$B$34+KFC!$C$34)*KFC!$C$5</f>
        <v>166.69084903782058</v>
      </c>
      <c r="L93" s="784">
        <f>(AA93*KFC!$B$34+KFC!$C$34)*KFC!$C$5</f>
        <v>177.82928830692316</v>
      </c>
      <c r="M93" s="784">
        <f>(AB93*KFC!$B$34+KFC!$C$34)*KFC!$C$5</f>
        <v>188.96772757602571</v>
      </c>
      <c r="N93" s="784">
        <f>(AC93*KFC!$B$34+KFC!$C$34)*KFC!$C$5</f>
        <v>200.10616684512829</v>
      </c>
      <c r="O93" s="784">
        <f>(AD93*KFC!$B$34+KFC!$C$34)*KFC!$C$5</f>
        <v>211.24460611423083</v>
      </c>
      <c r="P93" s="785">
        <f>(AE93*KFC!$B$34+KFC!$C$34)*KFC!$C$5</f>
        <v>222.38304538333344</v>
      </c>
      <c r="R93" s="247">
        <v>77.583334884999928</v>
      </c>
      <c r="S93" s="194">
        <v>88.721774154102505</v>
      </c>
      <c r="T93" s="194">
        <v>99.860213423205096</v>
      </c>
      <c r="U93" s="194">
        <v>110.99865269230767</v>
      </c>
      <c r="V93" s="194">
        <v>122.13709196141026</v>
      </c>
      <c r="W93" s="194">
        <v>133.27553123051285</v>
      </c>
      <c r="X93" s="194">
        <v>144.41397049961543</v>
      </c>
      <c r="Y93" s="194">
        <v>155.55240976871801</v>
      </c>
      <c r="Z93" s="194">
        <v>166.69084903782058</v>
      </c>
      <c r="AA93" s="194">
        <v>177.82928830692316</v>
      </c>
      <c r="AB93" s="194">
        <v>188.96772757602571</v>
      </c>
      <c r="AC93" s="194">
        <v>200.10616684512829</v>
      </c>
      <c r="AD93" s="194">
        <v>211.24460611423083</v>
      </c>
      <c r="AE93" s="195">
        <v>222.38304538333344</v>
      </c>
    </row>
    <row r="94" spans="1:31">
      <c r="A94" s="1929"/>
      <c r="B94" s="790">
        <v>2.7</v>
      </c>
      <c r="C94" s="784">
        <f>(R94*KFC!$B$34+KFC!$C$34)*KFC!$C$5</f>
        <v>78.847954793333258</v>
      </c>
      <c r="D94" s="784">
        <f>(S94*KFC!$B$34+KFC!$C$34)*KFC!$C$5</f>
        <v>90.302558411239247</v>
      </c>
      <c r="E94" s="784">
        <f>(T94*KFC!$B$34+KFC!$C$34)*KFC!$C$5</f>
        <v>101.75716202914523</v>
      </c>
      <c r="F94" s="784">
        <f>(U94*KFC!$B$34+KFC!$C$34)*KFC!$C$5</f>
        <v>113.21176564705122</v>
      </c>
      <c r="G94" s="784">
        <f>(V94*KFC!$B$34+KFC!$C$34)*KFC!$C$5</f>
        <v>124.66636926495721</v>
      </c>
      <c r="H94" s="784">
        <f>(W94*KFC!$B$34+KFC!$C$34)*KFC!$C$5</f>
        <v>136.12097288286321</v>
      </c>
      <c r="I94" s="784">
        <f>(X94*KFC!$B$34+KFC!$C$34)*KFC!$C$5</f>
        <v>147.57557650076919</v>
      </c>
      <c r="J94" s="784">
        <f>(Y94*KFC!$B$34+KFC!$C$34)*KFC!$C$5</f>
        <v>159.03018011867519</v>
      </c>
      <c r="K94" s="784">
        <f>(Z94*KFC!$B$34+KFC!$C$34)*KFC!$C$5</f>
        <v>170.48478373658116</v>
      </c>
      <c r="L94" s="784">
        <f>(AA94*KFC!$B$34+KFC!$C$34)*KFC!$C$5</f>
        <v>181.93938735448717</v>
      </c>
      <c r="M94" s="784">
        <f>(AB94*KFC!$B$34+KFC!$C$34)*KFC!$C$5</f>
        <v>193.39399097239314</v>
      </c>
      <c r="N94" s="784">
        <f>(AC94*KFC!$B$34+KFC!$C$34)*KFC!$C$5</f>
        <v>204.84859459029914</v>
      </c>
      <c r="O94" s="784">
        <f>(AD94*KFC!$B$34+KFC!$C$34)*KFC!$C$5</f>
        <v>216.30319820820512</v>
      </c>
      <c r="P94" s="785">
        <f>(AE94*KFC!$B$34+KFC!$C$34)*KFC!$C$5</f>
        <v>227.75780182611123</v>
      </c>
      <c r="R94" s="247">
        <v>78.847954793333258</v>
      </c>
      <c r="S94" s="194">
        <v>90.302558411239247</v>
      </c>
      <c r="T94" s="194">
        <v>101.75716202914523</v>
      </c>
      <c r="U94" s="194">
        <v>113.21176564705122</v>
      </c>
      <c r="V94" s="194">
        <v>124.66636926495721</v>
      </c>
      <c r="W94" s="194">
        <v>136.12097288286321</v>
      </c>
      <c r="X94" s="194">
        <v>147.57557650076919</v>
      </c>
      <c r="Y94" s="194">
        <v>159.03018011867519</v>
      </c>
      <c r="Z94" s="194">
        <v>170.48478373658116</v>
      </c>
      <c r="AA94" s="194">
        <v>181.93938735448717</v>
      </c>
      <c r="AB94" s="194">
        <v>193.39399097239314</v>
      </c>
      <c r="AC94" s="194">
        <v>204.84859459029914</v>
      </c>
      <c r="AD94" s="194">
        <v>216.30319820820512</v>
      </c>
      <c r="AE94" s="195">
        <v>227.75780182611123</v>
      </c>
    </row>
    <row r="95" spans="1:31">
      <c r="A95" s="1929"/>
      <c r="B95" s="790">
        <v>2.8</v>
      </c>
      <c r="C95" s="784">
        <f>(R95*KFC!$B$34+KFC!$C$34)*KFC!$C$5</f>
        <v>80.112574701666588</v>
      </c>
      <c r="D95" s="784">
        <f>(S95*KFC!$B$34+KFC!$C$34)*KFC!$C$5</f>
        <v>91.883342668376002</v>
      </c>
      <c r="E95" s="784">
        <f>(T95*KFC!$B$34+KFC!$C$34)*KFC!$C$5</f>
        <v>103.65411063508542</v>
      </c>
      <c r="F95" s="784">
        <f>(U95*KFC!$B$34+KFC!$C$34)*KFC!$C$5</f>
        <v>115.42487860179483</v>
      </c>
      <c r="G95" s="784">
        <f>(V95*KFC!$B$34+KFC!$C$34)*KFC!$C$5</f>
        <v>127.19564656850424</v>
      </c>
      <c r="H95" s="784">
        <f>(W95*KFC!$B$34+KFC!$C$34)*KFC!$C$5</f>
        <v>138.96641453521366</v>
      </c>
      <c r="I95" s="784">
        <f>(X95*KFC!$B$34+KFC!$C$34)*KFC!$C$5</f>
        <v>150.73718250192309</v>
      </c>
      <c r="J95" s="784">
        <f>(Y95*KFC!$B$34+KFC!$C$34)*KFC!$C$5</f>
        <v>162.50795046863249</v>
      </c>
      <c r="K95" s="784">
        <f>(Z95*KFC!$B$34+KFC!$C$34)*KFC!$C$5</f>
        <v>174.27871843534191</v>
      </c>
      <c r="L95" s="784">
        <f>(AA95*KFC!$B$34+KFC!$C$34)*KFC!$C$5</f>
        <v>186.04948640205131</v>
      </c>
      <c r="M95" s="784">
        <f>(AB95*KFC!$B$34+KFC!$C$34)*KFC!$C$5</f>
        <v>197.82025436876074</v>
      </c>
      <c r="N95" s="784">
        <f>(AC95*KFC!$B$34+KFC!$C$34)*KFC!$C$5</f>
        <v>209.59102233547014</v>
      </c>
      <c r="O95" s="784">
        <f>(AD95*KFC!$B$34+KFC!$C$34)*KFC!$C$5</f>
        <v>221.36179030217957</v>
      </c>
      <c r="P95" s="785">
        <f>(AE95*KFC!$B$34+KFC!$C$34)*KFC!$C$5</f>
        <v>233.13255826888903</v>
      </c>
      <c r="R95" s="247">
        <v>80.112574701666588</v>
      </c>
      <c r="S95" s="194">
        <v>91.883342668376002</v>
      </c>
      <c r="T95" s="194">
        <v>103.65411063508542</v>
      </c>
      <c r="U95" s="194">
        <v>115.42487860179483</v>
      </c>
      <c r="V95" s="194">
        <v>127.19564656850424</v>
      </c>
      <c r="W95" s="194">
        <v>138.96641453521366</v>
      </c>
      <c r="X95" s="194">
        <v>150.73718250192309</v>
      </c>
      <c r="Y95" s="194">
        <v>162.50795046863249</v>
      </c>
      <c r="Z95" s="194">
        <v>174.27871843534191</v>
      </c>
      <c r="AA95" s="194">
        <v>186.04948640205131</v>
      </c>
      <c r="AB95" s="194">
        <v>197.82025436876074</v>
      </c>
      <c r="AC95" s="194">
        <v>209.59102233547014</v>
      </c>
      <c r="AD95" s="194">
        <v>221.36179030217957</v>
      </c>
      <c r="AE95" s="195">
        <v>233.13255826888903</v>
      </c>
    </row>
    <row r="96" spans="1:31">
      <c r="A96" s="1929"/>
      <c r="B96" s="790">
        <v>2.9</v>
      </c>
      <c r="C96" s="784">
        <f>(R96*KFC!$B$34+KFC!$C$34)*KFC!$C$5</f>
        <v>81.377194609999918</v>
      </c>
      <c r="D96" s="784">
        <f>(S96*KFC!$B$34+KFC!$C$34)*KFC!$C$5</f>
        <v>93.464126925512758</v>
      </c>
      <c r="E96" s="784">
        <f>(T96*KFC!$B$34+KFC!$C$34)*KFC!$C$5</f>
        <v>105.5510592410256</v>
      </c>
      <c r="F96" s="784">
        <f>(U96*KFC!$B$34+KFC!$C$34)*KFC!$C$5</f>
        <v>117.63799155653844</v>
      </c>
      <c r="G96" s="784">
        <f>(V96*KFC!$B$34+KFC!$C$34)*KFC!$C$5</f>
        <v>129.72492387205128</v>
      </c>
      <c r="H96" s="784">
        <f>(W96*KFC!$B$34+KFC!$C$34)*KFC!$C$5</f>
        <v>141.81185618756413</v>
      </c>
      <c r="I96" s="784">
        <f>(X96*KFC!$B$34+KFC!$C$34)*KFC!$C$5</f>
        <v>153.89878850307696</v>
      </c>
      <c r="J96" s="784">
        <f>(Y96*KFC!$B$34+KFC!$C$34)*KFC!$C$5</f>
        <v>165.98572081858981</v>
      </c>
      <c r="K96" s="784">
        <f>(Z96*KFC!$B$34+KFC!$C$34)*KFC!$C$5</f>
        <v>178.07265313410264</v>
      </c>
      <c r="L96" s="784">
        <f>(AA96*KFC!$B$34+KFC!$C$34)*KFC!$C$5</f>
        <v>190.15958544961549</v>
      </c>
      <c r="M96" s="784">
        <f>(AB96*KFC!$B$34+KFC!$C$34)*KFC!$C$5</f>
        <v>202.24651776512832</v>
      </c>
      <c r="N96" s="784">
        <f>(AC96*KFC!$B$34+KFC!$C$34)*KFC!$C$5</f>
        <v>214.33345008064117</v>
      </c>
      <c r="O96" s="784">
        <f>(AD96*KFC!$B$34+KFC!$C$34)*KFC!$C$5</f>
        <v>226.420382396154</v>
      </c>
      <c r="P96" s="785">
        <f>(AE96*KFC!$B$34+KFC!$C$34)*KFC!$C$5</f>
        <v>238.50731471166679</v>
      </c>
      <c r="R96" s="247">
        <v>81.377194609999918</v>
      </c>
      <c r="S96" s="194">
        <v>93.464126925512758</v>
      </c>
      <c r="T96" s="194">
        <v>105.5510592410256</v>
      </c>
      <c r="U96" s="194">
        <v>117.63799155653844</v>
      </c>
      <c r="V96" s="194">
        <v>129.72492387205128</v>
      </c>
      <c r="W96" s="194">
        <v>141.81185618756413</v>
      </c>
      <c r="X96" s="194">
        <v>153.89878850307696</v>
      </c>
      <c r="Y96" s="194">
        <v>165.98572081858981</v>
      </c>
      <c r="Z96" s="194">
        <v>178.07265313410264</v>
      </c>
      <c r="AA96" s="194">
        <v>190.15958544961549</v>
      </c>
      <c r="AB96" s="194">
        <v>202.24651776512832</v>
      </c>
      <c r="AC96" s="194">
        <v>214.33345008064117</v>
      </c>
      <c r="AD96" s="194">
        <v>226.420382396154</v>
      </c>
      <c r="AE96" s="195">
        <v>238.50731471166679</v>
      </c>
    </row>
    <row r="97" spans="1:31">
      <c r="A97" s="1929"/>
      <c r="B97" s="790">
        <v>3</v>
      </c>
      <c r="C97" s="784">
        <f>(R97*KFC!$B$34+KFC!$C$34)*KFC!$C$5</f>
        <v>82.641814518333248</v>
      </c>
      <c r="D97" s="784">
        <f>(S97*KFC!$B$34+KFC!$C$34)*KFC!$C$5</f>
        <v>95.044911182649514</v>
      </c>
      <c r="E97" s="784">
        <f>(T97*KFC!$B$34+KFC!$C$34)*KFC!$C$5</f>
        <v>107.44800784696578</v>
      </c>
      <c r="F97" s="784">
        <f>(U97*KFC!$B$34+KFC!$C$34)*KFC!$C$5</f>
        <v>119.85110451128205</v>
      </c>
      <c r="G97" s="784">
        <f>(V97*KFC!$B$34+KFC!$C$34)*KFC!$C$5</f>
        <v>132.2542011755983</v>
      </c>
      <c r="H97" s="784">
        <f>(W97*KFC!$B$34+KFC!$C$34)*KFC!$C$5</f>
        <v>144.65729783991458</v>
      </c>
      <c r="I97" s="784">
        <f>(X97*KFC!$B$34+KFC!$C$34)*KFC!$C$5</f>
        <v>157.06039450423083</v>
      </c>
      <c r="J97" s="784">
        <f>(Y97*KFC!$B$34+KFC!$C$34)*KFC!$C$5</f>
        <v>169.46349116854711</v>
      </c>
      <c r="K97" s="784">
        <f>(Z97*KFC!$B$34+KFC!$C$34)*KFC!$C$5</f>
        <v>181.86658783286336</v>
      </c>
      <c r="L97" s="784">
        <f>(AA97*KFC!$B$34+KFC!$C$34)*KFC!$C$5</f>
        <v>194.26968449717964</v>
      </c>
      <c r="M97" s="784">
        <f>(AB97*KFC!$B$34+KFC!$C$34)*KFC!$C$5</f>
        <v>206.67278116149589</v>
      </c>
      <c r="N97" s="784">
        <f>(AC97*KFC!$B$34+KFC!$C$34)*KFC!$C$5</f>
        <v>219.07587782581217</v>
      </c>
      <c r="O97" s="784">
        <f>(AD97*KFC!$B$34+KFC!$C$34)*KFC!$C$5</f>
        <v>231.47897449012842</v>
      </c>
      <c r="P97" s="785">
        <f>(AE97*KFC!$B$34+KFC!$C$34)*KFC!$C$5</f>
        <v>243.88207115444459</v>
      </c>
      <c r="R97" s="247">
        <v>82.641814518333248</v>
      </c>
      <c r="S97" s="194">
        <v>95.044911182649514</v>
      </c>
      <c r="T97" s="194">
        <v>107.44800784696578</v>
      </c>
      <c r="U97" s="194">
        <v>119.85110451128205</v>
      </c>
      <c r="V97" s="194">
        <v>132.2542011755983</v>
      </c>
      <c r="W97" s="194">
        <v>144.65729783991458</v>
      </c>
      <c r="X97" s="194">
        <v>157.06039450423083</v>
      </c>
      <c r="Y97" s="194">
        <v>169.46349116854711</v>
      </c>
      <c r="Z97" s="194">
        <v>181.86658783286336</v>
      </c>
      <c r="AA97" s="194">
        <v>194.26968449717964</v>
      </c>
      <c r="AB97" s="194">
        <v>206.67278116149589</v>
      </c>
      <c r="AC97" s="194">
        <v>219.07587782581217</v>
      </c>
      <c r="AD97" s="194">
        <v>231.47897449012842</v>
      </c>
      <c r="AE97" s="195">
        <v>243.88207115444459</v>
      </c>
    </row>
    <row r="98" spans="1:31">
      <c r="A98" s="1929"/>
      <c r="B98" s="790">
        <v>3.1</v>
      </c>
      <c r="C98" s="784">
        <f>(R98*KFC!$B$34+KFC!$C$34)*KFC!$C$5</f>
        <v>83.906434426666578</v>
      </c>
      <c r="D98" s="784">
        <f>(S98*KFC!$B$34+KFC!$C$34)*KFC!$C$5</f>
        <v>96.625695439786256</v>
      </c>
      <c r="E98" s="784">
        <f>(T98*KFC!$B$34+KFC!$C$34)*KFC!$C$5</f>
        <v>109.34495645290592</v>
      </c>
      <c r="F98" s="784">
        <f>(U98*KFC!$B$34+KFC!$C$34)*KFC!$C$5</f>
        <v>122.0642174660256</v>
      </c>
      <c r="G98" s="784">
        <f>(V98*KFC!$B$34+KFC!$C$34)*KFC!$C$5</f>
        <v>134.78347847914526</v>
      </c>
      <c r="H98" s="784">
        <f>(W98*KFC!$B$34+KFC!$C$34)*KFC!$C$5</f>
        <v>147.50273949226494</v>
      </c>
      <c r="I98" s="784">
        <f>(X98*KFC!$B$34+KFC!$C$34)*KFC!$C$5</f>
        <v>160.22200050538461</v>
      </c>
      <c r="J98" s="784">
        <f>(Y98*KFC!$B$34+KFC!$C$34)*KFC!$C$5</f>
        <v>172.94126151850429</v>
      </c>
      <c r="K98" s="784">
        <f>(Z98*KFC!$B$34+KFC!$C$34)*KFC!$C$5</f>
        <v>185.660522531624</v>
      </c>
      <c r="L98" s="784">
        <f>(AA98*KFC!$B$34+KFC!$C$34)*KFC!$C$5</f>
        <v>198.37978354474367</v>
      </c>
      <c r="M98" s="784">
        <f>(AB98*KFC!$B$34+KFC!$C$34)*KFC!$C$5</f>
        <v>211.09904455786338</v>
      </c>
      <c r="N98" s="784">
        <f>(AC98*KFC!$B$34+KFC!$C$34)*KFC!$C$5</f>
        <v>223.81830557098306</v>
      </c>
      <c r="O98" s="784">
        <f>(AD98*KFC!$B$34+KFC!$C$34)*KFC!$C$5</f>
        <v>236.53756658410276</v>
      </c>
      <c r="P98" s="785">
        <f>(AE98*KFC!$B$34+KFC!$C$34)*KFC!$C$5</f>
        <v>249.25682759722235</v>
      </c>
      <c r="R98" s="247">
        <v>83.906434426666578</v>
      </c>
      <c r="S98" s="194">
        <v>96.625695439786256</v>
      </c>
      <c r="T98" s="194">
        <v>109.34495645290592</v>
      </c>
      <c r="U98" s="194">
        <v>122.0642174660256</v>
      </c>
      <c r="V98" s="194">
        <v>134.78347847914526</v>
      </c>
      <c r="W98" s="194">
        <v>147.50273949226494</v>
      </c>
      <c r="X98" s="194">
        <v>160.22200050538461</v>
      </c>
      <c r="Y98" s="194">
        <v>172.94126151850429</v>
      </c>
      <c r="Z98" s="194">
        <v>185.660522531624</v>
      </c>
      <c r="AA98" s="194">
        <v>198.37978354474367</v>
      </c>
      <c r="AB98" s="194">
        <v>211.09904455786338</v>
      </c>
      <c r="AC98" s="194">
        <v>223.81830557098306</v>
      </c>
      <c r="AD98" s="194">
        <v>236.53756658410276</v>
      </c>
      <c r="AE98" s="195">
        <v>249.25682759722235</v>
      </c>
    </row>
    <row r="99" spans="1:31" ht="13.8" thickBot="1">
      <c r="A99" s="1930"/>
      <c r="B99" s="791">
        <v>3.2</v>
      </c>
      <c r="C99" s="787">
        <f>(R99*KFC!$B$34+KFC!$C$34)*KFC!$C$5</f>
        <v>85.171054335000008</v>
      </c>
      <c r="D99" s="787">
        <f>(S99*KFC!$B$34+KFC!$C$34)*KFC!$C$5</f>
        <v>98.206479696923083</v>
      </c>
      <c r="E99" s="787">
        <f>(T99*KFC!$B$34+KFC!$C$34)*KFC!$C$5</f>
        <v>111.24190505884616</v>
      </c>
      <c r="F99" s="787">
        <f>(U99*KFC!$B$34+KFC!$C$34)*KFC!$C$5</f>
        <v>124.27733042076923</v>
      </c>
      <c r="G99" s="787">
        <f>(V99*KFC!$B$34+KFC!$C$34)*KFC!$C$5</f>
        <v>137.31275578269231</v>
      </c>
      <c r="H99" s="787">
        <f>(W99*KFC!$B$34+KFC!$C$34)*KFC!$C$5</f>
        <v>150.34818114461538</v>
      </c>
      <c r="I99" s="787">
        <f>(X99*KFC!$B$34+KFC!$C$34)*KFC!$C$5</f>
        <v>163.38360650653848</v>
      </c>
      <c r="J99" s="787">
        <f>(Y99*KFC!$B$34+KFC!$C$34)*KFC!$C$5</f>
        <v>176.41903186846156</v>
      </c>
      <c r="K99" s="787">
        <f>(Z99*KFC!$B$34+KFC!$C$34)*KFC!$C$5</f>
        <v>189.45445723038466</v>
      </c>
      <c r="L99" s="787">
        <f>(AA99*KFC!$B$34+KFC!$C$34)*KFC!$C$5</f>
        <v>202.48988259230774</v>
      </c>
      <c r="M99" s="787">
        <f>(AB99*KFC!$B$34+KFC!$C$34)*KFC!$C$5</f>
        <v>215.52530795423081</v>
      </c>
      <c r="N99" s="787">
        <f>(AC99*KFC!$B$34+KFC!$C$34)*KFC!$C$5</f>
        <v>228.56073331615389</v>
      </c>
      <c r="O99" s="787">
        <f>(AD99*KFC!$B$34+KFC!$C$34)*KFC!$C$5</f>
        <v>241.59615867807696</v>
      </c>
      <c r="P99" s="788">
        <f>(AE99*KFC!$B$34+KFC!$C$34)*KFC!$C$5</f>
        <v>254.63158404000001</v>
      </c>
      <c r="R99" s="248">
        <v>85.171054335000008</v>
      </c>
      <c r="S99" s="196">
        <v>98.206479696923083</v>
      </c>
      <c r="T99" s="196">
        <v>111.24190505884616</v>
      </c>
      <c r="U99" s="196">
        <v>124.27733042076923</v>
      </c>
      <c r="V99" s="196">
        <v>137.31275578269231</v>
      </c>
      <c r="W99" s="196">
        <v>150.34818114461538</v>
      </c>
      <c r="X99" s="196">
        <v>163.38360650653848</v>
      </c>
      <c r="Y99" s="196">
        <v>176.41903186846156</v>
      </c>
      <c r="Z99" s="196">
        <v>189.45445723038466</v>
      </c>
      <c r="AA99" s="196">
        <v>202.48988259230774</v>
      </c>
      <c r="AB99" s="196">
        <v>215.52530795423081</v>
      </c>
      <c r="AC99" s="196">
        <v>228.56073331615389</v>
      </c>
      <c r="AD99" s="196">
        <v>241.59615867807696</v>
      </c>
      <c r="AE99" s="197">
        <v>254.63158404000001</v>
      </c>
    </row>
    <row r="100" spans="1:31" ht="13.8" thickBot="1">
      <c r="A100" s="777"/>
      <c r="B100" s="777"/>
      <c r="C100" s="777"/>
      <c r="D100" s="777"/>
      <c r="E100" s="777"/>
      <c r="F100" s="777"/>
      <c r="G100" s="777"/>
      <c r="H100" s="777"/>
      <c r="I100" s="777"/>
      <c r="J100" s="777"/>
      <c r="K100" s="777"/>
      <c r="L100" s="777"/>
      <c r="M100" s="777"/>
      <c r="N100" s="777"/>
      <c r="O100" s="777"/>
      <c r="P100" s="777"/>
    </row>
    <row r="101" spans="1:31" ht="13.8" thickBot="1">
      <c r="A101" s="1931" t="s">
        <v>319</v>
      </c>
      <c r="B101" s="1932"/>
      <c r="C101" s="1935" t="s">
        <v>207</v>
      </c>
      <c r="D101" s="1936"/>
      <c r="E101" s="1936"/>
      <c r="F101" s="1936"/>
      <c r="G101" s="1936"/>
      <c r="H101" s="1936"/>
      <c r="I101" s="1936"/>
      <c r="J101" s="1936"/>
      <c r="K101" s="1936"/>
      <c r="L101" s="1936"/>
      <c r="M101" s="1936"/>
      <c r="N101" s="1936"/>
      <c r="O101" s="1936"/>
      <c r="P101" s="1937"/>
    </row>
    <row r="102" spans="1:31" ht="13.8" thickBot="1">
      <c r="A102" s="1933"/>
      <c r="B102" s="1934"/>
      <c r="C102" s="778">
        <v>0.4</v>
      </c>
      <c r="D102" s="779">
        <v>0.5</v>
      </c>
      <c r="E102" s="779">
        <v>0.6</v>
      </c>
      <c r="F102" s="779">
        <v>0.7</v>
      </c>
      <c r="G102" s="779">
        <v>0.8</v>
      </c>
      <c r="H102" s="779">
        <v>0.9</v>
      </c>
      <c r="I102" s="779">
        <v>1</v>
      </c>
      <c r="J102" s="779">
        <v>1.1000000000000001</v>
      </c>
      <c r="K102" s="779">
        <v>1.2</v>
      </c>
      <c r="L102" s="779">
        <v>1.3</v>
      </c>
      <c r="M102" s="779">
        <v>1.4</v>
      </c>
      <c r="N102" s="779">
        <v>1.5</v>
      </c>
      <c r="O102" s="779">
        <v>1.6</v>
      </c>
      <c r="P102" s="780">
        <v>1.7</v>
      </c>
    </row>
    <row r="103" spans="1:31">
      <c r="A103" s="1928" t="s">
        <v>3</v>
      </c>
      <c r="B103" s="789">
        <v>0.5</v>
      </c>
      <c r="C103" s="784">
        <f>(R103*KFC!$B$34+KFC!$C$34)*KFC!$C$5</f>
        <v>53.736843180000001</v>
      </c>
      <c r="D103" s="784">
        <f>(S103*KFC!$B$34+KFC!$C$34)*KFC!$C$5</f>
        <v>58.911944498076927</v>
      </c>
      <c r="E103" s="784">
        <f>(T103*KFC!$B$34+KFC!$C$34)*KFC!$C$5</f>
        <v>64.087045816153847</v>
      </c>
      <c r="F103" s="784">
        <f>(U103*KFC!$B$34+KFC!$C$34)*KFC!$C$5</f>
        <v>69.262147134230773</v>
      </c>
      <c r="G103" s="784">
        <f>(V103*KFC!$B$34+KFC!$C$34)*KFC!$C$5</f>
        <v>74.437248452307699</v>
      </c>
      <c r="H103" s="784">
        <f>(W103*KFC!$B$34+KFC!$C$34)*KFC!$C$5</f>
        <v>79.612349770384625</v>
      </c>
      <c r="I103" s="784">
        <f>(X103*KFC!$B$34+KFC!$C$34)*KFC!$C$5</f>
        <v>84.787451088461552</v>
      </c>
      <c r="J103" s="784">
        <f>(Y103*KFC!$B$34+KFC!$C$34)*KFC!$C$5</f>
        <v>89.962552406538478</v>
      </c>
      <c r="K103" s="784">
        <f>(Z103*KFC!$B$34+KFC!$C$34)*KFC!$C$5</f>
        <v>95.137653724615404</v>
      </c>
      <c r="L103" s="784">
        <f>(AA103*KFC!$B$34+KFC!$C$34)*KFC!$C$5</f>
        <v>100.31275504269233</v>
      </c>
      <c r="M103" s="784">
        <f>(AB103*KFC!$B$34+KFC!$C$34)*KFC!$C$5</f>
        <v>105.48785636076926</v>
      </c>
      <c r="N103" s="784">
        <f>(AC103*KFC!$B$34+KFC!$C$34)*KFC!$C$5</f>
        <v>110.66295767884618</v>
      </c>
      <c r="O103" s="784">
        <f>(AD103*KFC!$B$34+KFC!$C$34)*KFC!$C$5</f>
        <v>115.83805899692311</v>
      </c>
      <c r="P103" s="785">
        <f>(AE103*KFC!$B$34+KFC!$C$34)*KFC!$C$5</f>
        <v>121.01316031499999</v>
      </c>
      <c r="R103" s="246">
        <v>53.736843180000001</v>
      </c>
      <c r="S103" s="192">
        <v>58.911944498076927</v>
      </c>
      <c r="T103" s="192">
        <v>64.087045816153847</v>
      </c>
      <c r="U103" s="192">
        <v>69.262147134230773</v>
      </c>
      <c r="V103" s="192">
        <v>74.437248452307699</v>
      </c>
      <c r="W103" s="192">
        <v>79.612349770384625</v>
      </c>
      <c r="X103" s="192">
        <v>84.787451088461552</v>
      </c>
      <c r="Y103" s="192">
        <v>89.962552406538478</v>
      </c>
      <c r="Z103" s="192">
        <v>95.137653724615404</v>
      </c>
      <c r="AA103" s="192">
        <v>100.31275504269233</v>
      </c>
      <c r="AB103" s="192">
        <v>105.48785636076926</v>
      </c>
      <c r="AC103" s="192">
        <v>110.66295767884618</v>
      </c>
      <c r="AD103" s="192">
        <v>115.83805899692311</v>
      </c>
      <c r="AE103" s="193">
        <v>121.01316031499999</v>
      </c>
    </row>
    <row r="104" spans="1:31">
      <c r="A104" s="1929"/>
      <c r="B104" s="790">
        <v>0.6</v>
      </c>
      <c r="C104" s="784">
        <f>(R104*KFC!$B$34+KFC!$C$34)*KFC!$C$5</f>
        <v>55.452242824444447</v>
      </c>
      <c r="D104" s="784">
        <f>(S104*KFC!$B$34+KFC!$C$34)*KFC!$C$5</f>
        <v>61.056194053632481</v>
      </c>
      <c r="E104" s="784">
        <f>(T104*KFC!$B$34+KFC!$C$34)*KFC!$C$5</f>
        <v>66.660145282820508</v>
      </c>
      <c r="F104" s="784">
        <f>(U104*KFC!$B$34+KFC!$C$34)*KFC!$C$5</f>
        <v>72.264096512008535</v>
      </c>
      <c r="G104" s="784">
        <f>(V104*KFC!$B$34+KFC!$C$34)*KFC!$C$5</f>
        <v>77.868047741196577</v>
      </c>
      <c r="H104" s="784">
        <f>(W104*KFC!$B$34+KFC!$C$34)*KFC!$C$5</f>
        <v>83.471998970384604</v>
      </c>
      <c r="I104" s="784">
        <f>(X104*KFC!$B$34+KFC!$C$34)*KFC!$C$5</f>
        <v>89.075950199572631</v>
      </c>
      <c r="J104" s="784">
        <f>(Y104*KFC!$B$34+KFC!$C$34)*KFC!$C$5</f>
        <v>94.679901428760672</v>
      </c>
      <c r="K104" s="784">
        <f>(Z104*KFC!$B$34+KFC!$C$34)*KFC!$C$5</f>
        <v>100.28385265794871</v>
      </c>
      <c r="L104" s="784">
        <f>(AA104*KFC!$B$34+KFC!$C$34)*KFC!$C$5</f>
        <v>105.88780388713676</v>
      </c>
      <c r="M104" s="784">
        <f>(AB104*KFC!$B$34+KFC!$C$34)*KFC!$C$5</f>
        <v>111.4917551163248</v>
      </c>
      <c r="N104" s="784">
        <f>(AC104*KFC!$B$34+KFC!$C$34)*KFC!$C$5</f>
        <v>117.09570634551284</v>
      </c>
      <c r="O104" s="784">
        <f>(AD104*KFC!$B$34+KFC!$C$34)*KFC!$C$5</f>
        <v>122.69965757470088</v>
      </c>
      <c r="P104" s="785">
        <f>(AE104*KFC!$B$34+KFC!$C$34)*KFC!$C$5</f>
        <v>128.30360880388889</v>
      </c>
      <c r="R104" s="247">
        <v>55.452242824444447</v>
      </c>
      <c r="S104" s="194">
        <v>61.056194053632481</v>
      </c>
      <c r="T104" s="194">
        <v>66.660145282820508</v>
      </c>
      <c r="U104" s="194">
        <v>72.264096512008535</v>
      </c>
      <c r="V104" s="194">
        <v>77.868047741196577</v>
      </c>
      <c r="W104" s="194">
        <v>83.471998970384604</v>
      </c>
      <c r="X104" s="194">
        <v>89.075950199572631</v>
      </c>
      <c r="Y104" s="194">
        <v>94.679901428760672</v>
      </c>
      <c r="Z104" s="194">
        <v>100.28385265794871</v>
      </c>
      <c r="AA104" s="194">
        <v>105.88780388713676</v>
      </c>
      <c r="AB104" s="194">
        <v>111.4917551163248</v>
      </c>
      <c r="AC104" s="194">
        <v>117.09570634551284</v>
      </c>
      <c r="AD104" s="194">
        <v>122.69965757470088</v>
      </c>
      <c r="AE104" s="195">
        <v>128.30360880388889</v>
      </c>
    </row>
    <row r="105" spans="1:31">
      <c r="A105" s="1929"/>
      <c r="B105" s="790">
        <v>0.7</v>
      </c>
      <c r="C105" s="784">
        <f>(R105*KFC!$B$34+KFC!$C$34)*KFC!$C$5</f>
        <v>57.167642468888893</v>
      </c>
      <c r="D105" s="784">
        <f>(S105*KFC!$B$34+KFC!$C$34)*KFC!$C$5</f>
        <v>63.200443609188042</v>
      </c>
      <c r="E105" s="784">
        <f>(T105*KFC!$B$34+KFC!$C$34)*KFC!$C$5</f>
        <v>69.233244749487184</v>
      </c>
      <c r="F105" s="784">
        <f>(U105*KFC!$B$34+KFC!$C$34)*KFC!$C$5</f>
        <v>75.266045889786341</v>
      </c>
      <c r="G105" s="784">
        <f>(V105*KFC!$B$34+KFC!$C$34)*KFC!$C$5</f>
        <v>81.298847030085483</v>
      </c>
      <c r="H105" s="784">
        <f>(W105*KFC!$B$34+KFC!$C$34)*KFC!$C$5</f>
        <v>87.331648170384625</v>
      </c>
      <c r="I105" s="784">
        <f>(X105*KFC!$B$34+KFC!$C$34)*KFC!$C$5</f>
        <v>93.364449310683753</v>
      </c>
      <c r="J105" s="784">
        <f>(Y105*KFC!$B$34+KFC!$C$34)*KFC!$C$5</f>
        <v>99.397250450982895</v>
      </c>
      <c r="K105" s="784">
        <f>(Z105*KFC!$B$34+KFC!$C$34)*KFC!$C$5</f>
        <v>105.43005159128204</v>
      </c>
      <c r="L105" s="784">
        <f>(AA105*KFC!$B$34+KFC!$C$34)*KFC!$C$5</f>
        <v>111.46285273158117</v>
      </c>
      <c r="M105" s="784">
        <f>(AB105*KFC!$B$34+KFC!$C$34)*KFC!$C$5</f>
        <v>117.49565387188031</v>
      </c>
      <c r="N105" s="784">
        <f>(AC105*KFC!$B$34+KFC!$C$34)*KFC!$C$5</f>
        <v>123.52845501217945</v>
      </c>
      <c r="O105" s="784">
        <f>(AD105*KFC!$B$34+KFC!$C$34)*KFC!$C$5</f>
        <v>129.56125615247859</v>
      </c>
      <c r="P105" s="785">
        <f>(AE105*KFC!$B$34+KFC!$C$34)*KFC!$C$5</f>
        <v>135.59405729277779</v>
      </c>
      <c r="R105" s="247">
        <v>57.167642468888893</v>
      </c>
      <c r="S105" s="194">
        <v>63.200443609188042</v>
      </c>
      <c r="T105" s="194">
        <v>69.233244749487184</v>
      </c>
      <c r="U105" s="194">
        <v>75.266045889786341</v>
      </c>
      <c r="V105" s="194">
        <v>81.298847030085483</v>
      </c>
      <c r="W105" s="194">
        <v>87.331648170384625</v>
      </c>
      <c r="X105" s="194">
        <v>93.364449310683753</v>
      </c>
      <c r="Y105" s="194">
        <v>99.397250450982895</v>
      </c>
      <c r="Z105" s="194">
        <v>105.43005159128204</v>
      </c>
      <c r="AA105" s="194">
        <v>111.46285273158117</v>
      </c>
      <c r="AB105" s="194">
        <v>117.49565387188031</v>
      </c>
      <c r="AC105" s="194">
        <v>123.52845501217945</v>
      </c>
      <c r="AD105" s="194">
        <v>129.56125615247859</v>
      </c>
      <c r="AE105" s="195">
        <v>135.59405729277779</v>
      </c>
    </row>
    <row r="106" spans="1:31">
      <c r="A106" s="1929"/>
      <c r="B106" s="790">
        <v>0.8</v>
      </c>
      <c r="C106" s="784">
        <f>(R106*KFC!$B$34+KFC!$C$34)*KFC!$C$5</f>
        <v>58.883042113333339</v>
      </c>
      <c r="D106" s="784">
        <f>(S106*KFC!$B$34+KFC!$C$34)*KFC!$C$5</f>
        <v>65.344693164743589</v>
      </c>
      <c r="E106" s="784">
        <f>(T106*KFC!$B$34+KFC!$C$34)*KFC!$C$5</f>
        <v>71.806344216153846</v>
      </c>
      <c r="F106" s="784">
        <f>(U106*KFC!$B$34+KFC!$C$34)*KFC!$C$5</f>
        <v>78.267995267564103</v>
      </c>
      <c r="G106" s="784">
        <f>(V106*KFC!$B$34+KFC!$C$34)*KFC!$C$5</f>
        <v>84.729646318974346</v>
      </c>
      <c r="H106" s="784">
        <f>(W106*KFC!$B$34+KFC!$C$34)*KFC!$C$5</f>
        <v>91.191297370384603</v>
      </c>
      <c r="I106" s="784">
        <f>(X106*KFC!$B$34+KFC!$C$34)*KFC!$C$5</f>
        <v>97.652948421794861</v>
      </c>
      <c r="J106" s="784">
        <f>(Y106*KFC!$B$34+KFC!$C$34)*KFC!$C$5</f>
        <v>104.11459947320512</v>
      </c>
      <c r="K106" s="784">
        <f>(Z106*KFC!$B$34+KFC!$C$34)*KFC!$C$5</f>
        <v>110.57625052461536</v>
      </c>
      <c r="L106" s="784">
        <f>(AA106*KFC!$B$34+KFC!$C$34)*KFC!$C$5</f>
        <v>117.03790157602562</v>
      </c>
      <c r="M106" s="784">
        <f>(AB106*KFC!$B$34+KFC!$C$34)*KFC!$C$5</f>
        <v>123.49955262743588</v>
      </c>
      <c r="N106" s="784">
        <f>(AC106*KFC!$B$34+KFC!$C$34)*KFC!$C$5</f>
        <v>129.96120367884612</v>
      </c>
      <c r="O106" s="784">
        <f>(AD106*KFC!$B$34+KFC!$C$34)*KFC!$C$5</f>
        <v>136.42285473025638</v>
      </c>
      <c r="P106" s="785">
        <f>(AE106*KFC!$B$34+KFC!$C$34)*KFC!$C$5</f>
        <v>142.88450578166666</v>
      </c>
      <c r="R106" s="247">
        <v>58.883042113333339</v>
      </c>
      <c r="S106" s="194">
        <v>65.344693164743589</v>
      </c>
      <c r="T106" s="194">
        <v>71.806344216153846</v>
      </c>
      <c r="U106" s="194">
        <v>78.267995267564103</v>
      </c>
      <c r="V106" s="194">
        <v>84.729646318974346</v>
      </c>
      <c r="W106" s="194">
        <v>91.191297370384603</v>
      </c>
      <c r="X106" s="194">
        <v>97.652948421794861</v>
      </c>
      <c r="Y106" s="194">
        <v>104.11459947320512</v>
      </c>
      <c r="Z106" s="194">
        <v>110.57625052461536</v>
      </c>
      <c r="AA106" s="194">
        <v>117.03790157602562</v>
      </c>
      <c r="AB106" s="194">
        <v>123.49955262743588</v>
      </c>
      <c r="AC106" s="194">
        <v>129.96120367884612</v>
      </c>
      <c r="AD106" s="194">
        <v>136.42285473025638</v>
      </c>
      <c r="AE106" s="195">
        <v>142.88450578166666</v>
      </c>
    </row>
    <row r="107" spans="1:31">
      <c r="A107" s="1929"/>
      <c r="B107" s="790">
        <v>0.9</v>
      </c>
      <c r="C107" s="784">
        <f>(R107*KFC!$B$34+KFC!$C$34)*KFC!$C$5</f>
        <v>60.598441757777778</v>
      </c>
      <c r="D107" s="784">
        <f>(S107*KFC!$B$34+KFC!$C$34)*KFC!$C$5</f>
        <v>67.48894272029915</v>
      </c>
      <c r="E107" s="784">
        <f>(T107*KFC!$B$34+KFC!$C$34)*KFC!$C$5</f>
        <v>74.379443682820522</v>
      </c>
      <c r="F107" s="784">
        <f>(U107*KFC!$B$34+KFC!$C$34)*KFC!$C$5</f>
        <v>81.269944645341894</v>
      </c>
      <c r="G107" s="784">
        <f>(V107*KFC!$B$34+KFC!$C$34)*KFC!$C$5</f>
        <v>88.160445607863267</v>
      </c>
      <c r="H107" s="784">
        <f>(W107*KFC!$B$34+KFC!$C$34)*KFC!$C$5</f>
        <v>95.050946570384625</v>
      </c>
      <c r="I107" s="784">
        <f>(X107*KFC!$B$34+KFC!$C$34)*KFC!$C$5</f>
        <v>101.941447532906</v>
      </c>
      <c r="J107" s="784">
        <f>(Y107*KFC!$B$34+KFC!$C$34)*KFC!$C$5</f>
        <v>108.83194849542737</v>
      </c>
      <c r="K107" s="784">
        <f>(Z107*KFC!$B$34+KFC!$C$34)*KFC!$C$5</f>
        <v>115.72244945794874</v>
      </c>
      <c r="L107" s="784">
        <f>(AA107*KFC!$B$34+KFC!$C$34)*KFC!$C$5</f>
        <v>122.61295042047011</v>
      </c>
      <c r="M107" s="784">
        <f>(AB107*KFC!$B$34+KFC!$C$34)*KFC!$C$5</f>
        <v>129.50345138299147</v>
      </c>
      <c r="N107" s="784">
        <f>(AC107*KFC!$B$34+KFC!$C$34)*KFC!$C$5</f>
        <v>136.39395234551284</v>
      </c>
      <c r="O107" s="784">
        <f>(AD107*KFC!$B$34+KFC!$C$34)*KFC!$C$5</f>
        <v>143.28445330803422</v>
      </c>
      <c r="P107" s="785">
        <f>(AE107*KFC!$B$34+KFC!$C$34)*KFC!$C$5</f>
        <v>150.17495427055556</v>
      </c>
      <c r="R107" s="247">
        <v>60.598441757777778</v>
      </c>
      <c r="S107" s="194">
        <v>67.48894272029915</v>
      </c>
      <c r="T107" s="194">
        <v>74.379443682820522</v>
      </c>
      <c r="U107" s="194">
        <v>81.269944645341894</v>
      </c>
      <c r="V107" s="194">
        <v>88.160445607863267</v>
      </c>
      <c r="W107" s="194">
        <v>95.050946570384625</v>
      </c>
      <c r="X107" s="194">
        <v>101.941447532906</v>
      </c>
      <c r="Y107" s="194">
        <v>108.83194849542737</v>
      </c>
      <c r="Z107" s="194">
        <v>115.72244945794874</v>
      </c>
      <c r="AA107" s="194">
        <v>122.61295042047011</v>
      </c>
      <c r="AB107" s="194">
        <v>129.50345138299147</v>
      </c>
      <c r="AC107" s="194">
        <v>136.39395234551284</v>
      </c>
      <c r="AD107" s="194">
        <v>143.28445330803422</v>
      </c>
      <c r="AE107" s="195">
        <v>150.17495427055556</v>
      </c>
    </row>
    <row r="108" spans="1:31">
      <c r="A108" s="1929"/>
      <c r="B108" s="790">
        <v>1</v>
      </c>
      <c r="C108" s="784">
        <f>(R108*KFC!$B$34+KFC!$C$34)*KFC!$C$5</f>
        <v>62.313841402222224</v>
      </c>
      <c r="D108" s="784">
        <f>(S108*KFC!$B$34+KFC!$C$34)*KFC!$C$5</f>
        <v>69.633192275854697</v>
      </c>
      <c r="E108" s="784">
        <f>(T108*KFC!$B$34+KFC!$C$34)*KFC!$C$5</f>
        <v>76.952543149487184</v>
      </c>
      <c r="F108" s="784">
        <f>(U108*KFC!$B$34+KFC!$C$34)*KFC!$C$5</f>
        <v>84.271894023119657</v>
      </c>
      <c r="G108" s="784">
        <f>(V108*KFC!$B$34+KFC!$C$34)*KFC!$C$5</f>
        <v>91.591244896752144</v>
      </c>
      <c r="H108" s="784">
        <f>(W108*KFC!$B$34+KFC!$C$34)*KFC!$C$5</f>
        <v>98.910595770384631</v>
      </c>
      <c r="I108" s="784">
        <f>(X108*KFC!$B$34+KFC!$C$34)*KFC!$C$5</f>
        <v>106.22994664401712</v>
      </c>
      <c r="J108" s="784">
        <f>(Y108*KFC!$B$34+KFC!$C$34)*KFC!$C$5</f>
        <v>113.54929751764961</v>
      </c>
      <c r="K108" s="784">
        <f>(Z108*KFC!$B$34+KFC!$C$34)*KFC!$C$5</f>
        <v>120.86864839128209</v>
      </c>
      <c r="L108" s="784">
        <f>(AA108*KFC!$B$34+KFC!$C$34)*KFC!$C$5</f>
        <v>128.18799926491457</v>
      </c>
      <c r="M108" s="784">
        <f>(AB108*KFC!$B$34+KFC!$C$34)*KFC!$C$5</f>
        <v>135.50735013854705</v>
      </c>
      <c r="N108" s="784">
        <f>(AC108*KFC!$B$34+KFC!$C$34)*KFC!$C$5</f>
        <v>142.82670101217954</v>
      </c>
      <c r="O108" s="784">
        <f>(AD108*KFC!$B$34+KFC!$C$34)*KFC!$C$5</f>
        <v>150.14605188581203</v>
      </c>
      <c r="P108" s="785">
        <f>(AE108*KFC!$B$34+KFC!$C$34)*KFC!$C$5</f>
        <v>157.46540275944446</v>
      </c>
      <c r="R108" s="247">
        <v>62.313841402222224</v>
      </c>
      <c r="S108" s="194">
        <v>69.633192275854697</v>
      </c>
      <c r="T108" s="194">
        <v>76.952543149487184</v>
      </c>
      <c r="U108" s="194">
        <v>84.271894023119657</v>
      </c>
      <c r="V108" s="194">
        <v>91.591244896752144</v>
      </c>
      <c r="W108" s="194">
        <v>98.910595770384631</v>
      </c>
      <c r="X108" s="194">
        <v>106.22994664401712</v>
      </c>
      <c r="Y108" s="194">
        <v>113.54929751764961</v>
      </c>
      <c r="Z108" s="194">
        <v>120.86864839128209</v>
      </c>
      <c r="AA108" s="194">
        <v>128.18799926491457</v>
      </c>
      <c r="AB108" s="194">
        <v>135.50735013854705</v>
      </c>
      <c r="AC108" s="194">
        <v>142.82670101217954</v>
      </c>
      <c r="AD108" s="194">
        <v>150.14605188581203</v>
      </c>
      <c r="AE108" s="195">
        <v>157.46540275944446</v>
      </c>
    </row>
    <row r="109" spans="1:31">
      <c r="A109" s="1929"/>
      <c r="B109" s="790">
        <v>1.1000000000000001</v>
      </c>
      <c r="C109" s="784">
        <f>(R109*KFC!$B$34+KFC!$C$34)*KFC!$C$5</f>
        <v>64.029241046666669</v>
      </c>
      <c r="D109" s="784">
        <f>(S109*KFC!$B$34+KFC!$C$34)*KFC!$C$5</f>
        <v>71.777441831410258</v>
      </c>
      <c r="E109" s="784">
        <f>(T109*KFC!$B$34+KFC!$C$34)*KFC!$C$5</f>
        <v>79.52564261615386</v>
      </c>
      <c r="F109" s="784">
        <f>(U109*KFC!$B$34+KFC!$C$34)*KFC!$C$5</f>
        <v>87.273843400897434</v>
      </c>
      <c r="G109" s="784">
        <f>(V109*KFC!$B$34+KFC!$C$34)*KFC!$C$5</f>
        <v>95.022044185641022</v>
      </c>
      <c r="H109" s="784">
        <f>(W109*KFC!$B$34+KFC!$C$34)*KFC!$C$5</f>
        <v>102.7702449703846</v>
      </c>
      <c r="I109" s="784">
        <f>(X109*KFC!$B$34+KFC!$C$34)*KFC!$C$5</f>
        <v>110.51844575512818</v>
      </c>
      <c r="J109" s="784">
        <f>(Y109*KFC!$B$34+KFC!$C$34)*KFC!$C$5</f>
        <v>118.26664653987177</v>
      </c>
      <c r="K109" s="784">
        <f>(Z109*KFC!$B$34+KFC!$C$34)*KFC!$C$5</f>
        <v>126.01484732461535</v>
      </c>
      <c r="L109" s="784">
        <f>(AA109*KFC!$B$34+KFC!$C$34)*KFC!$C$5</f>
        <v>133.76304810935892</v>
      </c>
      <c r="M109" s="784">
        <f>(AB109*KFC!$B$34+KFC!$C$34)*KFC!$C$5</f>
        <v>141.51124889410252</v>
      </c>
      <c r="N109" s="784">
        <f>(AC109*KFC!$B$34+KFC!$C$34)*KFC!$C$5</f>
        <v>149.2594496788461</v>
      </c>
      <c r="O109" s="784">
        <f>(AD109*KFC!$B$34+KFC!$C$34)*KFC!$C$5</f>
        <v>157.00765046358967</v>
      </c>
      <c r="P109" s="785">
        <f>(AE109*KFC!$B$34+KFC!$C$34)*KFC!$C$5</f>
        <v>164.75585124833336</v>
      </c>
      <c r="R109" s="247">
        <v>64.029241046666669</v>
      </c>
      <c r="S109" s="194">
        <v>71.777441831410258</v>
      </c>
      <c r="T109" s="194">
        <v>79.52564261615386</v>
      </c>
      <c r="U109" s="194">
        <v>87.273843400897434</v>
      </c>
      <c r="V109" s="194">
        <v>95.022044185641022</v>
      </c>
      <c r="W109" s="194">
        <v>102.7702449703846</v>
      </c>
      <c r="X109" s="194">
        <v>110.51844575512818</v>
      </c>
      <c r="Y109" s="194">
        <v>118.26664653987177</v>
      </c>
      <c r="Z109" s="194">
        <v>126.01484732461535</v>
      </c>
      <c r="AA109" s="194">
        <v>133.76304810935892</v>
      </c>
      <c r="AB109" s="194">
        <v>141.51124889410252</v>
      </c>
      <c r="AC109" s="194">
        <v>149.2594496788461</v>
      </c>
      <c r="AD109" s="194">
        <v>157.00765046358967</v>
      </c>
      <c r="AE109" s="195">
        <v>164.75585124833336</v>
      </c>
    </row>
    <row r="110" spans="1:31">
      <c r="A110" s="1929"/>
      <c r="B110" s="790">
        <v>1.2</v>
      </c>
      <c r="C110" s="784">
        <f>(R110*KFC!$B$34+KFC!$C$34)*KFC!$C$5</f>
        <v>65.744640691111115</v>
      </c>
      <c r="D110" s="784">
        <f>(S110*KFC!$B$34+KFC!$C$34)*KFC!$C$5</f>
        <v>73.921691386965819</v>
      </c>
      <c r="E110" s="784">
        <f>(T110*KFC!$B$34+KFC!$C$34)*KFC!$C$5</f>
        <v>82.098742082820507</v>
      </c>
      <c r="F110" s="784">
        <f>(U110*KFC!$B$34+KFC!$C$34)*KFC!$C$5</f>
        <v>90.275792778675211</v>
      </c>
      <c r="G110" s="784">
        <f>(V110*KFC!$B$34+KFC!$C$34)*KFC!$C$5</f>
        <v>98.452843474529914</v>
      </c>
      <c r="H110" s="784">
        <f>(W110*KFC!$B$34+KFC!$C$34)*KFC!$C$5</f>
        <v>106.6298941703846</v>
      </c>
      <c r="I110" s="784">
        <f>(X110*KFC!$B$34+KFC!$C$34)*KFC!$C$5</f>
        <v>114.80694486623931</v>
      </c>
      <c r="J110" s="784">
        <f>(Y110*KFC!$B$34+KFC!$C$34)*KFC!$C$5</f>
        <v>122.98399556209401</v>
      </c>
      <c r="K110" s="784">
        <f>(Z110*KFC!$B$34+KFC!$C$34)*KFC!$C$5</f>
        <v>131.1610462579487</v>
      </c>
      <c r="L110" s="784">
        <f>(AA110*KFC!$B$34+KFC!$C$34)*KFC!$C$5</f>
        <v>139.33809695380339</v>
      </c>
      <c r="M110" s="784">
        <f>(AB110*KFC!$B$34+KFC!$C$34)*KFC!$C$5</f>
        <v>147.5151476496581</v>
      </c>
      <c r="N110" s="784">
        <f>(AC110*KFC!$B$34+KFC!$C$34)*KFC!$C$5</f>
        <v>155.69219834551279</v>
      </c>
      <c r="O110" s="784">
        <f>(AD110*KFC!$B$34+KFC!$C$34)*KFC!$C$5</f>
        <v>163.86924904136748</v>
      </c>
      <c r="P110" s="785">
        <f>(AE110*KFC!$B$34+KFC!$C$34)*KFC!$C$5</f>
        <v>172.04629973722226</v>
      </c>
      <c r="R110" s="247">
        <v>65.744640691111115</v>
      </c>
      <c r="S110" s="194">
        <v>73.921691386965819</v>
      </c>
      <c r="T110" s="194">
        <v>82.098742082820507</v>
      </c>
      <c r="U110" s="194">
        <v>90.275792778675211</v>
      </c>
      <c r="V110" s="194">
        <v>98.452843474529914</v>
      </c>
      <c r="W110" s="194">
        <v>106.6298941703846</v>
      </c>
      <c r="X110" s="194">
        <v>114.80694486623931</v>
      </c>
      <c r="Y110" s="194">
        <v>122.98399556209401</v>
      </c>
      <c r="Z110" s="194">
        <v>131.1610462579487</v>
      </c>
      <c r="AA110" s="194">
        <v>139.33809695380339</v>
      </c>
      <c r="AB110" s="194">
        <v>147.5151476496581</v>
      </c>
      <c r="AC110" s="194">
        <v>155.69219834551279</v>
      </c>
      <c r="AD110" s="194">
        <v>163.86924904136748</v>
      </c>
      <c r="AE110" s="195">
        <v>172.04629973722226</v>
      </c>
    </row>
    <row r="111" spans="1:31">
      <c r="A111" s="1929"/>
      <c r="B111" s="790">
        <v>1.3</v>
      </c>
      <c r="C111" s="784">
        <f>(R111*KFC!$B$34+KFC!$C$34)*KFC!$C$5</f>
        <v>67.460040335555561</v>
      </c>
      <c r="D111" s="784">
        <f>(S111*KFC!$B$34+KFC!$C$34)*KFC!$C$5</f>
        <v>76.065940942521379</v>
      </c>
      <c r="E111" s="784">
        <f>(T111*KFC!$B$34+KFC!$C$34)*KFC!$C$5</f>
        <v>84.671841549487183</v>
      </c>
      <c r="F111" s="784">
        <f>(U111*KFC!$B$34+KFC!$C$34)*KFC!$C$5</f>
        <v>93.277742156453002</v>
      </c>
      <c r="G111" s="784">
        <f>(V111*KFC!$B$34+KFC!$C$34)*KFC!$C$5</f>
        <v>101.88364276341882</v>
      </c>
      <c r="H111" s="784">
        <f>(W111*KFC!$B$34+KFC!$C$34)*KFC!$C$5</f>
        <v>110.48954337038462</v>
      </c>
      <c r="I111" s="784">
        <f>(X111*KFC!$B$34+KFC!$C$34)*KFC!$C$5</f>
        <v>119.09544397735044</v>
      </c>
      <c r="J111" s="784">
        <f>(Y111*KFC!$B$34+KFC!$C$34)*KFC!$C$5</f>
        <v>127.70134458431626</v>
      </c>
      <c r="K111" s="784">
        <f>(Z111*KFC!$B$34+KFC!$C$34)*KFC!$C$5</f>
        <v>136.30724519128208</v>
      </c>
      <c r="L111" s="784">
        <f>(AA111*KFC!$B$34+KFC!$C$34)*KFC!$C$5</f>
        <v>144.91314579824788</v>
      </c>
      <c r="M111" s="784">
        <f>(AB111*KFC!$B$34+KFC!$C$34)*KFC!$C$5</f>
        <v>153.51904640521371</v>
      </c>
      <c r="N111" s="784">
        <f>(AC111*KFC!$B$34+KFC!$C$34)*KFC!$C$5</f>
        <v>162.12494701217952</v>
      </c>
      <c r="O111" s="784">
        <f>(AD111*KFC!$B$34+KFC!$C$34)*KFC!$C$5</f>
        <v>170.73084761914532</v>
      </c>
      <c r="P111" s="785">
        <f>(AE111*KFC!$B$34+KFC!$C$34)*KFC!$C$5</f>
        <v>179.33674822611115</v>
      </c>
      <c r="R111" s="247">
        <v>67.460040335555561</v>
      </c>
      <c r="S111" s="194">
        <v>76.065940942521379</v>
      </c>
      <c r="T111" s="194">
        <v>84.671841549487183</v>
      </c>
      <c r="U111" s="194">
        <v>93.277742156453002</v>
      </c>
      <c r="V111" s="194">
        <v>101.88364276341882</v>
      </c>
      <c r="W111" s="194">
        <v>110.48954337038462</v>
      </c>
      <c r="X111" s="194">
        <v>119.09544397735044</v>
      </c>
      <c r="Y111" s="194">
        <v>127.70134458431626</v>
      </c>
      <c r="Z111" s="194">
        <v>136.30724519128208</v>
      </c>
      <c r="AA111" s="194">
        <v>144.91314579824788</v>
      </c>
      <c r="AB111" s="194">
        <v>153.51904640521371</v>
      </c>
      <c r="AC111" s="194">
        <v>162.12494701217952</v>
      </c>
      <c r="AD111" s="194">
        <v>170.73084761914532</v>
      </c>
      <c r="AE111" s="195">
        <v>179.33674822611115</v>
      </c>
    </row>
    <row r="112" spans="1:31">
      <c r="A112" s="1929"/>
      <c r="B112" s="790">
        <v>1.4</v>
      </c>
      <c r="C112" s="784">
        <f>(R112*KFC!$B$34+KFC!$C$34)*KFC!$C$5</f>
        <v>69.175439980000007</v>
      </c>
      <c r="D112" s="784">
        <f>(S112*KFC!$B$34+KFC!$C$34)*KFC!$C$5</f>
        <v>78.210190498076926</v>
      </c>
      <c r="E112" s="784">
        <f>(T112*KFC!$B$34+KFC!$C$34)*KFC!$C$5</f>
        <v>87.244941016153859</v>
      </c>
      <c r="F112" s="784">
        <f>(U112*KFC!$B$34+KFC!$C$34)*KFC!$C$5</f>
        <v>96.279691534230793</v>
      </c>
      <c r="G112" s="784">
        <f>(V112*KFC!$B$34+KFC!$C$34)*KFC!$C$5</f>
        <v>105.31444205230773</v>
      </c>
      <c r="H112" s="784">
        <f>(W112*KFC!$B$34+KFC!$C$34)*KFC!$C$5</f>
        <v>114.34919257038466</v>
      </c>
      <c r="I112" s="784">
        <f>(X112*KFC!$B$34+KFC!$C$34)*KFC!$C$5</f>
        <v>123.38394308846158</v>
      </c>
      <c r="J112" s="784">
        <f>(Y112*KFC!$B$34+KFC!$C$34)*KFC!$C$5</f>
        <v>132.41869360653851</v>
      </c>
      <c r="K112" s="784">
        <f>(Z112*KFC!$B$34+KFC!$C$34)*KFC!$C$5</f>
        <v>141.45344412461543</v>
      </c>
      <c r="L112" s="784">
        <f>(AA112*KFC!$B$34+KFC!$C$34)*KFC!$C$5</f>
        <v>150.48819464269238</v>
      </c>
      <c r="M112" s="784">
        <f>(AB112*KFC!$B$34+KFC!$C$34)*KFC!$C$5</f>
        <v>159.5229451607693</v>
      </c>
      <c r="N112" s="784">
        <f>(AC112*KFC!$B$34+KFC!$C$34)*KFC!$C$5</f>
        <v>168.55769567884622</v>
      </c>
      <c r="O112" s="784">
        <f>(AD112*KFC!$B$34+KFC!$C$34)*KFC!$C$5</f>
        <v>177.59244619692313</v>
      </c>
      <c r="P112" s="785">
        <f>(AE112*KFC!$B$34+KFC!$C$34)*KFC!$C$5</f>
        <v>186.62719671500003</v>
      </c>
      <c r="R112" s="247">
        <v>69.175439980000007</v>
      </c>
      <c r="S112" s="194">
        <v>78.210190498076926</v>
      </c>
      <c r="T112" s="194">
        <v>87.244941016153859</v>
      </c>
      <c r="U112" s="194">
        <v>96.279691534230793</v>
      </c>
      <c r="V112" s="194">
        <v>105.31444205230773</v>
      </c>
      <c r="W112" s="194">
        <v>114.34919257038466</v>
      </c>
      <c r="X112" s="194">
        <v>123.38394308846158</v>
      </c>
      <c r="Y112" s="194">
        <v>132.41869360653851</v>
      </c>
      <c r="Z112" s="194">
        <v>141.45344412461543</v>
      </c>
      <c r="AA112" s="194">
        <v>150.48819464269238</v>
      </c>
      <c r="AB112" s="194">
        <v>159.5229451607693</v>
      </c>
      <c r="AC112" s="194">
        <v>168.55769567884622</v>
      </c>
      <c r="AD112" s="194">
        <v>177.59244619692313</v>
      </c>
      <c r="AE112" s="195">
        <v>186.62719671500003</v>
      </c>
    </row>
    <row r="113" spans="1:31">
      <c r="A113" s="1929"/>
      <c r="B113" s="790">
        <v>1.5</v>
      </c>
      <c r="C113" s="784">
        <f>(R113*KFC!$B$34+KFC!$C$34)*KFC!$C$5</f>
        <v>70.890839624444453</v>
      </c>
      <c r="D113" s="784">
        <f>(S113*KFC!$B$34+KFC!$C$34)*KFC!$C$5</f>
        <v>80.354440053632487</v>
      </c>
      <c r="E113" s="784">
        <f>(T113*KFC!$B$34+KFC!$C$34)*KFC!$C$5</f>
        <v>89.818040482820521</v>
      </c>
      <c r="F113" s="784">
        <f>(U113*KFC!$B$34+KFC!$C$34)*KFC!$C$5</f>
        <v>99.281640912008569</v>
      </c>
      <c r="G113" s="784">
        <f>(V113*KFC!$B$34+KFC!$C$34)*KFC!$C$5</f>
        <v>108.74524134119662</v>
      </c>
      <c r="H113" s="784">
        <f>(W113*KFC!$B$34+KFC!$C$34)*KFC!$C$5</f>
        <v>118.20884177038465</v>
      </c>
      <c r="I113" s="784">
        <f>(X113*KFC!$B$34+KFC!$C$34)*KFC!$C$5</f>
        <v>127.6724421995727</v>
      </c>
      <c r="J113" s="784">
        <f>(Y113*KFC!$B$34+KFC!$C$34)*KFC!$C$5</f>
        <v>137.13604262876075</v>
      </c>
      <c r="K113" s="784">
        <f>(Z113*KFC!$B$34+KFC!$C$34)*KFC!$C$5</f>
        <v>146.59964305794878</v>
      </c>
      <c r="L113" s="784">
        <f>(AA113*KFC!$B$34+KFC!$C$34)*KFC!$C$5</f>
        <v>156.06324348713684</v>
      </c>
      <c r="M113" s="784">
        <f>(AB113*KFC!$B$34+KFC!$C$34)*KFC!$C$5</f>
        <v>165.52684391632488</v>
      </c>
      <c r="N113" s="784">
        <f>(AC113*KFC!$B$34+KFC!$C$34)*KFC!$C$5</f>
        <v>174.99044434551291</v>
      </c>
      <c r="O113" s="784">
        <f>(AD113*KFC!$B$34+KFC!$C$34)*KFC!$C$5</f>
        <v>184.45404477470098</v>
      </c>
      <c r="P113" s="785">
        <f>(AE113*KFC!$B$34+KFC!$C$34)*KFC!$C$5</f>
        <v>193.91764520388892</v>
      </c>
      <c r="R113" s="247">
        <v>70.890839624444453</v>
      </c>
      <c r="S113" s="194">
        <v>80.354440053632487</v>
      </c>
      <c r="T113" s="194">
        <v>89.818040482820521</v>
      </c>
      <c r="U113" s="194">
        <v>99.281640912008569</v>
      </c>
      <c r="V113" s="194">
        <v>108.74524134119662</v>
      </c>
      <c r="W113" s="194">
        <v>118.20884177038465</v>
      </c>
      <c r="X113" s="194">
        <v>127.6724421995727</v>
      </c>
      <c r="Y113" s="194">
        <v>137.13604262876075</v>
      </c>
      <c r="Z113" s="194">
        <v>146.59964305794878</v>
      </c>
      <c r="AA113" s="194">
        <v>156.06324348713684</v>
      </c>
      <c r="AB113" s="194">
        <v>165.52684391632488</v>
      </c>
      <c r="AC113" s="194">
        <v>174.99044434551291</v>
      </c>
      <c r="AD113" s="194">
        <v>184.45404477470098</v>
      </c>
      <c r="AE113" s="195">
        <v>193.91764520388892</v>
      </c>
    </row>
    <row r="114" spans="1:31">
      <c r="A114" s="1929"/>
      <c r="B114" s="790">
        <v>1.6</v>
      </c>
      <c r="C114" s="784">
        <f>(R114*KFC!$B$34+KFC!$C$34)*KFC!$C$5</f>
        <v>72.606239268888885</v>
      </c>
      <c r="D114" s="784">
        <f>(S114*KFC!$B$34+KFC!$C$34)*KFC!$C$5</f>
        <v>82.498689609188048</v>
      </c>
      <c r="E114" s="784">
        <f>(T114*KFC!$B$34+KFC!$C$34)*KFC!$C$5</f>
        <v>92.391139949487197</v>
      </c>
      <c r="F114" s="784">
        <f>(U114*KFC!$B$34+KFC!$C$34)*KFC!$C$5</f>
        <v>102.28359028978635</v>
      </c>
      <c r="G114" s="784">
        <f>(V114*KFC!$B$34+KFC!$C$34)*KFC!$C$5</f>
        <v>112.17604063008548</v>
      </c>
      <c r="H114" s="784">
        <f>(W114*KFC!$B$34+KFC!$C$34)*KFC!$C$5</f>
        <v>122.06849097038463</v>
      </c>
      <c r="I114" s="784">
        <f>(X114*KFC!$B$34+KFC!$C$34)*KFC!$C$5</f>
        <v>131.96094131068378</v>
      </c>
      <c r="J114" s="784">
        <f>(Y114*KFC!$B$34+KFC!$C$34)*KFC!$C$5</f>
        <v>141.8533916509829</v>
      </c>
      <c r="K114" s="784">
        <f>(Z114*KFC!$B$34+KFC!$C$34)*KFC!$C$5</f>
        <v>151.74584199128205</v>
      </c>
      <c r="L114" s="784">
        <f>(AA114*KFC!$B$34+KFC!$C$34)*KFC!$C$5</f>
        <v>161.6382923315812</v>
      </c>
      <c r="M114" s="784">
        <f>(AB114*KFC!$B$34+KFC!$C$34)*KFC!$C$5</f>
        <v>171.53074267188035</v>
      </c>
      <c r="N114" s="784">
        <f>(AC114*KFC!$B$34+KFC!$C$34)*KFC!$C$5</f>
        <v>181.4231930121795</v>
      </c>
      <c r="O114" s="784">
        <f>(AD114*KFC!$B$34+KFC!$C$34)*KFC!$C$5</f>
        <v>191.31564335247867</v>
      </c>
      <c r="P114" s="785">
        <f>(AE114*KFC!$B$34+KFC!$C$34)*KFC!$C$5</f>
        <v>201.20809369277782</v>
      </c>
      <c r="R114" s="247">
        <v>72.606239268888885</v>
      </c>
      <c r="S114" s="194">
        <v>82.498689609188048</v>
      </c>
      <c r="T114" s="194">
        <v>92.391139949487197</v>
      </c>
      <c r="U114" s="194">
        <v>102.28359028978635</v>
      </c>
      <c r="V114" s="194">
        <v>112.17604063008548</v>
      </c>
      <c r="W114" s="194">
        <v>122.06849097038463</v>
      </c>
      <c r="X114" s="194">
        <v>131.96094131068378</v>
      </c>
      <c r="Y114" s="194">
        <v>141.8533916509829</v>
      </c>
      <c r="Z114" s="194">
        <v>151.74584199128205</v>
      </c>
      <c r="AA114" s="194">
        <v>161.6382923315812</v>
      </c>
      <c r="AB114" s="194">
        <v>171.53074267188035</v>
      </c>
      <c r="AC114" s="194">
        <v>181.4231930121795</v>
      </c>
      <c r="AD114" s="194">
        <v>191.31564335247867</v>
      </c>
      <c r="AE114" s="195">
        <v>201.20809369277782</v>
      </c>
    </row>
    <row r="115" spans="1:31">
      <c r="A115" s="1929"/>
      <c r="B115" s="790">
        <v>1.7</v>
      </c>
      <c r="C115" s="784">
        <f>(R115*KFC!$B$34+KFC!$C$34)*KFC!$C$5</f>
        <v>74.321638913333331</v>
      </c>
      <c r="D115" s="784">
        <f>(S115*KFC!$B$34+KFC!$C$34)*KFC!$C$5</f>
        <v>84.642939164743595</v>
      </c>
      <c r="E115" s="784">
        <f>(T115*KFC!$B$34+KFC!$C$34)*KFC!$C$5</f>
        <v>94.964239416153859</v>
      </c>
      <c r="F115" s="784">
        <f>(U115*KFC!$B$34+KFC!$C$34)*KFC!$C$5</f>
        <v>105.28553966756411</v>
      </c>
      <c r="G115" s="784">
        <f>(V115*KFC!$B$34+KFC!$C$34)*KFC!$C$5</f>
        <v>115.60683991897437</v>
      </c>
      <c r="H115" s="784">
        <f>(W115*KFC!$B$34+KFC!$C$34)*KFC!$C$5</f>
        <v>125.92814017038464</v>
      </c>
      <c r="I115" s="784">
        <f>(X115*KFC!$B$34+KFC!$C$34)*KFC!$C$5</f>
        <v>136.2494404217949</v>
      </c>
      <c r="J115" s="784">
        <f>(Y115*KFC!$B$34+KFC!$C$34)*KFC!$C$5</f>
        <v>146.57074067320514</v>
      </c>
      <c r="K115" s="784">
        <f>(Z115*KFC!$B$34+KFC!$C$34)*KFC!$C$5</f>
        <v>156.8920409246154</v>
      </c>
      <c r="L115" s="784">
        <f>(AA115*KFC!$B$34+KFC!$C$34)*KFC!$C$5</f>
        <v>167.21334117602566</v>
      </c>
      <c r="M115" s="784">
        <f>(AB115*KFC!$B$34+KFC!$C$34)*KFC!$C$5</f>
        <v>177.53464142743593</v>
      </c>
      <c r="N115" s="784">
        <f>(AC115*KFC!$B$34+KFC!$C$34)*KFC!$C$5</f>
        <v>187.85594167884619</v>
      </c>
      <c r="O115" s="784">
        <f>(AD115*KFC!$B$34+KFC!$C$34)*KFC!$C$5</f>
        <v>198.17724193025649</v>
      </c>
      <c r="P115" s="785">
        <f>(AE115*KFC!$B$34+KFC!$C$34)*KFC!$C$5</f>
        <v>208.49854218166672</v>
      </c>
      <c r="R115" s="247">
        <v>74.321638913333331</v>
      </c>
      <c r="S115" s="194">
        <v>84.642939164743595</v>
      </c>
      <c r="T115" s="194">
        <v>94.964239416153859</v>
      </c>
      <c r="U115" s="194">
        <v>105.28553966756411</v>
      </c>
      <c r="V115" s="194">
        <v>115.60683991897437</v>
      </c>
      <c r="W115" s="194">
        <v>125.92814017038464</v>
      </c>
      <c r="X115" s="194">
        <v>136.2494404217949</v>
      </c>
      <c r="Y115" s="194">
        <v>146.57074067320514</v>
      </c>
      <c r="Z115" s="194">
        <v>156.8920409246154</v>
      </c>
      <c r="AA115" s="194">
        <v>167.21334117602566</v>
      </c>
      <c r="AB115" s="194">
        <v>177.53464142743593</v>
      </c>
      <c r="AC115" s="194">
        <v>187.85594167884619</v>
      </c>
      <c r="AD115" s="194">
        <v>198.17724193025649</v>
      </c>
      <c r="AE115" s="195">
        <v>208.49854218166672</v>
      </c>
    </row>
    <row r="116" spans="1:31">
      <c r="A116" s="1929"/>
      <c r="B116" s="790">
        <v>1.8</v>
      </c>
      <c r="C116" s="784">
        <f>(R116*KFC!$B$34+KFC!$C$34)*KFC!$C$5</f>
        <v>76.037038557777777</v>
      </c>
      <c r="D116" s="784">
        <f>(S116*KFC!$B$34+KFC!$C$34)*KFC!$C$5</f>
        <v>86.787188720299156</v>
      </c>
      <c r="E116" s="784">
        <f>(T116*KFC!$B$34+KFC!$C$34)*KFC!$C$5</f>
        <v>97.537338882820535</v>
      </c>
      <c r="F116" s="784">
        <f>(U116*KFC!$B$34+KFC!$C$34)*KFC!$C$5</f>
        <v>108.2874890453419</v>
      </c>
      <c r="G116" s="784">
        <f>(V116*KFC!$B$34+KFC!$C$34)*KFC!$C$5</f>
        <v>119.03763920786328</v>
      </c>
      <c r="H116" s="784">
        <f>(W116*KFC!$B$34+KFC!$C$34)*KFC!$C$5</f>
        <v>129.78778937038464</v>
      </c>
      <c r="I116" s="784">
        <f>(X116*KFC!$B$34+KFC!$C$34)*KFC!$C$5</f>
        <v>140.53793953290602</v>
      </c>
      <c r="J116" s="784">
        <f>(Y116*KFC!$B$34+KFC!$C$34)*KFC!$C$5</f>
        <v>151.2880896954274</v>
      </c>
      <c r="K116" s="784">
        <f>(Z116*KFC!$B$34+KFC!$C$34)*KFC!$C$5</f>
        <v>162.03823985794878</v>
      </c>
      <c r="L116" s="784">
        <f>(AA116*KFC!$B$34+KFC!$C$34)*KFC!$C$5</f>
        <v>172.78839002047016</v>
      </c>
      <c r="M116" s="784">
        <f>(AB116*KFC!$B$34+KFC!$C$34)*KFC!$C$5</f>
        <v>183.53854018299151</v>
      </c>
      <c r="N116" s="784">
        <f>(AC116*KFC!$B$34+KFC!$C$34)*KFC!$C$5</f>
        <v>194.28869034551286</v>
      </c>
      <c r="O116" s="784">
        <f>(AD116*KFC!$B$34+KFC!$C$34)*KFC!$C$5</f>
        <v>205.03884050803421</v>
      </c>
      <c r="P116" s="785">
        <f>(AE116*KFC!$B$34+KFC!$C$34)*KFC!$C$5</f>
        <v>215.78899067055562</v>
      </c>
      <c r="R116" s="247">
        <v>76.037038557777777</v>
      </c>
      <c r="S116" s="194">
        <v>86.787188720299156</v>
      </c>
      <c r="T116" s="194">
        <v>97.537338882820535</v>
      </c>
      <c r="U116" s="194">
        <v>108.2874890453419</v>
      </c>
      <c r="V116" s="194">
        <v>119.03763920786328</v>
      </c>
      <c r="W116" s="194">
        <v>129.78778937038464</v>
      </c>
      <c r="X116" s="194">
        <v>140.53793953290602</v>
      </c>
      <c r="Y116" s="194">
        <v>151.2880896954274</v>
      </c>
      <c r="Z116" s="194">
        <v>162.03823985794878</v>
      </c>
      <c r="AA116" s="194">
        <v>172.78839002047016</v>
      </c>
      <c r="AB116" s="194">
        <v>183.53854018299151</v>
      </c>
      <c r="AC116" s="194">
        <v>194.28869034551286</v>
      </c>
      <c r="AD116" s="194">
        <v>205.03884050803421</v>
      </c>
      <c r="AE116" s="195">
        <v>215.78899067055562</v>
      </c>
    </row>
    <row r="117" spans="1:31">
      <c r="A117" s="1929"/>
      <c r="B117" s="790">
        <v>1.9</v>
      </c>
      <c r="C117" s="784">
        <f>(R117*KFC!$B$34+KFC!$C$34)*KFC!$C$5</f>
        <v>77.752438202222223</v>
      </c>
      <c r="D117" s="784">
        <f>(S117*KFC!$B$34+KFC!$C$34)*KFC!$C$5</f>
        <v>88.931438275854717</v>
      </c>
      <c r="E117" s="784">
        <f>(T117*KFC!$B$34+KFC!$C$34)*KFC!$C$5</f>
        <v>100.11043834948721</v>
      </c>
      <c r="F117" s="784">
        <f>(U117*KFC!$B$34+KFC!$C$34)*KFC!$C$5</f>
        <v>111.28943842311969</v>
      </c>
      <c r="G117" s="784">
        <f>(V117*KFC!$B$34+KFC!$C$34)*KFC!$C$5</f>
        <v>122.46843849675219</v>
      </c>
      <c r="H117" s="784">
        <f>(W117*KFC!$B$34+KFC!$C$34)*KFC!$C$5</f>
        <v>133.64743857038468</v>
      </c>
      <c r="I117" s="784">
        <f>(X117*KFC!$B$34+KFC!$C$34)*KFC!$C$5</f>
        <v>144.82643864401717</v>
      </c>
      <c r="J117" s="784">
        <f>(Y117*KFC!$B$34+KFC!$C$34)*KFC!$C$5</f>
        <v>156.00543871764967</v>
      </c>
      <c r="K117" s="784">
        <f>(Z117*KFC!$B$34+KFC!$C$34)*KFC!$C$5</f>
        <v>167.18443879128216</v>
      </c>
      <c r="L117" s="784">
        <f>(AA117*KFC!$B$34+KFC!$C$34)*KFC!$C$5</f>
        <v>178.36343886491463</v>
      </c>
      <c r="M117" s="784">
        <f>(AB117*KFC!$B$34+KFC!$C$34)*KFC!$C$5</f>
        <v>189.54243893854709</v>
      </c>
      <c r="N117" s="784">
        <f>(AC117*KFC!$B$34+KFC!$C$34)*KFC!$C$5</f>
        <v>200.72143901217956</v>
      </c>
      <c r="O117" s="784">
        <f>(AD117*KFC!$B$34+KFC!$C$34)*KFC!$C$5</f>
        <v>211.90043908581202</v>
      </c>
      <c r="P117" s="785">
        <f>(AE117*KFC!$B$34+KFC!$C$34)*KFC!$C$5</f>
        <v>223.07943915944452</v>
      </c>
      <c r="R117" s="247">
        <v>77.752438202222223</v>
      </c>
      <c r="S117" s="194">
        <v>88.931438275854717</v>
      </c>
      <c r="T117" s="194">
        <v>100.11043834948721</v>
      </c>
      <c r="U117" s="194">
        <v>111.28943842311969</v>
      </c>
      <c r="V117" s="194">
        <v>122.46843849675219</v>
      </c>
      <c r="W117" s="194">
        <v>133.64743857038468</v>
      </c>
      <c r="X117" s="194">
        <v>144.82643864401717</v>
      </c>
      <c r="Y117" s="194">
        <v>156.00543871764967</v>
      </c>
      <c r="Z117" s="194">
        <v>167.18443879128216</v>
      </c>
      <c r="AA117" s="194">
        <v>178.36343886491463</v>
      </c>
      <c r="AB117" s="194">
        <v>189.54243893854709</v>
      </c>
      <c r="AC117" s="194">
        <v>200.72143901217956</v>
      </c>
      <c r="AD117" s="194">
        <v>211.90043908581202</v>
      </c>
      <c r="AE117" s="195">
        <v>223.07943915944452</v>
      </c>
    </row>
    <row r="118" spans="1:31">
      <c r="A118" s="1929"/>
      <c r="B118" s="790">
        <v>2</v>
      </c>
      <c r="C118" s="784">
        <f>(R118*KFC!$B$34+KFC!$C$34)*KFC!$C$5</f>
        <v>79.467837846666669</v>
      </c>
      <c r="D118" s="784">
        <f>(S118*KFC!$B$34+KFC!$C$34)*KFC!$C$5</f>
        <v>91.075687831410264</v>
      </c>
      <c r="E118" s="784">
        <f>(T118*KFC!$B$34+KFC!$C$34)*KFC!$C$5</f>
        <v>102.68353781615384</v>
      </c>
      <c r="F118" s="784">
        <f>(U118*KFC!$B$34+KFC!$C$34)*KFC!$C$5</f>
        <v>114.29138780089744</v>
      </c>
      <c r="G118" s="784">
        <f>(V118*KFC!$B$34+KFC!$C$34)*KFC!$C$5</f>
        <v>125.89923778564102</v>
      </c>
      <c r="H118" s="784">
        <f>(W118*KFC!$B$34+KFC!$C$34)*KFC!$C$5</f>
        <v>137.5070877703846</v>
      </c>
      <c r="I118" s="784">
        <f>(X118*KFC!$B$34+KFC!$C$34)*KFC!$C$5</f>
        <v>149.11493775512818</v>
      </c>
      <c r="J118" s="784">
        <f>(Y118*KFC!$B$34+KFC!$C$34)*KFC!$C$5</f>
        <v>160.72278773987179</v>
      </c>
      <c r="K118" s="784">
        <f>(Z118*KFC!$B$34+KFC!$C$34)*KFC!$C$5</f>
        <v>172.3306377246154</v>
      </c>
      <c r="L118" s="784">
        <f>(AA118*KFC!$B$34+KFC!$C$34)*KFC!$C$5</f>
        <v>183.93848770935898</v>
      </c>
      <c r="M118" s="784">
        <f>(AB118*KFC!$B$34+KFC!$C$34)*KFC!$C$5</f>
        <v>195.54633769410256</v>
      </c>
      <c r="N118" s="784">
        <f>(AC118*KFC!$B$34+KFC!$C$34)*KFC!$C$5</f>
        <v>207.15418767884614</v>
      </c>
      <c r="O118" s="784">
        <f>(AD118*KFC!$B$34+KFC!$C$34)*KFC!$C$5</f>
        <v>218.76203766358975</v>
      </c>
      <c r="P118" s="785">
        <f>(AE118*KFC!$B$34+KFC!$C$34)*KFC!$C$5</f>
        <v>230.36988764833339</v>
      </c>
      <c r="R118" s="247">
        <v>79.467837846666669</v>
      </c>
      <c r="S118" s="194">
        <v>91.075687831410264</v>
      </c>
      <c r="T118" s="194">
        <v>102.68353781615384</v>
      </c>
      <c r="U118" s="194">
        <v>114.29138780089744</v>
      </c>
      <c r="V118" s="194">
        <v>125.89923778564102</v>
      </c>
      <c r="W118" s="194">
        <v>137.5070877703846</v>
      </c>
      <c r="X118" s="194">
        <v>149.11493775512818</v>
      </c>
      <c r="Y118" s="194">
        <v>160.72278773987179</v>
      </c>
      <c r="Z118" s="194">
        <v>172.3306377246154</v>
      </c>
      <c r="AA118" s="194">
        <v>183.93848770935898</v>
      </c>
      <c r="AB118" s="194">
        <v>195.54633769410256</v>
      </c>
      <c r="AC118" s="194">
        <v>207.15418767884614</v>
      </c>
      <c r="AD118" s="194">
        <v>218.76203766358975</v>
      </c>
      <c r="AE118" s="195">
        <v>230.36988764833339</v>
      </c>
    </row>
    <row r="119" spans="1:31">
      <c r="A119" s="1929"/>
      <c r="B119" s="790">
        <v>2.1</v>
      </c>
      <c r="C119" s="784">
        <f>(R119*KFC!$B$34+KFC!$C$34)*KFC!$C$5</f>
        <v>81.183237491111115</v>
      </c>
      <c r="D119" s="784">
        <f>(S119*KFC!$B$34+KFC!$C$34)*KFC!$C$5</f>
        <v>93.219937386965825</v>
      </c>
      <c r="E119" s="784">
        <f>(T119*KFC!$B$34+KFC!$C$34)*KFC!$C$5</f>
        <v>105.25663728282052</v>
      </c>
      <c r="F119" s="784">
        <f>(U119*KFC!$B$34+KFC!$C$34)*KFC!$C$5</f>
        <v>117.29333717867523</v>
      </c>
      <c r="G119" s="784">
        <f>(V119*KFC!$B$34+KFC!$C$34)*KFC!$C$5</f>
        <v>129.33003707452994</v>
      </c>
      <c r="H119" s="784">
        <f>(W119*KFC!$B$34+KFC!$C$34)*KFC!$C$5</f>
        <v>141.36673697038464</v>
      </c>
      <c r="I119" s="784">
        <f>(X119*KFC!$B$34+KFC!$C$34)*KFC!$C$5</f>
        <v>153.40343686623933</v>
      </c>
      <c r="J119" s="784">
        <f>(Y119*KFC!$B$34+KFC!$C$34)*KFC!$C$5</f>
        <v>165.44013676209403</v>
      </c>
      <c r="K119" s="784">
        <f>(Z119*KFC!$B$34+KFC!$C$34)*KFC!$C$5</f>
        <v>177.47683665794875</v>
      </c>
      <c r="L119" s="784">
        <f>(AA119*KFC!$B$34+KFC!$C$34)*KFC!$C$5</f>
        <v>189.51353655380345</v>
      </c>
      <c r="M119" s="784">
        <f>(AB119*KFC!$B$34+KFC!$C$34)*KFC!$C$5</f>
        <v>201.55023644965814</v>
      </c>
      <c r="N119" s="784">
        <f>(AC119*KFC!$B$34+KFC!$C$34)*KFC!$C$5</f>
        <v>213.58693634551284</v>
      </c>
      <c r="O119" s="784">
        <f>(AD119*KFC!$B$34+KFC!$C$34)*KFC!$C$5</f>
        <v>225.62363624136756</v>
      </c>
      <c r="P119" s="785">
        <f>(AE119*KFC!$B$34+KFC!$C$34)*KFC!$C$5</f>
        <v>237.66033613722229</v>
      </c>
      <c r="R119" s="247">
        <v>81.183237491111115</v>
      </c>
      <c r="S119" s="194">
        <v>93.219937386965825</v>
      </c>
      <c r="T119" s="194">
        <v>105.25663728282052</v>
      </c>
      <c r="U119" s="194">
        <v>117.29333717867523</v>
      </c>
      <c r="V119" s="194">
        <v>129.33003707452994</v>
      </c>
      <c r="W119" s="194">
        <v>141.36673697038464</v>
      </c>
      <c r="X119" s="194">
        <v>153.40343686623933</v>
      </c>
      <c r="Y119" s="194">
        <v>165.44013676209403</v>
      </c>
      <c r="Z119" s="194">
        <v>177.47683665794875</v>
      </c>
      <c r="AA119" s="194">
        <v>189.51353655380345</v>
      </c>
      <c r="AB119" s="194">
        <v>201.55023644965814</v>
      </c>
      <c r="AC119" s="194">
        <v>213.58693634551284</v>
      </c>
      <c r="AD119" s="194">
        <v>225.62363624136756</v>
      </c>
      <c r="AE119" s="195">
        <v>237.66033613722229</v>
      </c>
    </row>
    <row r="120" spans="1:31">
      <c r="A120" s="1929"/>
      <c r="B120" s="790">
        <v>2.2000000000000002</v>
      </c>
      <c r="C120" s="784">
        <f>(R120*KFC!$B$34+KFC!$C$34)*KFC!$C$5</f>
        <v>82.89863713555556</v>
      </c>
      <c r="D120" s="784">
        <f>(S120*KFC!$B$34+KFC!$C$34)*KFC!$C$5</f>
        <v>95.364186942521371</v>
      </c>
      <c r="E120" s="784">
        <f>(T120*KFC!$B$34+KFC!$C$34)*KFC!$C$5</f>
        <v>107.8297367494872</v>
      </c>
      <c r="F120" s="784">
        <f>(U120*KFC!$B$34+KFC!$C$34)*KFC!$C$5</f>
        <v>120.29528655645302</v>
      </c>
      <c r="G120" s="784">
        <f>(V120*KFC!$B$34+KFC!$C$34)*KFC!$C$5</f>
        <v>132.76083636341883</v>
      </c>
      <c r="H120" s="784">
        <f>(W120*KFC!$B$34+KFC!$C$34)*KFC!$C$5</f>
        <v>145.22638617038464</v>
      </c>
      <c r="I120" s="784">
        <f>(X120*KFC!$B$34+KFC!$C$34)*KFC!$C$5</f>
        <v>157.69193597735048</v>
      </c>
      <c r="J120" s="784">
        <f>(Y120*KFC!$B$34+KFC!$C$34)*KFC!$C$5</f>
        <v>170.15748578431626</v>
      </c>
      <c r="K120" s="784">
        <f>(Z120*KFC!$B$34+KFC!$C$34)*KFC!$C$5</f>
        <v>182.6230355912821</v>
      </c>
      <c r="L120" s="784">
        <f>(AA120*KFC!$B$34+KFC!$C$34)*KFC!$C$5</f>
        <v>195.08858539824791</v>
      </c>
      <c r="M120" s="784">
        <f>(AB120*KFC!$B$34+KFC!$C$34)*KFC!$C$5</f>
        <v>207.55413520521373</v>
      </c>
      <c r="N120" s="784">
        <f>(AC120*KFC!$B$34+KFC!$C$34)*KFC!$C$5</f>
        <v>220.01968501217954</v>
      </c>
      <c r="O120" s="784">
        <f>(AD120*KFC!$B$34+KFC!$C$34)*KFC!$C$5</f>
        <v>232.48523481914538</v>
      </c>
      <c r="P120" s="785">
        <f>(AE120*KFC!$B$34+KFC!$C$34)*KFC!$C$5</f>
        <v>244.95078462611119</v>
      </c>
      <c r="R120" s="247">
        <v>82.89863713555556</v>
      </c>
      <c r="S120" s="194">
        <v>95.364186942521371</v>
      </c>
      <c r="T120" s="194">
        <v>107.8297367494872</v>
      </c>
      <c r="U120" s="194">
        <v>120.29528655645302</v>
      </c>
      <c r="V120" s="194">
        <v>132.76083636341883</v>
      </c>
      <c r="W120" s="194">
        <v>145.22638617038464</v>
      </c>
      <c r="X120" s="194">
        <v>157.69193597735048</v>
      </c>
      <c r="Y120" s="194">
        <v>170.15748578431626</v>
      </c>
      <c r="Z120" s="194">
        <v>182.6230355912821</v>
      </c>
      <c r="AA120" s="194">
        <v>195.08858539824791</v>
      </c>
      <c r="AB120" s="194">
        <v>207.55413520521373</v>
      </c>
      <c r="AC120" s="194">
        <v>220.01968501217954</v>
      </c>
      <c r="AD120" s="194">
        <v>232.48523481914538</v>
      </c>
      <c r="AE120" s="195">
        <v>244.95078462611119</v>
      </c>
    </row>
    <row r="121" spans="1:31">
      <c r="A121" s="1929"/>
      <c r="B121" s="790">
        <v>2.2999999999999998</v>
      </c>
      <c r="C121" s="784">
        <f>(R121*KFC!$B$34+KFC!$C$34)*KFC!$C$5</f>
        <v>84.614036780000006</v>
      </c>
      <c r="D121" s="784">
        <f>(S121*KFC!$B$34+KFC!$C$34)*KFC!$C$5</f>
        <v>97.508436498076932</v>
      </c>
      <c r="E121" s="784">
        <f>(T121*KFC!$B$34+KFC!$C$34)*KFC!$C$5</f>
        <v>110.40283621615387</v>
      </c>
      <c r="F121" s="784">
        <f>(U121*KFC!$B$34+KFC!$C$34)*KFC!$C$5</f>
        <v>123.29723593423081</v>
      </c>
      <c r="G121" s="784">
        <f>(V121*KFC!$B$34+KFC!$C$34)*KFC!$C$5</f>
        <v>136.19163565230775</v>
      </c>
      <c r="H121" s="784">
        <f>(W121*KFC!$B$34+KFC!$C$34)*KFC!$C$5</f>
        <v>149.08603537038468</v>
      </c>
      <c r="I121" s="784">
        <f>(X121*KFC!$B$34+KFC!$C$34)*KFC!$C$5</f>
        <v>161.9804350884616</v>
      </c>
      <c r="J121" s="784">
        <f>(Y121*KFC!$B$34+KFC!$C$34)*KFC!$C$5</f>
        <v>174.87483480653856</v>
      </c>
      <c r="K121" s="784">
        <f>(Z121*KFC!$B$34+KFC!$C$34)*KFC!$C$5</f>
        <v>187.76923452461548</v>
      </c>
      <c r="L121" s="784">
        <f>(AA121*KFC!$B$34+KFC!$C$34)*KFC!$C$5</f>
        <v>200.66363424269241</v>
      </c>
      <c r="M121" s="784">
        <f>(AB121*KFC!$B$34+KFC!$C$34)*KFC!$C$5</f>
        <v>213.55803396076936</v>
      </c>
      <c r="N121" s="784">
        <f>(AC121*KFC!$B$34+KFC!$C$34)*KFC!$C$5</f>
        <v>226.45243367884629</v>
      </c>
      <c r="O121" s="784">
        <f>(AD121*KFC!$B$34+KFC!$C$34)*KFC!$C$5</f>
        <v>239.34683339692322</v>
      </c>
      <c r="P121" s="785">
        <f>(AE121*KFC!$B$34+KFC!$C$34)*KFC!$C$5</f>
        <v>252.24123311500009</v>
      </c>
      <c r="R121" s="247">
        <v>84.614036780000006</v>
      </c>
      <c r="S121" s="194">
        <v>97.508436498076932</v>
      </c>
      <c r="T121" s="194">
        <v>110.40283621615387</v>
      </c>
      <c r="U121" s="194">
        <v>123.29723593423081</v>
      </c>
      <c r="V121" s="194">
        <v>136.19163565230775</v>
      </c>
      <c r="W121" s="194">
        <v>149.08603537038468</v>
      </c>
      <c r="X121" s="194">
        <v>161.9804350884616</v>
      </c>
      <c r="Y121" s="194">
        <v>174.87483480653856</v>
      </c>
      <c r="Z121" s="194">
        <v>187.76923452461548</v>
      </c>
      <c r="AA121" s="194">
        <v>200.66363424269241</v>
      </c>
      <c r="AB121" s="194">
        <v>213.55803396076936</v>
      </c>
      <c r="AC121" s="194">
        <v>226.45243367884629</v>
      </c>
      <c r="AD121" s="194">
        <v>239.34683339692322</v>
      </c>
      <c r="AE121" s="195">
        <v>252.24123311500009</v>
      </c>
    </row>
    <row r="122" spans="1:31">
      <c r="A122" s="1929"/>
      <c r="B122" s="790">
        <v>2.4</v>
      </c>
      <c r="C122" s="784">
        <f>(R122*KFC!$B$34+KFC!$C$34)*KFC!$C$5</f>
        <v>86.329436424444452</v>
      </c>
      <c r="D122" s="784">
        <f>(S122*KFC!$B$34+KFC!$C$34)*KFC!$C$5</f>
        <v>99.652686053632479</v>
      </c>
      <c r="E122" s="784">
        <f>(T122*KFC!$B$34+KFC!$C$34)*KFC!$C$5</f>
        <v>112.97593568282051</v>
      </c>
      <c r="F122" s="784">
        <f>(U122*KFC!$B$34+KFC!$C$34)*KFC!$C$5</f>
        <v>126.29918531200855</v>
      </c>
      <c r="G122" s="784">
        <f>(V122*KFC!$B$34+KFC!$C$34)*KFC!$C$5</f>
        <v>139.62243494119659</v>
      </c>
      <c r="H122" s="784">
        <f>(W122*KFC!$B$34+KFC!$C$34)*KFC!$C$5</f>
        <v>152.9456845703846</v>
      </c>
      <c r="I122" s="784">
        <f>(X122*KFC!$B$34+KFC!$C$34)*KFC!$C$5</f>
        <v>166.26893419957264</v>
      </c>
      <c r="J122" s="784">
        <f>(Y122*KFC!$B$34+KFC!$C$34)*KFC!$C$5</f>
        <v>179.59218382876068</v>
      </c>
      <c r="K122" s="784">
        <f>(Z122*KFC!$B$34+KFC!$C$34)*KFC!$C$5</f>
        <v>192.91543345794872</v>
      </c>
      <c r="L122" s="784">
        <f>(AA122*KFC!$B$34+KFC!$C$34)*KFC!$C$5</f>
        <v>206.23868308713676</v>
      </c>
      <c r="M122" s="784">
        <f>(AB122*KFC!$B$34+KFC!$C$34)*KFC!$C$5</f>
        <v>219.56193271632483</v>
      </c>
      <c r="N122" s="784">
        <f>(AC122*KFC!$B$34+KFC!$C$34)*KFC!$C$5</f>
        <v>232.88518234551287</v>
      </c>
      <c r="O122" s="784">
        <f>(AD122*KFC!$B$34+KFC!$C$34)*KFC!$C$5</f>
        <v>246.20843197470091</v>
      </c>
      <c r="P122" s="785">
        <f>(AE122*KFC!$B$34+KFC!$C$34)*KFC!$C$5</f>
        <v>259.53168160388896</v>
      </c>
      <c r="R122" s="247">
        <v>86.329436424444452</v>
      </c>
      <c r="S122" s="194">
        <v>99.652686053632479</v>
      </c>
      <c r="T122" s="194">
        <v>112.97593568282051</v>
      </c>
      <c r="U122" s="194">
        <v>126.29918531200855</v>
      </c>
      <c r="V122" s="194">
        <v>139.62243494119659</v>
      </c>
      <c r="W122" s="194">
        <v>152.9456845703846</v>
      </c>
      <c r="X122" s="194">
        <v>166.26893419957264</v>
      </c>
      <c r="Y122" s="194">
        <v>179.59218382876068</v>
      </c>
      <c r="Z122" s="194">
        <v>192.91543345794872</v>
      </c>
      <c r="AA122" s="194">
        <v>206.23868308713676</v>
      </c>
      <c r="AB122" s="194">
        <v>219.56193271632483</v>
      </c>
      <c r="AC122" s="194">
        <v>232.88518234551287</v>
      </c>
      <c r="AD122" s="194">
        <v>246.20843197470091</v>
      </c>
      <c r="AE122" s="195">
        <v>259.53168160388896</v>
      </c>
    </row>
    <row r="123" spans="1:31">
      <c r="A123" s="1929"/>
      <c r="B123" s="790">
        <v>2.5</v>
      </c>
      <c r="C123" s="784">
        <f>(R123*KFC!$B$34+KFC!$C$34)*KFC!$C$5</f>
        <v>88.044836068888898</v>
      </c>
      <c r="D123" s="784">
        <f>(S123*KFC!$B$34+KFC!$C$34)*KFC!$C$5</f>
        <v>101.79693560918804</v>
      </c>
      <c r="E123" s="784">
        <f>(T123*KFC!$B$34+KFC!$C$34)*KFC!$C$5</f>
        <v>115.54903514948718</v>
      </c>
      <c r="F123" s="784">
        <f>(U123*KFC!$B$34+KFC!$C$34)*KFC!$C$5</f>
        <v>129.30113468978632</v>
      </c>
      <c r="G123" s="784">
        <f>(V123*KFC!$B$34+KFC!$C$34)*KFC!$C$5</f>
        <v>143.05323423008548</v>
      </c>
      <c r="H123" s="784">
        <f>(W123*KFC!$B$34+KFC!$C$34)*KFC!$C$5</f>
        <v>156.80533377038464</v>
      </c>
      <c r="I123" s="784">
        <f>(X123*KFC!$B$34+KFC!$C$34)*KFC!$C$5</f>
        <v>170.55743331068379</v>
      </c>
      <c r="J123" s="784">
        <f>(Y123*KFC!$B$34+KFC!$C$34)*KFC!$C$5</f>
        <v>184.30953285098295</v>
      </c>
      <c r="K123" s="784">
        <f>(Z123*KFC!$B$34+KFC!$C$34)*KFC!$C$5</f>
        <v>198.0616323912821</v>
      </c>
      <c r="L123" s="784">
        <f>(AA123*KFC!$B$34+KFC!$C$34)*KFC!$C$5</f>
        <v>211.81373193158129</v>
      </c>
      <c r="M123" s="784">
        <f>(AB123*KFC!$B$34+KFC!$C$34)*KFC!$C$5</f>
        <v>225.56583147188044</v>
      </c>
      <c r="N123" s="784">
        <f>(AC123*KFC!$B$34+KFC!$C$34)*KFC!$C$5</f>
        <v>239.3179310121796</v>
      </c>
      <c r="O123" s="784">
        <f>(AD123*KFC!$B$34+KFC!$C$34)*KFC!$C$5</f>
        <v>253.07003055247878</v>
      </c>
      <c r="P123" s="785">
        <f>(AE123*KFC!$B$34+KFC!$C$34)*KFC!$C$5</f>
        <v>266.82213009277785</v>
      </c>
      <c r="R123" s="247">
        <v>88.044836068888898</v>
      </c>
      <c r="S123" s="194">
        <v>101.79693560918804</v>
      </c>
      <c r="T123" s="194">
        <v>115.54903514948718</v>
      </c>
      <c r="U123" s="194">
        <v>129.30113468978632</v>
      </c>
      <c r="V123" s="194">
        <v>143.05323423008548</v>
      </c>
      <c r="W123" s="194">
        <v>156.80533377038464</v>
      </c>
      <c r="X123" s="194">
        <v>170.55743331068379</v>
      </c>
      <c r="Y123" s="194">
        <v>184.30953285098295</v>
      </c>
      <c r="Z123" s="194">
        <v>198.0616323912821</v>
      </c>
      <c r="AA123" s="194">
        <v>211.81373193158129</v>
      </c>
      <c r="AB123" s="194">
        <v>225.56583147188044</v>
      </c>
      <c r="AC123" s="194">
        <v>239.3179310121796</v>
      </c>
      <c r="AD123" s="194">
        <v>253.07003055247878</v>
      </c>
      <c r="AE123" s="195">
        <v>266.82213009277785</v>
      </c>
    </row>
    <row r="124" spans="1:31">
      <c r="A124" s="1929"/>
      <c r="B124" s="790">
        <v>2.6</v>
      </c>
      <c r="C124" s="784">
        <f>(R124*KFC!$B$34+KFC!$C$34)*KFC!$C$5</f>
        <v>89.76023571333333</v>
      </c>
      <c r="D124" s="784">
        <f>(S124*KFC!$B$34+KFC!$C$34)*KFC!$C$5</f>
        <v>103.9411851647436</v>
      </c>
      <c r="E124" s="784">
        <f>(T124*KFC!$B$34+KFC!$C$34)*KFC!$C$5</f>
        <v>118.12213461615386</v>
      </c>
      <c r="F124" s="784">
        <f>(U124*KFC!$B$34+KFC!$C$34)*KFC!$C$5</f>
        <v>132.30308406756413</v>
      </c>
      <c r="G124" s="784">
        <f>(V124*KFC!$B$34+KFC!$C$34)*KFC!$C$5</f>
        <v>146.4840335189744</v>
      </c>
      <c r="H124" s="784">
        <f>(W124*KFC!$B$34+KFC!$C$34)*KFC!$C$5</f>
        <v>160.66498297038464</v>
      </c>
      <c r="I124" s="784">
        <f>(X124*KFC!$B$34+KFC!$C$34)*KFC!$C$5</f>
        <v>174.84593242179494</v>
      </c>
      <c r="J124" s="784">
        <f>(Y124*KFC!$B$34+KFC!$C$34)*KFC!$C$5</f>
        <v>189.02688187320521</v>
      </c>
      <c r="K124" s="784">
        <f>(Z124*KFC!$B$34+KFC!$C$34)*KFC!$C$5</f>
        <v>203.20783132461551</v>
      </c>
      <c r="L124" s="784">
        <f>(AA124*KFC!$B$34+KFC!$C$34)*KFC!$C$5</f>
        <v>217.38878077602578</v>
      </c>
      <c r="M124" s="784">
        <f>(AB124*KFC!$B$34+KFC!$C$34)*KFC!$C$5</f>
        <v>231.56973022743605</v>
      </c>
      <c r="N124" s="784">
        <f>(AC124*KFC!$B$34+KFC!$C$34)*KFC!$C$5</f>
        <v>245.75067967884635</v>
      </c>
      <c r="O124" s="784">
        <f>(AD124*KFC!$B$34+KFC!$C$34)*KFC!$C$5</f>
        <v>259.93162913025662</v>
      </c>
      <c r="P124" s="785">
        <f>(AE124*KFC!$B$34+KFC!$C$34)*KFC!$C$5</f>
        <v>274.11257858166675</v>
      </c>
      <c r="R124" s="247">
        <v>89.76023571333333</v>
      </c>
      <c r="S124" s="194">
        <v>103.9411851647436</v>
      </c>
      <c r="T124" s="194">
        <v>118.12213461615386</v>
      </c>
      <c r="U124" s="194">
        <v>132.30308406756413</v>
      </c>
      <c r="V124" s="194">
        <v>146.4840335189744</v>
      </c>
      <c r="W124" s="194">
        <v>160.66498297038464</v>
      </c>
      <c r="X124" s="194">
        <v>174.84593242179494</v>
      </c>
      <c r="Y124" s="194">
        <v>189.02688187320521</v>
      </c>
      <c r="Z124" s="194">
        <v>203.20783132461551</v>
      </c>
      <c r="AA124" s="194">
        <v>217.38878077602578</v>
      </c>
      <c r="AB124" s="194">
        <v>231.56973022743605</v>
      </c>
      <c r="AC124" s="194">
        <v>245.75067967884635</v>
      </c>
      <c r="AD124" s="194">
        <v>259.93162913025662</v>
      </c>
      <c r="AE124" s="195">
        <v>274.11257858166675</v>
      </c>
    </row>
    <row r="125" spans="1:31">
      <c r="A125" s="1929"/>
      <c r="B125" s="790">
        <v>2.7</v>
      </c>
      <c r="C125" s="784">
        <f>(R125*KFC!$B$34+KFC!$C$34)*KFC!$C$5</f>
        <v>91.475635357777776</v>
      </c>
      <c r="D125" s="784">
        <f>(S125*KFC!$B$34+KFC!$C$34)*KFC!$C$5</f>
        <v>106.08543472029916</v>
      </c>
      <c r="E125" s="784">
        <f>(T125*KFC!$B$34+KFC!$C$34)*KFC!$C$5</f>
        <v>120.69523408282053</v>
      </c>
      <c r="F125" s="784">
        <f>(U125*KFC!$B$34+KFC!$C$34)*KFC!$C$5</f>
        <v>135.30503344534193</v>
      </c>
      <c r="G125" s="784">
        <f>(V125*KFC!$B$34+KFC!$C$34)*KFC!$C$5</f>
        <v>149.91483280786329</v>
      </c>
      <c r="H125" s="784">
        <f>(W125*KFC!$B$34+KFC!$C$34)*KFC!$C$5</f>
        <v>164.52463217038468</v>
      </c>
      <c r="I125" s="784">
        <f>(X125*KFC!$B$34+KFC!$C$34)*KFC!$C$5</f>
        <v>179.13443153290606</v>
      </c>
      <c r="J125" s="784">
        <f>(Y125*KFC!$B$34+KFC!$C$34)*KFC!$C$5</f>
        <v>193.74423089542742</v>
      </c>
      <c r="K125" s="784">
        <f>(Z125*KFC!$B$34+KFC!$C$34)*KFC!$C$5</f>
        <v>208.35403025794878</v>
      </c>
      <c r="L125" s="784">
        <f>(AA125*KFC!$B$34+KFC!$C$34)*KFC!$C$5</f>
        <v>222.96382962047014</v>
      </c>
      <c r="M125" s="784">
        <f>(AB125*KFC!$B$34+KFC!$C$34)*KFC!$C$5</f>
        <v>237.57362898299149</v>
      </c>
      <c r="N125" s="784">
        <f>(AC125*KFC!$B$34+KFC!$C$34)*KFC!$C$5</f>
        <v>252.18342834551285</v>
      </c>
      <c r="O125" s="784">
        <f>(AD125*KFC!$B$34+KFC!$C$34)*KFC!$C$5</f>
        <v>266.79322770803424</v>
      </c>
      <c r="P125" s="785">
        <f>(AE125*KFC!$B$34+KFC!$C$34)*KFC!$C$5</f>
        <v>281.40302707055565</v>
      </c>
      <c r="R125" s="247">
        <v>91.475635357777776</v>
      </c>
      <c r="S125" s="194">
        <v>106.08543472029916</v>
      </c>
      <c r="T125" s="194">
        <v>120.69523408282053</v>
      </c>
      <c r="U125" s="194">
        <v>135.30503344534193</v>
      </c>
      <c r="V125" s="194">
        <v>149.91483280786329</v>
      </c>
      <c r="W125" s="194">
        <v>164.52463217038468</v>
      </c>
      <c r="X125" s="194">
        <v>179.13443153290606</v>
      </c>
      <c r="Y125" s="194">
        <v>193.74423089542742</v>
      </c>
      <c r="Z125" s="194">
        <v>208.35403025794878</v>
      </c>
      <c r="AA125" s="194">
        <v>222.96382962047014</v>
      </c>
      <c r="AB125" s="194">
        <v>237.57362898299149</v>
      </c>
      <c r="AC125" s="194">
        <v>252.18342834551285</v>
      </c>
      <c r="AD125" s="194">
        <v>266.79322770803424</v>
      </c>
      <c r="AE125" s="195">
        <v>281.40302707055565</v>
      </c>
    </row>
    <row r="126" spans="1:31">
      <c r="A126" s="1929"/>
      <c r="B126" s="790">
        <v>2.8</v>
      </c>
      <c r="C126" s="784">
        <f>(R126*KFC!$B$34+KFC!$C$34)*KFC!$C$5</f>
        <v>93.191035002222222</v>
      </c>
      <c r="D126" s="784">
        <f>(S126*KFC!$B$34+KFC!$C$34)*KFC!$C$5</f>
        <v>108.22968427585472</v>
      </c>
      <c r="E126" s="784">
        <f>(T126*KFC!$B$34+KFC!$C$34)*KFC!$C$5</f>
        <v>123.2683335494872</v>
      </c>
      <c r="F126" s="784">
        <f>(U126*KFC!$B$34+KFC!$C$34)*KFC!$C$5</f>
        <v>138.30698282311968</v>
      </c>
      <c r="G126" s="784">
        <f>(V126*KFC!$B$34+KFC!$C$34)*KFC!$C$5</f>
        <v>153.34563209675215</v>
      </c>
      <c r="H126" s="784">
        <f>(W126*KFC!$B$34+KFC!$C$34)*KFC!$C$5</f>
        <v>168.38428137038463</v>
      </c>
      <c r="I126" s="784">
        <f>(X126*KFC!$B$34+KFC!$C$34)*KFC!$C$5</f>
        <v>183.4229306440171</v>
      </c>
      <c r="J126" s="784">
        <f>(Y126*KFC!$B$34+KFC!$C$34)*KFC!$C$5</f>
        <v>198.46157991764957</v>
      </c>
      <c r="K126" s="784">
        <f>(Z126*KFC!$B$34+KFC!$C$34)*KFC!$C$5</f>
        <v>213.50022919128205</v>
      </c>
      <c r="L126" s="784">
        <f>(AA126*KFC!$B$34+KFC!$C$34)*KFC!$C$5</f>
        <v>228.53887846491455</v>
      </c>
      <c r="M126" s="784">
        <f>(AB126*KFC!$B$34+KFC!$C$34)*KFC!$C$5</f>
        <v>243.57752773854702</v>
      </c>
      <c r="N126" s="784">
        <f>(AC126*KFC!$B$34+KFC!$C$34)*KFC!$C$5</f>
        <v>258.61617701217949</v>
      </c>
      <c r="O126" s="784">
        <f>(AD126*KFC!$B$34+KFC!$C$34)*KFC!$C$5</f>
        <v>273.65482628581196</v>
      </c>
      <c r="P126" s="785">
        <f>(AE126*KFC!$B$34+KFC!$C$34)*KFC!$C$5</f>
        <v>288.69347555944455</v>
      </c>
      <c r="R126" s="247">
        <v>93.191035002222222</v>
      </c>
      <c r="S126" s="194">
        <v>108.22968427585472</v>
      </c>
      <c r="T126" s="194">
        <v>123.2683335494872</v>
      </c>
      <c r="U126" s="194">
        <v>138.30698282311968</v>
      </c>
      <c r="V126" s="194">
        <v>153.34563209675215</v>
      </c>
      <c r="W126" s="194">
        <v>168.38428137038463</v>
      </c>
      <c r="X126" s="194">
        <v>183.4229306440171</v>
      </c>
      <c r="Y126" s="194">
        <v>198.46157991764957</v>
      </c>
      <c r="Z126" s="194">
        <v>213.50022919128205</v>
      </c>
      <c r="AA126" s="194">
        <v>228.53887846491455</v>
      </c>
      <c r="AB126" s="194">
        <v>243.57752773854702</v>
      </c>
      <c r="AC126" s="194">
        <v>258.61617701217949</v>
      </c>
      <c r="AD126" s="194">
        <v>273.65482628581196</v>
      </c>
      <c r="AE126" s="195">
        <v>288.69347555944455</v>
      </c>
    </row>
    <row r="127" spans="1:31">
      <c r="A127" s="1929"/>
      <c r="B127" s="790">
        <v>2.9</v>
      </c>
      <c r="C127" s="784">
        <f>(R127*KFC!$B$34+KFC!$C$34)*KFC!$C$5</f>
        <v>94.906434646666668</v>
      </c>
      <c r="D127" s="784">
        <f>(S127*KFC!$B$34+KFC!$C$34)*KFC!$C$5</f>
        <v>110.37393383141027</v>
      </c>
      <c r="E127" s="784">
        <f>(T127*KFC!$B$34+KFC!$C$34)*KFC!$C$5</f>
        <v>125.84143301615386</v>
      </c>
      <c r="F127" s="784">
        <f>(U127*KFC!$B$34+KFC!$C$34)*KFC!$C$5</f>
        <v>141.30893220089746</v>
      </c>
      <c r="G127" s="784">
        <f>(V127*KFC!$B$34+KFC!$C$34)*KFC!$C$5</f>
        <v>156.77643138564105</v>
      </c>
      <c r="H127" s="784">
        <f>(W127*KFC!$B$34+KFC!$C$34)*KFC!$C$5</f>
        <v>172.24393057038463</v>
      </c>
      <c r="I127" s="784">
        <f>(X127*KFC!$B$34+KFC!$C$34)*KFC!$C$5</f>
        <v>187.71142975512822</v>
      </c>
      <c r="J127" s="784">
        <f>(Y127*KFC!$B$34+KFC!$C$34)*KFC!$C$5</f>
        <v>203.17892893987181</v>
      </c>
      <c r="K127" s="784">
        <f>(Z127*KFC!$B$34+KFC!$C$34)*KFC!$C$5</f>
        <v>218.6464281246154</v>
      </c>
      <c r="L127" s="784">
        <f>(AA127*KFC!$B$34+KFC!$C$34)*KFC!$C$5</f>
        <v>234.11392730935901</v>
      </c>
      <c r="M127" s="784">
        <f>(AB127*KFC!$B$34+KFC!$C$34)*KFC!$C$5</f>
        <v>249.5814264941026</v>
      </c>
      <c r="N127" s="784">
        <f>(AC127*KFC!$B$34+KFC!$C$34)*KFC!$C$5</f>
        <v>265.04892567884616</v>
      </c>
      <c r="O127" s="784">
        <f>(AD127*KFC!$B$34+KFC!$C$34)*KFC!$C$5</f>
        <v>280.5164248635898</v>
      </c>
      <c r="P127" s="785">
        <f>(AE127*KFC!$B$34+KFC!$C$34)*KFC!$C$5</f>
        <v>295.98392404833345</v>
      </c>
      <c r="R127" s="247">
        <v>94.906434646666668</v>
      </c>
      <c r="S127" s="194">
        <v>110.37393383141027</v>
      </c>
      <c r="T127" s="194">
        <v>125.84143301615386</v>
      </c>
      <c r="U127" s="194">
        <v>141.30893220089746</v>
      </c>
      <c r="V127" s="194">
        <v>156.77643138564105</v>
      </c>
      <c r="W127" s="194">
        <v>172.24393057038463</v>
      </c>
      <c r="X127" s="194">
        <v>187.71142975512822</v>
      </c>
      <c r="Y127" s="194">
        <v>203.17892893987181</v>
      </c>
      <c r="Z127" s="194">
        <v>218.6464281246154</v>
      </c>
      <c r="AA127" s="194">
        <v>234.11392730935901</v>
      </c>
      <c r="AB127" s="194">
        <v>249.5814264941026</v>
      </c>
      <c r="AC127" s="194">
        <v>265.04892567884616</v>
      </c>
      <c r="AD127" s="194">
        <v>280.5164248635898</v>
      </c>
      <c r="AE127" s="195">
        <v>295.98392404833345</v>
      </c>
    </row>
    <row r="128" spans="1:31">
      <c r="A128" s="1929"/>
      <c r="B128" s="790">
        <v>3</v>
      </c>
      <c r="C128" s="784">
        <f>(R128*KFC!$B$34+KFC!$C$34)*KFC!$C$5</f>
        <v>96.621834291111114</v>
      </c>
      <c r="D128" s="784">
        <f>(S128*KFC!$B$34+KFC!$C$34)*KFC!$C$5</f>
        <v>112.51818338696582</v>
      </c>
      <c r="E128" s="784">
        <f>(T128*KFC!$B$34+KFC!$C$34)*KFC!$C$5</f>
        <v>128.41453248282053</v>
      </c>
      <c r="F128" s="784">
        <f>(U128*KFC!$B$34+KFC!$C$34)*KFC!$C$5</f>
        <v>144.31088157867524</v>
      </c>
      <c r="G128" s="784">
        <f>(V128*KFC!$B$34+KFC!$C$34)*KFC!$C$5</f>
        <v>160.20723067452994</v>
      </c>
      <c r="H128" s="784">
        <f>(W128*KFC!$B$34+KFC!$C$34)*KFC!$C$5</f>
        <v>176.10357977038467</v>
      </c>
      <c r="I128" s="784">
        <f>(X128*KFC!$B$34+KFC!$C$34)*KFC!$C$5</f>
        <v>191.99992886623937</v>
      </c>
      <c r="J128" s="784">
        <f>(Y128*KFC!$B$34+KFC!$C$34)*KFC!$C$5</f>
        <v>207.8962779620941</v>
      </c>
      <c r="K128" s="784">
        <f>(Z128*KFC!$B$34+KFC!$C$34)*KFC!$C$5</f>
        <v>223.79262705794881</v>
      </c>
      <c r="L128" s="784">
        <f>(AA128*KFC!$B$34+KFC!$C$34)*KFC!$C$5</f>
        <v>239.68897615380351</v>
      </c>
      <c r="M128" s="784">
        <f>(AB128*KFC!$B$34+KFC!$C$34)*KFC!$C$5</f>
        <v>255.58532524965821</v>
      </c>
      <c r="N128" s="784">
        <f>(AC128*KFC!$B$34+KFC!$C$34)*KFC!$C$5</f>
        <v>271.48167434551294</v>
      </c>
      <c r="O128" s="784">
        <f>(AD128*KFC!$B$34+KFC!$C$34)*KFC!$C$5</f>
        <v>287.37802344136765</v>
      </c>
      <c r="P128" s="785">
        <f>(AE128*KFC!$B$34+KFC!$C$34)*KFC!$C$5</f>
        <v>303.27437253722235</v>
      </c>
      <c r="R128" s="247">
        <v>96.621834291111114</v>
      </c>
      <c r="S128" s="194">
        <v>112.51818338696582</v>
      </c>
      <c r="T128" s="194">
        <v>128.41453248282053</v>
      </c>
      <c r="U128" s="194">
        <v>144.31088157867524</v>
      </c>
      <c r="V128" s="194">
        <v>160.20723067452994</v>
      </c>
      <c r="W128" s="194">
        <v>176.10357977038467</v>
      </c>
      <c r="X128" s="194">
        <v>191.99992886623937</v>
      </c>
      <c r="Y128" s="194">
        <v>207.8962779620941</v>
      </c>
      <c r="Z128" s="194">
        <v>223.79262705794881</v>
      </c>
      <c r="AA128" s="194">
        <v>239.68897615380351</v>
      </c>
      <c r="AB128" s="194">
        <v>255.58532524965821</v>
      </c>
      <c r="AC128" s="194">
        <v>271.48167434551294</v>
      </c>
      <c r="AD128" s="194">
        <v>287.37802344136765</v>
      </c>
      <c r="AE128" s="195">
        <v>303.27437253722235</v>
      </c>
    </row>
    <row r="129" spans="1:53">
      <c r="A129" s="1929"/>
      <c r="B129" s="790">
        <v>3.1</v>
      </c>
      <c r="C129" s="784">
        <f>(R129*KFC!$B$34+KFC!$C$34)*KFC!$C$5</f>
        <v>98.33723393555556</v>
      </c>
      <c r="D129" s="784">
        <f>(S129*KFC!$B$34+KFC!$C$34)*KFC!$C$5</f>
        <v>114.66243294252138</v>
      </c>
      <c r="E129" s="784">
        <f>(T129*KFC!$B$34+KFC!$C$34)*KFC!$C$5</f>
        <v>130.9876319494872</v>
      </c>
      <c r="F129" s="784">
        <f>(U129*KFC!$B$34+KFC!$C$34)*KFC!$C$5</f>
        <v>147.31283095645304</v>
      </c>
      <c r="G129" s="784">
        <f>(V129*KFC!$B$34+KFC!$C$34)*KFC!$C$5</f>
        <v>163.63802996341886</v>
      </c>
      <c r="H129" s="784">
        <f>(W129*KFC!$B$34+KFC!$C$34)*KFC!$C$5</f>
        <v>179.96322897038468</v>
      </c>
      <c r="I129" s="784">
        <f>(X129*KFC!$B$34+KFC!$C$34)*KFC!$C$5</f>
        <v>196.28842797735049</v>
      </c>
      <c r="J129" s="784">
        <f>(Y129*KFC!$B$34+KFC!$C$34)*KFC!$C$5</f>
        <v>212.61362698431634</v>
      </c>
      <c r="K129" s="784">
        <f>(Z129*KFC!$B$34+KFC!$C$34)*KFC!$C$5</f>
        <v>228.93882599128216</v>
      </c>
      <c r="L129" s="784">
        <f>(AA129*KFC!$B$34+KFC!$C$34)*KFC!$C$5</f>
        <v>245.26402499824798</v>
      </c>
      <c r="M129" s="784">
        <f>(AB129*KFC!$B$34+KFC!$C$34)*KFC!$C$5</f>
        <v>261.58922400521379</v>
      </c>
      <c r="N129" s="784">
        <f>(AC129*KFC!$B$34+KFC!$C$34)*KFC!$C$5</f>
        <v>277.91442301217961</v>
      </c>
      <c r="O129" s="784">
        <f>(AD129*KFC!$B$34+KFC!$C$34)*KFC!$C$5</f>
        <v>294.23962201914543</v>
      </c>
      <c r="P129" s="785">
        <f>(AE129*KFC!$B$34+KFC!$C$34)*KFC!$C$5</f>
        <v>310.56482102611125</v>
      </c>
      <c r="R129" s="247">
        <v>98.33723393555556</v>
      </c>
      <c r="S129" s="194">
        <v>114.66243294252138</v>
      </c>
      <c r="T129" s="194">
        <v>130.9876319494872</v>
      </c>
      <c r="U129" s="194">
        <v>147.31283095645304</v>
      </c>
      <c r="V129" s="194">
        <v>163.63802996341886</v>
      </c>
      <c r="W129" s="194">
        <v>179.96322897038468</v>
      </c>
      <c r="X129" s="194">
        <v>196.28842797735049</v>
      </c>
      <c r="Y129" s="194">
        <v>212.61362698431634</v>
      </c>
      <c r="Z129" s="194">
        <v>228.93882599128216</v>
      </c>
      <c r="AA129" s="194">
        <v>245.26402499824798</v>
      </c>
      <c r="AB129" s="194">
        <v>261.58922400521379</v>
      </c>
      <c r="AC129" s="194">
        <v>277.91442301217961</v>
      </c>
      <c r="AD129" s="194">
        <v>294.23962201914543</v>
      </c>
      <c r="AE129" s="195">
        <v>310.56482102611125</v>
      </c>
    </row>
    <row r="130" spans="1:53" ht="13.8" thickBot="1">
      <c r="A130" s="1930"/>
      <c r="B130" s="791">
        <v>3.2</v>
      </c>
      <c r="C130" s="787">
        <f>(R130*KFC!$B$34+KFC!$C$34)*KFC!$C$5</f>
        <v>100.05263358000001</v>
      </c>
      <c r="D130" s="787">
        <f>(S130*KFC!$B$34+KFC!$C$34)*KFC!$C$5</f>
        <v>116.80668249807692</v>
      </c>
      <c r="E130" s="787">
        <f>(T130*KFC!$B$34+KFC!$C$34)*KFC!$C$5</f>
        <v>133.56073141615386</v>
      </c>
      <c r="F130" s="787">
        <f>(U130*KFC!$B$34+KFC!$C$34)*KFC!$C$5</f>
        <v>150.31478033423076</v>
      </c>
      <c r="G130" s="787">
        <f>(V130*KFC!$B$34+KFC!$C$34)*KFC!$C$5</f>
        <v>167.06882925230769</v>
      </c>
      <c r="H130" s="787">
        <f>(W130*KFC!$B$34+KFC!$C$34)*KFC!$C$5</f>
        <v>183.8228781703846</v>
      </c>
      <c r="I130" s="787">
        <f>(X130*KFC!$B$34+KFC!$C$34)*KFC!$C$5</f>
        <v>200.5769270884615</v>
      </c>
      <c r="J130" s="787">
        <f>(Y130*KFC!$B$34+KFC!$C$34)*KFC!$C$5</f>
        <v>217.33097600653841</v>
      </c>
      <c r="K130" s="787">
        <f>(Z130*KFC!$B$34+KFC!$C$34)*KFC!$C$5</f>
        <v>234.08502492461531</v>
      </c>
      <c r="L130" s="787">
        <f>(AA130*KFC!$B$34+KFC!$C$34)*KFC!$C$5</f>
        <v>250.83907384269222</v>
      </c>
      <c r="M130" s="787">
        <f>(AB130*KFC!$B$34+KFC!$C$34)*KFC!$C$5</f>
        <v>267.59312276076912</v>
      </c>
      <c r="N130" s="787">
        <f>(AC130*KFC!$B$34+KFC!$C$34)*KFC!$C$5</f>
        <v>284.347171678846</v>
      </c>
      <c r="O130" s="787">
        <f>(AD130*KFC!$B$34+KFC!$C$34)*KFC!$C$5</f>
        <v>301.10122059692293</v>
      </c>
      <c r="P130" s="788">
        <f>(AE130*KFC!$B$34+KFC!$C$34)*KFC!$C$5</f>
        <v>317.85526951499997</v>
      </c>
      <c r="R130" s="248">
        <v>100.05263358000001</v>
      </c>
      <c r="S130" s="196">
        <v>116.80668249807692</v>
      </c>
      <c r="T130" s="196">
        <v>133.56073141615386</v>
      </c>
      <c r="U130" s="196">
        <v>150.31478033423076</v>
      </c>
      <c r="V130" s="196">
        <v>167.06882925230769</v>
      </c>
      <c r="W130" s="196">
        <v>183.8228781703846</v>
      </c>
      <c r="X130" s="196">
        <v>200.5769270884615</v>
      </c>
      <c r="Y130" s="196">
        <v>217.33097600653841</v>
      </c>
      <c r="Z130" s="196">
        <v>234.08502492461531</v>
      </c>
      <c r="AA130" s="196">
        <v>250.83907384269222</v>
      </c>
      <c r="AB130" s="196">
        <v>267.59312276076912</v>
      </c>
      <c r="AC130" s="196">
        <v>284.347171678846</v>
      </c>
      <c r="AD130" s="196">
        <v>301.10122059692293</v>
      </c>
      <c r="AE130" s="197">
        <v>317.85526951499997</v>
      </c>
    </row>
    <row r="131" spans="1:53">
      <c r="A131" s="462"/>
      <c r="B131" s="462"/>
      <c r="C131" s="462"/>
      <c r="D131" s="462"/>
      <c r="E131" s="462"/>
      <c r="F131" s="462"/>
      <c r="G131" s="462"/>
      <c r="H131" s="462"/>
      <c r="I131" s="462"/>
      <c r="J131" s="462"/>
      <c r="K131" s="462"/>
      <c r="L131" s="462"/>
      <c r="M131" s="462"/>
      <c r="N131" s="462"/>
      <c r="O131" s="462"/>
      <c r="P131" s="462"/>
    </row>
    <row r="132" spans="1:53" s="462" customFormat="1">
      <c r="A132" s="185" t="s">
        <v>303</v>
      </c>
      <c r="B132" s="672"/>
      <c r="C132" s="673"/>
      <c r="D132" s="673"/>
      <c r="E132" s="673"/>
      <c r="F132" s="673"/>
      <c r="G132" s="673"/>
      <c r="H132" s="673"/>
      <c r="I132" s="673"/>
      <c r="J132" s="673"/>
      <c r="K132" s="673"/>
      <c r="L132" s="673"/>
      <c r="M132" s="673"/>
      <c r="N132" s="673"/>
      <c r="O132" s="673"/>
      <c r="P132" s="673"/>
      <c r="Q132" s="811"/>
      <c r="R132" s="811"/>
      <c r="S132" s="811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</row>
    <row r="133" spans="1:53" s="462" customFormat="1">
      <c r="A133" s="500" t="s">
        <v>1132</v>
      </c>
      <c r="B133" s="672"/>
      <c r="C133" s="673"/>
      <c r="D133" s="673"/>
      <c r="E133" s="673"/>
      <c r="F133" s="673"/>
      <c r="G133" s="673"/>
      <c r="H133" s="673"/>
      <c r="I133" s="673"/>
      <c r="J133" s="673"/>
      <c r="K133" s="673"/>
      <c r="L133" s="673"/>
      <c r="M133" s="673"/>
      <c r="N133" s="673"/>
      <c r="O133" s="673"/>
      <c r="P133" s="673"/>
      <c r="Q133" s="811"/>
      <c r="R133" s="811"/>
      <c r="S133" s="811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</row>
    <row r="134" spans="1:53" s="462" customFormat="1">
      <c r="A134" s="500"/>
      <c r="B134" s="672"/>
      <c r="C134" s="673"/>
      <c r="D134" s="673"/>
      <c r="E134" s="673"/>
      <c r="F134" s="673"/>
      <c r="G134" s="673"/>
      <c r="H134" s="673"/>
      <c r="I134" s="673"/>
      <c r="J134" s="673"/>
      <c r="K134" s="673"/>
      <c r="L134" s="673"/>
      <c r="M134" s="673"/>
      <c r="N134" s="673"/>
      <c r="O134" s="673"/>
      <c r="P134" s="673"/>
      <c r="Q134" s="811"/>
      <c r="R134" s="811"/>
      <c r="S134" s="811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</row>
    <row r="135" spans="1:53" s="462" customFormat="1" ht="26.4" customHeight="1">
      <c r="A135" s="1927" t="s">
        <v>1129</v>
      </c>
      <c r="B135" s="1927"/>
      <c r="C135" s="1927"/>
      <c r="D135" s="1927"/>
      <c r="E135" s="1927"/>
      <c r="F135" s="1927"/>
      <c r="G135" s="1927"/>
      <c r="H135" s="1927"/>
      <c r="I135" s="1927"/>
      <c r="J135" s="1927"/>
      <c r="K135" s="1927"/>
      <c r="L135" s="1927"/>
      <c r="M135" s="1927"/>
      <c r="N135" s="1927"/>
      <c r="O135" s="1927"/>
      <c r="P135" s="1927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</row>
    <row r="136" spans="1:53" s="462" customFormat="1" ht="27" customHeight="1" thickBot="1">
      <c r="A136" s="1283" t="s">
        <v>1133</v>
      </c>
      <c r="B136" s="1283"/>
      <c r="C136" s="1283"/>
      <c r="D136" s="1283"/>
      <c r="E136" s="1283"/>
      <c r="F136" s="1283"/>
      <c r="G136" s="1283"/>
      <c r="H136" s="1283"/>
      <c r="I136" s="1283"/>
      <c r="J136" s="1283"/>
      <c r="K136" s="1283"/>
      <c r="L136" s="1283"/>
      <c r="M136" s="1283"/>
      <c r="N136" s="1283"/>
      <c r="O136" s="1283"/>
      <c r="P136" s="1283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</row>
    <row r="137" spans="1:53" s="462" customFormat="1" ht="15.75" customHeight="1" thickBot="1">
      <c r="A137" s="1567" t="s">
        <v>764</v>
      </c>
      <c r="B137" s="1567"/>
      <c r="C137" s="1567"/>
      <c r="D137" s="1926"/>
      <c r="E137" s="813">
        <f>(2.24*KFC!$B$34+KFC!$C$34)*KFC!$C$5</f>
        <v>2.2400000000000002</v>
      </c>
      <c r="F137" s="1283" t="s">
        <v>773</v>
      </c>
      <c r="G137" s="1283"/>
      <c r="H137" s="1283"/>
      <c r="I137" s="1283"/>
      <c r="J137" s="813">
        <f>(3.55*KFC!$B$34+KFC!$C$34)*KFC!$C$5</f>
        <v>3.55</v>
      </c>
      <c r="K137" s="1283" t="s">
        <v>774</v>
      </c>
      <c r="L137" s="1283"/>
      <c r="M137" s="1283"/>
      <c r="N137" s="1283"/>
      <c r="O137" s="678"/>
      <c r="P137" s="678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</row>
    <row r="138" spans="1:53">
      <c r="A138" s="462"/>
      <c r="B138" s="462"/>
      <c r="C138" s="462"/>
      <c r="D138" s="462"/>
      <c r="E138" s="462"/>
      <c r="F138" s="462"/>
      <c r="G138" s="462"/>
      <c r="H138" s="462"/>
      <c r="I138" s="462"/>
      <c r="J138" s="462"/>
      <c r="K138" s="462"/>
      <c r="L138" s="462"/>
      <c r="M138" s="462"/>
      <c r="N138" s="462"/>
      <c r="O138" s="462"/>
      <c r="P138" s="462"/>
    </row>
    <row r="140" spans="1:53">
      <c r="F140" s="812"/>
      <c r="J140" s="812"/>
    </row>
  </sheetData>
  <mergeCells count="25">
    <mergeCell ref="A2:P2"/>
    <mergeCell ref="A4:P4"/>
    <mergeCell ref="A41:A68"/>
    <mergeCell ref="A70:B71"/>
    <mergeCell ref="C70:P70"/>
    <mergeCell ref="A8:B9"/>
    <mergeCell ref="C8:P8"/>
    <mergeCell ref="A10:A37"/>
    <mergeCell ref="A39:B40"/>
    <mergeCell ref="C39:P39"/>
    <mergeCell ref="A6:D6"/>
    <mergeCell ref="E6:P6"/>
    <mergeCell ref="A7:D7"/>
    <mergeCell ref="E7:P7"/>
    <mergeCell ref="A3:P3"/>
    <mergeCell ref="A136:P136"/>
    <mergeCell ref="A137:D137"/>
    <mergeCell ref="F137:I137"/>
    <mergeCell ref="K137:N137"/>
    <mergeCell ref="A5:P5"/>
    <mergeCell ref="A135:P135"/>
    <mergeCell ref="A103:A130"/>
    <mergeCell ref="A72:A99"/>
    <mergeCell ref="A101:B102"/>
    <mergeCell ref="C101:P101"/>
  </mergeCells>
  <hyperlinks>
    <hyperlink ref="E7" r:id="rId1" display="https://gamma-i.ru/catalog/complects/tkan-kombo/" xr:uid="{98DE029E-66BC-456B-B5E9-8F58D51F7136}"/>
    <hyperlink ref="E6:P6" r:id="rId2" display="Комбо Кватро Классик" xr:uid="{83812490-6F7E-4947-B6AF-13F548AAA88C}"/>
    <hyperlink ref="E7:P7" r:id="rId3" display="Ткань Комбо" xr:uid="{C546BB1A-2BC5-4062-BCDF-25C29AF25439}"/>
  </hyperlinks>
  <pageMargins left="0.7" right="0.7" top="0.75" bottom="0.75" header="0.3" footer="0.3"/>
  <pageSetup paperSize="256" scale="56" orientation="portrait" horizontalDpi="203" verticalDpi="203" r:id="rId4"/>
  <rowBreaks count="1" manualBreakCount="1">
    <brk id="99" max="15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BBE2BA-0AAB-472E-B119-BBF8DAF271E6}">
  <sheetPr>
    <tabColor theme="8" tint="0.59999389629810485"/>
  </sheetPr>
  <dimension ref="A1:BA270"/>
  <sheetViews>
    <sheetView zoomScale="80" zoomScaleNormal="80" workbookViewId="0">
      <selection sqref="A1:IV5"/>
    </sheetView>
  </sheetViews>
  <sheetFormatPr defaultRowHeight="13.2"/>
  <cols>
    <col min="28" max="53" width="0" hidden="1" customWidth="1"/>
  </cols>
  <sheetData>
    <row r="1" spans="1:53">
      <c r="A1" s="58"/>
      <c r="B1" s="1"/>
      <c r="C1" s="1600"/>
      <c r="D1" s="1600"/>
      <c r="E1" s="296"/>
      <c r="F1" s="166"/>
      <c r="G1" s="166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</row>
    <row r="2" spans="1:53" ht="15.6">
      <c r="A2" s="1222" t="s">
        <v>1126</v>
      </c>
      <c r="B2" s="1222"/>
      <c r="C2" s="1222"/>
      <c r="D2" s="1222"/>
      <c r="E2" s="1222"/>
      <c r="F2" s="1222"/>
      <c r="G2" s="1222"/>
      <c r="H2" s="1222"/>
      <c r="I2" s="1222"/>
      <c r="J2" s="1222"/>
      <c r="K2" s="1222"/>
      <c r="L2" s="1222"/>
      <c r="M2" s="1222"/>
      <c r="N2" s="1222"/>
      <c r="O2" s="1222"/>
      <c r="P2" s="1222"/>
      <c r="Q2" s="1222"/>
      <c r="R2" s="1222"/>
      <c r="S2" s="1222"/>
      <c r="T2" s="1222"/>
      <c r="U2" s="1222"/>
      <c r="V2" s="1222"/>
      <c r="W2" s="1222"/>
      <c r="X2" s="1222"/>
      <c r="Y2" s="1222"/>
      <c r="Z2" s="1222"/>
    </row>
    <row r="3" spans="1:53">
      <c r="A3" s="1944" t="s">
        <v>1131</v>
      </c>
      <c r="B3" s="1944"/>
      <c r="C3" s="1944"/>
      <c r="D3" s="1944"/>
      <c r="E3" s="1944"/>
      <c r="F3" s="1944"/>
      <c r="G3" s="1944"/>
      <c r="H3" s="1944"/>
      <c r="I3" s="1944"/>
      <c r="J3" s="1944"/>
      <c r="K3" s="1944"/>
      <c r="L3" s="1944"/>
      <c r="M3" s="1944"/>
      <c r="N3" s="1944"/>
      <c r="O3" s="1944"/>
      <c r="P3" s="1944"/>
      <c r="Q3" s="1944"/>
      <c r="R3" s="1944"/>
      <c r="S3" s="1944"/>
      <c r="T3" s="1944"/>
      <c r="U3" s="1944"/>
      <c r="V3" s="1944"/>
      <c r="W3" s="1944"/>
      <c r="X3" s="1944"/>
      <c r="Y3" s="1944"/>
      <c r="Z3" s="1944"/>
    </row>
    <row r="4" spans="1:53">
      <c r="A4" s="1944" t="s">
        <v>1017</v>
      </c>
      <c r="B4" s="1944"/>
      <c r="C4" s="1944"/>
      <c r="D4" s="1944"/>
      <c r="E4" s="1944"/>
      <c r="F4" s="1944"/>
      <c r="G4" s="1944"/>
      <c r="H4" s="1944"/>
      <c r="I4" s="1944"/>
      <c r="J4" s="1944"/>
      <c r="K4" s="1944"/>
      <c r="L4" s="1944"/>
      <c r="M4" s="1944"/>
      <c r="N4" s="1944"/>
      <c r="O4" s="1944"/>
      <c r="P4" s="1944"/>
      <c r="Q4" s="1944"/>
      <c r="R4" s="1944"/>
      <c r="S4" s="1944"/>
      <c r="T4" s="1944"/>
      <c r="U4" s="1944"/>
      <c r="V4" s="1944"/>
      <c r="W4" s="1944"/>
      <c r="X4" s="1944"/>
      <c r="Y4" s="1944"/>
      <c r="Z4" s="1944"/>
    </row>
    <row r="5" spans="1:53">
      <c r="A5" s="1944" t="s">
        <v>1137</v>
      </c>
      <c r="B5" s="1944"/>
      <c r="C5" s="1944"/>
      <c r="D5" s="1944"/>
      <c r="E5" s="1944"/>
      <c r="F5" s="1944"/>
      <c r="G5" s="1944"/>
      <c r="H5" s="1944"/>
      <c r="I5" s="1944"/>
      <c r="J5" s="1944"/>
      <c r="K5" s="1944"/>
      <c r="L5" s="1944"/>
      <c r="M5" s="1944"/>
      <c r="N5" s="1944"/>
      <c r="O5" s="1944"/>
      <c r="P5" s="1944"/>
      <c r="Q5" s="1944"/>
      <c r="R5" s="1944"/>
      <c r="S5" s="1944"/>
      <c r="T5" s="1944"/>
      <c r="U5" s="1944"/>
      <c r="V5" s="1944"/>
      <c r="W5" s="1944"/>
      <c r="X5" s="1944"/>
      <c r="Y5" s="1944"/>
      <c r="Z5" s="1944"/>
    </row>
    <row r="6" spans="1:53">
      <c r="A6" s="1089" t="s">
        <v>593</v>
      </c>
      <c r="B6" s="1089"/>
      <c r="C6" s="1089"/>
      <c r="D6" s="1089"/>
      <c r="E6" s="1089"/>
      <c r="F6" s="1089"/>
      <c r="G6" s="1406" t="s">
        <v>1141</v>
      </c>
      <c r="H6" s="1406"/>
      <c r="I6" s="1406"/>
      <c r="J6" s="1406"/>
      <c r="K6" s="1406"/>
      <c r="L6" s="1406"/>
      <c r="M6" s="1406"/>
      <c r="N6" s="1406"/>
      <c r="O6" s="1406"/>
      <c r="P6" s="1406"/>
      <c r="Q6" s="1406"/>
      <c r="R6" s="1406"/>
      <c r="S6" s="1406"/>
      <c r="T6" s="1406"/>
      <c r="U6" s="1406"/>
      <c r="V6" s="1406"/>
      <c r="W6" s="1406"/>
      <c r="X6" s="1406"/>
      <c r="Y6" s="1406"/>
      <c r="Z6" s="1406"/>
    </row>
    <row r="7" spans="1:53">
      <c r="A7" s="1089" t="s">
        <v>611</v>
      </c>
      <c r="B7" s="1089"/>
      <c r="C7" s="1089"/>
      <c r="D7" s="1089"/>
      <c r="E7" s="1089"/>
      <c r="F7" s="1089"/>
      <c r="G7" s="1406" t="s">
        <v>1140</v>
      </c>
      <c r="H7" s="1406"/>
      <c r="I7" s="1406"/>
      <c r="J7" s="1406"/>
      <c r="K7" s="1406"/>
      <c r="L7" s="1406"/>
      <c r="M7" s="1406"/>
      <c r="N7" s="1406"/>
      <c r="O7" s="1406"/>
      <c r="P7" s="1406"/>
      <c r="Q7" s="1406"/>
      <c r="R7" s="1406"/>
      <c r="S7" s="1406"/>
      <c r="T7" s="1406"/>
      <c r="U7" s="1406"/>
      <c r="V7" s="1406"/>
      <c r="W7" s="1406"/>
      <c r="X7" s="1406"/>
      <c r="Y7" s="1406"/>
      <c r="Z7" s="1406"/>
    </row>
    <row r="8" spans="1:53" ht="13.8" thickBot="1"/>
    <row r="9" spans="1:53" ht="13.8" thickBot="1">
      <c r="A9" s="1413" t="s">
        <v>314</v>
      </c>
      <c r="B9" s="1414"/>
      <c r="C9" s="1914" t="s">
        <v>207</v>
      </c>
      <c r="D9" s="1915"/>
      <c r="E9" s="1915"/>
      <c r="F9" s="1915"/>
      <c r="G9" s="1915"/>
      <c r="H9" s="1915"/>
      <c r="I9" s="1915"/>
      <c r="J9" s="1915"/>
      <c r="K9" s="1915"/>
      <c r="L9" s="1915"/>
      <c r="M9" s="1915"/>
      <c r="N9" s="1915"/>
      <c r="O9" s="1915"/>
      <c r="P9" s="1915"/>
      <c r="Q9" s="1915"/>
      <c r="R9" s="1915"/>
      <c r="S9" s="1915"/>
      <c r="T9" s="1915"/>
      <c r="U9" s="1915"/>
      <c r="V9" s="1915"/>
      <c r="W9" s="1915"/>
      <c r="X9" s="1915"/>
      <c r="Y9" s="1915"/>
      <c r="Z9" s="1945"/>
      <c r="AB9" s="1413" t="s">
        <v>314</v>
      </c>
      <c r="AC9" s="1414"/>
      <c r="AD9" s="1914" t="s">
        <v>207</v>
      </c>
      <c r="AE9" s="1915"/>
      <c r="AF9" s="1915"/>
      <c r="AG9" s="1915"/>
      <c r="AH9" s="1915"/>
      <c r="AI9" s="1915"/>
      <c r="AJ9" s="1915"/>
      <c r="AK9" s="1915"/>
      <c r="AL9" s="1915"/>
      <c r="AM9" s="1915"/>
      <c r="AN9" s="1915"/>
      <c r="AO9" s="1915"/>
      <c r="AP9" s="1915"/>
      <c r="AQ9" s="1915"/>
      <c r="AR9" s="1915"/>
      <c r="AS9" s="1915"/>
      <c r="AT9" s="1915"/>
      <c r="AU9" s="1915"/>
      <c r="AV9" s="1915"/>
      <c r="AW9" s="1915"/>
      <c r="AX9" s="1915"/>
      <c r="AY9" s="1915"/>
      <c r="AZ9" s="1915"/>
      <c r="BA9" s="1915"/>
    </row>
    <row r="10" spans="1:53" ht="13.8" thickBot="1">
      <c r="A10" s="1803"/>
      <c r="B10" s="1910"/>
      <c r="C10" s="792">
        <v>0.4</v>
      </c>
      <c r="D10" s="793">
        <v>0.5</v>
      </c>
      <c r="E10" s="793">
        <v>0.6</v>
      </c>
      <c r="F10" s="793">
        <v>0.7</v>
      </c>
      <c r="G10" s="793">
        <v>0.8</v>
      </c>
      <c r="H10" s="793">
        <v>0.9</v>
      </c>
      <c r="I10" s="793">
        <v>1</v>
      </c>
      <c r="J10" s="793">
        <v>1.1000000000000001</v>
      </c>
      <c r="K10" s="793">
        <v>1.2</v>
      </c>
      <c r="L10" s="793">
        <v>1.3</v>
      </c>
      <c r="M10" s="793">
        <v>1.4</v>
      </c>
      <c r="N10" s="793">
        <v>1.5</v>
      </c>
      <c r="O10" s="793">
        <v>1.6</v>
      </c>
      <c r="P10" s="793">
        <v>1.7</v>
      </c>
      <c r="Q10" s="793">
        <v>1.8</v>
      </c>
      <c r="R10" s="793">
        <v>1.9</v>
      </c>
      <c r="S10" s="793">
        <v>2</v>
      </c>
      <c r="T10" s="793">
        <v>2.1</v>
      </c>
      <c r="U10" s="793">
        <v>2.2000000000000002</v>
      </c>
      <c r="V10" s="793">
        <v>2.2999999999999998</v>
      </c>
      <c r="W10" s="793">
        <v>2.4</v>
      </c>
      <c r="X10" s="793">
        <v>2.5</v>
      </c>
      <c r="Y10" s="793">
        <v>2.6</v>
      </c>
      <c r="Z10" s="794">
        <v>2.65</v>
      </c>
      <c r="AB10" s="1803"/>
      <c r="AC10" s="1910"/>
      <c r="AD10" s="792">
        <v>0.4</v>
      </c>
      <c r="AE10" s="793">
        <v>0.5</v>
      </c>
      <c r="AF10" s="793">
        <v>0.6</v>
      </c>
      <c r="AG10" s="793">
        <v>0.7</v>
      </c>
      <c r="AH10" s="793">
        <v>0.8</v>
      </c>
      <c r="AI10" s="793">
        <v>0.9</v>
      </c>
      <c r="AJ10" s="793">
        <v>1</v>
      </c>
      <c r="AK10" s="793">
        <v>1.1000000000000001</v>
      </c>
      <c r="AL10" s="793">
        <v>1.2</v>
      </c>
      <c r="AM10" s="793">
        <v>1.3</v>
      </c>
      <c r="AN10" s="793">
        <v>1.4</v>
      </c>
      <c r="AO10" s="793">
        <v>1.5</v>
      </c>
      <c r="AP10" s="793">
        <v>1.6</v>
      </c>
      <c r="AQ10" s="793">
        <v>1.7</v>
      </c>
      <c r="AR10" s="793">
        <v>1.8</v>
      </c>
      <c r="AS10" s="793">
        <v>1.9</v>
      </c>
      <c r="AT10" s="793">
        <v>2</v>
      </c>
      <c r="AU10" s="793">
        <v>2.1</v>
      </c>
      <c r="AV10" s="793">
        <v>2.2000000000000002</v>
      </c>
      <c r="AW10" s="793">
        <v>2.2999999999999998</v>
      </c>
      <c r="AX10" s="793">
        <v>2.4</v>
      </c>
      <c r="AY10" s="793">
        <v>2.5</v>
      </c>
      <c r="AZ10" s="793">
        <v>2.6</v>
      </c>
      <c r="BA10" s="794">
        <v>2.65</v>
      </c>
    </row>
    <row r="11" spans="1:53">
      <c r="A11" s="1911" t="s">
        <v>3</v>
      </c>
      <c r="B11" s="795">
        <v>0.5</v>
      </c>
      <c r="C11" s="796">
        <f>(AD11*KFC!$B$35+KFC!$C$35)*KFC!$C$5</f>
        <v>53.052632639999999</v>
      </c>
      <c r="D11" s="796">
        <f>(AE11*KFC!$B$35+KFC!$C$35)*KFC!$C$5</f>
        <v>57.234102021875003</v>
      </c>
      <c r="E11" s="796">
        <f>(AF11*KFC!$B$35+KFC!$C$35)*KFC!$C$5</f>
        <v>61.41557140375</v>
      </c>
      <c r="F11" s="796">
        <f>(AG11*KFC!$B$35+KFC!$C$35)*KFC!$C$5</f>
        <v>65.597040785624998</v>
      </c>
      <c r="G11" s="796">
        <f>(AH11*KFC!$B$35+KFC!$C$35)*KFC!$C$5</f>
        <v>69.778510167500002</v>
      </c>
      <c r="H11" s="796">
        <f>(AI11*KFC!$B$35+KFC!$C$35)*KFC!$C$5</f>
        <v>73.959979549375007</v>
      </c>
      <c r="I11" s="796">
        <f>(AJ11*KFC!$B$35+KFC!$C$35)*KFC!$C$5</f>
        <v>78.141448931250011</v>
      </c>
      <c r="J11" s="796">
        <f>(AK11*KFC!$B$35+KFC!$C$35)*KFC!$C$5</f>
        <v>82.322918313125015</v>
      </c>
      <c r="K11" s="796">
        <f>(AL11*KFC!$B$35+KFC!$C$35)*KFC!$C$5</f>
        <v>86.504387695000005</v>
      </c>
      <c r="L11" s="796">
        <f>(AM11*KFC!$B$35+KFC!$C$35)*KFC!$C$5</f>
        <v>90.685857076874996</v>
      </c>
      <c r="M11" s="796">
        <f>(AN11*KFC!$B$35+KFC!$C$35)*KFC!$C$5</f>
        <v>94.867326458749986</v>
      </c>
      <c r="N11" s="796">
        <f>(AO11*KFC!$B$35+KFC!$C$35)*KFC!$C$5</f>
        <v>99.048795840624976</v>
      </c>
      <c r="O11" s="796">
        <f>(AP11*KFC!$B$35+KFC!$C$35)*KFC!$C$5</f>
        <v>103.23026522249998</v>
      </c>
      <c r="P11" s="796">
        <f>(AQ11*KFC!$B$35+KFC!$C$35)*KFC!$C$5</f>
        <v>107.41173460437497</v>
      </c>
      <c r="Q11" s="796">
        <f>(AR11*KFC!$B$35+KFC!$C$35)*KFC!$C$5</f>
        <v>111.59320398624996</v>
      </c>
      <c r="R11" s="796">
        <f>(AS11*KFC!$B$35+KFC!$C$35)*KFC!$C$5</f>
        <v>115.77467336812495</v>
      </c>
      <c r="S11" s="796">
        <f>(AT11*KFC!$B$35+KFC!$C$35)*KFC!$C$5</f>
        <v>119.95614274999994</v>
      </c>
      <c r="T11" s="796">
        <f>(AU11*KFC!$B$35+KFC!$C$35)*KFC!$C$5</f>
        <v>124.13761213187493</v>
      </c>
      <c r="U11" s="796">
        <f>(AV11*KFC!$B$35+KFC!$C$35)*KFC!$C$5</f>
        <v>128.31908151374992</v>
      </c>
      <c r="V11" s="796">
        <f>(AW11*KFC!$B$35+KFC!$C$35)*KFC!$C$5</f>
        <v>132.50055089562491</v>
      </c>
      <c r="W11" s="796">
        <f>(AX11*KFC!$B$35+KFC!$C$35)*KFC!$C$5</f>
        <v>136.6820202774999</v>
      </c>
      <c r="X11" s="796">
        <f>(AY11*KFC!$B$35+KFC!$C$35)*KFC!$C$5</f>
        <v>140.86348965937492</v>
      </c>
      <c r="Y11" s="796">
        <f>(AZ11*KFC!$B$35+KFC!$C$35)*KFC!$C$5</f>
        <v>145.04495904124991</v>
      </c>
      <c r="Z11" s="814">
        <f>(BA11*KFC!$B$35+KFC!$C$35)*KFC!$C$5</f>
        <v>149.2264284231249</v>
      </c>
      <c r="AB11" s="1911" t="s">
        <v>3</v>
      </c>
      <c r="AC11" s="795">
        <v>0.5</v>
      </c>
      <c r="AD11" s="796">
        <v>53.052632639999999</v>
      </c>
      <c r="AE11" s="797">
        <v>57.234102021875003</v>
      </c>
      <c r="AF11" s="797">
        <v>61.41557140375</v>
      </c>
      <c r="AG11" s="797">
        <v>65.597040785624998</v>
      </c>
      <c r="AH11" s="797">
        <v>69.778510167500002</v>
      </c>
      <c r="AI11" s="797">
        <v>73.959979549375007</v>
      </c>
      <c r="AJ11" s="797">
        <v>78.141448931250011</v>
      </c>
      <c r="AK11" s="797">
        <v>82.322918313125015</v>
      </c>
      <c r="AL11" s="797">
        <v>86.504387695000005</v>
      </c>
      <c r="AM11" s="797">
        <v>90.685857076874996</v>
      </c>
      <c r="AN11" s="797">
        <v>94.867326458749986</v>
      </c>
      <c r="AO11" s="797">
        <v>99.048795840624976</v>
      </c>
      <c r="AP11" s="797">
        <v>103.23026522249998</v>
      </c>
      <c r="AQ11" s="797">
        <v>107.41173460437497</v>
      </c>
      <c r="AR11" s="797">
        <v>111.59320398624996</v>
      </c>
      <c r="AS11" s="797">
        <v>115.77467336812495</v>
      </c>
      <c r="AT11" s="797">
        <v>119.95614274999994</v>
      </c>
      <c r="AU11" s="797">
        <v>124.13761213187493</v>
      </c>
      <c r="AV11" s="797">
        <v>128.31908151374992</v>
      </c>
      <c r="AW11" s="797">
        <v>132.50055089562491</v>
      </c>
      <c r="AX11" s="797">
        <v>136.6820202774999</v>
      </c>
      <c r="AY11" s="797">
        <v>140.86348965937492</v>
      </c>
      <c r="AZ11" s="797">
        <v>145.04495904124991</v>
      </c>
      <c r="BA11" s="798">
        <v>149.2264284231249</v>
      </c>
    </row>
    <row r="12" spans="1:53">
      <c r="A12" s="1912"/>
      <c r="B12" s="799">
        <v>0.6</v>
      </c>
      <c r="C12" s="796">
        <f>(AD12*KFC!$B$35+KFC!$C$35)*KFC!$C$5</f>
        <v>53.358271743857145</v>
      </c>
      <c r="D12" s="796">
        <f>(AE12*KFC!$B$35+KFC!$C$35)*KFC!$C$5</f>
        <v>57.616197894178569</v>
      </c>
      <c r="E12" s="796">
        <f>(AF12*KFC!$B$35+KFC!$C$35)*KFC!$C$5</f>
        <v>61.874124044499993</v>
      </c>
      <c r="F12" s="796">
        <f>(AG12*KFC!$B$35+KFC!$C$35)*KFC!$C$5</f>
        <v>66.132050194821417</v>
      </c>
      <c r="G12" s="796">
        <f>(AH12*KFC!$B$35+KFC!$C$35)*KFC!$C$5</f>
        <v>70.389976345142841</v>
      </c>
      <c r="H12" s="796">
        <f>(AI12*KFC!$B$35+KFC!$C$35)*KFC!$C$5</f>
        <v>74.647902495464265</v>
      </c>
      <c r="I12" s="796">
        <f>(AJ12*KFC!$B$35+KFC!$C$35)*KFC!$C$5</f>
        <v>78.905828645785704</v>
      </c>
      <c r="J12" s="796">
        <f>(AK12*KFC!$B$35+KFC!$C$35)*KFC!$C$5</f>
        <v>83.163754796107128</v>
      </c>
      <c r="K12" s="796">
        <f>(AL12*KFC!$B$35+KFC!$C$35)*KFC!$C$5</f>
        <v>87.421680946428552</v>
      </c>
      <c r="L12" s="796">
        <f>(AM12*KFC!$B$35+KFC!$C$35)*KFC!$C$5</f>
        <v>91.67960709674999</v>
      </c>
      <c r="M12" s="796">
        <f>(AN12*KFC!$B$35+KFC!$C$35)*KFC!$C$5</f>
        <v>95.937533247071414</v>
      </c>
      <c r="N12" s="796">
        <f>(AO12*KFC!$B$35+KFC!$C$35)*KFC!$C$5</f>
        <v>100.19545939739285</v>
      </c>
      <c r="O12" s="796">
        <f>(AP12*KFC!$B$35+KFC!$C$35)*KFC!$C$5</f>
        <v>104.45338554771429</v>
      </c>
      <c r="P12" s="796">
        <f>(AQ12*KFC!$B$35+KFC!$C$35)*KFC!$C$5</f>
        <v>108.71131169803573</v>
      </c>
      <c r="Q12" s="796">
        <f>(AR12*KFC!$B$35+KFC!$C$35)*KFC!$C$5</f>
        <v>112.96923784835715</v>
      </c>
      <c r="R12" s="796">
        <f>(AS12*KFC!$B$35+KFC!$C$35)*KFC!$C$5</f>
        <v>117.22716399867859</v>
      </c>
      <c r="S12" s="796">
        <f>(AT12*KFC!$B$35+KFC!$C$35)*KFC!$C$5</f>
        <v>121.48509014900003</v>
      </c>
      <c r="T12" s="796">
        <f>(AU12*KFC!$B$35+KFC!$C$35)*KFC!$C$5</f>
        <v>125.74301629932147</v>
      </c>
      <c r="U12" s="796">
        <f>(AV12*KFC!$B$35+KFC!$C$35)*KFC!$C$5</f>
        <v>130.00094244964291</v>
      </c>
      <c r="V12" s="796">
        <f>(AW12*KFC!$B$35+KFC!$C$35)*KFC!$C$5</f>
        <v>134.25886859996433</v>
      </c>
      <c r="W12" s="796">
        <f>(AX12*KFC!$B$35+KFC!$C$35)*KFC!$C$5</f>
        <v>138.51679475028575</v>
      </c>
      <c r="X12" s="796">
        <f>(AY12*KFC!$B$35+KFC!$C$35)*KFC!$C$5</f>
        <v>142.77472090060721</v>
      </c>
      <c r="Y12" s="796">
        <f>(AZ12*KFC!$B$35+KFC!$C$35)*KFC!$C$5</f>
        <v>147.03264705092863</v>
      </c>
      <c r="Z12" s="814">
        <f>(BA12*KFC!$B$35+KFC!$C$35)*KFC!$C$5</f>
        <v>151.29057320125008</v>
      </c>
      <c r="AB12" s="1912"/>
      <c r="AC12" s="799">
        <v>0.6</v>
      </c>
      <c r="AD12" s="796">
        <v>53.358271743857145</v>
      </c>
      <c r="AE12" s="797">
        <v>57.616197894178569</v>
      </c>
      <c r="AF12" s="797">
        <v>61.874124044499993</v>
      </c>
      <c r="AG12" s="797">
        <v>66.132050194821417</v>
      </c>
      <c r="AH12" s="797">
        <v>70.389976345142841</v>
      </c>
      <c r="AI12" s="797">
        <v>74.647902495464265</v>
      </c>
      <c r="AJ12" s="797">
        <v>78.905828645785704</v>
      </c>
      <c r="AK12" s="797">
        <v>83.163754796107128</v>
      </c>
      <c r="AL12" s="797">
        <v>87.421680946428552</v>
      </c>
      <c r="AM12" s="797">
        <v>91.67960709674999</v>
      </c>
      <c r="AN12" s="797">
        <v>95.937533247071414</v>
      </c>
      <c r="AO12" s="797">
        <v>100.19545939739285</v>
      </c>
      <c r="AP12" s="797">
        <v>104.45338554771429</v>
      </c>
      <c r="AQ12" s="797">
        <v>108.71131169803573</v>
      </c>
      <c r="AR12" s="797">
        <v>112.96923784835715</v>
      </c>
      <c r="AS12" s="797">
        <v>117.22716399867859</v>
      </c>
      <c r="AT12" s="797">
        <v>121.48509014900003</v>
      </c>
      <c r="AU12" s="797">
        <v>125.74301629932147</v>
      </c>
      <c r="AV12" s="797">
        <v>130.00094244964291</v>
      </c>
      <c r="AW12" s="797">
        <v>134.25886859996433</v>
      </c>
      <c r="AX12" s="797">
        <v>138.51679475028575</v>
      </c>
      <c r="AY12" s="797">
        <v>142.77472090060721</v>
      </c>
      <c r="AZ12" s="797">
        <v>147.03264705092863</v>
      </c>
      <c r="BA12" s="798">
        <v>151.29057320125008</v>
      </c>
    </row>
    <row r="13" spans="1:53">
      <c r="A13" s="1912"/>
      <c r="B13" s="799">
        <v>0.7</v>
      </c>
      <c r="C13" s="796">
        <f>(AD13*KFC!$B$35+KFC!$C$35)*KFC!$C$5</f>
        <v>53.663910847714291</v>
      </c>
      <c r="D13" s="796">
        <f>(AE13*KFC!$B$35+KFC!$C$35)*KFC!$C$5</f>
        <v>57.998293766482149</v>
      </c>
      <c r="E13" s="796">
        <f>(AF13*KFC!$B$35+KFC!$C$35)*KFC!$C$5</f>
        <v>62.332676685250007</v>
      </c>
      <c r="F13" s="796">
        <f>(AG13*KFC!$B$35+KFC!$C$35)*KFC!$C$5</f>
        <v>66.667059604017865</v>
      </c>
      <c r="G13" s="796">
        <f>(AH13*KFC!$B$35+KFC!$C$35)*KFC!$C$5</f>
        <v>71.001442522785723</v>
      </c>
      <c r="H13" s="796">
        <f>(AI13*KFC!$B$35+KFC!$C$35)*KFC!$C$5</f>
        <v>75.335825441553581</v>
      </c>
      <c r="I13" s="796">
        <f>(AJ13*KFC!$B$35+KFC!$C$35)*KFC!$C$5</f>
        <v>79.670208360321439</v>
      </c>
      <c r="J13" s="796">
        <f>(AK13*KFC!$B$35+KFC!$C$35)*KFC!$C$5</f>
        <v>84.004591279089297</v>
      </c>
      <c r="K13" s="796">
        <f>(AL13*KFC!$B$35+KFC!$C$35)*KFC!$C$5</f>
        <v>88.338974197857155</v>
      </c>
      <c r="L13" s="796">
        <f>(AM13*KFC!$B$35+KFC!$C$35)*KFC!$C$5</f>
        <v>92.673357116625013</v>
      </c>
      <c r="M13" s="796">
        <f>(AN13*KFC!$B$35+KFC!$C$35)*KFC!$C$5</f>
        <v>97.007740035392871</v>
      </c>
      <c r="N13" s="796">
        <f>(AO13*KFC!$B$35+KFC!$C$35)*KFC!$C$5</f>
        <v>101.34212295416073</v>
      </c>
      <c r="O13" s="796">
        <f>(AP13*KFC!$B$35+KFC!$C$35)*KFC!$C$5</f>
        <v>105.67650587292859</v>
      </c>
      <c r="P13" s="796">
        <f>(AQ13*KFC!$B$35+KFC!$C$35)*KFC!$C$5</f>
        <v>110.01088879169644</v>
      </c>
      <c r="Q13" s="796">
        <f>(AR13*KFC!$B$35+KFC!$C$35)*KFC!$C$5</f>
        <v>114.3452717104643</v>
      </c>
      <c r="R13" s="796">
        <f>(AS13*KFC!$B$35+KFC!$C$35)*KFC!$C$5</f>
        <v>118.67965462923216</v>
      </c>
      <c r="S13" s="796">
        <f>(AT13*KFC!$B$35+KFC!$C$35)*KFC!$C$5</f>
        <v>123.01403754800002</v>
      </c>
      <c r="T13" s="796">
        <f>(AU13*KFC!$B$35+KFC!$C$35)*KFC!$C$5</f>
        <v>127.34842046676788</v>
      </c>
      <c r="U13" s="796">
        <f>(AV13*KFC!$B$35+KFC!$C$35)*KFC!$C$5</f>
        <v>131.68280338553572</v>
      </c>
      <c r="V13" s="796">
        <f>(AW13*KFC!$B$35+KFC!$C$35)*KFC!$C$5</f>
        <v>136.01718630430361</v>
      </c>
      <c r="W13" s="796">
        <f>(AX13*KFC!$B$35+KFC!$C$35)*KFC!$C$5</f>
        <v>140.35156922307146</v>
      </c>
      <c r="X13" s="796">
        <f>(AY13*KFC!$B$35+KFC!$C$35)*KFC!$C$5</f>
        <v>144.68595214183932</v>
      </c>
      <c r="Y13" s="796">
        <f>(AZ13*KFC!$B$35+KFC!$C$35)*KFC!$C$5</f>
        <v>149.02033506060718</v>
      </c>
      <c r="Z13" s="814">
        <f>(BA13*KFC!$B$35+KFC!$C$35)*KFC!$C$5</f>
        <v>153.35471797937504</v>
      </c>
      <c r="AB13" s="1912"/>
      <c r="AC13" s="799">
        <v>0.7</v>
      </c>
      <c r="AD13" s="796">
        <v>53.663910847714291</v>
      </c>
      <c r="AE13" s="797">
        <v>57.998293766482149</v>
      </c>
      <c r="AF13" s="797">
        <v>62.332676685250007</v>
      </c>
      <c r="AG13" s="797">
        <v>66.667059604017865</v>
      </c>
      <c r="AH13" s="797">
        <v>71.001442522785723</v>
      </c>
      <c r="AI13" s="797">
        <v>75.335825441553581</v>
      </c>
      <c r="AJ13" s="797">
        <v>79.670208360321439</v>
      </c>
      <c r="AK13" s="797">
        <v>84.004591279089297</v>
      </c>
      <c r="AL13" s="797">
        <v>88.338974197857155</v>
      </c>
      <c r="AM13" s="797">
        <v>92.673357116625013</v>
      </c>
      <c r="AN13" s="797">
        <v>97.007740035392871</v>
      </c>
      <c r="AO13" s="797">
        <v>101.34212295416073</v>
      </c>
      <c r="AP13" s="797">
        <v>105.67650587292859</v>
      </c>
      <c r="AQ13" s="797">
        <v>110.01088879169644</v>
      </c>
      <c r="AR13" s="797">
        <v>114.3452717104643</v>
      </c>
      <c r="AS13" s="797">
        <v>118.67965462923216</v>
      </c>
      <c r="AT13" s="797">
        <v>123.01403754800002</v>
      </c>
      <c r="AU13" s="797">
        <v>127.34842046676788</v>
      </c>
      <c r="AV13" s="797">
        <v>131.68280338553572</v>
      </c>
      <c r="AW13" s="797">
        <v>136.01718630430361</v>
      </c>
      <c r="AX13" s="797">
        <v>140.35156922307146</v>
      </c>
      <c r="AY13" s="797">
        <v>144.68595214183932</v>
      </c>
      <c r="AZ13" s="797">
        <v>149.02033506060718</v>
      </c>
      <c r="BA13" s="798">
        <v>153.35471797937504</v>
      </c>
    </row>
    <row r="14" spans="1:53">
      <c r="A14" s="1912"/>
      <c r="B14" s="799">
        <v>0.8</v>
      </c>
      <c r="C14" s="796">
        <f>(AD14*KFC!$B$35+KFC!$C$35)*KFC!$C$5</f>
        <v>53.96954995157143</v>
      </c>
      <c r="D14" s="796">
        <f>(AE14*KFC!$B$35+KFC!$C$35)*KFC!$C$5</f>
        <v>58.380389638785715</v>
      </c>
      <c r="E14" s="796">
        <f>(AF14*KFC!$B$35+KFC!$C$35)*KFC!$C$5</f>
        <v>62.791229326</v>
      </c>
      <c r="F14" s="796">
        <f>(AG14*KFC!$B$35+KFC!$C$35)*KFC!$C$5</f>
        <v>67.202069013214285</v>
      </c>
      <c r="G14" s="796">
        <f>(AH14*KFC!$B$35+KFC!$C$35)*KFC!$C$5</f>
        <v>71.612908700428562</v>
      </c>
      <c r="H14" s="796">
        <f>(AI14*KFC!$B$35+KFC!$C$35)*KFC!$C$5</f>
        <v>76.02374838764284</v>
      </c>
      <c r="I14" s="796">
        <f>(AJ14*KFC!$B$35+KFC!$C$35)*KFC!$C$5</f>
        <v>80.434588074857132</v>
      </c>
      <c r="J14" s="796">
        <f>(AK14*KFC!$B$35+KFC!$C$35)*KFC!$C$5</f>
        <v>84.845427762071409</v>
      </c>
      <c r="K14" s="796">
        <f>(AL14*KFC!$B$35+KFC!$C$35)*KFC!$C$5</f>
        <v>89.256267449285687</v>
      </c>
      <c r="L14" s="796">
        <f>(AM14*KFC!$B$35+KFC!$C$35)*KFC!$C$5</f>
        <v>93.667107136499979</v>
      </c>
      <c r="M14" s="796">
        <f>(AN14*KFC!$B$35+KFC!$C$35)*KFC!$C$5</f>
        <v>98.077946823714257</v>
      </c>
      <c r="N14" s="796">
        <f>(AO14*KFC!$B$35+KFC!$C$35)*KFC!$C$5</f>
        <v>102.48878651092853</v>
      </c>
      <c r="O14" s="796">
        <f>(AP14*KFC!$B$35+KFC!$C$35)*KFC!$C$5</f>
        <v>106.89962619814283</v>
      </c>
      <c r="P14" s="796">
        <f>(AQ14*KFC!$B$35+KFC!$C$35)*KFC!$C$5</f>
        <v>111.3104658853571</v>
      </c>
      <c r="Q14" s="796">
        <f>(AR14*KFC!$B$35+KFC!$C$35)*KFC!$C$5</f>
        <v>115.72130557257138</v>
      </c>
      <c r="R14" s="796">
        <f>(AS14*KFC!$B$35+KFC!$C$35)*KFC!$C$5</f>
        <v>120.13214525978567</v>
      </c>
      <c r="S14" s="796">
        <f>(AT14*KFC!$B$35+KFC!$C$35)*KFC!$C$5</f>
        <v>124.54298494699995</v>
      </c>
      <c r="T14" s="796">
        <f>(AU14*KFC!$B$35+KFC!$C$35)*KFC!$C$5</f>
        <v>128.95382463421424</v>
      </c>
      <c r="U14" s="796">
        <f>(AV14*KFC!$B$35+KFC!$C$35)*KFC!$C$5</f>
        <v>133.36466432142851</v>
      </c>
      <c r="V14" s="796">
        <f>(AW14*KFC!$B$35+KFC!$C$35)*KFC!$C$5</f>
        <v>137.7755040086428</v>
      </c>
      <c r="W14" s="796">
        <f>(AX14*KFC!$B$35+KFC!$C$35)*KFC!$C$5</f>
        <v>142.18634369585709</v>
      </c>
      <c r="X14" s="796">
        <f>(AY14*KFC!$B$35+KFC!$C$35)*KFC!$C$5</f>
        <v>146.59718338307135</v>
      </c>
      <c r="Y14" s="796">
        <f>(AZ14*KFC!$B$35+KFC!$C$35)*KFC!$C$5</f>
        <v>151.00802307028565</v>
      </c>
      <c r="Z14" s="814">
        <f>(BA14*KFC!$B$35+KFC!$C$35)*KFC!$C$5</f>
        <v>155.41886275749994</v>
      </c>
      <c r="AB14" s="1912"/>
      <c r="AC14" s="799">
        <v>0.8</v>
      </c>
      <c r="AD14" s="796">
        <v>53.96954995157143</v>
      </c>
      <c r="AE14" s="797">
        <v>58.380389638785715</v>
      </c>
      <c r="AF14" s="797">
        <v>62.791229326</v>
      </c>
      <c r="AG14" s="797">
        <v>67.202069013214285</v>
      </c>
      <c r="AH14" s="797">
        <v>71.612908700428562</v>
      </c>
      <c r="AI14" s="797">
        <v>76.02374838764284</v>
      </c>
      <c r="AJ14" s="797">
        <v>80.434588074857132</v>
      </c>
      <c r="AK14" s="797">
        <v>84.845427762071409</v>
      </c>
      <c r="AL14" s="797">
        <v>89.256267449285687</v>
      </c>
      <c r="AM14" s="797">
        <v>93.667107136499979</v>
      </c>
      <c r="AN14" s="797">
        <v>98.077946823714257</v>
      </c>
      <c r="AO14" s="797">
        <v>102.48878651092853</v>
      </c>
      <c r="AP14" s="797">
        <v>106.89962619814283</v>
      </c>
      <c r="AQ14" s="797">
        <v>111.3104658853571</v>
      </c>
      <c r="AR14" s="797">
        <v>115.72130557257138</v>
      </c>
      <c r="AS14" s="797">
        <v>120.13214525978567</v>
      </c>
      <c r="AT14" s="797">
        <v>124.54298494699995</v>
      </c>
      <c r="AU14" s="797">
        <v>128.95382463421424</v>
      </c>
      <c r="AV14" s="797">
        <v>133.36466432142851</v>
      </c>
      <c r="AW14" s="797">
        <v>137.7755040086428</v>
      </c>
      <c r="AX14" s="797">
        <v>142.18634369585709</v>
      </c>
      <c r="AY14" s="797">
        <v>146.59718338307135</v>
      </c>
      <c r="AZ14" s="797">
        <v>151.00802307028565</v>
      </c>
      <c r="BA14" s="798">
        <v>155.41886275749994</v>
      </c>
    </row>
    <row r="15" spans="1:53">
      <c r="A15" s="1912"/>
      <c r="B15" s="799">
        <v>0.9</v>
      </c>
      <c r="C15" s="796">
        <f>(AD15*KFC!$B$35+KFC!$C$35)*KFC!$C$5</f>
        <v>54.275189055428577</v>
      </c>
      <c r="D15" s="796">
        <f>(AE15*KFC!$B$35+KFC!$C$35)*KFC!$C$5</f>
        <v>58.762485511089295</v>
      </c>
      <c r="E15" s="796">
        <f>(AF15*KFC!$B$35+KFC!$C$35)*KFC!$C$5</f>
        <v>63.249781966750007</v>
      </c>
      <c r="F15" s="796">
        <f>(AG15*KFC!$B$35+KFC!$C$35)*KFC!$C$5</f>
        <v>67.737078422410718</v>
      </c>
      <c r="G15" s="796">
        <f>(AH15*KFC!$B$35+KFC!$C$35)*KFC!$C$5</f>
        <v>72.224374878071444</v>
      </c>
      <c r="H15" s="796">
        <f>(AI15*KFC!$B$35+KFC!$C$35)*KFC!$C$5</f>
        <v>76.711671333732156</v>
      </c>
      <c r="I15" s="796">
        <f>(AJ15*KFC!$B$35+KFC!$C$35)*KFC!$C$5</f>
        <v>81.198967789392867</v>
      </c>
      <c r="J15" s="796">
        <f>(AK15*KFC!$B$35+KFC!$C$35)*KFC!$C$5</f>
        <v>85.686264245053593</v>
      </c>
      <c r="K15" s="796">
        <f>(AL15*KFC!$B$35+KFC!$C$35)*KFC!$C$5</f>
        <v>90.17356070071429</v>
      </c>
      <c r="L15" s="796">
        <f>(AM15*KFC!$B$35+KFC!$C$35)*KFC!$C$5</f>
        <v>94.660857156375002</v>
      </c>
      <c r="M15" s="796">
        <f>(AN15*KFC!$B$35+KFC!$C$35)*KFC!$C$5</f>
        <v>99.148153612035699</v>
      </c>
      <c r="N15" s="796">
        <f>(AO15*KFC!$B$35+KFC!$C$35)*KFC!$C$5</f>
        <v>103.63545006769641</v>
      </c>
      <c r="O15" s="796">
        <f>(AP15*KFC!$B$35+KFC!$C$35)*KFC!$C$5</f>
        <v>108.12274652335712</v>
      </c>
      <c r="P15" s="796">
        <f>(AQ15*KFC!$B$35+KFC!$C$35)*KFC!$C$5</f>
        <v>112.61004297901782</v>
      </c>
      <c r="Q15" s="796">
        <f>(AR15*KFC!$B$35+KFC!$C$35)*KFC!$C$5</f>
        <v>117.09733943467853</v>
      </c>
      <c r="R15" s="796">
        <f>(AS15*KFC!$B$35+KFC!$C$35)*KFC!$C$5</f>
        <v>121.58463589033923</v>
      </c>
      <c r="S15" s="796">
        <f>(AT15*KFC!$B$35+KFC!$C$35)*KFC!$C$5</f>
        <v>126.07193234599994</v>
      </c>
      <c r="T15" s="796">
        <f>(AU15*KFC!$B$35+KFC!$C$35)*KFC!$C$5</f>
        <v>130.55922880166065</v>
      </c>
      <c r="U15" s="796">
        <f>(AV15*KFC!$B$35+KFC!$C$35)*KFC!$C$5</f>
        <v>135.04652525732135</v>
      </c>
      <c r="V15" s="796">
        <f>(AW15*KFC!$B$35+KFC!$C$35)*KFC!$C$5</f>
        <v>139.53382171298205</v>
      </c>
      <c r="W15" s="796">
        <f>(AX15*KFC!$B$35+KFC!$C$35)*KFC!$C$5</f>
        <v>144.02111816864277</v>
      </c>
      <c r="X15" s="796">
        <f>(AY15*KFC!$B$35+KFC!$C$35)*KFC!$C$5</f>
        <v>148.50841462430347</v>
      </c>
      <c r="Y15" s="796">
        <f>(AZ15*KFC!$B$35+KFC!$C$35)*KFC!$C$5</f>
        <v>152.99571107996417</v>
      </c>
      <c r="Z15" s="814">
        <f>(BA15*KFC!$B$35+KFC!$C$35)*KFC!$C$5</f>
        <v>157.48300753562489</v>
      </c>
      <c r="AB15" s="1912"/>
      <c r="AC15" s="799">
        <v>0.9</v>
      </c>
      <c r="AD15" s="796">
        <v>54.275189055428577</v>
      </c>
      <c r="AE15" s="797">
        <v>58.762485511089295</v>
      </c>
      <c r="AF15" s="797">
        <v>63.249781966750007</v>
      </c>
      <c r="AG15" s="797">
        <v>67.737078422410718</v>
      </c>
      <c r="AH15" s="797">
        <v>72.224374878071444</v>
      </c>
      <c r="AI15" s="797">
        <v>76.711671333732156</v>
      </c>
      <c r="AJ15" s="797">
        <v>81.198967789392867</v>
      </c>
      <c r="AK15" s="797">
        <v>85.686264245053593</v>
      </c>
      <c r="AL15" s="797">
        <v>90.17356070071429</v>
      </c>
      <c r="AM15" s="797">
        <v>94.660857156375002</v>
      </c>
      <c r="AN15" s="797">
        <v>99.148153612035699</v>
      </c>
      <c r="AO15" s="797">
        <v>103.63545006769641</v>
      </c>
      <c r="AP15" s="797">
        <v>108.12274652335712</v>
      </c>
      <c r="AQ15" s="797">
        <v>112.61004297901782</v>
      </c>
      <c r="AR15" s="797">
        <v>117.09733943467853</v>
      </c>
      <c r="AS15" s="797">
        <v>121.58463589033923</v>
      </c>
      <c r="AT15" s="797">
        <v>126.07193234599994</v>
      </c>
      <c r="AU15" s="797">
        <v>130.55922880166065</v>
      </c>
      <c r="AV15" s="797">
        <v>135.04652525732135</v>
      </c>
      <c r="AW15" s="797">
        <v>139.53382171298205</v>
      </c>
      <c r="AX15" s="797">
        <v>144.02111816864277</v>
      </c>
      <c r="AY15" s="797">
        <v>148.50841462430347</v>
      </c>
      <c r="AZ15" s="797">
        <v>152.99571107996417</v>
      </c>
      <c r="BA15" s="798">
        <v>157.48300753562489</v>
      </c>
    </row>
    <row r="16" spans="1:53">
      <c r="A16" s="1912"/>
      <c r="B16" s="799">
        <v>1</v>
      </c>
      <c r="C16" s="796">
        <f>(AD16*KFC!$B$35+KFC!$C$35)*KFC!$C$5</f>
        <v>54.580828159285723</v>
      </c>
      <c r="D16" s="796">
        <f>(AE16*KFC!$B$35+KFC!$C$35)*KFC!$C$5</f>
        <v>59.144581383392875</v>
      </c>
      <c r="E16" s="796">
        <f>(AF16*KFC!$B$35+KFC!$C$35)*KFC!$C$5</f>
        <v>63.708334607500021</v>
      </c>
      <c r="F16" s="796">
        <f>(AG16*KFC!$B$35+KFC!$C$35)*KFC!$C$5</f>
        <v>68.272087831607166</v>
      </c>
      <c r="G16" s="796">
        <f>(AH16*KFC!$B$35+KFC!$C$35)*KFC!$C$5</f>
        <v>72.835841055714312</v>
      </c>
      <c r="H16" s="796">
        <f>(AI16*KFC!$B$35+KFC!$C$35)*KFC!$C$5</f>
        <v>77.399594279821471</v>
      </c>
      <c r="I16" s="796">
        <f>(AJ16*KFC!$B$35+KFC!$C$35)*KFC!$C$5</f>
        <v>81.963347503928617</v>
      </c>
      <c r="J16" s="796">
        <f>(AK16*KFC!$B$35+KFC!$C$35)*KFC!$C$5</f>
        <v>86.527100728035762</v>
      </c>
      <c r="K16" s="796">
        <f>(AL16*KFC!$B$35+KFC!$C$35)*KFC!$C$5</f>
        <v>91.090853952142908</v>
      </c>
      <c r="L16" s="796">
        <f>(AM16*KFC!$B$35+KFC!$C$35)*KFC!$C$5</f>
        <v>95.654607176250053</v>
      </c>
      <c r="M16" s="796">
        <f>(AN16*KFC!$B$35+KFC!$C$35)*KFC!$C$5</f>
        <v>100.21836040035721</v>
      </c>
      <c r="N16" s="796">
        <f>(AO16*KFC!$B$35+KFC!$C$35)*KFC!$C$5</f>
        <v>104.78211362446436</v>
      </c>
      <c r="O16" s="796">
        <f>(AP16*KFC!$B$35+KFC!$C$35)*KFC!$C$5</f>
        <v>109.3458668485715</v>
      </c>
      <c r="P16" s="796">
        <f>(AQ16*KFC!$B$35+KFC!$C$35)*KFC!$C$5</f>
        <v>113.90962007267865</v>
      </c>
      <c r="Q16" s="796">
        <f>(AR16*KFC!$B$35+KFC!$C$35)*KFC!$C$5</f>
        <v>118.47337329678579</v>
      </c>
      <c r="R16" s="796">
        <f>(AS16*KFC!$B$35+KFC!$C$35)*KFC!$C$5</f>
        <v>123.03712652089295</v>
      </c>
      <c r="S16" s="796">
        <f>(AT16*KFC!$B$35+KFC!$C$35)*KFC!$C$5</f>
        <v>127.6008797450001</v>
      </c>
      <c r="T16" s="796">
        <f>(AU16*KFC!$B$35+KFC!$C$35)*KFC!$C$5</f>
        <v>132.16463296910726</v>
      </c>
      <c r="U16" s="796">
        <f>(AV16*KFC!$B$35+KFC!$C$35)*KFC!$C$5</f>
        <v>136.72838619321439</v>
      </c>
      <c r="V16" s="796">
        <f>(AW16*KFC!$B$35+KFC!$C$35)*KFC!$C$5</f>
        <v>141.29213941732155</v>
      </c>
      <c r="W16" s="796">
        <f>(AX16*KFC!$B$35+KFC!$C$35)*KFC!$C$5</f>
        <v>145.85589264142868</v>
      </c>
      <c r="X16" s="796">
        <f>(AY16*KFC!$B$35+KFC!$C$35)*KFC!$C$5</f>
        <v>150.41964586553584</v>
      </c>
      <c r="Y16" s="796">
        <f>(AZ16*KFC!$B$35+KFC!$C$35)*KFC!$C$5</f>
        <v>154.983399089643</v>
      </c>
      <c r="Z16" s="814">
        <f>(BA16*KFC!$B$35+KFC!$C$35)*KFC!$C$5</f>
        <v>159.54715231375013</v>
      </c>
      <c r="AB16" s="1912"/>
      <c r="AC16" s="799">
        <v>1</v>
      </c>
      <c r="AD16" s="796">
        <v>54.580828159285723</v>
      </c>
      <c r="AE16" s="797">
        <v>59.144581383392875</v>
      </c>
      <c r="AF16" s="797">
        <v>63.708334607500021</v>
      </c>
      <c r="AG16" s="797">
        <v>68.272087831607166</v>
      </c>
      <c r="AH16" s="797">
        <v>72.835841055714312</v>
      </c>
      <c r="AI16" s="797">
        <v>77.399594279821471</v>
      </c>
      <c r="AJ16" s="797">
        <v>81.963347503928617</v>
      </c>
      <c r="AK16" s="797">
        <v>86.527100728035762</v>
      </c>
      <c r="AL16" s="797">
        <v>91.090853952142908</v>
      </c>
      <c r="AM16" s="797">
        <v>95.654607176250053</v>
      </c>
      <c r="AN16" s="797">
        <v>100.21836040035721</v>
      </c>
      <c r="AO16" s="797">
        <v>104.78211362446436</v>
      </c>
      <c r="AP16" s="797">
        <v>109.3458668485715</v>
      </c>
      <c r="AQ16" s="797">
        <v>113.90962007267865</v>
      </c>
      <c r="AR16" s="797">
        <v>118.47337329678579</v>
      </c>
      <c r="AS16" s="797">
        <v>123.03712652089295</v>
      </c>
      <c r="AT16" s="797">
        <v>127.6008797450001</v>
      </c>
      <c r="AU16" s="797">
        <v>132.16463296910726</v>
      </c>
      <c r="AV16" s="797">
        <v>136.72838619321439</v>
      </c>
      <c r="AW16" s="797">
        <v>141.29213941732155</v>
      </c>
      <c r="AX16" s="797">
        <v>145.85589264142868</v>
      </c>
      <c r="AY16" s="797">
        <v>150.41964586553584</v>
      </c>
      <c r="AZ16" s="797">
        <v>154.983399089643</v>
      </c>
      <c r="BA16" s="798">
        <v>159.54715231375013</v>
      </c>
    </row>
    <row r="17" spans="1:53">
      <c r="A17" s="1912"/>
      <c r="B17" s="799">
        <v>1.1000000000000001</v>
      </c>
      <c r="C17" s="796">
        <f>(AD17*KFC!$B$35+KFC!$C$35)*KFC!$C$5</f>
        <v>54.886467263142869</v>
      </c>
      <c r="D17" s="796">
        <f>(AE17*KFC!$B$35+KFC!$C$35)*KFC!$C$5</f>
        <v>59.526677255696441</v>
      </c>
      <c r="E17" s="796">
        <f>(AF17*KFC!$B$35+KFC!$C$35)*KFC!$C$5</f>
        <v>64.166887248250006</v>
      </c>
      <c r="F17" s="796">
        <f>(AG17*KFC!$B$35+KFC!$C$35)*KFC!$C$5</f>
        <v>68.807097240803586</v>
      </c>
      <c r="G17" s="796">
        <f>(AH17*KFC!$B$35+KFC!$C$35)*KFC!$C$5</f>
        <v>73.447307233357151</v>
      </c>
      <c r="H17" s="796">
        <f>(AI17*KFC!$B$35+KFC!$C$35)*KFC!$C$5</f>
        <v>78.08751722591073</v>
      </c>
      <c r="I17" s="796">
        <f>(AJ17*KFC!$B$35+KFC!$C$35)*KFC!$C$5</f>
        <v>82.727727218464295</v>
      </c>
      <c r="J17" s="796">
        <f>(AK17*KFC!$B$35+KFC!$C$35)*KFC!$C$5</f>
        <v>87.36793721101786</v>
      </c>
      <c r="K17" s="796">
        <f>(AL17*KFC!$B$35+KFC!$C$35)*KFC!$C$5</f>
        <v>92.00814720357144</v>
      </c>
      <c r="L17" s="796">
        <f>(AM17*KFC!$B$35+KFC!$C$35)*KFC!$C$5</f>
        <v>96.648357196125005</v>
      </c>
      <c r="M17" s="796">
        <f>(AN17*KFC!$B$35+KFC!$C$35)*KFC!$C$5</f>
        <v>101.28856718867858</v>
      </c>
      <c r="N17" s="796">
        <f>(AO17*KFC!$B$35+KFC!$C$35)*KFC!$C$5</f>
        <v>105.92877718123215</v>
      </c>
      <c r="O17" s="796">
        <f>(AP17*KFC!$B$35+KFC!$C$35)*KFC!$C$5</f>
        <v>110.56898717378573</v>
      </c>
      <c r="P17" s="796">
        <f>(AQ17*KFC!$B$35+KFC!$C$35)*KFC!$C$5</f>
        <v>115.20919716633929</v>
      </c>
      <c r="Q17" s="796">
        <f>(AR17*KFC!$B$35+KFC!$C$35)*KFC!$C$5</f>
        <v>119.84940715889287</v>
      </c>
      <c r="R17" s="796">
        <f>(AS17*KFC!$B$35+KFC!$C$35)*KFC!$C$5</f>
        <v>124.48961715144644</v>
      </c>
      <c r="S17" s="796">
        <f>(AT17*KFC!$B$35+KFC!$C$35)*KFC!$C$5</f>
        <v>129.12982714400002</v>
      </c>
      <c r="T17" s="796">
        <f>(AU17*KFC!$B$35+KFC!$C$35)*KFC!$C$5</f>
        <v>133.77003713655358</v>
      </c>
      <c r="U17" s="796">
        <f>(AV17*KFC!$B$35+KFC!$C$35)*KFC!$C$5</f>
        <v>138.41024712910715</v>
      </c>
      <c r="V17" s="796">
        <f>(AW17*KFC!$B$35+KFC!$C$35)*KFC!$C$5</f>
        <v>143.05045712166074</v>
      </c>
      <c r="W17" s="796">
        <f>(AX17*KFC!$B$35+KFC!$C$35)*KFC!$C$5</f>
        <v>147.69066711421431</v>
      </c>
      <c r="X17" s="796">
        <f>(AY17*KFC!$B$35+KFC!$C$35)*KFC!$C$5</f>
        <v>152.33087710676787</v>
      </c>
      <c r="Y17" s="796">
        <f>(AZ17*KFC!$B$35+KFC!$C$35)*KFC!$C$5</f>
        <v>156.97108709932144</v>
      </c>
      <c r="Z17" s="814">
        <f>(BA17*KFC!$B$35+KFC!$C$35)*KFC!$C$5</f>
        <v>161.611297091875</v>
      </c>
      <c r="AB17" s="1912"/>
      <c r="AC17" s="799">
        <v>1.1000000000000001</v>
      </c>
      <c r="AD17" s="796">
        <v>54.886467263142869</v>
      </c>
      <c r="AE17" s="797">
        <v>59.526677255696441</v>
      </c>
      <c r="AF17" s="797">
        <v>64.166887248250006</v>
      </c>
      <c r="AG17" s="797">
        <v>68.807097240803586</v>
      </c>
      <c r="AH17" s="797">
        <v>73.447307233357151</v>
      </c>
      <c r="AI17" s="797">
        <v>78.08751722591073</v>
      </c>
      <c r="AJ17" s="797">
        <v>82.727727218464295</v>
      </c>
      <c r="AK17" s="797">
        <v>87.36793721101786</v>
      </c>
      <c r="AL17" s="797">
        <v>92.00814720357144</v>
      </c>
      <c r="AM17" s="797">
        <v>96.648357196125005</v>
      </c>
      <c r="AN17" s="797">
        <v>101.28856718867858</v>
      </c>
      <c r="AO17" s="797">
        <v>105.92877718123215</v>
      </c>
      <c r="AP17" s="797">
        <v>110.56898717378573</v>
      </c>
      <c r="AQ17" s="797">
        <v>115.20919716633929</v>
      </c>
      <c r="AR17" s="797">
        <v>119.84940715889287</v>
      </c>
      <c r="AS17" s="797">
        <v>124.48961715144644</v>
      </c>
      <c r="AT17" s="797">
        <v>129.12982714400002</v>
      </c>
      <c r="AU17" s="797">
        <v>133.77003713655358</v>
      </c>
      <c r="AV17" s="797">
        <v>138.41024712910715</v>
      </c>
      <c r="AW17" s="797">
        <v>143.05045712166074</v>
      </c>
      <c r="AX17" s="797">
        <v>147.69066711421431</v>
      </c>
      <c r="AY17" s="797">
        <v>152.33087710676787</v>
      </c>
      <c r="AZ17" s="797">
        <v>156.97108709932144</v>
      </c>
      <c r="BA17" s="798">
        <v>161.611297091875</v>
      </c>
    </row>
    <row r="18" spans="1:53">
      <c r="A18" s="1912"/>
      <c r="B18" s="799">
        <v>1.2</v>
      </c>
      <c r="C18" s="796">
        <f>(AD18*KFC!$B$35+KFC!$C$35)*KFC!$C$5</f>
        <v>55.192106367000015</v>
      </c>
      <c r="D18" s="796">
        <f>(AE18*KFC!$B$35+KFC!$C$35)*KFC!$C$5</f>
        <v>59.908773128000021</v>
      </c>
      <c r="E18" s="796">
        <f>(AF18*KFC!$B$35+KFC!$C$35)*KFC!$C$5</f>
        <v>64.62543988900002</v>
      </c>
      <c r="F18" s="796">
        <f>(AG18*KFC!$B$35+KFC!$C$35)*KFC!$C$5</f>
        <v>69.342106650000034</v>
      </c>
      <c r="G18" s="796">
        <f>(AH18*KFC!$B$35+KFC!$C$35)*KFC!$C$5</f>
        <v>74.058773411000033</v>
      </c>
      <c r="H18" s="796">
        <f>(AI18*KFC!$B$35+KFC!$C$35)*KFC!$C$5</f>
        <v>78.775440172000046</v>
      </c>
      <c r="I18" s="796">
        <f>(AJ18*KFC!$B$35+KFC!$C$35)*KFC!$C$5</f>
        <v>83.492106933000045</v>
      </c>
      <c r="J18" s="796">
        <f>(AK18*KFC!$B$35+KFC!$C$35)*KFC!$C$5</f>
        <v>88.208773694000044</v>
      </c>
      <c r="K18" s="796">
        <f>(AL18*KFC!$B$35+KFC!$C$35)*KFC!$C$5</f>
        <v>92.925440455000029</v>
      </c>
      <c r="L18" s="796">
        <f>(AM18*KFC!$B$35+KFC!$C$35)*KFC!$C$5</f>
        <v>97.642107216000028</v>
      </c>
      <c r="M18" s="796">
        <f>(AN18*KFC!$B$35+KFC!$C$35)*KFC!$C$5</f>
        <v>102.35877397700003</v>
      </c>
      <c r="N18" s="796">
        <f>(AO18*KFC!$B$35+KFC!$C$35)*KFC!$C$5</f>
        <v>107.07544073800003</v>
      </c>
      <c r="O18" s="796">
        <f>(AP18*KFC!$B$35+KFC!$C$35)*KFC!$C$5</f>
        <v>111.79210749900002</v>
      </c>
      <c r="P18" s="796">
        <f>(AQ18*KFC!$B$35+KFC!$C$35)*KFC!$C$5</f>
        <v>116.50877426000001</v>
      </c>
      <c r="Q18" s="796">
        <f>(AR18*KFC!$B$35+KFC!$C$35)*KFC!$C$5</f>
        <v>121.22544102100001</v>
      </c>
      <c r="R18" s="796">
        <f>(AS18*KFC!$B$35+KFC!$C$35)*KFC!$C$5</f>
        <v>125.94210778200001</v>
      </c>
      <c r="S18" s="796">
        <f>(AT18*KFC!$B$35+KFC!$C$35)*KFC!$C$5</f>
        <v>130.65877454299999</v>
      </c>
      <c r="T18" s="796">
        <f>(AU18*KFC!$B$35+KFC!$C$35)*KFC!$C$5</f>
        <v>135.37544130399999</v>
      </c>
      <c r="U18" s="796">
        <f>(AV18*KFC!$B$35+KFC!$C$35)*KFC!$C$5</f>
        <v>140.09210806499999</v>
      </c>
      <c r="V18" s="796">
        <f>(AW18*KFC!$B$35+KFC!$C$35)*KFC!$C$5</f>
        <v>144.80877482599999</v>
      </c>
      <c r="W18" s="796">
        <f>(AX18*KFC!$B$35+KFC!$C$35)*KFC!$C$5</f>
        <v>149.52544158699999</v>
      </c>
      <c r="X18" s="796">
        <f>(AY18*KFC!$B$35+KFC!$C$35)*KFC!$C$5</f>
        <v>154.24210834799999</v>
      </c>
      <c r="Y18" s="796">
        <f>(AZ18*KFC!$B$35+KFC!$C$35)*KFC!$C$5</f>
        <v>158.95877510899999</v>
      </c>
      <c r="Z18" s="814">
        <f>(BA18*KFC!$B$35+KFC!$C$35)*KFC!$C$5</f>
        <v>163.67544186999996</v>
      </c>
      <c r="AB18" s="1912"/>
      <c r="AC18" s="799">
        <v>1.2</v>
      </c>
      <c r="AD18" s="796">
        <v>55.192106367000015</v>
      </c>
      <c r="AE18" s="797">
        <v>59.908773128000021</v>
      </c>
      <c r="AF18" s="797">
        <v>64.62543988900002</v>
      </c>
      <c r="AG18" s="797">
        <v>69.342106650000034</v>
      </c>
      <c r="AH18" s="797">
        <v>74.058773411000033</v>
      </c>
      <c r="AI18" s="797">
        <v>78.775440172000046</v>
      </c>
      <c r="AJ18" s="797">
        <v>83.492106933000045</v>
      </c>
      <c r="AK18" s="797">
        <v>88.208773694000044</v>
      </c>
      <c r="AL18" s="797">
        <v>92.925440455000029</v>
      </c>
      <c r="AM18" s="797">
        <v>97.642107216000028</v>
      </c>
      <c r="AN18" s="797">
        <v>102.35877397700003</v>
      </c>
      <c r="AO18" s="797">
        <v>107.07544073800003</v>
      </c>
      <c r="AP18" s="797">
        <v>111.79210749900002</v>
      </c>
      <c r="AQ18" s="797">
        <v>116.50877426000001</v>
      </c>
      <c r="AR18" s="797">
        <v>121.22544102100001</v>
      </c>
      <c r="AS18" s="797">
        <v>125.94210778200001</v>
      </c>
      <c r="AT18" s="797">
        <v>130.65877454299999</v>
      </c>
      <c r="AU18" s="797">
        <v>135.37544130399999</v>
      </c>
      <c r="AV18" s="797">
        <v>140.09210806499999</v>
      </c>
      <c r="AW18" s="797">
        <v>144.80877482599999</v>
      </c>
      <c r="AX18" s="797">
        <v>149.52544158699999</v>
      </c>
      <c r="AY18" s="797">
        <v>154.24210834799999</v>
      </c>
      <c r="AZ18" s="797">
        <v>158.95877510899999</v>
      </c>
      <c r="BA18" s="798">
        <v>163.67544186999996</v>
      </c>
    </row>
    <row r="19" spans="1:53">
      <c r="A19" s="1912"/>
      <c r="B19" s="799">
        <v>1.3</v>
      </c>
      <c r="C19" s="796">
        <f>(AD19*KFC!$B$35+KFC!$C$35)*KFC!$C$5</f>
        <v>55.497745470857161</v>
      </c>
      <c r="D19" s="796">
        <f>(AE19*KFC!$B$35+KFC!$C$35)*KFC!$C$5</f>
        <v>60.290869000303587</v>
      </c>
      <c r="E19" s="796">
        <f>(AF19*KFC!$B$35+KFC!$C$35)*KFC!$C$5</f>
        <v>65.08399252975002</v>
      </c>
      <c r="F19" s="796">
        <f>(AG19*KFC!$B$35+KFC!$C$35)*KFC!$C$5</f>
        <v>69.877116059196439</v>
      </c>
      <c r="G19" s="796">
        <f>(AH19*KFC!$B$35+KFC!$C$35)*KFC!$C$5</f>
        <v>74.670239588642872</v>
      </c>
      <c r="H19" s="796">
        <f>(AI19*KFC!$B$35+KFC!$C$35)*KFC!$C$5</f>
        <v>79.463363118089305</v>
      </c>
      <c r="I19" s="796">
        <f>(AJ19*KFC!$B$35+KFC!$C$35)*KFC!$C$5</f>
        <v>84.256486647535738</v>
      </c>
      <c r="J19" s="796">
        <f>(AK19*KFC!$B$35+KFC!$C$35)*KFC!$C$5</f>
        <v>89.049610176982185</v>
      </c>
      <c r="K19" s="796">
        <f>(AL19*KFC!$B$35+KFC!$C$35)*KFC!$C$5</f>
        <v>93.842733706428618</v>
      </c>
      <c r="L19" s="796">
        <f>(AM19*KFC!$B$35+KFC!$C$35)*KFC!$C$5</f>
        <v>98.635857235875051</v>
      </c>
      <c r="M19" s="796">
        <f>(AN19*KFC!$B$35+KFC!$C$35)*KFC!$C$5</f>
        <v>103.4289807653215</v>
      </c>
      <c r="N19" s="796">
        <f>(AO19*KFC!$B$35+KFC!$C$35)*KFC!$C$5</f>
        <v>108.22210429476793</v>
      </c>
      <c r="O19" s="796">
        <f>(AP19*KFC!$B$35+KFC!$C$35)*KFC!$C$5</f>
        <v>113.01522782421436</v>
      </c>
      <c r="P19" s="796">
        <f>(AQ19*KFC!$B$35+KFC!$C$35)*KFC!$C$5</f>
        <v>117.80835135366081</v>
      </c>
      <c r="Q19" s="796">
        <f>(AR19*KFC!$B$35+KFC!$C$35)*KFC!$C$5</f>
        <v>122.60147488310724</v>
      </c>
      <c r="R19" s="796">
        <f>(AS19*KFC!$B$35+KFC!$C$35)*KFC!$C$5</f>
        <v>127.39459841255368</v>
      </c>
      <c r="S19" s="796">
        <f>(AT19*KFC!$B$35+KFC!$C$35)*KFC!$C$5</f>
        <v>132.18772194200011</v>
      </c>
      <c r="T19" s="796">
        <f>(AU19*KFC!$B$35+KFC!$C$35)*KFC!$C$5</f>
        <v>136.98084547144657</v>
      </c>
      <c r="U19" s="796">
        <f>(AV19*KFC!$B$35+KFC!$C$35)*KFC!$C$5</f>
        <v>141.773969000893</v>
      </c>
      <c r="V19" s="796">
        <f>(AW19*KFC!$B$35+KFC!$C$35)*KFC!$C$5</f>
        <v>146.56709253033944</v>
      </c>
      <c r="W19" s="796">
        <f>(AX19*KFC!$B$35+KFC!$C$35)*KFC!$C$5</f>
        <v>151.36021605978587</v>
      </c>
      <c r="X19" s="796">
        <f>(AY19*KFC!$B$35+KFC!$C$35)*KFC!$C$5</f>
        <v>156.1533395892323</v>
      </c>
      <c r="Y19" s="796">
        <f>(AZ19*KFC!$B$35+KFC!$C$35)*KFC!$C$5</f>
        <v>160.94646311867874</v>
      </c>
      <c r="Z19" s="814">
        <f>(BA19*KFC!$B$35+KFC!$C$35)*KFC!$C$5</f>
        <v>165.7395866481252</v>
      </c>
      <c r="AB19" s="1912"/>
      <c r="AC19" s="799">
        <v>1.3</v>
      </c>
      <c r="AD19" s="796">
        <v>55.497745470857161</v>
      </c>
      <c r="AE19" s="797">
        <v>60.290869000303587</v>
      </c>
      <c r="AF19" s="797">
        <v>65.08399252975002</v>
      </c>
      <c r="AG19" s="797">
        <v>69.877116059196439</v>
      </c>
      <c r="AH19" s="797">
        <v>74.670239588642872</v>
      </c>
      <c r="AI19" s="797">
        <v>79.463363118089305</v>
      </c>
      <c r="AJ19" s="797">
        <v>84.256486647535738</v>
      </c>
      <c r="AK19" s="797">
        <v>89.049610176982185</v>
      </c>
      <c r="AL19" s="797">
        <v>93.842733706428618</v>
      </c>
      <c r="AM19" s="797">
        <v>98.635857235875051</v>
      </c>
      <c r="AN19" s="797">
        <v>103.4289807653215</v>
      </c>
      <c r="AO19" s="797">
        <v>108.22210429476793</v>
      </c>
      <c r="AP19" s="797">
        <v>113.01522782421436</v>
      </c>
      <c r="AQ19" s="797">
        <v>117.80835135366081</v>
      </c>
      <c r="AR19" s="797">
        <v>122.60147488310724</v>
      </c>
      <c r="AS19" s="797">
        <v>127.39459841255368</v>
      </c>
      <c r="AT19" s="797">
        <v>132.18772194200011</v>
      </c>
      <c r="AU19" s="797">
        <v>136.98084547144657</v>
      </c>
      <c r="AV19" s="797">
        <v>141.773969000893</v>
      </c>
      <c r="AW19" s="797">
        <v>146.56709253033944</v>
      </c>
      <c r="AX19" s="797">
        <v>151.36021605978587</v>
      </c>
      <c r="AY19" s="797">
        <v>156.1533395892323</v>
      </c>
      <c r="AZ19" s="797">
        <v>160.94646311867874</v>
      </c>
      <c r="BA19" s="798">
        <v>165.7395866481252</v>
      </c>
    </row>
    <row r="20" spans="1:53">
      <c r="A20" s="1912"/>
      <c r="B20" s="799">
        <v>1.4</v>
      </c>
      <c r="C20" s="796">
        <f>(AD20*KFC!$B$35+KFC!$C$35)*KFC!$C$5</f>
        <v>55.8033845747143</v>
      </c>
      <c r="D20" s="796">
        <f>(AE20*KFC!$B$35+KFC!$C$35)*KFC!$C$5</f>
        <v>60.672964872607167</v>
      </c>
      <c r="E20" s="796">
        <f>(AF20*KFC!$B$35+KFC!$C$35)*KFC!$C$5</f>
        <v>65.542545170500034</v>
      </c>
      <c r="F20" s="796">
        <f>(AG20*KFC!$B$35+KFC!$C$35)*KFC!$C$5</f>
        <v>70.412125468392887</v>
      </c>
      <c r="G20" s="796">
        <f>(AH20*KFC!$B$35+KFC!$C$35)*KFC!$C$5</f>
        <v>75.281705766285754</v>
      </c>
      <c r="H20" s="796">
        <f>(AI20*KFC!$B$35+KFC!$C$35)*KFC!$C$5</f>
        <v>80.151286064178606</v>
      </c>
      <c r="I20" s="796">
        <f>(AJ20*KFC!$B$35+KFC!$C$35)*KFC!$C$5</f>
        <v>85.020866362071473</v>
      </c>
      <c r="J20" s="796">
        <f>(AK20*KFC!$B$35+KFC!$C$35)*KFC!$C$5</f>
        <v>89.89044665996434</v>
      </c>
      <c r="K20" s="796">
        <f>(AL20*KFC!$B$35+KFC!$C$35)*KFC!$C$5</f>
        <v>94.760026957857193</v>
      </c>
      <c r="L20" s="796">
        <f>(AM20*KFC!$B$35+KFC!$C$35)*KFC!$C$5</f>
        <v>99.629607255750059</v>
      </c>
      <c r="M20" s="796">
        <f>(AN20*KFC!$B$35+KFC!$C$35)*KFC!$C$5</f>
        <v>104.49918755364293</v>
      </c>
      <c r="N20" s="796">
        <f>(AO20*KFC!$B$35+KFC!$C$35)*KFC!$C$5</f>
        <v>109.36876785153578</v>
      </c>
      <c r="O20" s="796">
        <f>(AP20*KFC!$B$35+KFC!$C$35)*KFC!$C$5</f>
        <v>114.23834814942865</v>
      </c>
      <c r="P20" s="796">
        <f>(AQ20*KFC!$B$35+KFC!$C$35)*KFC!$C$5</f>
        <v>119.10792844732151</v>
      </c>
      <c r="Q20" s="796">
        <f>(AR20*KFC!$B$35+KFC!$C$35)*KFC!$C$5</f>
        <v>123.97750874521437</v>
      </c>
      <c r="R20" s="796">
        <f>(AS20*KFC!$B$35+KFC!$C$35)*KFC!$C$5</f>
        <v>128.84708904310722</v>
      </c>
      <c r="S20" s="796">
        <f>(AT20*KFC!$B$35+KFC!$C$35)*KFC!$C$5</f>
        <v>133.71666934100008</v>
      </c>
      <c r="T20" s="796">
        <f>(AU20*KFC!$B$35+KFC!$C$35)*KFC!$C$5</f>
        <v>138.58624963889295</v>
      </c>
      <c r="U20" s="796">
        <f>(AV20*KFC!$B$35+KFC!$C$35)*KFC!$C$5</f>
        <v>143.45582993678582</v>
      </c>
      <c r="V20" s="796">
        <f>(AW20*KFC!$B$35+KFC!$C$35)*KFC!$C$5</f>
        <v>148.32541023467869</v>
      </c>
      <c r="W20" s="796">
        <f>(AX20*KFC!$B$35+KFC!$C$35)*KFC!$C$5</f>
        <v>153.19499053257155</v>
      </c>
      <c r="X20" s="796">
        <f>(AY20*KFC!$B$35+KFC!$C$35)*KFC!$C$5</f>
        <v>158.06457083046439</v>
      </c>
      <c r="Y20" s="796">
        <f>(AZ20*KFC!$B$35+KFC!$C$35)*KFC!$C$5</f>
        <v>162.93415112835726</v>
      </c>
      <c r="Z20" s="814">
        <f>(BA20*KFC!$B$35+KFC!$C$35)*KFC!$C$5</f>
        <v>167.80373142625012</v>
      </c>
      <c r="AB20" s="1912"/>
      <c r="AC20" s="799">
        <v>1.4</v>
      </c>
      <c r="AD20" s="796">
        <v>55.8033845747143</v>
      </c>
      <c r="AE20" s="797">
        <v>60.672964872607167</v>
      </c>
      <c r="AF20" s="797">
        <v>65.542545170500034</v>
      </c>
      <c r="AG20" s="797">
        <v>70.412125468392887</v>
      </c>
      <c r="AH20" s="797">
        <v>75.281705766285754</v>
      </c>
      <c r="AI20" s="797">
        <v>80.151286064178606</v>
      </c>
      <c r="AJ20" s="797">
        <v>85.020866362071473</v>
      </c>
      <c r="AK20" s="797">
        <v>89.89044665996434</v>
      </c>
      <c r="AL20" s="797">
        <v>94.760026957857193</v>
      </c>
      <c r="AM20" s="797">
        <v>99.629607255750059</v>
      </c>
      <c r="AN20" s="797">
        <v>104.49918755364293</v>
      </c>
      <c r="AO20" s="797">
        <v>109.36876785153578</v>
      </c>
      <c r="AP20" s="797">
        <v>114.23834814942865</v>
      </c>
      <c r="AQ20" s="797">
        <v>119.10792844732151</v>
      </c>
      <c r="AR20" s="797">
        <v>123.97750874521437</v>
      </c>
      <c r="AS20" s="797">
        <v>128.84708904310722</v>
      </c>
      <c r="AT20" s="797">
        <v>133.71666934100008</v>
      </c>
      <c r="AU20" s="797">
        <v>138.58624963889295</v>
      </c>
      <c r="AV20" s="797">
        <v>143.45582993678582</v>
      </c>
      <c r="AW20" s="797">
        <v>148.32541023467869</v>
      </c>
      <c r="AX20" s="797">
        <v>153.19499053257155</v>
      </c>
      <c r="AY20" s="797">
        <v>158.06457083046439</v>
      </c>
      <c r="AZ20" s="797">
        <v>162.93415112835726</v>
      </c>
      <c r="BA20" s="798">
        <v>167.80373142625012</v>
      </c>
    </row>
    <row r="21" spans="1:53">
      <c r="A21" s="1912"/>
      <c r="B21" s="799">
        <v>1.5</v>
      </c>
      <c r="C21" s="796">
        <f>(AD21*KFC!$B$35+KFC!$C$35)*KFC!$C$5</f>
        <v>56.109023678571447</v>
      </c>
      <c r="D21" s="796">
        <f>(AE21*KFC!$B$35+KFC!$C$35)*KFC!$C$5</f>
        <v>61.055060744910733</v>
      </c>
      <c r="E21" s="796">
        <f>(AF21*KFC!$B$35+KFC!$C$35)*KFC!$C$5</f>
        <v>66.00109781125002</v>
      </c>
      <c r="F21" s="796">
        <f>(AG21*KFC!$B$35+KFC!$C$35)*KFC!$C$5</f>
        <v>70.947134877589306</v>
      </c>
      <c r="G21" s="796">
        <f>(AH21*KFC!$B$35+KFC!$C$35)*KFC!$C$5</f>
        <v>75.893171943928593</v>
      </c>
      <c r="H21" s="796">
        <f>(AI21*KFC!$B$35+KFC!$C$35)*KFC!$C$5</f>
        <v>80.839209010267879</v>
      </c>
      <c r="I21" s="796">
        <f>(AJ21*KFC!$B$35+KFC!$C$35)*KFC!$C$5</f>
        <v>85.785246076607166</v>
      </c>
      <c r="J21" s="796">
        <f>(AK21*KFC!$B$35+KFC!$C$35)*KFC!$C$5</f>
        <v>90.731283142946452</v>
      </c>
      <c r="K21" s="796">
        <f>(AL21*KFC!$B$35+KFC!$C$35)*KFC!$C$5</f>
        <v>95.677320209285739</v>
      </c>
      <c r="L21" s="796">
        <f>(AM21*KFC!$B$35+KFC!$C$35)*KFC!$C$5</f>
        <v>100.62335727562503</v>
      </c>
      <c r="M21" s="796">
        <f>(AN21*KFC!$B$35+KFC!$C$35)*KFC!$C$5</f>
        <v>105.56939434196431</v>
      </c>
      <c r="N21" s="796">
        <f>(AO21*KFC!$B$35+KFC!$C$35)*KFC!$C$5</f>
        <v>110.5154314083036</v>
      </c>
      <c r="O21" s="796">
        <f>(AP21*KFC!$B$35+KFC!$C$35)*KFC!$C$5</f>
        <v>115.46146847464288</v>
      </c>
      <c r="P21" s="796">
        <f>(AQ21*KFC!$B$35+KFC!$C$35)*KFC!$C$5</f>
        <v>120.40750554098217</v>
      </c>
      <c r="Q21" s="796">
        <f>(AR21*KFC!$B$35+KFC!$C$35)*KFC!$C$5</f>
        <v>125.35354260732146</v>
      </c>
      <c r="R21" s="796">
        <f>(AS21*KFC!$B$35+KFC!$C$35)*KFC!$C$5</f>
        <v>130.29957967366073</v>
      </c>
      <c r="S21" s="796">
        <f>(AT21*KFC!$B$35+KFC!$C$35)*KFC!$C$5</f>
        <v>135.24561674000003</v>
      </c>
      <c r="T21" s="796">
        <f>(AU21*KFC!$B$35+KFC!$C$35)*KFC!$C$5</f>
        <v>140.1916538063393</v>
      </c>
      <c r="U21" s="796">
        <f>(AV21*KFC!$B$35+KFC!$C$35)*KFC!$C$5</f>
        <v>145.1376908726786</v>
      </c>
      <c r="V21" s="796">
        <f>(AW21*KFC!$B$35+KFC!$C$35)*KFC!$C$5</f>
        <v>150.08372793901788</v>
      </c>
      <c r="W21" s="796">
        <f>(AX21*KFC!$B$35+KFC!$C$35)*KFC!$C$5</f>
        <v>155.02976500535718</v>
      </c>
      <c r="X21" s="796">
        <f>(AY21*KFC!$B$35+KFC!$C$35)*KFC!$C$5</f>
        <v>159.97580207169645</v>
      </c>
      <c r="Y21" s="796">
        <f>(AZ21*KFC!$B$35+KFC!$C$35)*KFC!$C$5</f>
        <v>164.92183913803575</v>
      </c>
      <c r="Z21" s="814">
        <f>(BA21*KFC!$B$35+KFC!$C$35)*KFC!$C$5</f>
        <v>169.86787620437502</v>
      </c>
      <c r="AB21" s="1912"/>
      <c r="AC21" s="799">
        <v>1.5</v>
      </c>
      <c r="AD21" s="796">
        <v>56.109023678571447</v>
      </c>
      <c r="AE21" s="797">
        <v>61.055060744910733</v>
      </c>
      <c r="AF21" s="797">
        <v>66.00109781125002</v>
      </c>
      <c r="AG21" s="797">
        <v>70.947134877589306</v>
      </c>
      <c r="AH21" s="797">
        <v>75.893171943928593</v>
      </c>
      <c r="AI21" s="797">
        <v>80.839209010267879</v>
      </c>
      <c r="AJ21" s="797">
        <v>85.785246076607166</v>
      </c>
      <c r="AK21" s="797">
        <v>90.731283142946452</v>
      </c>
      <c r="AL21" s="797">
        <v>95.677320209285739</v>
      </c>
      <c r="AM21" s="797">
        <v>100.62335727562503</v>
      </c>
      <c r="AN21" s="797">
        <v>105.56939434196431</v>
      </c>
      <c r="AO21" s="797">
        <v>110.5154314083036</v>
      </c>
      <c r="AP21" s="797">
        <v>115.46146847464288</v>
      </c>
      <c r="AQ21" s="797">
        <v>120.40750554098217</v>
      </c>
      <c r="AR21" s="797">
        <v>125.35354260732146</v>
      </c>
      <c r="AS21" s="797">
        <v>130.29957967366073</v>
      </c>
      <c r="AT21" s="797">
        <v>135.24561674000003</v>
      </c>
      <c r="AU21" s="797">
        <v>140.1916538063393</v>
      </c>
      <c r="AV21" s="797">
        <v>145.1376908726786</v>
      </c>
      <c r="AW21" s="797">
        <v>150.08372793901788</v>
      </c>
      <c r="AX21" s="797">
        <v>155.02976500535718</v>
      </c>
      <c r="AY21" s="797">
        <v>159.97580207169645</v>
      </c>
      <c r="AZ21" s="797">
        <v>164.92183913803575</v>
      </c>
      <c r="BA21" s="798">
        <v>169.86787620437502</v>
      </c>
    </row>
    <row r="22" spans="1:53">
      <c r="A22" s="1912"/>
      <c r="B22" s="799">
        <v>1.6</v>
      </c>
      <c r="C22" s="796">
        <f>(AD22*KFC!$B$35+KFC!$C$35)*KFC!$C$5</f>
        <v>56.414662782428593</v>
      </c>
      <c r="D22" s="796">
        <f>(AE22*KFC!$B$35+KFC!$C$35)*KFC!$C$5</f>
        <v>61.437156617214313</v>
      </c>
      <c r="E22" s="796">
        <f>(AF22*KFC!$B$35+KFC!$C$35)*KFC!$C$5</f>
        <v>66.459650452000034</v>
      </c>
      <c r="F22" s="796">
        <f>(AG22*KFC!$B$35+KFC!$C$35)*KFC!$C$5</f>
        <v>71.482144286785754</v>
      </c>
      <c r="G22" s="796">
        <f>(AH22*KFC!$B$35+KFC!$C$35)*KFC!$C$5</f>
        <v>76.504638121571475</v>
      </c>
      <c r="H22" s="796">
        <f>(AI22*KFC!$B$35+KFC!$C$35)*KFC!$C$5</f>
        <v>81.527131956357181</v>
      </c>
      <c r="I22" s="796">
        <f>(AJ22*KFC!$B$35+KFC!$C$35)*KFC!$C$5</f>
        <v>86.549625791142901</v>
      </c>
      <c r="J22" s="796">
        <f>(AK22*KFC!$B$35+KFC!$C$35)*KFC!$C$5</f>
        <v>91.572119625928607</v>
      </c>
      <c r="K22" s="796">
        <f>(AL22*KFC!$B$35+KFC!$C$35)*KFC!$C$5</f>
        <v>96.594613460714328</v>
      </c>
      <c r="L22" s="796">
        <f>(AM22*KFC!$B$35+KFC!$C$35)*KFC!$C$5</f>
        <v>101.61710729550003</v>
      </c>
      <c r="M22" s="796">
        <f>(AN22*KFC!$B$35+KFC!$C$35)*KFC!$C$5</f>
        <v>106.63960113028574</v>
      </c>
      <c r="N22" s="796">
        <f>(AO22*KFC!$B$35+KFC!$C$35)*KFC!$C$5</f>
        <v>111.66209496507145</v>
      </c>
      <c r="O22" s="796">
        <f>(AP22*KFC!$B$35+KFC!$C$35)*KFC!$C$5</f>
        <v>116.68458879985715</v>
      </c>
      <c r="P22" s="796">
        <f>(AQ22*KFC!$B$35+KFC!$C$35)*KFC!$C$5</f>
        <v>121.70708263464287</v>
      </c>
      <c r="Q22" s="796">
        <f>(AR22*KFC!$B$35+KFC!$C$35)*KFC!$C$5</f>
        <v>126.72957646942858</v>
      </c>
      <c r="R22" s="796">
        <f>(AS22*KFC!$B$35+KFC!$C$35)*KFC!$C$5</f>
        <v>131.7520703042143</v>
      </c>
      <c r="S22" s="796">
        <f>(AT22*KFC!$B$35+KFC!$C$35)*KFC!$C$5</f>
        <v>136.77456413900001</v>
      </c>
      <c r="T22" s="796">
        <f>(AU22*KFC!$B$35+KFC!$C$35)*KFC!$C$5</f>
        <v>141.79705797378571</v>
      </c>
      <c r="U22" s="796">
        <f>(AV22*KFC!$B$35+KFC!$C$35)*KFC!$C$5</f>
        <v>146.81955180857142</v>
      </c>
      <c r="V22" s="796">
        <f>(AW22*KFC!$B$35+KFC!$C$35)*KFC!$C$5</f>
        <v>151.84204564335712</v>
      </c>
      <c r="W22" s="796">
        <f>(AX22*KFC!$B$35+KFC!$C$35)*KFC!$C$5</f>
        <v>156.86453947814283</v>
      </c>
      <c r="X22" s="796">
        <f>(AY22*KFC!$B$35+KFC!$C$35)*KFC!$C$5</f>
        <v>161.88703331292854</v>
      </c>
      <c r="Y22" s="796">
        <f>(AZ22*KFC!$B$35+KFC!$C$35)*KFC!$C$5</f>
        <v>166.90952714771424</v>
      </c>
      <c r="Z22" s="814">
        <f>(BA22*KFC!$B$35+KFC!$C$35)*KFC!$C$5</f>
        <v>171.93202098249998</v>
      </c>
      <c r="AB22" s="1912"/>
      <c r="AC22" s="799">
        <v>1.6</v>
      </c>
      <c r="AD22" s="796">
        <v>56.414662782428593</v>
      </c>
      <c r="AE22" s="797">
        <v>61.437156617214313</v>
      </c>
      <c r="AF22" s="797">
        <v>66.459650452000034</v>
      </c>
      <c r="AG22" s="797">
        <v>71.482144286785754</v>
      </c>
      <c r="AH22" s="797">
        <v>76.504638121571475</v>
      </c>
      <c r="AI22" s="797">
        <v>81.527131956357181</v>
      </c>
      <c r="AJ22" s="797">
        <v>86.549625791142901</v>
      </c>
      <c r="AK22" s="797">
        <v>91.572119625928607</v>
      </c>
      <c r="AL22" s="797">
        <v>96.594613460714328</v>
      </c>
      <c r="AM22" s="797">
        <v>101.61710729550003</v>
      </c>
      <c r="AN22" s="797">
        <v>106.63960113028574</v>
      </c>
      <c r="AO22" s="797">
        <v>111.66209496507145</v>
      </c>
      <c r="AP22" s="797">
        <v>116.68458879985715</v>
      </c>
      <c r="AQ22" s="797">
        <v>121.70708263464287</v>
      </c>
      <c r="AR22" s="797">
        <v>126.72957646942858</v>
      </c>
      <c r="AS22" s="797">
        <v>131.7520703042143</v>
      </c>
      <c r="AT22" s="797">
        <v>136.77456413900001</v>
      </c>
      <c r="AU22" s="797">
        <v>141.79705797378571</v>
      </c>
      <c r="AV22" s="797">
        <v>146.81955180857142</v>
      </c>
      <c r="AW22" s="797">
        <v>151.84204564335712</v>
      </c>
      <c r="AX22" s="797">
        <v>156.86453947814283</v>
      </c>
      <c r="AY22" s="797">
        <v>161.88703331292854</v>
      </c>
      <c r="AZ22" s="797">
        <v>166.90952714771424</v>
      </c>
      <c r="BA22" s="798">
        <v>171.93202098249998</v>
      </c>
    </row>
    <row r="23" spans="1:53">
      <c r="A23" s="1912"/>
      <c r="B23" s="799">
        <v>1.7</v>
      </c>
      <c r="C23" s="796">
        <f>(AD23*KFC!$B$35+KFC!$C$35)*KFC!$C$5</f>
        <v>56.720301886285739</v>
      </c>
      <c r="D23" s="796">
        <f>(AE23*KFC!$B$35+KFC!$C$35)*KFC!$C$5</f>
        <v>61.819252489517879</v>
      </c>
      <c r="E23" s="796">
        <f>(AF23*KFC!$B$35+KFC!$C$35)*KFC!$C$5</f>
        <v>66.918203092750019</v>
      </c>
      <c r="F23" s="796">
        <f>(AG23*KFC!$B$35+KFC!$C$35)*KFC!$C$5</f>
        <v>72.017153695982159</v>
      </c>
      <c r="G23" s="796">
        <f>(AH23*KFC!$B$35+KFC!$C$35)*KFC!$C$5</f>
        <v>77.116104299214314</v>
      </c>
      <c r="H23" s="796">
        <f>(AI23*KFC!$B$35+KFC!$C$35)*KFC!$C$5</f>
        <v>82.215054902446454</v>
      </c>
      <c r="I23" s="796">
        <f>(AJ23*KFC!$B$35+KFC!$C$35)*KFC!$C$5</f>
        <v>87.314005505678608</v>
      </c>
      <c r="J23" s="796">
        <f>(AK23*KFC!$B$35+KFC!$C$35)*KFC!$C$5</f>
        <v>92.412956108910748</v>
      </c>
      <c r="K23" s="796">
        <f>(AL23*KFC!$B$35+KFC!$C$35)*KFC!$C$5</f>
        <v>97.511906712142903</v>
      </c>
      <c r="L23" s="796">
        <f>(AM23*KFC!$B$35+KFC!$C$35)*KFC!$C$5</f>
        <v>102.61085731537506</v>
      </c>
      <c r="M23" s="796">
        <f>(AN23*KFC!$B$35+KFC!$C$35)*KFC!$C$5</f>
        <v>107.70980791860721</v>
      </c>
      <c r="N23" s="796">
        <f>(AO23*KFC!$B$35+KFC!$C$35)*KFC!$C$5</f>
        <v>112.80875852183937</v>
      </c>
      <c r="O23" s="796">
        <f>(AP23*KFC!$B$35+KFC!$C$35)*KFC!$C$5</f>
        <v>117.90770912507151</v>
      </c>
      <c r="P23" s="796">
        <f>(AQ23*KFC!$B$35+KFC!$C$35)*KFC!$C$5</f>
        <v>123.00665972830366</v>
      </c>
      <c r="Q23" s="796">
        <f>(AR23*KFC!$B$35+KFC!$C$35)*KFC!$C$5</f>
        <v>128.10561033153581</v>
      </c>
      <c r="R23" s="796">
        <f>(AS23*KFC!$B$35+KFC!$C$35)*KFC!$C$5</f>
        <v>133.20456093476795</v>
      </c>
      <c r="S23" s="796">
        <f>(AT23*KFC!$B$35+KFC!$C$35)*KFC!$C$5</f>
        <v>138.30351153800012</v>
      </c>
      <c r="T23" s="796">
        <f>(AU23*KFC!$B$35+KFC!$C$35)*KFC!$C$5</f>
        <v>143.40246214123226</v>
      </c>
      <c r="U23" s="796">
        <f>(AV23*KFC!$B$35+KFC!$C$35)*KFC!$C$5</f>
        <v>148.50141274446443</v>
      </c>
      <c r="V23" s="796">
        <f>(AW23*KFC!$B$35+KFC!$C$35)*KFC!$C$5</f>
        <v>153.60036334769657</v>
      </c>
      <c r="W23" s="796">
        <f>(AX23*KFC!$B$35+KFC!$C$35)*KFC!$C$5</f>
        <v>158.69931395092871</v>
      </c>
      <c r="X23" s="796">
        <f>(AY23*KFC!$B$35+KFC!$C$35)*KFC!$C$5</f>
        <v>163.79826455416088</v>
      </c>
      <c r="Y23" s="796">
        <f>(AZ23*KFC!$B$35+KFC!$C$35)*KFC!$C$5</f>
        <v>168.89721515739302</v>
      </c>
      <c r="Z23" s="814">
        <f>(BA23*KFC!$B$35+KFC!$C$35)*KFC!$C$5</f>
        <v>173.99616576062516</v>
      </c>
      <c r="AB23" s="1912"/>
      <c r="AC23" s="799">
        <v>1.7</v>
      </c>
      <c r="AD23" s="796">
        <v>56.720301886285739</v>
      </c>
      <c r="AE23" s="797">
        <v>61.819252489517879</v>
      </c>
      <c r="AF23" s="797">
        <v>66.918203092750019</v>
      </c>
      <c r="AG23" s="797">
        <v>72.017153695982159</v>
      </c>
      <c r="AH23" s="797">
        <v>77.116104299214314</v>
      </c>
      <c r="AI23" s="797">
        <v>82.215054902446454</v>
      </c>
      <c r="AJ23" s="797">
        <v>87.314005505678608</v>
      </c>
      <c r="AK23" s="797">
        <v>92.412956108910748</v>
      </c>
      <c r="AL23" s="797">
        <v>97.511906712142903</v>
      </c>
      <c r="AM23" s="797">
        <v>102.61085731537506</v>
      </c>
      <c r="AN23" s="797">
        <v>107.70980791860721</v>
      </c>
      <c r="AO23" s="797">
        <v>112.80875852183937</v>
      </c>
      <c r="AP23" s="797">
        <v>117.90770912507151</v>
      </c>
      <c r="AQ23" s="797">
        <v>123.00665972830366</v>
      </c>
      <c r="AR23" s="797">
        <v>128.10561033153581</v>
      </c>
      <c r="AS23" s="797">
        <v>133.20456093476795</v>
      </c>
      <c r="AT23" s="797">
        <v>138.30351153800012</v>
      </c>
      <c r="AU23" s="797">
        <v>143.40246214123226</v>
      </c>
      <c r="AV23" s="797">
        <v>148.50141274446443</v>
      </c>
      <c r="AW23" s="797">
        <v>153.60036334769657</v>
      </c>
      <c r="AX23" s="797">
        <v>158.69931395092871</v>
      </c>
      <c r="AY23" s="797">
        <v>163.79826455416088</v>
      </c>
      <c r="AZ23" s="797">
        <v>168.89721515739302</v>
      </c>
      <c r="BA23" s="798">
        <v>173.99616576062516</v>
      </c>
    </row>
    <row r="24" spans="1:53">
      <c r="A24" s="1912"/>
      <c r="B24" s="799">
        <v>1.8</v>
      </c>
      <c r="C24" s="796">
        <f>(AD24*KFC!$B$35+KFC!$C$35)*KFC!$C$5</f>
        <v>57.025940990142885</v>
      </c>
      <c r="D24" s="796">
        <f>(AE24*KFC!$B$35+KFC!$C$35)*KFC!$C$5</f>
        <v>62.201348361821459</v>
      </c>
      <c r="E24" s="796">
        <f>(AF24*KFC!$B$35+KFC!$C$35)*KFC!$C$5</f>
        <v>67.376755733500033</v>
      </c>
      <c r="F24" s="796">
        <f>(AG24*KFC!$B$35+KFC!$C$35)*KFC!$C$5</f>
        <v>72.552163105178607</v>
      </c>
      <c r="G24" s="796">
        <f>(AH24*KFC!$B$35+KFC!$C$35)*KFC!$C$5</f>
        <v>77.727570476857181</v>
      </c>
      <c r="H24" s="796">
        <f>(AI24*KFC!$B$35+KFC!$C$35)*KFC!$C$5</f>
        <v>82.902977848535755</v>
      </c>
      <c r="I24" s="796">
        <f>(AJ24*KFC!$B$35+KFC!$C$35)*KFC!$C$5</f>
        <v>88.078385220214329</v>
      </c>
      <c r="J24" s="796">
        <f>(AK24*KFC!$B$35+KFC!$C$35)*KFC!$C$5</f>
        <v>93.253792591892903</v>
      </c>
      <c r="K24" s="796">
        <f>(AL24*KFC!$B$35+KFC!$C$35)*KFC!$C$5</f>
        <v>98.429199963571492</v>
      </c>
      <c r="L24" s="796">
        <f>(AM24*KFC!$B$35+KFC!$C$35)*KFC!$C$5</f>
        <v>103.60460733525007</v>
      </c>
      <c r="M24" s="796">
        <f>(AN24*KFC!$B$35+KFC!$C$35)*KFC!$C$5</f>
        <v>108.78001470692864</v>
      </c>
      <c r="N24" s="796">
        <f>(AO24*KFC!$B$35+KFC!$C$35)*KFC!$C$5</f>
        <v>113.95542207860721</v>
      </c>
      <c r="O24" s="796">
        <f>(AP24*KFC!$B$35+KFC!$C$35)*KFC!$C$5</f>
        <v>119.13082945028579</v>
      </c>
      <c r="P24" s="796">
        <f>(AQ24*KFC!$B$35+KFC!$C$35)*KFC!$C$5</f>
        <v>124.30623682196436</v>
      </c>
      <c r="Q24" s="796">
        <f>(AR24*KFC!$B$35+KFC!$C$35)*KFC!$C$5</f>
        <v>129.48164419364295</v>
      </c>
      <c r="R24" s="796">
        <f>(AS24*KFC!$B$35+KFC!$C$35)*KFC!$C$5</f>
        <v>134.65705156532152</v>
      </c>
      <c r="S24" s="796">
        <f>(AT24*KFC!$B$35+KFC!$C$35)*KFC!$C$5</f>
        <v>139.8324589370001</v>
      </c>
      <c r="T24" s="796">
        <f>(AU24*KFC!$B$35+KFC!$C$35)*KFC!$C$5</f>
        <v>145.00786630867867</v>
      </c>
      <c r="U24" s="796">
        <f>(AV24*KFC!$B$35+KFC!$C$35)*KFC!$C$5</f>
        <v>150.18327368035725</v>
      </c>
      <c r="V24" s="796">
        <f>(AW24*KFC!$B$35+KFC!$C$35)*KFC!$C$5</f>
        <v>155.35868105203582</v>
      </c>
      <c r="W24" s="796">
        <f>(AX24*KFC!$B$35+KFC!$C$35)*KFC!$C$5</f>
        <v>160.53408842371439</v>
      </c>
      <c r="X24" s="796">
        <f>(AY24*KFC!$B$35+KFC!$C$35)*KFC!$C$5</f>
        <v>165.70949579539297</v>
      </c>
      <c r="Y24" s="796">
        <f>(AZ24*KFC!$B$35+KFC!$C$35)*KFC!$C$5</f>
        <v>170.88490316707154</v>
      </c>
      <c r="Z24" s="814">
        <f>(BA24*KFC!$B$35+KFC!$C$35)*KFC!$C$5</f>
        <v>176.06031053875012</v>
      </c>
      <c r="AB24" s="1912"/>
      <c r="AC24" s="799">
        <v>1.8</v>
      </c>
      <c r="AD24" s="796">
        <v>57.025940990142885</v>
      </c>
      <c r="AE24" s="797">
        <v>62.201348361821459</v>
      </c>
      <c r="AF24" s="797">
        <v>67.376755733500033</v>
      </c>
      <c r="AG24" s="797">
        <v>72.552163105178607</v>
      </c>
      <c r="AH24" s="797">
        <v>77.727570476857181</v>
      </c>
      <c r="AI24" s="797">
        <v>82.902977848535755</v>
      </c>
      <c r="AJ24" s="797">
        <v>88.078385220214329</v>
      </c>
      <c r="AK24" s="797">
        <v>93.253792591892903</v>
      </c>
      <c r="AL24" s="797">
        <v>98.429199963571492</v>
      </c>
      <c r="AM24" s="797">
        <v>103.60460733525007</v>
      </c>
      <c r="AN24" s="797">
        <v>108.78001470692864</v>
      </c>
      <c r="AO24" s="797">
        <v>113.95542207860721</v>
      </c>
      <c r="AP24" s="797">
        <v>119.13082945028579</v>
      </c>
      <c r="AQ24" s="797">
        <v>124.30623682196436</v>
      </c>
      <c r="AR24" s="797">
        <v>129.48164419364295</v>
      </c>
      <c r="AS24" s="797">
        <v>134.65705156532152</v>
      </c>
      <c r="AT24" s="797">
        <v>139.8324589370001</v>
      </c>
      <c r="AU24" s="797">
        <v>145.00786630867867</v>
      </c>
      <c r="AV24" s="797">
        <v>150.18327368035725</v>
      </c>
      <c r="AW24" s="797">
        <v>155.35868105203582</v>
      </c>
      <c r="AX24" s="797">
        <v>160.53408842371439</v>
      </c>
      <c r="AY24" s="797">
        <v>165.70949579539297</v>
      </c>
      <c r="AZ24" s="797">
        <v>170.88490316707154</v>
      </c>
      <c r="BA24" s="798">
        <v>176.06031053875012</v>
      </c>
    </row>
    <row r="25" spans="1:53">
      <c r="A25" s="1912"/>
      <c r="B25" s="799">
        <v>1.9</v>
      </c>
      <c r="C25" s="796">
        <f>(AD25*KFC!$B$35+KFC!$C$35)*KFC!$C$5</f>
        <v>57.331580094000032</v>
      </c>
      <c r="D25" s="796">
        <f>(AE25*KFC!$B$35+KFC!$C$35)*KFC!$C$5</f>
        <v>62.583444234125025</v>
      </c>
      <c r="E25" s="796">
        <f>(AF25*KFC!$B$35+KFC!$C$35)*KFC!$C$5</f>
        <v>67.835308374250033</v>
      </c>
      <c r="F25" s="796">
        <f>(AG25*KFC!$B$35+KFC!$C$35)*KFC!$C$5</f>
        <v>73.087172514375027</v>
      </c>
      <c r="G25" s="796">
        <f>(AH25*KFC!$B$35+KFC!$C$35)*KFC!$C$5</f>
        <v>78.339036654500021</v>
      </c>
      <c r="H25" s="796">
        <f>(AI25*KFC!$B$35+KFC!$C$35)*KFC!$C$5</f>
        <v>83.590900794625028</v>
      </c>
      <c r="I25" s="796">
        <f>(AJ25*KFC!$B$35+KFC!$C$35)*KFC!$C$5</f>
        <v>88.842764934750036</v>
      </c>
      <c r="J25" s="796">
        <f>(AK25*KFC!$B$35+KFC!$C$35)*KFC!$C$5</f>
        <v>94.09462907487503</v>
      </c>
      <c r="K25" s="796">
        <f>(AL25*KFC!$B$35+KFC!$C$35)*KFC!$C$5</f>
        <v>99.346493215000024</v>
      </c>
      <c r="L25" s="796">
        <f>(AM25*KFC!$B$35+KFC!$C$35)*KFC!$C$5</f>
        <v>104.59835735512503</v>
      </c>
      <c r="M25" s="796">
        <f>(AN25*KFC!$B$35+KFC!$C$35)*KFC!$C$5</f>
        <v>109.85022149525003</v>
      </c>
      <c r="N25" s="796">
        <f>(AO25*KFC!$B$35+KFC!$C$35)*KFC!$C$5</f>
        <v>115.10208563537502</v>
      </c>
      <c r="O25" s="796">
        <f>(AP25*KFC!$B$35+KFC!$C$35)*KFC!$C$5</f>
        <v>120.35394977550003</v>
      </c>
      <c r="P25" s="796">
        <f>(AQ25*KFC!$B$35+KFC!$C$35)*KFC!$C$5</f>
        <v>125.60581391562502</v>
      </c>
      <c r="Q25" s="796">
        <f>(AR25*KFC!$B$35+KFC!$C$35)*KFC!$C$5</f>
        <v>130.85767805575003</v>
      </c>
      <c r="R25" s="796">
        <f>(AS25*KFC!$B$35+KFC!$C$35)*KFC!$C$5</f>
        <v>136.10954219587501</v>
      </c>
      <c r="S25" s="796">
        <f>(AT25*KFC!$B$35+KFC!$C$35)*KFC!$C$5</f>
        <v>141.36140633600002</v>
      </c>
      <c r="T25" s="796">
        <f>(AU25*KFC!$B$35+KFC!$C$35)*KFC!$C$5</f>
        <v>146.61327047612502</v>
      </c>
      <c r="U25" s="796">
        <f>(AV25*KFC!$B$35+KFC!$C$35)*KFC!$C$5</f>
        <v>151.86513461625003</v>
      </c>
      <c r="V25" s="796">
        <f>(AW25*KFC!$B$35+KFC!$C$35)*KFC!$C$5</f>
        <v>157.11699875637501</v>
      </c>
      <c r="W25" s="796">
        <f>(AX25*KFC!$B$35+KFC!$C$35)*KFC!$C$5</f>
        <v>162.36886289650002</v>
      </c>
      <c r="X25" s="796">
        <f>(AY25*KFC!$B$35+KFC!$C$35)*KFC!$C$5</f>
        <v>167.62072703662503</v>
      </c>
      <c r="Y25" s="796">
        <f>(AZ25*KFC!$B$35+KFC!$C$35)*KFC!$C$5</f>
        <v>172.87259117675001</v>
      </c>
      <c r="Z25" s="814">
        <f>(BA25*KFC!$B$35+KFC!$C$35)*KFC!$C$5</f>
        <v>178.12445531687504</v>
      </c>
      <c r="AB25" s="1912"/>
      <c r="AC25" s="799">
        <v>1.9</v>
      </c>
      <c r="AD25" s="796">
        <v>57.331580094000032</v>
      </c>
      <c r="AE25" s="797">
        <v>62.583444234125025</v>
      </c>
      <c r="AF25" s="797">
        <v>67.835308374250033</v>
      </c>
      <c r="AG25" s="797">
        <v>73.087172514375027</v>
      </c>
      <c r="AH25" s="797">
        <v>78.339036654500021</v>
      </c>
      <c r="AI25" s="797">
        <v>83.590900794625028</v>
      </c>
      <c r="AJ25" s="797">
        <v>88.842764934750036</v>
      </c>
      <c r="AK25" s="797">
        <v>94.09462907487503</v>
      </c>
      <c r="AL25" s="797">
        <v>99.346493215000024</v>
      </c>
      <c r="AM25" s="797">
        <v>104.59835735512503</v>
      </c>
      <c r="AN25" s="797">
        <v>109.85022149525003</v>
      </c>
      <c r="AO25" s="797">
        <v>115.10208563537502</v>
      </c>
      <c r="AP25" s="797">
        <v>120.35394977550003</v>
      </c>
      <c r="AQ25" s="797">
        <v>125.60581391562502</v>
      </c>
      <c r="AR25" s="797">
        <v>130.85767805575003</v>
      </c>
      <c r="AS25" s="797">
        <v>136.10954219587501</v>
      </c>
      <c r="AT25" s="797">
        <v>141.36140633600002</v>
      </c>
      <c r="AU25" s="797">
        <v>146.61327047612502</v>
      </c>
      <c r="AV25" s="797">
        <v>151.86513461625003</v>
      </c>
      <c r="AW25" s="797">
        <v>157.11699875637501</v>
      </c>
      <c r="AX25" s="797">
        <v>162.36886289650002</v>
      </c>
      <c r="AY25" s="797">
        <v>167.62072703662503</v>
      </c>
      <c r="AZ25" s="797">
        <v>172.87259117675001</v>
      </c>
      <c r="BA25" s="798">
        <v>178.12445531687504</v>
      </c>
    </row>
    <row r="26" spans="1:53">
      <c r="A26" s="1912"/>
      <c r="B26" s="799">
        <v>2</v>
      </c>
      <c r="C26" s="796">
        <f>(AD26*KFC!$B$35+KFC!$C$35)*KFC!$C$5</f>
        <v>57.637219197857178</v>
      </c>
      <c r="D26" s="796">
        <f>(AE26*KFC!$B$35+KFC!$C$35)*KFC!$C$5</f>
        <v>62.965540106428605</v>
      </c>
      <c r="E26" s="796">
        <f>(AF26*KFC!$B$35+KFC!$C$35)*KFC!$C$5</f>
        <v>68.293861015000033</v>
      </c>
      <c r="F26" s="796">
        <f>(AG26*KFC!$B$35+KFC!$C$35)*KFC!$C$5</f>
        <v>73.622181923571475</v>
      </c>
      <c r="G26" s="796">
        <f>(AH26*KFC!$B$35+KFC!$C$35)*KFC!$C$5</f>
        <v>78.950502832142902</v>
      </c>
      <c r="H26" s="796">
        <f>(AI26*KFC!$B$35+KFC!$C$35)*KFC!$C$5</f>
        <v>84.27882374071433</v>
      </c>
      <c r="I26" s="796">
        <f>(AJ26*KFC!$B$35+KFC!$C$35)*KFC!$C$5</f>
        <v>89.607144649285743</v>
      </c>
      <c r="J26" s="796">
        <f>(AK26*KFC!$B$35+KFC!$C$35)*KFC!$C$5</f>
        <v>94.935465557857171</v>
      </c>
      <c r="K26" s="796">
        <f>(AL26*KFC!$B$35+KFC!$C$35)*KFC!$C$5</f>
        <v>100.2637864664286</v>
      </c>
      <c r="L26" s="796">
        <f>(AM26*KFC!$B$35+KFC!$C$35)*KFC!$C$5</f>
        <v>105.59210737500001</v>
      </c>
      <c r="M26" s="796">
        <f>(AN26*KFC!$B$35+KFC!$C$35)*KFC!$C$5</f>
        <v>110.92042828357144</v>
      </c>
      <c r="N26" s="796">
        <f>(AO26*KFC!$B$35+KFC!$C$35)*KFC!$C$5</f>
        <v>116.24874919214285</v>
      </c>
      <c r="O26" s="796">
        <f>(AP26*KFC!$B$35+KFC!$C$35)*KFC!$C$5</f>
        <v>121.57707010071428</v>
      </c>
      <c r="P26" s="796">
        <f>(AQ26*KFC!$B$35+KFC!$C$35)*KFC!$C$5</f>
        <v>126.90539100928571</v>
      </c>
      <c r="Q26" s="796">
        <f>(AR26*KFC!$B$35+KFC!$C$35)*KFC!$C$5</f>
        <v>132.23371191785714</v>
      </c>
      <c r="R26" s="796">
        <f>(AS26*KFC!$B$35+KFC!$C$35)*KFC!$C$5</f>
        <v>137.56203282642855</v>
      </c>
      <c r="S26" s="796">
        <f>(AT26*KFC!$B$35+KFC!$C$35)*KFC!$C$5</f>
        <v>142.89035373499996</v>
      </c>
      <c r="T26" s="796">
        <f>(AU26*KFC!$B$35+KFC!$C$35)*KFC!$C$5</f>
        <v>148.2186746435714</v>
      </c>
      <c r="U26" s="796">
        <f>(AV26*KFC!$B$35+KFC!$C$35)*KFC!$C$5</f>
        <v>153.54699555214282</v>
      </c>
      <c r="V26" s="796">
        <f>(AW26*KFC!$B$35+KFC!$C$35)*KFC!$C$5</f>
        <v>158.87531646071423</v>
      </c>
      <c r="W26" s="796">
        <f>(AX26*KFC!$B$35+KFC!$C$35)*KFC!$C$5</f>
        <v>164.20363736928567</v>
      </c>
      <c r="X26" s="796">
        <f>(AY26*KFC!$B$35+KFC!$C$35)*KFC!$C$5</f>
        <v>169.53195827785711</v>
      </c>
      <c r="Y26" s="796">
        <f>(AZ26*KFC!$B$35+KFC!$C$35)*KFC!$C$5</f>
        <v>174.86027918642853</v>
      </c>
      <c r="Z26" s="814">
        <f>(BA26*KFC!$B$35+KFC!$C$35)*KFC!$C$5</f>
        <v>180.18860009499994</v>
      </c>
      <c r="AB26" s="1912"/>
      <c r="AC26" s="799">
        <v>2</v>
      </c>
      <c r="AD26" s="796">
        <v>57.637219197857178</v>
      </c>
      <c r="AE26" s="797">
        <v>62.965540106428605</v>
      </c>
      <c r="AF26" s="797">
        <v>68.293861015000033</v>
      </c>
      <c r="AG26" s="797">
        <v>73.622181923571475</v>
      </c>
      <c r="AH26" s="797">
        <v>78.950502832142902</v>
      </c>
      <c r="AI26" s="797">
        <v>84.27882374071433</v>
      </c>
      <c r="AJ26" s="797">
        <v>89.607144649285743</v>
      </c>
      <c r="AK26" s="797">
        <v>94.935465557857171</v>
      </c>
      <c r="AL26" s="797">
        <v>100.2637864664286</v>
      </c>
      <c r="AM26" s="797">
        <v>105.59210737500001</v>
      </c>
      <c r="AN26" s="797">
        <v>110.92042828357144</v>
      </c>
      <c r="AO26" s="797">
        <v>116.24874919214285</v>
      </c>
      <c r="AP26" s="797">
        <v>121.57707010071428</v>
      </c>
      <c r="AQ26" s="797">
        <v>126.90539100928571</v>
      </c>
      <c r="AR26" s="797">
        <v>132.23371191785714</v>
      </c>
      <c r="AS26" s="797">
        <v>137.56203282642855</v>
      </c>
      <c r="AT26" s="797">
        <v>142.89035373499996</v>
      </c>
      <c r="AU26" s="797">
        <v>148.2186746435714</v>
      </c>
      <c r="AV26" s="797">
        <v>153.54699555214282</v>
      </c>
      <c r="AW26" s="797">
        <v>158.87531646071423</v>
      </c>
      <c r="AX26" s="797">
        <v>164.20363736928567</v>
      </c>
      <c r="AY26" s="797">
        <v>169.53195827785711</v>
      </c>
      <c r="AZ26" s="797">
        <v>174.86027918642853</v>
      </c>
      <c r="BA26" s="798">
        <v>180.18860009499994</v>
      </c>
    </row>
    <row r="27" spans="1:53">
      <c r="A27" s="1912"/>
      <c r="B27" s="799">
        <v>2.1</v>
      </c>
      <c r="C27" s="796">
        <f>(AD27*KFC!$B$35+KFC!$C$35)*KFC!$C$5</f>
        <v>57.942858301714317</v>
      </c>
      <c r="D27" s="796">
        <f>(AE27*KFC!$B$35+KFC!$C$35)*KFC!$C$5</f>
        <v>63.347635978732178</v>
      </c>
      <c r="E27" s="796">
        <f>(AF27*KFC!$B$35+KFC!$C$35)*KFC!$C$5</f>
        <v>68.752413655750047</v>
      </c>
      <c r="F27" s="796">
        <f>(AG27*KFC!$B$35+KFC!$C$35)*KFC!$C$5</f>
        <v>74.157191332767908</v>
      </c>
      <c r="G27" s="796">
        <f>(AH27*KFC!$B$35+KFC!$C$35)*KFC!$C$5</f>
        <v>79.56196900978577</v>
      </c>
      <c r="H27" s="796">
        <f>(AI27*KFC!$B$35+KFC!$C$35)*KFC!$C$5</f>
        <v>84.966746686803631</v>
      </c>
      <c r="I27" s="796">
        <f>(AJ27*KFC!$B$35+KFC!$C$35)*KFC!$C$5</f>
        <v>90.371524363821493</v>
      </c>
      <c r="J27" s="796">
        <f>(AK27*KFC!$B$35+KFC!$C$35)*KFC!$C$5</f>
        <v>95.776302040839369</v>
      </c>
      <c r="K27" s="796">
        <f>(AL27*KFC!$B$35+KFC!$C$35)*KFC!$C$5</f>
        <v>101.18107971785723</v>
      </c>
      <c r="L27" s="796">
        <f>(AM27*KFC!$B$35+KFC!$C$35)*KFC!$C$5</f>
        <v>106.58585739487509</v>
      </c>
      <c r="M27" s="796">
        <f>(AN27*KFC!$B$35+KFC!$C$35)*KFC!$C$5</f>
        <v>111.99063507189295</v>
      </c>
      <c r="N27" s="796">
        <f>(AO27*KFC!$B$35+KFC!$C$35)*KFC!$C$5</f>
        <v>117.39541274891083</v>
      </c>
      <c r="O27" s="796">
        <f>(AP27*KFC!$B$35+KFC!$C$35)*KFC!$C$5</f>
        <v>122.80019042592869</v>
      </c>
      <c r="P27" s="796">
        <f>(AQ27*KFC!$B$35+KFC!$C$35)*KFC!$C$5</f>
        <v>128.20496810294657</v>
      </c>
      <c r="Q27" s="796">
        <f>(AR27*KFC!$B$35+KFC!$C$35)*KFC!$C$5</f>
        <v>133.60974577996441</v>
      </c>
      <c r="R27" s="796">
        <f>(AS27*KFC!$B$35+KFC!$C$35)*KFC!$C$5</f>
        <v>139.01452345698229</v>
      </c>
      <c r="S27" s="796">
        <f>(AT27*KFC!$B$35+KFC!$C$35)*KFC!$C$5</f>
        <v>144.41930113400014</v>
      </c>
      <c r="T27" s="796">
        <f>(AU27*KFC!$B$35+KFC!$C$35)*KFC!$C$5</f>
        <v>149.82407881101801</v>
      </c>
      <c r="U27" s="796">
        <f>(AV27*KFC!$B$35+KFC!$C$35)*KFC!$C$5</f>
        <v>155.22885648803589</v>
      </c>
      <c r="V27" s="796">
        <f>(AW27*KFC!$B$35+KFC!$C$35)*KFC!$C$5</f>
        <v>160.63363416505373</v>
      </c>
      <c r="W27" s="796">
        <f>(AX27*KFC!$B$35+KFC!$C$35)*KFC!$C$5</f>
        <v>166.03841184207161</v>
      </c>
      <c r="X27" s="796">
        <f>(AY27*KFC!$B$35+KFC!$C$35)*KFC!$C$5</f>
        <v>171.44318951908949</v>
      </c>
      <c r="Y27" s="796">
        <f>(AZ27*KFC!$B$35+KFC!$C$35)*KFC!$C$5</f>
        <v>176.84796719610733</v>
      </c>
      <c r="Z27" s="814">
        <f>(BA27*KFC!$B$35+KFC!$C$35)*KFC!$C$5</f>
        <v>182.25274487312521</v>
      </c>
      <c r="AB27" s="1912"/>
      <c r="AC27" s="799">
        <v>2.1</v>
      </c>
      <c r="AD27" s="796">
        <v>57.942858301714317</v>
      </c>
      <c r="AE27" s="797">
        <v>63.347635978732178</v>
      </c>
      <c r="AF27" s="797">
        <v>68.752413655750047</v>
      </c>
      <c r="AG27" s="797">
        <v>74.157191332767908</v>
      </c>
      <c r="AH27" s="797">
        <v>79.56196900978577</v>
      </c>
      <c r="AI27" s="797">
        <v>84.966746686803631</v>
      </c>
      <c r="AJ27" s="797">
        <v>90.371524363821493</v>
      </c>
      <c r="AK27" s="797">
        <v>95.776302040839369</v>
      </c>
      <c r="AL27" s="797">
        <v>101.18107971785723</v>
      </c>
      <c r="AM27" s="797">
        <v>106.58585739487509</v>
      </c>
      <c r="AN27" s="797">
        <v>111.99063507189295</v>
      </c>
      <c r="AO27" s="797">
        <v>117.39541274891083</v>
      </c>
      <c r="AP27" s="797">
        <v>122.80019042592869</v>
      </c>
      <c r="AQ27" s="797">
        <v>128.20496810294657</v>
      </c>
      <c r="AR27" s="797">
        <v>133.60974577996441</v>
      </c>
      <c r="AS27" s="797">
        <v>139.01452345698229</v>
      </c>
      <c r="AT27" s="797">
        <v>144.41930113400014</v>
      </c>
      <c r="AU27" s="797">
        <v>149.82407881101801</v>
      </c>
      <c r="AV27" s="797">
        <v>155.22885648803589</v>
      </c>
      <c r="AW27" s="797">
        <v>160.63363416505373</v>
      </c>
      <c r="AX27" s="797">
        <v>166.03841184207161</v>
      </c>
      <c r="AY27" s="797">
        <v>171.44318951908949</v>
      </c>
      <c r="AZ27" s="797">
        <v>176.84796719610733</v>
      </c>
      <c r="BA27" s="798">
        <v>182.25274487312521</v>
      </c>
    </row>
    <row r="28" spans="1:53">
      <c r="A28" s="1912"/>
      <c r="B28" s="799">
        <v>2.2000000000000002</v>
      </c>
      <c r="C28" s="796">
        <f>(AD28*KFC!$B$35+KFC!$C$35)*KFC!$C$5</f>
        <v>58.248497405571463</v>
      </c>
      <c r="D28" s="796">
        <f>(AE28*KFC!$B$35+KFC!$C$35)*KFC!$C$5</f>
        <v>63.729731851035751</v>
      </c>
      <c r="E28" s="796">
        <f>(AF28*KFC!$B$35+KFC!$C$35)*KFC!$C$5</f>
        <v>69.210966296500047</v>
      </c>
      <c r="F28" s="796">
        <f>(AG28*KFC!$B$35+KFC!$C$35)*KFC!$C$5</f>
        <v>74.692200741964328</v>
      </c>
      <c r="G28" s="796">
        <f>(AH28*KFC!$B$35+KFC!$C$35)*KFC!$C$5</f>
        <v>80.173435187428623</v>
      </c>
      <c r="H28" s="796">
        <f>(AI28*KFC!$B$35+KFC!$C$35)*KFC!$C$5</f>
        <v>85.654669632892904</v>
      </c>
      <c r="I28" s="796">
        <f>(AJ28*KFC!$B$35+KFC!$C$35)*KFC!$C$5</f>
        <v>91.1359040783572</v>
      </c>
      <c r="J28" s="796">
        <f>(AK28*KFC!$B$35+KFC!$C$35)*KFC!$C$5</f>
        <v>96.617138523821481</v>
      </c>
      <c r="K28" s="796">
        <f>(AL28*KFC!$B$35+KFC!$C$35)*KFC!$C$5</f>
        <v>102.09837296928578</v>
      </c>
      <c r="L28" s="796">
        <f>(AM28*KFC!$B$35+KFC!$C$35)*KFC!$C$5</f>
        <v>107.57960741475006</v>
      </c>
      <c r="M28" s="796">
        <f>(AN28*KFC!$B$35+KFC!$C$35)*KFC!$C$5</f>
        <v>113.06084186021435</v>
      </c>
      <c r="N28" s="796">
        <f>(AO28*KFC!$B$35+KFC!$C$35)*KFC!$C$5</f>
        <v>118.54207630567863</v>
      </c>
      <c r="O28" s="796">
        <f>(AP28*KFC!$B$35+KFC!$C$35)*KFC!$C$5</f>
        <v>124.02331075114293</v>
      </c>
      <c r="P28" s="796">
        <f>(AQ28*KFC!$B$35+KFC!$C$35)*KFC!$C$5</f>
        <v>129.50454519660721</v>
      </c>
      <c r="Q28" s="796">
        <f>(AR28*KFC!$B$35+KFC!$C$35)*KFC!$C$5</f>
        <v>134.98577964207149</v>
      </c>
      <c r="R28" s="796">
        <f>(AS28*KFC!$B$35+KFC!$C$35)*KFC!$C$5</f>
        <v>140.4670140875358</v>
      </c>
      <c r="S28" s="796">
        <f>(AT28*KFC!$B$35+KFC!$C$35)*KFC!$C$5</f>
        <v>145.94824853300008</v>
      </c>
      <c r="T28" s="796">
        <f>(AU28*KFC!$B$35+KFC!$C$35)*KFC!$C$5</f>
        <v>151.42948297846436</v>
      </c>
      <c r="U28" s="796">
        <f>(AV28*KFC!$B$35+KFC!$C$35)*KFC!$C$5</f>
        <v>156.91071742392865</v>
      </c>
      <c r="V28" s="796">
        <f>(AW28*KFC!$B$35+KFC!$C$35)*KFC!$C$5</f>
        <v>162.39195186939295</v>
      </c>
      <c r="W28" s="796">
        <f>(AX28*KFC!$B$35+KFC!$C$35)*KFC!$C$5</f>
        <v>167.87318631485724</v>
      </c>
      <c r="X28" s="796">
        <f>(AY28*KFC!$B$35+KFC!$C$35)*KFC!$C$5</f>
        <v>173.35442076032152</v>
      </c>
      <c r="Y28" s="796">
        <f>(AZ28*KFC!$B$35+KFC!$C$35)*KFC!$C$5</f>
        <v>178.83565520578583</v>
      </c>
      <c r="Z28" s="814">
        <f>(BA28*KFC!$B$35+KFC!$C$35)*KFC!$C$5</f>
        <v>184.31688965125011</v>
      </c>
      <c r="AB28" s="1912"/>
      <c r="AC28" s="799">
        <v>2.2000000000000002</v>
      </c>
      <c r="AD28" s="796">
        <v>58.248497405571463</v>
      </c>
      <c r="AE28" s="797">
        <v>63.729731851035751</v>
      </c>
      <c r="AF28" s="797">
        <v>69.210966296500047</v>
      </c>
      <c r="AG28" s="797">
        <v>74.692200741964328</v>
      </c>
      <c r="AH28" s="797">
        <v>80.173435187428623</v>
      </c>
      <c r="AI28" s="797">
        <v>85.654669632892904</v>
      </c>
      <c r="AJ28" s="797">
        <v>91.1359040783572</v>
      </c>
      <c r="AK28" s="797">
        <v>96.617138523821481</v>
      </c>
      <c r="AL28" s="797">
        <v>102.09837296928578</v>
      </c>
      <c r="AM28" s="797">
        <v>107.57960741475006</v>
      </c>
      <c r="AN28" s="797">
        <v>113.06084186021435</v>
      </c>
      <c r="AO28" s="797">
        <v>118.54207630567863</v>
      </c>
      <c r="AP28" s="797">
        <v>124.02331075114293</v>
      </c>
      <c r="AQ28" s="797">
        <v>129.50454519660721</v>
      </c>
      <c r="AR28" s="797">
        <v>134.98577964207149</v>
      </c>
      <c r="AS28" s="797">
        <v>140.4670140875358</v>
      </c>
      <c r="AT28" s="797">
        <v>145.94824853300008</v>
      </c>
      <c r="AU28" s="797">
        <v>151.42948297846436</v>
      </c>
      <c r="AV28" s="797">
        <v>156.91071742392865</v>
      </c>
      <c r="AW28" s="797">
        <v>162.39195186939295</v>
      </c>
      <c r="AX28" s="797">
        <v>167.87318631485724</v>
      </c>
      <c r="AY28" s="797">
        <v>173.35442076032152</v>
      </c>
      <c r="AZ28" s="797">
        <v>178.83565520578583</v>
      </c>
      <c r="BA28" s="798">
        <v>184.31688965125011</v>
      </c>
    </row>
    <row r="29" spans="1:53">
      <c r="A29" s="1912"/>
      <c r="B29" s="799">
        <v>2.2999999999999998</v>
      </c>
      <c r="C29" s="796">
        <f>(AD29*KFC!$B$35+KFC!$C$35)*KFC!$C$5</f>
        <v>58.554136509428609</v>
      </c>
      <c r="D29" s="796">
        <f>(AE29*KFC!$B$35+KFC!$C$35)*KFC!$C$5</f>
        <v>64.111827723339331</v>
      </c>
      <c r="E29" s="796">
        <f>(AF29*KFC!$B$35+KFC!$C$35)*KFC!$C$5</f>
        <v>69.669518937250047</v>
      </c>
      <c r="F29" s="796">
        <f>(AG29*KFC!$B$35+KFC!$C$35)*KFC!$C$5</f>
        <v>75.227210151160762</v>
      </c>
      <c r="G29" s="796">
        <f>(AH29*KFC!$B$35+KFC!$C$35)*KFC!$C$5</f>
        <v>80.784901365071462</v>
      </c>
      <c r="H29" s="796">
        <f>(AI29*KFC!$B$35+KFC!$C$35)*KFC!$C$5</f>
        <v>86.342592578982178</v>
      </c>
      <c r="I29" s="796">
        <f>(AJ29*KFC!$B$35+KFC!$C$35)*KFC!$C$5</f>
        <v>91.900283792892893</v>
      </c>
      <c r="J29" s="796">
        <f>(AK29*KFC!$B$35+KFC!$C$35)*KFC!$C$5</f>
        <v>97.457975006803608</v>
      </c>
      <c r="K29" s="796">
        <f>(AL29*KFC!$B$35+KFC!$C$35)*KFC!$C$5</f>
        <v>103.01566622071432</v>
      </c>
      <c r="L29" s="796">
        <f>(AM29*KFC!$B$35+KFC!$C$35)*KFC!$C$5</f>
        <v>108.57335743462502</v>
      </c>
      <c r="M29" s="796">
        <f>(AN29*KFC!$B$35+KFC!$C$35)*KFC!$C$5</f>
        <v>114.13104864853574</v>
      </c>
      <c r="N29" s="796">
        <f>(AO29*KFC!$B$35+KFC!$C$35)*KFC!$C$5</f>
        <v>119.68873986244645</v>
      </c>
      <c r="O29" s="796">
        <f>(AP29*KFC!$B$35+KFC!$C$35)*KFC!$C$5</f>
        <v>125.24643107635717</v>
      </c>
      <c r="P29" s="796">
        <f>(AQ29*KFC!$B$35+KFC!$C$35)*KFC!$C$5</f>
        <v>130.80412229026788</v>
      </c>
      <c r="Q29" s="796">
        <f>(AR29*KFC!$B$35+KFC!$C$35)*KFC!$C$5</f>
        <v>136.3618135041786</v>
      </c>
      <c r="R29" s="796">
        <f>(AS29*KFC!$B$35+KFC!$C$35)*KFC!$C$5</f>
        <v>141.91950471808931</v>
      </c>
      <c r="S29" s="796">
        <f>(AT29*KFC!$B$35+KFC!$C$35)*KFC!$C$5</f>
        <v>147.477195932</v>
      </c>
      <c r="T29" s="796">
        <f>(AU29*KFC!$B$35+KFC!$C$35)*KFC!$C$5</f>
        <v>153.03488714591072</v>
      </c>
      <c r="U29" s="796">
        <f>(AV29*KFC!$B$35+KFC!$C$35)*KFC!$C$5</f>
        <v>158.59257835982143</v>
      </c>
      <c r="V29" s="796">
        <f>(AW29*KFC!$B$35+KFC!$C$35)*KFC!$C$5</f>
        <v>164.15026957373215</v>
      </c>
      <c r="W29" s="796">
        <f>(AX29*KFC!$B$35+KFC!$C$35)*KFC!$C$5</f>
        <v>169.70796078764286</v>
      </c>
      <c r="X29" s="796">
        <f>(AY29*KFC!$B$35+KFC!$C$35)*KFC!$C$5</f>
        <v>175.26565200155358</v>
      </c>
      <c r="Y29" s="796">
        <f>(AZ29*KFC!$B$35+KFC!$C$35)*KFC!$C$5</f>
        <v>180.82334321546429</v>
      </c>
      <c r="Z29" s="814">
        <f>(BA29*KFC!$B$35+KFC!$C$35)*KFC!$C$5</f>
        <v>186.38103442937501</v>
      </c>
      <c r="AB29" s="1912"/>
      <c r="AC29" s="799">
        <v>2.2999999999999998</v>
      </c>
      <c r="AD29" s="796">
        <v>58.554136509428609</v>
      </c>
      <c r="AE29" s="797">
        <v>64.111827723339331</v>
      </c>
      <c r="AF29" s="797">
        <v>69.669518937250047</v>
      </c>
      <c r="AG29" s="797">
        <v>75.227210151160762</v>
      </c>
      <c r="AH29" s="797">
        <v>80.784901365071462</v>
      </c>
      <c r="AI29" s="797">
        <v>86.342592578982178</v>
      </c>
      <c r="AJ29" s="797">
        <v>91.900283792892893</v>
      </c>
      <c r="AK29" s="797">
        <v>97.457975006803608</v>
      </c>
      <c r="AL29" s="797">
        <v>103.01566622071432</v>
      </c>
      <c r="AM29" s="797">
        <v>108.57335743462502</v>
      </c>
      <c r="AN29" s="797">
        <v>114.13104864853574</v>
      </c>
      <c r="AO29" s="797">
        <v>119.68873986244645</v>
      </c>
      <c r="AP29" s="797">
        <v>125.24643107635717</v>
      </c>
      <c r="AQ29" s="797">
        <v>130.80412229026788</v>
      </c>
      <c r="AR29" s="797">
        <v>136.3618135041786</v>
      </c>
      <c r="AS29" s="797">
        <v>141.91950471808931</v>
      </c>
      <c r="AT29" s="797">
        <v>147.477195932</v>
      </c>
      <c r="AU29" s="797">
        <v>153.03488714591072</v>
      </c>
      <c r="AV29" s="797">
        <v>158.59257835982143</v>
      </c>
      <c r="AW29" s="797">
        <v>164.15026957373215</v>
      </c>
      <c r="AX29" s="797">
        <v>169.70796078764286</v>
      </c>
      <c r="AY29" s="797">
        <v>175.26565200155358</v>
      </c>
      <c r="AZ29" s="797">
        <v>180.82334321546429</v>
      </c>
      <c r="BA29" s="798">
        <v>186.38103442937501</v>
      </c>
    </row>
    <row r="30" spans="1:53">
      <c r="A30" s="1912"/>
      <c r="B30" s="799">
        <v>2.4</v>
      </c>
      <c r="C30" s="796">
        <f>(AD30*KFC!$B$35+KFC!$C$35)*KFC!$C$5</f>
        <v>58.859775613285755</v>
      </c>
      <c r="D30" s="796">
        <f>(AE30*KFC!$B$35+KFC!$C$35)*KFC!$C$5</f>
        <v>64.493923595642897</v>
      </c>
      <c r="E30" s="796">
        <f>(AF30*KFC!$B$35+KFC!$C$35)*KFC!$C$5</f>
        <v>70.128071578000046</v>
      </c>
      <c r="F30" s="796">
        <f>(AG30*KFC!$B$35+KFC!$C$35)*KFC!$C$5</f>
        <v>75.762219560357195</v>
      </c>
      <c r="G30" s="796">
        <f>(AH30*KFC!$B$35+KFC!$C$35)*KFC!$C$5</f>
        <v>81.39636754271433</v>
      </c>
      <c r="H30" s="796">
        <f>(AI30*KFC!$B$35+KFC!$C$35)*KFC!$C$5</f>
        <v>87.030515525071493</v>
      </c>
      <c r="I30" s="796">
        <f>(AJ30*KFC!$B$35+KFC!$C$35)*KFC!$C$5</f>
        <v>92.664663507428642</v>
      </c>
      <c r="J30" s="796">
        <f>(AK30*KFC!$B$35+KFC!$C$35)*KFC!$C$5</f>
        <v>98.298811489785805</v>
      </c>
      <c r="K30" s="796">
        <f>(AL30*KFC!$B$35+KFC!$C$35)*KFC!$C$5</f>
        <v>103.93295947214295</v>
      </c>
      <c r="L30" s="796">
        <f>(AM30*KFC!$B$35+KFC!$C$35)*KFC!$C$5</f>
        <v>109.5671074545001</v>
      </c>
      <c r="M30" s="796">
        <f>(AN30*KFC!$B$35+KFC!$C$35)*KFC!$C$5</f>
        <v>115.20125543685727</v>
      </c>
      <c r="N30" s="796">
        <f>(AO30*KFC!$B$35+KFC!$C$35)*KFC!$C$5</f>
        <v>120.83540341921442</v>
      </c>
      <c r="O30" s="796">
        <f>(AP30*KFC!$B$35+KFC!$C$35)*KFC!$C$5</f>
        <v>126.46955140157158</v>
      </c>
      <c r="P30" s="796">
        <f>(AQ30*KFC!$B$35+KFC!$C$35)*KFC!$C$5</f>
        <v>132.10369938392873</v>
      </c>
      <c r="Q30" s="796">
        <f>(AR30*KFC!$B$35+KFC!$C$35)*KFC!$C$5</f>
        <v>137.73784736628588</v>
      </c>
      <c r="R30" s="796">
        <f>(AS30*KFC!$B$35+KFC!$C$35)*KFC!$C$5</f>
        <v>143.37199534864303</v>
      </c>
      <c r="S30" s="796">
        <f>(AT30*KFC!$B$35+KFC!$C$35)*KFC!$C$5</f>
        <v>149.0061433310002</v>
      </c>
      <c r="T30" s="796">
        <f>(AU30*KFC!$B$35+KFC!$C$35)*KFC!$C$5</f>
        <v>154.64029131335735</v>
      </c>
      <c r="U30" s="796">
        <f>(AV30*KFC!$B$35+KFC!$C$35)*KFC!$C$5</f>
        <v>160.2744392957145</v>
      </c>
      <c r="V30" s="796">
        <f>(AW30*KFC!$B$35+KFC!$C$35)*KFC!$C$5</f>
        <v>165.90858727807165</v>
      </c>
      <c r="W30" s="796">
        <f>(AX30*KFC!$B$35+KFC!$C$35)*KFC!$C$5</f>
        <v>171.5427352604288</v>
      </c>
      <c r="X30" s="796">
        <f>(AY30*KFC!$B$35+KFC!$C$35)*KFC!$C$5</f>
        <v>177.17688324278595</v>
      </c>
      <c r="Y30" s="796">
        <f>(AZ30*KFC!$B$35+KFC!$C$35)*KFC!$C$5</f>
        <v>182.8110312251431</v>
      </c>
      <c r="Z30" s="814">
        <f>(BA30*KFC!$B$35+KFC!$C$35)*KFC!$C$5</f>
        <v>188.44517920750025</v>
      </c>
      <c r="AB30" s="1912"/>
      <c r="AC30" s="799">
        <v>2.4</v>
      </c>
      <c r="AD30" s="796">
        <v>58.859775613285755</v>
      </c>
      <c r="AE30" s="797">
        <v>64.493923595642897</v>
      </c>
      <c r="AF30" s="797">
        <v>70.128071578000046</v>
      </c>
      <c r="AG30" s="797">
        <v>75.762219560357195</v>
      </c>
      <c r="AH30" s="797">
        <v>81.39636754271433</v>
      </c>
      <c r="AI30" s="797">
        <v>87.030515525071493</v>
      </c>
      <c r="AJ30" s="797">
        <v>92.664663507428642</v>
      </c>
      <c r="AK30" s="797">
        <v>98.298811489785805</v>
      </c>
      <c r="AL30" s="797">
        <v>103.93295947214295</v>
      </c>
      <c r="AM30" s="797">
        <v>109.5671074545001</v>
      </c>
      <c r="AN30" s="797">
        <v>115.20125543685727</v>
      </c>
      <c r="AO30" s="797">
        <v>120.83540341921442</v>
      </c>
      <c r="AP30" s="797">
        <v>126.46955140157158</v>
      </c>
      <c r="AQ30" s="797">
        <v>132.10369938392873</v>
      </c>
      <c r="AR30" s="797">
        <v>137.73784736628588</v>
      </c>
      <c r="AS30" s="797">
        <v>143.37199534864303</v>
      </c>
      <c r="AT30" s="797">
        <v>149.0061433310002</v>
      </c>
      <c r="AU30" s="797">
        <v>154.64029131335735</v>
      </c>
      <c r="AV30" s="797">
        <v>160.2744392957145</v>
      </c>
      <c r="AW30" s="797">
        <v>165.90858727807165</v>
      </c>
      <c r="AX30" s="797">
        <v>171.5427352604288</v>
      </c>
      <c r="AY30" s="797">
        <v>177.17688324278595</v>
      </c>
      <c r="AZ30" s="797">
        <v>182.8110312251431</v>
      </c>
      <c r="BA30" s="798">
        <v>188.44517920750025</v>
      </c>
    </row>
    <row r="31" spans="1:53">
      <c r="A31" s="1912"/>
      <c r="B31" s="799">
        <v>2.5</v>
      </c>
      <c r="C31" s="796">
        <f>(AD31*KFC!$B$35+KFC!$C$35)*KFC!$C$5</f>
        <v>59.165414717142902</v>
      </c>
      <c r="D31" s="796">
        <f>(AE31*KFC!$B$35+KFC!$C$35)*KFC!$C$5</f>
        <v>64.876019467946477</v>
      </c>
      <c r="E31" s="796">
        <f>(AF31*KFC!$B$35+KFC!$C$35)*KFC!$C$5</f>
        <v>70.58662421875006</v>
      </c>
      <c r="F31" s="796">
        <f>(AG31*KFC!$B$35+KFC!$C$35)*KFC!$C$5</f>
        <v>76.297228969553629</v>
      </c>
      <c r="G31" s="796">
        <f>(AH31*KFC!$B$35+KFC!$C$35)*KFC!$C$5</f>
        <v>82.007833720357212</v>
      </c>
      <c r="H31" s="796">
        <f>(AI31*KFC!$B$35+KFC!$C$35)*KFC!$C$5</f>
        <v>87.718438471160781</v>
      </c>
      <c r="I31" s="796">
        <f>(AJ31*KFC!$B$35+KFC!$C$35)*KFC!$C$5</f>
        <v>93.429043221964363</v>
      </c>
      <c r="J31" s="796">
        <f>(AK31*KFC!$B$35+KFC!$C$35)*KFC!$C$5</f>
        <v>99.139647972767932</v>
      </c>
      <c r="K31" s="796">
        <f>(AL31*KFC!$B$35+KFC!$C$35)*KFC!$C$5</f>
        <v>104.85025272357151</v>
      </c>
      <c r="L31" s="796">
        <f>(AM31*KFC!$B$35+KFC!$C$35)*KFC!$C$5</f>
        <v>110.5608574743751</v>
      </c>
      <c r="M31" s="796">
        <f>(AN31*KFC!$B$35+KFC!$C$35)*KFC!$C$5</f>
        <v>116.27146222517867</v>
      </c>
      <c r="N31" s="796">
        <f>(AO31*KFC!$B$35+KFC!$C$35)*KFC!$C$5</f>
        <v>121.98206697598225</v>
      </c>
      <c r="O31" s="796">
        <f>(AP31*KFC!$B$35+KFC!$C$35)*KFC!$C$5</f>
        <v>127.69267172678583</v>
      </c>
      <c r="P31" s="796">
        <f>(AQ31*KFC!$B$35+KFC!$C$35)*KFC!$C$5</f>
        <v>133.4032764775894</v>
      </c>
      <c r="Q31" s="796">
        <f>(AR31*KFC!$B$35+KFC!$C$35)*KFC!$C$5</f>
        <v>139.11388122839298</v>
      </c>
      <c r="R31" s="796">
        <f>(AS31*KFC!$B$35+KFC!$C$35)*KFC!$C$5</f>
        <v>144.82448597919657</v>
      </c>
      <c r="S31" s="796">
        <f>(AT31*KFC!$B$35+KFC!$C$35)*KFC!$C$5</f>
        <v>150.53509073000015</v>
      </c>
      <c r="T31" s="796">
        <f>(AU31*KFC!$B$35+KFC!$C$35)*KFC!$C$5</f>
        <v>156.24569548080373</v>
      </c>
      <c r="U31" s="796">
        <f>(AV31*KFC!$B$35+KFC!$C$35)*KFC!$C$5</f>
        <v>161.95630023160729</v>
      </c>
      <c r="V31" s="796">
        <f>(AW31*KFC!$B$35+KFC!$C$35)*KFC!$C$5</f>
        <v>167.66690498241087</v>
      </c>
      <c r="W31" s="796">
        <f>(AX31*KFC!$B$35+KFC!$C$35)*KFC!$C$5</f>
        <v>173.37750973321445</v>
      </c>
      <c r="X31" s="796">
        <f>(AY31*KFC!$B$35+KFC!$C$35)*KFC!$C$5</f>
        <v>179.08811448401801</v>
      </c>
      <c r="Y31" s="796">
        <f>(AZ31*KFC!$B$35+KFC!$C$35)*KFC!$C$5</f>
        <v>184.79871923482156</v>
      </c>
      <c r="Z31" s="814">
        <f>(BA31*KFC!$B$35+KFC!$C$35)*KFC!$C$5</f>
        <v>190.50932398562514</v>
      </c>
      <c r="AB31" s="1912"/>
      <c r="AC31" s="799">
        <v>2.5</v>
      </c>
      <c r="AD31" s="796">
        <v>59.165414717142902</v>
      </c>
      <c r="AE31" s="797">
        <v>64.876019467946477</v>
      </c>
      <c r="AF31" s="797">
        <v>70.58662421875006</v>
      </c>
      <c r="AG31" s="797">
        <v>76.297228969553629</v>
      </c>
      <c r="AH31" s="797">
        <v>82.007833720357212</v>
      </c>
      <c r="AI31" s="797">
        <v>87.718438471160781</v>
      </c>
      <c r="AJ31" s="797">
        <v>93.429043221964363</v>
      </c>
      <c r="AK31" s="797">
        <v>99.139647972767932</v>
      </c>
      <c r="AL31" s="797">
        <v>104.85025272357151</v>
      </c>
      <c r="AM31" s="797">
        <v>110.5608574743751</v>
      </c>
      <c r="AN31" s="797">
        <v>116.27146222517867</v>
      </c>
      <c r="AO31" s="797">
        <v>121.98206697598225</v>
      </c>
      <c r="AP31" s="797">
        <v>127.69267172678583</v>
      </c>
      <c r="AQ31" s="797">
        <v>133.4032764775894</v>
      </c>
      <c r="AR31" s="797">
        <v>139.11388122839298</v>
      </c>
      <c r="AS31" s="797">
        <v>144.82448597919657</v>
      </c>
      <c r="AT31" s="797">
        <v>150.53509073000015</v>
      </c>
      <c r="AU31" s="797">
        <v>156.24569548080373</v>
      </c>
      <c r="AV31" s="797">
        <v>161.95630023160729</v>
      </c>
      <c r="AW31" s="797">
        <v>167.66690498241087</v>
      </c>
      <c r="AX31" s="797">
        <v>173.37750973321445</v>
      </c>
      <c r="AY31" s="797">
        <v>179.08811448401801</v>
      </c>
      <c r="AZ31" s="797">
        <v>184.79871923482156</v>
      </c>
      <c r="BA31" s="798">
        <v>190.50932398562514</v>
      </c>
    </row>
    <row r="32" spans="1:53">
      <c r="A32" s="1912"/>
      <c r="B32" s="799">
        <v>2.6</v>
      </c>
      <c r="C32" s="796">
        <f>(AD32*KFC!$B$35+KFC!$C$35)*KFC!$C$5</f>
        <v>59.471053821000048</v>
      </c>
      <c r="D32" s="796">
        <f>(AE32*KFC!$B$35+KFC!$C$35)*KFC!$C$5</f>
        <v>65.258115340250043</v>
      </c>
      <c r="E32" s="796">
        <f>(AF32*KFC!$B$35+KFC!$C$35)*KFC!$C$5</f>
        <v>71.045176859500046</v>
      </c>
      <c r="F32" s="796">
        <f>(AG32*KFC!$B$35+KFC!$C$35)*KFC!$C$5</f>
        <v>76.832238378750048</v>
      </c>
      <c r="G32" s="796">
        <f>(AH32*KFC!$B$35+KFC!$C$35)*KFC!$C$5</f>
        <v>82.619299898000051</v>
      </c>
      <c r="H32" s="796">
        <f>(AI32*KFC!$B$35+KFC!$C$35)*KFC!$C$5</f>
        <v>88.406361417250054</v>
      </c>
      <c r="I32" s="796">
        <f>(AJ32*KFC!$B$35+KFC!$C$35)*KFC!$C$5</f>
        <v>94.193422936500056</v>
      </c>
      <c r="J32" s="796">
        <f>(AK32*KFC!$B$35+KFC!$C$35)*KFC!$C$5</f>
        <v>99.980484455750059</v>
      </c>
      <c r="K32" s="796">
        <f>(AL32*KFC!$B$35+KFC!$C$35)*KFC!$C$5</f>
        <v>105.76754597500006</v>
      </c>
      <c r="L32" s="796">
        <f>(AM32*KFC!$B$35+KFC!$C$35)*KFC!$C$5</f>
        <v>111.55460749425006</v>
      </c>
      <c r="M32" s="796">
        <f>(AN32*KFC!$B$35+KFC!$C$35)*KFC!$C$5</f>
        <v>117.34166901350007</v>
      </c>
      <c r="N32" s="796">
        <f>(AO32*KFC!$B$35+KFC!$C$35)*KFC!$C$5</f>
        <v>123.12873053275007</v>
      </c>
      <c r="O32" s="796">
        <f>(AP32*KFC!$B$35+KFC!$C$35)*KFC!$C$5</f>
        <v>128.91579205200006</v>
      </c>
      <c r="P32" s="796">
        <f>(AQ32*KFC!$B$35+KFC!$C$35)*KFC!$C$5</f>
        <v>134.70285357125007</v>
      </c>
      <c r="Q32" s="796">
        <f>(AR32*KFC!$B$35+KFC!$C$35)*KFC!$C$5</f>
        <v>140.48991509050006</v>
      </c>
      <c r="R32" s="796">
        <f>(AS32*KFC!$B$35+KFC!$C$35)*KFC!$C$5</f>
        <v>146.27697660975008</v>
      </c>
      <c r="S32" s="796">
        <f>(AT32*KFC!$B$35+KFC!$C$35)*KFC!$C$5</f>
        <v>152.06403812900007</v>
      </c>
      <c r="T32" s="796">
        <f>(AU32*KFC!$B$35+KFC!$C$35)*KFC!$C$5</f>
        <v>157.85109964825008</v>
      </c>
      <c r="U32" s="796">
        <f>(AV32*KFC!$B$35+KFC!$C$35)*KFC!$C$5</f>
        <v>163.63816116750007</v>
      </c>
      <c r="V32" s="796">
        <f>(AW32*KFC!$B$35+KFC!$C$35)*KFC!$C$5</f>
        <v>169.42522268675009</v>
      </c>
      <c r="W32" s="796">
        <f>(AX32*KFC!$B$35+KFC!$C$35)*KFC!$C$5</f>
        <v>175.21228420600008</v>
      </c>
      <c r="X32" s="796">
        <f>(AY32*KFC!$B$35+KFC!$C$35)*KFC!$C$5</f>
        <v>180.99934572525009</v>
      </c>
      <c r="Y32" s="796">
        <f>(AZ32*KFC!$B$35+KFC!$C$35)*KFC!$C$5</f>
        <v>186.78640724450008</v>
      </c>
      <c r="Z32" s="814">
        <f>(BA32*KFC!$B$35+KFC!$C$35)*KFC!$C$5</f>
        <v>192.5734687637501</v>
      </c>
      <c r="AB32" s="1912"/>
      <c r="AC32" s="799">
        <v>2.6</v>
      </c>
      <c r="AD32" s="796">
        <v>59.471053821000048</v>
      </c>
      <c r="AE32" s="797">
        <v>65.258115340250043</v>
      </c>
      <c r="AF32" s="797">
        <v>71.045176859500046</v>
      </c>
      <c r="AG32" s="797">
        <v>76.832238378750048</v>
      </c>
      <c r="AH32" s="797">
        <v>82.619299898000051</v>
      </c>
      <c r="AI32" s="797">
        <v>88.406361417250054</v>
      </c>
      <c r="AJ32" s="797">
        <v>94.193422936500056</v>
      </c>
      <c r="AK32" s="797">
        <v>99.980484455750059</v>
      </c>
      <c r="AL32" s="797">
        <v>105.76754597500006</v>
      </c>
      <c r="AM32" s="797">
        <v>111.55460749425006</v>
      </c>
      <c r="AN32" s="797">
        <v>117.34166901350007</v>
      </c>
      <c r="AO32" s="797">
        <v>123.12873053275007</v>
      </c>
      <c r="AP32" s="797">
        <v>128.91579205200006</v>
      </c>
      <c r="AQ32" s="797">
        <v>134.70285357125007</v>
      </c>
      <c r="AR32" s="797">
        <v>140.48991509050006</v>
      </c>
      <c r="AS32" s="797">
        <v>146.27697660975008</v>
      </c>
      <c r="AT32" s="797">
        <v>152.06403812900007</v>
      </c>
      <c r="AU32" s="797">
        <v>157.85109964825008</v>
      </c>
      <c r="AV32" s="797">
        <v>163.63816116750007</v>
      </c>
      <c r="AW32" s="797">
        <v>169.42522268675009</v>
      </c>
      <c r="AX32" s="797">
        <v>175.21228420600008</v>
      </c>
      <c r="AY32" s="797">
        <v>180.99934572525009</v>
      </c>
      <c r="AZ32" s="797">
        <v>186.78640724450008</v>
      </c>
      <c r="BA32" s="798">
        <v>192.5734687637501</v>
      </c>
    </row>
    <row r="33" spans="1:53">
      <c r="A33" s="1912"/>
      <c r="B33" s="799">
        <v>2.7</v>
      </c>
      <c r="C33" s="796">
        <f>(AD33*KFC!$B$35+KFC!$C$35)*KFC!$C$5</f>
        <v>59.776692924857187</v>
      </c>
      <c r="D33" s="796">
        <f>(AE33*KFC!$B$35+KFC!$C$35)*KFC!$C$5</f>
        <v>65.640211212553623</v>
      </c>
      <c r="E33" s="796">
        <f>(AF33*KFC!$B$35+KFC!$C$35)*KFC!$C$5</f>
        <v>71.50372950025006</v>
      </c>
      <c r="F33" s="796">
        <f>(AG33*KFC!$B$35+KFC!$C$35)*KFC!$C$5</f>
        <v>77.367247787946496</v>
      </c>
      <c r="G33" s="796">
        <f>(AH33*KFC!$B$35+KFC!$C$35)*KFC!$C$5</f>
        <v>83.230766075642933</v>
      </c>
      <c r="H33" s="796">
        <f>(AI33*KFC!$B$35+KFC!$C$35)*KFC!$C$5</f>
        <v>89.094284363339369</v>
      </c>
      <c r="I33" s="796">
        <f>(AJ33*KFC!$B$35+KFC!$C$35)*KFC!$C$5</f>
        <v>94.957802651035792</v>
      </c>
      <c r="J33" s="796">
        <f>(AK33*KFC!$B$35+KFC!$C$35)*KFC!$C$5</f>
        <v>100.82132093873221</v>
      </c>
      <c r="K33" s="796">
        <f>(AL33*KFC!$B$35+KFC!$C$35)*KFC!$C$5</f>
        <v>106.68483922642864</v>
      </c>
      <c r="L33" s="796">
        <f>(AM33*KFC!$B$35+KFC!$C$35)*KFC!$C$5</f>
        <v>112.54835751412507</v>
      </c>
      <c r="M33" s="796">
        <f>(AN33*KFC!$B$35+KFC!$C$35)*KFC!$C$5</f>
        <v>118.41187580182149</v>
      </c>
      <c r="N33" s="796">
        <f>(AO33*KFC!$B$35+KFC!$C$35)*KFC!$C$5</f>
        <v>124.27539408951792</v>
      </c>
      <c r="O33" s="796">
        <f>(AP33*KFC!$B$35+KFC!$C$35)*KFC!$C$5</f>
        <v>130.13891237721435</v>
      </c>
      <c r="P33" s="796">
        <f>(AQ33*KFC!$B$35+KFC!$C$35)*KFC!$C$5</f>
        <v>136.00243066491078</v>
      </c>
      <c r="Q33" s="796">
        <f>(AR33*KFC!$B$35+KFC!$C$35)*KFC!$C$5</f>
        <v>141.8659489526072</v>
      </c>
      <c r="R33" s="796">
        <f>(AS33*KFC!$B$35+KFC!$C$35)*KFC!$C$5</f>
        <v>147.72946724030362</v>
      </c>
      <c r="S33" s="796">
        <f>(AT33*KFC!$B$35+KFC!$C$35)*KFC!$C$5</f>
        <v>153.59298552800004</v>
      </c>
      <c r="T33" s="796">
        <f>(AU33*KFC!$B$35+KFC!$C$35)*KFC!$C$5</f>
        <v>159.45650381569646</v>
      </c>
      <c r="U33" s="796">
        <f>(AV33*KFC!$B$35+KFC!$C$35)*KFC!$C$5</f>
        <v>165.32002210339289</v>
      </c>
      <c r="V33" s="796">
        <f>(AW33*KFC!$B$35+KFC!$C$35)*KFC!$C$5</f>
        <v>171.18354039108934</v>
      </c>
      <c r="W33" s="796">
        <f>(AX33*KFC!$B$35+KFC!$C$35)*KFC!$C$5</f>
        <v>177.04705867878579</v>
      </c>
      <c r="X33" s="796">
        <f>(AY33*KFC!$B$35+KFC!$C$35)*KFC!$C$5</f>
        <v>182.91057696648224</v>
      </c>
      <c r="Y33" s="796">
        <f>(AZ33*KFC!$B$35+KFC!$C$35)*KFC!$C$5</f>
        <v>188.77409525417866</v>
      </c>
      <c r="Z33" s="814">
        <f>(BA33*KFC!$B$35+KFC!$C$35)*KFC!$C$5</f>
        <v>194.63761354187511</v>
      </c>
      <c r="AB33" s="1912"/>
      <c r="AC33" s="799">
        <v>2.7</v>
      </c>
      <c r="AD33" s="796">
        <v>59.776692924857187</v>
      </c>
      <c r="AE33" s="797">
        <v>65.640211212553623</v>
      </c>
      <c r="AF33" s="797">
        <v>71.50372950025006</v>
      </c>
      <c r="AG33" s="797">
        <v>77.367247787946496</v>
      </c>
      <c r="AH33" s="797">
        <v>83.230766075642933</v>
      </c>
      <c r="AI33" s="797">
        <v>89.094284363339369</v>
      </c>
      <c r="AJ33" s="797">
        <v>94.957802651035792</v>
      </c>
      <c r="AK33" s="797">
        <v>100.82132093873221</v>
      </c>
      <c r="AL33" s="797">
        <v>106.68483922642864</v>
      </c>
      <c r="AM33" s="797">
        <v>112.54835751412507</v>
      </c>
      <c r="AN33" s="797">
        <v>118.41187580182149</v>
      </c>
      <c r="AO33" s="797">
        <v>124.27539408951792</v>
      </c>
      <c r="AP33" s="797">
        <v>130.13891237721435</v>
      </c>
      <c r="AQ33" s="797">
        <v>136.00243066491078</v>
      </c>
      <c r="AR33" s="797">
        <v>141.8659489526072</v>
      </c>
      <c r="AS33" s="797">
        <v>147.72946724030362</v>
      </c>
      <c r="AT33" s="797">
        <v>153.59298552800004</v>
      </c>
      <c r="AU33" s="797">
        <v>159.45650381569646</v>
      </c>
      <c r="AV33" s="797">
        <v>165.32002210339289</v>
      </c>
      <c r="AW33" s="797">
        <v>171.18354039108934</v>
      </c>
      <c r="AX33" s="797">
        <v>177.04705867878579</v>
      </c>
      <c r="AY33" s="797">
        <v>182.91057696648224</v>
      </c>
      <c r="AZ33" s="797">
        <v>188.77409525417866</v>
      </c>
      <c r="BA33" s="798">
        <v>194.63761354187511</v>
      </c>
    </row>
    <row r="34" spans="1:53">
      <c r="A34" s="1912"/>
      <c r="B34" s="799">
        <v>2.8</v>
      </c>
      <c r="C34" s="796">
        <f>(AD34*KFC!$B$35+KFC!$C$35)*KFC!$C$5</f>
        <v>60.082332028714333</v>
      </c>
      <c r="D34" s="796">
        <f>(AE34*KFC!$B$35+KFC!$C$35)*KFC!$C$5</f>
        <v>66.022307084857189</v>
      </c>
      <c r="E34" s="796">
        <f>(AF34*KFC!$B$35+KFC!$C$35)*KFC!$C$5</f>
        <v>71.962282141000045</v>
      </c>
      <c r="F34" s="796">
        <f>(AG34*KFC!$B$35+KFC!$C$35)*KFC!$C$5</f>
        <v>77.902257197142916</v>
      </c>
      <c r="G34" s="796">
        <f>(AH34*KFC!$B$35+KFC!$C$35)*KFC!$C$5</f>
        <v>83.842232253285772</v>
      </c>
      <c r="H34" s="796">
        <f>(AI34*KFC!$B$35+KFC!$C$35)*KFC!$C$5</f>
        <v>89.782207309428642</v>
      </c>
      <c r="I34" s="796">
        <f>(AJ34*KFC!$B$35+KFC!$C$35)*KFC!$C$5</f>
        <v>95.722182365571499</v>
      </c>
      <c r="J34" s="796">
        <f>(AK34*KFC!$B$35+KFC!$C$35)*KFC!$C$5</f>
        <v>101.66215742171437</v>
      </c>
      <c r="K34" s="796">
        <f>(AL34*KFC!$B$35+KFC!$C$35)*KFC!$C$5</f>
        <v>107.60213247785724</v>
      </c>
      <c r="L34" s="796">
        <f>(AM34*KFC!$B$35+KFC!$C$35)*KFC!$C$5</f>
        <v>113.54210753400011</v>
      </c>
      <c r="M34" s="796">
        <f>(AN34*KFC!$B$35+KFC!$C$35)*KFC!$C$5</f>
        <v>119.48208259014298</v>
      </c>
      <c r="N34" s="796">
        <f>(AO34*KFC!$B$35+KFC!$C$35)*KFC!$C$5</f>
        <v>125.42205764628585</v>
      </c>
      <c r="O34" s="796">
        <f>(AP34*KFC!$B$35+KFC!$C$35)*KFC!$C$5</f>
        <v>131.36203270242871</v>
      </c>
      <c r="P34" s="796">
        <f>(AQ34*KFC!$B$35+KFC!$C$35)*KFC!$C$5</f>
        <v>137.30200775857159</v>
      </c>
      <c r="Q34" s="796">
        <f>(AR34*KFC!$B$35+KFC!$C$35)*KFC!$C$5</f>
        <v>143.24198281471445</v>
      </c>
      <c r="R34" s="796">
        <f>(AS34*KFC!$B$35+KFC!$C$35)*KFC!$C$5</f>
        <v>149.18195787085733</v>
      </c>
      <c r="S34" s="796">
        <f>(AT34*KFC!$B$35+KFC!$C$35)*KFC!$C$5</f>
        <v>155.12193292700019</v>
      </c>
      <c r="T34" s="796">
        <f>(AU34*KFC!$B$35+KFC!$C$35)*KFC!$C$5</f>
        <v>161.06190798314304</v>
      </c>
      <c r="U34" s="796">
        <f>(AV34*KFC!$B$35+KFC!$C$35)*KFC!$C$5</f>
        <v>167.00188303928593</v>
      </c>
      <c r="V34" s="796">
        <f>(AW34*KFC!$B$35+KFC!$C$35)*KFC!$C$5</f>
        <v>172.94185809542878</v>
      </c>
      <c r="W34" s="796">
        <f>(AX34*KFC!$B$35+KFC!$C$35)*KFC!$C$5</f>
        <v>178.88183315157164</v>
      </c>
      <c r="X34" s="796">
        <f>(AY34*KFC!$B$35+KFC!$C$35)*KFC!$C$5</f>
        <v>184.8218082077145</v>
      </c>
      <c r="Y34" s="796">
        <f>(AZ34*KFC!$B$35+KFC!$C$35)*KFC!$C$5</f>
        <v>190.76178326385732</v>
      </c>
      <c r="Z34" s="814">
        <f>(BA34*KFC!$B$35+KFC!$C$35)*KFC!$C$5</f>
        <v>196.70175832000018</v>
      </c>
      <c r="AB34" s="1912"/>
      <c r="AC34" s="799">
        <v>2.8</v>
      </c>
      <c r="AD34" s="796">
        <v>60.082332028714333</v>
      </c>
      <c r="AE34" s="797">
        <v>66.022307084857189</v>
      </c>
      <c r="AF34" s="797">
        <v>71.962282141000045</v>
      </c>
      <c r="AG34" s="797">
        <v>77.902257197142916</v>
      </c>
      <c r="AH34" s="797">
        <v>83.842232253285772</v>
      </c>
      <c r="AI34" s="797">
        <v>89.782207309428642</v>
      </c>
      <c r="AJ34" s="797">
        <v>95.722182365571499</v>
      </c>
      <c r="AK34" s="797">
        <v>101.66215742171437</v>
      </c>
      <c r="AL34" s="797">
        <v>107.60213247785724</v>
      </c>
      <c r="AM34" s="797">
        <v>113.54210753400011</v>
      </c>
      <c r="AN34" s="797">
        <v>119.48208259014298</v>
      </c>
      <c r="AO34" s="797">
        <v>125.42205764628585</v>
      </c>
      <c r="AP34" s="797">
        <v>131.36203270242871</v>
      </c>
      <c r="AQ34" s="797">
        <v>137.30200775857159</v>
      </c>
      <c r="AR34" s="797">
        <v>143.24198281471445</v>
      </c>
      <c r="AS34" s="797">
        <v>149.18195787085733</v>
      </c>
      <c r="AT34" s="797">
        <v>155.12193292700019</v>
      </c>
      <c r="AU34" s="797">
        <v>161.06190798314304</v>
      </c>
      <c r="AV34" s="797">
        <v>167.00188303928593</v>
      </c>
      <c r="AW34" s="797">
        <v>172.94185809542878</v>
      </c>
      <c r="AX34" s="797">
        <v>178.88183315157164</v>
      </c>
      <c r="AY34" s="797">
        <v>184.8218082077145</v>
      </c>
      <c r="AZ34" s="797">
        <v>190.76178326385732</v>
      </c>
      <c r="BA34" s="798">
        <v>196.70175832000018</v>
      </c>
    </row>
    <row r="35" spans="1:53">
      <c r="A35" s="1912"/>
      <c r="B35" s="799">
        <v>2.9</v>
      </c>
      <c r="C35" s="796">
        <f>(AD35*KFC!$B$35+KFC!$C$35)*KFC!$C$5</f>
        <v>60.387971132571479</v>
      </c>
      <c r="D35" s="796">
        <f>(AE35*KFC!$B$35+KFC!$C$35)*KFC!$C$5</f>
        <v>66.404402957160769</v>
      </c>
      <c r="E35" s="796">
        <f>(AF35*KFC!$B$35+KFC!$C$35)*KFC!$C$5</f>
        <v>72.42083478175006</v>
      </c>
      <c r="F35" s="796">
        <f>(AG35*KFC!$B$35+KFC!$C$35)*KFC!$C$5</f>
        <v>78.43726660633935</v>
      </c>
      <c r="G35" s="796">
        <f>(AH35*KFC!$B$35+KFC!$C$35)*KFC!$C$5</f>
        <v>84.45369843092864</v>
      </c>
      <c r="H35" s="796">
        <f>(AI35*KFC!$B$35+KFC!$C$35)*KFC!$C$5</f>
        <v>90.47013025551793</v>
      </c>
      <c r="I35" s="796">
        <f>(AJ35*KFC!$B$35+KFC!$C$35)*KFC!$C$5</f>
        <v>96.48656208010722</v>
      </c>
      <c r="J35" s="796">
        <f>(AK35*KFC!$B$35+KFC!$C$35)*KFC!$C$5</f>
        <v>102.50299390469651</v>
      </c>
      <c r="K35" s="796">
        <f>(AL35*KFC!$B$35+KFC!$C$35)*KFC!$C$5</f>
        <v>108.5194257292858</v>
      </c>
      <c r="L35" s="796">
        <f>(AM35*KFC!$B$35+KFC!$C$35)*KFC!$C$5</f>
        <v>114.53585755387509</v>
      </c>
      <c r="M35" s="796">
        <f>(AN35*KFC!$B$35+KFC!$C$35)*KFC!$C$5</f>
        <v>120.55228937846439</v>
      </c>
      <c r="N35" s="796">
        <f>(AO35*KFC!$B$35+KFC!$C$35)*KFC!$C$5</f>
        <v>126.56872120305368</v>
      </c>
      <c r="O35" s="796">
        <f>(AP35*KFC!$B$35+KFC!$C$35)*KFC!$C$5</f>
        <v>132.58515302764297</v>
      </c>
      <c r="P35" s="796">
        <f>(AQ35*KFC!$B$35+KFC!$C$35)*KFC!$C$5</f>
        <v>138.60158485223226</v>
      </c>
      <c r="Q35" s="796">
        <f>(AR35*KFC!$B$35+KFC!$C$35)*KFC!$C$5</f>
        <v>144.61801667682155</v>
      </c>
      <c r="R35" s="796">
        <f>(AS35*KFC!$B$35+KFC!$C$35)*KFC!$C$5</f>
        <v>150.63444850141084</v>
      </c>
      <c r="S35" s="796">
        <f>(AT35*KFC!$B$35+KFC!$C$35)*KFC!$C$5</f>
        <v>156.65088032600013</v>
      </c>
      <c r="T35" s="796">
        <f>(AU35*KFC!$B$35+KFC!$C$35)*KFC!$C$5</f>
        <v>162.66731215058942</v>
      </c>
      <c r="U35" s="796">
        <f>(AV35*KFC!$B$35+KFC!$C$35)*KFC!$C$5</f>
        <v>168.68374397517871</v>
      </c>
      <c r="V35" s="796">
        <f>(AW35*KFC!$B$35+KFC!$C$35)*KFC!$C$5</f>
        <v>174.700175799768</v>
      </c>
      <c r="W35" s="796">
        <f>(AX35*KFC!$B$35+KFC!$C$35)*KFC!$C$5</f>
        <v>180.71660762435729</v>
      </c>
      <c r="X35" s="796">
        <f>(AY35*KFC!$B$35+KFC!$C$35)*KFC!$C$5</f>
        <v>186.73303944894658</v>
      </c>
      <c r="Y35" s="796">
        <f>(AZ35*KFC!$B$35+KFC!$C$35)*KFC!$C$5</f>
        <v>192.74947127353587</v>
      </c>
      <c r="Z35" s="814">
        <f>(BA35*KFC!$B$35+KFC!$C$35)*KFC!$C$5</f>
        <v>198.76590309812519</v>
      </c>
      <c r="AB35" s="1912"/>
      <c r="AC35" s="799">
        <v>2.9</v>
      </c>
      <c r="AD35" s="796">
        <v>60.387971132571479</v>
      </c>
      <c r="AE35" s="797">
        <v>66.404402957160769</v>
      </c>
      <c r="AF35" s="797">
        <v>72.42083478175006</v>
      </c>
      <c r="AG35" s="797">
        <v>78.43726660633935</v>
      </c>
      <c r="AH35" s="797">
        <v>84.45369843092864</v>
      </c>
      <c r="AI35" s="797">
        <v>90.47013025551793</v>
      </c>
      <c r="AJ35" s="797">
        <v>96.48656208010722</v>
      </c>
      <c r="AK35" s="797">
        <v>102.50299390469651</v>
      </c>
      <c r="AL35" s="797">
        <v>108.5194257292858</v>
      </c>
      <c r="AM35" s="797">
        <v>114.53585755387509</v>
      </c>
      <c r="AN35" s="797">
        <v>120.55228937846439</v>
      </c>
      <c r="AO35" s="797">
        <v>126.56872120305368</v>
      </c>
      <c r="AP35" s="797">
        <v>132.58515302764297</v>
      </c>
      <c r="AQ35" s="797">
        <v>138.60158485223226</v>
      </c>
      <c r="AR35" s="797">
        <v>144.61801667682155</v>
      </c>
      <c r="AS35" s="797">
        <v>150.63444850141084</v>
      </c>
      <c r="AT35" s="797">
        <v>156.65088032600013</v>
      </c>
      <c r="AU35" s="797">
        <v>162.66731215058942</v>
      </c>
      <c r="AV35" s="797">
        <v>168.68374397517871</v>
      </c>
      <c r="AW35" s="797">
        <v>174.700175799768</v>
      </c>
      <c r="AX35" s="797">
        <v>180.71660762435729</v>
      </c>
      <c r="AY35" s="797">
        <v>186.73303944894658</v>
      </c>
      <c r="AZ35" s="797">
        <v>192.74947127353587</v>
      </c>
      <c r="BA35" s="798">
        <v>198.76590309812519</v>
      </c>
    </row>
    <row r="36" spans="1:53">
      <c r="A36" s="1912"/>
      <c r="B36" s="799">
        <v>3</v>
      </c>
      <c r="C36" s="796">
        <f>(AD36*KFC!$B$35+KFC!$C$35)*KFC!$C$5</f>
        <v>60.693610236428626</v>
      </c>
      <c r="D36" s="796">
        <f>(AE36*KFC!$B$35+KFC!$C$35)*KFC!$C$5</f>
        <v>66.786498829464335</v>
      </c>
      <c r="E36" s="796">
        <f>(AF36*KFC!$B$35+KFC!$C$35)*KFC!$C$5</f>
        <v>72.879387422500059</v>
      </c>
      <c r="F36" s="796">
        <f>(AG36*KFC!$B$35+KFC!$C$35)*KFC!$C$5</f>
        <v>78.972276015535769</v>
      </c>
      <c r="G36" s="796">
        <f>(AH36*KFC!$B$35+KFC!$C$35)*KFC!$C$5</f>
        <v>85.065164608571493</v>
      </c>
      <c r="H36" s="796">
        <f>(AI36*KFC!$B$35+KFC!$C$35)*KFC!$C$5</f>
        <v>91.158053201607203</v>
      </c>
      <c r="I36" s="796">
        <f>(AJ36*KFC!$B$35+KFC!$C$35)*KFC!$C$5</f>
        <v>97.250941794642912</v>
      </c>
      <c r="J36" s="796">
        <f>(AK36*KFC!$B$35+KFC!$C$35)*KFC!$C$5</f>
        <v>103.34383038767864</v>
      </c>
      <c r="K36" s="796">
        <f>(AL36*KFC!$B$35+KFC!$C$35)*KFC!$C$5</f>
        <v>109.43671898071435</v>
      </c>
      <c r="L36" s="796">
        <f>(AM36*KFC!$B$35+KFC!$C$35)*KFC!$C$5</f>
        <v>115.52960757375007</v>
      </c>
      <c r="M36" s="796">
        <f>(AN36*KFC!$B$35+KFC!$C$35)*KFC!$C$5</f>
        <v>121.62249616678578</v>
      </c>
      <c r="N36" s="796">
        <f>(AO36*KFC!$B$35+KFC!$C$35)*KFC!$C$5</f>
        <v>127.71538475982149</v>
      </c>
      <c r="O36" s="796">
        <f>(AP36*KFC!$B$35+KFC!$C$35)*KFC!$C$5</f>
        <v>133.80827335285721</v>
      </c>
      <c r="P36" s="796">
        <f>(AQ36*KFC!$B$35+KFC!$C$35)*KFC!$C$5</f>
        <v>139.90116194589294</v>
      </c>
      <c r="Q36" s="796">
        <f>(AR36*KFC!$B$35+KFC!$C$35)*KFC!$C$5</f>
        <v>145.99405053892863</v>
      </c>
      <c r="R36" s="796">
        <f>(AS36*KFC!$B$35+KFC!$C$35)*KFC!$C$5</f>
        <v>152.08693913196436</v>
      </c>
      <c r="S36" s="796">
        <f>(AT36*KFC!$B$35+KFC!$C$35)*KFC!$C$5</f>
        <v>158.17982772500008</v>
      </c>
      <c r="T36" s="796">
        <f>(AU36*KFC!$B$35+KFC!$C$35)*KFC!$C$5</f>
        <v>164.27271631803578</v>
      </c>
      <c r="U36" s="796">
        <f>(AV36*KFC!$B$35+KFC!$C$35)*KFC!$C$5</f>
        <v>170.3656049110715</v>
      </c>
      <c r="V36" s="796">
        <f>(AW36*KFC!$B$35+KFC!$C$35)*KFC!$C$5</f>
        <v>176.45849350410722</v>
      </c>
      <c r="W36" s="796">
        <f>(AX36*KFC!$B$35+KFC!$C$35)*KFC!$C$5</f>
        <v>182.55138209714298</v>
      </c>
      <c r="X36" s="796">
        <f>(AY36*KFC!$B$35+KFC!$C$35)*KFC!$C$5</f>
        <v>188.6442706901787</v>
      </c>
      <c r="Y36" s="796">
        <f>(AZ36*KFC!$B$35+KFC!$C$35)*KFC!$C$5</f>
        <v>194.73715928321442</v>
      </c>
      <c r="Z36" s="814">
        <f>(BA36*KFC!$B$35+KFC!$C$35)*KFC!$C$5</f>
        <v>200.83004787625018</v>
      </c>
      <c r="AB36" s="1912"/>
      <c r="AC36" s="799">
        <v>3</v>
      </c>
      <c r="AD36" s="796">
        <v>60.693610236428626</v>
      </c>
      <c r="AE36" s="797">
        <v>66.786498829464335</v>
      </c>
      <c r="AF36" s="797">
        <v>72.879387422500059</v>
      </c>
      <c r="AG36" s="797">
        <v>78.972276015535769</v>
      </c>
      <c r="AH36" s="797">
        <v>85.065164608571493</v>
      </c>
      <c r="AI36" s="797">
        <v>91.158053201607203</v>
      </c>
      <c r="AJ36" s="797">
        <v>97.250941794642912</v>
      </c>
      <c r="AK36" s="797">
        <v>103.34383038767864</v>
      </c>
      <c r="AL36" s="797">
        <v>109.43671898071435</v>
      </c>
      <c r="AM36" s="797">
        <v>115.52960757375007</v>
      </c>
      <c r="AN36" s="797">
        <v>121.62249616678578</v>
      </c>
      <c r="AO36" s="797">
        <v>127.71538475982149</v>
      </c>
      <c r="AP36" s="797">
        <v>133.80827335285721</v>
      </c>
      <c r="AQ36" s="797">
        <v>139.90116194589294</v>
      </c>
      <c r="AR36" s="797">
        <v>145.99405053892863</v>
      </c>
      <c r="AS36" s="797">
        <v>152.08693913196436</v>
      </c>
      <c r="AT36" s="797">
        <v>158.17982772500008</v>
      </c>
      <c r="AU36" s="797">
        <v>164.27271631803578</v>
      </c>
      <c r="AV36" s="797">
        <v>170.3656049110715</v>
      </c>
      <c r="AW36" s="797">
        <v>176.45849350410722</v>
      </c>
      <c r="AX36" s="797">
        <v>182.55138209714298</v>
      </c>
      <c r="AY36" s="797">
        <v>188.6442706901787</v>
      </c>
      <c r="AZ36" s="797">
        <v>194.73715928321442</v>
      </c>
      <c r="BA36" s="798">
        <v>200.83004787625018</v>
      </c>
    </row>
    <row r="37" spans="1:53">
      <c r="A37" s="1912"/>
      <c r="B37" s="799">
        <v>3.1</v>
      </c>
      <c r="C37" s="796">
        <f>(AD37*KFC!$B$35+KFC!$C$35)*KFC!$C$5</f>
        <v>60.999249340285772</v>
      </c>
      <c r="D37" s="796">
        <f>(AE37*KFC!$B$35+KFC!$C$35)*KFC!$C$5</f>
        <v>67.168594701767915</v>
      </c>
      <c r="E37" s="796">
        <f>(AF37*KFC!$B$35+KFC!$C$35)*KFC!$C$5</f>
        <v>73.337940063250073</v>
      </c>
      <c r="F37" s="796">
        <f>(AG37*KFC!$B$35+KFC!$C$35)*KFC!$C$5</f>
        <v>79.507285424732217</v>
      </c>
      <c r="G37" s="796">
        <f>(AH37*KFC!$B$35+KFC!$C$35)*KFC!$C$5</f>
        <v>85.676630786214361</v>
      </c>
      <c r="H37" s="796">
        <f>(AI37*KFC!$B$35+KFC!$C$35)*KFC!$C$5</f>
        <v>91.84597614769649</v>
      </c>
      <c r="I37" s="796">
        <f>(AJ37*KFC!$B$35+KFC!$C$35)*KFC!$C$5</f>
        <v>98.015321509178634</v>
      </c>
      <c r="J37" s="796">
        <f>(AK37*KFC!$B$35+KFC!$C$35)*KFC!$C$5</f>
        <v>104.18466687066078</v>
      </c>
      <c r="K37" s="796">
        <f>(AL37*KFC!$B$35+KFC!$C$35)*KFC!$C$5</f>
        <v>110.35401223214291</v>
      </c>
      <c r="L37" s="796">
        <f>(AM37*KFC!$B$35+KFC!$C$35)*KFC!$C$5</f>
        <v>116.52335759362505</v>
      </c>
      <c r="M37" s="796">
        <f>(AN37*KFC!$B$35+KFC!$C$35)*KFC!$C$5</f>
        <v>122.69270295510719</v>
      </c>
      <c r="N37" s="796">
        <f>(AO37*KFC!$B$35+KFC!$C$35)*KFC!$C$5</f>
        <v>128.86204831658932</v>
      </c>
      <c r="O37" s="796">
        <f>(AP37*KFC!$B$35+KFC!$C$35)*KFC!$C$5</f>
        <v>135.03139367807145</v>
      </c>
      <c r="P37" s="796">
        <f>(AQ37*KFC!$B$35+KFC!$C$35)*KFC!$C$5</f>
        <v>141.20073903955361</v>
      </c>
      <c r="Q37" s="796">
        <f>(AR37*KFC!$B$35+KFC!$C$35)*KFC!$C$5</f>
        <v>147.37008440103574</v>
      </c>
      <c r="R37" s="796">
        <f>(AS37*KFC!$B$35+KFC!$C$35)*KFC!$C$5</f>
        <v>153.53942976251787</v>
      </c>
      <c r="S37" s="796">
        <f>(AT37*KFC!$B$35+KFC!$C$35)*KFC!$C$5</f>
        <v>159.70877512400003</v>
      </c>
      <c r="T37" s="796">
        <f>(AU37*KFC!$B$35+KFC!$C$35)*KFC!$C$5</f>
        <v>165.87812048548216</v>
      </c>
      <c r="U37" s="796">
        <f>(AV37*KFC!$B$35+KFC!$C$35)*KFC!$C$5</f>
        <v>172.04746584696431</v>
      </c>
      <c r="V37" s="796">
        <f>(AW37*KFC!$B$35+KFC!$C$35)*KFC!$C$5</f>
        <v>178.21681120844647</v>
      </c>
      <c r="W37" s="796">
        <f>(AX37*KFC!$B$35+KFC!$C$35)*KFC!$C$5</f>
        <v>184.3861565699286</v>
      </c>
      <c r="X37" s="796">
        <f>(AY37*KFC!$B$35+KFC!$C$35)*KFC!$C$5</f>
        <v>190.55550193141073</v>
      </c>
      <c r="Y37" s="796">
        <f>(AZ37*KFC!$B$35+KFC!$C$35)*KFC!$C$5</f>
        <v>196.72484729289289</v>
      </c>
      <c r="Z37" s="814">
        <f>(BA37*KFC!$B$35+KFC!$C$35)*KFC!$C$5</f>
        <v>202.89419265437502</v>
      </c>
      <c r="AB37" s="1912"/>
      <c r="AC37" s="799">
        <v>3.1</v>
      </c>
      <c r="AD37" s="796">
        <v>60.999249340285772</v>
      </c>
      <c r="AE37" s="797">
        <v>67.168594701767915</v>
      </c>
      <c r="AF37" s="797">
        <v>73.337940063250073</v>
      </c>
      <c r="AG37" s="797">
        <v>79.507285424732217</v>
      </c>
      <c r="AH37" s="797">
        <v>85.676630786214361</v>
      </c>
      <c r="AI37" s="797">
        <v>91.84597614769649</v>
      </c>
      <c r="AJ37" s="797">
        <v>98.015321509178634</v>
      </c>
      <c r="AK37" s="797">
        <v>104.18466687066078</v>
      </c>
      <c r="AL37" s="797">
        <v>110.35401223214291</v>
      </c>
      <c r="AM37" s="797">
        <v>116.52335759362505</v>
      </c>
      <c r="AN37" s="797">
        <v>122.69270295510719</v>
      </c>
      <c r="AO37" s="797">
        <v>128.86204831658932</v>
      </c>
      <c r="AP37" s="797">
        <v>135.03139367807145</v>
      </c>
      <c r="AQ37" s="797">
        <v>141.20073903955361</v>
      </c>
      <c r="AR37" s="797">
        <v>147.37008440103574</v>
      </c>
      <c r="AS37" s="797">
        <v>153.53942976251787</v>
      </c>
      <c r="AT37" s="797">
        <v>159.70877512400003</v>
      </c>
      <c r="AU37" s="797">
        <v>165.87812048548216</v>
      </c>
      <c r="AV37" s="797">
        <v>172.04746584696431</v>
      </c>
      <c r="AW37" s="797">
        <v>178.21681120844647</v>
      </c>
      <c r="AX37" s="797">
        <v>184.3861565699286</v>
      </c>
      <c r="AY37" s="797">
        <v>190.55550193141073</v>
      </c>
      <c r="AZ37" s="797">
        <v>196.72484729289289</v>
      </c>
      <c r="BA37" s="798">
        <v>202.89419265437502</v>
      </c>
    </row>
    <row r="38" spans="1:53">
      <c r="A38" s="1912"/>
      <c r="B38" s="799">
        <v>3.2</v>
      </c>
      <c r="C38" s="796">
        <f>(AD38*KFC!$B$35+KFC!$C$35)*KFC!$C$5</f>
        <v>61.304888444142918</v>
      </c>
      <c r="D38" s="796">
        <f>(AE38*KFC!$B$35+KFC!$C$35)*KFC!$C$5</f>
        <v>67.550690574071481</v>
      </c>
      <c r="E38" s="796">
        <f>(AF38*KFC!$B$35+KFC!$C$35)*KFC!$C$5</f>
        <v>73.796492704000059</v>
      </c>
      <c r="F38" s="796">
        <f>(AG38*KFC!$B$35+KFC!$C$35)*KFC!$C$5</f>
        <v>80.042294833928636</v>
      </c>
      <c r="G38" s="796">
        <f>(AH38*KFC!$B$35+KFC!$C$35)*KFC!$C$5</f>
        <v>86.2880969638572</v>
      </c>
      <c r="H38" s="796">
        <f>(AI38*KFC!$B$35+KFC!$C$35)*KFC!$C$5</f>
        <v>92.533899093785791</v>
      </c>
      <c r="I38" s="796">
        <f>(AJ38*KFC!$B$35+KFC!$C$35)*KFC!$C$5</f>
        <v>98.779701223714369</v>
      </c>
      <c r="J38" s="796">
        <f>(AK38*KFC!$B$35+KFC!$C$35)*KFC!$C$5</f>
        <v>105.02550335364295</v>
      </c>
      <c r="K38" s="796">
        <f>(AL38*KFC!$B$35+KFC!$C$35)*KFC!$C$5</f>
        <v>111.27130548357152</v>
      </c>
      <c r="L38" s="796">
        <f>(AM38*KFC!$B$35+KFC!$C$35)*KFC!$C$5</f>
        <v>117.51710761350012</v>
      </c>
      <c r="M38" s="796">
        <f>(AN38*KFC!$B$35+KFC!$C$35)*KFC!$C$5</f>
        <v>123.76290974342869</v>
      </c>
      <c r="N38" s="796">
        <f>(AO38*KFC!$B$35+KFC!$C$35)*KFC!$C$5</f>
        <v>130.00871187335727</v>
      </c>
      <c r="O38" s="796">
        <f>(AP38*KFC!$B$35+KFC!$C$35)*KFC!$C$5</f>
        <v>136.25451400328586</v>
      </c>
      <c r="P38" s="796">
        <f>(AQ38*KFC!$B$35+KFC!$C$35)*KFC!$C$5</f>
        <v>142.50031613321443</v>
      </c>
      <c r="Q38" s="796">
        <f>(AR38*KFC!$B$35+KFC!$C$35)*KFC!$C$5</f>
        <v>148.74611826314302</v>
      </c>
      <c r="R38" s="796">
        <f>(AS38*KFC!$B$35+KFC!$C$35)*KFC!$C$5</f>
        <v>154.99192039307161</v>
      </c>
      <c r="S38" s="796">
        <f>(AT38*KFC!$B$35+KFC!$C$35)*KFC!$C$5</f>
        <v>161.23772252300017</v>
      </c>
      <c r="T38" s="796">
        <f>(AU38*KFC!$B$35+KFC!$C$35)*KFC!$C$5</f>
        <v>167.48352465292876</v>
      </c>
      <c r="U38" s="796">
        <f>(AV38*KFC!$B$35+KFC!$C$35)*KFC!$C$5</f>
        <v>173.72932678285733</v>
      </c>
      <c r="V38" s="796">
        <f>(AW38*KFC!$B$35+KFC!$C$35)*KFC!$C$5</f>
        <v>179.97512891278592</v>
      </c>
      <c r="W38" s="796">
        <f>(AX38*KFC!$B$35+KFC!$C$35)*KFC!$C$5</f>
        <v>186.22093104271448</v>
      </c>
      <c r="X38" s="796">
        <f>(AY38*KFC!$B$35+KFC!$C$35)*KFC!$C$5</f>
        <v>192.46673317264307</v>
      </c>
      <c r="Y38" s="796">
        <f>(AZ38*KFC!$B$35+KFC!$C$35)*KFC!$C$5</f>
        <v>198.71253530257164</v>
      </c>
      <c r="Z38" s="814">
        <f>(BA38*KFC!$B$35+KFC!$C$35)*KFC!$C$5</f>
        <v>204.95833743250023</v>
      </c>
      <c r="AB38" s="1912"/>
      <c r="AC38" s="799">
        <v>3.2</v>
      </c>
      <c r="AD38" s="796">
        <v>61.304888444142918</v>
      </c>
      <c r="AE38" s="797">
        <v>67.550690574071481</v>
      </c>
      <c r="AF38" s="797">
        <v>73.796492704000059</v>
      </c>
      <c r="AG38" s="797">
        <v>80.042294833928636</v>
      </c>
      <c r="AH38" s="797">
        <v>86.2880969638572</v>
      </c>
      <c r="AI38" s="797">
        <v>92.533899093785791</v>
      </c>
      <c r="AJ38" s="797">
        <v>98.779701223714369</v>
      </c>
      <c r="AK38" s="797">
        <v>105.02550335364295</v>
      </c>
      <c r="AL38" s="797">
        <v>111.27130548357152</v>
      </c>
      <c r="AM38" s="797">
        <v>117.51710761350012</v>
      </c>
      <c r="AN38" s="797">
        <v>123.76290974342869</v>
      </c>
      <c r="AO38" s="797">
        <v>130.00871187335727</v>
      </c>
      <c r="AP38" s="797">
        <v>136.25451400328586</v>
      </c>
      <c r="AQ38" s="797">
        <v>142.50031613321443</v>
      </c>
      <c r="AR38" s="797">
        <v>148.74611826314302</v>
      </c>
      <c r="AS38" s="797">
        <v>154.99192039307161</v>
      </c>
      <c r="AT38" s="797">
        <v>161.23772252300017</v>
      </c>
      <c r="AU38" s="797">
        <v>167.48352465292876</v>
      </c>
      <c r="AV38" s="797">
        <v>173.72932678285733</v>
      </c>
      <c r="AW38" s="797">
        <v>179.97512891278592</v>
      </c>
      <c r="AX38" s="797">
        <v>186.22093104271448</v>
      </c>
      <c r="AY38" s="797">
        <v>192.46673317264307</v>
      </c>
      <c r="AZ38" s="797">
        <v>198.71253530257164</v>
      </c>
      <c r="BA38" s="798">
        <v>204.95833743250023</v>
      </c>
    </row>
    <row r="39" spans="1:53">
      <c r="A39" s="1912"/>
      <c r="B39" s="799">
        <v>3.3</v>
      </c>
      <c r="C39" s="796">
        <f>(AD39*KFC!$B$35+KFC!$C$35)*KFC!$C$5</f>
        <v>61.610527548000057</v>
      </c>
      <c r="D39" s="796">
        <f>(AE39*KFC!$B$35+KFC!$C$35)*KFC!$C$5</f>
        <v>67.932786446375061</v>
      </c>
      <c r="E39" s="796">
        <f>(AF39*KFC!$B$35+KFC!$C$35)*KFC!$C$5</f>
        <v>74.255045344750073</v>
      </c>
      <c r="F39" s="796">
        <f>(AG39*KFC!$B$35+KFC!$C$35)*KFC!$C$5</f>
        <v>80.57730424312507</v>
      </c>
      <c r="G39" s="796">
        <f>(AH39*KFC!$B$35+KFC!$C$35)*KFC!$C$5</f>
        <v>86.899563141500067</v>
      </c>
      <c r="H39" s="796">
        <f>(AI39*KFC!$B$35+KFC!$C$35)*KFC!$C$5</f>
        <v>93.221822039875079</v>
      </c>
      <c r="I39" s="796">
        <f>(AJ39*KFC!$B$35+KFC!$C$35)*KFC!$C$5</f>
        <v>99.544080938250076</v>
      </c>
      <c r="J39" s="796">
        <f>(AK39*KFC!$B$35+KFC!$C$35)*KFC!$C$5</f>
        <v>105.86633983662509</v>
      </c>
      <c r="K39" s="796">
        <f>(AL39*KFC!$B$35+KFC!$C$35)*KFC!$C$5</f>
        <v>112.18859873500008</v>
      </c>
      <c r="L39" s="796">
        <f>(AM39*KFC!$B$35+KFC!$C$35)*KFC!$C$5</f>
        <v>118.5108576333751</v>
      </c>
      <c r="M39" s="796">
        <f>(AN39*KFC!$B$35+KFC!$C$35)*KFC!$C$5</f>
        <v>124.83311653175011</v>
      </c>
      <c r="N39" s="796">
        <f>(AO39*KFC!$B$35+KFC!$C$35)*KFC!$C$5</f>
        <v>131.1553754301251</v>
      </c>
      <c r="O39" s="796">
        <f>(AP39*KFC!$B$35+KFC!$C$35)*KFC!$C$5</f>
        <v>137.4776343285001</v>
      </c>
      <c r="P39" s="796">
        <f>(AQ39*KFC!$B$35+KFC!$C$35)*KFC!$C$5</f>
        <v>143.79989322687513</v>
      </c>
      <c r="Q39" s="796">
        <f>(AR39*KFC!$B$35+KFC!$C$35)*KFC!$C$5</f>
        <v>150.12215212525012</v>
      </c>
      <c r="R39" s="796">
        <f>(AS39*KFC!$B$35+KFC!$C$35)*KFC!$C$5</f>
        <v>156.44441102362512</v>
      </c>
      <c r="S39" s="796">
        <f>(AT39*KFC!$B$35+KFC!$C$35)*KFC!$C$5</f>
        <v>162.76666992200012</v>
      </c>
      <c r="T39" s="796">
        <f>(AU39*KFC!$B$35+KFC!$C$35)*KFC!$C$5</f>
        <v>169.08892882037514</v>
      </c>
      <c r="U39" s="796">
        <f>(AV39*KFC!$B$35+KFC!$C$35)*KFC!$C$5</f>
        <v>175.41118771875014</v>
      </c>
      <c r="V39" s="796">
        <f>(AW39*KFC!$B$35+KFC!$C$35)*KFC!$C$5</f>
        <v>181.73344661712514</v>
      </c>
      <c r="W39" s="796">
        <f>(AX39*KFC!$B$35+KFC!$C$35)*KFC!$C$5</f>
        <v>188.05570551550011</v>
      </c>
      <c r="X39" s="796">
        <f>(AY39*KFC!$B$35+KFC!$C$35)*KFC!$C$5</f>
        <v>194.37796441387511</v>
      </c>
      <c r="Y39" s="796">
        <f>(AZ39*KFC!$B$35+KFC!$C$35)*KFC!$C$5</f>
        <v>200.70022331225007</v>
      </c>
      <c r="Z39" s="814">
        <f>(BA39*KFC!$B$35+KFC!$C$35)*KFC!$C$5</f>
        <v>207.02248221062507</v>
      </c>
      <c r="AB39" s="1912"/>
      <c r="AC39" s="799">
        <v>3.3</v>
      </c>
      <c r="AD39" s="796">
        <v>61.610527548000057</v>
      </c>
      <c r="AE39" s="797">
        <v>67.932786446375061</v>
      </c>
      <c r="AF39" s="797">
        <v>74.255045344750073</v>
      </c>
      <c r="AG39" s="797">
        <v>80.57730424312507</v>
      </c>
      <c r="AH39" s="797">
        <v>86.899563141500067</v>
      </c>
      <c r="AI39" s="797">
        <v>93.221822039875079</v>
      </c>
      <c r="AJ39" s="797">
        <v>99.544080938250076</v>
      </c>
      <c r="AK39" s="797">
        <v>105.86633983662509</v>
      </c>
      <c r="AL39" s="797">
        <v>112.18859873500008</v>
      </c>
      <c r="AM39" s="797">
        <v>118.5108576333751</v>
      </c>
      <c r="AN39" s="797">
        <v>124.83311653175011</v>
      </c>
      <c r="AO39" s="797">
        <v>131.1553754301251</v>
      </c>
      <c r="AP39" s="797">
        <v>137.4776343285001</v>
      </c>
      <c r="AQ39" s="797">
        <v>143.79989322687513</v>
      </c>
      <c r="AR39" s="797">
        <v>150.12215212525012</v>
      </c>
      <c r="AS39" s="797">
        <v>156.44441102362512</v>
      </c>
      <c r="AT39" s="797">
        <v>162.76666992200012</v>
      </c>
      <c r="AU39" s="797">
        <v>169.08892882037514</v>
      </c>
      <c r="AV39" s="797">
        <v>175.41118771875014</v>
      </c>
      <c r="AW39" s="797">
        <v>181.73344661712514</v>
      </c>
      <c r="AX39" s="797">
        <v>188.05570551550011</v>
      </c>
      <c r="AY39" s="797">
        <v>194.37796441387511</v>
      </c>
      <c r="AZ39" s="797">
        <v>200.70022331225007</v>
      </c>
      <c r="BA39" s="798">
        <v>207.02248221062507</v>
      </c>
    </row>
    <row r="40" spans="1:53">
      <c r="A40" s="1912"/>
      <c r="B40" s="799">
        <v>3.4</v>
      </c>
      <c r="C40" s="796">
        <f>(AD40*KFC!$B$35+KFC!$C$35)*KFC!$C$5</f>
        <v>61.916166651857203</v>
      </c>
      <c r="D40" s="796">
        <f>(AE40*KFC!$B$35+KFC!$C$35)*KFC!$C$5</f>
        <v>68.314882318678627</v>
      </c>
      <c r="E40" s="796">
        <f>(AF40*KFC!$B$35+KFC!$C$35)*KFC!$C$5</f>
        <v>74.713597985500058</v>
      </c>
      <c r="F40" s="796">
        <f>(AG40*KFC!$B$35+KFC!$C$35)*KFC!$C$5</f>
        <v>81.11231365232149</v>
      </c>
      <c r="G40" s="796">
        <f>(AH40*KFC!$B$35+KFC!$C$35)*KFC!$C$5</f>
        <v>87.511029319142921</v>
      </c>
      <c r="H40" s="796">
        <f>(AI40*KFC!$B$35+KFC!$C$35)*KFC!$C$5</f>
        <v>93.909744985964352</v>
      </c>
      <c r="I40" s="796">
        <f>(AJ40*KFC!$B$35+KFC!$C$35)*KFC!$C$5</f>
        <v>100.30846065278578</v>
      </c>
      <c r="J40" s="796">
        <f>(AK40*KFC!$B$35+KFC!$C$35)*KFC!$C$5</f>
        <v>106.7071763196072</v>
      </c>
      <c r="K40" s="796">
        <f>(AL40*KFC!$B$35+KFC!$C$35)*KFC!$C$5</f>
        <v>113.10589198642863</v>
      </c>
      <c r="L40" s="796">
        <f>(AM40*KFC!$B$35+KFC!$C$35)*KFC!$C$5</f>
        <v>119.50460765325006</v>
      </c>
      <c r="M40" s="796">
        <f>(AN40*KFC!$B$35+KFC!$C$35)*KFC!$C$5</f>
        <v>125.90332332007149</v>
      </c>
      <c r="N40" s="796">
        <f>(AO40*KFC!$B$35+KFC!$C$35)*KFC!$C$5</f>
        <v>132.30203898689291</v>
      </c>
      <c r="O40" s="796">
        <f>(AP40*KFC!$B$35+KFC!$C$35)*KFC!$C$5</f>
        <v>138.70075465371434</v>
      </c>
      <c r="P40" s="796">
        <f>(AQ40*KFC!$B$35+KFC!$C$35)*KFC!$C$5</f>
        <v>145.09947032053577</v>
      </c>
      <c r="Q40" s="796">
        <f>(AR40*KFC!$B$35+KFC!$C$35)*KFC!$C$5</f>
        <v>151.4981859873572</v>
      </c>
      <c r="R40" s="796">
        <f>(AS40*KFC!$B$35+KFC!$C$35)*KFC!$C$5</f>
        <v>157.89690165417863</v>
      </c>
      <c r="S40" s="796">
        <f>(AT40*KFC!$B$35+KFC!$C$35)*KFC!$C$5</f>
        <v>164.29561732100007</v>
      </c>
      <c r="T40" s="796">
        <f>(AU40*KFC!$B$35+KFC!$C$35)*KFC!$C$5</f>
        <v>170.6943329878215</v>
      </c>
      <c r="U40" s="796">
        <f>(AV40*KFC!$B$35+KFC!$C$35)*KFC!$C$5</f>
        <v>177.09304865464293</v>
      </c>
      <c r="V40" s="796">
        <f>(AW40*KFC!$B$35+KFC!$C$35)*KFC!$C$5</f>
        <v>183.49176432146436</v>
      </c>
      <c r="W40" s="796">
        <f>(AX40*KFC!$B$35+KFC!$C$35)*KFC!$C$5</f>
        <v>189.89047998828579</v>
      </c>
      <c r="X40" s="796">
        <f>(AY40*KFC!$B$35+KFC!$C$35)*KFC!$C$5</f>
        <v>196.28919565510722</v>
      </c>
      <c r="Y40" s="796">
        <f>(AZ40*KFC!$B$35+KFC!$C$35)*KFC!$C$5</f>
        <v>202.68791132192862</v>
      </c>
      <c r="Z40" s="814">
        <f>(BA40*KFC!$B$35+KFC!$C$35)*KFC!$C$5</f>
        <v>209.08662698875006</v>
      </c>
      <c r="AB40" s="1912"/>
      <c r="AC40" s="799">
        <v>3.4</v>
      </c>
      <c r="AD40" s="796">
        <v>61.916166651857203</v>
      </c>
      <c r="AE40" s="797">
        <v>68.314882318678627</v>
      </c>
      <c r="AF40" s="797">
        <v>74.713597985500058</v>
      </c>
      <c r="AG40" s="797">
        <v>81.11231365232149</v>
      </c>
      <c r="AH40" s="797">
        <v>87.511029319142921</v>
      </c>
      <c r="AI40" s="797">
        <v>93.909744985964352</v>
      </c>
      <c r="AJ40" s="797">
        <v>100.30846065278578</v>
      </c>
      <c r="AK40" s="797">
        <v>106.7071763196072</v>
      </c>
      <c r="AL40" s="797">
        <v>113.10589198642863</v>
      </c>
      <c r="AM40" s="797">
        <v>119.50460765325006</v>
      </c>
      <c r="AN40" s="797">
        <v>125.90332332007149</v>
      </c>
      <c r="AO40" s="797">
        <v>132.30203898689291</v>
      </c>
      <c r="AP40" s="797">
        <v>138.70075465371434</v>
      </c>
      <c r="AQ40" s="797">
        <v>145.09947032053577</v>
      </c>
      <c r="AR40" s="797">
        <v>151.4981859873572</v>
      </c>
      <c r="AS40" s="797">
        <v>157.89690165417863</v>
      </c>
      <c r="AT40" s="797">
        <v>164.29561732100007</v>
      </c>
      <c r="AU40" s="797">
        <v>170.6943329878215</v>
      </c>
      <c r="AV40" s="797">
        <v>177.09304865464293</v>
      </c>
      <c r="AW40" s="797">
        <v>183.49176432146436</v>
      </c>
      <c r="AX40" s="797">
        <v>189.89047998828579</v>
      </c>
      <c r="AY40" s="797">
        <v>196.28919565510722</v>
      </c>
      <c r="AZ40" s="797">
        <v>202.68791132192862</v>
      </c>
      <c r="BA40" s="798">
        <v>209.08662698875006</v>
      </c>
    </row>
    <row r="41" spans="1:53">
      <c r="A41" s="1912"/>
      <c r="B41" s="799">
        <v>3.5</v>
      </c>
      <c r="C41" s="796">
        <f>(AD41*KFC!$B$35+KFC!$C$35)*KFC!$C$5</f>
        <v>62.22180575571435</v>
      </c>
      <c r="D41" s="796">
        <f>(AE41*KFC!$B$35+KFC!$C$35)*KFC!$C$5</f>
        <v>68.696978190982207</v>
      </c>
      <c r="E41" s="796">
        <f>(AF41*KFC!$B$35+KFC!$C$35)*KFC!$C$5</f>
        <v>75.172150626250072</v>
      </c>
      <c r="F41" s="796">
        <f>(AG41*KFC!$B$35+KFC!$C$35)*KFC!$C$5</f>
        <v>81.647323061517938</v>
      </c>
      <c r="G41" s="796">
        <f>(AH41*KFC!$B$35+KFC!$C$35)*KFC!$C$5</f>
        <v>88.122495496785803</v>
      </c>
      <c r="H41" s="796">
        <f>(AI41*KFC!$B$35+KFC!$C$35)*KFC!$C$5</f>
        <v>94.597667932053682</v>
      </c>
      <c r="I41" s="796">
        <f>(AJ41*KFC!$B$35+KFC!$C$35)*KFC!$C$5</f>
        <v>101.07284036732155</v>
      </c>
      <c r="J41" s="796">
        <f>(AK41*KFC!$B$35+KFC!$C$35)*KFC!$C$5</f>
        <v>107.54801280258943</v>
      </c>
      <c r="K41" s="796">
        <f>(AL41*KFC!$B$35+KFC!$C$35)*KFC!$C$5</f>
        <v>114.02318523785729</v>
      </c>
      <c r="L41" s="796">
        <f>(AM41*KFC!$B$35+KFC!$C$35)*KFC!$C$5</f>
        <v>120.49835767312516</v>
      </c>
      <c r="M41" s="796">
        <f>(AN41*KFC!$B$35+KFC!$C$35)*KFC!$C$5</f>
        <v>126.97353010839304</v>
      </c>
      <c r="N41" s="796">
        <f>(AO41*KFC!$B$35+KFC!$C$35)*KFC!$C$5</f>
        <v>133.44870254366091</v>
      </c>
      <c r="O41" s="796">
        <f>(AP41*KFC!$B$35+KFC!$C$35)*KFC!$C$5</f>
        <v>139.92387497892878</v>
      </c>
      <c r="P41" s="796">
        <f>(AQ41*KFC!$B$35+KFC!$C$35)*KFC!$C$5</f>
        <v>146.39904741419664</v>
      </c>
      <c r="Q41" s="796">
        <f>(AR41*KFC!$B$35+KFC!$C$35)*KFC!$C$5</f>
        <v>152.87421984946451</v>
      </c>
      <c r="R41" s="796">
        <f>(AS41*KFC!$B$35+KFC!$C$35)*KFC!$C$5</f>
        <v>159.3493922847324</v>
      </c>
      <c r="S41" s="796">
        <f>(AT41*KFC!$B$35+KFC!$C$35)*KFC!$C$5</f>
        <v>165.82456472000027</v>
      </c>
      <c r="T41" s="796">
        <f>(AU41*KFC!$B$35+KFC!$C$35)*KFC!$C$5</f>
        <v>172.29973715526813</v>
      </c>
      <c r="U41" s="796">
        <f>(AV41*KFC!$B$35+KFC!$C$35)*KFC!$C$5</f>
        <v>178.774909590536</v>
      </c>
      <c r="V41" s="796">
        <f>(AW41*KFC!$B$35+KFC!$C$35)*KFC!$C$5</f>
        <v>185.25008202580386</v>
      </c>
      <c r="W41" s="796">
        <f>(AX41*KFC!$B$35+KFC!$C$35)*KFC!$C$5</f>
        <v>191.72525446107176</v>
      </c>
      <c r="X41" s="796">
        <f>(AY41*KFC!$B$35+KFC!$C$35)*KFC!$C$5</f>
        <v>198.20042689633962</v>
      </c>
      <c r="Y41" s="796">
        <f>(AZ41*KFC!$B$35+KFC!$C$35)*KFC!$C$5</f>
        <v>204.67559933160749</v>
      </c>
      <c r="Z41" s="814">
        <f>(BA41*KFC!$B$35+KFC!$C$35)*KFC!$C$5</f>
        <v>211.15077176687535</v>
      </c>
      <c r="AB41" s="1912"/>
      <c r="AC41" s="799">
        <v>3.5</v>
      </c>
      <c r="AD41" s="796">
        <v>62.22180575571435</v>
      </c>
      <c r="AE41" s="797">
        <v>68.696978190982207</v>
      </c>
      <c r="AF41" s="797">
        <v>75.172150626250072</v>
      </c>
      <c r="AG41" s="797">
        <v>81.647323061517938</v>
      </c>
      <c r="AH41" s="797">
        <v>88.122495496785803</v>
      </c>
      <c r="AI41" s="797">
        <v>94.597667932053682</v>
      </c>
      <c r="AJ41" s="797">
        <v>101.07284036732155</v>
      </c>
      <c r="AK41" s="797">
        <v>107.54801280258943</v>
      </c>
      <c r="AL41" s="797">
        <v>114.02318523785729</v>
      </c>
      <c r="AM41" s="797">
        <v>120.49835767312516</v>
      </c>
      <c r="AN41" s="797">
        <v>126.97353010839304</v>
      </c>
      <c r="AO41" s="797">
        <v>133.44870254366091</v>
      </c>
      <c r="AP41" s="797">
        <v>139.92387497892878</v>
      </c>
      <c r="AQ41" s="797">
        <v>146.39904741419664</v>
      </c>
      <c r="AR41" s="797">
        <v>152.87421984946451</v>
      </c>
      <c r="AS41" s="797">
        <v>159.3493922847324</v>
      </c>
      <c r="AT41" s="797">
        <v>165.82456472000027</v>
      </c>
      <c r="AU41" s="797">
        <v>172.29973715526813</v>
      </c>
      <c r="AV41" s="797">
        <v>178.774909590536</v>
      </c>
      <c r="AW41" s="797">
        <v>185.25008202580386</v>
      </c>
      <c r="AX41" s="797">
        <v>191.72525446107176</v>
      </c>
      <c r="AY41" s="797">
        <v>198.20042689633962</v>
      </c>
      <c r="AZ41" s="797">
        <v>204.67559933160749</v>
      </c>
      <c r="BA41" s="798">
        <v>211.15077176687535</v>
      </c>
    </row>
    <row r="42" spans="1:53">
      <c r="A42" s="1912"/>
      <c r="B42" s="799">
        <v>3.6</v>
      </c>
      <c r="C42" s="796">
        <f>(AD42*KFC!$B$35+KFC!$C$35)*KFC!$C$5</f>
        <v>62.527444859571496</v>
      </c>
      <c r="D42" s="796">
        <f>(AE42*KFC!$B$35+KFC!$C$35)*KFC!$C$5</f>
        <v>69.079074063285788</v>
      </c>
      <c r="E42" s="796">
        <f>(AF42*KFC!$B$35+KFC!$C$35)*KFC!$C$5</f>
        <v>75.630703267000086</v>
      </c>
      <c r="F42" s="796">
        <f>(AG42*KFC!$B$35+KFC!$C$35)*KFC!$C$5</f>
        <v>82.182332470714385</v>
      </c>
      <c r="G42" s="796">
        <f>(AH42*KFC!$B$35+KFC!$C$35)*KFC!$C$5</f>
        <v>88.73396167442867</v>
      </c>
      <c r="H42" s="796">
        <f>(AI42*KFC!$B$35+KFC!$C$35)*KFC!$C$5</f>
        <v>95.285590878142969</v>
      </c>
      <c r="I42" s="796">
        <f>(AJ42*KFC!$B$35+KFC!$C$35)*KFC!$C$5</f>
        <v>101.83722008185727</v>
      </c>
      <c r="J42" s="796">
        <f>(AK42*KFC!$B$35+KFC!$C$35)*KFC!$C$5</f>
        <v>108.38884928557155</v>
      </c>
      <c r="K42" s="796">
        <f>(AL42*KFC!$B$35+KFC!$C$35)*KFC!$C$5</f>
        <v>114.94047848928585</v>
      </c>
      <c r="L42" s="796">
        <f>(AM42*KFC!$B$35+KFC!$C$35)*KFC!$C$5</f>
        <v>121.49210769300015</v>
      </c>
      <c r="M42" s="796">
        <f>(AN42*KFC!$B$35+KFC!$C$35)*KFC!$C$5</f>
        <v>128.04373689671445</v>
      </c>
      <c r="N42" s="796">
        <f>(AO42*KFC!$B$35+KFC!$C$35)*KFC!$C$5</f>
        <v>134.59536610042875</v>
      </c>
      <c r="O42" s="796">
        <f>(AP42*KFC!$B$35+KFC!$C$35)*KFC!$C$5</f>
        <v>141.14699530414305</v>
      </c>
      <c r="P42" s="796">
        <f>(AQ42*KFC!$B$35+KFC!$C$35)*KFC!$C$5</f>
        <v>147.69862450785732</v>
      </c>
      <c r="Q42" s="796">
        <f>(AR42*KFC!$B$35+KFC!$C$35)*KFC!$C$5</f>
        <v>154.25025371157162</v>
      </c>
      <c r="R42" s="796">
        <f>(AS42*KFC!$B$35+KFC!$C$35)*KFC!$C$5</f>
        <v>160.80188291528592</v>
      </c>
      <c r="S42" s="796">
        <f>(AT42*KFC!$B$35+KFC!$C$35)*KFC!$C$5</f>
        <v>167.35351211900021</v>
      </c>
      <c r="T42" s="796">
        <f>(AU42*KFC!$B$35+KFC!$C$35)*KFC!$C$5</f>
        <v>173.90514132271451</v>
      </c>
      <c r="U42" s="796">
        <f>(AV42*KFC!$B$35+KFC!$C$35)*KFC!$C$5</f>
        <v>180.45677052642878</v>
      </c>
      <c r="V42" s="796">
        <f>(AW42*KFC!$B$35+KFC!$C$35)*KFC!$C$5</f>
        <v>187.00839973014305</v>
      </c>
      <c r="W42" s="796">
        <f>(AX42*KFC!$B$35+KFC!$C$35)*KFC!$C$5</f>
        <v>193.56002893385732</v>
      </c>
      <c r="X42" s="796">
        <f>(AY42*KFC!$B$35+KFC!$C$35)*KFC!$C$5</f>
        <v>200.11165813757162</v>
      </c>
      <c r="Y42" s="796">
        <f>(AZ42*KFC!$B$35+KFC!$C$35)*KFC!$C$5</f>
        <v>206.66328734128589</v>
      </c>
      <c r="Z42" s="814">
        <f>(BA42*KFC!$B$35+KFC!$C$35)*KFC!$C$5</f>
        <v>213.21491654500016</v>
      </c>
      <c r="AB42" s="1912"/>
      <c r="AC42" s="799">
        <v>3.6</v>
      </c>
      <c r="AD42" s="796">
        <v>62.527444859571496</v>
      </c>
      <c r="AE42" s="797">
        <v>69.079074063285788</v>
      </c>
      <c r="AF42" s="797">
        <v>75.630703267000086</v>
      </c>
      <c r="AG42" s="797">
        <v>82.182332470714385</v>
      </c>
      <c r="AH42" s="797">
        <v>88.73396167442867</v>
      </c>
      <c r="AI42" s="797">
        <v>95.285590878142969</v>
      </c>
      <c r="AJ42" s="797">
        <v>101.83722008185727</v>
      </c>
      <c r="AK42" s="797">
        <v>108.38884928557155</v>
      </c>
      <c r="AL42" s="797">
        <v>114.94047848928585</v>
      </c>
      <c r="AM42" s="797">
        <v>121.49210769300015</v>
      </c>
      <c r="AN42" s="797">
        <v>128.04373689671445</v>
      </c>
      <c r="AO42" s="797">
        <v>134.59536610042875</v>
      </c>
      <c r="AP42" s="797">
        <v>141.14699530414305</v>
      </c>
      <c r="AQ42" s="797">
        <v>147.69862450785732</v>
      </c>
      <c r="AR42" s="797">
        <v>154.25025371157162</v>
      </c>
      <c r="AS42" s="797">
        <v>160.80188291528592</v>
      </c>
      <c r="AT42" s="797">
        <v>167.35351211900021</v>
      </c>
      <c r="AU42" s="797">
        <v>173.90514132271451</v>
      </c>
      <c r="AV42" s="797">
        <v>180.45677052642878</v>
      </c>
      <c r="AW42" s="797">
        <v>187.00839973014305</v>
      </c>
      <c r="AX42" s="797">
        <v>193.56002893385732</v>
      </c>
      <c r="AY42" s="797">
        <v>200.11165813757162</v>
      </c>
      <c r="AZ42" s="797">
        <v>206.66328734128589</v>
      </c>
      <c r="BA42" s="798">
        <v>213.21491654500016</v>
      </c>
    </row>
    <row r="43" spans="1:53">
      <c r="A43" s="1912"/>
      <c r="B43" s="799">
        <v>3.7</v>
      </c>
      <c r="C43" s="796">
        <f>(AD43*KFC!$B$35+KFC!$C$35)*KFC!$C$5</f>
        <v>62.833083963428642</v>
      </c>
      <c r="D43" s="796">
        <f>(AE43*KFC!$B$35+KFC!$C$35)*KFC!$C$5</f>
        <v>69.461169935589353</v>
      </c>
      <c r="E43" s="796">
        <f>(AF43*KFC!$B$35+KFC!$C$35)*KFC!$C$5</f>
        <v>76.089255907750072</v>
      </c>
      <c r="F43" s="796">
        <f>(AG43*KFC!$B$35+KFC!$C$35)*KFC!$C$5</f>
        <v>82.717341879910791</v>
      </c>
      <c r="G43" s="796">
        <f>(AH43*KFC!$B$35+KFC!$C$35)*KFC!$C$5</f>
        <v>89.345427852071523</v>
      </c>
      <c r="H43" s="796">
        <f>(AI43*KFC!$B$35+KFC!$C$35)*KFC!$C$5</f>
        <v>95.973513824232242</v>
      </c>
      <c r="I43" s="796">
        <f>(AJ43*KFC!$B$35+KFC!$C$35)*KFC!$C$5</f>
        <v>102.60159979639296</v>
      </c>
      <c r="J43" s="796">
        <f>(AK43*KFC!$B$35+KFC!$C$35)*KFC!$C$5</f>
        <v>109.22968576855368</v>
      </c>
      <c r="K43" s="796">
        <f>(AL43*KFC!$B$35+KFC!$C$35)*KFC!$C$5</f>
        <v>115.8577717407144</v>
      </c>
      <c r="L43" s="796">
        <f>(AM43*KFC!$B$35+KFC!$C$35)*KFC!$C$5</f>
        <v>122.48585771287512</v>
      </c>
      <c r="M43" s="796">
        <f>(AN43*KFC!$B$35+KFC!$C$35)*KFC!$C$5</f>
        <v>129.11394368503582</v>
      </c>
      <c r="N43" s="796">
        <f>(AO43*KFC!$B$35+KFC!$C$35)*KFC!$C$5</f>
        <v>135.74202965719655</v>
      </c>
      <c r="O43" s="796">
        <f>(AP43*KFC!$B$35+KFC!$C$35)*KFC!$C$5</f>
        <v>142.37011562935726</v>
      </c>
      <c r="P43" s="796">
        <f>(AQ43*KFC!$B$35+KFC!$C$35)*KFC!$C$5</f>
        <v>148.99820160151799</v>
      </c>
      <c r="Q43" s="796">
        <f>(AR43*KFC!$B$35+KFC!$C$35)*KFC!$C$5</f>
        <v>155.6262875736787</v>
      </c>
      <c r="R43" s="796">
        <f>(AS43*KFC!$B$35+KFC!$C$35)*KFC!$C$5</f>
        <v>162.25437354583943</v>
      </c>
      <c r="S43" s="796">
        <f>(AT43*KFC!$B$35+KFC!$C$35)*KFC!$C$5</f>
        <v>168.88245951800016</v>
      </c>
      <c r="T43" s="796">
        <f>(AU43*KFC!$B$35+KFC!$C$35)*KFC!$C$5</f>
        <v>175.51054549016089</v>
      </c>
      <c r="U43" s="796">
        <f>(AV43*KFC!$B$35+KFC!$C$35)*KFC!$C$5</f>
        <v>182.1386314623216</v>
      </c>
      <c r="V43" s="796">
        <f>(AW43*KFC!$B$35+KFC!$C$35)*KFC!$C$5</f>
        <v>188.76671743448233</v>
      </c>
      <c r="W43" s="796">
        <f>(AX43*KFC!$B$35+KFC!$C$35)*KFC!$C$5</f>
        <v>195.39480340664304</v>
      </c>
      <c r="X43" s="796">
        <f>(AY43*KFC!$B$35+KFC!$C$35)*KFC!$C$5</f>
        <v>202.02288937880377</v>
      </c>
      <c r="Y43" s="796">
        <f>(AZ43*KFC!$B$35+KFC!$C$35)*KFC!$C$5</f>
        <v>208.65097535096447</v>
      </c>
      <c r="Z43" s="814">
        <f>(BA43*KFC!$B$35+KFC!$C$35)*KFC!$C$5</f>
        <v>215.27906132312521</v>
      </c>
      <c r="AB43" s="1912"/>
      <c r="AC43" s="799">
        <v>3.7</v>
      </c>
      <c r="AD43" s="796">
        <v>62.833083963428642</v>
      </c>
      <c r="AE43" s="797">
        <v>69.461169935589353</v>
      </c>
      <c r="AF43" s="797">
        <v>76.089255907750072</v>
      </c>
      <c r="AG43" s="797">
        <v>82.717341879910791</v>
      </c>
      <c r="AH43" s="797">
        <v>89.345427852071523</v>
      </c>
      <c r="AI43" s="797">
        <v>95.973513824232242</v>
      </c>
      <c r="AJ43" s="797">
        <v>102.60159979639296</v>
      </c>
      <c r="AK43" s="797">
        <v>109.22968576855368</v>
      </c>
      <c r="AL43" s="797">
        <v>115.8577717407144</v>
      </c>
      <c r="AM43" s="797">
        <v>122.48585771287512</v>
      </c>
      <c r="AN43" s="797">
        <v>129.11394368503582</v>
      </c>
      <c r="AO43" s="797">
        <v>135.74202965719655</v>
      </c>
      <c r="AP43" s="797">
        <v>142.37011562935726</v>
      </c>
      <c r="AQ43" s="797">
        <v>148.99820160151799</v>
      </c>
      <c r="AR43" s="797">
        <v>155.6262875736787</v>
      </c>
      <c r="AS43" s="797">
        <v>162.25437354583943</v>
      </c>
      <c r="AT43" s="797">
        <v>168.88245951800016</v>
      </c>
      <c r="AU43" s="797">
        <v>175.51054549016089</v>
      </c>
      <c r="AV43" s="797">
        <v>182.1386314623216</v>
      </c>
      <c r="AW43" s="797">
        <v>188.76671743448233</v>
      </c>
      <c r="AX43" s="797">
        <v>195.39480340664304</v>
      </c>
      <c r="AY43" s="797">
        <v>202.02288937880377</v>
      </c>
      <c r="AZ43" s="797">
        <v>208.65097535096447</v>
      </c>
      <c r="BA43" s="798">
        <v>215.27906132312521</v>
      </c>
    </row>
    <row r="44" spans="1:53">
      <c r="A44" s="1912"/>
      <c r="B44" s="799">
        <v>3.8</v>
      </c>
      <c r="C44" s="796">
        <f>(AD44*KFC!$B$35+KFC!$C$35)*KFC!$C$5</f>
        <v>63.138723067285788</v>
      </c>
      <c r="D44" s="796">
        <f>(AE44*KFC!$B$35+KFC!$C$35)*KFC!$C$5</f>
        <v>69.843265807892934</v>
      </c>
      <c r="E44" s="796">
        <f>(AF44*KFC!$B$35+KFC!$C$35)*KFC!$C$5</f>
        <v>76.547808548500086</v>
      </c>
      <c r="F44" s="796">
        <f>(AG44*KFC!$B$35+KFC!$C$35)*KFC!$C$5</f>
        <v>83.252351289107239</v>
      </c>
      <c r="G44" s="796">
        <f>(AH44*KFC!$B$35+KFC!$C$35)*KFC!$C$5</f>
        <v>89.956894029714391</v>
      </c>
      <c r="H44" s="796">
        <f>(AI44*KFC!$B$35+KFC!$C$35)*KFC!$C$5</f>
        <v>96.661436770321529</v>
      </c>
      <c r="I44" s="796">
        <f>(AJ44*KFC!$B$35+KFC!$C$35)*KFC!$C$5</f>
        <v>103.36597951092868</v>
      </c>
      <c r="J44" s="796">
        <f>(AK44*KFC!$B$35+KFC!$C$35)*KFC!$C$5</f>
        <v>110.07052225153582</v>
      </c>
      <c r="K44" s="796">
        <f>(AL44*KFC!$B$35+KFC!$C$35)*KFC!$C$5</f>
        <v>116.77506499214296</v>
      </c>
      <c r="L44" s="796">
        <f>(AM44*KFC!$B$35+KFC!$C$35)*KFC!$C$5</f>
        <v>123.4796077327501</v>
      </c>
      <c r="M44" s="796">
        <f>(AN44*KFC!$B$35+KFC!$C$35)*KFC!$C$5</f>
        <v>130.18415047335725</v>
      </c>
      <c r="N44" s="796">
        <f>(AO44*KFC!$B$35+KFC!$C$35)*KFC!$C$5</f>
        <v>136.88869321396439</v>
      </c>
      <c r="O44" s="796">
        <f>(AP44*KFC!$B$35+KFC!$C$35)*KFC!$C$5</f>
        <v>143.59323595457153</v>
      </c>
      <c r="P44" s="796">
        <f>(AQ44*KFC!$B$35+KFC!$C$35)*KFC!$C$5</f>
        <v>150.29777869517866</v>
      </c>
      <c r="Q44" s="796">
        <f>(AR44*KFC!$B$35+KFC!$C$35)*KFC!$C$5</f>
        <v>157.0023214357858</v>
      </c>
      <c r="R44" s="796">
        <f>(AS44*KFC!$B$35+KFC!$C$35)*KFC!$C$5</f>
        <v>163.70686417639297</v>
      </c>
      <c r="S44" s="796">
        <f>(AT44*KFC!$B$35+KFC!$C$35)*KFC!$C$5</f>
        <v>170.41140691700011</v>
      </c>
      <c r="T44" s="796">
        <f>(AU44*KFC!$B$35+KFC!$C$35)*KFC!$C$5</f>
        <v>177.11594965760725</v>
      </c>
      <c r="U44" s="796">
        <f>(AV44*KFC!$B$35+KFC!$C$35)*KFC!$C$5</f>
        <v>183.82049239821441</v>
      </c>
      <c r="V44" s="796">
        <f>(AW44*KFC!$B$35+KFC!$C$35)*KFC!$C$5</f>
        <v>190.52503513882158</v>
      </c>
      <c r="W44" s="796">
        <f>(AX44*KFC!$B$35+KFC!$C$35)*KFC!$C$5</f>
        <v>197.22957787942875</v>
      </c>
      <c r="X44" s="796">
        <f>(AY44*KFC!$B$35+KFC!$C$35)*KFC!$C$5</f>
        <v>203.93412062003591</v>
      </c>
      <c r="Y44" s="796">
        <f>(AZ44*KFC!$B$35+KFC!$C$35)*KFC!$C$5</f>
        <v>210.63866336064305</v>
      </c>
      <c r="Z44" s="814">
        <f>(BA44*KFC!$B$35+KFC!$C$35)*KFC!$C$5</f>
        <v>217.34320610125022</v>
      </c>
      <c r="AB44" s="1912"/>
      <c r="AC44" s="799">
        <v>3.8</v>
      </c>
      <c r="AD44" s="796">
        <v>63.138723067285788</v>
      </c>
      <c r="AE44" s="797">
        <v>69.843265807892934</v>
      </c>
      <c r="AF44" s="797">
        <v>76.547808548500086</v>
      </c>
      <c r="AG44" s="797">
        <v>83.252351289107239</v>
      </c>
      <c r="AH44" s="797">
        <v>89.956894029714391</v>
      </c>
      <c r="AI44" s="797">
        <v>96.661436770321529</v>
      </c>
      <c r="AJ44" s="797">
        <v>103.36597951092868</v>
      </c>
      <c r="AK44" s="797">
        <v>110.07052225153582</v>
      </c>
      <c r="AL44" s="797">
        <v>116.77506499214296</v>
      </c>
      <c r="AM44" s="797">
        <v>123.4796077327501</v>
      </c>
      <c r="AN44" s="797">
        <v>130.18415047335725</v>
      </c>
      <c r="AO44" s="797">
        <v>136.88869321396439</v>
      </c>
      <c r="AP44" s="797">
        <v>143.59323595457153</v>
      </c>
      <c r="AQ44" s="797">
        <v>150.29777869517866</v>
      </c>
      <c r="AR44" s="797">
        <v>157.0023214357858</v>
      </c>
      <c r="AS44" s="797">
        <v>163.70686417639297</v>
      </c>
      <c r="AT44" s="797">
        <v>170.41140691700011</v>
      </c>
      <c r="AU44" s="797">
        <v>177.11594965760725</v>
      </c>
      <c r="AV44" s="797">
        <v>183.82049239821441</v>
      </c>
      <c r="AW44" s="797">
        <v>190.52503513882158</v>
      </c>
      <c r="AX44" s="797">
        <v>197.22957787942875</v>
      </c>
      <c r="AY44" s="797">
        <v>203.93412062003591</v>
      </c>
      <c r="AZ44" s="797">
        <v>210.63866336064305</v>
      </c>
      <c r="BA44" s="798">
        <v>217.34320610125022</v>
      </c>
    </row>
    <row r="45" spans="1:53">
      <c r="A45" s="1912"/>
      <c r="B45" s="799">
        <v>3.9</v>
      </c>
      <c r="C45" s="796">
        <f>(AD45*KFC!$B$35+KFC!$C$35)*KFC!$C$5</f>
        <v>63.444362171142927</v>
      </c>
      <c r="D45" s="796">
        <f>(AE45*KFC!$B$35+KFC!$C$35)*KFC!$C$5</f>
        <v>70.225361680196499</v>
      </c>
      <c r="E45" s="796">
        <f>(AF45*KFC!$B$35+KFC!$C$35)*KFC!$C$5</f>
        <v>77.006361189250086</v>
      </c>
      <c r="F45" s="796">
        <f>(AG45*KFC!$B$35+KFC!$C$35)*KFC!$C$5</f>
        <v>83.787360698303658</v>
      </c>
      <c r="G45" s="796">
        <f>(AH45*KFC!$B$35+KFC!$C$35)*KFC!$C$5</f>
        <v>90.568360207357244</v>
      </c>
      <c r="H45" s="796">
        <f>(AI45*KFC!$B$35+KFC!$C$35)*KFC!$C$5</f>
        <v>97.349359716410831</v>
      </c>
      <c r="I45" s="796">
        <f>(AJ45*KFC!$B$35+KFC!$C$35)*KFC!$C$5</f>
        <v>104.1303592254644</v>
      </c>
      <c r="J45" s="796">
        <f>(AK45*KFC!$B$35+KFC!$C$35)*KFC!$C$5</f>
        <v>110.91135873451799</v>
      </c>
      <c r="K45" s="796">
        <f>(AL45*KFC!$B$35+KFC!$C$35)*KFC!$C$5</f>
        <v>117.69235824357158</v>
      </c>
      <c r="L45" s="796">
        <f>(AM45*KFC!$B$35+KFC!$C$35)*KFC!$C$5</f>
        <v>124.47335775262516</v>
      </c>
      <c r="M45" s="796">
        <f>(AN45*KFC!$B$35+KFC!$C$35)*KFC!$C$5</f>
        <v>131.25435726167873</v>
      </c>
      <c r="N45" s="796">
        <f>(AO45*KFC!$B$35+KFC!$C$35)*KFC!$C$5</f>
        <v>138.03535677073234</v>
      </c>
      <c r="O45" s="796">
        <f>(AP45*KFC!$B$35+KFC!$C$35)*KFC!$C$5</f>
        <v>144.81635627978591</v>
      </c>
      <c r="P45" s="796">
        <f>(AQ45*KFC!$B$35+KFC!$C$35)*KFC!$C$5</f>
        <v>151.59735578883951</v>
      </c>
      <c r="Q45" s="796">
        <f>(AR45*KFC!$B$35+KFC!$C$35)*KFC!$C$5</f>
        <v>158.37835529789308</v>
      </c>
      <c r="R45" s="796">
        <f>(AS45*KFC!$B$35+KFC!$C$35)*KFC!$C$5</f>
        <v>165.15935480694668</v>
      </c>
      <c r="S45" s="796">
        <f>(AT45*KFC!$B$35+KFC!$C$35)*KFC!$C$5</f>
        <v>171.94035431600025</v>
      </c>
      <c r="T45" s="796">
        <f>(AU45*KFC!$B$35+KFC!$C$35)*KFC!$C$5</f>
        <v>178.72135382505382</v>
      </c>
      <c r="U45" s="796">
        <f>(AV45*KFC!$B$35+KFC!$C$35)*KFC!$C$5</f>
        <v>185.5023533341074</v>
      </c>
      <c r="V45" s="796">
        <f>(AW45*KFC!$B$35+KFC!$C$35)*KFC!$C$5</f>
        <v>192.28335284316094</v>
      </c>
      <c r="W45" s="796">
        <f>(AX45*KFC!$B$35+KFC!$C$35)*KFC!$C$5</f>
        <v>199.06435235221451</v>
      </c>
      <c r="X45" s="796">
        <f>(AY45*KFC!$B$35+KFC!$C$35)*KFC!$C$5</f>
        <v>205.84535186126809</v>
      </c>
      <c r="Y45" s="796">
        <f>(AZ45*KFC!$B$35+KFC!$C$35)*KFC!$C$5</f>
        <v>212.62635137032166</v>
      </c>
      <c r="Z45" s="814">
        <f>(BA45*KFC!$B$35+KFC!$C$35)*KFC!$C$5</f>
        <v>219.40735087937523</v>
      </c>
      <c r="AB45" s="1912"/>
      <c r="AC45" s="799">
        <v>3.9</v>
      </c>
      <c r="AD45" s="796">
        <v>63.444362171142927</v>
      </c>
      <c r="AE45" s="797">
        <v>70.225361680196499</v>
      </c>
      <c r="AF45" s="797">
        <v>77.006361189250086</v>
      </c>
      <c r="AG45" s="797">
        <v>83.787360698303658</v>
      </c>
      <c r="AH45" s="797">
        <v>90.568360207357244</v>
      </c>
      <c r="AI45" s="797">
        <v>97.349359716410831</v>
      </c>
      <c r="AJ45" s="797">
        <v>104.1303592254644</v>
      </c>
      <c r="AK45" s="797">
        <v>110.91135873451799</v>
      </c>
      <c r="AL45" s="797">
        <v>117.69235824357158</v>
      </c>
      <c r="AM45" s="797">
        <v>124.47335775262516</v>
      </c>
      <c r="AN45" s="797">
        <v>131.25435726167873</v>
      </c>
      <c r="AO45" s="797">
        <v>138.03535677073234</v>
      </c>
      <c r="AP45" s="797">
        <v>144.81635627978591</v>
      </c>
      <c r="AQ45" s="797">
        <v>151.59735578883951</v>
      </c>
      <c r="AR45" s="797">
        <v>158.37835529789308</v>
      </c>
      <c r="AS45" s="797">
        <v>165.15935480694668</v>
      </c>
      <c r="AT45" s="797">
        <v>171.94035431600025</v>
      </c>
      <c r="AU45" s="797">
        <v>178.72135382505382</v>
      </c>
      <c r="AV45" s="797">
        <v>185.5023533341074</v>
      </c>
      <c r="AW45" s="797">
        <v>192.28335284316094</v>
      </c>
      <c r="AX45" s="797">
        <v>199.06435235221451</v>
      </c>
      <c r="AY45" s="797">
        <v>205.84535186126809</v>
      </c>
      <c r="AZ45" s="797">
        <v>212.62635137032166</v>
      </c>
      <c r="BA45" s="798">
        <v>219.40735087937523</v>
      </c>
    </row>
    <row r="46" spans="1:53" ht="13.8" thickBot="1">
      <c r="A46" s="1913"/>
      <c r="B46" s="800">
        <v>4</v>
      </c>
      <c r="C46" s="801">
        <f>(AD46*KFC!$B$35+KFC!$C$35)*KFC!$C$5</f>
        <v>63.750001275000002</v>
      </c>
      <c r="D46" s="801">
        <f>(AE46*KFC!$B$35+KFC!$C$35)*KFC!$C$5</f>
        <v>70.607457552499994</v>
      </c>
      <c r="E46" s="801">
        <f>(AF46*KFC!$B$35+KFC!$C$35)*KFC!$C$5</f>
        <v>77.46491383</v>
      </c>
      <c r="F46" s="801">
        <f>(AG46*KFC!$B$35+KFC!$C$35)*KFC!$C$5</f>
        <v>84.322370107500006</v>
      </c>
      <c r="G46" s="801">
        <f>(AH46*KFC!$B$35+KFC!$C$35)*KFC!$C$5</f>
        <v>91.179826385000013</v>
      </c>
      <c r="H46" s="801">
        <f>(AI46*KFC!$B$35+KFC!$C$35)*KFC!$C$5</f>
        <v>98.037282662500019</v>
      </c>
      <c r="I46" s="801">
        <f>(AJ46*KFC!$B$35+KFC!$C$35)*KFC!$C$5</f>
        <v>104.89473894000002</v>
      </c>
      <c r="J46" s="801">
        <f>(AK46*KFC!$B$35+KFC!$C$35)*KFC!$C$5</f>
        <v>111.75219521750005</v>
      </c>
      <c r="K46" s="801">
        <f>(AL46*KFC!$B$35+KFC!$C$35)*KFC!$C$5</f>
        <v>118.60965149500005</v>
      </c>
      <c r="L46" s="801">
        <f>(AM46*KFC!$B$35+KFC!$C$35)*KFC!$C$5</f>
        <v>125.46710777250006</v>
      </c>
      <c r="M46" s="801">
        <f>(AN46*KFC!$B$35+KFC!$C$35)*KFC!$C$5</f>
        <v>132.32456405000008</v>
      </c>
      <c r="N46" s="801">
        <f>(AO46*KFC!$B$35+KFC!$C$35)*KFC!$C$5</f>
        <v>139.18202032750008</v>
      </c>
      <c r="O46" s="801">
        <f>(AP46*KFC!$B$35+KFC!$C$35)*KFC!$C$5</f>
        <v>146.03947660500009</v>
      </c>
      <c r="P46" s="801">
        <f>(AQ46*KFC!$B$35+KFC!$C$35)*KFC!$C$5</f>
        <v>152.8969328825001</v>
      </c>
      <c r="Q46" s="801">
        <f>(AR46*KFC!$B$35+KFC!$C$35)*KFC!$C$5</f>
        <v>159.7543891600001</v>
      </c>
      <c r="R46" s="801">
        <f>(AS46*KFC!$B$35+KFC!$C$35)*KFC!$C$5</f>
        <v>166.61184543750011</v>
      </c>
      <c r="S46" s="801">
        <f>(AT46*KFC!$B$35+KFC!$C$35)*KFC!$C$5</f>
        <v>173.46930171500011</v>
      </c>
      <c r="T46" s="801">
        <f>(AU46*KFC!$B$35+KFC!$C$35)*KFC!$C$5</f>
        <v>180.32675799250012</v>
      </c>
      <c r="U46" s="801">
        <f>(AV46*KFC!$B$35+KFC!$C$35)*KFC!$C$5</f>
        <v>187.18421427000013</v>
      </c>
      <c r="V46" s="801">
        <f>(AW46*KFC!$B$35+KFC!$C$35)*KFC!$C$5</f>
        <v>194.04167054750013</v>
      </c>
      <c r="W46" s="801">
        <f>(AX46*KFC!$B$35+KFC!$C$35)*KFC!$C$5</f>
        <v>200.89912682500014</v>
      </c>
      <c r="X46" s="801">
        <f>(AY46*KFC!$B$35+KFC!$C$35)*KFC!$C$5</f>
        <v>207.75658310250014</v>
      </c>
      <c r="Y46" s="801">
        <f>(AZ46*KFC!$B$35+KFC!$C$35)*KFC!$C$5</f>
        <v>214.61403938000015</v>
      </c>
      <c r="Z46" s="815">
        <f>(BA46*KFC!$B$35+KFC!$C$35)*KFC!$C$5</f>
        <v>221.47149565750018</v>
      </c>
      <c r="AB46" s="1913"/>
      <c r="AC46" s="800">
        <v>4</v>
      </c>
      <c r="AD46" s="801">
        <v>63.750001275000002</v>
      </c>
      <c r="AE46" s="802">
        <v>70.607457552499994</v>
      </c>
      <c r="AF46" s="802">
        <v>77.46491383</v>
      </c>
      <c r="AG46" s="802">
        <v>84.322370107500006</v>
      </c>
      <c r="AH46" s="802">
        <v>91.179826385000013</v>
      </c>
      <c r="AI46" s="802">
        <v>98.037282662500019</v>
      </c>
      <c r="AJ46" s="802">
        <v>104.89473894000002</v>
      </c>
      <c r="AK46" s="802">
        <v>111.75219521750005</v>
      </c>
      <c r="AL46" s="802">
        <v>118.60965149500005</v>
      </c>
      <c r="AM46" s="802">
        <v>125.46710777250006</v>
      </c>
      <c r="AN46" s="802">
        <v>132.32456405000008</v>
      </c>
      <c r="AO46" s="802">
        <v>139.18202032750008</v>
      </c>
      <c r="AP46" s="802">
        <v>146.03947660500009</v>
      </c>
      <c r="AQ46" s="802">
        <v>152.8969328825001</v>
      </c>
      <c r="AR46" s="802">
        <v>159.7543891600001</v>
      </c>
      <c r="AS46" s="802">
        <v>166.61184543750011</v>
      </c>
      <c r="AT46" s="802">
        <v>173.46930171500011</v>
      </c>
      <c r="AU46" s="802">
        <v>180.32675799250012</v>
      </c>
      <c r="AV46" s="802">
        <v>187.18421427000013</v>
      </c>
      <c r="AW46" s="802">
        <v>194.04167054750013</v>
      </c>
      <c r="AX46" s="802">
        <v>200.89912682500014</v>
      </c>
      <c r="AY46" s="802">
        <v>207.75658310250014</v>
      </c>
      <c r="AZ46" s="802">
        <v>214.61403938000015</v>
      </c>
      <c r="BA46" s="803">
        <v>221.47149565750018</v>
      </c>
    </row>
    <row r="47" spans="1:53" ht="13.8" thickBot="1">
      <c r="A47" s="69"/>
      <c r="B47" s="70"/>
      <c r="C47" s="70"/>
      <c r="D47" s="70"/>
      <c r="E47" s="70"/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70"/>
      <c r="Q47" s="70"/>
      <c r="R47" s="70"/>
      <c r="S47" s="69"/>
      <c r="T47" s="69"/>
      <c r="U47" s="69"/>
      <c r="V47" s="69"/>
      <c r="W47" s="69"/>
      <c r="X47" s="69"/>
      <c r="Y47" s="69"/>
      <c r="Z47" s="69"/>
      <c r="AB47" s="69"/>
      <c r="AC47" s="70"/>
      <c r="AD47" s="70"/>
      <c r="AE47" s="70"/>
      <c r="AF47" s="70"/>
      <c r="AG47" s="70"/>
      <c r="AH47" s="70"/>
      <c r="AI47" s="70"/>
      <c r="AJ47" s="70"/>
      <c r="AK47" s="70"/>
      <c r="AL47" s="70"/>
      <c r="AM47" s="70"/>
      <c r="AN47" s="70"/>
      <c r="AO47" s="70"/>
      <c r="AP47" s="70"/>
      <c r="AQ47" s="70"/>
      <c r="AR47" s="70"/>
      <c r="AS47" s="70"/>
      <c r="AT47" s="69"/>
      <c r="AU47" s="69"/>
      <c r="AV47" s="69"/>
      <c r="AW47" s="69"/>
      <c r="AX47" s="69"/>
      <c r="AY47" s="69"/>
      <c r="AZ47" s="69"/>
      <c r="BA47" s="69"/>
    </row>
    <row r="48" spans="1:53" ht="13.8" thickBot="1">
      <c r="A48" s="1413" t="s">
        <v>315</v>
      </c>
      <c r="B48" s="1414"/>
      <c r="C48" s="1940" t="s">
        <v>207</v>
      </c>
      <c r="D48" s="1941"/>
      <c r="E48" s="1941"/>
      <c r="F48" s="1941"/>
      <c r="G48" s="1941"/>
      <c r="H48" s="1941"/>
      <c r="I48" s="1941"/>
      <c r="J48" s="1941"/>
      <c r="K48" s="1941"/>
      <c r="L48" s="1941"/>
      <c r="M48" s="1941"/>
      <c r="N48" s="1941"/>
      <c r="O48" s="1941"/>
      <c r="P48" s="1941"/>
      <c r="Q48" s="1941"/>
      <c r="R48" s="1941"/>
      <c r="S48" s="1941"/>
      <c r="T48" s="1941"/>
      <c r="U48" s="1941"/>
      <c r="V48" s="1941"/>
      <c r="W48" s="1941"/>
      <c r="X48" s="1941"/>
      <c r="Y48" s="1941"/>
      <c r="Z48" s="1943"/>
      <c r="AB48" s="1413" t="s">
        <v>315</v>
      </c>
      <c r="AC48" s="1414"/>
      <c r="AD48" s="1940" t="s">
        <v>207</v>
      </c>
      <c r="AE48" s="1941"/>
      <c r="AF48" s="1941"/>
      <c r="AG48" s="1941"/>
      <c r="AH48" s="1941"/>
      <c r="AI48" s="1941"/>
      <c r="AJ48" s="1941"/>
      <c r="AK48" s="1941"/>
      <c r="AL48" s="1941"/>
      <c r="AM48" s="1941"/>
      <c r="AN48" s="1941"/>
      <c r="AO48" s="1941"/>
      <c r="AP48" s="1941"/>
      <c r="AQ48" s="1941"/>
      <c r="AR48" s="1941"/>
      <c r="AS48" s="1941"/>
      <c r="AT48" s="1941"/>
      <c r="AU48" s="1941"/>
      <c r="AV48" s="1941"/>
      <c r="AW48" s="1941"/>
      <c r="AX48" s="1941"/>
      <c r="AY48" s="1941"/>
      <c r="AZ48" s="1941"/>
      <c r="BA48" s="1942"/>
    </row>
    <row r="49" spans="1:53" ht="13.8" thickBot="1">
      <c r="A49" s="1803"/>
      <c r="B49" s="1910"/>
      <c r="C49" s="804">
        <v>0.4</v>
      </c>
      <c r="D49" s="805">
        <v>0.5</v>
      </c>
      <c r="E49" s="805">
        <v>0.6</v>
      </c>
      <c r="F49" s="805">
        <v>0.7</v>
      </c>
      <c r="G49" s="805">
        <v>0.8</v>
      </c>
      <c r="H49" s="805">
        <v>0.9</v>
      </c>
      <c r="I49" s="805">
        <v>1</v>
      </c>
      <c r="J49" s="805">
        <v>1.1000000000000001</v>
      </c>
      <c r="K49" s="805">
        <v>1.2</v>
      </c>
      <c r="L49" s="805">
        <v>1.3</v>
      </c>
      <c r="M49" s="805">
        <v>1.4</v>
      </c>
      <c r="N49" s="805">
        <v>1.5</v>
      </c>
      <c r="O49" s="805">
        <v>1.6</v>
      </c>
      <c r="P49" s="805">
        <v>1.7</v>
      </c>
      <c r="Q49" s="805">
        <v>1.8</v>
      </c>
      <c r="R49" s="805">
        <v>1.9</v>
      </c>
      <c r="S49" s="805">
        <v>2</v>
      </c>
      <c r="T49" s="805">
        <v>2.1</v>
      </c>
      <c r="U49" s="805">
        <v>2.2000000000000002</v>
      </c>
      <c r="V49" s="805">
        <v>2.2999999999999998</v>
      </c>
      <c r="W49" s="805">
        <v>2.4</v>
      </c>
      <c r="X49" s="805">
        <v>2.5</v>
      </c>
      <c r="Y49" s="805">
        <v>2.6</v>
      </c>
      <c r="Z49" s="816">
        <v>2.65</v>
      </c>
      <c r="AB49" s="1803"/>
      <c r="AC49" s="1910"/>
      <c r="AD49" s="804">
        <v>0.4</v>
      </c>
      <c r="AE49" s="805">
        <v>0.5</v>
      </c>
      <c r="AF49" s="805">
        <v>0.6</v>
      </c>
      <c r="AG49" s="805">
        <v>0.7</v>
      </c>
      <c r="AH49" s="805">
        <v>0.8</v>
      </c>
      <c r="AI49" s="805">
        <v>0.9</v>
      </c>
      <c r="AJ49" s="805">
        <v>1</v>
      </c>
      <c r="AK49" s="805">
        <v>1.1000000000000001</v>
      </c>
      <c r="AL49" s="805">
        <v>1.2</v>
      </c>
      <c r="AM49" s="805">
        <v>1.3</v>
      </c>
      <c r="AN49" s="805">
        <v>1.4</v>
      </c>
      <c r="AO49" s="805">
        <v>1.5</v>
      </c>
      <c r="AP49" s="805">
        <v>1.6</v>
      </c>
      <c r="AQ49" s="805">
        <v>1.7</v>
      </c>
      <c r="AR49" s="805">
        <v>1.8</v>
      </c>
      <c r="AS49" s="805">
        <v>1.9</v>
      </c>
      <c r="AT49" s="805">
        <v>2</v>
      </c>
      <c r="AU49" s="805">
        <v>2.1</v>
      </c>
      <c r="AV49" s="805">
        <v>2.2000000000000002</v>
      </c>
      <c r="AW49" s="805">
        <v>2.2999999999999998</v>
      </c>
      <c r="AX49" s="805">
        <v>2.4</v>
      </c>
      <c r="AY49" s="805">
        <v>2.5</v>
      </c>
      <c r="AZ49" s="805">
        <v>2.6</v>
      </c>
      <c r="BA49" s="806">
        <v>2.65</v>
      </c>
    </row>
    <row r="50" spans="1:53">
      <c r="A50" s="1911" t="s">
        <v>3</v>
      </c>
      <c r="B50" s="795">
        <v>0.5</v>
      </c>
      <c r="C50" s="796">
        <f>(AD50*KFC!$B$35+KFC!$C$35)*KFC!$C$5</f>
        <v>56.894737980000002</v>
      </c>
      <c r="D50" s="796">
        <f>(AE50*KFC!$B$35+KFC!$C$35)*KFC!$C$5</f>
        <v>62.036733696874997</v>
      </c>
      <c r="E50" s="796">
        <f>(AF50*KFC!$B$35+KFC!$C$35)*KFC!$C$5</f>
        <v>67.178729413749991</v>
      </c>
      <c r="F50" s="796">
        <f>(AG50*KFC!$B$35+KFC!$C$35)*KFC!$C$5</f>
        <v>72.320725130624993</v>
      </c>
      <c r="G50" s="796">
        <f>(AH50*KFC!$B$35+KFC!$C$35)*KFC!$C$5</f>
        <v>77.462720847499995</v>
      </c>
      <c r="H50" s="796">
        <f>(AI50*KFC!$B$35+KFC!$C$35)*KFC!$C$5</f>
        <v>82.604716564374982</v>
      </c>
      <c r="I50" s="796">
        <f>(AJ50*KFC!$B$35+KFC!$C$35)*KFC!$C$5</f>
        <v>87.746712281249998</v>
      </c>
      <c r="J50" s="796">
        <f>(AK50*KFC!$B$35+KFC!$C$35)*KFC!$C$5</f>
        <v>92.888707998125</v>
      </c>
      <c r="K50" s="796">
        <f>(AL50*KFC!$B$35+KFC!$C$35)*KFC!$C$5</f>
        <v>98.030703714999987</v>
      </c>
      <c r="L50" s="796">
        <f>(AM50*KFC!$B$35+KFC!$C$35)*KFC!$C$5</f>
        <v>103.17269943187499</v>
      </c>
      <c r="M50" s="796">
        <f>(AN50*KFC!$B$35+KFC!$C$35)*KFC!$C$5</f>
        <v>108.31469514874999</v>
      </c>
      <c r="N50" s="796">
        <f>(AO50*KFC!$B$35+KFC!$C$35)*KFC!$C$5</f>
        <v>113.45669086562499</v>
      </c>
      <c r="O50" s="796">
        <f>(AP50*KFC!$B$35+KFC!$C$35)*KFC!$C$5</f>
        <v>118.59868658249998</v>
      </c>
      <c r="P50" s="796">
        <f>(AQ50*KFC!$B$35+KFC!$C$35)*KFC!$C$5</f>
        <v>123.74068229937498</v>
      </c>
      <c r="Q50" s="796">
        <f>(AR50*KFC!$B$35+KFC!$C$35)*KFC!$C$5</f>
        <v>128.88267801624997</v>
      </c>
      <c r="R50" s="796">
        <f>(AS50*KFC!$B$35+KFC!$C$35)*KFC!$C$5</f>
        <v>134.02467373312498</v>
      </c>
      <c r="S50" s="796">
        <f>(AT50*KFC!$B$35+KFC!$C$35)*KFC!$C$5</f>
        <v>139.16666944999997</v>
      </c>
      <c r="T50" s="796">
        <f>(AU50*KFC!$B$35+KFC!$C$35)*KFC!$C$5</f>
        <v>144.30866516687496</v>
      </c>
      <c r="U50" s="796">
        <f>(AV50*KFC!$B$35+KFC!$C$35)*KFC!$C$5</f>
        <v>149.45066088374998</v>
      </c>
      <c r="V50" s="796">
        <f>(AW50*KFC!$B$35+KFC!$C$35)*KFC!$C$5</f>
        <v>154.59265660062496</v>
      </c>
      <c r="W50" s="796">
        <f>(AX50*KFC!$B$35+KFC!$C$35)*KFC!$C$5</f>
        <v>159.73465231749998</v>
      </c>
      <c r="X50" s="796">
        <f>(AY50*KFC!$B$35+KFC!$C$35)*KFC!$C$5</f>
        <v>164.87664803437497</v>
      </c>
      <c r="Y50" s="796">
        <f>(AZ50*KFC!$B$35+KFC!$C$35)*KFC!$C$5</f>
        <v>170.01864375124995</v>
      </c>
      <c r="Z50" s="814">
        <f>(BA50*KFC!$B$35+KFC!$C$35)*KFC!$C$5</f>
        <v>175.16063946812497</v>
      </c>
      <c r="AB50" s="1911" t="s">
        <v>3</v>
      </c>
      <c r="AC50" s="795">
        <v>0.5</v>
      </c>
      <c r="AD50" s="797">
        <v>56.894737980000002</v>
      </c>
      <c r="AE50" s="797">
        <v>62.036733696874997</v>
      </c>
      <c r="AF50" s="797">
        <v>67.178729413749991</v>
      </c>
      <c r="AG50" s="797">
        <v>72.320725130624993</v>
      </c>
      <c r="AH50" s="797">
        <v>77.462720847499995</v>
      </c>
      <c r="AI50" s="797">
        <v>82.604716564374982</v>
      </c>
      <c r="AJ50" s="797">
        <v>87.746712281249998</v>
      </c>
      <c r="AK50" s="797">
        <v>92.888707998125</v>
      </c>
      <c r="AL50" s="797">
        <v>98.030703714999987</v>
      </c>
      <c r="AM50" s="797">
        <v>103.17269943187499</v>
      </c>
      <c r="AN50" s="797">
        <v>108.31469514874999</v>
      </c>
      <c r="AO50" s="797">
        <v>113.45669086562499</v>
      </c>
      <c r="AP50" s="797">
        <v>118.59868658249998</v>
      </c>
      <c r="AQ50" s="797">
        <v>123.74068229937498</v>
      </c>
      <c r="AR50" s="797">
        <v>128.88267801624997</v>
      </c>
      <c r="AS50" s="797">
        <v>134.02467373312498</v>
      </c>
      <c r="AT50" s="797">
        <v>139.16666944999997</v>
      </c>
      <c r="AU50" s="797">
        <v>144.30866516687496</v>
      </c>
      <c r="AV50" s="797">
        <v>149.45066088374998</v>
      </c>
      <c r="AW50" s="797">
        <v>154.59265660062496</v>
      </c>
      <c r="AX50" s="797">
        <v>159.73465231749998</v>
      </c>
      <c r="AY50" s="797">
        <v>164.87664803437497</v>
      </c>
      <c r="AZ50" s="797">
        <v>170.01864375124995</v>
      </c>
      <c r="BA50" s="797">
        <v>175.16063946812497</v>
      </c>
    </row>
    <row r="51" spans="1:53">
      <c r="A51" s="1912"/>
      <c r="B51" s="799">
        <v>0.6</v>
      </c>
      <c r="C51" s="796">
        <f>(AD51*KFC!$B$35+KFC!$C$35)*KFC!$C$5</f>
        <v>57.840978600428571</v>
      </c>
      <c r="D51" s="796">
        <f>(AE51*KFC!$B$35+KFC!$C$35)*KFC!$C$5</f>
        <v>63.219550136571428</v>
      </c>
      <c r="E51" s="796">
        <f>(AF51*KFC!$B$35+KFC!$C$35)*KFC!$C$5</f>
        <v>68.598121672714285</v>
      </c>
      <c r="F51" s="796">
        <f>(AG51*KFC!$B$35+KFC!$C$35)*KFC!$C$5</f>
        <v>73.976693208857142</v>
      </c>
      <c r="G51" s="796">
        <f>(AH51*KFC!$B$35+KFC!$C$35)*KFC!$C$5</f>
        <v>79.355264744999985</v>
      </c>
      <c r="H51" s="796">
        <f>(AI51*KFC!$B$35+KFC!$C$35)*KFC!$C$5</f>
        <v>84.733836281142857</v>
      </c>
      <c r="I51" s="796">
        <f>(AJ51*KFC!$B$35+KFC!$C$35)*KFC!$C$5</f>
        <v>90.112407817285714</v>
      </c>
      <c r="J51" s="796">
        <f>(AK51*KFC!$B$35+KFC!$C$35)*KFC!$C$5</f>
        <v>95.490979353428571</v>
      </c>
      <c r="K51" s="796">
        <f>(AL51*KFC!$B$35+KFC!$C$35)*KFC!$C$5</f>
        <v>100.86955088957141</v>
      </c>
      <c r="L51" s="796">
        <f>(AM51*KFC!$B$35+KFC!$C$35)*KFC!$C$5</f>
        <v>106.24812242571427</v>
      </c>
      <c r="M51" s="796">
        <f>(AN51*KFC!$B$35+KFC!$C$35)*KFC!$C$5</f>
        <v>111.62669396185713</v>
      </c>
      <c r="N51" s="796">
        <f>(AO51*KFC!$B$35+KFC!$C$35)*KFC!$C$5</f>
        <v>117.00526549799999</v>
      </c>
      <c r="O51" s="796">
        <f>(AP51*KFC!$B$35+KFC!$C$35)*KFC!$C$5</f>
        <v>122.38383703414284</v>
      </c>
      <c r="P51" s="796">
        <f>(AQ51*KFC!$B$35+KFC!$C$35)*KFC!$C$5</f>
        <v>127.7624085702857</v>
      </c>
      <c r="Q51" s="796">
        <f>(AR51*KFC!$B$35+KFC!$C$35)*KFC!$C$5</f>
        <v>133.14098010642854</v>
      </c>
      <c r="R51" s="796">
        <f>(AS51*KFC!$B$35+KFC!$C$35)*KFC!$C$5</f>
        <v>138.5195516425714</v>
      </c>
      <c r="S51" s="796">
        <f>(AT51*KFC!$B$35+KFC!$C$35)*KFC!$C$5</f>
        <v>143.89812317871426</v>
      </c>
      <c r="T51" s="796">
        <f>(AU51*KFC!$B$35+KFC!$C$35)*KFC!$C$5</f>
        <v>149.27669471485711</v>
      </c>
      <c r="U51" s="796">
        <f>(AV51*KFC!$B$35+KFC!$C$35)*KFC!$C$5</f>
        <v>154.65526625099997</v>
      </c>
      <c r="V51" s="796">
        <f>(AW51*KFC!$B$35+KFC!$C$35)*KFC!$C$5</f>
        <v>160.03383778714283</v>
      </c>
      <c r="W51" s="796">
        <f>(AX51*KFC!$B$35+KFC!$C$35)*KFC!$C$5</f>
        <v>165.41240932328569</v>
      </c>
      <c r="X51" s="796">
        <f>(AY51*KFC!$B$35+KFC!$C$35)*KFC!$C$5</f>
        <v>170.79098085942854</v>
      </c>
      <c r="Y51" s="796">
        <f>(AZ51*KFC!$B$35+KFC!$C$35)*KFC!$C$5</f>
        <v>176.16955239557143</v>
      </c>
      <c r="Z51" s="814">
        <f>(BA51*KFC!$B$35+KFC!$C$35)*KFC!$C$5</f>
        <v>181.54812393171431</v>
      </c>
      <c r="AB51" s="1912"/>
      <c r="AC51" s="799">
        <v>0.6</v>
      </c>
      <c r="AD51" s="797">
        <v>57.840978600428571</v>
      </c>
      <c r="AE51" s="797">
        <v>63.219550136571428</v>
      </c>
      <c r="AF51" s="797">
        <v>68.598121672714285</v>
      </c>
      <c r="AG51" s="797">
        <v>73.976693208857142</v>
      </c>
      <c r="AH51" s="797">
        <v>79.355264744999985</v>
      </c>
      <c r="AI51" s="797">
        <v>84.733836281142857</v>
      </c>
      <c r="AJ51" s="797">
        <v>90.112407817285714</v>
      </c>
      <c r="AK51" s="797">
        <v>95.490979353428571</v>
      </c>
      <c r="AL51" s="797">
        <v>100.86955088957141</v>
      </c>
      <c r="AM51" s="797">
        <v>106.24812242571427</v>
      </c>
      <c r="AN51" s="797">
        <v>111.62669396185713</v>
      </c>
      <c r="AO51" s="797">
        <v>117.00526549799999</v>
      </c>
      <c r="AP51" s="797">
        <v>122.38383703414284</v>
      </c>
      <c r="AQ51" s="797">
        <v>127.7624085702857</v>
      </c>
      <c r="AR51" s="797">
        <v>133.14098010642854</v>
      </c>
      <c r="AS51" s="797">
        <v>138.5195516425714</v>
      </c>
      <c r="AT51" s="797">
        <v>143.89812317871426</v>
      </c>
      <c r="AU51" s="797">
        <v>149.27669471485711</v>
      </c>
      <c r="AV51" s="797">
        <v>154.65526625099997</v>
      </c>
      <c r="AW51" s="797">
        <v>160.03383778714283</v>
      </c>
      <c r="AX51" s="797">
        <v>165.41240932328569</v>
      </c>
      <c r="AY51" s="797">
        <v>170.79098085942854</v>
      </c>
      <c r="AZ51" s="797">
        <v>176.16955239557143</v>
      </c>
      <c r="BA51" s="797">
        <v>181.54812393171431</v>
      </c>
    </row>
    <row r="52" spans="1:53">
      <c r="A52" s="1912"/>
      <c r="B52" s="799">
        <v>0.7</v>
      </c>
      <c r="C52" s="796">
        <f>(AD52*KFC!$B$35+KFC!$C$35)*KFC!$C$5</f>
        <v>58.787219220857139</v>
      </c>
      <c r="D52" s="796">
        <f>(AE52*KFC!$B$35+KFC!$C$35)*KFC!$C$5</f>
        <v>64.402366576267852</v>
      </c>
      <c r="E52" s="796">
        <f>(AF52*KFC!$B$35+KFC!$C$35)*KFC!$C$5</f>
        <v>70.017513931678565</v>
      </c>
      <c r="F52" s="796">
        <f>(AG52*KFC!$B$35+KFC!$C$35)*KFC!$C$5</f>
        <v>75.632661287089277</v>
      </c>
      <c r="G52" s="796">
        <f>(AH52*KFC!$B$35+KFC!$C$35)*KFC!$C$5</f>
        <v>81.24780864249999</v>
      </c>
      <c r="H52" s="796">
        <f>(AI52*KFC!$B$35+KFC!$C$35)*KFC!$C$5</f>
        <v>86.862955997910717</v>
      </c>
      <c r="I52" s="796">
        <f>(AJ52*KFC!$B$35+KFC!$C$35)*KFC!$C$5</f>
        <v>92.47810335332143</v>
      </c>
      <c r="J52" s="796">
        <f>(AK52*KFC!$B$35+KFC!$C$35)*KFC!$C$5</f>
        <v>98.093250708732143</v>
      </c>
      <c r="K52" s="796">
        <f>(AL52*KFC!$B$35+KFC!$C$35)*KFC!$C$5</f>
        <v>103.70839806414284</v>
      </c>
      <c r="L52" s="796">
        <f>(AM52*KFC!$B$35+KFC!$C$35)*KFC!$C$5</f>
        <v>109.32354541955355</v>
      </c>
      <c r="M52" s="796">
        <f>(AN52*KFC!$B$35+KFC!$C$35)*KFC!$C$5</f>
        <v>114.93869277496427</v>
      </c>
      <c r="N52" s="796">
        <f>(AO52*KFC!$B$35+KFC!$C$35)*KFC!$C$5</f>
        <v>120.55384013037498</v>
      </c>
      <c r="O52" s="796">
        <f>(AP52*KFC!$B$35+KFC!$C$35)*KFC!$C$5</f>
        <v>126.16898748578569</v>
      </c>
      <c r="P52" s="796">
        <f>(AQ52*KFC!$B$35+KFC!$C$35)*KFC!$C$5</f>
        <v>131.78413484119642</v>
      </c>
      <c r="Q52" s="796">
        <f>(AR52*KFC!$B$35+KFC!$C$35)*KFC!$C$5</f>
        <v>137.39928219660712</v>
      </c>
      <c r="R52" s="796">
        <f>(AS52*KFC!$B$35+KFC!$C$35)*KFC!$C$5</f>
        <v>143.01442955201784</v>
      </c>
      <c r="S52" s="796">
        <f>(AT52*KFC!$B$35+KFC!$C$35)*KFC!$C$5</f>
        <v>148.62957690742854</v>
      </c>
      <c r="T52" s="796">
        <f>(AU52*KFC!$B$35+KFC!$C$35)*KFC!$C$5</f>
        <v>154.24472426283927</v>
      </c>
      <c r="U52" s="796">
        <f>(AV52*KFC!$B$35+KFC!$C$35)*KFC!$C$5</f>
        <v>159.85987161824997</v>
      </c>
      <c r="V52" s="796">
        <f>(AW52*KFC!$B$35+KFC!$C$35)*KFC!$C$5</f>
        <v>165.4750189736607</v>
      </c>
      <c r="W52" s="796">
        <f>(AX52*KFC!$B$35+KFC!$C$35)*KFC!$C$5</f>
        <v>171.09016632907139</v>
      </c>
      <c r="X52" s="796">
        <f>(AY52*KFC!$B$35+KFC!$C$35)*KFC!$C$5</f>
        <v>176.70531368448212</v>
      </c>
      <c r="Y52" s="796">
        <f>(AZ52*KFC!$B$35+KFC!$C$35)*KFC!$C$5</f>
        <v>182.32046103989282</v>
      </c>
      <c r="Z52" s="814">
        <f>(BA52*KFC!$B$35+KFC!$C$35)*KFC!$C$5</f>
        <v>187.93560839530355</v>
      </c>
      <c r="AB52" s="1912"/>
      <c r="AC52" s="799">
        <v>0.7</v>
      </c>
      <c r="AD52" s="797">
        <v>58.787219220857139</v>
      </c>
      <c r="AE52" s="797">
        <v>64.402366576267852</v>
      </c>
      <c r="AF52" s="797">
        <v>70.017513931678565</v>
      </c>
      <c r="AG52" s="797">
        <v>75.632661287089277</v>
      </c>
      <c r="AH52" s="797">
        <v>81.24780864249999</v>
      </c>
      <c r="AI52" s="797">
        <v>86.862955997910717</v>
      </c>
      <c r="AJ52" s="797">
        <v>92.47810335332143</v>
      </c>
      <c r="AK52" s="797">
        <v>98.093250708732143</v>
      </c>
      <c r="AL52" s="797">
        <v>103.70839806414284</v>
      </c>
      <c r="AM52" s="797">
        <v>109.32354541955355</v>
      </c>
      <c r="AN52" s="797">
        <v>114.93869277496427</v>
      </c>
      <c r="AO52" s="797">
        <v>120.55384013037498</v>
      </c>
      <c r="AP52" s="797">
        <v>126.16898748578569</v>
      </c>
      <c r="AQ52" s="797">
        <v>131.78413484119642</v>
      </c>
      <c r="AR52" s="797">
        <v>137.39928219660712</v>
      </c>
      <c r="AS52" s="797">
        <v>143.01442955201784</v>
      </c>
      <c r="AT52" s="797">
        <v>148.62957690742854</v>
      </c>
      <c r="AU52" s="797">
        <v>154.24472426283927</v>
      </c>
      <c r="AV52" s="797">
        <v>159.85987161824997</v>
      </c>
      <c r="AW52" s="797">
        <v>165.4750189736607</v>
      </c>
      <c r="AX52" s="797">
        <v>171.09016632907139</v>
      </c>
      <c r="AY52" s="797">
        <v>176.70531368448212</v>
      </c>
      <c r="AZ52" s="797">
        <v>182.32046103989282</v>
      </c>
      <c r="BA52" s="797">
        <v>187.93560839530355</v>
      </c>
    </row>
    <row r="53" spans="1:53">
      <c r="A53" s="1912"/>
      <c r="B53" s="799">
        <v>0.8</v>
      </c>
      <c r="C53" s="796">
        <f>(AD53*KFC!$B$35+KFC!$C$35)*KFC!$C$5</f>
        <v>59.733459841285708</v>
      </c>
      <c r="D53" s="796">
        <f>(AE53*KFC!$B$35+KFC!$C$35)*KFC!$C$5</f>
        <v>65.585183015964276</v>
      </c>
      <c r="E53" s="796">
        <f>(AF53*KFC!$B$35+KFC!$C$35)*KFC!$C$5</f>
        <v>71.436906190642844</v>
      </c>
      <c r="F53" s="796">
        <f>(AG53*KFC!$B$35+KFC!$C$35)*KFC!$C$5</f>
        <v>77.288629365321412</v>
      </c>
      <c r="G53" s="796">
        <f>(AH53*KFC!$B$35+KFC!$C$35)*KFC!$C$5</f>
        <v>83.140352539999995</v>
      </c>
      <c r="H53" s="796">
        <f>(AI53*KFC!$B$35+KFC!$C$35)*KFC!$C$5</f>
        <v>88.992075714678563</v>
      </c>
      <c r="I53" s="796">
        <f>(AJ53*KFC!$B$35+KFC!$C$35)*KFC!$C$5</f>
        <v>94.843798889357132</v>
      </c>
      <c r="J53" s="796">
        <f>(AK53*KFC!$B$35+KFC!$C$35)*KFC!$C$5</f>
        <v>100.6955220640357</v>
      </c>
      <c r="K53" s="796">
        <f>(AL53*KFC!$B$35+KFC!$C$35)*KFC!$C$5</f>
        <v>106.54724523871428</v>
      </c>
      <c r="L53" s="796">
        <f>(AM53*KFC!$B$35+KFC!$C$35)*KFC!$C$5</f>
        <v>112.39896841339285</v>
      </c>
      <c r="M53" s="796">
        <f>(AN53*KFC!$B$35+KFC!$C$35)*KFC!$C$5</f>
        <v>118.25069158807142</v>
      </c>
      <c r="N53" s="796">
        <f>(AO53*KFC!$B$35+KFC!$C$35)*KFC!$C$5</f>
        <v>124.10241476274999</v>
      </c>
      <c r="O53" s="796">
        <f>(AP53*KFC!$B$35+KFC!$C$35)*KFC!$C$5</f>
        <v>129.95413793742856</v>
      </c>
      <c r="P53" s="796">
        <f>(AQ53*KFC!$B$35+KFC!$C$35)*KFC!$C$5</f>
        <v>135.80586111210712</v>
      </c>
      <c r="Q53" s="796">
        <f>(AR53*KFC!$B$35+KFC!$C$35)*KFC!$C$5</f>
        <v>141.65758428678569</v>
      </c>
      <c r="R53" s="796">
        <f>(AS53*KFC!$B$35+KFC!$C$35)*KFC!$C$5</f>
        <v>147.50930746146426</v>
      </c>
      <c r="S53" s="796">
        <f>(AT53*KFC!$B$35+KFC!$C$35)*KFC!$C$5</f>
        <v>153.36103063614283</v>
      </c>
      <c r="T53" s="796">
        <f>(AU53*KFC!$B$35+KFC!$C$35)*KFC!$C$5</f>
        <v>159.2127538108214</v>
      </c>
      <c r="U53" s="796">
        <f>(AV53*KFC!$B$35+KFC!$C$35)*KFC!$C$5</f>
        <v>165.06447698549997</v>
      </c>
      <c r="V53" s="796">
        <f>(AW53*KFC!$B$35+KFC!$C$35)*KFC!$C$5</f>
        <v>170.91620016017856</v>
      </c>
      <c r="W53" s="796">
        <f>(AX53*KFC!$B$35+KFC!$C$35)*KFC!$C$5</f>
        <v>176.76792333485716</v>
      </c>
      <c r="X53" s="796">
        <f>(AY53*KFC!$B$35+KFC!$C$35)*KFC!$C$5</f>
        <v>182.61964650953573</v>
      </c>
      <c r="Y53" s="796">
        <f>(AZ53*KFC!$B$35+KFC!$C$35)*KFC!$C$5</f>
        <v>188.47136968421432</v>
      </c>
      <c r="Z53" s="814">
        <f>(BA53*KFC!$B$35+KFC!$C$35)*KFC!$C$5</f>
        <v>194.32309285889292</v>
      </c>
      <c r="AB53" s="1912"/>
      <c r="AC53" s="799">
        <v>0.8</v>
      </c>
      <c r="AD53" s="797">
        <v>59.733459841285708</v>
      </c>
      <c r="AE53" s="797">
        <v>65.585183015964276</v>
      </c>
      <c r="AF53" s="797">
        <v>71.436906190642844</v>
      </c>
      <c r="AG53" s="797">
        <v>77.288629365321412</v>
      </c>
      <c r="AH53" s="797">
        <v>83.140352539999995</v>
      </c>
      <c r="AI53" s="797">
        <v>88.992075714678563</v>
      </c>
      <c r="AJ53" s="797">
        <v>94.843798889357132</v>
      </c>
      <c r="AK53" s="797">
        <v>100.6955220640357</v>
      </c>
      <c r="AL53" s="797">
        <v>106.54724523871428</v>
      </c>
      <c r="AM53" s="797">
        <v>112.39896841339285</v>
      </c>
      <c r="AN53" s="797">
        <v>118.25069158807142</v>
      </c>
      <c r="AO53" s="797">
        <v>124.10241476274999</v>
      </c>
      <c r="AP53" s="797">
        <v>129.95413793742856</v>
      </c>
      <c r="AQ53" s="797">
        <v>135.80586111210712</v>
      </c>
      <c r="AR53" s="797">
        <v>141.65758428678569</v>
      </c>
      <c r="AS53" s="797">
        <v>147.50930746146426</v>
      </c>
      <c r="AT53" s="797">
        <v>153.36103063614283</v>
      </c>
      <c r="AU53" s="797">
        <v>159.2127538108214</v>
      </c>
      <c r="AV53" s="797">
        <v>165.06447698549997</v>
      </c>
      <c r="AW53" s="797">
        <v>170.91620016017856</v>
      </c>
      <c r="AX53" s="797">
        <v>176.76792333485716</v>
      </c>
      <c r="AY53" s="797">
        <v>182.61964650953573</v>
      </c>
      <c r="AZ53" s="797">
        <v>188.47136968421432</v>
      </c>
      <c r="BA53" s="797">
        <v>194.32309285889292</v>
      </c>
    </row>
    <row r="54" spans="1:53">
      <c r="A54" s="1912"/>
      <c r="B54" s="799">
        <v>0.9</v>
      </c>
      <c r="C54" s="796">
        <f>(AD54*KFC!$B$35+KFC!$C$35)*KFC!$C$5</f>
        <v>60.679700461714276</v>
      </c>
      <c r="D54" s="796">
        <f>(AE54*KFC!$B$35+KFC!$C$35)*KFC!$C$5</f>
        <v>66.7679994556607</v>
      </c>
      <c r="E54" s="796">
        <f>(AF54*KFC!$B$35+KFC!$C$35)*KFC!$C$5</f>
        <v>72.856298449607138</v>
      </c>
      <c r="F54" s="796">
        <f>(AG54*KFC!$B$35+KFC!$C$35)*KFC!$C$5</f>
        <v>78.944597443553562</v>
      </c>
      <c r="G54" s="796">
        <f>(AH54*KFC!$B$35+KFC!$C$35)*KFC!$C$5</f>
        <v>85.0328964375</v>
      </c>
      <c r="H54" s="796">
        <f>(AI54*KFC!$B$35+KFC!$C$35)*KFC!$C$5</f>
        <v>91.121195431446424</v>
      </c>
      <c r="I54" s="796">
        <f>(AJ54*KFC!$B$35+KFC!$C$35)*KFC!$C$5</f>
        <v>97.209494425392847</v>
      </c>
      <c r="J54" s="796">
        <f>(AK54*KFC!$B$35+KFC!$C$35)*KFC!$C$5</f>
        <v>103.29779341933927</v>
      </c>
      <c r="K54" s="796">
        <f>(AL54*KFC!$B$35+KFC!$C$35)*KFC!$C$5</f>
        <v>109.38609241328571</v>
      </c>
      <c r="L54" s="796">
        <f>(AM54*KFC!$B$35+KFC!$C$35)*KFC!$C$5</f>
        <v>115.47439140723213</v>
      </c>
      <c r="M54" s="796">
        <f>(AN54*KFC!$B$35+KFC!$C$35)*KFC!$C$5</f>
        <v>121.56269040117856</v>
      </c>
      <c r="N54" s="796">
        <f>(AO54*KFC!$B$35+KFC!$C$35)*KFC!$C$5</f>
        <v>127.65098939512498</v>
      </c>
      <c r="O54" s="796">
        <f>(AP54*KFC!$B$35+KFC!$C$35)*KFC!$C$5</f>
        <v>133.73928838907142</v>
      </c>
      <c r="P54" s="796">
        <f>(AQ54*KFC!$B$35+KFC!$C$35)*KFC!$C$5</f>
        <v>139.82758738301783</v>
      </c>
      <c r="Q54" s="796">
        <f>(AR54*KFC!$B$35+KFC!$C$35)*KFC!$C$5</f>
        <v>145.91588637696427</v>
      </c>
      <c r="R54" s="796">
        <f>(AS54*KFC!$B$35+KFC!$C$35)*KFC!$C$5</f>
        <v>152.0041853709107</v>
      </c>
      <c r="S54" s="796">
        <f>(AT54*KFC!$B$35+KFC!$C$35)*KFC!$C$5</f>
        <v>158.09248436485711</v>
      </c>
      <c r="T54" s="796">
        <f>(AU54*KFC!$B$35+KFC!$C$35)*KFC!$C$5</f>
        <v>164.18078335880355</v>
      </c>
      <c r="U54" s="796">
        <f>(AV54*KFC!$B$35+KFC!$C$35)*KFC!$C$5</f>
        <v>170.26908235274996</v>
      </c>
      <c r="V54" s="796">
        <f>(AW54*KFC!$B$35+KFC!$C$35)*KFC!$C$5</f>
        <v>176.3573813466964</v>
      </c>
      <c r="W54" s="796">
        <f>(AX54*KFC!$B$35+KFC!$C$35)*KFC!$C$5</f>
        <v>182.44568034064284</v>
      </c>
      <c r="X54" s="796">
        <f>(AY54*KFC!$B$35+KFC!$C$35)*KFC!$C$5</f>
        <v>188.53397933458925</v>
      </c>
      <c r="Y54" s="796">
        <f>(AZ54*KFC!$B$35+KFC!$C$35)*KFC!$C$5</f>
        <v>194.62227832853569</v>
      </c>
      <c r="Z54" s="814">
        <f>(BA54*KFC!$B$35+KFC!$C$35)*KFC!$C$5</f>
        <v>200.7105773224821</v>
      </c>
      <c r="AB54" s="1912"/>
      <c r="AC54" s="799">
        <v>0.9</v>
      </c>
      <c r="AD54" s="797">
        <v>60.679700461714276</v>
      </c>
      <c r="AE54" s="797">
        <v>66.7679994556607</v>
      </c>
      <c r="AF54" s="797">
        <v>72.856298449607138</v>
      </c>
      <c r="AG54" s="797">
        <v>78.944597443553562</v>
      </c>
      <c r="AH54" s="797">
        <v>85.0328964375</v>
      </c>
      <c r="AI54" s="797">
        <v>91.121195431446424</v>
      </c>
      <c r="AJ54" s="797">
        <v>97.209494425392847</v>
      </c>
      <c r="AK54" s="797">
        <v>103.29779341933927</v>
      </c>
      <c r="AL54" s="797">
        <v>109.38609241328571</v>
      </c>
      <c r="AM54" s="797">
        <v>115.47439140723213</v>
      </c>
      <c r="AN54" s="797">
        <v>121.56269040117856</v>
      </c>
      <c r="AO54" s="797">
        <v>127.65098939512498</v>
      </c>
      <c r="AP54" s="797">
        <v>133.73928838907142</v>
      </c>
      <c r="AQ54" s="797">
        <v>139.82758738301783</v>
      </c>
      <c r="AR54" s="797">
        <v>145.91588637696427</v>
      </c>
      <c r="AS54" s="797">
        <v>152.0041853709107</v>
      </c>
      <c r="AT54" s="797">
        <v>158.09248436485711</v>
      </c>
      <c r="AU54" s="797">
        <v>164.18078335880355</v>
      </c>
      <c r="AV54" s="797">
        <v>170.26908235274996</v>
      </c>
      <c r="AW54" s="797">
        <v>176.3573813466964</v>
      </c>
      <c r="AX54" s="797">
        <v>182.44568034064284</v>
      </c>
      <c r="AY54" s="797">
        <v>188.53397933458925</v>
      </c>
      <c r="AZ54" s="797">
        <v>194.62227832853569</v>
      </c>
      <c r="BA54" s="797">
        <v>200.7105773224821</v>
      </c>
    </row>
    <row r="55" spans="1:53">
      <c r="A55" s="1912"/>
      <c r="B55" s="799">
        <v>1</v>
      </c>
      <c r="C55" s="796">
        <f>(AD55*KFC!$B$35+KFC!$C$35)*KFC!$C$5</f>
        <v>61.625941082142852</v>
      </c>
      <c r="D55" s="796">
        <f>(AE55*KFC!$B$35+KFC!$C$35)*KFC!$C$5</f>
        <v>67.950815895357138</v>
      </c>
      <c r="E55" s="796">
        <f>(AF55*KFC!$B$35+KFC!$C$35)*KFC!$C$5</f>
        <v>74.275690708571418</v>
      </c>
      <c r="F55" s="796">
        <f>(AG55*KFC!$B$35+KFC!$C$35)*KFC!$C$5</f>
        <v>80.600565521785697</v>
      </c>
      <c r="G55" s="796">
        <f>(AH55*KFC!$B$35+KFC!$C$35)*KFC!$C$5</f>
        <v>86.92544033499999</v>
      </c>
      <c r="H55" s="796">
        <f>(AI55*KFC!$B$35+KFC!$C$35)*KFC!$C$5</f>
        <v>93.250315148214284</v>
      </c>
      <c r="I55" s="796">
        <f>(AJ55*KFC!$B$35+KFC!$C$35)*KFC!$C$5</f>
        <v>99.575189961428563</v>
      </c>
      <c r="J55" s="796">
        <f>(AK55*KFC!$B$35+KFC!$C$35)*KFC!$C$5</f>
        <v>105.90006477464284</v>
      </c>
      <c r="K55" s="796">
        <f>(AL55*KFC!$B$35+KFC!$C$35)*KFC!$C$5</f>
        <v>112.22493958785714</v>
      </c>
      <c r="L55" s="796">
        <f>(AM55*KFC!$B$35+KFC!$C$35)*KFC!$C$5</f>
        <v>118.54981440107142</v>
      </c>
      <c r="M55" s="796">
        <f>(AN55*KFC!$B$35+KFC!$C$35)*KFC!$C$5</f>
        <v>124.8746892142857</v>
      </c>
      <c r="N55" s="796">
        <f>(AO55*KFC!$B$35+KFC!$C$35)*KFC!$C$5</f>
        <v>131.19956402749997</v>
      </c>
      <c r="O55" s="796">
        <f>(AP55*KFC!$B$35+KFC!$C$35)*KFC!$C$5</f>
        <v>137.52443884071428</v>
      </c>
      <c r="P55" s="796">
        <f>(AQ55*KFC!$B$35+KFC!$C$35)*KFC!$C$5</f>
        <v>143.84931365392856</v>
      </c>
      <c r="Q55" s="796">
        <f>(AR55*KFC!$B$35+KFC!$C$35)*KFC!$C$5</f>
        <v>150.17418846714284</v>
      </c>
      <c r="R55" s="796">
        <f>(AS55*KFC!$B$35+KFC!$C$35)*KFC!$C$5</f>
        <v>156.49906328035712</v>
      </c>
      <c r="S55" s="796">
        <f>(AT55*KFC!$B$35+KFC!$C$35)*KFC!$C$5</f>
        <v>162.8239380935714</v>
      </c>
      <c r="T55" s="796">
        <f>(AU55*KFC!$B$35+KFC!$C$35)*KFC!$C$5</f>
        <v>169.14881290678571</v>
      </c>
      <c r="U55" s="796">
        <f>(AV55*KFC!$B$35+KFC!$C$35)*KFC!$C$5</f>
        <v>175.47368772000002</v>
      </c>
      <c r="V55" s="796">
        <f>(AW55*KFC!$B$35+KFC!$C$35)*KFC!$C$5</f>
        <v>181.79856253321432</v>
      </c>
      <c r="W55" s="796">
        <f>(AX55*KFC!$B$35+KFC!$C$35)*KFC!$C$5</f>
        <v>188.1234373464286</v>
      </c>
      <c r="X55" s="796">
        <f>(AY55*KFC!$B$35+KFC!$C$35)*KFC!$C$5</f>
        <v>194.44831215964291</v>
      </c>
      <c r="Y55" s="796">
        <f>(AZ55*KFC!$B$35+KFC!$C$35)*KFC!$C$5</f>
        <v>200.77318697285722</v>
      </c>
      <c r="Z55" s="814">
        <f>(BA55*KFC!$B$35+KFC!$C$35)*KFC!$C$5</f>
        <v>207.09806178607153</v>
      </c>
      <c r="AB55" s="1912"/>
      <c r="AC55" s="799">
        <v>1</v>
      </c>
      <c r="AD55" s="797">
        <v>61.625941082142852</v>
      </c>
      <c r="AE55" s="797">
        <v>67.950815895357138</v>
      </c>
      <c r="AF55" s="797">
        <v>74.275690708571418</v>
      </c>
      <c r="AG55" s="797">
        <v>80.600565521785697</v>
      </c>
      <c r="AH55" s="797">
        <v>86.92544033499999</v>
      </c>
      <c r="AI55" s="797">
        <v>93.250315148214284</v>
      </c>
      <c r="AJ55" s="797">
        <v>99.575189961428563</v>
      </c>
      <c r="AK55" s="797">
        <v>105.90006477464284</v>
      </c>
      <c r="AL55" s="797">
        <v>112.22493958785714</v>
      </c>
      <c r="AM55" s="797">
        <v>118.54981440107142</v>
      </c>
      <c r="AN55" s="797">
        <v>124.8746892142857</v>
      </c>
      <c r="AO55" s="797">
        <v>131.19956402749997</v>
      </c>
      <c r="AP55" s="797">
        <v>137.52443884071428</v>
      </c>
      <c r="AQ55" s="797">
        <v>143.84931365392856</v>
      </c>
      <c r="AR55" s="797">
        <v>150.17418846714284</v>
      </c>
      <c r="AS55" s="797">
        <v>156.49906328035712</v>
      </c>
      <c r="AT55" s="797">
        <v>162.8239380935714</v>
      </c>
      <c r="AU55" s="797">
        <v>169.14881290678571</v>
      </c>
      <c r="AV55" s="797">
        <v>175.47368772000002</v>
      </c>
      <c r="AW55" s="797">
        <v>181.79856253321432</v>
      </c>
      <c r="AX55" s="797">
        <v>188.1234373464286</v>
      </c>
      <c r="AY55" s="797">
        <v>194.44831215964291</v>
      </c>
      <c r="AZ55" s="797">
        <v>200.77318697285722</v>
      </c>
      <c r="BA55" s="797">
        <v>207.09806178607153</v>
      </c>
    </row>
    <row r="56" spans="1:53">
      <c r="A56" s="1912"/>
      <c r="B56" s="799">
        <v>1.1000000000000001</v>
      </c>
      <c r="C56" s="796">
        <f>(AD56*KFC!$B$35+KFC!$C$35)*KFC!$C$5</f>
        <v>62.57218170257142</v>
      </c>
      <c r="D56" s="796">
        <f>(AE56*KFC!$B$35+KFC!$C$35)*KFC!$C$5</f>
        <v>69.133632335053562</v>
      </c>
      <c r="E56" s="796">
        <f>(AF56*KFC!$B$35+KFC!$C$35)*KFC!$C$5</f>
        <v>75.695082967535697</v>
      </c>
      <c r="F56" s="796">
        <f>(AG56*KFC!$B$35+KFC!$C$35)*KFC!$C$5</f>
        <v>82.256533600017846</v>
      </c>
      <c r="G56" s="796">
        <f>(AH56*KFC!$B$35+KFC!$C$35)*KFC!$C$5</f>
        <v>88.817984232499995</v>
      </c>
      <c r="H56" s="796">
        <f>(AI56*KFC!$B$35+KFC!$C$35)*KFC!$C$5</f>
        <v>95.37943486498213</v>
      </c>
      <c r="I56" s="796">
        <f>(AJ56*KFC!$B$35+KFC!$C$35)*KFC!$C$5</f>
        <v>101.94088549746428</v>
      </c>
      <c r="J56" s="796">
        <f>(AK56*KFC!$B$35+KFC!$C$35)*KFC!$C$5</f>
        <v>108.50233612994641</v>
      </c>
      <c r="K56" s="796">
        <f>(AL56*KFC!$B$35+KFC!$C$35)*KFC!$C$5</f>
        <v>115.06378676242856</v>
      </c>
      <c r="L56" s="796">
        <f>(AM56*KFC!$B$35+KFC!$C$35)*KFC!$C$5</f>
        <v>121.6252373949107</v>
      </c>
      <c r="M56" s="796">
        <f>(AN56*KFC!$B$35+KFC!$C$35)*KFC!$C$5</f>
        <v>128.18668802739285</v>
      </c>
      <c r="N56" s="796">
        <f>(AO56*KFC!$B$35+KFC!$C$35)*KFC!$C$5</f>
        <v>134.748138659875</v>
      </c>
      <c r="O56" s="796">
        <f>(AP56*KFC!$B$35+KFC!$C$35)*KFC!$C$5</f>
        <v>141.30958929235712</v>
      </c>
      <c r="P56" s="796">
        <f>(AQ56*KFC!$B$35+KFC!$C$35)*KFC!$C$5</f>
        <v>147.87103992483927</v>
      </c>
      <c r="Q56" s="796">
        <f>(AR56*KFC!$B$35+KFC!$C$35)*KFC!$C$5</f>
        <v>154.43249055732142</v>
      </c>
      <c r="R56" s="796">
        <f>(AS56*KFC!$B$35+KFC!$C$35)*KFC!$C$5</f>
        <v>160.99394118980354</v>
      </c>
      <c r="S56" s="796">
        <f>(AT56*KFC!$B$35+KFC!$C$35)*KFC!$C$5</f>
        <v>167.55539182228569</v>
      </c>
      <c r="T56" s="796">
        <f>(AU56*KFC!$B$35+KFC!$C$35)*KFC!$C$5</f>
        <v>174.11684245476783</v>
      </c>
      <c r="U56" s="796">
        <f>(AV56*KFC!$B$35+KFC!$C$35)*KFC!$C$5</f>
        <v>180.67829308724998</v>
      </c>
      <c r="V56" s="796">
        <f>(AW56*KFC!$B$35+KFC!$C$35)*KFC!$C$5</f>
        <v>187.2397437197321</v>
      </c>
      <c r="W56" s="796">
        <f>(AX56*KFC!$B$35+KFC!$C$35)*KFC!$C$5</f>
        <v>193.80119435221425</v>
      </c>
      <c r="X56" s="796">
        <f>(AY56*KFC!$B$35+KFC!$C$35)*KFC!$C$5</f>
        <v>200.3626449846964</v>
      </c>
      <c r="Y56" s="796">
        <f>(AZ56*KFC!$B$35+KFC!$C$35)*KFC!$C$5</f>
        <v>206.92409561717855</v>
      </c>
      <c r="Z56" s="814">
        <f>(BA56*KFC!$B$35+KFC!$C$35)*KFC!$C$5</f>
        <v>213.48554624966067</v>
      </c>
      <c r="AB56" s="1912"/>
      <c r="AC56" s="799">
        <v>1.1000000000000001</v>
      </c>
      <c r="AD56" s="797">
        <v>62.57218170257142</v>
      </c>
      <c r="AE56" s="797">
        <v>69.133632335053562</v>
      </c>
      <c r="AF56" s="797">
        <v>75.695082967535697</v>
      </c>
      <c r="AG56" s="797">
        <v>82.256533600017846</v>
      </c>
      <c r="AH56" s="797">
        <v>88.817984232499995</v>
      </c>
      <c r="AI56" s="797">
        <v>95.37943486498213</v>
      </c>
      <c r="AJ56" s="797">
        <v>101.94088549746428</v>
      </c>
      <c r="AK56" s="797">
        <v>108.50233612994641</v>
      </c>
      <c r="AL56" s="797">
        <v>115.06378676242856</v>
      </c>
      <c r="AM56" s="797">
        <v>121.6252373949107</v>
      </c>
      <c r="AN56" s="797">
        <v>128.18668802739285</v>
      </c>
      <c r="AO56" s="797">
        <v>134.748138659875</v>
      </c>
      <c r="AP56" s="797">
        <v>141.30958929235712</v>
      </c>
      <c r="AQ56" s="797">
        <v>147.87103992483927</v>
      </c>
      <c r="AR56" s="797">
        <v>154.43249055732142</v>
      </c>
      <c r="AS56" s="797">
        <v>160.99394118980354</v>
      </c>
      <c r="AT56" s="797">
        <v>167.55539182228569</v>
      </c>
      <c r="AU56" s="797">
        <v>174.11684245476783</v>
      </c>
      <c r="AV56" s="797">
        <v>180.67829308724998</v>
      </c>
      <c r="AW56" s="797">
        <v>187.2397437197321</v>
      </c>
      <c r="AX56" s="797">
        <v>193.80119435221425</v>
      </c>
      <c r="AY56" s="797">
        <v>200.3626449846964</v>
      </c>
      <c r="AZ56" s="797">
        <v>206.92409561717855</v>
      </c>
      <c r="BA56" s="797">
        <v>213.48554624966067</v>
      </c>
    </row>
    <row r="57" spans="1:53">
      <c r="A57" s="1912"/>
      <c r="B57" s="799">
        <v>1.2</v>
      </c>
      <c r="C57" s="796">
        <f>(AD57*KFC!$B$35+KFC!$C$35)*KFC!$C$5</f>
        <v>63.518422322999989</v>
      </c>
      <c r="D57" s="796">
        <f>(AE57*KFC!$B$35+KFC!$C$35)*KFC!$C$5</f>
        <v>70.316448774749986</v>
      </c>
      <c r="E57" s="796">
        <f>(AF57*KFC!$B$35+KFC!$C$35)*KFC!$C$5</f>
        <v>77.114475226499991</v>
      </c>
      <c r="F57" s="796">
        <f>(AG57*KFC!$B$35+KFC!$C$35)*KFC!$C$5</f>
        <v>83.912501678249981</v>
      </c>
      <c r="G57" s="796">
        <f>(AH57*KFC!$B$35+KFC!$C$35)*KFC!$C$5</f>
        <v>90.71052813</v>
      </c>
      <c r="H57" s="796">
        <f>(AI57*KFC!$B$35+KFC!$C$35)*KFC!$C$5</f>
        <v>97.508554581749991</v>
      </c>
      <c r="I57" s="796">
        <f>(AJ57*KFC!$B$35+KFC!$C$35)*KFC!$C$5</f>
        <v>104.3065810335</v>
      </c>
      <c r="J57" s="796">
        <f>(AK57*KFC!$B$35+KFC!$C$35)*KFC!$C$5</f>
        <v>111.10460748524999</v>
      </c>
      <c r="K57" s="796">
        <f>(AL57*KFC!$B$35+KFC!$C$35)*KFC!$C$5</f>
        <v>117.90263393699999</v>
      </c>
      <c r="L57" s="796">
        <f>(AM57*KFC!$B$35+KFC!$C$35)*KFC!$C$5</f>
        <v>124.70066038874998</v>
      </c>
      <c r="M57" s="796">
        <f>(AN57*KFC!$B$35+KFC!$C$35)*KFC!$C$5</f>
        <v>131.49868684049997</v>
      </c>
      <c r="N57" s="796">
        <f>(AO57*KFC!$B$35+KFC!$C$35)*KFC!$C$5</f>
        <v>138.29671329224999</v>
      </c>
      <c r="O57" s="796">
        <f>(AP57*KFC!$B$35+KFC!$C$35)*KFC!$C$5</f>
        <v>145.09473974399998</v>
      </c>
      <c r="P57" s="796">
        <f>(AQ57*KFC!$B$35+KFC!$C$35)*KFC!$C$5</f>
        <v>151.89276619574997</v>
      </c>
      <c r="Q57" s="796">
        <f>(AR57*KFC!$B$35+KFC!$C$35)*KFC!$C$5</f>
        <v>158.69079264749999</v>
      </c>
      <c r="R57" s="796">
        <f>(AS57*KFC!$B$35+KFC!$C$35)*KFC!$C$5</f>
        <v>165.48881909924998</v>
      </c>
      <c r="S57" s="796">
        <f>(AT57*KFC!$B$35+KFC!$C$35)*KFC!$C$5</f>
        <v>172.28684555099997</v>
      </c>
      <c r="T57" s="796">
        <f>(AU57*KFC!$B$35+KFC!$C$35)*KFC!$C$5</f>
        <v>179.08487200274999</v>
      </c>
      <c r="U57" s="796">
        <f>(AV57*KFC!$B$35+KFC!$C$35)*KFC!$C$5</f>
        <v>185.88289845450001</v>
      </c>
      <c r="V57" s="796">
        <f>(AW57*KFC!$B$35+KFC!$C$35)*KFC!$C$5</f>
        <v>192.68092490625003</v>
      </c>
      <c r="W57" s="796">
        <f>(AX57*KFC!$B$35+KFC!$C$35)*KFC!$C$5</f>
        <v>199.47895135800005</v>
      </c>
      <c r="X57" s="796">
        <f>(AY57*KFC!$B$35+KFC!$C$35)*KFC!$C$5</f>
        <v>206.27697780975006</v>
      </c>
      <c r="Y57" s="796">
        <f>(AZ57*KFC!$B$35+KFC!$C$35)*KFC!$C$5</f>
        <v>213.07500426150008</v>
      </c>
      <c r="Z57" s="814">
        <f>(BA57*KFC!$B$35+KFC!$C$35)*KFC!$C$5</f>
        <v>219.8730307132501</v>
      </c>
      <c r="AB57" s="1912"/>
      <c r="AC57" s="799">
        <v>1.2</v>
      </c>
      <c r="AD57" s="797">
        <v>63.518422322999989</v>
      </c>
      <c r="AE57" s="797">
        <v>70.316448774749986</v>
      </c>
      <c r="AF57" s="797">
        <v>77.114475226499991</v>
      </c>
      <c r="AG57" s="797">
        <v>83.912501678249981</v>
      </c>
      <c r="AH57" s="797">
        <v>90.71052813</v>
      </c>
      <c r="AI57" s="797">
        <v>97.508554581749991</v>
      </c>
      <c r="AJ57" s="797">
        <v>104.3065810335</v>
      </c>
      <c r="AK57" s="797">
        <v>111.10460748524999</v>
      </c>
      <c r="AL57" s="797">
        <v>117.90263393699999</v>
      </c>
      <c r="AM57" s="797">
        <v>124.70066038874998</v>
      </c>
      <c r="AN57" s="797">
        <v>131.49868684049997</v>
      </c>
      <c r="AO57" s="797">
        <v>138.29671329224999</v>
      </c>
      <c r="AP57" s="797">
        <v>145.09473974399998</v>
      </c>
      <c r="AQ57" s="797">
        <v>151.89276619574997</v>
      </c>
      <c r="AR57" s="797">
        <v>158.69079264749999</v>
      </c>
      <c r="AS57" s="797">
        <v>165.48881909924998</v>
      </c>
      <c r="AT57" s="797">
        <v>172.28684555099997</v>
      </c>
      <c r="AU57" s="797">
        <v>179.08487200274999</v>
      </c>
      <c r="AV57" s="797">
        <v>185.88289845450001</v>
      </c>
      <c r="AW57" s="797">
        <v>192.68092490625003</v>
      </c>
      <c r="AX57" s="797">
        <v>199.47895135800005</v>
      </c>
      <c r="AY57" s="797">
        <v>206.27697780975006</v>
      </c>
      <c r="AZ57" s="797">
        <v>213.07500426150008</v>
      </c>
      <c r="BA57" s="797">
        <v>219.8730307132501</v>
      </c>
    </row>
    <row r="58" spans="1:53">
      <c r="A58" s="1912"/>
      <c r="B58" s="799">
        <v>1.3</v>
      </c>
      <c r="C58" s="796">
        <f>(AD58*KFC!$B$35+KFC!$C$35)*KFC!$C$5</f>
        <v>64.464662943428564</v>
      </c>
      <c r="D58" s="796">
        <f>(AE58*KFC!$B$35+KFC!$C$35)*KFC!$C$5</f>
        <v>71.49926521444641</v>
      </c>
      <c r="E58" s="796">
        <f>(AF58*KFC!$B$35+KFC!$C$35)*KFC!$C$5</f>
        <v>78.53386748546427</v>
      </c>
      <c r="F58" s="796">
        <f>(AG58*KFC!$B$35+KFC!$C$35)*KFC!$C$5</f>
        <v>85.568469756482131</v>
      </c>
      <c r="G58" s="796">
        <f>(AH58*KFC!$B$35+KFC!$C$35)*KFC!$C$5</f>
        <v>92.603072027499991</v>
      </c>
      <c r="H58" s="796">
        <f>(AI58*KFC!$B$35+KFC!$C$35)*KFC!$C$5</f>
        <v>99.637674298517851</v>
      </c>
      <c r="I58" s="796">
        <f>(AJ58*KFC!$B$35+KFC!$C$35)*KFC!$C$5</f>
        <v>106.67227656953571</v>
      </c>
      <c r="J58" s="796">
        <f>(AK58*KFC!$B$35+KFC!$C$35)*KFC!$C$5</f>
        <v>113.70687884055356</v>
      </c>
      <c r="K58" s="796">
        <f>(AL58*KFC!$B$35+KFC!$C$35)*KFC!$C$5</f>
        <v>120.74148111157142</v>
      </c>
      <c r="L58" s="796">
        <f>(AM58*KFC!$B$35+KFC!$C$35)*KFC!$C$5</f>
        <v>127.77608338258928</v>
      </c>
      <c r="M58" s="796">
        <f>(AN58*KFC!$B$35+KFC!$C$35)*KFC!$C$5</f>
        <v>134.81068565360712</v>
      </c>
      <c r="N58" s="796">
        <f>(AO58*KFC!$B$35+KFC!$C$35)*KFC!$C$5</f>
        <v>141.84528792462498</v>
      </c>
      <c r="O58" s="796">
        <f>(AP58*KFC!$B$35+KFC!$C$35)*KFC!$C$5</f>
        <v>148.87989019564284</v>
      </c>
      <c r="P58" s="796">
        <f>(AQ58*KFC!$B$35+KFC!$C$35)*KFC!$C$5</f>
        <v>155.9144924666607</v>
      </c>
      <c r="Q58" s="796">
        <f>(AR58*KFC!$B$35+KFC!$C$35)*KFC!$C$5</f>
        <v>162.94909473767856</v>
      </c>
      <c r="R58" s="796">
        <f>(AS58*KFC!$B$35+KFC!$C$35)*KFC!$C$5</f>
        <v>169.9836970086964</v>
      </c>
      <c r="S58" s="796">
        <f>(AT58*KFC!$B$35+KFC!$C$35)*KFC!$C$5</f>
        <v>177.01829927971426</v>
      </c>
      <c r="T58" s="796">
        <f>(AU58*KFC!$B$35+KFC!$C$35)*KFC!$C$5</f>
        <v>184.05290155073212</v>
      </c>
      <c r="U58" s="796">
        <f>(AV58*KFC!$B$35+KFC!$C$35)*KFC!$C$5</f>
        <v>191.08750382174998</v>
      </c>
      <c r="V58" s="796">
        <f>(AW58*KFC!$B$35+KFC!$C$35)*KFC!$C$5</f>
        <v>198.12210609276784</v>
      </c>
      <c r="W58" s="796">
        <f>(AX58*KFC!$B$35+KFC!$C$35)*KFC!$C$5</f>
        <v>205.1567083637857</v>
      </c>
      <c r="X58" s="796">
        <f>(AY58*KFC!$B$35+KFC!$C$35)*KFC!$C$5</f>
        <v>212.19131063480356</v>
      </c>
      <c r="Y58" s="796">
        <f>(AZ58*KFC!$B$35+KFC!$C$35)*KFC!$C$5</f>
        <v>219.22591290582139</v>
      </c>
      <c r="Z58" s="814">
        <f>(BA58*KFC!$B$35+KFC!$C$35)*KFC!$C$5</f>
        <v>226.26051517683925</v>
      </c>
      <c r="AB58" s="1912"/>
      <c r="AC58" s="799">
        <v>1.3</v>
      </c>
      <c r="AD58" s="797">
        <v>64.464662943428564</v>
      </c>
      <c r="AE58" s="797">
        <v>71.49926521444641</v>
      </c>
      <c r="AF58" s="797">
        <v>78.53386748546427</v>
      </c>
      <c r="AG58" s="797">
        <v>85.568469756482131</v>
      </c>
      <c r="AH58" s="797">
        <v>92.603072027499991</v>
      </c>
      <c r="AI58" s="797">
        <v>99.637674298517851</v>
      </c>
      <c r="AJ58" s="797">
        <v>106.67227656953571</v>
      </c>
      <c r="AK58" s="797">
        <v>113.70687884055356</v>
      </c>
      <c r="AL58" s="797">
        <v>120.74148111157142</v>
      </c>
      <c r="AM58" s="797">
        <v>127.77608338258928</v>
      </c>
      <c r="AN58" s="797">
        <v>134.81068565360712</v>
      </c>
      <c r="AO58" s="797">
        <v>141.84528792462498</v>
      </c>
      <c r="AP58" s="797">
        <v>148.87989019564284</v>
      </c>
      <c r="AQ58" s="797">
        <v>155.9144924666607</v>
      </c>
      <c r="AR58" s="797">
        <v>162.94909473767856</v>
      </c>
      <c r="AS58" s="797">
        <v>169.9836970086964</v>
      </c>
      <c r="AT58" s="797">
        <v>177.01829927971426</v>
      </c>
      <c r="AU58" s="797">
        <v>184.05290155073212</v>
      </c>
      <c r="AV58" s="797">
        <v>191.08750382174998</v>
      </c>
      <c r="AW58" s="797">
        <v>198.12210609276784</v>
      </c>
      <c r="AX58" s="797">
        <v>205.1567083637857</v>
      </c>
      <c r="AY58" s="797">
        <v>212.19131063480356</v>
      </c>
      <c r="AZ58" s="797">
        <v>219.22591290582139</v>
      </c>
      <c r="BA58" s="797">
        <v>226.26051517683925</v>
      </c>
    </row>
    <row r="59" spans="1:53">
      <c r="A59" s="1912"/>
      <c r="B59" s="799">
        <v>1.4</v>
      </c>
      <c r="C59" s="796">
        <f>(AD59*KFC!$B$35+KFC!$C$35)*KFC!$C$5</f>
        <v>65.410903563857133</v>
      </c>
      <c r="D59" s="796">
        <f>(AE59*KFC!$B$35+KFC!$C$35)*KFC!$C$5</f>
        <v>72.682081654142848</v>
      </c>
      <c r="E59" s="796">
        <f>(AF59*KFC!$B$35+KFC!$C$35)*KFC!$C$5</f>
        <v>79.95325974442855</v>
      </c>
      <c r="F59" s="796">
        <f>(AG59*KFC!$B$35+KFC!$C$35)*KFC!$C$5</f>
        <v>87.22443783471428</v>
      </c>
      <c r="G59" s="796">
        <f>(AH59*KFC!$B$35+KFC!$C$35)*KFC!$C$5</f>
        <v>94.495615924999996</v>
      </c>
      <c r="H59" s="796">
        <f>(AI59*KFC!$B$35+KFC!$C$35)*KFC!$C$5</f>
        <v>101.76679401528571</v>
      </c>
      <c r="I59" s="796">
        <f>(AJ59*KFC!$B$35+KFC!$C$35)*KFC!$C$5</f>
        <v>109.03797210557141</v>
      </c>
      <c r="J59" s="796">
        <f>(AK59*KFC!$B$35+KFC!$C$35)*KFC!$C$5</f>
        <v>116.30915019585713</v>
      </c>
      <c r="K59" s="796">
        <f>(AL59*KFC!$B$35+KFC!$C$35)*KFC!$C$5</f>
        <v>123.58032828614284</v>
      </c>
      <c r="L59" s="796">
        <f>(AM59*KFC!$B$35+KFC!$C$35)*KFC!$C$5</f>
        <v>130.85150637642855</v>
      </c>
      <c r="M59" s="796">
        <f>(AN59*KFC!$B$35+KFC!$C$35)*KFC!$C$5</f>
        <v>138.12268446671428</v>
      </c>
      <c r="N59" s="796">
        <f>(AO59*KFC!$B$35+KFC!$C$35)*KFC!$C$5</f>
        <v>145.39386255699998</v>
      </c>
      <c r="O59" s="796">
        <f>(AP59*KFC!$B$35+KFC!$C$35)*KFC!$C$5</f>
        <v>152.66504064728571</v>
      </c>
      <c r="P59" s="796">
        <f>(AQ59*KFC!$B$35+KFC!$C$35)*KFC!$C$5</f>
        <v>159.93621873757141</v>
      </c>
      <c r="Q59" s="796">
        <f>(AR59*KFC!$B$35+KFC!$C$35)*KFC!$C$5</f>
        <v>167.20739682785711</v>
      </c>
      <c r="R59" s="796">
        <f>(AS59*KFC!$B$35+KFC!$C$35)*KFC!$C$5</f>
        <v>174.47857491814287</v>
      </c>
      <c r="S59" s="796">
        <f>(AT59*KFC!$B$35+KFC!$C$35)*KFC!$C$5</f>
        <v>181.7497530084286</v>
      </c>
      <c r="T59" s="796">
        <f>(AU59*KFC!$B$35+KFC!$C$35)*KFC!$C$5</f>
        <v>189.02093109871433</v>
      </c>
      <c r="U59" s="796">
        <f>(AV59*KFC!$B$35+KFC!$C$35)*KFC!$C$5</f>
        <v>196.29210918900006</v>
      </c>
      <c r="V59" s="796">
        <f>(AW59*KFC!$B$35+KFC!$C$35)*KFC!$C$5</f>
        <v>203.56328727928579</v>
      </c>
      <c r="W59" s="796">
        <f>(AX59*KFC!$B$35+KFC!$C$35)*KFC!$C$5</f>
        <v>210.83446536957152</v>
      </c>
      <c r="X59" s="796">
        <f>(AY59*KFC!$B$35+KFC!$C$35)*KFC!$C$5</f>
        <v>218.10564345985725</v>
      </c>
      <c r="Y59" s="796">
        <f>(AZ59*KFC!$B$35+KFC!$C$35)*KFC!$C$5</f>
        <v>225.37682155014298</v>
      </c>
      <c r="Z59" s="814">
        <f>(BA59*KFC!$B$35+KFC!$C$35)*KFC!$C$5</f>
        <v>232.64799964042871</v>
      </c>
      <c r="AB59" s="1912"/>
      <c r="AC59" s="799">
        <v>1.4</v>
      </c>
      <c r="AD59" s="797">
        <v>65.410903563857133</v>
      </c>
      <c r="AE59" s="797">
        <v>72.682081654142848</v>
      </c>
      <c r="AF59" s="797">
        <v>79.95325974442855</v>
      </c>
      <c r="AG59" s="797">
        <v>87.22443783471428</v>
      </c>
      <c r="AH59" s="797">
        <v>94.495615924999996</v>
      </c>
      <c r="AI59" s="797">
        <v>101.76679401528571</v>
      </c>
      <c r="AJ59" s="797">
        <v>109.03797210557141</v>
      </c>
      <c r="AK59" s="797">
        <v>116.30915019585713</v>
      </c>
      <c r="AL59" s="797">
        <v>123.58032828614284</v>
      </c>
      <c r="AM59" s="797">
        <v>130.85150637642855</v>
      </c>
      <c r="AN59" s="797">
        <v>138.12268446671428</v>
      </c>
      <c r="AO59" s="797">
        <v>145.39386255699998</v>
      </c>
      <c r="AP59" s="797">
        <v>152.66504064728571</v>
      </c>
      <c r="AQ59" s="797">
        <v>159.93621873757141</v>
      </c>
      <c r="AR59" s="797">
        <v>167.20739682785711</v>
      </c>
      <c r="AS59" s="797">
        <v>174.47857491814287</v>
      </c>
      <c r="AT59" s="797">
        <v>181.7497530084286</v>
      </c>
      <c r="AU59" s="797">
        <v>189.02093109871433</v>
      </c>
      <c r="AV59" s="797">
        <v>196.29210918900006</v>
      </c>
      <c r="AW59" s="797">
        <v>203.56328727928579</v>
      </c>
      <c r="AX59" s="797">
        <v>210.83446536957152</v>
      </c>
      <c r="AY59" s="797">
        <v>218.10564345985725</v>
      </c>
      <c r="AZ59" s="797">
        <v>225.37682155014298</v>
      </c>
      <c r="BA59" s="797">
        <v>232.64799964042871</v>
      </c>
    </row>
    <row r="60" spans="1:53">
      <c r="A60" s="1912"/>
      <c r="B60" s="799">
        <v>1.5</v>
      </c>
      <c r="C60" s="796">
        <f>(AD60*KFC!$B$35+KFC!$C$35)*KFC!$C$5</f>
        <v>66.357144184285701</v>
      </c>
      <c r="D60" s="796">
        <f>(AE60*KFC!$B$35+KFC!$C$35)*KFC!$C$5</f>
        <v>73.864898093839273</v>
      </c>
      <c r="E60" s="796">
        <f>(AF60*KFC!$B$35+KFC!$C$35)*KFC!$C$5</f>
        <v>81.372652003392844</v>
      </c>
      <c r="F60" s="796">
        <f>(AG60*KFC!$B$35+KFC!$C$35)*KFC!$C$5</f>
        <v>88.880405912946415</v>
      </c>
      <c r="G60" s="796">
        <f>(AH60*KFC!$B$35+KFC!$C$35)*KFC!$C$5</f>
        <v>96.388159822499986</v>
      </c>
      <c r="H60" s="796">
        <f>(AI60*KFC!$B$35+KFC!$C$35)*KFC!$C$5</f>
        <v>103.89591373205356</v>
      </c>
      <c r="I60" s="796">
        <f>(AJ60*KFC!$B$35+KFC!$C$35)*KFC!$C$5</f>
        <v>111.40366764160713</v>
      </c>
      <c r="J60" s="796">
        <f>(AK60*KFC!$B$35+KFC!$C$35)*KFC!$C$5</f>
        <v>118.9114215511607</v>
      </c>
      <c r="K60" s="796">
        <f>(AL60*KFC!$B$35+KFC!$C$35)*KFC!$C$5</f>
        <v>126.41917546071427</v>
      </c>
      <c r="L60" s="796">
        <f>(AM60*KFC!$B$35+KFC!$C$35)*KFC!$C$5</f>
        <v>133.92692937026783</v>
      </c>
      <c r="M60" s="796">
        <f>(AN60*KFC!$B$35+KFC!$C$35)*KFC!$C$5</f>
        <v>141.4346832798214</v>
      </c>
      <c r="N60" s="796">
        <f>(AO60*KFC!$B$35+KFC!$C$35)*KFC!$C$5</f>
        <v>148.94243718937497</v>
      </c>
      <c r="O60" s="796">
        <f>(AP60*KFC!$B$35+KFC!$C$35)*KFC!$C$5</f>
        <v>156.45019109892854</v>
      </c>
      <c r="P60" s="796">
        <f>(AQ60*KFC!$B$35+KFC!$C$35)*KFC!$C$5</f>
        <v>163.95794500848211</v>
      </c>
      <c r="Q60" s="796">
        <f>(AR60*KFC!$B$35+KFC!$C$35)*KFC!$C$5</f>
        <v>171.46569891803568</v>
      </c>
      <c r="R60" s="796">
        <f>(AS60*KFC!$B$35+KFC!$C$35)*KFC!$C$5</f>
        <v>178.97345282758926</v>
      </c>
      <c r="S60" s="796">
        <f>(AT60*KFC!$B$35+KFC!$C$35)*KFC!$C$5</f>
        <v>186.48120673714283</v>
      </c>
      <c r="T60" s="796">
        <f>(AU60*KFC!$B$35+KFC!$C$35)*KFC!$C$5</f>
        <v>193.9889606466964</v>
      </c>
      <c r="U60" s="796">
        <f>(AV60*KFC!$B$35+KFC!$C$35)*KFC!$C$5</f>
        <v>201.49671455624997</v>
      </c>
      <c r="V60" s="796">
        <f>(AW60*KFC!$B$35+KFC!$C$35)*KFC!$C$5</f>
        <v>209.00446846580354</v>
      </c>
      <c r="W60" s="796">
        <f>(AX60*KFC!$B$35+KFC!$C$35)*KFC!$C$5</f>
        <v>216.51222237535711</v>
      </c>
      <c r="X60" s="796">
        <f>(AY60*KFC!$B$35+KFC!$C$35)*KFC!$C$5</f>
        <v>224.01997628491068</v>
      </c>
      <c r="Y60" s="796">
        <f>(AZ60*KFC!$B$35+KFC!$C$35)*KFC!$C$5</f>
        <v>231.52773019446425</v>
      </c>
      <c r="Z60" s="814">
        <f>(BA60*KFC!$B$35+KFC!$C$35)*KFC!$C$5</f>
        <v>239.03548410401783</v>
      </c>
      <c r="AB60" s="1912"/>
      <c r="AC60" s="799">
        <v>1.5</v>
      </c>
      <c r="AD60" s="797">
        <v>66.357144184285701</v>
      </c>
      <c r="AE60" s="797">
        <v>73.864898093839273</v>
      </c>
      <c r="AF60" s="797">
        <v>81.372652003392844</v>
      </c>
      <c r="AG60" s="797">
        <v>88.880405912946415</v>
      </c>
      <c r="AH60" s="797">
        <v>96.388159822499986</v>
      </c>
      <c r="AI60" s="797">
        <v>103.89591373205356</v>
      </c>
      <c r="AJ60" s="797">
        <v>111.40366764160713</v>
      </c>
      <c r="AK60" s="797">
        <v>118.9114215511607</v>
      </c>
      <c r="AL60" s="797">
        <v>126.41917546071427</v>
      </c>
      <c r="AM60" s="797">
        <v>133.92692937026783</v>
      </c>
      <c r="AN60" s="797">
        <v>141.4346832798214</v>
      </c>
      <c r="AO60" s="797">
        <v>148.94243718937497</v>
      </c>
      <c r="AP60" s="797">
        <v>156.45019109892854</v>
      </c>
      <c r="AQ60" s="797">
        <v>163.95794500848211</v>
      </c>
      <c r="AR60" s="797">
        <v>171.46569891803568</v>
      </c>
      <c r="AS60" s="797">
        <v>178.97345282758926</v>
      </c>
      <c r="AT60" s="797">
        <v>186.48120673714283</v>
      </c>
      <c r="AU60" s="797">
        <v>193.9889606466964</v>
      </c>
      <c r="AV60" s="797">
        <v>201.49671455624997</v>
      </c>
      <c r="AW60" s="797">
        <v>209.00446846580354</v>
      </c>
      <c r="AX60" s="797">
        <v>216.51222237535711</v>
      </c>
      <c r="AY60" s="797">
        <v>224.01997628491068</v>
      </c>
      <c r="AZ60" s="797">
        <v>231.52773019446425</v>
      </c>
      <c r="BA60" s="797">
        <v>239.03548410401783</v>
      </c>
    </row>
    <row r="61" spans="1:53">
      <c r="A61" s="1912"/>
      <c r="B61" s="799">
        <v>1.6</v>
      </c>
      <c r="C61" s="796">
        <f>(AD61*KFC!$B$35+KFC!$C$35)*KFC!$C$5</f>
        <v>67.30338480471427</v>
      </c>
      <c r="D61" s="796">
        <f>(AE61*KFC!$B$35+KFC!$C$35)*KFC!$C$5</f>
        <v>75.047714533535697</v>
      </c>
      <c r="E61" s="796">
        <f>(AF61*KFC!$B$35+KFC!$C$35)*KFC!$C$5</f>
        <v>82.792044262357123</v>
      </c>
      <c r="F61" s="796">
        <f>(AG61*KFC!$B$35+KFC!$C$35)*KFC!$C$5</f>
        <v>90.536373991178564</v>
      </c>
      <c r="G61" s="796">
        <f>(AH61*KFC!$B$35+KFC!$C$35)*KFC!$C$5</f>
        <v>98.280703719999991</v>
      </c>
      <c r="H61" s="796">
        <f>(AI61*KFC!$B$35+KFC!$C$35)*KFC!$C$5</f>
        <v>106.02503344882142</v>
      </c>
      <c r="I61" s="796">
        <f>(AJ61*KFC!$B$35+KFC!$C$35)*KFC!$C$5</f>
        <v>113.76936317764284</v>
      </c>
      <c r="J61" s="796">
        <f>(AK61*KFC!$B$35+KFC!$C$35)*KFC!$C$5</f>
        <v>121.51369290646427</v>
      </c>
      <c r="K61" s="796">
        <f>(AL61*KFC!$B$35+KFC!$C$35)*KFC!$C$5</f>
        <v>129.2580226352857</v>
      </c>
      <c r="L61" s="796">
        <f>(AM61*KFC!$B$35+KFC!$C$35)*KFC!$C$5</f>
        <v>137.00235236410714</v>
      </c>
      <c r="M61" s="796">
        <f>(AN61*KFC!$B$35+KFC!$C$35)*KFC!$C$5</f>
        <v>144.74668209292855</v>
      </c>
      <c r="N61" s="796">
        <f>(AO61*KFC!$B$35+KFC!$C$35)*KFC!$C$5</f>
        <v>152.49101182174999</v>
      </c>
      <c r="O61" s="796">
        <f>(AP61*KFC!$B$35+KFC!$C$35)*KFC!$C$5</f>
        <v>160.23534155057141</v>
      </c>
      <c r="P61" s="796">
        <f>(AQ61*KFC!$B$35+KFC!$C$35)*KFC!$C$5</f>
        <v>167.97967127939285</v>
      </c>
      <c r="Q61" s="796">
        <f>(AR61*KFC!$B$35+KFC!$C$35)*KFC!$C$5</f>
        <v>175.72400100821426</v>
      </c>
      <c r="R61" s="796">
        <f>(AS61*KFC!$B$35+KFC!$C$35)*KFC!$C$5</f>
        <v>183.4683307370357</v>
      </c>
      <c r="S61" s="796">
        <f>(AT61*KFC!$B$35+KFC!$C$35)*KFC!$C$5</f>
        <v>191.21266046585717</v>
      </c>
      <c r="T61" s="796">
        <f>(AU61*KFC!$B$35+KFC!$C$35)*KFC!$C$5</f>
        <v>198.95699019467861</v>
      </c>
      <c r="U61" s="796">
        <f>(AV61*KFC!$B$35+KFC!$C$35)*KFC!$C$5</f>
        <v>206.70131992350005</v>
      </c>
      <c r="V61" s="796">
        <f>(AW61*KFC!$B$35+KFC!$C$35)*KFC!$C$5</f>
        <v>214.44564965232149</v>
      </c>
      <c r="W61" s="796">
        <f>(AX61*KFC!$B$35+KFC!$C$35)*KFC!$C$5</f>
        <v>222.18997938114293</v>
      </c>
      <c r="X61" s="796">
        <f>(AY61*KFC!$B$35+KFC!$C$35)*KFC!$C$5</f>
        <v>229.9343091099644</v>
      </c>
      <c r="Y61" s="796">
        <f>(AZ61*KFC!$B$35+KFC!$C$35)*KFC!$C$5</f>
        <v>237.67863883878584</v>
      </c>
      <c r="Z61" s="814">
        <f>(BA61*KFC!$B$35+KFC!$C$35)*KFC!$C$5</f>
        <v>245.42296856760728</v>
      </c>
      <c r="AB61" s="1912"/>
      <c r="AC61" s="799">
        <v>1.6</v>
      </c>
      <c r="AD61" s="797">
        <v>67.30338480471427</v>
      </c>
      <c r="AE61" s="797">
        <v>75.047714533535697</v>
      </c>
      <c r="AF61" s="797">
        <v>82.792044262357123</v>
      </c>
      <c r="AG61" s="797">
        <v>90.536373991178564</v>
      </c>
      <c r="AH61" s="797">
        <v>98.280703719999991</v>
      </c>
      <c r="AI61" s="797">
        <v>106.02503344882142</v>
      </c>
      <c r="AJ61" s="797">
        <v>113.76936317764284</v>
      </c>
      <c r="AK61" s="797">
        <v>121.51369290646427</v>
      </c>
      <c r="AL61" s="797">
        <v>129.2580226352857</v>
      </c>
      <c r="AM61" s="797">
        <v>137.00235236410714</v>
      </c>
      <c r="AN61" s="797">
        <v>144.74668209292855</v>
      </c>
      <c r="AO61" s="797">
        <v>152.49101182174999</v>
      </c>
      <c r="AP61" s="797">
        <v>160.23534155057141</v>
      </c>
      <c r="AQ61" s="797">
        <v>167.97967127939285</v>
      </c>
      <c r="AR61" s="797">
        <v>175.72400100821426</v>
      </c>
      <c r="AS61" s="797">
        <v>183.4683307370357</v>
      </c>
      <c r="AT61" s="797">
        <v>191.21266046585717</v>
      </c>
      <c r="AU61" s="797">
        <v>198.95699019467861</v>
      </c>
      <c r="AV61" s="797">
        <v>206.70131992350005</v>
      </c>
      <c r="AW61" s="797">
        <v>214.44564965232149</v>
      </c>
      <c r="AX61" s="797">
        <v>222.18997938114293</v>
      </c>
      <c r="AY61" s="797">
        <v>229.9343091099644</v>
      </c>
      <c r="AZ61" s="797">
        <v>237.67863883878584</v>
      </c>
      <c r="BA61" s="797">
        <v>245.42296856760728</v>
      </c>
    </row>
    <row r="62" spans="1:53">
      <c r="A62" s="1912"/>
      <c r="B62" s="799">
        <v>1.7</v>
      </c>
      <c r="C62" s="796">
        <f>(AD62*KFC!$B$35+KFC!$C$35)*KFC!$C$5</f>
        <v>68.249625425142838</v>
      </c>
      <c r="D62" s="796">
        <f>(AE62*KFC!$B$35+KFC!$C$35)*KFC!$C$5</f>
        <v>76.230530973232121</v>
      </c>
      <c r="E62" s="796">
        <f>(AF62*KFC!$B$35+KFC!$C$35)*KFC!$C$5</f>
        <v>84.211436521321417</v>
      </c>
      <c r="F62" s="796">
        <f>(AG62*KFC!$B$35+KFC!$C$35)*KFC!$C$5</f>
        <v>92.192342069410699</v>
      </c>
      <c r="G62" s="796">
        <f>(AH62*KFC!$B$35+KFC!$C$35)*KFC!$C$5</f>
        <v>100.17324761749998</v>
      </c>
      <c r="H62" s="796">
        <f>(AI62*KFC!$B$35+KFC!$C$35)*KFC!$C$5</f>
        <v>108.15415316558928</v>
      </c>
      <c r="I62" s="796">
        <f>(AJ62*KFC!$B$35+KFC!$C$35)*KFC!$C$5</f>
        <v>116.13505871367856</v>
      </c>
      <c r="J62" s="796">
        <f>(AK62*KFC!$B$35+KFC!$C$35)*KFC!$C$5</f>
        <v>124.11596426176784</v>
      </c>
      <c r="K62" s="796">
        <f>(AL62*KFC!$B$35+KFC!$C$35)*KFC!$C$5</f>
        <v>132.09686980985714</v>
      </c>
      <c r="L62" s="796">
        <f>(AM62*KFC!$B$35+KFC!$C$35)*KFC!$C$5</f>
        <v>140.07777535794642</v>
      </c>
      <c r="M62" s="796">
        <f>(AN62*KFC!$B$35+KFC!$C$35)*KFC!$C$5</f>
        <v>148.0586809060357</v>
      </c>
      <c r="N62" s="796">
        <f>(AO62*KFC!$B$35+KFC!$C$35)*KFC!$C$5</f>
        <v>156.03958645412499</v>
      </c>
      <c r="O62" s="796">
        <f>(AP62*KFC!$B$35+KFC!$C$35)*KFC!$C$5</f>
        <v>164.02049200221427</v>
      </c>
      <c r="P62" s="796">
        <f>(AQ62*KFC!$B$35+KFC!$C$35)*KFC!$C$5</f>
        <v>172.00139755030355</v>
      </c>
      <c r="Q62" s="796">
        <f>(AR62*KFC!$B$35+KFC!$C$35)*KFC!$C$5</f>
        <v>179.98230309839283</v>
      </c>
      <c r="R62" s="796">
        <f>(AS62*KFC!$B$35+KFC!$C$35)*KFC!$C$5</f>
        <v>187.96320864648212</v>
      </c>
      <c r="S62" s="796">
        <f>(AT62*KFC!$B$35+KFC!$C$35)*KFC!$C$5</f>
        <v>195.9441141945714</v>
      </c>
      <c r="T62" s="796">
        <f>(AU62*KFC!$B$35+KFC!$C$35)*KFC!$C$5</f>
        <v>203.92501974266068</v>
      </c>
      <c r="U62" s="796">
        <f>(AV62*KFC!$B$35+KFC!$C$35)*KFC!$C$5</f>
        <v>211.90592529074999</v>
      </c>
      <c r="V62" s="796">
        <f>(AW62*KFC!$B$35+KFC!$C$35)*KFC!$C$5</f>
        <v>219.88683083883927</v>
      </c>
      <c r="W62" s="796">
        <f>(AX62*KFC!$B$35+KFC!$C$35)*KFC!$C$5</f>
        <v>227.86773638692856</v>
      </c>
      <c r="X62" s="796">
        <f>(AY62*KFC!$B$35+KFC!$C$35)*KFC!$C$5</f>
        <v>235.84864193501784</v>
      </c>
      <c r="Y62" s="796">
        <f>(AZ62*KFC!$B$35+KFC!$C$35)*KFC!$C$5</f>
        <v>243.82954748310712</v>
      </c>
      <c r="Z62" s="814">
        <f>(BA62*KFC!$B$35+KFC!$C$35)*KFC!$C$5</f>
        <v>251.8104530311964</v>
      </c>
      <c r="AB62" s="1912"/>
      <c r="AC62" s="799">
        <v>1.7</v>
      </c>
      <c r="AD62" s="797">
        <v>68.249625425142838</v>
      </c>
      <c r="AE62" s="797">
        <v>76.230530973232121</v>
      </c>
      <c r="AF62" s="797">
        <v>84.211436521321417</v>
      </c>
      <c r="AG62" s="797">
        <v>92.192342069410699</v>
      </c>
      <c r="AH62" s="797">
        <v>100.17324761749998</v>
      </c>
      <c r="AI62" s="797">
        <v>108.15415316558928</v>
      </c>
      <c r="AJ62" s="797">
        <v>116.13505871367856</v>
      </c>
      <c r="AK62" s="797">
        <v>124.11596426176784</v>
      </c>
      <c r="AL62" s="797">
        <v>132.09686980985714</v>
      </c>
      <c r="AM62" s="797">
        <v>140.07777535794642</v>
      </c>
      <c r="AN62" s="797">
        <v>148.0586809060357</v>
      </c>
      <c r="AO62" s="797">
        <v>156.03958645412499</v>
      </c>
      <c r="AP62" s="797">
        <v>164.02049200221427</v>
      </c>
      <c r="AQ62" s="797">
        <v>172.00139755030355</v>
      </c>
      <c r="AR62" s="797">
        <v>179.98230309839283</v>
      </c>
      <c r="AS62" s="797">
        <v>187.96320864648212</v>
      </c>
      <c r="AT62" s="797">
        <v>195.9441141945714</v>
      </c>
      <c r="AU62" s="797">
        <v>203.92501974266068</v>
      </c>
      <c r="AV62" s="797">
        <v>211.90592529074999</v>
      </c>
      <c r="AW62" s="797">
        <v>219.88683083883927</v>
      </c>
      <c r="AX62" s="797">
        <v>227.86773638692856</v>
      </c>
      <c r="AY62" s="797">
        <v>235.84864193501784</v>
      </c>
      <c r="AZ62" s="797">
        <v>243.82954748310712</v>
      </c>
      <c r="BA62" s="797">
        <v>251.8104530311964</v>
      </c>
    </row>
    <row r="63" spans="1:53">
      <c r="A63" s="1912"/>
      <c r="B63" s="799">
        <v>1.8</v>
      </c>
      <c r="C63" s="796">
        <f>(AD63*KFC!$B$35+KFC!$C$35)*KFC!$C$5</f>
        <v>69.195866045571407</v>
      </c>
      <c r="D63" s="796">
        <f>(AE63*KFC!$B$35+KFC!$C$35)*KFC!$C$5</f>
        <v>77.413347412928545</v>
      </c>
      <c r="E63" s="796">
        <f>(AF63*KFC!$B$35+KFC!$C$35)*KFC!$C$5</f>
        <v>85.630828780285697</v>
      </c>
      <c r="F63" s="796">
        <f>(AG63*KFC!$B$35+KFC!$C$35)*KFC!$C$5</f>
        <v>93.848310147642849</v>
      </c>
      <c r="G63" s="796">
        <f>(AH63*KFC!$B$35+KFC!$C$35)*KFC!$C$5</f>
        <v>102.06579151499999</v>
      </c>
      <c r="H63" s="796">
        <f>(AI63*KFC!$B$35+KFC!$C$35)*KFC!$C$5</f>
        <v>110.28327288235712</v>
      </c>
      <c r="I63" s="796">
        <f>(AJ63*KFC!$B$35+KFC!$C$35)*KFC!$C$5</f>
        <v>118.50075424971428</v>
      </c>
      <c r="J63" s="796">
        <f>(AK63*KFC!$B$35+KFC!$C$35)*KFC!$C$5</f>
        <v>126.71823561707141</v>
      </c>
      <c r="K63" s="796">
        <f>(AL63*KFC!$B$35+KFC!$C$35)*KFC!$C$5</f>
        <v>134.93571698442855</v>
      </c>
      <c r="L63" s="796">
        <f>(AM63*KFC!$B$35+KFC!$C$35)*KFC!$C$5</f>
        <v>143.1531983517857</v>
      </c>
      <c r="M63" s="796">
        <f>(AN63*KFC!$B$35+KFC!$C$35)*KFC!$C$5</f>
        <v>151.37067971914283</v>
      </c>
      <c r="N63" s="796">
        <f>(AO63*KFC!$B$35+KFC!$C$35)*KFC!$C$5</f>
        <v>159.58816108649998</v>
      </c>
      <c r="O63" s="796">
        <f>(AP63*KFC!$B$35+KFC!$C$35)*KFC!$C$5</f>
        <v>167.80564245385713</v>
      </c>
      <c r="P63" s="796">
        <f>(AQ63*KFC!$B$35+KFC!$C$35)*KFC!$C$5</f>
        <v>176.02312382121428</v>
      </c>
      <c r="Q63" s="796">
        <f>(AR63*KFC!$B$35+KFC!$C$35)*KFC!$C$5</f>
        <v>184.24060518857144</v>
      </c>
      <c r="R63" s="796">
        <f>(AS63*KFC!$B$35+KFC!$C$35)*KFC!$C$5</f>
        <v>192.45808655592862</v>
      </c>
      <c r="S63" s="796">
        <f>(AT63*KFC!$B$35+KFC!$C$35)*KFC!$C$5</f>
        <v>200.67556792328577</v>
      </c>
      <c r="T63" s="796">
        <f>(AU63*KFC!$B$35+KFC!$C$35)*KFC!$C$5</f>
        <v>208.89304929064292</v>
      </c>
      <c r="U63" s="796">
        <f>(AV63*KFC!$B$35+KFC!$C$35)*KFC!$C$5</f>
        <v>217.1105306580001</v>
      </c>
      <c r="V63" s="796">
        <f>(AW63*KFC!$B$35+KFC!$C$35)*KFC!$C$5</f>
        <v>225.32801202535725</v>
      </c>
      <c r="W63" s="796">
        <f>(AX63*KFC!$B$35+KFC!$C$35)*KFC!$C$5</f>
        <v>233.54549339271441</v>
      </c>
      <c r="X63" s="796">
        <f>(AY63*KFC!$B$35+KFC!$C$35)*KFC!$C$5</f>
        <v>241.76297476007159</v>
      </c>
      <c r="Y63" s="796">
        <f>(AZ63*KFC!$B$35+KFC!$C$35)*KFC!$C$5</f>
        <v>249.98045612742874</v>
      </c>
      <c r="Z63" s="814">
        <f>(BA63*KFC!$B$35+KFC!$C$35)*KFC!$C$5</f>
        <v>258.19793749478589</v>
      </c>
      <c r="AB63" s="1912"/>
      <c r="AC63" s="799">
        <v>1.8</v>
      </c>
      <c r="AD63" s="797">
        <v>69.195866045571407</v>
      </c>
      <c r="AE63" s="797">
        <v>77.413347412928545</v>
      </c>
      <c r="AF63" s="797">
        <v>85.630828780285697</v>
      </c>
      <c r="AG63" s="797">
        <v>93.848310147642849</v>
      </c>
      <c r="AH63" s="797">
        <v>102.06579151499999</v>
      </c>
      <c r="AI63" s="797">
        <v>110.28327288235712</v>
      </c>
      <c r="AJ63" s="797">
        <v>118.50075424971428</v>
      </c>
      <c r="AK63" s="797">
        <v>126.71823561707141</v>
      </c>
      <c r="AL63" s="797">
        <v>134.93571698442855</v>
      </c>
      <c r="AM63" s="797">
        <v>143.1531983517857</v>
      </c>
      <c r="AN63" s="797">
        <v>151.37067971914283</v>
      </c>
      <c r="AO63" s="797">
        <v>159.58816108649998</v>
      </c>
      <c r="AP63" s="797">
        <v>167.80564245385713</v>
      </c>
      <c r="AQ63" s="797">
        <v>176.02312382121428</v>
      </c>
      <c r="AR63" s="797">
        <v>184.24060518857144</v>
      </c>
      <c r="AS63" s="797">
        <v>192.45808655592862</v>
      </c>
      <c r="AT63" s="797">
        <v>200.67556792328577</v>
      </c>
      <c r="AU63" s="797">
        <v>208.89304929064292</v>
      </c>
      <c r="AV63" s="797">
        <v>217.1105306580001</v>
      </c>
      <c r="AW63" s="797">
        <v>225.32801202535725</v>
      </c>
      <c r="AX63" s="797">
        <v>233.54549339271441</v>
      </c>
      <c r="AY63" s="797">
        <v>241.76297476007159</v>
      </c>
      <c r="AZ63" s="797">
        <v>249.98045612742874</v>
      </c>
      <c r="BA63" s="797">
        <v>258.19793749478589</v>
      </c>
    </row>
    <row r="64" spans="1:53">
      <c r="A64" s="1912"/>
      <c r="B64" s="799">
        <v>1.9</v>
      </c>
      <c r="C64" s="796">
        <f>(AD64*KFC!$B$35+KFC!$C$35)*KFC!$C$5</f>
        <v>70.142106665999975</v>
      </c>
      <c r="D64" s="796">
        <f>(AE64*KFC!$B$35+KFC!$C$35)*KFC!$C$5</f>
        <v>78.596163852624983</v>
      </c>
      <c r="E64" s="796">
        <f>(AF64*KFC!$B$35+KFC!$C$35)*KFC!$C$5</f>
        <v>87.05022103924999</v>
      </c>
      <c r="F64" s="796">
        <f>(AG64*KFC!$B$35+KFC!$C$35)*KFC!$C$5</f>
        <v>95.504278225874984</v>
      </c>
      <c r="G64" s="796">
        <f>(AH64*KFC!$B$35+KFC!$C$35)*KFC!$C$5</f>
        <v>103.95833541249999</v>
      </c>
      <c r="H64" s="796">
        <f>(AI64*KFC!$B$35+KFC!$C$35)*KFC!$C$5</f>
        <v>112.41239259912498</v>
      </c>
      <c r="I64" s="796">
        <f>(AJ64*KFC!$B$35+KFC!$C$35)*KFC!$C$5</f>
        <v>120.86644978574998</v>
      </c>
      <c r="J64" s="796">
        <f>(AK64*KFC!$B$35+KFC!$C$35)*KFC!$C$5</f>
        <v>129.32050697237497</v>
      </c>
      <c r="K64" s="796">
        <f>(AL64*KFC!$B$35+KFC!$C$35)*KFC!$C$5</f>
        <v>137.77456415899999</v>
      </c>
      <c r="L64" s="796">
        <f>(AM64*KFC!$B$35+KFC!$C$35)*KFC!$C$5</f>
        <v>146.22862134562499</v>
      </c>
      <c r="M64" s="796">
        <f>(AN64*KFC!$B$35+KFC!$C$35)*KFC!$C$5</f>
        <v>154.68267853224998</v>
      </c>
      <c r="N64" s="796">
        <f>(AO64*KFC!$B$35+KFC!$C$35)*KFC!$C$5</f>
        <v>163.13673571887497</v>
      </c>
      <c r="O64" s="796">
        <f>(AP64*KFC!$B$35+KFC!$C$35)*KFC!$C$5</f>
        <v>171.5907929055</v>
      </c>
      <c r="P64" s="796">
        <f>(AQ64*KFC!$B$35+KFC!$C$35)*KFC!$C$5</f>
        <v>180.04485009212499</v>
      </c>
      <c r="Q64" s="796">
        <f>(AR64*KFC!$B$35+KFC!$C$35)*KFC!$C$5</f>
        <v>188.49890727874998</v>
      </c>
      <c r="R64" s="796">
        <f>(AS64*KFC!$B$35+KFC!$C$35)*KFC!$C$5</f>
        <v>196.95296446537498</v>
      </c>
      <c r="S64" s="796">
        <f>(AT64*KFC!$B$35+KFC!$C$35)*KFC!$C$5</f>
        <v>205.40702165199997</v>
      </c>
      <c r="T64" s="796">
        <f>(AU64*KFC!$B$35+KFC!$C$35)*KFC!$C$5</f>
        <v>213.86107883862499</v>
      </c>
      <c r="U64" s="796">
        <f>(AV64*KFC!$B$35+KFC!$C$35)*KFC!$C$5</f>
        <v>222.31513602524998</v>
      </c>
      <c r="V64" s="796">
        <f>(AW64*KFC!$B$35+KFC!$C$35)*KFC!$C$5</f>
        <v>230.76919321187498</v>
      </c>
      <c r="W64" s="796">
        <f>(AX64*KFC!$B$35+KFC!$C$35)*KFC!$C$5</f>
        <v>239.22325039849997</v>
      </c>
      <c r="X64" s="796">
        <f>(AY64*KFC!$B$35+KFC!$C$35)*KFC!$C$5</f>
        <v>247.67730758512496</v>
      </c>
      <c r="Y64" s="796">
        <f>(AZ64*KFC!$B$35+KFC!$C$35)*KFC!$C$5</f>
        <v>256.13136477174999</v>
      </c>
      <c r="Z64" s="814">
        <f>(BA64*KFC!$B$35+KFC!$C$35)*KFC!$C$5</f>
        <v>264.58542195837498</v>
      </c>
      <c r="AB64" s="1912"/>
      <c r="AC64" s="799">
        <v>1.9</v>
      </c>
      <c r="AD64" s="797">
        <v>70.142106665999975</v>
      </c>
      <c r="AE64" s="797">
        <v>78.596163852624983</v>
      </c>
      <c r="AF64" s="797">
        <v>87.05022103924999</v>
      </c>
      <c r="AG64" s="797">
        <v>95.504278225874984</v>
      </c>
      <c r="AH64" s="797">
        <v>103.95833541249999</v>
      </c>
      <c r="AI64" s="797">
        <v>112.41239259912498</v>
      </c>
      <c r="AJ64" s="797">
        <v>120.86644978574998</v>
      </c>
      <c r="AK64" s="797">
        <v>129.32050697237497</v>
      </c>
      <c r="AL64" s="797">
        <v>137.77456415899999</v>
      </c>
      <c r="AM64" s="797">
        <v>146.22862134562499</v>
      </c>
      <c r="AN64" s="797">
        <v>154.68267853224998</v>
      </c>
      <c r="AO64" s="797">
        <v>163.13673571887497</v>
      </c>
      <c r="AP64" s="797">
        <v>171.5907929055</v>
      </c>
      <c r="AQ64" s="797">
        <v>180.04485009212499</v>
      </c>
      <c r="AR64" s="797">
        <v>188.49890727874998</v>
      </c>
      <c r="AS64" s="797">
        <v>196.95296446537498</v>
      </c>
      <c r="AT64" s="797">
        <v>205.40702165199997</v>
      </c>
      <c r="AU64" s="797">
        <v>213.86107883862499</v>
      </c>
      <c r="AV64" s="797">
        <v>222.31513602524998</v>
      </c>
      <c r="AW64" s="797">
        <v>230.76919321187498</v>
      </c>
      <c r="AX64" s="797">
        <v>239.22325039849997</v>
      </c>
      <c r="AY64" s="797">
        <v>247.67730758512496</v>
      </c>
      <c r="AZ64" s="797">
        <v>256.13136477174999</v>
      </c>
      <c r="BA64" s="797">
        <v>264.58542195837498</v>
      </c>
    </row>
    <row r="65" spans="1:53">
      <c r="A65" s="1912"/>
      <c r="B65" s="799">
        <v>2</v>
      </c>
      <c r="C65" s="796">
        <f>(AD65*KFC!$B$35+KFC!$C$35)*KFC!$C$5</f>
        <v>71.088347286428544</v>
      </c>
      <c r="D65" s="796">
        <f>(AE65*KFC!$B$35+KFC!$C$35)*KFC!$C$5</f>
        <v>79.778980292321407</v>
      </c>
      <c r="E65" s="796">
        <f>(AF65*KFC!$B$35+KFC!$C$35)*KFC!$C$5</f>
        <v>88.46961329821427</v>
      </c>
      <c r="F65" s="796">
        <f>(AG65*KFC!$B$35+KFC!$C$35)*KFC!$C$5</f>
        <v>97.160246304107133</v>
      </c>
      <c r="G65" s="796">
        <f>(AH65*KFC!$B$35+KFC!$C$35)*KFC!$C$5</f>
        <v>105.85087930999998</v>
      </c>
      <c r="H65" s="796">
        <f>(AI65*KFC!$B$35+KFC!$C$35)*KFC!$C$5</f>
        <v>114.54151231589285</v>
      </c>
      <c r="I65" s="796">
        <f>(AJ65*KFC!$B$35+KFC!$C$35)*KFC!$C$5</f>
        <v>123.23214532178569</v>
      </c>
      <c r="J65" s="796">
        <f>(AK65*KFC!$B$35+KFC!$C$35)*KFC!$C$5</f>
        <v>131.92277832767854</v>
      </c>
      <c r="K65" s="796">
        <f>(AL65*KFC!$B$35+KFC!$C$35)*KFC!$C$5</f>
        <v>140.61341133357141</v>
      </c>
      <c r="L65" s="796">
        <f>(AM65*KFC!$B$35+KFC!$C$35)*KFC!$C$5</f>
        <v>149.30404433946427</v>
      </c>
      <c r="M65" s="796">
        <f>(AN65*KFC!$B$35+KFC!$C$35)*KFC!$C$5</f>
        <v>157.99467734535713</v>
      </c>
      <c r="N65" s="796">
        <f>(AO65*KFC!$B$35+KFC!$C$35)*KFC!$C$5</f>
        <v>166.68531035125</v>
      </c>
      <c r="O65" s="796">
        <f>(AP65*KFC!$B$35+KFC!$C$35)*KFC!$C$5</f>
        <v>175.37594335714283</v>
      </c>
      <c r="P65" s="796">
        <f>(AQ65*KFC!$B$35+KFC!$C$35)*KFC!$C$5</f>
        <v>184.06657636303572</v>
      </c>
      <c r="Q65" s="796">
        <f>(AR65*KFC!$B$35+KFC!$C$35)*KFC!$C$5</f>
        <v>192.75720936892859</v>
      </c>
      <c r="R65" s="796">
        <f>(AS65*KFC!$B$35+KFC!$C$35)*KFC!$C$5</f>
        <v>201.44784237482148</v>
      </c>
      <c r="S65" s="796">
        <f>(AT65*KFC!$B$35+KFC!$C$35)*KFC!$C$5</f>
        <v>210.13847538071434</v>
      </c>
      <c r="T65" s="796">
        <f>(AU65*KFC!$B$35+KFC!$C$35)*KFC!$C$5</f>
        <v>218.8291083866072</v>
      </c>
      <c r="U65" s="796">
        <f>(AV65*KFC!$B$35+KFC!$C$35)*KFC!$C$5</f>
        <v>227.51974139250009</v>
      </c>
      <c r="V65" s="796">
        <f>(AW65*KFC!$B$35+KFC!$C$35)*KFC!$C$5</f>
        <v>236.21037439839296</v>
      </c>
      <c r="W65" s="796">
        <f>(AX65*KFC!$B$35+KFC!$C$35)*KFC!$C$5</f>
        <v>244.90100740428585</v>
      </c>
      <c r="X65" s="796">
        <f>(AY65*KFC!$B$35+KFC!$C$35)*KFC!$C$5</f>
        <v>253.59164041017871</v>
      </c>
      <c r="Y65" s="796">
        <f>(AZ65*KFC!$B$35+KFC!$C$35)*KFC!$C$5</f>
        <v>262.28227341607158</v>
      </c>
      <c r="Z65" s="814">
        <f>(BA65*KFC!$B$35+KFC!$C$35)*KFC!$C$5</f>
        <v>270.97290642196447</v>
      </c>
      <c r="AB65" s="1912"/>
      <c r="AC65" s="799">
        <v>2</v>
      </c>
      <c r="AD65" s="797">
        <v>71.088347286428544</v>
      </c>
      <c r="AE65" s="797">
        <v>79.778980292321407</v>
      </c>
      <c r="AF65" s="797">
        <v>88.46961329821427</v>
      </c>
      <c r="AG65" s="797">
        <v>97.160246304107133</v>
      </c>
      <c r="AH65" s="797">
        <v>105.85087930999998</v>
      </c>
      <c r="AI65" s="797">
        <v>114.54151231589285</v>
      </c>
      <c r="AJ65" s="797">
        <v>123.23214532178569</v>
      </c>
      <c r="AK65" s="797">
        <v>131.92277832767854</v>
      </c>
      <c r="AL65" s="797">
        <v>140.61341133357141</v>
      </c>
      <c r="AM65" s="797">
        <v>149.30404433946427</v>
      </c>
      <c r="AN65" s="797">
        <v>157.99467734535713</v>
      </c>
      <c r="AO65" s="797">
        <v>166.68531035125</v>
      </c>
      <c r="AP65" s="797">
        <v>175.37594335714283</v>
      </c>
      <c r="AQ65" s="797">
        <v>184.06657636303572</v>
      </c>
      <c r="AR65" s="797">
        <v>192.75720936892859</v>
      </c>
      <c r="AS65" s="797">
        <v>201.44784237482148</v>
      </c>
      <c r="AT65" s="797">
        <v>210.13847538071434</v>
      </c>
      <c r="AU65" s="797">
        <v>218.8291083866072</v>
      </c>
      <c r="AV65" s="797">
        <v>227.51974139250009</v>
      </c>
      <c r="AW65" s="797">
        <v>236.21037439839296</v>
      </c>
      <c r="AX65" s="797">
        <v>244.90100740428585</v>
      </c>
      <c r="AY65" s="797">
        <v>253.59164041017871</v>
      </c>
      <c r="AZ65" s="797">
        <v>262.28227341607158</v>
      </c>
      <c r="BA65" s="797">
        <v>270.97290642196447</v>
      </c>
    </row>
    <row r="66" spans="1:53">
      <c r="A66" s="1912"/>
      <c r="B66" s="799">
        <v>2.1</v>
      </c>
      <c r="C66" s="796">
        <f>(AD66*KFC!$B$35+KFC!$C$35)*KFC!$C$5</f>
        <v>72.034587906857112</v>
      </c>
      <c r="D66" s="796">
        <f>(AE66*KFC!$B$35+KFC!$C$35)*KFC!$C$5</f>
        <v>80.961796732017831</v>
      </c>
      <c r="E66" s="796">
        <f>(AF66*KFC!$B$35+KFC!$C$35)*KFC!$C$5</f>
        <v>89.88900555717855</v>
      </c>
      <c r="F66" s="796">
        <f>(AG66*KFC!$B$35+KFC!$C$35)*KFC!$C$5</f>
        <v>98.816214382339268</v>
      </c>
      <c r="G66" s="796">
        <f>(AH66*KFC!$B$35+KFC!$C$35)*KFC!$C$5</f>
        <v>107.74342320749999</v>
      </c>
      <c r="H66" s="796">
        <f>(AI66*KFC!$B$35+KFC!$C$35)*KFC!$C$5</f>
        <v>116.67063203266069</v>
      </c>
      <c r="I66" s="796">
        <f>(AJ66*KFC!$B$35+KFC!$C$35)*KFC!$C$5</f>
        <v>125.59784085782141</v>
      </c>
      <c r="J66" s="796">
        <f>(AK66*KFC!$B$35+KFC!$C$35)*KFC!$C$5</f>
        <v>134.52504968298211</v>
      </c>
      <c r="K66" s="796">
        <f>(AL66*KFC!$B$35+KFC!$C$35)*KFC!$C$5</f>
        <v>143.45225850814285</v>
      </c>
      <c r="L66" s="796">
        <f>(AM66*KFC!$B$35+KFC!$C$35)*KFC!$C$5</f>
        <v>152.37946733330355</v>
      </c>
      <c r="M66" s="796">
        <f>(AN66*KFC!$B$35+KFC!$C$35)*KFC!$C$5</f>
        <v>161.30667615846426</v>
      </c>
      <c r="N66" s="796">
        <f>(AO66*KFC!$B$35+KFC!$C$35)*KFC!$C$5</f>
        <v>170.23388498362499</v>
      </c>
      <c r="O66" s="796">
        <f>(AP66*KFC!$B$35+KFC!$C$35)*KFC!$C$5</f>
        <v>179.16109380878569</v>
      </c>
      <c r="P66" s="796">
        <f>(AQ66*KFC!$B$35+KFC!$C$35)*KFC!$C$5</f>
        <v>188.0883026339464</v>
      </c>
      <c r="Q66" s="796">
        <f>(AR66*KFC!$B$35+KFC!$C$35)*KFC!$C$5</f>
        <v>197.01551145910713</v>
      </c>
      <c r="R66" s="796">
        <f>(AS66*KFC!$B$35+KFC!$C$35)*KFC!$C$5</f>
        <v>205.94272028426784</v>
      </c>
      <c r="S66" s="796">
        <f>(AT66*KFC!$B$35+KFC!$C$35)*KFC!$C$5</f>
        <v>214.86992910942854</v>
      </c>
      <c r="T66" s="796">
        <f>(AU66*KFC!$B$35+KFC!$C$35)*KFC!$C$5</f>
        <v>223.79713793458927</v>
      </c>
      <c r="U66" s="796">
        <f>(AV66*KFC!$B$35+KFC!$C$35)*KFC!$C$5</f>
        <v>232.72434675974998</v>
      </c>
      <c r="V66" s="796">
        <f>(AW66*KFC!$B$35+KFC!$C$35)*KFC!$C$5</f>
        <v>241.65155558491068</v>
      </c>
      <c r="W66" s="796">
        <f>(AX66*KFC!$B$35+KFC!$C$35)*KFC!$C$5</f>
        <v>250.57876441007141</v>
      </c>
      <c r="X66" s="796">
        <f>(AY66*KFC!$B$35+KFC!$C$35)*KFC!$C$5</f>
        <v>259.50597323523215</v>
      </c>
      <c r="Y66" s="796">
        <f>(AZ66*KFC!$B$35+KFC!$C$35)*KFC!$C$5</f>
        <v>268.43318206039282</v>
      </c>
      <c r="Z66" s="814">
        <f>(BA66*KFC!$B$35+KFC!$C$35)*KFC!$C$5</f>
        <v>277.36039088555356</v>
      </c>
      <c r="AB66" s="1912"/>
      <c r="AC66" s="799">
        <v>2.1</v>
      </c>
      <c r="AD66" s="797">
        <v>72.034587906857112</v>
      </c>
      <c r="AE66" s="797">
        <v>80.961796732017831</v>
      </c>
      <c r="AF66" s="797">
        <v>89.88900555717855</v>
      </c>
      <c r="AG66" s="797">
        <v>98.816214382339268</v>
      </c>
      <c r="AH66" s="797">
        <v>107.74342320749999</v>
      </c>
      <c r="AI66" s="797">
        <v>116.67063203266069</v>
      </c>
      <c r="AJ66" s="797">
        <v>125.59784085782141</v>
      </c>
      <c r="AK66" s="797">
        <v>134.52504968298211</v>
      </c>
      <c r="AL66" s="797">
        <v>143.45225850814285</v>
      </c>
      <c r="AM66" s="797">
        <v>152.37946733330355</v>
      </c>
      <c r="AN66" s="797">
        <v>161.30667615846426</v>
      </c>
      <c r="AO66" s="797">
        <v>170.23388498362499</v>
      </c>
      <c r="AP66" s="797">
        <v>179.16109380878569</v>
      </c>
      <c r="AQ66" s="797">
        <v>188.0883026339464</v>
      </c>
      <c r="AR66" s="797">
        <v>197.01551145910713</v>
      </c>
      <c r="AS66" s="797">
        <v>205.94272028426784</v>
      </c>
      <c r="AT66" s="797">
        <v>214.86992910942854</v>
      </c>
      <c r="AU66" s="797">
        <v>223.79713793458927</v>
      </c>
      <c r="AV66" s="797">
        <v>232.72434675974998</v>
      </c>
      <c r="AW66" s="797">
        <v>241.65155558491068</v>
      </c>
      <c r="AX66" s="797">
        <v>250.57876441007141</v>
      </c>
      <c r="AY66" s="797">
        <v>259.50597323523215</v>
      </c>
      <c r="AZ66" s="797">
        <v>268.43318206039282</v>
      </c>
      <c r="BA66" s="797">
        <v>277.36039088555356</v>
      </c>
    </row>
    <row r="67" spans="1:53">
      <c r="A67" s="1912"/>
      <c r="B67" s="799">
        <v>2.2000000000000002</v>
      </c>
      <c r="C67" s="796">
        <f>(AD67*KFC!$B$35+KFC!$C$35)*KFC!$C$5</f>
        <v>72.980828527285681</v>
      </c>
      <c r="D67" s="796">
        <f>(AE67*KFC!$B$35+KFC!$C$35)*KFC!$C$5</f>
        <v>82.144613171714255</v>
      </c>
      <c r="E67" s="796">
        <f>(AF67*KFC!$B$35+KFC!$C$35)*KFC!$C$5</f>
        <v>91.308397816142843</v>
      </c>
      <c r="F67" s="796">
        <f>(AG67*KFC!$B$35+KFC!$C$35)*KFC!$C$5</f>
        <v>100.47218246057142</v>
      </c>
      <c r="G67" s="796">
        <f>(AH67*KFC!$B$35+KFC!$C$35)*KFC!$C$5</f>
        <v>109.63596710499998</v>
      </c>
      <c r="H67" s="796">
        <f>(AI67*KFC!$B$35+KFC!$C$35)*KFC!$C$5</f>
        <v>118.79975174942855</v>
      </c>
      <c r="I67" s="796">
        <f>(AJ67*KFC!$B$35+KFC!$C$35)*KFC!$C$5</f>
        <v>127.96353639385713</v>
      </c>
      <c r="J67" s="796">
        <f>(AK67*KFC!$B$35+KFC!$C$35)*KFC!$C$5</f>
        <v>137.12732103828569</v>
      </c>
      <c r="K67" s="796">
        <f>(AL67*KFC!$B$35+KFC!$C$35)*KFC!$C$5</f>
        <v>146.29110568271426</v>
      </c>
      <c r="L67" s="796">
        <f>(AM67*KFC!$B$35+KFC!$C$35)*KFC!$C$5</f>
        <v>155.45489032714283</v>
      </c>
      <c r="M67" s="796">
        <f>(AN67*KFC!$B$35+KFC!$C$35)*KFC!$C$5</f>
        <v>164.61867497157141</v>
      </c>
      <c r="N67" s="796">
        <f>(AO67*KFC!$B$35+KFC!$C$35)*KFC!$C$5</f>
        <v>173.78245961600001</v>
      </c>
      <c r="O67" s="796">
        <f>(AP67*KFC!$B$35+KFC!$C$35)*KFC!$C$5</f>
        <v>182.94624426042859</v>
      </c>
      <c r="P67" s="796">
        <f>(AQ67*KFC!$B$35+KFC!$C$35)*KFC!$C$5</f>
        <v>192.11002890485719</v>
      </c>
      <c r="Q67" s="796">
        <f>(AR67*KFC!$B$35+KFC!$C$35)*KFC!$C$5</f>
        <v>201.27381354928576</v>
      </c>
      <c r="R67" s="796">
        <f>(AS67*KFC!$B$35+KFC!$C$35)*KFC!$C$5</f>
        <v>210.43759819371436</v>
      </c>
      <c r="S67" s="796">
        <f>(AT67*KFC!$B$35+KFC!$C$35)*KFC!$C$5</f>
        <v>219.60138283814294</v>
      </c>
      <c r="T67" s="796">
        <f>(AU67*KFC!$B$35+KFC!$C$35)*KFC!$C$5</f>
        <v>228.76516748257154</v>
      </c>
      <c r="U67" s="796">
        <f>(AV67*KFC!$B$35+KFC!$C$35)*KFC!$C$5</f>
        <v>237.92895212700014</v>
      </c>
      <c r="V67" s="796">
        <f>(AW67*KFC!$B$35+KFC!$C$35)*KFC!$C$5</f>
        <v>247.09273677142872</v>
      </c>
      <c r="W67" s="796">
        <f>(AX67*KFC!$B$35+KFC!$C$35)*KFC!$C$5</f>
        <v>256.25652141585732</v>
      </c>
      <c r="X67" s="796">
        <f>(AY67*KFC!$B$35+KFC!$C$35)*KFC!$C$5</f>
        <v>265.4203060602859</v>
      </c>
      <c r="Y67" s="796">
        <f>(AZ67*KFC!$B$35+KFC!$C$35)*KFC!$C$5</f>
        <v>274.58409070471447</v>
      </c>
      <c r="Z67" s="814">
        <f>(BA67*KFC!$B$35+KFC!$C$35)*KFC!$C$5</f>
        <v>283.7478753491431</v>
      </c>
      <c r="AB67" s="1912"/>
      <c r="AC67" s="799">
        <v>2.2000000000000002</v>
      </c>
      <c r="AD67" s="797">
        <v>72.980828527285681</v>
      </c>
      <c r="AE67" s="797">
        <v>82.144613171714255</v>
      </c>
      <c r="AF67" s="797">
        <v>91.308397816142843</v>
      </c>
      <c r="AG67" s="797">
        <v>100.47218246057142</v>
      </c>
      <c r="AH67" s="797">
        <v>109.63596710499998</v>
      </c>
      <c r="AI67" s="797">
        <v>118.79975174942855</v>
      </c>
      <c r="AJ67" s="797">
        <v>127.96353639385713</v>
      </c>
      <c r="AK67" s="797">
        <v>137.12732103828569</v>
      </c>
      <c r="AL67" s="797">
        <v>146.29110568271426</v>
      </c>
      <c r="AM67" s="797">
        <v>155.45489032714283</v>
      </c>
      <c r="AN67" s="797">
        <v>164.61867497157141</v>
      </c>
      <c r="AO67" s="797">
        <v>173.78245961600001</v>
      </c>
      <c r="AP67" s="797">
        <v>182.94624426042859</v>
      </c>
      <c r="AQ67" s="797">
        <v>192.11002890485719</v>
      </c>
      <c r="AR67" s="797">
        <v>201.27381354928576</v>
      </c>
      <c r="AS67" s="797">
        <v>210.43759819371436</v>
      </c>
      <c r="AT67" s="797">
        <v>219.60138283814294</v>
      </c>
      <c r="AU67" s="797">
        <v>228.76516748257154</v>
      </c>
      <c r="AV67" s="797">
        <v>237.92895212700014</v>
      </c>
      <c r="AW67" s="797">
        <v>247.09273677142872</v>
      </c>
      <c r="AX67" s="797">
        <v>256.25652141585732</v>
      </c>
      <c r="AY67" s="797">
        <v>265.4203060602859</v>
      </c>
      <c r="AZ67" s="797">
        <v>274.58409070471447</v>
      </c>
      <c r="BA67" s="797">
        <v>283.7478753491431</v>
      </c>
    </row>
    <row r="68" spans="1:53">
      <c r="A68" s="1912"/>
      <c r="B68" s="799">
        <v>2.2999999999999998</v>
      </c>
      <c r="C68" s="796">
        <f>(AD68*KFC!$B$35+KFC!$C$35)*KFC!$C$5</f>
        <v>73.927069147714263</v>
      </c>
      <c r="D68" s="796">
        <f>(AE68*KFC!$B$35+KFC!$C$35)*KFC!$C$5</f>
        <v>83.327429611410693</v>
      </c>
      <c r="E68" s="796">
        <f>(AF68*KFC!$B$35+KFC!$C$35)*KFC!$C$5</f>
        <v>92.727790075107123</v>
      </c>
      <c r="F68" s="796">
        <f>(AG68*KFC!$B$35+KFC!$C$35)*KFC!$C$5</f>
        <v>102.12815053880355</v>
      </c>
      <c r="G68" s="796">
        <f>(AH68*KFC!$B$35+KFC!$C$35)*KFC!$C$5</f>
        <v>111.52851100249998</v>
      </c>
      <c r="H68" s="796">
        <f>(AI68*KFC!$B$35+KFC!$C$35)*KFC!$C$5</f>
        <v>120.92887146619641</v>
      </c>
      <c r="I68" s="796">
        <f>(AJ68*KFC!$B$35+KFC!$C$35)*KFC!$C$5</f>
        <v>130.32923192989284</v>
      </c>
      <c r="J68" s="796">
        <f>(AK68*KFC!$B$35+KFC!$C$35)*KFC!$C$5</f>
        <v>139.72959239358926</v>
      </c>
      <c r="K68" s="796">
        <f>(AL68*KFC!$B$35+KFC!$C$35)*KFC!$C$5</f>
        <v>149.1299528572857</v>
      </c>
      <c r="L68" s="796">
        <f>(AM68*KFC!$B$35+KFC!$C$35)*KFC!$C$5</f>
        <v>158.53031332098212</v>
      </c>
      <c r="M68" s="796">
        <f>(AN68*KFC!$B$35+KFC!$C$35)*KFC!$C$5</f>
        <v>167.93067378467856</v>
      </c>
      <c r="N68" s="796">
        <f>(AO68*KFC!$B$35+KFC!$C$35)*KFC!$C$5</f>
        <v>177.33103424837498</v>
      </c>
      <c r="O68" s="796">
        <f>(AP68*KFC!$B$35+KFC!$C$35)*KFC!$C$5</f>
        <v>186.73139471207142</v>
      </c>
      <c r="P68" s="796">
        <f>(AQ68*KFC!$B$35+KFC!$C$35)*KFC!$C$5</f>
        <v>196.13175517576784</v>
      </c>
      <c r="Q68" s="796">
        <f>(AR68*KFC!$B$35+KFC!$C$35)*KFC!$C$5</f>
        <v>205.53211563946428</v>
      </c>
      <c r="R68" s="796">
        <f>(AS68*KFC!$B$35+KFC!$C$35)*KFC!$C$5</f>
        <v>214.9324761031607</v>
      </c>
      <c r="S68" s="796">
        <f>(AT68*KFC!$B$35+KFC!$C$35)*KFC!$C$5</f>
        <v>224.33283656685711</v>
      </c>
      <c r="T68" s="796">
        <f>(AU68*KFC!$B$35+KFC!$C$35)*KFC!$C$5</f>
        <v>233.73319703055355</v>
      </c>
      <c r="U68" s="796">
        <f>(AV68*KFC!$B$35+KFC!$C$35)*KFC!$C$5</f>
        <v>243.13355749424997</v>
      </c>
      <c r="V68" s="796">
        <f>(AW68*KFC!$B$35+KFC!$C$35)*KFC!$C$5</f>
        <v>252.53391795794641</v>
      </c>
      <c r="W68" s="796">
        <f>(AX68*KFC!$B$35+KFC!$C$35)*KFC!$C$5</f>
        <v>261.93427842164283</v>
      </c>
      <c r="X68" s="796">
        <f>(AY68*KFC!$B$35+KFC!$C$35)*KFC!$C$5</f>
        <v>271.33463888533925</v>
      </c>
      <c r="Y68" s="796">
        <f>(AZ68*KFC!$B$35+KFC!$C$35)*KFC!$C$5</f>
        <v>280.73499934903572</v>
      </c>
      <c r="Z68" s="814">
        <f>(BA68*KFC!$B$35+KFC!$C$35)*KFC!$C$5</f>
        <v>290.13535981273213</v>
      </c>
      <c r="AB68" s="1912"/>
      <c r="AC68" s="799">
        <v>2.2999999999999998</v>
      </c>
      <c r="AD68" s="797">
        <v>73.927069147714263</v>
      </c>
      <c r="AE68" s="797">
        <v>83.327429611410693</v>
      </c>
      <c r="AF68" s="797">
        <v>92.727790075107123</v>
      </c>
      <c r="AG68" s="797">
        <v>102.12815053880355</v>
      </c>
      <c r="AH68" s="797">
        <v>111.52851100249998</v>
      </c>
      <c r="AI68" s="797">
        <v>120.92887146619641</v>
      </c>
      <c r="AJ68" s="797">
        <v>130.32923192989284</v>
      </c>
      <c r="AK68" s="797">
        <v>139.72959239358926</v>
      </c>
      <c r="AL68" s="797">
        <v>149.1299528572857</v>
      </c>
      <c r="AM68" s="797">
        <v>158.53031332098212</v>
      </c>
      <c r="AN68" s="797">
        <v>167.93067378467856</v>
      </c>
      <c r="AO68" s="797">
        <v>177.33103424837498</v>
      </c>
      <c r="AP68" s="797">
        <v>186.73139471207142</v>
      </c>
      <c r="AQ68" s="797">
        <v>196.13175517576784</v>
      </c>
      <c r="AR68" s="797">
        <v>205.53211563946428</v>
      </c>
      <c r="AS68" s="797">
        <v>214.9324761031607</v>
      </c>
      <c r="AT68" s="797">
        <v>224.33283656685711</v>
      </c>
      <c r="AU68" s="797">
        <v>233.73319703055355</v>
      </c>
      <c r="AV68" s="797">
        <v>243.13355749424997</v>
      </c>
      <c r="AW68" s="797">
        <v>252.53391795794641</v>
      </c>
      <c r="AX68" s="797">
        <v>261.93427842164283</v>
      </c>
      <c r="AY68" s="797">
        <v>271.33463888533925</v>
      </c>
      <c r="AZ68" s="797">
        <v>280.73499934903572</v>
      </c>
      <c r="BA68" s="797">
        <v>290.13535981273213</v>
      </c>
    </row>
    <row r="69" spans="1:53">
      <c r="A69" s="1912"/>
      <c r="B69" s="799">
        <v>2.4</v>
      </c>
      <c r="C69" s="796">
        <f>(AD69*KFC!$B$35+KFC!$C$35)*KFC!$C$5</f>
        <v>74.873309768142832</v>
      </c>
      <c r="D69" s="796">
        <f>(AE69*KFC!$B$35+KFC!$C$35)*KFC!$C$5</f>
        <v>84.510246051107117</v>
      </c>
      <c r="E69" s="796">
        <f>(AF69*KFC!$B$35+KFC!$C$35)*KFC!$C$5</f>
        <v>94.147182334071402</v>
      </c>
      <c r="F69" s="796">
        <f>(AG69*KFC!$B$35+KFC!$C$35)*KFC!$C$5</f>
        <v>103.78411861703569</v>
      </c>
      <c r="G69" s="796">
        <f>(AH69*KFC!$B$35+KFC!$C$35)*KFC!$C$5</f>
        <v>113.42105489999999</v>
      </c>
      <c r="H69" s="796">
        <f>(AI69*KFC!$B$35+KFC!$C$35)*KFC!$C$5</f>
        <v>123.05799118296427</v>
      </c>
      <c r="I69" s="796">
        <f>(AJ69*KFC!$B$35+KFC!$C$35)*KFC!$C$5</f>
        <v>132.69492746592854</v>
      </c>
      <c r="J69" s="796">
        <f>(AK69*KFC!$B$35+KFC!$C$35)*KFC!$C$5</f>
        <v>142.33186374889283</v>
      </c>
      <c r="K69" s="796">
        <f>(AL69*KFC!$B$35+KFC!$C$35)*KFC!$C$5</f>
        <v>151.96880003185711</v>
      </c>
      <c r="L69" s="796">
        <f>(AM69*KFC!$B$35+KFC!$C$35)*KFC!$C$5</f>
        <v>161.6057363148214</v>
      </c>
      <c r="M69" s="796">
        <f>(AN69*KFC!$B$35+KFC!$C$35)*KFC!$C$5</f>
        <v>171.24267259778568</v>
      </c>
      <c r="N69" s="796">
        <f>(AO69*KFC!$B$35+KFC!$C$35)*KFC!$C$5</f>
        <v>180.87960888075</v>
      </c>
      <c r="O69" s="796">
        <f>(AP69*KFC!$B$35+KFC!$C$35)*KFC!$C$5</f>
        <v>190.51654516371431</v>
      </c>
      <c r="P69" s="796">
        <f>(AQ69*KFC!$B$35+KFC!$C$35)*KFC!$C$5</f>
        <v>200.1534814466786</v>
      </c>
      <c r="Q69" s="796">
        <f>(AR69*KFC!$B$35+KFC!$C$35)*KFC!$C$5</f>
        <v>209.79041772964291</v>
      </c>
      <c r="R69" s="796">
        <f>(AS69*KFC!$B$35+KFC!$C$35)*KFC!$C$5</f>
        <v>219.42735401260722</v>
      </c>
      <c r="S69" s="796">
        <f>(AT69*KFC!$B$35+KFC!$C$35)*KFC!$C$5</f>
        <v>229.06429029557151</v>
      </c>
      <c r="T69" s="796">
        <f>(AU69*KFC!$B$35+KFC!$C$35)*KFC!$C$5</f>
        <v>238.70122657853582</v>
      </c>
      <c r="U69" s="796">
        <f>(AV69*KFC!$B$35+KFC!$C$35)*KFC!$C$5</f>
        <v>248.33816286150014</v>
      </c>
      <c r="V69" s="796">
        <f>(AW69*KFC!$B$35+KFC!$C$35)*KFC!$C$5</f>
        <v>257.97509914446442</v>
      </c>
      <c r="W69" s="796">
        <f>(AX69*KFC!$B$35+KFC!$C$35)*KFC!$C$5</f>
        <v>267.61203542742874</v>
      </c>
      <c r="X69" s="796">
        <f>(AY69*KFC!$B$35+KFC!$C$35)*KFC!$C$5</f>
        <v>277.24897171039305</v>
      </c>
      <c r="Y69" s="796">
        <f>(AZ69*KFC!$B$35+KFC!$C$35)*KFC!$C$5</f>
        <v>286.88590799335736</v>
      </c>
      <c r="Z69" s="814">
        <f>(BA69*KFC!$B$35+KFC!$C$35)*KFC!$C$5</f>
        <v>296.52284427632168</v>
      </c>
      <c r="AB69" s="1912"/>
      <c r="AC69" s="799">
        <v>2.4</v>
      </c>
      <c r="AD69" s="797">
        <v>74.873309768142832</v>
      </c>
      <c r="AE69" s="797">
        <v>84.510246051107117</v>
      </c>
      <c r="AF69" s="797">
        <v>94.147182334071402</v>
      </c>
      <c r="AG69" s="797">
        <v>103.78411861703569</v>
      </c>
      <c r="AH69" s="797">
        <v>113.42105489999999</v>
      </c>
      <c r="AI69" s="797">
        <v>123.05799118296427</v>
      </c>
      <c r="AJ69" s="797">
        <v>132.69492746592854</v>
      </c>
      <c r="AK69" s="797">
        <v>142.33186374889283</v>
      </c>
      <c r="AL69" s="797">
        <v>151.96880003185711</v>
      </c>
      <c r="AM69" s="797">
        <v>161.6057363148214</v>
      </c>
      <c r="AN69" s="797">
        <v>171.24267259778568</v>
      </c>
      <c r="AO69" s="797">
        <v>180.87960888075</v>
      </c>
      <c r="AP69" s="797">
        <v>190.51654516371431</v>
      </c>
      <c r="AQ69" s="797">
        <v>200.1534814466786</v>
      </c>
      <c r="AR69" s="797">
        <v>209.79041772964291</v>
      </c>
      <c r="AS69" s="797">
        <v>219.42735401260722</v>
      </c>
      <c r="AT69" s="797">
        <v>229.06429029557151</v>
      </c>
      <c r="AU69" s="797">
        <v>238.70122657853582</v>
      </c>
      <c r="AV69" s="797">
        <v>248.33816286150014</v>
      </c>
      <c r="AW69" s="797">
        <v>257.97509914446442</v>
      </c>
      <c r="AX69" s="797">
        <v>267.61203542742874</v>
      </c>
      <c r="AY69" s="797">
        <v>277.24897171039305</v>
      </c>
      <c r="AZ69" s="797">
        <v>286.88590799335736</v>
      </c>
      <c r="BA69" s="797">
        <v>296.52284427632168</v>
      </c>
    </row>
    <row r="70" spans="1:53">
      <c r="A70" s="1912"/>
      <c r="B70" s="799">
        <v>2.5</v>
      </c>
      <c r="C70" s="796">
        <f>(AD70*KFC!$B$35+KFC!$C$35)*KFC!$C$5</f>
        <v>75.8195503885714</v>
      </c>
      <c r="D70" s="796">
        <f>(AE70*KFC!$B$35+KFC!$C$35)*KFC!$C$5</f>
        <v>85.693062490803555</v>
      </c>
      <c r="E70" s="796">
        <f>(AF70*KFC!$B$35+KFC!$C$35)*KFC!$C$5</f>
        <v>95.566574593035696</v>
      </c>
      <c r="F70" s="796">
        <f>(AG70*KFC!$B$35+KFC!$C$35)*KFC!$C$5</f>
        <v>105.44008669526784</v>
      </c>
      <c r="G70" s="796">
        <f>(AH70*KFC!$B$35+KFC!$C$35)*KFC!$C$5</f>
        <v>115.31359879749998</v>
      </c>
      <c r="H70" s="796">
        <f>(AI70*KFC!$B$35+KFC!$C$35)*KFC!$C$5</f>
        <v>125.18711089973212</v>
      </c>
      <c r="I70" s="796">
        <f>(AJ70*KFC!$B$35+KFC!$C$35)*KFC!$C$5</f>
        <v>135.06062300196427</v>
      </c>
      <c r="J70" s="796">
        <f>(AK70*KFC!$B$35+KFC!$C$35)*KFC!$C$5</f>
        <v>144.9341351041964</v>
      </c>
      <c r="K70" s="796">
        <f>(AL70*KFC!$B$35+KFC!$C$35)*KFC!$C$5</f>
        <v>154.80764720642856</v>
      </c>
      <c r="L70" s="796">
        <f>(AM70*KFC!$B$35+KFC!$C$35)*KFC!$C$5</f>
        <v>164.68115930866068</v>
      </c>
      <c r="M70" s="796">
        <f>(AN70*KFC!$B$35+KFC!$C$35)*KFC!$C$5</f>
        <v>174.55467141089284</v>
      </c>
      <c r="N70" s="796">
        <f>(AO70*KFC!$B$35+KFC!$C$35)*KFC!$C$5</f>
        <v>184.42818351312499</v>
      </c>
      <c r="O70" s="796">
        <f>(AP70*KFC!$B$35+KFC!$C$35)*KFC!$C$5</f>
        <v>194.30169561535712</v>
      </c>
      <c r="P70" s="796">
        <f>(AQ70*KFC!$B$35+KFC!$C$35)*KFC!$C$5</f>
        <v>204.17520771758927</v>
      </c>
      <c r="Q70" s="796">
        <f>(AR70*KFC!$B$35+KFC!$C$35)*KFC!$C$5</f>
        <v>214.0487198198214</v>
      </c>
      <c r="R70" s="796">
        <f>(AS70*KFC!$B$35+KFC!$C$35)*KFC!$C$5</f>
        <v>223.92223192205356</v>
      </c>
      <c r="S70" s="796">
        <f>(AT70*KFC!$B$35+KFC!$C$35)*KFC!$C$5</f>
        <v>233.79574402428571</v>
      </c>
      <c r="T70" s="796">
        <f>(AU70*KFC!$B$35+KFC!$C$35)*KFC!$C$5</f>
        <v>243.66925612651784</v>
      </c>
      <c r="U70" s="796">
        <f>(AV70*KFC!$B$35+KFC!$C$35)*KFC!$C$5</f>
        <v>253.54276822874999</v>
      </c>
      <c r="V70" s="796">
        <f>(AW70*KFC!$B$35+KFC!$C$35)*KFC!$C$5</f>
        <v>263.41628033098215</v>
      </c>
      <c r="W70" s="796">
        <f>(AX70*KFC!$B$35+KFC!$C$35)*KFC!$C$5</f>
        <v>273.28979243321425</v>
      </c>
      <c r="X70" s="796">
        <f>(AY70*KFC!$B$35+KFC!$C$35)*KFC!$C$5</f>
        <v>283.1633045354464</v>
      </c>
      <c r="Y70" s="796">
        <f>(AZ70*KFC!$B$35+KFC!$C$35)*KFC!$C$5</f>
        <v>293.03681663767856</v>
      </c>
      <c r="Z70" s="814">
        <f>(BA70*KFC!$B$35+KFC!$C$35)*KFC!$C$5</f>
        <v>302.91032873991071</v>
      </c>
      <c r="AB70" s="1912"/>
      <c r="AC70" s="799">
        <v>2.5</v>
      </c>
      <c r="AD70" s="797">
        <v>75.8195503885714</v>
      </c>
      <c r="AE70" s="797">
        <v>85.693062490803555</v>
      </c>
      <c r="AF70" s="797">
        <v>95.566574593035696</v>
      </c>
      <c r="AG70" s="797">
        <v>105.44008669526784</v>
      </c>
      <c r="AH70" s="797">
        <v>115.31359879749998</v>
      </c>
      <c r="AI70" s="797">
        <v>125.18711089973212</v>
      </c>
      <c r="AJ70" s="797">
        <v>135.06062300196427</v>
      </c>
      <c r="AK70" s="797">
        <v>144.9341351041964</v>
      </c>
      <c r="AL70" s="797">
        <v>154.80764720642856</v>
      </c>
      <c r="AM70" s="797">
        <v>164.68115930866068</v>
      </c>
      <c r="AN70" s="797">
        <v>174.55467141089284</v>
      </c>
      <c r="AO70" s="797">
        <v>184.42818351312499</v>
      </c>
      <c r="AP70" s="797">
        <v>194.30169561535712</v>
      </c>
      <c r="AQ70" s="797">
        <v>204.17520771758927</v>
      </c>
      <c r="AR70" s="797">
        <v>214.0487198198214</v>
      </c>
      <c r="AS70" s="797">
        <v>223.92223192205356</v>
      </c>
      <c r="AT70" s="797">
        <v>233.79574402428571</v>
      </c>
      <c r="AU70" s="797">
        <v>243.66925612651784</v>
      </c>
      <c r="AV70" s="797">
        <v>253.54276822874999</v>
      </c>
      <c r="AW70" s="797">
        <v>263.41628033098215</v>
      </c>
      <c r="AX70" s="797">
        <v>273.28979243321425</v>
      </c>
      <c r="AY70" s="797">
        <v>283.1633045354464</v>
      </c>
      <c r="AZ70" s="797">
        <v>293.03681663767856</v>
      </c>
      <c r="BA70" s="797">
        <v>302.91032873991071</v>
      </c>
    </row>
    <row r="71" spans="1:53">
      <c r="A71" s="1912"/>
      <c r="B71" s="799">
        <v>2.6</v>
      </c>
      <c r="C71" s="796">
        <f>(AD71*KFC!$B$35+KFC!$C$35)*KFC!$C$5</f>
        <v>76.765791008999969</v>
      </c>
      <c r="D71" s="796">
        <f>(AE71*KFC!$B$35+KFC!$C$35)*KFC!$C$5</f>
        <v>86.875878930499979</v>
      </c>
      <c r="E71" s="796">
        <f>(AF71*KFC!$B$35+KFC!$C$35)*KFC!$C$5</f>
        <v>96.985966851999976</v>
      </c>
      <c r="F71" s="796">
        <f>(AG71*KFC!$B$35+KFC!$C$35)*KFC!$C$5</f>
        <v>107.09605477349997</v>
      </c>
      <c r="G71" s="796">
        <f>(AH71*KFC!$B$35+KFC!$C$35)*KFC!$C$5</f>
        <v>117.20614269499998</v>
      </c>
      <c r="H71" s="796">
        <f>(AI71*KFC!$B$35+KFC!$C$35)*KFC!$C$5</f>
        <v>127.31623061649998</v>
      </c>
      <c r="I71" s="796">
        <f>(AJ71*KFC!$B$35+KFC!$C$35)*KFC!$C$5</f>
        <v>137.42631853799998</v>
      </c>
      <c r="J71" s="796">
        <f>(AK71*KFC!$B$35+KFC!$C$35)*KFC!$C$5</f>
        <v>147.53640645949997</v>
      </c>
      <c r="K71" s="796">
        <f>(AL71*KFC!$B$35+KFC!$C$35)*KFC!$C$5</f>
        <v>157.64649438099997</v>
      </c>
      <c r="L71" s="796">
        <f>(AM71*KFC!$B$35+KFC!$C$35)*KFC!$C$5</f>
        <v>167.75658230249999</v>
      </c>
      <c r="M71" s="796">
        <f>(AN71*KFC!$B$35+KFC!$C$35)*KFC!$C$5</f>
        <v>177.86667022399999</v>
      </c>
      <c r="N71" s="796">
        <f>(AO71*KFC!$B$35+KFC!$C$35)*KFC!$C$5</f>
        <v>187.97675814550001</v>
      </c>
      <c r="O71" s="796">
        <f>(AP71*KFC!$B$35+KFC!$C$35)*KFC!$C$5</f>
        <v>198.08684606700001</v>
      </c>
      <c r="P71" s="796">
        <f>(AQ71*KFC!$B$35+KFC!$C$35)*KFC!$C$5</f>
        <v>208.19693398850004</v>
      </c>
      <c r="Q71" s="796">
        <f>(AR71*KFC!$B$35+KFC!$C$35)*KFC!$C$5</f>
        <v>218.30702191000006</v>
      </c>
      <c r="R71" s="796">
        <f>(AS71*KFC!$B$35+KFC!$C$35)*KFC!$C$5</f>
        <v>228.41710983150008</v>
      </c>
      <c r="S71" s="796">
        <f>(AT71*KFC!$B$35+KFC!$C$35)*KFC!$C$5</f>
        <v>238.52719775300011</v>
      </c>
      <c r="T71" s="796">
        <f>(AU71*KFC!$B$35+KFC!$C$35)*KFC!$C$5</f>
        <v>248.63728567450011</v>
      </c>
      <c r="U71" s="796">
        <f>(AV71*KFC!$B$35+KFC!$C$35)*KFC!$C$5</f>
        <v>258.74737359600016</v>
      </c>
      <c r="V71" s="796">
        <f>(AW71*KFC!$B$35+KFC!$C$35)*KFC!$C$5</f>
        <v>268.85746151750016</v>
      </c>
      <c r="W71" s="796">
        <f>(AX71*KFC!$B$35+KFC!$C$35)*KFC!$C$5</f>
        <v>278.96754943900015</v>
      </c>
      <c r="X71" s="796">
        <f>(AY71*KFC!$B$35+KFC!$C$35)*KFC!$C$5</f>
        <v>289.0776373605002</v>
      </c>
      <c r="Y71" s="796">
        <f>(AZ71*KFC!$B$35+KFC!$C$35)*KFC!$C$5</f>
        <v>299.1877252820002</v>
      </c>
      <c r="Z71" s="814">
        <f>(BA71*KFC!$B$35+KFC!$C$35)*KFC!$C$5</f>
        <v>309.29781320350025</v>
      </c>
      <c r="AB71" s="1912"/>
      <c r="AC71" s="799">
        <v>2.6</v>
      </c>
      <c r="AD71" s="797">
        <v>76.765791008999969</v>
      </c>
      <c r="AE71" s="797">
        <v>86.875878930499979</v>
      </c>
      <c r="AF71" s="797">
        <v>96.985966851999976</v>
      </c>
      <c r="AG71" s="797">
        <v>107.09605477349997</v>
      </c>
      <c r="AH71" s="797">
        <v>117.20614269499998</v>
      </c>
      <c r="AI71" s="797">
        <v>127.31623061649998</v>
      </c>
      <c r="AJ71" s="797">
        <v>137.42631853799998</v>
      </c>
      <c r="AK71" s="797">
        <v>147.53640645949997</v>
      </c>
      <c r="AL71" s="797">
        <v>157.64649438099997</v>
      </c>
      <c r="AM71" s="797">
        <v>167.75658230249999</v>
      </c>
      <c r="AN71" s="797">
        <v>177.86667022399999</v>
      </c>
      <c r="AO71" s="797">
        <v>187.97675814550001</v>
      </c>
      <c r="AP71" s="797">
        <v>198.08684606700001</v>
      </c>
      <c r="AQ71" s="797">
        <v>208.19693398850004</v>
      </c>
      <c r="AR71" s="797">
        <v>218.30702191000006</v>
      </c>
      <c r="AS71" s="797">
        <v>228.41710983150008</v>
      </c>
      <c r="AT71" s="797">
        <v>238.52719775300011</v>
      </c>
      <c r="AU71" s="797">
        <v>248.63728567450011</v>
      </c>
      <c r="AV71" s="797">
        <v>258.74737359600016</v>
      </c>
      <c r="AW71" s="797">
        <v>268.85746151750016</v>
      </c>
      <c r="AX71" s="797">
        <v>278.96754943900015</v>
      </c>
      <c r="AY71" s="797">
        <v>289.0776373605002</v>
      </c>
      <c r="AZ71" s="797">
        <v>299.1877252820002</v>
      </c>
      <c r="BA71" s="797">
        <v>309.29781320350025</v>
      </c>
    </row>
    <row r="72" spans="1:53">
      <c r="A72" s="1912"/>
      <c r="B72" s="799">
        <v>2.7</v>
      </c>
      <c r="C72" s="796">
        <f>(AD72*KFC!$B$35+KFC!$C$35)*KFC!$C$5</f>
        <v>77.712031629428537</v>
      </c>
      <c r="D72" s="796">
        <f>(AE72*KFC!$B$35+KFC!$C$35)*KFC!$C$5</f>
        <v>88.058695370196403</v>
      </c>
      <c r="E72" s="796">
        <f>(AF72*KFC!$B$35+KFC!$C$35)*KFC!$C$5</f>
        <v>98.405359110964255</v>
      </c>
      <c r="F72" s="796">
        <f>(AG72*KFC!$B$35+KFC!$C$35)*KFC!$C$5</f>
        <v>108.75202285173212</v>
      </c>
      <c r="G72" s="796">
        <f>(AH72*KFC!$B$35+KFC!$C$35)*KFC!$C$5</f>
        <v>119.09868659249997</v>
      </c>
      <c r="H72" s="796">
        <f>(AI72*KFC!$B$35+KFC!$C$35)*KFC!$C$5</f>
        <v>129.44535033326784</v>
      </c>
      <c r="I72" s="796">
        <f>(AJ72*KFC!$B$35+KFC!$C$35)*KFC!$C$5</f>
        <v>139.79201407403571</v>
      </c>
      <c r="J72" s="796">
        <f>(AK72*KFC!$B$35+KFC!$C$35)*KFC!$C$5</f>
        <v>150.13867781480354</v>
      </c>
      <c r="K72" s="796">
        <f>(AL72*KFC!$B$35+KFC!$C$35)*KFC!$C$5</f>
        <v>160.48534155557141</v>
      </c>
      <c r="L72" s="796">
        <f>(AM72*KFC!$B$35+KFC!$C$35)*KFC!$C$5</f>
        <v>170.83200529633928</v>
      </c>
      <c r="M72" s="796">
        <f>(AN72*KFC!$B$35+KFC!$C$35)*KFC!$C$5</f>
        <v>181.17866903710711</v>
      </c>
      <c r="N72" s="796">
        <f>(AO72*KFC!$B$35+KFC!$C$35)*KFC!$C$5</f>
        <v>191.52533277787498</v>
      </c>
      <c r="O72" s="796">
        <f>(AP72*KFC!$B$35+KFC!$C$35)*KFC!$C$5</f>
        <v>201.87199651864285</v>
      </c>
      <c r="P72" s="796">
        <f>(AQ72*KFC!$B$35+KFC!$C$35)*KFC!$C$5</f>
        <v>212.21866025941068</v>
      </c>
      <c r="Q72" s="796">
        <f>(AR72*KFC!$B$35+KFC!$C$35)*KFC!$C$5</f>
        <v>222.56532400017855</v>
      </c>
      <c r="R72" s="796">
        <f>(AS72*KFC!$B$35+KFC!$C$35)*KFC!$C$5</f>
        <v>232.91198774094642</v>
      </c>
      <c r="S72" s="796">
        <f>(AT72*KFC!$B$35+KFC!$C$35)*KFC!$C$5</f>
        <v>243.25865148171428</v>
      </c>
      <c r="T72" s="796">
        <f>(AU72*KFC!$B$35+KFC!$C$35)*KFC!$C$5</f>
        <v>253.60531522248212</v>
      </c>
      <c r="U72" s="796">
        <f>(AV72*KFC!$B$35+KFC!$C$35)*KFC!$C$5</f>
        <v>263.95197896324999</v>
      </c>
      <c r="V72" s="796">
        <f>(AW72*KFC!$B$35+KFC!$C$35)*KFC!$C$5</f>
        <v>274.29864270401782</v>
      </c>
      <c r="W72" s="796">
        <f>(AX72*KFC!$B$35+KFC!$C$35)*KFC!$C$5</f>
        <v>284.64530644478572</v>
      </c>
      <c r="X72" s="796">
        <f>(AY72*KFC!$B$35+KFC!$C$35)*KFC!$C$5</f>
        <v>294.99197018555355</v>
      </c>
      <c r="Y72" s="796">
        <f>(AZ72*KFC!$B$35+KFC!$C$35)*KFC!$C$5</f>
        <v>305.33863392632139</v>
      </c>
      <c r="Z72" s="814">
        <f>(BA72*KFC!$B$35+KFC!$C$35)*KFC!$C$5</f>
        <v>315.68529766708929</v>
      </c>
      <c r="AB72" s="1912"/>
      <c r="AC72" s="799">
        <v>2.7</v>
      </c>
      <c r="AD72" s="797">
        <v>77.712031629428537</v>
      </c>
      <c r="AE72" s="797">
        <v>88.058695370196403</v>
      </c>
      <c r="AF72" s="797">
        <v>98.405359110964255</v>
      </c>
      <c r="AG72" s="797">
        <v>108.75202285173212</v>
      </c>
      <c r="AH72" s="797">
        <v>119.09868659249997</v>
      </c>
      <c r="AI72" s="797">
        <v>129.44535033326784</v>
      </c>
      <c r="AJ72" s="797">
        <v>139.79201407403571</v>
      </c>
      <c r="AK72" s="797">
        <v>150.13867781480354</v>
      </c>
      <c r="AL72" s="797">
        <v>160.48534155557141</v>
      </c>
      <c r="AM72" s="797">
        <v>170.83200529633928</v>
      </c>
      <c r="AN72" s="797">
        <v>181.17866903710711</v>
      </c>
      <c r="AO72" s="797">
        <v>191.52533277787498</v>
      </c>
      <c r="AP72" s="797">
        <v>201.87199651864285</v>
      </c>
      <c r="AQ72" s="797">
        <v>212.21866025941068</v>
      </c>
      <c r="AR72" s="797">
        <v>222.56532400017855</v>
      </c>
      <c r="AS72" s="797">
        <v>232.91198774094642</v>
      </c>
      <c r="AT72" s="797">
        <v>243.25865148171428</v>
      </c>
      <c r="AU72" s="797">
        <v>253.60531522248212</v>
      </c>
      <c r="AV72" s="797">
        <v>263.95197896324999</v>
      </c>
      <c r="AW72" s="797">
        <v>274.29864270401782</v>
      </c>
      <c r="AX72" s="797">
        <v>284.64530644478572</v>
      </c>
      <c r="AY72" s="797">
        <v>294.99197018555355</v>
      </c>
      <c r="AZ72" s="797">
        <v>305.33863392632139</v>
      </c>
      <c r="BA72" s="797">
        <v>315.68529766708929</v>
      </c>
    </row>
    <row r="73" spans="1:53">
      <c r="A73" s="1912"/>
      <c r="B73" s="799">
        <v>2.8</v>
      </c>
      <c r="C73" s="796">
        <f>(AD73*KFC!$B$35+KFC!$C$35)*KFC!$C$5</f>
        <v>78.658272249857106</v>
      </c>
      <c r="D73" s="796">
        <f>(AE73*KFC!$B$35+KFC!$C$35)*KFC!$C$5</f>
        <v>89.241511809892828</v>
      </c>
      <c r="E73" s="796">
        <f>(AF73*KFC!$B$35+KFC!$C$35)*KFC!$C$5</f>
        <v>99.824751369928549</v>
      </c>
      <c r="F73" s="796">
        <f>(AG73*KFC!$B$35+KFC!$C$35)*KFC!$C$5</f>
        <v>110.40799092996426</v>
      </c>
      <c r="G73" s="796">
        <f>(AH73*KFC!$B$35+KFC!$C$35)*KFC!$C$5</f>
        <v>120.99123048999998</v>
      </c>
      <c r="H73" s="796">
        <f>(AI73*KFC!$B$35+KFC!$C$35)*KFC!$C$5</f>
        <v>131.5744700500357</v>
      </c>
      <c r="I73" s="796">
        <f>(AJ73*KFC!$B$35+KFC!$C$35)*KFC!$C$5</f>
        <v>142.15770961007141</v>
      </c>
      <c r="J73" s="796">
        <f>(AK73*KFC!$B$35+KFC!$C$35)*KFC!$C$5</f>
        <v>152.74094917010711</v>
      </c>
      <c r="K73" s="796">
        <f>(AL73*KFC!$B$35+KFC!$C$35)*KFC!$C$5</f>
        <v>163.32418873014282</v>
      </c>
      <c r="L73" s="796">
        <f>(AM73*KFC!$B$35+KFC!$C$35)*KFC!$C$5</f>
        <v>173.90742829017856</v>
      </c>
      <c r="M73" s="796">
        <f>(AN73*KFC!$B$35+KFC!$C$35)*KFC!$C$5</f>
        <v>184.49066785021429</v>
      </c>
      <c r="N73" s="796">
        <f>(AO73*KFC!$B$35+KFC!$C$35)*KFC!$C$5</f>
        <v>195.07390741025003</v>
      </c>
      <c r="O73" s="796">
        <f>(AP73*KFC!$B$35+KFC!$C$35)*KFC!$C$5</f>
        <v>205.65714697028577</v>
      </c>
      <c r="P73" s="796">
        <f>(AQ73*KFC!$B$35+KFC!$C$35)*KFC!$C$5</f>
        <v>216.2403865303215</v>
      </c>
      <c r="Q73" s="796">
        <f>(AR73*KFC!$B$35+KFC!$C$35)*KFC!$C$5</f>
        <v>226.82362609035724</v>
      </c>
      <c r="R73" s="796">
        <f>(AS73*KFC!$B$35+KFC!$C$35)*KFC!$C$5</f>
        <v>237.40686565039297</v>
      </c>
      <c r="S73" s="796">
        <f>(AT73*KFC!$B$35+KFC!$C$35)*KFC!$C$5</f>
        <v>247.99010521042871</v>
      </c>
      <c r="T73" s="796">
        <f>(AU73*KFC!$B$35+KFC!$C$35)*KFC!$C$5</f>
        <v>258.57334477046442</v>
      </c>
      <c r="U73" s="796">
        <f>(AV73*KFC!$B$35+KFC!$C$35)*KFC!$C$5</f>
        <v>269.15658433050015</v>
      </c>
      <c r="V73" s="796">
        <f>(AW73*KFC!$B$35+KFC!$C$35)*KFC!$C$5</f>
        <v>279.73982389053589</v>
      </c>
      <c r="W73" s="796">
        <f>(AX73*KFC!$B$35+KFC!$C$35)*KFC!$C$5</f>
        <v>290.32306345057162</v>
      </c>
      <c r="X73" s="796">
        <f>(AY73*KFC!$B$35+KFC!$C$35)*KFC!$C$5</f>
        <v>300.90630301060736</v>
      </c>
      <c r="Y73" s="796">
        <f>(AZ73*KFC!$B$35+KFC!$C$35)*KFC!$C$5</f>
        <v>311.4895425706431</v>
      </c>
      <c r="Z73" s="814">
        <f>(BA73*KFC!$B$35+KFC!$C$35)*KFC!$C$5</f>
        <v>322.07278213067883</v>
      </c>
      <c r="AB73" s="1912"/>
      <c r="AC73" s="799">
        <v>2.8</v>
      </c>
      <c r="AD73" s="797">
        <v>78.658272249857106</v>
      </c>
      <c r="AE73" s="797">
        <v>89.241511809892828</v>
      </c>
      <c r="AF73" s="797">
        <v>99.824751369928549</v>
      </c>
      <c r="AG73" s="797">
        <v>110.40799092996426</v>
      </c>
      <c r="AH73" s="797">
        <v>120.99123048999998</v>
      </c>
      <c r="AI73" s="797">
        <v>131.5744700500357</v>
      </c>
      <c r="AJ73" s="797">
        <v>142.15770961007141</v>
      </c>
      <c r="AK73" s="797">
        <v>152.74094917010711</v>
      </c>
      <c r="AL73" s="797">
        <v>163.32418873014282</v>
      </c>
      <c r="AM73" s="797">
        <v>173.90742829017856</v>
      </c>
      <c r="AN73" s="797">
        <v>184.49066785021429</v>
      </c>
      <c r="AO73" s="797">
        <v>195.07390741025003</v>
      </c>
      <c r="AP73" s="797">
        <v>205.65714697028577</v>
      </c>
      <c r="AQ73" s="797">
        <v>216.2403865303215</v>
      </c>
      <c r="AR73" s="797">
        <v>226.82362609035724</v>
      </c>
      <c r="AS73" s="797">
        <v>237.40686565039297</v>
      </c>
      <c r="AT73" s="797">
        <v>247.99010521042871</v>
      </c>
      <c r="AU73" s="797">
        <v>258.57334477046442</v>
      </c>
      <c r="AV73" s="797">
        <v>269.15658433050015</v>
      </c>
      <c r="AW73" s="797">
        <v>279.73982389053589</v>
      </c>
      <c r="AX73" s="797">
        <v>290.32306345057162</v>
      </c>
      <c r="AY73" s="797">
        <v>300.90630301060736</v>
      </c>
      <c r="AZ73" s="797">
        <v>311.4895425706431</v>
      </c>
      <c r="BA73" s="797">
        <v>322.07278213067883</v>
      </c>
    </row>
    <row r="74" spans="1:53">
      <c r="A74" s="1912"/>
      <c r="B74" s="799">
        <v>2.9</v>
      </c>
      <c r="C74" s="796">
        <f>(AD74*KFC!$B$35+KFC!$C$35)*KFC!$C$5</f>
        <v>79.604512870285674</v>
      </c>
      <c r="D74" s="796">
        <f>(AE74*KFC!$B$35+KFC!$C$35)*KFC!$C$5</f>
        <v>90.424328249589252</v>
      </c>
      <c r="E74" s="796">
        <f>(AF74*KFC!$B$35+KFC!$C$35)*KFC!$C$5</f>
        <v>101.24414362889283</v>
      </c>
      <c r="F74" s="796">
        <f>(AG74*KFC!$B$35+KFC!$C$35)*KFC!$C$5</f>
        <v>112.06395900819641</v>
      </c>
      <c r="G74" s="796">
        <f>(AH74*KFC!$B$35+KFC!$C$35)*KFC!$C$5</f>
        <v>122.88377438749997</v>
      </c>
      <c r="H74" s="796">
        <f>(AI74*KFC!$B$35+KFC!$C$35)*KFC!$C$5</f>
        <v>133.70358976680356</v>
      </c>
      <c r="I74" s="796">
        <f>(AJ74*KFC!$B$35+KFC!$C$35)*KFC!$C$5</f>
        <v>144.52340514610711</v>
      </c>
      <c r="J74" s="796">
        <f>(AK74*KFC!$B$35+KFC!$C$35)*KFC!$C$5</f>
        <v>155.34322052541069</v>
      </c>
      <c r="K74" s="796">
        <f>(AL74*KFC!$B$35+KFC!$C$35)*KFC!$C$5</f>
        <v>166.16303590471426</v>
      </c>
      <c r="L74" s="796">
        <f>(AM74*KFC!$B$35+KFC!$C$35)*KFC!$C$5</f>
        <v>176.98285128401784</v>
      </c>
      <c r="M74" s="796">
        <f>(AN74*KFC!$B$35+KFC!$C$35)*KFC!$C$5</f>
        <v>187.80266666332142</v>
      </c>
      <c r="N74" s="796">
        <f>(AO74*KFC!$B$35+KFC!$C$35)*KFC!$C$5</f>
        <v>198.62248204262497</v>
      </c>
      <c r="O74" s="796">
        <f>(AP74*KFC!$B$35+KFC!$C$35)*KFC!$C$5</f>
        <v>209.44229742192854</v>
      </c>
      <c r="P74" s="796">
        <f>(AQ74*KFC!$B$35+KFC!$C$35)*KFC!$C$5</f>
        <v>220.26211280123212</v>
      </c>
      <c r="Q74" s="796">
        <f>(AR74*KFC!$B$35+KFC!$C$35)*KFC!$C$5</f>
        <v>231.0819281805357</v>
      </c>
      <c r="R74" s="796">
        <f>(AS74*KFC!$B$35+KFC!$C$35)*KFC!$C$5</f>
        <v>241.90174355983928</v>
      </c>
      <c r="S74" s="796">
        <f>(AT74*KFC!$B$35+KFC!$C$35)*KFC!$C$5</f>
        <v>252.72155893914285</v>
      </c>
      <c r="T74" s="796">
        <f>(AU74*KFC!$B$35+KFC!$C$35)*KFC!$C$5</f>
        <v>263.5413743184464</v>
      </c>
      <c r="U74" s="796">
        <f>(AV74*KFC!$B$35+KFC!$C$35)*KFC!$C$5</f>
        <v>274.36118969774998</v>
      </c>
      <c r="V74" s="796">
        <f>(AW74*KFC!$B$35+KFC!$C$35)*KFC!$C$5</f>
        <v>285.18100507705356</v>
      </c>
      <c r="W74" s="796">
        <f>(AX74*KFC!$B$35+KFC!$C$35)*KFC!$C$5</f>
        <v>296.00082045635713</v>
      </c>
      <c r="X74" s="796">
        <f>(AY74*KFC!$B$35+KFC!$C$35)*KFC!$C$5</f>
        <v>306.82063583566071</v>
      </c>
      <c r="Y74" s="796">
        <f>(AZ74*KFC!$B$35+KFC!$C$35)*KFC!$C$5</f>
        <v>317.64045121496429</v>
      </c>
      <c r="Z74" s="814">
        <f>(BA74*KFC!$B$35+KFC!$C$35)*KFC!$C$5</f>
        <v>328.46026659426786</v>
      </c>
      <c r="AB74" s="1912"/>
      <c r="AC74" s="799">
        <v>2.9</v>
      </c>
      <c r="AD74" s="797">
        <v>79.604512870285674</v>
      </c>
      <c r="AE74" s="797">
        <v>90.424328249589252</v>
      </c>
      <c r="AF74" s="797">
        <v>101.24414362889283</v>
      </c>
      <c r="AG74" s="797">
        <v>112.06395900819641</v>
      </c>
      <c r="AH74" s="797">
        <v>122.88377438749997</v>
      </c>
      <c r="AI74" s="797">
        <v>133.70358976680356</v>
      </c>
      <c r="AJ74" s="797">
        <v>144.52340514610711</v>
      </c>
      <c r="AK74" s="797">
        <v>155.34322052541069</v>
      </c>
      <c r="AL74" s="797">
        <v>166.16303590471426</v>
      </c>
      <c r="AM74" s="797">
        <v>176.98285128401784</v>
      </c>
      <c r="AN74" s="797">
        <v>187.80266666332142</v>
      </c>
      <c r="AO74" s="797">
        <v>198.62248204262497</v>
      </c>
      <c r="AP74" s="797">
        <v>209.44229742192854</v>
      </c>
      <c r="AQ74" s="797">
        <v>220.26211280123212</v>
      </c>
      <c r="AR74" s="797">
        <v>231.0819281805357</v>
      </c>
      <c r="AS74" s="797">
        <v>241.90174355983928</v>
      </c>
      <c r="AT74" s="797">
        <v>252.72155893914285</v>
      </c>
      <c r="AU74" s="797">
        <v>263.5413743184464</v>
      </c>
      <c r="AV74" s="797">
        <v>274.36118969774998</v>
      </c>
      <c r="AW74" s="797">
        <v>285.18100507705356</v>
      </c>
      <c r="AX74" s="797">
        <v>296.00082045635713</v>
      </c>
      <c r="AY74" s="797">
        <v>306.82063583566071</v>
      </c>
      <c r="AZ74" s="797">
        <v>317.64045121496429</v>
      </c>
      <c r="BA74" s="797">
        <v>328.46026659426786</v>
      </c>
    </row>
    <row r="75" spans="1:53">
      <c r="A75" s="1912"/>
      <c r="B75" s="799">
        <v>3</v>
      </c>
      <c r="C75" s="796">
        <f>(AD75*KFC!$B$35+KFC!$C$35)*KFC!$C$5</f>
        <v>80.550753490714243</v>
      </c>
      <c r="D75" s="796">
        <f>(AE75*KFC!$B$35+KFC!$C$35)*KFC!$C$5</f>
        <v>91.607144689285661</v>
      </c>
      <c r="E75" s="796">
        <f>(AF75*KFC!$B$35+KFC!$C$35)*KFC!$C$5</f>
        <v>102.66353588785709</v>
      </c>
      <c r="F75" s="796">
        <f>(AG75*KFC!$B$35+KFC!$C$35)*KFC!$C$5</f>
        <v>113.71992708642853</v>
      </c>
      <c r="G75" s="796">
        <f>(AH75*KFC!$B$35+KFC!$C$35)*KFC!$C$5</f>
        <v>124.77631828499996</v>
      </c>
      <c r="H75" s="796">
        <f>(AI75*KFC!$B$35+KFC!$C$35)*KFC!$C$5</f>
        <v>135.83270948357139</v>
      </c>
      <c r="I75" s="796">
        <f>(AJ75*KFC!$B$35+KFC!$C$35)*KFC!$C$5</f>
        <v>146.88910068214281</v>
      </c>
      <c r="J75" s="796">
        <f>(AK75*KFC!$B$35+KFC!$C$35)*KFC!$C$5</f>
        <v>157.94549188071426</v>
      </c>
      <c r="K75" s="796">
        <f>(AL75*KFC!$B$35+KFC!$C$35)*KFC!$C$5</f>
        <v>169.0018830792857</v>
      </c>
      <c r="L75" s="796">
        <f>(AM75*KFC!$B$35+KFC!$C$35)*KFC!$C$5</f>
        <v>180.05827427785715</v>
      </c>
      <c r="M75" s="796">
        <f>(AN75*KFC!$B$35+KFC!$C$35)*KFC!$C$5</f>
        <v>191.1146654764286</v>
      </c>
      <c r="N75" s="796">
        <f>(AO75*KFC!$B$35+KFC!$C$35)*KFC!$C$5</f>
        <v>202.17105667500005</v>
      </c>
      <c r="O75" s="796">
        <f>(AP75*KFC!$B$35+KFC!$C$35)*KFC!$C$5</f>
        <v>213.22744787357149</v>
      </c>
      <c r="P75" s="796">
        <f>(AQ75*KFC!$B$35+KFC!$C$35)*KFC!$C$5</f>
        <v>224.28383907214294</v>
      </c>
      <c r="Q75" s="796">
        <f>(AR75*KFC!$B$35+KFC!$C$35)*KFC!$C$5</f>
        <v>235.34023027071439</v>
      </c>
      <c r="R75" s="796">
        <f>(AS75*KFC!$B$35+KFC!$C$35)*KFC!$C$5</f>
        <v>246.39662146928583</v>
      </c>
      <c r="S75" s="796">
        <f>(AT75*KFC!$B$35+KFC!$C$35)*KFC!$C$5</f>
        <v>257.45301266785725</v>
      </c>
      <c r="T75" s="796">
        <f>(AU75*KFC!$B$35+KFC!$C$35)*KFC!$C$5</f>
        <v>268.50940386642873</v>
      </c>
      <c r="U75" s="796">
        <f>(AV75*KFC!$B$35+KFC!$C$35)*KFC!$C$5</f>
        <v>279.5657950650002</v>
      </c>
      <c r="V75" s="796">
        <f>(AW75*KFC!$B$35+KFC!$C$35)*KFC!$C$5</f>
        <v>290.62218626357162</v>
      </c>
      <c r="W75" s="796">
        <f>(AX75*KFC!$B$35+KFC!$C$35)*KFC!$C$5</f>
        <v>301.6785774621431</v>
      </c>
      <c r="X75" s="796">
        <f>(AY75*KFC!$B$35+KFC!$C$35)*KFC!$C$5</f>
        <v>312.73496866071451</v>
      </c>
      <c r="Y75" s="796">
        <f>(AZ75*KFC!$B$35+KFC!$C$35)*KFC!$C$5</f>
        <v>323.79135985928599</v>
      </c>
      <c r="Z75" s="814">
        <f>(BA75*KFC!$B$35+KFC!$C$35)*KFC!$C$5</f>
        <v>334.84775105785741</v>
      </c>
      <c r="AB75" s="1912"/>
      <c r="AC75" s="799">
        <v>3</v>
      </c>
      <c r="AD75" s="797">
        <v>80.550753490714243</v>
      </c>
      <c r="AE75" s="797">
        <v>91.607144689285661</v>
      </c>
      <c r="AF75" s="797">
        <v>102.66353588785709</v>
      </c>
      <c r="AG75" s="797">
        <v>113.71992708642853</v>
      </c>
      <c r="AH75" s="797">
        <v>124.77631828499996</v>
      </c>
      <c r="AI75" s="797">
        <v>135.83270948357139</v>
      </c>
      <c r="AJ75" s="797">
        <v>146.88910068214281</v>
      </c>
      <c r="AK75" s="797">
        <v>157.94549188071426</v>
      </c>
      <c r="AL75" s="797">
        <v>169.0018830792857</v>
      </c>
      <c r="AM75" s="797">
        <v>180.05827427785715</v>
      </c>
      <c r="AN75" s="797">
        <v>191.1146654764286</v>
      </c>
      <c r="AO75" s="797">
        <v>202.17105667500005</v>
      </c>
      <c r="AP75" s="797">
        <v>213.22744787357149</v>
      </c>
      <c r="AQ75" s="797">
        <v>224.28383907214294</v>
      </c>
      <c r="AR75" s="797">
        <v>235.34023027071439</v>
      </c>
      <c r="AS75" s="797">
        <v>246.39662146928583</v>
      </c>
      <c r="AT75" s="797">
        <v>257.45301266785725</v>
      </c>
      <c r="AU75" s="797">
        <v>268.50940386642873</v>
      </c>
      <c r="AV75" s="797">
        <v>279.5657950650002</v>
      </c>
      <c r="AW75" s="797">
        <v>290.62218626357162</v>
      </c>
      <c r="AX75" s="797">
        <v>301.6785774621431</v>
      </c>
      <c r="AY75" s="797">
        <v>312.73496866071451</v>
      </c>
      <c r="AZ75" s="797">
        <v>323.79135985928599</v>
      </c>
      <c r="BA75" s="797">
        <v>334.84775105785741</v>
      </c>
    </row>
    <row r="76" spans="1:53">
      <c r="A76" s="1912"/>
      <c r="B76" s="799">
        <v>3.1</v>
      </c>
      <c r="C76" s="796">
        <f>(AD76*KFC!$B$35+KFC!$C$35)*KFC!$C$5</f>
        <v>81.496994111142811</v>
      </c>
      <c r="D76" s="796">
        <f>(AE76*KFC!$B$35+KFC!$C$35)*KFC!$C$5</f>
        <v>92.789961128982114</v>
      </c>
      <c r="E76" s="796">
        <f>(AF76*KFC!$B$35+KFC!$C$35)*KFC!$C$5</f>
        <v>104.0829281468214</v>
      </c>
      <c r="F76" s="796">
        <f>(AG76*KFC!$B$35+KFC!$C$35)*KFC!$C$5</f>
        <v>115.37589516466069</v>
      </c>
      <c r="G76" s="796">
        <f>(AH76*KFC!$B$35+KFC!$C$35)*KFC!$C$5</f>
        <v>126.66886218249998</v>
      </c>
      <c r="H76" s="796">
        <f>(AI76*KFC!$B$35+KFC!$C$35)*KFC!$C$5</f>
        <v>137.96182920033925</v>
      </c>
      <c r="I76" s="796">
        <f>(AJ76*KFC!$B$35+KFC!$C$35)*KFC!$C$5</f>
        <v>149.25479621817854</v>
      </c>
      <c r="J76" s="796">
        <f>(AK76*KFC!$B$35+KFC!$C$35)*KFC!$C$5</f>
        <v>160.54776323601783</v>
      </c>
      <c r="K76" s="796">
        <f>(AL76*KFC!$B$35+KFC!$C$35)*KFC!$C$5</f>
        <v>171.84073025385712</v>
      </c>
      <c r="L76" s="796">
        <f>(AM76*KFC!$B$35+KFC!$C$35)*KFC!$C$5</f>
        <v>183.13369727169641</v>
      </c>
      <c r="M76" s="796">
        <f>(AN76*KFC!$B$35+KFC!$C$35)*KFC!$C$5</f>
        <v>194.42666428953569</v>
      </c>
      <c r="N76" s="796">
        <f>(AO76*KFC!$B$35+KFC!$C$35)*KFC!$C$5</f>
        <v>205.71963130737498</v>
      </c>
      <c r="O76" s="796">
        <f>(AP76*KFC!$B$35+KFC!$C$35)*KFC!$C$5</f>
        <v>217.01259832521427</v>
      </c>
      <c r="P76" s="796">
        <f>(AQ76*KFC!$B$35+KFC!$C$35)*KFC!$C$5</f>
        <v>228.30556534305356</v>
      </c>
      <c r="Q76" s="796">
        <f>(AR76*KFC!$B$35+KFC!$C$35)*KFC!$C$5</f>
        <v>239.59853236089285</v>
      </c>
      <c r="R76" s="796">
        <f>(AS76*KFC!$B$35+KFC!$C$35)*KFC!$C$5</f>
        <v>250.89149937873214</v>
      </c>
      <c r="S76" s="796">
        <f>(AT76*KFC!$B$35+KFC!$C$35)*KFC!$C$5</f>
        <v>262.18446639657139</v>
      </c>
      <c r="T76" s="796">
        <f>(AU76*KFC!$B$35+KFC!$C$35)*KFC!$C$5</f>
        <v>273.47743341441071</v>
      </c>
      <c r="U76" s="796">
        <f>(AV76*KFC!$B$35+KFC!$C$35)*KFC!$C$5</f>
        <v>284.77040043224997</v>
      </c>
      <c r="V76" s="796">
        <f>(AW76*KFC!$B$35+KFC!$C$35)*KFC!$C$5</f>
        <v>296.06336745008929</v>
      </c>
      <c r="W76" s="796">
        <f>(AX76*KFC!$B$35+KFC!$C$35)*KFC!$C$5</f>
        <v>307.35633446792855</v>
      </c>
      <c r="X76" s="796">
        <f>(AY76*KFC!$B$35+KFC!$C$35)*KFC!$C$5</f>
        <v>318.64930148576786</v>
      </c>
      <c r="Y76" s="796">
        <f>(AZ76*KFC!$B$35+KFC!$C$35)*KFC!$C$5</f>
        <v>329.94226850360712</v>
      </c>
      <c r="Z76" s="814">
        <f>(BA76*KFC!$B$35+KFC!$C$35)*KFC!$C$5</f>
        <v>341.23523552144638</v>
      </c>
      <c r="AB76" s="1912"/>
      <c r="AC76" s="799">
        <v>3.1</v>
      </c>
      <c r="AD76" s="797">
        <v>81.496994111142811</v>
      </c>
      <c r="AE76" s="797">
        <v>92.789961128982114</v>
      </c>
      <c r="AF76" s="797">
        <v>104.0829281468214</v>
      </c>
      <c r="AG76" s="797">
        <v>115.37589516466069</v>
      </c>
      <c r="AH76" s="797">
        <v>126.66886218249998</v>
      </c>
      <c r="AI76" s="797">
        <v>137.96182920033925</v>
      </c>
      <c r="AJ76" s="797">
        <v>149.25479621817854</v>
      </c>
      <c r="AK76" s="797">
        <v>160.54776323601783</v>
      </c>
      <c r="AL76" s="797">
        <v>171.84073025385712</v>
      </c>
      <c r="AM76" s="797">
        <v>183.13369727169641</v>
      </c>
      <c r="AN76" s="797">
        <v>194.42666428953569</v>
      </c>
      <c r="AO76" s="797">
        <v>205.71963130737498</v>
      </c>
      <c r="AP76" s="797">
        <v>217.01259832521427</v>
      </c>
      <c r="AQ76" s="797">
        <v>228.30556534305356</v>
      </c>
      <c r="AR76" s="797">
        <v>239.59853236089285</v>
      </c>
      <c r="AS76" s="797">
        <v>250.89149937873214</v>
      </c>
      <c r="AT76" s="797">
        <v>262.18446639657139</v>
      </c>
      <c r="AU76" s="797">
        <v>273.47743341441071</v>
      </c>
      <c r="AV76" s="797">
        <v>284.77040043224997</v>
      </c>
      <c r="AW76" s="797">
        <v>296.06336745008929</v>
      </c>
      <c r="AX76" s="797">
        <v>307.35633446792855</v>
      </c>
      <c r="AY76" s="797">
        <v>318.64930148576786</v>
      </c>
      <c r="AZ76" s="797">
        <v>329.94226850360712</v>
      </c>
      <c r="BA76" s="797">
        <v>341.23523552144638</v>
      </c>
    </row>
    <row r="77" spans="1:53">
      <c r="A77" s="1912"/>
      <c r="B77" s="799">
        <v>3.2</v>
      </c>
      <c r="C77" s="796">
        <f>(AD77*KFC!$B$35+KFC!$C$35)*KFC!$C$5</f>
        <v>82.44323473157138</v>
      </c>
      <c r="D77" s="796">
        <f>(AE77*KFC!$B$35+KFC!$C$35)*KFC!$C$5</f>
        <v>93.972777568678524</v>
      </c>
      <c r="E77" s="796">
        <f>(AF77*KFC!$B$35+KFC!$C$35)*KFC!$C$5</f>
        <v>105.50232040578567</v>
      </c>
      <c r="F77" s="796">
        <f>(AG77*KFC!$B$35+KFC!$C$35)*KFC!$C$5</f>
        <v>117.03186324289281</v>
      </c>
      <c r="G77" s="796">
        <f>(AH77*KFC!$B$35+KFC!$C$35)*KFC!$C$5</f>
        <v>128.56140607999995</v>
      </c>
      <c r="H77" s="796">
        <f>(AI77*KFC!$B$35+KFC!$C$35)*KFC!$C$5</f>
        <v>140.09094891710708</v>
      </c>
      <c r="I77" s="796">
        <f>(AJ77*KFC!$B$35+KFC!$C$35)*KFC!$C$5</f>
        <v>151.62049175421424</v>
      </c>
      <c r="J77" s="796">
        <f>(AK77*KFC!$B$35+KFC!$C$35)*KFC!$C$5</f>
        <v>163.15003459132137</v>
      </c>
      <c r="K77" s="796">
        <f>(AL77*KFC!$B$35+KFC!$C$35)*KFC!$C$5</f>
        <v>174.67957742842856</v>
      </c>
      <c r="L77" s="796">
        <f>(AM77*KFC!$B$35+KFC!$C$35)*KFC!$C$5</f>
        <v>186.20912026553566</v>
      </c>
      <c r="M77" s="796">
        <f>(AN77*KFC!$B$35+KFC!$C$35)*KFC!$C$5</f>
        <v>197.73866310264279</v>
      </c>
      <c r="N77" s="796">
        <f>(AO77*KFC!$B$35+KFC!$C$35)*KFC!$C$5</f>
        <v>209.26820593974992</v>
      </c>
      <c r="O77" s="796">
        <f>(AP77*KFC!$B$35+KFC!$C$35)*KFC!$C$5</f>
        <v>220.79774877685705</v>
      </c>
      <c r="P77" s="796">
        <f>(AQ77*KFC!$B$35+KFC!$C$35)*KFC!$C$5</f>
        <v>232.32729161396418</v>
      </c>
      <c r="Q77" s="796">
        <f>(AR77*KFC!$B$35+KFC!$C$35)*KFC!$C$5</f>
        <v>243.85683445107131</v>
      </c>
      <c r="R77" s="796">
        <f>(AS77*KFC!$B$35+KFC!$C$35)*KFC!$C$5</f>
        <v>255.38637728817844</v>
      </c>
      <c r="S77" s="796">
        <f>(AT77*KFC!$B$35+KFC!$C$35)*KFC!$C$5</f>
        <v>266.91592012528554</v>
      </c>
      <c r="T77" s="796">
        <f>(AU77*KFC!$B$35+KFC!$C$35)*KFC!$C$5</f>
        <v>278.4454629623927</v>
      </c>
      <c r="U77" s="796">
        <f>(AV77*KFC!$B$35+KFC!$C$35)*KFC!$C$5</f>
        <v>289.9750057994998</v>
      </c>
      <c r="V77" s="796">
        <f>(AW77*KFC!$B$35+KFC!$C$35)*KFC!$C$5</f>
        <v>301.5045486366069</v>
      </c>
      <c r="W77" s="796">
        <f>(AX77*KFC!$B$35+KFC!$C$35)*KFC!$C$5</f>
        <v>313.03409147371406</v>
      </c>
      <c r="X77" s="796">
        <f>(AY77*KFC!$B$35+KFC!$C$35)*KFC!$C$5</f>
        <v>324.56363431082116</v>
      </c>
      <c r="Y77" s="796">
        <f>(AZ77*KFC!$B$35+KFC!$C$35)*KFC!$C$5</f>
        <v>336.09317714792832</v>
      </c>
      <c r="Z77" s="814">
        <f>(BA77*KFC!$B$35+KFC!$C$35)*KFC!$C$5</f>
        <v>347.62271998503542</v>
      </c>
      <c r="AB77" s="1912"/>
      <c r="AC77" s="799">
        <v>3.2</v>
      </c>
      <c r="AD77" s="797">
        <v>82.44323473157138</v>
      </c>
      <c r="AE77" s="797">
        <v>93.972777568678524</v>
      </c>
      <c r="AF77" s="797">
        <v>105.50232040578567</v>
      </c>
      <c r="AG77" s="797">
        <v>117.03186324289281</v>
      </c>
      <c r="AH77" s="797">
        <v>128.56140607999995</v>
      </c>
      <c r="AI77" s="797">
        <v>140.09094891710708</v>
      </c>
      <c r="AJ77" s="797">
        <v>151.62049175421424</v>
      </c>
      <c r="AK77" s="797">
        <v>163.15003459132137</v>
      </c>
      <c r="AL77" s="797">
        <v>174.67957742842856</v>
      </c>
      <c r="AM77" s="797">
        <v>186.20912026553566</v>
      </c>
      <c r="AN77" s="797">
        <v>197.73866310264279</v>
      </c>
      <c r="AO77" s="797">
        <v>209.26820593974992</v>
      </c>
      <c r="AP77" s="797">
        <v>220.79774877685705</v>
      </c>
      <c r="AQ77" s="797">
        <v>232.32729161396418</v>
      </c>
      <c r="AR77" s="797">
        <v>243.85683445107131</v>
      </c>
      <c r="AS77" s="797">
        <v>255.38637728817844</v>
      </c>
      <c r="AT77" s="797">
        <v>266.91592012528554</v>
      </c>
      <c r="AU77" s="797">
        <v>278.4454629623927</v>
      </c>
      <c r="AV77" s="797">
        <v>289.9750057994998</v>
      </c>
      <c r="AW77" s="797">
        <v>301.5045486366069</v>
      </c>
      <c r="AX77" s="797">
        <v>313.03409147371406</v>
      </c>
      <c r="AY77" s="797">
        <v>324.56363431082116</v>
      </c>
      <c r="AZ77" s="797">
        <v>336.09317714792832</v>
      </c>
      <c r="BA77" s="797">
        <v>347.62271998503542</v>
      </c>
    </row>
    <row r="78" spans="1:53">
      <c r="A78" s="1912"/>
      <c r="B78" s="799">
        <v>3.3</v>
      </c>
      <c r="C78" s="796">
        <f>(AD78*KFC!$B$35+KFC!$C$35)*KFC!$C$5</f>
        <v>83.389475351999963</v>
      </c>
      <c r="D78" s="796">
        <f>(AE78*KFC!$B$35+KFC!$C$35)*KFC!$C$5</f>
        <v>95.155594008374962</v>
      </c>
      <c r="E78" s="796">
        <f>(AF78*KFC!$B$35+KFC!$C$35)*KFC!$C$5</f>
        <v>106.92171266474996</v>
      </c>
      <c r="F78" s="796">
        <f>(AG78*KFC!$B$35+KFC!$C$35)*KFC!$C$5</f>
        <v>118.68783132112497</v>
      </c>
      <c r="G78" s="796">
        <f>(AH78*KFC!$B$35+KFC!$C$35)*KFC!$C$5</f>
        <v>130.45394997749997</v>
      </c>
      <c r="H78" s="796">
        <f>(AI78*KFC!$B$35+KFC!$C$35)*KFC!$C$5</f>
        <v>142.22006863387497</v>
      </c>
      <c r="I78" s="796">
        <f>(AJ78*KFC!$B$35+KFC!$C$35)*KFC!$C$5</f>
        <v>153.98618729024997</v>
      </c>
      <c r="J78" s="796">
        <f>(AK78*KFC!$B$35+KFC!$C$35)*KFC!$C$5</f>
        <v>165.75230594662497</v>
      </c>
      <c r="K78" s="796">
        <f>(AL78*KFC!$B$35+KFC!$C$35)*KFC!$C$5</f>
        <v>177.51842460299997</v>
      </c>
      <c r="L78" s="796">
        <f>(AM78*KFC!$B$35+KFC!$C$35)*KFC!$C$5</f>
        <v>189.28454325937497</v>
      </c>
      <c r="M78" s="796">
        <f>(AN78*KFC!$B$35+KFC!$C$35)*KFC!$C$5</f>
        <v>201.05066191574997</v>
      </c>
      <c r="N78" s="796">
        <f>(AO78*KFC!$B$35+KFC!$C$35)*KFC!$C$5</f>
        <v>212.81678057212497</v>
      </c>
      <c r="O78" s="796">
        <f>(AP78*KFC!$B$35+KFC!$C$35)*KFC!$C$5</f>
        <v>224.58289922849997</v>
      </c>
      <c r="P78" s="796">
        <f>(AQ78*KFC!$B$35+KFC!$C$35)*KFC!$C$5</f>
        <v>236.349017884875</v>
      </c>
      <c r="Q78" s="796">
        <f>(AR78*KFC!$B$35+KFC!$C$35)*KFC!$C$5</f>
        <v>248.11513654125</v>
      </c>
      <c r="R78" s="796">
        <f>(AS78*KFC!$B$35+KFC!$C$35)*KFC!$C$5</f>
        <v>259.88125519762497</v>
      </c>
      <c r="S78" s="796">
        <f>(AT78*KFC!$B$35+KFC!$C$35)*KFC!$C$5</f>
        <v>271.64737385399997</v>
      </c>
      <c r="T78" s="796">
        <f>(AU78*KFC!$B$35+KFC!$C$35)*KFC!$C$5</f>
        <v>283.41349251037497</v>
      </c>
      <c r="U78" s="796">
        <f>(AV78*KFC!$B$35+KFC!$C$35)*KFC!$C$5</f>
        <v>295.17961116674996</v>
      </c>
      <c r="V78" s="796">
        <f>(AW78*KFC!$B$35+KFC!$C$35)*KFC!$C$5</f>
        <v>306.94572982312496</v>
      </c>
      <c r="W78" s="796">
        <f>(AX78*KFC!$B$35+KFC!$C$35)*KFC!$C$5</f>
        <v>318.71184847949996</v>
      </c>
      <c r="X78" s="796">
        <f>(AY78*KFC!$B$35+KFC!$C$35)*KFC!$C$5</f>
        <v>330.47796713587502</v>
      </c>
      <c r="Y78" s="796">
        <f>(AZ78*KFC!$B$35+KFC!$C$35)*KFC!$C$5</f>
        <v>342.24408579225002</v>
      </c>
      <c r="Z78" s="814">
        <f>(BA78*KFC!$B$35+KFC!$C$35)*KFC!$C$5</f>
        <v>354.01020444862502</v>
      </c>
      <c r="AB78" s="1912"/>
      <c r="AC78" s="799">
        <v>3.3</v>
      </c>
      <c r="AD78" s="797">
        <v>83.389475351999963</v>
      </c>
      <c r="AE78" s="797">
        <v>95.155594008374962</v>
      </c>
      <c r="AF78" s="797">
        <v>106.92171266474996</v>
      </c>
      <c r="AG78" s="797">
        <v>118.68783132112497</v>
      </c>
      <c r="AH78" s="797">
        <v>130.45394997749997</v>
      </c>
      <c r="AI78" s="797">
        <v>142.22006863387497</v>
      </c>
      <c r="AJ78" s="797">
        <v>153.98618729024997</v>
      </c>
      <c r="AK78" s="797">
        <v>165.75230594662497</v>
      </c>
      <c r="AL78" s="797">
        <v>177.51842460299997</v>
      </c>
      <c r="AM78" s="797">
        <v>189.28454325937497</v>
      </c>
      <c r="AN78" s="797">
        <v>201.05066191574997</v>
      </c>
      <c r="AO78" s="797">
        <v>212.81678057212497</v>
      </c>
      <c r="AP78" s="797">
        <v>224.58289922849997</v>
      </c>
      <c r="AQ78" s="797">
        <v>236.349017884875</v>
      </c>
      <c r="AR78" s="797">
        <v>248.11513654125</v>
      </c>
      <c r="AS78" s="797">
        <v>259.88125519762497</v>
      </c>
      <c r="AT78" s="797">
        <v>271.64737385399997</v>
      </c>
      <c r="AU78" s="797">
        <v>283.41349251037497</v>
      </c>
      <c r="AV78" s="797">
        <v>295.17961116674996</v>
      </c>
      <c r="AW78" s="797">
        <v>306.94572982312496</v>
      </c>
      <c r="AX78" s="797">
        <v>318.71184847949996</v>
      </c>
      <c r="AY78" s="797">
        <v>330.47796713587502</v>
      </c>
      <c r="AZ78" s="797">
        <v>342.24408579225002</v>
      </c>
      <c r="BA78" s="797">
        <v>354.01020444862502</v>
      </c>
    </row>
    <row r="79" spans="1:53">
      <c r="A79" s="1912"/>
      <c r="B79" s="799">
        <v>3.4</v>
      </c>
      <c r="C79" s="796">
        <f>(AD79*KFC!$B$35+KFC!$C$35)*KFC!$C$5</f>
        <v>84.335715972428531</v>
      </c>
      <c r="D79" s="796">
        <f>(AE79*KFC!$B$35+KFC!$C$35)*KFC!$C$5</f>
        <v>96.3384104480714</v>
      </c>
      <c r="E79" s="796">
        <f>(AF79*KFC!$B$35+KFC!$C$35)*KFC!$C$5</f>
        <v>108.34110492371425</v>
      </c>
      <c r="F79" s="796">
        <f>(AG79*KFC!$B$35+KFC!$C$35)*KFC!$C$5</f>
        <v>120.34379939935711</v>
      </c>
      <c r="G79" s="796">
        <f>(AH79*KFC!$B$35+KFC!$C$35)*KFC!$C$5</f>
        <v>132.34649387499996</v>
      </c>
      <c r="H79" s="796">
        <f>(AI79*KFC!$B$35+KFC!$C$35)*KFC!$C$5</f>
        <v>144.34918835064283</v>
      </c>
      <c r="I79" s="796">
        <f>(AJ79*KFC!$B$35+KFC!$C$35)*KFC!$C$5</f>
        <v>156.35188282628567</v>
      </c>
      <c r="J79" s="796">
        <f>(AK79*KFC!$B$35+KFC!$C$35)*KFC!$C$5</f>
        <v>168.35457730192854</v>
      </c>
      <c r="K79" s="796">
        <f>(AL79*KFC!$B$35+KFC!$C$35)*KFC!$C$5</f>
        <v>180.35727177757141</v>
      </c>
      <c r="L79" s="796">
        <f>(AM79*KFC!$B$35+KFC!$C$35)*KFC!$C$5</f>
        <v>192.35996625321428</v>
      </c>
      <c r="M79" s="796">
        <f>(AN79*KFC!$B$35+KFC!$C$35)*KFC!$C$5</f>
        <v>204.36266072885715</v>
      </c>
      <c r="N79" s="796">
        <f>(AO79*KFC!$B$35+KFC!$C$35)*KFC!$C$5</f>
        <v>216.36535520450005</v>
      </c>
      <c r="O79" s="796">
        <f>(AP79*KFC!$B$35+KFC!$C$35)*KFC!$C$5</f>
        <v>228.36804968014292</v>
      </c>
      <c r="P79" s="796">
        <f>(AQ79*KFC!$B$35+KFC!$C$35)*KFC!$C$5</f>
        <v>240.37074415578579</v>
      </c>
      <c r="Q79" s="796">
        <f>(AR79*KFC!$B$35+KFC!$C$35)*KFC!$C$5</f>
        <v>252.37343863142866</v>
      </c>
      <c r="R79" s="796">
        <f>(AS79*KFC!$B$35+KFC!$C$35)*KFC!$C$5</f>
        <v>264.37613310707155</v>
      </c>
      <c r="S79" s="796">
        <f>(AT79*KFC!$B$35+KFC!$C$35)*KFC!$C$5</f>
        <v>276.37882758271445</v>
      </c>
      <c r="T79" s="796">
        <f>(AU79*KFC!$B$35+KFC!$C$35)*KFC!$C$5</f>
        <v>288.38152205835729</v>
      </c>
      <c r="U79" s="796">
        <f>(AV79*KFC!$B$35+KFC!$C$35)*KFC!$C$5</f>
        <v>300.38421653400019</v>
      </c>
      <c r="V79" s="796">
        <f>(AW79*KFC!$B$35+KFC!$C$35)*KFC!$C$5</f>
        <v>312.38691100964303</v>
      </c>
      <c r="W79" s="796">
        <f>(AX79*KFC!$B$35+KFC!$C$35)*KFC!$C$5</f>
        <v>324.38960548528593</v>
      </c>
      <c r="X79" s="796">
        <f>(AY79*KFC!$B$35+KFC!$C$35)*KFC!$C$5</f>
        <v>336.39229996092882</v>
      </c>
      <c r="Y79" s="796">
        <f>(AZ79*KFC!$B$35+KFC!$C$35)*KFC!$C$5</f>
        <v>348.39499443657166</v>
      </c>
      <c r="Z79" s="814">
        <f>(BA79*KFC!$B$35+KFC!$C$35)*KFC!$C$5</f>
        <v>360.39768891221456</v>
      </c>
      <c r="AB79" s="1912"/>
      <c r="AC79" s="799">
        <v>3.4</v>
      </c>
      <c r="AD79" s="797">
        <v>84.335715972428531</v>
      </c>
      <c r="AE79" s="797">
        <v>96.3384104480714</v>
      </c>
      <c r="AF79" s="797">
        <v>108.34110492371425</v>
      </c>
      <c r="AG79" s="797">
        <v>120.34379939935711</v>
      </c>
      <c r="AH79" s="797">
        <v>132.34649387499996</v>
      </c>
      <c r="AI79" s="797">
        <v>144.34918835064283</v>
      </c>
      <c r="AJ79" s="797">
        <v>156.35188282628567</v>
      </c>
      <c r="AK79" s="797">
        <v>168.35457730192854</v>
      </c>
      <c r="AL79" s="797">
        <v>180.35727177757141</v>
      </c>
      <c r="AM79" s="797">
        <v>192.35996625321428</v>
      </c>
      <c r="AN79" s="797">
        <v>204.36266072885715</v>
      </c>
      <c r="AO79" s="797">
        <v>216.36535520450005</v>
      </c>
      <c r="AP79" s="797">
        <v>228.36804968014292</v>
      </c>
      <c r="AQ79" s="797">
        <v>240.37074415578579</v>
      </c>
      <c r="AR79" s="797">
        <v>252.37343863142866</v>
      </c>
      <c r="AS79" s="797">
        <v>264.37613310707155</v>
      </c>
      <c r="AT79" s="797">
        <v>276.37882758271445</v>
      </c>
      <c r="AU79" s="797">
        <v>288.38152205835729</v>
      </c>
      <c r="AV79" s="797">
        <v>300.38421653400019</v>
      </c>
      <c r="AW79" s="797">
        <v>312.38691100964303</v>
      </c>
      <c r="AX79" s="797">
        <v>324.38960548528593</v>
      </c>
      <c r="AY79" s="797">
        <v>336.39229996092882</v>
      </c>
      <c r="AZ79" s="797">
        <v>348.39499443657166</v>
      </c>
      <c r="BA79" s="797">
        <v>360.39768891221456</v>
      </c>
    </row>
    <row r="80" spans="1:53">
      <c r="A80" s="1912"/>
      <c r="B80" s="799">
        <v>3.5</v>
      </c>
      <c r="C80" s="796">
        <f>(AD80*KFC!$B$35+KFC!$C$35)*KFC!$C$5</f>
        <v>85.2819565928571</v>
      </c>
      <c r="D80" s="796">
        <f>(AE80*KFC!$B$35+KFC!$C$35)*KFC!$C$5</f>
        <v>97.521226887767824</v>
      </c>
      <c r="E80" s="796">
        <f>(AF80*KFC!$B$35+KFC!$C$35)*KFC!$C$5</f>
        <v>109.76049718267853</v>
      </c>
      <c r="F80" s="796">
        <f>(AG80*KFC!$B$35+KFC!$C$35)*KFC!$C$5</f>
        <v>121.99976747758926</v>
      </c>
      <c r="G80" s="796">
        <f>(AH80*KFC!$B$35+KFC!$C$35)*KFC!$C$5</f>
        <v>134.23903777249996</v>
      </c>
      <c r="H80" s="796">
        <f>(AI80*KFC!$B$35+KFC!$C$35)*KFC!$C$5</f>
        <v>146.47830806741069</v>
      </c>
      <c r="I80" s="796">
        <f>(AJ80*KFC!$B$35+KFC!$C$35)*KFC!$C$5</f>
        <v>158.7175783623214</v>
      </c>
      <c r="J80" s="796">
        <f>(AK80*KFC!$B$35+KFC!$C$35)*KFC!$C$5</f>
        <v>170.95684865723211</v>
      </c>
      <c r="K80" s="796">
        <f>(AL80*KFC!$B$35+KFC!$C$35)*KFC!$C$5</f>
        <v>183.19611895214283</v>
      </c>
      <c r="L80" s="796">
        <f>(AM80*KFC!$B$35+KFC!$C$35)*KFC!$C$5</f>
        <v>195.43538924705354</v>
      </c>
      <c r="M80" s="796">
        <f>(AN80*KFC!$B$35+KFC!$C$35)*KFC!$C$5</f>
        <v>207.67465954196427</v>
      </c>
      <c r="N80" s="796">
        <f>(AO80*KFC!$B$35+KFC!$C$35)*KFC!$C$5</f>
        <v>219.91392983687498</v>
      </c>
      <c r="O80" s="796">
        <f>(AP80*KFC!$B$35+KFC!$C$35)*KFC!$C$5</f>
        <v>232.1532001317857</v>
      </c>
      <c r="P80" s="796">
        <f>(AQ80*KFC!$B$35+KFC!$C$35)*KFC!$C$5</f>
        <v>244.39247042669641</v>
      </c>
      <c r="Q80" s="796">
        <f>(AR80*KFC!$B$35+KFC!$C$35)*KFC!$C$5</f>
        <v>256.63174072160712</v>
      </c>
      <c r="R80" s="796">
        <f>(AS80*KFC!$B$35+KFC!$C$35)*KFC!$C$5</f>
        <v>268.87101101651785</v>
      </c>
      <c r="S80" s="796">
        <f>(AT80*KFC!$B$35+KFC!$C$35)*KFC!$C$5</f>
        <v>281.11028131142854</v>
      </c>
      <c r="T80" s="796">
        <f>(AU80*KFC!$B$35+KFC!$C$35)*KFC!$C$5</f>
        <v>293.34955160633928</v>
      </c>
      <c r="U80" s="796">
        <f>(AV80*KFC!$B$35+KFC!$C$35)*KFC!$C$5</f>
        <v>305.58882190125001</v>
      </c>
      <c r="V80" s="796">
        <f>(AW80*KFC!$B$35+KFC!$C$35)*KFC!$C$5</f>
        <v>317.8280921961607</v>
      </c>
      <c r="W80" s="796">
        <f>(AX80*KFC!$B$35+KFC!$C$35)*KFC!$C$5</f>
        <v>330.06736249107144</v>
      </c>
      <c r="X80" s="796">
        <f>(AY80*KFC!$B$35+KFC!$C$35)*KFC!$C$5</f>
        <v>342.30663278598212</v>
      </c>
      <c r="Y80" s="796">
        <f>(AZ80*KFC!$B$35+KFC!$C$35)*KFC!$C$5</f>
        <v>354.5459030808928</v>
      </c>
      <c r="Z80" s="814">
        <f>(BA80*KFC!$B$35+KFC!$C$35)*KFC!$C$5</f>
        <v>366.78517337580348</v>
      </c>
      <c r="AB80" s="1912"/>
      <c r="AC80" s="799">
        <v>3.5</v>
      </c>
      <c r="AD80" s="797">
        <v>85.2819565928571</v>
      </c>
      <c r="AE80" s="797">
        <v>97.521226887767824</v>
      </c>
      <c r="AF80" s="797">
        <v>109.76049718267853</v>
      </c>
      <c r="AG80" s="797">
        <v>121.99976747758926</v>
      </c>
      <c r="AH80" s="797">
        <v>134.23903777249996</v>
      </c>
      <c r="AI80" s="797">
        <v>146.47830806741069</v>
      </c>
      <c r="AJ80" s="797">
        <v>158.7175783623214</v>
      </c>
      <c r="AK80" s="797">
        <v>170.95684865723211</v>
      </c>
      <c r="AL80" s="797">
        <v>183.19611895214283</v>
      </c>
      <c r="AM80" s="797">
        <v>195.43538924705354</v>
      </c>
      <c r="AN80" s="797">
        <v>207.67465954196427</v>
      </c>
      <c r="AO80" s="797">
        <v>219.91392983687498</v>
      </c>
      <c r="AP80" s="797">
        <v>232.1532001317857</v>
      </c>
      <c r="AQ80" s="797">
        <v>244.39247042669641</v>
      </c>
      <c r="AR80" s="797">
        <v>256.63174072160712</v>
      </c>
      <c r="AS80" s="797">
        <v>268.87101101651785</v>
      </c>
      <c r="AT80" s="797">
        <v>281.11028131142854</v>
      </c>
      <c r="AU80" s="797">
        <v>293.34955160633928</v>
      </c>
      <c r="AV80" s="797">
        <v>305.58882190125001</v>
      </c>
      <c r="AW80" s="797">
        <v>317.8280921961607</v>
      </c>
      <c r="AX80" s="797">
        <v>330.06736249107144</v>
      </c>
      <c r="AY80" s="797">
        <v>342.30663278598212</v>
      </c>
      <c r="AZ80" s="797">
        <v>354.5459030808928</v>
      </c>
      <c r="BA80" s="797">
        <v>366.78517337580348</v>
      </c>
    </row>
    <row r="81" spans="1:53">
      <c r="A81" s="1912"/>
      <c r="B81" s="799">
        <v>3.6</v>
      </c>
      <c r="C81" s="796">
        <f>(AD81*KFC!$B$35+KFC!$C$35)*KFC!$C$5</f>
        <v>86.228197213285668</v>
      </c>
      <c r="D81" s="796">
        <f>(AE81*KFC!$B$35+KFC!$C$35)*KFC!$C$5</f>
        <v>98.704043327464248</v>
      </c>
      <c r="E81" s="796">
        <f>(AF81*KFC!$B$35+KFC!$C$35)*KFC!$C$5</f>
        <v>111.17988944164283</v>
      </c>
      <c r="F81" s="796">
        <f>(AG81*KFC!$B$35+KFC!$C$35)*KFC!$C$5</f>
        <v>123.65573555582139</v>
      </c>
      <c r="G81" s="796">
        <f>(AH81*KFC!$B$35+KFC!$C$35)*KFC!$C$5</f>
        <v>136.13158166999997</v>
      </c>
      <c r="H81" s="796">
        <f>(AI81*KFC!$B$35+KFC!$C$35)*KFC!$C$5</f>
        <v>148.60742778417855</v>
      </c>
      <c r="I81" s="796">
        <f>(AJ81*KFC!$B$35+KFC!$C$35)*KFC!$C$5</f>
        <v>161.08327389835711</v>
      </c>
      <c r="J81" s="796">
        <f>(AK81*KFC!$B$35+KFC!$C$35)*KFC!$C$5</f>
        <v>173.55912001253571</v>
      </c>
      <c r="K81" s="796">
        <f>(AL81*KFC!$B$35+KFC!$C$35)*KFC!$C$5</f>
        <v>186.03496612671427</v>
      </c>
      <c r="L81" s="796">
        <f>(AM81*KFC!$B$35+KFC!$C$35)*KFC!$C$5</f>
        <v>198.51081224089282</v>
      </c>
      <c r="M81" s="796">
        <f>(AN81*KFC!$B$35+KFC!$C$35)*KFC!$C$5</f>
        <v>210.98665835507137</v>
      </c>
      <c r="N81" s="796">
        <f>(AO81*KFC!$B$35+KFC!$C$35)*KFC!$C$5</f>
        <v>223.46250446924992</v>
      </c>
      <c r="O81" s="796">
        <f>(AP81*KFC!$B$35+KFC!$C$35)*KFC!$C$5</f>
        <v>235.93835058342847</v>
      </c>
      <c r="P81" s="796">
        <f>(AQ81*KFC!$B$35+KFC!$C$35)*KFC!$C$5</f>
        <v>248.41419669760703</v>
      </c>
      <c r="Q81" s="796">
        <f>(AR81*KFC!$B$35+KFC!$C$35)*KFC!$C$5</f>
        <v>260.89004281178558</v>
      </c>
      <c r="R81" s="796">
        <f>(AS81*KFC!$B$35+KFC!$C$35)*KFC!$C$5</f>
        <v>273.36588892596416</v>
      </c>
      <c r="S81" s="796">
        <f>(AT81*KFC!$B$35+KFC!$C$35)*KFC!$C$5</f>
        <v>285.84173504014268</v>
      </c>
      <c r="T81" s="796">
        <f>(AU81*KFC!$B$35+KFC!$C$35)*KFC!$C$5</f>
        <v>298.31758115432126</v>
      </c>
      <c r="U81" s="796">
        <f>(AV81*KFC!$B$35+KFC!$C$35)*KFC!$C$5</f>
        <v>310.79342726849978</v>
      </c>
      <c r="V81" s="796">
        <f>(AW81*KFC!$B$35+KFC!$C$35)*KFC!$C$5</f>
        <v>323.26927338267836</v>
      </c>
      <c r="W81" s="796">
        <f>(AX81*KFC!$B$35+KFC!$C$35)*KFC!$C$5</f>
        <v>335.74511949685689</v>
      </c>
      <c r="X81" s="796">
        <f>(AY81*KFC!$B$35+KFC!$C$35)*KFC!$C$5</f>
        <v>348.22096561103547</v>
      </c>
      <c r="Y81" s="796">
        <f>(AZ81*KFC!$B$35+KFC!$C$35)*KFC!$C$5</f>
        <v>360.69681172521405</v>
      </c>
      <c r="Z81" s="814">
        <f>(BA81*KFC!$B$35+KFC!$C$35)*KFC!$C$5</f>
        <v>373.17265783939257</v>
      </c>
      <c r="AB81" s="1912"/>
      <c r="AC81" s="799">
        <v>3.6</v>
      </c>
      <c r="AD81" s="797">
        <v>86.228197213285668</v>
      </c>
      <c r="AE81" s="797">
        <v>98.704043327464248</v>
      </c>
      <c r="AF81" s="797">
        <v>111.17988944164283</v>
      </c>
      <c r="AG81" s="797">
        <v>123.65573555582139</v>
      </c>
      <c r="AH81" s="797">
        <v>136.13158166999997</v>
      </c>
      <c r="AI81" s="797">
        <v>148.60742778417855</v>
      </c>
      <c r="AJ81" s="797">
        <v>161.08327389835711</v>
      </c>
      <c r="AK81" s="797">
        <v>173.55912001253571</v>
      </c>
      <c r="AL81" s="797">
        <v>186.03496612671427</v>
      </c>
      <c r="AM81" s="797">
        <v>198.51081224089282</v>
      </c>
      <c r="AN81" s="797">
        <v>210.98665835507137</v>
      </c>
      <c r="AO81" s="797">
        <v>223.46250446924992</v>
      </c>
      <c r="AP81" s="797">
        <v>235.93835058342847</v>
      </c>
      <c r="AQ81" s="797">
        <v>248.41419669760703</v>
      </c>
      <c r="AR81" s="797">
        <v>260.89004281178558</v>
      </c>
      <c r="AS81" s="797">
        <v>273.36588892596416</v>
      </c>
      <c r="AT81" s="797">
        <v>285.84173504014268</v>
      </c>
      <c r="AU81" s="797">
        <v>298.31758115432126</v>
      </c>
      <c r="AV81" s="797">
        <v>310.79342726849978</v>
      </c>
      <c r="AW81" s="797">
        <v>323.26927338267836</v>
      </c>
      <c r="AX81" s="797">
        <v>335.74511949685689</v>
      </c>
      <c r="AY81" s="797">
        <v>348.22096561103547</v>
      </c>
      <c r="AZ81" s="797">
        <v>360.69681172521405</v>
      </c>
      <c r="BA81" s="797">
        <v>373.17265783939257</v>
      </c>
    </row>
    <row r="82" spans="1:53">
      <c r="A82" s="1912"/>
      <c r="B82" s="799">
        <v>3.7</v>
      </c>
      <c r="C82" s="796">
        <f>(AD82*KFC!$B$35+KFC!$C$35)*KFC!$C$5</f>
        <v>87.174437833714251</v>
      </c>
      <c r="D82" s="796">
        <f>(AE82*KFC!$B$35+KFC!$C$35)*KFC!$C$5</f>
        <v>99.886859767160672</v>
      </c>
      <c r="E82" s="796">
        <f>(AF82*KFC!$B$35+KFC!$C$35)*KFC!$C$5</f>
        <v>112.59928170060711</v>
      </c>
      <c r="F82" s="796">
        <f>(AG82*KFC!$B$35+KFC!$C$35)*KFC!$C$5</f>
        <v>125.31170363405353</v>
      </c>
      <c r="G82" s="796">
        <f>(AH82*KFC!$B$35+KFC!$C$35)*KFC!$C$5</f>
        <v>138.02412556749996</v>
      </c>
      <c r="H82" s="796">
        <f>(AI82*KFC!$B$35+KFC!$C$35)*KFC!$C$5</f>
        <v>150.73654750094639</v>
      </c>
      <c r="I82" s="796">
        <f>(AJ82*KFC!$B$35+KFC!$C$35)*KFC!$C$5</f>
        <v>163.44896943439284</v>
      </c>
      <c r="J82" s="796">
        <f>(AK82*KFC!$B$35+KFC!$C$35)*KFC!$C$5</f>
        <v>176.16139136783926</v>
      </c>
      <c r="K82" s="796">
        <f>(AL82*KFC!$B$35+KFC!$C$35)*KFC!$C$5</f>
        <v>188.87381330128568</v>
      </c>
      <c r="L82" s="796">
        <f>(AM82*KFC!$B$35+KFC!$C$35)*KFC!$C$5</f>
        <v>201.58623523473213</v>
      </c>
      <c r="M82" s="796">
        <f>(AN82*KFC!$B$35+KFC!$C$35)*KFC!$C$5</f>
        <v>214.29865716817855</v>
      </c>
      <c r="N82" s="796">
        <f>(AO82*KFC!$B$35+KFC!$C$35)*KFC!$C$5</f>
        <v>227.01107910162497</v>
      </c>
      <c r="O82" s="796">
        <f>(AP82*KFC!$B$35+KFC!$C$35)*KFC!$C$5</f>
        <v>239.72350103507142</v>
      </c>
      <c r="P82" s="796">
        <f>(AQ82*KFC!$B$35+KFC!$C$35)*KFC!$C$5</f>
        <v>252.43592296851784</v>
      </c>
      <c r="Q82" s="796">
        <f>(AR82*KFC!$B$35+KFC!$C$35)*KFC!$C$5</f>
        <v>265.14834490196426</v>
      </c>
      <c r="R82" s="796">
        <f>(AS82*KFC!$B$35+KFC!$C$35)*KFC!$C$5</f>
        <v>277.86076683541069</v>
      </c>
      <c r="S82" s="796">
        <f>(AT82*KFC!$B$35+KFC!$C$35)*KFC!$C$5</f>
        <v>290.57318876885711</v>
      </c>
      <c r="T82" s="796">
        <f>(AU82*KFC!$B$35+KFC!$C$35)*KFC!$C$5</f>
        <v>303.28561070230359</v>
      </c>
      <c r="U82" s="796">
        <f>(AV82*KFC!$B$35+KFC!$C$35)*KFC!$C$5</f>
        <v>315.99803263575001</v>
      </c>
      <c r="V82" s="796">
        <f>(AW82*KFC!$B$35+KFC!$C$35)*KFC!$C$5</f>
        <v>328.71045456919643</v>
      </c>
      <c r="W82" s="796">
        <f>(AX82*KFC!$B$35+KFC!$C$35)*KFC!$C$5</f>
        <v>341.42287650264285</v>
      </c>
      <c r="X82" s="796">
        <f>(AY82*KFC!$B$35+KFC!$C$35)*KFC!$C$5</f>
        <v>354.13529843608927</v>
      </c>
      <c r="Y82" s="796">
        <f>(AZ82*KFC!$B$35+KFC!$C$35)*KFC!$C$5</f>
        <v>366.84772036953569</v>
      </c>
      <c r="Z82" s="814">
        <f>(BA82*KFC!$B$35+KFC!$C$35)*KFC!$C$5</f>
        <v>379.56014230298217</v>
      </c>
      <c r="AB82" s="1912"/>
      <c r="AC82" s="799">
        <v>3.7</v>
      </c>
      <c r="AD82" s="797">
        <v>87.174437833714251</v>
      </c>
      <c r="AE82" s="797">
        <v>99.886859767160672</v>
      </c>
      <c r="AF82" s="797">
        <v>112.59928170060711</v>
      </c>
      <c r="AG82" s="797">
        <v>125.31170363405353</v>
      </c>
      <c r="AH82" s="797">
        <v>138.02412556749996</v>
      </c>
      <c r="AI82" s="797">
        <v>150.73654750094639</v>
      </c>
      <c r="AJ82" s="797">
        <v>163.44896943439284</v>
      </c>
      <c r="AK82" s="797">
        <v>176.16139136783926</v>
      </c>
      <c r="AL82" s="797">
        <v>188.87381330128568</v>
      </c>
      <c r="AM82" s="797">
        <v>201.58623523473213</v>
      </c>
      <c r="AN82" s="797">
        <v>214.29865716817855</v>
      </c>
      <c r="AO82" s="797">
        <v>227.01107910162497</v>
      </c>
      <c r="AP82" s="797">
        <v>239.72350103507142</v>
      </c>
      <c r="AQ82" s="797">
        <v>252.43592296851784</v>
      </c>
      <c r="AR82" s="797">
        <v>265.14834490196426</v>
      </c>
      <c r="AS82" s="797">
        <v>277.86076683541069</v>
      </c>
      <c r="AT82" s="797">
        <v>290.57318876885711</v>
      </c>
      <c r="AU82" s="797">
        <v>303.28561070230359</v>
      </c>
      <c r="AV82" s="797">
        <v>315.99803263575001</v>
      </c>
      <c r="AW82" s="797">
        <v>328.71045456919643</v>
      </c>
      <c r="AX82" s="797">
        <v>341.42287650264285</v>
      </c>
      <c r="AY82" s="797">
        <v>354.13529843608927</v>
      </c>
      <c r="AZ82" s="797">
        <v>366.84772036953569</v>
      </c>
      <c r="BA82" s="797">
        <v>379.56014230298217</v>
      </c>
    </row>
    <row r="83" spans="1:53">
      <c r="A83" s="1912"/>
      <c r="B83" s="799">
        <v>3.8</v>
      </c>
      <c r="C83" s="796">
        <f>(AD83*KFC!$B$35+KFC!$C$35)*KFC!$C$5</f>
        <v>88.120678454142819</v>
      </c>
      <c r="D83" s="796">
        <f>(AE83*KFC!$B$35+KFC!$C$35)*KFC!$C$5</f>
        <v>101.0696762068571</v>
      </c>
      <c r="E83" s="796">
        <f>(AF83*KFC!$B$35+KFC!$C$35)*KFC!$C$5</f>
        <v>114.01867395957139</v>
      </c>
      <c r="F83" s="796">
        <f>(AG83*KFC!$B$35+KFC!$C$35)*KFC!$C$5</f>
        <v>126.96767171228568</v>
      </c>
      <c r="G83" s="796">
        <f>(AH83*KFC!$B$35+KFC!$C$35)*KFC!$C$5</f>
        <v>139.91666946499996</v>
      </c>
      <c r="H83" s="796">
        <f>(AI83*KFC!$B$35+KFC!$C$35)*KFC!$C$5</f>
        <v>152.86566721771425</v>
      </c>
      <c r="I83" s="796">
        <f>(AJ83*KFC!$B$35+KFC!$C$35)*KFC!$C$5</f>
        <v>165.81466497042854</v>
      </c>
      <c r="J83" s="796">
        <f>(AK83*KFC!$B$35+KFC!$C$35)*KFC!$C$5</f>
        <v>178.7636627231428</v>
      </c>
      <c r="K83" s="796">
        <f>(AL83*KFC!$B$35+KFC!$C$35)*KFC!$C$5</f>
        <v>191.71266047585712</v>
      </c>
      <c r="L83" s="796">
        <f>(AM83*KFC!$B$35+KFC!$C$35)*KFC!$C$5</f>
        <v>204.66165822857141</v>
      </c>
      <c r="M83" s="796">
        <f>(AN83*KFC!$B$35+KFC!$C$35)*KFC!$C$5</f>
        <v>217.61065598128573</v>
      </c>
      <c r="N83" s="796">
        <f>(AO83*KFC!$B$35+KFC!$C$35)*KFC!$C$5</f>
        <v>230.55965373400002</v>
      </c>
      <c r="O83" s="796">
        <f>(AP83*KFC!$B$35+KFC!$C$35)*KFC!$C$5</f>
        <v>243.50865148671434</v>
      </c>
      <c r="P83" s="796">
        <f>(AQ83*KFC!$B$35+KFC!$C$35)*KFC!$C$5</f>
        <v>256.45764923942863</v>
      </c>
      <c r="Q83" s="796">
        <f>(AR83*KFC!$B$35+KFC!$C$35)*KFC!$C$5</f>
        <v>269.40664699214295</v>
      </c>
      <c r="R83" s="796">
        <f>(AS83*KFC!$B$35+KFC!$C$35)*KFC!$C$5</f>
        <v>282.35564474485727</v>
      </c>
      <c r="S83" s="796">
        <f>(AT83*KFC!$B$35+KFC!$C$35)*KFC!$C$5</f>
        <v>295.30464249757159</v>
      </c>
      <c r="T83" s="796">
        <f>(AU83*KFC!$B$35+KFC!$C$35)*KFC!$C$5</f>
        <v>308.25364025028586</v>
      </c>
      <c r="U83" s="796">
        <f>(AV83*KFC!$B$35+KFC!$C$35)*KFC!$C$5</f>
        <v>321.20263800300017</v>
      </c>
      <c r="V83" s="796">
        <f>(AW83*KFC!$B$35+KFC!$C$35)*KFC!$C$5</f>
        <v>334.15163575571449</v>
      </c>
      <c r="W83" s="796">
        <f>(AX83*KFC!$B$35+KFC!$C$35)*KFC!$C$5</f>
        <v>347.10063350842881</v>
      </c>
      <c r="X83" s="796">
        <f>(AY83*KFC!$B$35+KFC!$C$35)*KFC!$C$5</f>
        <v>360.04963126114308</v>
      </c>
      <c r="Y83" s="796">
        <f>(AZ83*KFC!$B$35+KFC!$C$35)*KFC!$C$5</f>
        <v>372.9986290138574</v>
      </c>
      <c r="Z83" s="814">
        <f>(BA83*KFC!$B$35+KFC!$C$35)*KFC!$C$5</f>
        <v>385.94762676657172</v>
      </c>
      <c r="AB83" s="1912"/>
      <c r="AC83" s="799">
        <v>3.8</v>
      </c>
      <c r="AD83" s="797">
        <v>88.120678454142819</v>
      </c>
      <c r="AE83" s="797">
        <v>101.0696762068571</v>
      </c>
      <c r="AF83" s="797">
        <v>114.01867395957139</v>
      </c>
      <c r="AG83" s="797">
        <v>126.96767171228568</v>
      </c>
      <c r="AH83" s="797">
        <v>139.91666946499996</v>
      </c>
      <c r="AI83" s="797">
        <v>152.86566721771425</v>
      </c>
      <c r="AJ83" s="797">
        <v>165.81466497042854</v>
      </c>
      <c r="AK83" s="797">
        <v>178.7636627231428</v>
      </c>
      <c r="AL83" s="797">
        <v>191.71266047585712</v>
      </c>
      <c r="AM83" s="797">
        <v>204.66165822857141</v>
      </c>
      <c r="AN83" s="797">
        <v>217.61065598128573</v>
      </c>
      <c r="AO83" s="797">
        <v>230.55965373400002</v>
      </c>
      <c r="AP83" s="797">
        <v>243.50865148671434</v>
      </c>
      <c r="AQ83" s="797">
        <v>256.45764923942863</v>
      </c>
      <c r="AR83" s="797">
        <v>269.40664699214295</v>
      </c>
      <c r="AS83" s="797">
        <v>282.35564474485727</v>
      </c>
      <c r="AT83" s="797">
        <v>295.30464249757159</v>
      </c>
      <c r="AU83" s="797">
        <v>308.25364025028586</v>
      </c>
      <c r="AV83" s="797">
        <v>321.20263800300017</v>
      </c>
      <c r="AW83" s="797">
        <v>334.15163575571449</v>
      </c>
      <c r="AX83" s="797">
        <v>347.10063350842881</v>
      </c>
      <c r="AY83" s="797">
        <v>360.04963126114308</v>
      </c>
      <c r="AZ83" s="797">
        <v>372.9986290138574</v>
      </c>
      <c r="BA83" s="797">
        <v>385.94762676657172</v>
      </c>
    </row>
    <row r="84" spans="1:53">
      <c r="A84" s="1912"/>
      <c r="B84" s="799">
        <v>3.9</v>
      </c>
      <c r="C84" s="796">
        <f>(AD84*KFC!$B$35+KFC!$C$35)*KFC!$C$5</f>
        <v>89.066919074571388</v>
      </c>
      <c r="D84" s="796">
        <f>(AE84*KFC!$B$35+KFC!$C$35)*KFC!$C$5</f>
        <v>102.25249264655353</v>
      </c>
      <c r="E84" s="796">
        <f>(AF84*KFC!$B$35+KFC!$C$35)*KFC!$C$5</f>
        <v>115.43806621853568</v>
      </c>
      <c r="F84" s="796">
        <f>(AG84*KFC!$B$35+KFC!$C$35)*KFC!$C$5</f>
        <v>128.62363979051781</v>
      </c>
      <c r="G84" s="796">
        <f>(AH84*KFC!$B$35+KFC!$C$35)*KFC!$C$5</f>
        <v>141.80921336249997</v>
      </c>
      <c r="H84" s="796">
        <f>(AI84*KFC!$B$35+KFC!$C$35)*KFC!$C$5</f>
        <v>154.99478693448211</v>
      </c>
      <c r="I84" s="796">
        <f>(AJ84*KFC!$B$35+KFC!$C$35)*KFC!$C$5</f>
        <v>168.18036050646427</v>
      </c>
      <c r="J84" s="796">
        <f>(AK84*KFC!$B$35+KFC!$C$35)*KFC!$C$5</f>
        <v>181.3659340784464</v>
      </c>
      <c r="K84" s="796">
        <f>(AL84*KFC!$B$35+KFC!$C$35)*KFC!$C$5</f>
        <v>194.55150765042853</v>
      </c>
      <c r="L84" s="796">
        <f>(AM84*KFC!$B$35+KFC!$C$35)*KFC!$C$5</f>
        <v>207.73708122241069</v>
      </c>
      <c r="M84" s="796">
        <f>(AN84*KFC!$B$35+KFC!$C$35)*KFC!$C$5</f>
        <v>220.92265479439283</v>
      </c>
      <c r="N84" s="796">
        <f>(AO84*KFC!$B$35+KFC!$C$35)*KFC!$C$5</f>
        <v>234.10822836637499</v>
      </c>
      <c r="O84" s="796">
        <f>(AP84*KFC!$B$35+KFC!$C$35)*KFC!$C$5</f>
        <v>247.29380193835712</v>
      </c>
      <c r="P84" s="796">
        <f>(AQ84*KFC!$B$35+KFC!$C$35)*KFC!$C$5</f>
        <v>260.47937551033925</v>
      </c>
      <c r="Q84" s="796">
        <f>(AR84*KFC!$B$35+KFC!$C$35)*KFC!$C$5</f>
        <v>273.66494908232141</v>
      </c>
      <c r="R84" s="796">
        <f>(AS84*KFC!$B$35+KFC!$C$35)*KFC!$C$5</f>
        <v>286.85052265430357</v>
      </c>
      <c r="S84" s="796">
        <f>(AT84*KFC!$B$35+KFC!$C$35)*KFC!$C$5</f>
        <v>300.03609622628568</v>
      </c>
      <c r="T84" s="796">
        <f>(AU84*KFC!$B$35+KFC!$C$35)*KFC!$C$5</f>
        <v>313.22166979826784</v>
      </c>
      <c r="U84" s="796">
        <f>(AV84*KFC!$B$35+KFC!$C$35)*KFC!$C$5</f>
        <v>326.40724337025</v>
      </c>
      <c r="V84" s="796">
        <f>(AW84*KFC!$B$35+KFC!$C$35)*KFC!$C$5</f>
        <v>339.5928169422321</v>
      </c>
      <c r="W84" s="796">
        <f>(AX84*KFC!$B$35+KFC!$C$35)*KFC!$C$5</f>
        <v>352.77839051421427</v>
      </c>
      <c r="X84" s="796">
        <f>(AY84*KFC!$B$35+KFC!$C$35)*KFC!$C$5</f>
        <v>365.96396408619648</v>
      </c>
      <c r="Y84" s="796">
        <f>(AZ84*KFC!$B$35+KFC!$C$35)*KFC!$C$5</f>
        <v>379.14953765817864</v>
      </c>
      <c r="Z84" s="814">
        <f>(BA84*KFC!$B$35+KFC!$C$35)*KFC!$C$5</f>
        <v>392.33511123016081</v>
      </c>
      <c r="AB84" s="1912"/>
      <c r="AC84" s="799">
        <v>3.9</v>
      </c>
      <c r="AD84" s="797">
        <v>89.066919074571388</v>
      </c>
      <c r="AE84" s="797">
        <v>102.25249264655353</v>
      </c>
      <c r="AF84" s="797">
        <v>115.43806621853568</v>
      </c>
      <c r="AG84" s="797">
        <v>128.62363979051781</v>
      </c>
      <c r="AH84" s="797">
        <v>141.80921336249997</v>
      </c>
      <c r="AI84" s="797">
        <v>154.99478693448211</v>
      </c>
      <c r="AJ84" s="797">
        <v>168.18036050646427</v>
      </c>
      <c r="AK84" s="797">
        <v>181.3659340784464</v>
      </c>
      <c r="AL84" s="797">
        <v>194.55150765042853</v>
      </c>
      <c r="AM84" s="797">
        <v>207.73708122241069</v>
      </c>
      <c r="AN84" s="797">
        <v>220.92265479439283</v>
      </c>
      <c r="AO84" s="797">
        <v>234.10822836637499</v>
      </c>
      <c r="AP84" s="797">
        <v>247.29380193835712</v>
      </c>
      <c r="AQ84" s="797">
        <v>260.47937551033925</v>
      </c>
      <c r="AR84" s="797">
        <v>273.66494908232141</v>
      </c>
      <c r="AS84" s="797">
        <v>286.85052265430357</v>
      </c>
      <c r="AT84" s="797">
        <v>300.03609622628568</v>
      </c>
      <c r="AU84" s="797">
        <v>313.22166979826784</v>
      </c>
      <c r="AV84" s="797">
        <v>326.40724337025</v>
      </c>
      <c r="AW84" s="797">
        <v>339.5928169422321</v>
      </c>
      <c r="AX84" s="797">
        <v>352.77839051421427</v>
      </c>
      <c r="AY84" s="797">
        <v>365.96396408619648</v>
      </c>
      <c r="AZ84" s="797">
        <v>379.14953765817864</v>
      </c>
      <c r="BA84" s="797">
        <v>392.33511123016081</v>
      </c>
    </row>
    <row r="85" spans="1:53" ht="13.8" thickBot="1">
      <c r="A85" s="1913"/>
      <c r="B85" s="800">
        <v>4</v>
      </c>
      <c r="C85" s="801">
        <f>(AD85*KFC!$B$35+KFC!$C$35)*KFC!$C$5</f>
        <v>90.013159694999999</v>
      </c>
      <c r="D85" s="801">
        <f>(AE85*KFC!$B$35+KFC!$C$35)*KFC!$C$5</f>
        <v>103.43530908624999</v>
      </c>
      <c r="E85" s="801">
        <f>(AF85*KFC!$B$35+KFC!$C$35)*KFC!$C$5</f>
        <v>116.85745847749999</v>
      </c>
      <c r="F85" s="801">
        <f>(AG85*KFC!$B$35+KFC!$C$35)*KFC!$C$5</f>
        <v>130.27960786874999</v>
      </c>
      <c r="G85" s="801">
        <f>(AH85*KFC!$B$35+KFC!$C$35)*KFC!$C$5</f>
        <v>143.70175725999999</v>
      </c>
      <c r="H85" s="801">
        <f>(AI85*KFC!$B$35+KFC!$C$35)*KFC!$C$5</f>
        <v>157.12390665125</v>
      </c>
      <c r="I85" s="801">
        <f>(AJ85*KFC!$B$35+KFC!$C$35)*KFC!$C$5</f>
        <v>170.5460560425</v>
      </c>
      <c r="J85" s="801">
        <f>(AK85*KFC!$B$35+KFC!$C$35)*KFC!$C$5</f>
        <v>183.96820543375</v>
      </c>
      <c r="K85" s="801">
        <f>(AL85*KFC!$B$35+KFC!$C$35)*KFC!$C$5</f>
        <v>197.39035482499997</v>
      </c>
      <c r="L85" s="801">
        <f>(AM85*KFC!$B$35+KFC!$C$35)*KFC!$C$5</f>
        <v>210.81250421624995</v>
      </c>
      <c r="M85" s="801">
        <f>(AN85*KFC!$B$35+KFC!$C$35)*KFC!$C$5</f>
        <v>224.23465360749995</v>
      </c>
      <c r="N85" s="801">
        <f>(AO85*KFC!$B$35+KFC!$C$35)*KFC!$C$5</f>
        <v>237.65680299874992</v>
      </c>
      <c r="O85" s="801">
        <f>(AP85*KFC!$B$35+KFC!$C$35)*KFC!$C$5</f>
        <v>251.0789523899999</v>
      </c>
      <c r="P85" s="801">
        <f>(AQ85*KFC!$B$35+KFC!$C$35)*KFC!$C$5</f>
        <v>264.50110178124987</v>
      </c>
      <c r="Q85" s="801">
        <f>(AR85*KFC!$B$35+KFC!$C$35)*KFC!$C$5</f>
        <v>277.92325117249987</v>
      </c>
      <c r="R85" s="801">
        <f>(AS85*KFC!$B$35+KFC!$C$35)*KFC!$C$5</f>
        <v>291.34540056374988</v>
      </c>
      <c r="S85" s="801">
        <f>(AT85*KFC!$B$35+KFC!$C$35)*KFC!$C$5</f>
        <v>304.76754995499982</v>
      </c>
      <c r="T85" s="801">
        <f>(AU85*KFC!$B$35+KFC!$C$35)*KFC!$C$5</f>
        <v>318.18969934624982</v>
      </c>
      <c r="U85" s="801">
        <f>(AV85*KFC!$B$35+KFC!$C$35)*KFC!$C$5</f>
        <v>331.61184873749983</v>
      </c>
      <c r="V85" s="801">
        <f>(AW85*KFC!$B$35+KFC!$C$35)*KFC!$C$5</f>
        <v>345.03399812874977</v>
      </c>
      <c r="W85" s="801">
        <f>(AX85*KFC!$B$35+KFC!$C$35)*KFC!$C$5</f>
        <v>358.45614751999977</v>
      </c>
      <c r="X85" s="801">
        <f>(AY85*KFC!$B$35+KFC!$C$35)*KFC!$C$5</f>
        <v>371.87829691124978</v>
      </c>
      <c r="Y85" s="801">
        <f>(AZ85*KFC!$B$35+KFC!$C$35)*KFC!$C$5</f>
        <v>385.30044630249972</v>
      </c>
      <c r="Z85" s="815">
        <f>(BA85*KFC!$B$35+KFC!$C$35)*KFC!$C$5</f>
        <v>398.72259569374972</v>
      </c>
      <c r="AB85" s="1913"/>
      <c r="AC85" s="800">
        <v>4</v>
      </c>
      <c r="AD85" s="797">
        <v>90.013159694999999</v>
      </c>
      <c r="AE85" s="797">
        <v>103.43530908624999</v>
      </c>
      <c r="AF85" s="797">
        <v>116.85745847749999</v>
      </c>
      <c r="AG85" s="797">
        <v>130.27960786874999</v>
      </c>
      <c r="AH85" s="797">
        <v>143.70175725999999</v>
      </c>
      <c r="AI85" s="797">
        <v>157.12390665125</v>
      </c>
      <c r="AJ85" s="797">
        <v>170.5460560425</v>
      </c>
      <c r="AK85" s="797">
        <v>183.96820543375</v>
      </c>
      <c r="AL85" s="797">
        <v>197.39035482499997</v>
      </c>
      <c r="AM85" s="797">
        <v>210.81250421624995</v>
      </c>
      <c r="AN85" s="797">
        <v>224.23465360749995</v>
      </c>
      <c r="AO85" s="797">
        <v>237.65680299874992</v>
      </c>
      <c r="AP85" s="797">
        <v>251.0789523899999</v>
      </c>
      <c r="AQ85" s="797">
        <v>264.50110178124987</v>
      </c>
      <c r="AR85" s="797">
        <v>277.92325117249987</v>
      </c>
      <c r="AS85" s="797">
        <v>291.34540056374988</v>
      </c>
      <c r="AT85" s="797">
        <v>304.76754995499982</v>
      </c>
      <c r="AU85" s="797">
        <v>318.18969934624982</v>
      </c>
      <c r="AV85" s="797">
        <v>331.61184873749983</v>
      </c>
      <c r="AW85" s="797">
        <v>345.03399812874977</v>
      </c>
      <c r="AX85" s="797">
        <v>358.45614751999977</v>
      </c>
      <c r="AY85" s="797">
        <v>371.87829691124978</v>
      </c>
      <c r="AZ85" s="797">
        <v>385.30044630249972</v>
      </c>
      <c r="BA85" s="797">
        <v>398.72259569374972</v>
      </c>
    </row>
    <row r="86" spans="1:53" ht="13.8" thickBot="1">
      <c r="A86" s="183"/>
      <c r="B86" s="807"/>
      <c r="C86" s="807"/>
      <c r="D86" s="807"/>
      <c r="E86" s="807"/>
      <c r="F86" s="807"/>
      <c r="G86" s="807"/>
      <c r="H86" s="807"/>
      <c r="I86" s="807"/>
      <c r="J86" s="807"/>
      <c r="K86" s="807"/>
      <c r="L86" s="807"/>
      <c r="M86" s="807"/>
      <c r="N86" s="807"/>
      <c r="O86" s="807"/>
      <c r="P86" s="807"/>
      <c r="Q86" s="807"/>
      <c r="R86" s="807"/>
      <c r="S86" s="807"/>
      <c r="T86" s="807"/>
      <c r="U86" s="807"/>
      <c r="V86" s="807"/>
      <c r="W86" s="807"/>
      <c r="X86" s="807"/>
      <c r="Y86" s="807"/>
      <c r="Z86" s="69"/>
      <c r="AB86" s="183"/>
      <c r="AC86" s="807"/>
      <c r="AD86" s="807"/>
      <c r="AE86" s="807"/>
      <c r="AF86" s="807"/>
      <c r="AG86" s="807"/>
      <c r="AH86" s="807"/>
      <c r="AI86" s="807"/>
      <c r="AJ86" s="807"/>
      <c r="AK86" s="807"/>
      <c r="AL86" s="807"/>
      <c r="AM86" s="807"/>
      <c r="AN86" s="807"/>
      <c r="AO86" s="807"/>
      <c r="AP86" s="807"/>
      <c r="AQ86" s="807"/>
      <c r="AR86" s="807"/>
      <c r="AS86" s="807"/>
      <c r="AT86" s="807"/>
      <c r="AU86" s="807"/>
      <c r="AV86" s="807"/>
      <c r="AW86" s="807"/>
      <c r="AX86" s="807"/>
      <c r="AY86" s="807"/>
      <c r="AZ86" s="807"/>
      <c r="BA86" s="69"/>
    </row>
    <row r="87" spans="1:53" ht="13.8" thickBot="1">
      <c r="A87" s="1413" t="s">
        <v>318</v>
      </c>
      <c r="B87" s="1414"/>
      <c r="C87" s="1940" t="s">
        <v>207</v>
      </c>
      <c r="D87" s="1941"/>
      <c r="E87" s="1941"/>
      <c r="F87" s="1941"/>
      <c r="G87" s="1941"/>
      <c r="H87" s="1941"/>
      <c r="I87" s="1941"/>
      <c r="J87" s="1941"/>
      <c r="K87" s="1941"/>
      <c r="L87" s="1941"/>
      <c r="M87" s="1941"/>
      <c r="N87" s="1941"/>
      <c r="O87" s="1941"/>
      <c r="P87" s="1941"/>
      <c r="Q87" s="1941"/>
      <c r="R87" s="1941"/>
      <c r="S87" s="1941"/>
      <c r="T87" s="1941"/>
      <c r="U87" s="1941"/>
      <c r="V87" s="1941"/>
      <c r="W87" s="1941"/>
      <c r="X87" s="1941"/>
      <c r="Y87" s="1941"/>
      <c r="Z87" s="1943"/>
      <c r="AB87" s="1413" t="s">
        <v>318</v>
      </c>
      <c r="AC87" s="1414"/>
      <c r="AD87" s="1940" t="s">
        <v>207</v>
      </c>
      <c r="AE87" s="1941"/>
      <c r="AF87" s="1941"/>
      <c r="AG87" s="1941"/>
      <c r="AH87" s="1941"/>
      <c r="AI87" s="1941"/>
      <c r="AJ87" s="1941"/>
      <c r="AK87" s="1941"/>
      <c r="AL87" s="1941"/>
      <c r="AM87" s="1941"/>
      <c r="AN87" s="1941"/>
      <c r="AO87" s="1941"/>
      <c r="AP87" s="1941"/>
      <c r="AQ87" s="1941"/>
      <c r="AR87" s="1941"/>
      <c r="AS87" s="1941"/>
      <c r="AT87" s="1941"/>
      <c r="AU87" s="1941"/>
      <c r="AV87" s="1941"/>
      <c r="AW87" s="1941"/>
      <c r="AX87" s="1941"/>
      <c r="AY87" s="1941"/>
      <c r="AZ87" s="1941"/>
      <c r="BA87" s="1942"/>
    </row>
    <row r="88" spans="1:53" ht="13.8" thickBot="1">
      <c r="A88" s="1803"/>
      <c r="B88" s="1910"/>
      <c r="C88" s="804">
        <v>0.4</v>
      </c>
      <c r="D88" s="805">
        <v>0.5</v>
      </c>
      <c r="E88" s="805">
        <v>0.6</v>
      </c>
      <c r="F88" s="805">
        <v>0.7</v>
      </c>
      <c r="G88" s="805">
        <v>0.8</v>
      </c>
      <c r="H88" s="805">
        <v>0.9</v>
      </c>
      <c r="I88" s="805">
        <v>1</v>
      </c>
      <c r="J88" s="805">
        <v>1.1000000000000001</v>
      </c>
      <c r="K88" s="805">
        <v>1.2</v>
      </c>
      <c r="L88" s="805">
        <v>1.3</v>
      </c>
      <c r="M88" s="805">
        <v>1.4</v>
      </c>
      <c r="N88" s="805">
        <v>1.5</v>
      </c>
      <c r="O88" s="805">
        <v>1.6</v>
      </c>
      <c r="P88" s="805">
        <v>1.7</v>
      </c>
      <c r="Q88" s="805">
        <v>1.8</v>
      </c>
      <c r="R88" s="805">
        <v>1.9</v>
      </c>
      <c r="S88" s="805">
        <v>2</v>
      </c>
      <c r="T88" s="805">
        <v>2.1</v>
      </c>
      <c r="U88" s="805">
        <v>2.2000000000000002</v>
      </c>
      <c r="V88" s="805">
        <v>2.2999999999999998</v>
      </c>
      <c r="W88" s="805">
        <v>2.4</v>
      </c>
      <c r="X88" s="805">
        <v>2.5</v>
      </c>
      <c r="Y88" s="805">
        <v>2.6</v>
      </c>
      <c r="Z88" s="816">
        <v>2.65</v>
      </c>
      <c r="AB88" s="1803"/>
      <c r="AC88" s="1910"/>
      <c r="AD88" s="804">
        <v>0.4</v>
      </c>
      <c r="AE88" s="805">
        <v>0.5</v>
      </c>
      <c r="AF88" s="805">
        <v>0.6</v>
      </c>
      <c r="AG88" s="805">
        <v>0.7</v>
      </c>
      <c r="AH88" s="805">
        <v>0.8</v>
      </c>
      <c r="AI88" s="805">
        <v>0.9</v>
      </c>
      <c r="AJ88" s="805">
        <v>1</v>
      </c>
      <c r="AK88" s="805">
        <v>1.1000000000000001</v>
      </c>
      <c r="AL88" s="805">
        <v>1.2</v>
      </c>
      <c r="AM88" s="805">
        <v>1.3</v>
      </c>
      <c r="AN88" s="805">
        <v>1.4</v>
      </c>
      <c r="AO88" s="805">
        <v>1.5</v>
      </c>
      <c r="AP88" s="805">
        <v>1.6</v>
      </c>
      <c r="AQ88" s="805">
        <v>1.7</v>
      </c>
      <c r="AR88" s="805">
        <v>1.8</v>
      </c>
      <c r="AS88" s="805">
        <v>1.9</v>
      </c>
      <c r="AT88" s="805">
        <v>2</v>
      </c>
      <c r="AU88" s="805">
        <v>2.1</v>
      </c>
      <c r="AV88" s="805">
        <v>2.2000000000000002</v>
      </c>
      <c r="AW88" s="805">
        <v>2.2999999999999998</v>
      </c>
      <c r="AX88" s="805">
        <v>2.4</v>
      </c>
      <c r="AY88" s="805">
        <v>2.5</v>
      </c>
      <c r="AZ88" s="805">
        <v>2.6</v>
      </c>
      <c r="BA88" s="806">
        <v>2.65</v>
      </c>
    </row>
    <row r="89" spans="1:53">
      <c r="A89" s="1911" t="s">
        <v>3</v>
      </c>
      <c r="B89" s="795">
        <v>0.5</v>
      </c>
      <c r="C89" s="796">
        <f>(AD89*KFC!$B$35+KFC!$C$35)*KFC!$C$5</f>
        <v>58.802632754999998</v>
      </c>
      <c r="D89" s="796">
        <f>(AE89*KFC!$B$35+KFC!$C$35)*KFC!$C$5</f>
        <v>64.422150411250001</v>
      </c>
      <c r="E89" s="796">
        <f>(AF89*KFC!$B$35+KFC!$C$35)*KFC!$C$5</f>
        <v>70.041668067499998</v>
      </c>
      <c r="F89" s="796">
        <f>(AG89*KFC!$B$35+KFC!$C$35)*KFC!$C$5</f>
        <v>75.661185723750009</v>
      </c>
      <c r="G89" s="796">
        <f>(AH89*KFC!$B$35+KFC!$C$35)*KFC!$C$5</f>
        <v>81.280703380000006</v>
      </c>
      <c r="H89" s="796">
        <f>(AI89*KFC!$B$35+KFC!$C$35)*KFC!$C$5</f>
        <v>86.900221036250002</v>
      </c>
      <c r="I89" s="796">
        <f>(AJ89*KFC!$B$35+KFC!$C$35)*KFC!$C$5</f>
        <v>92.519738692499999</v>
      </c>
      <c r="J89" s="796">
        <f>(AK89*KFC!$B$35+KFC!$C$35)*KFC!$C$5</f>
        <v>98.139256348749981</v>
      </c>
      <c r="K89" s="796">
        <f>(AL89*KFC!$B$35+KFC!$C$35)*KFC!$C$5</f>
        <v>103.75877400499998</v>
      </c>
      <c r="L89" s="796">
        <f>(AM89*KFC!$B$35+KFC!$C$35)*KFC!$C$5</f>
        <v>109.37829166124997</v>
      </c>
      <c r="M89" s="796">
        <f>(AN89*KFC!$B$35+KFC!$C$35)*KFC!$C$5</f>
        <v>114.99780931749997</v>
      </c>
      <c r="N89" s="796">
        <f>(AO89*KFC!$B$35+KFC!$C$35)*KFC!$C$5</f>
        <v>120.61732697374995</v>
      </c>
      <c r="O89" s="796">
        <f>(AP89*KFC!$B$35+KFC!$C$35)*KFC!$C$5</f>
        <v>126.23684462999995</v>
      </c>
      <c r="P89" s="796">
        <f>(AQ89*KFC!$B$35+KFC!$C$35)*KFC!$C$5</f>
        <v>131.85636228624995</v>
      </c>
      <c r="Q89" s="796">
        <f>(AR89*KFC!$B$35+KFC!$C$35)*KFC!$C$5</f>
        <v>137.47587994249994</v>
      </c>
      <c r="R89" s="796">
        <f>(AS89*KFC!$B$35+KFC!$C$35)*KFC!$C$5</f>
        <v>143.09539759874994</v>
      </c>
      <c r="S89" s="796">
        <f>(AT89*KFC!$B$35+KFC!$C$35)*KFC!$C$5</f>
        <v>148.71491525499994</v>
      </c>
      <c r="T89" s="796">
        <f>(AU89*KFC!$B$35+KFC!$C$35)*KFC!$C$5</f>
        <v>154.33443291124993</v>
      </c>
      <c r="U89" s="796">
        <f>(AV89*KFC!$B$35+KFC!$C$35)*KFC!$C$5</f>
        <v>159.9539505674999</v>
      </c>
      <c r="V89" s="796">
        <f>(AW89*KFC!$B$35+KFC!$C$35)*KFC!$C$5</f>
        <v>165.5734682237499</v>
      </c>
      <c r="W89" s="796">
        <f>(AX89*KFC!$B$35+KFC!$C$35)*KFC!$C$5</f>
        <v>171.1929858799999</v>
      </c>
      <c r="X89" s="796">
        <f>(AY89*KFC!$B$35+KFC!$C$35)*KFC!$C$5</f>
        <v>176.81250353624992</v>
      </c>
      <c r="Y89" s="796">
        <f>(AZ89*KFC!$B$35+KFC!$C$35)*KFC!$C$5</f>
        <v>182.43202119249992</v>
      </c>
      <c r="Z89" s="814">
        <f>(BA89*KFC!$B$35+KFC!$C$35)*KFC!$C$5</f>
        <v>188.05153884874994</v>
      </c>
      <c r="AB89" s="1911" t="s">
        <v>3</v>
      </c>
      <c r="AC89" s="795">
        <v>0.5</v>
      </c>
      <c r="AD89" s="797">
        <v>58.802632754999998</v>
      </c>
      <c r="AE89" s="797">
        <v>64.422150411250001</v>
      </c>
      <c r="AF89" s="797">
        <v>70.041668067499998</v>
      </c>
      <c r="AG89" s="797">
        <v>75.661185723750009</v>
      </c>
      <c r="AH89" s="797">
        <v>81.280703380000006</v>
      </c>
      <c r="AI89" s="797">
        <v>86.900221036250002</v>
      </c>
      <c r="AJ89" s="797">
        <v>92.519738692499999</v>
      </c>
      <c r="AK89" s="797">
        <v>98.139256348749981</v>
      </c>
      <c r="AL89" s="797">
        <v>103.75877400499998</v>
      </c>
      <c r="AM89" s="797">
        <v>109.37829166124997</v>
      </c>
      <c r="AN89" s="797">
        <v>114.99780931749997</v>
      </c>
      <c r="AO89" s="797">
        <v>120.61732697374995</v>
      </c>
      <c r="AP89" s="797">
        <v>126.23684462999995</v>
      </c>
      <c r="AQ89" s="797">
        <v>131.85636228624995</v>
      </c>
      <c r="AR89" s="797">
        <v>137.47587994249994</v>
      </c>
      <c r="AS89" s="797">
        <v>143.09539759874994</v>
      </c>
      <c r="AT89" s="797">
        <v>148.71491525499994</v>
      </c>
      <c r="AU89" s="797">
        <v>154.33443291124993</v>
      </c>
      <c r="AV89" s="797">
        <v>159.9539505674999</v>
      </c>
      <c r="AW89" s="797">
        <v>165.5734682237499</v>
      </c>
      <c r="AX89" s="797">
        <v>171.1929858799999</v>
      </c>
      <c r="AY89" s="797">
        <v>176.81250353624992</v>
      </c>
      <c r="AZ89" s="797">
        <v>182.43202119249992</v>
      </c>
      <c r="BA89" s="797">
        <v>188.05153884874994</v>
      </c>
    </row>
    <row r="90" spans="1:53">
      <c r="A90" s="1912"/>
      <c r="B90" s="799">
        <v>0.6</v>
      </c>
      <c r="C90" s="796">
        <f>(AD90*KFC!$B$35+KFC!$C$35)*KFC!$C$5</f>
        <v>60.067294434428568</v>
      </c>
      <c r="D90" s="796">
        <f>(AE90*KFC!$B$35+KFC!$C$35)*KFC!$C$5</f>
        <v>66.002993174696428</v>
      </c>
      <c r="E90" s="796">
        <f>(AF90*KFC!$B$35+KFC!$C$35)*KFC!$C$5</f>
        <v>71.938691914964281</v>
      </c>
      <c r="F90" s="796">
        <f>(AG90*KFC!$B$35+KFC!$C$35)*KFC!$C$5</f>
        <v>77.874390655232148</v>
      </c>
      <c r="G90" s="796">
        <f>(AH90*KFC!$B$35+KFC!$C$35)*KFC!$C$5</f>
        <v>83.8100893955</v>
      </c>
      <c r="H90" s="796">
        <f>(AI90*KFC!$B$35+KFC!$C$35)*KFC!$C$5</f>
        <v>89.745788135767853</v>
      </c>
      <c r="I90" s="796">
        <f>(AJ90*KFC!$B$35+KFC!$C$35)*KFC!$C$5</f>
        <v>95.681486876035706</v>
      </c>
      <c r="J90" s="796">
        <f>(AK90*KFC!$B$35+KFC!$C$35)*KFC!$C$5</f>
        <v>101.61718561630357</v>
      </c>
      <c r="K90" s="796">
        <f>(AL90*KFC!$B$35+KFC!$C$35)*KFC!$C$5</f>
        <v>107.55288435657143</v>
      </c>
      <c r="L90" s="796">
        <f>(AM90*KFC!$B$35+KFC!$C$35)*KFC!$C$5</f>
        <v>113.48858309683928</v>
      </c>
      <c r="M90" s="796">
        <f>(AN90*KFC!$B$35+KFC!$C$35)*KFC!$C$5</f>
        <v>119.42428183710715</v>
      </c>
      <c r="N90" s="796">
        <f>(AO90*KFC!$B$35+KFC!$C$35)*KFC!$C$5</f>
        <v>125.359980577375</v>
      </c>
      <c r="O90" s="796">
        <f>(AP90*KFC!$B$35+KFC!$C$35)*KFC!$C$5</f>
        <v>131.29567931764285</v>
      </c>
      <c r="P90" s="796">
        <f>(AQ90*KFC!$B$35+KFC!$C$35)*KFC!$C$5</f>
        <v>137.23137805791072</v>
      </c>
      <c r="Q90" s="796">
        <f>(AR90*KFC!$B$35+KFC!$C$35)*KFC!$C$5</f>
        <v>143.16707679817856</v>
      </c>
      <c r="R90" s="796">
        <f>(AS90*KFC!$B$35+KFC!$C$35)*KFC!$C$5</f>
        <v>149.10277553844642</v>
      </c>
      <c r="S90" s="796">
        <f>(AT90*KFC!$B$35+KFC!$C$35)*KFC!$C$5</f>
        <v>155.03847427871429</v>
      </c>
      <c r="T90" s="796">
        <f>(AU90*KFC!$B$35+KFC!$C$35)*KFC!$C$5</f>
        <v>160.97417301898213</v>
      </c>
      <c r="U90" s="796">
        <f>(AV90*KFC!$B$35+KFC!$C$35)*KFC!$C$5</f>
        <v>166.90987175925</v>
      </c>
      <c r="V90" s="796">
        <f>(AW90*KFC!$B$35+KFC!$C$35)*KFC!$C$5</f>
        <v>172.84557049951786</v>
      </c>
      <c r="W90" s="796">
        <f>(AX90*KFC!$B$35+KFC!$C$35)*KFC!$C$5</f>
        <v>178.7812692397857</v>
      </c>
      <c r="X90" s="796">
        <f>(AY90*KFC!$B$35+KFC!$C$35)*KFC!$C$5</f>
        <v>184.71696798005354</v>
      </c>
      <c r="Y90" s="796">
        <f>(AZ90*KFC!$B$35+KFC!$C$35)*KFC!$C$5</f>
        <v>190.65266672032138</v>
      </c>
      <c r="Z90" s="814">
        <f>(BA90*KFC!$B$35+KFC!$C$35)*KFC!$C$5</f>
        <v>196.58836546058922</v>
      </c>
      <c r="AB90" s="1912"/>
      <c r="AC90" s="799">
        <v>0.6</v>
      </c>
      <c r="AD90" s="797">
        <v>60.067294434428568</v>
      </c>
      <c r="AE90" s="797">
        <v>66.002993174696428</v>
      </c>
      <c r="AF90" s="797">
        <v>71.938691914964281</v>
      </c>
      <c r="AG90" s="797">
        <v>77.874390655232148</v>
      </c>
      <c r="AH90" s="797">
        <v>83.8100893955</v>
      </c>
      <c r="AI90" s="797">
        <v>89.745788135767853</v>
      </c>
      <c r="AJ90" s="797">
        <v>95.681486876035706</v>
      </c>
      <c r="AK90" s="797">
        <v>101.61718561630357</v>
      </c>
      <c r="AL90" s="797">
        <v>107.55288435657143</v>
      </c>
      <c r="AM90" s="797">
        <v>113.48858309683928</v>
      </c>
      <c r="AN90" s="797">
        <v>119.42428183710715</v>
      </c>
      <c r="AO90" s="797">
        <v>125.359980577375</v>
      </c>
      <c r="AP90" s="797">
        <v>131.29567931764285</v>
      </c>
      <c r="AQ90" s="797">
        <v>137.23137805791072</v>
      </c>
      <c r="AR90" s="797">
        <v>143.16707679817856</v>
      </c>
      <c r="AS90" s="797">
        <v>149.10277553844642</v>
      </c>
      <c r="AT90" s="797">
        <v>155.03847427871429</v>
      </c>
      <c r="AU90" s="797">
        <v>160.97417301898213</v>
      </c>
      <c r="AV90" s="797">
        <v>166.90987175925</v>
      </c>
      <c r="AW90" s="797">
        <v>172.84557049951786</v>
      </c>
      <c r="AX90" s="797">
        <v>178.7812692397857</v>
      </c>
      <c r="AY90" s="797">
        <v>184.71696798005354</v>
      </c>
      <c r="AZ90" s="797">
        <v>190.65266672032138</v>
      </c>
      <c r="BA90" s="797">
        <v>196.58836546058922</v>
      </c>
    </row>
    <row r="91" spans="1:53">
      <c r="A91" s="1912"/>
      <c r="B91" s="799">
        <v>0.7</v>
      </c>
      <c r="C91" s="796">
        <f>(AD91*KFC!$B$35+KFC!$C$35)*KFC!$C$5</f>
        <v>61.331956113857146</v>
      </c>
      <c r="D91" s="796">
        <f>(AE91*KFC!$B$35+KFC!$C$35)*KFC!$C$5</f>
        <v>67.583835938142855</v>
      </c>
      <c r="E91" s="796">
        <f>(AF91*KFC!$B$35+KFC!$C$35)*KFC!$C$5</f>
        <v>73.835715762428563</v>
      </c>
      <c r="F91" s="796">
        <f>(AG91*KFC!$B$35+KFC!$C$35)*KFC!$C$5</f>
        <v>80.087595586714272</v>
      </c>
      <c r="G91" s="796">
        <f>(AH91*KFC!$B$35+KFC!$C$35)*KFC!$C$5</f>
        <v>86.339475410999995</v>
      </c>
      <c r="H91" s="796">
        <f>(AI91*KFC!$B$35+KFC!$C$35)*KFC!$C$5</f>
        <v>92.591355235285704</v>
      </c>
      <c r="I91" s="796">
        <f>(AJ91*KFC!$B$35+KFC!$C$35)*KFC!$C$5</f>
        <v>98.843235059571427</v>
      </c>
      <c r="J91" s="796">
        <f>(AK91*KFC!$B$35+KFC!$C$35)*KFC!$C$5</f>
        <v>105.09511488385715</v>
      </c>
      <c r="K91" s="796">
        <f>(AL91*KFC!$B$35+KFC!$C$35)*KFC!$C$5</f>
        <v>111.34699470814287</v>
      </c>
      <c r="L91" s="796">
        <f>(AM91*KFC!$B$35+KFC!$C$35)*KFC!$C$5</f>
        <v>117.5988745324286</v>
      </c>
      <c r="M91" s="796">
        <f>(AN91*KFC!$B$35+KFC!$C$35)*KFC!$C$5</f>
        <v>123.85075435671432</v>
      </c>
      <c r="N91" s="796">
        <f>(AO91*KFC!$B$35+KFC!$C$35)*KFC!$C$5</f>
        <v>130.10263418100004</v>
      </c>
      <c r="O91" s="796">
        <f>(AP91*KFC!$B$35+KFC!$C$35)*KFC!$C$5</f>
        <v>136.35451400528575</v>
      </c>
      <c r="P91" s="796">
        <f>(AQ91*KFC!$B$35+KFC!$C$35)*KFC!$C$5</f>
        <v>142.60639382957146</v>
      </c>
      <c r="Q91" s="796">
        <f>(AR91*KFC!$B$35+KFC!$C$35)*KFC!$C$5</f>
        <v>148.8582736538572</v>
      </c>
      <c r="R91" s="796">
        <f>(AS91*KFC!$B$35+KFC!$C$35)*KFC!$C$5</f>
        <v>155.11015347814291</v>
      </c>
      <c r="S91" s="796">
        <f>(AT91*KFC!$B$35+KFC!$C$35)*KFC!$C$5</f>
        <v>161.36203330242864</v>
      </c>
      <c r="T91" s="796">
        <f>(AU91*KFC!$B$35+KFC!$C$35)*KFC!$C$5</f>
        <v>167.61391312671435</v>
      </c>
      <c r="U91" s="796">
        <f>(AV91*KFC!$B$35+KFC!$C$35)*KFC!$C$5</f>
        <v>173.86579295100009</v>
      </c>
      <c r="V91" s="796">
        <f>(AW91*KFC!$B$35+KFC!$C$35)*KFC!$C$5</f>
        <v>180.11767277528577</v>
      </c>
      <c r="W91" s="796">
        <f>(AX91*KFC!$B$35+KFC!$C$35)*KFC!$C$5</f>
        <v>186.36955259957148</v>
      </c>
      <c r="X91" s="796">
        <f>(AY91*KFC!$B$35+KFC!$C$35)*KFC!$C$5</f>
        <v>192.62143242385719</v>
      </c>
      <c r="Y91" s="796">
        <f>(AZ91*KFC!$B$35+KFC!$C$35)*KFC!$C$5</f>
        <v>198.87331224814289</v>
      </c>
      <c r="Z91" s="814">
        <f>(BA91*KFC!$B$35+KFC!$C$35)*KFC!$C$5</f>
        <v>205.12519207242858</v>
      </c>
      <c r="AB91" s="1912"/>
      <c r="AC91" s="799">
        <v>0.7</v>
      </c>
      <c r="AD91" s="797">
        <v>61.331956113857146</v>
      </c>
      <c r="AE91" s="797">
        <v>67.583835938142855</v>
      </c>
      <c r="AF91" s="797">
        <v>73.835715762428563</v>
      </c>
      <c r="AG91" s="797">
        <v>80.087595586714272</v>
      </c>
      <c r="AH91" s="797">
        <v>86.339475410999995</v>
      </c>
      <c r="AI91" s="797">
        <v>92.591355235285704</v>
      </c>
      <c r="AJ91" s="797">
        <v>98.843235059571427</v>
      </c>
      <c r="AK91" s="797">
        <v>105.09511488385715</v>
      </c>
      <c r="AL91" s="797">
        <v>111.34699470814287</v>
      </c>
      <c r="AM91" s="797">
        <v>117.5988745324286</v>
      </c>
      <c r="AN91" s="797">
        <v>123.85075435671432</v>
      </c>
      <c r="AO91" s="797">
        <v>130.10263418100004</v>
      </c>
      <c r="AP91" s="797">
        <v>136.35451400528575</v>
      </c>
      <c r="AQ91" s="797">
        <v>142.60639382957146</v>
      </c>
      <c r="AR91" s="797">
        <v>148.8582736538572</v>
      </c>
      <c r="AS91" s="797">
        <v>155.11015347814291</v>
      </c>
      <c r="AT91" s="797">
        <v>161.36203330242864</v>
      </c>
      <c r="AU91" s="797">
        <v>167.61391312671435</v>
      </c>
      <c r="AV91" s="797">
        <v>173.86579295100009</v>
      </c>
      <c r="AW91" s="797">
        <v>180.11767277528577</v>
      </c>
      <c r="AX91" s="797">
        <v>186.36955259957148</v>
      </c>
      <c r="AY91" s="797">
        <v>192.62143242385719</v>
      </c>
      <c r="AZ91" s="797">
        <v>198.87331224814289</v>
      </c>
      <c r="BA91" s="797">
        <v>205.12519207242858</v>
      </c>
    </row>
    <row r="92" spans="1:53">
      <c r="A92" s="1912"/>
      <c r="B92" s="799">
        <v>0.8</v>
      </c>
      <c r="C92" s="796">
        <f>(AD92*KFC!$B$35+KFC!$C$35)*KFC!$C$5</f>
        <v>62.596617793285724</v>
      </c>
      <c r="D92" s="796">
        <f>(AE92*KFC!$B$35+KFC!$C$35)*KFC!$C$5</f>
        <v>69.164678701589281</v>
      </c>
      <c r="E92" s="796">
        <f>(AF92*KFC!$B$35+KFC!$C$35)*KFC!$C$5</f>
        <v>75.732739609892846</v>
      </c>
      <c r="F92" s="796">
        <f>(AG92*KFC!$B$35+KFC!$C$35)*KFC!$C$5</f>
        <v>82.300800518196411</v>
      </c>
      <c r="G92" s="796">
        <f>(AH92*KFC!$B$35+KFC!$C$35)*KFC!$C$5</f>
        <v>88.868861426499976</v>
      </c>
      <c r="H92" s="796">
        <f>(AI92*KFC!$B$35+KFC!$C$35)*KFC!$C$5</f>
        <v>95.43692233480354</v>
      </c>
      <c r="I92" s="796">
        <f>(AJ92*KFC!$B$35+KFC!$C$35)*KFC!$C$5</f>
        <v>102.00498324310711</v>
      </c>
      <c r="J92" s="796">
        <f>(AK92*KFC!$B$35+KFC!$C$35)*KFC!$C$5</f>
        <v>108.57304415141067</v>
      </c>
      <c r="K92" s="796">
        <f>(AL92*KFC!$B$35+KFC!$C$35)*KFC!$C$5</f>
        <v>115.14110505971423</v>
      </c>
      <c r="L92" s="796">
        <f>(AM92*KFC!$B$35+KFC!$C$35)*KFC!$C$5</f>
        <v>121.7091659680178</v>
      </c>
      <c r="M92" s="796">
        <f>(AN92*KFC!$B$35+KFC!$C$35)*KFC!$C$5</f>
        <v>128.27722687632138</v>
      </c>
      <c r="N92" s="796">
        <f>(AO92*KFC!$B$35+KFC!$C$35)*KFC!$C$5</f>
        <v>134.84528778462493</v>
      </c>
      <c r="O92" s="796">
        <f>(AP92*KFC!$B$35+KFC!$C$35)*KFC!$C$5</f>
        <v>141.41334869292851</v>
      </c>
      <c r="P92" s="796">
        <f>(AQ92*KFC!$B$35+KFC!$C$35)*KFC!$C$5</f>
        <v>147.98140960123206</v>
      </c>
      <c r="Q92" s="796">
        <f>(AR92*KFC!$B$35+KFC!$C$35)*KFC!$C$5</f>
        <v>154.54947050953564</v>
      </c>
      <c r="R92" s="796">
        <f>(AS92*KFC!$B$35+KFC!$C$35)*KFC!$C$5</f>
        <v>161.11753141783919</v>
      </c>
      <c r="S92" s="796">
        <f>(AT92*KFC!$B$35+KFC!$C$35)*KFC!$C$5</f>
        <v>167.68559232614277</v>
      </c>
      <c r="T92" s="796">
        <f>(AU92*KFC!$B$35+KFC!$C$35)*KFC!$C$5</f>
        <v>174.25365323444635</v>
      </c>
      <c r="U92" s="796">
        <f>(AV92*KFC!$B$35+KFC!$C$35)*KFC!$C$5</f>
        <v>180.8217141427499</v>
      </c>
      <c r="V92" s="796">
        <f>(AW92*KFC!$B$35+KFC!$C$35)*KFC!$C$5</f>
        <v>187.38977505105348</v>
      </c>
      <c r="W92" s="796">
        <f>(AX92*KFC!$B$35+KFC!$C$35)*KFC!$C$5</f>
        <v>193.95783595935703</v>
      </c>
      <c r="X92" s="796">
        <f>(AY92*KFC!$B$35+KFC!$C$35)*KFC!$C$5</f>
        <v>200.52589686766061</v>
      </c>
      <c r="Y92" s="796">
        <f>(AZ92*KFC!$B$35+KFC!$C$35)*KFC!$C$5</f>
        <v>207.09395777596418</v>
      </c>
      <c r="Z92" s="814">
        <f>(BA92*KFC!$B$35+KFC!$C$35)*KFC!$C$5</f>
        <v>213.66201868426774</v>
      </c>
      <c r="AB92" s="1912"/>
      <c r="AC92" s="799">
        <v>0.8</v>
      </c>
      <c r="AD92" s="797">
        <v>62.596617793285724</v>
      </c>
      <c r="AE92" s="797">
        <v>69.164678701589281</v>
      </c>
      <c r="AF92" s="797">
        <v>75.732739609892846</v>
      </c>
      <c r="AG92" s="797">
        <v>82.300800518196411</v>
      </c>
      <c r="AH92" s="797">
        <v>88.868861426499976</v>
      </c>
      <c r="AI92" s="797">
        <v>95.43692233480354</v>
      </c>
      <c r="AJ92" s="797">
        <v>102.00498324310711</v>
      </c>
      <c r="AK92" s="797">
        <v>108.57304415141067</v>
      </c>
      <c r="AL92" s="797">
        <v>115.14110505971423</v>
      </c>
      <c r="AM92" s="797">
        <v>121.7091659680178</v>
      </c>
      <c r="AN92" s="797">
        <v>128.27722687632138</v>
      </c>
      <c r="AO92" s="797">
        <v>134.84528778462493</v>
      </c>
      <c r="AP92" s="797">
        <v>141.41334869292851</v>
      </c>
      <c r="AQ92" s="797">
        <v>147.98140960123206</v>
      </c>
      <c r="AR92" s="797">
        <v>154.54947050953564</v>
      </c>
      <c r="AS92" s="797">
        <v>161.11753141783919</v>
      </c>
      <c r="AT92" s="797">
        <v>167.68559232614277</v>
      </c>
      <c r="AU92" s="797">
        <v>174.25365323444635</v>
      </c>
      <c r="AV92" s="797">
        <v>180.8217141427499</v>
      </c>
      <c r="AW92" s="797">
        <v>187.38977505105348</v>
      </c>
      <c r="AX92" s="797">
        <v>193.95783595935703</v>
      </c>
      <c r="AY92" s="797">
        <v>200.52589686766061</v>
      </c>
      <c r="AZ92" s="797">
        <v>207.09395777596418</v>
      </c>
      <c r="BA92" s="797">
        <v>213.66201868426774</v>
      </c>
    </row>
    <row r="93" spans="1:53">
      <c r="A93" s="1912"/>
      <c r="B93" s="799">
        <v>0.9</v>
      </c>
      <c r="C93" s="796">
        <f>(AD93*KFC!$B$35+KFC!$C$35)*KFC!$C$5</f>
        <v>63.861279472714294</v>
      </c>
      <c r="D93" s="796">
        <f>(AE93*KFC!$B$35+KFC!$C$35)*KFC!$C$5</f>
        <v>70.745521465035722</v>
      </c>
      <c r="E93" s="796">
        <f>(AF93*KFC!$B$35+KFC!$C$35)*KFC!$C$5</f>
        <v>77.629763457357157</v>
      </c>
      <c r="F93" s="796">
        <f>(AG93*KFC!$B$35+KFC!$C$35)*KFC!$C$5</f>
        <v>84.514005449678578</v>
      </c>
      <c r="G93" s="796">
        <f>(AH93*KFC!$B$35+KFC!$C$35)*KFC!$C$5</f>
        <v>91.398247442000013</v>
      </c>
      <c r="H93" s="796">
        <f>(AI93*KFC!$B$35+KFC!$C$35)*KFC!$C$5</f>
        <v>98.282489434321434</v>
      </c>
      <c r="I93" s="796">
        <f>(AJ93*KFC!$B$35+KFC!$C$35)*KFC!$C$5</f>
        <v>105.16673142664287</v>
      </c>
      <c r="J93" s="796">
        <f>(AK93*KFC!$B$35+KFC!$C$35)*KFC!$C$5</f>
        <v>112.05097341896429</v>
      </c>
      <c r="K93" s="796">
        <f>(AL93*KFC!$B$35+KFC!$C$35)*KFC!$C$5</f>
        <v>118.93521541128572</v>
      </c>
      <c r="L93" s="796">
        <f>(AM93*KFC!$B$35+KFC!$C$35)*KFC!$C$5</f>
        <v>125.81945740360716</v>
      </c>
      <c r="M93" s="796">
        <f>(AN93*KFC!$B$35+KFC!$C$35)*KFC!$C$5</f>
        <v>132.7036993959286</v>
      </c>
      <c r="N93" s="796">
        <f>(AO93*KFC!$B$35+KFC!$C$35)*KFC!$C$5</f>
        <v>139.58794138825002</v>
      </c>
      <c r="O93" s="796">
        <f>(AP93*KFC!$B$35+KFC!$C$35)*KFC!$C$5</f>
        <v>146.47218338057144</v>
      </c>
      <c r="P93" s="796">
        <f>(AQ93*KFC!$B$35+KFC!$C$35)*KFC!$C$5</f>
        <v>153.35642537289286</v>
      </c>
      <c r="Q93" s="796">
        <f>(AR93*KFC!$B$35+KFC!$C$35)*KFC!$C$5</f>
        <v>160.24066736521431</v>
      </c>
      <c r="R93" s="796">
        <f>(AS93*KFC!$B$35+KFC!$C$35)*KFC!$C$5</f>
        <v>167.12490935753573</v>
      </c>
      <c r="S93" s="796">
        <f>(AT93*KFC!$B$35+KFC!$C$35)*KFC!$C$5</f>
        <v>174.00915134985715</v>
      </c>
      <c r="T93" s="796">
        <f>(AU93*KFC!$B$35+KFC!$C$35)*KFC!$C$5</f>
        <v>180.89339334217857</v>
      </c>
      <c r="U93" s="796">
        <f>(AV93*KFC!$B$35+KFC!$C$35)*KFC!$C$5</f>
        <v>187.77763533450002</v>
      </c>
      <c r="V93" s="796">
        <f>(AW93*KFC!$B$35+KFC!$C$35)*KFC!$C$5</f>
        <v>194.66187732682144</v>
      </c>
      <c r="W93" s="796">
        <f>(AX93*KFC!$B$35+KFC!$C$35)*KFC!$C$5</f>
        <v>201.54611931914286</v>
      </c>
      <c r="X93" s="796">
        <f>(AY93*KFC!$B$35+KFC!$C$35)*KFC!$C$5</f>
        <v>208.43036131146428</v>
      </c>
      <c r="Y93" s="796">
        <f>(AZ93*KFC!$B$35+KFC!$C$35)*KFC!$C$5</f>
        <v>215.31460330378573</v>
      </c>
      <c r="Z93" s="814">
        <f>(BA93*KFC!$B$35+KFC!$C$35)*KFC!$C$5</f>
        <v>222.19884529610715</v>
      </c>
      <c r="AB93" s="1912"/>
      <c r="AC93" s="799">
        <v>0.9</v>
      </c>
      <c r="AD93" s="797">
        <v>63.861279472714294</v>
      </c>
      <c r="AE93" s="797">
        <v>70.745521465035722</v>
      </c>
      <c r="AF93" s="797">
        <v>77.629763457357157</v>
      </c>
      <c r="AG93" s="797">
        <v>84.514005449678578</v>
      </c>
      <c r="AH93" s="797">
        <v>91.398247442000013</v>
      </c>
      <c r="AI93" s="797">
        <v>98.282489434321434</v>
      </c>
      <c r="AJ93" s="797">
        <v>105.16673142664287</v>
      </c>
      <c r="AK93" s="797">
        <v>112.05097341896429</v>
      </c>
      <c r="AL93" s="797">
        <v>118.93521541128572</v>
      </c>
      <c r="AM93" s="797">
        <v>125.81945740360716</v>
      </c>
      <c r="AN93" s="797">
        <v>132.7036993959286</v>
      </c>
      <c r="AO93" s="797">
        <v>139.58794138825002</v>
      </c>
      <c r="AP93" s="797">
        <v>146.47218338057144</v>
      </c>
      <c r="AQ93" s="797">
        <v>153.35642537289286</v>
      </c>
      <c r="AR93" s="797">
        <v>160.24066736521431</v>
      </c>
      <c r="AS93" s="797">
        <v>167.12490935753573</v>
      </c>
      <c r="AT93" s="797">
        <v>174.00915134985715</v>
      </c>
      <c r="AU93" s="797">
        <v>180.89339334217857</v>
      </c>
      <c r="AV93" s="797">
        <v>187.77763533450002</v>
      </c>
      <c r="AW93" s="797">
        <v>194.66187732682144</v>
      </c>
      <c r="AX93" s="797">
        <v>201.54611931914286</v>
      </c>
      <c r="AY93" s="797">
        <v>208.43036131146428</v>
      </c>
      <c r="AZ93" s="797">
        <v>215.31460330378573</v>
      </c>
      <c r="BA93" s="797">
        <v>222.19884529610715</v>
      </c>
    </row>
    <row r="94" spans="1:53">
      <c r="A94" s="1912"/>
      <c r="B94" s="799">
        <v>1</v>
      </c>
      <c r="C94" s="796">
        <f>(AD94*KFC!$B$35+KFC!$C$35)*KFC!$C$5</f>
        <v>65.125941152142872</v>
      </c>
      <c r="D94" s="796">
        <f>(AE94*KFC!$B$35+KFC!$C$35)*KFC!$C$5</f>
        <v>72.326364228482149</v>
      </c>
      <c r="E94" s="796">
        <f>(AF94*KFC!$B$35+KFC!$C$35)*KFC!$C$5</f>
        <v>79.52678730482144</v>
      </c>
      <c r="F94" s="796">
        <f>(AG94*KFC!$B$35+KFC!$C$35)*KFC!$C$5</f>
        <v>86.727210381160731</v>
      </c>
      <c r="G94" s="796">
        <f>(AH94*KFC!$B$35+KFC!$C$35)*KFC!$C$5</f>
        <v>93.927633457500022</v>
      </c>
      <c r="H94" s="796">
        <f>(AI94*KFC!$B$35+KFC!$C$35)*KFC!$C$5</f>
        <v>101.12805653383931</v>
      </c>
      <c r="I94" s="796">
        <f>(AJ94*KFC!$B$35+KFC!$C$35)*KFC!$C$5</f>
        <v>108.3284796101786</v>
      </c>
      <c r="J94" s="796">
        <f>(AK94*KFC!$B$35+KFC!$C$35)*KFC!$C$5</f>
        <v>115.5289026865179</v>
      </c>
      <c r="K94" s="796">
        <f>(AL94*KFC!$B$35+KFC!$C$35)*KFC!$C$5</f>
        <v>122.72932576285719</v>
      </c>
      <c r="L94" s="796">
        <f>(AM94*KFC!$B$35+KFC!$C$35)*KFC!$C$5</f>
        <v>129.92974883919649</v>
      </c>
      <c r="M94" s="796">
        <f>(AN94*KFC!$B$35+KFC!$C$35)*KFC!$C$5</f>
        <v>137.13017191553578</v>
      </c>
      <c r="N94" s="796">
        <f>(AO94*KFC!$B$35+KFC!$C$35)*KFC!$C$5</f>
        <v>144.33059499187507</v>
      </c>
      <c r="O94" s="796">
        <f>(AP94*KFC!$B$35+KFC!$C$35)*KFC!$C$5</f>
        <v>151.53101806821437</v>
      </c>
      <c r="P94" s="796">
        <f>(AQ94*KFC!$B$35+KFC!$C$35)*KFC!$C$5</f>
        <v>158.73144114455366</v>
      </c>
      <c r="Q94" s="796">
        <f>(AR94*KFC!$B$35+KFC!$C$35)*KFC!$C$5</f>
        <v>165.93186422089295</v>
      </c>
      <c r="R94" s="796">
        <f>(AS94*KFC!$B$35+KFC!$C$35)*KFC!$C$5</f>
        <v>173.13228729723224</v>
      </c>
      <c r="S94" s="796">
        <f>(AT94*KFC!$B$35+KFC!$C$35)*KFC!$C$5</f>
        <v>180.33271037357153</v>
      </c>
      <c r="T94" s="796">
        <f>(AU94*KFC!$B$35+KFC!$C$35)*KFC!$C$5</f>
        <v>187.53313344991082</v>
      </c>
      <c r="U94" s="796">
        <f>(AV94*KFC!$B$35+KFC!$C$35)*KFC!$C$5</f>
        <v>194.73355652625011</v>
      </c>
      <c r="V94" s="796">
        <f>(AW94*KFC!$B$35+KFC!$C$35)*KFC!$C$5</f>
        <v>201.9339796025894</v>
      </c>
      <c r="W94" s="796">
        <f>(AX94*KFC!$B$35+KFC!$C$35)*KFC!$C$5</f>
        <v>209.13440267892869</v>
      </c>
      <c r="X94" s="796">
        <f>(AY94*KFC!$B$35+KFC!$C$35)*KFC!$C$5</f>
        <v>216.33482575526799</v>
      </c>
      <c r="Y94" s="796">
        <f>(AZ94*KFC!$B$35+KFC!$C$35)*KFC!$C$5</f>
        <v>223.53524883160728</v>
      </c>
      <c r="Z94" s="814">
        <f>(BA94*KFC!$B$35+KFC!$C$35)*KFC!$C$5</f>
        <v>230.73567190794657</v>
      </c>
      <c r="AB94" s="1912"/>
      <c r="AC94" s="799">
        <v>1</v>
      </c>
      <c r="AD94" s="797">
        <v>65.125941152142872</v>
      </c>
      <c r="AE94" s="797">
        <v>72.326364228482149</v>
      </c>
      <c r="AF94" s="797">
        <v>79.52678730482144</v>
      </c>
      <c r="AG94" s="797">
        <v>86.727210381160731</v>
      </c>
      <c r="AH94" s="797">
        <v>93.927633457500022</v>
      </c>
      <c r="AI94" s="797">
        <v>101.12805653383931</v>
      </c>
      <c r="AJ94" s="797">
        <v>108.3284796101786</v>
      </c>
      <c r="AK94" s="797">
        <v>115.5289026865179</v>
      </c>
      <c r="AL94" s="797">
        <v>122.72932576285719</v>
      </c>
      <c r="AM94" s="797">
        <v>129.92974883919649</v>
      </c>
      <c r="AN94" s="797">
        <v>137.13017191553578</v>
      </c>
      <c r="AO94" s="797">
        <v>144.33059499187507</v>
      </c>
      <c r="AP94" s="797">
        <v>151.53101806821437</v>
      </c>
      <c r="AQ94" s="797">
        <v>158.73144114455366</v>
      </c>
      <c r="AR94" s="797">
        <v>165.93186422089295</v>
      </c>
      <c r="AS94" s="797">
        <v>173.13228729723224</v>
      </c>
      <c r="AT94" s="797">
        <v>180.33271037357153</v>
      </c>
      <c r="AU94" s="797">
        <v>187.53313344991082</v>
      </c>
      <c r="AV94" s="797">
        <v>194.73355652625011</v>
      </c>
      <c r="AW94" s="797">
        <v>201.9339796025894</v>
      </c>
      <c r="AX94" s="797">
        <v>209.13440267892869</v>
      </c>
      <c r="AY94" s="797">
        <v>216.33482575526799</v>
      </c>
      <c r="AZ94" s="797">
        <v>223.53524883160728</v>
      </c>
      <c r="BA94" s="797">
        <v>230.73567190794657</v>
      </c>
    </row>
    <row r="95" spans="1:53">
      <c r="A95" s="1912"/>
      <c r="B95" s="799">
        <v>1.1000000000000001</v>
      </c>
      <c r="C95" s="796">
        <f>(AD95*KFC!$B$35+KFC!$C$35)*KFC!$C$5</f>
        <v>66.390602831571442</v>
      </c>
      <c r="D95" s="796">
        <f>(AE95*KFC!$B$35+KFC!$C$35)*KFC!$C$5</f>
        <v>73.907206991928589</v>
      </c>
      <c r="E95" s="796">
        <f>(AF95*KFC!$B$35+KFC!$C$35)*KFC!$C$5</f>
        <v>81.423811152285722</v>
      </c>
      <c r="F95" s="796">
        <f>(AG95*KFC!$B$35+KFC!$C$35)*KFC!$C$5</f>
        <v>88.940415312642855</v>
      </c>
      <c r="G95" s="796">
        <f>(AH95*KFC!$B$35+KFC!$C$35)*KFC!$C$5</f>
        <v>96.457019472999988</v>
      </c>
      <c r="H95" s="796">
        <f>(AI95*KFC!$B$35+KFC!$C$35)*KFC!$C$5</f>
        <v>103.97362363335714</v>
      </c>
      <c r="I95" s="796">
        <f>(AJ95*KFC!$B$35+KFC!$C$35)*KFC!$C$5</f>
        <v>111.49022779371427</v>
      </c>
      <c r="J95" s="796">
        <f>(AK95*KFC!$B$35+KFC!$C$35)*KFC!$C$5</f>
        <v>119.0068319540714</v>
      </c>
      <c r="K95" s="796">
        <f>(AL95*KFC!$B$35+KFC!$C$35)*KFC!$C$5</f>
        <v>126.52343611442853</v>
      </c>
      <c r="L95" s="796">
        <f>(AM95*KFC!$B$35+KFC!$C$35)*KFC!$C$5</f>
        <v>134.04004027478567</v>
      </c>
      <c r="M95" s="796">
        <f>(AN95*KFC!$B$35+KFC!$C$35)*KFC!$C$5</f>
        <v>141.5566444351428</v>
      </c>
      <c r="N95" s="796">
        <f>(AO95*KFC!$B$35+KFC!$C$35)*KFC!$C$5</f>
        <v>149.07324859549996</v>
      </c>
      <c r="O95" s="796">
        <f>(AP95*KFC!$B$35+KFC!$C$35)*KFC!$C$5</f>
        <v>156.58985275585709</v>
      </c>
      <c r="P95" s="796">
        <f>(AQ95*KFC!$B$35+KFC!$C$35)*KFC!$C$5</f>
        <v>164.10645691621423</v>
      </c>
      <c r="Q95" s="796">
        <f>(AR95*KFC!$B$35+KFC!$C$35)*KFC!$C$5</f>
        <v>171.62306107657136</v>
      </c>
      <c r="R95" s="796">
        <f>(AS95*KFC!$B$35+KFC!$C$35)*KFC!$C$5</f>
        <v>179.13966523692852</v>
      </c>
      <c r="S95" s="796">
        <f>(AT95*KFC!$B$35+KFC!$C$35)*KFC!$C$5</f>
        <v>186.65626939728568</v>
      </c>
      <c r="T95" s="796">
        <f>(AU95*KFC!$B$35+KFC!$C$35)*KFC!$C$5</f>
        <v>194.17287355764282</v>
      </c>
      <c r="U95" s="796">
        <f>(AV95*KFC!$B$35+KFC!$C$35)*KFC!$C$5</f>
        <v>201.68947771799998</v>
      </c>
      <c r="V95" s="796">
        <f>(AW95*KFC!$B$35+KFC!$C$35)*KFC!$C$5</f>
        <v>209.20608187835714</v>
      </c>
      <c r="W95" s="796">
        <f>(AX95*KFC!$B$35+KFC!$C$35)*KFC!$C$5</f>
        <v>216.7226860387143</v>
      </c>
      <c r="X95" s="796">
        <f>(AY95*KFC!$B$35+KFC!$C$35)*KFC!$C$5</f>
        <v>224.23929019907143</v>
      </c>
      <c r="Y95" s="796">
        <f>(AZ95*KFC!$B$35+KFC!$C$35)*KFC!$C$5</f>
        <v>231.75589435942859</v>
      </c>
      <c r="Z95" s="814">
        <f>(BA95*KFC!$B$35+KFC!$C$35)*KFC!$C$5</f>
        <v>239.27249851978576</v>
      </c>
      <c r="AB95" s="1912"/>
      <c r="AC95" s="799">
        <v>1.1000000000000001</v>
      </c>
      <c r="AD95" s="797">
        <v>66.390602831571442</v>
      </c>
      <c r="AE95" s="797">
        <v>73.907206991928589</v>
      </c>
      <c r="AF95" s="797">
        <v>81.423811152285722</v>
      </c>
      <c r="AG95" s="797">
        <v>88.940415312642855</v>
      </c>
      <c r="AH95" s="797">
        <v>96.457019472999988</v>
      </c>
      <c r="AI95" s="797">
        <v>103.97362363335714</v>
      </c>
      <c r="AJ95" s="797">
        <v>111.49022779371427</v>
      </c>
      <c r="AK95" s="797">
        <v>119.0068319540714</v>
      </c>
      <c r="AL95" s="797">
        <v>126.52343611442853</v>
      </c>
      <c r="AM95" s="797">
        <v>134.04004027478567</v>
      </c>
      <c r="AN95" s="797">
        <v>141.5566444351428</v>
      </c>
      <c r="AO95" s="797">
        <v>149.07324859549996</v>
      </c>
      <c r="AP95" s="797">
        <v>156.58985275585709</v>
      </c>
      <c r="AQ95" s="797">
        <v>164.10645691621423</v>
      </c>
      <c r="AR95" s="797">
        <v>171.62306107657136</v>
      </c>
      <c r="AS95" s="797">
        <v>179.13966523692852</v>
      </c>
      <c r="AT95" s="797">
        <v>186.65626939728568</v>
      </c>
      <c r="AU95" s="797">
        <v>194.17287355764282</v>
      </c>
      <c r="AV95" s="797">
        <v>201.68947771799998</v>
      </c>
      <c r="AW95" s="797">
        <v>209.20608187835714</v>
      </c>
      <c r="AX95" s="797">
        <v>216.7226860387143</v>
      </c>
      <c r="AY95" s="797">
        <v>224.23929019907143</v>
      </c>
      <c r="AZ95" s="797">
        <v>231.75589435942859</v>
      </c>
      <c r="BA95" s="797">
        <v>239.27249851978576</v>
      </c>
    </row>
    <row r="96" spans="1:53">
      <c r="A96" s="1912"/>
      <c r="B96" s="799">
        <v>1.2</v>
      </c>
      <c r="C96" s="796">
        <f>(AD96*KFC!$B$35+KFC!$C$35)*KFC!$C$5</f>
        <v>67.655264511000027</v>
      </c>
      <c r="D96" s="796">
        <f>(AE96*KFC!$B$35+KFC!$C$35)*KFC!$C$5</f>
        <v>75.488049755375016</v>
      </c>
      <c r="E96" s="796">
        <f>(AF96*KFC!$B$35+KFC!$C$35)*KFC!$C$5</f>
        <v>83.320834999750005</v>
      </c>
      <c r="F96" s="796">
        <f>(AG96*KFC!$B$35+KFC!$C$35)*KFC!$C$5</f>
        <v>91.153620244125008</v>
      </c>
      <c r="G96" s="796">
        <f>(AH96*KFC!$B$35+KFC!$C$35)*KFC!$C$5</f>
        <v>98.986405488500012</v>
      </c>
      <c r="H96" s="796">
        <f>(AI96*KFC!$B$35+KFC!$C$35)*KFC!$C$5</f>
        <v>106.819190732875</v>
      </c>
      <c r="I96" s="796">
        <f>(AJ96*KFC!$B$35+KFC!$C$35)*KFC!$C$5</f>
        <v>114.65197597725</v>
      </c>
      <c r="J96" s="796">
        <f>(AK96*KFC!$B$35+KFC!$C$35)*KFC!$C$5</f>
        <v>122.48476122162501</v>
      </c>
      <c r="K96" s="796">
        <f>(AL96*KFC!$B$35+KFC!$C$35)*KFC!$C$5</f>
        <v>130.31754646600001</v>
      </c>
      <c r="L96" s="796">
        <f>(AM96*KFC!$B$35+KFC!$C$35)*KFC!$C$5</f>
        <v>138.15033171037501</v>
      </c>
      <c r="M96" s="796">
        <f>(AN96*KFC!$B$35+KFC!$C$35)*KFC!$C$5</f>
        <v>145.98311695475002</v>
      </c>
      <c r="N96" s="796">
        <f>(AO96*KFC!$B$35+KFC!$C$35)*KFC!$C$5</f>
        <v>153.81590219912499</v>
      </c>
      <c r="O96" s="796">
        <f>(AP96*KFC!$B$35+KFC!$C$35)*KFC!$C$5</f>
        <v>161.64868744349999</v>
      </c>
      <c r="P96" s="796">
        <f>(AQ96*KFC!$B$35+KFC!$C$35)*KFC!$C$5</f>
        <v>169.481472687875</v>
      </c>
      <c r="Q96" s="796">
        <f>(AR96*KFC!$B$35+KFC!$C$35)*KFC!$C$5</f>
        <v>177.31425793224997</v>
      </c>
      <c r="R96" s="796">
        <f>(AS96*KFC!$B$35+KFC!$C$35)*KFC!$C$5</f>
        <v>185.14704317662495</v>
      </c>
      <c r="S96" s="796">
        <f>(AT96*KFC!$B$35+KFC!$C$35)*KFC!$C$5</f>
        <v>192.97982842099992</v>
      </c>
      <c r="T96" s="796">
        <f>(AU96*KFC!$B$35+KFC!$C$35)*KFC!$C$5</f>
        <v>200.8126136653749</v>
      </c>
      <c r="U96" s="796">
        <f>(AV96*KFC!$B$35+KFC!$C$35)*KFC!$C$5</f>
        <v>208.6453989097499</v>
      </c>
      <c r="V96" s="796">
        <f>(AW96*KFC!$B$35+KFC!$C$35)*KFC!$C$5</f>
        <v>216.47818415412488</v>
      </c>
      <c r="W96" s="796">
        <f>(AX96*KFC!$B$35+KFC!$C$35)*KFC!$C$5</f>
        <v>224.31096939849985</v>
      </c>
      <c r="X96" s="796">
        <f>(AY96*KFC!$B$35+KFC!$C$35)*KFC!$C$5</f>
        <v>232.14375464287482</v>
      </c>
      <c r="Y96" s="796">
        <f>(AZ96*KFC!$B$35+KFC!$C$35)*KFC!$C$5</f>
        <v>239.97653988724983</v>
      </c>
      <c r="Z96" s="814">
        <f>(BA96*KFC!$B$35+KFC!$C$35)*KFC!$C$5</f>
        <v>247.8093251316248</v>
      </c>
      <c r="AB96" s="1912"/>
      <c r="AC96" s="799">
        <v>1.2</v>
      </c>
      <c r="AD96" s="797">
        <v>67.655264511000027</v>
      </c>
      <c r="AE96" s="797">
        <v>75.488049755375016</v>
      </c>
      <c r="AF96" s="797">
        <v>83.320834999750005</v>
      </c>
      <c r="AG96" s="797">
        <v>91.153620244125008</v>
      </c>
      <c r="AH96" s="797">
        <v>98.986405488500012</v>
      </c>
      <c r="AI96" s="797">
        <v>106.819190732875</v>
      </c>
      <c r="AJ96" s="797">
        <v>114.65197597725</v>
      </c>
      <c r="AK96" s="797">
        <v>122.48476122162501</v>
      </c>
      <c r="AL96" s="797">
        <v>130.31754646600001</v>
      </c>
      <c r="AM96" s="797">
        <v>138.15033171037501</v>
      </c>
      <c r="AN96" s="797">
        <v>145.98311695475002</v>
      </c>
      <c r="AO96" s="797">
        <v>153.81590219912499</v>
      </c>
      <c r="AP96" s="797">
        <v>161.64868744349999</v>
      </c>
      <c r="AQ96" s="797">
        <v>169.481472687875</v>
      </c>
      <c r="AR96" s="797">
        <v>177.31425793224997</v>
      </c>
      <c r="AS96" s="797">
        <v>185.14704317662495</v>
      </c>
      <c r="AT96" s="797">
        <v>192.97982842099992</v>
      </c>
      <c r="AU96" s="797">
        <v>200.8126136653749</v>
      </c>
      <c r="AV96" s="797">
        <v>208.6453989097499</v>
      </c>
      <c r="AW96" s="797">
        <v>216.47818415412488</v>
      </c>
      <c r="AX96" s="797">
        <v>224.31096939849985</v>
      </c>
      <c r="AY96" s="797">
        <v>232.14375464287482</v>
      </c>
      <c r="AZ96" s="797">
        <v>239.97653988724983</v>
      </c>
      <c r="BA96" s="797">
        <v>247.8093251316248</v>
      </c>
    </row>
    <row r="97" spans="1:53">
      <c r="A97" s="1912"/>
      <c r="B97" s="799">
        <v>1.3</v>
      </c>
      <c r="C97" s="796">
        <f>(AD97*KFC!$B$35+KFC!$C$35)*KFC!$C$5</f>
        <v>68.919926190428598</v>
      </c>
      <c r="D97" s="796">
        <f>(AE97*KFC!$B$35+KFC!$C$35)*KFC!$C$5</f>
        <v>77.068892518821457</v>
      </c>
      <c r="E97" s="796">
        <f>(AF97*KFC!$B$35+KFC!$C$35)*KFC!$C$5</f>
        <v>85.217858847214302</v>
      </c>
      <c r="F97" s="796">
        <f>(AG97*KFC!$B$35+KFC!$C$35)*KFC!$C$5</f>
        <v>93.366825175607147</v>
      </c>
      <c r="G97" s="796">
        <f>(AH97*KFC!$B$35+KFC!$C$35)*KFC!$C$5</f>
        <v>101.51579150399999</v>
      </c>
      <c r="H97" s="796">
        <f>(AI97*KFC!$B$35+KFC!$C$35)*KFC!$C$5</f>
        <v>109.66475783239284</v>
      </c>
      <c r="I97" s="796">
        <f>(AJ97*KFC!$B$35+KFC!$C$35)*KFC!$C$5</f>
        <v>117.81372416078568</v>
      </c>
      <c r="J97" s="796">
        <f>(AK97*KFC!$B$35+KFC!$C$35)*KFC!$C$5</f>
        <v>125.96269048917853</v>
      </c>
      <c r="K97" s="796">
        <f>(AL97*KFC!$B$35+KFC!$C$35)*KFC!$C$5</f>
        <v>134.11165681757137</v>
      </c>
      <c r="L97" s="796">
        <f>(AM97*KFC!$B$35+KFC!$C$35)*KFC!$C$5</f>
        <v>142.26062314596422</v>
      </c>
      <c r="M97" s="796">
        <f>(AN97*KFC!$B$35+KFC!$C$35)*KFC!$C$5</f>
        <v>150.40958947435706</v>
      </c>
      <c r="N97" s="796">
        <f>(AO97*KFC!$B$35+KFC!$C$35)*KFC!$C$5</f>
        <v>158.55855580274991</v>
      </c>
      <c r="O97" s="796">
        <f>(AP97*KFC!$B$35+KFC!$C$35)*KFC!$C$5</f>
        <v>166.70752213114275</v>
      </c>
      <c r="P97" s="796">
        <f>(AQ97*KFC!$B$35+KFC!$C$35)*KFC!$C$5</f>
        <v>174.85648845953563</v>
      </c>
      <c r="Q97" s="796">
        <f>(AR97*KFC!$B$35+KFC!$C$35)*KFC!$C$5</f>
        <v>183.00545478792847</v>
      </c>
      <c r="R97" s="796">
        <f>(AS97*KFC!$B$35+KFC!$C$35)*KFC!$C$5</f>
        <v>191.15442111632132</v>
      </c>
      <c r="S97" s="796">
        <f>(AT97*KFC!$B$35+KFC!$C$35)*KFC!$C$5</f>
        <v>199.30338744471416</v>
      </c>
      <c r="T97" s="796">
        <f>(AU97*KFC!$B$35+KFC!$C$35)*KFC!$C$5</f>
        <v>207.45235377310701</v>
      </c>
      <c r="U97" s="796">
        <f>(AV97*KFC!$B$35+KFC!$C$35)*KFC!$C$5</f>
        <v>215.60132010149985</v>
      </c>
      <c r="V97" s="796">
        <f>(AW97*KFC!$B$35+KFC!$C$35)*KFC!$C$5</f>
        <v>223.7502864298927</v>
      </c>
      <c r="W97" s="796">
        <f>(AX97*KFC!$B$35+KFC!$C$35)*KFC!$C$5</f>
        <v>231.89925275828554</v>
      </c>
      <c r="X97" s="796">
        <f>(AY97*KFC!$B$35+KFC!$C$35)*KFC!$C$5</f>
        <v>240.04821908667839</v>
      </c>
      <c r="Y97" s="796">
        <f>(AZ97*KFC!$B$35+KFC!$C$35)*KFC!$C$5</f>
        <v>248.19718541507123</v>
      </c>
      <c r="Z97" s="814">
        <f>(BA97*KFC!$B$35+KFC!$C$35)*KFC!$C$5</f>
        <v>256.34615174346408</v>
      </c>
      <c r="AB97" s="1912"/>
      <c r="AC97" s="799">
        <v>1.3</v>
      </c>
      <c r="AD97" s="797">
        <v>68.919926190428598</v>
      </c>
      <c r="AE97" s="797">
        <v>77.068892518821457</v>
      </c>
      <c r="AF97" s="797">
        <v>85.217858847214302</v>
      </c>
      <c r="AG97" s="797">
        <v>93.366825175607147</v>
      </c>
      <c r="AH97" s="797">
        <v>101.51579150399999</v>
      </c>
      <c r="AI97" s="797">
        <v>109.66475783239284</v>
      </c>
      <c r="AJ97" s="797">
        <v>117.81372416078568</v>
      </c>
      <c r="AK97" s="797">
        <v>125.96269048917853</v>
      </c>
      <c r="AL97" s="797">
        <v>134.11165681757137</v>
      </c>
      <c r="AM97" s="797">
        <v>142.26062314596422</v>
      </c>
      <c r="AN97" s="797">
        <v>150.40958947435706</v>
      </c>
      <c r="AO97" s="797">
        <v>158.55855580274991</v>
      </c>
      <c r="AP97" s="797">
        <v>166.70752213114275</v>
      </c>
      <c r="AQ97" s="797">
        <v>174.85648845953563</v>
      </c>
      <c r="AR97" s="797">
        <v>183.00545478792847</v>
      </c>
      <c r="AS97" s="797">
        <v>191.15442111632132</v>
      </c>
      <c r="AT97" s="797">
        <v>199.30338744471416</v>
      </c>
      <c r="AU97" s="797">
        <v>207.45235377310701</v>
      </c>
      <c r="AV97" s="797">
        <v>215.60132010149985</v>
      </c>
      <c r="AW97" s="797">
        <v>223.7502864298927</v>
      </c>
      <c r="AX97" s="797">
        <v>231.89925275828554</v>
      </c>
      <c r="AY97" s="797">
        <v>240.04821908667839</v>
      </c>
      <c r="AZ97" s="797">
        <v>248.19718541507123</v>
      </c>
      <c r="BA97" s="797">
        <v>256.34615174346408</v>
      </c>
    </row>
    <row r="98" spans="1:53">
      <c r="A98" s="1912"/>
      <c r="B98" s="799">
        <v>1.4</v>
      </c>
      <c r="C98" s="796">
        <f>(AD98*KFC!$B$35+KFC!$C$35)*KFC!$C$5</f>
        <v>70.184587869857182</v>
      </c>
      <c r="D98" s="796">
        <f>(AE98*KFC!$B$35+KFC!$C$35)*KFC!$C$5</f>
        <v>78.649735282267883</v>
      </c>
      <c r="E98" s="796">
        <f>(AF98*KFC!$B$35+KFC!$C$35)*KFC!$C$5</f>
        <v>87.114882694678585</v>
      </c>
      <c r="F98" s="796">
        <f>(AG98*KFC!$B$35+KFC!$C$35)*KFC!$C$5</f>
        <v>95.5800301070893</v>
      </c>
      <c r="G98" s="796">
        <f>(AH98*KFC!$B$35+KFC!$C$35)*KFC!$C$5</f>
        <v>104.0451775195</v>
      </c>
      <c r="H98" s="796">
        <f>(AI98*KFC!$B$35+KFC!$C$35)*KFC!$C$5</f>
        <v>112.51032493191072</v>
      </c>
      <c r="I98" s="796">
        <f>(AJ98*KFC!$B$35+KFC!$C$35)*KFC!$C$5</f>
        <v>120.97547234432142</v>
      </c>
      <c r="J98" s="796">
        <f>(AK98*KFC!$B$35+KFC!$C$35)*KFC!$C$5</f>
        <v>129.44061975673213</v>
      </c>
      <c r="K98" s="796">
        <f>(AL98*KFC!$B$35+KFC!$C$35)*KFC!$C$5</f>
        <v>137.90576716914285</v>
      </c>
      <c r="L98" s="796">
        <f>(AM98*KFC!$B$35+KFC!$C$35)*KFC!$C$5</f>
        <v>146.37091458155354</v>
      </c>
      <c r="M98" s="796">
        <f>(AN98*KFC!$B$35+KFC!$C$35)*KFC!$C$5</f>
        <v>154.83606199396425</v>
      </c>
      <c r="N98" s="796">
        <f>(AO98*KFC!$B$35+KFC!$C$35)*KFC!$C$5</f>
        <v>163.30120940637497</v>
      </c>
      <c r="O98" s="796">
        <f>(AP98*KFC!$B$35+KFC!$C$35)*KFC!$C$5</f>
        <v>171.76635681878568</v>
      </c>
      <c r="P98" s="796">
        <f>(AQ98*KFC!$B$35+KFC!$C$35)*KFC!$C$5</f>
        <v>180.2315042311964</v>
      </c>
      <c r="Q98" s="796">
        <f>(AR98*KFC!$B$35+KFC!$C$35)*KFC!$C$5</f>
        <v>188.69665164360711</v>
      </c>
      <c r="R98" s="796">
        <f>(AS98*KFC!$B$35+KFC!$C$35)*KFC!$C$5</f>
        <v>197.16179905601783</v>
      </c>
      <c r="S98" s="796">
        <f>(AT98*KFC!$B$35+KFC!$C$35)*KFC!$C$5</f>
        <v>205.62694646842851</v>
      </c>
      <c r="T98" s="796">
        <f>(AU98*KFC!$B$35+KFC!$C$35)*KFC!$C$5</f>
        <v>214.09209388083923</v>
      </c>
      <c r="U98" s="796">
        <f>(AV98*KFC!$B$35+KFC!$C$35)*KFC!$C$5</f>
        <v>222.55724129324994</v>
      </c>
      <c r="V98" s="796">
        <f>(AW98*KFC!$B$35+KFC!$C$35)*KFC!$C$5</f>
        <v>231.02238870566066</v>
      </c>
      <c r="W98" s="796">
        <f>(AX98*KFC!$B$35+KFC!$C$35)*KFC!$C$5</f>
        <v>239.48753611807135</v>
      </c>
      <c r="X98" s="796">
        <f>(AY98*KFC!$B$35+KFC!$C$35)*KFC!$C$5</f>
        <v>247.95268353048206</v>
      </c>
      <c r="Y98" s="796">
        <f>(AZ98*KFC!$B$35+KFC!$C$35)*KFC!$C$5</f>
        <v>256.41783094289275</v>
      </c>
      <c r="Z98" s="814">
        <f>(BA98*KFC!$B$35+KFC!$C$35)*KFC!$C$5</f>
        <v>264.88297835530346</v>
      </c>
      <c r="AB98" s="1912"/>
      <c r="AC98" s="799">
        <v>1.4</v>
      </c>
      <c r="AD98" s="797">
        <v>70.184587869857182</v>
      </c>
      <c r="AE98" s="797">
        <v>78.649735282267883</v>
      </c>
      <c r="AF98" s="797">
        <v>87.114882694678585</v>
      </c>
      <c r="AG98" s="797">
        <v>95.5800301070893</v>
      </c>
      <c r="AH98" s="797">
        <v>104.0451775195</v>
      </c>
      <c r="AI98" s="797">
        <v>112.51032493191072</v>
      </c>
      <c r="AJ98" s="797">
        <v>120.97547234432142</v>
      </c>
      <c r="AK98" s="797">
        <v>129.44061975673213</v>
      </c>
      <c r="AL98" s="797">
        <v>137.90576716914285</v>
      </c>
      <c r="AM98" s="797">
        <v>146.37091458155354</v>
      </c>
      <c r="AN98" s="797">
        <v>154.83606199396425</v>
      </c>
      <c r="AO98" s="797">
        <v>163.30120940637497</v>
      </c>
      <c r="AP98" s="797">
        <v>171.76635681878568</v>
      </c>
      <c r="AQ98" s="797">
        <v>180.2315042311964</v>
      </c>
      <c r="AR98" s="797">
        <v>188.69665164360711</v>
      </c>
      <c r="AS98" s="797">
        <v>197.16179905601783</v>
      </c>
      <c r="AT98" s="797">
        <v>205.62694646842851</v>
      </c>
      <c r="AU98" s="797">
        <v>214.09209388083923</v>
      </c>
      <c r="AV98" s="797">
        <v>222.55724129324994</v>
      </c>
      <c r="AW98" s="797">
        <v>231.02238870566066</v>
      </c>
      <c r="AX98" s="797">
        <v>239.48753611807135</v>
      </c>
      <c r="AY98" s="797">
        <v>247.95268353048206</v>
      </c>
      <c r="AZ98" s="797">
        <v>256.41783094289275</v>
      </c>
      <c r="BA98" s="797">
        <v>264.88297835530346</v>
      </c>
    </row>
    <row r="99" spans="1:53">
      <c r="A99" s="1912"/>
      <c r="B99" s="799">
        <v>1.5</v>
      </c>
      <c r="C99" s="796">
        <f>(AD99*KFC!$B$35+KFC!$C$35)*KFC!$C$5</f>
        <v>71.449249549285753</v>
      </c>
      <c r="D99" s="796">
        <f>(AE99*KFC!$B$35+KFC!$C$35)*KFC!$C$5</f>
        <v>80.23057804571431</v>
      </c>
      <c r="E99" s="796">
        <f>(AF99*KFC!$B$35+KFC!$C$35)*KFC!$C$5</f>
        <v>89.011906542142881</v>
      </c>
      <c r="F99" s="796">
        <f>(AG99*KFC!$B$35+KFC!$C$35)*KFC!$C$5</f>
        <v>97.793235038571453</v>
      </c>
      <c r="G99" s="796">
        <f>(AH99*KFC!$B$35+KFC!$C$35)*KFC!$C$5</f>
        <v>106.57456353500002</v>
      </c>
      <c r="H99" s="796">
        <f>(AI99*KFC!$B$35+KFC!$C$35)*KFC!$C$5</f>
        <v>115.3558920314286</v>
      </c>
      <c r="I99" s="796">
        <f>(AJ99*KFC!$B$35+KFC!$C$35)*KFC!$C$5</f>
        <v>124.13722052785717</v>
      </c>
      <c r="J99" s="796">
        <f>(AK99*KFC!$B$35+KFC!$C$35)*KFC!$C$5</f>
        <v>132.91854902428574</v>
      </c>
      <c r="K99" s="796">
        <f>(AL99*KFC!$B$35+KFC!$C$35)*KFC!$C$5</f>
        <v>141.6998775207143</v>
      </c>
      <c r="L99" s="796">
        <f>(AM99*KFC!$B$35+KFC!$C$35)*KFC!$C$5</f>
        <v>150.48120601714288</v>
      </c>
      <c r="M99" s="796">
        <f>(AN99*KFC!$B$35+KFC!$C$35)*KFC!$C$5</f>
        <v>159.26253451357144</v>
      </c>
      <c r="N99" s="796">
        <f>(AO99*KFC!$B$35+KFC!$C$35)*KFC!$C$5</f>
        <v>168.04386301000002</v>
      </c>
      <c r="O99" s="796">
        <f>(AP99*KFC!$B$35+KFC!$C$35)*KFC!$C$5</f>
        <v>176.82519150642858</v>
      </c>
      <c r="P99" s="796">
        <f>(AQ99*KFC!$B$35+KFC!$C$35)*KFC!$C$5</f>
        <v>185.60652000285714</v>
      </c>
      <c r="Q99" s="796">
        <f>(AR99*KFC!$B$35+KFC!$C$35)*KFC!$C$5</f>
        <v>194.38784849928572</v>
      </c>
      <c r="R99" s="796">
        <f>(AS99*KFC!$B$35+KFC!$C$35)*KFC!$C$5</f>
        <v>203.16917699571428</v>
      </c>
      <c r="S99" s="796">
        <f>(AT99*KFC!$B$35+KFC!$C$35)*KFC!$C$5</f>
        <v>211.95050549214287</v>
      </c>
      <c r="T99" s="796">
        <f>(AU99*KFC!$B$35+KFC!$C$35)*KFC!$C$5</f>
        <v>220.73183398857142</v>
      </c>
      <c r="U99" s="796">
        <f>(AV99*KFC!$B$35+KFC!$C$35)*KFC!$C$5</f>
        <v>229.51316248500001</v>
      </c>
      <c r="V99" s="796">
        <f>(AW99*KFC!$B$35+KFC!$C$35)*KFC!$C$5</f>
        <v>238.29449098142857</v>
      </c>
      <c r="W99" s="796">
        <f>(AX99*KFC!$B$35+KFC!$C$35)*KFC!$C$5</f>
        <v>247.07581947785715</v>
      </c>
      <c r="X99" s="796">
        <f>(AY99*KFC!$B$35+KFC!$C$35)*KFC!$C$5</f>
        <v>255.85714797428571</v>
      </c>
      <c r="Y99" s="796">
        <f>(AZ99*KFC!$B$35+KFC!$C$35)*KFC!$C$5</f>
        <v>264.63847647071429</v>
      </c>
      <c r="Z99" s="814">
        <f>(BA99*KFC!$B$35+KFC!$C$35)*KFC!$C$5</f>
        <v>273.41980496714285</v>
      </c>
      <c r="AB99" s="1912"/>
      <c r="AC99" s="799">
        <v>1.5</v>
      </c>
      <c r="AD99" s="797">
        <v>71.449249549285753</v>
      </c>
      <c r="AE99" s="797">
        <v>80.23057804571431</v>
      </c>
      <c r="AF99" s="797">
        <v>89.011906542142881</v>
      </c>
      <c r="AG99" s="797">
        <v>97.793235038571453</v>
      </c>
      <c r="AH99" s="797">
        <v>106.57456353500002</v>
      </c>
      <c r="AI99" s="797">
        <v>115.3558920314286</v>
      </c>
      <c r="AJ99" s="797">
        <v>124.13722052785717</v>
      </c>
      <c r="AK99" s="797">
        <v>132.91854902428574</v>
      </c>
      <c r="AL99" s="797">
        <v>141.6998775207143</v>
      </c>
      <c r="AM99" s="797">
        <v>150.48120601714288</v>
      </c>
      <c r="AN99" s="797">
        <v>159.26253451357144</v>
      </c>
      <c r="AO99" s="797">
        <v>168.04386301000002</v>
      </c>
      <c r="AP99" s="797">
        <v>176.82519150642858</v>
      </c>
      <c r="AQ99" s="797">
        <v>185.60652000285714</v>
      </c>
      <c r="AR99" s="797">
        <v>194.38784849928572</v>
      </c>
      <c r="AS99" s="797">
        <v>203.16917699571428</v>
      </c>
      <c r="AT99" s="797">
        <v>211.95050549214287</v>
      </c>
      <c r="AU99" s="797">
        <v>220.73183398857142</v>
      </c>
      <c r="AV99" s="797">
        <v>229.51316248500001</v>
      </c>
      <c r="AW99" s="797">
        <v>238.29449098142857</v>
      </c>
      <c r="AX99" s="797">
        <v>247.07581947785715</v>
      </c>
      <c r="AY99" s="797">
        <v>255.85714797428571</v>
      </c>
      <c r="AZ99" s="797">
        <v>264.63847647071429</v>
      </c>
      <c r="BA99" s="797">
        <v>273.41980496714285</v>
      </c>
    </row>
    <row r="100" spans="1:53">
      <c r="A100" s="1912"/>
      <c r="B100" s="799">
        <v>1.6</v>
      </c>
      <c r="C100" s="796">
        <f>(AD100*KFC!$B$35+KFC!$C$35)*KFC!$C$5</f>
        <v>72.713911228714323</v>
      </c>
      <c r="D100" s="796">
        <f>(AE100*KFC!$B$35+KFC!$C$35)*KFC!$C$5</f>
        <v>81.811420809160737</v>
      </c>
      <c r="E100" s="796">
        <f>(AF100*KFC!$B$35+KFC!$C$35)*KFC!$C$5</f>
        <v>90.908930389607164</v>
      </c>
      <c r="F100" s="796">
        <f>(AG100*KFC!$B$35+KFC!$C$35)*KFC!$C$5</f>
        <v>100.00643997005358</v>
      </c>
      <c r="G100" s="796">
        <f>(AH100*KFC!$B$35+KFC!$C$35)*KFC!$C$5</f>
        <v>109.10394955049999</v>
      </c>
      <c r="H100" s="796">
        <f>(AI100*KFC!$B$35+KFC!$C$35)*KFC!$C$5</f>
        <v>118.2014591309464</v>
      </c>
      <c r="I100" s="796">
        <f>(AJ100*KFC!$B$35+KFC!$C$35)*KFC!$C$5</f>
        <v>127.29896871139282</v>
      </c>
      <c r="J100" s="796">
        <f>(AK100*KFC!$B$35+KFC!$C$35)*KFC!$C$5</f>
        <v>136.39647829183923</v>
      </c>
      <c r="K100" s="796">
        <f>(AL100*KFC!$B$35+KFC!$C$35)*KFC!$C$5</f>
        <v>145.49398787228566</v>
      </c>
      <c r="L100" s="796">
        <f>(AM100*KFC!$B$35+KFC!$C$35)*KFC!$C$5</f>
        <v>154.59149745273209</v>
      </c>
      <c r="M100" s="796">
        <f>(AN100*KFC!$B$35+KFC!$C$35)*KFC!$C$5</f>
        <v>163.68900703317848</v>
      </c>
      <c r="N100" s="796">
        <f>(AO100*KFC!$B$35+KFC!$C$35)*KFC!$C$5</f>
        <v>172.78651661362491</v>
      </c>
      <c r="O100" s="796">
        <f>(AP100*KFC!$B$35+KFC!$C$35)*KFC!$C$5</f>
        <v>181.88402619407134</v>
      </c>
      <c r="P100" s="796">
        <f>(AQ100*KFC!$B$35+KFC!$C$35)*KFC!$C$5</f>
        <v>190.98153577451777</v>
      </c>
      <c r="Q100" s="796">
        <f>(AR100*KFC!$B$35+KFC!$C$35)*KFC!$C$5</f>
        <v>200.07904535496422</v>
      </c>
      <c r="R100" s="796">
        <f>(AS100*KFC!$B$35+KFC!$C$35)*KFC!$C$5</f>
        <v>209.17655493541065</v>
      </c>
      <c r="S100" s="796">
        <f>(AT100*KFC!$B$35+KFC!$C$35)*KFC!$C$5</f>
        <v>218.27406451585708</v>
      </c>
      <c r="T100" s="796">
        <f>(AU100*KFC!$B$35+KFC!$C$35)*KFC!$C$5</f>
        <v>227.3715740963035</v>
      </c>
      <c r="U100" s="796">
        <f>(AV100*KFC!$B$35+KFC!$C$35)*KFC!$C$5</f>
        <v>236.46908367674996</v>
      </c>
      <c r="V100" s="796">
        <f>(AW100*KFC!$B$35+KFC!$C$35)*KFC!$C$5</f>
        <v>245.56659325719639</v>
      </c>
      <c r="W100" s="796">
        <f>(AX100*KFC!$B$35+KFC!$C$35)*KFC!$C$5</f>
        <v>254.66410283764282</v>
      </c>
      <c r="X100" s="796">
        <f>(AY100*KFC!$B$35+KFC!$C$35)*KFC!$C$5</f>
        <v>263.76161241808927</v>
      </c>
      <c r="Y100" s="796">
        <f>(AZ100*KFC!$B$35+KFC!$C$35)*KFC!$C$5</f>
        <v>272.85912199853567</v>
      </c>
      <c r="Z100" s="814">
        <f>(BA100*KFC!$B$35+KFC!$C$35)*KFC!$C$5</f>
        <v>281.95663157898213</v>
      </c>
      <c r="AB100" s="1912"/>
      <c r="AC100" s="799">
        <v>1.6</v>
      </c>
      <c r="AD100" s="797">
        <v>72.713911228714323</v>
      </c>
      <c r="AE100" s="797">
        <v>81.811420809160737</v>
      </c>
      <c r="AF100" s="797">
        <v>90.908930389607164</v>
      </c>
      <c r="AG100" s="797">
        <v>100.00643997005358</v>
      </c>
      <c r="AH100" s="797">
        <v>109.10394955049999</v>
      </c>
      <c r="AI100" s="797">
        <v>118.2014591309464</v>
      </c>
      <c r="AJ100" s="797">
        <v>127.29896871139282</v>
      </c>
      <c r="AK100" s="797">
        <v>136.39647829183923</v>
      </c>
      <c r="AL100" s="797">
        <v>145.49398787228566</v>
      </c>
      <c r="AM100" s="797">
        <v>154.59149745273209</v>
      </c>
      <c r="AN100" s="797">
        <v>163.68900703317848</v>
      </c>
      <c r="AO100" s="797">
        <v>172.78651661362491</v>
      </c>
      <c r="AP100" s="797">
        <v>181.88402619407134</v>
      </c>
      <c r="AQ100" s="797">
        <v>190.98153577451777</v>
      </c>
      <c r="AR100" s="797">
        <v>200.07904535496422</v>
      </c>
      <c r="AS100" s="797">
        <v>209.17655493541065</v>
      </c>
      <c r="AT100" s="797">
        <v>218.27406451585708</v>
      </c>
      <c r="AU100" s="797">
        <v>227.3715740963035</v>
      </c>
      <c r="AV100" s="797">
        <v>236.46908367674996</v>
      </c>
      <c r="AW100" s="797">
        <v>245.56659325719639</v>
      </c>
      <c r="AX100" s="797">
        <v>254.66410283764282</v>
      </c>
      <c r="AY100" s="797">
        <v>263.76161241808927</v>
      </c>
      <c r="AZ100" s="797">
        <v>272.85912199853567</v>
      </c>
      <c r="BA100" s="797">
        <v>281.95663157898213</v>
      </c>
    </row>
    <row r="101" spans="1:53">
      <c r="A101" s="1912"/>
      <c r="B101" s="799">
        <v>1.7</v>
      </c>
      <c r="C101" s="796">
        <f>(AD101*KFC!$B$35+KFC!$C$35)*KFC!$C$5</f>
        <v>73.978572908142908</v>
      </c>
      <c r="D101" s="796">
        <f>(AE101*KFC!$B$35+KFC!$C$35)*KFC!$C$5</f>
        <v>83.392263572607177</v>
      </c>
      <c r="E101" s="796">
        <f>(AF101*KFC!$B$35+KFC!$C$35)*KFC!$C$5</f>
        <v>92.805954237071461</v>
      </c>
      <c r="F101" s="796">
        <f>(AG101*KFC!$B$35+KFC!$C$35)*KFC!$C$5</f>
        <v>102.21964490153574</v>
      </c>
      <c r="G101" s="796">
        <f>(AH101*KFC!$B$35+KFC!$C$35)*KFC!$C$5</f>
        <v>111.63333556600001</v>
      </c>
      <c r="H101" s="796">
        <f>(AI101*KFC!$B$35+KFC!$C$35)*KFC!$C$5</f>
        <v>121.0470262304643</v>
      </c>
      <c r="I101" s="796">
        <f>(AJ101*KFC!$B$35+KFC!$C$35)*KFC!$C$5</f>
        <v>130.46071689492857</v>
      </c>
      <c r="J101" s="796">
        <f>(AK101*KFC!$B$35+KFC!$C$35)*KFC!$C$5</f>
        <v>139.87440755939286</v>
      </c>
      <c r="K101" s="796">
        <f>(AL101*KFC!$B$35+KFC!$C$35)*KFC!$C$5</f>
        <v>149.28809822385713</v>
      </c>
      <c r="L101" s="796">
        <f>(AM101*KFC!$B$35+KFC!$C$35)*KFC!$C$5</f>
        <v>158.70178888832143</v>
      </c>
      <c r="M101" s="796">
        <f>(AN101*KFC!$B$35+KFC!$C$35)*KFC!$C$5</f>
        <v>168.1154795527857</v>
      </c>
      <c r="N101" s="796">
        <f>(AO101*KFC!$B$35+KFC!$C$35)*KFC!$C$5</f>
        <v>177.52917021724997</v>
      </c>
      <c r="O101" s="796">
        <f>(AP101*KFC!$B$35+KFC!$C$35)*KFC!$C$5</f>
        <v>186.94286088171421</v>
      </c>
      <c r="P101" s="796">
        <f>(AQ101*KFC!$B$35+KFC!$C$35)*KFC!$C$5</f>
        <v>196.35655154617848</v>
      </c>
      <c r="Q101" s="796">
        <f>(AR101*KFC!$B$35+KFC!$C$35)*KFC!$C$5</f>
        <v>205.77024221064275</v>
      </c>
      <c r="R101" s="796">
        <f>(AS101*KFC!$B$35+KFC!$C$35)*KFC!$C$5</f>
        <v>215.18393287510699</v>
      </c>
      <c r="S101" s="796">
        <f>(AT101*KFC!$B$35+KFC!$C$35)*KFC!$C$5</f>
        <v>224.59762353957126</v>
      </c>
      <c r="T101" s="796">
        <f>(AU101*KFC!$B$35+KFC!$C$35)*KFC!$C$5</f>
        <v>234.01131420403553</v>
      </c>
      <c r="U101" s="796">
        <f>(AV101*KFC!$B$35+KFC!$C$35)*KFC!$C$5</f>
        <v>243.4250048684998</v>
      </c>
      <c r="V101" s="796">
        <f>(AW101*KFC!$B$35+KFC!$C$35)*KFC!$C$5</f>
        <v>252.83869553296404</v>
      </c>
      <c r="W101" s="796">
        <f>(AX101*KFC!$B$35+KFC!$C$35)*KFC!$C$5</f>
        <v>262.25238619742828</v>
      </c>
      <c r="X101" s="796">
        <f>(AY101*KFC!$B$35+KFC!$C$35)*KFC!$C$5</f>
        <v>271.66607686189258</v>
      </c>
      <c r="Y101" s="796">
        <f>(AZ101*KFC!$B$35+KFC!$C$35)*KFC!$C$5</f>
        <v>281.07976752635682</v>
      </c>
      <c r="Z101" s="814">
        <f>(BA101*KFC!$B$35+KFC!$C$35)*KFC!$C$5</f>
        <v>290.49345819082112</v>
      </c>
      <c r="AB101" s="1912"/>
      <c r="AC101" s="799">
        <v>1.7</v>
      </c>
      <c r="AD101" s="797">
        <v>73.978572908142908</v>
      </c>
      <c r="AE101" s="797">
        <v>83.392263572607177</v>
      </c>
      <c r="AF101" s="797">
        <v>92.805954237071461</v>
      </c>
      <c r="AG101" s="797">
        <v>102.21964490153574</v>
      </c>
      <c r="AH101" s="797">
        <v>111.63333556600001</v>
      </c>
      <c r="AI101" s="797">
        <v>121.0470262304643</v>
      </c>
      <c r="AJ101" s="797">
        <v>130.46071689492857</v>
      </c>
      <c r="AK101" s="797">
        <v>139.87440755939286</v>
      </c>
      <c r="AL101" s="797">
        <v>149.28809822385713</v>
      </c>
      <c r="AM101" s="797">
        <v>158.70178888832143</v>
      </c>
      <c r="AN101" s="797">
        <v>168.1154795527857</v>
      </c>
      <c r="AO101" s="797">
        <v>177.52917021724997</v>
      </c>
      <c r="AP101" s="797">
        <v>186.94286088171421</v>
      </c>
      <c r="AQ101" s="797">
        <v>196.35655154617848</v>
      </c>
      <c r="AR101" s="797">
        <v>205.77024221064275</v>
      </c>
      <c r="AS101" s="797">
        <v>215.18393287510699</v>
      </c>
      <c r="AT101" s="797">
        <v>224.59762353957126</v>
      </c>
      <c r="AU101" s="797">
        <v>234.01131420403553</v>
      </c>
      <c r="AV101" s="797">
        <v>243.4250048684998</v>
      </c>
      <c r="AW101" s="797">
        <v>252.83869553296404</v>
      </c>
      <c r="AX101" s="797">
        <v>262.25238619742828</v>
      </c>
      <c r="AY101" s="797">
        <v>271.66607686189258</v>
      </c>
      <c r="AZ101" s="797">
        <v>281.07976752635682</v>
      </c>
      <c r="BA101" s="797">
        <v>290.49345819082112</v>
      </c>
    </row>
    <row r="102" spans="1:53">
      <c r="A102" s="1912"/>
      <c r="B102" s="799">
        <v>1.8</v>
      </c>
      <c r="C102" s="796">
        <f>(AD102*KFC!$B$35+KFC!$C$35)*KFC!$C$5</f>
        <v>75.243234587571479</v>
      </c>
      <c r="D102" s="796">
        <f>(AE102*KFC!$B$35+KFC!$C$35)*KFC!$C$5</f>
        <v>84.973106336053618</v>
      </c>
      <c r="E102" s="796">
        <f>(AF102*KFC!$B$35+KFC!$C$35)*KFC!$C$5</f>
        <v>94.702978084535744</v>
      </c>
      <c r="F102" s="796">
        <f>(AG102*KFC!$B$35+KFC!$C$35)*KFC!$C$5</f>
        <v>104.43284983301787</v>
      </c>
      <c r="G102" s="796">
        <f>(AH102*KFC!$B$35+KFC!$C$35)*KFC!$C$5</f>
        <v>114.16272158149999</v>
      </c>
      <c r="H102" s="796">
        <f>(AI102*KFC!$B$35+KFC!$C$35)*KFC!$C$5</f>
        <v>123.89259332998212</v>
      </c>
      <c r="I102" s="796">
        <f>(AJ102*KFC!$B$35+KFC!$C$35)*KFC!$C$5</f>
        <v>133.62246507846424</v>
      </c>
      <c r="J102" s="796">
        <f>(AK102*KFC!$B$35+KFC!$C$35)*KFC!$C$5</f>
        <v>143.35233682694636</v>
      </c>
      <c r="K102" s="796">
        <f>(AL102*KFC!$B$35+KFC!$C$35)*KFC!$C$5</f>
        <v>153.0822085754285</v>
      </c>
      <c r="L102" s="796">
        <f>(AM102*KFC!$B$35+KFC!$C$35)*KFC!$C$5</f>
        <v>162.81208032391061</v>
      </c>
      <c r="M102" s="796">
        <f>(AN102*KFC!$B$35+KFC!$C$35)*KFC!$C$5</f>
        <v>172.54195207239275</v>
      </c>
      <c r="N102" s="796">
        <f>(AO102*KFC!$B$35+KFC!$C$35)*KFC!$C$5</f>
        <v>182.27182382087486</v>
      </c>
      <c r="O102" s="796">
        <f>(AP102*KFC!$B$35+KFC!$C$35)*KFC!$C$5</f>
        <v>192.001695569357</v>
      </c>
      <c r="P102" s="796">
        <f>(AQ102*KFC!$B$35+KFC!$C$35)*KFC!$C$5</f>
        <v>201.73156731783911</v>
      </c>
      <c r="Q102" s="796">
        <f>(AR102*KFC!$B$35+KFC!$C$35)*KFC!$C$5</f>
        <v>211.46143906632125</v>
      </c>
      <c r="R102" s="796">
        <f>(AS102*KFC!$B$35+KFC!$C$35)*KFC!$C$5</f>
        <v>221.19131081480336</v>
      </c>
      <c r="S102" s="796">
        <f>(AT102*KFC!$B$35+KFC!$C$35)*KFC!$C$5</f>
        <v>230.9211825632855</v>
      </c>
      <c r="T102" s="796">
        <f>(AU102*KFC!$B$35+KFC!$C$35)*KFC!$C$5</f>
        <v>240.65105431176761</v>
      </c>
      <c r="U102" s="796">
        <f>(AV102*KFC!$B$35+KFC!$C$35)*KFC!$C$5</f>
        <v>250.38092606024972</v>
      </c>
      <c r="V102" s="796">
        <f>(AW102*KFC!$B$35+KFC!$C$35)*KFC!$C$5</f>
        <v>260.11079780873183</v>
      </c>
      <c r="W102" s="796">
        <f>(AX102*KFC!$B$35+KFC!$C$35)*KFC!$C$5</f>
        <v>269.84066955721397</v>
      </c>
      <c r="X102" s="796">
        <f>(AY102*KFC!$B$35+KFC!$C$35)*KFC!$C$5</f>
        <v>279.57054130569611</v>
      </c>
      <c r="Y102" s="796">
        <f>(AZ102*KFC!$B$35+KFC!$C$35)*KFC!$C$5</f>
        <v>289.30041305417825</v>
      </c>
      <c r="Z102" s="814">
        <f>(BA102*KFC!$B$35+KFC!$C$35)*KFC!$C$5</f>
        <v>299.03028480266033</v>
      </c>
      <c r="AB102" s="1912"/>
      <c r="AC102" s="799">
        <v>1.8</v>
      </c>
      <c r="AD102" s="797">
        <v>75.243234587571479</v>
      </c>
      <c r="AE102" s="797">
        <v>84.973106336053618</v>
      </c>
      <c r="AF102" s="797">
        <v>94.702978084535744</v>
      </c>
      <c r="AG102" s="797">
        <v>104.43284983301787</v>
      </c>
      <c r="AH102" s="797">
        <v>114.16272158149999</v>
      </c>
      <c r="AI102" s="797">
        <v>123.89259332998212</v>
      </c>
      <c r="AJ102" s="797">
        <v>133.62246507846424</v>
      </c>
      <c r="AK102" s="797">
        <v>143.35233682694636</v>
      </c>
      <c r="AL102" s="797">
        <v>153.0822085754285</v>
      </c>
      <c r="AM102" s="797">
        <v>162.81208032391061</v>
      </c>
      <c r="AN102" s="797">
        <v>172.54195207239275</v>
      </c>
      <c r="AO102" s="797">
        <v>182.27182382087486</v>
      </c>
      <c r="AP102" s="797">
        <v>192.001695569357</v>
      </c>
      <c r="AQ102" s="797">
        <v>201.73156731783911</v>
      </c>
      <c r="AR102" s="797">
        <v>211.46143906632125</v>
      </c>
      <c r="AS102" s="797">
        <v>221.19131081480336</v>
      </c>
      <c r="AT102" s="797">
        <v>230.9211825632855</v>
      </c>
      <c r="AU102" s="797">
        <v>240.65105431176761</v>
      </c>
      <c r="AV102" s="797">
        <v>250.38092606024972</v>
      </c>
      <c r="AW102" s="797">
        <v>260.11079780873183</v>
      </c>
      <c r="AX102" s="797">
        <v>269.84066955721397</v>
      </c>
      <c r="AY102" s="797">
        <v>279.57054130569611</v>
      </c>
      <c r="AZ102" s="797">
        <v>289.30041305417825</v>
      </c>
      <c r="BA102" s="797">
        <v>299.03028480266033</v>
      </c>
    </row>
    <row r="103" spans="1:53">
      <c r="A103" s="1912"/>
      <c r="B103" s="799">
        <v>1.9</v>
      </c>
      <c r="C103" s="796">
        <f>(AD103*KFC!$B$35+KFC!$C$35)*KFC!$C$5</f>
        <v>76.507896267000049</v>
      </c>
      <c r="D103" s="796">
        <f>(AE103*KFC!$B$35+KFC!$C$35)*KFC!$C$5</f>
        <v>86.553949099500045</v>
      </c>
      <c r="E103" s="796">
        <f>(AF103*KFC!$B$35+KFC!$C$35)*KFC!$C$5</f>
        <v>96.600001932000026</v>
      </c>
      <c r="F103" s="796">
        <f>(AG103*KFC!$B$35+KFC!$C$35)*KFC!$C$5</f>
        <v>106.64605476450002</v>
      </c>
      <c r="G103" s="796">
        <f>(AH103*KFC!$B$35+KFC!$C$35)*KFC!$C$5</f>
        <v>116.692107597</v>
      </c>
      <c r="H103" s="796">
        <f>(AI103*KFC!$B$35+KFC!$C$35)*KFC!$C$5</f>
        <v>126.7381604295</v>
      </c>
      <c r="I103" s="796">
        <f>(AJ103*KFC!$B$35+KFC!$C$35)*KFC!$C$5</f>
        <v>136.78421326199998</v>
      </c>
      <c r="J103" s="796">
        <f>(AK103*KFC!$B$35+KFC!$C$35)*KFC!$C$5</f>
        <v>146.83026609449996</v>
      </c>
      <c r="K103" s="796">
        <f>(AL103*KFC!$B$35+KFC!$C$35)*KFC!$C$5</f>
        <v>156.87631892699994</v>
      </c>
      <c r="L103" s="796">
        <f>(AM103*KFC!$B$35+KFC!$C$35)*KFC!$C$5</f>
        <v>166.92237175949995</v>
      </c>
      <c r="M103" s="796">
        <f>(AN103*KFC!$B$35+KFC!$C$35)*KFC!$C$5</f>
        <v>176.96842459199993</v>
      </c>
      <c r="N103" s="796">
        <f>(AO103*KFC!$B$35+KFC!$C$35)*KFC!$C$5</f>
        <v>187.01447742449992</v>
      </c>
      <c r="O103" s="796">
        <f>(AP103*KFC!$B$35+KFC!$C$35)*KFC!$C$5</f>
        <v>197.0605302569999</v>
      </c>
      <c r="P103" s="796">
        <f>(AQ103*KFC!$B$35+KFC!$C$35)*KFC!$C$5</f>
        <v>207.10658308949991</v>
      </c>
      <c r="Q103" s="796">
        <f>(AR103*KFC!$B$35+KFC!$C$35)*KFC!$C$5</f>
        <v>217.15263592199989</v>
      </c>
      <c r="R103" s="796">
        <f>(AS103*KFC!$B$35+KFC!$C$35)*KFC!$C$5</f>
        <v>227.19868875449987</v>
      </c>
      <c r="S103" s="796">
        <f>(AT103*KFC!$B$35+KFC!$C$35)*KFC!$C$5</f>
        <v>237.24474158699985</v>
      </c>
      <c r="T103" s="796">
        <f>(AU103*KFC!$B$35+KFC!$C$35)*KFC!$C$5</f>
        <v>247.29079441949983</v>
      </c>
      <c r="U103" s="796">
        <f>(AV103*KFC!$B$35+KFC!$C$35)*KFC!$C$5</f>
        <v>257.33684725199981</v>
      </c>
      <c r="V103" s="796">
        <f>(AW103*KFC!$B$35+KFC!$C$35)*KFC!$C$5</f>
        <v>267.38290008449979</v>
      </c>
      <c r="W103" s="796">
        <f>(AX103*KFC!$B$35+KFC!$C$35)*KFC!$C$5</f>
        <v>277.42895291699983</v>
      </c>
      <c r="X103" s="796">
        <f>(AY103*KFC!$B$35+KFC!$C$35)*KFC!$C$5</f>
        <v>287.47500574949981</v>
      </c>
      <c r="Y103" s="796">
        <f>(AZ103*KFC!$B$35+KFC!$C$35)*KFC!$C$5</f>
        <v>297.5210585819998</v>
      </c>
      <c r="Z103" s="814">
        <f>(BA103*KFC!$B$35+KFC!$C$35)*KFC!$C$5</f>
        <v>307.56711141449978</v>
      </c>
      <c r="AB103" s="1912"/>
      <c r="AC103" s="799">
        <v>1.9</v>
      </c>
      <c r="AD103" s="797">
        <v>76.507896267000049</v>
      </c>
      <c r="AE103" s="797">
        <v>86.553949099500045</v>
      </c>
      <c r="AF103" s="797">
        <v>96.600001932000026</v>
      </c>
      <c r="AG103" s="797">
        <v>106.64605476450002</v>
      </c>
      <c r="AH103" s="797">
        <v>116.692107597</v>
      </c>
      <c r="AI103" s="797">
        <v>126.7381604295</v>
      </c>
      <c r="AJ103" s="797">
        <v>136.78421326199998</v>
      </c>
      <c r="AK103" s="797">
        <v>146.83026609449996</v>
      </c>
      <c r="AL103" s="797">
        <v>156.87631892699994</v>
      </c>
      <c r="AM103" s="797">
        <v>166.92237175949995</v>
      </c>
      <c r="AN103" s="797">
        <v>176.96842459199993</v>
      </c>
      <c r="AO103" s="797">
        <v>187.01447742449992</v>
      </c>
      <c r="AP103" s="797">
        <v>197.0605302569999</v>
      </c>
      <c r="AQ103" s="797">
        <v>207.10658308949991</v>
      </c>
      <c r="AR103" s="797">
        <v>217.15263592199989</v>
      </c>
      <c r="AS103" s="797">
        <v>227.19868875449987</v>
      </c>
      <c r="AT103" s="797">
        <v>237.24474158699985</v>
      </c>
      <c r="AU103" s="797">
        <v>247.29079441949983</v>
      </c>
      <c r="AV103" s="797">
        <v>257.33684725199981</v>
      </c>
      <c r="AW103" s="797">
        <v>267.38290008449979</v>
      </c>
      <c r="AX103" s="797">
        <v>277.42895291699983</v>
      </c>
      <c r="AY103" s="797">
        <v>287.47500574949981</v>
      </c>
      <c r="AZ103" s="797">
        <v>297.5210585819998</v>
      </c>
      <c r="BA103" s="797">
        <v>307.56711141449978</v>
      </c>
    </row>
    <row r="104" spans="1:53">
      <c r="A104" s="1912"/>
      <c r="B104" s="799">
        <v>2</v>
      </c>
      <c r="C104" s="796">
        <f>(AD104*KFC!$B$35+KFC!$C$35)*KFC!$C$5</f>
        <v>77.772557946428634</v>
      </c>
      <c r="D104" s="796">
        <f>(AE104*KFC!$B$35+KFC!$C$35)*KFC!$C$5</f>
        <v>88.134791862946486</v>
      </c>
      <c r="E104" s="796">
        <f>(AF104*KFC!$B$35+KFC!$C$35)*KFC!$C$5</f>
        <v>98.497025779464337</v>
      </c>
      <c r="F104" s="796">
        <f>(AG104*KFC!$B$35+KFC!$C$35)*KFC!$C$5</f>
        <v>108.85925969598219</v>
      </c>
      <c r="G104" s="796">
        <f>(AH104*KFC!$B$35+KFC!$C$35)*KFC!$C$5</f>
        <v>119.22149361250004</v>
      </c>
      <c r="H104" s="796">
        <f>(AI104*KFC!$B$35+KFC!$C$35)*KFC!$C$5</f>
        <v>129.58372752901789</v>
      </c>
      <c r="I104" s="796">
        <f>(AJ104*KFC!$B$35+KFC!$C$35)*KFC!$C$5</f>
        <v>139.94596144553574</v>
      </c>
      <c r="J104" s="796">
        <f>(AK104*KFC!$B$35+KFC!$C$35)*KFC!$C$5</f>
        <v>150.3081953620536</v>
      </c>
      <c r="K104" s="796">
        <f>(AL104*KFC!$B$35+KFC!$C$35)*KFC!$C$5</f>
        <v>160.67042927857145</v>
      </c>
      <c r="L104" s="796">
        <f>(AM104*KFC!$B$35+KFC!$C$35)*KFC!$C$5</f>
        <v>171.03266319508927</v>
      </c>
      <c r="M104" s="796">
        <f>(AN104*KFC!$B$35+KFC!$C$35)*KFC!$C$5</f>
        <v>181.39489711160712</v>
      </c>
      <c r="N104" s="796">
        <f>(AO104*KFC!$B$35+KFC!$C$35)*KFC!$C$5</f>
        <v>191.75713102812497</v>
      </c>
      <c r="O104" s="796">
        <f>(AP104*KFC!$B$35+KFC!$C$35)*KFC!$C$5</f>
        <v>202.11936494464283</v>
      </c>
      <c r="P104" s="796">
        <f>(AQ104*KFC!$B$35+KFC!$C$35)*KFC!$C$5</f>
        <v>212.48159886116068</v>
      </c>
      <c r="Q104" s="796">
        <f>(AR104*KFC!$B$35+KFC!$C$35)*KFC!$C$5</f>
        <v>222.84383277767853</v>
      </c>
      <c r="R104" s="796">
        <f>(AS104*KFC!$B$35+KFC!$C$35)*KFC!$C$5</f>
        <v>233.20606669419638</v>
      </c>
      <c r="S104" s="796">
        <f>(AT104*KFC!$B$35+KFC!$C$35)*KFC!$C$5</f>
        <v>243.56830061071423</v>
      </c>
      <c r="T104" s="796">
        <f>(AU104*KFC!$B$35+KFC!$C$35)*KFC!$C$5</f>
        <v>253.93053452723208</v>
      </c>
      <c r="U104" s="796">
        <f>(AV104*KFC!$B$35+KFC!$C$35)*KFC!$C$5</f>
        <v>264.29276844374994</v>
      </c>
      <c r="V104" s="796">
        <f>(AW104*KFC!$B$35+KFC!$C$35)*KFC!$C$5</f>
        <v>274.65500236026776</v>
      </c>
      <c r="W104" s="796">
        <f>(AX104*KFC!$B$35+KFC!$C$35)*KFC!$C$5</f>
        <v>285.01723627678564</v>
      </c>
      <c r="X104" s="796">
        <f>(AY104*KFC!$B$35+KFC!$C$35)*KFC!$C$5</f>
        <v>295.37947019330346</v>
      </c>
      <c r="Y104" s="796">
        <f>(AZ104*KFC!$B$35+KFC!$C$35)*KFC!$C$5</f>
        <v>305.74170410982134</v>
      </c>
      <c r="Z104" s="814">
        <f>(BA104*KFC!$B$35+KFC!$C$35)*KFC!$C$5</f>
        <v>316.10393802633916</v>
      </c>
      <c r="AB104" s="1912"/>
      <c r="AC104" s="799">
        <v>2</v>
      </c>
      <c r="AD104" s="797">
        <v>77.772557946428634</v>
      </c>
      <c r="AE104" s="797">
        <v>88.134791862946486</v>
      </c>
      <c r="AF104" s="797">
        <v>98.497025779464337</v>
      </c>
      <c r="AG104" s="797">
        <v>108.85925969598219</v>
      </c>
      <c r="AH104" s="797">
        <v>119.22149361250004</v>
      </c>
      <c r="AI104" s="797">
        <v>129.58372752901789</v>
      </c>
      <c r="AJ104" s="797">
        <v>139.94596144553574</v>
      </c>
      <c r="AK104" s="797">
        <v>150.3081953620536</v>
      </c>
      <c r="AL104" s="797">
        <v>160.67042927857145</v>
      </c>
      <c r="AM104" s="797">
        <v>171.03266319508927</v>
      </c>
      <c r="AN104" s="797">
        <v>181.39489711160712</v>
      </c>
      <c r="AO104" s="797">
        <v>191.75713102812497</v>
      </c>
      <c r="AP104" s="797">
        <v>202.11936494464283</v>
      </c>
      <c r="AQ104" s="797">
        <v>212.48159886116068</v>
      </c>
      <c r="AR104" s="797">
        <v>222.84383277767853</v>
      </c>
      <c r="AS104" s="797">
        <v>233.20606669419638</v>
      </c>
      <c r="AT104" s="797">
        <v>243.56830061071423</v>
      </c>
      <c r="AU104" s="797">
        <v>253.93053452723208</v>
      </c>
      <c r="AV104" s="797">
        <v>264.29276844374994</v>
      </c>
      <c r="AW104" s="797">
        <v>274.65500236026776</v>
      </c>
      <c r="AX104" s="797">
        <v>285.01723627678564</v>
      </c>
      <c r="AY104" s="797">
        <v>295.37947019330346</v>
      </c>
      <c r="AZ104" s="797">
        <v>305.74170410982134</v>
      </c>
      <c r="BA104" s="797">
        <v>316.10393802633916</v>
      </c>
    </row>
    <row r="105" spans="1:53">
      <c r="A105" s="1912"/>
      <c r="B105" s="799">
        <v>2.1</v>
      </c>
      <c r="C105" s="796">
        <f>(AD105*KFC!$B$35+KFC!$C$35)*KFC!$C$5</f>
        <v>79.037219625857205</v>
      </c>
      <c r="D105" s="796">
        <f>(AE105*KFC!$B$35+KFC!$C$35)*KFC!$C$5</f>
        <v>89.715634626392898</v>
      </c>
      <c r="E105" s="796">
        <f>(AF105*KFC!$B$35+KFC!$C$35)*KFC!$C$5</f>
        <v>100.39404962692859</v>
      </c>
      <c r="F105" s="796">
        <f>(AG105*KFC!$B$35+KFC!$C$35)*KFC!$C$5</f>
        <v>111.0724646274643</v>
      </c>
      <c r="G105" s="796">
        <f>(AH105*KFC!$B$35+KFC!$C$35)*KFC!$C$5</f>
        <v>121.75087962799999</v>
      </c>
      <c r="H105" s="796">
        <f>(AI105*KFC!$B$35+KFC!$C$35)*KFC!$C$5</f>
        <v>132.42929462853567</v>
      </c>
      <c r="I105" s="796">
        <f>(AJ105*KFC!$B$35+KFC!$C$35)*KFC!$C$5</f>
        <v>143.10770962907137</v>
      </c>
      <c r="J105" s="796">
        <f>(AK105*KFC!$B$35+KFC!$C$35)*KFC!$C$5</f>
        <v>153.78612462960709</v>
      </c>
      <c r="K105" s="796">
        <f>(AL105*KFC!$B$35+KFC!$C$35)*KFC!$C$5</f>
        <v>164.46453963014278</v>
      </c>
      <c r="L105" s="796">
        <f>(AM105*KFC!$B$35+KFC!$C$35)*KFC!$C$5</f>
        <v>175.14295463067847</v>
      </c>
      <c r="M105" s="796">
        <f>(AN105*KFC!$B$35+KFC!$C$35)*KFC!$C$5</f>
        <v>185.8213696312142</v>
      </c>
      <c r="N105" s="796">
        <f>(AO105*KFC!$B$35+KFC!$C$35)*KFC!$C$5</f>
        <v>196.49978463174992</v>
      </c>
      <c r="O105" s="796">
        <f>(AP105*KFC!$B$35+KFC!$C$35)*KFC!$C$5</f>
        <v>207.17819963228564</v>
      </c>
      <c r="P105" s="796">
        <f>(AQ105*KFC!$B$35+KFC!$C$35)*KFC!$C$5</f>
        <v>217.85661463282133</v>
      </c>
      <c r="Q105" s="796">
        <f>(AR105*KFC!$B$35+KFC!$C$35)*KFC!$C$5</f>
        <v>228.53502963335706</v>
      </c>
      <c r="R105" s="796">
        <f>(AS105*KFC!$B$35+KFC!$C$35)*KFC!$C$5</f>
        <v>239.21344463389278</v>
      </c>
      <c r="S105" s="796">
        <f>(AT105*KFC!$B$35+KFC!$C$35)*KFC!$C$5</f>
        <v>249.8918596344285</v>
      </c>
      <c r="T105" s="796">
        <f>(AU105*KFC!$B$35+KFC!$C$35)*KFC!$C$5</f>
        <v>260.57027463496422</v>
      </c>
      <c r="U105" s="796">
        <f>(AV105*KFC!$B$35+KFC!$C$35)*KFC!$C$5</f>
        <v>271.24868963549994</v>
      </c>
      <c r="V105" s="796">
        <f>(AW105*KFC!$B$35+KFC!$C$35)*KFC!$C$5</f>
        <v>281.92710463603561</v>
      </c>
      <c r="W105" s="796">
        <f>(AX105*KFC!$B$35+KFC!$C$35)*KFC!$C$5</f>
        <v>292.60551963657133</v>
      </c>
      <c r="X105" s="796">
        <f>(AY105*KFC!$B$35+KFC!$C$35)*KFC!$C$5</f>
        <v>303.28393463710705</v>
      </c>
      <c r="Y105" s="796">
        <f>(AZ105*KFC!$B$35+KFC!$C$35)*KFC!$C$5</f>
        <v>313.96234963764277</v>
      </c>
      <c r="Z105" s="814">
        <f>(BA105*KFC!$B$35+KFC!$C$35)*KFC!$C$5</f>
        <v>324.6407646381785</v>
      </c>
      <c r="AB105" s="1912"/>
      <c r="AC105" s="799">
        <v>2.1</v>
      </c>
      <c r="AD105" s="797">
        <v>79.037219625857205</v>
      </c>
      <c r="AE105" s="797">
        <v>89.715634626392898</v>
      </c>
      <c r="AF105" s="797">
        <v>100.39404962692859</v>
      </c>
      <c r="AG105" s="797">
        <v>111.0724646274643</v>
      </c>
      <c r="AH105" s="797">
        <v>121.75087962799999</v>
      </c>
      <c r="AI105" s="797">
        <v>132.42929462853567</v>
      </c>
      <c r="AJ105" s="797">
        <v>143.10770962907137</v>
      </c>
      <c r="AK105" s="797">
        <v>153.78612462960709</v>
      </c>
      <c r="AL105" s="797">
        <v>164.46453963014278</v>
      </c>
      <c r="AM105" s="797">
        <v>175.14295463067847</v>
      </c>
      <c r="AN105" s="797">
        <v>185.8213696312142</v>
      </c>
      <c r="AO105" s="797">
        <v>196.49978463174992</v>
      </c>
      <c r="AP105" s="797">
        <v>207.17819963228564</v>
      </c>
      <c r="AQ105" s="797">
        <v>217.85661463282133</v>
      </c>
      <c r="AR105" s="797">
        <v>228.53502963335706</v>
      </c>
      <c r="AS105" s="797">
        <v>239.21344463389278</v>
      </c>
      <c r="AT105" s="797">
        <v>249.8918596344285</v>
      </c>
      <c r="AU105" s="797">
        <v>260.57027463496422</v>
      </c>
      <c r="AV105" s="797">
        <v>271.24868963549994</v>
      </c>
      <c r="AW105" s="797">
        <v>281.92710463603561</v>
      </c>
      <c r="AX105" s="797">
        <v>292.60551963657133</v>
      </c>
      <c r="AY105" s="797">
        <v>303.28393463710705</v>
      </c>
      <c r="AZ105" s="797">
        <v>313.96234963764277</v>
      </c>
      <c r="BA105" s="797">
        <v>324.6407646381785</v>
      </c>
    </row>
    <row r="106" spans="1:53">
      <c r="A106" s="1912"/>
      <c r="B106" s="799">
        <v>2.2000000000000002</v>
      </c>
      <c r="C106" s="796">
        <f>(AD106*KFC!$B$35+KFC!$C$35)*KFC!$C$5</f>
        <v>80.301881305285775</v>
      </c>
      <c r="D106" s="796">
        <f>(AE106*KFC!$B$35+KFC!$C$35)*KFC!$C$5</f>
        <v>91.296477389839339</v>
      </c>
      <c r="E106" s="796">
        <f>(AF106*KFC!$B$35+KFC!$C$35)*KFC!$C$5</f>
        <v>102.2910734743929</v>
      </c>
      <c r="F106" s="796">
        <f>(AG106*KFC!$B$35+KFC!$C$35)*KFC!$C$5</f>
        <v>113.28566955894645</v>
      </c>
      <c r="G106" s="796">
        <f>(AH106*KFC!$B$35+KFC!$C$35)*KFC!$C$5</f>
        <v>124.28026564350002</v>
      </c>
      <c r="H106" s="796">
        <f>(AI106*KFC!$B$35+KFC!$C$35)*KFC!$C$5</f>
        <v>135.27486172805357</v>
      </c>
      <c r="I106" s="796">
        <f>(AJ106*KFC!$B$35+KFC!$C$35)*KFC!$C$5</f>
        <v>146.26945781260713</v>
      </c>
      <c r="J106" s="796">
        <f>(AK106*KFC!$B$35+KFC!$C$35)*KFC!$C$5</f>
        <v>157.26405389716069</v>
      </c>
      <c r="K106" s="796">
        <f>(AL106*KFC!$B$35+KFC!$C$35)*KFC!$C$5</f>
        <v>168.25864998171426</v>
      </c>
      <c r="L106" s="796">
        <f>(AM106*KFC!$B$35+KFC!$C$35)*KFC!$C$5</f>
        <v>179.25324606626782</v>
      </c>
      <c r="M106" s="796">
        <f>(AN106*KFC!$B$35+KFC!$C$35)*KFC!$C$5</f>
        <v>190.24784215082136</v>
      </c>
      <c r="N106" s="796">
        <f>(AO106*KFC!$B$35+KFC!$C$35)*KFC!$C$5</f>
        <v>201.24243823537492</v>
      </c>
      <c r="O106" s="796">
        <f>(AP106*KFC!$B$35+KFC!$C$35)*KFC!$C$5</f>
        <v>212.23703431992851</v>
      </c>
      <c r="P106" s="796">
        <f>(AQ106*KFC!$B$35+KFC!$C$35)*KFC!$C$5</f>
        <v>223.23163040448208</v>
      </c>
      <c r="Q106" s="796">
        <f>(AR106*KFC!$B$35+KFC!$C$35)*KFC!$C$5</f>
        <v>234.22622648903567</v>
      </c>
      <c r="R106" s="796">
        <f>(AS106*KFC!$B$35+KFC!$C$35)*KFC!$C$5</f>
        <v>245.22082257358923</v>
      </c>
      <c r="S106" s="796">
        <f>(AT106*KFC!$B$35+KFC!$C$35)*KFC!$C$5</f>
        <v>256.21541865814282</v>
      </c>
      <c r="T106" s="796">
        <f>(AU106*KFC!$B$35+KFC!$C$35)*KFC!$C$5</f>
        <v>267.21001474269639</v>
      </c>
      <c r="U106" s="796">
        <f>(AV106*KFC!$B$35+KFC!$C$35)*KFC!$C$5</f>
        <v>278.20461082724995</v>
      </c>
      <c r="V106" s="796">
        <f>(AW106*KFC!$B$35+KFC!$C$35)*KFC!$C$5</f>
        <v>289.19920691180357</v>
      </c>
      <c r="W106" s="796">
        <f>(AX106*KFC!$B$35+KFC!$C$35)*KFC!$C$5</f>
        <v>300.19380299635714</v>
      </c>
      <c r="X106" s="796">
        <f>(AY106*KFC!$B$35+KFC!$C$35)*KFC!$C$5</f>
        <v>311.1883990809107</v>
      </c>
      <c r="Y106" s="796">
        <f>(AZ106*KFC!$B$35+KFC!$C$35)*KFC!$C$5</f>
        <v>322.18299516546426</v>
      </c>
      <c r="Z106" s="814">
        <f>(BA106*KFC!$B$35+KFC!$C$35)*KFC!$C$5</f>
        <v>333.17759125001788</v>
      </c>
      <c r="AB106" s="1912"/>
      <c r="AC106" s="799">
        <v>2.2000000000000002</v>
      </c>
      <c r="AD106" s="797">
        <v>80.301881305285775</v>
      </c>
      <c r="AE106" s="797">
        <v>91.296477389839339</v>
      </c>
      <c r="AF106" s="797">
        <v>102.2910734743929</v>
      </c>
      <c r="AG106" s="797">
        <v>113.28566955894645</v>
      </c>
      <c r="AH106" s="797">
        <v>124.28026564350002</v>
      </c>
      <c r="AI106" s="797">
        <v>135.27486172805357</v>
      </c>
      <c r="AJ106" s="797">
        <v>146.26945781260713</v>
      </c>
      <c r="AK106" s="797">
        <v>157.26405389716069</v>
      </c>
      <c r="AL106" s="797">
        <v>168.25864998171426</v>
      </c>
      <c r="AM106" s="797">
        <v>179.25324606626782</v>
      </c>
      <c r="AN106" s="797">
        <v>190.24784215082136</v>
      </c>
      <c r="AO106" s="797">
        <v>201.24243823537492</v>
      </c>
      <c r="AP106" s="797">
        <v>212.23703431992851</v>
      </c>
      <c r="AQ106" s="797">
        <v>223.23163040448208</v>
      </c>
      <c r="AR106" s="797">
        <v>234.22622648903567</v>
      </c>
      <c r="AS106" s="797">
        <v>245.22082257358923</v>
      </c>
      <c r="AT106" s="797">
        <v>256.21541865814282</v>
      </c>
      <c r="AU106" s="797">
        <v>267.21001474269639</v>
      </c>
      <c r="AV106" s="797">
        <v>278.20461082724995</v>
      </c>
      <c r="AW106" s="797">
        <v>289.19920691180357</v>
      </c>
      <c r="AX106" s="797">
        <v>300.19380299635714</v>
      </c>
      <c r="AY106" s="797">
        <v>311.1883990809107</v>
      </c>
      <c r="AZ106" s="797">
        <v>322.18299516546426</v>
      </c>
      <c r="BA106" s="797">
        <v>333.17759125001788</v>
      </c>
    </row>
    <row r="107" spans="1:53">
      <c r="A107" s="1912"/>
      <c r="B107" s="799">
        <v>2.2999999999999998</v>
      </c>
      <c r="C107" s="796">
        <f>(AD107*KFC!$B$35+KFC!$C$35)*KFC!$C$5</f>
        <v>81.56654298471436</v>
      </c>
      <c r="D107" s="796">
        <f>(AE107*KFC!$B$35+KFC!$C$35)*KFC!$C$5</f>
        <v>92.87732015328578</v>
      </c>
      <c r="E107" s="796">
        <f>(AF107*KFC!$B$35+KFC!$C$35)*KFC!$C$5</f>
        <v>104.1880973218572</v>
      </c>
      <c r="F107" s="796">
        <f>(AG107*KFC!$B$35+KFC!$C$35)*KFC!$C$5</f>
        <v>115.49887449042862</v>
      </c>
      <c r="G107" s="796">
        <f>(AH107*KFC!$B$35+KFC!$C$35)*KFC!$C$5</f>
        <v>126.80965165900005</v>
      </c>
      <c r="H107" s="796">
        <f>(AI107*KFC!$B$35+KFC!$C$35)*KFC!$C$5</f>
        <v>138.12042882757146</v>
      </c>
      <c r="I107" s="796">
        <f>(AJ107*KFC!$B$35+KFC!$C$35)*KFC!$C$5</f>
        <v>149.43120599614289</v>
      </c>
      <c r="J107" s="796">
        <f>(AK107*KFC!$B$35+KFC!$C$35)*KFC!$C$5</f>
        <v>160.74198316471433</v>
      </c>
      <c r="K107" s="796">
        <f>(AL107*KFC!$B$35+KFC!$C$35)*KFC!$C$5</f>
        <v>172.05276033328573</v>
      </c>
      <c r="L107" s="796">
        <f>(AM107*KFC!$B$35+KFC!$C$35)*KFC!$C$5</f>
        <v>183.36353750185714</v>
      </c>
      <c r="M107" s="796">
        <f>(AN107*KFC!$B$35+KFC!$C$35)*KFC!$C$5</f>
        <v>194.67431467042854</v>
      </c>
      <c r="N107" s="796">
        <f>(AO107*KFC!$B$35+KFC!$C$35)*KFC!$C$5</f>
        <v>205.98509183899995</v>
      </c>
      <c r="O107" s="796">
        <f>(AP107*KFC!$B$35+KFC!$C$35)*KFC!$C$5</f>
        <v>217.29586900757135</v>
      </c>
      <c r="P107" s="796">
        <f>(AQ107*KFC!$B$35+KFC!$C$35)*KFC!$C$5</f>
        <v>228.60664617614276</v>
      </c>
      <c r="Q107" s="796">
        <f>(AR107*KFC!$B$35+KFC!$C$35)*KFC!$C$5</f>
        <v>239.91742334471417</v>
      </c>
      <c r="R107" s="796">
        <f>(AS107*KFC!$B$35+KFC!$C$35)*KFC!$C$5</f>
        <v>251.22820051328557</v>
      </c>
      <c r="S107" s="796">
        <f>(AT107*KFC!$B$35+KFC!$C$35)*KFC!$C$5</f>
        <v>262.53897768185698</v>
      </c>
      <c r="T107" s="796">
        <f>(AU107*KFC!$B$35+KFC!$C$35)*KFC!$C$5</f>
        <v>273.84975485042838</v>
      </c>
      <c r="U107" s="796">
        <f>(AV107*KFC!$B$35+KFC!$C$35)*KFC!$C$5</f>
        <v>285.16053201899979</v>
      </c>
      <c r="V107" s="796">
        <f>(AW107*KFC!$B$35+KFC!$C$35)*KFC!$C$5</f>
        <v>296.47130918757119</v>
      </c>
      <c r="W107" s="796">
        <f>(AX107*KFC!$B$35+KFC!$C$35)*KFC!$C$5</f>
        <v>307.7820863561426</v>
      </c>
      <c r="X107" s="796">
        <f>(AY107*KFC!$B$35+KFC!$C$35)*KFC!$C$5</f>
        <v>319.09286352471401</v>
      </c>
      <c r="Y107" s="796">
        <f>(AZ107*KFC!$B$35+KFC!$C$35)*KFC!$C$5</f>
        <v>330.40364069328541</v>
      </c>
      <c r="Z107" s="814">
        <f>(BA107*KFC!$B$35+KFC!$C$35)*KFC!$C$5</f>
        <v>341.71441786185682</v>
      </c>
      <c r="AB107" s="1912"/>
      <c r="AC107" s="799">
        <v>2.2999999999999998</v>
      </c>
      <c r="AD107" s="797">
        <v>81.56654298471436</v>
      </c>
      <c r="AE107" s="797">
        <v>92.87732015328578</v>
      </c>
      <c r="AF107" s="797">
        <v>104.1880973218572</v>
      </c>
      <c r="AG107" s="797">
        <v>115.49887449042862</v>
      </c>
      <c r="AH107" s="797">
        <v>126.80965165900005</v>
      </c>
      <c r="AI107" s="797">
        <v>138.12042882757146</v>
      </c>
      <c r="AJ107" s="797">
        <v>149.43120599614289</v>
      </c>
      <c r="AK107" s="797">
        <v>160.74198316471433</v>
      </c>
      <c r="AL107" s="797">
        <v>172.05276033328573</v>
      </c>
      <c r="AM107" s="797">
        <v>183.36353750185714</v>
      </c>
      <c r="AN107" s="797">
        <v>194.67431467042854</v>
      </c>
      <c r="AO107" s="797">
        <v>205.98509183899995</v>
      </c>
      <c r="AP107" s="797">
        <v>217.29586900757135</v>
      </c>
      <c r="AQ107" s="797">
        <v>228.60664617614276</v>
      </c>
      <c r="AR107" s="797">
        <v>239.91742334471417</v>
      </c>
      <c r="AS107" s="797">
        <v>251.22820051328557</v>
      </c>
      <c r="AT107" s="797">
        <v>262.53897768185698</v>
      </c>
      <c r="AU107" s="797">
        <v>273.84975485042838</v>
      </c>
      <c r="AV107" s="797">
        <v>285.16053201899979</v>
      </c>
      <c r="AW107" s="797">
        <v>296.47130918757119</v>
      </c>
      <c r="AX107" s="797">
        <v>307.7820863561426</v>
      </c>
      <c r="AY107" s="797">
        <v>319.09286352471401</v>
      </c>
      <c r="AZ107" s="797">
        <v>330.40364069328541</v>
      </c>
      <c r="BA107" s="797">
        <v>341.71441786185682</v>
      </c>
    </row>
    <row r="108" spans="1:53">
      <c r="A108" s="1912"/>
      <c r="B108" s="799">
        <v>2.4</v>
      </c>
      <c r="C108" s="796">
        <f>(AD108*KFC!$B$35+KFC!$C$35)*KFC!$C$5</f>
        <v>82.83120466414293</v>
      </c>
      <c r="D108" s="796">
        <f>(AE108*KFC!$B$35+KFC!$C$35)*KFC!$C$5</f>
        <v>94.458162916732221</v>
      </c>
      <c r="E108" s="796">
        <f>(AF108*KFC!$B$35+KFC!$C$35)*KFC!$C$5</f>
        <v>106.08512116932148</v>
      </c>
      <c r="F108" s="796">
        <f>(AG108*KFC!$B$35+KFC!$C$35)*KFC!$C$5</f>
        <v>117.71207942191076</v>
      </c>
      <c r="G108" s="796">
        <f>(AH108*KFC!$B$35+KFC!$C$35)*KFC!$C$5</f>
        <v>129.33903767450002</v>
      </c>
      <c r="H108" s="796">
        <f>(AI108*KFC!$B$35+KFC!$C$35)*KFC!$C$5</f>
        <v>140.9659959270893</v>
      </c>
      <c r="I108" s="796">
        <f>(AJ108*KFC!$B$35+KFC!$C$35)*KFC!$C$5</f>
        <v>152.59295417967854</v>
      </c>
      <c r="J108" s="796">
        <f>(AK108*KFC!$B$35+KFC!$C$35)*KFC!$C$5</f>
        <v>164.21991243226782</v>
      </c>
      <c r="K108" s="796">
        <f>(AL108*KFC!$B$35+KFC!$C$35)*KFC!$C$5</f>
        <v>175.84687068485709</v>
      </c>
      <c r="L108" s="796">
        <f>(AM108*KFC!$B$35+KFC!$C$35)*KFC!$C$5</f>
        <v>187.47382893744634</v>
      </c>
      <c r="M108" s="796">
        <f>(AN108*KFC!$B$35+KFC!$C$35)*KFC!$C$5</f>
        <v>199.10078719003562</v>
      </c>
      <c r="N108" s="796">
        <f>(AO108*KFC!$B$35+KFC!$C$35)*KFC!$C$5</f>
        <v>210.72774544262489</v>
      </c>
      <c r="O108" s="796">
        <f>(AP108*KFC!$B$35+KFC!$C$35)*KFC!$C$5</f>
        <v>222.35470369521417</v>
      </c>
      <c r="P108" s="796">
        <f>(AQ108*KFC!$B$35+KFC!$C$35)*KFC!$C$5</f>
        <v>233.98166194780342</v>
      </c>
      <c r="Q108" s="796">
        <f>(AR108*KFC!$B$35+KFC!$C$35)*KFC!$C$5</f>
        <v>245.60862020039269</v>
      </c>
      <c r="R108" s="796">
        <f>(AS108*KFC!$B$35+KFC!$C$35)*KFC!$C$5</f>
        <v>257.23557845298194</v>
      </c>
      <c r="S108" s="796">
        <f>(AT108*KFC!$B$35+KFC!$C$35)*KFC!$C$5</f>
        <v>268.86253670557124</v>
      </c>
      <c r="T108" s="796">
        <f>(AU108*KFC!$B$35+KFC!$C$35)*KFC!$C$5</f>
        <v>280.48949495816049</v>
      </c>
      <c r="U108" s="796">
        <f>(AV108*KFC!$B$35+KFC!$C$35)*KFC!$C$5</f>
        <v>292.11645321074974</v>
      </c>
      <c r="V108" s="796">
        <f>(AW108*KFC!$B$35+KFC!$C$35)*KFC!$C$5</f>
        <v>303.74341146333904</v>
      </c>
      <c r="W108" s="796">
        <f>(AX108*KFC!$B$35+KFC!$C$35)*KFC!$C$5</f>
        <v>315.37036971592829</v>
      </c>
      <c r="X108" s="796">
        <f>(AY108*KFC!$B$35+KFC!$C$35)*KFC!$C$5</f>
        <v>326.99732796851754</v>
      </c>
      <c r="Y108" s="796">
        <f>(AZ108*KFC!$B$35+KFC!$C$35)*KFC!$C$5</f>
        <v>338.62428622110684</v>
      </c>
      <c r="Z108" s="814">
        <f>(BA108*KFC!$B$35+KFC!$C$35)*KFC!$C$5</f>
        <v>350.25124447369615</v>
      </c>
      <c r="AB108" s="1912"/>
      <c r="AC108" s="799">
        <v>2.4</v>
      </c>
      <c r="AD108" s="797">
        <v>82.83120466414293</v>
      </c>
      <c r="AE108" s="797">
        <v>94.458162916732221</v>
      </c>
      <c r="AF108" s="797">
        <v>106.08512116932148</v>
      </c>
      <c r="AG108" s="797">
        <v>117.71207942191076</v>
      </c>
      <c r="AH108" s="797">
        <v>129.33903767450002</v>
      </c>
      <c r="AI108" s="797">
        <v>140.9659959270893</v>
      </c>
      <c r="AJ108" s="797">
        <v>152.59295417967854</v>
      </c>
      <c r="AK108" s="797">
        <v>164.21991243226782</v>
      </c>
      <c r="AL108" s="797">
        <v>175.84687068485709</v>
      </c>
      <c r="AM108" s="797">
        <v>187.47382893744634</v>
      </c>
      <c r="AN108" s="797">
        <v>199.10078719003562</v>
      </c>
      <c r="AO108" s="797">
        <v>210.72774544262489</v>
      </c>
      <c r="AP108" s="797">
        <v>222.35470369521417</v>
      </c>
      <c r="AQ108" s="797">
        <v>233.98166194780342</v>
      </c>
      <c r="AR108" s="797">
        <v>245.60862020039269</v>
      </c>
      <c r="AS108" s="797">
        <v>257.23557845298194</v>
      </c>
      <c r="AT108" s="797">
        <v>268.86253670557124</v>
      </c>
      <c r="AU108" s="797">
        <v>280.48949495816049</v>
      </c>
      <c r="AV108" s="797">
        <v>292.11645321074974</v>
      </c>
      <c r="AW108" s="797">
        <v>303.74341146333904</v>
      </c>
      <c r="AX108" s="797">
        <v>315.37036971592829</v>
      </c>
      <c r="AY108" s="797">
        <v>326.99732796851754</v>
      </c>
      <c r="AZ108" s="797">
        <v>338.62428622110684</v>
      </c>
      <c r="BA108" s="797">
        <v>350.25124447369615</v>
      </c>
    </row>
    <row r="109" spans="1:53">
      <c r="A109" s="1912"/>
      <c r="B109" s="799">
        <v>2.5</v>
      </c>
      <c r="C109" s="796">
        <f>(AD109*KFC!$B$35+KFC!$C$35)*KFC!$C$5</f>
        <v>84.095866343571501</v>
      </c>
      <c r="D109" s="796">
        <f>(AE109*KFC!$B$35+KFC!$C$35)*KFC!$C$5</f>
        <v>96.039005680178633</v>
      </c>
      <c r="E109" s="796">
        <f>(AF109*KFC!$B$35+KFC!$C$35)*KFC!$C$5</f>
        <v>107.98214501678576</v>
      </c>
      <c r="F109" s="796">
        <f>(AG109*KFC!$B$35+KFC!$C$35)*KFC!$C$5</f>
        <v>119.9252843533929</v>
      </c>
      <c r="G109" s="796">
        <f>(AH109*KFC!$B$35+KFC!$C$35)*KFC!$C$5</f>
        <v>131.86842369000004</v>
      </c>
      <c r="H109" s="796">
        <f>(AI109*KFC!$B$35+KFC!$C$35)*KFC!$C$5</f>
        <v>143.81156302660716</v>
      </c>
      <c r="I109" s="796">
        <f>(AJ109*KFC!$B$35+KFC!$C$35)*KFC!$C$5</f>
        <v>155.75470236321428</v>
      </c>
      <c r="J109" s="796">
        <f>(AK109*KFC!$B$35+KFC!$C$35)*KFC!$C$5</f>
        <v>167.69784169982142</v>
      </c>
      <c r="K109" s="796">
        <f>(AL109*KFC!$B$35+KFC!$C$35)*KFC!$C$5</f>
        <v>179.64098103642854</v>
      </c>
      <c r="L109" s="796">
        <f>(AM109*KFC!$B$35+KFC!$C$35)*KFC!$C$5</f>
        <v>191.58412037303569</v>
      </c>
      <c r="M109" s="796">
        <f>(AN109*KFC!$B$35+KFC!$C$35)*KFC!$C$5</f>
        <v>203.52725970964281</v>
      </c>
      <c r="N109" s="796">
        <f>(AO109*KFC!$B$35+KFC!$C$35)*KFC!$C$5</f>
        <v>215.47039904624995</v>
      </c>
      <c r="O109" s="796">
        <f>(AP109*KFC!$B$35+KFC!$C$35)*KFC!$C$5</f>
        <v>227.41353838285707</v>
      </c>
      <c r="P109" s="796">
        <f>(AQ109*KFC!$B$35+KFC!$C$35)*KFC!$C$5</f>
        <v>239.35667771946422</v>
      </c>
      <c r="Q109" s="796">
        <f>(AR109*KFC!$B$35+KFC!$C$35)*KFC!$C$5</f>
        <v>251.29981705607133</v>
      </c>
      <c r="R109" s="796">
        <f>(AS109*KFC!$B$35+KFC!$C$35)*KFC!$C$5</f>
        <v>263.24295639267848</v>
      </c>
      <c r="S109" s="796">
        <f>(AT109*KFC!$B$35+KFC!$C$35)*KFC!$C$5</f>
        <v>275.18609572928563</v>
      </c>
      <c r="T109" s="796">
        <f>(AU109*KFC!$B$35+KFC!$C$35)*KFC!$C$5</f>
        <v>287.12923506589271</v>
      </c>
      <c r="U109" s="796">
        <f>(AV109*KFC!$B$35+KFC!$C$35)*KFC!$C$5</f>
        <v>299.07237440249986</v>
      </c>
      <c r="V109" s="796">
        <f>(AW109*KFC!$B$35+KFC!$C$35)*KFC!$C$5</f>
        <v>311.01551373910701</v>
      </c>
      <c r="W109" s="796">
        <f>(AX109*KFC!$B$35+KFC!$C$35)*KFC!$C$5</f>
        <v>322.9586530757141</v>
      </c>
      <c r="X109" s="796">
        <f>(AY109*KFC!$B$35+KFC!$C$35)*KFC!$C$5</f>
        <v>334.90179241232124</v>
      </c>
      <c r="Y109" s="796">
        <f>(AZ109*KFC!$B$35+KFC!$C$35)*KFC!$C$5</f>
        <v>346.84493174892839</v>
      </c>
      <c r="Z109" s="814">
        <f>(BA109*KFC!$B$35+KFC!$C$35)*KFC!$C$5</f>
        <v>358.78807108553553</v>
      </c>
      <c r="AB109" s="1912"/>
      <c r="AC109" s="799">
        <v>2.5</v>
      </c>
      <c r="AD109" s="797">
        <v>84.095866343571501</v>
      </c>
      <c r="AE109" s="797">
        <v>96.039005680178633</v>
      </c>
      <c r="AF109" s="797">
        <v>107.98214501678576</v>
      </c>
      <c r="AG109" s="797">
        <v>119.9252843533929</v>
      </c>
      <c r="AH109" s="797">
        <v>131.86842369000004</v>
      </c>
      <c r="AI109" s="797">
        <v>143.81156302660716</v>
      </c>
      <c r="AJ109" s="797">
        <v>155.75470236321428</v>
      </c>
      <c r="AK109" s="797">
        <v>167.69784169982142</v>
      </c>
      <c r="AL109" s="797">
        <v>179.64098103642854</v>
      </c>
      <c r="AM109" s="797">
        <v>191.58412037303569</v>
      </c>
      <c r="AN109" s="797">
        <v>203.52725970964281</v>
      </c>
      <c r="AO109" s="797">
        <v>215.47039904624995</v>
      </c>
      <c r="AP109" s="797">
        <v>227.41353838285707</v>
      </c>
      <c r="AQ109" s="797">
        <v>239.35667771946422</v>
      </c>
      <c r="AR109" s="797">
        <v>251.29981705607133</v>
      </c>
      <c r="AS109" s="797">
        <v>263.24295639267848</v>
      </c>
      <c r="AT109" s="797">
        <v>275.18609572928563</v>
      </c>
      <c r="AU109" s="797">
        <v>287.12923506589271</v>
      </c>
      <c r="AV109" s="797">
        <v>299.07237440249986</v>
      </c>
      <c r="AW109" s="797">
        <v>311.01551373910701</v>
      </c>
      <c r="AX109" s="797">
        <v>322.9586530757141</v>
      </c>
      <c r="AY109" s="797">
        <v>334.90179241232124</v>
      </c>
      <c r="AZ109" s="797">
        <v>346.84493174892839</v>
      </c>
      <c r="BA109" s="797">
        <v>358.78807108553553</v>
      </c>
    </row>
    <row r="110" spans="1:53">
      <c r="A110" s="1912"/>
      <c r="B110" s="799">
        <v>2.6</v>
      </c>
      <c r="C110" s="796">
        <f>(AD110*KFC!$B$35+KFC!$C$35)*KFC!$C$5</f>
        <v>85.360528023000086</v>
      </c>
      <c r="D110" s="796">
        <f>(AE110*KFC!$B$35+KFC!$C$35)*KFC!$C$5</f>
        <v>97.619848443625074</v>
      </c>
      <c r="E110" s="796">
        <f>(AF110*KFC!$B$35+KFC!$C$35)*KFC!$C$5</f>
        <v>109.87916886425008</v>
      </c>
      <c r="F110" s="796">
        <f>(AG110*KFC!$B$35+KFC!$C$35)*KFC!$C$5</f>
        <v>122.13848928487506</v>
      </c>
      <c r="G110" s="796">
        <f>(AH110*KFC!$B$35+KFC!$C$35)*KFC!$C$5</f>
        <v>134.39780970550007</v>
      </c>
      <c r="H110" s="796">
        <f>(AI110*KFC!$B$35+KFC!$C$35)*KFC!$C$5</f>
        <v>146.65713012612505</v>
      </c>
      <c r="I110" s="796">
        <f>(AJ110*KFC!$B$35+KFC!$C$35)*KFC!$C$5</f>
        <v>158.91645054675004</v>
      </c>
      <c r="J110" s="796">
        <f>(AK110*KFC!$B$35+KFC!$C$35)*KFC!$C$5</f>
        <v>171.17577096737503</v>
      </c>
      <c r="K110" s="796">
        <f>(AL110*KFC!$B$35+KFC!$C$35)*KFC!$C$5</f>
        <v>183.43509138800002</v>
      </c>
      <c r="L110" s="796">
        <f>(AM110*KFC!$B$35+KFC!$C$35)*KFC!$C$5</f>
        <v>195.69441180862501</v>
      </c>
      <c r="M110" s="796">
        <f>(AN110*KFC!$B$35+KFC!$C$35)*KFC!$C$5</f>
        <v>207.95373222924999</v>
      </c>
      <c r="N110" s="796">
        <f>(AO110*KFC!$B$35+KFC!$C$35)*KFC!$C$5</f>
        <v>220.21305264987501</v>
      </c>
      <c r="O110" s="796">
        <f>(AP110*KFC!$B$35+KFC!$C$35)*KFC!$C$5</f>
        <v>232.4723730705</v>
      </c>
      <c r="P110" s="796">
        <f>(AQ110*KFC!$B$35+KFC!$C$35)*KFC!$C$5</f>
        <v>244.73169349112499</v>
      </c>
      <c r="Q110" s="796">
        <f>(AR110*KFC!$B$35+KFC!$C$35)*KFC!$C$5</f>
        <v>256.99101391174997</v>
      </c>
      <c r="R110" s="796">
        <f>(AS110*KFC!$B$35+KFC!$C$35)*KFC!$C$5</f>
        <v>269.25033433237496</v>
      </c>
      <c r="S110" s="796">
        <f>(AT110*KFC!$B$35+KFC!$C$35)*KFC!$C$5</f>
        <v>281.50965475299995</v>
      </c>
      <c r="T110" s="796">
        <f>(AU110*KFC!$B$35+KFC!$C$35)*KFC!$C$5</f>
        <v>293.76897517362494</v>
      </c>
      <c r="U110" s="796">
        <f>(AV110*KFC!$B$35+KFC!$C$35)*KFC!$C$5</f>
        <v>306.02829559424998</v>
      </c>
      <c r="V110" s="796">
        <f>(AW110*KFC!$B$35+KFC!$C$35)*KFC!$C$5</f>
        <v>318.28761601487497</v>
      </c>
      <c r="W110" s="796">
        <f>(AX110*KFC!$B$35+KFC!$C$35)*KFC!$C$5</f>
        <v>330.54693643549996</v>
      </c>
      <c r="X110" s="796">
        <f>(AY110*KFC!$B$35+KFC!$C$35)*KFC!$C$5</f>
        <v>342.80625685612495</v>
      </c>
      <c r="Y110" s="796">
        <f>(AZ110*KFC!$B$35+KFC!$C$35)*KFC!$C$5</f>
        <v>355.06557727674988</v>
      </c>
      <c r="Z110" s="814">
        <f>(BA110*KFC!$B$35+KFC!$C$35)*KFC!$C$5</f>
        <v>367.32489769737487</v>
      </c>
      <c r="AB110" s="1912"/>
      <c r="AC110" s="799">
        <v>2.6</v>
      </c>
      <c r="AD110" s="797">
        <v>85.360528023000086</v>
      </c>
      <c r="AE110" s="797">
        <v>97.619848443625074</v>
      </c>
      <c r="AF110" s="797">
        <v>109.87916886425008</v>
      </c>
      <c r="AG110" s="797">
        <v>122.13848928487506</v>
      </c>
      <c r="AH110" s="797">
        <v>134.39780970550007</v>
      </c>
      <c r="AI110" s="797">
        <v>146.65713012612505</v>
      </c>
      <c r="AJ110" s="797">
        <v>158.91645054675004</v>
      </c>
      <c r="AK110" s="797">
        <v>171.17577096737503</v>
      </c>
      <c r="AL110" s="797">
        <v>183.43509138800002</v>
      </c>
      <c r="AM110" s="797">
        <v>195.69441180862501</v>
      </c>
      <c r="AN110" s="797">
        <v>207.95373222924999</v>
      </c>
      <c r="AO110" s="797">
        <v>220.21305264987501</v>
      </c>
      <c r="AP110" s="797">
        <v>232.4723730705</v>
      </c>
      <c r="AQ110" s="797">
        <v>244.73169349112499</v>
      </c>
      <c r="AR110" s="797">
        <v>256.99101391174997</v>
      </c>
      <c r="AS110" s="797">
        <v>269.25033433237496</v>
      </c>
      <c r="AT110" s="797">
        <v>281.50965475299995</v>
      </c>
      <c r="AU110" s="797">
        <v>293.76897517362494</v>
      </c>
      <c r="AV110" s="797">
        <v>306.02829559424998</v>
      </c>
      <c r="AW110" s="797">
        <v>318.28761601487497</v>
      </c>
      <c r="AX110" s="797">
        <v>330.54693643549996</v>
      </c>
      <c r="AY110" s="797">
        <v>342.80625685612495</v>
      </c>
      <c r="AZ110" s="797">
        <v>355.06557727674988</v>
      </c>
      <c r="BA110" s="797">
        <v>367.32489769737487</v>
      </c>
    </row>
    <row r="111" spans="1:53">
      <c r="A111" s="1912"/>
      <c r="B111" s="799">
        <v>2.7</v>
      </c>
      <c r="C111" s="796">
        <f>(AD111*KFC!$B$35+KFC!$C$35)*KFC!$C$5</f>
        <v>86.625189702428656</v>
      </c>
      <c r="D111" s="796">
        <f>(AE111*KFC!$B$35+KFC!$C$35)*KFC!$C$5</f>
        <v>99.200691207071515</v>
      </c>
      <c r="E111" s="796">
        <f>(AF111*KFC!$B$35+KFC!$C$35)*KFC!$C$5</f>
        <v>111.77619271171437</v>
      </c>
      <c r="F111" s="796">
        <f>(AG111*KFC!$B$35+KFC!$C$35)*KFC!$C$5</f>
        <v>124.35169421635723</v>
      </c>
      <c r="G111" s="796">
        <f>(AH111*KFC!$B$35+KFC!$C$35)*KFC!$C$5</f>
        <v>136.92719572100009</v>
      </c>
      <c r="H111" s="796">
        <f>(AI111*KFC!$B$35+KFC!$C$35)*KFC!$C$5</f>
        <v>149.50269722564295</v>
      </c>
      <c r="I111" s="796">
        <f>(AJ111*KFC!$B$35+KFC!$C$35)*KFC!$C$5</f>
        <v>162.07819873028581</v>
      </c>
      <c r="J111" s="796">
        <f>(AK111*KFC!$B$35+KFC!$C$35)*KFC!$C$5</f>
        <v>174.65370023492866</v>
      </c>
      <c r="K111" s="796">
        <f>(AL111*KFC!$B$35+KFC!$C$35)*KFC!$C$5</f>
        <v>187.22920173957152</v>
      </c>
      <c r="L111" s="796">
        <f>(AM111*KFC!$B$35+KFC!$C$35)*KFC!$C$5</f>
        <v>199.80470324421438</v>
      </c>
      <c r="M111" s="796">
        <f>(AN111*KFC!$B$35+KFC!$C$35)*KFC!$C$5</f>
        <v>212.38020474885724</v>
      </c>
      <c r="N111" s="796">
        <f>(AO111*KFC!$B$35+KFC!$C$35)*KFC!$C$5</f>
        <v>224.9557062535001</v>
      </c>
      <c r="O111" s="796">
        <f>(AP111*KFC!$B$35+KFC!$C$35)*KFC!$C$5</f>
        <v>237.53120775814295</v>
      </c>
      <c r="P111" s="796">
        <f>(AQ111*KFC!$B$35+KFC!$C$35)*KFC!$C$5</f>
        <v>250.10670926278581</v>
      </c>
      <c r="Q111" s="796">
        <f>(AR111*KFC!$B$35+KFC!$C$35)*KFC!$C$5</f>
        <v>262.68221076742867</v>
      </c>
      <c r="R111" s="796">
        <f>(AS111*KFC!$B$35+KFC!$C$35)*KFC!$C$5</f>
        <v>275.2577122720715</v>
      </c>
      <c r="S111" s="796">
        <f>(AT111*KFC!$B$35+KFC!$C$35)*KFC!$C$5</f>
        <v>287.83321377671439</v>
      </c>
      <c r="T111" s="796">
        <f>(AU111*KFC!$B$35+KFC!$C$35)*KFC!$C$5</f>
        <v>300.40871528135722</v>
      </c>
      <c r="U111" s="796">
        <f>(AV111*KFC!$B$35+KFC!$C$35)*KFC!$C$5</f>
        <v>312.9842167860001</v>
      </c>
      <c r="V111" s="796">
        <f>(AW111*KFC!$B$35+KFC!$C$35)*KFC!$C$5</f>
        <v>325.55971829064293</v>
      </c>
      <c r="W111" s="796">
        <f>(AX111*KFC!$B$35+KFC!$C$35)*KFC!$C$5</f>
        <v>338.13521979528576</v>
      </c>
      <c r="X111" s="796">
        <f>(AY111*KFC!$B$35+KFC!$C$35)*KFC!$C$5</f>
        <v>350.71072129992859</v>
      </c>
      <c r="Y111" s="796">
        <f>(AZ111*KFC!$B$35+KFC!$C$35)*KFC!$C$5</f>
        <v>363.28622280457142</v>
      </c>
      <c r="Z111" s="814">
        <f>(BA111*KFC!$B$35+KFC!$C$35)*KFC!$C$5</f>
        <v>375.86172430921425</v>
      </c>
      <c r="AB111" s="1912"/>
      <c r="AC111" s="799">
        <v>2.7</v>
      </c>
      <c r="AD111" s="797">
        <v>86.625189702428656</v>
      </c>
      <c r="AE111" s="797">
        <v>99.200691207071515</v>
      </c>
      <c r="AF111" s="797">
        <v>111.77619271171437</v>
      </c>
      <c r="AG111" s="797">
        <v>124.35169421635723</v>
      </c>
      <c r="AH111" s="797">
        <v>136.92719572100009</v>
      </c>
      <c r="AI111" s="797">
        <v>149.50269722564295</v>
      </c>
      <c r="AJ111" s="797">
        <v>162.07819873028581</v>
      </c>
      <c r="AK111" s="797">
        <v>174.65370023492866</v>
      </c>
      <c r="AL111" s="797">
        <v>187.22920173957152</v>
      </c>
      <c r="AM111" s="797">
        <v>199.80470324421438</v>
      </c>
      <c r="AN111" s="797">
        <v>212.38020474885724</v>
      </c>
      <c r="AO111" s="797">
        <v>224.9557062535001</v>
      </c>
      <c r="AP111" s="797">
        <v>237.53120775814295</v>
      </c>
      <c r="AQ111" s="797">
        <v>250.10670926278581</v>
      </c>
      <c r="AR111" s="797">
        <v>262.68221076742867</v>
      </c>
      <c r="AS111" s="797">
        <v>275.2577122720715</v>
      </c>
      <c r="AT111" s="797">
        <v>287.83321377671439</v>
      </c>
      <c r="AU111" s="797">
        <v>300.40871528135722</v>
      </c>
      <c r="AV111" s="797">
        <v>312.9842167860001</v>
      </c>
      <c r="AW111" s="797">
        <v>325.55971829064293</v>
      </c>
      <c r="AX111" s="797">
        <v>338.13521979528576</v>
      </c>
      <c r="AY111" s="797">
        <v>350.71072129992859</v>
      </c>
      <c r="AZ111" s="797">
        <v>363.28622280457142</v>
      </c>
      <c r="BA111" s="797">
        <v>375.86172430921425</v>
      </c>
    </row>
    <row r="112" spans="1:53">
      <c r="A112" s="1912"/>
      <c r="B112" s="799">
        <v>2.8</v>
      </c>
      <c r="C112" s="796">
        <f>(AD112*KFC!$B$35+KFC!$C$35)*KFC!$C$5</f>
        <v>87.889851381857241</v>
      </c>
      <c r="D112" s="796">
        <f>(AE112*KFC!$B$35+KFC!$C$35)*KFC!$C$5</f>
        <v>100.78153397051794</v>
      </c>
      <c r="E112" s="796">
        <f>(AF112*KFC!$B$35+KFC!$C$35)*KFC!$C$5</f>
        <v>113.67321655917864</v>
      </c>
      <c r="F112" s="796">
        <f>(AG112*KFC!$B$35+KFC!$C$35)*KFC!$C$5</f>
        <v>126.56489914783934</v>
      </c>
      <c r="G112" s="796">
        <f>(AH112*KFC!$B$35+KFC!$C$35)*KFC!$C$5</f>
        <v>139.45658173650006</v>
      </c>
      <c r="H112" s="796">
        <f>(AI112*KFC!$B$35+KFC!$C$35)*KFC!$C$5</f>
        <v>152.34826432516076</v>
      </c>
      <c r="I112" s="796">
        <f>(AJ112*KFC!$B$35+KFC!$C$35)*KFC!$C$5</f>
        <v>165.23994691382146</v>
      </c>
      <c r="J112" s="796">
        <f>(AK112*KFC!$B$35+KFC!$C$35)*KFC!$C$5</f>
        <v>178.13162950248216</v>
      </c>
      <c r="K112" s="796">
        <f>(AL112*KFC!$B$35+KFC!$C$35)*KFC!$C$5</f>
        <v>191.02331209114288</v>
      </c>
      <c r="L112" s="796">
        <f>(AM112*KFC!$B$35+KFC!$C$35)*KFC!$C$5</f>
        <v>203.91499467980358</v>
      </c>
      <c r="M112" s="796">
        <f>(AN112*KFC!$B$35+KFC!$C$35)*KFC!$C$5</f>
        <v>216.80667726846431</v>
      </c>
      <c r="N112" s="796">
        <f>(AO112*KFC!$B$35+KFC!$C$35)*KFC!$C$5</f>
        <v>229.69835985712504</v>
      </c>
      <c r="O112" s="796">
        <f>(AP112*KFC!$B$35+KFC!$C$35)*KFC!$C$5</f>
        <v>242.59004244578574</v>
      </c>
      <c r="P112" s="796">
        <f>(AQ112*KFC!$B$35+KFC!$C$35)*KFC!$C$5</f>
        <v>255.48172503444647</v>
      </c>
      <c r="Q112" s="796">
        <f>(AR112*KFC!$B$35+KFC!$C$35)*KFC!$C$5</f>
        <v>268.3734076231072</v>
      </c>
      <c r="R112" s="796">
        <f>(AS112*KFC!$B$35+KFC!$C$35)*KFC!$C$5</f>
        <v>281.26509021176793</v>
      </c>
      <c r="S112" s="796">
        <f>(AT112*KFC!$B$35+KFC!$C$35)*KFC!$C$5</f>
        <v>294.15677280042866</v>
      </c>
      <c r="T112" s="796">
        <f>(AU112*KFC!$B$35+KFC!$C$35)*KFC!$C$5</f>
        <v>307.04845538908938</v>
      </c>
      <c r="U112" s="796">
        <f>(AV112*KFC!$B$35+KFC!$C$35)*KFC!$C$5</f>
        <v>319.94013797775006</v>
      </c>
      <c r="V112" s="796">
        <f>(AW112*KFC!$B$35+KFC!$C$35)*KFC!$C$5</f>
        <v>332.83182056641078</v>
      </c>
      <c r="W112" s="796">
        <f>(AX112*KFC!$B$35+KFC!$C$35)*KFC!$C$5</f>
        <v>345.72350315507146</v>
      </c>
      <c r="X112" s="796">
        <f>(AY112*KFC!$B$35+KFC!$C$35)*KFC!$C$5</f>
        <v>358.61518574373218</v>
      </c>
      <c r="Y112" s="796">
        <f>(AZ112*KFC!$B$35+KFC!$C$35)*KFC!$C$5</f>
        <v>371.50686833239286</v>
      </c>
      <c r="Z112" s="814">
        <f>(BA112*KFC!$B$35+KFC!$C$35)*KFC!$C$5</f>
        <v>384.39855092105353</v>
      </c>
      <c r="AB112" s="1912"/>
      <c r="AC112" s="799">
        <v>2.8</v>
      </c>
      <c r="AD112" s="797">
        <v>87.889851381857241</v>
      </c>
      <c r="AE112" s="797">
        <v>100.78153397051794</v>
      </c>
      <c r="AF112" s="797">
        <v>113.67321655917864</v>
      </c>
      <c r="AG112" s="797">
        <v>126.56489914783934</v>
      </c>
      <c r="AH112" s="797">
        <v>139.45658173650006</v>
      </c>
      <c r="AI112" s="797">
        <v>152.34826432516076</v>
      </c>
      <c r="AJ112" s="797">
        <v>165.23994691382146</v>
      </c>
      <c r="AK112" s="797">
        <v>178.13162950248216</v>
      </c>
      <c r="AL112" s="797">
        <v>191.02331209114288</v>
      </c>
      <c r="AM112" s="797">
        <v>203.91499467980358</v>
      </c>
      <c r="AN112" s="797">
        <v>216.80667726846431</v>
      </c>
      <c r="AO112" s="797">
        <v>229.69835985712504</v>
      </c>
      <c r="AP112" s="797">
        <v>242.59004244578574</v>
      </c>
      <c r="AQ112" s="797">
        <v>255.48172503444647</v>
      </c>
      <c r="AR112" s="797">
        <v>268.3734076231072</v>
      </c>
      <c r="AS112" s="797">
        <v>281.26509021176793</v>
      </c>
      <c r="AT112" s="797">
        <v>294.15677280042866</v>
      </c>
      <c r="AU112" s="797">
        <v>307.04845538908938</v>
      </c>
      <c r="AV112" s="797">
        <v>319.94013797775006</v>
      </c>
      <c r="AW112" s="797">
        <v>332.83182056641078</v>
      </c>
      <c r="AX112" s="797">
        <v>345.72350315507146</v>
      </c>
      <c r="AY112" s="797">
        <v>358.61518574373218</v>
      </c>
      <c r="AZ112" s="797">
        <v>371.50686833239286</v>
      </c>
      <c r="BA112" s="797">
        <v>384.39855092105353</v>
      </c>
    </row>
    <row r="113" spans="1:53">
      <c r="A113" s="1912"/>
      <c r="B113" s="799">
        <v>2.9</v>
      </c>
      <c r="C113" s="796">
        <f>(AD113*KFC!$B$35+KFC!$C$35)*KFC!$C$5</f>
        <v>89.154513061285812</v>
      </c>
      <c r="D113" s="796">
        <f>(AE113*KFC!$B$35+KFC!$C$35)*KFC!$C$5</f>
        <v>102.36237673396438</v>
      </c>
      <c r="E113" s="796">
        <f>(AF113*KFC!$B$35+KFC!$C$35)*KFC!$C$5</f>
        <v>115.57024040664294</v>
      </c>
      <c r="F113" s="796">
        <f>(AG113*KFC!$B$35+KFC!$C$35)*KFC!$C$5</f>
        <v>128.77810407932151</v>
      </c>
      <c r="G113" s="796">
        <f>(AH113*KFC!$B$35+KFC!$C$35)*KFC!$C$5</f>
        <v>141.98596775200008</v>
      </c>
      <c r="H113" s="796">
        <f>(AI113*KFC!$B$35+KFC!$C$35)*KFC!$C$5</f>
        <v>155.19383142467865</v>
      </c>
      <c r="I113" s="796">
        <f>(AJ113*KFC!$B$35+KFC!$C$35)*KFC!$C$5</f>
        <v>168.40169509735719</v>
      </c>
      <c r="J113" s="796">
        <f>(AK113*KFC!$B$35+KFC!$C$35)*KFC!$C$5</f>
        <v>181.60955877003579</v>
      </c>
      <c r="K113" s="796">
        <f>(AL113*KFC!$B$35+KFC!$C$35)*KFC!$C$5</f>
        <v>194.81742244271433</v>
      </c>
      <c r="L113" s="796">
        <f>(AM113*KFC!$B$35+KFC!$C$35)*KFC!$C$5</f>
        <v>208.02528611539287</v>
      </c>
      <c r="M113" s="796">
        <f>(AN113*KFC!$B$35+KFC!$C$35)*KFC!$C$5</f>
        <v>221.23314978807142</v>
      </c>
      <c r="N113" s="796">
        <f>(AO113*KFC!$B$35+KFC!$C$35)*KFC!$C$5</f>
        <v>234.44101346074999</v>
      </c>
      <c r="O113" s="796">
        <f>(AP113*KFC!$B$35+KFC!$C$35)*KFC!$C$5</f>
        <v>247.64887713342853</v>
      </c>
      <c r="P113" s="796">
        <f>(AQ113*KFC!$B$35+KFC!$C$35)*KFC!$C$5</f>
        <v>260.85674080610704</v>
      </c>
      <c r="Q113" s="796">
        <f>(AR113*KFC!$B$35+KFC!$C$35)*KFC!$C$5</f>
        <v>274.06460447878561</v>
      </c>
      <c r="R113" s="796">
        <f>(AS113*KFC!$B$35+KFC!$C$35)*KFC!$C$5</f>
        <v>287.27246815146418</v>
      </c>
      <c r="S113" s="796">
        <f>(AT113*KFC!$B$35+KFC!$C$35)*KFC!$C$5</f>
        <v>300.4803318241427</v>
      </c>
      <c r="T113" s="796">
        <f>(AU113*KFC!$B$35+KFC!$C$35)*KFC!$C$5</f>
        <v>313.68819549682127</v>
      </c>
      <c r="U113" s="796">
        <f>(AV113*KFC!$B$35+KFC!$C$35)*KFC!$C$5</f>
        <v>326.89605916949978</v>
      </c>
      <c r="V113" s="796">
        <f>(AW113*KFC!$B$35+KFC!$C$35)*KFC!$C$5</f>
        <v>340.10392284217835</v>
      </c>
      <c r="W113" s="796">
        <f>(AX113*KFC!$B$35+KFC!$C$35)*KFC!$C$5</f>
        <v>353.31178651485692</v>
      </c>
      <c r="X113" s="796">
        <f>(AY113*KFC!$B$35+KFC!$C$35)*KFC!$C$5</f>
        <v>366.51965018753543</v>
      </c>
      <c r="Y113" s="796">
        <f>(AZ113*KFC!$B$35+KFC!$C$35)*KFC!$C$5</f>
        <v>379.727513860214</v>
      </c>
      <c r="Z113" s="814">
        <f>(BA113*KFC!$B$35+KFC!$C$35)*KFC!$C$5</f>
        <v>392.93537753289252</v>
      </c>
      <c r="AB113" s="1912"/>
      <c r="AC113" s="799">
        <v>2.9</v>
      </c>
      <c r="AD113" s="797">
        <v>89.154513061285812</v>
      </c>
      <c r="AE113" s="797">
        <v>102.36237673396438</v>
      </c>
      <c r="AF113" s="797">
        <v>115.57024040664294</v>
      </c>
      <c r="AG113" s="797">
        <v>128.77810407932151</v>
      </c>
      <c r="AH113" s="797">
        <v>141.98596775200008</v>
      </c>
      <c r="AI113" s="797">
        <v>155.19383142467865</v>
      </c>
      <c r="AJ113" s="797">
        <v>168.40169509735719</v>
      </c>
      <c r="AK113" s="797">
        <v>181.60955877003579</v>
      </c>
      <c r="AL113" s="797">
        <v>194.81742244271433</v>
      </c>
      <c r="AM113" s="797">
        <v>208.02528611539287</v>
      </c>
      <c r="AN113" s="797">
        <v>221.23314978807142</v>
      </c>
      <c r="AO113" s="797">
        <v>234.44101346074999</v>
      </c>
      <c r="AP113" s="797">
        <v>247.64887713342853</v>
      </c>
      <c r="AQ113" s="797">
        <v>260.85674080610704</v>
      </c>
      <c r="AR113" s="797">
        <v>274.06460447878561</v>
      </c>
      <c r="AS113" s="797">
        <v>287.27246815146418</v>
      </c>
      <c r="AT113" s="797">
        <v>300.4803318241427</v>
      </c>
      <c r="AU113" s="797">
        <v>313.68819549682127</v>
      </c>
      <c r="AV113" s="797">
        <v>326.89605916949978</v>
      </c>
      <c r="AW113" s="797">
        <v>340.10392284217835</v>
      </c>
      <c r="AX113" s="797">
        <v>353.31178651485692</v>
      </c>
      <c r="AY113" s="797">
        <v>366.51965018753543</v>
      </c>
      <c r="AZ113" s="797">
        <v>379.727513860214</v>
      </c>
      <c r="BA113" s="797">
        <v>392.93537753289252</v>
      </c>
    </row>
    <row r="114" spans="1:53">
      <c r="A114" s="1912"/>
      <c r="B114" s="799">
        <v>3</v>
      </c>
      <c r="C114" s="796">
        <f>(AD114*KFC!$B$35+KFC!$C$35)*KFC!$C$5</f>
        <v>90.419174740714382</v>
      </c>
      <c r="D114" s="796">
        <f>(AE114*KFC!$B$35+KFC!$C$35)*KFC!$C$5</f>
        <v>103.94321949741081</v>
      </c>
      <c r="E114" s="796">
        <f>(AF114*KFC!$B$35+KFC!$C$35)*KFC!$C$5</f>
        <v>117.46726425410725</v>
      </c>
      <c r="F114" s="796">
        <f>(AG114*KFC!$B$35+KFC!$C$35)*KFC!$C$5</f>
        <v>130.99130901080366</v>
      </c>
      <c r="G114" s="796">
        <f>(AH114*KFC!$B$35+KFC!$C$35)*KFC!$C$5</f>
        <v>144.5153537675001</v>
      </c>
      <c r="H114" s="796">
        <f>(AI114*KFC!$B$35+KFC!$C$35)*KFC!$C$5</f>
        <v>158.03939852419654</v>
      </c>
      <c r="I114" s="796">
        <f>(AJ114*KFC!$B$35+KFC!$C$35)*KFC!$C$5</f>
        <v>171.56344328089295</v>
      </c>
      <c r="J114" s="796">
        <f>(AK114*KFC!$B$35+KFC!$C$35)*KFC!$C$5</f>
        <v>185.08748803758934</v>
      </c>
      <c r="K114" s="796">
        <f>(AL114*KFC!$B$35+KFC!$C$35)*KFC!$C$5</f>
        <v>198.61153279428575</v>
      </c>
      <c r="L114" s="796">
        <f>(AM114*KFC!$B$35+KFC!$C$35)*KFC!$C$5</f>
        <v>212.13557755098216</v>
      </c>
      <c r="M114" s="796">
        <f>(AN114*KFC!$B$35+KFC!$C$35)*KFC!$C$5</f>
        <v>225.65962230767857</v>
      </c>
      <c r="N114" s="796">
        <f>(AO114*KFC!$B$35+KFC!$C$35)*KFC!$C$5</f>
        <v>239.18366706437499</v>
      </c>
      <c r="O114" s="796">
        <f>(AP114*KFC!$B$35+KFC!$C$35)*KFC!$C$5</f>
        <v>252.7077118210714</v>
      </c>
      <c r="P114" s="796">
        <f>(AQ114*KFC!$B$35+KFC!$C$35)*KFC!$C$5</f>
        <v>266.23175657776784</v>
      </c>
      <c r="Q114" s="796">
        <f>(AR114*KFC!$B$35+KFC!$C$35)*KFC!$C$5</f>
        <v>279.75580133446419</v>
      </c>
      <c r="R114" s="796">
        <f>(AS114*KFC!$B$35+KFC!$C$35)*KFC!$C$5</f>
        <v>293.27984609116061</v>
      </c>
      <c r="S114" s="796">
        <f>(AT114*KFC!$B$35+KFC!$C$35)*KFC!$C$5</f>
        <v>306.80389084785702</v>
      </c>
      <c r="T114" s="796">
        <f>(AU114*KFC!$B$35+KFC!$C$35)*KFC!$C$5</f>
        <v>320.32793560455343</v>
      </c>
      <c r="U114" s="796">
        <f>(AV114*KFC!$B$35+KFC!$C$35)*KFC!$C$5</f>
        <v>333.85198036124984</v>
      </c>
      <c r="V114" s="796">
        <f>(AW114*KFC!$B$35+KFC!$C$35)*KFC!$C$5</f>
        <v>347.37602511794626</v>
      </c>
      <c r="W114" s="796">
        <f>(AX114*KFC!$B$35+KFC!$C$35)*KFC!$C$5</f>
        <v>360.90006987464267</v>
      </c>
      <c r="X114" s="796">
        <f>(AY114*KFC!$B$35+KFC!$C$35)*KFC!$C$5</f>
        <v>374.42411463133908</v>
      </c>
      <c r="Y114" s="796">
        <f>(AZ114*KFC!$B$35+KFC!$C$35)*KFC!$C$5</f>
        <v>387.94815938803549</v>
      </c>
      <c r="Z114" s="814">
        <f>(BA114*KFC!$B$35+KFC!$C$35)*KFC!$C$5</f>
        <v>401.4722041447319</v>
      </c>
      <c r="AB114" s="1912"/>
      <c r="AC114" s="799">
        <v>3</v>
      </c>
      <c r="AD114" s="797">
        <v>90.419174740714382</v>
      </c>
      <c r="AE114" s="797">
        <v>103.94321949741081</v>
      </c>
      <c r="AF114" s="797">
        <v>117.46726425410725</v>
      </c>
      <c r="AG114" s="797">
        <v>130.99130901080366</v>
      </c>
      <c r="AH114" s="797">
        <v>144.5153537675001</v>
      </c>
      <c r="AI114" s="797">
        <v>158.03939852419654</v>
      </c>
      <c r="AJ114" s="797">
        <v>171.56344328089295</v>
      </c>
      <c r="AK114" s="797">
        <v>185.08748803758934</v>
      </c>
      <c r="AL114" s="797">
        <v>198.61153279428575</v>
      </c>
      <c r="AM114" s="797">
        <v>212.13557755098216</v>
      </c>
      <c r="AN114" s="797">
        <v>225.65962230767857</v>
      </c>
      <c r="AO114" s="797">
        <v>239.18366706437499</v>
      </c>
      <c r="AP114" s="797">
        <v>252.7077118210714</v>
      </c>
      <c r="AQ114" s="797">
        <v>266.23175657776784</v>
      </c>
      <c r="AR114" s="797">
        <v>279.75580133446419</v>
      </c>
      <c r="AS114" s="797">
        <v>293.27984609116061</v>
      </c>
      <c r="AT114" s="797">
        <v>306.80389084785702</v>
      </c>
      <c r="AU114" s="797">
        <v>320.32793560455343</v>
      </c>
      <c r="AV114" s="797">
        <v>333.85198036124984</v>
      </c>
      <c r="AW114" s="797">
        <v>347.37602511794626</v>
      </c>
      <c r="AX114" s="797">
        <v>360.90006987464267</v>
      </c>
      <c r="AY114" s="797">
        <v>374.42411463133908</v>
      </c>
      <c r="AZ114" s="797">
        <v>387.94815938803549</v>
      </c>
      <c r="BA114" s="797">
        <v>401.4722041447319</v>
      </c>
    </row>
    <row r="115" spans="1:53">
      <c r="A115" s="1912"/>
      <c r="B115" s="799">
        <v>3.1</v>
      </c>
      <c r="C115" s="796">
        <f>(AD115*KFC!$B$35+KFC!$C$35)*KFC!$C$5</f>
        <v>91.683836420142967</v>
      </c>
      <c r="D115" s="796">
        <f>(AE115*KFC!$B$35+KFC!$C$35)*KFC!$C$5</f>
        <v>105.52406226085724</v>
      </c>
      <c r="E115" s="796">
        <f>(AF115*KFC!$B$35+KFC!$C$35)*KFC!$C$5</f>
        <v>119.3642881015715</v>
      </c>
      <c r="F115" s="796">
        <f>(AG115*KFC!$B$35+KFC!$C$35)*KFC!$C$5</f>
        <v>133.20451394228579</v>
      </c>
      <c r="G115" s="796">
        <f>(AH115*KFC!$B$35+KFC!$C$35)*KFC!$C$5</f>
        <v>147.04473978300007</v>
      </c>
      <c r="H115" s="796">
        <f>(AI115*KFC!$B$35+KFC!$C$35)*KFC!$C$5</f>
        <v>160.88496562371432</v>
      </c>
      <c r="I115" s="796">
        <f>(AJ115*KFC!$B$35+KFC!$C$35)*KFC!$C$5</f>
        <v>174.7251914644286</v>
      </c>
      <c r="J115" s="796">
        <f>(AK115*KFC!$B$35+KFC!$C$35)*KFC!$C$5</f>
        <v>188.56541730514289</v>
      </c>
      <c r="K115" s="796">
        <f>(AL115*KFC!$B$35+KFC!$C$35)*KFC!$C$5</f>
        <v>202.40564314585714</v>
      </c>
      <c r="L115" s="796">
        <f>(AM115*KFC!$B$35+KFC!$C$35)*KFC!$C$5</f>
        <v>216.24586898657142</v>
      </c>
      <c r="M115" s="796">
        <f>(AN115*KFC!$B$35+KFC!$C$35)*KFC!$C$5</f>
        <v>230.08609482728571</v>
      </c>
      <c r="N115" s="796">
        <f>(AO115*KFC!$B$35+KFC!$C$35)*KFC!$C$5</f>
        <v>243.92632066799996</v>
      </c>
      <c r="O115" s="796">
        <f>(AP115*KFC!$B$35+KFC!$C$35)*KFC!$C$5</f>
        <v>257.76654650871427</v>
      </c>
      <c r="P115" s="796">
        <f>(AQ115*KFC!$B$35+KFC!$C$35)*KFC!$C$5</f>
        <v>271.60677234942852</v>
      </c>
      <c r="Q115" s="796">
        <f>(AR115*KFC!$B$35+KFC!$C$35)*KFC!$C$5</f>
        <v>285.44699819014278</v>
      </c>
      <c r="R115" s="796">
        <f>(AS115*KFC!$B$35+KFC!$C$35)*KFC!$C$5</f>
        <v>299.28722403085709</v>
      </c>
      <c r="S115" s="796">
        <f>(AT115*KFC!$B$35+KFC!$C$35)*KFC!$C$5</f>
        <v>313.12744987157134</v>
      </c>
      <c r="T115" s="796">
        <f>(AU115*KFC!$B$35+KFC!$C$35)*KFC!$C$5</f>
        <v>326.9676757122856</v>
      </c>
      <c r="U115" s="796">
        <f>(AV115*KFC!$B$35+KFC!$C$35)*KFC!$C$5</f>
        <v>340.80790155299991</v>
      </c>
      <c r="V115" s="796">
        <f>(AW115*KFC!$B$35+KFC!$C$35)*KFC!$C$5</f>
        <v>354.64812739371422</v>
      </c>
      <c r="W115" s="796">
        <f>(AX115*KFC!$B$35+KFC!$C$35)*KFC!$C$5</f>
        <v>368.48835323442847</v>
      </c>
      <c r="X115" s="796">
        <f>(AY115*KFC!$B$35+KFC!$C$35)*KFC!$C$5</f>
        <v>382.32857907514273</v>
      </c>
      <c r="Y115" s="796">
        <f>(AZ115*KFC!$B$35+KFC!$C$35)*KFC!$C$5</f>
        <v>396.16880491585704</v>
      </c>
      <c r="Z115" s="814">
        <f>(BA115*KFC!$B$35+KFC!$C$35)*KFC!$C$5</f>
        <v>410.00903075657129</v>
      </c>
      <c r="AB115" s="1912"/>
      <c r="AC115" s="799">
        <v>3.1</v>
      </c>
      <c r="AD115" s="797">
        <v>91.683836420142967</v>
      </c>
      <c r="AE115" s="797">
        <v>105.52406226085724</v>
      </c>
      <c r="AF115" s="797">
        <v>119.3642881015715</v>
      </c>
      <c r="AG115" s="797">
        <v>133.20451394228579</v>
      </c>
      <c r="AH115" s="797">
        <v>147.04473978300007</v>
      </c>
      <c r="AI115" s="797">
        <v>160.88496562371432</v>
      </c>
      <c r="AJ115" s="797">
        <v>174.7251914644286</v>
      </c>
      <c r="AK115" s="797">
        <v>188.56541730514289</v>
      </c>
      <c r="AL115" s="797">
        <v>202.40564314585714</v>
      </c>
      <c r="AM115" s="797">
        <v>216.24586898657142</v>
      </c>
      <c r="AN115" s="797">
        <v>230.08609482728571</v>
      </c>
      <c r="AO115" s="797">
        <v>243.92632066799996</v>
      </c>
      <c r="AP115" s="797">
        <v>257.76654650871427</v>
      </c>
      <c r="AQ115" s="797">
        <v>271.60677234942852</v>
      </c>
      <c r="AR115" s="797">
        <v>285.44699819014278</v>
      </c>
      <c r="AS115" s="797">
        <v>299.28722403085709</v>
      </c>
      <c r="AT115" s="797">
        <v>313.12744987157134</v>
      </c>
      <c r="AU115" s="797">
        <v>326.9676757122856</v>
      </c>
      <c r="AV115" s="797">
        <v>340.80790155299991</v>
      </c>
      <c r="AW115" s="797">
        <v>354.64812739371422</v>
      </c>
      <c r="AX115" s="797">
        <v>368.48835323442847</v>
      </c>
      <c r="AY115" s="797">
        <v>382.32857907514273</v>
      </c>
      <c r="AZ115" s="797">
        <v>396.16880491585704</v>
      </c>
      <c r="BA115" s="797">
        <v>410.00903075657129</v>
      </c>
    </row>
    <row r="116" spans="1:53">
      <c r="A116" s="1912"/>
      <c r="B116" s="799">
        <v>3.2</v>
      </c>
      <c r="C116" s="796">
        <f>(AD116*KFC!$B$35+KFC!$C$35)*KFC!$C$5</f>
        <v>92.948498099571538</v>
      </c>
      <c r="D116" s="796">
        <f>(AE116*KFC!$B$35+KFC!$C$35)*KFC!$C$5</f>
        <v>107.10490502430368</v>
      </c>
      <c r="E116" s="796">
        <f>(AF116*KFC!$B$35+KFC!$C$35)*KFC!$C$5</f>
        <v>121.26131194903581</v>
      </c>
      <c r="F116" s="796">
        <f>(AG116*KFC!$B$35+KFC!$C$35)*KFC!$C$5</f>
        <v>135.41771887376794</v>
      </c>
      <c r="G116" s="796">
        <f>(AH116*KFC!$B$35+KFC!$C$35)*KFC!$C$5</f>
        <v>149.57412579850009</v>
      </c>
      <c r="H116" s="796">
        <f>(AI116*KFC!$B$35+KFC!$C$35)*KFC!$C$5</f>
        <v>163.73053272323222</v>
      </c>
      <c r="I116" s="796">
        <f>(AJ116*KFC!$B$35+KFC!$C$35)*KFC!$C$5</f>
        <v>177.88693964796437</v>
      </c>
      <c r="J116" s="796">
        <f>(AK116*KFC!$B$35+KFC!$C$35)*KFC!$C$5</f>
        <v>192.04334657269652</v>
      </c>
      <c r="K116" s="796">
        <f>(AL116*KFC!$B$35+KFC!$C$35)*KFC!$C$5</f>
        <v>206.19975349742865</v>
      </c>
      <c r="L116" s="796">
        <f>(AM116*KFC!$B$35+KFC!$C$35)*KFC!$C$5</f>
        <v>220.3561604221608</v>
      </c>
      <c r="M116" s="796">
        <f>(AN116*KFC!$B$35+KFC!$C$35)*KFC!$C$5</f>
        <v>234.51256734689292</v>
      </c>
      <c r="N116" s="796">
        <f>(AO116*KFC!$B$35+KFC!$C$35)*KFC!$C$5</f>
        <v>248.66897427162507</v>
      </c>
      <c r="O116" s="796">
        <f>(AP116*KFC!$B$35+KFC!$C$35)*KFC!$C$5</f>
        <v>262.82538119635723</v>
      </c>
      <c r="P116" s="796">
        <f>(AQ116*KFC!$B$35+KFC!$C$35)*KFC!$C$5</f>
        <v>276.98178812108932</v>
      </c>
      <c r="Q116" s="796">
        <f>(AR116*KFC!$B$35+KFC!$C$35)*KFC!$C$5</f>
        <v>291.13819504582148</v>
      </c>
      <c r="R116" s="796">
        <f>(AS116*KFC!$B$35+KFC!$C$35)*KFC!$C$5</f>
        <v>305.29460197055363</v>
      </c>
      <c r="S116" s="796">
        <f>(AT116*KFC!$B$35+KFC!$C$35)*KFC!$C$5</f>
        <v>319.45100889528572</v>
      </c>
      <c r="T116" s="796">
        <f>(AU116*KFC!$B$35+KFC!$C$35)*KFC!$C$5</f>
        <v>333.60741582001788</v>
      </c>
      <c r="U116" s="796">
        <f>(AV116*KFC!$B$35+KFC!$C$35)*KFC!$C$5</f>
        <v>347.76382274475009</v>
      </c>
      <c r="V116" s="796">
        <f>(AW116*KFC!$B$35+KFC!$C$35)*KFC!$C$5</f>
        <v>361.92022966948218</v>
      </c>
      <c r="W116" s="796">
        <f>(AX116*KFC!$B$35+KFC!$C$35)*KFC!$C$5</f>
        <v>376.07663659421434</v>
      </c>
      <c r="X116" s="796">
        <f>(AY116*KFC!$B$35+KFC!$C$35)*KFC!$C$5</f>
        <v>390.23304351894649</v>
      </c>
      <c r="Y116" s="796">
        <f>(AZ116*KFC!$B$35+KFC!$C$35)*KFC!$C$5</f>
        <v>404.38945044367858</v>
      </c>
      <c r="Z116" s="814">
        <f>(BA116*KFC!$B$35+KFC!$C$35)*KFC!$C$5</f>
        <v>418.54585736841074</v>
      </c>
      <c r="AB116" s="1912"/>
      <c r="AC116" s="799">
        <v>3.2</v>
      </c>
      <c r="AD116" s="797">
        <v>92.948498099571538</v>
      </c>
      <c r="AE116" s="797">
        <v>107.10490502430368</v>
      </c>
      <c r="AF116" s="797">
        <v>121.26131194903581</v>
      </c>
      <c r="AG116" s="797">
        <v>135.41771887376794</v>
      </c>
      <c r="AH116" s="797">
        <v>149.57412579850009</v>
      </c>
      <c r="AI116" s="797">
        <v>163.73053272323222</v>
      </c>
      <c r="AJ116" s="797">
        <v>177.88693964796437</v>
      </c>
      <c r="AK116" s="797">
        <v>192.04334657269652</v>
      </c>
      <c r="AL116" s="797">
        <v>206.19975349742865</v>
      </c>
      <c r="AM116" s="797">
        <v>220.3561604221608</v>
      </c>
      <c r="AN116" s="797">
        <v>234.51256734689292</v>
      </c>
      <c r="AO116" s="797">
        <v>248.66897427162507</v>
      </c>
      <c r="AP116" s="797">
        <v>262.82538119635723</v>
      </c>
      <c r="AQ116" s="797">
        <v>276.98178812108932</v>
      </c>
      <c r="AR116" s="797">
        <v>291.13819504582148</v>
      </c>
      <c r="AS116" s="797">
        <v>305.29460197055363</v>
      </c>
      <c r="AT116" s="797">
        <v>319.45100889528572</v>
      </c>
      <c r="AU116" s="797">
        <v>333.60741582001788</v>
      </c>
      <c r="AV116" s="797">
        <v>347.76382274475009</v>
      </c>
      <c r="AW116" s="797">
        <v>361.92022966948218</v>
      </c>
      <c r="AX116" s="797">
        <v>376.07663659421434</v>
      </c>
      <c r="AY116" s="797">
        <v>390.23304351894649</v>
      </c>
      <c r="AZ116" s="797">
        <v>404.38945044367858</v>
      </c>
      <c r="BA116" s="797">
        <v>418.54585736841074</v>
      </c>
    </row>
    <row r="117" spans="1:53">
      <c r="A117" s="1912"/>
      <c r="B117" s="799">
        <v>3.3</v>
      </c>
      <c r="C117" s="796">
        <f>(AD117*KFC!$B$35+KFC!$C$35)*KFC!$C$5</f>
        <v>94.213159779000108</v>
      </c>
      <c r="D117" s="796">
        <f>(AE117*KFC!$B$35+KFC!$C$35)*KFC!$C$5</f>
        <v>108.68574778775012</v>
      </c>
      <c r="E117" s="796">
        <f>(AF117*KFC!$B$35+KFC!$C$35)*KFC!$C$5</f>
        <v>123.15833579650011</v>
      </c>
      <c r="F117" s="796">
        <f>(AG117*KFC!$B$35+KFC!$C$35)*KFC!$C$5</f>
        <v>137.63092380525012</v>
      </c>
      <c r="G117" s="796">
        <f>(AH117*KFC!$B$35+KFC!$C$35)*KFC!$C$5</f>
        <v>152.10351181400011</v>
      </c>
      <c r="H117" s="796">
        <f>(AI117*KFC!$B$35+KFC!$C$35)*KFC!$C$5</f>
        <v>166.57609982275011</v>
      </c>
      <c r="I117" s="796">
        <f>(AJ117*KFC!$B$35+KFC!$C$35)*KFC!$C$5</f>
        <v>181.0486878315001</v>
      </c>
      <c r="J117" s="796">
        <f>(AK117*KFC!$B$35+KFC!$C$35)*KFC!$C$5</f>
        <v>195.52127584025013</v>
      </c>
      <c r="K117" s="796">
        <f>(AL117*KFC!$B$35+KFC!$C$35)*KFC!$C$5</f>
        <v>209.99386384900012</v>
      </c>
      <c r="L117" s="796">
        <f>(AM117*KFC!$B$35+KFC!$C$35)*KFC!$C$5</f>
        <v>224.46645185775012</v>
      </c>
      <c r="M117" s="796">
        <f>(AN117*KFC!$B$35+KFC!$C$35)*KFC!$C$5</f>
        <v>238.93903986650011</v>
      </c>
      <c r="N117" s="796">
        <f>(AO117*KFC!$B$35+KFC!$C$35)*KFC!$C$5</f>
        <v>253.4116278752501</v>
      </c>
      <c r="O117" s="796">
        <f>(AP117*KFC!$B$35+KFC!$C$35)*KFC!$C$5</f>
        <v>267.88421588400013</v>
      </c>
      <c r="P117" s="796">
        <f>(AQ117*KFC!$B$35+KFC!$C$35)*KFC!$C$5</f>
        <v>282.35680389275012</v>
      </c>
      <c r="Q117" s="796">
        <f>(AR117*KFC!$B$35+KFC!$C$35)*KFC!$C$5</f>
        <v>296.82939190150012</v>
      </c>
      <c r="R117" s="796">
        <f>(AS117*KFC!$B$35+KFC!$C$35)*KFC!$C$5</f>
        <v>311.30197991025011</v>
      </c>
      <c r="S117" s="796">
        <f>(AT117*KFC!$B$35+KFC!$C$35)*KFC!$C$5</f>
        <v>325.77456791900011</v>
      </c>
      <c r="T117" s="796">
        <f>(AU117*KFC!$B$35+KFC!$C$35)*KFC!$C$5</f>
        <v>340.2471559277501</v>
      </c>
      <c r="U117" s="796">
        <f>(AV117*KFC!$B$35+KFC!$C$35)*KFC!$C$5</f>
        <v>354.71974393650009</v>
      </c>
      <c r="V117" s="796">
        <f>(AW117*KFC!$B$35+KFC!$C$35)*KFC!$C$5</f>
        <v>369.19233194525015</v>
      </c>
      <c r="W117" s="796">
        <f>(AX117*KFC!$B$35+KFC!$C$35)*KFC!$C$5</f>
        <v>383.66491995400014</v>
      </c>
      <c r="X117" s="796">
        <f>(AY117*KFC!$B$35+KFC!$C$35)*KFC!$C$5</f>
        <v>398.13750796275013</v>
      </c>
      <c r="Y117" s="796">
        <f>(AZ117*KFC!$B$35+KFC!$C$35)*KFC!$C$5</f>
        <v>412.61009597150013</v>
      </c>
      <c r="Z117" s="814">
        <f>(BA117*KFC!$B$35+KFC!$C$35)*KFC!$C$5</f>
        <v>427.08268398025012</v>
      </c>
      <c r="AB117" s="1912"/>
      <c r="AC117" s="799">
        <v>3.3</v>
      </c>
      <c r="AD117" s="797">
        <v>94.213159779000108</v>
      </c>
      <c r="AE117" s="797">
        <v>108.68574778775012</v>
      </c>
      <c r="AF117" s="797">
        <v>123.15833579650011</v>
      </c>
      <c r="AG117" s="797">
        <v>137.63092380525012</v>
      </c>
      <c r="AH117" s="797">
        <v>152.10351181400011</v>
      </c>
      <c r="AI117" s="797">
        <v>166.57609982275011</v>
      </c>
      <c r="AJ117" s="797">
        <v>181.0486878315001</v>
      </c>
      <c r="AK117" s="797">
        <v>195.52127584025013</v>
      </c>
      <c r="AL117" s="797">
        <v>209.99386384900012</v>
      </c>
      <c r="AM117" s="797">
        <v>224.46645185775012</v>
      </c>
      <c r="AN117" s="797">
        <v>238.93903986650011</v>
      </c>
      <c r="AO117" s="797">
        <v>253.4116278752501</v>
      </c>
      <c r="AP117" s="797">
        <v>267.88421588400013</v>
      </c>
      <c r="AQ117" s="797">
        <v>282.35680389275012</v>
      </c>
      <c r="AR117" s="797">
        <v>296.82939190150012</v>
      </c>
      <c r="AS117" s="797">
        <v>311.30197991025011</v>
      </c>
      <c r="AT117" s="797">
        <v>325.77456791900011</v>
      </c>
      <c r="AU117" s="797">
        <v>340.2471559277501</v>
      </c>
      <c r="AV117" s="797">
        <v>354.71974393650009</v>
      </c>
      <c r="AW117" s="797">
        <v>369.19233194525015</v>
      </c>
      <c r="AX117" s="797">
        <v>383.66491995400014</v>
      </c>
      <c r="AY117" s="797">
        <v>398.13750796275013</v>
      </c>
      <c r="AZ117" s="797">
        <v>412.61009597150013</v>
      </c>
      <c r="BA117" s="797">
        <v>427.08268398025012</v>
      </c>
    </row>
    <row r="118" spans="1:53">
      <c r="A118" s="1912"/>
      <c r="B118" s="799">
        <v>3.4</v>
      </c>
      <c r="C118" s="796">
        <f>(AD118*KFC!$B$35+KFC!$C$35)*KFC!$C$5</f>
        <v>95.477821458428693</v>
      </c>
      <c r="D118" s="796">
        <f>(AE118*KFC!$B$35+KFC!$C$35)*KFC!$C$5</f>
        <v>110.26659055119653</v>
      </c>
      <c r="E118" s="796">
        <f>(AF118*KFC!$B$35+KFC!$C$35)*KFC!$C$5</f>
        <v>125.05535964396439</v>
      </c>
      <c r="F118" s="796">
        <f>(AG118*KFC!$B$35+KFC!$C$35)*KFC!$C$5</f>
        <v>139.84412873673227</v>
      </c>
      <c r="G118" s="796">
        <f>(AH118*KFC!$B$35+KFC!$C$35)*KFC!$C$5</f>
        <v>154.63289782950014</v>
      </c>
      <c r="H118" s="796">
        <f>(AI118*KFC!$B$35+KFC!$C$35)*KFC!$C$5</f>
        <v>169.421666922268</v>
      </c>
      <c r="I118" s="796">
        <f>(AJ118*KFC!$B$35+KFC!$C$35)*KFC!$C$5</f>
        <v>184.21043601503587</v>
      </c>
      <c r="J118" s="796">
        <f>(AK118*KFC!$B$35+KFC!$C$35)*KFC!$C$5</f>
        <v>198.9992051078037</v>
      </c>
      <c r="K118" s="796">
        <f>(AL118*KFC!$B$35+KFC!$C$35)*KFC!$C$5</f>
        <v>213.78797420057157</v>
      </c>
      <c r="L118" s="796">
        <f>(AM118*KFC!$B$35+KFC!$C$35)*KFC!$C$5</f>
        <v>228.57674329333943</v>
      </c>
      <c r="M118" s="796">
        <f>(AN118*KFC!$B$35+KFC!$C$35)*KFC!$C$5</f>
        <v>243.3655123861073</v>
      </c>
      <c r="N118" s="796">
        <f>(AO118*KFC!$B$35+KFC!$C$35)*KFC!$C$5</f>
        <v>258.15428147887519</v>
      </c>
      <c r="O118" s="796">
        <f>(AP118*KFC!$B$35+KFC!$C$35)*KFC!$C$5</f>
        <v>272.94305057164303</v>
      </c>
      <c r="P118" s="796">
        <f>(AQ118*KFC!$B$35+KFC!$C$35)*KFC!$C$5</f>
        <v>287.73181966441092</v>
      </c>
      <c r="Q118" s="796">
        <f>(AR118*KFC!$B$35+KFC!$C$35)*KFC!$C$5</f>
        <v>302.52058875717876</v>
      </c>
      <c r="R118" s="796">
        <f>(AS118*KFC!$B$35+KFC!$C$35)*KFC!$C$5</f>
        <v>317.30935784994665</v>
      </c>
      <c r="S118" s="796">
        <f>(AT118*KFC!$B$35+KFC!$C$35)*KFC!$C$5</f>
        <v>332.09812694271449</v>
      </c>
      <c r="T118" s="796">
        <f>(AU118*KFC!$B$35+KFC!$C$35)*KFC!$C$5</f>
        <v>346.88689603548232</v>
      </c>
      <c r="U118" s="796">
        <f>(AV118*KFC!$B$35+KFC!$C$35)*KFC!$C$5</f>
        <v>361.67566512825016</v>
      </c>
      <c r="V118" s="796">
        <f>(AW118*KFC!$B$35+KFC!$C$35)*KFC!$C$5</f>
        <v>376.46443422101805</v>
      </c>
      <c r="W118" s="796">
        <f>(AX118*KFC!$B$35+KFC!$C$35)*KFC!$C$5</f>
        <v>391.25320331378589</v>
      </c>
      <c r="X118" s="796">
        <f>(AY118*KFC!$B$35+KFC!$C$35)*KFC!$C$5</f>
        <v>406.04197240655378</v>
      </c>
      <c r="Y118" s="796">
        <f>(AZ118*KFC!$B$35+KFC!$C$35)*KFC!$C$5</f>
        <v>420.83074149932162</v>
      </c>
      <c r="Z118" s="814">
        <f>(BA118*KFC!$B$35+KFC!$C$35)*KFC!$C$5</f>
        <v>435.61951059208951</v>
      </c>
      <c r="AB118" s="1912"/>
      <c r="AC118" s="799">
        <v>3.4</v>
      </c>
      <c r="AD118" s="797">
        <v>95.477821458428693</v>
      </c>
      <c r="AE118" s="797">
        <v>110.26659055119653</v>
      </c>
      <c r="AF118" s="797">
        <v>125.05535964396439</v>
      </c>
      <c r="AG118" s="797">
        <v>139.84412873673227</v>
      </c>
      <c r="AH118" s="797">
        <v>154.63289782950014</v>
      </c>
      <c r="AI118" s="797">
        <v>169.421666922268</v>
      </c>
      <c r="AJ118" s="797">
        <v>184.21043601503587</v>
      </c>
      <c r="AK118" s="797">
        <v>198.9992051078037</v>
      </c>
      <c r="AL118" s="797">
        <v>213.78797420057157</v>
      </c>
      <c r="AM118" s="797">
        <v>228.57674329333943</v>
      </c>
      <c r="AN118" s="797">
        <v>243.3655123861073</v>
      </c>
      <c r="AO118" s="797">
        <v>258.15428147887519</v>
      </c>
      <c r="AP118" s="797">
        <v>272.94305057164303</v>
      </c>
      <c r="AQ118" s="797">
        <v>287.73181966441092</v>
      </c>
      <c r="AR118" s="797">
        <v>302.52058875717876</v>
      </c>
      <c r="AS118" s="797">
        <v>317.30935784994665</v>
      </c>
      <c r="AT118" s="797">
        <v>332.09812694271449</v>
      </c>
      <c r="AU118" s="797">
        <v>346.88689603548232</v>
      </c>
      <c r="AV118" s="797">
        <v>361.67566512825016</v>
      </c>
      <c r="AW118" s="797">
        <v>376.46443422101805</v>
      </c>
      <c r="AX118" s="797">
        <v>391.25320331378589</v>
      </c>
      <c r="AY118" s="797">
        <v>406.04197240655378</v>
      </c>
      <c r="AZ118" s="797">
        <v>420.83074149932162</v>
      </c>
      <c r="BA118" s="797">
        <v>435.61951059208951</v>
      </c>
    </row>
    <row r="119" spans="1:53">
      <c r="A119" s="1912"/>
      <c r="B119" s="799">
        <v>3.5</v>
      </c>
      <c r="C119" s="796">
        <f>(AD119*KFC!$B$35+KFC!$C$35)*KFC!$C$5</f>
        <v>96.742483137857263</v>
      </c>
      <c r="D119" s="796">
        <f>(AE119*KFC!$B$35+KFC!$C$35)*KFC!$C$5</f>
        <v>111.84743331464297</v>
      </c>
      <c r="E119" s="796">
        <f>(AF119*KFC!$B$35+KFC!$C$35)*KFC!$C$5</f>
        <v>126.95238349142868</v>
      </c>
      <c r="F119" s="796">
        <f>(AG119*KFC!$B$35+KFC!$C$35)*KFC!$C$5</f>
        <v>142.0573336682144</v>
      </c>
      <c r="G119" s="796">
        <f>(AH119*KFC!$B$35+KFC!$C$35)*KFC!$C$5</f>
        <v>157.1622838450001</v>
      </c>
      <c r="H119" s="796">
        <f>(AI119*KFC!$B$35+KFC!$C$35)*KFC!$C$5</f>
        <v>172.26723402178584</v>
      </c>
      <c r="I119" s="796">
        <f>(AJ119*KFC!$B$35+KFC!$C$35)*KFC!$C$5</f>
        <v>187.37218419857155</v>
      </c>
      <c r="J119" s="796">
        <f>(AK119*KFC!$B$35+KFC!$C$35)*KFC!$C$5</f>
        <v>202.47713437535728</v>
      </c>
      <c r="K119" s="796">
        <f>(AL119*KFC!$B$35+KFC!$C$35)*KFC!$C$5</f>
        <v>217.58208455214302</v>
      </c>
      <c r="L119" s="796">
        <f>(AM119*KFC!$B$35+KFC!$C$35)*KFC!$C$5</f>
        <v>232.68703472892872</v>
      </c>
      <c r="M119" s="796">
        <f>(AN119*KFC!$B$35+KFC!$C$35)*KFC!$C$5</f>
        <v>247.79198490571446</v>
      </c>
      <c r="N119" s="796">
        <f>(AO119*KFC!$B$35+KFC!$C$35)*KFC!$C$5</f>
        <v>262.89693508250019</v>
      </c>
      <c r="O119" s="796">
        <f>(AP119*KFC!$B$35+KFC!$C$35)*KFC!$C$5</f>
        <v>278.00188525928593</v>
      </c>
      <c r="P119" s="796">
        <f>(AQ119*KFC!$B$35+KFC!$C$35)*KFC!$C$5</f>
        <v>293.10683543607166</v>
      </c>
      <c r="Q119" s="796">
        <f>(AR119*KFC!$B$35+KFC!$C$35)*KFC!$C$5</f>
        <v>308.2117856128574</v>
      </c>
      <c r="R119" s="796">
        <f>(AS119*KFC!$B$35+KFC!$C$35)*KFC!$C$5</f>
        <v>323.31673578964308</v>
      </c>
      <c r="S119" s="796">
        <f>(AT119*KFC!$B$35+KFC!$C$35)*KFC!$C$5</f>
        <v>338.42168596642881</v>
      </c>
      <c r="T119" s="796">
        <f>(AU119*KFC!$B$35+KFC!$C$35)*KFC!$C$5</f>
        <v>353.52663614321449</v>
      </c>
      <c r="U119" s="796">
        <f>(AV119*KFC!$B$35+KFC!$C$35)*KFC!$C$5</f>
        <v>368.63158632000022</v>
      </c>
      <c r="V119" s="796">
        <f>(AW119*KFC!$B$35+KFC!$C$35)*KFC!$C$5</f>
        <v>383.73653649678596</v>
      </c>
      <c r="W119" s="796">
        <f>(AX119*KFC!$B$35+KFC!$C$35)*KFC!$C$5</f>
        <v>398.84148667357169</v>
      </c>
      <c r="X119" s="796">
        <f>(AY119*KFC!$B$35+KFC!$C$35)*KFC!$C$5</f>
        <v>413.94643685035743</v>
      </c>
      <c r="Y119" s="796">
        <f>(AZ119*KFC!$B$35+KFC!$C$35)*KFC!$C$5</f>
        <v>429.05138702714316</v>
      </c>
      <c r="Z119" s="814">
        <f>(BA119*KFC!$B$35+KFC!$C$35)*KFC!$C$5</f>
        <v>444.1563372039289</v>
      </c>
      <c r="AB119" s="1912"/>
      <c r="AC119" s="799">
        <v>3.5</v>
      </c>
      <c r="AD119" s="797">
        <v>96.742483137857263</v>
      </c>
      <c r="AE119" s="797">
        <v>111.84743331464297</v>
      </c>
      <c r="AF119" s="797">
        <v>126.95238349142868</v>
      </c>
      <c r="AG119" s="797">
        <v>142.0573336682144</v>
      </c>
      <c r="AH119" s="797">
        <v>157.1622838450001</v>
      </c>
      <c r="AI119" s="797">
        <v>172.26723402178584</v>
      </c>
      <c r="AJ119" s="797">
        <v>187.37218419857155</v>
      </c>
      <c r="AK119" s="797">
        <v>202.47713437535728</v>
      </c>
      <c r="AL119" s="797">
        <v>217.58208455214302</v>
      </c>
      <c r="AM119" s="797">
        <v>232.68703472892872</v>
      </c>
      <c r="AN119" s="797">
        <v>247.79198490571446</v>
      </c>
      <c r="AO119" s="797">
        <v>262.89693508250019</v>
      </c>
      <c r="AP119" s="797">
        <v>278.00188525928593</v>
      </c>
      <c r="AQ119" s="797">
        <v>293.10683543607166</v>
      </c>
      <c r="AR119" s="797">
        <v>308.2117856128574</v>
      </c>
      <c r="AS119" s="797">
        <v>323.31673578964308</v>
      </c>
      <c r="AT119" s="797">
        <v>338.42168596642881</v>
      </c>
      <c r="AU119" s="797">
        <v>353.52663614321449</v>
      </c>
      <c r="AV119" s="797">
        <v>368.63158632000022</v>
      </c>
      <c r="AW119" s="797">
        <v>383.73653649678596</v>
      </c>
      <c r="AX119" s="797">
        <v>398.84148667357169</v>
      </c>
      <c r="AY119" s="797">
        <v>413.94643685035743</v>
      </c>
      <c r="AZ119" s="797">
        <v>429.05138702714316</v>
      </c>
      <c r="BA119" s="797">
        <v>444.1563372039289</v>
      </c>
    </row>
    <row r="120" spans="1:53">
      <c r="A120" s="1912"/>
      <c r="B120" s="799">
        <v>3.6</v>
      </c>
      <c r="C120" s="796">
        <f>(AD120*KFC!$B$35+KFC!$C$35)*KFC!$C$5</f>
        <v>98.007144817285834</v>
      </c>
      <c r="D120" s="796">
        <f>(AE120*KFC!$B$35+KFC!$C$35)*KFC!$C$5</f>
        <v>113.42827607808941</v>
      </c>
      <c r="E120" s="796">
        <f>(AF120*KFC!$B$35+KFC!$C$35)*KFC!$C$5</f>
        <v>128.84940733889297</v>
      </c>
      <c r="F120" s="796">
        <f>(AG120*KFC!$B$35+KFC!$C$35)*KFC!$C$5</f>
        <v>144.27053859969655</v>
      </c>
      <c r="G120" s="796">
        <f>(AH120*KFC!$B$35+KFC!$C$35)*KFC!$C$5</f>
        <v>159.69166986050013</v>
      </c>
      <c r="H120" s="796">
        <f>(AI120*KFC!$B$35+KFC!$C$35)*KFC!$C$5</f>
        <v>175.1128011213037</v>
      </c>
      <c r="I120" s="796">
        <f>(AJ120*KFC!$B$35+KFC!$C$35)*KFC!$C$5</f>
        <v>190.53393238210728</v>
      </c>
      <c r="J120" s="796">
        <f>(AK120*KFC!$B$35+KFC!$C$35)*KFC!$C$5</f>
        <v>205.95506364291089</v>
      </c>
      <c r="K120" s="796">
        <f>(AL120*KFC!$B$35+KFC!$C$35)*KFC!$C$5</f>
        <v>221.37619490371446</v>
      </c>
      <c r="L120" s="796">
        <f>(AM120*KFC!$B$35+KFC!$C$35)*KFC!$C$5</f>
        <v>236.79732616451807</v>
      </c>
      <c r="M120" s="796">
        <f>(AN120*KFC!$B$35+KFC!$C$35)*KFC!$C$5</f>
        <v>252.21845742532165</v>
      </c>
      <c r="N120" s="796">
        <f>(AO120*KFC!$B$35+KFC!$C$35)*KFC!$C$5</f>
        <v>267.63958868612525</v>
      </c>
      <c r="O120" s="796">
        <f>(AP120*KFC!$B$35+KFC!$C$35)*KFC!$C$5</f>
        <v>283.06071994692883</v>
      </c>
      <c r="P120" s="796">
        <f>(AQ120*KFC!$B$35+KFC!$C$35)*KFC!$C$5</f>
        <v>298.4818512077324</v>
      </c>
      <c r="Q120" s="796">
        <f>(AR120*KFC!$B$35+KFC!$C$35)*KFC!$C$5</f>
        <v>313.90298246853604</v>
      </c>
      <c r="R120" s="796">
        <f>(AS120*KFC!$B$35+KFC!$C$35)*KFC!$C$5</f>
        <v>329.32411372933962</v>
      </c>
      <c r="S120" s="796">
        <f>(AT120*KFC!$B$35+KFC!$C$35)*KFC!$C$5</f>
        <v>344.74524499014319</v>
      </c>
      <c r="T120" s="796">
        <f>(AU120*KFC!$B$35+KFC!$C$35)*KFC!$C$5</f>
        <v>360.16637625094677</v>
      </c>
      <c r="U120" s="796">
        <f>(AV120*KFC!$B$35+KFC!$C$35)*KFC!$C$5</f>
        <v>375.5875075117504</v>
      </c>
      <c r="V120" s="796">
        <f>(AW120*KFC!$B$35+KFC!$C$35)*KFC!$C$5</f>
        <v>391.00863877255398</v>
      </c>
      <c r="W120" s="796">
        <f>(AX120*KFC!$B$35+KFC!$C$35)*KFC!$C$5</f>
        <v>406.42977003335756</v>
      </c>
      <c r="X120" s="796">
        <f>(AY120*KFC!$B$35+KFC!$C$35)*KFC!$C$5</f>
        <v>421.85090129416113</v>
      </c>
      <c r="Y120" s="796">
        <f>(AZ120*KFC!$B$35+KFC!$C$35)*KFC!$C$5</f>
        <v>437.27203255496477</v>
      </c>
      <c r="Z120" s="814">
        <f>(BA120*KFC!$B$35+KFC!$C$35)*KFC!$C$5</f>
        <v>452.69316381576834</v>
      </c>
      <c r="AB120" s="1912"/>
      <c r="AC120" s="799">
        <v>3.6</v>
      </c>
      <c r="AD120" s="797">
        <v>98.007144817285834</v>
      </c>
      <c r="AE120" s="797">
        <v>113.42827607808941</v>
      </c>
      <c r="AF120" s="797">
        <v>128.84940733889297</v>
      </c>
      <c r="AG120" s="797">
        <v>144.27053859969655</v>
      </c>
      <c r="AH120" s="797">
        <v>159.69166986050013</v>
      </c>
      <c r="AI120" s="797">
        <v>175.1128011213037</v>
      </c>
      <c r="AJ120" s="797">
        <v>190.53393238210728</v>
      </c>
      <c r="AK120" s="797">
        <v>205.95506364291089</v>
      </c>
      <c r="AL120" s="797">
        <v>221.37619490371446</v>
      </c>
      <c r="AM120" s="797">
        <v>236.79732616451807</v>
      </c>
      <c r="AN120" s="797">
        <v>252.21845742532165</v>
      </c>
      <c r="AO120" s="797">
        <v>267.63958868612525</v>
      </c>
      <c r="AP120" s="797">
        <v>283.06071994692883</v>
      </c>
      <c r="AQ120" s="797">
        <v>298.4818512077324</v>
      </c>
      <c r="AR120" s="797">
        <v>313.90298246853604</v>
      </c>
      <c r="AS120" s="797">
        <v>329.32411372933962</v>
      </c>
      <c r="AT120" s="797">
        <v>344.74524499014319</v>
      </c>
      <c r="AU120" s="797">
        <v>360.16637625094677</v>
      </c>
      <c r="AV120" s="797">
        <v>375.5875075117504</v>
      </c>
      <c r="AW120" s="797">
        <v>391.00863877255398</v>
      </c>
      <c r="AX120" s="797">
        <v>406.42977003335756</v>
      </c>
      <c r="AY120" s="797">
        <v>421.85090129416113</v>
      </c>
      <c r="AZ120" s="797">
        <v>437.27203255496477</v>
      </c>
      <c r="BA120" s="797">
        <v>452.69316381576834</v>
      </c>
    </row>
    <row r="121" spans="1:53">
      <c r="A121" s="1912"/>
      <c r="B121" s="799">
        <v>3.7</v>
      </c>
      <c r="C121" s="796">
        <f>(AD121*KFC!$B$35+KFC!$C$35)*KFC!$C$5</f>
        <v>99.271806496714419</v>
      </c>
      <c r="D121" s="796">
        <f>(AE121*KFC!$B$35+KFC!$C$35)*KFC!$C$5</f>
        <v>115.00911884153585</v>
      </c>
      <c r="E121" s="796">
        <f>(AF121*KFC!$B$35+KFC!$C$35)*KFC!$C$5</f>
        <v>130.74643118635728</v>
      </c>
      <c r="F121" s="796">
        <f>(AG121*KFC!$B$35+KFC!$C$35)*KFC!$C$5</f>
        <v>146.48374353117873</v>
      </c>
      <c r="G121" s="796">
        <f>(AH121*KFC!$B$35+KFC!$C$35)*KFC!$C$5</f>
        <v>162.22105587600015</v>
      </c>
      <c r="H121" s="796">
        <f>(AI121*KFC!$B$35+KFC!$C$35)*KFC!$C$5</f>
        <v>177.95836822082157</v>
      </c>
      <c r="I121" s="796">
        <f>(AJ121*KFC!$B$35+KFC!$C$35)*KFC!$C$5</f>
        <v>193.69568056564299</v>
      </c>
      <c r="J121" s="796">
        <f>(AK121*KFC!$B$35+KFC!$C$35)*KFC!$C$5</f>
        <v>209.43299291046441</v>
      </c>
      <c r="K121" s="796">
        <f>(AL121*KFC!$B$35+KFC!$C$35)*KFC!$C$5</f>
        <v>225.17030525528583</v>
      </c>
      <c r="L121" s="796">
        <f>(AM121*KFC!$B$35+KFC!$C$35)*KFC!$C$5</f>
        <v>240.90761760010724</v>
      </c>
      <c r="M121" s="796">
        <f>(AN121*KFC!$B$35+KFC!$C$35)*KFC!$C$5</f>
        <v>256.64492994492866</v>
      </c>
      <c r="N121" s="796">
        <f>(AO121*KFC!$B$35+KFC!$C$35)*KFC!$C$5</f>
        <v>272.38224228975008</v>
      </c>
      <c r="O121" s="796">
        <f>(AP121*KFC!$B$35+KFC!$C$35)*KFC!$C$5</f>
        <v>288.1195546345715</v>
      </c>
      <c r="P121" s="796">
        <f>(AQ121*KFC!$B$35+KFC!$C$35)*KFC!$C$5</f>
        <v>303.85686697939292</v>
      </c>
      <c r="Q121" s="796">
        <f>(AR121*KFC!$B$35+KFC!$C$35)*KFC!$C$5</f>
        <v>319.59417932421434</v>
      </c>
      <c r="R121" s="796">
        <f>(AS121*KFC!$B$35+KFC!$C$35)*KFC!$C$5</f>
        <v>335.33149166903576</v>
      </c>
      <c r="S121" s="796">
        <f>(AT121*KFC!$B$35+KFC!$C$35)*KFC!$C$5</f>
        <v>351.06880401385718</v>
      </c>
      <c r="T121" s="796">
        <f>(AU121*KFC!$B$35+KFC!$C$35)*KFC!$C$5</f>
        <v>366.80611635867859</v>
      </c>
      <c r="U121" s="796">
        <f>(AV121*KFC!$B$35+KFC!$C$35)*KFC!$C$5</f>
        <v>382.54342870350007</v>
      </c>
      <c r="V121" s="796">
        <f>(AW121*KFC!$B$35+KFC!$C$35)*KFC!$C$5</f>
        <v>398.28074104832154</v>
      </c>
      <c r="W121" s="796">
        <f>(AX121*KFC!$B$35+KFC!$C$35)*KFC!$C$5</f>
        <v>414.01805339314296</v>
      </c>
      <c r="X121" s="796">
        <f>(AY121*KFC!$B$35+KFC!$C$35)*KFC!$C$5</f>
        <v>429.75536573796444</v>
      </c>
      <c r="Y121" s="796">
        <f>(AZ121*KFC!$B$35+KFC!$C$35)*KFC!$C$5</f>
        <v>445.49267808278586</v>
      </c>
      <c r="Z121" s="814">
        <f>(BA121*KFC!$B$35+KFC!$C$35)*KFC!$C$5</f>
        <v>461.22999042760733</v>
      </c>
      <c r="AB121" s="1912"/>
      <c r="AC121" s="799">
        <v>3.7</v>
      </c>
      <c r="AD121" s="797">
        <v>99.271806496714419</v>
      </c>
      <c r="AE121" s="797">
        <v>115.00911884153585</v>
      </c>
      <c r="AF121" s="797">
        <v>130.74643118635728</v>
      </c>
      <c r="AG121" s="797">
        <v>146.48374353117873</v>
      </c>
      <c r="AH121" s="797">
        <v>162.22105587600015</v>
      </c>
      <c r="AI121" s="797">
        <v>177.95836822082157</v>
      </c>
      <c r="AJ121" s="797">
        <v>193.69568056564299</v>
      </c>
      <c r="AK121" s="797">
        <v>209.43299291046441</v>
      </c>
      <c r="AL121" s="797">
        <v>225.17030525528583</v>
      </c>
      <c r="AM121" s="797">
        <v>240.90761760010724</v>
      </c>
      <c r="AN121" s="797">
        <v>256.64492994492866</v>
      </c>
      <c r="AO121" s="797">
        <v>272.38224228975008</v>
      </c>
      <c r="AP121" s="797">
        <v>288.1195546345715</v>
      </c>
      <c r="AQ121" s="797">
        <v>303.85686697939292</v>
      </c>
      <c r="AR121" s="797">
        <v>319.59417932421434</v>
      </c>
      <c r="AS121" s="797">
        <v>335.33149166903576</v>
      </c>
      <c r="AT121" s="797">
        <v>351.06880401385718</v>
      </c>
      <c r="AU121" s="797">
        <v>366.80611635867859</v>
      </c>
      <c r="AV121" s="797">
        <v>382.54342870350007</v>
      </c>
      <c r="AW121" s="797">
        <v>398.28074104832154</v>
      </c>
      <c r="AX121" s="797">
        <v>414.01805339314296</v>
      </c>
      <c r="AY121" s="797">
        <v>429.75536573796444</v>
      </c>
      <c r="AZ121" s="797">
        <v>445.49267808278586</v>
      </c>
      <c r="BA121" s="797">
        <v>461.22999042760733</v>
      </c>
    </row>
    <row r="122" spans="1:53">
      <c r="A122" s="1912"/>
      <c r="B122" s="799">
        <v>3.8</v>
      </c>
      <c r="C122" s="796">
        <f>(AD122*KFC!$B$35+KFC!$C$35)*KFC!$C$5</f>
        <v>100.53646817614299</v>
      </c>
      <c r="D122" s="796">
        <f>(AE122*KFC!$B$35+KFC!$C$35)*KFC!$C$5</f>
        <v>116.58996160498228</v>
      </c>
      <c r="E122" s="796">
        <f>(AF122*KFC!$B$35+KFC!$C$35)*KFC!$C$5</f>
        <v>132.64345503382154</v>
      </c>
      <c r="F122" s="796">
        <f>(AG122*KFC!$B$35+KFC!$C$35)*KFC!$C$5</f>
        <v>148.69694846266083</v>
      </c>
      <c r="G122" s="796">
        <f>(AH122*KFC!$B$35+KFC!$C$35)*KFC!$C$5</f>
        <v>164.75044189150012</v>
      </c>
      <c r="H122" s="796">
        <f>(AI122*KFC!$B$35+KFC!$C$35)*KFC!$C$5</f>
        <v>180.80393532033941</v>
      </c>
      <c r="I122" s="796">
        <f>(AJ122*KFC!$B$35+KFC!$C$35)*KFC!$C$5</f>
        <v>196.85742874917869</v>
      </c>
      <c r="J122" s="796">
        <f>(AK122*KFC!$B$35+KFC!$C$35)*KFC!$C$5</f>
        <v>212.91092217801798</v>
      </c>
      <c r="K122" s="796">
        <f>(AL122*KFC!$B$35+KFC!$C$35)*KFC!$C$5</f>
        <v>228.96441560685724</v>
      </c>
      <c r="L122" s="796">
        <f>(AM122*KFC!$B$35+KFC!$C$35)*KFC!$C$5</f>
        <v>245.01790903569653</v>
      </c>
      <c r="M122" s="796">
        <f>(AN122*KFC!$B$35+KFC!$C$35)*KFC!$C$5</f>
        <v>261.07140246453582</v>
      </c>
      <c r="N122" s="796">
        <f>(AO122*KFC!$B$35+KFC!$C$35)*KFC!$C$5</f>
        <v>277.12489589337508</v>
      </c>
      <c r="O122" s="796">
        <f>(AP122*KFC!$B$35+KFC!$C$35)*KFC!$C$5</f>
        <v>293.17838932221434</v>
      </c>
      <c r="P122" s="796">
        <f>(AQ122*KFC!$B$35+KFC!$C$35)*KFC!$C$5</f>
        <v>309.23188275105366</v>
      </c>
      <c r="Q122" s="796">
        <f>(AR122*KFC!$B$35+KFC!$C$35)*KFC!$C$5</f>
        <v>325.28537617989292</v>
      </c>
      <c r="R122" s="796">
        <f>(AS122*KFC!$B$35+KFC!$C$35)*KFC!$C$5</f>
        <v>341.33886960873224</v>
      </c>
      <c r="S122" s="796">
        <f>(AT122*KFC!$B$35+KFC!$C$35)*KFC!$C$5</f>
        <v>357.39236303757156</v>
      </c>
      <c r="T122" s="796">
        <f>(AU122*KFC!$B$35+KFC!$C$35)*KFC!$C$5</f>
        <v>373.44585646641087</v>
      </c>
      <c r="U122" s="796">
        <f>(AV122*KFC!$B$35+KFC!$C$35)*KFC!$C$5</f>
        <v>389.49934989525019</v>
      </c>
      <c r="V122" s="796">
        <f>(AW122*KFC!$B$35+KFC!$C$35)*KFC!$C$5</f>
        <v>405.55284332408951</v>
      </c>
      <c r="W122" s="796">
        <f>(AX122*KFC!$B$35+KFC!$C$35)*KFC!$C$5</f>
        <v>421.60633675292883</v>
      </c>
      <c r="X122" s="796">
        <f>(AY122*KFC!$B$35+KFC!$C$35)*KFC!$C$5</f>
        <v>437.65983018176814</v>
      </c>
      <c r="Y122" s="796">
        <f>(AZ122*KFC!$B$35+KFC!$C$35)*KFC!$C$5</f>
        <v>453.71332361060746</v>
      </c>
      <c r="Z122" s="814">
        <f>(BA122*KFC!$B$35+KFC!$C$35)*KFC!$C$5</f>
        <v>469.76681703944678</v>
      </c>
      <c r="AB122" s="1912"/>
      <c r="AC122" s="799">
        <v>3.8</v>
      </c>
      <c r="AD122" s="797">
        <v>100.53646817614299</v>
      </c>
      <c r="AE122" s="797">
        <v>116.58996160498228</v>
      </c>
      <c r="AF122" s="797">
        <v>132.64345503382154</v>
      </c>
      <c r="AG122" s="797">
        <v>148.69694846266083</v>
      </c>
      <c r="AH122" s="797">
        <v>164.75044189150012</v>
      </c>
      <c r="AI122" s="797">
        <v>180.80393532033941</v>
      </c>
      <c r="AJ122" s="797">
        <v>196.85742874917869</v>
      </c>
      <c r="AK122" s="797">
        <v>212.91092217801798</v>
      </c>
      <c r="AL122" s="797">
        <v>228.96441560685724</v>
      </c>
      <c r="AM122" s="797">
        <v>245.01790903569653</v>
      </c>
      <c r="AN122" s="797">
        <v>261.07140246453582</v>
      </c>
      <c r="AO122" s="797">
        <v>277.12489589337508</v>
      </c>
      <c r="AP122" s="797">
        <v>293.17838932221434</v>
      </c>
      <c r="AQ122" s="797">
        <v>309.23188275105366</v>
      </c>
      <c r="AR122" s="797">
        <v>325.28537617989292</v>
      </c>
      <c r="AS122" s="797">
        <v>341.33886960873224</v>
      </c>
      <c r="AT122" s="797">
        <v>357.39236303757156</v>
      </c>
      <c r="AU122" s="797">
        <v>373.44585646641087</v>
      </c>
      <c r="AV122" s="797">
        <v>389.49934989525019</v>
      </c>
      <c r="AW122" s="797">
        <v>405.55284332408951</v>
      </c>
      <c r="AX122" s="797">
        <v>421.60633675292883</v>
      </c>
      <c r="AY122" s="797">
        <v>437.65983018176814</v>
      </c>
      <c r="AZ122" s="797">
        <v>453.71332361060746</v>
      </c>
      <c r="BA122" s="797">
        <v>469.76681703944678</v>
      </c>
    </row>
    <row r="123" spans="1:53">
      <c r="A123" s="1912"/>
      <c r="B123" s="799">
        <v>3.9</v>
      </c>
      <c r="C123" s="796">
        <f>(AD123*KFC!$B$35+KFC!$C$35)*KFC!$C$5</f>
        <v>101.80112985557157</v>
      </c>
      <c r="D123" s="796">
        <f>(AE123*KFC!$B$35+KFC!$C$35)*KFC!$C$5</f>
        <v>118.1708043684287</v>
      </c>
      <c r="E123" s="796">
        <f>(AF123*KFC!$B$35+KFC!$C$35)*KFC!$C$5</f>
        <v>134.54047888128585</v>
      </c>
      <c r="F123" s="796">
        <f>(AG123*KFC!$B$35+KFC!$C$35)*KFC!$C$5</f>
        <v>150.91015339414301</v>
      </c>
      <c r="G123" s="796">
        <f>(AH123*KFC!$B$35+KFC!$C$35)*KFC!$C$5</f>
        <v>167.27982790700014</v>
      </c>
      <c r="H123" s="796">
        <f>(AI123*KFC!$B$35+KFC!$C$35)*KFC!$C$5</f>
        <v>183.64950241985727</v>
      </c>
      <c r="I123" s="796">
        <f>(AJ123*KFC!$B$35+KFC!$C$35)*KFC!$C$5</f>
        <v>200.01917693271443</v>
      </c>
      <c r="J123" s="796">
        <f>(AK123*KFC!$B$35+KFC!$C$35)*KFC!$C$5</f>
        <v>216.38885144557156</v>
      </c>
      <c r="K123" s="796">
        <f>(AL123*KFC!$B$35+KFC!$C$35)*KFC!$C$5</f>
        <v>232.75852595842872</v>
      </c>
      <c r="L123" s="796">
        <f>(AM123*KFC!$B$35+KFC!$C$35)*KFC!$C$5</f>
        <v>249.12820047128585</v>
      </c>
      <c r="M123" s="796">
        <f>(AN123*KFC!$B$35+KFC!$C$35)*KFC!$C$5</f>
        <v>265.49787498414298</v>
      </c>
      <c r="N123" s="796">
        <f>(AO123*KFC!$B$35+KFC!$C$35)*KFC!$C$5</f>
        <v>281.86754949700014</v>
      </c>
      <c r="O123" s="796">
        <f>(AP123*KFC!$B$35+KFC!$C$35)*KFC!$C$5</f>
        <v>298.2372240098573</v>
      </c>
      <c r="P123" s="796">
        <f>(AQ123*KFC!$B$35+KFC!$C$35)*KFC!$C$5</f>
        <v>314.60689852271446</v>
      </c>
      <c r="Q123" s="796">
        <f>(AR123*KFC!$B$35+KFC!$C$35)*KFC!$C$5</f>
        <v>330.97657303557156</v>
      </c>
      <c r="R123" s="796">
        <f>(AS123*KFC!$B$35+KFC!$C$35)*KFC!$C$5</f>
        <v>347.34624754842872</v>
      </c>
      <c r="S123" s="796">
        <f>(AT123*KFC!$B$35+KFC!$C$35)*KFC!$C$5</f>
        <v>363.71592206128582</v>
      </c>
      <c r="T123" s="796">
        <f>(AU123*KFC!$B$35+KFC!$C$35)*KFC!$C$5</f>
        <v>380.08559657414293</v>
      </c>
      <c r="U123" s="796">
        <f>(AV123*KFC!$B$35+KFC!$C$35)*KFC!$C$5</f>
        <v>396.45527108700003</v>
      </c>
      <c r="V123" s="796">
        <f>(AW123*KFC!$B$35+KFC!$C$35)*KFC!$C$5</f>
        <v>412.82494559985713</v>
      </c>
      <c r="W123" s="796">
        <f>(AX123*KFC!$B$35+KFC!$C$35)*KFC!$C$5</f>
        <v>429.19462011271423</v>
      </c>
      <c r="X123" s="796">
        <f>(AY123*KFC!$B$35+KFC!$C$35)*KFC!$C$5</f>
        <v>445.56429462557134</v>
      </c>
      <c r="Y123" s="796">
        <f>(AZ123*KFC!$B$35+KFC!$C$35)*KFC!$C$5</f>
        <v>461.93396913842844</v>
      </c>
      <c r="Z123" s="814">
        <f>(BA123*KFC!$B$35+KFC!$C$35)*KFC!$C$5</f>
        <v>478.30364365128554</v>
      </c>
      <c r="AB123" s="1912"/>
      <c r="AC123" s="799">
        <v>3.9</v>
      </c>
      <c r="AD123" s="797">
        <v>101.80112985557157</v>
      </c>
      <c r="AE123" s="797">
        <v>118.1708043684287</v>
      </c>
      <c r="AF123" s="797">
        <v>134.54047888128585</v>
      </c>
      <c r="AG123" s="797">
        <v>150.91015339414301</v>
      </c>
      <c r="AH123" s="797">
        <v>167.27982790700014</v>
      </c>
      <c r="AI123" s="797">
        <v>183.64950241985727</v>
      </c>
      <c r="AJ123" s="797">
        <v>200.01917693271443</v>
      </c>
      <c r="AK123" s="797">
        <v>216.38885144557156</v>
      </c>
      <c r="AL123" s="797">
        <v>232.75852595842872</v>
      </c>
      <c r="AM123" s="797">
        <v>249.12820047128585</v>
      </c>
      <c r="AN123" s="797">
        <v>265.49787498414298</v>
      </c>
      <c r="AO123" s="797">
        <v>281.86754949700014</v>
      </c>
      <c r="AP123" s="797">
        <v>298.2372240098573</v>
      </c>
      <c r="AQ123" s="797">
        <v>314.60689852271446</v>
      </c>
      <c r="AR123" s="797">
        <v>330.97657303557156</v>
      </c>
      <c r="AS123" s="797">
        <v>347.34624754842872</v>
      </c>
      <c r="AT123" s="797">
        <v>363.71592206128582</v>
      </c>
      <c r="AU123" s="797">
        <v>380.08559657414293</v>
      </c>
      <c r="AV123" s="797">
        <v>396.45527108700003</v>
      </c>
      <c r="AW123" s="797">
        <v>412.82494559985713</v>
      </c>
      <c r="AX123" s="797">
        <v>429.19462011271423</v>
      </c>
      <c r="AY123" s="797">
        <v>445.56429462557134</v>
      </c>
      <c r="AZ123" s="797">
        <v>461.93396913842844</v>
      </c>
      <c r="BA123" s="797">
        <v>478.30364365128554</v>
      </c>
    </row>
    <row r="124" spans="1:53" ht="13.8" thickBot="1">
      <c r="A124" s="1913"/>
      <c r="B124" s="800">
        <v>4</v>
      </c>
      <c r="C124" s="801">
        <f>(AD124*KFC!$B$35+KFC!$C$35)*KFC!$C$5</f>
        <v>103.06579153499999</v>
      </c>
      <c r="D124" s="801">
        <f>(AE124*KFC!$B$35+KFC!$C$35)*KFC!$C$5</f>
        <v>119.751647131875</v>
      </c>
      <c r="E124" s="801">
        <f>(AF124*KFC!$B$35+KFC!$C$35)*KFC!$C$5</f>
        <v>136.43750272875002</v>
      </c>
      <c r="F124" s="801">
        <f>(AG124*KFC!$B$35+KFC!$C$35)*KFC!$C$5</f>
        <v>153.12335832562502</v>
      </c>
      <c r="G124" s="801">
        <f>(AH124*KFC!$B$35+KFC!$C$35)*KFC!$C$5</f>
        <v>169.80921392249999</v>
      </c>
      <c r="H124" s="801">
        <f>(AI124*KFC!$B$35+KFC!$C$35)*KFC!$C$5</f>
        <v>186.49506951937502</v>
      </c>
      <c r="I124" s="801">
        <f>(AJ124*KFC!$B$35+KFC!$C$35)*KFC!$C$5</f>
        <v>203.18092511625002</v>
      </c>
      <c r="J124" s="801">
        <f>(AK124*KFC!$B$35+KFC!$C$35)*KFC!$C$5</f>
        <v>219.86678071312502</v>
      </c>
      <c r="K124" s="801">
        <f>(AL124*KFC!$B$35+KFC!$C$35)*KFC!$C$5</f>
        <v>236.55263631000003</v>
      </c>
      <c r="L124" s="801">
        <f>(AM124*KFC!$B$35+KFC!$C$35)*KFC!$C$5</f>
        <v>253.23849190687503</v>
      </c>
      <c r="M124" s="801">
        <f>(AN124*KFC!$B$35+KFC!$C$35)*KFC!$C$5</f>
        <v>269.92434750375003</v>
      </c>
      <c r="N124" s="801">
        <f>(AO124*KFC!$B$35+KFC!$C$35)*KFC!$C$5</f>
        <v>286.61020310062503</v>
      </c>
      <c r="O124" s="801">
        <f>(AP124*KFC!$B$35+KFC!$C$35)*KFC!$C$5</f>
        <v>303.29605869750003</v>
      </c>
      <c r="P124" s="801">
        <f>(AQ124*KFC!$B$35+KFC!$C$35)*KFC!$C$5</f>
        <v>319.98191429437509</v>
      </c>
      <c r="Q124" s="801">
        <f>(AR124*KFC!$B$35+KFC!$C$35)*KFC!$C$5</f>
        <v>336.66776989125009</v>
      </c>
      <c r="R124" s="801">
        <f>(AS124*KFC!$B$35+KFC!$C$35)*KFC!$C$5</f>
        <v>353.35362548812503</v>
      </c>
      <c r="S124" s="801">
        <f>(AT124*KFC!$B$35+KFC!$C$35)*KFC!$C$5</f>
        <v>370.03948108500003</v>
      </c>
      <c r="T124" s="801">
        <f>(AU124*KFC!$B$35+KFC!$C$35)*KFC!$C$5</f>
        <v>386.72533668187498</v>
      </c>
      <c r="U124" s="801">
        <f>(AV124*KFC!$B$35+KFC!$C$35)*KFC!$C$5</f>
        <v>403.41119227874992</v>
      </c>
      <c r="V124" s="801">
        <f>(AW124*KFC!$B$35+KFC!$C$35)*KFC!$C$5</f>
        <v>420.09704787562492</v>
      </c>
      <c r="W124" s="801">
        <f>(AX124*KFC!$B$35+KFC!$C$35)*KFC!$C$5</f>
        <v>436.78290347249987</v>
      </c>
      <c r="X124" s="801">
        <f>(AY124*KFC!$B$35+KFC!$C$35)*KFC!$C$5</f>
        <v>453.46875906937487</v>
      </c>
      <c r="Y124" s="801">
        <f>(AZ124*KFC!$B$35+KFC!$C$35)*KFC!$C$5</f>
        <v>470.15461466624981</v>
      </c>
      <c r="Z124" s="815">
        <f>(BA124*KFC!$B$35+KFC!$C$35)*KFC!$C$5</f>
        <v>486.84047026312481</v>
      </c>
      <c r="AB124" s="1913"/>
      <c r="AC124" s="800">
        <v>4</v>
      </c>
      <c r="AD124" s="797">
        <v>103.06579153499999</v>
      </c>
      <c r="AE124" s="797">
        <v>119.751647131875</v>
      </c>
      <c r="AF124" s="797">
        <v>136.43750272875002</v>
      </c>
      <c r="AG124" s="797">
        <v>153.12335832562502</v>
      </c>
      <c r="AH124" s="797">
        <v>169.80921392249999</v>
      </c>
      <c r="AI124" s="797">
        <v>186.49506951937502</v>
      </c>
      <c r="AJ124" s="797">
        <v>203.18092511625002</v>
      </c>
      <c r="AK124" s="797">
        <v>219.86678071312502</v>
      </c>
      <c r="AL124" s="797">
        <v>236.55263631000003</v>
      </c>
      <c r="AM124" s="797">
        <v>253.23849190687503</v>
      </c>
      <c r="AN124" s="797">
        <v>269.92434750375003</v>
      </c>
      <c r="AO124" s="797">
        <v>286.61020310062503</v>
      </c>
      <c r="AP124" s="797">
        <v>303.29605869750003</v>
      </c>
      <c r="AQ124" s="797">
        <v>319.98191429437509</v>
      </c>
      <c r="AR124" s="797">
        <v>336.66776989125009</v>
      </c>
      <c r="AS124" s="797">
        <v>353.35362548812503</v>
      </c>
      <c r="AT124" s="797">
        <v>370.03948108500003</v>
      </c>
      <c r="AU124" s="797">
        <v>386.72533668187498</v>
      </c>
      <c r="AV124" s="797">
        <v>403.41119227874992</v>
      </c>
      <c r="AW124" s="797">
        <v>420.09704787562492</v>
      </c>
      <c r="AX124" s="797">
        <v>436.78290347249987</v>
      </c>
      <c r="AY124" s="797">
        <v>453.46875906937487</v>
      </c>
      <c r="AZ124" s="797">
        <v>470.15461466624981</v>
      </c>
      <c r="BA124" s="797">
        <v>486.84047026312481</v>
      </c>
    </row>
    <row r="125" spans="1:53" ht="13.8" thickBot="1">
      <c r="A125" s="183"/>
      <c r="B125" s="807"/>
      <c r="C125" s="807"/>
      <c r="D125" s="807"/>
      <c r="E125" s="807"/>
      <c r="F125" s="807"/>
      <c r="G125" s="807"/>
      <c r="H125" s="807"/>
      <c r="I125" s="807"/>
      <c r="J125" s="807"/>
      <c r="K125" s="807"/>
      <c r="L125" s="807"/>
      <c r="M125" s="807"/>
      <c r="N125" s="807"/>
      <c r="O125" s="807"/>
      <c r="P125" s="807"/>
      <c r="Q125" s="807"/>
      <c r="R125" s="807"/>
      <c r="S125" s="807"/>
      <c r="T125" s="807"/>
      <c r="U125" s="807"/>
      <c r="V125" s="807"/>
      <c r="W125" s="807"/>
      <c r="X125" s="807"/>
      <c r="Y125" s="807"/>
      <c r="Z125" s="69"/>
      <c r="AB125" s="183"/>
      <c r="AC125" s="807"/>
      <c r="AD125" s="807"/>
      <c r="AE125" s="807"/>
      <c r="AF125" s="807"/>
      <c r="AG125" s="807"/>
      <c r="AH125" s="807"/>
      <c r="AI125" s="807"/>
      <c r="AJ125" s="807"/>
      <c r="AK125" s="807"/>
      <c r="AL125" s="807"/>
      <c r="AM125" s="807"/>
      <c r="AN125" s="807"/>
      <c r="AO125" s="807"/>
      <c r="AP125" s="807"/>
      <c r="AQ125" s="807"/>
      <c r="AR125" s="807"/>
      <c r="AS125" s="807"/>
      <c r="AT125" s="807"/>
      <c r="AU125" s="807"/>
      <c r="AV125" s="807"/>
      <c r="AW125" s="807"/>
      <c r="AX125" s="807"/>
      <c r="AY125" s="807"/>
      <c r="AZ125" s="807"/>
      <c r="BA125" s="69"/>
    </row>
    <row r="126" spans="1:53" ht="13.8" thickBot="1">
      <c r="A126" s="1413" t="s">
        <v>319</v>
      </c>
      <c r="B126" s="1414"/>
      <c r="C126" s="1940" t="s">
        <v>207</v>
      </c>
      <c r="D126" s="1941"/>
      <c r="E126" s="1941"/>
      <c r="F126" s="1941"/>
      <c r="G126" s="1941"/>
      <c r="H126" s="1941"/>
      <c r="I126" s="1941"/>
      <c r="J126" s="1941"/>
      <c r="K126" s="1941"/>
      <c r="L126" s="1941"/>
      <c r="M126" s="1941"/>
      <c r="N126" s="1941"/>
      <c r="O126" s="1941"/>
      <c r="P126" s="1941"/>
      <c r="Q126" s="1941"/>
      <c r="R126" s="1941"/>
      <c r="S126" s="1941"/>
      <c r="T126" s="1941"/>
      <c r="U126" s="1941"/>
      <c r="V126" s="1941"/>
      <c r="W126" s="1941"/>
      <c r="X126" s="1941"/>
      <c r="Y126" s="1941"/>
      <c r="Z126" s="1943"/>
      <c r="AB126" s="1413" t="s">
        <v>319</v>
      </c>
      <c r="AC126" s="1414"/>
      <c r="AD126" s="1940" t="s">
        <v>207</v>
      </c>
      <c r="AE126" s="1941"/>
      <c r="AF126" s="1941"/>
      <c r="AG126" s="1941"/>
      <c r="AH126" s="1941"/>
      <c r="AI126" s="1941"/>
      <c r="AJ126" s="1941"/>
      <c r="AK126" s="1941"/>
      <c r="AL126" s="1941"/>
      <c r="AM126" s="1941"/>
      <c r="AN126" s="1941"/>
      <c r="AO126" s="1941"/>
      <c r="AP126" s="1941"/>
      <c r="AQ126" s="1941"/>
      <c r="AR126" s="1941"/>
      <c r="AS126" s="1941"/>
      <c r="AT126" s="1941"/>
      <c r="AU126" s="1941"/>
      <c r="AV126" s="1941"/>
      <c r="AW126" s="1941"/>
      <c r="AX126" s="1941"/>
      <c r="AY126" s="1941"/>
      <c r="AZ126" s="1941"/>
      <c r="BA126" s="1942"/>
    </row>
    <row r="127" spans="1:53" ht="13.8" thickBot="1">
      <c r="A127" s="1803"/>
      <c r="B127" s="1910"/>
      <c r="C127" s="804">
        <v>0.4</v>
      </c>
      <c r="D127" s="805">
        <v>0.5</v>
      </c>
      <c r="E127" s="805">
        <v>0.6</v>
      </c>
      <c r="F127" s="805">
        <v>0.7</v>
      </c>
      <c r="G127" s="805">
        <v>0.8</v>
      </c>
      <c r="H127" s="805">
        <v>0.9</v>
      </c>
      <c r="I127" s="805">
        <v>1</v>
      </c>
      <c r="J127" s="805">
        <v>1.1000000000000001</v>
      </c>
      <c r="K127" s="805">
        <v>1.2</v>
      </c>
      <c r="L127" s="805">
        <v>1.3</v>
      </c>
      <c r="M127" s="805">
        <v>1.4</v>
      </c>
      <c r="N127" s="805">
        <v>1.5</v>
      </c>
      <c r="O127" s="805">
        <v>1.6</v>
      </c>
      <c r="P127" s="805">
        <v>1.7</v>
      </c>
      <c r="Q127" s="805">
        <v>1.8</v>
      </c>
      <c r="R127" s="805">
        <v>1.9</v>
      </c>
      <c r="S127" s="805">
        <v>2</v>
      </c>
      <c r="T127" s="805">
        <v>2.1</v>
      </c>
      <c r="U127" s="805">
        <v>2.2000000000000002</v>
      </c>
      <c r="V127" s="805">
        <v>2.2999999999999998</v>
      </c>
      <c r="W127" s="805">
        <v>2.4</v>
      </c>
      <c r="X127" s="805">
        <v>2.5</v>
      </c>
      <c r="Y127" s="805">
        <v>2.6</v>
      </c>
      <c r="Z127" s="816">
        <v>2.65</v>
      </c>
      <c r="AB127" s="1803"/>
      <c r="AC127" s="1910"/>
      <c r="AD127" s="804">
        <v>0.4</v>
      </c>
      <c r="AE127" s="805">
        <v>0.5</v>
      </c>
      <c r="AF127" s="805">
        <v>0.6</v>
      </c>
      <c r="AG127" s="805">
        <v>0.7</v>
      </c>
      <c r="AH127" s="805">
        <v>0.8</v>
      </c>
      <c r="AI127" s="805">
        <v>0.9</v>
      </c>
      <c r="AJ127" s="805">
        <v>1</v>
      </c>
      <c r="AK127" s="805">
        <v>1.1000000000000001</v>
      </c>
      <c r="AL127" s="805">
        <v>1.2</v>
      </c>
      <c r="AM127" s="805">
        <v>1.3</v>
      </c>
      <c r="AN127" s="805">
        <v>1.4</v>
      </c>
      <c r="AO127" s="805">
        <v>1.5</v>
      </c>
      <c r="AP127" s="805">
        <v>1.6</v>
      </c>
      <c r="AQ127" s="805">
        <v>1.7</v>
      </c>
      <c r="AR127" s="805">
        <v>1.8</v>
      </c>
      <c r="AS127" s="805">
        <v>1.9</v>
      </c>
      <c r="AT127" s="805">
        <v>2</v>
      </c>
      <c r="AU127" s="805">
        <v>2.1</v>
      </c>
      <c r="AV127" s="805">
        <v>2.2000000000000002</v>
      </c>
      <c r="AW127" s="805">
        <v>2.2999999999999998</v>
      </c>
      <c r="AX127" s="805">
        <v>2.4</v>
      </c>
      <c r="AY127" s="805">
        <v>2.5</v>
      </c>
      <c r="AZ127" s="805">
        <v>2.6</v>
      </c>
      <c r="BA127" s="806">
        <v>2.65</v>
      </c>
    </row>
    <row r="128" spans="1:53">
      <c r="A128" s="1911" t="s">
        <v>3</v>
      </c>
      <c r="B128" s="795">
        <v>0.5</v>
      </c>
      <c r="C128" s="796">
        <f>(AD128*KFC!$B$35+KFC!$C$35)*KFC!$C$5</f>
        <v>61.500001230000002</v>
      </c>
      <c r="D128" s="796">
        <f>(AE128*KFC!$B$35+KFC!$C$35)*KFC!$C$5</f>
        <v>67.796053987500002</v>
      </c>
      <c r="E128" s="796">
        <f>(AF128*KFC!$B$35+KFC!$C$35)*KFC!$C$5</f>
        <v>74.092106744999995</v>
      </c>
      <c r="F128" s="796">
        <f>(AG128*KFC!$B$35+KFC!$C$35)*KFC!$C$5</f>
        <v>80.388159502499988</v>
      </c>
      <c r="G128" s="796">
        <f>(AH128*KFC!$B$35+KFC!$C$35)*KFC!$C$5</f>
        <v>86.684212259999995</v>
      </c>
      <c r="H128" s="796">
        <f>(AI128*KFC!$B$35+KFC!$C$35)*KFC!$C$5</f>
        <v>92.980265017499988</v>
      </c>
      <c r="I128" s="796">
        <f>(AJ128*KFC!$B$35+KFC!$C$35)*KFC!$C$5</f>
        <v>99.276317774999981</v>
      </c>
      <c r="J128" s="796">
        <f>(AK128*KFC!$B$35+KFC!$C$35)*KFC!$C$5</f>
        <v>105.57237053249997</v>
      </c>
      <c r="K128" s="796">
        <f>(AL128*KFC!$B$35+KFC!$C$35)*KFC!$C$5</f>
        <v>111.86842328999997</v>
      </c>
      <c r="L128" s="796">
        <f>(AM128*KFC!$B$35+KFC!$C$35)*KFC!$C$5</f>
        <v>118.16447604749996</v>
      </c>
      <c r="M128" s="796">
        <f>(AN128*KFC!$B$35+KFC!$C$35)*KFC!$C$5</f>
        <v>124.46052880499997</v>
      </c>
      <c r="N128" s="796">
        <f>(AO128*KFC!$B$35+KFC!$C$35)*KFC!$C$5</f>
        <v>130.75658156249995</v>
      </c>
      <c r="O128" s="796">
        <f>(AP128*KFC!$B$35+KFC!$C$35)*KFC!$C$5</f>
        <v>137.05263431999995</v>
      </c>
      <c r="P128" s="796">
        <f>(AQ128*KFC!$B$35+KFC!$C$35)*KFC!$C$5</f>
        <v>143.34868707749996</v>
      </c>
      <c r="Q128" s="796">
        <f>(AR128*KFC!$B$35+KFC!$C$35)*KFC!$C$5</f>
        <v>149.64473983499994</v>
      </c>
      <c r="R128" s="796">
        <f>(AS128*KFC!$B$35+KFC!$C$35)*KFC!$C$5</f>
        <v>155.94079259249995</v>
      </c>
      <c r="S128" s="796">
        <f>(AT128*KFC!$B$35+KFC!$C$35)*KFC!$C$5</f>
        <v>162.23684534999992</v>
      </c>
      <c r="T128" s="796">
        <f>(AU128*KFC!$B$35+KFC!$C$35)*KFC!$C$5</f>
        <v>168.53289810749993</v>
      </c>
      <c r="U128" s="796">
        <f>(AV128*KFC!$B$35+KFC!$C$35)*KFC!$C$5</f>
        <v>174.82895086499991</v>
      </c>
      <c r="V128" s="796">
        <f>(AW128*KFC!$B$35+KFC!$C$35)*KFC!$C$5</f>
        <v>181.12500362249992</v>
      </c>
      <c r="W128" s="796">
        <f>(AX128*KFC!$B$35+KFC!$C$35)*KFC!$C$5</f>
        <v>187.42105637999992</v>
      </c>
      <c r="X128" s="796">
        <f>(AY128*KFC!$B$35+KFC!$C$35)*KFC!$C$5</f>
        <v>193.7171091374999</v>
      </c>
      <c r="Y128" s="796">
        <f>(AZ128*KFC!$B$35+KFC!$C$35)*KFC!$C$5</f>
        <v>200.01316189499991</v>
      </c>
      <c r="Z128" s="814">
        <f>(BA128*KFC!$B$35+KFC!$C$35)*KFC!$C$5</f>
        <v>206.30921465249989</v>
      </c>
      <c r="AB128" s="1911" t="s">
        <v>3</v>
      </c>
      <c r="AC128" s="795">
        <v>0.5</v>
      </c>
      <c r="AD128" s="797">
        <v>61.500001230000002</v>
      </c>
      <c r="AE128" s="797">
        <v>67.796053987500002</v>
      </c>
      <c r="AF128" s="797">
        <v>74.092106744999995</v>
      </c>
      <c r="AG128" s="797">
        <v>80.388159502499988</v>
      </c>
      <c r="AH128" s="797">
        <v>86.684212259999995</v>
      </c>
      <c r="AI128" s="797">
        <v>92.980265017499988</v>
      </c>
      <c r="AJ128" s="797">
        <v>99.276317774999981</v>
      </c>
      <c r="AK128" s="797">
        <v>105.57237053249997</v>
      </c>
      <c r="AL128" s="797">
        <v>111.86842328999997</v>
      </c>
      <c r="AM128" s="797">
        <v>118.16447604749996</v>
      </c>
      <c r="AN128" s="797">
        <v>124.46052880499997</v>
      </c>
      <c r="AO128" s="797">
        <v>130.75658156249995</v>
      </c>
      <c r="AP128" s="797">
        <v>137.05263431999995</v>
      </c>
      <c r="AQ128" s="797">
        <v>143.34868707749996</v>
      </c>
      <c r="AR128" s="797">
        <v>149.64473983499994</v>
      </c>
      <c r="AS128" s="797">
        <v>155.94079259249995</v>
      </c>
      <c r="AT128" s="797">
        <v>162.23684534999992</v>
      </c>
      <c r="AU128" s="797">
        <v>168.53289810749993</v>
      </c>
      <c r="AV128" s="797">
        <v>174.82895086499991</v>
      </c>
      <c r="AW128" s="797">
        <v>181.12500362249992</v>
      </c>
      <c r="AX128" s="797">
        <v>187.42105637999992</v>
      </c>
      <c r="AY128" s="797">
        <v>193.7171091374999</v>
      </c>
      <c r="AZ128" s="797">
        <v>200.01316189499991</v>
      </c>
      <c r="BA128" s="797">
        <v>206.30921465249989</v>
      </c>
    </row>
    <row r="129" spans="1:53">
      <c r="A129" s="1912"/>
      <c r="B129" s="799">
        <v>0.6</v>
      </c>
      <c r="C129" s="796">
        <f>(AD129*KFC!$B$35+KFC!$C$35)*KFC!$C$5</f>
        <v>63.215790738000003</v>
      </c>
      <c r="D129" s="796">
        <f>(AE129*KFC!$B$35+KFC!$C$35)*KFC!$C$5</f>
        <v>69.940712551696436</v>
      </c>
      <c r="E129" s="796">
        <f>(AF129*KFC!$B$35+KFC!$C$35)*KFC!$C$5</f>
        <v>76.665634365392862</v>
      </c>
      <c r="F129" s="796">
        <f>(AG129*KFC!$B$35+KFC!$C$35)*KFC!$C$5</f>
        <v>83.390556179089302</v>
      </c>
      <c r="G129" s="796">
        <f>(AH129*KFC!$B$35+KFC!$C$35)*KFC!$C$5</f>
        <v>90.115477992785713</v>
      </c>
      <c r="H129" s="796">
        <f>(AI129*KFC!$B$35+KFC!$C$35)*KFC!$C$5</f>
        <v>96.840399806482154</v>
      </c>
      <c r="I129" s="796">
        <f>(AJ129*KFC!$B$35+KFC!$C$35)*KFC!$C$5</f>
        <v>103.56532162017858</v>
      </c>
      <c r="J129" s="796">
        <f>(AK129*KFC!$B$35+KFC!$C$35)*KFC!$C$5</f>
        <v>110.29024343387501</v>
      </c>
      <c r="K129" s="796">
        <f>(AL129*KFC!$B$35+KFC!$C$35)*KFC!$C$5</f>
        <v>117.01516524757145</v>
      </c>
      <c r="L129" s="796">
        <f>(AM129*KFC!$B$35+KFC!$C$35)*KFC!$C$5</f>
        <v>123.74008706126787</v>
      </c>
      <c r="M129" s="796">
        <f>(AN129*KFC!$B$35+KFC!$C$35)*KFC!$C$5</f>
        <v>130.4650088749643</v>
      </c>
      <c r="N129" s="796">
        <f>(AO129*KFC!$B$35+KFC!$C$35)*KFC!$C$5</f>
        <v>137.18993068866072</v>
      </c>
      <c r="O129" s="796">
        <f>(AP129*KFC!$B$35+KFC!$C$35)*KFC!$C$5</f>
        <v>143.91485250235718</v>
      </c>
      <c r="P129" s="796">
        <f>(AQ129*KFC!$B$35+KFC!$C$35)*KFC!$C$5</f>
        <v>150.6397743160536</v>
      </c>
      <c r="Q129" s="796">
        <f>(AR129*KFC!$B$35+KFC!$C$35)*KFC!$C$5</f>
        <v>157.36469612975003</v>
      </c>
      <c r="R129" s="796">
        <f>(AS129*KFC!$B$35+KFC!$C$35)*KFC!$C$5</f>
        <v>164.08961794344646</v>
      </c>
      <c r="S129" s="796">
        <f>(AT129*KFC!$B$35+KFC!$C$35)*KFC!$C$5</f>
        <v>170.81453975714288</v>
      </c>
      <c r="T129" s="796">
        <f>(AU129*KFC!$B$35+KFC!$C$35)*KFC!$C$5</f>
        <v>177.53946157083931</v>
      </c>
      <c r="U129" s="796">
        <f>(AV129*KFC!$B$35+KFC!$C$35)*KFC!$C$5</f>
        <v>184.26438338453573</v>
      </c>
      <c r="V129" s="796">
        <f>(AW129*KFC!$B$35+KFC!$C$35)*KFC!$C$5</f>
        <v>190.98930519823216</v>
      </c>
      <c r="W129" s="796">
        <f>(AX129*KFC!$B$35+KFC!$C$35)*KFC!$C$5</f>
        <v>197.71422701192859</v>
      </c>
      <c r="X129" s="796">
        <f>(AY129*KFC!$B$35+KFC!$C$35)*KFC!$C$5</f>
        <v>204.43914882562504</v>
      </c>
      <c r="Y129" s="796">
        <f>(AZ129*KFC!$B$35+KFC!$C$35)*KFC!$C$5</f>
        <v>211.16407063932147</v>
      </c>
      <c r="Z129" s="814">
        <f>(BA129*KFC!$B$35+KFC!$C$35)*KFC!$C$5</f>
        <v>217.88899245301789</v>
      </c>
      <c r="AB129" s="1912"/>
      <c r="AC129" s="799">
        <v>0.6</v>
      </c>
      <c r="AD129" s="797">
        <v>63.215790738000003</v>
      </c>
      <c r="AE129" s="797">
        <v>69.940712551696436</v>
      </c>
      <c r="AF129" s="797">
        <v>76.665634365392862</v>
      </c>
      <c r="AG129" s="797">
        <v>83.390556179089302</v>
      </c>
      <c r="AH129" s="797">
        <v>90.115477992785713</v>
      </c>
      <c r="AI129" s="797">
        <v>96.840399806482154</v>
      </c>
      <c r="AJ129" s="797">
        <v>103.56532162017858</v>
      </c>
      <c r="AK129" s="797">
        <v>110.29024343387501</v>
      </c>
      <c r="AL129" s="797">
        <v>117.01516524757145</v>
      </c>
      <c r="AM129" s="797">
        <v>123.74008706126787</v>
      </c>
      <c r="AN129" s="797">
        <v>130.4650088749643</v>
      </c>
      <c r="AO129" s="797">
        <v>137.18993068866072</v>
      </c>
      <c r="AP129" s="797">
        <v>143.91485250235718</v>
      </c>
      <c r="AQ129" s="797">
        <v>150.6397743160536</v>
      </c>
      <c r="AR129" s="797">
        <v>157.36469612975003</v>
      </c>
      <c r="AS129" s="797">
        <v>164.08961794344646</v>
      </c>
      <c r="AT129" s="797">
        <v>170.81453975714288</v>
      </c>
      <c r="AU129" s="797">
        <v>177.53946157083931</v>
      </c>
      <c r="AV129" s="797">
        <v>184.26438338453573</v>
      </c>
      <c r="AW129" s="797">
        <v>190.98930519823216</v>
      </c>
      <c r="AX129" s="797">
        <v>197.71422701192859</v>
      </c>
      <c r="AY129" s="797">
        <v>204.43914882562504</v>
      </c>
      <c r="AZ129" s="797">
        <v>211.16407063932147</v>
      </c>
      <c r="BA129" s="797">
        <v>217.88899245301789</v>
      </c>
    </row>
    <row r="130" spans="1:53">
      <c r="A130" s="1912"/>
      <c r="B130" s="799">
        <v>0.7</v>
      </c>
      <c r="C130" s="796">
        <f>(AD130*KFC!$B$35+KFC!$C$35)*KFC!$C$5</f>
        <v>64.93158024600001</v>
      </c>
      <c r="D130" s="796">
        <f>(AE130*KFC!$B$35+KFC!$C$35)*KFC!$C$5</f>
        <v>72.085371115892869</v>
      </c>
      <c r="E130" s="796">
        <f>(AF130*KFC!$B$35+KFC!$C$35)*KFC!$C$5</f>
        <v>79.239161985785728</v>
      </c>
      <c r="F130" s="796">
        <f>(AG130*KFC!$B$35+KFC!$C$35)*KFC!$C$5</f>
        <v>86.392952855678573</v>
      </c>
      <c r="G130" s="796">
        <f>(AH130*KFC!$B$35+KFC!$C$35)*KFC!$C$5</f>
        <v>93.546743725571432</v>
      </c>
      <c r="H130" s="796">
        <f>(AI130*KFC!$B$35+KFC!$C$35)*KFC!$C$5</f>
        <v>100.70053459546428</v>
      </c>
      <c r="I130" s="796">
        <f>(AJ130*KFC!$B$35+KFC!$C$35)*KFC!$C$5</f>
        <v>107.85432546535712</v>
      </c>
      <c r="J130" s="796">
        <f>(AK130*KFC!$B$35+KFC!$C$35)*KFC!$C$5</f>
        <v>115.00811633524997</v>
      </c>
      <c r="K130" s="796">
        <f>(AL130*KFC!$B$35+KFC!$C$35)*KFC!$C$5</f>
        <v>122.16190720514282</v>
      </c>
      <c r="L130" s="796">
        <f>(AM130*KFC!$B$35+KFC!$C$35)*KFC!$C$5</f>
        <v>129.31569807503567</v>
      </c>
      <c r="M130" s="796">
        <f>(AN130*KFC!$B$35+KFC!$C$35)*KFC!$C$5</f>
        <v>136.46948894492851</v>
      </c>
      <c r="N130" s="796">
        <f>(AO130*KFC!$B$35+KFC!$C$35)*KFC!$C$5</f>
        <v>143.62327981482136</v>
      </c>
      <c r="O130" s="796">
        <f>(AP130*KFC!$B$35+KFC!$C$35)*KFC!$C$5</f>
        <v>150.7770706847142</v>
      </c>
      <c r="P130" s="796">
        <f>(AQ130*KFC!$B$35+KFC!$C$35)*KFC!$C$5</f>
        <v>157.93086155460708</v>
      </c>
      <c r="Q130" s="796">
        <f>(AR130*KFC!$B$35+KFC!$C$35)*KFC!$C$5</f>
        <v>165.08465242449992</v>
      </c>
      <c r="R130" s="796">
        <f>(AS130*KFC!$B$35+KFC!$C$35)*KFC!$C$5</f>
        <v>172.23844329439277</v>
      </c>
      <c r="S130" s="796">
        <f>(AT130*KFC!$B$35+KFC!$C$35)*KFC!$C$5</f>
        <v>179.39223416428564</v>
      </c>
      <c r="T130" s="796">
        <f>(AU130*KFC!$B$35+KFC!$C$35)*KFC!$C$5</f>
        <v>186.54602503417848</v>
      </c>
      <c r="U130" s="796">
        <f>(AV130*KFC!$B$35+KFC!$C$35)*KFC!$C$5</f>
        <v>193.69981590407136</v>
      </c>
      <c r="V130" s="796">
        <f>(AW130*KFC!$B$35+KFC!$C$35)*KFC!$C$5</f>
        <v>200.85360677396423</v>
      </c>
      <c r="W130" s="796">
        <f>(AX130*KFC!$B$35+KFC!$C$35)*KFC!$C$5</f>
        <v>208.0073976438571</v>
      </c>
      <c r="X130" s="796">
        <f>(AY130*KFC!$B$35+KFC!$C$35)*KFC!$C$5</f>
        <v>215.16118851374998</v>
      </c>
      <c r="Y130" s="796">
        <f>(AZ130*KFC!$B$35+KFC!$C$35)*KFC!$C$5</f>
        <v>222.31497938364282</v>
      </c>
      <c r="Z130" s="814">
        <f>(BA130*KFC!$B$35+KFC!$C$35)*KFC!$C$5</f>
        <v>229.46877025353569</v>
      </c>
      <c r="AB130" s="1912"/>
      <c r="AC130" s="799">
        <v>0.7</v>
      </c>
      <c r="AD130" s="797">
        <v>64.93158024600001</v>
      </c>
      <c r="AE130" s="797">
        <v>72.085371115892869</v>
      </c>
      <c r="AF130" s="797">
        <v>79.239161985785728</v>
      </c>
      <c r="AG130" s="797">
        <v>86.392952855678573</v>
      </c>
      <c r="AH130" s="797">
        <v>93.546743725571432</v>
      </c>
      <c r="AI130" s="797">
        <v>100.70053459546428</v>
      </c>
      <c r="AJ130" s="797">
        <v>107.85432546535712</v>
      </c>
      <c r="AK130" s="797">
        <v>115.00811633524997</v>
      </c>
      <c r="AL130" s="797">
        <v>122.16190720514282</v>
      </c>
      <c r="AM130" s="797">
        <v>129.31569807503567</v>
      </c>
      <c r="AN130" s="797">
        <v>136.46948894492851</v>
      </c>
      <c r="AO130" s="797">
        <v>143.62327981482136</v>
      </c>
      <c r="AP130" s="797">
        <v>150.7770706847142</v>
      </c>
      <c r="AQ130" s="797">
        <v>157.93086155460708</v>
      </c>
      <c r="AR130" s="797">
        <v>165.08465242449992</v>
      </c>
      <c r="AS130" s="797">
        <v>172.23844329439277</v>
      </c>
      <c r="AT130" s="797">
        <v>179.39223416428564</v>
      </c>
      <c r="AU130" s="797">
        <v>186.54602503417848</v>
      </c>
      <c r="AV130" s="797">
        <v>193.69981590407136</v>
      </c>
      <c r="AW130" s="797">
        <v>200.85360677396423</v>
      </c>
      <c r="AX130" s="797">
        <v>208.0073976438571</v>
      </c>
      <c r="AY130" s="797">
        <v>215.16118851374998</v>
      </c>
      <c r="AZ130" s="797">
        <v>222.31497938364282</v>
      </c>
      <c r="BA130" s="797">
        <v>229.46877025353569</v>
      </c>
    </row>
    <row r="131" spans="1:53">
      <c r="A131" s="1912"/>
      <c r="B131" s="799">
        <v>0.8</v>
      </c>
      <c r="C131" s="796">
        <f>(AD131*KFC!$B$35+KFC!$C$35)*KFC!$C$5</f>
        <v>66.64736975400001</v>
      </c>
      <c r="D131" s="796">
        <f>(AE131*KFC!$B$35+KFC!$C$35)*KFC!$C$5</f>
        <v>74.230029680089288</v>
      </c>
      <c r="E131" s="796">
        <f>(AF131*KFC!$B$35+KFC!$C$35)*KFC!$C$5</f>
        <v>81.81268960617858</v>
      </c>
      <c r="F131" s="796">
        <f>(AG131*KFC!$B$35+KFC!$C$35)*KFC!$C$5</f>
        <v>89.395349532267858</v>
      </c>
      <c r="G131" s="796">
        <f>(AH131*KFC!$B$35+KFC!$C$35)*KFC!$C$5</f>
        <v>96.978009458357135</v>
      </c>
      <c r="H131" s="796">
        <f>(AI131*KFC!$B$35+KFC!$C$35)*KFC!$C$5</f>
        <v>104.56066938444643</v>
      </c>
      <c r="I131" s="796">
        <f>(AJ131*KFC!$B$35+KFC!$C$35)*KFC!$C$5</f>
        <v>112.14332931053571</v>
      </c>
      <c r="J131" s="796">
        <f>(AK131*KFC!$B$35+KFC!$C$35)*KFC!$C$5</f>
        <v>119.72598923662498</v>
      </c>
      <c r="K131" s="796">
        <f>(AL131*KFC!$B$35+KFC!$C$35)*KFC!$C$5</f>
        <v>127.30864916271427</v>
      </c>
      <c r="L131" s="796">
        <f>(AM131*KFC!$B$35+KFC!$C$35)*KFC!$C$5</f>
        <v>134.89130908880355</v>
      </c>
      <c r="M131" s="796">
        <f>(AN131*KFC!$B$35+KFC!$C$35)*KFC!$C$5</f>
        <v>142.47396901489284</v>
      </c>
      <c r="N131" s="796">
        <f>(AO131*KFC!$B$35+KFC!$C$35)*KFC!$C$5</f>
        <v>150.05662894098214</v>
      </c>
      <c r="O131" s="796">
        <f>(AP131*KFC!$B$35+KFC!$C$35)*KFC!$C$5</f>
        <v>157.6392888670714</v>
      </c>
      <c r="P131" s="796">
        <f>(AQ131*KFC!$B$35+KFC!$C$35)*KFC!$C$5</f>
        <v>165.22194879316069</v>
      </c>
      <c r="Q131" s="796">
        <f>(AR131*KFC!$B$35+KFC!$C$35)*KFC!$C$5</f>
        <v>172.80460871925001</v>
      </c>
      <c r="R131" s="796">
        <f>(AS131*KFC!$B$35+KFC!$C$35)*KFC!$C$5</f>
        <v>180.3872686453393</v>
      </c>
      <c r="S131" s="796">
        <f>(AT131*KFC!$B$35+KFC!$C$35)*KFC!$C$5</f>
        <v>187.9699285714286</v>
      </c>
      <c r="T131" s="796">
        <f>(AU131*KFC!$B$35+KFC!$C$35)*KFC!$C$5</f>
        <v>195.55258849751792</v>
      </c>
      <c r="U131" s="796">
        <f>(AV131*KFC!$B$35+KFC!$C$35)*KFC!$C$5</f>
        <v>203.13524842360721</v>
      </c>
      <c r="V131" s="796">
        <f>(AW131*KFC!$B$35+KFC!$C$35)*KFC!$C$5</f>
        <v>210.71790834969653</v>
      </c>
      <c r="W131" s="796">
        <f>(AX131*KFC!$B$35+KFC!$C$35)*KFC!$C$5</f>
        <v>218.30056827578582</v>
      </c>
      <c r="X131" s="796">
        <f>(AY131*KFC!$B$35+KFC!$C$35)*KFC!$C$5</f>
        <v>225.88322820187511</v>
      </c>
      <c r="Y131" s="796">
        <f>(AZ131*KFC!$B$35+KFC!$C$35)*KFC!$C$5</f>
        <v>233.46588812796443</v>
      </c>
      <c r="Z131" s="814">
        <f>(BA131*KFC!$B$35+KFC!$C$35)*KFC!$C$5</f>
        <v>241.04854805405373</v>
      </c>
      <c r="AB131" s="1912"/>
      <c r="AC131" s="799">
        <v>0.8</v>
      </c>
      <c r="AD131" s="797">
        <v>66.64736975400001</v>
      </c>
      <c r="AE131" s="797">
        <v>74.230029680089288</v>
      </c>
      <c r="AF131" s="797">
        <v>81.81268960617858</v>
      </c>
      <c r="AG131" s="797">
        <v>89.395349532267858</v>
      </c>
      <c r="AH131" s="797">
        <v>96.978009458357135</v>
      </c>
      <c r="AI131" s="797">
        <v>104.56066938444643</v>
      </c>
      <c r="AJ131" s="797">
        <v>112.14332931053571</v>
      </c>
      <c r="AK131" s="797">
        <v>119.72598923662498</v>
      </c>
      <c r="AL131" s="797">
        <v>127.30864916271427</v>
      </c>
      <c r="AM131" s="797">
        <v>134.89130908880355</v>
      </c>
      <c r="AN131" s="797">
        <v>142.47396901489284</v>
      </c>
      <c r="AO131" s="797">
        <v>150.05662894098214</v>
      </c>
      <c r="AP131" s="797">
        <v>157.6392888670714</v>
      </c>
      <c r="AQ131" s="797">
        <v>165.22194879316069</v>
      </c>
      <c r="AR131" s="797">
        <v>172.80460871925001</v>
      </c>
      <c r="AS131" s="797">
        <v>180.3872686453393</v>
      </c>
      <c r="AT131" s="797">
        <v>187.9699285714286</v>
      </c>
      <c r="AU131" s="797">
        <v>195.55258849751792</v>
      </c>
      <c r="AV131" s="797">
        <v>203.13524842360721</v>
      </c>
      <c r="AW131" s="797">
        <v>210.71790834969653</v>
      </c>
      <c r="AX131" s="797">
        <v>218.30056827578582</v>
      </c>
      <c r="AY131" s="797">
        <v>225.88322820187511</v>
      </c>
      <c r="AZ131" s="797">
        <v>233.46588812796443</v>
      </c>
      <c r="BA131" s="797">
        <v>241.04854805405373</v>
      </c>
    </row>
    <row r="132" spans="1:53">
      <c r="A132" s="1912"/>
      <c r="B132" s="799">
        <v>0.9</v>
      </c>
      <c r="C132" s="796">
        <f>(AD132*KFC!$B$35+KFC!$C$35)*KFC!$C$5</f>
        <v>68.363159262000011</v>
      </c>
      <c r="D132" s="796">
        <f>(AE132*KFC!$B$35+KFC!$C$35)*KFC!$C$5</f>
        <v>76.374688244285721</v>
      </c>
      <c r="E132" s="796">
        <f>(AF132*KFC!$B$35+KFC!$C$35)*KFC!$C$5</f>
        <v>84.386217226571446</v>
      </c>
      <c r="F132" s="796">
        <f>(AG132*KFC!$B$35+KFC!$C$35)*KFC!$C$5</f>
        <v>92.397746208857157</v>
      </c>
      <c r="G132" s="796">
        <f>(AH132*KFC!$B$35+KFC!$C$35)*KFC!$C$5</f>
        <v>100.40927519114288</v>
      </c>
      <c r="H132" s="796">
        <f>(AI132*KFC!$B$35+KFC!$C$35)*KFC!$C$5</f>
        <v>108.42080417342861</v>
      </c>
      <c r="I132" s="796">
        <f>(AJ132*KFC!$B$35+KFC!$C$35)*KFC!$C$5</f>
        <v>116.43233315571432</v>
      </c>
      <c r="J132" s="796">
        <f>(AK132*KFC!$B$35+KFC!$C$35)*KFC!$C$5</f>
        <v>124.44386213800004</v>
      </c>
      <c r="K132" s="796">
        <f>(AL132*KFC!$B$35+KFC!$C$35)*KFC!$C$5</f>
        <v>132.45539112028575</v>
      </c>
      <c r="L132" s="796">
        <f>(AM132*KFC!$B$35+KFC!$C$35)*KFC!$C$5</f>
        <v>140.46692010257149</v>
      </c>
      <c r="M132" s="796">
        <f>(AN132*KFC!$B$35+KFC!$C$35)*KFC!$C$5</f>
        <v>148.4784490848572</v>
      </c>
      <c r="N132" s="796">
        <f>(AO132*KFC!$B$35+KFC!$C$35)*KFC!$C$5</f>
        <v>156.48997806714291</v>
      </c>
      <c r="O132" s="796">
        <f>(AP132*KFC!$B$35+KFC!$C$35)*KFC!$C$5</f>
        <v>164.50150704942865</v>
      </c>
      <c r="P132" s="796">
        <f>(AQ132*KFC!$B$35+KFC!$C$35)*KFC!$C$5</f>
        <v>172.51303603171436</v>
      </c>
      <c r="Q132" s="796">
        <f>(AR132*KFC!$B$35+KFC!$C$35)*KFC!$C$5</f>
        <v>180.52456501400007</v>
      </c>
      <c r="R132" s="796">
        <f>(AS132*KFC!$B$35+KFC!$C$35)*KFC!$C$5</f>
        <v>188.53609399628576</v>
      </c>
      <c r="S132" s="796">
        <f>(AT132*KFC!$B$35+KFC!$C$35)*KFC!$C$5</f>
        <v>196.54762297857147</v>
      </c>
      <c r="T132" s="796">
        <f>(AU132*KFC!$B$35+KFC!$C$35)*KFC!$C$5</f>
        <v>204.55915196085718</v>
      </c>
      <c r="U132" s="796">
        <f>(AV132*KFC!$B$35+KFC!$C$35)*KFC!$C$5</f>
        <v>212.57068094314289</v>
      </c>
      <c r="V132" s="796">
        <f>(AW132*KFC!$B$35+KFC!$C$35)*KFC!$C$5</f>
        <v>220.58220992542857</v>
      </c>
      <c r="W132" s="796">
        <f>(AX132*KFC!$B$35+KFC!$C$35)*KFC!$C$5</f>
        <v>228.59373890771428</v>
      </c>
      <c r="X132" s="796">
        <f>(AY132*KFC!$B$35+KFC!$C$35)*KFC!$C$5</f>
        <v>236.60526788999999</v>
      </c>
      <c r="Y132" s="796">
        <f>(AZ132*KFC!$B$35+KFC!$C$35)*KFC!$C$5</f>
        <v>244.61679687228568</v>
      </c>
      <c r="Z132" s="814">
        <f>(BA132*KFC!$B$35+KFC!$C$35)*KFC!$C$5</f>
        <v>252.62832585457139</v>
      </c>
      <c r="AB132" s="1912"/>
      <c r="AC132" s="799">
        <v>0.9</v>
      </c>
      <c r="AD132" s="797">
        <v>68.363159262000011</v>
      </c>
      <c r="AE132" s="797">
        <v>76.374688244285721</v>
      </c>
      <c r="AF132" s="797">
        <v>84.386217226571446</v>
      </c>
      <c r="AG132" s="797">
        <v>92.397746208857157</v>
      </c>
      <c r="AH132" s="797">
        <v>100.40927519114288</v>
      </c>
      <c r="AI132" s="797">
        <v>108.42080417342861</v>
      </c>
      <c r="AJ132" s="797">
        <v>116.43233315571432</v>
      </c>
      <c r="AK132" s="797">
        <v>124.44386213800004</v>
      </c>
      <c r="AL132" s="797">
        <v>132.45539112028575</v>
      </c>
      <c r="AM132" s="797">
        <v>140.46692010257149</v>
      </c>
      <c r="AN132" s="797">
        <v>148.4784490848572</v>
      </c>
      <c r="AO132" s="797">
        <v>156.48997806714291</v>
      </c>
      <c r="AP132" s="797">
        <v>164.50150704942865</v>
      </c>
      <c r="AQ132" s="797">
        <v>172.51303603171436</v>
      </c>
      <c r="AR132" s="797">
        <v>180.52456501400007</v>
      </c>
      <c r="AS132" s="797">
        <v>188.53609399628576</v>
      </c>
      <c r="AT132" s="797">
        <v>196.54762297857147</v>
      </c>
      <c r="AU132" s="797">
        <v>204.55915196085718</v>
      </c>
      <c r="AV132" s="797">
        <v>212.57068094314289</v>
      </c>
      <c r="AW132" s="797">
        <v>220.58220992542857</v>
      </c>
      <c r="AX132" s="797">
        <v>228.59373890771428</v>
      </c>
      <c r="AY132" s="797">
        <v>236.60526788999999</v>
      </c>
      <c r="AZ132" s="797">
        <v>244.61679687228568</v>
      </c>
      <c r="BA132" s="797">
        <v>252.62832585457139</v>
      </c>
    </row>
    <row r="133" spans="1:53">
      <c r="A133" s="1912"/>
      <c r="B133" s="799">
        <v>1</v>
      </c>
      <c r="C133" s="796">
        <f>(AD133*KFC!$B$35+KFC!$C$35)*KFC!$C$5</f>
        <v>70.078948770000011</v>
      </c>
      <c r="D133" s="796">
        <f>(AE133*KFC!$B$35+KFC!$C$35)*KFC!$C$5</f>
        <v>78.519346808482155</v>
      </c>
      <c r="E133" s="796">
        <f>(AF133*KFC!$B$35+KFC!$C$35)*KFC!$C$5</f>
        <v>86.959744846964298</v>
      </c>
      <c r="F133" s="796">
        <f>(AG133*KFC!$B$35+KFC!$C$35)*KFC!$C$5</f>
        <v>95.400142885446442</v>
      </c>
      <c r="G133" s="796">
        <f>(AH133*KFC!$B$35+KFC!$C$35)*KFC!$C$5</f>
        <v>103.84054092392857</v>
      </c>
      <c r="H133" s="796">
        <f>(AI133*KFC!$B$35+KFC!$C$35)*KFC!$C$5</f>
        <v>112.28093896241072</v>
      </c>
      <c r="I133" s="796">
        <f>(AJ133*KFC!$B$35+KFC!$C$35)*KFC!$C$5</f>
        <v>120.72133700089285</v>
      </c>
      <c r="J133" s="796">
        <f>(AK133*KFC!$B$35+KFC!$C$35)*KFC!$C$5</f>
        <v>129.16173503937497</v>
      </c>
      <c r="K133" s="796">
        <f>(AL133*KFC!$B$35+KFC!$C$35)*KFC!$C$5</f>
        <v>137.60213307785713</v>
      </c>
      <c r="L133" s="796">
        <f>(AM133*KFC!$B$35+KFC!$C$35)*KFC!$C$5</f>
        <v>146.04253111633926</v>
      </c>
      <c r="M133" s="796">
        <f>(AN133*KFC!$B$35+KFC!$C$35)*KFC!$C$5</f>
        <v>154.48292915482139</v>
      </c>
      <c r="N133" s="796">
        <f>(AO133*KFC!$B$35+KFC!$C$35)*KFC!$C$5</f>
        <v>162.92332719330355</v>
      </c>
      <c r="O133" s="796">
        <f>(AP133*KFC!$B$35+KFC!$C$35)*KFC!$C$5</f>
        <v>171.36372523178568</v>
      </c>
      <c r="P133" s="796">
        <f>(AQ133*KFC!$B$35+KFC!$C$35)*KFC!$C$5</f>
        <v>179.80412327026781</v>
      </c>
      <c r="Q133" s="796">
        <f>(AR133*KFC!$B$35+KFC!$C$35)*KFC!$C$5</f>
        <v>188.24452130874994</v>
      </c>
      <c r="R133" s="796">
        <f>(AS133*KFC!$B$35+KFC!$C$35)*KFC!$C$5</f>
        <v>196.6849193472321</v>
      </c>
      <c r="S133" s="796">
        <f>(AT133*KFC!$B$35+KFC!$C$35)*KFC!$C$5</f>
        <v>205.12531738571423</v>
      </c>
      <c r="T133" s="796">
        <f>(AU133*KFC!$B$35+KFC!$C$35)*KFC!$C$5</f>
        <v>213.56571542419636</v>
      </c>
      <c r="U133" s="796">
        <f>(AV133*KFC!$B$35+KFC!$C$35)*KFC!$C$5</f>
        <v>222.00611346267851</v>
      </c>
      <c r="V133" s="796">
        <f>(AW133*KFC!$B$35+KFC!$C$35)*KFC!$C$5</f>
        <v>230.44651150116064</v>
      </c>
      <c r="W133" s="796">
        <f>(AX133*KFC!$B$35+KFC!$C$35)*KFC!$C$5</f>
        <v>238.88690953964277</v>
      </c>
      <c r="X133" s="796">
        <f>(AY133*KFC!$B$35+KFC!$C$35)*KFC!$C$5</f>
        <v>247.3273075781249</v>
      </c>
      <c r="Y133" s="796">
        <f>(AZ133*KFC!$B$35+KFC!$C$35)*KFC!$C$5</f>
        <v>255.76770561660706</v>
      </c>
      <c r="Z133" s="814">
        <f>(BA133*KFC!$B$35+KFC!$C$35)*KFC!$C$5</f>
        <v>264.20810365508919</v>
      </c>
      <c r="AB133" s="1912"/>
      <c r="AC133" s="799">
        <v>1</v>
      </c>
      <c r="AD133" s="797">
        <v>70.078948770000011</v>
      </c>
      <c r="AE133" s="797">
        <v>78.519346808482155</v>
      </c>
      <c r="AF133" s="797">
        <v>86.959744846964298</v>
      </c>
      <c r="AG133" s="797">
        <v>95.400142885446442</v>
      </c>
      <c r="AH133" s="797">
        <v>103.84054092392857</v>
      </c>
      <c r="AI133" s="797">
        <v>112.28093896241072</v>
      </c>
      <c r="AJ133" s="797">
        <v>120.72133700089285</v>
      </c>
      <c r="AK133" s="797">
        <v>129.16173503937497</v>
      </c>
      <c r="AL133" s="797">
        <v>137.60213307785713</v>
      </c>
      <c r="AM133" s="797">
        <v>146.04253111633926</v>
      </c>
      <c r="AN133" s="797">
        <v>154.48292915482139</v>
      </c>
      <c r="AO133" s="797">
        <v>162.92332719330355</v>
      </c>
      <c r="AP133" s="797">
        <v>171.36372523178568</v>
      </c>
      <c r="AQ133" s="797">
        <v>179.80412327026781</v>
      </c>
      <c r="AR133" s="797">
        <v>188.24452130874994</v>
      </c>
      <c r="AS133" s="797">
        <v>196.6849193472321</v>
      </c>
      <c r="AT133" s="797">
        <v>205.12531738571423</v>
      </c>
      <c r="AU133" s="797">
        <v>213.56571542419636</v>
      </c>
      <c r="AV133" s="797">
        <v>222.00611346267851</v>
      </c>
      <c r="AW133" s="797">
        <v>230.44651150116064</v>
      </c>
      <c r="AX133" s="797">
        <v>238.88690953964277</v>
      </c>
      <c r="AY133" s="797">
        <v>247.3273075781249</v>
      </c>
      <c r="AZ133" s="797">
        <v>255.76770561660706</v>
      </c>
      <c r="BA133" s="797">
        <v>264.20810365508919</v>
      </c>
    </row>
    <row r="134" spans="1:53">
      <c r="A134" s="1912"/>
      <c r="B134" s="799">
        <v>1.1000000000000001</v>
      </c>
      <c r="C134" s="796">
        <f>(AD134*KFC!$B$35+KFC!$C$35)*KFC!$C$5</f>
        <v>71.794738278000011</v>
      </c>
      <c r="D134" s="796">
        <f>(AE134*KFC!$B$35+KFC!$C$35)*KFC!$C$5</f>
        <v>80.664005372678574</v>
      </c>
      <c r="E134" s="796">
        <f>(AF134*KFC!$B$35+KFC!$C$35)*KFC!$C$5</f>
        <v>89.533272467357151</v>
      </c>
      <c r="F134" s="796">
        <f>(AG134*KFC!$B$35+KFC!$C$35)*KFC!$C$5</f>
        <v>98.402539562035727</v>
      </c>
      <c r="G134" s="796">
        <f>(AH134*KFC!$B$35+KFC!$C$35)*KFC!$C$5</f>
        <v>107.2718066567143</v>
      </c>
      <c r="H134" s="796">
        <f>(AI134*KFC!$B$35+KFC!$C$35)*KFC!$C$5</f>
        <v>116.14107375139288</v>
      </c>
      <c r="I134" s="796">
        <f>(AJ134*KFC!$B$35+KFC!$C$35)*KFC!$C$5</f>
        <v>125.01034084607144</v>
      </c>
      <c r="J134" s="796">
        <f>(AK134*KFC!$B$35+KFC!$C$35)*KFC!$C$5</f>
        <v>133.87960794075002</v>
      </c>
      <c r="K134" s="796">
        <f>(AL134*KFC!$B$35+KFC!$C$35)*KFC!$C$5</f>
        <v>142.7488750354286</v>
      </c>
      <c r="L134" s="796">
        <f>(AM134*KFC!$B$35+KFC!$C$35)*KFC!$C$5</f>
        <v>151.61814213010717</v>
      </c>
      <c r="M134" s="796">
        <f>(AN134*KFC!$B$35+KFC!$C$35)*KFC!$C$5</f>
        <v>160.48740922478575</v>
      </c>
      <c r="N134" s="796">
        <f>(AO134*KFC!$B$35+KFC!$C$35)*KFC!$C$5</f>
        <v>169.3566763194643</v>
      </c>
      <c r="O134" s="796">
        <f>(AP134*KFC!$B$35+KFC!$C$35)*KFC!$C$5</f>
        <v>178.22594341414288</v>
      </c>
      <c r="P134" s="796">
        <f>(AQ134*KFC!$B$35+KFC!$C$35)*KFC!$C$5</f>
        <v>187.09521050882145</v>
      </c>
      <c r="Q134" s="796">
        <f>(AR134*KFC!$B$35+KFC!$C$35)*KFC!$C$5</f>
        <v>195.96447760350003</v>
      </c>
      <c r="R134" s="796">
        <f>(AS134*KFC!$B$35+KFC!$C$35)*KFC!$C$5</f>
        <v>204.83374469817861</v>
      </c>
      <c r="S134" s="796">
        <f>(AT134*KFC!$B$35+KFC!$C$35)*KFC!$C$5</f>
        <v>213.70301179285715</v>
      </c>
      <c r="T134" s="796">
        <f>(AU134*KFC!$B$35+KFC!$C$35)*KFC!$C$5</f>
        <v>222.57227888753573</v>
      </c>
      <c r="U134" s="796">
        <f>(AV134*KFC!$B$35+KFC!$C$35)*KFC!$C$5</f>
        <v>231.44154598221431</v>
      </c>
      <c r="V134" s="796">
        <f>(AW134*KFC!$B$35+KFC!$C$35)*KFC!$C$5</f>
        <v>240.31081307689288</v>
      </c>
      <c r="W134" s="796">
        <f>(AX134*KFC!$B$35+KFC!$C$35)*KFC!$C$5</f>
        <v>249.18008017157146</v>
      </c>
      <c r="X134" s="796">
        <f>(AY134*KFC!$B$35+KFC!$C$35)*KFC!$C$5</f>
        <v>258.04934726625004</v>
      </c>
      <c r="Y134" s="796">
        <f>(AZ134*KFC!$B$35+KFC!$C$35)*KFC!$C$5</f>
        <v>266.91861436092859</v>
      </c>
      <c r="Z134" s="814">
        <f>(BA134*KFC!$B$35+KFC!$C$35)*KFC!$C$5</f>
        <v>275.78788145560719</v>
      </c>
      <c r="AB134" s="1912"/>
      <c r="AC134" s="799">
        <v>1.1000000000000001</v>
      </c>
      <c r="AD134" s="797">
        <v>71.794738278000011</v>
      </c>
      <c r="AE134" s="797">
        <v>80.664005372678574</v>
      </c>
      <c r="AF134" s="797">
        <v>89.533272467357151</v>
      </c>
      <c r="AG134" s="797">
        <v>98.402539562035727</v>
      </c>
      <c r="AH134" s="797">
        <v>107.2718066567143</v>
      </c>
      <c r="AI134" s="797">
        <v>116.14107375139288</v>
      </c>
      <c r="AJ134" s="797">
        <v>125.01034084607144</v>
      </c>
      <c r="AK134" s="797">
        <v>133.87960794075002</v>
      </c>
      <c r="AL134" s="797">
        <v>142.7488750354286</v>
      </c>
      <c r="AM134" s="797">
        <v>151.61814213010717</v>
      </c>
      <c r="AN134" s="797">
        <v>160.48740922478575</v>
      </c>
      <c r="AO134" s="797">
        <v>169.3566763194643</v>
      </c>
      <c r="AP134" s="797">
        <v>178.22594341414288</v>
      </c>
      <c r="AQ134" s="797">
        <v>187.09521050882145</v>
      </c>
      <c r="AR134" s="797">
        <v>195.96447760350003</v>
      </c>
      <c r="AS134" s="797">
        <v>204.83374469817861</v>
      </c>
      <c r="AT134" s="797">
        <v>213.70301179285715</v>
      </c>
      <c r="AU134" s="797">
        <v>222.57227888753573</v>
      </c>
      <c r="AV134" s="797">
        <v>231.44154598221431</v>
      </c>
      <c r="AW134" s="797">
        <v>240.31081307689288</v>
      </c>
      <c r="AX134" s="797">
        <v>249.18008017157146</v>
      </c>
      <c r="AY134" s="797">
        <v>258.04934726625004</v>
      </c>
      <c r="AZ134" s="797">
        <v>266.91861436092859</v>
      </c>
      <c r="BA134" s="797">
        <v>275.78788145560719</v>
      </c>
    </row>
    <row r="135" spans="1:53">
      <c r="A135" s="1912"/>
      <c r="B135" s="799">
        <v>1.2</v>
      </c>
      <c r="C135" s="796">
        <f>(AD135*KFC!$B$35+KFC!$C$35)*KFC!$C$5</f>
        <v>73.510527786000011</v>
      </c>
      <c r="D135" s="796">
        <f>(AE135*KFC!$B$35+KFC!$C$35)*KFC!$C$5</f>
        <v>82.808663936875021</v>
      </c>
      <c r="E135" s="796">
        <f>(AF135*KFC!$B$35+KFC!$C$35)*KFC!$C$5</f>
        <v>92.106800087750017</v>
      </c>
      <c r="F135" s="796">
        <f>(AG135*KFC!$B$35+KFC!$C$35)*KFC!$C$5</f>
        <v>101.404936238625</v>
      </c>
      <c r="G135" s="796">
        <f>(AH135*KFC!$B$35+KFC!$C$35)*KFC!$C$5</f>
        <v>110.70307238949999</v>
      </c>
      <c r="H135" s="796">
        <f>(AI135*KFC!$B$35+KFC!$C$35)*KFC!$C$5</f>
        <v>120.00120854037499</v>
      </c>
      <c r="I135" s="796">
        <f>(AJ135*KFC!$B$35+KFC!$C$35)*KFC!$C$5</f>
        <v>129.29934469124998</v>
      </c>
      <c r="J135" s="796">
        <f>(AK135*KFC!$B$35+KFC!$C$35)*KFC!$C$5</f>
        <v>138.59748084212495</v>
      </c>
      <c r="K135" s="796">
        <f>(AL135*KFC!$B$35+KFC!$C$35)*KFC!$C$5</f>
        <v>147.89561699299995</v>
      </c>
      <c r="L135" s="796">
        <f>(AM135*KFC!$B$35+KFC!$C$35)*KFC!$C$5</f>
        <v>157.19375314387494</v>
      </c>
      <c r="M135" s="796">
        <f>(AN135*KFC!$B$35+KFC!$C$35)*KFC!$C$5</f>
        <v>166.49188929474994</v>
      </c>
      <c r="N135" s="796">
        <f>(AO135*KFC!$B$35+KFC!$C$35)*KFC!$C$5</f>
        <v>175.79002544562493</v>
      </c>
      <c r="O135" s="796">
        <f>(AP135*KFC!$B$35+KFC!$C$35)*KFC!$C$5</f>
        <v>185.08816159649996</v>
      </c>
      <c r="P135" s="796">
        <f>(AQ135*KFC!$B$35+KFC!$C$35)*KFC!$C$5</f>
        <v>194.38629774737495</v>
      </c>
      <c r="Q135" s="796">
        <f>(AR135*KFC!$B$35+KFC!$C$35)*KFC!$C$5</f>
        <v>203.68443389824998</v>
      </c>
      <c r="R135" s="796">
        <f>(AS135*KFC!$B$35+KFC!$C$35)*KFC!$C$5</f>
        <v>212.98257004912497</v>
      </c>
      <c r="S135" s="796">
        <f>(AT135*KFC!$B$35+KFC!$C$35)*KFC!$C$5</f>
        <v>222.2807062</v>
      </c>
      <c r="T135" s="796">
        <f>(AU135*KFC!$B$35+KFC!$C$35)*KFC!$C$5</f>
        <v>231.57884235087499</v>
      </c>
      <c r="U135" s="796">
        <f>(AV135*KFC!$B$35+KFC!$C$35)*KFC!$C$5</f>
        <v>240.87697850175002</v>
      </c>
      <c r="V135" s="796">
        <f>(AW135*KFC!$B$35+KFC!$C$35)*KFC!$C$5</f>
        <v>250.17511465262501</v>
      </c>
      <c r="W135" s="796">
        <f>(AX135*KFC!$B$35+KFC!$C$35)*KFC!$C$5</f>
        <v>259.47325080350004</v>
      </c>
      <c r="X135" s="796">
        <f>(AY135*KFC!$B$35+KFC!$C$35)*KFC!$C$5</f>
        <v>268.77138695437503</v>
      </c>
      <c r="Y135" s="796">
        <f>(AZ135*KFC!$B$35+KFC!$C$35)*KFC!$C$5</f>
        <v>278.06952310525003</v>
      </c>
      <c r="Z135" s="814">
        <f>(BA135*KFC!$B$35+KFC!$C$35)*KFC!$C$5</f>
        <v>287.36765925612508</v>
      </c>
      <c r="AB135" s="1912"/>
      <c r="AC135" s="799">
        <v>1.2</v>
      </c>
      <c r="AD135" s="797">
        <v>73.510527786000011</v>
      </c>
      <c r="AE135" s="797">
        <v>82.808663936875021</v>
      </c>
      <c r="AF135" s="797">
        <v>92.106800087750017</v>
      </c>
      <c r="AG135" s="797">
        <v>101.404936238625</v>
      </c>
      <c r="AH135" s="797">
        <v>110.70307238949999</v>
      </c>
      <c r="AI135" s="797">
        <v>120.00120854037499</v>
      </c>
      <c r="AJ135" s="797">
        <v>129.29934469124998</v>
      </c>
      <c r="AK135" s="797">
        <v>138.59748084212495</v>
      </c>
      <c r="AL135" s="797">
        <v>147.89561699299995</v>
      </c>
      <c r="AM135" s="797">
        <v>157.19375314387494</v>
      </c>
      <c r="AN135" s="797">
        <v>166.49188929474994</v>
      </c>
      <c r="AO135" s="797">
        <v>175.79002544562493</v>
      </c>
      <c r="AP135" s="797">
        <v>185.08816159649996</v>
      </c>
      <c r="AQ135" s="797">
        <v>194.38629774737495</v>
      </c>
      <c r="AR135" s="797">
        <v>203.68443389824998</v>
      </c>
      <c r="AS135" s="797">
        <v>212.98257004912497</v>
      </c>
      <c r="AT135" s="797">
        <v>222.2807062</v>
      </c>
      <c r="AU135" s="797">
        <v>231.57884235087499</v>
      </c>
      <c r="AV135" s="797">
        <v>240.87697850175002</v>
      </c>
      <c r="AW135" s="797">
        <v>250.17511465262501</v>
      </c>
      <c r="AX135" s="797">
        <v>259.47325080350004</v>
      </c>
      <c r="AY135" s="797">
        <v>268.77138695437503</v>
      </c>
      <c r="AZ135" s="797">
        <v>278.06952310525003</v>
      </c>
      <c r="BA135" s="797">
        <v>287.36765925612508</v>
      </c>
    </row>
    <row r="136" spans="1:53">
      <c r="A136" s="1912"/>
      <c r="B136" s="799">
        <v>1.3</v>
      </c>
      <c r="C136" s="796">
        <f>(AD136*KFC!$B$35+KFC!$C$35)*KFC!$C$5</f>
        <v>75.226317294000026</v>
      </c>
      <c r="D136" s="796">
        <f>(AE136*KFC!$B$35+KFC!$C$35)*KFC!$C$5</f>
        <v>84.95332250107144</v>
      </c>
      <c r="E136" s="796">
        <f>(AF136*KFC!$B$35+KFC!$C$35)*KFC!$C$5</f>
        <v>94.680327708142869</v>
      </c>
      <c r="F136" s="796">
        <f>(AG136*KFC!$B$35+KFC!$C$35)*KFC!$C$5</f>
        <v>104.4073329152143</v>
      </c>
      <c r="G136" s="796">
        <f>(AH136*KFC!$B$35+KFC!$C$35)*KFC!$C$5</f>
        <v>114.13433812228573</v>
      </c>
      <c r="H136" s="796">
        <f>(AI136*KFC!$B$35+KFC!$C$35)*KFC!$C$5</f>
        <v>123.86134332935714</v>
      </c>
      <c r="I136" s="796">
        <f>(AJ136*KFC!$B$35+KFC!$C$35)*KFC!$C$5</f>
        <v>133.58834853642858</v>
      </c>
      <c r="J136" s="796">
        <f>(AK136*KFC!$B$35+KFC!$C$35)*KFC!$C$5</f>
        <v>143.3153537435</v>
      </c>
      <c r="K136" s="796">
        <f>(AL136*KFC!$B$35+KFC!$C$35)*KFC!$C$5</f>
        <v>153.04235895057144</v>
      </c>
      <c r="L136" s="796">
        <f>(AM136*KFC!$B$35+KFC!$C$35)*KFC!$C$5</f>
        <v>162.76936415764285</v>
      </c>
      <c r="M136" s="796">
        <f>(AN136*KFC!$B$35+KFC!$C$35)*KFC!$C$5</f>
        <v>172.49636936471427</v>
      </c>
      <c r="N136" s="796">
        <f>(AO136*KFC!$B$35+KFC!$C$35)*KFC!$C$5</f>
        <v>182.22337457178568</v>
      </c>
      <c r="O136" s="796">
        <f>(AP136*KFC!$B$35+KFC!$C$35)*KFC!$C$5</f>
        <v>191.95037977885707</v>
      </c>
      <c r="P136" s="796">
        <f>(AQ136*KFC!$B$35+KFC!$C$35)*KFC!$C$5</f>
        <v>201.67738498592848</v>
      </c>
      <c r="Q136" s="796">
        <f>(AR136*KFC!$B$35+KFC!$C$35)*KFC!$C$5</f>
        <v>211.4043901929999</v>
      </c>
      <c r="R136" s="796">
        <f>(AS136*KFC!$B$35+KFC!$C$35)*KFC!$C$5</f>
        <v>221.13139540007131</v>
      </c>
      <c r="S136" s="796">
        <f>(AT136*KFC!$B$35+KFC!$C$35)*KFC!$C$5</f>
        <v>230.8584006071427</v>
      </c>
      <c r="T136" s="796">
        <f>(AU136*KFC!$B$35+KFC!$C$35)*KFC!$C$5</f>
        <v>240.58540581421411</v>
      </c>
      <c r="U136" s="796">
        <f>(AV136*KFC!$B$35+KFC!$C$35)*KFC!$C$5</f>
        <v>250.31241102128553</v>
      </c>
      <c r="V136" s="796">
        <f>(AW136*KFC!$B$35+KFC!$C$35)*KFC!$C$5</f>
        <v>260.03941622835691</v>
      </c>
      <c r="W136" s="796">
        <f>(AX136*KFC!$B$35+KFC!$C$35)*KFC!$C$5</f>
        <v>269.76642143542836</v>
      </c>
      <c r="X136" s="796">
        <f>(AY136*KFC!$B$35+KFC!$C$35)*KFC!$C$5</f>
        <v>279.49342664249974</v>
      </c>
      <c r="Y136" s="796">
        <f>(AZ136*KFC!$B$35+KFC!$C$35)*KFC!$C$5</f>
        <v>289.22043184957118</v>
      </c>
      <c r="Z136" s="814">
        <f>(BA136*KFC!$B$35+KFC!$C$35)*KFC!$C$5</f>
        <v>298.94743705664257</v>
      </c>
      <c r="AB136" s="1912"/>
      <c r="AC136" s="799">
        <v>1.3</v>
      </c>
      <c r="AD136" s="797">
        <v>75.226317294000026</v>
      </c>
      <c r="AE136" s="797">
        <v>84.95332250107144</v>
      </c>
      <c r="AF136" s="797">
        <v>94.680327708142869</v>
      </c>
      <c r="AG136" s="797">
        <v>104.4073329152143</v>
      </c>
      <c r="AH136" s="797">
        <v>114.13433812228573</v>
      </c>
      <c r="AI136" s="797">
        <v>123.86134332935714</v>
      </c>
      <c r="AJ136" s="797">
        <v>133.58834853642858</v>
      </c>
      <c r="AK136" s="797">
        <v>143.3153537435</v>
      </c>
      <c r="AL136" s="797">
        <v>153.04235895057144</v>
      </c>
      <c r="AM136" s="797">
        <v>162.76936415764285</v>
      </c>
      <c r="AN136" s="797">
        <v>172.49636936471427</v>
      </c>
      <c r="AO136" s="797">
        <v>182.22337457178568</v>
      </c>
      <c r="AP136" s="797">
        <v>191.95037977885707</v>
      </c>
      <c r="AQ136" s="797">
        <v>201.67738498592848</v>
      </c>
      <c r="AR136" s="797">
        <v>211.4043901929999</v>
      </c>
      <c r="AS136" s="797">
        <v>221.13139540007131</v>
      </c>
      <c r="AT136" s="797">
        <v>230.8584006071427</v>
      </c>
      <c r="AU136" s="797">
        <v>240.58540581421411</v>
      </c>
      <c r="AV136" s="797">
        <v>250.31241102128553</v>
      </c>
      <c r="AW136" s="797">
        <v>260.03941622835691</v>
      </c>
      <c r="AX136" s="797">
        <v>269.76642143542836</v>
      </c>
      <c r="AY136" s="797">
        <v>279.49342664249974</v>
      </c>
      <c r="AZ136" s="797">
        <v>289.22043184957118</v>
      </c>
      <c r="BA136" s="797">
        <v>298.94743705664257</v>
      </c>
    </row>
    <row r="137" spans="1:53">
      <c r="A137" s="1912"/>
      <c r="B137" s="799">
        <v>1.4</v>
      </c>
      <c r="C137" s="796">
        <f>(AD137*KFC!$B$35+KFC!$C$35)*KFC!$C$5</f>
        <v>76.942106802000026</v>
      </c>
      <c r="D137" s="796">
        <f>(AE137*KFC!$B$35+KFC!$C$35)*KFC!$C$5</f>
        <v>87.097981065267874</v>
      </c>
      <c r="E137" s="796">
        <f>(AF137*KFC!$B$35+KFC!$C$35)*KFC!$C$5</f>
        <v>97.253855328535721</v>
      </c>
      <c r="F137" s="796">
        <f>(AG137*KFC!$B$35+KFC!$C$35)*KFC!$C$5</f>
        <v>107.40972959180357</v>
      </c>
      <c r="G137" s="796">
        <f>(AH137*KFC!$B$35+KFC!$C$35)*KFC!$C$5</f>
        <v>117.56560385507142</v>
      </c>
      <c r="H137" s="796">
        <f>(AI137*KFC!$B$35+KFC!$C$35)*KFC!$C$5</f>
        <v>127.72147811833925</v>
      </c>
      <c r="I137" s="796">
        <f>(AJ137*KFC!$B$35+KFC!$C$35)*KFC!$C$5</f>
        <v>137.8773523816071</v>
      </c>
      <c r="J137" s="796">
        <f>(AK137*KFC!$B$35+KFC!$C$35)*KFC!$C$5</f>
        <v>148.03322664487493</v>
      </c>
      <c r="K137" s="796">
        <f>(AL137*KFC!$B$35+KFC!$C$35)*KFC!$C$5</f>
        <v>158.18910090814279</v>
      </c>
      <c r="L137" s="796">
        <f>(AM137*KFC!$B$35+KFC!$C$35)*KFC!$C$5</f>
        <v>168.34497517141062</v>
      </c>
      <c r="M137" s="796">
        <f>(AN137*KFC!$B$35+KFC!$C$35)*KFC!$C$5</f>
        <v>178.50084943467849</v>
      </c>
      <c r="N137" s="796">
        <f>(AO137*KFC!$B$35+KFC!$C$35)*KFC!$C$5</f>
        <v>188.65672369794632</v>
      </c>
      <c r="O137" s="796">
        <f>(AP137*KFC!$B$35+KFC!$C$35)*KFC!$C$5</f>
        <v>198.81259796121415</v>
      </c>
      <c r="P137" s="796">
        <f>(AQ137*KFC!$B$35+KFC!$C$35)*KFC!$C$5</f>
        <v>208.96847222448201</v>
      </c>
      <c r="Q137" s="796">
        <f>(AR137*KFC!$B$35+KFC!$C$35)*KFC!$C$5</f>
        <v>219.12434648774985</v>
      </c>
      <c r="R137" s="796">
        <f>(AS137*KFC!$B$35+KFC!$C$35)*KFC!$C$5</f>
        <v>229.28022075101771</v>
      </c>
      <c r="S137" s="796">
        <f>(AT137*KFC!$B$35+KFC!$C$35)*KFC!$C$5</f>
        <v>239.43609501428554</v>
      </c>
      <c r="T137" s="796">
        <f>(AU137*KFC!$B$35+KFC!$C$35)*KFC!$C$5</f>
        <v>249.59196927755337</v>
      </c>
      <c r="U137" s="796">
        <f>(AV137*KFC!$B$35+KFC!$C$35)*KFC!$C$5</f>
        <v>259.74784354082124</v>
      </c>
      <c r="V137" s="796">
        <f>(AW137*KFC!$B$35+KFC!$C$35)*KFC!$C$5</f>
        <v>269.90371780408907</v>
      </c>
      <c r="W137" s="796">
        <f>(AX137*KFC!$B$35+KFC!$C$35)*KFC!$C$5</f>
        <v>280.0595920673569</v>
      </c>
      <c r="X137" s="796">
        <f>(AY137*KFC!$B$35+KFC!$C$35)*KFC!$C$5</f>
        <v>290.21546633062474</v>
      </c>
      <c r="Y137" s="796">
        <f>(AZ137*KFC!$B$35+KFC!$C$35)*KFC!$C$5</f>
        <v>300.37134059389263</v>
      </c>
      <c r="Z137" s="814">
        <f>(BA137*KFC!$B$35+KFC!$C$35)*KFC!$C$5</f>
        <v>310.52721485716046</v>
      </c>
      <c r="AB137" s="1912"/>
      <c r="AC137" s="799">
        <v>1.4</v>
      </c>
      <c r="AD137" s="797">
        <v>76.942106802000026</v>
      </c>
      <c r="AE137" s="797">
        <v>87.097981065267874</v>
      </c>
      <c r="AF137" s="797">
        <v>97.253855328535721</v>
      </c>
      <c r="AG137" s="797">
        <v>107.40972959180357</v>
      </c>
      <c r="AH137" s="797">
        <v>117.56560385507142</v>
      </c>
      <c r="AI137" s="797">
        <v>127.72147811833925</v>
      </c>
      <c r="AJ137" s="797">
        <v>137.8773523816071</v>
      </c>
      <c r="AK137" s="797">
        <v>148.03322664487493</v>
      </c>
      <c r="AL137" s="797">
        <v>158.18910090814279</v>
      </c>
      <c r="AM137" s="797">
        <v>168.34497517141062</v>
      </c>
      <c r="AN137" s="797">
        <v>178.50084943467849</v>
      </c>
      <c r="AO137" s="797">
        <v>188.65672369794632</v>
      </c>
      <c r="AP137" s="797">
        <v>198.81259796121415</v>
      </c>
      <c r="AQ137" s="797">
        <v>208.96847222448201</v>
      </c>
      <c r="AR137" s="797">
        <v>219.12434648774985</v>
      </c>
      <c r="AS137" s="797">
        <v>229.28022075101771</v>
      </c>
      <c r="AT137" s="797">
        <v>239.43609501428554</v>
      </c>
      <c r="AU137" s="797">
        <v>249.59196927755337</v>
      </c>
      <c r="AV137" s="797">
        <v>259.74784354082124</v>
      </c>
      <c r="AW137" s="797">
        <v>269.90371780408907</v>
      </c>
      <c r="AX137" s="797">
        <v>280.0595920673569</v>
      </c>
      <c r="AY137" s="797">
        <v>290.21546633062474</v>
      </c>
      <c r="AZ137" s="797">
        <v>300.37134059389263</v>
      </c>
      <c r="BA137" s="797">
        <v>310.52721485716046</v>
      </c>
    </row>
    <row r="138" spans="1:53">
      <c r="A138" s="1912"/>
      <c r="B138" s="799">
        <v>1.5</v>
      </c>
      <c r="C138" s="796">
        <f>(AD138*KFC!$B$35+KFC!$C$35)*KFC!$C$5</f>
        <v>78.657896310000027</v>
      </c>
      <c r="D138" s="796">
        <f>(AE138*KFC!$B$35+KFC!$C$35)*KFC!$C$5</f>
        <v>89.242639629464321</v>
      </c>
      <c r="E138" s="796">
        <f>(AF138*KFC!$B$35+KFC!$C$35)*KFC!$C$5</f>
        <v>99.827382948928602</v>
      </c>
      <c r="F138" s="796">
        <f>(AG138*KFC!$B$35+KFC!$C$35)*KFC!$C$5</f>
        <v>110.41212626839288</v>
      </c>
      <c r="G138" s="796">
        <f>(AH138*KFC!$B$35+KFC!$C$35)*KFC!$C$5</f>
        <v>120.99686958785716</v>
      </c>
      <c r="H138" s="796">
        <f>(AI138*KFC!$B$35+KFC!$C$35)*KFC!$C$5</f>
        <v>131.58161290732144</v>
      </c>
      <c r="I138" s="796">
        <f>(AJ138*KFC!$B$35+KFC!$C$35)*KFC!$C$5</f>
        <v>142.16635622678572</v>
      </c>
      <c r="J138" s="796">
        <f>(AK138*KFC!$B$35+KFC!$C$35)*KFC!$C$5</f>
        <v>152.75109954625</v>
      </c>
      <c r="K138" s="796">
        <f>(AL138*KFC!$B$35+KFC!$C$35)*KFC!$C$5</f>
        <v>163.33584286571428</v>
      </c>
      <c r="L138" s="796">
        <f>(AM138*KFC!$B$35+KFC!$C$35)*KFC!$C$5</f>
        <v>173.92058618517856</v>
      </c>
      <c r="M138" s="796">
        <f>(AN138*KFC!$B$35+KFC!$C$35)*KFC!$C$5</f>
        <v>184.50532950464284</v>
      </c>
      <c r="N138" s="796">
        <f>(AO138*KFC!$B$35+KFC!$C$35)*KFC!$C$5</f>
        <v>195.09007282410712</v>
      </c>
      <c r="O138" s="796">
        <f>(AP138*KFC!$B$35+KFC!$C$35)*KFC!$C$5</f>
        <v>205.67481614357141</v>
      </c>
      <c r="P138" s="796">
        <f>(AQ138*KFC!$B$35+KFC!$C$35)*KFC!$C$5</f>
        <v>216.25955946303569</v>
      </c>
      <c r="Q138" s="796">
        <f>(AR138*KFC!$B$35+KFC!$C$35)*KFC!$C$5</f>
        <v>226.84430278249997</v>
      </c>
      <c r="R138" s="796">
        <f>(AS138*KFC!$B$35+KFC!$C$35)*KFC!$C$5</f>
        <v>237.42904610196425</v>
      </c>
      <c r="S138" s="796">
        <f>(AT138*KFC!$B$35+KFC!$C$35)*KFC!$C$5</f>
        <v>248.01378942142853</v>
      </c>
      <c r="T138" s="796">
        <f>(AU138*KFC!$B$35+KFC!$C$35)*KFC!$C$5</f>
        <v>258.59853274089278</v>
      </c>
      <c r="U138" s="796">
        <f>(AV138*KFC!$B$35+KFC!$C$35)*KFC!$C$5</f>
        <v>269.18327606035706</v>
      </c>
      <c r="V138" s="796">
        <f>(AW138*KFC!$B$35+KFC!$C$35)*KFC!$C$5</f>
        <v>279.76801937982134</v>
      </c>
      <c r="W138" s="796">
        <f>(AX138*KFC!$B$35+KFC!$C$35)*KFC!$C$5</f>
        <v>290.35276269928562</v>
      </c>
      <c r="X138" s="796">
        <f>(AY138*KFC!$B$35+KFC!$C$35)*KFC!$C$5</f>
        <v>300.9375060187499</v>
      </c>
      <c r="Y138" s="796">
        <f>(AZ138*KFC!$B$35+KFC!$C$35)*KFC!$C$5</f>
        <v>311.52224933821418</v>
      </c>
      <c r="Z138" s="814">
        <f>(BA138*KFC!$B$35+KFC!$C$35)*KFC!$C$5</f>
        <v>322.10699265767846</v>
      </c>
      <c r="AB138" s="1912"/>
      <c r="AC138" s="799">
        <v>1.5</v>
      </c>
      <c r="AD138" s="797">
        <v>78.657896310000027</v>
      </c>
      <c r="AE138" s="797">
        <v>89.242639629464321</v>
      </c>
      <c r="AF138" s="797">
        <v>99.827382948928602</v>
      </c>
      <c r="AG138" s="797">
        <v>110.41212626839288</v>
      </c>
      <c r="AH138" s="797">
        <v>120.99686958785716</v>
      </c>
      <c r="AI138" s="797">
        <v>131.58161290732144</v>
      </c>
      <c r="AJ138" s="797">
        <v>142.16635622678572</v>
      </c>
      <c r="AK138" s="797">
        <v>152.75109954625</v>
      </c>
      <c r="AL138" s="797">
        <v>163.33584286571428</v>
      </c>
      <c r="AM138" s="797">
        <v>173.92058618517856</v>
      </c>
      <c r="AN138" s="797">
        <v>184.50532950464284</v>
      </c>
      <c r="AO138" s="797">
        <v>195.09007282410712</v>
      </c>
      <c r="AP138" s="797">
        <v>205.67481614357141</v>
      </c>
      <c r="AQ138" s="797">
        <v>216.25955946303569</v>
      </c>
      <c r="AR138" s="797">
        <v>226.84430278249997</v>
      </c>
      <c r="AS138" s="797">
        <v>237.42904610196425</v>
      </c>
      <c r="AT138" s="797">
        <v>248.01378942142853</v>
      </c>
      <c r="AU138" s="797">
        <v>258.59853274089278</v>
      </c>
      <c r="AV138" s="797">
        <v>269.18327606035706</v>
      </c>
      <c r="AW138" s="797">
        <v>279.76801937982134</v>
      </c>
      <c r="AX138" s="797">
        <v>290.35276269928562</v>
      </c>
      <c r="AY138" s="797">
        <v>300.9375060187499</v>
      </c>
      <c r="AZ138" s="797">
        <v>311.52224933821418</v>
      </c>
      <c r="BA138" s="797">
        <v>322.10699265767846</v>
      </c>
    </row>
    <row r="139" spans="1:53">
      <c r="A139" s="1912"/>
      <c r="B139" s="799">
        <v>1.6</v>
      </c>
      <c r="C139" s="796">
        <f>(AD139*KFC!$B$35+KFC!$C$35)*KFC!$C$5</f>
        <v>80.373685818000027</v>
      </c>
      <c r="D139" s="796">
        <f>(AE139*KFC!$B$35+KFC!$C$35)*KFC!$C$5</f>
        <v>91.38729819366074</v>
      </c>
      <c r="E139" s="796">
        <f>(AF139*KFC!$B$35+KFC!$C$35)*KFC!$C$5</f>
        <v>102.40091056932145</v>
      </c>
      <c r="F139" s="796">
        <f>(AG139*KFC!$B$35+KFC!$C$35)*KFC!$C$5</f>
        <v>113.41452294498217</v>
      </c>
      <c r="G139" s="796">
        <f>(AH139*KFC!$B$35+KFC!$C$35)*KFC!$C$5</f>
        <v>124.42813532064288</v>
      </c>
      <c r="H139" s="796">
        <f>(AI139*KFC!$B$35+KFC!$C$35)*KFC!$C$5</f>
        <v>135.44174769630359</v>
      </c>
      <c r="I139" s="796">
        <f>(AJ139*KFC!$B$35+KFC!$C$35)*KFC!$C$5</f>
        <v>146.45536007196432</v>
      </c>
      <c r="J139" s="796">
        <f>(AK139*KFC!$B$35+KFC!$C$35)*KFC!$C$5</f>
        <v>157.46897244762502</v>
      </c>
      <c r="K139" s="796">
        <f>(AL139*KFC!$B$35+KFC!$C$35)*KFC!$C$5</f>
        <v>168.48258482328572</v>
      </c>
      <c r="L139" s="796">
        <f>(AM139*KFC!$B$35+KFC!$C$35)*KFC!$C$5</f>
        <v>179.49619719894645</v>
      </c>
      <c r="M139" s="796">
        <f>(AN139*KFC!$B$35+KFC!$C$35)*KFC!$C$5</f>
        <v>190.50980957460717</v>
      </c>
      <c r="N139" s="796">
        <f>(AO139*KFC!$B$35+KFC!$C$35)*KFC!$C$5</f>
        <v>201.52342195026787</v>
      </c>
      <c r="O139" s="796">
        <f>(AP139*KFC!$B$35+KFC!$C$35)*KFC!$C$5</f>
        <v>212.5370343259286</v>
      </c>
      <c r="P139" s="796">
        <f>(AQ139*KFC!$B$35+KFC!$C$35)*KFC!$C$5</f>
        <v>223.5506467015893</v>
      </c>
      <c r="Q139" s="796">
        <f>(AR139*KFC!$B$35+KFC!$C$35)*KFC!$C$5</f>
        <v>234.56425907725003</v>
      </c>
      <c r="R139" s="796">
        <f>(AS139*KFC!$B$35+KFC!$C$35)*KFC!$C$5</f>
        <v>245.57787145291076</v>
      </c>
      <c r="S139" s="796">
        <f>(AT139*KFC!$B$35+KFC!$C$35)*KFC!$C$5</f>
        <v>256.59148382857148</v>
      </c>
      <c r="T139" s="796">
        <f>(AU139*KFC!$B$35+KFC!$C$35)*KFC!$C$5</f>
        <v>267.60509620423215</v>
      </c>
      <c r="U139" s="796">
        <f>(AV139*KFC!$B$35+KFC!$C$35)*KFC!$C$5</f>
        <v>278.61870857989288</v>
      </c>
      <c r="V139" s="796">
        <f>(AW139*KFC!$B$35+KFC!$C$35)*KFC!$C$5</f>
        <v>289.63232095555361</v>
      </c>
      <c r="W139" s="796">
        <f>(AX139*KFC!$B$35+KFC!$C$35)*KFC!$C$5</f>
        <v>300.64593333121434</v>
      </c>
      <c r="X139" s="796">
        <f>(AY139*KFC!$B$35+KFC!$C$35)*KFC!$C$5</f>
        <v>311.65954570687506</v>
      </c>
      <c r="Y139" s="796">
        <f>(AZ139*KFC!$B$35+KFC!$C$35)*KFC!$C$5</f>
        <v>322.67315808253574</v>
      </c>
      <c r="Z139" s="814">
        <f>(BA139*KFC!$B$35+KFC!$C$35)*KFC!$C$5</f>
        <v>333.68677045819646</v>
      </c>
      <c r="AB139" s="1912"/>
      <c r="AC139" s="799">
        <v>1.6</v>
      </c>
      <c r="AD139" s="797">
        <v>80.373685818000027</v>
      </c>
      <c r="AE139" s="797">
        <v>91.38729819366074</v>
      </c>
      <c r="AF139" s="797">
        <v>102.40091056932145</v>
      </c>
      <c r="AG139" s="797">
        <v>113.41452294498217</v>
      </c>
      <c r="AH139" s="797">
        <v>124.42813532064288</v>
      </c>
      <c r="AI139" s="797">
        <v>135.44174769630359</v>
      </c>
      <c r="AJ139" s="797">
        <v>146.45536007196432</v>
      </c>
      <c r="AK139" s="797">
        <v>157.46897244762502</v>
      </c>
      <c r="AL139" s="797">
        <v>168.48258482328572</v>
      </c>
      <c r="AM139" s="797">
        <v>179.49619719894645</v>
      </c>
      <c r="AN139" s="797">
        <v>190.50980957460717</v>
      </c>
      <c r="AO139" s="797">
        <v>201.52342195026787</v>
      </c>
      <c r="AP139" s="797">
        <v>212.5370343259286</v>
      </c>
      <c r="AQ139" s="797">
        <v>223.5506467015893</v>
      </c>
      <c r="AR139" s="797">
        <v>234.56425907725003</v>
      </c>
      <c r="AS139" s="797">
        <v>245.57787145291076</v>
      </c>
      <c r="AT139" s="797">
        <v>256.59148382857148</v>
      </c>
      <c r="AU139" s="797">
        <v>267.60509620423215</v>
      </c>
      <c r="AV139" s="797">
        <v>278.61870857989288</v>
      </c>
      <c r="AW139" s="797">
        <v>289.63232095555361</v>
      </c>
      <c r="AX139" s="797">
        <v>300.64593333121434</v>
      </c>
      <c r="AY139" s="797">
        <v>311.65954570687506</v>
      </c>
      <c r="AZ139" s="797">
        <v>322.67315808253574</v>
      </c>
      <c r="BA139" s="797">
        <v>333.68677045819646</v>
      </c>
    </row>
    <row r="140" spans="1:53">
      <c r="A140" s="1912"/>
      <c r="B140" s="799">
        <v>1.7</v>
      </c>
      <c r="C140" s="796">
        <f>(AD140*KFC!$B$35+KFC!$C$35)*KFC!$C$5</f>
        <v>82.089475326000027</v>
      </c>
      <c r="D140" s="796">
        <f>(AE140*KFC!$B$35+KFC!$C$35)*KFC!$C$5</f>
        <v>93.531956757857174</v>
      </c>
      <c r="E140" s="796">
        <f>(AF140*KFC!$B$35+KFC!$C$35)*KFC!$C$5</f>
        <v>104.97443818971431</v>
      </c>
      <c r="F140" s="796">
        <f>(AG140*KFC!$B$35+KFC!$C$35)*KFC!$C$5</f>
        <v>116.41691962157144</v>
      </c>
      <c r="G140" s="796">
        <f>(AH140*KFC!$B$35+KFC!$C$35)*KFC!$C$5</f>
        <v>127.85940105342857</v>
      </c>
      <c r="H140" s="796">
        <f>(AI140*KFC!$B$35+KFC!$C$35)*KFC!$C$5</f>
        <v>139.30188248528572</v>
      </c>
      <c r="I140" s="796">
        <f>(AJ140*KFC!$B$35+KFC!$C$35)*KFC!$C$5</f>
        <v>150.74436391714283</v>
      </c>
      <c r="J140" s="796">
        <f>(AK140*KFC!$B$35+KFC!$C$35)*KFC!$C$5</f>
        <v>162.18684534899998</v>
      </c>
      <c r="K140" s="796">
        <f>(AL140*KFC!$B$35+KFC!$C$35)*KFC!$C$5</f>
        <v>173.6293267808571</v>
      </c>
      <c r="L140" s="796">
        <f>(AM140*KFC!$B$35+KFC!$C$35)*KFC!$C$5</f>
        <v>185.07180821271427</v>
      </c>
      <c r="M140" s="796">
        <f>(AN140*KFC!$B$35+KFC!$C$35)*KFC!$C$5</f>
        <v>196.51428964457142</v>
      </c>
      <c r="N140" s="796">
        <f>(AO140*KFC!$B$35+KFC!$C$35)*KFC!$C$5</f>
        <v>207.95677107642857</v>
      </c>
      <c r="O140" s="796">
        <f>(AP140*KFC!$B$35+KFC!$C$35)*KFC!$C$5</f>
        <v>219.39925250828571</v>
      </c>
      <c r="P140" s="796">
        <f>(AQ140*KFC!$B$35+KFC!$C$35)*KFC!$C$5</f>
        <v>230.84173394014286</v>
      </c>
      <c r="Q140" s="796">
        <f>(AR140*KFC!$B$35+KFC!$C$35)*KFC!$C$5</f>
        <v>242.28421537200003</v>
      </c>
      <c r="R140" s="796">
        <f>(AS140*KFC!$B$35+KFC!$C$35)*KFC!$C$5</f>
        <v>253.72669680385718</v>
      </c>
      <c r="S140" s="796">
        <f>(AT140*KFC!$B$35+KFC!$C$35)*KFC!$C$5</f>
        <v>265.1691782357143</v>
      </c>
      <c r="T140" s="796">
        <f>(AU140*KFC!$B$35+KFC!$C$35)*KFC!$C$5</f>
        <v>276.61165966757147</v>
      </c>
      <c r="U140" s="796">
        <f>(AV140*KFC!$B$35+KFC!$C$35)*KFC!$C$5</f>
        <v>288.05414109942865</v>
      </c>
      <c r="V140" s="796">
        <f>(AW140*KFC!$B$35+KFC!$C$35)*KFC!$C$5</f>
        <v>299.49662253128577</v>
      </c>
      <c r="W140" s="796">
        <f>(AX140*KFC!$B$35+KFC!$C$35)*KFC!$C$5</f>
        <v>310.93910396314294</v>
      </c>
      <c r="X140" s="796">
        <f>(AY140*KFC!$B$35+KFC!$C$35)*KFC!$C$5</f>
        <v>322.38158539500006</v>
      </c>
      <c r="Y140" s="796">
        <f>(AZ140*KFC!$B$35+KFC!$C$35)*KFC!$C$5</f>
        <v>333.82406682685723</v>
      </c>
      <c r="Z140" s="814">
        <f>(BA140*KFC!$B$35+KFC!$C$35)*KFC!$C$5</f>
        <v>345.26654825871435</v>
      </c>
      <c r="AB140" s="1912"/>
      <c r="AC140" s="799">
        <v>1.7</v>
      </c>
      <c r="AD140" s="797">
        <v>82.089475326000027</v>
      </c>
      <c r="AE140" s="797">
        <v>93.531956757857174</v>
      </c>
      <c r="AF140" s="797">
        <v>104.97443818971431</v>
      </c>
      <c r="AG140" s="797">
        <v>116.41691962157144</v>
      </c>
      <c r="AH140" s="797">
        <v>127.85940105342857</v>
      </c>
      <c r="AI140" s="797">
        <v>139.30188248528572</v>
      </c>
      <c r="AJ140" s="797">
        <v>150.74436391714283</v>
      </c>
      <c r="AK140" s="797">
        <v>162.18684534899998</v>
      </c>
      <c r="AL140" s="797">
        <v>173.6293267808571</v>
      </c>
      <c r="AM140" s="797">
        <v>185.07180821271427</v>
      </c>
      <c r="AN140" s="797">
        <v>196.51428964457142</v>
      </c>
      <c r="AO140" s="797">
        <v>207.95677107642857</v>
      </c>
      <c r="AP140" s="797">
        <v>219.39925250828571</v>
      </c>
      <c r="AQ140" s="797">
        <v>230.84173394014286</v>
      </c>
      <c r="AR140" s="797">
        <v>242.28421537200003</v>
      </c>
      <c r="AS140" s="797">
        <v>253.72669680385718</v>
      </c>
      <c r="AT140" s="797">
        <v>265.1691782357143</v>
      </c>
      <c r="AU140" s="797">
        <v>276.61165966757147</v>
      </c>
      <c r="AV140" s="797">
        <v>288.05414109942865</v>
      </c>
      <c r="AW140" s="797">
        <v>299.49662253128577</v>
      </c>
      <c r="AX140" s="797">
        <v>310.93910396314294</v>
      </c>
      <c r="AY140" s="797">
        <v>322.38158539500006</v>
      </c>
      <c r="AZ140" s="797">
        <v>333.82406682685723</v>
      </c>
      <c r="BA140" s="797">
        <v>345.26654825871435</v>
      </c>
    </row>
    <row r="141" spans="1:53">
      <c r="A141" s="1912"/>
      <c r="B141" s="799">
        <v>1.8</v>
      </c>
      <c r="C141" s="796">
        <f>(AD141*KFC!$B$35+KFC!$C$35)*KFC!$C$5</f>
        <v>83.805264834000027</v>
      </c>
      <c r="D141" s="796">
        <f>(AE141*KFC!$B$35+KFC!$C$35)*KFC!$C$5</f>
        <v>95.676615322053593</v>
      </c>
      <c r="E141" s="796">
        <f>(AF141*KFC!$B$35+KFC!$C$35)*KFC!$C$5</f>
        <v>107.54796581010716</v>
      </c>
      <c r="F141" s="796">
        <f>(AG141*KFC!$B$35+KFC!$C$35)*KFC!$C$5</f>
        <v>119.41931629816074</v>
      </c>
      <c r="G141" s="796">
        <f>(AH141*KFC!$B$35+KFC!$C$35)*KFC!$C$5</f>
        <v>131.2906667862143</v>
      </c>
      <c r="H141" s="796">
        <f>(AI141*KFC!$B$35+KFC!$C$35)*KFC!$C$5</f>
        <v>143.16201727426787</v>
      </c>
      <c r="I141" s="796">
        <f>(AJ141*KFC!$B$35+KFC!$C$35)*KFC!$C$5</f>
        <v>155.03336776232143</v>
      </c>
      <c r="J141" s="796">
        <f>(AK141*KFC!$B$35+KFC!$C$35)*KFC!$C$5</f>
        <v>166.904718250375</v>
      </c>
      <c r="K141" s="796">
        <f>(AL141*KFC!$B$35+KFC!$C$35)*KFC!$C$5</f>
        <v>178.77606873842856</v>
      </c>
      <c r="L141" s="796">
        <f>(AM141*KFC!$B$35+KFC!$C$35)*KFC!$C$5</f>
        <v>190.6474192264821</v>
      </c>
      <c r="M141" s="796">
        <f>(AN141*KFC!$B$35+KFC!$C$35)*KFC!$C$5</f>
        <v>202.51876971453567</v>
      </c>
      <c r="N141" s="796">
        <f>(AO141*KFC!$B$35+KFC!$C$35)*KFC!$C$5</f>
        <v>214.3901202025892</v>
      </c>
      <c r="O141" s="796">
        <f>(AP141*KFC!$B$35+KFC!$C$35)*KFC!$C$5</f>
        <v>226.26147069064277</v>
      </c>
      <c r="P141" s="796">
        <f>(AQ141*KFC!$B$35+KFC!$C$35)*KFC!$C$5</f>
        <v>238.1328211786963</v>
      </c>
      <c r="Q141" s="796">
        <f>(AR141*KFC!$B$35+KFC!$C$35)*KFC!$C$5</f>
        <v>250.00417166674987</v>
      </c>
      <c r="R141" s="796">
        <f>(AS141*KFC!$B$35+KFC!$C$35)*KFC!$C$5</f>
        <v>261.87552215480343</v>
      </c>
      <c r="S141" s="796">
        <f>(AT141*KFC!$B$35+KFC!$C$35)*KFC!$C$5</f>
        <v>273.74687264285694</v>
      </c>
      <c r="T141" s="796">
        <f>(AU141*KFC!$B$35+KFC!$C$35)*KFC!$C$5</f>
        <v>285.61822313091051</v>
      </c>
      <c r="U141" s="796">
        <f>(AV141*KFC!$B$35+KFC!$C$35)*KFC!$C$5</f>
        <v>297.48957361896407</v>
      </c>
      <c r="V141" s="796">
        <f>(AW141*KFC!$B$35+KFC!$C$35)*KFC!$C$5</f>
        <v>309.36092410701764</v>
      </c>
      <c r="W141" s="796">
        <f>(AX141*KFC!$B$35+KFC!$C$35)*KFC!$C$5</f>
        <v>321.23227459507115</v>
      </c>
      <c r="X141" s="796">
        <f>(AY141*KFC!$B$35+KFC!$C$35)*KFC!$C$5</f>
        <v>333.10362508312471</v>
      </c>
      <c r="Y141" s="796">
        <f>(AZ141*KFC!$B$35+KFC!$C$35)*KFC!$C$5</f>
        <v>344.97497557117828</v>
      </c>
      <c r="Z141" s="814">
        <f>(BA141*KFC!$B$35+KFC!$C$35)*KFC!$C$5</f>
        <v>356.84632605923184</v>
      </c>
      <c r="AB141" s="1912"/>
      <c r="AC141" s="799">
        <v>1.8</v>
      </c>
      <c r="AD141" s="797">
        <v>83.805264834000027</v>
      </c>
      <c r="AE141" s="797">
        <v>95.676615322053593</v>
      </c>
      <c r="AF141" s="797">
        <v>107.54796581010716</v>
      </c>
      <c r="AG141" s="797">
        <v>119.41931629816074</v>
      </c>
      <c r="AH141" s="797">
        <v>131.2906667862143</v>
      </c>
      <c r="AI141" s="797">
        <v>143.16201727426787</v>
      </c>
      <c r="AJ141" s="797">
        <v>155.03336776232143</v>
      </c>
      <c r="AK141" s="797">
        <v>166.904718250375</v>
      </c>
      <c r="AL141" s="797">
        <v>178.77606873842856</v>
      </c>
      <c r="AM141" s="797">
        <v>190.6474192264821</v>
      </c>
      <c r="AN141" s="797">
        <v>202.51876971453567</v>
      </c>
      <c r="AO141" s="797">
        <v>214.3901202025892</v>
      </c>
      <c r="AP141" s="797">
        <v>226.26147069064277</v>
      </c>
      <c r="AQ141" s="797">
        <v>238.1328211786963</v>
      </c>
      <c r="AR141" s="797">
        <v>250.00417166674987</v>
      </c>
      <c r="AS141" s="797">
        <v>261.87552215480343</v>
      </c>
      <c r="AT141" s="797">
        <v>273.74687264285694</v>
      </c>
      <c r="AU141" s="797">
        <v>285.61822313091051</v>
      </c>
      <c r="AV141" s="797">
        <v>297.48957361896407</v>
      </c>
      <c r="AW141" s="797">
        <v>309.36092410701764</v>
      </c>
      <c r="AX141" s="797">
        <v>321.23227459507115</v>
      </c>
      <c r="AY141" s="797">
        <v>333.10362508312471</v>
      </c>
      <c r="AZ141" s="797">
        <v>344.97497557117828</v>
      </c>
      <c r="BA141" s="797">
        <v>356.84632605923184</v>
      </c>
    </row>
    <row r="142" spans="1:53">
      <c r="A142" s="1912"/>
      <c r="B142" s="799">
        <v>1.9</v>
      </c>
      <c r="C142" s="796">
        <f>(AD142*KFC!$B$35+KFC!$C$35)*KFC!$C$5</f>
        <v>85.521054342000028</v>
      </c>
      <c r="D142" s="796">
        <f>(AE142*KFC!$B$35+KFC!$C$35)*KFC!$C$5</f>
        <v>97.821273886250026</v>
      </c>
      <c r="E142" s="796">
        <f>(AF142*KFC!$B$35+KFC!$C$35)*KFC!$C$5</f>
        <v>110.12149343050002</v>
      </c>
      <c r="F142" s="796">
        <f>(AG142*KFC!$B$35+KFC!$C$35)*KFC!$C$5</f>
        <v>122.42171297475001</v>
      </c>
      <c r="G142" s="796">
        <f>(AH142*KFC!$B$35+KFC!$C$35)*KFC!$C$5</f>
        <v>134.72193251900001</v>
      </c>
      <c r="H142" s="796">
        <f>(AI142*KFC!$B$35+KFC!$C$35)*KFC!$C$5</f>
        <v>147.02215206324999</v>
      </c>
      <c r="I142" s="796">
        <f>(AJ142*KFC!$B$35+KFC!$C$35)*KFC!$C$5</f>
        <v>159.32237160749997</v>
      </c>
      <c r="J142" s="796">
        <f>(AK142*KFC!$B$35+KFC!$C$35)*KFC!$C$5</f>
        <v>171.62259115174996</v>
      </c>
      <c r="K142" s="796">
        <f>(AL142*KFC!$B$35+KFC!$C$35)*KFC!$C$5</f>
        <v>183.92281069599994</v>
      </c>
      <c r="L142" s="796">
        <f>(AM142*KFC!$B$35+KFC!$C$35)*KFC!$C$5</f>
        <v>196.22303024024993</v>
      </c>
      <c r="M142" s="796">
        <f>(AN142*KFC!$B$35+KFC!$C$35)*KFC!$C$5</f>
        <v>208.52324978449991</v>
      </c>
      <c r="N142" s="796">
        <f>(AO142*KFC!$B$35+KFC!$C$35)*KFC!$C$5</f>
        <v>220.82346932874989</v>
      </c>
      <c r="O142" s="796">
        <f>(AP142*KFC!$B$35+KFC!$C$35)*KFC!$C$5</f>
        <v>233.12368887299988</v>
      </c>
      <c r="P142" s="796">
        <f>(AQ142*KFC!$B$35+KFC!$C$35)*KFC!$C$5</f>
        <v>245.42390841724986</v>
      </c>
      <c r="Q142" s="796">
        <f>(AR142*KFC!$B$35+KFC!$C$35)*KFC!$C$5</f>
        <v>257.72412796149985</v>
      </c>
      <c r="R142" s="796">
        <f>(AS142*KFC!$B$35+KFC!$C$35)*KFC!$C$5</f>
        <v>270.02434750574986</v>
      </c>
      <c r="S142" s="796">
        <f>(AT142*KFC!$B$35+KFC!$C$35)*KFC!$C$5</f>
        <v>282.32456704999981</v>
      </c>
      <c r="T142" s="796">
        <f>(AU142*KFC!$B$35+KFC!$C$35)*KFC!$C$5</f>
        <v>294.62478659424983</v>
      </c>
      <c r="U142" s="796">
        <f>(AV142*KFC!$B$35+KFC!$C$35)*KFC!$C$5</f>
        <v>306.92500613849978</v>
      </c>
      <c r="V142" s="796">
        <f>(AW142*KFC!$B$35+KFC!$C$35)*KFC!$C$5</f>
        <v>319.22522568274979</v>
      </c>
      <c r="W142" s="796">
        <f>(AX142*KFC!$B$35+KFC!$C$35)*KFC!$C$5</f>
        <v>331.52544522699981</v>
      </c>
      <c r="X142" s="796">
        <f>(AY142*KFC!$B$35+KFC!$C$35)*KFC!$C$5</f>
        <v>343.82566477124976</v>
      </c>
      <c r="Y142" s="796">
        <f>(AZ142*KFC!$B$35+KFC!$C$35)*KFC!$C$5</f>
        <v>356.12588431549977</v>
      </c>
      <c r="Z142" s="814">
        <f>(BA142*KFC!$B$35+KFC!$C$35)*KFC!$C$5</f>
        <v>368.42610385974973</v>
      </c>
      <c r="AB142" s="1912"/>
      <c r="AC142" s="799">
        <v>1.9</v>
      </c>
      <c r="AD142" s="797">
        <v>85.521054342000028</v>
      </c>
      <c r="AE142" s="797">
        <v>97.821273886250026</v>
      </c>
      <c r="AF142" s="797">
        <v>110.12149343050002</v>
      </c>
      <c r="AG142" s="797">
        <v>122.42171297475001</v>
      </c>
      <c r="AH142" s="797">
        <v>134.72193251900001</v>
      </c>
      <c r="AI142" s="797">
        <v>147.02215206324999</v>
      </c>
      <c r="AJ142" s="797">
        <v>159.32237160749997</v>
      </c>
      <c r="AK142" s="797">
        <v>171.62259115174996</v>
      </c>
      <c r="AL142" s="797">
        <v>183.92281069599994</v>
      </c>
      <c r="AM142" s="797">
        <v>196.22303024024993</v>
      </c>
      <c r="AN142" s="797">
        <v>208.52324978449991</v>
      </c>
      <c r="AO142" s="797">
        <v>220.82346932874989</v>
      </c>
      <c r="AP142" s="797">
        <v>233.12368887299988</v>
      </c>
      <c r="AQ142" s="797">
        <v>245.42390841724986</v>
      </c>
      <c r="AR142" s="797">
        <v>257.72412796149985</v>
      </c>
      <c r="AS142" s="797">
        <v>270.02434750574986</v>
      </c>
      <c r="AT142" s="797">
        <v>282.32456704999981</v>
      </c>
      <c r="AU142" s="797">
        <v>294.62478659424983</v>
      </c>
      <c r="AV142" s="797">
        <v>306.92500613849978</v>
      </c>
      <c r="AW142" s="797">
        <v>319.22522568274979</v>
      </c>
      <c r="AX142" s="797">
        <v>331.52544522699981</v>
      </c>
      <c r="AY142" s="797">
        <v>343.82566477124976</v>
      </c>
      <c r="AZ142" s="797">
        <v>356.12588431549977</v>
      </c>
      <c r="BA142" s="797">
        <v>368.42610385974973</v>
      </c>
    </row>
    <row r="143" spans="1:53">
      <c r="A143" s="1912"/>
      <c r="B143" s="799">
        <v>2</v>
      </c>
      <c r="C143" s="796">
        <f>(AD143*KFC!$B$35+KFC!$C$35)*KFC!$C$5</f>
        <v>87.236843850000028</v>
      </c>
      <c r="D143" s="796">
        <f>(AE143*KFC!$B$35+KFC!$C$35)*KFC!$C$5</f>
        <v>99.965932450446459</v>
      </c>
      <c r="E143" s="796">
        <f>(AF143*KFC!$B$35+KFC!$C$35)*KFC!$C$5</f>
        <v>112.69502105089288</v>
      </c>
      <c r="F143" s="796">
        <f>(AG143*KFC!$B$35+KFC!$C$35)*KFC!$C$5</f>
        <v>125.42410965133929</v>
      </c>
      <c r="G143" s="796">
        <f>(AH143*KFC!$B$35+KFC!$C$35)*KFC!$C$5</f>
        <v>138.15319825178571</v>
      </c>
      <c r="H143" s="796">
        <f>(AI143*KFC!$B$35+KFC!$C$35)*KFC!$C$5</f>
        <v>150.88228685223214</v>
      </c>
      <c r="I143" s="796">
        <f>(AJ143*KFC!$B$35+KFC!$C$35)*KFC!$C$5</f>
        <v>163.61137545267857</v>
      </c>
      <c r="J143" s="796">
        <f>(AK143*KFC!$B$35+KFC!$C$35)*KFC!$C$5</f>
        <v>176.340464053125</v>
      </c>
      <c r="K143" s="796">
        <f>(AL143*KFC!$B$35+KFC!$C$35)*KFC!$C$5</f>
        <v>189.06955265357144</v>
      </c>
      <c r="L143" s="796">
        <f>(AM143*KFC!$B$35+KFC!$C$35)*KFC!$C$5</f>
        <v>201.79864125401787</v>
      </c>
      <c r="M143" s="796">
        <f>(AN143*KFC!$B$35+KFC!$C$35)*KFC!$C$5</f>
        <v>214.52772985446427</v>
      </c>
      <c r="N143" s="796">
        <f>(AO143*KFC!$B$35+KFC!$C$35)*KFC!$C$5</f>
        <v>227.2568184549107</v>
      </c>
      <c r="O143" s="796">
        <f>(AP143*KFC!$B$35+KFC!$C$35)*KFC!$C$5</f>
        <v>239.98590705535713</v>
      </c>
      <c r="P143" s="796">
        <f>(AQ143*KFC!$B$35+KFC!$C$35)*KFC!$C$5</f>
        <v>252.71499565580353</v>
      </c>
      <c r="Q143" s="796">
        <f>(AR143*KFC!$B$35+KFC!$C$35)*KFC!$C$5</f>
        <v>265.44408425624999</v>
      </c>
      <c r="R143" s="796">
        <f>(AS143*KFC!$B$35+KFC!$C$35)*KFC!$C$5</f>
        <v>278.1731728566964</v>
      </c>
      <c r="S143" s="796">
        <f>(AT143*KFC!$B$35+KFC!$C$35)*KFC!$C$5</f>
        <v>290.9022614571428</v>
      </c>
      <c r="T143" s="796">
        <f>(AU143*KFC!$B$35+KFC!$C$35)*KFC!$C$5</f>
        <v>303.63135005758926</v>
      </c>
      <c r="U143" s="796">
        <f>(AV143*KFC!$B$35+KFC!$C$35)*KFC!$C$5</f>
        <v>316.36043865803566</v>
      </c>
      <c r="V143" s="796">
        <f>(AW143*KFC!$B$35+KFC!$C$35)*KFC!$C$5</f>
        <v>329.08952725848206</v>
      </c>
      <c r="W143" s="796">
        <f>(AX143*KFC!$B$35+KFC!$C$35)*KFC!$C$5</f>
        <v>341.81861585892852</v>
      </c>
      <c r="X143" s="796">
        <f>(AY143*KFC!$B$35+KFC!$C$35)*KFC!$C$5</f>
        <v>354.54770445937498</v>
      </c>
      <c r="Y143" s="796">
        <f>(AZ143*KFC!$B$35+KFC!$C$35)*KFC!$C$5</f>
        <v>367.27679305982144</v>
      </c>
      <c r="Z143" s="814">
        <f>(BA143*KFC!$B$35+KFC!$C$35)*KFC!$C$5</f>
        <v>380.0058816602679</v>
      </c>
      <c r="AB143" s="1912"/>
      <c r="AC143" s="799">
        <v>2</v>
      </c>
      <c r="AD143" s="797">
        <v>87.236843850000028</v>
      </c>
      <c r="AE143" s="797">
        <v>99.965932450446459</v>
      </c>
      <c r="AF143" s="797">
        <v>112.69502105089288</v>
      </c>
      <c r="AG143" s="797">
        <v>125.42410965133929</v>
      </c>
      <c r="AH143" s="797">
        <v>138.15319825178571</v>
      </c>
      <c r="AI143" s="797">
        <v>150.88228685223214</v>
      </c>
      <c r="AJ143" s="797">
        <v>163.61137545267857</v>
      </c>
      <c r="AK143" s="797">
        <v>176.340464053125</v>
      </c>
      <c r="AL143" s="797">
        <v>189.06955265357144</v>
      </c>
      <c r="AM143" s="797">
        <v>201.79864125401787</v>
      </c>
      <c r="AN143" s="797">
        <v>214.52772985446427</v>
      </c>
      <c r="AO143" s="797">
        <v>227.2568184549107</v>
      </c>
      <c r="AP143" s="797">
        <v>239.98590705535713</v>
      </c>
      <c r="AQ143" s="797">
        <v>252.71499565580353</v>
      </c>
      <c r="AR143" s="797">
        <v>265.44408425624999</v>
      </c>
      <c r="AS143" s="797">
        <v>278.1731728566964</v>
      </c>
      <c r="AT143" s="797">
        <v>290.9022614571428</v>
      </c>
      <c r="AU143" s="797">
        <v>303.63135005758926</v>
      </c>
      <c r="AV143" s="797">
        <v>316.36043865803566</v>
      </c>
      <c r="AW143" s="797">
        <v>329.08952725848206</v>
      </c>
      <c r="AX143" s="797">
        <v>341.81861585892852</v>
      </c>
      <c r="AY143" s="797">
        <v>354.54770445937498</v>
      </c>
      <c r="AZ143" s="797">
        <v>367.27679305982144</v>
      </c>
      <c r="BA143" s="797">
        <v>380.0058816602679</v>
      </c>
    </row>
    <row r="144" spans="1:53">
      <c r="A144" s="1912"/>
      <c r="B144" s="799">
        <v>2.1</v>
      </c>
      <c r="C144" s="796">
        <f>(AD144*KFC!$B$35+KFC!$C$35)*KFC!$C$5</f>
        <v>88.952633358000028</v>
      </c>
      <c r="D144" s="796">
        <f>(AE144*KFC!$B$35+KFC!$C$35)*KFC!$C$5</f>
        <v>102.11059101464289</v>
      </c>
      <c r="E144" s="796">
        <f>(AF144*KFC!$B$35+KFC!$C$35)*KFC!$C$5</f>
        <v>115.26854867128576</v>
      </c>
      <c r="F144" s="796">
        <f>(AG144*KFC!$B$35+KFC!$C$35)*KFC!$C$5</f>
        <v>128.42650632792862</v>
      </c>
      <c r="G144" s="796">
        <f>(AH144*KFC!$B$35+KFC!$C$35)*KFC!$C$5</f>
        <v>141.58446398457147</v>
      </c>
      <c r="H144" s="796">
        <f>(AI144*KFC!$B$35+KFC!$C$35)*KFC!$C$5</f>
        <v>154.74242164121432</v>
      </c>
      <c r="I144" s="796">
        <f>(AJ144*KFC!$B$35+KFC!$C$35)*KFC!$C$5</f>
        <v>167.90037929785717</v>
      </c>
      <c r="J144" s="796">
        <f>(AK144*KFC!$B$35+KFC!$C$35)*KFC!$C$5</f>
        <v>181.05833695450002</v>
      </c>
      <c r="K144" s="796">
        <f>(AL144*KFC!$B$35+KFC!$C$35)*KFC!$C$5</f>
        <v>194.21629461114287</v>
      </c>
      <c r="L144" s="796">
        <f>(AM144*KFC!$B$35+KFC!$C$35)*KFC!$C$5</f>
        <v>207.37425226778575</v>
      </c>
      <c r="M144" s="796">
        <f>(AN144*KFC!$B$35+KFC!$C$35)*KFC!$C$5</f>
        <v>220.5322099244286</v>
      </c>
      <c r="N144" s="796">
        <f>(AO144*KFC!$B$35+KFC!$C$35)*KFC!$C$5</f>
        <v>233.69016758107145</v>
      </c>
      <c r="O144" s="796">
        <f>(AP144*KFC!$B$35+KFC!$C$35)*KFC!$C$5</f>
        <v>246.84812523771433</v>
      </c>
      <c r="P144" s="796">
        <f>(AQ144*KFC!$B$35+KFC!$C$35)*KFC!$C$5</f>
        <v>260.00608289435718</v>
      </c>
      <c r="Q144" s="796">
        <f>(AR144*KFC!$B$35+KFC!$C$35)*KFC!$C$5</f>
        <v>273.16404055100003</v>
      </c>
      <c r="R144" s="796">
        <f>(AS144*KFC!$B$35+KFC!$C$35)*KFC!$C$5</f>
        <v>286.32199820764288</v>
      </c>
      <c r="S144" s="796">
        <f>(AT144*KFC!$B$35+KFC!$C$35)*KFC!$C$5</f>
        <v>299.47995586428573</v>
      </c>
      <c r="T144" s="796">
        <f>(AU144*KFC!$B$35+KFC!$C$35)*KFC!$C$5</f>
        <v>312.63791352092863</v>
      </c>
      <c r="U144" s="796">
        <f>(AV144*KFC!$B$35+KFC!$C$35)*KFC!$C$5</f>
        <v>325.79587117757148</v>
      </c>
      <c r="V144" s="796">
        <f>(AW144*KFC!$B$35+KFC!$C$35)*KFC!$C$5</f>
        <v>338.95382883421428</v>
      </c>
      <c r="W144" s="796">
        <f>(AX144*KFC!$B$35+KFC!$C$35)*KFC!$C$5</f>
        <v>352.11178649085713</v>
      </c>
      <c r="X144" s="796">
        <f>(AY144*KFC!$B$35+KFC!$C$35)*KFC!$C$5</f>
        <v>365.26974414750003</v>
      </c>
      <c r="Y144" s="796">
        <f>(AZ144*KFC!$B$35+KFC!$C$35)*KFC!$C$5</f>
        <v>378.42770180414288</v>
      </c>
      <c r="Z144" s="814">
        <f>(BA144*KFC!$B$35+KFC!$C$35)*KFC!$C$5</f>
        <v>391.58565946078573</v>
      </c>
      <c r="AB144" s="1912"/>
      <c r="AC144" s="799">
        <v>2.1</v>
      </c>
      <c r="AD144" s="797">
        <v>88.952633358000028</v>
      </c>
      <c r="AE144" s="797">
        <v>102.11059101464289</v>
      </c>
      <c r="AF144" s="797">
        <v>115.26854867128576</v>
      </c>
      <c r="AG144" s="797">
        <v>128.42650632792862</v>
      </c>
      <c r="AH144" s="797">
        <v>141.58446398457147</v>
      </c>
      <c r="AI144" s="797">
        <v>154.74242164121432</v>
      </c>
      <c r="AJ144" s="797">
        <v>167.90037929785717</v>
      </c>
      <c r="AK144" s="797">
        <v>181.05833695450002</v>
      </c>
      <c r="AL144" s="797">
        <v>194.21629461114287</v>
      </c>
      <c r="AM144" s="797">
        <v>207.37425226778575</v>
      </c>
      <c r="AN144" s="797">
        <v>220.5322099244286</v>
      </c>
      <c r="AO144" s="797">
        <v>233.69016758107145</v>
      </c>
      <c r="AP144" s="797">
        <v>246.84812523771433</v>
      </c>
      <c r="AQ144" s="797">
        <v>260.00608289435718</v>
      </c>
      <c r="AR144" s="797">
        <v>273.16404055100003</v>
      </c>
      <c r="AS144" s="797">
        <v>286.32199820764288</v>
      </c>
      <c r="AT144" s="797">
        <v>299.47995586428573</v>
      </c>
      <c r="AU144" s="797">
        <v>312.63791352092863</v>
      </c>
      <c r="AV144" s="797">
        <v>325.79587117757148</v>
      </c>
      <c r="AW144" s="797">
        <v>338.95382883421428</v>
      </c>
      <c r="AX144" s="797">
        <v>352.11178649085713</v>
      </c>
      <c r="AY144" s="797">
        <v>365.26974414750003</v>
      </c>
      <c r="AZ144" s="797">
        <v>378.42770180414288</v>
      </c>
      <c r="BA144" s="797">
        <v>391.58565946078573</v>
      </c>
    </row>
    <row r="145" spans="1:53">
      <c r="A145" s="1912"/>
      <c r="B145" s="799">
        <v>2.2000000000000002</v>
      </c>
      <c r="C145" s="796">
        <f>(AD145*KFC!$B$35+KFC!$C$35)*KFC!$C$5</f>
        <v>90.668422866000029</v>
      </c>
      <c r="D145" s="796">
        <f>(AE145*KFC!$B$35+KFC!$C$35)*KFC!$C$5</f>
        <v>104.25524957883931</v>
      </c>
      <c r="E145" s="796">
        <f>(AF145*KFC!$B$35+KFC!$C$35)*KFC!$C$5</f>
        <v>117.84207629167858</v>
      </c>
      <c r="F145" s="796">
        <f>(AG145*KFC!$B$35+KFC!$C$35)*KFC!$C$5</f>
        <v>131.42890300451785</v>
      </c>
      <c r="G145" s="796">
        <f>(AH145*KFC!$B$35+KFC!$C$35)*KFC!$C$5</f>
        <v>145.01572971735715</v>
      </c>
      <c r="H145" s="796">
        <f>(AI145*KFC!$B$35+KFC!$C$35)*KFC!$C$5</f>
        <v>158.60255643019642</v>
      </c>
      <c r="I145" s="796">
        <f>(AJ145*KFC!$B$35+KFC!$C$35)*KFC!$C$5</f>
        <v>172.18938314303571</v>
      </c>
      <c r="J145" s="796">
        <f>(AK145*KFC!$B$35+KFC!$C$35)*KFC!$C$5</f>
        <v>185.77620985587501</v>
      </c>
      <c r="K145" s="796">
        <f>(AL145*KFC!$B$35+KFC!$C$35)*KFC!$C$5</f>
        <v>199.36303656871431</v>
      </c>
      <c r="L145" s="796">
        <f>(AM145*KFC!$B$35+KFC!$C$35)*KFC!$C$5</f>
        <v>212.9498632815536</v>
      </c>
      <c r="M145" s="796">
        <f>(AN145*KFC!$B$35+KFC!$C$35)*KFC!$C$5</f>
        <v>226.5366899943929</v>
      </c>
      <c r="N145" s="796">
        <f>(AO145*KFC!$B$35+KFC!$C$35)*KFC!$C$5</f>
        <v>240.12351670723217</v>
      </c>
      <c r="O145" s="796">
        <f>(AP145*KFC!$B$35+KFC!$C$35)*KFC!$C$5</f>
        <v>253.71034342007147</v>
      </c>
      <c r="P145" s="796">
        <f>(AQ145*KFC!$B$35+KFC!$C$35)*KFC!$C$5</f>
        <v>267.29717013291076</v>
      </c>
      <c r="Q145" s="796">
        <f>(AR145*KFC!$B$35+KFC!$C$35)*KFC!$C$5</f>
        <v>280.88399684575006</v>
      </c>
      <c r="R145" s="796">
        <f>(AS145*KFC!$B$35+KFC!$C$35)*KFC!$C$5</f>
        <v>294.47082355858936</v>
      </c>
      <c r="S145" s="796">
        <f>(AT145*KFC!$B$35+KFC!$C$35)*KFC!$C$5</f>
        <v>308.05765027142866</v>
      </c>
      <c r="T145" s="796">
        <f>(AU145*KFC!$B$35+KFC!$C$35)*KFC!$C$5</f>
        <v>321.64447698426795</v>
      </c>
      <c r="U145" s="796">
        <f>(AV145*KFC!$B$35+KFC!$C$35)*KFC!$C$5</f>
        <v>335.23130369710725</v>
      </c>
      <c r="V145" s="796">
        <f>(AW145*KFC!$B$35+KFC!$C$35)*KFC!$C$5</f>
        <v>348.81813040994649</v>
      </c>
      <c r="W145" s="796">
        <f>(AX145*KFC!$B$35+KFC!$C$35)*KFC!$C$5</f>
        <v>362.40495712278579</v>
      </c>
      <c r="X145" s="796">
        <f>(AY145*KFC!$B$35+KFC!$C$35)*KFC!$C$5</f>
        <v>375.99178383562503</v>
      </c>
      <c r="Y145" s="796">
        <f>(AZ145*KFC!$B$35+KFC!$C$35)*KFC!$C$5</f>
        <v>389.57861054846427</v>
      </c>
      <c r="Z145" s="814">
        <f>(BA145*KFC!$B$35+KFC!$C$35)*KFC!$C$5</f>
        <v>403.16543726130351</v>
      </c>
      <c r="AB145" s="1912"/>
      <c r="AC145" s="799">
        <v>2.2000000000000002</v>
      </c>
      <c r="AD145" s="797">
        <v>90.668422866000029</v>
      </c>
      <c r="AE145" s="797">
        <v>104.25524957883931</v>
      </c>
      <c r="AF145" s="797">
        <v>117.84207629167858</v>
      </c>
      <c r="AG145" s="797">
        <v>131.42890300451785</v>
      </c>
      <c r="AH145" s="797">
        <v>145.01572971735715</v>
      </c>
      <c r="AI145" s="797">
        <v>158.60255643019642</v>
      </c>
      <c r="AJ145" s="797">
        <v>172.18938314303571</v>
      </c>
      <c r="AK145" s="797">
        <v>185.77620985587501</v>
      </c>
      <c r="AL145" s="797">
        <v>199.36303656871431</v>
      </c>
      <c r="AM145" s="797">
        <v>212.9498632815536</v>
      </c>
      <c r="AN145" s="797">
        <v>226.5366899943929</v>
      </c>
      <c r="AO145" s="797">
        <v>240.12351670723217</v>
      </c>
      <c r="AP145" s="797">
        <v>253.71034342007147</v>
      </c>
      <c r="AQ145" s="797">
        <v>267.29717013291076</v>
      </c>
      <c r="AR145" s="797">
        <v>280.88399684575006</v>
      </c>
      <c r="AS145" s="797">
        <v>294.47082355858936</v>
      </c>
      <c r="AT145" s="797">
        <v>308.05765027142866</v>
      </c>
      <c r="AU145" s="797">
        <v>321.64447698426795</v>
      </c>
      <c r="AV145" s="797">
        <v>335.23130369710725</v>
      </c>
      <c r="AW145" s="797">
        <v>348.81813040994649</v>
      </c>
      <c r="AX145" s="797">
        <v>362.40495712278579</v>
      </c>
      <c r="AY145" s="797">
        <v>375.99178383562503</v>
      </c>
      <c r="AZ145" s="797">
        <v>389.57861054846427</v>
      </c>
      <c r="BA145" s="797">
        <v>403.16543726130351</v>
      </c>
    </row>
    <row r="146" spans="1:53">
      <c r="A146" s="1912"/>
      <c r="B146" s="799">
        <v>2.2999999999999998</v>
      </c>
      <c r="C146" s="796">
        <f>(AD146*KFC!$B$35+KFC!$C$35)*KFC!$C$5</f>
        <v>92.384212374000043</v>
      </c>
      <c r="D146" s="796">
        <f>(AE146*KFC!$B$35+KFC!$C$35)*KFC!$C$5</f>
        <v>106.39990814303574</v>
      </c>
      <c r="E146" s="796">
        <f>(AF146*KFC!$B$35+KFC!$C$35)*KFC!$C$5</f>
        <v>120.41560391207146</v>
      </c>
      <c r="F146" s="796">
        <f>(AG146*KFC!$B$35+KFC!$C$35)*KFC!$C$5</f>
        <v>134.43129968110716</v>
      </c>
      <c r="G146" s="796">
        <f>(AH146*KFC!$B$35+KFC!$C$35)*KFC!$C$5</f>
        <v>148.44699545014288</v>
      </c>
      <c r="H146" s="796">
        <f>(AI146*KFC!$B$35+KFC!$C$35)*KFC!$C$5</f>
        <v>162.46269121917859</v>
      </c>
      <c r="I146" s="796">
        <f>(AJ146*KFC!$B$35+KFC!$C$35)*KFC!$C$5</f>
        <v>176.47838698821428</v>
      </c>
      <c r="J146" s="796">
        <f>(AK146*KFC!$B$35+KFC!$C$35)*KFC!$C$5</f>
        <v>190.49408275724997</v>
      </c>
      <c r="K146" s="796">
        <f>(AL146*KFC!$B$35+KFC!$C$35)*KFC!$C$5</f>
        <v>204.50977852628569</v>
      </c>
      <c r="L146" s="796">
        <f>(AM146*KFC!$B$35+KFC!$C$35)*KFC!$C$5</f>
        <v>218.52547429532137</v>
      </c>
      <c r="M146" s="796">
        <f>(AN146*KFC!$B$35+KFC!$C$35)*KFC!$C$5</f>
        <v>232.54117006435706</v>
      </c>
      <c r="N146" s="796">
        <f>(AO146*KFC!$B$35+KFC!$C$35)*KFC!$C$5</f>
        <v>246.55686583339275</v>
      </c>
      <c r="O146" s="796">
        <f>(AP146*KFC!$B$35+KFC!$C$35)*KFC!$C$5</f>
        <v>260.57256160242844</v>
      </c>
      <c r="P146" s="796">
        <f>(AQ146*KFC!$B$35+KFC!$C$35)*KFC!$C$5</f>
        <v>274.58825737146412</v>
      </c>
      <c r="Q146" s="796">
        <f>(AR146*KFC!$B$35+KFC!$C$35)*KFC!$C$5</f>
        <v>288.60395314049981</v>
      </c>
      <c r="R146" s="796">
        <f>(AS146*KFC!$B$35+KFC!$C$35)*KFC!$C$5</f>
        <v>302.61964890953556</v>
      </c>
      <c r="S146" s="796">
        <f>(AT146*KFC!$B$35+KFC!$C$35)*KFC!$C$5</f>
        <v>316.63534467857124</v>
      </c>
      <c r="T146" s="796">
        <f>(AU146*KFC!$B$35+KFC!$C$35)*KFC!$C$5</f>
        <v>330.65104044760693</v>
      </c>
      <c r="U146" s="796">
        <f>(AV146*KFC!$B$35+KFC!$C$35)*KFC!$C$5</f>
        <v>344.66673621664262</v>
      </c>
      <c r="V146" s="796">
        <f>(AW146*KFC!$B$35+KFC!$C$35)*KFC!$C$5</f>
        <v>358.68243198567836</v>
      </c>
      <c r="W146" s="796">
        <f>(AX146*KFC!$B$35+KFC!$C$35)*KFC!$C$5</f>
        <v>372.69812775471405</v>
      </c>
      <c r="X146" s="796">
        <f>(AY146*KFC!$B$35+KFC!$C$35)*KFC!$C$5</f>
        <v>386.7138235237498</v>
      </c>
      <c r="Y146" s="796">
        <f>(AZ146*KFC!$B$35+KFC!$C$35)*KFC!$C$5</f>
        <v>400.72951929278554</v>
      </c>
      <c r="Z146" s="814">
        <f>(BA146*KFC!$B$35+KFC!$C$35)*KFC!$C$5</f>
        <v>414.74521506182128</v>
      </c>
      <c r="AB146" s="1912"/>
      <c r="AC146" s="799">
        <v>2.2999999999999998</v>
      </c>
      <c r="AD146" s="797">
        <v>92.384212374000043</v>
      </c>
      <c r="AE146" s="797">
        <v>106.39990814303574</v>
      </c>
      <c r="AF146" s="797">
        <v>120.41560391207146</v>
      </c>
      <c r="AG146" s="797">
        <v>134.43129968110716</v>
      </c>
      <c r="AH146" s="797">
        <v>148.44699545014288</v>
      </c>
      <c r="AI146" s="797">
        <v>162.46269121917859</v>
      </c>
      <c r="AJ146" s="797">
        <v>176.47838698821428</v>
      </c>
      <c r="AK146" s="797">
        <v>190.49408275724997</v>
      </c>
      <c r="AL146" s="797">
        <v>204.50977852628569</v>
      </c>
      <c r="AM146" s="797">
        <v>218.52547429532137</v>
      </c>
      <c r="AN146" s="797">
        <v>232.54117006435706</v>
      </c>
      <c r="AO146" s="797">
        <v>246.55686583339275</v>
      </c>
      <c r="AP146" s="797">
        <v>260.57256160242844</v>
      </c>
      <c r="AQ146" s="797">
        <v>274.58825737146412</v>
      </c>
      <c r="AR146" s="797">
        <v>288.60395314049981</v>
      </c>
      <c r="AS146" s="797">
        <v>302.61964890953556</v>
      </c>
      <c r="AT146" s="797">
        <v>316.63534467857124</v>
      </c>
      <c r="AU146" s="797">
        <v>330.65104044760693</v>
      </c>
      <c r="AV146" s="797">
        <v>344.66673621664262</v>
      </c>
      <c r="AW146" s="797">
        <v>358.68243198567836</v>
      </c>
      <c r="AX146" s="797">
        <v>372.69812775471405</v>
      </c>
      <c r="AY146" s="797">
        <v>386.7138235237498</v>
      </c>
      <c r="AZ146" s="797">
        <v>400.72951929278554</v>
      </c>
      <c r="BA146" s="797">
        <v>414.74521506182128</v>
      </c>
    </row>
    <row r="147" spans="1:53">
      <c r="A147" s="1912"/>
      <c r="B147" s="799">
        <v>2.4</v>
      </c>
      <c r="C147" s="796">
        <f>(AD147*KFC!$B$35+KFC!$C$35)*KFC!$C$5</f>
        <v>94.100001882000043</v>
      </c>
      <c r="D147" s="796">
        <f>(AE147*KFC!$B$35+KFC!$C$35)*KFC!$C$5</f>
        <v>108.54456670723219</v>
      </c>
      <c r="E147" s="796">
        <f>(AF147*KFC!$B$35+KFC!$C$35)*KFC!$C$5</f>
        <v>122.98913153246431</v>
      </c>
      <c r="F147" s="796">
        <f>(AG147*KFC!$B$35+KFC!$C$35)*KFC!$C$5</f>
        <v>137.43369635769645</v>
      </c>
      <c r="G147" s="796">
        <f>(AH147*KFC!$B$35+KFC!$C$35)*KFC!$C$5</f>
        <v>151.87826118292858</v>
      </c>
      <c r="H147" s="796">
        <f>(AI147*KFC!$B$35+KFC!$C$35)*KFC!$C$5</f>
        <v>166.32282600816072</v>
      </c>
      <c r="I147" s="796">
        <f>(AJ147*KFC!$B$35+KFC!$C$35)*KFC!$C$5</f>
        <v>180.76739083339282</v>
      </c>
      <c r="J147" s="796">
        <f>(AK147*KFC!$B$35+KFC!$C$35)*KFC!$C$5</f>
        <v>195.21195565862496</v>
      </c>
      <c r="K147" s="796">
        <f>(AL147*KFC!$B$35+KFC!$C$35)*KFC!$C$5</f>
        <v>209.65652048385709</v>
      </c>
      <c r="L147" s="796">
        <f>(AM147*KFC!$B$35+KFC!$C$35)*KFC!$C$5</f>
        <v>224.10108530908923</v>
      </c>
      <c r="M147" s="796">
        <f>(AN147*KFC!$B$35+KFC!$C$35)*KFC!$C$5</f>
        <v>238.54565013432136</v>
      </c>
      <c r="N147" s="796">
        <f>(AO147*KFC!$B$35+KFC!$C$35)*KFC!$C$5</f>
        <v>252.99021495955347</v>
      </c>
      <c r="O147" s="796">
        <f>(AP147*KFC!$B$35+KFC!$C$35)*KFC!$C$5</f>
        <v>267.43477978478563</v>
      </c>
      <c r="P147" s="796">
        <f>(AQ147*KFC!$B$35+KFC!$C$35)*KFC!$C$5</f>
        <v>281.87934461001771</v>
      </c>
      <c r="Q147" s="796">
        <f>(AR147*KFC!$B$35+KFC!$C$35)*KFC!$C$5</f>
        <v>296.32390943524985</v>
      </c>
      <c r="R147" s="796">
        <f>(AS147*KFC!$B$35+KFC!$C$35)*KFC!$C$5</f>
        <v>310.76847426048198</v>
      </c>
      <c r="S147" s="796">
        <f>(AT147*KFC!$B$35+KFC!$C$35)*KFC!$C$5</f>
        <v>325.21303908571412</v>
      </c>
      <c r="T147" s="796">
        <f>(AU147*KFC!$B$35+KFC!$C$35)*KFC!$C$5</f>
        <v>339.65760391094631</v>
      </c>
      <c r="U147" s="796">
        <f>(AV147*KFC!$B$35+KFC!$C$35)*KFC!$C$5</f>
        <v>354.10216873617844</v>
      </c>
      <c r="V147" s="796">
        <f>(AW147*KFC!$B$35+KFC!$C$35)*KFC!$C$5</f>
        <v>368.54673356141058</v>
      </c>
      <c r="W147" s="796">
        <f>(AX147*KFC!$B$35+KFC!$C$35)*KFC!$C$5</f>
        <v>382.99129838664265</v>
      </c>
      <c r="X147" s="796">
        <f>(AY147*KFC!$B$35+KFC!$C$35)*KFC!$C$5</f>
        <v>397.43586321187479</v>
      </c>
      <c r="Y147" s="796">
        <f>(AZ147*KFC!$B$35+KFC!$C$35)*KFC!$C$5</f>
        <v>411.88042803710692</v>
      </c>
      <c r="Z147" s="814">
        <f>(BA147*KFC!$B$35+KFC!$C$35)*KFC!$C$5</f>
        <v>426.32499286233906</v>
      </c>
      <c r="AB147" s="1912"/>
      <c r="AC147" s="799">
        <v>2.4</v>
      </c>
      <c r="AD147" s="797">
        <v>94.100001882000043</v>
      </c>
      <c r="AE147" s="797">
        <v>108.54456670723219</v>
      </c>
      <c r="AF147" s="797">
        <v>122.98913153246431</v>
      </c>
      <c r="AG147" s="797">
        <v>137.43369635769645</v>
      </c>
      <c r="AH147" s="797">
        <v>151.87826118292858</v>
      </c>
      <c r="AI147" s="797">
        <v>166.32282600816072</v>
      </c>
      <c r="AJ147" s="797">
        <v>180.76739083339282</v>
      </c>
      <c r="AK147" s="797">
        <v>195.21195565862496</v>
      </c>
      <c r="AL147" s="797">
        <v>209.65652048385709</v>
      </c>
      <c r="AM147" s="797">
        <v>224.10108530908923</v>
      </c>
      <c r="AN147" s="797">
        <v>238.54565013432136</v>
      </c>
      <c r="AO147" s="797">
        <v>252.99021495955347</v>
      </c>
      <c r="AP147" s="797">
        <v>267.43477978478563</v>
      </c>
      <c r="AQ147" s="797">
        <v>281.87934461001771</v>
      </c>
      <c r="AR147" s="797">
        <v>296.32390943524985</v>
      </c>
      <c r="AS147" s="797">
        <v>310.76847426048198</v>
      </c>
      <c r="AT147" s="797">
        <v>325.21303908571412</v>
      </c>
      <c r="AU147" s="797">
        <v>339.65760391094631</v>
      </c>
      <c r="AV147" s="797">
        <v>354.10216873617844</v>
      </c>
      <c r="AW147" s="797">
        <v>368.54673356141058</v>
      </c>
      <c r="AX147" s="797">
        <v>382.99129838664265</v>
      </c>
      <c r="AY147" s="797">
        <v>397.43586321187479</v>
      </c>
      <c r="AZ147" s="797">
        <v>411.88042803710692</v>
      </c>
      <c r="BA147" s="797">
        <v>426.32499286233906</v>
      </c>
    </row>
    <row r="148" spans="1:53">
      <c r="A148" s="1912"/>
      <c r="B148" s="799">
        <v>2.5</v>
      </c>
      <c r="C148" s="796">
        <f>(AD148*KFC!$B$35+KFC!$C$35)*KFC!$C$5</f>
        <v>95.815791390000044</v>
      </c>
      <c r="D148" s="796">
        <f>(AE148*KFC!$B$35+KFC!$C$35)*KFC!$C$5</f>
        <v>110.68922527142861</v>
      </c>
      <c r="E148" s="796">
        <f>(AF148*KFC!$B$35+KFC!$C$35)*KFC!$C$5</f>
        <v>125.56265915285718</v>
      </c>
      <c r="F148" s="796">
        <f>(AG148*KFC!$B$35+KFC!$C$35)*KFC!$C$5</f>
        <v>140.43609303428573</v>
      </c>
      <c r="G148" s="796">
        <f>(AH148*KFC!$B$35+KFC!$C$35)*KFC!$C$5</f>
        <v>155.30952691571432</v>
      </c>
      <c r="H148" s="796">
        <f>(AI148*KFC!$B$35+KFC!$C$35)*KFC!$C$5</f>
        <v>170.18296079714284</v>
      </c>
      <c r="I148" s="796">
        <f>(AJ148*KFC!$B$35+KFC!$C$35)*KFC!$C$5</f>
        <v>185.05639467857142</v>
      </c>
      <c r="J148" s="796">
        <f>(AK148*KFC!$B$35+KFC!$C$35)*KFC!$C$5</f>
        <v>199.92982855999998</v>
      </c>
      <c r="K148" s="796">
        <f>(AL148*KFC!$B$35+KFC!$C$35)*KFC!$C$5</f>
        <v>214.80326244142856</v>
      </c>
      <c r="L148" s="796">
        <f>(AM148*KFC!$B$35+KFC!$C$35)*KFC!$C$5</f>
        <v>229.67669632285711</v>
      </c>
      <c r="M148" s="796">
        <f>(AN148*KFC!$B$35+KFC!$C$35)*KFC!$C$5</f>
        <v>244.55013020428567</v>
      </c>
      <c r="N148" s="796">
        <f>(AO148*KFC!$B$35+KFC!$C$35)*KFC!$C$5</f>
        <v>259.42356408571425</v>
      </c>
      <c r="O148" s="796">
        <f>(AP148*KFC!$B$35+KFC!$C$35)*KFC!$C$5</f>
        <v>274.29699796714283</v>
      </c>
      <c r="P148" s="796">
        <f>(AQ148*KFC!$B$35+KFC!$C$35)*KFC!$C$5</f>
        <v>289.17043184857135</v>
      </c>
      <c r="Q148" s="796">
        <f>(AR148*KFC!$B$35+KFC!$C$35)*KFC!$C$5</f>
        <v>304.04386572999994</v>
      </c>
      <c r="R148" s="796">
        <f>(AS148*KFC!$B$35+KFC!$C$35)*KFC!$C$5</f>
        <v>318.91729961142852</v>
      </c>
      <c r="S148" s="796">
        <f>(AT148*KFC!$B$35+KFC!$C$35)*KFC!$C$5</f>
        <v>333.79073349285704</v>
      </c>
      <c r="T148" s="796">
        <f>(AU148*KFC!$B$35+KFC!$C$35)*KFC!$C$5</f>
        <v>348.66416737428563</v>
      </c>
      <c r="U148" s="796">
        <f>(AV148*KFC!$B$35+KFC!$C$35)*KFC!$C$5</f>
        <v>363.53760125571415</v>
      </c>
      <c r="V148" s="796">
        <f>(AW148*KFC!$B$35+KFC!$C$35)*KFC!$C$5</f>
        <v>378.41103513714268</v>
      </c>
      <c r="W148" s="796">
        <f>(AX148*KFC!$B$35+KFC!$C$35)*KFC!$C$5</f>
        <v>393.2844690185712</v>
      </c>
      <c r="X148" s="796">
        <f>(AY148*KFC!$B$35+KFC!$C$35)*KFC!$C$5</f>
        <v>408.15790289999973</v>
      </c>
      <c r="Y148" s="796">
        <f>(AZ148*KFC!$B$35+KFC!$C$35)*KFC!$C$5</f>
        <v>423.03133678142825</v>
      </c>
      <c r="Z148" s="814">
        <f>(BA148*KFC!$B$35+KFC!$C$35)*KFC!$C$5</f>
        <v>437.90477066285678</v>
      </c>
      <c r="AB148" s="1912"/>
      <c r="AC148" s="799">
        <v>2.5</v>
      </c>
      <c r="AD148" s="797">
        <v>95.815791390000044</v>
      </c>
      <c r="AE148" s="797">
        <v>110.68922527142861</v>
      </c>
      <c r="AF148" s="797">
        <v>125.56265915285718</v>
      </c>
      <c r="AG148" s="797">
        <v>140.43609303428573</v>
      </c>
      <c r="AH148" s="797">
        <v>155.30952691571432</v>
      </c>
      <c r="AI148" s="797">
        <v>170.18296079714284</v>
      </c>
      <c r="AJ148" s="797">
        <v>185.05639467857142</v>
      </c>
      <c r="AK148" s="797">
        <v>199.92982855999998</v>
      </c>
      <c r="AL148" s="797">
        <v>214.80326244142856</v>
      </c>
      <c r="AM148" s="797">
        <v>229.67669632285711</v>
      </c>
      <c r="AN148" s="797">
        <v>244.55013020428567</v>
      </c>
      <c r="AO148" s="797">
        <v>259.42356408571425</v>
      </c>
      <c r="AP148" s="797">
        <v>274.29699796714283</v>
      </c>
      <c r="AQ148" s="797">
        <v>289.17043184857135</v>
      </c>
      <c r="AR148" s="797">
        <v>304.04386572999994</v>
      </c>
      <c r="AS148" s="797">
        <v>318.91729961142852</v>
      </c>
      <c r="AT148" s="797">
        <v>333.79073349285704</v>
      </c>
      <c r="AU148" s="797">
        <v>348.66416737428563</v>
      </c>
      <c r="AV148" s="797">
        <v>363.53760125571415</v>
      </c>
      <c r="AW148" s="797">
        <v>378.41103513714268</v>
      </c>
      <c r="AX148" s="797">
        <v>393.2844690185712</v>
      </c>
      <c r="AY148" s="797">
        <v>408.15790289999973</v>
      </c>
      <c r="AZ148" s="797">
        <v>423.03133678142825</v>
      </c>
      <c r="BA148" s="797">
        <v>437.90477066285678</v>
      </c>
    </row>
    <row r="149" spans="1:53">
      <c r="A149" s="1912"/>
      <c r="B149" s="799">
        <v>2.6</v>
      </c>
      <c r="C149" s="796">
        <f>(AD149*KFC!$B$35+KFC!$C$35)*KFC!$C$5</f>
        <v>97.531580898000044</v>
      </c>
      <c r="D149" s="796">
        <f>(AE149*KFC!$B$35+KFC!$C$35)*KFC!$C$5</f>
        <v>112.83388383562504</v>
      </c>
      <c r="E149" s="796">
        <f>(AF149*KFC!$B$35+KFC!$C$35)*KFC!$C$5</f>
        <v>128.13618677325005</v>
      </c>
      <c r="F149" s="796">
        <f>(AG149*KFC!$B$35+KFC!$C$35)*KFC!$C$5</f>
        <v>143.43848971087505</v>
      </c>
      <c r="G149" s="796">
        <f>(AH149*KFC!$B$35+KFC!$C$35)*KFC!$C$5</f>
        <v>158.74079264850005</v>
      </c>
      <c r="H149" s="796">
        <f>(AI149*KFC!$B$35+KFC!$C$35)*KFC!$C$5</f>
        <v>174.04309558612502</v>
      </c>
      <c r="I149" s="796">
        <f>(AJ149*KFC!$B$35+KFC!$C$35)*KFC!$C$5</f>
        <v>189.34539852375002</v>
      </c>
      <c r="J149" s="796">
        <f>(AK149*KFC!$B$35+KFC!$C$35)*KFC!$C$5</f>
        <v>204.64770146137502</v>
      </c>
      <c r="K149" s="796">
        <f>(AL149*KFC!$B$35+KFC!$C$35)*KFC!$C$5</f>
        <v>219.95000439900002</v>
      </c>
      <c r="L149" s="796">
        <f>(AM149*KFC!$B$35+KFC!$C$35)*KFC!$C$5</f>
        <v>235.25230733662505</v>
      </c>
      <c r="M149" s="796">
        <f>(AN149*KFC!$B$35+KFC!$C$35)*KFC!$C$5</f>
        <v>250.55461027425005</v>
      </c>
      <c r="N149" s="796">
        <f>(AO149*KFC!$B$35+KFC!$C$35)*KFC!$C$5</f>
        <v>265.85691321187505</v>
      </c>
      <c r="O149" s="796">
        <f>(AP149*KFC!$B$35+KFC!$C$35)*KFC!$C$5</f>
        <v>281.15921614950003</v>
      </c>
      <c r="P149" s="796">
        <f>(AQ149*KFC!$B$35+KFC!$C$35)*KFC!$C$5</f>
        <v>296.46151908712505</v>
      </c>
      <c r="Q149" s="796">
        <f>(AR149*KFC!$B$35+KFC!$C$35)*KFC!$C$5</f>
        <v>311.76382202475003</v>
      </c>
      <c r="R149" s="796">
        <f>(AS149*KFC!$B$35+KFC!$C$35)*KFC!$C$5</f>
        <v>327.06612496237506</v>
      </c>
      <c r="S149" s="796">
        <f>(AT149*KFC!$B$35+KFC!$C$35)*KFC!$C$5</f>
        <v>342.36842790000003</v>
      </c>
      <c r="T149" s="796">
        <f>(AU149*KFC!$B$35+KFC!$C$35)*KFC!$C$5</f>
        <v>357.67073083762506</v>
      </c>
      <c r="U149" s="796">
        <f>(AV149*KFC!$B$35+KFC!$C$35)*KFC!$C$5</f>
        <v>372.97303377525003</v>
      </c>
      <c r="V149" s="796">
        <f>(AW149*KFC!$B$35+KFC!$C$35)*KFC!$C$5</f>
        <v>388.27533671287506</v>
      </c>
      <c r="W149" s="796">
        <f>(AX149*KFC!$B$35+KFC!$C$35)*KFC!$C$5</f>
        <v>403.57763965050003</v>
      </c>
      <c r="X149" s="796">
        <f>(AY149*KFC!$B$35+KFC!$C$35)*KFC!$C$5</f>
        <v>418.87994258812506</v>
      </c>
      <c r="Y149" s="796">
        <f>(AZ149*KFC!$B$35+KFC!$C$35)*KFC!$C$5</f>
        <v>434.18224552575003</v>
      </c>
      <c r="Z149" s="814">
        <f>(BA149*KFC!$B$35+KFC!$C$35)*KFC!$C$5</f>
        <v>449.48454846337506</v>
      </c>
      <c r="AB149" s="1912"/>
      <c r="AC149" s="799">
        <v>2.6</v>
      </c>
      <c r="AD149" s="797">
        <v>97.531580898000044</v>
      </c>
      <c r="AE149" s="797">
        <v>112.83388383562504</v>
      </c>
      <c r="AF149" s="797">
        <v>128.13618677325005</v>
      </c>
      <c r="AG149" s="797">
        <v>143.43848971087505</v>
      </c>
      <c r="AH149" s="797">
        <v>158.74079264850005</v>
      </c>
      <c r="AI149" s="797">
        <v>174.04309558612502</v>
      </c>
      <c r="AJ149" s="797">
        <v>189.34539852375002</v>
      </c>
      <c r="AK149" s="797">
        <v>204.64770146137502</v>
      </c>
      <c r="AL149" s="797">
        <v>219.95000439900002</v>
      </c>
      <c r="AM149" s="797">
        <v>235.25230733662505</v>
      </c>
      <c r="AN149" s="797">
        <v>250.55461027425005</v>
      </c>
      <c r="AO149" s="797">
        <v>265.85691321187505</v>
      </c>
      <c r="AP149" s="797">
        <v>281.15921614950003</v>
      </c>
      <c r="AQ149" s="797">
        <v>296.46151908712505</v>
      </c>
      <c r="AR149" s="797">
        <v>311.76382202475003</v>
      </c>
      <c r="AS149" s="797">
        <v>327.06612496237506</v>
      </c>
      <c r="AT149" s="797">
        <v>342.36842790000003</v>
      </c>
      <c r="AU149" s="797">
        <v>357.67073083762506</v>
      </c>
      <c r="AV149" s="797">
        <v>372.97303377525003</v>
      </c>
      <c r="AW149" s="797">
        <v>388.27533671287506</v>
      </c>
      <c r="AX149" s="797">
        <v>403.57763965050003</v>
      </c>
      <c r="AY149" s="797">
        <v>418.87994258812506</v>
      </c>
      <c r="AZ149" s="797">
        <v>434.18224552575003</v>
      </c>
      <c r="BA149" s="797">
        <v>449.48454846337506</v>
      </c>
    </row>
    <row r="150" spans="1:53">
      <c r="A150" s="1912"/>
      <c r="B150" s="799">
        <v>2.7</v>
      </c>
      <c r="C150" s="796">
        <f>(AD150*KFC!$B$35+KFC!$C$35)*KFC!$C$5</f>
        <v>99.247370406000044</v>
      </c>
      <c r="D150" s="796">
        <f>(AE150*KFC!$B$35+KFC!$C$35)*KFC!$C$5</f>
        <v>114.97854239982146</v>
      </c>
      <c r="E150" s="796">
        <f>(AF150*KFC!$B$35+KFC!$C$35)*KFC!$C$5</f>
        <v>130.70971439364288</v>
      </c>
      <c r="F150" s="796">
        <f>(AG150*KFC!$B$35+KFC!$C$35)*KFC!$C$5</f>
        <v>146.4408863874643</v>
      </c>
      <c r="G150" s="796">
        <f>(AH150*KFC!$B$35+KFC!$C$35)*KFC!$C$5</f>
        <v>162.17205838128572</v>
      </c>
      <c r="H150" s="796">
        <f>(AI150*KFC!$B$35+KFC!$C$35)*KFC!$C$5</f>
        <v>177.90323037510714</v>
      </c>
      <c r="I150" s="796">
        <f>(AJ150*KFC!$B$35+KFC!$C$35)*KFC!$C$5</f>
        <v>193.63440236892859</v>
      </c>
      <c r="J150" s="796">
        <f>(AK150*KFC!$B$35+KFC!$C$35)*KFC!$C$5</f>
        <v>209.36557436275001</v>
      </c>
      <c r="K150" s="796">
        <f>(AL150*KFC!$B$35+KFC!$C$35)*KFC!$C$5</f>
        <v>225.09674635657146</v>
      </c>
      <c r="L150" s="796">
        <f>(AM150*KFC!$B$35+KFC!$C$35)*KFC!$C$5</f>
        <v>240.82791835039288</v>
      </c>
      <c r="M150" s="796">
        <f>(AN150*KFC!$B$35+KFC!$C$35)*KFC!$C$5</f>
        <v>256.55909034421433</v>
      </c>
      <c r="N150" s="796">
        <f>(AO150*KFC!$B$35+KFC!$C$35)*KFC!$C$5</f>
        <v>272.29026233803575</v>
      </c>
      <c r="O150" s="796">
        <f>(AP150*KFC!$B$35+KFC!$C$35)*KFC!$C$5</f>
        <v>288.02143433185722</v>
      </c>
      <c r="P150" s="796">
        <f>(AQ150*KFC!$B$35+KFC!$C$35)*KFC!$C$5</f>
        <v>303.75260632567864</v>
      </c>
      <c r="Q150" s="796">
        <f>(AR150*KFC!$B$35+KFC!$C$35)*KFC!$C$5</f>
        <v>319.48377831950006</v>
      </c>
      <c r="R150" s="796">
        <f>(AS150*KFC!$B$35+KFC!$C$35)*KFC!$C$5</f>
        <v>335.21495031332154</v>
      </c>
      <c r="S150" s="796">
        <f>(AT150*KFC!$B$35+KFC!$C$35)*KFC!$C$5</f>
        <v>350.9461223071429</v>
      </c>
      <c r="T150" s="796">
        <f>(AU150*KFC!$B$35+KFC!$C$35)*KFC!$C$5</f>
        <v>366.67729430096432</v>
      </c>
      <c r="U150" s="796">
        <f>(AV150*KFC!$B$35+KFC!$C$35)*KFC!$C$5</f>
        <v>382.40846629478568</v>
      </c>
      <c r="V150" s="796">
        <f>(AW150*KFC!$B$35+KFC!$C$35)*KFC!$C$5</f>
        <v>398.1396382886071</v>
      </c>
      <c r="W150" s="796">
        <f>(AX150*KFC!$B$35+KFC!$C$35)*KFC!$C$5</f>
        <v>413.87081028242852</v>
      </c>
      <c r="X150" s="796">
        <f>(AY150*KFC!$B$35+KFC!$C$35)*KFC!$C$5</f>
        <v>429.60198227624988</v>
      </c>
      <c r="Y150" s="796">
        <f>(AZ150*KFC!$B$35+KFC!$C$35)*KFC!$C$5</f>
        <v>445.3331542700713</v>
      </c>
      <c r="Z150" s="814">
        <f>(BA150*KFC!$B$35+KFC!$C$35)*KFC!$C$5</f>
        <v>461.06432626389272</v>
      </c>
      <c r="AB150" s="1912"/>
      <c r="AC150" s="799">
        <v>2.7</v>
      </c>
      <c r="AD150" s="797">
        <v>99.247370406000044</v>
      </c>
      <c r="AE150" s="797">
        <v>114.97854239982146</v>
      </c>
      <c r="AF150" s="797">
        <v>130.70971439364288</v>
      </c>
      <c r="AG150" s="797">
        <v>146.4408863874643</v>
      </c>
      <c r="AH150" s="797">
        <v>162.17205838128572</v>
      </c>
      <c r="AI150" s="797">
        <v>177.90323037510714</v>
      </c>
      <c r="AJ150" s="797">
        <v>193.63440236892859</v>
      </c>
      <c r="AK150" s="797">
        <v>209.36557436275001</v>
      </c>
      <c r="AL150" s="797">
        <v>225.09674635657146</v>
      </c>
      <c r="AM150" s="797">
        <v>240.82791835039288</v>
      </c>
      <c r="AN150" s="797">
        <v>256.55909034421433</v>
      </c>
      <c r="AO150" s="797">
        <v>272.29026233803575</v>
      </c>
      <c r="AP150" s="797">
        <v>288.02143433185722</v>
      </c>
      <c r="AQ150" s="797">
        <v>303.75260632567864</v>
      </c>
      <c r="AR150" s="797">
        <v>319.48377831950006</v>
      </c>
      <c r="AS150" s="797">
        <v>335.21495031332154</v>
      </c>
      <c r="AT150" s="797">
        <v>350.9461223071429</v>
      </c>
      <c r="AU150" s="797">
        <v>366.67729430096432</v>
      </c>
      <c r="AV150" s="797">
        <v>382.40846629478568</v>
      </c>
      <c r="AW150" s="797">
        <v>398.1396382886071</v>
      </c>
      <c r="AX150" s="797">
        <v>413.87081028242852</v>
      </c>
      <c r="AY150" s="797">
        <v>429.60198227624988</v>
      </c>
      <c r="AZ150" s="797">
        <v>445.3331542700713</v>
      </c>
      <c r="BA150" s="797">
        <v>461.06432626389272</v>
      </c>
    </row>
    <row r="151" spans="1:53">
      <c r="A151" s="1912"/>
      <c r="B151" s="799">
        <v>2.8</v>
      </c>
      <c r="C151" s="796">
        <f>(AD151*KFC!$B$35+KFC!$C$35)*KFC!$C$5</f>
        <v>100.96315991400004</v>
      </c>
      <c r="D151" s="796">
        <f>(AE151*KFC!$B$35+KFC!$C$35)*KFC!$C$5</f>
        <v>117.12320096401791</v>
      </c>
      <c r="E151" s="796">
        <f>(AF151*KFC!$B$35+KFC!$C$35)*KFC!$C$5</f>
        <v>133.28324201403575</v>
      </c>
      <c r="F151" s="796">
        <f>(AG151*KFC!$B$35+KFC!$C$35)*KFC!$C$5</f>
        <v>149.44328306405362</v>
      </c>
      <c r="G151" s="796">
        <f>(AH151*KFC!$B$35+KFC!$C$35)*KFC!$C$5</f>
        <v>165.60332411407146</v>
      </c>
      <c r="H151" s="796">
        <f>(AI151*KFC!$B$35+KFC!$C$35)*KFC!$C$5</f>
        <v>181.76336516408932</v>
      </c>
      <c r="I151" s="796">
        <f>(AJ151*KFC!$B$35+KFC!$C$35)*KFC!$C$5</f>
        <v>197.92340621410716</v>
      </c>
      <c r="J151" s="796">
        <f>(AK151*KFC!$B$35+KFC!$C$35)*KFC!$C$5</f>
        <v>214.083447264125</v>
      </c>
      <c r="K151" s="796">
        <f>(AL151*KFC!$B$35+KFC!$C$35)*KFC!$C$5</f>
        <v>230.24348831414284</v>
      </c>
      <c r="L151" s="796">
        <f>(AM151*KFC!$B$35+KFC!$C$35)*KFC!$C$5</f>
        <v>246.40352936416068</v>
      </c>
      <c r="M151" s="796">
        <f>(AN151*KFC!$B$35+KFC!$C$35)*KFC!$C$5</f>
        <v>262.56357041417851</v>
      </c>
      <c r="N151" s="796">
        <f>(AO151*KFC!$B$35+KFC!$C$35)*KFC!$C$5</f>
        <v>278.72361146419632</v>
      </c>
      <c r="O151" s="796">
        <f>(AP151*KFC!$B$35+KFC!$C$35)*KFC!$C$5</f>
        <v>294.88365251421419</v>
      </c>
      <c r="P151" s="796">
        <f>(AQ151*KFC!$B$35+KFC!$C$35)*KFC!$C$5</f>
        <v>311.043693564232</v>
      </c>
      <c r="Q151" s="796">
        <f>(AR151*KFC!$B$35+KFC!$C$35)*KFC!$C$5</f>
        <v>327.20373461424987</v>
      </c>
      <c r="R151" s="796">
        <f>(AS151*KFC!$B$35+KFC!$C$35)*KFC!$C$5</f>
        <v>343.36377566426768</v>
      </c>
      <c r="S151" s="796">
        <f>(AT151*KFC!$B$35+KFC!$C$35)*KFC!$C$5</f>
        <v>359.52381671428554</v>
      </c>
      <c r="T151" s="796">
        <f>(AU151*KFC!$B$35+KFC!$C$35)*KFC!$C$5</f>
        <v>375.68385776430341</v>
      </c>
      <c r="U151" s="796">
        <f>(AV151*KFC!$B$35+KFC!$C$35)*KFC!$C$5</f>
        <v>391.84389881432128</v>
      </c>
      <c r="V151" s="796">
        <f>(AW151*KFC!$B$35+KFC!$C$35)*KFC!$C$5</f>
        <v>408.00393986433915</v>
      </c>
      <c r="W151" s="796">
        <f>(AX151*KFC!$B$35+KFC!$C$35)*KFC!$C$5</f>
        <v>424.16398091435707</v>
      </c>
      <c r="X151" s="796">
        <f>(AY151*KFC!$B$35+KFC!$C$35)*KFC!$C$5</f>
        <v>440.32402196437494</v>
      </c>
      <c r="Y151" s="796">
        <f>(AZ151*KFC!$B$35+KFC!$C$35)*KFC!$C$5</f>
        <v>456.4840630143928</v>
      </c>
      <c r="Z151" s="814">
        <f>(BA151*KFC!$B$35+KFC!$C$35)*KFC!$C$5</f>
        <v>472.64410406441067</v>
      </c>
      <c r="AB151" s="1912"/>
      <c r="AC151" s="799">
        <v>2.8</v>
      </c>
      <c r="AD151" s="797">
        <v>100.96315991400004</v>
      </c>
      <c r="AE151" s="797">
        <v>117.12320096401791</v>
      </c>
      <c r="AF151" s="797">
        <v>133.28324201403575</v>
      </c>
      <c r="AG151" s="797">
        <v>149.44328306405362</v>
      </c>
      <c r="AH151" s="797">
        <v>165.60332411407146</v>
      </c>
      <c r="AI151" s="797">
        <v>181.76336516408932</v>
      </c>
      <c r="AJ151" s="797">
        <v>197.92340621410716</v>
      </c>
      <c r="AK151" s="797">
        <v>214.083447264125</v>
      </c>
      <c r="AL151" s="797">
        <v>230.24348831414284</v>
      </c>
      <c r="AM151" s="797">
        <v>246.40352936416068</v>
      </c>
      <c r="AN151" s="797">
        <v>262.56357041417851</v>
      </c>
      <c r="AO151" s="797">
        <v>278.72361146419632</v>
      </c>
      <c r="AP151" s="797">
        <v>294.88365251421419</v>
      </c>
      <c r="AQ151" s="797">
        <v>311.043693564232</v>
      </c>
      <c r="AR151" s="797">
        <v>327.20373461424987</v>
      </c>
      <c r="AS151" s="797">
        <v>343.36377566426768</v>
      </c>
      <c r="AT151" s="797">
        <v>359.52381671428554</v>
      </c>
      <c r="AU151" s="797">
        <v>375.68385776430341</v>
      </c>
      <c r="AV151" s="797">
        <v>391.84389881432128</v>
      </c>
      <c r="AW151" s="797">
        <v>408.00393986433915</v>
      </c>
      <c r="AX151" s="797">
        <v>424.16398091435707</v>
      </c>
      <c r="AY151" s="797">
        <v>440.32402196437494</v>
      </c>
      <c r="AZ151" s="797">
        <v>456.4840630143928</v>
      </c>
      <c r="BA151" s="797">
        <v>472.64410406441067</v>
      </c>
    </row>
    <row r="152" spans="1:53">
      <c r="A152" s="1912"/>
      <c r="B152" s="799">
        <v>2.9</v>
      </c>
      <c r="C152" s="796">
        <f>(AD152*KFC!$B$35+KFC!$C$35)*KFC!$C$5</f>
        <v>102.67894942200006</v>
      </c>
      <c r="D152" s="796">
        <f>(AE152*KFC!$B$35+KFC!$C$35)*KFC!$C$5</f>
        <v>119.26785952821433</v>
      </c>
      <c r="E152" s="796">
        <f>(AF152*KFC!$B$35+KFC!$C$35)*KFC!$C$5</f>
        <v>135.85676963442859</v>
      </c>
      <c r="F152" s="796">
        <f>(AG152*KFC!$B$35+KFC!$C$35)*KFC!$C$5</f>
        <v>152.44567974064287</v>
      </c>
      <c r="G152" s="796">
        <f>(AH152*KFC!$B$35+KFC!$C$35)*KFC!$C$5</f>
        <v>169.03458984685716</v>
      </c>
      <c r="H152" s="796">
        <f>(AI152*KFC!$B$35+KFC!$C$35)*KFC!$C$5</f>
        <v>185.62349995307144</v>
      </c>
      <c r="I152" s="796">
        <f>(AJ152*KFC!$B$35+KFC!$C$35)*KFC!$C$5</f>
        <v>202.2124100592857</v>
      </c>
      <c r="J152" s="796">
        <f>(AK152*KFC!$B$35+KFC!$C$35)*KFC!$C$5</f>
        <v>218.80132016549999</v>
      </c>
      <c r="K152" s="796">
        <f>(AL152*KFC!$B$35+KFC!$C$35)*KFC!$C$5</f>
        <v>235.39023027171424</v>
      </c>
      <c r="L152" s="796">
        <f>(AM152*KFC!$B$35+KFC!$C$35)*KFC!$C$5</f>
        <v>251.97914037792853</v>
      </c>
      <c r="M152" s="796">
        <f>(AN152*KFC!$B$35+KFC!$C$35)*KFC!$C$5</f>
        <v>268.56805048414282</v>
      </c>
      <c r="N152" s="796">
        <f>(AO152*KFC!$B$35+KFC!$C$35)*KFC!$C$5</f>
        <v>285.15696059035707</v>
      </c>
      <c r="O152" s="796">
        <f>(AP152*KFC!$B$35+KFC!$C$35)*KFC!$C$5</f>
        <v>301.74587069657133</v>
      </c>
      <c r="P152" s="796">
        <f>(AQ152*KFC!$B$35+KFC!$C$35)*KFC!$C$5</f>
        <v>318.33478080278559</v>
      </c>
      <c r="Q152" s="796">
        <f>(AR152*KFC!$B$35+KFC!$C$35)*KFC!$C$5</f>
        <v>334.9236909089999</v>
      </c>
      <c r="R152" s="796">
        <f>(AS152*KFC!$B$35+KFC!$C$35)*KFC!$C$5</f>
        <v>351.51260101521416</v>
      </c>
      <c r="S152" s="796">
        <f>(AT152*KFC!$B$35+KFC!$C$35)*KFC!$C$5</f>
        <v>368.10151112142842</v>
      </c>
      <c r="T152" s="796">
        <f>(AU152*KFC!$B$35+KFC!$C$35)*KFC!$C$5</f>
        <v>384.69042122764267</v>
      </c>
      <c r="U152" s="796">
        <f>(AV152*KFC!$B$35+KFC!$C$35)*KFC!$C$5</f>
        <v>401.27933133385699</v>
      </c>
      <c r="V152" s="796">
        <f>(AW152*KFC!$B$35+KFC!$C$35)*KFC!$C$5</f>
        <v>417.86824144007124</v>
      </c>
      <c r="W152" s="796">
        <f>(AX152*KFC!$B$35+KFC!$C$35)*KFC!$C$5</f>
        <v>434.4571515462855</v>
      </c>
      <c r="X152" s="796">
        <f>(AY152*KFC!$B$35+KFC!$C$35)*KFC!$C$5</f>
        <v>451.04606165249976</v>
      </c>
      <c r="Y152" s="796">
        <f>(AZ152*KFC!$B$35+KFC!$C$35)*KFC!$C$5</f>
        <v>467.63497175871407</v>
      </c>
      <c r="Z152" s="814">
        <f>(BA152*KFC!$B$35+KFC!$C$35)*KFC!$C$5</f>
        <v>484.22388186492833</v>
      </c>
      <c r="AB152" s="1912"/>
      <c r="AC152" s="799">
        <v>2.9</v>
      </c>
      <c r="AD152" s="797">
        <v>102.67894942200006</v>
      </c>
      <c r="AE152" s="797">
        <v>119.26785952821433</v>
      </c>
      <c r="AF152" s="797">
        <v>135.85676963442859</v>
      </c>
      <c r="AG152" s="797">
        <v>152.44567974064287</v>
      </c>
      <c r="AH152" s="797">
        <v>169.03458984685716</v>
      </c>
      <c r="AI152" s="797">
        <v>185.62349995307144</v>
      </c>
      <c r="AJ152" s="797">
        <v>202.2124100592857</v>
      </c>
      <c r="AK152" s="797">
        <v>218.80132016549999</v>
      </c>
      <c r="AL152" s="797">
        <v>235.39023027171424</v>
      </c>
      <c r="AM152" s="797">
        <v>251.97914037792853</v>
      </c>
      <c r="AN152" s="797">
        <v>268.56805048414282</v>
      </c>
      <c r="AO152" s="797">
        <v>285.15696059035707</v>
      </c>
      <c r="AP152" s="797">
        <v>301.74587069657133</v>
      </c>
      <c r="AQ152" s="797">
        <v>318.33478080278559</v>
      </c>
      <c r="AR152" s="797">
        <v>334.9236909089999</v>
      </c>
      <c r="AS152" s="797">
        <v>351.51260101521416</v>
      </c>
      <c r="AT152" s="797">
        <v>368.10151112142842</v>
      </c>
      <c r="AU152" s="797">
        <v>384.69042122764267</v>
      </c>
      <c r="AV152" s="797">
        <v>401.27933133385699</v>
      </c>
      <c r="AW152" s="797">
        <v>417.86824144007124</v>
      </c>
      <c r="AX152" s="797">
        <v>434.4571515462855</v>
      </c>
      <c r="AY152" s="797">
        <v>451.04606165249976</v>
      </c>
      <c r="AZ152" s="797">
        <v>467.63497175871407</v>
      </c>
      <c r="BA152" s="797">
        <v>484.22388186492833</v>
      </c>
    </row>
    <row r="153" spans="1:53">
      <c r="A153" s="1912"/>
      <c r="B153" s="799">
        <v>3</v>
      </c>
      <c r="C153" s="796">
        <f>(AD153*KFC!$B$35+KFC!$C$35)*KFC!$C$5</f>
        <v>104.39473893000006</v>
      </c>
      <c r="D153" s="796">
        <f>(AE153*KFC!$B$35+KFC!$C$35)*KFC!$C$5</f>
        <v>121.41251809241076</v>
      </c>
      <c r="E153" s="796">
        <f>(AF153*KFC!$B$35+KFC!$C$35)*KFC!$C$5</f>
        <v>138.43029725482148</v>
      </c>
      <c r="F153" s="796">
        <f>(AG153*KFC!$B$35+KFC!$C$35)*KFC!$C$5</f>
        <v>155.44807641723219</v>
      </c>
      <c r="G153" s="796">
        <f>(AH153*KFC!$B$35+KFC!$C$35)*KFC!$C$5</f>
        <v>172.46585557964286</v>
      </c>
      <c r="H153" s="796">
        <f>(AI153*KFC!$B$35+KFC!$C$35)*KFC!$C$5</f>
        <v>189.48363474205357</v>
      </c>
      <c r="I153" s="796">
        <f>(AJ153*KFC!$B$35+KFC!$C$35)*KFC!$C$5</f>
        <v>206.50141390446427</v>
      </c>
      <c r="J153" s="796">
        <f>(AK153*KFC!$B$35+KFC!$C$35)*KFC!$C$5</f>
        <v>223.519193066875</v>
      </c>
      <c r="K153" s="796">
        <f>(AL153*KFC!$B$35+KFC!$C$35)*KFC!$C$5</f>
        <v>240.53697222928571</v>
      </c>
      <c r="L153" s="796">
        <f>(AM153*KFC!$B$35+KFC!$C$35)*KFC!$C$5</f>
        <v>257.55475139169641</v>
      </c>
      <c r="M153" s="796">
        <f>(AN153*KFC!$B$35+KFC!$C$35)*KFC!$C$5</f>
        <v>274.57253055410712</v>
      </c>
      <c r="N153" s="796">
        <f>(AO153*KFC!$B$35+KFC!$C$35)*KFC!$C$5</f>
        <v>291.59030971651782</v>
      </c>
      <c r="O153" s="796">
        <f>(AP153*KFC!$B$35+KFC!$C$35)*KFC!$C$5</f>
        <v>308.60808887892853</v>
      </c>
      <c r="P153" s="796">
        <f>(AQ153*KFC!$B$35+KFC!$C$35)*KFC!$C$5</f>
        <v>325.62586804133923</v>
      </c>
      <c r="Q153" s="796">
        <f>(AR153*KFC!$B$35+KFC!$C$35)*KFC!$C$5</f>
        <v>342.64364720374994</v>
      </c>
      <c r="R153" s="796">
        <f>(AS153*KFC!$B$35+KFC!$C$35)*KFC!$C$5</f>
        <v>359.6614263661607</v>
      </c>
      <c r="S153" s="796">
        <f>(AT153*KFC!$B$35+KFC!$C$35)*KFC!$C$5</f>
        <v>376.67920552857134</v>
      </c>
      <c r="T153" s="796">
        <f>(AU153*KFC!$B$35+KFC!$C$35)*KFC!$C$5</f>
        <v>393.69698469098205</v>
      </c>
      <c r="U153" s="796">
        <f>(AV153*KFC!$B$35+KFC!$C$35)*KFC!$C$5</f>
        <v>410.7147638533927</v>
      </c>
      <c r="V153" s="796">
        <f>(AW153*KFC!$B$35+KFC!$C$35)*KFC!$C$5</f>
        <v>427.73254301580334</v>
      </c>
      <c r="W153" s="796">
        <f>(AX153*KFC!$B$35+KFC!$C$35)*KFC!$C$5</f>
        <v>444.75032217821405</v>
      </c>
      <c r="X153" s="796">
        <f>(AY153*KFC!$B$35+KFC!$C$35)*KFC!$C$5</f>
        <v>461.7681013406247</v>
      </c>
      <c r="Y153" s="796">
        <f>(AZ153*KFC!$B$35+KFC!$C$35)*KFC!$C$5</f>
        <v>478.7858805030354</v>
      </c>
      <c r="Z153" s="814">
        <f>(BA153*KFC!$B$35+KFC!$C$35)*KFC!$C$5</f>
        <v>495.80365966544605</v>
      </c>
      <c r="AB153" s="1912"/>
      <c r="AC153" s="799">
        <v>3</v>
      </c>
      <c r="AD153" s="797">
        <v>104.39473893000006</v>
      </c>
      <c r="AE153" s="797">
        <v>121.41251809241076</v>
      </c>
      <c r="AF153" s="797">
        <v>138.43029725482148</v>
      </c>
      <c r="AG153" s="797">
        <v>155.44807641723219</v>
      </c>
      <c r="AH153" s="797">
        <v>172.46585557964286</v>
      </c>
      <c r="AI153" s="797">
        <v>189.48363474205357</v>
      </c>
      <c r="AJ153" s="797">
        <v>206.50141390446427</v>
      </c>
      <c r="AK153" s="797">
        <v>223.519193066875</v>
      </c>
      <c r="AL153" s="797">
        <v>240.53697222928571</v>
      </c>
      <c r="AM153" s="797">
        <v>257.55475139169641</v>
      </c>
      <c r="AN153" s="797">
        <v>274.57253055410712</v>
      </c>
      <c r="AO153" s="797">
        <v>291.59030971651782</v>
      </c>
      <c r="AP153" s="797">
        <v>308.60808887892853</v>
      </c>
      <c r="AQ153" s="797">
        <v>325.62586804133923</v>
      </c>
      <c r="AR153" s="797">
        <v>342.64364720374994</v>
      </c>
      <c r="AS153" s="797">
        <v>359.6614263661607</v>
      </c>
      <c r="AT153" s="797">
        <v>376.67920552857134</v>
      </c>
      <c r="AU153" s="797">
        <v>393.69698469098205</v>
      </c>
      <c r="AV153" s="797">
        <v>410.7147638533927</v>
      </c>
      <c r="AW153" s="797">
        <v>427.73254301580334</v>
      </c>
      <c r="AX153" s="797">
        <v>444.75032217821405</v>
      </c>
      <c r="AY153" s="797">
        <v>461.7681013406247</v>
      </c>
      <c r="AZ153" s="797">
        <v>478.7858805030354</v>
      </c>
      <c r="BA153" s="797">
        <v>495.80365966544605</v>
      </c>
    </row>
    <row r="154" spans="1:53">
      <c r="A154" s="1912"/>
      <c r="B154" s="799">
        <v>3.1</v>
      </c>
      <c r="C154" s="796">
        <f>(AD154*KFC!$B$35+KFC!$C$35)*KFC!$C$5</f>
        <v>106.11052843800006</v>
      </c>
      <c r="D154" s="796">
        <f>(AE154*KFC!$B$35+KFC!$C$35)*KFC!$C$5</f>
        <v>123.55717665660718</v>
      </c>
      <c r="E154" s="796">
        <f>(AF154*KFC!$B$35+KFC!$C$35)*KFC!$C$5</f>
        <v>141.00382487521432</v>
      </c>
      <c r="F154" s="796">
        <f>(AG154*KFC!$B$35+KFC!$C$35)*KFC!$C$5</f>
        <v>158.45047309382147</v>
      </c>
      <c r="G154" s="796">
        <f>(AH154*KFC!$B$35+KFC!$C$35)*KFC!$C$5</f>
        <v>175.89712131242862</v>
      </c>
      <c r="H154" s="796">
        <f>(AI154*KFC!$B$35+KFC!$C$35)*KFC!$C$5</f>
        <v>193.34376953103575</v>
      </c>
      <c r="I154" s="796">
        <f>(AJ154*KFC!$B$35+KFC!$C$35)*KFC!$C$5</f>
        <v>210.7904177496429</v>
      </c>
      <c r="J154" s="796">
        <f>(AK154*KFC!$B$35+KFC!$C$35)*KFC!$C$5</f>
        <v>228.23706596825005</v>
      </c>
      <c r="K154" s="796">
        <f>(AL154*KFC!$B$35+KFC!$C$35)*KFC!$C$5</f>
        <v>245.6837141868572</v>
      </c>
      <c r="L154" s="796">
        <f>(AM154*KFC!$B$35+KFC!$C$35)*KFC!$C$5</f>
        <v>263.13036240546433</v>
      </c>
      <c r="M154" s="796">
        <f>(AN154*KFC!$B$35+KFC!$C$35)*KFC!$C$5</f>
        <v>280.57701062407148</v>
      </c>
      <c r="N154" s="796">
        <f>(AO154*KFC!$B$35+KFC!$C$35)*KFC!$C$5</f>
        <v>298.02365884267863</v>
      </c>
      <c r="O154" s="796">
        <f>(AP154*KFC!$B$35+KFC!$C$35)*KFC!$C$5</f>
        <v>315.47030706128578</v>
      </c>
      <c r="P154" s="796">
        <f>(AQ154*KFC!$B$35+KFC!$C$35)*KFC!$C$5</f>
        <v>332.91695527989293</v>
      </c>
      <c r="Q154" s="796">
        <f>(AR154*KFC!$B$35+KFC!$C$35)*KFC!$C$5</f>
        <v>350.36360349850003</v>
      </c>
      <c r="R154" s="796">
        <f>(AS154*KFC!$B$35+KFC!$C$35)*KFC!$C$5</f>
        <v>367.81025171710718</v>
      </c>
      <c r="S154" s="796">
        <f>(AT154*KFC!$B$35+KFC!$C$35)*KFC!$C$5</f>
        <v>385.25689993571427</v>
      </c>
      <c r="T154" s="796">
        <f>(AU154*KFC!$B$35+KFC!$C$35)*KFC!$C$5</f>
        <v>402.70354815432142</v>
      </c>
      <c r="U154" s="796">
        <f>(AV154*KFC!$B$35+KFC!$C$35)*KFC!$C$5</f>
        <v>420.15019637292858</v>
      </c>
      <c r="V154" s="796">
        <f>(AW154*KFC!$B$35+KFC!$C$35)*KFC!$C$5</f>
        <v>437.59684459153573</v>
      </c>
      <c r="W154" s="796">
        <f>(AX154*KFC!$B$35+KFC!$C$35)*KFC!$C$5</f>
        <v>455.04349281014288</v>
      </c>
      <c r="X154" s="796">
        <f>(AY154*KFC!$B$35+KFC!$C$35)*KFC!$C$5</f>
        <v>472.49014102875003</v>
      </c>
      <c r="Y154" s="796">
        <f>(AZ154*KFC!$B$35+KFC!$C$35)*KFC!$C$5</f>
        <v>489.93678924735718</v>
      </c>
      <c r="Z154" s="814">
        <f>(BA154*KFC!$B$35+KFC!$C$35)*KFC!$C$5</f>
        <v>507.38343746596433</v>
      </c>
      <c r="AB154" s="1912"/>
      <c r="AC154" s="799">
        <v>3.1</v>
      </c>
      <c r="AD154" s="797">
        <v>106.11052843800006</v>
      </c>
      <c r="AE154" s="797">
        <v>123.55717665660718</v>
      </c>
      <c r="AF154" s="797">
        <v>141.00382487521432</v>
      </c>
      <c r="AG154" s="797">
        <v>158.45047309382147</v>
      </c>
      <c r="AH154" s="797">
        <v>175.89712131242862</v>
      </c>
      <c r="AI154" s="797">
        <v>193.34376953103575</v>
      </c>
      <c r="AJ154" s="797">
        <v>210.7904177496429</v>
      </c>
      <c r="AK154" s="797">
        <v>228.23706596825005</v>
      </c>
      <c r="AL154" s="797">
        <v>245.6837141868572</v>
      </c>
      <c r="AM154" s="797">
        <v>263.13036240546433</v>
      </c>
      <c r="AN154" s="797">
        <v>280.57701062407148</v>
      </c>
      <c r="AO154" s="797">
        <v>298.02365884267863</v>
      </c>
      <c r="AP154" s="797">
        <v>315.47030706128578</v>
      </c>
      <c r="AQ154" s="797">
        <v>332.91695527989293</v>
      </c>
      <c r="AR154" s="797">
        <v>350.36360349850003</v>
      </c>
      <c r="AS154" s="797">
        <v>367.81025171710718</v>
      </c>
      <c r="AT154" s="797">
        <v>385.25689993571427</v>
      </c>
      <c r="AU154" s="797">
        <v>402.70354815432142</v>
      </c>
      <c r="AV154" s="797">
        <v>420.15019637292858</v>
      </c>
      <c r="AW154" s="797">
        <v>437.59684459153573</v>
      </c>
      <c r="AX154" s="797">
        <v>455.04349281014288</v>
      </c>
      <c r="AY154" s="797">
        <v>472.49014102875003</v>
      </c>
      <c r="AZ154" s="797">
        <v>489.93678924735718</v>
      </c>
      <c r="BA154" s="797">
        <v>507.38343746596433</v>
      </c>
    </row>
    <row r="155" spans="1:53">
      <c r="A155" s="1912"/>
      <c r="B155" s="799">
        <v>3.2</v>
      </c>
      <c r="C155" s="796">
        <f>(AD155*KFC!$B$35+KFC!$C$35)*KFC!$C$5</f>
        <v>107.82631794600006</v>
      </c>
      <c r="D155" s="796">
        <f>(AE155*KFC!$B$35+KFC!$C$35)*KFC!$C$5</f>
        <v>125.70183522080362</v>
      </c>
      <c r="E155" s="796">
        <f>(AF155*KFC!$B$35+KFC!$C$35)*KFC!$C$5</f>
        <v>143.57735249560719</v>
      </c>
      <c r="F155" s="796">
        <f>(AG155*KFC!$B$35+KFC!$C$35)*KFC!$C$5</f>
        <v>161.45286977041076</v>
      </c>
      <c r="G155" s="796">
        <f>(AH155*KFC!$B$35+KFC!$C$35)*KFC!$C$5</f>
        <v>179.32838704521433</v>
      </c>
      <c r="H155" s="796">
        <f>(AI155*KFC!$B$35+KFC!$C$35)*KFC!$C$5</f>
        <v>197.2039043200179</v>
      </c>
      <c r="I155" s="796">
        <f>(AJ155*KFC!$B$35+KFC!$C$35)*KFC!$C$5</f>
        <v>215.0794215948215</v>
      </c>
      <c r="J155" s="796">
        <f>(AK155*KFC!$B$35+KFC!$C$35)*KFC!$C$5</f>
        <v>232.95493886962507</v>
      </c>
      <c r="K155" s="796">
        <f>(AL155*KFC!$B$35+KFC!$C$35)*KFC!$C$5</f>
        <v>250.83045614442864</v>
      </c>
      <c r="L155" s="796">
        <f>(AM155*KFC!$B$35+KFC!$C$35)*KFC!$C$5</f>
        <v>268.70597341923224</v>
      </c>
      <c r="M155" s="796">
        <f>(AN155*KFC!$B$35+KFC!$C$35)*KFC!$C$5</f>
        <v>286.58149069403578</v>
      </c>
      <c r="N155" s="796">
        <f>(AO155*KFC!$B$35+KFC!$C$35)*KFC!$C$5</f>
        <v>304.45700796883938</v>
      </c>
      <c r="O155" s="796">
        <f>(AP155*KFC!$B$35+KFC!$C$35)*KFC!$C$5</f>
        <v>322.33252524364298</v>
      </c>
      <c r="P155" s="796">
        <f>(AQ155*KFC!$B$35+KFC!$C$35)*KFC!$C$5</f>
        <v>340.20804251844652</v>
      </c>
      <c r="Q155" s="796">
        <f>(AR155*KFC!$B$35+KFC!$C$35)*KFC!$C$5</f>
        <v>358.08355979325006</v>
      </c>
      <c r="R155" s="796">
        <f>(AS155*KFC!$B$35+KFC!$C$35)*KFC!$C$5</f>
        <v>375.9590770680536</v>
      </c>
      <c r="S155" s="796">
        <f>(AT155*KFC!$B$35+KFC!$C$35)*KFC!$C$5</f>
        <v>393.83459434285714</v>
      </c>
      <c r="T155" s="796">
        <f>(AU155*KFC!$B$35+KFC!$C$35)*KFC!$C$5</f>
        <v>411.71011161766069</v>
      </c>
      <c r="U155" s="796">
        <f>(AV155*KFC!$B$35+KFC!$C$35)*KFC!$C$5</f>
        <v>429.58562889246423</v>
      </c>
      <c r="V155" s="796">
        <f>(AW155*KFC!$B$35+KFC!$C$35)*KFC!$C$5</f>
        <v>447.46114616726777</v>
      </c>
      <c r="W155" s="796">
        <f>(AX155*KFC!$B$35+KFC!$C$35)*KFC!$C$5</f>
        <v>465.33666344207131</v>
      </c>
      <c r="X155" s="796">
        <f>(AY155*KFC!$B$35+KFC!$C$35)*KFC!$C$5</f>
        <v>483.21218071687485</v>
      </c>
      <c r="Y155" s="796">
        <f>(AZ155*KFC!$B$35+KFC!$C$35)*KFC!$C$5</f>
        <v>501.0876979916784</v>
      </c>
      <c r="Z155" s="814">
        <f>(BA155*KFC!$B$35+KFC!$C$35)*KFC!$C$5</f>
        <v>518.96321526648194</v>
      </c>
      <c r="AB155" s="1912"/>
      <c r="AC155" s="799">
        <v>3.2</v>
      </c>
      <c r="AD155" s="797">
        <v>107.82631794600006</v>
      </c>
      <c r="AE155" s="797">
        <v>125.70183522080362</v>
      </c>
      <c r="AF155" s="797">
        <v>143.57735249560719</v>
      </c>
      <c r="AG155" s="797">
        <v>161.45286977041076</v>
      </c>
      <c r="AH155" s="797">
        <v>179.32838704521433</v>
      </c>
      <c r="AI155" s="797">
        <v>197.2039043200179</v>
      </c>
      <c r="AJ155" s="797">
        <v>215.0794215948215</v>
      </c>
      <c r="AK155" s="797">
        <v>232.95493886962507</v>
      </c>
      <c r="AL155" s="797">
        <v>250.83045614442864</v>
      </c>
      <c r="AM155" s="797">
        <v>268.70597341923224</v>
      </c>
      <c r="AN155" s="797">
        <v>286.58149069403578</v>
      </c>
      <c r="AO155" s="797">
        <v>304.45700796883938</v>
      </c>
      <c r="AP155" s="797">
        <v>322.33252524364298</v>
      </c>
      <c r="AQ155" s="797">
        <v>340.20804251844652</v>
      </c>
      <c r="AR155" s="797">
        <v>358.08355979325006</v>
      </c>
      <c r="AS155" s="797">
        <v>375.9590770680536</v>
      </c>
      <c r="AT155" s="797">
        <v>393.83459434285714</v>
      </c>
      <c r="AU155" s="797">
        <v>411.71011161766069</v>
      </c>
      <c r="AV155" s="797">
        <v>429.58562889246423</v>
      </c>
      <c r="AW155" s="797">
        <v>447.46114616726777</v>
      </c>
      <c r="AX155" s="797">
        <v>465.33666344207131</v>
      </c>
      <c r="AY155" s="797">
        <v>483.21218071687485</v>
      </c>
      <c r="AZ155" s="797">
        <v>501.0876979916784</v>
      </c>
      <c r="BA155" s="797">
        <v>518.96321526648194</v>
      </c>
    </row>
    <row r="156" spans="1:53">
      <c r="A156" s="1912"/>
      <c r="B156" s="799">
        <v>3.3</v>
      </c>
      <c r="C156" s="796">
        <f>(AD156*KFC!$B$35+KFC!$C$35)*KFC!$C$5</f>
        <v>109.54210745400006</v>
      </c>
      <c r="D156" s="796">
        <f>(AE156*KFC!$B$35+KFC!$C$35)*KFC!$C$5</f>
        <v>127.84649378500006</v>
      </c>
      <c r="E156" s="796">
        <f>(AF156*KFC!$B$35+KFC!$C$35)*KFC!$C$5</f>
        <v>146.15088011600005</v>
      </c>
      <c r="F156" s="796">
        <f>(AG156*KFC!$B$35+KFC!$C$35)*KFC!$C$5</f>
        <v>164.45526644700004</v>
      </c>
      <c r="G156" s="796">
        <f>(AH156*KFC!$B$35+KFC!$C$35)*KFC!$C$5</f>
        <v>182.75965277800003</v>
      </c>
      <c r="H156" s="796">
        <f>(AI156*KFC!$B$35+KFC!$C$35)*KFC!$C$5</f>
        <v>201.06403910900002</v>
      </c>
      <c r="I156" s="796">
        <f>(AJ156*KFC!$B$35+KFC!$C$35)*KFC!$C$5</f>
        <v>219.36842543999998</v>
      </c>
      <c r="J156" s="796">
        <f>(AK156*KFC!$B$35+KFC!$C$35)*KFC!$C$5</f>
        <v>237.67281177099997</v>
      </c>
      <c r="K156" s="796">
        <f>(AL156*KFC!$B$35+KFC!$C$35)*KFC!$C$5</f>
        <v>255.97719810199993</v>
      </c>
      <c r="L156" s="796">
        <f>(AM156*KFC!$B$35+KFC!$C$35)*KFC!$C$5</f>
        <v>274.28158443299992</v>
      </c>
      <c r="M156" s="796">
        <f>(AN156*KFC!$B$35+KFC!$C$35)*KFC!$C$5</f>
        <v>292.58597076399991</v>
      </c>
      <c r="N156" s="796">
        <f>(AO156*KFC!$B$35+KFC!$C$35)*KFC!$C$5</f>
        <v>310.8903570949999</v>
      </c>
      <c r="O156" s="796">
        <f>(AP156*KFC!$B$35+KFC!$C$35)*KFC!$C$5</f>
        <v>329.19474342599983</v>
      </c>
      <c r="P156" s="796">
        <f>(AQ156*KFC!$B$35+KFC!$C$35)*KFC!$C$5</f>
        <v>347.49912975699982</v>
      </c>
      <c r="Q156" s="796">
        <f>(AR156*KFC!$B$35+KFC!$C$35)*KFC!$C$5</f>
        <v>365.80351608799987</v>
      </c>
      <c r="R156" s="796">
        <f>(AS156*KFC!$B$35+KFC!$C$35)*KFC!$C$5</f>
        <v>384.10790241899986</v>
      </c>
      <c r="S156" s="796">
        <f>(AT156*KFC!$B$35+KFC!$C$35)*KFC!$C$5</f>
        <v>402.4122887499999</v>
      </c>
      <c r="T156" s="796">
        <f>(AU156*KFC!$B$35+KFC!$C$35)*KFC!$C$5</f>
        <v>420.71667508099989</v>
      </c>
      <c r="U156" s="796">
        <f>(AV156*KFC!$B$35+KFC!$C$35)*KFC!$C$5</f>
        <v>439.02106141199994</v>
      </c>
      <c r="V156" s="796">
        <f>(AW156*KFC!$B$35+KFC!$C$35)*KFC!$C$5</f>
        <v>457.32544774299993</v>
      </c>
      <c r="W156" s="796">
        <f>(AX156*KFC!$B$35+KFC!$C$35)*KFC!$C$5</f>
        <v>475.62983407399997</v>
      </c>
      <c r="X156" s="796">
        <f>(AY156*KFC!$B$35+KFC!$C$35)*KFC!$C$5</f>
        <v>493.93422040499996</v>
      </c>
      <c r="Y156" s="796">
        <f>(AZ156*KFC!$B$35+KFC!$C$35)*KFC!$C$5</f>
        <v>512.23860673599995</v>
      </c>
      <c r="Z156" s="814">
        <f>(BA156*KFC!$B$35+KFC!$C$35)*KFC!$C$5</f>
        <v>530.542993067</v>
      </c>
      <c r="AB156" s="1912"/>
      <c r="AC156" s="799">
        <v>3.3</v>
      </c>
      <c r="AD156" s="797">
        <v>109.54210745400006</v>
      </c>
      <c r="AE156" s="797">
        <v>127.84649378500006</v>
      </c>
      <c r="AF156" s="797">
        <v>146.15088011600005</v>
      </c>
      <c r="AG156" s="797">
        <v>164.45526644700004</v>
      </c>
      <c r="AH156" s="797">
        <v>182.75965277800003</v>
      </c>
      <c r="AI156" s="797">
        <v>201.06403910900002</v>
      </c>
      <c r="AJ156" s="797">
        <v>219.36842543999998</v>
      </c>
      <c r="AK156" s="797">
        <v>237.67281177099997</v>
      </c>
      <c r="AL156" s="797">
        <v>255.97719810199993</v>
      </c>
      <c r="AM156" s="797">
        <v>274.28158443299992</v>
      </c>
      <c r="AN156" s="797">
        <v>292.58597076399991</v>
      </c>
      <c r="AO156" s="797">
        <v>310.8903570949999</v>
      </c>
      <c r="AP156" s="797">
        <v>329.19474342599983</v>
      </c>
      <c r="AQ156" s="797">
        <v>347.49912975699982</v>
      </c>
      <c r="AR156" s="797">
        <v>365.80351608799987</v>
      </c>
      <c r="AS156" s="797">
        <v>384.10790241899986</v>
      </c>
      <c r="AT156" s="797">
        <v>402.4122887499999</v>
      </c>
      <c r="AU156" s="797">
        <v>420.71667508099989</v>
      </c>
      <c r="AV156" s="797">
        <v>439.02106141199994</v>
      </c>
      <c r="AW156" s="797">
        <v>457.32544774299993</v>
      </c>
      <c r="AX156" s="797">
        <v>475.62983407399997</v>
      </c>
      <c r="AY156" s="797">
        <v>493.93422040499996</v>
      </c>
      <c r="AZ156" s="797">
        <v>512.23860673599995</v>
      </c>
      <c r="BA156" s="797">
        <v>530.542993067</v>
      </c>
    </row>
    <row r="157" spans="1:53">
      <c r="A157" s="1912"/>
      <c r="B157" s="799">
        <v>3.4</v>
      </c>
      <c r="C157" s="796">
        <f>(AD157*KFC!$B$35+KFC!$C$35)*KFC!$C$5</f>
        <v>111.25789696200006</v>
      </c>
      <c r="D157" s="796">
        <f>(AE157*KFC!$B$35+KFC!$C$35)*KFC!$C$5</f>
        <v>129.99115234919648</v>
      </c>
      <c r="E157" s="796">
        <f>(AF157*KFC!$B$35+KFC!$C$35)*KFC!$C$5</f>
        <v>148.72440773639289</v>
      </c>
      <c r="F157" s="796">
        <f>(AG157*KFC!$B$35+KFC!$C$35)*KFC!$C$5</f>
        <v>167.4576631235893</v>
      </c>
      <c r="G157" s="796">
        <f>(AH157*KFC!$B$35+KFC!$C$35)*KFC!$C$5</f>
        <v>186.19091851078574</v>
      </c>
      <c r="H157" s="796">
        <f>(AI157*KFC!$B$35+KFC!$C$35)*KFC!$C$5</f>
        <v>204.92417389798214</v>
      </c>
      <c r="I157" s="796">
        <f>(AJ157*KFC!$B$35+KFC!$C$35)*KFC!$C$5</f>
        <v>223.65742928517858</v>
      </c>
      <c r="J157" s="796">
        <f>(AK157*KFC!$B$35+KFC!$C$35)*KFC!$C$5</f>
        <v>242.39068467237499</v>
      </c>
      <c r="K157" s="796">
        <f>(AL157*KFC!$B$35+KFC!$C$35)*KFC!$C$5</f>
        <v>261.1239400595714</v>
      </c>
      <c r="L157" s="796">
        <f>(AM157*KFC!$B$35+KFC!$C$35)*KFC!$C$5</f>
        <v>279.85719544676783</v>
      </c>
      <c r="M157" s="796">
        <f>(AN157*KFC!$B$35+KFC!$C$35)*KFC!$C$5</f>
        <v>298.59045083396421</v>
      </c>
      <c r="N157" s="796">
        <f>(AO157*KFC!$B$35+KFC!$C$35)*KFC!$C$5</f>
        <v>317.32370622116065</v>
      </c>
      <c r="O157" s="796">
        <f>(AP157*KFC!$B$35+KFC!$C$35)*KFC!$C$5</f>
        <v>336.05696160835703</v>
      </c>
      <c r="P157" s="796">
        <f>(AQ157*KFC!$B$35+KFC!$C$35)*KFC!$C$5</f>
        <v>354.79021699555352</v>
      </c>
      <c r="Q157" s="796">
        <f>(AR157*KFC!$B$35+KFC!$C$35)*KFC!$C$5</f>
        <v>373.5234723827499</v>
      </c>
      <c r="R157" s="796">
        <f>(AS157*KFC!$B$35+KFC!$C$35)*KFC!$C$5</f>
        <v>392.25672776994634</v>
      </c>
      <c r="S157" s="796">
        <f>(AT157*KFC!$B$35+KFC!$C$35)*KFC!$C$5</f>
        <v>410.98998315714277</v>
      </c>
      <c r="T157" s="796">
        <f>(AU157*KFC!$B$35+KFC!$C$35)*KFC!$C$5</f>
        <v>429.72323854433915</v>
      </c>
      <c r="U157" s="796">
        <f>(AV157*KFC!$B$35+KFC!$C$35)*KFC!$C$5</f>
        <v>448.45649393153559</v>
      </c>
      <c r="V157" s="796">
        <f>(AW157*KFC!$B$35+KFC!$C$35)*KFC!$C$5</f>
        <v>467.18974931873197</v>
      </c>
      <c r="W157" s="796">
        <f>(AX157*KFC!$B$35+KFC!$C$35)*KFC!$C$5</f>
        <v>485.92300470592841</v>
      </c>
      <c r="X157" s="796">
        <f>(AY157*KFC!$B$35+KFC!$C$35)*KFC!$C$5</f>
        <v>504.65626009312484</v>
      </c>
      <c r="Y157" s="796">
        <f>(AZ157*KFC!$B$35+KFC!$C$35)*KFC!$C$5</f>
        <v>523.38951548032128</v>
      </c>
      <c r="Z157" s="814">
        <f>(BA157*KFC!$B$35+KFC!$C$35)*KFC!$C$5</f>
        <v>542.1227708675176</v>
      </c>
      <c r="AB157" s="1912"/>
      <c r="AC157" s="799">
        <v>3.4</v>
      </c>
      <c r="AD157" s="797">
        <v>111.25789696200006</v>
      </c>
      <c r="AE157" s="797">
        <v>129.99115234919648</v>
      </c>
      <c r="AF157" s="797">
        <v>148.72440773639289</v>
      </c>
      <c r="AG157" s="797">
        <v>167.4576631235893</v>
      </c>
      <c r="AH157" s="797">
        <v>186.19091851078574</v>
      </c>
      <c r="AI157" s="797">
        <v>204.92417389798214</v>
      </c>
      <c r="AJ157" s="797">
        <v>223.65742928517858</v>
      </c>
      <c r="AK157" s="797">
        <v>242.39068467237499</v>
      </c>
      <c r="AL157" s="797">
        <v>261.1239400595714</v>
      </c>
      <c r="AM157" s="797">
        <v>279.85719544676783</v>
      </c>
      <c r="AN157" s="797">
        <v>298.59045083396421</v>
      </c>
      <c r="AO157" s="797">
        <v>317.32370622116065</v>
      </c>
      <c r="AP157" s="797">
        <v>336.05696160835703</v>
      </c>
      <c r="AQ157" s="797">
        <v>354.79021699555352</v>
      </c>
      <c r="AR157" s="797">
        <v>373.5234723827499</v>
      </c>
      <c r="AS157" s="797">
        <v>392.25672776994634</v>
      </c>
      <c r="AT157" s="797">
        <v>410.98998315714277</v>
      </c>
      <c r="AU157" s="797">
        <v>429.72323854433915</v>
      </c>
      <c r="AV157" s="797">
        <v>448.45649393153559</v>
      </c>
      <c r="AW157" s="797">
        <v>467.18974931873197</v>
      </c>
      <c r="AX157" s="797">
        <v>485.92300470592841</v>
      </c>
      <c r="AY157" s="797">
        <v>504.65626009312484</v>
      </c>
      <c r="AZ157" s="797">
        <v>523.38951548032128</v>
      </c>
      <c r="BA157" s="797">
        <v>542.1227708675176</v>
      </c>
    </row>
    <row r="158" spans="1:53">
      <c r="A158" s="1912"/>
      <c r="B158" s="799">
        <v>3.5</v>
      </c>
      <c r="C158" s="796">
        <f>(AD158*KFC!$B$35+KFC!$C$35)*KFC!$C$5</f>
        <v>112.97368647000008</v>
      </c>
      <c r="D158" s="796">
        <f>(AE158*KFC!$B$35+KFC!$C$35)*KFC!$C$5</f>
        <v>132.13581091339293</v>
      </c>
      <c r="E158" s="796">
        <f>(AF158*KFC!$B$35+KFC!$C$35)*KFC!$C$5</f>
        <v>151.29793535678576</v>
      </c>
      <c r="F158" s="796">
        <f>(AG158*KFC!$B$35+KFC!$C$35)*KFC!$C$5</f>
        <v>170.46005980017861</v>
      </c>
      <c r="G158" s="796">
        <f>(AH158*KFC!$B$35+KFC!$C$35)*KFC!$C$5</f>
        <v>189.62218424357144</v>
      </c>
      <c r="H158" s="796">
        <f>(AI158*KFC!$B$35+KFC!$C$35)*KFC!$C$5</f>
        <v>208.78430868696429</v>
      </c>
      <c r="I158" s="796">
        <f>(AJ158*KFC!$B$35+KFC!$C$35)*KFC!$C$5</f>
        <v>227.94643313035715</v>
      </c>
      <c r="J158" s="796">
        <f>(AK158*KFC!$B$35+KFC!$C$35)*KFC!$C$5</f>
        <v>247.10855757375001</v>
      </c>
      <c r="K158" s="796">
        <f>(AL158*KFC!$B$35+KFC!$C$35)*KFC!$C$5</f>
        <v>266.27068201714286</v>
      </c>
      <c r="L158" s="796">
        <f>(AM158*KFC!$B$35+KFC!$C$35)*KFC!$C$5</f>
        <v>285.43280646053569</v>
      </c>
      <c r="M158" s="796">
        <f>(AN158*KFC!$B$35+KFC!$C$35)*KFC!$C$5</f>
        <v>304.59493090392857</v>
      </c>
      <c r="N158" s="796">
        <f>(AO158*KFC!$B$35+KFC!$C$35)*KFC!$C$5</f>
        <v>323.7570553473214</v>
      </c>
      <c r="O158" s="796">
        <f>(AP158*KFC!$B$35+KFC!$C$35)*KFC!$C$5</f>
        <v>342.91917979071422</v>
      </c>
      <c r="P158" s="796">
        <f>(AQ158*KFC!$B$35+KFC!$C$35)*KFC!$C$5</f>
        <v>362.08130423410705</v>
      </c>
      <c r="Q158" s="796">
        <f>(AR158*KFC!$B$35+KFC!$C$35)*KFC!$C$5</f>
        <v>381.24342867749982</v>
      </c>
      <c r="R158" s="796">
        <f>(AS158*KFC!$B$35+KFC!$C$35)*KFC!$C$5</f>
        <v>400.40555312089265</v>
      </c>
      <c r="S158" s="796">
        <f>(AT158*KFC!$B$35+KFC!$C$35)*KFC!$C$5</f>
        <v>419.56767756428548</v>
      </c>
      <c r="T158" s="796">
        <f>(AU158*KFC!$B$35+KFC!$C$35)*KFC!$C$5</f>
        <v>438.7298020076783</v>
      </c>
      <c r="U158" s="796">
        <f>(AV158*KFC!$B$35+KFC!$C$35)*KFC!$C$5</f>
        <v>457.89192645107107</v>
      </c>
      <c r="V158" s="796">
        <f>(AW158*KFC!$B$35+KFC!$C$35)*KFC!$C$5</f>
        <v>477.0540508944639</v>
      </c>
      <c r="W158" s="796">
        <f>(AX158*KFC!$B$35+KFC!$C$35)*KFC!$C$5</f>
        <v>496.21617533785673</v>
      </c>
      <c r="X158" s="796">
        <f>(AY158*KFC!$B$35+KFC!$C$35)*KFC!$C$5</f>
        <v>515.37829978124955</v>
      </c>
      <c r="Y158" s="796">
        <f>(AZ158*KFC!$B$35+KFC!$C$35)*KFC!$C$5</f>
        <v>534.54042422464238</v>
      </c>
      <c r="Z158" s="814">
        <f>(BA158*KFC!$B$35+KFC!$C$35)*KFC!$C$5</f>
        <v>553.70254866803521</v>
      </c>
      <c r="AB158" s="1912"/>
      <c r="AC158" s="799">
        <v>3.5</v>
      </c>
      <c r="AD158" s="797">
        <v>112.97368647000008</v>
      </c>
      <c r="AE158" s="797">
        <v>132.13581091339293</v>
      </c>
      <c r="AF158" s="797">
        <v>151.29793535678576</v>
      </c>
      <c r="AG158" s="797">
        <v>170.46005980017861</v>
      </c>
      <c r="AH158" s="797">
        <v>189.62218424357144</v>
      </c>
      <c r="AI158" s="797">
        <v>208.78430868696429</v>
      </c>
      <c r="AJ158" s="797">
        <v>227.94643313035715</v>
      </c>
      <c r="AK158" s="797">
        <v>247.10855757375001</v>
      </c>
      <c r="AL158" s="797">
        <v>266.27068201714286</v>
      </c>
      <c r="AM158" s="797">
        <v>285.43280646053569</v>
      </c>
      <c r="AN158" s="797">
        <v>304.59493090392857</v>
      </c>
      <c r="AO158" s="797">
        <v>323.7570553473214</v>
      </c>
      <c r="AP158" s="797">
        <v>342.91917979071422</v>
      </c>
      <c r="AQ158" s="797">
        <v>362.08130423410705</v>
      </c>
      <c r="AR158" s="797">
        <v>381.24342867749982</v>
      </c>
      <c r="AS158" s="797">
        <v>400.40555312089265</v>
      </c>
      <c r="AT158" s="797">
        <v>419.56767756428548</v>
      </c>
      <c r="AU158" s="797">
        <v>438.7298020076783</v>
      </c>
      <c r="AV158" s="797">
        <v>457.89192645107107</v>
      </c>
      <c r="AW158" s="797">
        <v>477.0540508944639</v>
      </c>
      <c r="AX158" s="797">
        <v>496.21617533785673</v>
      </c>
      <c r="AY158" s="797">
        <v>515.37829978124955</v>
      </c>
      <c r="AZ158" s="797">
        <v>534.54042422464238</v>
      </c>
      <c r="BA158" s="797">
        <v>553.70254866803521</v>
      </c>
    </row>
    <row r="159" spans="1:53">
      <c r="A159" s="1912"/>
      <c r="B159" s="799">
        <v>3.6</v>
      </c>
      <c r="C159" s="796">
        <f>(AD159*KFC!$B$35+KFC!$C$35)*KFC!$C$5</f>
        <v>114.68947597800008</v>
      </c>
      <c r="D159" s="796">
        <f>(AE159*KFC!$B$35+KFC!$C$35)*KFC!$C$5</f>
        <v>134.28046947758935</v>
      </c>
      <c r="E159" s="796">
        <f>(AF159*KFC!$B$35+KFC!$C$35)*KFC!$C$5</f>
        <v>153.87146297717862</v>
      </c>
      <c r="F159" s="796">
        <f>(AG159*KFC!$B$35+KFC!$C$35)*KFC!$C$5</f>
        <v>173.4624564767679</v>
      </c>
      <c r="G159" s="796">
        <f>(AH159*KFC!$B$35+KFC!$C$35)*KFC!$C$5</f>
        <v>193.0534499763572</v>
      </c>
      <c r="H159" s="796">
        <f>(AI159*KFC!$B$35+KFC!$C$35)*KFC!$C$5</f>
        <v>212.64444347594647</v>
      </c>
      <c r="I159" s="796">
        <f>(AJ159*KFC!$B$35+KFC!$C$35)*KFC!$C$5</f>
        <v>232.23543697553578</v>
      </c>
      <c r="J159" s="796">
        <f>(AK159*KFC!$B$35+KFC!$C$35)*KFC!$C$5</f>
        <v>251.82643047512505</v>
      </c>
      <c r="K159" s="796">
        <f>(AL159*KFC!$B$35+KFC!$C$35)*KFC!$C$5</f>
        <v>271.41742397471432</v>
      </c>
      <c r="L159" s="796">
        <f>(AM159*KFC!$B$35+KFC!$C$35)*KFC!$C$5</f>
        <v>291.00841747430366</v>
      </c>
      <c r="M159" s="796">
        <f>(AN159*KFC!$B$35+KFC!$C$35)*KFC!$C$5</f>
        <v>310.59941097389293</v>
      </c>
      <c r="N159" s="796">
        <f>(AO159*KFC!$B$35+KFC!$C$35)*KFC!$C$5</f>
        <v>330.1904044734822</v>
      </c>
      <c r="O159" s="796">
        <f>(AP159*KFC!$B$35+KFC!$C$35)*KFC!$C$5</f>
        <v>349.78139797307148</v>
      </c>
      <c r="P159" s="796">
        <f>(AQ159*KFC!$B$35+KFC!$C$35)*KFC!$C$5</f>
        <v>369.37239147266075</v>
      </c>
      <c r="Q159" s="796">
        <f>(AR159*KFC!$B$35+KFC!$C$35)*KFC!$C$5</f>
        <v>388.96338497225008</v>
      </c>
      <c r="R159" s="796">
        <f>(AS159*KFC!$B$35+KFC!$C$35)*KFC!$C$5</f>
        <v>408.55437847183936</v>
      </c>
      <c r="S159" s="796">
        <f>(AT159*KFC!$B$35+KFC!$C$35)*KFC!$C$5</f>
        <v>428.14537197142863</v>
      </c>
      <c r="T159" s="796">
        <f>(AU159*KFC!$B$35+KFC!$C$35)*KFC!$C$5</f>
        <v>447.7363654710179</v>
      </c>
      <c r="U159" s="796">
        <f>(AV159*KFC!$B$35+KFC!$C$35)*KFC!$C$5</f>
        <v>467.32735897060718</v>
      </c>
      <c r="V159" s="796">
        <f>(AW159*KFC!$B$35+KFC!$C$35)*KFC!$C$5</f>
        <v>486.91835247019651</v>
      </c>
      <c r="W159" s="796">
        <f>(AX159*KFC!$B$35+KFC!$C$35)*KFC!$C$5</f>
        <v>506.50934596978578</v>
      </c>
      <c r="X159" s="796">
        <f>(AY159*KFC!$B$35+KFC!$C$35)*KFC!$C$5</f>
        <v>526.10033946937506</v>
      </c>
      <c r="Y159" s="796">
        <f>(AZ159*KFC!$B$35+KFC!$C$35)*KFC!$C$5</f>
        <v>545.69133296896439</v>
      </c>
      <c r="Z159" s="814">
        <f>(BA159*KFC!$B$35+KFC!$C$35)*KFC!$C$5</f>
        <v>565.28232646855361</v>
      </c>
      <c r="AB159" s="1912"/>
      <c r="AC159" s="799">
        <v>3.6</v>
      </c>
      <c r="AD159" s="797">
        <v>114.68947597800008</v>
      </c>
      <c r="AE159" s="797">
        <v>134.28046947758935</v>
      </c>
      <c r="AF159" s="797">
        <v>153.87146297717862</v>
      </c>
      <c r="AG159" s="797">
        <v>173.4624564767679</v>
      </c>
      <c r="AH159" s="797">
        <v>193.0534499763572</v>
      </c>
      <c r="AI159" s="797">
        <v>212.64444347594647</v>
      </c>
      <c r="AJ159" s="797">
        <v>232.23543697553578</v>
      </c>
      <c r="AK159" s="797">
        <v>251.82643047512505</v>
      </c>
      <c r="AL159" s="797">
        <v>271.41742397471432</v>
      </c>
      <c r="AM159" s="797">
        <v>291.00841747430366</v>
      </c>
      <c r="AN159" s="797">
        <v>310.59941097389293</v>
      </c>
      <c r="AO159" s="797">
        <v>330.1904044734822</v>
      </c>
      <c r="AP159" s="797">
        <v>349.78139797307148</v>
      </c>
      <c r="AQ159" s="797">
        <v>369.37239147266075</v>
      </c>
      <c r="AR159" s="797">
        <v>388.96338497225008</v>
      </c>
      <c r="AS159" s="797">
        <v>408.55437847183936</v>
      </c>
      <c r="AT159" s="797">
        <v>428.14537197142863</v>
      </c>
      <c r="AU159" s="797">
        <v>447.7363654710179</v>
      </c>
      <c r="AV159" s="797">
        <v>467.32735897060718</v>
      </c>
      <c r="AW159" s="797">
        <v>486.91835247019651</v>
      </c>
      <c r="AX159" s="797">
        <v>506.50934596978578</v>
      </c>
      <c r="AY159" s="797">
        <v>526.10033946937506</v>
      </c>
      <c r="AZ159" s="797">
        <v>545.69133296896439</v>
      </c>
      <c r="BA159" s="797">
        <v>565.28232646855361</v>
      </c>
    </row>
    <row r="160" spans="1:53">
      <c r="A160" s="1912"/>
      <c r="B160" s="799">
        <v>3.7</v>
      </c>
      <c r="C160" s="796">
        <f>(AD160*KFC!$B$35+KFC!$C$35)*KFC!$C$5</f>
        <v>116.40526548600008</v>
      </c>
      <c r="D160" s="796">
        <f>(AE160*KFC!$B$35+KFC!$C$35)*KFC!$C$5</f>
        <v>136.42512804178577</v>
      </c>
      <c r="E160" s="796">
        <f>(AF160*KFC!$B$35+KFC!$C$35)*KFC!$C$5</f>
        <v>156.44499059757149</v>
      </c>
      <c r="F160" s="796">
        <f>(AG160*KFC!$B$35+KFC!$C$35)*KFC!$C$5</f>
        <v>176.46485315335718</v>
      </c>
      <c r="G160" s="796">
        <f>(AH160*KFC!$B$35+KFC!$C$35)*KFC!$C$5</f>
        <v>196.4847157091429</v>
      </c>
      <c r="H160" s="796">
        <f>(AI160*KFC!$B$35+KFC!$C$35)*KFC!$C$5</f>
        <v>216.5045782649286</v>
      </c>
      <c r="I160" s="796">
        <f>(AJ160*KFC!$B$35+KFC!$C$35)*KFC!$C$5</f>
        <v>236.52444082071429</v>
      </c>
      <c r="J160" s="796">
        <f>(AK160*KFC!$B$35+KFC!$C$35)*KFC!$C$5</f>
        <v>256.54430337649995</v>
      </c>
      <c r="K160" s="796">
        <f>(AL160*KFC!$B$35+KFC!$C$35)*KFC!$C$5</f>
        <v>276.56416593228562</v>
      </c>
      <c r="L160" s="796">
        <f>(AM160*KFC!$B$35+KFC!$C$35)*KFC!$C$5</f>
        <v>296.58402848807134</v>
      </c>
      <c r="M160" s="796">
        <f>(AN160*KFC!$B$35+KFC!$C$35)*KFC!$C$5</f>
        <v>316.603891043857</v>
      </c>
      <c r="N160" s="796">
        <f>(AO160*KFC!$B$35+KFC!$C$35)*KFC!$C$5</f>
        <v>336.62375359964273</v>
      </c>
      <c r="O160" s="796">
        <f>(AP160*KFC!$B$35+KFC!$C$35)*KFC!$C$5</f>
        <v>356.64361615542839</v>
      </c>
      <c r="P160" s="796">
        <f>(AQ160*KFC!$B$35+KFC!$C$35)*KFC!$C$5</f>
        <v>376.66347871121405</v>
      </c>
      <c r="Q160" s="796">
        <f>(AR160*KFC!$B$35+KFC!$C$35)*KFC!$C$5</f>
        <v>396.68334126699978</v>
      </c>
      <c r="R160" s="796">
        <f>(AS160*KFC!$B$35+KFC!$C$35)*KFC!$C$5</f>
        <v>416.70320382278544</v>
      </c>
      <c r="S160" s="796">
        <f>(AT160*KFC!$B$35+KFC!$C$35)*KFC!$C$5</f>
        <v>436.7230663785711</v>
      </c>
      <c r="T160" s="796">
        <f>(AU160*KFC!$B$35+KFC!$C$35)*KFC!$C$5</f>
        <v>456.74292893435683</v>
      </c>
      <c r="U160" s="796">
        <f>(AV160*KFC!$B$35+KFC!$C$35)*KFC!$C$5</f>
        <v>476.76279149014249</v>
      </c>
      <c r="V160" s="796">
        <f>(AW160*KFC!$B$35+KFC!$C$35)*KFC!$C$5</f>
        <v>496.78265404592815</v>
      </c>
      <c r="W160" s="796">
        <f>(AX160*KFC!$B$35+KFC!$C$35)*KFC!$C$5</f>
        <v>516.80251660171382</v>
      </c>
      <c r="X160" s="796">
        <f>(AY160*KFC!$B$35+KFC!$C$35)*KFC!$C$5</f>
        <v>536.82237915749954</v>
      </c>
      <c r="Y160" s="796">
        <f>(AZ160*KFC!$B$35+KFC!$C$35)*KFC!$C$5</f>
        <v>556.84224171328526</v>
      </c>
      <c r="Z160" s="814">
        <f>(BA160*KFC!$B$35+KFC!$C$35)*KFC!$C$5</f>
        <v>576.86210426907087</v>
      </c>
      <c r="AB160" s="1912"/>
      <c r="AC160" s="799">
        <v>3.7</v>
      </c>
      <c r="AD160" s="797">
        <v>116.40526548600008</v>
      </c>
      <c r="AE160" s="797">
        <v>136.42512804178577</v>
      </c>
      <c r="AF160" s="797">
        <v>156.44499059757149</v>
      </c>
      <c r="AG160" s="797">
        <v>176.46485315335718</v>
      </c>
      <c r="AH160" s="797">
        <v>196.4847157091429</v>
      </c>
      <c r="AI160" s="797">
        <v>216.5045782649286</v>
      </c>
      <c r="AJ160" s="797">
        <v>236.52444082071429</v>
      </c>
      <c r="AK160" s="797">
        <v>256.54430337649995</v>
      </c>
      <c r="AL160" s="797">
        <v>276.56416593228562</v>
      </c>
      <c r="AM160" s="797">
        <v>296.58402848807134</v>
      </c>
      <c r="AN160" s="797">
        <v>316.603891043857</v>
      </c>
      <c r="AO160" s="797">
        <v>336.62375359964273</v>
      </c>
      <c r="AP160" s="797">
        <v>356.64361615542839</v>
      </c>
      <c r="AQ160" s="797">
        <v>376.66347871121405</v>
      </c>
      <c r="AR160" s="797">
        <v>396.68334126699978</v>
      </c>
      <c r="AS160" s="797">
        <v>416.70320382278544</v>
      </c>
      <c r="AT160" s="797">
        <v>436.7230663785711</v>
      </c>
      <c r="AU160" s="797">
        <v>456.74292893435683</v>
      </c>
      <c r="AV160" s="797">
        <v>476.76279149014249</v>
      </c>
      <c r="AW160" s="797">
        <v>496.78265404592815</v>
      </c>
      <c r="AX160" s="797">
        <v>516.80251660171382</v>
      </c>
      <c r="AY160" s="797">
        <v>536.82237915749954</v>
      </c>
      <c r="AZ160" s="797">
        <v>556.84224171328526</v>
      </c>
      <c r="BA160" s="797">
        <v>576.86210426907087</v>
      </c>
    </row>
    <row r="161" spans="1:53">
      <c r="A161" s="1912"/>
      <c r="B161" s="799">
        <v>3.8</v>
      </c>
      <c r="C161" s="796">
        <f>(AD161*KFC!$B$35+KFC!$C$35)*KFC!$C$5</f>
        <v>118.12105499400008</v>
      </c>
      <c r="D161" s="796">
        <f>(AE161*KFC!$B$35+KFC!$C$35)*KFC!$C$5</f>
        <v>138.56978660598222</v>
      </c>
      <c r="E161" s="796">
        <f>(AF161*KFC!$B$35+KFC!$C$35)*KFC!$C$5</f>
        <v>159.01851821796436</v>
      </c>
      <c r="F161" s="796">
        <f>(AG161*KFC!$B$35+KFC!$C$35)*KFC!$C$5</f>
        <v>179.4672498299465</v>
      </c>
      <c r="G161" s="796">
        <f>(AH161*KFC!$B$35+KFC!$C$35)*KFC!$C$5</f>
        <v>199.91598144192861</v>
      </c>
      <c r="H161" s="796">
        <f>(AI161*KFC!$B$35+KFC!$C$35)*KFC!$C$5</f>
        <v>220.36471305391075</v>
      </c>
      <c r="I161" s="796">
        <f>(AJ161*KFC!$B$35+KFC!$C$35)*KFC!$C$5</f>
        <v>240.81344466589286</v>
      </c>
      <c r="J161" s="796">
        <f>(AK161*KFC!$B$35+KFC!$C$35)*KFC!$C$5</f>
        <v>261.26217627787497</v>
      </c>
      <c r="K161" s="796">
        <f>(AL161*KFC!$B$35+KFC!$C$35)*KFC!$C$5</f>
        <v>281.71090788985708</v>
      </c>
      <c r="L161" s="796">
        <f>(AM161*KFC!$B$35+KFC!$C$35)*KFC!$C$5</f>
        <v>302.15963950183919</v>
      </c>
      <c r="M161" s="796">
        <f>(AN161*KFC!$B$35+KFC!$C$35)*KFC!$C$5</f>
        <v>322.60837111382136</v>
      </c>
      <c r="N161" s="796">
        <f>(AO161*KFC!$B$35+KFC!$C$35)*KFC!$C$5</f>
        <v>343.05710272580347</v>
      </c>
      <c r="O161" s="796">
        <f>(AP161*KFC!$B$35+KFC!$C$35)*KFC!$C$5</f>
        <v>363.50583433778564</v>
      </c>
      <c r="P161" s="796">
        <f>(AQ161*KFC!$B$35+KFC!$C$35)*KFC!$C$5</f>
        <v>383.95456594976781</v>
      </c>
      <c r="Q161" s="796">
        <f>(AR161*KFC!$B$35+KFC!$C$35)*KFC!$C$5</f>
        <v>404.40329756174998</v>
      </c>
      <c r="R161" s="796">
        <f>(AS161*KFC!$B$35+KFC!$C$35)*KFC!$C$5</f>
        <v>424.85202917373215</v>
      </c>
      <c r="S161" s="796">
        <f>(AT161*KFC!$B$35+KFC!$C$35)*KFC!$C$5</f>
        <v>445.30076078571426</v>
      </c>
      <c r="T161" s="796">
        <f>(AU161*KFC!$B$35+KFC!$C$35)*KFC!$C$5</f>
        <v>465.74949239769643</v>
      </c>
      <c r="U161" s="796">
        <f>(AV161*KFC!$B$35+KFC!$C$35)*KFC!$C$5</f>
        <v>486.1982240096786</v>
      </c>
      <c r="V161" s="796">
        <f>(AW161*KFC!$B$35+KFC!$C$35)*KFC!$C$5</f>
        <v>506.64695562166077</v>
      </c>
      <c r="W161" s="796">
        <f>(AX161*KFC!$B$35+KFC!$C$35)*KFC!$C$5</f>
        <v>527.09568723364293</v>
      </c>
      <c r="X161" s="796">
        <f>(AY161*KFC!$B$35+KFC!$C$35)*KFC!$C$5</f>
        <v>547.54441884562505</v>
      </c>
      <c r="Y161" s="796">
        <f>(AZ161*KFC!$B$35+KFC!$C$35)*KFC!$C$5</f>
        <v>567.99315045760727</v>
      </c>
      <c r="Z161" s="814">
        <f>(BA161*KFC!$B$35+KFC!$C$35)*KFC!$C$5</f>
        <v>588.44188206958938</v>
      </c>
      <c r="AB161" s="1912"/>
      <c r="AC161" s="799">
        <v>3.8</v>
      </c>
      <c r="AD161" s="797">
        <v>118.12105499400008</v>
      </c>
      <c r="AE161" s="797">
        <v>138.56978660598222</v>
      </c>
      <c r="AF161" s="797">
        <v>159.01851821796436</v>
      </c>
      <c r="AG161" s="797">
        <v>179.4672498299465</v>
      </c>
      <c r="AH161" s="797">
        <v>199.91598144192861</v>
      </c>
      <c r="AI161" s="797">
        <v>220.36471305391075</v>
      </c>
      <c r="AJ161" s="797">
        <v>240.81344466589286</v>
      </c>
      <c r="AK161" s="797">
        <v>261.26217627787497</v>
      </c>
      <c r="AL161" s="797">
        <v>281.71090788985708</v>
      </c>
      <c r="AM161" s="797">
        <v>302.15963950183919</v>
      </c>
      <c r="AN161" s="797">
        <v>322.60837111382136</v>
      </c>
      <c r="AO161" s="797">
        <v>343.05710272580347</v>
      </c>
      <c r="AP161" s="797">
        <v>363.50583433778564</v>
      </c>
      <c r="AQ161" s="797">
        <v>383.95456594976781</v>
      </c>
      <c r="AR161" s="797">
        <v>404.40329756174998</v>
      </c>
      <c r="AS161" s="797">
        <v>424.85202917373215</v>
      </c>
      <c r="AT161" s="797">
        <v>445.30076078571426</v>
      </c>
      <c r="AU161" s="797">
        <v>465.74949239769643</v>
      </c>
      <c r="AV161" s="797">
        <v>486.1982240096786</v>
      </c>
      <c r="AW161" s="797">
        <v>506.64695562166077</v>
      </c>
      <c r="AX161" s="797">
        <v>527.09568723364293</v>
      </c>
      <c r="AY161" s="797">
        <v>547.54441884562505</v>
      </c>
      <c r="AZ161" s="797">
        <v>567.99315045760727</v>
      </c>
      <c r="BA161" s="797">
        <v>588.44188206958938</v>
      </c>
    </row>
    <row r="162" spans="1:53">
      <c r="A162" s="1912"/>
      <c r="B162" s="799">
        <v>3.9</v>
      </c>
      <c r="C162" s="796">
        <f>(AD162*KFC!$B$35+KFC!$C$35)*KFC!$C$5</f>
        <v>119.83684450200008</v>
      </c>
      <c r="D162" s="796">
        <f>(AE162*KFC!$B$35+KFC!$C$35)*KFC!$C$5</f>
        <v>140.71444517017864</v>
      </c>
      <c r="E162" s="796">
        <f>(AF162*KFC!$B$35+KFC!$C$35)*KFC!$C$5</f>
        <v>161.59204583835719</v>
      </c>
      <c r="F162" s="796">
        <f>(AG162*KFC!$B$35+KFC!$C$35)*KFC!$C$5</f>
        <v>182.46964650653578</v>
      </c>
      <c r="G162" s="796">
        <f>(AH162*KFC!$B$35+KFC!$C$35)*KFC!$C$5</f>
        <v>203.34724717471431</v>
      </c>
      <c r="H162" s="796">
        <f>(AI162*KFC!$B$35+KFC!$C$35)*KFC!$C$5</f>
        <v>224.22484784289287</v>
      </c>
      <c r="I162" s="796">
        <f>(AJ162*KFC!$B$35+KFC!$C$35)*KFC!$C$5</f>
        <v>245.10244851107143</v>
      </c>
      <c r="J162" s="796">
        <f>(AK162*KFC!$B$35+KFC!$C$35)*KFC!$C$5</f>
        <v>265.98004917924999</v>
      </c>
      <c r="K162" s="796">
        <f>(AL162*KFC!$B$35+KFC!$C$35)*KFC!$C$5</f>
        <v>286.85764984742855</v>
      </c>
      <c r="L162" s="796">
        <f>(AM162*KFC!$B$35+KFC!$C$35)*KFC!$C$5</f>
        <v>307.73525051560711</v>
      </c>
      <c r="M162" s="796">
        <f>(AN162*KFC!$B$35+KFC!$C$35)*KFC!$C$5</f>
        <v>328.61285118378566</v>
      </c>
      <c r="N162" s="796">
        <f>(AO162*KFC!$B$35+KFC!$C$35)*KFC!$C$5</f>
        <v>349.49045185196422</v>
      </c>
      <c r="O162" s="796">
        <f>(AP162*KFC!$B$35+KFC!$C$35)*KFC!$C$5</f>
        <v>370.36805252014278</v>
      </c>
      <c r="P162" s="796">
        <f>(AQ162*KFC!$B$35+KFC!$C$35)*KFC!$C$5</f>
        <v>391.24565318832134</v>
      </c>
      <c r="Q162" s="796">
        <f>(AR162*KFC!$B$35+KFC!$C$35)*KFC!$C$5</f>
        <v>412.1232538564999</v>
      </c>
      <c r="R162" s="796">
        <f>(AS162*KFC!$B$35+KFC!$C$35)*KFC!$C$5</f>
        <v>433.00085452467846</v>
      </c>
      <c r="S162" s="796">
        <f>(AT162*KFC!$B$35+KFC!$C$35)*KFC!$C$5</f>
        <v>453.87845519285702</v>
      </c>
      <c r="T162" s="796">
        <f>(AU162*KFC!$B$35+KFC!$C$35)*KFC!$C$5</f>
        <v>474.75605586103558</v>
      </c>
      <c r="U162" s="796">
        <f>(AV162*KFC!$B$35+KFC!$C$35)*KFC!$C$5</f>
        <v>495.63365652921414</v>
      </c>
      <c r="V162" s="796">
        <f>(AW162*KFC!$B$35+KFC!$C$35)*KFC!$C$5</f>
        <v>516.51125719739264</v>
      </c>
      <c r="W162" s="796">
        <f>(AX162*KFC!$B$35+KFC!$C$35)*KFC!$C$5</f>
        <v>537.38885786557125</v>
      </c>
      <c r="X162" s="796">
        <f>(AY162*KFC!$B$35+KFC!$C$35)*KFC!$C$5</f>
        <v>558.26645853374976</v>
      </c>
      <c r="Y162" s="796">
        <f>(AZ162*KFC!$B$35+KFC!$C$35)*KFC!$C$5</f>
        <v>579.14405920192837</v>
      </c>
      <c r="Z162" s="814">
        <f>(BA162*KFC!$B$35+KFC!$C$35)*KFC!$C$5</f>
        <v>600.02165987010687</v>
      </c>
      <c r="AB162" s="1912"/>
      <c r="AC162" s="799">
        <v>3.9</v>
      </c>
      <c r="AD162" s="797">
        <v>119.83684450200008</v>
      </c>
      <c r="AE162" s="797">
        <v>140.71444517017864</v>
      </c>
      <c r="AF162" s="797">
        <v>161.59204583835719</v>
      </c>
      <c r="AG162" s="797">
        <v>182.46964650653578</v>
      </c>
      <c r="AH162" s="797">
        <v>203.34724717471431</v>
      </c>
      <c r="AI162" s="797">
        <v>224.22484784289287</v>
      </c>
      <c r="AJ162" s="797">
        <v>245.10244851107143</v>
      </c>
      <c r="AK162" s="797">
        <v>265.98004917924999</v>
      </c>
      <c r="AL162" s="797">
        <v>286.85764984742855</v>
      </c>
      <c r="AM162" s="797">
        <v>307.73525051560711</v>
      </c>
      <c r="AN162" s="797">
        <v>328.61285118378566</v>
      </c>
      <c r="AO162" s="797">
        <v>349.49045185196422</v>
      </c>
      <c r="AP162" s="797">
        <v>370.36805252014278</v>
      </c>
      <c r="AQ162" s="797">
        <v>391.24565318832134</v>
      </c>
      <c r="AR162" s="797">
        <v>412.1232538564999</v>
      </c>
      <c r="AS162" s="797">
        <v>433.00085452467846</v>
      </c>
      <c r="AT162" s="797">
        <v>453.87845519285702</v>
      </c>
      <c r="AU162" s="797">
        <v>474.75605586103558</v>
      </c>
      <c r="AV162" s="797">
        <v>495.63365652921414</v>
      </c>
      <c r="AW162" s="797">
        <v>516.51125719739264</v>
      </c>
      <c r="AX162" s="797">
        <v>537.38885786557125</v>
      </c>
      <c r="AY162" s="797">
        <v>558.26645853374976</v>
      </c>
      <c r="AZ162" s="797">
        <v>579.14405920192837</v>
      </c>
      <c r="BA162" s="797">
        <v>600.02165987010687</v>
      </c>
    </row>
    <row r="163" spans="1:53" ht="13.8" thickBot="1">
      <c r="A163" s="1913"/>
      <c r="B163" s="800">
        <v>4</v>
      </c>
      <c r="C163" s="801">
        <f>(AD163*KFC!$B$35+KFC!$C$35)*KFC!$C$5</f>
        <v>121.55263400999999</v>
      </c>
      <c r="D163" s="801">
        <f>(AE163*KFC!$B$35+KFC!$C$35)*KFC!$C$5</f>
        <v>142.85910373437497</v>
      </c>
      <c r="E163" s="801">
        <f>(AF163*KFC!$B$35+KFC!$C$35)*KFC!$C$5</f>
        <v>164.16557345874998</v>
      </c>
      <c r="F163" s="801">
        <f>(AG163*KFC!$B$35+KFC!$C$35)*KFC!$C$5</f>
        <v>185.47204318312495</v>
      </c>
      <c r="G163" s="801">
        <f>(AH163*KFC!$B$35+KFC!$C$35)*KFC!$C$5</f>
        <v>206.77851290749996</v>
      </c>
      <c r="H163" s="801">
        <f>(AI163*KFC!$B$35+KFC!$C$35)*KFC!$C$5</f>
        <v>228.08498263187496</v>
      </c>
      <c r="I163" s="801">
        <f>(AJ163*KFC!$B$35+KFC!$C$35)*KFC!$C$5</f>
        <v>249.39145235624994</v>
      </c>
      <c r="J163" s="801">
        <f>(AK163*KFC!$B$35+KFC!$C$35)*KFC!$C$5</f>
        <v>270.69792208062495</v>
      </c>
      <c r="K163" s="801">
        <f>(AL163*KFC!$B$35+KFC!$C$35)*KFC!$C$5</f>
        <v>292.00439180499995</v>
      </c>
      <c r="L163" s="801">
        <f>(AM163*KFC!$B$35+KFC!$C$35)*KFC!$C$5</f>
        <v>313.3108615293749</v>
      </c>
      <c r="M163" s="801">
        <f>(AN163*KFC!$B$35+KFC!$C$35)*KFC!$C$5</f>
        <v>334.61733125374991</v>
      </c>
      <c r="N163" s="801">
        <f>(AO163*KFC!$B$35+KFC!$C$35)*KFC!$C$5</f>
        <v>355.92380097812497</v>
      </c>
      <c r="O163" s="801">
        <f>(AP163*KFC!$B$35+KFC!$C$35)*KFC!$C$5</f>
        <v>377.23027070249998</v>
      </c>
      <c r="P163" s="801">
        <f>(AQ163*KFC!$B$35+KFC!$C$35)*KFC!$C$5</f>
        <v>398.53674042687499</v>
      </c>
      <c r="Q163" s="801">
        <f>(AR163*KFC!$B$35+KFC!$C$35)*KFC!$C$5</f>
        <v>419.84321015125005</v>
      </c>
      <c r="R163" s="801">
        <f>(AS163*KFC!$B$35+KFC!$C$35)*KFC!$C$5</f>
        <v>441.14967987562505</v>
      </c>
      <c r="S163" s="801">
        <f>(AT163*KFC!$B$35+KFC!$C$35)*KFC!$C$5</f>
        <v>462.45614960000012</v>
      </c>
      <c r="T163" s="801">
        <f>(AU163*KFC!$B$35+KFC!$C$35)*KFC!$C$5</f>
        <v>483.76261932437512</v>
      </c>
      <c r="U163" s="801">
        <f>(AV163*KFC!$B$35+KFC!$C$35)*KFC!$C$5</f>
        <v>505.06908904875013</v>
      </c>
      <c r="V163" s="801">
        <f>(AW163*KFC!$B$35+KFC!$C$35)*KFC!$C$5</f>
        <v>526.37555877312514</v>
      </c>
      <c r="W163" s="801">
        <f>(AX163*KFC!$B$35+KFC!$C$35)*KFC!$C$5</f>
        <v>547.68202849750026</v>
      </c>
      <c r="X163" s="801">
        <f>(AY163*KFC!$B$35+KFC!$C$35)*KFC!$C$5</f>
        <v>568.98849822187526</v>
      </c>
      <c r="Y163" s="801">
        <f>(AZ163*KFC!$B$35+KFC!$C$35)*KFC!$C$5</f>
        <v>590.29496794625027</v>
      </c>
      <c r="Z163" s="815">
        <f>(BA163*KFC!$B$35+KFC!$C$35)*KFC!$C$5</f>
        <v>611.60143767062527</v>
      </c>
      <c r="AB163" s="1913"/>
      <c r="AC163" s="800">
        <v>4</v>
      </c>
      <c r="AD163" s="797">
        <v>121.55263400999999</v>
      </c>
      <c r="AE163" s="797">
        <v>142.85910373437497</v>
      </c>
      <c r="AF163" s="797">
        <v>164.16557345874998</v>
      </c>
      <c r="AG163" s="797">
        <v>185.47204318312495</v>
      </c>
      <c r="AH163" s="797">
        <v>206.77851290749996</v>
      </c>
      <c r="AI163" s="797">
        <v>228.08498263187496</v>
      </c>
      <c r="AJ163" s="797">
        <v>249.39145235624994</v>
      </c>
      <c r="AK163" s="797">
        <v>270.69792208062495</v>
      </c>
      <c r="AL163" s="797">
        <v>292.00439180499995</v>
      </c>
      <c r="AM163" s="797">
        <v>313.3108615293749</v>
      </c>
      <c r="AN163" s="797">
        <v>334.61733125374991</v>
      </c>
      <c r="AO163" s="797">
        <v>355.92380097812497</v>
      </c>
      <c r="AP163" s="797">
        <v>377.23027070249998</v>
      </c>
      <c r="AQ163" s="797">
        <v>398.53674042687499</v>
      </c>
      <c r="AR163" s="797">
        <v>419.84321015125005</v>
      </c>
      <c r="AS163" s="797">
        <v>441.14967987562505</v>
      </c>
      <c r="AT163" s="797">
        <v>462.45614960000012</v>
      </c>
      <c r="AU163" s="797">
        <v>483.76261932437512</v>
      </c>
      <c r="AV163" s="797">
        <v>505.06908904875013</v>
      </c>
      <c r="AW163" s="797">
        <v>526.37555877312514</v>
      </c>
      <c r="AX163" s="797">
        <v>547.68202849750026</v>
      </c>
      <c r="AY163" s="797">
        <v>568.98849822187526</v>
      </c>
      <c r="AZ163" s="797">
        <v>590.29496794625027</v>
      </c>
      <c r="BA163" s="797">
        <v>611.60143767062527</v>
      </c>
    </row>
    <row r="164" spans="1:53">
      <c r="A164" s="185" t="s">
        <v>303</v>
      </c>
      <c r="B164" s="672"/>
      <c r="C164" s="673"/>
      <c r="D164" s="673"/>
      <c r="E164" s="673"/>
      <c r="F164" s="673"/>
      <c r="G164" s="673"/>
      <c r="H164" s="673"/>
      <c r="I164" s="673"/>
      <c r="J164" s="673"/>
      <c r="K164" s="673"/>
      <c r="L164" s="673"/>
      <c r="M164" s="673"/>
      <c r="N164" s="673"/>
      <c r="O164" s="673"/>
      <c r="P164" s="673"/>
    </row>
    <row r="165" spans="1:53">
      <c r="A165" s="500" t="s">
        <v>1132</v>
      </c>
      <c r="B165" s="672"/>
      <c r="C165" s="673"/>
      <c r="D165" s="673"/>
      <c r="E165" s="673"/>
      <c r="F165" s="673"/>
      <c r="G165" s="673"/>
      <c r="H165" s="673"/>
      <c r="I165" s="673"/>
      <c r="J165" s="673"/>
      <c r="K165" s="673"/>
      <c r="L165" s="673"/>
      <c r="M165" s="673"/>
      <c r="N165" s="673"/>
      <c r="O165" s="673"/>
      <c r="P165" s="673"/>
    </row>
    <row r="166" spans="1:53" ht="13.95" customHeight="1" thickBot="1">
      <c r="A166" s="1939" t="s">
        <v>1129</v>
      </c>
      <c r="B166" s="1939"/>
      <c r="C166" s="1939"/>
      <c r="D166" s="1939"/>
      <c r="E166" s="1939"/>
      <c r="F166" s="1939"/>
      <c r="G166" s="1939"/>
      <c r="H166" s="1939"/>
      <c r="I166" s="1939"/>
      <c r="J166" s="1939"/>
      <c r="K166" s="1939"/>
      <c r="L166" s="1939"/>
      <c r="M166" s="1939"/>
      <c r="N166" s="1939"/>
      <c r="O166" s="1939"/>
      <c r="P166" s="1939"/>
      <c r="Q166" s="1939"/>
      <c r="R166" s="1939"/>
      <c r="S166" s="1939"/>
      <c r="T166" s="1939"/>
      <c r="U166" s="1939"/>
      <c r="V166" s="1939"/>
      <c r="W166" s="1939"/>
      <c r="X166" s="1939"/>
      <c r="Y166" s="1939"/>
      <c r="Z166" s="1939"/>
    </row>
    <row r="167" spans="1:53" ht="13.8" thickBot="1">
      <c r="A167" s="1620" t="s">
        <v>182</v>
      </c>
      <c r="B167" s="1621"/>
      <c r="C167" s="1621"/>
      <c r="D167" s="1621"/>
      <c r="E167" s="1621"/>
      <c r="F167" s="1621"/>
      <c r="G167" s="1621"/>
      <c r="H167" s="1621"/>
      <c r="I167" s="1621"/>
      <c r="J167" s="1621"/>
      <c r="K167" s="1621"/>
      <c r="L167" s="1621"/>
      <c r="M167" s="1621"/>
      <c r="N167" s="1621"/>
      <c r="O167" s="1621"/>
      <c r="P167" s="1621"/>
      <c r="Q167" s="1621"/>
      <c r="R167" s="1621"/>
      <c r="S167" s="1621"/>
      <c r="T167" s="1621"/>
      <c r="U167" s="1621"/>
      <c r="V167" s="1621"/>
      <c r="W167" s="1621"/>
      <c r="X167" s="1621"/>
      <c r="Y167" s="1621"/>
      <c r="Z167" s="1622"/>
      <c r="AA167" s="684"/>
    </row>
    <row r="168" spans="1:53">
      <c r="A168" s="1283" t="s">
        <v>1133</v>
      </c>
      <c r="B168" s="1283"/>
      <c r="C168" s="1283"/>
      <c r="D168" s="1283"/>
      <c r="E168" s="1283"/>
      <c r="F168" s="1283"/>
      <c r="G168" s="1283"/>
      <c r="H168" s="1283"/>
      <c r="I168" s="1283"/>
      <c r="J168" s="1283"/>
      <c r="K168" s="1283"/>
      <c r="L168" s="1283"/>
      <c r="M168" s="1283"/>
      <c r="N168" s="1283"/>
      <c r="O168" s="1283"/>
      <c r="P168" s="1283"/>
      <c r="Q168" s="462"/>
      <c r="R168" s="462"/>
      <c r="S168" s="462"/>
      <c r="T168" s="462"/>
      <c r="U168" s="462"/>
      <c r="V168" s="462"/>
      <c r="W168" s="462"/>
      <c r="X168" s="462"/>
      <c r="Y168" s="462"/>
      <c r="Z168" s="462"/>
      <c r="AA168" s="462"/>
    </row>
    <row r="169" spans="1:53">
      <c r="A169" s="1283" t="s">
        <v>764</v>
      </c>
      <c r="B169" s="1283"/>
      <c r="C169" s="1283"/>
      <c r="D169" s="1283"/>
      <c r="E169" s="687">
        <f>(2.24*KFC!$B$34+KFC!$C$34)*KFC!$C$5</f>
        <v>2.2400000000000002</v>
      </c>
      <c r="F169" s="1751" t="s">
        <v>773</v>
      </c>
      <c r="G169" s="1283"/>
      <c r="H169" s="1283"/>
      <c r="I169" s="1752"/>
      <c r="J169" s="677">
        <f>(3.55*KFC!$B$34+KFC!$C$34)*KFC!$C$5</f>
        <v>3.55</v>
      </c>
      <c r="K169" s="1738" t="s">
        <v>774</v>
      </c>
      <c r="L169" s="1567"/>
      <c r="M169" s="1567"/>
      <c r="N169" s="1567"/>
      <c r="O169" s="678"/>
      <c r="P169" s="678"/>
      <c r="Q169" s="462"/>
      <c r="R169" s="462"/>
      <c r="S169" s="462"/>
      <c r="T169" s="462"/>
      <c r="U169" s="462"/>
      <c r="V169" s="462"/>
      <c r="W169" s="462"/>
      <c r="X169" s="462"/>
      <c r="Y169" s="462"/>
      <c r="Z169" s="462"/>
      <c r="AA169" s="462"/>
    </row>
    <row r="170" spans="1:53">
      <c r="A170" s="1750" t="s">
        <v>1138</v>
      </c>
      <c r="B170" s="1750"/>
      <c r="C170" s="1750"/>
      <c r="D170" s="1750"/>
      <c r="E170" s="1750"/>
      <c r="F170" s="1750"/>
      <c r="G170" s="1750"/>
      <c r="H170" s="1750"/>
      <c r="I170" s="677">
        <f>(19.83*KFC!$B$34+KFC!$C$34)*KFC!$C$5</f>
        <v>19.829999999999998</v>
      </c>
      <c r="J170" s="308" t="s">
        <v>1019</v>
      </c>
      <c r="K170" s="308"/>
      <c r="L170" s="308"/>
      <c r="M170" s="688"/>
      <c r="N170" s="688"/>
      <c r="O170" s="678"/>
      <c r="P170" s="678"/>
      <c r="Q170" s="462"/>
      <c r="R170" s="462"/>
      <c r="S170" s="462"/>
      <c r="T170" s="462"/>
      <c r="U170" s="462"/>
      <c r="V170" s="462"/>
      <c r="W170" s="462"/>
      <c r="X170" s="462"/>
      <c r="Y170" s="462"/>
      <c r="Z170" s="462"/>
      <c r="AA170" s="462"/>
    </row>
    <row r="171" spans="1:53" ht="16.2" thickBot="1">
      <c r="A171" s="1644" t="s">
        <v>1136</v>
      </c>
      <c r="B171" s="1644"/>
      <c r="C171" s="1644"/>
      <c r="D171" s="1644"/>
      <c r="E171" s="1644"/>
      <c r="F171" s="1644"/>
      <c r="G171" s="1644"/>
      <c r="H171" s="1644"/>
      <c r="I171" s="1644"/>
      <c r="J171" s="1644"/>
      <c r="K171" s="1644"/>
      <c r="L171" s="1644"/>
      <c r="M171" s="1644"/>
      <c r="N171" s="1644"/>
      <c r="O171" s="1644"/>
      <c r="P171" s="1644"/>
      <c r="Q171" s="1644"/>
      <c r="R171" s="1644"/>
      <c r="S171" s="1644"/>
      <c r="T171" s="1644"/>
      <c r="U171" s="1644"/>
      <c r="V171" s="1644"/>
      <c r="W171" s="1644"/>
      <c r="X171" s="1644"/>
      <c r="Y171" s="1644"/>
      <c r="Z171" s="1644"/>
      <c r="AA171" s="1"/>
    </row>
    <row r="172" spans="1:53" ht="14.4" thickBot="1">
      <c r="A172" s="1"/>
      <c r="B172" s="1"/>
      <c r="C172" s="1"/>
      <c r="D172" s="1"/>
      <c r="E172" s="1"/>
      <c r="F172" s="1"/>
      <c r="G172" s="1"/>
      <c r="H172" s="1638" t="s">
        <v>88</v>
      </c>
      <c r="I172" s="1639"/>
      <c r="J172" s="1640"/>
      <c r="K172" s="1114" t="s">
        <v>87</v>
      </c>
      <c r="L172" s="1006"/>
      <c r="M172" s="1006"/>
      <c r="N172" s="1006"/>
      <c r="O172" s="1006"/>
      <c r="P172" s="1006"/>
      <c r="Q172" s="1006"/>
      <c r="R172" s="1006"/>
      <c r="S172" s="1115"/>
      <c r="T172" s="1641" t="s">
        <v>24</v>
      </c>
      <c r="U172" s="1642"/>
      <c r="V172" s="1"/>
      <c r="W172" s="1"/>
      <c r="X172" s="1"/>
      <c r="Y172" s="1"/>
      <c r="Z172" s="1"/>
      <c r="AA172" s="1"/>
    </row>
    <row r="173" spans="1:53" ht="13.8">
      <c r="A173" s="1"/>
      <c r="B173" s="1"/>
      <c r="C173" s="1"/>
      <c r="D173" s="1"/>
      <c r="E173" s="1"/>
      <c r="F173" s="1"/>
      <c r="G173" s="1"/>
      <c r="H173" s="1938" t="s">
        <v>89</v>
      </c>
      <c r="I173" s="1117"/>
      <c r="J173" s="1117"/>
      <c r="K173" s="1117" t="s">
        <v>704</v>
      </c>
      <c r="L173" s="1117"/>
      <c r="M173" s="1117"/>
      <c r="N173" s="1117"/>
      <c r="O173" s="1117"/>
      <c r="P173" s="1117"/>
      <c r="Q173" s="1117"/>
      <c r="R173" s="1117"/>
      <c r="S173" s="1117"/>
      <c r="T173" s="1655">
        <f>(348.1*KFC!$B$41+KFC!$C$41)*KFC!$C$5</f>
        <v>348.1</v>
      </c>
      <c r="U173" s="1656"/>
      <c r="V173" s="1"/>
      <c r="W173" s="1"/>
      <c r="X173" s="1"/>
      <c r="Y173" s="1"/>
      <c r="Z173" s="1"/>
      <c r="AA173" s="1"/>
    </row>
    <row r="174" spans="1:53" ht="14.4" thickBot="1">
      <c r="A174" s="1"/>
      <c r="B174" s="1"/>
      <c r="C174" s="1"/>
      <c r="D174" s="1"/>
      <c r="E174" s="1"/>
      <c r="F174" s="1"/>
      <c r="G174" s="1"/>
      <c r="H174" s="1377"/>
      <c r="I174" s="1118"/>
      <c r="J174" s="1118"/>
      <c r="K174" s="1647" t="s">
        <v>852</v>
      </c>
      <c r="L174" s="1118"/>
      <c r="M174" s="1118"/>
      <c r="N174" s="1118"/>
      <c r="O174" s="1118"/>
      <c r="P174" s="1118"/>
      <c r="Q174" s="1118"/>
      <c r="R174" s="1118"/>
      <c r="S174" s="1118"/>
      <c r="T174" s="1293"/>
      <c r="U174" s="1294"/>
      <c r="V174" s="1"/>
      <c r="W174" s="1"/>
      <c r="X174" s="1"/>
      <c r="Y174" s="1"/>
      <c r="Z174" s="1"/>
      <c r="AA174" s="1"/>
    </row>
    <row r="175" spans="1:53" ht="13.95" customHeight="1">
      <c r="A175" s="1"/>
      <c r="B175" s="1"/>
      <c r="C175" s="1"/>
      <c r="D175" s="1"/>
      <c r="E175" s="1"/>
      <c r="F175" s="1"/>
      <c r="G175" s="1"/>
      <c r="H175" s="1938" t="s">
        <v>89</v>
      </c>
      <c r="I175" s="1117"/>
      <c r="J175" s="1117"/>
      <c r="K175" s="1118" t="s">
        <v>705</v>
      </c>
      <c r="L175" s="1118"/>
      <c r="M175" s="1118"/>
      <c r="N175" s="1118"/>
      <c r="O175" s="1118"/>
      <c r="P175" s="1118"/>
      <c r="Q175" s="1118"/>
      <c r="R175" s="1118"/>
      <c r="S175" s="1118"/>
      <c r="T175" s="1293">
        <f>(493.7*KFC!$B$41+KFC!$C$41)*KFC!$C$5</f>
        <v>493.7</v>
      </c>
      <c r="U175" s="1294"/>
      <c r="V175" s="1"/>
      <c r="W175" s="1"/>
      <c r="X175" s="1"/>
      <c r="Y175" s="1"/>
      <c r="Z175" s="1"/>
      <c r="AA175" s="1"/>
    </row>
    <row r="176" spans="1:53" ht="14.4" thickBot="1">
      <c r="A176" s="1"/>
      <c r="B176" s="1"/>
      <c r="C176" s="1"/>
      <c r="D176" s="1"/>
      <c r="E176" s="1"/>
      <c r="F176" s="1"/>
      <c r="G176" s="1"/>
      <c r="H176" s="1377"/>
      <c r="I176" s="1118"/>
      <c r="J176" s="1118"/>
      <c r="K176" s="1647" t="s">
        <v>853</v>
      </c>
      <c r="L176" s="1118"/>
      <c r="M176" s="1118"/>
      <c r="N176" s="1118"/>
      <c r="O176" s="1118"/>
      <c r="P176" s="1118"/>
      <c r="Q176" s="1118"/>
      <c r="R176" s="1118"/>
      <c r="S176" s="1118"/>
      <c r="T176" s="1293"/>
      <c r="U176" s="1294"/>
      <c r="V176" s="1"/>
      <c r="W176" s="1"/>
      <c r="X176" s="1"/>
      <c r="Y176" s="1"/>
      <c r="Z176" s="1"/>
      <c r="AA176" s="1"/>
    </row>
    <row r="177" spans="1:27" ht="13.95" customHeight="1">
      <c r="A177" s="1"/>
      <c r="B177" s="1"/>
      <c r="C177" s="1"/>
      <c r="D177" s="1"/>
      <c r="E177" s="1"/>
      <c r="F177" s="1"/>
      <c r="G177" s="1"/>
      <c r="H177" s="1938" t="s">
        <v>89</v>
      </c>
      <c r="I177" s="1117"/>
      <c r="J177" s="1117"/>
      <c r="K177" s="1650" t="s">
        <v>663</v>
      </c>
      <c r="L177" s="1650"/>
      <c r="M177" s="1650"/>
      <c r="N177" s="1650"/>
      <c r="O177" s="1650"/>
      <c r="P177" s="1650"/>
      <c r="Q177" s="1650"/>
      <c r="R177" s="1650"/>
      <c r="S177" s="1650"/>
      <c r="T177" s="1293">
        <f>(238.67*KFC!$B$41+KFC!$C$41)*KFC!$C$5</f>
        <v>238.67</v>
      </c>
      <c r="U177" s="1294"/>
      <c r="V177" s="1"/>
      <c r="W177" s="1"/>
      <c r="X177" s="1"/>
      <c r="Y177" s="1"/>
      <c r="Z177" s="1"/>
      <c r="AA177" s="1"/>
    </row>
    <row r="178" spans="1:27" ht="13.8">
      <c r="A178" s="1"/>
      <c r="B178" s="1"/>
      <c r="C178" s="1"/>
      <c r="D178" s="1"/>
      <c r="E178" s="1"/>
      <c r="F178" s="1"/>
      <c r="G178" s="1"/>
      <c r="H178" s="1377"/>
      <c r="I178" s="1118"/>
      <c r="J178" s="1118"/>
      <c r="K178" s="1647" t="s">
        <v>854</v>
      </c>
      <c r="L178" s="1650"/>
      <c r="M178" s="1650"/>
      <c r="N178" s="1650"/>
      <c r="O178" s="1650"/>
      <c r="P178" s="1650"/>
      <c r="Q178" s="1650"/>
      <c r="R178" s="1650"/>
      <c r="S178" s="1650"/>
      <c r="T178" s="1753"/>
      <c r="U178" s="1754"/>
      <c r="V178" s="1"/>
      <c r="W178" s="1"/>
      <c r="X178" s="1"/>
      <c r="Y178" s="1"/>
      <c r="Z178" s="1"/>
      <c r="AA178" s="1"/>
    </row>
    <row r="179" spans="1:27" ht="14.4" thickBot="1">
      <c r="A179" s="1"/>
      <c r="B179" s="1"/>
      <c r="C179" s="1"/>
      <c r="D179" s="1"/>
      <c r="E179" s="1"/>
      <c r="F179" s="1"/>
      <c r="G179" s="1"/>
      <c r="H179" s="1377" t="s">
        <v>89</v>
      </c>
      <c r="I179" s="1118"/>
      <c r="J179" s="1118"/>
      <c r="K179" s="1650" t="s">
        <v>664</v>
      </c>
      <c r="L179" s="1650"/>
      <c r="M179" s="1650"/>
      <c r="N179" s="1650"/>
      <c r="O179" s="1650"/>
      <c r="P179" s="1650"/>
      <c r="Q179" s="1650"/>
      <c r="R179" s="1650"/>
      <c r="S179" s="1650"/>
      <c r="T179" s="1293">
        <f>(330.46*KFC!$B$41+KFC!$C$41)*KFC!$C$5</f>
        <v>330.46</v>
      </c>
      <c r="U179" s="1294"/>
      <c r="V179" s="1"/>
      <c r="W179" s="1"/>
      <c r="X179" s="1"/>
      <c r="Y179" s="1"/>
      <c r="Z179" s="1"/>
      <c r="AA179" s="1"/>
    </row>
    <row r="180" spans="1:27" ht="13.95" customHeight="1">
      <c r="A180" s="1"/>
      <c r="B180" s="1"/>
      <c r="C180" s="1"/>
      <c r="D180" s="1"/>
      <c r="E180" s="1"/>
      <c r="F180" s="1"/>
      <c r="G180" s="1"/>
      <c r="H180" s="1938" t="s">
        <v>89</v>
      </c>
      <c r="I180" s="1117"/>
      <c r="J180" s="1117"/>
      <c r="K180" s="1650" t="s">
        <v>665</v>
      </c>
      <c r="L180" s="1650"/>
      <c r="M180" s="1650"/>
      <c r="N180" s="1650"/>
      <c r="O180" s="1650"/>
      <c r="P180" s="1650"/>
      <c r="Q180" s="1650"/>
      <c r="R180" s="1650"/>
      <c r="S180" s="1650"/>
      <c r="T180" s="1293">
        <f>(385.44*KFC!$B$41+KFC!$C$41)*KFC!$C$5</f>
        <v>385.44</v>
      </c>
      <c r="U180" s="1294"/>
      <c r="V180" s="1"/>
      <c r="W180" s="1"/>
      <c r="X180" s="1"/>
      <c r="Y180" s="1"/>
      <c r="Z180" s="1"/>
      <c r="AA180" s="1"/>
    </row>
    <row r="181" spans="1:27" ht="13.8">
      <c r="A181" s="1"/>
      <c r="B181" s="1"/>
      <c r="C181" s="1"/>
      <c r="D181" s="1"/>
      <c r="E181" s="1"/>
      <c r="F181" s="1"/>
      <c r="G181" s="1"/>
      <c r="H181" s="1377"/>
      <c r="I181" s="1118"/>
      <c r="J181" s="1118"/>
      <c r="K181" s="1647" t="s">
        <v>873</v>
      </c>
      <c r="L181" s="1650"/>
      <c r="M181" s="1650"/>
      <c r="N181" s="1650"/>
      <c r="O181" s="1650"/>
      <c r="P181" s="1650"/>
      <c r="Q181" s="1650"/>
      <c r="R181" s="1650"/>
      <c r="S181" s="1650"/>
      <c r="T181" s="1753"/>
      <c r="U181" s="1754"/>
      <c r="V181" s="1"/>
      <c r="W181" s="1"/>
      <c r="X181" s="1"/>
      <c r="Y181" s="1"/>
      <c r="Z181" s="1"/>
      <c r="AA181" s="1"/>
    </row>
    <row r="182" spans="1:27" ht="13.8">
      <c r="A182" s="1"/>
      <c r="B182" s="1"/>
      <c r="C182" s="1"/>
      <c r="D182" s="1"/>
      <c r="E182" s="1"/>
      <c r="F182" s="1"/>
      <c r="G182" s="1"/>
      <c r="H182" s="1035" t="s">
        <v>903</v>
      </c>
      <c r="I182" s="1218"/>
      <c r="J182" s="1218"/>
      <c r="K182" s="1118" t="s">
        <v>1009</v>
      </c>
      <c r="L182" s="1118"/>
      <c r="M182" s="1118"/>
      <c r="N182" s="1118"/>
      <c r="O182" s="1118"/>
      <c r="P182" s="1118"/>
      <c r="Q182" s="1118"/>
      <c r="R182" s="1118"/>
      <c r="S182" s="1118"/>
      <c r="T182" s="1293">
        <f>(120.3*KFC!$B$41+KFC!$C$41)*KFC!$C$5</f>
        <v>120.3</v>
      </c>
      <c r="U182" s="1294"/>
      <c r="V182" s="1"/>
      <c r="W182" s="1"/>
      <c r="X182" s="1"/>
      <c r="Y182" s="1"/>
      <c r="Z182" s="1"/>
      <c r="AA182" s="1"/>
    </row>
    <row r="183" spans="1:27" ht="13.8">
      <c r="A183" s="1"/>
      <c r="B183" s="1"/>
      <c r="C183" s="1"/>
      <c r="D183" s="1"/>
      <c r="E183" s="1"/>
      <c r="F183" s="1"/>
      <c r="G183" s="1"/>
      <c r="H183" s="1035"/>
      <c r="I183" s="1218"/>
      <c r="J183" s="1218"/>
      <c r="K183" s="1647" t="s">
        <v>855</v>
      </c>
      <c r="L183" s="1118"/>
      <c r="M183" s="1118"/>
      <c r="N183" s="1118"/>
      <c r="O183" s="1118"/>
      <c r="P183" s="1118"/>
      <c r="Q183" s="1118"/>
      <c r="R183" s="1118"/>
      <c r="S183" s="1118"/>
      <c r="T183" s="1293"/>
      <c r="U183" s="1294"/>
      <c r="V183" s="1"/>
      <c r="W183" s="1"/>
      <c r="X183" s="1"/>
      <c r="Y183" s="1"/>
      <c r="Z183" s="1"/>
      <c r="AA183" s="1"/>
    </row>
    <row r="184" spans="1:27" ht="13.8">
      <c r="A184" s="1"/>
      <c r="B184" s="1"/>
      <c r="C184" s="1"/>
      <c r="D184" s="1"/>
      <c r="E184" s="1"/>
      <c r="F184" s="1"/>
      <c r="G184" s="1"/>
      <c r="H184" s="1035" t="s">
        <v>903</v>
      </c>
      <c r="I184" s="1218"/>
      <c r="J184" s="1218"/>
      <c r="K184" s="1118" t="s">
        <v>1008</v>
      </c>
      <c r="L184" s="1118"/>
      <c r="M184" s="1118"/>
      <c r="N184" s="1118"/>
      <c r="O184" s="1118"/>
      <c r="P184" s="1118"/>
      <c r="Q184" s="1118"/>
      <c r="R184" s="1118"/>
      <c r="S184" s="1118"/>
      <c r="T184" s="1293">
        <f>(132.9*KFC!$B$41+KFC!$C$41)*KFC!$C$5</f>
        <v>132.9</v>
      </c>
      <c r="U184" s="1294"/>
      <c r="V184" s="1"/>
      <c r="W184" s="1"/>
      <c r="X184" s="1"/>
      <c r="Y184" s="1"/>
      <c r="Z184" s="1"/>
      <c r="AA184" s="1"/>
    </row>
    <row r="185" spans="1:27" ht="13.8">
      <c r="A185" s="1"/>
      <c r="B185" s="1"/>
      <c r="C185" s="1"/>
      <c r="D185" s="1"/>
      <c r="E185" s="1"/>
      <c r="F185" s="1"/>
      <c r="G185" s="1"/>
      <c r="H185" s="1035"/>
      <c r="I185" s="1218"/>
      <c r="J185" s="1218"/>
      <c r="K185" s="1647" t="s">
        <v>856</v>
      </c>
      <c r="L185" s="1118"/>
      <c r="M185" s="1118"/>
      <c r="N185" s="1118"/>
      <c r="O185" s="1118"/>
      <c r="P185" s="1118"/>
      <c r="Q185" s="1118"/>
      <c r="R185" s="1118"/>
      <c r="S185" s="1118"/>
      <c r="T185" s="1293"/>
      <c r="U185" s="1294"/>
      <c r="V185" s="1"/>
      <c r="W185" s="1"/>
      <c r="X185" s="1"/>
      <c r="Y185" s="1"/>
      <c r="Z185" s="1"/>
      <c r="AA185" s="1"/>
    </row>
    <row r="186" spans="1:27" ht="13.8">
      <c r="A186" s="1"/>
      <c r="B186" s="1"/>
      <c r="C186" s="1"/>
      <c r="D186" s="1"/>
      <c r="E186" s="1"/>
      <c r="F186" s="1"/>
      <c r="G186" s="1"/>
      <c r="H186" s="1526" t="s">
        <v>904</v>
      </c>
      <c r="I186" s="1252"/>
      <c r="J186" s="1253"/>
      <c r="K186" s="1650" t="s">
        <v>1003</v>
      </c>
      <c r="L186" s="1650"/>
      <c r="M186" s="1650"/>
      <c r="N186" s="1650"/>
      <c r="O186" s="1650"/>
      <c r="P186" s="1650"/>
      <c r="Q186" s="1650"/>
      <c r="R186" s="1650"/>
      <c r="S186" s="1650"/>
      <c r="T186" s="1657">
        <f>(177.7*KFC!$B$41+KFC!$C$41)*KFC!$C$5</f>
        <v>177.7</v>
      </c>
      <c r="U186" s="1658"/>
      <c r="V186" s="1"/>
      <c r="W186" s="1"/>
      <c r="X186" s="1"/>
      <c r="Y186" s="1"/>
      <c r="Z186" s="1"/>
      <c r="AA186" s="1"/>
    </row>
    <row r="187" spans="1:27" ht="13.8">
      <c r="A187" s="1"/>
      <c r="B187" s="1"/>
      <c r="C187" s="1"/>
      <c r="D187" s="1"/>
      <c r="E187" s="1"/>
      <c r="F187" s="1"/>
      <c r="G187" s="1"/>
      <c r="H187" s="1663"/>
      <c r="I187" s="1255"/>
      <c r="J187" s="1256"/>
      <c r="K187" s="1661" t="s">
        <v>1002</v>
      </c>
      <c r="L187" s="1662"/>
      <c r="M187" s="1662"/>
      <c r="N187" s="1662"/>
      <c r="O187" s="1662"/>
      <c r="P187" s="1662"/>
      <c r="Q187" s="1662"/>
      <c r="R187" s="1662"/>
      <c r="S187" s="1662"/>
      <c r="T187" s="1659"/>
      <c r="U187" s="1660"/>
      <c r="V187" s="1"/>
      <c r="W187" s="1"/>
      <c r="X187" s="1"/>
      <c r="Y187" s="1"/>
      <c r="Z187" s="1"/>
      <c r="AA187" s="1"/>
    </row>
    <row r="188" spans="1:27" ht="13.8">
      <c r="A188" s="1"/>
      <c r="B188" s="1"/>
      <c r="C188" s="1"/>
      <c r="D188" s="1"/>
      <c r="E188" s="1"/>
      <c r="F188" s="1"/>
      <c r="G188" s="1"/>
      <c r="H188" s="1035" t="s">
        <v>904</v>
      </c>
      <c r="I188" s="1218"/>
      <c r="J188" s="1218"/>
      <c r="K188" s="1650" t="s">
        <v>1021</v>
      </c>
      <c r="L188" s="1650"/>
      <c r="M188" s="1650"/>
      <c r="N188" s="1650"/>
      <c r="O188" s="1650"/>
      <c r="P188" s="1650"/>
      <c r="Q188" s="1650"/>
      <c r="R188" s="1650"/>
      <c r="S188" s="1650"/>
      <c r="T188" s="1293">
        <f>(120.3*KFC!$B$41+KFC!$C$41)*KFC!$C$5</f>
        <v>120.3</v>
      </c>
      <c r="U188" s="1294"/>
      <c r="V188" s="1"/>
      <c r="W188" s="1"/>
      <c r="X188" s="1"/>
      <c r="Y188" s="1"/>
      <c r="Z188" s="1"/>
      <c r="AA188" s="1"/>
    </row>
    <row r="189" spans="1:27" ht="13.8">
      <c r="A189" s="1"/>
      <c r="B189" s="1"/>
      <c r="C189" s="1"/>
      <c r="D189" s="1"/>
      <c r="E189" s="1"/>
      <c r="F189" s="1"/>
      <c r="G189" s="1"/>
      <c r="H189" s="1035" t="s">
        <v>904</v>
      </c>
      <c r="I189" s="1218"/>
      <c r="J189" s="1218"/>
      <c r="K189" s="1650" t="s">
        <v>1022</v>
      </c>
      <c r="L189" s="1650"/>
      <c r="M189" s="1650"/>
      <c r="N189" s="1650"/>
      <c r="O189" s="1650"/>
      <c r="P189" s="1650"/>
      <c r="Q189" s="1650"/>
      <c r="R189" s="1650"/>
      <c r="S189" s="1650"/>
      <c r="T189" s="1293">
        <f>(126.6*KFC!$B$41+KFC!$C$41)*KFC!$C$5</f>
        <v>126.6</v>
      </c>
      <c r="U189" s="1294"/>
      <c r="V189" s="1"/>
      <c r="W189" s="1"/>
      <c r="X189" s="1"/>
      <c r="Y189" s="1"/>
      <c r="Z189" s="1"/>
      <c r="AA189" s="1"/>
    </row>
    <row r="190" spans="1:27" ht="13.8">
      <c r="A190" s="1"/>
      <c r="B190" s="1"/>
      <c r="C190" s="1"/>
      <c r="D190" s="1"/>
      <c r="E190" s="1"/>
      <c r="F190" s="1"/>
      <c r="G190" s="1"/>
      <c r="H190" s="1035" t="s">
        <v>904</v>
      </c>
      <c r="I190" s="1218"/>
      <c r="J190" s="1218"/>
      <c r="K190" s="1650" t="s">
        <v>1023</v>
      </c>
      <c r="L190" s="1650"/>
      <c r="M190" s="1650"/>
      <c r="N190" s="1650"/>
      <c r="O190" s="1650"/>
      <c r="P190" s="1650"/>
      <c r="Q190" s="1650"/>
      <c r="R190" s="1650"/>
      <c r="S190" s="1650"/>
      <c r="T190" s="1293">
        <f>(126.3*KFC!$B$41+KFC!$C$41)*KFC!$C$5</f>
        <v>126.3</v>
      </c>
      <c r="U190" s="1294"/>
      <c r="V190" s="1"/>
      <c r="W190" s="1"/>
      <c r="X190" s="1"/>
      <c r="Y190" s="1"/>
      <c r="Z190" s="1"/>
      <c r="AA190" s="1"/>
    </row>
    <row r="191" spans="1:27" ht="14.4" thickBot="1">
      <c r="A191" s="1"/>
      <c r="B191" s="1"/>
      <c r="C191" s="1"/>
      <c r="D191" s="1"/>
      <c r="E191" s="1"/>
      <c r="F191" s="1"/>
      <c r="G191" s="1"/>
      <c r="H191" s="1036" t="s">
        <v>904</v>
      </c>
      <c r="I191" s="1564"/>
      <c r="J191" s="1564"/>
      <c r="K191" s="1556" t="s">
        <v>905</v>
      </c>
      <c r="L191" s="1556"/>
      <c r="M191" s="1556"/>
      <c r="N191" s="1556"/>
      <c r="O191" s="1556"/>
      <c r="P191" s="1556"/>
      <c r="Q191" s="1556"/>
      <c r="R191" s="1556"/>
      <c r="S191" s="1556"/>
      <c r="T191" s="1295">
        <f>(173.42*KFC!$B$41+KFC!$C$41)*KFC!$C$5</f>
        <v>173.42</v>
      </c>
      <c r="U191" s="1296"/>
      <c r="V191" s="1"/>
      <c r="W191" s="1"/>
      <c r="X191" s="1"/>
      <c r="Y191" s="1"/>
      <c r="Z191" s="1"/>
      <c r="AA191" s="1"/>
    </row>
    <row r="192" spans="1:27">
      <c r="A192" s="398"/>
      <c r="B192" s="398"/>
      <c r="C192" s="398"/>
      <c r="D192" s="398"/>
      <c r="E192" s="398"/>
      <c r="F192" s="398"/>
      <c r="G192" s="398"/>
      <c r="H192" s="398"/>
      <c r="I192" s="398"/>
      <c r="J192" s="398"/>
      <c r="K192" s="398"/>
      <c r="L192" s="398"/>
      <c r="M192" s="398"/>
      <c r="N192" s="399"/>
      <c r="O192" s="326"/>
      <c r="P192" s="326"/>
      <c r="Q192" s="326"/>
      <c r="R192" s="326"/>
      <c r="S192" s="326"/>
      <c r="T192" s="326"/>
      <c r="U192" s="326"/>
      <c r="V192" s="326"/>
      <c r="W192" s="326"/>
      <c r="X192" s="326"/>
      <c r="Y192" s="326"/>
      <c r="Z192" s="1"/>
      <c r="AA192" s="1"/>
    </row>
    <row r="193" spans="1:27" ht="16.2" thickBot="1">
      <c r="A193" s="1758" t="s">
        <v>1135</v>
      </c>
      <c r="B193" s="1758"/>
      <c r="C193" s="1758"/>
      <c r="D193" s="1758"/>
      <c r="E193" s="1758"/>
      <c r="F193" s="1758"/>
      <c r="G193" s="1758"/>
      <c r="H193" s="1758"/>
      <c r="I193" s="1758"/>
      <c r="J193" s="1758"/>
      <c r="K193" s="1758"/>
      <c r="L193" s="1758"/>
      <c r="M193" s="1758"/>
      <c r="N193" s="1758"/>
      <c r="O193" s="1758"/>
      <c r="P193" s="1758"/>
      <c r="Q193" s="1758"/>
      <c r="R193" s="1758"/>
      <c r="S193" s="1758"/>
      <c r="T193" s="1758"/>
      <c r="U193" s="1758"/>
      <c r="V193" s="1758"/>
      <c r="W193" s="1758"/>
      <c r="X193" s="1758"/>
      <c r="Y193" s="1758"/>
      <c r="Z193" s="1"/>
      <c r="AA193" s="1"/>
    </row>
    <row r="194" spans="1:27" ht="27" customHeight="1" thickBot="1">
      <c r="A194" s="1043" t="s">
        <v>260</v>
      </c>
      <c r="B194" s="1759"/>
      <c r="C194" s="1759"/>
      <c r="D194" s="1759"/>
      <c r="E194" s="1760"/>
      <c r="F194" s="1761" t="s">
        <v>174</v>
      </c>
      <c r="G194" s="1762"/>
      <c r="H194" s="1762"/>
      <c r="I194" s="1763"/>
      <c r="J194" s="1761" t="s">
        <v>175</v>
      </c>
      <c r="K194" s="1762"/>
      <c r="L194" s="1762"/>
      <c r="M194" s="1763"/>
      <c r="N194" s="1761" t="s">
        <v>176</v>
      </c>
      <c r="O194" s="1762"/>
      <c r="P194" s="1762"/>
      <c r="Q194" s="1763"/>
      <c r="R194" s="1761" t="s">
        <v>177</v>
      </c>
      <c r="S194" s="1762"/>
      <c r="T194" s="1762"/>
      <c r="U194" s="1763"/>
      <c r="V194" s="1761" t="s">
        <v>178</v>
      </c>
      <c r="W194" s="1762"/>
      <c r="X194" s="1762"/>
      <c r="Y194" s="1764"/>
      <c r="Z194" s="1"/>
      <c r="AA194" s="1"/>
    </row>
    <row r="195" spans="1:27">
      <c r="A195" s="1755" t="s">
        <v>1004</v>
      </c>
      <c r="B195" s="1756"/>
      <c r="C195" s="1756"/>
      <c r="D195" s="1756"/>
      <c r="E195" s="1756"/>
      <c r="F195" s="1530">
        <v>590</v>
      </c>
      <c r="G195" s="1530"/>
      <c r="H195" s="1530"/>
      <c r="I195" s="1530"/>
      <c r="J195" s="1530">
        <v>2500</v>
      </c>
      <c r="K195" s="1530"/>
      <c r="L195" s="1530"/>
      <c r="M195" s="1530"/>
      <c r="N195" s="1530">
        <v>3000</v>
      </c>
      <c r="O195" s="1530"/>
      <c r="P195" s="1530"/>
      <c r="Q195" s="1530"/>
      <c r="R195" s="1530">
        <v>3000</v>
      </c>
      <c r="S195" s="1530"/>
      <c r="T195" s="1530"/>
      <c r="U195" s="1530"/>
      <c r="V195" s="1530">
        <v>3000</v>
      </c>
      <c r="W195" s="1530"/>
      <c r="X195" s="1530"/>
      <c r="Y195" s="1757"/>
      <c r="Z195" s="1"/>
      <c r="AA195" s="1"/>
    </row>
    <row r="196" spans="1:27">
      <c r="A196" s="1765" t="s">
        <v>916</v>
      </c>
      <c r="B196" s="1766"/>
      <c r="C196" s="1766"/>
      <c r="D196" s="1766"/>
      <c r="E196" s="1766"/>
      <c r="F196" s="1532">
        <v>580</v>
      </c>
      <c r="G196" s="1532"/>
      <c r="H196" s="1532"/>
      <c r="I196" s="1532"/>
      <c r="J196" s="1532">
        <v>2500</v>
      </c>
      <c r="K196" s="1532"/>
      <c r="L196" s="1532"/>
      <c r="M196" s="1532"/>
      <c r="N196" s="1532">
        <v>3000</v>
      </c>
      <c r="O196" s="1532"/>
      <c r="P196" s="1532"/>
      <c r="Q196" s="1532"/>
      <c r="R196" s="1532">
        <v>3000</v>
      </c>
      <c r="S196" s="1532"/>
      <c r="T196" s="1532"/>
      <c r="U196" s="1532"/>
      <c r="V196" s="1532">
        <v>3000</v>
      </c>
      <c r="W196" s="1532"/>
      <c r="X196" s="1532"/>
      <c r="Y196" s="1767"/>
      <c r="Z196" s="1"/>
      <c r="AA196" s="1"/>
    </row>
    <row r="197" spans="1:27">
      <c r="A197" s="1765" t="s">
        <v>917</v>
      </c>
      <c r="B197" s="1766"/>
      <c r="C197" s="1766"/>
      <c r="D197" s="1766"/>
      <c r="E197" s="1766"/>
      <c r="F197" s="1532">
        <v>680</v>
      </c>
      <c r="G197" s="1532"/>
      <c r="H197" s="1532"/>
      <c r="I197" s="1532"/>
      <c r="J197" s="1532">
        <v>2500</v>
      </c>
      <c r="K197" s="1532"/>
      <c r="L197" s="1532"/>
      <c r="M197" s="1532"/>
      <c r="N197" s="1532">
        <v>3000</v>
      </c>
      <c r="O197" s="1532"/>
      <c r="P197" s="1532"/>
      <c r="Q197" s="1532"/>
      <c r="R197" s="1532">
        <v>3000</v>
      </c>
      <c r="S197" s="1532"/>
      <c r="T197" s="1532"/>
      <c r="U197" s="1532"/>
      <c r="V197" s="1532">
        <v>3000</v>
      </c>
      <c r="W197" s="1532"/>
      <c r="X197" s="1532"/>
      <c r="Y197" s="1767"/>
      <c r="Z197" s="1"/>
      <c r="AA197" s="1"/>
    </row>
    <row r="198" spans="1:27">
      <c r="A198" s="1765" t="s">
        <v>918</v>
      </c>
      <c r="B198" s="1766"/>
      <c r="C198" s="1766"/>
      <c r="D198" s="1766"/>
      <c r="E198" s="1766"/>
      <c r="F198" s="1532">
        <v>590</v>
      </c>
      <c r="G198" s="1532"/>
      <c r="H198" s="1532"/>
      <c r="I198" s="1532"/>
      <c r="J198" s="1532">
        <v>2500</v>
      </c>
      <c r="K198" s="1532"/>
      <c r="L198" s="1532"/>
      <c r="M198" s="1532"/>
      <c r="N198" s="1532">
        <v>3000</v>
      </c>
      <c r="O198" s="1532"/>
      <c r="P198" s="1532"/>
      <c r="Q198" s="1532"/>
      <c r="R198" s="1532">
        <v>3000</v>
      </c>
      <c r="S198" s="1532"/>
      <c r="T198" s="1532"/>
      <c r="U198" s="1532"/>
      <c r="V198" s="1532">
        <v>3000</v>
      </c>
      <c r="W198" s="1532"/>
      <c r="X198" s="1532"/>
      <c r="Y198" s="1767"/>
      <c r="Z198" s="1"/>
      <c r="AA198" s="1"/>
    </row>
    <row r="199" spans="1:27">
      <c r="A199" s="1765" t="s">
        <v>919</v>
      </c>
      <c r="B199" s="1766"/>
      <c r="C199" s="1766"/>
      <c r="D199" s="1766"/>
      <c r="E199" s="1766"/>
      <c r="F199" s="1532">
        <v>880</v>
      </c>
      <c r="G199" s="1532"/>
      <c r="H199" s="1532"/>
      <c r="I199" s="1532"/>
      <c r="J199" s="1532">
        <v>2500</v>
      </c>
      <c r="K199" s="1532"/>
      <c r="L199" s="1532"/>
      <c r="M199" s="1532"/>
      <c r="N199" s="1532">
        <v>3000</v>
      </c>
      <c r="O199" s="1532"/>
      <c r="P199" s="1532"/>
      <c r="Q199" s="1532"/>
      <c r="R199" s="1532">
        <v>3000</v>
      </c>
      <c r="S199" s="1532"/>
      <c r="T199" s="1532"/>
      <c r="U199" s="1532"/>
      <c r="V199" s="1532">
        <v>3000</v>
      </c>
      <c r="W199" s="1532"/>
      <c r="X199" s="1532"/>
      <c r="Y199" s="1767"/>
      <c r="Z199" s="1"/>
      <c r="AA199" s="1"/>
    </row>
    <row r="200" spans="1:27">
      <c r="A200" s="1765" t="s">
        <v>677</v>
      </c>
      <c r="B200" s="1766"/>
      <c r="C200" s="1766"/>
      <c r="D200" s="1766"/>
      <c r="E200" s="1766"/>
      <c r="F200" s="1532">
        <v>560</v>
      </c>
      <c r="G200" s="1532"/>
      <c r="H200" s="1532"/>
      <c r="I200" s="1532"/>
      <c r="J200" s="1532">
        <v>2500</v>
      </c>
      <c r="K200" s="1532"/>
      <c r="L200" s="1532"/>
      <c r="M200" s="1532"/>
      <c r="N200" s="1532">
        <v>3000</v>
      </c>
      <c r="O200" s="1532"/>
      <c r="P200" s="1532"/>
      <c r="Q200" s="1532"/>
      <c r="R200" s="1532">
        <v>3000</v>
      </c>
      <c r="S200" s="1532"/>
      <c r="T200" s="1532"/>
      <c r="U200" s="1532"/>
      <c r="V200" s="1532">
        <v>3000</v>
      </c>
      <c r="W200" s="1532"/>
      <c r="X200" s="1532"/>
      <c r="Y200" s="1767"/>
      <c r="Z200" s="1"/>
      <c r="AA200" s="1"/>
    </row>
    <row r="201" spans="1:27">
      <c r="A201" s="1765" t="s">
        <v>673</v>
      </c>
      <c r="B201" s="1766"/>
      <c r="C201" s="1766"/>
      <c r="D201" s="1766"/>
      <c r="E201" s="1766"/>
      <c r="F201" s="1532">
        <v>600</v>
      </c>
      <c r="G201" s="1532"/>
      <c r="H201" s="1532"/>
      <c r="I201" s="1532"/>
      <c r="J201" s="1532">
        <v>2500</v>
      </c>
      <c r="K201" s="1532"/>
      <c r="L201" s="1532"/>
      <c r="M201" s="1532"/>
      <c r="N201" s="1532">
        <v>3000</v>
      </c>
      <c r="O201" s="1532"/>
      <c r="P201" s="1532"/>
      <c r="Q201" s="1532"/>
      <c r="R201" s="1532">
        <v>3000</v>
      </c>
      <c r="S201" s="1532"/>
      <c r="T201" s="1532"/>
      <c r="U201" s="1532"/>
      <c r="V201" s="1532">
        <v>3000</v>
      </c>
      <c r="W201" s="1532"/>
      <c r="X201" s="1532"/>
      <c r="Y201" s="1767"/>
      <c r="Z201" s="1"/>
      <c r="AA201" s="1"/>
    </row>
    <row r="202" spans="1:27">
      <c r="A202" s="1765" t="s">
        <v>667</v>
      </c>
      <c r="B202" s="1766"/>
      <c r="C202" s="1766"/>
      <c r="D202" s="1766"/>
      <c r="E202" s="1766"/>
      <c r="F202" s="1532">
        <v>560</v>
      </c>
      <c r="G202" s="1532"/>
      <c r="H202" s="1532"/>
      <c r="I202" s="1532"/>
      <c r="J202" s="1532">
        <v>2500</v>
      </c>
      <c r="K202" s="1532"/>
      <c r="L202" s="1532"/>
      <c r="M202" s="1532"/>
      <c r="N202" s="1532">
        <v>3000</v>
      </c>
      <c r="O202" s="1532"/>
      <c r="P202" s="1532"/>
      <c r="Q202" s="1532"/>
      <c r="R202" s="1532">
        <v>3000</v>
      </c>
      <c r="S202" s="1532"/>
      <c r="T202" s="1532"/>
      <c r="U202" s="1532"/>
      <c r="V202" s="1532">
        <v>3000</v>
      </c>
      <c r="W202" s="1532"/>
      <c r="X202" s="1532"/>
      <c r="Y202" s="1767"/>
      <c r="Z202" s="1"/>
      <c r="AA202" s="1"/>
    </row>
    <row r="203" spans="1:27">
      <c r="A203" s="1765" t="s">
        <v>662</v>
      </c>
      <c r="B203" s="1766"/>
      <c r="C203" s="1766"/>
      <c r="D203" s="1766"/>
      <c r="E203" s="1766"/>
      <c r="F203" s="1532">
        <v>570</v>
      </c>
      <c r="G203" s="1532"/>
      <c r="H203" s="1532"/>
      <c r="I203" s="1532"/>
      <c r="J203" s="1532">
        <v>2500</v>
      </c>
      <c r="K203" s="1532"/>
      <c r="L203" s="1532"/>
      <c r="M203" s="1532"/>
      <c r="N203" s="1532">
        <v>3000</v>
      </c>
      <c r="O203" s="1532"/>
      <c r="P203" s="1532"/>
      <c r="Q203" s="1532"/>
      <c r="R203" s="1532">
        <v>3000</v>
      </c>
      <c r="S203" s="1532"/>
      <c r="T203" s="1532"/>
      <c r="U203" s="1532"/>
      <c r="V203" s="1532">
        <v>3000</v>
      </c>
      <c r="W203" s="1532"/>
      <c r="X203" s="1532"/>
      <c r="Y203" s="1767"/>
      <c r="Z203" s="1"/>
      <c r="AA203" s="1"/>
    </row>
    <row r="204" spans="1:27">
      <c r="A204" s="1765" t="s">
        <v>666</v>
      </c>
      <c r="B204" s="1766"/>
      <c r="C204" s="1766"/>
      <c r="D204" s="1766"/>
      <c r="E204" s="1766"/>
      <c r="F204" s="1532">
        <v>480</v>
      </c>
      <c r="G204" s="1532"/>
      <c r="H204" s="1532"/>
      <c r="I204" s="1532"/>
      <c r="J204" s="1532">
        <v>2500</v>
      </c>
      <c r="K204" s="1532"/>
      <c r="L204" s="1532"/>
      <c r="M204" s="1532"/>
      <c r="N204" s="1532">
        <v>3000</v>
      </c>
      <c r="O204" s="1532"/>
      <c r="P204" s="1532"/>
      <c r="Q204" s="1532"/>
      <c r="R204" s="1532">
        <v>3000</v>
      </c>
      <c r="S204" s="1532"/>
      <c r="T204" s="1532"/>
      <c r="U204" s="1532"/>
      <c r="V204" s="1532">
        <v>3000</v>
      </c>
      <c r="W204" s="1532"/>
      <c r="X204" s="1532"/>
      <c r="Y204" s="1767"/>
      <c r="Z204" s="1"/>
      <c r="AA204" s="1"/>
    </row>
    <row r="205" spans="1:27">
      <c r="A205" s="1765" t="s">
        <v>678</v>
      </c>
      <c r="B205" s="1766"/>
      <c r="C205" s="1766"/>
      <c r="D205" s="1766"/>
      <c r="E205" s="1766"/>
      <c r="F205" s="1532">
        <v>605</v>
      </c>
      <c r="G205" s="1532"/>
      <c r="H205" s="1532"/>
      <c r="I205" s="1532"/>
      <c r="J205" s="1532">
        <v>2500</v>
      </c>
      <c r="K205" s="1532"/>
      <c r="L205" s="1532"/>
      <c r="M205" s="1532"/>
      <c r="N205" s="1532">
        <v>3000</v>
      </c>
      <c r="O205" s="1532"/>
      <c r="P205" s="1532"/>
      <c r="Q205" s="1532"/>
      <c r="R205" s="1532">
        <v>3000</v>
      </c>
      <c r="S205" s="1532"/>
      <c r="T205" s="1532"/>
      <c r="U205" s="1532"/>
      <c r="V205" s="1532">
        <v>3000</v>
      </c>
      <c r="W205" s="1532"/>
      <c r="X205" s="1532"/>
      <c r="Y205" s="1767"/>
      <c r="Z205" s="1"/>
      <c r="AA205" s="1"/>
    </row>
    <row r="206" spans="1:27">
      <c r="A206" s="1765" t="s">
        <v>984</v>
      </c>
      <c r="B206" s="1766"/>
      <c r="C206" s="1766"/>
      <c r="D206" s="1766"/>
      <c r="E206" s="1766"/>
      <c r="F206" s="1532">
        <v>685</v>
      </c>
      <c r="G206" s="1532"/>
      <c r="H206" s="1532"/>
      <c r="I206" s="1532"/>
      <c r="J206" s="1532">
        <v>2500</v>
      </c>
      <c r="K206" s="1532"/>
      <c r="L206" s="1532"/>
      <c r="M206" s="1532"/>
      <c r="N206" s="1532">
        <v>3000</v>
      </c>
      <c r="O206" s="1532"/>
      <c r="P206" s="1532"/>
      <c r="Q206" s="1532"/>
      <c r="R206" s="1532">
        <v>3000</v>
      </c>
      <c r="S206" s="1532"/>
      <c r="T206" s="1532"/>
      <c r="U206" s="1532"/>
      <c r="V206" s="1532">
        <v>3000</v>
      </c>
      <c r="W206" s="1532"/>
      <c r="X206" s="1532"/>
      <c r="Y206" s="1767"/>
      <c r="Z206" s="1"/>
      <c r="AA206" s="1"/>
    </row>
    <row r="207" spans="1:27">
      <c r="A207" s="58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6.2" thickBot="1">
      <c r="A208" s="1"/>
      <c r="B208" s="1"/>
      <c r="C208" s="1"/>
      <c r="D208" s="1"/>
      <c r="E208" s="1"/>
      <c r="F208" s="1"/>
      <c r="G208" s="1"/>
      <c r="H208" s="1664" t="s">
        <v>1134</v>
      </c>
      <c r="I208" s="1664"/>
      <c r="J208" s="1664"/>
      <c r="K208" s="1664"/>
      <c r="L208" s="1664"/>
      <c r="M208" s="1664"/>
      <c r="N208" s="1664"/>
      <c r="O208" s="1664"/>
      <c r="P208" s="1664"/>
      <c r="Q208" s="1664"/>
      <c r="R208" s="1664"/>
      <c r="S208" s="1664"/>
      <c r="T208" s="1664"/>
      <c r="U208" s="1664"/>
      <c r="V208" s="1664"/>
      <c r="W208" s="1664"/>
      <c r="X208" s="1664"/>
      <c r="Y208" s="1"/>
      <c r="Z208" s="1"/>
      <c r="AA208" s="1"/>
    </row>
    <row r="209" spans="1:27" ht="14.4" thickBot="1">
      <c r="A209" s="1"/>
      <c r="B209" s="1"/>
      <c r="C209" s="1"/>
      <c r="D209" s="1"/>
      <c r="E209" s="1"/>
      <c r="F209" s="1"/>
      <c r="G209" s="1"/>
      <c r="H209" s="1665" t="s">
        <v>88</v>
      </c>
      <c r="I209" s="1666"/>
      <c r="J209" s="1666"/>
      <c r="K209" s="1051" t="s">
        <v>87</v>
      </c>
      <c r="L209" s="1052"/>
      <c r="M209" s="1052"/>
      <c r="N209" s="1052"/>
      <c r="O209" s="1052"/>
      <c r="P209" s="1052"/>
      <c r="Q209" s="1052"/>
      <c r="R209" s="1052"/>
      <c r="S209" s="1052"/>
      <c r="T209" s="1053"/>
      <c r="U209" s="1049" t="s">
        <v>24</v>
      </c>
      <c r="V209" s="1667"/>
      <c r="W209" s="1667"/>
      <c r="X209" s="1050"/>
      <c r="Y209" s="1"/>
      <c r="Z209" s="1"/>
      <c r="AA209" s="1"/>
    </row>
    <row r="210" spans="1:27" ht="13.8">
      <c r="A210" s="1"/>
      <c r="B210" s="1"/>
      <c r="C210" s="1"/>
      <c r="D210" s="1"/>
      <c r="E210" s="1"/>
      <c r="F210" s="1"/>
      <c r="G210" s="1"/>
      <c r="H210" s="1668" t="s">
        <v>689</v>
      </c>
      <c r="I210" s="1669"/>
      <c r="J210" s="1669"/>
      <c r="K210" s="1192" t="s">
        <v>644</v>
      </c>
      <c r="L210" s="1193"/>
      <c r="M210" s="1193"/>
      <c r="N210" s="1193"/>
      <c r="O210" s="1193"/>
      <c r="P210" s="1193"/>
      <c r="Q210" s="1193"/>
      <c r="R210" s="1193"/>
      <c r="S210" s="1193"/>
      <c r="T210" s="1194"/>
      <c r="U210" s="1672">
        <f>(44.31*KFC!$B$41*1.6+KFC!$C$41)*KFC!$C$5</f>
        <v>70.896000000000001</v>
      </c>
      <c r="V210" s="1673"/>
      <c r="W210" s="1673"/>
      <c r="X210" s="1674"/>
      <c r="Y210" s="1"/>
      <c r="Z210" s="1"/>
      <c r="AA210" s="1"/>
    </row>
    <row r="211" spans="1:27" ht="13.8">
      <c r="A211" s="1"/>
      <c r="B211" s="1"/>
      <c r="C211" s="1"/>
      <c r="D211" s="1"/>
      <c r="E211" s="1"/>
      <c r="F211" s="1"/>
      <c r="G211" s="1"/>
      <c r="H211" s="1670"/>
      <c r="I211" s="1671"/>
      <c r="J211" s="1671"/>
      <c r="K211" s="1388" t="s">
        <v>858</v>
      </c>
      <c r="L211" s="1678"/>
      <c r="M211" s="1678"/>
      <c r="N211" s="1678"/>
      <c r="O211" s="1678"/>
      <c r="P211" s="1678"/>
      <c r="Q211" s="1678"/>
      <c r="R211" s="1678"/>
      <c r="S211" s="1678"/>
      <c r="T211" s="1679"/>
      <c r="U211" s="1675"/>
      <c r="V211" s="1676"/>
      <c r="W211" s="1676"/>
      <c r="X211" s="1677"/>
      <c r="Y211" s="1"/>
      <c r="Z211" s="1"/>
      <c r="AA211" s="1"/>
    </row>
    <row r="212" spans="1:27" ht="13.8">
      <c r="A212" s="1"/>
      <c r="B212" s="1"/>
      <c r="C212" s="1"/>
      <c r="D212" s="1"/>
      <c r="E212" s="1"/>
      <c r="F212" s="1"/>
      <c r="G212" s="1"/>
      <c r="H212" s="1680" t="s">
        <v>689</v>
      </c>
      <c r="I212" s="1681"/>
      <c r="J212" s="1681"/>
      <c r="K212" s="1170" t="s">
        <v>645</v>
      </c>
      <c r="L212" s="1171"/>
      <c r="M212" s="1171"/>
      <c r="N212" s="1171"/>
      <c r="O212" s="1171"/>
      <c r="P212" s="1171"/>
      <c r="Q212" s="1171"/>
      <c r="R212" s="1171"/>
      <c r="S212" s="1171"/>
      <c r="T212" s="1172"/>
      <c r="U212" s="1657">
        <f>(75.95*KFC!$B$41*1.6+KFC!$C$41)*KFC!$C$5</f>
        <v>121.52000000000001</v>
      </c>
      <c r="V212" s="1682"/>
      <c r="W212" s="1682"/>
      <c r="X212" s="1658"/>
      <c r="Y212" s="1"/>
      <c r="Z212" s="1"/>
      <c r="AA212" s="1"/>
    </row>
    <row r="213" spans="1:27" ht="13.8">
      <c r="A213" s="1"/>
      <c r="B213" s="1"/>
      <c r="C213" s="1"/>
      <c r="D213" s="1"/>
      <c r="E213" s="1"/>
      <c r="F213" s="1"/>
      <c r="G213" s="1"/>
      <c r="H213" s="1670"/>
      <c r="I213" s="1671"/>
      <c r="J213" s="1671"/>
      <c r="K213" s="1388" t="s">
        <v>859</v>
      </c>
      <c r="L213" s="1678"/>
      <c r="M213" s="1678"/>
      <c r="N213" s="1678"/>
      <c r="O213" s="1678"/>
      <c r="P213" s="1678"/>
      <c r="Q213" s="1678"/>
      <c r="R213" s="1678"/>
      <c r="S213" s="1678"/>
      <c r="T213" s="1679"/>
      <c r="U213" s="1675"/>
      <c r="V213" s="1676"/>
      <c r="W213" s="1676"/>
      <c r="X213" s="1677"/>
      <c r="Y213" s="1"/>
      <c r="Z213" s="1"/>
      <c r="AA213" s="1"/>
    </row>
    <row r="214" spans="1:27" ht="13.8">
      <c r="A214" s="1"/>
      <c r="B214" s="1"/>
      <c r="C214" s="1"/>
      <c r="D214" s="1"/>
      <c r="E214" s="1"/>
      <c r="F214" s="1"/>
      <c r="G214" s="1"/>
      <c r="H214" s="1680" t="s">
        <v>695</v>
      </c>
      <c r="I214" s="1681"/>
      <c r="J214" s="1681"/>
      <c r="K214" s="1170" t="s">
        <v>91</v>
      </c>
      <c r="L214" s="1171"/>
      <c r="M214" s="1171"/>
      <c r="N214" s="1171"/>
      <c r="O214" s="1171"/>
      <c r="P214" s="1171"/>
      <c r="Q214" s="1171"/>
      <c r="R214" s="1171"/>
      <c r="S214" s="1171"/>
      <c r="T214" s="1172"/>
      <c r="U214" s="1657">
        <f>(181.52*KFC!$B$41*1.6+KFC!$C$41)*KFC!$C$5</f>
        <v>290.43200000000002</v>
      </c>
      <c r="V214" s="1682"/>
      <c r="W214" s="1682"/>
      <c r="X214" s="1658"/>
      <c r="Y214" s="1"/>
      <c r="Z214" s="1"/>
      <c r="AA214" s="1"/>
    </row>
    <row r="215" spans="1:27" ht="13.8">
      <c r="A215" s="1"/>
      <c r="B215" s="1"/>
      <c r="C215" s="1"/>
      <c r="D215" s="1"/>
      <c r="E215" s="1"/>
      <c r="F215" s="1"/>
      <c r="G215" s="1"/>
      <c r="H215" s="1670"/>
      <c r="I215" s="1671"/>
      <c r="J215" s="1671"/>
      <c r="K215" s="1388" t="s">
        <v>860</v>
      </c>
      <c r="L215" s="1678"/>
      <c r="M215" s="1678"/>
      <c r="N215" s="1678"/>
      <c r="O215" s="1678"/>
      <c r="P215" s="1678"/>
      <c r="Q215" s="1678"/>
      <c r="R215" s="1678"/>
      <c r="S215" s="1678"/>
      <c r="T215" s="1679"/>
      <c r="U215" s="1683"/>
      <c r="V215" s="1684"/>
      <c r="W215" s="1684"/>
      <c r="X215" s="1685"/>
      <c r="Y215" s="1"/>
      <c r="Z215" s="1"/>
      <c r="AA215" s="1"/>
    </row>
    <row r="216" spans="1:27" ht="13.8">
      <c r="A216" s="1"/>
      <c r="B216" s="1"/>
      <c r="C216" s="1"/>
      <c r="D216" s="1"/>
      <c r="E216" s="1"/>
      <c r="F216" s="1"/>
      <c r="G216" s="1"/>
      <c r="H216" s="1680" t="s">
        <v>696</v>
      </c>
      <c r="I216" s="1681"/>
      <c r="J216" s="1681"/>
      <c r="K216" s="1170" t="s">
        <v>819</v>
      </c>
      <c r="L216" s="1171"/>
      <c r="M216" s="1171"/>
      <c r="N216" s="1171"/>
      <c r="O216" s="1171"/>
      <c r="P216" s="1171"/>
      <c r="Q216" s="1171"/>
      <c r="R216" s="1171"/>
      <c r="S216" s="1171"/>
      <c r="T216" s="1171"/>
      <c r="U216" s="1657">
        <f>(95.07*KFC!$B$41*1.6+KFC!$C$41)*KFC!$C$5</f>
        <v>152.11199999999999</v>
      </c>
      <c r="V216" s="1682"/>
      <c r="W216" s="1682"/>
      <c r="X216" s="1658"/>
      <c r="Y216" s="1"/>
      <c r="Z216" s="1"/>
      <c r="AA216" s="1"/>
    </row>
    <row r="217" spans="1:27" ht="13.8">
      <c r="A217" s="1"/>
      <c r="B217" s="1"/>
      <c r="C217" s="1"/>
      <c r="D217" s="1"/>
      <c r="E217" s="1"/>
      <c r="F217" s="1"/>
      <c r="G217" s="1"/>
      <c r="H217" s="1670"/>
      <c r="I217" s="1671"/>
      <c r="J217" s="1671"/>
      <c r="K217" s="1388" t="s">
        <v>861</v>
      </c>
      <c r="L217" s="1678"/>
      <c r="M217" s="1678"/>
      <c r="N217" s="1678"/>
      <c r="O217" s="1678"/>
      <c r="P217" s="1678"/>
      <c r="Q217" s="1678"/>
      <c r="R217" s="1678"/>
      <c r="S217" s="1678"/>
      <c r="T217" s="1678"/>
      <c r="U217" s="559"/>
      <c r="V217" s="560"/>
      <c r="W217" s="560"/>
      <c r="X217" s="561"/>
      <c r="Y217" s="1"/>
      <c r="Z217" s="1"/>
      <c r="AA217" s="1"/>
    </row>
    <row r="218" spans="1:27" ht="13.8">
      <c r="A218" s="1"/>
      <c r="B218" s="1"/>
      <c r="C218" s="1"/>
      <c r="D218" s="1"/>
      <c r="E218" s="1"/>
      <c r="F218" s="1"/>
      <c r="G218" s="1"/>
      <c r="H218" s="1680" t="s">
        <v>690</v>
      </c>
      <c r="I218" s="1681"/>
      <c r="J218" s="1681"/>
      <c r="K218" s="1170" t="s">
        <v>820</v>
      </c>
      <c r="L218" s="1171"/>
      <c r="M218" s="1171"/>
      <c r="N218" s="1171"/>
      <c r="O218" s="1171"/>
      <c r="P218" s="1171"/>
      <c r="Q218" s="1171"/>
      <c r="R218" s="1171"/>
      <c r="S218" s="1171"/>
      <c r="T218" s="1172"/>
      <c r="U218" s="1657">
        <f>(113.93*KFC!$B$41*1.6+KFC!$C$41)*KFC!$C$5</f>
        <v>182.28800000000001</v>
      </c>
      <c r="V218" s="1682"/>
      <c r="W218" s="1682"/>
      <c r="X218" s="1658"/>
      <c r="Y218" s="1"/>
      <c r="Z218" s="1"/>
      <c r="AA218" s="1"/>
    </row>
    <row r="219" spans="1:27" ht="13.8">
      <c r="A219" s="1"/>
      <c r="B219" s="1"/>
      <c r="C219" s="1"/>
      <c r="D219" s="1"/>
      <c r="E219" s="1"/>
      <c r="F219" s="1"/>
      <c r="G219" s="1"/>
      <c r="H219" s="1670"/>
      <c r="I219" s="1671"/>
      <c r="J219" s="1671"/>
      <c r="K219" s="1388" t="s">
        <v>862</v>
      </c>
      <c r="L219" s="1678"/>
      <c r="M219" s="1678"/>
      <c r="N219" s="1678"/>
      <c r="O219" s="1678"/>
      <c r="P219" s="1678"/>
      <c r="Q219" s="1678"/>
      <c r="R219" s="1678"/>
      <c r="S219" s="1678"/>
      <c r="T219" s="1679"/>
      <c r="U219" s="1675"/>
      <c r="V219" s="1676"/>
      <c r="W219" s="1676"/>
      <c r="X219" s="1677"/>
      <c r="Y219" s="1"/>
      <c r="Z219" s="1"/>
      <c r="AA219" s="1"/>
    </row>
    <row r="220" spans="1:27" ht="13.8">
      <c r="A220" s="1"/>
      <c r="B220" s="1"/>
      <c r="C220" s="1"/>
      <c r="D220" s="1"/>
      <c r="E220" s="1"/>
      <c r="F220" s="1"/>
      <c r="G220" s="1"/>
      <c r="H220" s="1680" t="s">
        <v>697</v>
      </c>
      <c r="I220" s="1681"/>
      <c r="J220" s="1681"/>
      <c r="K220" s="1170" t="s">
        <v>92</v>
      </c>
      <c r="L220" s="1171"/>
      <c r="M220" s="1171"/>
      <c r="N220" s="1171"/>
      <c r="O220" s="1171"/>
      <c r="P220" s="1171"/>
      <c r="Q220" s="1171"/>
      <c r="R220" s="1171"/>
      <c r="S220" s="1171"/>
      <c r="T220" s="1172"/>
      <c r="U220" s="1657">
        <f>(38.74*KFC!$B$41*1.6+KFC!$C$41)*KFC!$C$5</f>
        <v>61.984000000000009</v>
      </c>
      <c r="V220" s="1682"/>
      <c r="W220" s="1682"/>
      <c r="X220" s="1658"/>
      <c r="Y220" s="1"/>
      <c r="Z220" s="1"/>
      <c r="AA220" s="1"/>
    </row>
    <row r="221" spans="1:27" ht="13.8">
      <c r="A221" s="1"/>
      <c r="B221" s="1"/>
      <c r="C221" s="1"/>
      <c r="D221" s="1"/>
      <c r="E221" s="1"/>
      <c r="F221" s="1"/>
      <c r="G221" s="1"/>
      <c r="H221" s="1670"/>
      <c r="I221" s="1671"/>
      <c r="J221" s="1671"/>
      <c r="K221" s="1017" t="s">
        <v>863</v>
      </c>
      <c r="L221" s="1403"/>
      <c r="M221" s="1403"/>
      <c r="N221" s="1403"/>
      <c r="O221" s="1403"/>
      <c r="P221" s="1403"/>
      <c r="Q221" s="1403"/>
      <c r="R221" s="1403"/>
      <c r="S221" s="1403"/>
      <c r="T221" s="1404"/>
      <c r="U221" s="1675"/>
      <c r="V221" s="1676"/>
      <c r="W221" s="1676"/>
      <c r="X221" s="1677"/>
      <c r="Y221" s="1"/>
      <c r="Z221" s="1"/>
      <c r="AA221" s="1"/>
    </row>
    <row r="222" spans="1:27" ht="13.8">
      <c r="A222" s="1"/>
      <c r="B222" s="1"/>
      <c r="C222" s="1"/>
      <c r="D222" s="1"/>
      <c r="E222" s="1"/>
      <c r="F222" s="1"/>
      <c r="G222" s="1"/>
      <c r="H222" s="1686" t="s">
        <v>696</v>
      </c>
      <c r="I222" s="1687"/>
      <c r="J222" s="1687"/>
      <c r="K222" s="1008" t="s">
        <v>93</v>
      </c>
      <c r="L222" s="1008"/>
      <c r="M222" s="1008"/>
      <c r="N222" s="1008"/>
      <c r="O222" s="1008"/>
      <c r="P222" s="1008"/>
      <c r="Q222" s="1008"/>
      <c r="R222" s="1008"/>
      <c r="S222" s="1008"/>
      <c r="T222" s="1008"/>
      <c r="U222" s="1293">
        <f>(143.17*KFC!$B$41*1.6+KFC!$C$41)*KFC!$C$5</f>
        <v>229.072</v>
      </c>
      <c r="V222" s="1293"/>
      <c r="W222" s="1293"/>
      <c r="X222" s="1294"/>
      <c r="Y222" s="1"/>
      <c r="Z222" s="1"/>
      <c r="AA222" s="1"/>
    </row>
    <row r="223" spans="1:27" ht="13.8">
      <c r="A223" s="1"/>
      <c r="B223" s="1"/>
      <c r="C223" s="1"/>
      <c r="D223" s="1"/>
      <c r="E223" s="1"/>
      <c r="F223" s="1"/>
      <c r="G223" s="1"/>
      <c r="H223" s="1686" t="s">
        <v>697</v>
      </c>
      <c r="I223" s="1687"/>
      <c r="J223" s="1687"/>
      <c r="K223" s="1003" t="s">
        <v>649</v>
      </c>
      <c r="L223" s="1003"/>
      <c r="M223" s="1003"/>
      <c r="N223" s="1003"/>
      <c r="O223" s="1003"/>
      <c r="P223" s="1003"/>
      <c r="Q223" s="1003"/>
      <c r="R223" s="1003"/>
      <c r="S223" s="1003"/>
      <c r="T223" s="1003"/>
      <c r="U223" s="1293">
        <f>(21.52*KFC!$B$41*1.6+KFC!$C$41)*KFC!$C$5</f>
        <v>34.432000000000002</v>
      </c>
      <c r="V223" s="1293"/>
      <c r="W223" s="1293"/>
      <c r="X223" s="1294"/>
      <c r="Y223" s="1"/>
      <c r="Z223" s="1"/>
      <c r="AA223" s="1"/>
    </row>
    <row r="224" spans="1:27" ht="13.8">
      <c r="A224" s="1"/>
      <c r="B224" s="1"/>
      <c r="C224" s="1"/>
      <c r="D224" s="1"/>
      <c r="E224" s="1"/>
      <c r="F224" s="1"/>
      <c r="G224" s="1"/>
      <c r="H224" s="1686" t="s">
        <v>695</v>
      </c>
      <c r="I224" s="1687"/>
      <c r="J224" s="1687"/>
      <c r="K224" s="1003" t="s">
        <v>650</v>
      </c>
      <c r="L224" s="1003"/>
      <c r="M224" s="1003"/>
      <c r="N224" s="1003"/>
      <c r="O224" s="1003"/>
      <c r="P224" s="1003"/>
      <c r="Q224" s="1003"/>
      <c r="R224" s="1003"/>
      <c r="S224" s="1003"/>
      <c r="T224" s="1003"/>
      <c r="U224" s="1293">
        <f>(1.9*KFC!$B$41*1.6+KFC!$C$41)*KFC!$C$5</f>
        <v>3.04</v>
      </c>
      <c r="V224" s="1293"/>
      <c r="W224" s="1293"/>
      <c r="X224" s="1294"/>
      <c r="Y224" s="1"/>
      <c r="Z224" s="1"/>
      <c r="AA224" s="1"/>
    </row>
    <row r="225" spans="1:27" ht="13.8">
      <c r="A225" s="1"/>
      <c r="B225" s="1"/>
      <c r="C225" s="1"/>
      <c r="D225" s="1"/>
      <c r="E225" s="1"/>
      <c r="F225" s="1"/>
      <c r="G225" s="1"/>
      <c r="H225" s="1686" t="s">
        <v>690</v>
      </c>
      <c r="I225" s="1687"/>
      <c r="J225" s="1687"/>
      <c r="K225" s="1003" t="s">
        <v>651</v>
      </c>
      <c r="L225" s="1003"/>
      <c r="M225" s="1003"/>
      <c r="N225" s="1003"/>
      <c r="O225" s="1003"/>
      <c r="P225" s="1003"/>
      <c r="Q225" s="1003"/>
      <c r="R225" s="1003"/>
      <c r="S225" s="1003"/>
      <c r="T225" s="1003"/>
      <c r="U225" s="1293">
        <f>(4.43*KFC!$B$41*1.6+KFC!$C$41)*KFC!$C$5</f>
        <v>7.0880000000000001</v>
      </c>
      <c r="V225" s="1293"/>
      <c r="W225" s="1293"/>
      <c r="X225" s="1294"/>
      <c r="Y225" s="1"/>
      <c r="Z225" s="1"/>
      <c r="AA225" s="1"/>
    </row>
    <row r="226" spans="1:27" ht="13.8">
      <c r="A226" s="1"/>
      <c r="B226" s="1"/>
      <c r="C226" s="1"/>
      <c r="D226" s="1"/>
      <c r="E226" s="1"/>
      <c r="F226" s="1"/>
      <c r="G226" s="1"/>
      <c r="H226" s="1686" t="s">
        <v>696</v>
      </c>
      <c r="I226" s="1687"/>
      <c r="J226" s="1687"/>
      <c r="K226" s="1003" t="s">
        <v>816</v>
      </c>
      <c r="L226" s="1003"/>
      <c r="M226" s="1003"/>
      <c r="N226" s="1003"/>
      <c r="O226" s="1003"/>
      <c r="P226" s="1003"/>
      <c r="Q226" s="1003"/>
      <c r="R226" s="1003"/>
      <c r="S226" s="1003"/>
      <c r="T226" s="1003"/>
      <c r="U226" s="1293">
        <f>(17.85*KFC!$B$41*1.6+KFC!$C$41)*KFC!$C$5</f>
        <v>28.560000000000002</v>
      </c>
      <c r="V226" s="1293"/>
      <c r="W226" s="1293"/>
      <c r="X226" s="1294"/>
      <c r="Y226" s="1"/>
      <c r="Z226" s="1"/>
      <c r="AA226" s="1"/>
    </row>
    <row r="227" spans="1:27" ht="13.8">
      <c r="A227" s="1"/>
      <c r="B227" s="1"/>
      <c r="C227" s="1"/>
      <c r="D227" s="1"/>
      <c r="E227" s="1"/>
      <c r="F227" s="1"/>
      <c r="G227" s="1"/>
      <c r="H227" s="1686" t="s">
        <v>890</v>
      </c>
      <c r="I227" s="1687"/>
      <c r="J227" s="1687"/>
      <c r="K227" s="1003" t="s">
        <v>643</v>
      </c>
      <c r="L227" s="1003"/>
      <c r="M227" s="1003"/>
      <c r="N227" s="1003"/>
      <c r="O227" s="1003"/>
      <c r="P227" s="1003"/>
      <c r="Q227" s="1003"/>
      <c r="R227" s="1003"/>
      <c r="S227" s="1003"/>
      <c r="T227" s="1003"/>
      <c r="U227" s="1293">
        <f>(17.73*KFC!$B$41+KFC!$C$41)*KFC!$C$5</f>
        <v>17.73</v>
      </c>
      <c r="V227" s="1293"/>
      <c r="W227" s="1293"/>
      <c r="X227" s="1294"/>
      <c r="Y227" s="1"/>
      <c r="Z227" s="1"/>
      <c r="AA227" s="1"/>
    </row>
    <row r="228" spans="1:27" ht="13.8">
      <c r="A228" s="1"/>
      <c r="B228" s="1"/>
      <c r="C228" s="1"/>
      <c r="D228" s="1"/>
      <c r="E228" s="1"/>
      <c r="F228" s="1"/>
      <c r="G228" s="1"/>
      <c r="H228" s="1680" t="s">
        <v>891</v>
      </c>
      <c r="I228" s="1681"/>
      <c r="J228" s="1688"/>
      <c r="K228" s="1408" t="s">
        <v>458</v>
      </c>
      <c r="L228" s="1408"/>
      <c r="M228" s="1408"/>
      <c r="N228" s="1408"/>
      <c r="O228" s="1408"/>
      <c r="P228" s="1408"/>
      <c r="Q228" s="1408"/>
      <c r="R228" s="1408"/>
      <c r="S228" s="1408"/>
      <c r="T228" s="1408"/>
      <c r="U228" s="1657">
        <f>(31.65*KFC!$B$41+KFC!$C$41)*KFC!$C$5</f>
        <v>31.65</v>
      </c>
      <c r="V228" s="1682"/>
      <c r="W228" s="1682"/>
      <c r="X228" s="1658"/>
      <c r="Y228" s="1"/>
      <c r="Z228" s="1"/>
      <c r="AA228" s="1"/>
    </row>
    <row r="229" spans="1:27">
      <c r="A229" s="1"/>
      <c r="B229" s="1"/>
      <c r="C229" s="1"/>
      <c r="D229" s="1"/>
      <c r="E229" s="1"/>
      <c r="F229" s="1"/>
      <c r="G229" s="1"/>
      <c r="H229" s="1689"/>
      <c r="I229" s="1690"/>
      <c r="J229" s="1691"/>
      <c r="K229" s="1047" t="s">
        <v>870</v>
      </c>
      <c r="L229" s="1047"/>
      <c r="M229" s="1047"/>
      <c r="N229" s="1047"/>
      <c r="O229" s="1047"/>
      <c r="P229" s="1047"/>
      <c r="Q229" s="1047"/>
      <c r="R229" s="1047"/>
      <c r="S229" s="1047"/>
      <c r="T229" s="1047"/>
      <c r="U229" s="1692"/>
      <c r="V229" s="1551"/>
      <c r="W229" s="1551"/>
      <c r="X229" s="1693"/>
      <c r="Y229" s="1"/>
      <c r="Z229" s="1"/>
      <c r="AA229" s="1"/>
    </row>
    <row r="230" spans="1:27" ht="13.8">
      <c r="A230" s="1"/>
      <c r="B230" s="1"/>
      <c r="C230" s="1"/>
      <c r="D230" s="1"/>
      <c r="E230" s="1"/>
      <c r="F230" s="1"/>
      <c r="G230" s="1"/>
      <c r="H230" s="1680" t="s">
        <v>892</v>
      </c>
      <c r="I230" s="1681"/>
      <c r="J230" s="1688"/>
      <c r="K230" s="1408" t="s">
        <v>459</v>
      </c>
      <c r="L230" s="1408"/>
      <c r="M230" s="1408"/>
      <c r="N230" s="1408"/>
      <c r="O230" s="1408"/>
      <c r="P230" s="1408"/>
      <c r="Q230" s="1408"/>
      <c r="R230" s="1408"/>
      <c r="S230" s="1408"/>
      <c r="T230" s="1408"/>
      <c r="U230" s="1657">
        <f>(40.51*KFC!$B$41+KFC!$C$41)*KFC!$C$5</f>
        <v>40.51</v>
      </c>
      <c r="V230" s="1682"/>
      <c r="W230" s="1682"/>
      <c r="X230" s="1658"/>
      <c r="Y230" s="1"/>
      <c r="Z230" s="1"/>
      <c r="AA230" s="1"/>
    </row>
    <row r="231" spans="1:27">
      <c r="A231" s="1"/>
      <c r="B231" s="1"/>
      <c r="C231" s="1"/>
      <c r="D231" s="1"/>
      <c r="E231" s="1"/>
      <c r="F231" s="1"/>
      <c r="G231" s="1"/>
      <c r="H231" s="1689"/>
      <c r="I231" s="1690"/>
      <c r="J231" s="1691"/>
      <c r="K231" s="1694" t="s">
        <v>864</v>
      </c>
      <c r="L231" s="1694"/>
      <c r="M231" s="1694"/>
      <c r="N231" s="1694"/>
      <c r="O231" s="1694"/>
      <c r="P231" s="1694"/>
      <c r="Q231" s="1694"/>
      <c r="R231" s="1694"/>
      <c r="S231" s="1694"/>
      <c r="T231" s="1694"/>
      <c r="U231" s="1692"/>
      <c r="V231" s="1551"/>
      <c r="W231" s="1551"/>
      <c r="X231" s="1693"/>
      <c r="Y231" s="1"/>
      <c r="Z231" s="1"/>
      <c r="AA231" s="1"/>
    </row>
    <row r="232" spans="1:27" ht="13.8">
      <c r="A232" s="1"/>
      <c r="B232" s="1"/>
      <c r="C232" s="1"/>
      <c r="D232" s="1"/>
      <c r="E232" s="1"/>
      <c r="F232" s="1"/>
      <c r="G232" s="1"/>
      <c r="H232" s="1680" t="s">
        <v>893</v>
      </c>
      <c r="I232" s="1681"/>
      <c r="J232" s="1688"/>
      <c r="K232" s="1695" t="s">
        <v>460</v>
      </c>
      <c r="L232" s="1695"/>
      <c r="M232" s="1695"/>
      <c r="N232" s="1695"/>
      <c r="O232" s="1695"/>
      <c r="P232" s="1695"/>
      <c r="Q232" s="1695"/>
      <c r="R232" s="1695"/>
      <c r="S232" s="1695"/>
      <c r="T232" s="1695"/>
      <c r="U232" s="1293">
        <f>(31.65*KFC!$B$41+KFC!$C$41)*KFC!$C$5</f>
        <v>31.65</v>
      </c>
      <c r="V232" s="1293"/>
      <c r="W232" s="1293"/>
      <c r="X232" s="1294"/>
      <c r="Y232" s="1"/>
      <c r="Z232" s="1"/>
      <c r="AA232" s="1"/>
    </row>
    <row r="233" spans="1:27">
      <c r="A233" s="1"/>
      <c r="B233" s="1"/>
      <c r="C233" s="1"/>
      <c r="D233" s="1"/>
      <c r="E233" s="1"/>
      <c r="F233" s="1"/>
      <c r="G233" s="1"/>
      <c r="H233" s="1689"/>
      <c r="I233" s="1690"/>
      <c r="J233" s="1691"/>
      <c r="K233" s="1047" t="s">
        <v>867</v>
      </c>
      <c r="L233" s="1047"/>
      <c r="M233" s="1047"/>
      <c r="N233" s="1047"/>
      <c r="O233" s="1047"/>
      <c r="P233" s="1047"/>
      <c r="Q233" s="1047"/>
      <c r="R233" s="1047"/>
      <c r="S233" s="1047"/>
      <c r="T233" s="1047"/>
      <c r="U233" s="1293"/>
      <c r="V233" s="1293"/>
      <c r="W233" s="1293"/>
      <c r="X233" s="1294"/>
      <c r="Y233" s="1"/>
      <c r="Z233" s="1"/>
      <c r="AA233" s="1"/>
    </row>
    <row r="234" spans="1:27" ht="13.8">
      <c r="A234" s="1"/>
      <c r="B234" s="1"/>
      <c r="C234" s="1"/>
      <c r="D234" s="1"/>
      <c r="E234" s="1"/>
      <c r="F234" s="1"/>
      <c r="G234" s="1"/>
      <c r="H234" s="1680" t="s">
        <v>892</v>
      </c>
      <c r="I234" s="1681"/>
      <c r="J234" s="1688"/>
      <c r="K234" s="1408" t="s">
        <v>485</v>
      </c>
      <c r="L234" s="1408"/>
      <c r="M234" s="1408"/>
      <c r="N234" s="1408"/>
      <c r="O234" s="1408"/>
      <c r="P234" s="1408"/>
      <c r="Q234" s="1408"/>
      <c r="R234" s="1408"/>
      <c r="S234" s="1408"/>
      <c r="T234" s="1408"/>
      <c r="U234" s="1293">
        <f>(40.51*KFC!$B$41+KFC!$C$41)*KFC!$C$5</f>
        <v>40.51</v>
      </c>
      <c r="V234" s="1293"/>
      <c r="W234" s="1293"/>
      <c r="X234" s="1294"/>
      <c r="Y234" s="1"/>
      <c r="Z234" s="1"/>
      <c r="AA234" s="1"/>
    </row>
    <row r="235" spans="1:27">
      <c r="A235" s="1"/>
      <c r="B235" s="1"/>
      <c r="C235" s="1"/>
      <c r="D235" s="1"/>
      <c r="E235" s="1"/>
      <c r="F235" s="1"/>
      <c r="G235" s="1"/>
      <c r="H235" s="1689"/>
      <c r="I235" s="1690"/>
      <c r="J235" s="1691"/>
      <c r="K235" s="1047" t="s">
        <v>868</v>
      </c>
      <c r="L235" s="1047"/>
      <c r="M235" s="1047"/>
      <c r="N235" s="1047"/>
      <c r="O235" s="1047"/>
      <c r="P235" s="1047"/>
      <c r="Q235" s="1047"/>
      <c r="R235" s="1047"/>
      <c r="S235" s="1047"/>
      <c r="T235" s="1047"/>
      <c r="U235" s="1293"/>
      <c r="V235" s="1293"/>
      <c r="W235" s="1293"/>
      <c r="X235" s="1294"/>
      <c r="Y235" s="1"/>
      <c r="Z235" s="1"/>
      <c r="AA235" s="1"/>
    </row>
    <row r="236" spans="1:27" ht="13.8">
      <c r="A236" s="1"/>
      <c r="B236" s="1"/>
      <c r="C236" s="1"/>
      <c r="D236" s="1"/>
      <c r="E236" s="1"/>
      <c r="F236" s="1"/>
      <c r="G236" s="1"/>
      <c r="H236" s="1686" t="s">
        <v>892</v>
      </c>
      <c r="I236" s="1687"/>
      <c r="J236" s="1687"/>
      <c r="K236" s="1003" t="s">
        <v>652</v>
      </c>
      <c r="L236" s="1003"/>
      <c r="M236" s="1003"/>
      <c r="N236" s="1003"/>
      <c r="O236" s="1003"/>
      <c r="P236" s="1003"/>
      <c r="Q236" s="1003"/>
      <c r="R236" s="1003"/>
      <c r="S236" s="1003"/>
      <c r="T236" s="1003"/>
      <c r="U236" s="1293">
        <f>(50.64*KFC!$B$41+KFC!$C$41)*KFC!$C$5</f>
        <v>50.64</v>
      </c>
      <c r="V236" s="1293"/>
      <c r="W236" s="1293"/>
      <c r="X236" s="1294"/>
      <c r="Y236" s="1"/>
      <c r="Z236" s="1"/>
      <c r="AA236" s="1"/>
    </row>
    <row r="237" spans="1:27" ht="13.8">
      <c r="A237" s="1"/>
      <c r="B237" s="1"/>
      <c r="C237" s="1"/>
      <c r="D237" s="1"/>
      <c r="E237" s="1"/>
      <c r="F237" s="1"/>
      <c r="G237" s="1"/>
      <c r="H237" s="1680" t="s">
        <v>893</v>
      </c>
      <c r="I237" s="1681"/>
      <c r="J237" s="1688"/>
      <c r="K237" s="1408" t="s">
        <v>653</v>
      </c>
      <c r="L237" s="1408"/>
      <c r="M237" s="1408"/>
      <c r="N237" s="1408"/>
      <c r="O237" s="1408"/>
      <c r="P237" s="1408"/>
      <c r="Q237" s="1408"/>
      <c r="R237" s="1408"/>
      <c r="S237" s="1408"/>
      <c r="T237" s="1408"/>
      <c r="U237" s="1293">
        <f>(7.6*KFC!$B$41+KFC!$C$41)*KFC!$C$5</f>
        <v>7.6</v>
      </c>
      <c r="V237" s="1293"/>
      <c r="W237" s="1293"/>
      <c r="X237" s="1294"/>
      <c r="Y237" s="1"/>
      <c r="Z237" s="1"/>
      <c r="AA237" s="1"/>
    </row>
    <row r="238" spans="1:27">
      <c r="A238" s="1"/>
      <c r="B238" s="1"/>
      <c r="C238" s="1"/>
      <c r="D238" s="1"/>
      <c r="E238" s="1"/>
      <c r="F238" s="1"/>
      <c r="G238" s="1"/>
      <c r="H238" s="1689"/>
      <c r="I238" s="1690"/>
      <c r="J238" s="1691"/>
      <c r="K238" s="1047" t="s">
        <v>869</v>
      </c>
      <c r="L238" s="1047"/>
      <c r="M238" s="1047"/>
      <c r="N238" s="1047"/>
      <c r="O238" s="1047"/>
      <c r="P238" s="1047"/>
      <c r="Q238" s="1047"/>
      <c r="R238" s="1047"/>
      <c r="S238" s="1047"/>
      <c r="T238" s="1047"/>
      <c r="U238" s="1293"/>
      <c r="V238" s="1293"/>
      <c r="W238" s="1293"/>
      <c r="X238" s="1294"/>
      <c r="Y238" s="1"/>
      <c r="Z238" s="1"/>
      <c r="AA238" s="1"/>
    </row>
    <row r="239" spans="1:27" ht="13.8">
      <c r="A239" s="1"/>
      <c r="B239" s="1"/>
      <c r="C239" s="1"/>
      <c r="D239" s="1"/>
      <c r="E239" s="1"/>
      <c r="F239" s="1"/>
      <c r="G239" s="1"/>
      <c r="H239" s="1686" t="s">
        <v>894</v>
      </c>
      <c r="I239" s="1687"/>
      <c r="J239" s="1687"/>
      <c r="K239" s="1003" t="s">
        <v>654</v>
      </c>
      <c r="L239" s="1003"/>
      <c r="M239" s="1003"/>
      <c r="N239" s="1003"/>
      <c r="O239" s="1003"/>
      <c r="P239" s="1003"/>
      <c r="Q239" s="1003"/>
      <c r="R239" s="1003"/>
      <c r="S239" s="1003"/>
      <c r="T239" s="1003"/>
      <c r="U239" s="1293">
        <f>(2.54*KFC!$B$41+KFC!$C$41)*KFC!$C$5</f>
        <v>2.54</v>
      </c>
      <c r="V239" s="1293"/>
      <c r="W239" s="1293"/>
      <c r="X239" s="1294"/>
      <c r="Y239" s="1"/>
      <c r="Z239" s="1"/>
      <c r="AA239" s="1"/>
    </row>
    <row r="240" spans="1:27" ht="14.4" thickBot="1">
      <c r="A240" s="1"/>
      <c r="B240" s="1"/>
      <c r="C240" s="1"/>
      <c r="D240" s="1"/>
      <c r="E240" s="1"/>
      <c r="F240" s="1"/>
      <c r="G240" s="1"/>
      <c r="H240" s="1701" t="s">
        <v>891</v>
      </c>
      <c r="I240" s="1702"/>
      <c r="J240" s="1702"/>
      <c r="K240" s="1170" t="s">
        <v>655</v>
      </c>
      <c r="L240" s="1171"/>
      <c r="M240" s="1171"/>
      <c r="N240" s="1171"/>
      <c r="O240" s="1171"/>
      <c r="P240" s="1171"/>
      <c r="Q240" s="1171"/>
      <c r="R240" s="1171"/>
      <c r="S240" s="1171"/>
      <c r="T240" s="1172"/>
      <c r="U240" s="1704">
        <f>(37.98*KFC!$B$41+KFC!$C$41)*KFC!$C$5</f>
        <v>37.979999999999997</v>
      </c>
      <c r="V240" s="1704"/>
      <c r="W240" s="1704"/>
      <c r="X240" s="1397"/>
      <c r="Y240" s="1"/>
      <c r="Z240" s="1"/>
      <c r="AA240" s="1"/>
    </row>
    <row r="241" spans="1:27" ht="13.8">
      <c r="A241" s="1"/>
      <c r="B241" s="1"/>
      <c r="C241" s="1"/>
      <c r="D241" s="1"/>
      <c r="E241" s="1"/>
      <c r="F241" s="1"/>
      <c r="G241" s="1"/>
      <c r="H241" s="1705" t="s">
        <v>895</v>
      </c>
      <c r="I241" s="1706"/>
      <c r="J241" s="1706"/>
      <c r="K241" s="1192" t="s">
        <v>896</v>
      </c>
      <c r="L241" s="1193"/>
      <c r="M241" s="1193"/>
      <c r="N241" s="1193"/>
      <c r="O241" s="1193"/>
      <c r="P241" s="1193"/>
      <c r="Q241" s="1193"/>
      <c r="R241" s="1193"/>
      <c r="S241" s="1193"/>
      <c r="T241" s="1194"/>
      <c r="U241" s="1655">
        <f>(31.65*KFC!$B$41+KFC!$C$41)*KFC!$C$5</f>
        <v>31.65</v>
      </c>
      <c r="V241" s="1655"/>
      <c r="W241" s="1655"/>
      <c r="X241" s="1656"/>
      <c r="Y241" s="1"/>
      <c r="Z241" s="1"/>
      <c r="AA241" s="1"/>
    </row>
    <row r="242" spans="1:27" ht="13.8">
      <c r="A242" s="1"/>
      <c r="B242" s="1"/>
      <c r="C242" s="1"/>
      <c r="D242" s="1"/>
      <c r="E242" s="1"/>
      <c r="F242" s="1"/>
      <c r="G242" s="1"/>
      <c r="H242" s="1701" t="s">
        <v>895</v>
      </c>
      <c r="I242" s="1702"/>
      <c r="J242" s="1702"/>
      <c r="K242" s="1170" t="s">
        <v>897</v>
      </c>
      <c r="L242" s="1171"/>
      <c r="M242" s="1171"/>
      <c r="N242" s="1171"/>
      <c r="O242" s="1171"/>
      <c r="P242" s="1171"/>
      <c r="Q242" s="1171"/>
      <c r="R242" s="1171"/>
      <c r="S242" s="1171"/>
      <c r="T242" s="1172"/>
      <c r="U242" s="1293">
        <f>(37.98*KFC!$B$41+KFC!$C$41)*KFC!$C$5</f>
        <v>37.979999999999997</v>
      </c>
      <c r="V242" s="1293"/>
      <c r="W242" s="1293"/>
      <c r="X242" s="1294"/>
      <c r="Y242" s="1"/>
      <c r="Z242" s="1"/>
      <c r="AA242" s="1"/>
    </row>
    <row r="243" spans="1:27" ht="13.8">
      <c r="A243" s="1"/>
      <c r="B243" s="1"/>
      <c r="C243" s="1"/>
      <c r="D243" s="1"/>
      <c r="E243" s="1"/>
      <c r="F243" s="1"/>
      <c r="G243" s="1"/>
      <c r="H243" s="1701" t="s">
        <v>895</v>
      </c>
      <c r="I243" s="1702"/>
      <c r="J243" s="1702"/>
      <c r="K243" s="1170" t="s">
        <v>898</v>
      </c>
      <c r="L243" s="1171"/>
      <c r="M243" s="1171"/>
      <c r="N243" s="1171"/>
      <c r="O243" s="1171"/>
      <c r="P243" s="1171"/>
      <c r="Q243" s="1171"/>
      <c r="R243" s="1171"/>
      <c r="S243" s="1171"/>
      <c r="T243" s="1172"/>
      <c r="U243" s="1293">
        <f>(44.31*KFC!$B$41+KFC!$C$41)*KFC!$C$5</f>
        <v>44.31</v>
      </c>
      <c r="V243" s="1293"/>
      <c r="W243" s="1293"/>
      <c r="X243" s="1294"/>
      <c r="Y243" s="1"/>
      <c r="Z243" s="1"/>
      <c r="AA243" s="1"/>
    </row>
    <row r="244" spans="1:27" ht="13.8">
      <c r="A244" s="1"/>
      <c r="B244" s="1"/>
      <c r="C244" s="1"/>
      <c r="D244" s="1"/>
      <c r="E244" s="1"/>
      <c r="F244" s="1"/>
      <c r="G244" s="1"/>
      <c r="H244" s="1701" t="s">
        <v>895</v>
      </c>
      <c r="I244" s="1702"/>
      <c r="J244" s="1702"/>
      <c r="K244" s="1170" t="s">
        <v>899</v>
      </c>
      <c r="L244" s="1171"/>
      <c r="M244" s="1171"/>
      <c r="N244" s="1171"/>
      <c r="O244" s="1171"/>
      <c r="P244" s="1171"/>
      <c r="Q244" s="1171"/>
      <c r="R244" s="1171"/>
      <c r="S244" s="1171"/>
      <c r="T244" s="1172"/>
      <c r="U244" s="1293">
        <f>(31.65*KFC!$B$41+KFC!$C$41)*KFC!$C$5</f>
        <v>31.65</v>
      </c>
      <c r="V244" s="1293"/>
      <c r="W244" s="1293"/>
      <c r="X244" s="1294"/>
      <c r="Y244" s="1"/>
      <c r="Z244" s="1"/>
      <c r="AA244" s="1"/>
    </row>
    <row r="245" spans="1:27" ht="13.8">
      <c r="A245" s="1"/>
      <c r="B245" s="1"/>
      <c r="C245" s="1"/>
      <c r="D245" s="1"/>
      <c r="E245" s="1"/>
      <c r="F245" s="1"/>
      <c r="G245" s="1"/>
      <c r="H245" s="1701" t="s">
        <v>895</v>
      </c>
      <c r="I245" s="1702"/>
      <c r="J245" s="1702"/>
      <c r="K245" s="1170" t="s">
        <v>900</v>
      </c>
      <c r="L245" s="1171"/>
      <c r="M245" s="1171"/>
      <c r="N245" s="1171"/>
      <c r="O245" s="1171"/>
      <c r="P245" s="1171"/>
      <c r="Q245" s="1171"/>
      <c r="R245" s="1171"/>
      <c r="S245" s="1171"/>
      <c r="T245" s="1172"/>
      <c r="U245" s="1293">
        <f>(37.98*KFC!$B$41+KFC!$C$41)*KFC!$C$5</f>
        <v>37.979999999999997</v>
      </c>
      <c r="V245" s="1293"/>
      <c r="W245" s="1293"/>
      <c r="X245" s="1294"/>
      <c r="Y245" s="1"/>
      <c r="Z245" s="1"/>
      <c r="AA245" s="1"/>
    </row>
    <row r="246" spans="1:27" ht="13.8">
      <c r="A246" s="1"/>
      <c r="B246" s="1"/>
      <c r="C246" s="1"/>
      <c r="D246" s="1"/>
      <c r="E246" s="1"/>
      <c r="F246" s="1"/>
      <c r="G246" s="1"/>
      <c r="H246" s="1701" t="s">
        <v>895</v>
      </c>
      <c r="I246" s="1702"/>
      <c r="J246" s="1702"/>
      <c r="K246" s="1170" t="s">
        <v>901</v>
      </c>
      <c r="L246" s="1171"/>
      <c r="M246" s="1171"/>
      <c r="N246" s="1171"/>
      <c r="O246" s="1171"/>
      <c r="P246" s="1171"/>
      <c r="Q246" s="1171"/>
      <c r="R246" s="1171"/>
      <c r="S246" s="1171"/>
      <c r="T246" s="1172"/>
      <c r="U246" s="1293">
        <f>(75.95*KFC!$B$41+KFC!$C$41)*KFC!$C$5</f>
        <v>75.95</v>
      </c>
      <c r="V246" s="1293"/>
      <c r="W246" s="1293"/>
      <c r="X246" s="1294"/>
      <c r="Y246" s="1"/>
      <c r="Z246" s="1"/>
      <c r="AA246" s="1"/>
    </row>
    <row r="247" spans="1:27" ht="14.4" thickBot="1">
      <c r="A247" s="1"/>
      <c r="B247" s="1"/>
      <c r="C247" s="1"/>
      <c r="D247" s="1"/>
      <c r="E247" s="1"/>
      <c r="F247" s="1"/>
      <c r="G247" s="1"/>
      <c r="H247" s="1696" t="s">
        <v>895</v>
      </c>
      <c r="I247" s="1697"/>
      <c r="J247" s="1697"/>
      <c r="K247" s="1698" t="s">
        <v>902</v>
      </c>
      <c r="L247" s="1699"/>
      <c r="M247" s="1699"/>
      <c r="N247" s="1699"/>
      <c r="O247" s="1699"/>
      <c r="P247" s="1699"/>
      <c r="Q247" s="1699"/>
      <c r="R247" s="1699"/>
      <c r="S247" s="1699"/>
      <c r="T247" s="1700"/>
      <c r="U247" s="1295">
        <f>(25.32*KFC!$B$41+KFC!$C$41)*KFC!$C$5</f>
        <v>25.32</v>
      </c>
      <c r="V247" s="1295"/>
      <c r="W247" s="1295"/>
      <c r="X247" s="1296"/>
      <c r="Y247" s="1"/>
      <c r="Z247" s="1"/>
      <c r="AA247" s="1"/>
    </row>
    <row r="248" spans="1:27">
      <c r="A248" s="69"/>
      <c r="B248" s="70"/>
      <c r="C248" s="70"/>
      <c r="D248" s="70"/>
      <c r="E248" s="70"/>
      <c r="F248" s="70"/>
      <c r="G248" s="70"/>
      <c r="H248" s="70"/>
      <c r="I248" s="70"/>
      <c r="J248" s="70"/>
      <c r="K248" s="70"/>
      <c r="L248" s="70"/>
      <c r="M248" s="70"/>
      <c r="N248" s="70"/>
      <c r="O248" s="70"/>
      <c r="P248" s="70"/>
      <c r="Q248" s="70"/>
      <c r="R248" s="70"/>
      <c r="S248" s="69"/>
      <c r="T248" s="69"/>
      <c r="U248" s="69"/>
      <c r="V248" s="69"/>
      <c r="W248" s="69"/>
      <c r="X248" s="69"/>
      <c r="Y248" s="69"/>
      <c r="Z248" s="69"/>
    </row>
    <row r="249" spans="1:27">
      <c r="A249" s="69"/>
      <c r="B249" s="70"/>
      <c r="C249" s="70"/>
      <c r="D249" s="70"/>
      <c r="E249" s="70"/>
      <c r="F249" s="70"/>
      <c r="G249" s="70"/>
      <c r="H249" s="70"/>
      <c r="I249" s="70"/>
      <c r="J249" s="70"/>
      <c r="K249" s="70"/>
      <c r="L249" s="70"/>
      <c r="M249" s="70"/>
      <c r="N249" s="70"/>
      <c r="O249" s="70"/>
      <c r="P249" s="70"/>
      <c r="Q249" s="70"/>
      <c r="R249" s="70"/>
      <c r="S249" s="69"/>
      <c r="T249" s="69"/>
      <c r="U249" s="69"/>
      <c r="V249" s="69"/>
      <c r="W249" s="69"/>
      <c r="X249" s="69"/>
      <c r="Y249" s="69"/>
      <c r="Z249" s="69"/>
    </row>
    <row r="250" spans="1:27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7">
      <c r="A251" s="1"/>
      <c r="B251" s="1"/>
      <c r="C251" s="1"/>
      <c r="D251" s="1"/>
      <c r="E251" s="1"/>
      <c r="F251" s="1"/>
      <c r="G251" s="1"/>
      <c r="H251" s="719"/>
      <c r="I251" s="719"/>
      <c r="J251" s="719"/>
      <c r="K251" s="719"/>
      <c r="L251" s="719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7">
      <c r="A252" s="1"/>
      <c r="B252" s="1"/>
      <c r="C252" s="1"/>
      <c r="D252" s="1"/>
      <c r="E252" s="1"/>
      <c r="F252" s="1"/>
      <c r="G252" s="1"/>
      <c r="H252" s="719"/>
      <c r="I252" s="719"/>
      <c r="J252" s="719"/>
      <c r="K252" s="719"/>
      <c r="L252" s="719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7" ht="13.8">
      <c r="A253" s="1"/>
      <c r="B253" s="1"/>
      <c r="C253" s="1"/>
      <c r="D253" s="1"/>
      <c r="E253" s="1"/>
      <c r="F253" s="1"/>
      <c r="G253" s="1"/>
      <c r="H253" s="870"/>
      <c r="I253" s="870"/>
      <c r="J253" s="870"/>
      <c r="K253" s="870"/>
      <c r="L253" s="719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7" ht="13.8">
      <c r="A254" s="1"/>
      <c r="B254" s="1"/>
      <c r="C254" s="1"/>
      <c r="D254" s="1"/>
      <c r="E254" s="1"/>
      <c r="F254" s="1"/>
      <c r="G254" s="1"/>
      <c r="H254" s="870"/>
      <c r="I254" s="870"/>
      <c r="J254" s="870"/>
      <c r="K254" s="870"/>
      <c r="L254" s="719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7" ht="13.8">
      <c r="A255" s="1"/>
      <c r="B255" s="1"/>
      <c r="C255" s="1"/>
      <c r="D255" s="1"/>
      <c r="E255" s="1"/>
      <c r="F255" s="1"/>
      <c r="G255" s="1"/>
      <c r="H255" s="870"/>
      <c r="I255" s="870"/>
      <c r="J255" s="870"/>
      <c r="K255" s="870"/>
      <c r="L255" s="719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7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6">
      <c r="A257" s="1"/>
      <c r="B257" s="1"/>
      <c r="C257" s="1"/>
      <c r="D257" s="1"/>
      <c r="E257" s="1"/>
      <c r="F257" s="1"/>
      <c r="G257" s="1"/>
      <c r="H257" s="1004" t="s">
        <v>1190</v>
      </c>
      <c r="I257" s="1004"/>
      <c r="J257" s="1004"/>
      <c r="K257" s="1004"/>
      <c r="L257" s="1004"/>
      <c r="M257" s="1004"/>
      <c r="N257" s="1004"/>
      <c r="O257" s="1004"/>
      <c r="P257" s="1004"/>
      <c r="Q257" s="1004"/>
      <c r="R257" s="1004"/>
      <c r="S257" s="1004"/>
      <c r="T257" s="1004"/>
      <c r="U257" s="1004"/>
      <c r="V257" s="1004"/>
      <c r="W257" s="1004"/>
      <c r="X257" s="1004"/>
      <c r="Y257" s="1"/>
      <c r="Z257" s="1"/>
    </row>
    <row r="258" spans="1:26" ht="13.8" thickBo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4" thickBot="1">
      <c r="A259" s="1"/>
      <c r="B259" s="1"/>
      <c r="C259" s="1"/>
      <c r="D259" s="1"/>
      <c r="E259" s="1"/>
      <c r="F259" s="1"/>
      <c r="G259" s="1"/>
      <c r="H259" s="1727" t="s">
        <v>87</v>
      </c>
      <c r="I259" s="1409"/>
      <c r="J259" s="1409"/>
      <c r="K259" s="1409"/>
      <c r="L259" s="1409"/>
      <c r="M259" s="1409"/>
      <c r="N259" s="1409"/>
      <c r="O259" s="1409"/>
      <c r="P259" s="1409"/>
      <c r="Q259" s="1409"/>
      <c r="R259" s="1409"/>
      <c r="S259" s="1409"/>
      <c r="T259" s="1409"/>
      <c r="U259" s="839" t="s">
        <v>1191</v>
      </c>
      <c r="V259" s="1092" t="s">
        <v>1194</v>
      </c>
      <c r="W259" s="1092"/>
      <c r="X259" s="1093"/>
      <c r="Y259" s="1"/>
      <c r="Z259" s="1"/>
    </row>
    <row r="260" spans="1:26" ht="13.8">
      <c r="A260" s="1"/>
      <c r="B260" s="1"/>
      <c r="C260" s="1"/>
      <c r="D260" s="1"/>
      <c r="E260" s="1"/>
      <c r="F260" s="1"/>
      <c r="G260" s="1"/>
      <c r="H260" s="1725" t="s">
        <v>1180</v>
      </c>
      <c r="I260" s="1726"/>
      <c r="J260" s="1726"/>
      <c r="K260" s="1726"/>
      <c r="L260" s="1726"/>
      <c r="M260" s="1726"/>
      <c r="N260" s="1726"/>
      <c r="O260" s="1726"/>
      <c r="P260" s="1726"/>
      <c r="Q260" s="1726"/>
      <c r="R260" s="1726"/>
      <c r="S260" s="1726"/>
      <c r="T260" s="1726"/>
      <c r="U260" s="873" t="s">
        <v>526</v>
      </c>
      <c r="V260" s="1655">
        <f>(206.72*KFC!$B$41+KFC!$C$41)</f>
        <v>206.72</v>
      </c>
      <c r="W260" s="1655"/>
      <c r="X260" s="1656"/>
      <c r="Y260" s="1"/>
      <c r="Z260" s="1"/>
    </row>
    <row r="261" spans="1:26" ht="13.8">
      <c r="A261" s="1"/>
      <c r="B261" s="1"/>
      <c r="C261" s="1"/>
      <c r="D261" s="1"/>
      <c r="E261" s="1"/>
      <c r="F261" s="1"/>
      <c r="G261" s="1"/>
      <c r="H261" s="1215" t="s">
        <v>1181</v>
      </c>
      <c r="I261" s="1003"/>
      <c r="J261" s="1003"/>
      <c r="K261" s="1003"/>
      <c r="L261" s="1003"/>
      <c r="M261" s="1003"/>
      <c r="N261" s="1003"/>
      <c r="O261" s="1003"/>
      <c r="P261" s="1003"/>
      <c r="Q261" s="1003"/>
      <c r="R261" s="1003"/>
      <c r="S261" s="1003"/>
      <c r="T261" s="1003"/>
      <c r="U261" s="869" t="s">
        <v>526</v>
      </c>
      <c r="V261" s="1293">
        <f>(226.92*KFC!$B$41+KFC!$C$41)</f>
        <v>226.92</v>
      </c>
      <c r="W261" s="1293"/>
      <c r="X261" s="1294"/>
      <c r="Y261" s="1"/>
      <c r="Z261" s="1"/>
    </row>
    <row r="262" spans="1:26" ht="13.8">
      <c r="A262" s="1"/>
      <c r="B262" s="1"/>
      <c r="C262" s="1"/>
      <c r="D262" s="1"/>
      <c r="E262" s="1"/>
      <c r="F262" s="1"/>
      <c r="G262" s="1"/>
      <c r="H262" s="1215" t="s">
        <v>1182</v>
      </c>
      <c r="I262" s="1003"/>
      <c r="J262" s="1003"/>
      <c r="K262" s="1003"/>
      <c r="L262" s="1003"/>
      <c r="M262" s="1003"/>
      <c r="N262" s="1003"/>
      <c r="O262" s="1003"/>
      <c r="P262" s="1003"/>
      <c r="Q262" s="1003"/>
      <c r="R262" s="1003"/>
      <c r="S262" s="1003"/>
      <c r="T262" s="1003"/>
      <c r="U262" s="869" t="s">
        <v>526</v>
      </c>
      <c r="V262" s="1293">
        <f>(624.88*KFC!$B$41+KFC!$C$41)</f>
        <v>624.88</v>
      </c>
      <c r="W262" s="1293"/>
      <c r="X262" s="1294"/>
      <c r="Y262" s="1"/>
      <c r="Z262" s="1"/>
    </row>
    <row r="263" spans="1:26" ht="13.8">
      <c r="A263" s="1"/>
      <c r="B263" s="1"/>
      <c r="C263" s="1"/>
      <c r="D263" s="1"/>
      <c r="E263" s="1"/>
      <c r="F263" s="1"/>
      <c r="G263" s="1"/>
      <c r="H263" s="1215" t="s">
        <v>1183</v>
      </c>
      <c r="I263" s="1003"/>
      <c r="J263" s="1003"/>
      <c r="K263" s="1003"/>
      <c r="L263" s="1003"/>
      <c r="M263" s="1003"/>
      <c r="N263" s="1003"/>
      <c r="O263" s="1003"/>
      <c r="P263" s="1003"/>
      <c r="Q263" s="1003"/>
      <c r="R263" s="1003"/>
      <c r="S263" s="1003"/>
      <c r="T263" s="1003"/>
      <c r="U263" s="869" t="s">
        <v>526</v>
      </c>
      <c r="V263" s="1293">
        <f>(687.38*KFC!$B$41+KFC!$C$41)</f>
        <v>687.38</v>
      </c>
      <c r="W263" s="1293"/>
      <c r="X263" s="1294"/>
      <c r="Y263" s="1"/>
      <c r="Z263" s="1"/>
    </row>
    <row r="264" spans="1:26" ht="13.8">
      <c r="A264" s="1"/>
      <c r="B264" s="1"/>
      <c r="C264" s="1"/>
      <c r="D264" s="1"/>
      <c r="E264" s="1"/>
      <c r="F264" s="1"/>
      <c r="G264" s="1"/>
      <c r="H264" s="1215" t="s">
        <v>1184</v>
      </c>
      <c r="I264" s="1003"/>
      <c r="J264" s="1003"/>
      <c r="K264" s="1003"/>
      <c r="L264" s="1003"/>
      <c r="M264" s="1003"/>
      <c r="N264" s="1003"/>
      <c r="O264" s="1003"/>
      <c r="P264" s="1003"/>
      <c r="Q264" s="1003"/>
      <c r="R264" s="1003"/>
      <c r="S264" s="1003"/>
      <c r="T264" s="1003"/>
      <c r="U264" s="869" t="s">
        <v>1192</v>
      </c>
      <c r="V264" s="1293">
        <f>(97.05*KFC!$B$41+KFC!$C$41)</f>
        <v>97.05</v>
      </c>
      <c r="W264" s="1293"/>
      <c r="X264" s="1294"/>
      <c r="Y264" s="1"/>
      <c r="Z264" s="1"/>
    </row>
    <row r="265" spans="1:26" ht="13.8">
      <c r="A265" s="1"/>
      <c r="B265" s="1"/>
      <c r="C265" s="1"/>
      <c r="D265" s="1"/>
      <c r="E265" s="1"/>
      <c r="F265" s="1"/>
      <c r="G265" s="1"/>
      <c r="H265" s="1215" t="s">
        <v>1185</v>
      </c>
      <c r="I265" s="1003"/>
      <c r="J265" s="1003"/>
      <c r="K265" s="1003"/>
      <c r="L265" s="1003"/>
      <c r="M265" s="1003"/>
      <c r="N265" s="1003"/>
      <c r="O265" s="1003"/>
      <c r="P265" s="1003"/>
      <c r="Q265" s="1003"/>
      <c r="R265" s="1003"/>
      <c r="S265" s="1003"/>
      <c r="T265" s="1003"/>
      <c r="U265" s="869" t="s">
        <v>1192</v>
      </c>
      <c r="V265" s="1293">
        <f>(125.45*KFC!$B$41+KFC!$C$41)</f>
        <v>125.45</v>
      </c>
      <c r="W265" s="1293"/>
      <c r="X265" s="1294"/>
      <c r="Y265" s="1"/>
      <c r="Z265" s="1"/>
    </row>
    <row r="266" spans="1:26" ht="13.8">
      <c r="A266" s="1"/>
      <c r="B266" s="1"/>
      <c r="C266" s="1"/>
      <c r="D266" s="1"/>
      <c r="E266" s="1"/>
      <c r="F266" s="1"/>
      <c r="G266" s="1"/>
      <c r="H266" s="1215" t="s">
        <v>1186</v>
      </c>
      <c r="I266" s="1003"/>
      <c r="J266" s="1003"/>
      <c r="K266" s="1003"/>
      <c r="L266" s="1003"/>
      <c r="M266" s="1003"/>
      <c r="N266" s="1003"/>
      <c r="O266" s="1003"/>
      <c r="P266" s="1003"/>
      <c r="Q266" s="1003"/>
      <c r="R266" s="1003"/>
      <c r="S266" s="1003"/>
      <c r="T266" s="1003"/>
      <c r="U266" s="869" t="s">
        <v>1192</v>
      </c>
      <c r="V266" s="1293">
        <f>(222.81*KFC!$B$41+KFC!$C$41)</f>
        <v>222.81</v>
      </c>
      <c r="W266" s="1293"/>
      <c r="X266" s="1294"/>
      <c r="Y266" s="1"/>
      <c r="Z266" s="1"/>
    </row>
    <row r="267" spans="1:26" ht="13.8">
      <c r="A267" s="1"/>
      <c r="B267" s="1"/>
      <c r="C267" s="1"/>
      <c r="D267" s="1"/>
      <c r="E267" s="1"/>
      <c r="F267" s="1"/>
      <c r="G267" s="1"/>
      <c r="H267" s="1215" t="s">
        <v>1187</v>
      </c>
      <c r="I267" s="1003"/>
      <c r="J267" s="1003"/>
      <c r="K267" s="1003"/>
      <c r="L267" s="1003"/>
      <c r="M267" s="1003"/>
      <c r="N267" s="1003"/>
      <c r="O267" s="1003"/>
      <c r="P267" s="1003"/>
      <c r="Q267" s="1003"/>
      <c r="R267" s="1003"/>
      <c r="S267" s="1003"/>
      <c r="T267" s="1003"/>
      <c r="U267" s="869" t="s">
        <v>526</v>
      </c>
      <c r="V267" s="1293">
        <f>(269.6*KFC!$B$41+KFC!$C$41)</f>
        <v>269.60000000000002</v>
      </c>
      <c r="W267" s="1293"/>
      <c r="X267" s="1294"/>
      <c r="Y267" s="1"/>
      <c r="Z267" s="1"/>
    </row>
    <row r="268" spans="1:26" ht="13.8">
      <c r="A268" s="1"/>
      <c r="B268" s="1"/>
      <c r="C268" s="1"/>
      <c r="D268" s="1"/>
      <c r="E268" s="1"/>
      <c r="F268" s="1"/>
      <c r="G268" s="1"/>
      <c r="H268" s="1215" t="s">
        <v>1193</v>
      </c>
      <c r="I268" s="1003"/>
      <c r="J268" s="1003"/>
      <c r="K268" s="1003"/>
      <c r="L268" s="1003"/>
      <c r="M268" s="1003"/>
      <c r="N268" s="1003"/>
      <c r="O268" s="1003"/>
      <c r="P268" s="1003"/>
      <c r="Q268" s="1003"/>
      <c r="R268" s="1003"/>
      <c r="S268" s="1003"/>
      <c r="T268" s="1003"/>
      <c r="U268" s="869" t="s">
        <v>526</v>
      </c>
      <c r="V268" s="1293">
        <f>(402.86*KFC!$B$41+KFC!$C$41)</f>
        <v>402.86</v>
      </c>
      <c r="W268" s="1293"/>
      <c r="X268" s="1294"/>
      <c r="Y268" s="1"/>
      <c r="Z268" s="1"/>
    </row>
    <row r="269" spans="1:26" ht="13.8">
      <c r="A269" s="1"/>
      <c r="B269" s="1"/>
      <c r="C269" s="1"/>
      <c r="D269" s="1"/>
      <c r="E269" s="1"/>
      <c r="F269" s="1"/>
      <c r="G269" s="1"/>
      <c r="H269" s="1215" t="s">
        <v>1188</v>
      </c>
      <c r="I269" s="1003"/>
      <c r="J269" s="1003"/>
      <c r="K269" s="1003"/>
      <c r="L269" s="1003"/>
      <c r="M269" s="1003"/>
      <c r="N269" s="1003"/>
      <c r="O269" s="1003"/>
      <c r="P269" s="1003"/>
      <c r="Q269" s="1003"/>
      <c r="R269" s="1003"/>
      <c r="S269" s="1003"/>
      <c r="T269" s="1003"/>
      <c r="U269" s="869" t="s">
        <v>526</v>
      </c>
      <c r="V269" s="1293">
        <f>(132.48*KFC!$B$41+KFC!$C$41)</f>
        <v>132.47999999999999</v>
      </c>
      <c r="W269" s="1293"/>
      <c r="X269" s="1294"/>
      <c r="Y269" s="1"/>
      <c r="Z269" s="1"/>
    </row>
    <row r="270" spans="1:26" ht="14.4" thickBot="1">
      <c r="A270" s="1"/>
      <c r="B270" s="1"/>
      <c r="C270" s="1"/>
      <c r="D270" s="1"/>
      <c r="E270" s="1"/>
      <c r="F270" s="1"/>
      <c r="G270" s="1"/>
      <c r="H270" s="1213" t="s">
        <v>1189</v>
      </c>
      <c r="I270" s="1214"/>
      <c r="J270" s="1214"/>
      <c r="K270" s="1214"/>
      <c r="L270" s="1214"/>
      <c r="M270" s="1214"/>
      <c r="N270" s="1214"/>
      <c r="O270" s="1214"/>
      <c r="P270" s="1214"/>
      <c r="Q270" s="1214"/>
      <c r="R270" s="1214"/>
      <c r="S270" s="1214"/>
      <c r="T270" s="1214"/>
      <c r="U270" s="872" t="s">
        <v>526</v>
      </c>
      <c r="V270" s="1295">
        <f>(121.32*KFC!$B$41+KFC!$C$41)</f>
        <v>121.32</v>
      </c>
      <c r="W270" s="1295"/>
      <c r="X270" s="1296"/>
      <c r="Y270" s="1"/>
      <c r="Z270" s="1"/>
    </row>
  </sheetData>
  <mergeCells count="287">
    <mergeCell ref="H270:T270"/>
    <mergeCell ref="V270:X270"/>
    <mergeCell ref="H264:T264"/>
    <mergeCell ref="V264:X264"/>
    <mergeCell ref="H265:T265"/>
    <mergeCell ref="V265:X265"/>
    <mergeCell ref="H266:T266"/>
    <mergeCell ref="V266:X266"/>
    <mergeCell ref="V262:X262"/>
    <mergeCell ref="H263:T263"/>
    <mergeCell ref="V263:X263"/>
    <mergeCell ref="H269:T269"/>
    <mergeCell ref="V269:X269"/>
    <mergeCell ref="H267:T267"/>
    <mergeCell ref="V267:X267"/>
    <mergeCell ref="H257:X257"/>
    <mergeCell ref="H259:T259"/>
    <mergeCell ref="V259:X259"/>
    <mergeCell ref="H268:T268"/>
    <mergeCell ref="V268:X268"/>
    <mergeCell ref="H260:T260"/>
    <mergeCell ref="V260:X260"/>
    <mergeCell ref="H261:T261"/>
    <mergeCell ref="V261:X261"/>
    <mergeCell ref="H262:T262"/>
    <mergeCell ref="C1:D1"/>
    <mergeCell ref="A2:Z2"/>
    <mergeCell ref="A4:Z4"/>
    <mergeCell ref="A6:F6"/>
    <mergeCell ref="G6:Z6"/>
    <mergeCell ref="A3:Z3"/>
    <mergeCell ref="A5:Z5"/>
    <mergeCell ref="A126:B127"/>
    <mergeCell ref="C126:Z126"/>
    <mergeCell ref="A7:F7"/>
    <mergeCell ref="G7:Z7"/>
    <mergeCell ref="A9:B10"/>
    <mergeCell ref="C9:Z9"/>
    <mergeCell ref="A11:A46"/>
    <mergeCell ref="A48:B49"/>
    <mergeCell ref="C48:Z48"/>
    <mergeCell ref="AB128:AB163"/>
    <mergeCell ref="A167:Z167"/>
    <mergeCell ref="A128:A163"/>
    <mergeCell ref="AB9:AC10"/>
    <mergeCell ref="AD9:BA9"/>
    <mergeCell ref="AB11:AB46"/>
    <mergeCell ref="AB48:AC49"/>
    <mergeCell ref="AD48:BA48"/>
    <mergeCell ref="A168:P168"/>
    <mergeCell ref="AB50:AB85"/>
    <mergeCell ref="AB87:AC88"/>
    <mergeCell ref="AD87:BA87"/>
    <mergeCell ref="AB89:AB124"/>
    <mergeCell ref="A50:A85"/>
    <mergeCell ref="A87:B88"/>
    <mergeCell ref="C87:Z87"/>
    <mergeCell ref="A89:A124"/>
    <mergeCell ref="AB126:AC127"/>
    <mergeCell ref="AD126:BA126"/>
    <mergeCell ref="A169:D169"/>
    <mergeCell ref="F169:I169"/>
    <mergeCell ref="K169:N169"/>
    <mergeCell ref="A170:H170"/>
    <mergeCell ref="A166:Z166"/>
    <mergeCell ref="A171:Z171"/>
    <mergeCell ref="H172:J172"/>
    <mergeCell ref="K172:S172"/>
    <mergeCell ref="T172:U172"/>
    <mergeCell ref="H179:J179"/>
    <mergeCell ref="K179:S179"/>
    <mergeCell ref="T179:U179"/>
    <mergeCell ref="H180:J181"/>
    <mergeCell ref="K180:S180"/>
    <mergeCell ref="T180:U181"/>
    <mergeCell ref="K181:S181"/>
    <mergeCell ref="H173:J174"/>
    <mergeCell ref="K173:S173"/>
    <mergeCell ref="T173:U174"/>
    <mergeCell ref="K174:S174"/>
    <mergeCell ref="H175:J176"/>
    <mergeCell ref="K175:S175"/>
    <mergeCell ref="T175:U176"/>
    <mergeCell ref="K176:S176"/>
    <mergeCell ref="H177:J178"/>
    <mergeCell ref="K177:S177"/>
    <mergeCell ref="T177:U178"/>
    <mergeCell ref="K178:S178"/>
    <mergeCell ref="H186:J187"/>
    <mergeCell ref="K186:S186"/>
    <mergeCell ref="T186:U187"/>
    <mergeCell ref="K187:S187"/>
    <mergeCell ref="H182:J183"/>
    <mergeCell ref="K182:S182"/>
    <mergeCell ref="T182:U183"/>
    <mergeCell ref="K183:S183"/>
    <mergeCell ref="H184:J185"/>
    <mergeCell ref="K184:S184"/>
    <mergeCell ref="T184:U185"/>
    <mergeCell ref="K185:S185"/>
    <mergeCell ref="H188:J188"/>
    <mergeCell ref="K188:S188"/>
    <mergeCell ref="T188:U188"/>
    <mergeCell ref="H189:J189"/>
    <mergeCell ref="K189:S189"/>
    <mergeCell ref="T189:U189"/>
    <mergeCell ref="H190:J190"/>
    <mergeCell ref="K190:S190"/>
    <mergeCell ref="T190:U190"/>
    <mergeCell ref="H191:J191"/>
    <mergeCell ref="K191:S191"/>
    <mergeCell ref="T191:U191"/>
    <mergeCell ref="A193:Y193"/>
    <mergeCell ref="A194:E194"/>
    <mergeCell ref="F194:I194"/>
    <mergeCell ref="J194:M194"/>
    <mergeCell ref="N194:Q194"/>
    <mergeCell ref="R194:U194"/>
    <mergeCell ref="V194:Y194"/>
    <mergeCell ref="A195:E195"/>
    <mergeCell ref="F195:I195"/>
    <mergeCell ref="J195:M195"/>
    <mergeCell ref="N195:Q195"/>
    <mergeCell ref="R195:U195"/>
    <mergeCell ref="V195:Y195"/>
    <mergeCell ref="A196:E196"/>
    <mergeCell ref="F196:I196"/>
    <mergeCell ref="J196:M196"/>
    <mergeCell ref="N196:Q196"/>
    <mergeCell ref="R196:U196"/>
    <mergeCell ref="V196:Y196"/>
    <mergeCell ref="A197:E197"/>
    <mergeCell ref="F197:I197"/>
    <mergeCell ref="J197:M197"/>
    <mergeCell ref="N197:Q197"/>
    <mergeCell ref="R197:U197"/>
    <mergeCell ref="V197:Y197"/>
    <mergeCell ref="A198:E198"/>
    <mergeCell ref="F198:I198"/>
    <mergeCell ref="J198:M198"/>
    <mergeCell ref="N198:Q198"/>
    <mergeCell ref="R198:U198"/>
    <mergeCell ref="V198:Y198"/>
    <mergeCell ref="A199:E199"/>
    <mergeCell ref="F199:I199"/>
    <mergeCell ref="J199:M199"/>
    <mergeCell ref="N199:Q199"/>
    <mergeCell ref="R199:U199"/>
    <mergeCell ref="V199:Y199"/>
    <mergeCell ref="A200:E200"/>
    <mergeCell ref="F200:I200"/>
    <mergeCell ref="J200:M200"/>
    <mergeCell ref="N200:Q200"/>
    <mergeCell ref="R200:U200"/>
    <mergeCell ref="V200:Y200"/>
    <mergeCell ref="A201:E201"/>
    <mergeCell ref="F201:I201"/>
    <mergeCell ref="J201:M201"/>
    <mergeCell ref="N201:Q201"/>
    <mergeCell ref="R201:U201"/>
    <mergeCell ref="V201:Y201"/>
    <mergeCell ref="V203:Y203"/>
    <mergeCell ref="A202:E202"/>
    <mergeCell ref="F202:I202"/>
    <mergeCell ref="J202:M202"/>
    <mergeCell ref="N202:Q202"/>
    <mergeCell ref="R202:U202"/>
    <mergeCell ref="V202:Y202"/>
    <mergeCell ref="A203:E203"/>
    <mergeCell ref="F203:I203"/>
    <mergeCell ref="J203:M203"/>
    <mergeCell ref="N203:Q203"/>
    <mergeCell ref="R203:U203"/>
    <mergeCell ref="A204:E204"/>
    <mergeCell ref="F204:I204"/>
    <mergeCell ref="J204:M204"/>
    <mergeCell ref="N204:Q204"/>
    <mergeCell ref="R204:U204"/>
    <mergeCell ref="V204:Y204"/>
    <mergeCell ref="A206:E206"/>
    <mergeCell ref="F206:I206"/>
    <mergeCell ref="J206:M206"/>
    <mergeCell ref="N206:Q206"/>
    <mergeCell ref="R206:U206"/>
    <mergeCell ref="V206:Y206"/>
    <mergeCell ref="F205:I205"/>
    <mergeCell ref="J205:M205"/>
    <mergeCell ref="A205:E205"/>
    <mergeCell ref="H208:X208"/>
    <mergeCell ref="H209:J209"/>
    <mergeCell ref="K209:T209"/>
    <mergeCell ref="U209:X209"/>
    <mergeCell ref="N205:Q205"/>
    <mergeCell ref="R205:U205"/>
    <mergeCell ref="V205:Y205"/>
    <mergeCell ref="H210:J211"/>
    <mergeCell ref="K210:T210"/>
    <mergeCell ref="U210:X211"/>
    <mergeCell ref="K211:T211"/>
    <mergeCell ref="H212:J213"/>
    <mergeCell ref="K212:T212"/>
    <mergeCell ref="U212:X213"/>
    <mergeCell ref="K213:T213"/>
    <mergeCell ref="H214:J215"/>
    <mergeCell ref="K214:T214"/>
    <mergeCell ref="U214:X215"/>
    <mergeCell ref="K215:T215"/>
    <mergeCell ref="H216:J217"/>
    <mergeCell ref="K216:T216"/>
    <mergeCell ref="U216:X216"/>
    <mergeCell ref="K217:T217"/>
    <mergeCell ref="H218:J219"/>
    <mergeCell ref="K218:T218"/>
    <mergeCell ref="U218:X219"/>
    <mergeCell ref="K219:T219"/>
    <mergeCell ref="H220:J221"/>
    <mergeCell ref="K220:T220"/>
    <mergeCell ref="U220:X221"/>
    <mergeCell ref="K221:T221"/>
    <mergeCell ref="H222:J222"/>
    <mergeCell ref="K222:T222"/>
    <mergeCell ref="U222:X222"/>
    <mergeCell ref="H223:J223"/>
    <mergeCell ref="K223:T223"/>
    <mergeCell ref="U223:X223"/>
    <mergeCell ref="H224:J224"/>
    <mergeCell ref="K224:T224"/>
    <mergeCell ref="U224:X224"/>
    <mergeCell ref="H225:J225"/>
    <mergeCell ref="K225:T225"/>
    <mergeCell ref="U225:X225"/>
    <mergeCell ref="H226:J226"/>
    <mergeCell ref="K226:T226"/>
    <mergeCell ref="U226:X226"/>
    <mergeCell ref="H227:J227"/>
    <mergeCell ref="K227:T227"/>
    <mergeCell ref="U227:X227"/>
    <mergeCell ref="H228:J229"/>
    <mergeCell ref="K228:T228"/>
    <mergeCell ref="U228:X229"/>
    <mergeCell ref="K229:T229"/>
    <mergeCell ref="H230:J231"/>
    <mergeCell ref="K230:T230"/>
    <mergeCell ref="U230:X231"/>
    <mergeCell ref="K231:T231"/>
    <mergeCell ref="H232:J233"/>
    <mergeCell ref="K232:T232"/>
    <mergeCell ref="U232:X233"/>
    <mergeCell ref="K233:T233"/>
    <mergeCell ref="H234:J235"/>
    <mergeCell ref="K234:T234"/>
    <mergeCell ref="U234:X235"/>
    <mergeCell ref="K235:T235"/>
    <mergeCell ref="H236:J236"/>
    <mergeCell ref="K236:T236"/>
    <mergeCell ref="U236:X236"/>
    <mergeCell ref="H237:J238"/>
    <mergeCell ref="K237:T237"/>
    <mergeCell ref="U237:X238"/>
    <mergeCell ref="K238:T238"/>
    <mergeCell ref="H239:J239"/>
    <mergeCell ref="K239:T239"/>
    <mergeCell ref="U239:X239"/>
    <mergeCell ref="H240:J240"/>
    <mergeCell ref="K240:T240"/>
    <mergeCell ref="U240:X240"/>
    <mergeCell ref="H241:J241"/>
    <mergeCell ref="K241:T241"/>
    <mergeCell ref="U241:X241"/>
    <mergeCell ref="H242:J242"/>
    <mergeCell ref="K242:T242"/>
    <mergeCell ref="U242:X242"/>
    <mergeCell ref="H243:J243"/>
    <mergeCell ref="K243:T243"/>
    <mergeCell ref="U243:X243"/>
    <mergeCell ref="H244:J244"/>
    <mergeCell ref="K244:T244"/>
    <mergeCell ref="U244:X244"/>
    <mergeCell ref="H247:J247"/>
    <mergeCell ref="K247:T247"/>
    <mergeCell ref="U247:X247"/>
    <mergeCell ref="H245:J245"/>
    <mergeCell ref="K245:T245"/>
    <mergeCell ref="U245:X245"/>
    <mergeCell ref="H246:J246"/>
    <mergeCell ref="K246:T246"/>
    <mergeCell ref="U246:X246"/>
  </mergeCells>
  <hyperlinks>
    <hyperlink ref="G7" r:id="rId1" display="https://gamma-i.ru/catalog/complects/tkan-kombo/" xr:uid="{5B44F3B3-0D59-4A2C-9C32-D9E8B68905DE}"/>
    <hyperlink ref="K174" r:id="rId2" xr:uid="{4E30B2BD-2EF6-4E7A-8FC0-31555B75F157}"/>
    <hyperlink ref="K176" r:id="rId3" xr:uid="{ADF5821E-627F-48C6-837F-426209FB15CB}"/>
    <hyperlink ref="K183" r:id="rId4" xr:uid="{E2272959-5E1D-4D63-8C24-E7B80B589CD5}"/>
    <hyperlink ref="K235" r:id="rId5" xr:uid="{1F46238E-9108-43FA-BAF2-1D67CAC93E92}"/>
    <hyperlink ref="K233" r:id="rId6" xr:uid="{5656FB57-B60A-401B-8A42-A008EC30B6E9}"/>
    <hyperlink ref="K238" r:id="rId7" xr:uid="{D61D98FC-7E44-4C63-982C-279EDB205D0E}"/>
    <hyperlink ref="K231" r:id="rId8" xr:uid="{1E0AA4DA-DE64-4357-8345-4765B5E69BBD}"/>
    <hyperlink ref="K229" r:id="rId9" xr:uid="{0B3AC3F1-6AB0-4936-8D95-F4CE2795844E}"/>
    <hyperlink ref="K178" r:id="rId10" xr:uid="{617AEEC0-76B9-4536-AAA7-E70A1E2CDE5B}"/>
    <hyperlink ref="K181" r:id="rId11" xr:uid="{0EF74605-CD11-4AF8-98B4-916DAFA6D81D}"/>
    <hyperlink ref="K211" r:id="rId12" xr:uid="{38B32FDA-F3F9-4AB7-B8AA-EFB8509B9560}"/>
    <hyperlink ref="K213" r:id="rId13" xr:uid="{46DD2886-4858-43D7-B339-F19663F60751}"/>
    <hyperlink ref="K215" r:id="rId14" xr:uid="{301C68D5-EE5D-40BD-8509-957B26AECE8C}"/>
    <hyperlink ref="K217" r:id="rId15" xr:uid="{0FE0159A-7867-46A8-8286-B4E8495B20BA}"/>
    <hyperlink ref="K219" r:id="rId16" xr:uid="{979F9BAE-87FD-466E-8BB2-7CCBAAFAD00A}"/>
    <hyperlink ref="K221" r:id="rId17" xr:uid="{F5C49103-6BF2-49E0-9A74-D674F07857E5}"/>
    <hyperlink ref="K185" r:id="rId18" xr:uid="{0A880026-63A7-458F-9A53-1CED5D91D579}"/>
    <hyperlink ref="K187" r:id="rId19" xr:uid="{4FE19C1E-3ECA-4F72-8697-35910F92CE81}"/>
    <hyperlink ref="G7:Z7" r:id="rId20" display="Ткань Комбо" xr:uid="{C5BC0648-0AB3-4600-B6C4-AD5C373B8BC3}"/>
    <hyperlink ref="G6:Z6" r:id="rId21" display="Комбо Кватро Люкс" xr:uid="{E32F94D8-55D3-407B-ACB2-0127B01E681B}"/>
  </hyperlink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5E28FD-7C0C-497C-A220-50F1D88EAF49}">
  <sheetPr>
    <tabColor indexed="40"/>
  </sheetPr>
  <dimension ref="A1:AA158"/>
  <sheetViews>
    <sheetView view="pageBreakPreview" zoomScale="75" zoomScaleNormal="75" zoomScaleSheetLayoutView="75" workbookViewId="0">
      <pane ySplit="2" topLeftCell="A132" activePane="bottomLeft" state="frozen"/>
      <selection pane="bottomLeft" sqref="A1:IV5"/>
    </sheetView>
  </sheetViews>
  <sheetFormatPr defaultColWidth="9.109375" defaultRowHeight="13.2"/>
  <cols>
    <col min="1" max="1" width="5.44140625" style="3" customWidth="1"/>
    <col min="2" max="2" width="6.109375" style="3" customWidth="1"/>
    <col min="3" max="25" width="5.44140625" style="3" customWidth="1"/>
    <col min="26" max="26" width="5.6640625" style="3" bestFit="1" customWidth="1"/>
    <col min="27" max="27" width="6.5546875" style="3" customWidth="1"/>
    <col min="28" max="16384" width="9.109375" style="3"/>
  </cols>
  <sheetData>
    <row r="1" spans="1:27" ht="45.75" customHeight="1">
      <c r="A1" s="1848" t="s">
        <v>120</v>
      </c>
      <c r="B1" s="1848"/>
      <c r="C1" s="1848"/>
      <c r="D1" s="1848"/>
      <c r="E1" s="1848"/>
      <c r="F1" s="1848"/>
      <c r="G1" s="1848"/>
      <c r="H1" s="1848"/>
      <c r="I1" s="1848"/>
      <c r="J1" s="1848"/>
      <c r="K1" s="1848"/>
      <c r="L1" s="1848"/>
      <c r="M1" s="1848"/>
      <c r="N1" s="1848"/>
      <c r="O1" s="1848"/>
      <c r="P1" s="1848"/>
      <c r="Q1" s="1848"/>
      <c r="R1" s="1848"/>
      <c r="S1" s="1848"/>
      <c r="T1" s="1848"/>
      <c r="U1" s="1848"/>
      <c r="V1" s="1848"/>
      <c r="W1" s="1848"/>
      <c r="X1" s="1848"/>
      <c r="Y1" s="1848"/>
    </row>
    <row r="2" spans="1:27" ht="13.8" thickBot="1">
      <c r="A2" s="1011" t="s">
        <v>220</v>
      </c>
      <c r="B2" s="1011"/>
      <c r="C2" s="1011"/>
      <c r="D2" s="1011"/>
      <c r="E2" s="1011"/>
      <c r="F2" s="1011"/>
      <c r="G2" s="1011"/>
      <c r="H2" s="1011"/>
      <c r="I2" s="1011"/>
      <c r="J2" s="1011"/>
      <c r="K2" s="1011"/>
      <c r="L2" s="1011"/>
      <c r="M2" s="1011"/>
      <c r="N2" s="1011"/>
      <c r="O2" s="1011"/>
      <c r="P2" s="1011"/>
      <c r="Q2" s="1011"/>
      <c r="R2" s="1011"/>
      <c r="S2" s="1011"/>
      <c r="T2" s="1011"/>
      <c r="U2" s="1011"/>
      <c r="V2" s="1011"/>
      <c r="W2" s="1011"/>
      <c r="X2" s="1011"/>
      <c r="Y2" s="1011"/>
    </row>
    <row r="3" spans="1:27" ht="12.75" customHeight="1" thickBot="1">
      <c r="A3" s="1413" t="s">
        <v>314</v>
      </c>
      <c r="B3" s="1415"/>
      <c r="C3" s="1534" t="s">
        <v>207</v>
      </c>
      <c r="D3" s="1535"/>
      <c r="E3" s="1535"/>
      <c r="F3" s="1535"/>
      <c r="G3" s="1535"/>
      <c r="H3" s="1535"/>
      <c r="I3" s="1535"/>
      <c r="J3" s="1535"/>
      <c r="K3" s="1535"/>
      <c r="L3" s="1535"/>
      <c r="M3" s="1535"/>
      <c r="N3" s="1535"/>
      <c r="O3" s="1535"/>
      <c r="P3" s="1535"/>
      <c r="Q3" s="1535"/>
      <c r="R3" s="1535"/>
      <c r="S3" s="1535"/>
      <c r="T3" s="1535"/>
      <c r="U3" s="1535"/>
      <c r="V3" s="1535"/>
      <c r="W3" s="1535"/>
      <c r="X3" s="1535"/>
      <c r="Y3" s="1535"/>
      <c r="Z3" s="1535"/>
      <c r="AA3" s="1536"/>
    </row>
    <row r="4" spans="1:27" ht="12" customHeight="1" thickBot="1">
      <c r="A4" s="1803"/>
      <c r="B4" s="1802"/>
      <c r="C4" s="167">
        <v>0.4</v>
      </c>
      <c r="D4" s="167">
        <v>0.5</v>
      </c>
      <c r="E4" s="167">
        <v>0.6</v>
      </c>
      <c r="F4" s="167">
        <v>0.7</v>
      </c>
      <c r="G4" s="167">
        <v>0.8</v>
      </c>
      <c r="H4" s="167">
        <v>0.9</v>
      </c>
      <c r="I4" s="167">
        <v>1</v>
      </c>
      <c r="J4" s="167">
        <v>1.1000000000000001</v>
      </c>
      <c r="K4" s="167">
        <v>1.2</v>
      </c>
      <c r="L4" s="167">
        <v>1.3</v>
      </c>
      <c r="M4" s="167">
        <v>1.4</v>
      </c>
      <c r="N4" s="120">
        <v>1.5</v>
      </c>
      <c r="O4" s="119">
        <v>1.6</v>
      </c>
      <c r="P4" s="120">
        <v>1.7</v>
      </c>
      <c r="Q4" s="119">
        <v>1.8</v>
      </c>
      <c r="R4" s="120">
        <v>1.9</v>
      </c>
      <c r="S4" s="119">
        <v>2</v>
      </c>
      <c r="T4" s="120">
        <v>2.1</v>
      </c>
      <c r="U4" s="119">
        <v>2.2000000000000002</v>
      </c>
      <c r="V4" s="120">
        <v>2.2999999999999998</v>
      </c>
      <c r="W4" s="119">
        <v>2.4</v>
      </c>
      <c r="X4" s="120">
        <v>2.5</v>
      </c>
      <c r="Y4" s="120">
        <v>2.6</v>
      </c>
      <c r="Z4" s="120">
        <v>2.7</v>
      </c>
      <c r="AA4" s="120">
        <v>2.8</v>
      </c>
    </row>
    <row r="5" spans="1:27" ht="12.75" customHeight="1">
      <c r="A5" s="1780" t="s">
        <v>3</v>
      </c>
      <c r="B5" s="226">
        <v>0.5</v>
      </c>
      <c r="C5" s="246">
        <f>(9.8*KFC!$B$36*1.02+KFC!$C$36)*KFC!$C$5</f>
        <v>9.9960000000000004</v>
      </c>
      <c r="D5" s="192">
        <f>(10.6*KFC!$B$36*1.02+KFC!$C$36)*KFC!$C$5</f>
        <v>10.811999999999999</v>
      </c>
      <c r="E5" s="192">
        <f>(11.5*KFC!$B$36*1.02+KFC!$C$36)*KFC!$C$5</f>
        <v>11.73</v>
      </c>
      <c r="F5" s="192">
        <f>(12.4*KFC!$B$36*1.02+KFC!$C$36)*KFC!$C$5</f>
        <v>12.648000000000001</v>
      </c>
      <c r="G5" s="192">
        <f>(13.2*KFC!$B$36*1.02+KFC!$C$36)*KFC!$C$5</f>
        <v>13.463999999999999</v>
      </c>
      <c r="H5" s="192">
        <f>(14.1*KFC!$B$36*1.02+KFC!$C$36)*KFC!$C$5</f>
        <v>14.382</v>
      </c>
      <c r="I5" s="192">
        <f>(15*KFC!$B$36*1.02+KFC!$C$36)*KFC!$C$5</f>
        <v>15.3</v>
      </c>
      <c r="J5" s="192">
        <f>(15.9*KFC!$B$36*1.02+KFC!$C$36)*KFC!$C$5</f>
        <v>16.218</v>
      </c>
      <c r="K5" s="192">
        <f>(16.8*KFC!$B$36*1.02+KFC!$C$36)*KFC!$C$5</f>
        <v>17.136000000000003</v>
      </c>
      <c r="L5" s="192">
        <f>(17.6*KFC!$B$36*1.02+KFC!$C$36)*KFC!$C$5</f>
        <v>17.952000000000002</v>
      </c>
      <c r="M5" s="192">
        <f>(18.5*KFC!$B$36*1.02+KFC!$C$36)*KFC!$C$5</f>
        <v>18.87</v>
      </c>
      <c r="N5" s="192">
        <f>(19.3*KFC!$B$36*1.02+KFC!$C$36)*KFC!$C$5</f>
        <v>19.686</v>
      </c>
      <c r="O5" s="192">
        <f>(20.2*KFC!$B$36*1.02+KFC!$C$36)*KFC!$C$5</f>
        <v>20.603999999999999</v>
      </c>
      <c r="P5" s="192">
        <f>(21*KFC!$B$36*1.02+KFC!$C$36)*KFC!$C$5</f>
        <v>21.42</v>
      </c>
      <c r="Q5" s="192">
        <f>(21.9*KFC!$B$36*1.02+KFC!$C$36)*KFC!$C$5</f>
        <v>22.337999999999997</v>
      </c>
      <c r="R5" s="192">
        <f>(22.7*KFC!$B$36*1.02+KFC!$C$36)*KFC!$C$5</f>
        <v>23.154</v>
      </c>
      <c r="S5" s="192">
        <f>(23.6*KFC!$B$36*1.02+KFC!$C$36)*KFC!$C$5</f>
        <v>24.072000000000003</v>
      </c>
      <c r="T5" s="192">
        <f>(24.5*KFC!$B$36*1.02+KFC!$C$36)*KFC!$C$5</f>
        <v>24.990000000000002</v>
      </c>
      <c r="U5" s="192">
        <f>(25.4*KFC!$B$36*1.02+KFC!$C$36)*KFC!$C$5</f>
        <v>25.907999999999998</v>
      </c>
      <c r="V5" s="192">
        <f>(26.4*KFC!$B$36*1.02+KFC!$C$36)*KFC!$C$5</f>
        <v>26.927999999999997</v>
      </c>
      <c r="W5" s="192">
        <f>(27.2*KFC!$B$36*1.02+KFC!$C$36)*KFC!$C$5</f>
        <v>27.744</v>
      </c>
      <c r="X5" s="192">
        <f>(28*KFC!$B$36*1.02+KFC!$C$36)*KFC!$C$5</f>
        <v>28.560000000000002</v>
      </c>
      <c r="Y5" s="192">
        <f>(28.9*KFC!$B$36*1.02+KFC!$C$36)*KFC!$C$5</f>
        <v>29.477999999999998</v>
      </c>
      <c r="Z5" s="192">
        <f>(29.7*KFC!$B$36*1.02+KFC!$C$36)*KFC!$C$5</f>
        <v>30.294</v>
      </c>
      <c r="AA5" s="193">
        <f>(30.6*KFC!$B$36*1.02+KFC!$C$36)*KFC!$C$5</f>
        <v>31.212000000000003</v>
      </c>
    </row>
    <row r="6" spans="1:27">
      <c r="A6" s="1781"/>
      <c r="B6" s="224">
        <v>0.6</v>
      </c>
      <c r="C6" s="247">
        <f>(10.4*KFC!$B$36*1.02+KFC!$C$36)*KFC!$C$5</f>
        <v>10.608000000000001</v>
      </c>
      <c r="D6" s="194">
        <f>(11.4*KFC!$B$36*1.02+KFC!$C$36)*KFC!$C$5</f>
        <v>11.628</v>
      </c>
      <c r="E6" s="194">
        <f>(12.4*KFC!$B$36*1.02+KFC!$C$36)*KFC!$C$5</f>
        <v>12.648000000000001</v>
      </c>
      <c r="F6" s="194">
        <f>(13.3*KFC!$B$36*1.02+KFC!$C$36)*KFC!$C$5</f>
        <v>13.566000000000001</v>
      </c>
      <c r="G6" s="194">
        <f>(14.3*KFC!$B$36*1.02+KFC!$C$36)*KFC!$C$5</f>
        <v>14.586</v>
      </c>
      <c r="H6" s="194">
        <f>(15.3*KFC!$B$36*1.02+KFC!$C$36)*KFC!$C$5</f>
        <v>15.606000000000002</v>
      </c>
      <c r="I6" s="194">
        <f>(16.3*KFC!$B$36*1.02+KFC!$C$36)*KFC!$C$5</f>
        <v>16.626000000000001</v>
      </c>
      <c r="J6" s="194">
        <f>(17.2*KFC!$B$36*1.02+KFC!$C$36)*KFC!$C$5</f>
        <v>17.544</v>
      </c>
      <c r="K6" s="194">
        <f>(18.2*KFC!$B$36*1.02+KFC!$C$36)*KFC!$C$5</f>
        <v>18.564</v>
      </c>
      <c r="L6" s="194">
        <f>(19.2*KFC!$B$36*1.02+KFC!$C$36)*KFC!$C$5</f>
        <v>19.584</v>
      </c>
      <c r="M6" s="194">
        <f>(20.2*KFC!$B$36*1.02+KFC!$C$36)*KFC!$C$5</f>
        <v>20.603999999999999</v>
      </c>
      <c r="N6" s="194">
        <f>(21.2*KFC!$B$36*1.02+KFC!$C$36)*KFC!$C$5</f>
        <v>21.623999999999999</v>
      </c>
      <c r="O6" s="194">
        <f>(22.1*KFC!$B$36*1.02+KFC!$C$36)*KFC!$C$5</f>
        <v>22.542000000000002</v>
      </c>
      <c r="P6" s="194">
        <f>(23.1*KFC!$B$36*1.02+KFC!$C$36)*KFC!$C$5</f>
        <v>23.562000000000001</v>
      </c>
      <c r="Q6" s="194">
        <f>(24.1*KFC!$B$36*1.02+KFC!$C$36)*KFC!$C$5</f>
        <v>24.582000000000001</v>
      </c>
      <c r="R6" s="194">
        <f>(25.1*KFC!$B$36*1.02+KFC!$C$36)*KFC!$C$5</f>
        <v>25.602</v>
      </c>
      <c r="S6" s="194">
        <f>(26*KFC!$B$36*1.02+KFC!$C$36)*KFC!$C$5</f>
        <v>26.52</v>
      </c>
      <c r="T6" s="194">
        <f>(27*KFC!$B$36*1.02+KFC!$C$36)*KFC!$C$5</f>
        <v>27.54</v>
      </c>
      <c r="U6" s="194">
        <f>(28*KFC!$B$36*1.02+KFC!$C$36)*KFC!$C$5</f>
        <v>28.560000000000002</v>
      </c>
      <c r="V6" s="194">
        <f>(29*KFC!$B$36*1.02+KFC!$C$36)*KFC!$C$5</f>
        <v>29.580000000000002</v>
      </c>
      <c r="W6" s="194">
        <f>(30*KFC!$B$36*1.02+KFC!$C$36)*KFC!$C$5</f>
        <v>30.6</v>
      </c>
      <c r="X6" s="194">
        <f>(30.9*KFC!$B$36*1.02+KFC!$C$36)*KFC!$C$5</f>
        <v>31.518000000000001</v>
      </c>
      <c r="Y6" s="194">
        <f>(31.9*KFC!$B$36*1.02+KFC!$C$36)*KFC!$C$5</f>
        <v>32.537999999999997</v>
      </c>
      <c r="Z6" s="194">
        <f>(32.9*KFC!$B$36*1.02+KFC!$C$36)*KFC!$C$5</f>
        <v>33.558</v>
      </c>
      <c r="AA6" s="195">
        <f>(33.9*KFC!$B$36*1.02+KFC!$C$36)*KFC!$C$5</f>
        <v>34.577999999999996</v>
      </c>
    </row>
    <row r="7" spans="1:27">
      <c r="A7" s="1781"/>
      <c r="B7" s="224">
        <v>0.7</v>
      </c>
      <c r="C7" s="247">
        <f>(11*KFC!$B$36*1.02+KFC!$C$36)*KFC!$C$5</f>
        <v>11.22</v>
      </c>
      <c r="D7" s="194">
        <f>(12.1*KFC!$B$36*1.02+KFC!$C$36)*KFC!$C$5</f>
        <v>12.342000000000001</v>
      </c>
      <c r="E7" s="194">
        <f>(13.2*KFC!$B$36*1.02+KFC!$C$36)*KFC!$C$5</f>
        <v>13.463999999999999</v>
      </c>
      <c r="F7" s="194">
        <f>(14.3*KFC!$B$36*1.02+KFC!$C$36)*KFC!$C$5</f>
        <v>14.586</v>
      </c>
      <c r="G7" s="194">
        <f>(15.3*KFC!$B$36*1.02+KFC!$C$36)*KFC!$C$5</f>
        <v>15.606000000000002</v>
      </c>
      <c r="H7" s="194">
        <f>(16.4*KFC!$B$36*1.02+KFC!$C$36)*KFC!$C$5</f>
        <v>16.727999999999998</v>
      </c>
      <c r="I7" s="194">
        <f>(17.5*KFC!$B$36*1.02+KFC!$C$36)*KFC!$C$5</f>
        <v>17.850000000000001</v>
      </c>
      <c r="J7" s="194">
        <f>(18.6*KFC!$B$36*1.02+KFC!$C$36)*KFC!$C$5</f>
        <v>18.972000000000001</v>
      </c>
      <c r="K7" s="194">
        <f>(19.7*KFC!$B$36*1.02+KFC!$C$36)*KFC!$C$5</f>
        <v>20.094000000000001</v>
      </c>
      <c r="L7" s="194">
        <f>(20.8*KFC!$B$36*1.02+KFC!$C$36)*KFC!$C$5</f>
        <v>21.216000000000001</v>
      </c>
      <c r="M7" s="194">
        <f>(21.9*KFC!$B$36*1.02+KFC!$C$36)*KFC!$C$5</f>
        <v>22.337999999999997</v>
      </c>
      <c r="N7" s="194">
        <f>(23*KFC!$B$36*1.02+KFC!$C$36)*KFC!$C$5</f>
        <v>23.46</v>
      </c>
      <c r="O7" s="194">
        <f>(24.1*KFC!$B$36*1.02+KFC!$C$36)*KFC!$C$5</f>
        <v>24.582000000000001</v>
      </c>
      <c r="P7" s="194">
        <f>(25.2*KFC!$B$36*1.02+KFC!$C$36)*KFC!$C$5</f>
        <v>25.704000000000001</v>
      </c>
      <c r="Q7" s="194">
        <f>(26.3*KFC!$B$36*1.02+KFC!$C$36)*KFC!$C$5</f>
        <v>26.826000000000001</v>
      </c>
      <c r="R7" s="194">
        <f>(27.4*KFC!$B$36*1.02+KFC!$C$36)*KFC!$C$5</f>
        <v>27.948</v>
      </c>
      <c r="S7" s="194">
        <f>(28.5*KFC!$B$36*1.02+KFC!$C$36)*KFC!$C$5</f>
        <v>29.07</v>
      </c>
      <c r="T7" s="194">
        <f>(29.6*KFC!$B$36*1.02+KFC!$C$36)*KFC!$C$5</f>
        <v>30.192000000000004</v>
      </c>
      <c r="U7" s="194">
        <f>(30.7*KFC!$B$36*1.02+KFC!$C$36)*KFC!$C$5</f>
        <v>31.314</v>
      </c>
      <c r="V7" s="194">
        <f>(31.8*KFC!$B$36*1.02+KFC!$C$36)*KFC!$C$5</f>
        <v>32.436</v>
      </c>
      <c r="W7" s="194">
        <f>(32.9*KFC!$B$36*1.02+KFC!$C$36)*KFC!$C$5</f>
        <v>33.558</v>
      </c>
      <c r="X7" s="194">
        <f>(33.9*KFC!$B$36*1.02+KFC!$C$36)*KFC!$C$5</f>
        <v>34.577999999999996</v>
      </c>
      <c r="Y7" s="194">
        <f>(35*KFC!$B$36*1.02+KFC!$C$36)*KFC!$C$5</f>
        <v>35.700000000000003</v>
      </c>
      <c r="Z7" s="194">
        <f>(36.1*KFC!$B$36*1.02+KFC!$C$36)*KFC!$C$5</f>
        <v>36.822000000000003</v>
      </c>
      <c r="AA7" s="195">
        <f>(37.2*KFC!$B$36*1.02+KFC!$C$36)*KFC!$C$5</f>
        <v>37.944000000000003</v>
      </c>
    </row>
    <row r="8" spans="1:27">
      <c r="A8" s="1781"/>
      <c r="B8" s="224">
        <v>0.8</v>
      </c>
      <c r="C8" s="247">
        <f>(11.6*KFC!$B$36*1.02+KFC!$C$36)*KFC!$C$5</f>
        <v>11.831999999999999</v>
      </c>
      <c r="D8" s="194">
        <f>(12.7*KFC!$B$36*1.02+KFC!$C$36)*KFC!$C$5</f>
        <v>12.953999999999999</v>
      </c>
      <c r="E8" s="194">
        <f>(13.9*KFC!$B$36*1.02+KFC!$C$36)*KFC!$C$5</f>
        <v>14.178000000000001</v>
      </c>
      <c r="F8" s="194">
        <f>(15.2*KFC!$B$36*1.02+KFC!$C$36)*KFC!$C$5</f>
        <v>15.504</v>
      </c>
      <c r="G8" s="194">
        <f>(16.4*KFC!$B$36*1.02+KFC!$C$36)*KFC!$C$5</f>
        <v>16.727999999999998</v>
      </c>
      <c r="H8" s="194">
        <f>(17.6*KFC!$B$36*1.02+KFC!$C$36)*KFC!$C$5</f>
        <v>17.952000000000002</v>
      </c>
      <c r="I8" s="194">
        <f>(18.8*KFC!$B$36*1.02+KFC!$C$36)*KFC!$C$5</f>
        <v>19.176000000000002</v>
      </c>
      <c r="J8" s="194">
        <f>(20.1*KFC!$B$36*1.02+KFC!$C$36)*KFC!$C$5</f>
        <v>20.502000000000002</v>
      </c>
      <c r="K8" s="194">
        <f>(21.3*KFC!$B$36*1.02+KFC!$C$36)*KFC!$C$5</f>
        <v>21.726000000000003</v>
      </c>
      <c r="L8" s="194">
        <f>(22.4*KFC!$B$36*1.02+KFC!$C$36)*KFC!$C$5</f>
        <v>22.847999999999999</v>
      </c>
      <c r="M8" s="194">
        <f>(23.6*KFC!$B$36*1.02+KFC!$C$36)*KFC!$C$5</f>
        <v>24.072000000000003</v>
      </c>
      <c r="N8" s="194">
        <f>(24.8*KFC!$B$36*1.02+KFC!$C$36)*KFC!$C$5</f>
        <v>25.296000000000003</v>
      </c>
      <c r="O8" s="194">
        <f>(26*KFC!$B$36*1.02+KFC!$C$36)*KFC!$C$5</f>
        <v>26.52</v>
      </c>
      <c r="P8" s="194">
        <f>(27.3*KFC!$B$36*1.02+KFC!$C$36)*KFC!$C$5</f>
        <v>27.846</v>
      </c>
      <c r="Q8" s="194">
        <f>(28.5*KFC!$B$36*1.02+KFC!$C$36)*KFC!$C$5</f>
        <v>29.07</v>
      </c>
      <c r="R8" s="194">
        <f>(29.7*KFC!$B$36*1.02+KFC!$C$36)*KFC!$C$5</f>
        <v>30.294</v>
      </c>
      <c r="S8" s="194">
        <f>(30.8*KFC!$B$36*1.02+KFC!$C$36)*KFC!$C$5</f>
        <v>31.416</v>
      </c>
      <c r="T8" s="194">
        <f>(32*KFC!$B$36*1.02+KFC!$C$36)*KFC!$C$5</f>
        <v>32.64</v>
      </c>
      <c r="U8" s="194">
        <f>(33.3*KFC!$B$36*1.02+KFC!$C$36)*KFC!$C$5</f>
        <v>33.966000000000001</v>
      </c>
      <c r="V8" s="194">
        <f>(34.5*KFC!$B$36*1.02+KFC!$C$36)*KFC!$C$5</f>
        <v>35.19</v>
      </c>
      <c r="W8" s="194">
        <f>(35.7*KFC!$B$36*1.02+KFC!$C$36)*KFC!$C$5</f>
        <v>36.414000000000001</v>
      </c>
      <c r="X8" s="194">
        <f>(36.9*KFC!$B$36*1.02+KFC!$C$36)*KFC!$C$5</f>
        <v>37.637999999999998</v>
      </c>
      <c r="Y8" s="194">
        <f>(38.2*KFC!$B$36*1.02+KFC!$C$36)*KFC!$C$5</f>
        <v>38.964000000000006</v>
      </c>
      <c r="Z8" s="194">
        <f>(39.4*KFC!$B$36*1.02+KFC!$C$36)*KFC!$C$5</f>
        <v>40.188000000000002</v>
      </c>
      <c r="AA8" s="195">
        <f>(40.5*KFC!$B$36*1.02+KFC!$C$36)*KFC!$C$5</f>
        <v>41.31</v>
      </c>
    </row>
    <row r="9" spans="1:27">
      <c r="A9" s="1781"/>
      <c r="B9" s="224">
        <v>0.9</v>
      </c>
      <c r="C9" s="247">
        <f>(12.1*KFC!$B$36*1.02+KFC!$C$36)*KFC!$C$5</f>
        <v>12.342000000000001</v>
      </c>
      <c r="D9" s="194">
        <f>(13.5*KFC!$B$36*1.02+KFC!$C$36)*KFC!$C$5</f>
        <v>13.77</v>
      </c>
      <c r="E9" s="194">
        <f>(14.8*KFC!$B$36*1.02+KFC!$C$36)*KFC!$C$5</f>
        <v>15.096000000000002</v>
      </c>
      <c r="F9" s="194">
        <f>(16.1*KFC!$B$36*1.02+KFC!$C$36)*KFC!$C$5</f>
        <v>16.422000000000001</v>
      </c>
      <c r="G9" s="194">
        <f>(17.5*KFC!$B$36*1.02+KFC!$C$36)*KFC!$C$5</f>
        <v>17.850000000000001</v>
      </c>
      <c r="H9" s="194">
        <f>(18.7*KFC!$B$36*1.02+KFC!$C$36)*KFC!$C$5</f>
        <v>19.073999999999998</v>
      </c>
      <c r="I9" s="194">
        <f>(20.1*KFC!$B$36*1.02+KFC!$C$36)*KFC!$C$5</f>
        <v>20.502000000000002</v>
      </c>
      <c r="J9" s="194">
        <f>(21.4*KFC!$B$36*1.02+KFC!$C$36)*KFC!$C$5</f>
        <v>21.827999999999999</v>
      </c>
      <c r="K9" s="194">
        <f>(22.7*KFC!$B$36*1.02+KFC!$C$36)*KFC!$C$5</f>
        <v>23.154</v>
      </c>
      <c r="L9" s="194">
        <f>(24.1*KFC!$B$36*1.02+KFC!$C$36)*KFC!$C$5</f>
        <v>24.582000000000001</v>
      </c>
      <c r="M9" s="194">
        <f>(25.3*KFC!$B$36*1.02+KFC!$C$36)*KFC!$C$5</f>
        <v>25.806000000000001</v>
      </c>
      <c r="N9" s="194">
        <f>(26.7*KFC!$B$36*1.02+KFC!$C$36)*KFC!$C$5</f>
        <v>27.233999999999998</v>
      </c>
      <c r="O9" s="194">
        <f>(28*KFC!$B$36*1.02+KFC!$C$36)*KFC!$C$5</f>
        <v>28.560000000000002</v>
      </c>
      <c r="P9" s="194">
        <f>(29.4*KFC!$B$36*1.02+KFC!$C$36)*KFC!$C$5</f>
        <v>29.988</v>
      </c>
      <c r="Q9" s="194">
        <f>(30.7*KFC!$B$36*1.02+KFC!$C$36)*KFC!$C$5</f>
        <v>31.314</v>
      </c>
      <c r="R9" s="194">
        <f>(31.9*KFC!$B$36*1.02+KFC!$C$36)*KFC!$C$5</f>
        <v>32.537999999999997</v>
      </c>
      <c r="S9" s="194">
        <f>(33.3*KFC!$B$36*1.02+KFC!$C$36)*KFC!$C$5</f>
        <v>33.966000000000001</v>
      </c>
      <c r="T9" s="194">
        <f>(34.6*KFC!$B$36*1.02+KFC!$C$36)*KFC!$C$5</f>
        <v>35.292000000000002</v>
      </c>
      <c r="U9" s="194">
        <f>(36*KFC!$B$36*1.02+KFC!$C$36)*KFC!$C$5</f>
        <v>36.72</v>
      </c>
      <c r="V9" s="194">
        <f>(37.3*KFC!$B$36*1.02+KFC!$C$36)*KFC!$C$5</f>
        <v>38.045999999999999</v>
      </c>
      <c r="W9" s="194">
        <f>(38.5*KFC!$B$36*1.02+KFC!$C$36)*KFC!$C$5</f>
        <v>39.270000000000003</v>
      </c>
      <c r="X9" s="194">
        <f>(39.9*KFC!$B$36*1.02+KFC!$C$36)*KFC!$C$5</f>
        <v>40.698</v>
      </c>
      <c r="Y9" s="194">
        <f>(41.2*KFC!$B$36*1.02+KFC!$C$36)*KFC!$C$5</f>
        <v>42.024000000000001</v>
      </c>
      <c r="Z9" s="194">
        <f>(42.6*KFC!$B$36*1.02+KFC!$C$36)*KFC!$C$5</f>
        <v>43.452000000000005</v>
      </c>
      <c r="AA9" s="195">
        <f>(43.9*KFC!$B$36*1.02+KFC!$C$36)*KFC!$C$5</f>
        <v>44.777999999999999</v>
      </c>
    </row>
    <row r="10" spans="1:27">
      <c r="A10" s="1781"/>
      <c r="B10" s="224">
        <v>1</v>
      </c>
      <c r="C10" s="247">
        <f>(12.7*KFC!$B$36*1.02+KFC!$C$36)*KFC!$C$5</f>
        <v>12.953999999999999</v>
      </c>
      <c r="D10" s="194">
        <f>(14.2*KFC!$B$36*1.02+KFC!$C$36)*KFC!$C$5</f>
        <v>14.484</v>
      </c>
      <c r="E10" s="194">
        <f>(15.7*KFC!$B$36*1.02+KFC!$C$36)*KFC!$C$5</f>
        <v>16.013999999999999</v>
      </c>
      <c r="F10" s="194">
        <f>(17*KFC!$B$36*1.02+KFC!$C$36)*KFC!$C$5</f>
        <v>17.34</v>
      </c>
      <c r="G10" s="194">
        <f>(18.5*KFC!$B$36*1.02+KFC!$C$36)*KFC!$C$5</f>
        <v>18.87</v>
      </c>
      <c r="H10" s="194">
        <f>(19.9*KFC!$B$36*1.02+KFC!$C$36)*KFC!$C$5</f>
        <v>20.297999999999998</v>
      </c>
      <c r="I10" s="194">
        <f>(21.4*KFC!$B$36*1.02+KFC!$C$36)*KFC!$C$5</f>
        <v>21.827999999999999</v>
      </c>
      <c r="J10" s="194">
        <f>(22.7*KFC!$B$36*1.02+KFC!$C$36)*KFC!$C$5</f>
        <v>23.154</v>
      </c>
      <c r="K10" s="194">
        <f>(24.2*KFC!$B$36*1.02+KFC!$C$36)*KFC!$C$5</f>
        <v>24.684000000000001</v>
      </c>
      <c r="L10" s="194">
        <f>(25.7*KFC!$B$36*1.02+KFC!$C$36)*KFC!$C$5</f>
        <v>26.213999999999999</v>
      </c>
      <c r="M10" s="194">
        <f>(27.2*KFC!$B$36*1.02+KFC!$C$36)*KFC!$C$5</f>
        <v>27.744</v>
      </c>
      <c r="N10" s="194">
        <f>(28.5*KFC!$B$36*1.02+KFC!$C$36)*KFC!$C$5</f>
        <v>29.07</v>
      </c>
      <c r="O10" s="194">
        <f>(30*KFC!$B$36*1.02+KFC!$C$36)*KFC!$C$5</f>
        <v>30.6</v>
      </c>
      <c r="P10" s="194">
        <f>(31.4*KFC!$B$36*1.02+KFC!$C$36)*KFC!$C$5</f>
        <v>32.027999999999999</v>
      </c>
      <c r="Q10" s="194">
        <f>(32.8*KFC!$B$36*1.02+KFC!$C$36)*KFC!$C$5</f>
        <v>33.455999999999996</v>
      </c>
      <c r="R10" s="194">
        <f>(34.2*KFC!$B$36*1.02+KFC!$C$36)*KFC!$C$5</f>
        <v>34.884</v>
      </c>
      <c r="S10" s="194">
        <f>(35.7*KFC!$B$36*1.02+KFC!$C$36)*KFC!$C$5</f>
        <v>36.414000000000001</v>
      </c>
      <c r="T10" s="194">
        <f>(37.2*KFC!$B$36*1.02+KFC!$C$36)*KFC!$C$5</f>
        <v>37.944000000000003</v>
      </c>
      <c r="U10" s="194">
        <f>(38.5*KFC!$B$36*1.02+KFC!$C$36)*KFC!$C$5</f>
        <v>39.270000000000003</v>
      </c>
      <c r="V10" s="194">
        <f>(40*KFC!$B$36*1.02+KFC!$C$36)*KFC!$C$5</f>
        <v>40.799999999999997</v>
      </c>
      <c r="W10" s="194">
        <f>(41.5*KFC!$B$36*1.02+KFC!$C$36)*KFC!$C$5</f>
        <v>42.33</v>
      </c>
      <c r="X10" s="194">
        <f>(42.9*KFC!$B$36*1.02+KFC!$C$36)*KFC!$C$5</f>
        <v>43.758000000000003</v>
      </c>
      <c r="Y10" s="194">
        <f>(44.3*KFC!$B$36*1.02+KFC!$C$36)*KFC!$C$5</f>
        <v>45.186</v>
      </c>
      <c r="Z10" s="194">
        <f>(45.7*KFC!$B$36*1.02+KFC!$C$36)*KFC!$C$5</f>
        <v>46.614000000000004</v>
      </c>
      <c r="AA10" s="195">
        <f>(47.2*KFC!$B$36*1.02+KFC!$C$36)*KFC!$C$5</f>
        <v>48.144000000000005</v>
      </c>
    </row>
    <row r="11" spans="1:27">
      <c r="A11" s="1781"/>
      <c r="B11" s="224">
        <v>1.1000000000000001</v>
      </c>
      <c r="C11" s="247">
        <f>(13.3*KFC!$B$36*1.02+KFC!$C$36)*KFC!$C$5</f>
        <v>13.566000000000001</v>
      </c>
      <c r="D11" s="194">
        <f>(14.9*KFC!$B$36*1.02+KFC!$C$36)*KFC!$C$5</f>
        <v>15.198</v>
      </c>
      <c r="E11" s="194">
        <f>(16.4*KFC!$B$36*1.02+KFC!$C$36)*KFC!$C$5</f>
        <v>16.727999999999998</v>
      </c>
      <c r="F11" s="194">
        <f>(18*KFC!$B$36*1.02+KFC!$C$36)*KFC!$C$5</f>
        <v>18.36</v>
      </c>
      <c r="G11" s="194">
        <f>(19.6*KFC!$B$36*1.02+KFC!$C$36)*KFC!$C$5</f>
        <v>19.992000000000001</v>
      </c>
      <c r="H11" s="194">
        <f>(21*KFC!$B$36*1.02+KFC!$C$36)*KFC!$C$5</f>
        <v>21.42</v>
      </c>
      <c r="I11" s="194">
        <f>(22.6*KFC!$B$36*1.02+KFC!$C$36)*KFC!$C$5</f>
        <v>23.052000000000003</v>
      </c>
      <c r="J11" s="194">
        <f>(24.2*KFC!$B$36*1.02+KFC!$C$36)*KFC!$C$5</f>
        <v>24.684000000000001</v>
      </c>
      <c r="K11" s="194">
        <f>(25.7*KFC!$B$36*1.02+KFC!$C$36)*KFC!$C$5</f>
        <v>26.213999999999999</v>
      </c>
      <c r="L11" s="194">
        <f>(27.3*KFC!$B$36*1.02+KFC!$C$36)*KFC!$C$5</f>
        <v>27.846</v>
      </c>
      <c r="M11" s="194">
        <f>(28.9*KFC!$B$36*1.02+KFC!$C$36)*KFC!$C$5</f>
        <v>29.477999999999998</v>
      </c>
      <c r="N11" s="194">
        <f>(30.3*KFC!$B$36*1.02+KFC!$C$36)*KFC!$C$5</f>
        <v>30.906000000000002</v>
      </c>
      <c r="O11" s="194">
        <f>(31.9*KFC!$B$36*1.02+KFC!$C$36)*KFC!$C$5</f>
        <v>32.537999999999997</v>
      </c>
      <c r="P11" s="194">
        <f>(33.5*KFC!$B$36*1.02+KFC!$C$36)*KFC!$C$5</f>
        <v>34.17</v>
      </c>
      <c r="Q11" s="194">
        <f>(35*KFC!$B$36*1.02+KFC!$C$36)*KFC!$C$5</f>
        <v>35.700000000000003</v>
      </c>
      <c r="R11" s="194">
        <f>(36.6*KFC!$B$36*1.02+KFC!$C$36)*KFC!$C$5</f>
        <v>37.332000000000001</v>
      </c>
      <c r="S11" s="194">
        <f>(38.2*KFC!$B$36*1.02+KFC!$C$36)*KFC!$C$5</f>
        <v>38.964000000000006</v>
      </c>
      <c r="T11" s="194">
        <f>(39.6*KFC!$B$36*1.02+KFC!$C$36)*KFC!$C$5</f>
        <v>40.392000000000003</v>
      </c>
      <c r="U11" s="194">
        <f>(41.2*KFC!$B$36*1.02+KFC!$C$36)*KFC!$C$5</f>
        <v>42.024000000000001</v>
      </c>
      <c r="V11" s="194">
        <f>(42.8*KFC!$B$36*1.02+KFC!$C$36)*KFC!$C$5</f>
        <v>43.655999999999999</v>
      </c>
      <c r="W11" s="194">
        <f>(44.3*KFC!$B$36*1.02+KFC!$C$36)*KFC!$C$5</f>
        <v>45.186</v>
      </c>
      <c r="X11" s="194">
        <f>(45.9*KFC!$B$36*1.02+KFC!$C$36)*KFC!$C$5</f>
        <v>46.817999999999998</v>
      </c>
      <c r="Y11" s="194">
        <f>(47.5*KFC!$B$36*1.02+KFC!$C$36)*KFC!$C$5</f>
        <v>48.45</v>
      </c>
      <c r="Z11" s="194">
        <f>(48.9*KFC!$B$36*1.02+KFC!$C$36)*KFC!$C$5</f>
        <v>49.878</v>
      </c>
      <c r="AA11" s="195">
        <f>(50.5*KFC!$B$36*1.02+KFC!$C$36)*KFC!$C$5</f>
        <v>51.51</v>
      </c>
    </row>
    <row r="12" spans="1:27">
      <c r="A12" s="1781"/>
      <c r="B12" s="224">
        <v>1.2</v>
      </c>
      <c r="C12" s="247">
        <f>(13.9*KFC!$B$36*1.02+KFC!$C$36)*KFC!$C$5</f>
        <v>14.178000000000001</v>
      </c>
      <c r="D12" s="194">
        <f>(15.7*KFC!$B$36*1.02+KFC!$C$36)*KFC!$C$5</f>
        <v>16.013999999999999</v>
      </c>
      <c r="E12" s="194">
        <f>(17.2*KFC!$B$36*1.02+KFC!$C$36)*KFC!$C$5</f>
        <v>17.544</v>
      </c>
      <c r="F12" s="194">
        <f>(19*KFC!$B$36*1.02+KFC!$C$36)*KFC!$C$5</f>
        <v>19.38</v>
      </c>
      <c r="G12" s="194">
        <f>(20.5*KFC!$B$36*1.02+KFC!$C$36)*KFC!$C$5</f>
        <v>20.91</v>
      </c>
      <c r="H12" s="194">
        <f>(22.3*KFC!$B$36*1.02+KFC!$C$36)*KFC!$C$5</f>
        <v>22.746000000000002</v>
      </c>
      <c r="I12" s="194">
        <f>(24*KFC!$B$36*1.02+KFC!$C$36)*KFC!$C$5</f>
        <v>24.48</v>
      </c>
      <c r="J12" s="194">
        <f>(25.6*KFC!$B$36*1.02+KFC!$C$36)*KFC!$C$5</f>
        <v>26.112000000000002</v>
      </c>
      <c r="K12" s="194">
        <f>(27.3*KFC!$B$36*1.02+KFC!$C$36)*KFC!$C$5</f>
        <v>27.846</v>
      </c>
      <c r="L12" s="194">
        <f>(28.9*KFC!$B$36*1.02+KFC!$C$36)*KFC!$C$5</f>
        <v>29.477999999999998</v>
      </c>
      <c r="M12" s="194">
        <f>(30.6*KFC!$B$36*1.02+KFC!$C$36)*KFC!$C$5</f>
        <v>31.212000000000003</v>
      </c>
      <c r="N12" s="194">
        <f>(32.2*KFC!$B$36*1.02+KFC!$C$36)*KFC!$C$5</f>
        <v>32.844000000000001</v>
      </c>
      <c r="O12" s="194">
        <f>(33.9*KFC!$B$36*1.02+KFC!$C$36)*KFC!$C$5</f>
        <v>34.577999999999996</v>
      </c>
      <c r="P12" s="194">
        <f>(35.6*KFC!$B$36*1.02+KFC!$C$36)*KFC!$C$5</f>
        <v>36.312000000000005</v>
      </c>
      <c r="Q12" s="194">
        <f>(37.2*KFC!$B$36*1.02+KFC!$C$36)*KFC!$C$5</f>
        <v>37.944000000000003</v>
      </c>
      <c r="R12" s="194">
        <f>(38.9*KFC!$B$36*1.02+KFC!$C$36)*KFC!$C$5</f>
        <v>39.677999999999997</v>
      </c>
      <c r="S12" s="194">
        <f>(40.5*KFC!$B$36*1.02+KFC!$C$36)*KFC!$C$5</f>
        <v>41.31</v>
      </c>
      <c r="T12" s="194">
        <f>(42.2*KFC!$B$36*1.02+KFC!$C$36)*KFC!$C$5</f>
        <v>43.044000000000004</v>
      </c>
      <c r="U12" s="194">
        <f>(43.9*KFC!$B$36*1.02+KFC!$C$36)*KFC!$C$5</f>
        <v>44.777999999999999</v>
      </c>
      <c r="V12" s="194">
        <f>(45.5*KFC!$B$36*1.02+KFC!$C$36)*KFC!$C$5</f>
        <v>46.410000000000004</v>
      </c>
      <c r="W12" s="194">
        <f>(47.2*KFC!$B$36*1.02+KFC!$C$36)*KFC!$C$5</f>
        <v>48.144000000000005</v>
      </c>
      <c r="X12" s="194">
        <f>(48.8*KFC!$B$36*1.02+KFC!$C$36)*KFC!$C$5</f>
        <v>49.775999999999996</v>
      </c>
      <c r="Y12" s="194">
        <f>(50.5*KFC!$B$36*1.02+KFC!$C$36)*KFC!$C$5</f>
        <v>51.51</v>
      </c>
      <c r="Z12" s="194">
        <f>(52.1*KFC!$B$36*1.02+KFC!$C$36)*KFC!$C$5</f>
        <v>53.142000000000003</v>
      </c>
      <c r="AA12" s="195">
        <f>(53.8*KFC!$B$36*1.02+KFC!$C$36)*KFC!$C$5</f>
        <v>54.875999999999998</v>
      </c>
    </row>
    <row r="13" spans="1:27">
      <c r="A13" s="1781"/>
      <c r="B13" s="224">
        <v>1.3</v>
      </c>
      <c r="C13" s="247">
        <f>(14.6*KFC!$B$36*1.02+KFC!$C$36)*KFC!$C$5</f>
        <v>14.891999999999999</v>
      </c>
      <c r="D13" s="194">
        <f>(16.3*KFC!$B$36*1.02+KFC!$C$36)*KFC!$C$5</f>
        <v>16.626000000000001</v>
      </c>
      <c r="E13" s="194">
        <f>(18.1*KFC!$B$36*1.02+KFC!$C$36)*KFC!$C$5</f>
        <v>18.462000000000003</v>
      </c>
      <c r="F13" s="194">
        <f>(19.8*KFC!$B$36*1.02+KFC!$C$36)*KFC!$C$5</f>
        <v>20.196000000000002</v>
      </c>
      <c r="G13" s="194">
        <f>(21.6*KFC!$B$36*1.02+KFC!$C$36)*KFC!$C$5</f>
        <v>22.032000000000004</v>
      </c>
      <c r="H13" s="194">
        <f>(23.4*KFC!$B$36*1.02+KFC!$C$36)*KFC!$C$5</f>
        <v>23.867999999999999</v>
      </c>
      <c r="I13" s="194">
        <f>(25.2*KFC!$B$36*1.02+KFC!$C$36)*KFC!$C$5</f>
        <v>25.704000000000001</v>
      </c>
      <c r="J13" s="194">
        <f>(26.9*KFC!$B$36*1.02+KFC!$C$36)*KFC!$C$5</f>
        <v>27.437999999999999</v>
      </c>
      <c r="K13" s="194">
        <f>(28.7*KFC!$B$36*1.02+KFC!$C$36)*KFC!$C$5</f>
        <v>29.274000000000001</v>
      </c>
      <c r="L13" s="194">
        <f>(30.5*KFC!$B$36*1.02+KFC!$C$36)*KFC!$C$5</f>
        <v>31.11</v>
      </c>
      <c r="M13" s="194">
        <f>(32.3*KFC!$B$36*1.02+KFC!$C$36)*KFC!$C$5</f>
        <v>32.945999999999998</v>
      </c>
      <c r="N13" s="194">
        <f>(34*KFC!$B$36*1.02+KFC!$C$36)*KFC!$C$5</f>
        <v>34.68</v>
      </c>
      <c r="O13" s="194">
        <f>(35.8*KFC!$B$36*1.02+KFC!$C$36)*KFC!$C$5</f>
        <v>36.515999999999998</v>
      </c>
      <c r="P13" s="194">
        <f>(37.7*KFC!$B$36*1.02+KFC!$C$36)*KFC!$C$5</f>
        <v>38.454000000000001</v>
      </c>
      <c r="Q13" s="194">
        <f>(39.4*KFC!$B$36*1.02+KFC!$C$36)*KFC!$C$5</f>
        <v>40.188000000000002</v>
      </c>
      <c r="R13" s="194">
        <f>(41.2*KFC!$B$36*1.02+KFC!$C$36)*KFC!$C$5</f>
        <v>42.024000000000001</v>
      </c>
      <c r="S13" s="194">
        <f>(42.9*KFC!$B$36*1.02+KFC!$C$36)*KFC!$C$5</f>
        <v>43.758000000000003</v>
      </c>
      <c r="T13" s="194">
        <f>(44.8*KFC!$B$36*1.02+KFC!$C$36)*KFC!$C$5</f>
        <v>45.695999999999998</v>
      </c>
      <c r="U13" s="194">
        <f>(46.5*KFC!$B$36*1.02+KFC!$C$36)*KFC!$C$5</f>
        <v>47.43</v>
      </c>
      <c r="V13" s="194">
        <f>(48.3*KFC!$B$36*1.02+KFC!$C$36)*KFC!$C$5</f>
        <v>49.265999999999998</v>
      </c>
      <c r="W13" s="194">
        <f>(50*KFC!$B$36*1.02+KFC!$C$36)*KFC!$C$5</f>
        <v>51</v>
      </c>
      <c r="X13" s="194">
        <f>(51.9*KFC!$B$36*1.02+KFC!$C$36)*KFC!$C$5</f>
        <v>52.938000000000002</v>
      </c>
      <c r="Y13" s="194">
        <f>(53.6*KFC!$B$36*1.02+KFC!$C$36)*KFC!$C$5</f>
        <v>54.672000000000004</v>
      </c>
      <c r="Z13" s="194">
        <f>(55.4*KFC!$B$36*1.02+KFC!$C$36)*KFC!$C$5</f>
        <v>56.508000000000003</v>
      </c>
      <c r="AA13" s="195">
        <f>(57.1*KFC!$B$36*1.02+KFC!$C$36)*KFC!$C$5</f>
        <v>58.242000000000004</v>
      </c>
    </row>
    <row r="14" spans="1:27">
      <c r="A14" s="1781"/>
      <c r="B14" s="224">
        <v>1.4</v>
      </c>
      <c r="C14" s="247">
        <f>(15.2*KFC!$B$36*1.02+KFC!$C$36)*KFC!$C$5</f>
        <v>15.504</v>
      </c>
      <c r="D14" s="194">
        <f>(17*KFC!$B$36*1.02+KFC!$C$36)*KFC!$C$5</f>
        <v>17.34</v>
      </c>
      <c r="E14" s="194">
        <f>(19*KFC!$B$36*1.02+KFC!$C$36)*KFC!$C$5</f>
        <v>19.38</v>
      </c>
      <c r="F14" s="194">
        <f>(20.8*KFC!$B$36*1.02+KFC!$C$36)*KFC!$C$5</f>
        <v>21.216000000000001</v>
      </c>
      <c r="G14" s="194">
        <f>(22.6*KFC!$B$36*1.02+KFC!$C$36)*KFC!$C$5</f>
        <v>23.052000000000003</v>
      </c>
      <c r="H14" s="194">
        <f>(24.6*KFC!$B$36*1.02+KFC!$C$36)*KFC!$C$5</f>
        <v>25.092000000000002</v>
      </c>
      <c r="I14" s="194">
        <f>(26.4*KFC!$B$36*1.02+KFC!$C$36)*KFC!$C$5</f>
        <v>26.927999999999997</v>
      </c>
      <c r="J14" s="194">
        <f>(28.4*KFC!$B$36*1.02+KFC!$C$36)*KFC!$C$5</f>
        <v>28.968</v>
      </c>
      <c r="K14" s="194">
        <f>(30.2*KFC!$B$36*1.02+KFC!$C$36)*KFC!$C$5</f>
        <v>30.803999999999998</v>
      </c>
      <c r="L14" s="194">
        <f>(32.2*KFC!$B$36*1.02+KFC!$C$36)*KFC!$C$5</f>
        <v>32.844000000000001</v>
      </c>
      <c r="M14" s="194">
        <f>(34*KFC!$B$36*1.02+KFC!$C$36)*KFC!$C$5</f>
        <v>34.68</v>
      </c>
      <c r="N14" s="194">
        <f>(36*KFC!$B$36*1.02+KFC!$C$36)*KFC!$C$5</f>
        <v>36.72</v>
      </c>
      <c r="O14" s="194">
        <f>(37.8*KFC!$B$36*1.02+KFC!$C$36)*KFC!$C$5</f>
        <v>38.555999999999997</v>
      </c>
      <c r="P14" s="194">
        <f>(39.6*KFC!$B$36*1.02+KFC!$C$36)*KFC!$C$5</f>
        <v>40.392000000000003</v>
      </c>
      <c r="Q14" s="194">
        <f>(41.6*KFC!$B$36*1.02+KFC!$C$36)*KFC!$C$5</f>
        <v>42.432000000000002</v>
      </c>
      <c r="R14" s="194">
        <f>(43.4*KFC!$B$36*1.02+KFC!$C$36)*KFC!$C$5</f>
        <v>44.268000000000001</v>
      </c>
      <c r="S14" s="194">
        <f>(45.4*KFC!$B$36*1.02+KFC!$C$36)*KFC!$C$5</f>
        <v>46.308</v>
      </c>
      <c r="T14" s="194">
        <f>(47.2*KFC!$B$36*1.02+KFC!$C$36)*KFC!$C$5</f>
        <v>48.144000000000005</v>
      </c>
      <c r="U14" s="194">
        <f>(49.2*KFC!$B$36*1.02+KFC!$C$36)*KFC!$C$5</f>
        <v>50.184000000000005</v>
      </c>
      <c r="V14" s="194">
        <f>(51*KFC!$B$36*1.02+KFC!$C$36)*KFC!$C$5</f>
        <v>52.02</v>
      </c>
      <c r="W14" s="194">
        <f>(53*KFC!$B$36*1.02+KFC!$C$36)*KFC!$C$5</f>
        <v>54.06</v>
      </c>
      <c r="X14" s="194">
        <f>(54.8*KFC!$B$36*1.02+KFC!$C$36)*KFC!$C$5</f>
        <v>55.896000000000001</v>
      </c>
      <c r="Y14" s="194">
        <f>(56.6*KFC!$B$36*1.02+KFC!$C$36)*KFC!$C$5</f>
        <v>57.731999999999999</v>
      </c>
      <c r="Z14" s="194">
        <f>(58.6*KFC!$B$36*1.02+KFC!$C$36)*KFC!$C$5</f>
        <v>59.772000000000006</v>
      </c>
      <c r="AA14" s="195">
        <f>(60.4*KFC!$B$36*1.02+KFC!$C$36)*KFC!$C$5</f>
        <v>61.607999999999997</v>
      </c>
    </row>
    <row r="15" spans="1:27">
      <c r="A15" s="1781"/>
      <c r="B15" s="224">
        <v>1.5</v>
      </c>
      <c r="C15" s="247">
        <f>(15.8*KFC!$B$36*1.02+KFC!$C$36)*KFC!$C$5</f>
        <v>16.116</v>
      </c>
      <c r="D15" s="194">
        <f>(17.7*KFC!$B$36*1.02+KFC!$C$36)*KFC!$C$5</f>
        <v>18.053999999999998</v>
      </c>
      <c r="E15" s="194">
        <f>(19.7*KFC!$B$36*1.02+KFC!$C$36)*KFC!$C$5</f>
        <v>20.094000000000001</v>
      </c>
      <c r="F15" s="194">
        <f>(21.8*KFC!$B$36*1.02+KFC!$C$36)*KFC!$C$5</f>
        <v>22.236000000000001</v>
      </c>
      <c r="G15" s="194">
        <f>(23.7*KFC!$B$36*1.02+KFC!$C$36)*KFC!$C$5</f>
        <v>24.173999999999999</v>
      </c>
      <c r="H15" s="194">
        <f>(25.7*KFC!$B$36*1.02+KFC!$C$36)*KFC!$C$5</f>
        <v>26.213999999999999</v>
      </c>
      <c r="I15" s="194">
        <f>(27.8*KFC!$B$36*1.02+KFC!$C$36)*KFC!$C$5</f>
        <v>28.356000000000002</v>
      </c>
      <c r="J15" s="194">
        <f>(29.7*KFC!$B$36*1.02+KFC!$C$36)*KFC!$C$5</f>
        <v>30.294</v>
      </c>
      <c r="K15" s="194">
        <f>(31.8*KFC!$B$36*1.02+KFC!$C$36)*KFC!$C$5</f>
        <v>32.436</v>
      </c>
      <c r="L15" s="194">
        <f>(33.8*KFC!$B$36*1.02+KFC!$C$36)*KFC!$C$5</f>
        <v>34.475999999999999</v>
      </c>
      <c r="M15" s="194">
        <f>(35.7*KFC!$B$36*1.02+KFC!$C$36)*KFC!$C$5</f>
        <v>36.414000000000001</v>
      </c>
      <c r="N15" s="194">
        <f>(37.8*KFC!$B$36*1.02+KFC!$C$36)*KFC!$C$5</f>
        <v>38.555999999999997</v>
      </c>
      <c r="O15" s="194">
        <f>(39.7*KFC!$B$36*1.02+KFC!$C$36)*KFC!$C$5</f>
        <v>40.494000000000007</v>
      </c>
      <c r="P15" s="194">
        <f>(41.7*KFC!$B$36*1.02+KFC!$C$36)*KFC!$C$5</f>
        <v>42.534000000000006</v>
      </c>
      <c r="Q15" s="194">
        <f>(43.8*KFC!$B$36*1.02+KFC!$C$36)*KFC!$C$5</f>
        <v>44.675999999999995</v>
      </c>
      <c r="R15" s="194">
        <f>(45.7*KFC!$B$36*1.02+KFC!$C$36)*KFC!$C$5</f>
        <v>46.614000000000004</v>
      </c>
      <c r="S15" s="194">
        <f>(47.7*KFC!$B$36*1.02+KFC!$C$36)*KFC!$C$5</f>
        <v>48.654000000000003</v>
      </c>
      <c r="T15" s="194">
        <f>(49.8*KFC!$B$36*1.02+KFC!$C$36)*KFC!$C$5</f>
        <v>50.795999999999999</v>
      </c>
      <c r="U15" s="194">
        <f>(51.7*KFC!$B$36*1.02+KFC!$C$36)*KFC!$C$5</f>
        <v>52.734000000000002</v>
      </c>
      <c r="V15" s="194">
        <f>(53.8*KFC!$B$36*1.02+KFC!$C$36)*KFC!$C$5</f>
        <v>54.875999999999998</v>
      </c>
      <c r="W15" s="194">
        <f>(55.8*KFC!$B$36*1.02+KFC!$C$36)*KFC!$C$5</f>
        <v>56.915999999999997</v>
      </c>
      <c r="X15" s="194">
        <f>(57.7*KFC!$B$36*1.02+KFC!$C$36)*KFC!$C$5</f>
        <v>58.854000000000006</v>
      </c>
      <c r="Y15" s="194">
        <f>(59.8*KFC!$B$36*1.02+KFC!$C$36)*KFC!$C$5</f>
        <v>60.995999999999995</v>
      </c>
      <c r="Z15" s="194">
        <f>(61.8*KFC!$B$36*1.02+KFC!$C$36)*KFC!$C$5</f>
        <v>63.036000000000001</v>
      </c>
      <c r="AA15" s="195">
        <f>(63.7*KFC!$B$36*1.02+KFC!$C$36)*KFC!$C$5</f>
        <v>64.974000000000004</v>
      </c>
    </row>
    <row r="16" spans="1:27">
      <c r="A16" s="1781"/>
      <c r="B16" s="224">
        <v>1.6</v>
      </c>
      <c r="C16" s="247">
        <f>(16.3*KFC!$B$36*1.02+KFC!$C$36)*KFC!$C$5</f>
        <v>16.626000000000001</v>
      </c>
      <c r="D16" s="194">
        <f>(18.5*KFC!$B$36*1.02+KFC!$C$36)*KFC!$C$5</f>
        <v>18.87</v>
      </c>
      <c r="E16" s="194">
        <f>(20.5*KFC!$B$36*1.02+KFC!$C$36)*KFC!$C$5</f>
        <v>20.91</v>
      </c>
      <c r="F16" s="194">
        <f>(22.6*KFC!$B$36*1.02+KFC!$C$36)*KFC!$C$5</f>
        <v>23.052000000000003</v>
      </c>
      <c r="G16" s="194">
        <f>(24.8*KFC!$B$36*1.02+KFC!$C$36)*KFC!$C$5</f>
        <v>25.296000000000003</v>
      </c>
      <c r="H16" s="194">
        <f>(26.9*KFC!$B$36*1.02+KFC!$C$36)*KFC!$C$5</f>
        <v>27.437999999999999</v>
      </c>
      <c r="I16" s="194">
        <f>(29*KFC!$B$36*1.02+KFC!$C$36)*KFC!$C$5</f>
        <v>29.580000000000002</v>
      </c>
      <c r="J16" s="194">
        <f>(31.2*KFC!$B$36*1.02+KFC!$C$36)*KFC!$C$5</f>
        <v>31.823999999999998</v>
      </c>
      <c r="K16" s="194">
        <f>(33.3*KFC!$B$36*1.02+KFC!$C$36)*KFC!$C$5</f>
        <v>33.966000000000001</v>
      </c>
      <c r="L16" s="194">
        <f>(35.3*KFC!$B$36*1.02+KFC!$C$36)*KFC!$C$5</f>
        <v>36.006</v>
      </c>
      <c r="M16" s="194">
        <f>(37.4*KFC!$B$36*1.02+KFC!$C$36)*KFC!$C$5</f>
        <v>38.147999999999996</v>
      </c>
      <c r="N16" s="194">
        <f>(39.6*KFC!$B$36*1.02+KFC!$C$36)*KFC!$C$5</f>
        <v>40.392000000000003</v>
      </c>
      <c r="O16" s="194">
        <f>(41.7*KFC!$B$36*1.02+KFC!$C$36)*KFC!$C$5</f>
        <v>42.534000000000006</v>
      </c>
      <c r="P16" s="194">
        <f>(43.8*KFC!$B$36*1.02+KFC!$C$36)*KFC!$C$5</f>
        <v>44.675999999999995</v>
      </c>
      <c r="Q16" s="194">
        <f>(46*KFC!$B$36*1.02+KFC!$C$36)*KFC!$C$5</f>
        <v>46.92</v>
      </c>
      <c r="R16" s="194">
        <f>(48.1*KFC!$B$36*1.02+KFC!$C$36)*KFC!$C$5</f>
        <v>49.062000000000005</v>
      </c>
      <c r="S16" s="194">
        <f>(50.1*KFC!$B$36*1.02+KFC!$C$36)*KFC!$C$5</f>
        <v>51.102000000000004</v>
      </c>
      <c r="T16" s="194">
        <f>(52.2*KFC!$B$36*1.02+KFC!$C$36)*KFC!$C$5</f>
        <v>53.244000000000007</v>
      </c>
      <c r="U16" s="194">
        <f>(54.4*KFC!$B$36*1.02+KFC!$C$36)*KFC!$C$5</f>
        <v>55.488</v>
      </c>
      <c r="V16" s="194">
        <f>(56.5*KFC!$B$36*1.02+KFC!$C$36)*KFC!$C$5</f>
        <v>57.63</v>
      </c>
      <c r="W16" s="194">
        <f>(58.6*KFC!$B$36*1.02+KFC!$C$36)*KFC!$C$5</f>
        <v>59.772000000000006</v>
      </c>
      <c r="X16" s="194">
        <f>(60.8*KFC!$B$36*1.02+KFC!$C$36)*KFC!$C$5</f>
        <v>62.015999999999998</v>
      </c>
      <c r="Y16" s="194">
        <f>(62.9*KFC!$B$36*1.02+KFC!$C$36)*KFC!$C$5</f>
        <v>64.158000000000001</v>
      </c>
      <c r="Z16" s="194">
        <f>(64.9*KFC!$B$36*1.02+KFC!$C$36)*KFC!$C$5</f>
        <v>66.198000000000008</v>
      </c>
      <c r="AA16" s="195">
        <f>(67.1*KFC!$B$36*1.02+KFC!$C$36)*KFC!$C$5</f>
        <v>68.441999999999993</v>
      </c>
    </row>
    <row r="17" spans="1:27">
      <c r="A17" s="1781"/>
      <c r="B17" s="224">
        <v>1.7</v>
      </c>
      <c r="C17" s="247">
        <f>(16.9*KFC!$B$36*1.02+KFC!$C$36)*KFC!$C$5</f>
        <v>17.238</v>
      </c>
      <c r="D17" s="194">
        <f>(19.2*KFC!$B$36*1.02+KFC!$C$36)*KFC!$C$5</f>
        <v>19.584</v>
      </c>
      <c r="E17" s="194">
        <f>(21.4*KFC!$B$36*1.02+KFC!$C$36)*KFC!$C$5</f>
        <v>21.827999999999999</v>
      </c>
      <c r="F17" s="194">
        <f>(23.6*KFC!$B$36*1.02+KFC!$C$36)*KFC!$C$5</f>
        <v>24.072000000000003</v>
      </c>
      <c r="G17" s="194">
        <f>(25.8*KFC!$B$36*1.02+KFC!$C$36)*KFC!$C$5</f>
        <v>26.316000000000003</v>
      </c>
      <c r="H17" s="194">
        <f>(28*KFC!$B$36*1.02+KFC!$C$36)*KFC!$C$5</f>
        <v>28.560000000000002</v>
      </c>
      <c r="I17" s="194">
        <f>(30.3*KFC!$B$36*1.02+KFC!$C$36)*KFC!$C$5</f>
        <v>30.906000000000002</v>
      </c>
      <c r="J17" s="194">
        <f>(32.5*KFC!$B$36*1.02+KFC!$C$36)*KFC!$C$5</f>
        <v>33.15</v>
      </c>
      <c r="K17" s="194">
        <f>(34.7*KFC!$B$36*1.02+KFC!$C$36)*KFC!$C$5</f>
        <v>35.394000000000005</v>
      </c>
      <c r="L17" s="194">
        <f>(36.9*KFC!$B$36*1.02+KFC!$C$36)*KFC!$C$5</f>
        <v>37.637999999999998</v>
      </c>
      <c r="M17" s="194">
        <f>(39.3*KFC!$B$36*1.02+KFC!$C$36)*KFC!$C$5</f>
        <v>40.085999999999999</v>
      </c>
      <c r="N17" s="194">
        <f>(41.5*KFC!$B$36*1.02+KFC!$C$36)*KFC!$C$5</f>
        <v>42.33</v>
      </c>
      <c r="O17" s="194">
        <f>(43.7*KFC!$B$36*1.02+KFC!$C$36)*KFC!$C$5</f>
        <v>44.574000000000005</v>
      </c>
      <c r="P17" s="194">
        <f>(45.9*KFC!$B$36*1.02+KFC!$C$36)*KFC!$C$5</f>
        <v>46.817999999999998</v>
      </c>
      <c r="Q17" s="194">
        <f>(48.1*KFC!$B$36*1.02+KFC!$C$36)*KFC!$C$5</f>
        <v>49.062000000000005</v>
      </c>
      <c r="R17" s="194">
        <f>(50.4*KFC!$B$36*1.02+KFC!$C$36)*KFC!$C$5</f>
        <v>51.408000000000001</v>
      </c>
      <c r="S17" s="194">
        <f>(52.6*KFC!$B$36*1.02+KFC!$C$36)*KFC!$C$5</f>
        <v>53.652000000000001</v>
      </c>
      <c r="T17" s="194">
        <f>(54.8*KFC!$B$36*1.02+KFC!$C$36)*KFC!$C$5</f>
        <v>55.896000000000001</v>
      </c>
      <c r="U17" s="194">
        <f>(57*KFC!$B$36*1.02+KFC!$C$36)*KFC!$C$5</f>
        <v>58.14</v>
      </c>
      <c r="V17" s="194">
        <f>(59.3*KFC!$B$36*1.02+KFC!$C$36)*KFC!$C$5</f>
        <v>60.485999999999997</v>
      </c>
      <c r="W17" s="194">
        <f>(61.5*KFC!$B$36*1.02+KFC!$C$36)*KFC!$C$5</f>
        <v>62.730000000000004</v>
      </c>
      <c r="X17" s="194">
        <f>(63.7*KFC!$B$36*1.02+KFC!$C$36)*KFC!$C$5</f>
        <v>64.974000000000004</v>
      </c>
      <c r="Y17" s="194">
        <f>(65.9*KFC!$B$36*1.02+KFC!$C$36)*KFC!$C$5</f>
        <v>67.218000000000004</v>
      </c>
      <c r="Z17" s="194">
        <f>(68.1*KFC!$B$36*1.02+KFC!$C$36)*KFC!$C$5</f>
        <v>69.461999999999989</v>
      </c>
      <c r="AA17" s="195">
        <f>(70.4*KFC!$B$36*1.02+KFC!$C$36)*KFC!$C$5</f>
        <v>71.808000000000007</v>
      </c>
    </row>
    <row r="18" spans="1:27">
      <c r="A18" s="1781"/>
      <c r="B18" s="224">
        <v>1.8</v>
      </c>
      <c r="C18" s="247">
        <f>(17.5*KFC!$B$36*1.02+KFC!$C$36)*KFC!$C$5</f>
        <v>17.850000000000001</v>
      </c>
      <c r="D18" s="194">
        <f>(19.8*KFC!$B$36*1.02+KFC!$C$36)*KFC!$C$5</f>
        <v>20.196000000000002</v>
      </c>
      <c r="E18" s="194">
        <f>(22.1*KFC!$B$36*1.02+KFC!$C$36)*KFC!$C$5</f>
        <v>22.542000000000002</v>
      </c>
      <c r="F18" s="194">
        <f>(24.6*KFC!$B$36*1.02+KFC!$C$36)*KFC!$C$5</f>
        <v>25.092000000000002</v>
      </c>
      <c r="G18" s="194">
        <f>(26.9*KFC!$B$36*1.02+KFC!$C$36)*KFC!$C$5</f>
        <v>27.437999999999999</v>
      </c>
      <c r="H18" s="194">
        <f>(29.2*KFC!$B$36*1.02+KFC!$C$36)*KFC!$C$5</f>
        <v>29.783999999999999</v>
      </c>
      <c r="I18" s="194">
        <f>(31.6*KFC!$B$36*1.02+KFC!$C$36)*KFC!$C$5</f>
        <v>32.231999999999999</v>
      </c>
      <c r="J18" s="194">
        <f>(33.9*KFC!$B$36*1.02+KFC!$C$36)*KFC!$C$5</f>
        <v>34.577999999999996</v>
      </c>
      <c r="K18" s="194">
        <f>(36.2*KFC!$B$36*1.02+KFC!$C$36)*KFC!$C$5</f>
        <v>36.924000000000007</v>
      </c>
      <c r="L18" s="194">
        <f>(38.6*KFC!$B$36*1.02+KFC!$C$36)*KFC!$C$5</f>
        <v>39.372</v>
      </c>
      <c r="M18" s="194">
        <f>(41*KFC!$B$36*1.02+KFC!$C$36)*KFC!$C$5</f>
        <v>41.82</v>
      </c>
      <c r="N18" s="194">
        <f>(43.3*KFC!$B$36*1.02+KFC!$C$36)*KFC!$C$5</f>
        <v>44.165999999999997</v>
      </c>
      <c r="O18" s="194">
        <f>(45.6*KFC!$B$36*1.02+KFC!$C$36)*KFC!$C$5</f>
        <v>46.512</v>
      </c>
      <c r="P18" s="194">
        <f>(47.9*KFC!$B$36*1.02+KFC!$C$36)*KFC!$C$5</f>
        <v>48.857999999999997</v>
      </c>
      <c r="Q18" s="194">
        <f>(50.3*KFC!$B$36*1.02+KFC!$C$36)*KFC!$C$5</f>
        <v>51.305999999999997</v>
      </c>
      <c r="R18" s="194">
        <f>(52.6*KFC!$B$36*1.02+KFC!$C$36)*KFC!$C$5</f>
        <v>53.652000000000001</v>
      </c>
      <c r="S18" s="194">
        <f>(55*KFC!$B$36*1.02+KFC!$C$36)*KFC!$C$5</f>
        <v>56.1</v>
      </c>
      <c r="T18" s="194">
        <f>(57.4*KFC!$B$36*1.02+KFC!$C$36)*KFC!$C$5</f>
        <v>58.548000000000002</v>
      </c>
      <c r="U18" s="194">
        <f>(59.7*KFC!$B$36*1.02+KFC!$C$36)*KFC!$C$5</f>
        <v>60.894000000000005</v>
      </c>
      <c r="V18" s="194">
        <f>(62*KFC!$B$36*1.02+KFC!$C$36)*KFC!$C$5</f>
        <v>63.24</v>
      </c>
      <c r="W18" s="194">
        <f>(64.3*KFC!$B$36*1.02+KFC!$C$36)*KFC!$C$5</f>
        <v>65.585999999999999</v>
      </c>
      <c r="X18" s="194">
        <f>(66.7*KFC!$B$36*1.02+KFC!$C$36)*KFC!$C$5</f>
        <v>68.034000000000006</v>
      </c>
      <c r="Y18" s="194">
        <f>(69.1*KFC!$B$36*1.02+KFC!$C$36)*KFC!$C$5</f>
        <v>70.481999999999999</v>
      </c>
      <c r="Z18" s="194">
        <f>(71.4*KFC!$B$36*1.02+KFC!$C$36)*KFC!$C$5</f>
        <v>72.828000000000003</v>
      </c>
      <c r="AA18" s="195">
        <f>(73.7*KFC!$B$36*1.02+KFC!$C$36)*KFC!$C$5</f>
        <v>75.174000000000007</v>
      </c>
    </row>
    <row r="19" spans="1:27">
      <c r="A19" s="1781"/>
      <c r="B19" s="224">
        <v>1.9</v>
      </c>
      <c r="C19" s="247">
        <f>(18.1*KFC!$B$36*1.02+KFC!$C$36)*KFC!$C$5</f>
        <v>18.462000000000003</v>
      </c>
      <c r="D19" s="194">
        <f>(20.5*KFC!$B$36*1.02+KFC!$C$36)*KFC!$C$5</f>
        <v>20.91</v>
      </c>
      <c r="E19" s="194">
        <f>(23*KFC!$B$36*1.02+KFC!$C$36)*KFC!$C$5</f>
        <v>23.46</v>
      </c>
      <c r="F19" s="194">
        <f>(25.4*KFC!$B$36*1.02+KFC!$C$36)*KFC!$C$5</f>
        <v>25.907999999999998</v>
      </c>
      <c r="G19" s="194">
        <f>(27.9*KFC!$B$36*1.02+KFC!$C$36)*KFC!$C$5</f>
        <v>28.457999999999998</v>
      </c>
      <c r="H19" s="194">
        <f>(30.3*KFC!$B$36*1.02+KFC!$C$36)*KFC!$C$5</f>
        <v>30.906000000000002</v>
      </c>
      <c r="I19" s="194">
        <f>(32.9*KFC!$B$36*1.02+KFC!$C$36)*KFC!$C$5</f>
        <v>33.558</v>
      </c>
      <c r="J19" s="194">
        <f>(35.3*KFC!$B$36*1.02+KFC!$C$36)*KFC!$C$5</f>
        <v>36.006</v>
      </c>
      <c r="K19" s="194">
        <f>(37.8*KFC!$B$36*1.02+KFC!$C$36)*KFC!$C$5</f>
        <v>38.555999999999997</v>
      </c>
      <c r="L19" s="194">
        <f>(40.2*KFC!$B$36*1.02+KFC!$C$36)*KFC!$C$5</f>
        <v>41.004000000000005</v>
      </c>
      <c r="M19" s="194">
        <f>(42.7*KFC!$B$36*1.02+KFC!$C$36)*KFC!$C$5</f>
        <v>43.554000000000002</v>
      </c>
      <c r="N19" s="194">
        <f>(45.1*KFC!$B$36*1.02+KFC!$C$36)*KFC!$C$5</f>
        <v>46.002000000000002</v>
      </c>
      <c r="O19" s="194">
        <f>(47.6*KFC!$B$36*1.02+KFC!$C$36)*KFC!$C$5</f>
        <v>48.552</v>
      </c>
      <c r="P19" s="194">
        <f>(50*KFC!$B$36*1.02+KFC!$C$36)*KFC!$C$5</f>
        <v>51</v>
      </c>
      <c r="Q19" s="194">
        <f>(52.5*KFC!$B$36*1.02+KFC!$C$36)*KFC!$C$5</f>
        <v>53.550000000000004</v>
      </c>
      <c r="R19" s="194">
        <f>(54.9*KFC!$B$36*1.02+KFC!$C$36)*KFC!$C$5</f>
        <v>55.997999999999998</v>
      </c>
      <c r="S19" s="194">
        <f>(57.4*KFC!$B$36*1.02+KFC!$C$36)*KFC!$C$5</f>
        <v>58.548000000000002</v>
      </c>
      <c r="T19" s="194">
        <f>(59.8*KFC!$B$36*1.02+KFC!$C$36)*KFC!$C$5</f>
        <v>60.995999999999995</v>
      </c>
      <c r="U19" s="194">
        <f>(62.4*KFC!$B$36*1.02+KFC!$C$36)*KFC!$C$5</f>
        <v>63.647999999999996</v>
      </c>
      <c r="V19" s="194">
        <f>(64.8*KFC!$B$36*1.02+KFC!$C$36)*KFC!$C$5</f>
        <v>66.096000000000004</v>
      </c>
      <c r="W19" s="194">
        <f>(67.3*KFC!$B$36*1.02+KFC!$C$36)*KFC!$C$5</f>
        <v>68.646000000000001</v>
      </c>
      <c r="X19" s="194">
        <f>(69.7*KFC!$B$36*1.02+KFC!$C$36)*KFC!$C$5</f>
        <v>71.094000000000008</v>
      </c>
      <c r="Y19" s="194">
        <f>(72.2*KFC!$B$36*1.02+KFC!$C$36)*KFC!$C$5</f>
        <v>73.644000000000005</v>
      </c>
      <c r="Z19" s="194">
        <f>(74.6*KFC!$B$36*1.02+KFC!$C$36)*KFC!$C$5</f>
        <v>76.091999999999999</v>
      </c>
      <c r="AA19" s="195">
        <f>(77*KFC!$B$36*1.02+KFC!$C$36)*KFC!$C$5</f>
        <v>78.540000000000006</v>
      </c>
    </row>
    <row r="20" spans="1:27">
      <c r="A20" s="1781"/>
      <c r="B20" s="224">
        <v>2</v>
      </c>
      <c r="C20" s="247">
        <f>(18.7*KFC!$B$36*1.02+KFC!$C$36)*KFC!$C$5</f>
        <v>19.073999999999998</v>
      </c>
      <c r="D20" s="194">
        <f>(21.3*KFC!$B$36*1.02+KFC!$C$36)*KFC!$C$5</f>
        <v>21.726000000000003</v>
      </c>
      <c r="E20" s="194">
        <f>(23.8*KFC!$B$36*1.02+KFC!$C$36)*KFC!$C$5</f>
        <v>24.276</v>
      </c>
      <c r="F20" s="194">
        <f>(26.4*KFC!$B$36*1.02+KFC!$C$36)*KFC!$C$5</f>
        <v>26.927999999999997</v>
      </c>
      <c r="G20" s="194">
        <f>(29*KFC!$B$36*1.02+KFC!$C$36)*KFC!$C$5</f>
        <v>29.580000000000002</v>
      </c>
      <c r="H20" s="194">
        <f>(31.6*KFC!$B$36*1.02+KFC!$C$36)*KFC!$C$5</f>
        <v>32.231999999999999</v>
      </c>
      <c r="I20" s="194">
        <f>(34.1*KFC!$B$36*1.02+KFC!$C$36)*KFC!$C$5</f>
        <v>34.782000000000004</v>
      </c>
      <c r="J20" s="194">
        <f>(36.7*KFC!$B$36*1.02+KFC!$C$36)*KFC!$C$5</f>
        <v>37.434000000000005</v>
      </c>
      <c r="K20" s="194">
        <f>(39.3*KFC!$B$36*1.02+KFC!$C$36)*KFC!$C$5</f>
        <v>40.085999999999999</v>
      </c>
      <c r="L20" s="194">
        <f>(41.8*KFC!$B$36*1.02+KFC!$C$36)*KFC!$C$5</f>
        <v>42.635999999999996</v>
      </c>
      <c r="M20" s="194">
        <f>(44.4*KFC!$B$36*1.02+KFC!$C$36)*KFC!$C$5</f>
        <v>45.287999999999997</v>
      </c>
      <c r="N20" s="194">
        <f>(47*KFC!$B$36*1.02+KFC!$C$36)*KFC!$C$5</f>
        <v>47.94</v>
      </c>
      <c r="O20" s="194">
        <f>(49.5*KFC!$B$36*1.02+KFC!$C$36)*KFC!$C$5</f>
        <v>50.49</v>
      </c>
      <c r="P20" s="194">
        <f>(52.1*KFC!$B$36*1.02+KFC!$C$36)*KFC!$C$5</f>
        <v>53.142000000000003</v>
      </c>
      <c r="Q20" s="194">
        <f>(54.7*KFC!$B$36*1.02+KFC!$C$36)*KFC!$C$5</f>
        <v>55.794000000000004</v>
      </c>
      <c r="R20" s="194">
        <f>(57.2*KFC!$B$36*1.02+KFC!$C$36)*KFC!$C$5</f>
        <v>58.344000000000001</v>
      </c>
      <c r="S20" s="194">
        <f>(59.8*KFC!$B$36*1.02+KFC!$C$36)*KFC!$C$5</f>
        <v>60.995999999999995</v>
      </c>
      <c r="T20" s="194">
        <f>(62.4*KFC!$B$36*1.02+KFC!$C$36)*KFC!$C$5</f>
        <v>63.647999999999996</v>
      </c>
      <c r="U20" s="194">
        <f>(64.9*KFC!$B$36*1.02+KFC!$C$36)*KFC!$C$5</f>
        <v>66.198000000000008</v>
      </c>
      <c r="V20" s="194">
        <f>(67.5*KFC!$B$36*1.02+KFC!$C$36)*KFC!$C$5</f>
        <v>68.849999999999994</v>
      </c>
      <c r="W20" s="194">
        <f>(70.1*KFC!$B$36*1.02+KFC!$C$36)*KFC!$C$5</f>
        <v>71.501999999999995</v>
      </c>
      <c r="X20" s="194">
        <f>(72.6*KFC!$B$36*1.02+KFC!$C$36)*KFC!$C$5</f>
        <v>74.051999999999992</v>
      </c>
      <c r="Y20" s="194">
        <f>(75.2*KFC!$B$36*1.02+KFC!$C$36)*KFC!$C$5</f>
        <v>76.704000000000008</v>
      </c>
      <c r="Z20" s="194">
        <f>(77.8*KFC!$B$36*1.02+KFC!$C$36)*KFC!$C$5</f>
        <v>79.355999999999995</v>
      </c>
      <c r="AA20" s="195">
        <f>(80.4*KFC!$B$36*1.02+KFC!$C$36)*KFC!$C$5</f>
        <v>82.00800000000001</v>
      </c>
    </row>
    <row r="21" spans="1:27">
      <c r="A21" s="1781"/>
      <c r="B21" s="224">
        <v>2.1</v>
      </c>
      <c r="C21" s="247">
        <f>(19.3*KFC!$B$36*1.02+KFC!$C$36)*KFC!$C$5</f>
        <v>19.686</v>
      </c>
      <c r="D21" s="194">
        <f>(22*KFC!$B$36*1.02+KFC!$C$36)*KFC!$C$5</f>
        <v>22.44</v>
      </c>
      <c r="E21" s="194">
        <f>(24.7*KFC!$B$36*1.02+KFC!$C$36)*KFC!$C$5</f>
        <v>25.193999999999999</v>
      </c>
      <c r="F21" s="194">
        <f>(27.4*KFC!$B$36*1.02+KFC!$C$36)*KFC!$C$5</f>
        <v>27.948</v>
      </c>
      <c r="G21" s="194">
        <f>(30*KFC!$B$36*1.02+KFC!$C$36)*KFC!$C$5</f>
        <v>30.6</v>
      </c>
      <c r="H21" s="194">
        <f>(32.7*KFC!$B$36*1.02+KFC!$C$36)*KFC!$C$5</f>
        <v>33.354000000000006</v>
      </c>
      <c r="I21" s="194">
        <f>(35.3*KFC!$B$36*1.02+KFC!$C$36)*KFC!$C$5</f>
        <v>36.006</v>
      </c>
      <c r="J21" s="194">
        <f>(38*KFC!$B$36*1.02+KFC!$C$36)*KFC!$C$5</f>
        <v>38.76</v>
      </c>
      <c r="K21" s="194">
        <f>(40.7*KFC!$B$36*1.02+KFC!$C$36)*KFC!$C$5</f>
        <v>41.514000000000003</v>
      </c>
      <c r="L21" s="194">
        <f>(43.4*KFC!$B$36*1.02+KFC!$C$36)*KFC!$C$5</f>
        <v>44.268000000000001</v>
      </c>
      <c r="M21" s="194">
        <f>(46.1*KFC!$B$36*1.02+KFC!$C$36)*KFC!$C$5</f>
        <v>47.022000000000006</v>
      </c>
      <c r="N21" s="194">
        <f>(48.8*KFC!$B$36*1.02+KFC!$C$36)*KFC!$C$5</f>
        <v>49.775999999999996</v>
      </c>
      <c r="O21" s="194">
        <f>(51.5*KFC!$B$36*1.02+KFC!$C$36)*KFC!$C$5</f>
        <v>52.53</v>
      </c>
      <c r="P21" s="194">
        <f>(54.2*KFC!$B$36*1.02+KFC!$C$36)*KFC!$C$5</f>
        <v>55.284000000000006</v>
      </c>
      <c r="Q21" s="194">
        <f>(56.9*KFC!$B$36*1.02+KFC!$C$36)*KFC!$C$5</f>
        <v>58.037999999999997</v>
      </c>
      <c r="R21" s="194">
        <f>(59.6*KFC!$B$36*1.02+KFC!$C$36)*KFC!$C$5</f>
        <v>60.792000000000002</v>
      </c>
      <c r="S21" s="194">
        <f>(62.3*KFC!$B$36*1.02+KFC!$C$36)*KFC!$C$5</f>
        <v>63.545999999999999</v>
      </c>
      <c r="T21" s="194">
        <f>(64.9*KFC!$B$36*1.02+KFC!$C$36)*KFC!$C$5</f>
        <v>66.198000000000008</v>
      </c>
      <c r="U21" s="194">
        <f>(67.6*KFC!$B$36*1.02+KFC!$C$36)*KFC!$C$5</f>
        <v>68.951999999999998</v>
      </c>
      <c r="V21" s="194">
        <f>(70.3*KFC!$B$36*1.02+KFC!$C$36)*KFC!$C$5</f>
        <v>71.706000000000003</v>
      </c>
      <c r="W21" s="194">
        <f>(73*KFC!$B$36*1.02+KFC!$C$36)*KFC!$C$5</f>
        <v>74.460000000000008</v>
      </c>
      <c r="X21" s="194">
        <f>(75.6*KFC!$B$36*1.02+KFC!$C$36)*KFC!$C$5</f>
        <v>77.111999999999995</v>
      </c>
      <c r="Y21" s="194">
        <f>(78.3*KFC!$B$36*1.02+KFC!$C$36)*KFC!$C$5</f>
        <v>79.866</v>
      </c>
      <c r="Z21" s="194">
        <f>(81*KFC!$B$36*1.02+KFC!$C$36)*KFC!$C$5</f>
        <v>82.62</v>
      </c>
      <c r="AA21" s="195">
        <f>(83.7*KFC!$B$36*1.02+KFC!$C$36)*KFC!$C$5</f>
        <v>85.374000000000009</v>
      </c>
    </row>
    <row r="22" spans="1:27">
      <c r="A22" s="1781"/>
      <c r="B22" s="224">
        <v>2.2000000000000002</v>
      </c>
      <c r="C22" s="247">
        <f>(19.9*KFC!$B$36*1.02+KFC!$C$36)*KFC!$C$5</f>
        <v>20.297999999999998</v>
      </c>
      <c r="D22" s="194">
        <f>(22.6*KFC!$B$36*1.02+KFC!$C$36)*KFC!$C$5</f>
        <v>23.052000000000003</v>
      </c>
      <c r="E22" s="194">
        <f>(25.4*KFC!$B$36*1.02+KFC!$C$36)*KFC!$C$5</f>
        <v>25.907999999999998</v>
      </c>
      <c r="F22" s="194">
        <f>(28.3*KFC!$B$36*1.02+KFC!$C$36)*KFC!$C$5</f>
        <v>28.866</v>
      </c>
      <c r="G22" s="194">
        <f>(31.1*KFC!$B$36*1.02+KFC!$C$36)*KFC!$C$5</f>
        <v>31.722000000000001</v>
      </c>
      <c r="H22" s="194">
        <f>(33.9*KFC!$B$36*1.02+KFC!$C$36)*KFC!$C$5</f>
        <v>34.577999999999996</v>
      </c>
      <c r="I22" s="194">
        <f>(36.7*KFC!$B$36*1.02+KFC!$C$36)*KFC!$C$5</f>
        <v>37.434000000000005</v>
      </c>
      <c r="J22" s="194">
        <f>(39.5*KFC!$B$36*1.02+KFC!$C$36)*KFC!$C$5</f>
        <v>40.29</v>
      </c>
      <c r="K22" s="194">
        <f>(42.3*KFC!$B$36*1.02+KFC!$C$36)*KFC!$C$5</f>
        <v>43.146000000000001</v>
      </c>
      <c r="L22" s="194">
        <f>(45*KFC!$B$36*1.02+KFC!$C$36)*KFC!$C$5</f>
        <v>45.9</v>
      </c>
      <c r="M22" s="194">
        <f>(47.8*KFC!$B$36*1.02+KFC!$C$36)*KFC!$C$5</f>
        <v>48.756</v>
      </c>
      <c r="N22" s="194">
        <f>(50.6*KFC!$B$36*1.02+KFC!$C$36)*KFC!$C$5</f>
        <v>51.612000000000002</v>
      </c>
      <c r="O22" s="194">
        <f>(53.4*KFC!$B$36*1.02+KFC!$C$36)*KFC!$C$5</f>
        <v>54.467999999999996</v>
      </c>
      <c r="P22" s="194">
        <f>(56.3*KFC!$B$36*1.02+KFC!$C$36)*KFC!$C$5</f>
        <v>57.425999999999995</v>
      </c>
      <c r="Q22" s="194">
        <f>(59.1*KFC!$B$36*1.02+KFC!$C$36)*KFC!$C$5</f>
        <v>60.282000000000004</v>
      </c>
      <c r="R22" s="194">
        <f>(61.9*KFC!$B$36*1.02+KFC!$C$36)*KFC!$C$5</f>
        <v>63.137999999999998</v>
      </c>
      <c r="S22" s="194">
        <f>(64.6*KFC!$B$36*1.02+KFC!$C$36)*KFC!$C$5</f>
        <v>65.891999999999996</v>
      </c>
      <c r="T22" s="194">
        <f>(67.4*KFC!$B$36*1.02+KFC!$C$36)*KFC!$C$5</f>
        <v>68.748000000000005</v>
      </c>
      <c r="U22" s="194">
        <f>(70.2*KFC!$B$36*1.02+KFC!$C$36)*KFC!$C$5</f>
        <v>71.603999999999999</v>
      </c>
      <c r="V22" s="194">
        <f>(73*KFC!$B$36*1.02+KFC!$C$36)*KFC!$C$5</f>
        <v>74.460000000000008</v>
      </c>
      <c r="W22" s="194">
        <f>(75.8*KFC!$B$36*1.02+KFC!$C$36)*KFC!$C$5</f>
        <v>77.316000000000003</v>
      </c>
      <c r="X22" s="194">
        <f>(78.6*KFC!$B$36*1.02+KFC!$C$36)*KFC!$C$5</f>
        <v>80.171999999999997</v>
      </c>
      <c r="Y22" s="194">
        <f>(81.5*KFC!$B$36*1.02+KFC!$C$36)*KFC!$C$5</f>
        <v>83.13</v>
      </c>
      <c r="Z22" s="194">
        <f>(84.3*KFC!$B$36*1.02+KFC!$C$36)*KFC!$C$5</f>
        <v>85.986000000000004</v>
      </c>
      <c r="AA22" s="195">
        <f>(87*KFC!$B$36*1.02+KFC!$C$36)*KFC!$C$5</f>
        <v>88.74</v>
      </c>
    </row>
    <row r="23" spans="1:27">
      <c r="A23" s="1781"/>
      <c r="B23" s="224">
        <v>2.2999999999999998</v>
      </c>
      <c r="C23" s="247">
        <f>(20.4*KFC!$B$36*1.02+KFC!$C$36)*KFC!$C$5</f>
        <v>20.808</v>
      </c>
      <c r="D23" s="194">
        <f>(23.4*KFC!$B$36*1.02+KFC!$C$36)*KFC!$C$5</f>
        <v>23.867999999999999</v>
      </c>
      <c r="E23" s="194">
        <f>(26.3*KFC!$B$36*1.02+KFC!$C$36)*KFC!$C$5</f>
        <v>26.826000000000001</v>
      </c>
      <c r="F23" s="194">
        <f>(29.2*KFC!$B$36*1.02+KFC!$C$36)*KFC!$C$5</f>
        <v>29.783999999999999</v>
      </c>
      <c r="G23" s="194">
        <f>(32.2*KFC!$B$36*1.02+KFC!$C$36)*KFC!$C$5</f>
        <v>32.844000000000001</v>
      </c>
      <c r="H23" s="194">
        <f>(35*KFC!$B$36*1.02+KFC!$C$36)*KFC!$C$5</f>
        <v>35.700000000000003</v>
      </c>
      <c r="I23" s="194">
        <f>(37.9*KFC!$B$36*1.02+KFC!$C$36)*KFC!$C$5</f>
        <v>38.658000000000001</v>
      </c>
      <c r="J23" s="194">
        <f>(40.8*KFC!$B$36*1.02+KFC!$C$36)*KFC!$C$5</f>
        <v>41.616</v>
      </c>
      <c r="K23" s="194">
        <f>(43.8*KFC!$B$36*1.02+KFC!$C$36)*KFC!$C$5</f>
        <v>44.675999999999995</v>
      </c>
      <c r="L23" s="194">
        <f>(46.7*KFC!$B$36*1.02+KFC!$C$36)*KFC!$C$5</f>
        <v>47.634</v>
      </c>
      <c r="M23" s="194">
        <f>(49.5*KFC!$B$36*1.02+KFC!$C$36)*KFC!$C$5</f>
        <v>50.49</v>
      </c>
      <c r="N23" s="194">
        <f>(52.5*KFC!$B$36*1.02+KFC!$C$36)*KFC!$C$5</f>
        <v>53.550000000000004</v>
      </c>
      <c r="O23" s="194">
        <f>(55.4*KFC!$B$36*1.02+KFC!$C$36)*KFC!$C$5</f>
        <v>56.508000000000003</v>
      </c>
      <c r="P23" s="194">
        <f>(58.3*KFC!$B$36*1.02+KFC!$C$36)*KFC!$C$5</f>
        <v>59.466000000000001</v>
      </c>
      <c r="Q23" s="194">
        <f>(61.3*KFC!$B$36*1.02+KFC!$C$36)*KFC!$C$5</f>
        <v>62.525999999999996</v>
      </c>
      <c r="R23" s="194">
        <f>(64.1*KFC!$B$36*1.02+KFC!$C$36)*KFC!$C$5</f>
        <v>65.381999999999991</v>
      </c>
      <c r="S23" s="194">
        <f>(67*KFC!$B$36*1.02+KFC!$C$36)*KFC!$C$5</f>
        <v>68.34</v>
      </c>
      <c r="T23" s="194">
        <f>(70*KFC!$B$36*1.02+KFC!$C$36)*KFC!$C$5</f>
        <v>71.400000000000006</v>
      </c>
      <c r="U23" s="194">
        <f>(72.9*KFC!$B$36*1.02+KFC!$C$36)*KFC!$C$5</f>
        <v>74.358000000000004</v>
      </c>
      <c r="V23" s="194">
        <f>(75.8*KFC!$B$36*1.02+KFC!$C$36)*KFC!$C$5</f>
        <v>77.316000000000003</v>
      </c>
      <c r="W23" s="194">
        <f>(78.6*KFC!$B$36*1.02+KFC!$C$36)*KFC!$C$5</f>
        <v>80.171999999999997</v>
      </c>
      <c r="X23" s="194">
        <f>(81.6*KFC!$B$36*1.02+KFC!$C$36)*KFC!$C$5</f>
        <v>83.231999999999999</v>
      </c>
      <c r="Y23" s="194">
        <f>(84.5*KFC!$B$36*1.02+KFC!$C$36)*KFC!$C$5</f>
        <v>86.19</v>
      </c>
      <c r="Z23" s="194">
        <f>(87.4*KFC!$B$36*1.02+KFC!$C$36)*KFC!$C$5</f>
        <v>89.14800000000001</v>
      </c>
      <c r="AA23" s="195">
        <f>(90.4*KFC!$B$36*1.02+KFC!$C$36)*KFC!$C$5</f>
        <v>92.208000000000013</v>
      </c>
    </row>
    <row r="24" spans="1:27">
      <c r="A24" s="1781"/>
      <c r="B24" s="224">
        <v>2.4</v>
      </c>
      <c r="C24" s="247">
        <f>(21*KFC!$B$36*1.02+KFC!$C$36)*KFC!$C$5</f>
        <v>21.42</v>
      </c>
      <c r="D24" s="194">
        <f>(24.1*KFC!$B$36*1.02+KFC!$C$36)*KFC!$C$5</f>
        <v>24.582000000000001</v>
      </c>
      <c r="E24" s="194">
        <f>(27.2*KFC!$B$36*1.02+KFC!$C$36)*KFC!$C$5</f>
        <v>27.744</v>
      </c>
      <c r="F24" s="194">
        <f>(30.1*KFC!$B$36*1.02+KFC!$C$36)*KFC!$C$5</f>
        <v>30.702000000000002</v>
      </c>
      <c r="G24" s="194">
        <f>(33.1*KFC!$B$36*1.02+KFC!$C$36)*KFC!$C$5</f>
        <v>33.762</v>
      </c>
      <c r="H24" s="194">
        <f>(36.2*KFC!$B$36*1.02+KFC!$C$36)*KFC!$C$5</f>
        <v>36.924000000000007</v>
      </c>
      <c r="I24" s="194">
        <f>(39.3*KFC!$B$36*1.02+KFC!$C$36)*KFC!$C$5</f>
        <v>40.085999999999999</v>
      </c>
      <c r="J24" s="194">
        <f>(42.2*KFC!$B$36*1.02+KFC!$C$36)*KFC!$C$5</f>
        <v>43.044000000000004</v>
      </c>
      <c r="K24" s="194">
        <f>(45.3*KFC!$B$36*1.02+KFC!$C$36)*KFC!$C$5</f>
        <v>46.205999999999996</v>
      </c>
      <c r="L24" s="194">
        <f>(48.3*KFC!$B$36*1.02+KFC!$C$36)*KFC!$C$5</f>
        <v>49.265999999999998</v>
      </c>
      <c r="M24" s="194">
        <f>(51.4*KFC!$B$36*1.02+KFC!$C$36)*KFC!$C$5</f>
        <v>52.427999999999997</v>
      </c>
      <c r="N24" s="194">
        <f>(54.3*KFC!$B$36*1.02+KFC!$C$36)*KFC!$C$5</f>
        <v>55.385999999999996</v>
      </c>
      <c r="O24" s="194">
        <f>(57.4*KFC!$B$36*1.02+KFC!$C$36)*KFC!$C$5</f>
        <v>58.548000000000002</v>
      </c>
      <c r="P24" s="194">
        <f>(60.4*KFC!$B$36*1.02+KFC!$C$36)*KFC!$C$5</f>
        <v>61.607999999999997</v>
      </c>
      <c r="Q24" s="194">
        <f>(63.4*KFC!$B$36*1.02+KFC!$C$36)*KFC!$C$5</f>
        <v>64.668000000000006</v>
      </c>
      <c r="R24" s="194">
        <f>(66.4*KFC!$B$36*1.02+KFC!$C$36)*KFC!$C$5</f>
        <v>67.728000000000009</v>
      </c>
      <c r="S24" s="194">
        <f>(69.5*KFC!$B$36*1.02+KFC!$C$36)*KFC!$C$5</f>
        <v>70.89</v>
      </c>
      <c r="T24" s="194">
        <f>(72.5*KFC!$B$36*1.02+KFC!$C$36)*KFC!$C$5</f>
        <v>73.95</v>
      </c>
      <c r="U24" s="194">
        <f>(75.5*KFC!$B$36*1.02+KFC!$C$36)*KFC!$C$5</f>
        <v>77.010000000000005</v>
      </c>
      <c r="V24" s="194">
        <f>(78.5*KFC!$B$36*1.02+KFC!$C$36)*KFC!$C$5</f>
        <v>80.070000000000007</v>
      </c>
      <c r="W24" s="194">
        <f>(81.6*KFC!$B$36*1.02+KFC!$C$36)*KFC!$C$5</f>
        <v>83.231999999999999</v>
      </c>
      <c r="X24" s="194">
        <f>(84.6*KFC!$B$36*1.02+KFC!$C$36)*KFC!$C$5</f>
        <v>86.292000000000002</v>
      </c>
      <c r="Y24" s="194">
        <f>(87.6*KFC!$B$36*1.02+KFC!$C$36)*KFC!$C$5</f>
        <v>89.35199999999999</v>
      </c>
      <c r="Z24" s="194">
        <f>(90.6*KFC!$B$36*1.02+KFC!$C$36)*KFC!$C$5</f>
        <v>92.411999999999992</v>
      </c>
      <c r="AA24" s="195">
        <f>(93.7*KFC!$B$36*1.02+KFC!$C$36)*KFC!$C$5</f>
        <v>95.573999999999998</v>
      </c>
    </row>
    <row r="25" spans="1:27">
      <c r="A25" s="1781"/>
      <c r="B25" s="224">
        <v>2.5</v>
      </c>
      <c r="C25" s="247">
        <f>(21.6*KFC!$B$36*1.02+KFC!$C$36)*KFC!$C$5</f>
        <v>22.032000000000004</v>
      </c>
      <c r="D25" s="194">
        <f>(24.8*KFC!$B$36*1.02+KFC!$C$36)*KFC!$C$5</f>
        <v>25.296000000000003</v>
      </c>
      <c r="E25" s="194">
        <f>(27.9*KFC!$B$36*1.02+KFC!$C$36)*KFC!$C$5</f>
        <v>28.457999999999998</v>
      </c>
      <c r="F25" s="194">
        <f>(31.1*KFC!$B$36*1.02+KFC!$C$36)*KFC!$C$5</f>
        <v>31.722000000000001</v>
      </c>
      <c r="G25" s="194">
        <f>(34.2*KFC!$B$36*1.02+KFC!$C$36)*KFC!$C$5</f>
        <v>34.884</v>
      </c>
      <c r="H25" s="194">
        <f>(37.3*KFC!$B$36*1.02+KFC!$C$36)*KFC!$C$5</f>
        <v>38.045999999999999</v>
      </c>
      <c r="I25" s="194">
        <f>(40.5*KFC!$B$36*1.02+KFC!$C$36)*KFC!$C$5</f>
        <v>41.31</v>
      </c>
      <c r="J25" s="194">
        <f>(43.7*KFC!$B$36*1.02+KFC!$C$36)*KFC!$C$5</f>
        <v>44.574000000000005</v>
      </c>
      <c r="K25" s="194">
        <f>(46.7*KFC!$B$36*1.02+KFC!$C$36)*KFC!$C$5</f>
        <v>47.634</v>
      </c>
      <c r="L25" s="194">
        <f>(49.9*KFC!$B$36*1.02+KFC!$C$36)*KFC!$C$5</f>
        <v>50.897999999999996</v>
      </c>
      <c r="M25" s="194">
        <f>(53.1*KFC!$B$36*1.02+KFC!$C$36)*KFC!$C$5</f>
        <v>54.161999999999999</v>
      </c>
      <c r="N25" s="194">
        <f>(56.1*KFC!$B$36*1.02+KFC!$C$36)*KFC!$C$5</f>
        <v>57.222000000000001</v>
      </c>
      <c r="O25" s="194">
        <f>(59.3*KFC!$B$36*1.02+KFC!$C$36)*KFC!$C$5</f>
        <v>60.485999999999997</v>
      </c>
      <c r="P25" s="194">
        <f>(62.5*KFC!$B$36*1.02+KFC!$C$36)*KFC!$C$5</f>
        <v>63.75</v>
      </c>
      <c r="Q25" s="194">
        <f>(65.3*KFC!$B$36*1.02+KFC!$C$36)*KFC!$C$5</f>
        <v>66.605999999999995</v>
      </c>
      <c r="R25" s="194">
        <f>(68.7*KFC!$B$36*1.02+KFC!$C$36)*KFC!$C$5</f>
        <v>70.073999999999998</v>
      </c>
      <c r="S25" s="194">
        <f>(71.9*KFC!$B$36*1.02+KFC!$C$36)*KFC!$C$5</f>
        <v>73.338000000000008</v>
      </c>
      <c r="T25" s="194">
        <f>(75*KFC!$B$36*1.02+KFC!$C$36)*KFC!$C$5</f>
        <v>76.5</v>
      </c>
      <c r="U25" s="194">
        <f>(78.1*KFC!$B$36*1.02+KFC!$C$36)*KFC!$C$5</f>
        <v>79.661999999999992</v>
      </c>
      <c r="V25" s="194">
        <f>(81.3*KFC!$B$36*1.02+KFC!$C$36)*KFC!$C$5</f>
        <v>82.926000000000002</v>
      </c>
      <c r="W25" s="194">
        <f>(84.4*KFC!$B$36*1.02+KFC!$C$36)*KFC!$C$5</f>
        <v>86.088000000000008</v>
      </c>
      <c r="X25" s="194">
        <f>(87.6*KFC!$B$36*1.02+KFC!$C$36)*KFC!$C$5</f>
        <v>89.35199999999999</v>
      </c>
      <c r="Y25" s="194">
        <f>(90.7*KFC!$B$36*1.02+KFC!$C$36)*KFC!$C$5</f>
        <v>92.51400000000001</v>
      </c>
      <c r="Z25" s="194">
        <f>(93.8*KFC!$B$36*1.02+KFC!$C$36)*KFC!$C$5</f>
        <v>95.676000000000002</v>
      </c>
      <c r="AA25" s="195">
        <f>(97*KFC!$B$36*1.02+KFC!$C$36)*KFC!$C$5</f>
        <v>98.94</v>
      </c>
    </row>
    <row r="26" spans="1:27">
      <c r="A26" s="1781"/>
      <c r="B26" s="224">
        <v>2.6</v>
      </c>
      <c r="C26" s="247">
        <f>(22.3*KFC!$B$36*1.02+KFC!$C$36)*KFC!$C$5</f>
        <v>22.746000000000002</v>
      </c>
      <c r="D26" s="194">
        <f>(25.6*KFC!$B$36*1.02+KFC!$C$36)*KFC!$C$5</f>
        <v>26.112000000000002</v>
      </c>
      <c r="E26" s="194">
        <f>(28.7*KFC!$B$36*1.02+KFC!$C$36)*KFC!$C$5</f>
        <v>29.274000000000001</v>
      </c>
      <c r="F26" s="194">
        <f>(32*KFC!$B$36*1.02+KFC!$C$36)*KFC!$C$5</f>
        <v>32.64</v>
      </c>
      <c r="G26" s="194">
        <f>(35.2*KFC!$B$36*1.02+KFC!$C$36)*KFC!$C$5</f>
        <v>35.904000000000003</v>
      </c>
      <c r="H26" s="194">
        <f>(38.5*KFC!$B$36*1.02+KFC!$C$36)*KFC!$C$5</f>
        <v>39.270000000000003</v>
      </c>
      <c r="I26" s="194">
        <f>(41.8*KFC!$B$36*1.02+KFC!$C$36)*KFC!$C$5</f>
        <v>42.635999999999996</v>
      </c>
      <c r="J26" s="194">
        <f>(45*KFC!$B$36*1.02+KFC!$C$36)*KFC!$C$5</f>
        <v>45.9</v>
      </c>
      <c r="K26" s="194">
        <f>(48.3*KFC!$B$36*1.02+KFC!$C$36)*KFC!$C$5</f>
        <v>49.265999999999998</v>
      </c>
      <c r="L26" s="194">
        <f>(51.5*KFC!$B$36*1.02+KFC!$C$36)*KFC!$C$5</f>
        <v>52.53</v>
      </c>
      <c r="M26" s="194">
        <f>(54.8*KFC!$B$36*1.02+KFC!$C$36)*KFC!$C$5</f>
        <v>55.896000000000001</v>
      </c>
      <c r="N26" s="194">
        <f>(58*KFC!$B$36*1.02+KFC!$C$36)*KFC!$C$5</f>
        <v>59.160000000000004</v>
      </c>
      <c r="O26" s="194">
        <f>(61.3*KFC!$B$36*1.02+KFC!$C$36)*KFC!$C$5</f>
        <v>62.525999999999996</v>
      </c>
      <c r="P26" s="194">
        <f>(64.6*KFC!$B$36*1.02+KFC!$C$36)*KFC!$C$5</f>
        <v>65.891999999999996</v>
      </c>
      <c r="Q26" s="194">
        <f>(67.8*KFC!$B$36*1.02+KFC!$C$36)*KFC!$C$5</f>
        <v>69.155999999999992</v>
      </c>
      <c r="R26" s="194">
        <f>(71.1*KFC!$B$36*1.02+KFC!$C$36)*KFC!$C$5</f>
        <v>72.521999999999991</v>
      </c>
      <c r="S26" s="194">
        <f>(74.2*KFC!$B$36*1.02+KFC!$C$36)*KFC!$C$5</f>
        <v>75.683999999999997</v>
      </c>
      <c r="T26" s="194">
        <f>(77.5*KFC!$B$36*1.02+KFC!$C$36)*KFC!$C$5</f>
        <v>79.05</v>
      </c>
      <c r="U26" s="194">
        <f>(80.8*KFC!$B$36*1.02+KFC!$C$36)*KFC!$C$5</f>
        <v>82.415999999999997</v>
      </c>
      <c r="V26" s="194">
        <f>(84*KFC!$B$36*1.02+KFC!$C$36)*KFC!$C$5</f>
        <v>85.68</v>
      </c>
      <c r="W26" s="194">
        <f>(87.3*KFC!$B$36*1.02+KFC!$C$36)*KFC!$C$5</f>
        <v>89.045999999999992</v>
      </c>
      <c r="X26" s="194">
        <f>(90.5*KFC!$B$36*1.02+KFC!$C$36)*KFC!$C$5</f>
        <v>92.31</v>
      </c>
      <c r="Y26" s="194">
        <f>(93.8*KFC!$B$36*1.02+KFC!$C$36)*KFC!$C$5</f>
        <v>95.676000000000002</v>
      </c>
      <c r="Z26" s="194">
        <f>(97*KFC!$B$36*1.02+KFC!$C$36)*KFC!$C$5</f>
        <v>98.94</v>
      </c>
      <c r="AA26" s="195">
        <f>(100.3*KFC!$B$36*1.02+KFC!$C$36)*KFC!$C$5</f>
        <v>102.306</v>
      </c>
    </row>
    <row r="27" spans="1:27">
      <c r="A27" s="1781"/>
      <c r="B27" s="224">
        <v>2.7</v>
      </c>
      <c r="C27" s="247">
        <f>(22.9*KFC!$B$36*1.02+KFC!$C$36)*KFC!$C$5</f>
        <v>23.358000000000001</v>
      </c>
      <c r="D27" s="194">
        <f>(26.2*KFC!$B$36*1.02+KFC!$C$36)*KFC!$C$5</f>
        <v>26.724</v>
      </c>
      <c r="E27" s="194">
        <f>(29.6*KFC!$B$36*1.02+KFC!$C$36)*KFC!$C$5</f>
        <v>30.192000000000004</v>
      </c>
      <c r="F27" s="194">
        <f>(32.9*KFC!$B$36*1.02+KFC!$C$36)*KFC!$C$5</f>
        <v>33.558</v>
      </c>
      <c r="G27" s="194">
        <f>(36.3*KFC!$B$36*1.02+KFC!$C$36)*KFC!$C$5</f>
        <v>37.025999999999996</v>
      </c>
      <c r="H27" s="194">
        <f>(39.6*KFC!$B$36*1.02+KFC!$C$36)*KFC!$C$5</f>
        <v>40.392000000000003</v>
      </c>
      <c r="I27" s="194">
        <f>(43*KFC!$B$36*1.02+KFC!$C$36)*KFC!$C$5</f>
        <v>43.86</v>
      </c>
      <c r="J27" s="194">
        <f>(46.4*KFC!$B$36*1.02+KFC!$C$36)*KFC!$C$5</f>
        <v>47.327999999999996</v>
      </c>
      <c r="K27" s="194">
        <f>(49.8*KFC!$B$36*1.02+KFC!$C$36)*KFC!$C$5</f>
        <v>50.795999999999999</v>
      </c>
      <c r="L27" s="194">
        <f>(53.1*KFC!$B$36*1.02+KFC!$C$36)*KFC!$C$5</f>
        <v>54.161999999999999</v>
      </c>
      <c r="M27" s="194">
        <f>(56.5*KFC!$B$36*1.02+KFC!$C$36)*KFC!$C$5</f>
        <v>57.63</v>
      </c>
      <c r="N27" s="194">
        <f>(59.8*KFC!$B$36*1.02+KFC!$C$36)*KFC!$C$5</f>
        <v>60.995999999999995</v>
      </c>
      <c r="O27" s="194">
        <f>(63.2*KFC!$B$36*1.02+KFC!$C$36)*KFC!$C$5</f>
        <v>64.463999999999999</v>
      </c>
      <c r="P27" s="194">
        <f>(66.7*KFC!$B$36*1.02+KFC!$C$36)*KFC!$C$5</f>
        <v>68.034000000000006</v>
      </c>
      <c r="Q27" s="194">
        <f>(70*KFC!$B$36*1.02+KFC!$C$36)*KFC!$C$5</f>
        <v>71.400000000000006</v>
      </c>
      <c r="R27" s="194">
        <f>(73.4*KFC!$B$36*1.02+KFC!$C$36)*KFC!$C$5</f>
        <v>74.868000000000009</v>
      </c>
      <c r="S27" s="194">
        <f>(76.7*KFC!$B$36*1.02+KFC!$C$36)*KFC!$C$5</f>
        <v>78.234000000000009</v>
      </c>
      <c r="T27" s="194">
        <f>(80.1*KFC!$B$36*1.02+KFC!$C$36)*KFC!$C$5</f>
        <v>81.701999999999998</v>
      </c>
      <c r="U27" s="194">
        <f>(83.4*KFC!$B$36*1.02+KFC!$C$36)*KFC!$C$5</f>
        <v>85.068000000000012</v>
      </c>
      <c r="V27" s="194">
        <f>(86.8*KFC!$B$36*1.02+KFC!$C$36)*KFC!$C$5</f>
        <v>88.536000000000001</v>
      </c>
      <c r="W27" s="194">
        <f>(91*KFC!$B$36*1.02+KFC!$C$36)*KFC!$C$5</f>
        <v>92.820000000000007</v>
      </c>
      <c r="X27" s="194">
        <f>(93.6*KFC!$B$36*1.02+KFC!$C$36)*KFC!$C$5</f>
        <v>95.471999999999994</v>
      </c>
      <c r="Y27" s="194">
        <f>(96.9*KFC!$B$36*1.02+KFC!$C$36)*KFC!$C$5</f>
        <v>98.838000000000008</v>
      </c>
      <c r="Z27" s="194">
        <f>(100.3*KFC!$B$36*1.02+KFC!$C$36)*KFC!$C$5</f>
        <v>102.306</v>
      </c>
      <c r="AA27" s="195">
        <f>(103.6*KFC!$B$36*1.02+KFC!$C$36)*KFC!$C$5</f>
        <v>105.672</v>
      </c>
    </row>
    <row r="28" spans="1:27">
      <c r="A28" s="1781"/>
      <c r="B28" s="224">
        <v>2.8</v>
      </c>
      <c r="C28" s="247">
        <f>(23.5*KFC!$B$36*1.02+KFC!$C$36)*KFC!$C$5</f>
        <v>23.97</v>
      </c>
      <c r="D28" s="194">
        <f>(26.9*KFC!$B$36*1.02+KFC!$C$36)*KFC!$C$5</f>
        <v>27.437999999999999</v>
      </c>
      <c r="E28" s="194">
        <f>(30.5*KFC!$B$36*1.02+KFC!$C$36)*KFC!$C$5</f>
        <v>31.11</v>
      </c>
      <c r="F28" s="194">
        <f>(33.9*KFC!$B$36*1.02+KFC!$C$36)*KFC!$C$5</f>
        <v>34.577999999999996</v>
      </c>
      <c r="G28" s="194">
        <f>(37.3*KFC!$B$36*1.02+KFC!$C$36)*KFC!$C$5</f>
        <v>38.045999999999999</v>
      </c>
      <c r="H28" s="194">
        <f>(40.8*KFC!$B$36*1.02+KFC!$C$36)*KFC!$C$5</f>
        <v>41.616</v>
      </c>
      <c r="I28" s="194">
        <f>(44.3*KFC!$B$36*1.02+KFC!$C$36)*KFC!$C$5</f>
        <v>45.186</v>
      </c>
      <c r="J28" s="194">
        <f>(47.8*KFC!$B$36*1.02+KFC!$C$36)*KFC!$C$5</f>
        <v>48.756</v>
      </c>
      <c r="K28" s="194">
        <f>(51.2*KFC!$B$36*1.02+KFC!$C$36)*KFC!$C$5</f>
        <v>52.224000000000004</v>
      </c>
      <c r="L28" s="194">
        <f>(54.8*KFC!$B$36*1.02+KFC!$C$36)*KFC!$C$5</f>
        <v>55.896000000000001</v>
      </c>
      <c r="M28" s="194">
        <f>(58.2*KFC!$B$36*1.02+KFC!$C$36)*KFC!$C$5</f>
        <v>59.364000000000004</v>
      </c>
      <c r="N28" s="194">
        <f>(61.8*KFC!$B$36*1.02+KFC!$C$36)*KFC!$C$5</f>
        <v>63.036000000000001</v>
      </c>
      <c r="O28" s="194">
        <f>(65.2*KFC!$B$36*1.02+KFC!$C$36)*KFC!$C$5</f>
        <v>66.504000000000005</v>
      </c>
      <c r="P28" s="194">
        <f>(68.6*KFC!$B$36*1.02+KFC!$C$36)*KFC!$C$5</f>
        <v>69.971999999999994</v>
      </c>
      <c r="Q28" s="194">
        <f>(72.2*KFC!$B$36*1.02+KFC!$C$36)*KFC!$C$5</f>
        <v>73.644000000000005</v>
      </c>
      <c r="R28" s="194">
        <f>(75.6*KFC!$B$36*1.02+KFC!$C$36)*KFC!$C$5</f>
        <v>77.111999999999995</v>
      </c>
      <c r="S28" s="194">
        <f>(79.1*KFC!$B$36*1.02+KFC!$C$36)*KFC!$C$5</f>
        <v>80.682000000000002</v>
      </c>
      <c r="T28" s="194">
        <f>(82.6*KFC!$B$36*1.02+KFC!$C$36)*KFC!$C$5</f>
        <v>84.251999999999995</v>
      </c>
      <c r="U28" s="194">
        <f>(86.1*KFC!$B$36*1.02+KFC!$C$36)*KFC!$C$5</f>
        <v>87.822000000000003</v>
      </c>
      <c r="V28" s="194">
        <f>(89.5*KFC!$B$36*1.02+KFC!$C$36)*KFC!$C$5</f>
        <v>91.29</v>
      </c>
      <c r="W28" s="194">
        <f>(93.1*KFC!$B$36*1.02+KFC!$C$36)*KFC!$C$5</f>
        <v>94.961999999999989</v>
      </c>
      <c r="X28" s="194">
        <f>(96.5*KFC!$B$36*1.02+KFC!$C$36)*KFC!$C$5</f>
        <v>98.43</v>
      </c>
      <c r="Y28" s="194">
        <f>(99.9*KFC!$B$36*1.02+KFC!$C$36)*KFC!$C$5</f>
        <v>101.89800000000001</v>
      </c>
      <c r="Z28" s="194">
        <f>(103.5*KFC!$B$36*1.02+KFC!$C$36)*KFC!$C$5</f>
        <v>105.57000000000001</v>
      </c>
      <c r="AA28" s="195">
        <f>(106.9*KFC!$B$36*1.02+KFC!$C$36)*KFC!$C$5</f>
        <v>109.03800000000001</v>
      </c>
    </row>
    <row r="29" spans="1:27">
      <c r="A29" s="1781"/>
      <c r="B29" s="224">
        <v>2.9</v>
      </c>
      <c r="C29" s="247">
        <f>(24.1*KFC!$B$36*1.02+KFC!$C$36)*KFC!$C$5</f>
        <v>24.582000000000001</v>
      </c>
      <c r="D29" s="194">
        <f>(27.9*KFC!$B$36*1.02+KFC!$C$36)*KFC!$C$5</f>
        <v>28.457999999999998</v>
      </c>
      <c r="E29" s="194">
        <f>(31.2*KFC!$B$36*1.02+KFC!$C$36)*KFC!$C$5</f>
        <v>31.823999999999998</v>
      </c>
      <c r="F29" s="194">
        <f>(34.9*KFC!$B$36*1.02+KFC!$C$36)*KFC!$C$5</f>
        <v>35.597999999999999</v>
      </c>
      <c r="G29" s="194">
        <f>(38.4*KFC!$B$36*1.02+KFC!$C$36)*KFC!$C$5</f>
        <v>39.167999999999999</v>
      </c>
      <c r="H29" s="194">
        <f>(41.9*KFC!$B$36*1.02+KFC!$C$36)*KFC!$C$5</f>
        <v>42.738</v>
      </c>
      <c r="I29" s="194">
        <f>(45.6*KFC!$B$36*1.02+KFC!$C$36)*KFC!$C$5</f>
        <v>46.512</v>
      </c>
      <c r="J29" s="194">
        <f>(49.2*KFC!$B$36*1.02+KFC!$C$36)*KFC!$C$5</f>
        <v>50.184000000000005</v>
      </c>
      <c r="K29" s="194">
        <f>(52.8*KFC!$B$36*1.02+KFC!$C$36)*KFC!$C$5</f>
        <v>53.855999999999995</v>
      </c>
      <c r="L29" s="194">
        <f>(56.4*KFC!$B$36*1.02+KFC!$C$36)*KFC!$C$5</f>
        <v>57.527999999999999</v>
      </c>
      <c r="M29" s="194">
        <f>(59.9*KFC!$B$36*1.02+KFC!$C$36)*KFC!$C$5</f>
        <v>61.097999999999999</v>
      </c>
      <c r="N29" s="194">
        <f>(63.6*KFC!$B$36*1.02+KFC!$C$36)*KFC!$C$5</f>
        <v>64.872</v>
      </c>
      <c r="O29" s="194">
        <f>(67.1*KFC!$B$36*1.02+KFC!$C$36)*KFC!$C$5</f>
        <v>68.441999999999993</v>
      </c>
      <c r="P29" s="194">
        <f>(70.7*KFC!$B$36*1.02+KFC!$C$36)*KFC!$C$5</f>
        <v>72.114000000000004</v>
      </c>
      <c r="Q29" s="194">
        <f>(74.4*KFC!$B$36*1.02+KFC!$C$36)*KFC!$C$5</f>
        <v>75.888000000000005</v>
      </c>
      <c r="R29" s="194">
        <f>(77.9*KFC!$B$36*1.02+KFC!$C$36)*KFC!$C$5</f>
        <v>79.458000000000013</v>
      </c>
      <c r="S29" s="194">
        <f>(81.5*KFC!$B$36*1.02+KFC!$C$36)*KFC!$C$5</f>
        <v>83.13</v>
      </c>
      <c r="T29" s="194">
        <f>(85.1*KFC!$B$36*1.02+KFC!$C$36)*KFC!$C$5</f>
        <v>86.801999999999992</v>
      </c>
      <c r="U29" s="194">
        <f>(88.7*KFC!$B$36*1.02+KFC!$C$36)*KFC!$C$5</f>
        <v>90.474000000000004</v>
      </c>
      <c r="V29" s="194">
        <f>(92.3*KFC!$B$36*1.02+KFC!$C$36)*KFC!$C$5</f>
        <v>94.146000000000001</v>
      </c>
      <c r="W29" s="194">
        <f>(95.9*KFC!$B$36*1.02+KFC!$C$36)*KFC!$C$5</f>
        <v>97.818000000000012</v>
      </c>
      <c r="X29" s="194">
        <f>(99.4*KFC!$B$36*1.02+KFC!$C$36)*KFC!$C$5</f>
        <v>101.38800000000001</v>
      </c>
      <c r="Y29" s="194">
        <f>(103.1*KFC!$B$36*1.02+KFC!$C$36)*KFC!$C$5</f>
        <v>105.16199999999999</v>
      </c>
      <c r="Z29" s="194">
        <f>(106.6*KFC!$B$36*1.02+KFC!$C$36)*KFC!$C$5</f>
        <v>108.732</v>
      </c>
      <c r="AA29" s="195">
        <f>(110.2*KFC!$B$36*1.02+KFC!$C$36)*KFC!$C$5</f>
        <v>112.40400000000001</v>
      </c>
    </row>
    <row r="30" spans="1:27">
      <c r="A30" s="1781"/>
      <c r="B30" s="224">
        <v>3</v>
      </c>
      <c r="C30" s="247">
        <f>(24.6*KFC!$B$36*1.02+KFC!$C$36)*KFC!$C$5</f>
        <v>25.092000000000002</v>
      </c>
      <c r="D30" s="194">
        <f>(28.4*KFC!$B$36*1.02+KFC!$C$36)*KFC!$C$5</f>
        <v>28.968</v>
      </c>
      <c r="E30" s="194">
        <f>(32*KFC!$B$36*1.02+KFC!$C$36)*KFC!$C$5</f>
        <v>32.64</v>
      </c>
      <c r="F30" s="194">
        <f>(35.7*KFC!$B$36*1.02+KFC!$C$36)*KFC!$C$5</f>
        <v>36.414000000000001</v>
      </c>
      <c r="G30" s="194">
        <f>(39.5*KFC!$B$36*1.02+KFC!$C$36)*KFC!$C$5</f>
        <v>40.29</v>
      </c>
      <c r="H30" s="194">
        <f>(43.2*KFC!$B$36*1.02+KFC!$C$36)*KFC!$C$5</f>
        <v>44.064000000000007</v>
      </c>
      <c r="I30" s="194">
        <f>(46.8*KFC!$B$36*1.02+KFC!$C$36)*KFC!$C$5</f>
        <v>47.735999999999997</v>
      </c>
      <c r="J30" s="194">
        <f>(50.6*KFC!$B$36*1.02+KFC!$C$36)*KFC!$C$5</f>
        <v>51.612000000000002</v>
      </c>
      <c r="K30" s="194">
        <f>(54.3*KFC!$B$36*1.02+KFC!$C$36)*KFC!$C$5</f>
        <v>55.385999999999996</v>
      </c>
      <c r="L30" s="194">
        <f>(58*KFC!$B$36*1.02+KFC!$C$36)*KFC!$C$5</f>
        <v>59.160000000000004</v>
      </c>
      <c r="M30" s="194">
        <f>(61.6*KFC!$B$36*1.02+KFC!$C$36)*KFC!$C$5</f>
        <v>62.832000000000001</v>
      </c>
      <c r="N30" s="194">
        <f>(65.4*KFC!$B$36*1.02+KFC!$C$36)*KFC!$C$5</f>
        <v>66.708000000000013</v>
      </c>
      <c r="O30" s="194">
        <f>(69.1*KFC!$B$36*1.02+KFC!$C$36)*KFC!$C$5</f>
        <v>70.481999999999999</v>
      </c>
      <c r="P30" s="194">
        <f>(72.8*KFC!$B$36*1.02+KFC!$C$36)*KFC!$C$5</f>
        <v>74.256</v>
      </c>
      <c r="Q30" s="194">
        <f>(76.6*KFC!$B$36*1.02+KFC!$C$36)*KFC!$C$5</f>
        <v>78.131999999999991</v>
      </c>
      <c r="R30" s="194">
        <f>(80.2*KFC!$B$36*1.02+KFC!$C$36)*KFC!$C$5</f>
        <v>81.804000000000002</v>
      </c>
      <c r="S30" s="194">
        <f>(83.9*KFC!$B$36*1.02+KFC!$C$36)*KFC!$C$5</f>
        <v>85.578000000000003</v>
      </c>
      <c r="T30" s="194">
        <f>(87.6*KFC!$B$36*1.02+KFC!$C$36)*KFC!$C$5</f>
        <v>89.35199999999999</v>
      </c>
      <c r="U30" s="194">
        <f>(91.4*KFC!$B$36*1.02+KFC!$C$36)*KFC!$C$5</f>
        <v>93.228000000000009</v>
      </c>
      <c r="V30" s="194">
        <f>(95*KFC!$B$36*1.02+KFC!$C$36)*KFC!$C$5</f>
        <v>96.9</v>
      </c>
      <c r="W30" s="194">
        <f>(98.7*KFC!$B$36*1.02+KFC!$C$36)*KFC!$C$5</f>
        <v>100.67400000000001</v>
      </c>
      <c r="X30" s="194">
        <f>(102.5*KFC!$B$36*1.02+KFC!$C$36)*KFC!$C$5</f>
        <v>104.55</v>
      </c>
      <c r="Y30" s="194">
        <f>(106.2*KFC!$B$36*1.02+KFC!$C$36)*KFC!$C$5</f>
        <v>108.324</v>
      </c>
      <c r="Z30" s="194">
        <f>(109.8*KFC!$B$36*1.02+KFC!$C$36)*KFC!$C$5</f>
        <v>111.996</v>
      </c>
      <c r="AA30" s="195">
        <f>(113.6*KFC!$B$36*1.02+KFC!$C$36)*KFC!$C$5</f>
        <v>115.872</v>
      </c>
    </row>
    <row r="31" spans="1:27">
      <c r="A31" s="1781"/>
      <c r="B31" s="224">
        <v>3.1</v>
      </c>
      <c r="C31" s="247">
        <f>(25.2*KFC!$B$36*1.02+KFC!$C$36)*KFC!$C$5</f>
        <v>25.704000000000001</v>
      </c>
      <c r="D31" s="194">
        <f>(29.1*KFC!$B$36*1.02+KFC!$C$36)*KFC!$C$5</f>
        <v>29.682000000000002</v>
      </c>
      <c r="E31" s="194">
        <f>(32.9*KFC!$B$36*1.02+KFC!$C$36)*KFC!$C$5</f>
        <v>33.558</v>
      </c>
      <c r="F31" s="194">
        <f>(36.7*KFC!$B$36*1.02+KFC!$C$36)*KFC!$C$5</f>
        <v>37.434000000000005</v>
      </c>
      <c r="G31" s="194">
        <f>(40.5*KFC!$B$36*1.02+KFC!$C$36)*KFC!$C$5</f>
        <v>41.31</v>
      </c>
      <c r="H31" s="194">
        <f>(44.3*KFC!$B$36*1.02+KFC!$C$36)*KFC!$C$5</f>
        <v>45.186</v>
      </c>
      <c r="I31" s="194">
        <f>(48.2*KFC!$B$36*1.02+KFC!$C$36)*KFC!$C$5</f>
        <v>49.164000000000001</v>
      </c>
      <c r="J31" s="194">
        <f>(52*KFC!$B$36*1.02+KFC!$C$36)*KFC!$C$5</f>
        <v>53.04</v>
      </c>
      <c r="K31" s="194">
        <f>(55.8*KFC!$B$36*1.02+KFC!$C$36)*KFC!$C$5</f>
        <v>56.915999999999997</v>
      </c>
      <c r="L31" s="194">
        <f>(59.6*KFC!$B$36*1.02+KFC!$C$36)*KFC!$C$5</f>
        <v>60.792000000000002</v>
      </c>
      <c r="M31" s="194">
        <f>(63.5*KFC!$B$36*1.02+KFC!$C$36)*KFC!$C$5</f>
        <v>64.77</v>
      </c>
      <c r="N31" s="194">
        <f>(67.3*KFC!$B$36*1.02+KFC!$C$36)*KFC!$C$5</f>
        <v>68.646000000000001</v>
      </c>
      <c r="O31" s="194">
        <f>(71.1*KFC!$B$36*1.02+KFC!$C$36)*KFC!$C$5</f>
        <v>72.521999999999991</v>
      </c>
      <c r="P31" s="194">
        <f>(74.8*KFC!$B$36*1.02+KFC!$C$36)*KFC!$C$5</f>
        <v>76.295999999999992</v>
      </c>
      <c r="Q31" s="194">
        <f>(78.6*KFC!$B$36*1.02+KFC!$C$36)*KFC!$C$5</f>
        <v>80.171999999999997</v>
      </c>
      <c r="R31" s="194">
        <f>(82.6*KFC!$B$36*1.02+KFC!$C$36)*KFC!$C$5</f>
        <v>84.251999999999995</v>
      </c>
      <c r="S31" s="194">
        <f>(86.3*KFC!$B$36*1.02+KFC!$C$36)*KFC!$C$5</f>
        <v>88.025999999999996</v>
      </c>
      <c r="T31" s="194">
        <f>(90.1*KFC!$B$36*1.02+KFC!$C$36)*KFC!$C$5</f>
        <v>91.902000000000001</v>
      </c>
      <c r="U31" s="194">
        <f>(93.9*KFC!$B$36*1.02+KFC!$C$36)*KFC!$C$5</f>
        <v>95.778000000000006</v>
      </c>
      <c r="V31" s="194">
        <f>(97.8*KFC!$B$36*1.02+KFC!$C$36)*KFC!$C$5</f>
        <v>99.756</v>
      </c>
      <c r="W31" s="194">
        <f>(101.6*KFC!$B$36*1.02+KFC!$C$36)*KFC!$C$5</f>
        <v>103.63199999999999</v>
      </c>
      <c r="X31" s="194">
        <f>(105.4*KFC!$B$36*1.02+KFC!$C$36)*KFC!$C$5</f>
        <v>107.50800000000001</v>
      </c>
      <c r="Y31" s="194">
        <f>(109.2*KFC!$B$36*1.02+KFC!$C$36)*KFC!$C$5</f>
        <v>111.384</v>
      </c>
      <c r="Z31" s="194">
        <f>(113*KFC!$B$36*1.02+KFC!$C$36)*KFC!$C$5</f>
        <v>115.26</v>
      </c>
      <c r="AA31" s="195">
        <f>(116.9*KFC!$B$36*1.02+KFC!$C$36)*KFC!$C$5</f>
        <v>119.23800000000001</v>
      </c>
    </row>
    <row r="32" spans="1:27">
      <c r="A32" s="1781"/>
      <c r="B32" s="224">
        <v>3.2</v>
      </c>
      <c r="C32" s="247">
        <f>(25.8*KFC!$B$36*1.02+KFC!$C$36)*KFC!$C$5</f>
        <v>26.316000000000003</v>
      </c>
      <c r="D32" s="194">
        <f>(29.7*KFC!$B$36*1.02+KFC!$C$36)*KFC!$C$5</f>
        <v>30.294</v>
      </c>
      <c r="E32" s="194">
        <f>(33.6*KFC!$B$36*1.02+KFC!$C$36)*KFC!$C$5</f>
        <v>34.272000000000006</v>
      </c>
      <c r="F32" s="194">
        <f>(37.7*KFC!$B$36*1.02+KFC!$C$36)*KFC!$C$5</f>
        <v>38.454000000000001</v>
      </c>
      <c r="G32" s="194">
        <f>(41.6*KFC!$B$36*1.02+KFC!$C$36)*KFC!$C$5</f>
        <v>42.432000000000002</v>
      </c>
      <c r="H32" s="194">
        <f>(45.5*KFC!$B$36*1.02+KFC!$C$36)*KFC!$C$5</f>
        <v>46.410000000000004</v>
      </c>
      <c r="I32" s="194">
        <f>(49.4*KFC!$B$36*1.02+KFC!$C$36)*KFC!$C$5</f>
        <v>50.387999999999998</v>
      </c>
      <c r="J32" s="194">
        <f>(53.3*KFC!$B$36*1.02+KFC!$C$36)*KFC!$C$5</f>
        <v>54.366</v>
      </c>
      <c r="K32" s="194">
        <f>(57.2*KFC!$B$36*1.02+KFC!$C$36)*KFC!$C$5</f>
        <v>58.344000000000001</v>
      </c>
      <c r="L32" s="194">
        <f>(61.3*KFC!$B$36*1.02+KFC!$C$36)*KFC!$C$5</f>
        <v>62.525999999999996</v>
      </c>
      <c r="M32" s="194">
        <f>(65.2*KFC!$B$36*1.02+KFC!$C$36)*KFC!$C$5</f>
        <v>66.504000000000005</v>
      </c>
      <c r="N32" s="194">
        <f>(69.1*KFC!$B$36*1.02+KFC!$C$36)*KFC!$C$5</f>
        <v>70.481999999999999</v>
      </c>
      <c r="O32" s="194">
        <f>(73*KFC!$B$36*1.02+KFC!$C$36)*KFC!$C$5</f>
        <v>74.460000000000008</v>
      </c>
      <c r="P32" s="194">
        <f>(76.9*KFC!$B$36*1.02+KFC!$C$36)*KFC!$C$5</f>
        <v>78.438000000000002</v>
      </c>
      <c r="Q32" s="194">
        <f>(80.8*KFC!$B$36*1.02+KFC!$C$36)*KFC!$C$5</f>
        <v>82.415999999999997</v>
      </c>
      <c r="R32" s="194">
        <f>(84.8*KFC!$B$36*1.02+KFC!$C$36)*KFC!$C$5</f>
        <v>86.495999999999995</v>
      </c>
      <c r="S32" s="194">
        <f>(88.8*KFC!$B$36*1.02+KFC!$C$36)*KFC!$C$5</f>
        <v>90.575999999999993</v>
      </c>
      <c r="T32" s="194">
        <f>(92.7*KFC!$B$36*1.02+KFC!$C$36)*KFC!$C$5</f>
        <v>94.554000000000002</v>
      </c>
      <c r="U32" s="194">
        <f>(96.6*KFC!$B$36*1.02+KFC!$C$36)*KFC!$C$5</f>
        <v>98.531999999999996</v>
      </c>
      <c r="V32" s="194">
        <f>(100.5*KFC!$B$36*1.02+KFC!$C$36)*KFC!$C$5</f>
        <v>102.51</v>
      </c>
      <c r="W32" s="194">
        <f>(104.4*KFC!$B$36*1.02+KFC!$C$36)*KFC!$C$5</f>
        <v>106.48800000000001</v>
      </c>
      <c r="X32" s="194">
        <f>(108.4*KFC!$B$36*1.02+KFC!$C$36)*KFC!$C$5</f>
        <v>110.56800000000001</v>
      </c>
      <c r="Y32" s="194">
        <f>(112.4*KFC!$B$36*1.02+KFC!$C$36)*KFC!$C$5</f>
        <v>114.64800000000001</v>
      </c>
      <c r="Z32" s="194">
        <f>(116.3*KFC!$B$36*1.02+KFC!$C$36)*KFC!$C$5</f>
        <v>118.626</v>
      </c>
      <c r="AA32" s="195">
        <f>(120.2*KFC!$B$36*1.02+KFC!$C$36)*KFC!$C$5</f>
        <v>122.604</v>
      </c>
    </row>
    <row r="33" spans="1:27">
      <c r="A33" s="1781"/>
      <c r="B33" s="224">
        <v>3.3</v>
      </c>
      <c r="C33" s="247">
        <f>(26.4*KFC!$B$36*1.02+KFC!$C$36)*KFC!$C$5</f>
        <v>26.927999999999997</v>
      </c>
      <c r="D33" s="194">
        <f>(30.5*KFC!$B$36*1.02+KFC!$C$36)*KFC!$C$5</f>
        <v>31.11</v>
      </c>
      <c r="E33" s="194">
        <f>(34.5*KFC!$B$36*1.02+KFC!$C$36)*KFC!$C$5</f>
        <v>35.19</v>
      </c>
      <c r="F33" s="194">
        <f>(38.5*KFC!$B$36*1.02+KFC!$C$36)*KFC!$C$5</f>
        <v>39.270000000000003</v>
      </c>
      <c r="G33" s="194">
        <f>(42.6*KFC!$B$36*1.02+KFC!$C$36)*KFC!$C$5</f>
        <v>43.452000000000005</v>
      </c>
      <c r="H33" s="194">
        <f>(46.6*KFC!$B$36*1.02+KFC!$C$36)*KFC!$C$5</f>
        <v>47.532000000000004</v>
      </c>
      <c r="I33" s="194">
        <f>(50.8*KFC!$B$36*1.02+KFC!$C$36)*KFC!$C$5</f>
        <v>51.815999999999995</v>
      </c>
      <c r="J33" s="194">
        <f>(54.8*KFC!$B$36*1.02+KFC!$C$36)*KFC!$C$5</f>
        <v>55.896000000000001</v>
      </c>
      <c r="K33" s="194">
        <f>(58.8*KFC!$B$36*1.02+KFC!$C$36)*KFC!$C$5</f>
        <v>59.975999999999999</v>
      </c>
      <c r="L33" s="194">
        <f>(62.9*KFC!$B$36*1.02+KFC!$C$36)*KFC!$C$5</f>
        <v>64.158000000000001</v>
      </c>
      <c r="M33" s="194">
        <f>(66.9*KFC!$B$36*1.02+KFC!$C$36)*KFC!$C$5</f>
        <v>68.238000000000014</v>
      </c>
      <c r="N33" s="194">
        <f>(570.95*KFC!$B$36*1.02+KFC!$C$36)*KFC!$C$5</f>
        <v>582.36900000000003</v>
      </c>
      <c r="O33" s="194">
        <f>(75*KFC!$B$36*1.02+KFC!$C$36)*KFC!$C$5</f>
        <v>76.5</v>
      </c>
      <c r="P33" s="194">
        <f>(79*KFC!$B$36*1.02+KFC!$C$36)*KFC!$C$5</f>
        <v>80.58</v>
      </c>
      <c r="Q33" s="194">
        <f>(83*KFC!$B$36*1.02+KFC!$C$36)*KFC!$C$5</f>
        <v>84.66</v>
      </c>
      <c r="R33" s="194">
        <f>(87.1*KFC!$B$36*1.02+KFC!$C$36)*KFC!$C$5</f>
        <v>88.841999999999999</v>
      </c>
      <c r="S33" s="194">
        <f>(91.1*KFC!$B$36*1.02+KFC!$C$36)*KFC!$C$5</f>
        <v>92.921999999999997</v>
      </c>
      <c r="T33" s="194">
        <f>(95.1*KFC!$B$36*1.02+KFC!$C$36)*KFC!$C$5</f>
        <v>97.001999999999995</v>
      </c>
      <c r="U33" s="194">
        <f>(99.3*KFC!$B$36*1.02+KFC!$C$36)*KFC!$C$5</f>
        <v>101.286</v>
      </c>
      <c r="V33" s="194">
        <f>(103.3*KFC!$B$36*1.02+KFC!$C$36)*KFC!$C$5</f>
        <v>105.366</v>
      </c>
      <c r="W33" s="194">
        <f>(107.4*KFC!$B$36*1.02+KFC!$C$36)*KFC!$C$5</f>
        <v>109.548</v>
      </c>
      <c r="X33" s="194">
        <f>(111.4*KFC!$B$36*1.02+KFC!$C$36)*KFC!$C$5</f>
        <v>113.62800000000001</v>
      </c>
      <c r="Y33" s="194">
        <f>(115.5*KFC!$B$36*1.02+KFC!$C$36)*KFC!$C$5</f>
        <v>117.81</v>
      </c>
      <c r="Z33" s="194">
        <f>(119.5*KFC!$B$36*1.02+KFC!$C$36)*KFC!$C$5</f>
        <v>121.89</v>
      </c>
      <c r="AA33" s="195">
        <f>(123.5*KFC!$B$36*1.02+KFC!$C$36)*KFC!$C$5</f>
        <v>125.97</v>
      </c>
    </row>
    <row r="34" spans="1:27">
      <c r="A34" s="1781"/>
      <c r="B34" s="224">
        <v>3.4</v>
      </c>
      <c r="C34" s="247">
        <f>(27*KFC!$B$36*1.02+KFC!$C$36)*KFC!$C$5</f>
        <v>27.54</v>
      </c>
      <c r="D34" s="194">
        <f>(31.2*KFC!$B$36*1.02+KFC!$C$36)*KFC!$C$5</f>
        <v>31.823999999999998</v>
      </c>
      <c r="E34" s="194">
        <f>(35.3*KFC!$B$36*1.02+KFC!$C$36)*KFC!$C$5</f>
        <v>36.006</v>
      </c>
      <c r="F34" s="194">
        <f>(39.5*KFC!$B$36*1.02+KFC!$C$36)*KFC!$C$5</f>
        <v>40.29</v>
      </c>
      <c r="G34" s="194">
        <f>(43.7*KFC!$B$36*1.02+KFC!$C$36)*KFC!$C$5</f>
        <v>44.574000000000005</v>
      </c>
      <c r="H34" s="194">
        <f>(47.8*KFC!$B$36*1.02+KFC!$C$36)*KFC!$C$5</f>
        <v>48.756</v>
      </c>
      <c r="I34" s="194">
        <f>(52*KFC!$B$36*1.02+KFC!$C$36)*KFC!$C$5</f>
        <v>53.04</v>
      </c>
      <c r="J34" s="194">
        <f>(56.1*KFC!$B$36*1.02+KFC!$C$36)*KFC!$C$5</f>
        <v>57.222000000000001</v>
      </c>
      <c r="K34" s="194">
        <f>(60.3*KFC!$B$36*1.02+KFC!$C$36)*KFC!$C$5</f>
        <v>61.506</v>
      </c>
      <c r="L34" s="194">
        <f>(64.5*KFC!$B$36*1.02+KFC!$C$36)*KFC!$C$5</f>
        <v>65.790000000000006</v>
      </c>
      <c r="M34" s="194">
        <f>(68.6*KFC!$B$36*1.02+KFC!$C$36)*KFC!$C$5</f>
        <v>69.971999999999994</v>
      </c>
      <c r="N34" s="194">
        <f>(72.8*KFC!$B$36*1.02+KFC!$C$36)*KFC!$C$5</f>
        <v>74.256</v>
      </c>
      <c r="O34" s="194">
        <f>(76.9*KFC!$B$36*1.02+KFC!$C$36)*KFC!$C$5</f>
        <v>78.438000000000002</v>
      </c>
      <c r="P34" s="194">
        <f>(81.1*KFC!$B$36*1.02+KFC!$C$36)*KFC!$C$5</f>
        <v>82.721999999999994</v>
      </c>
      <c r="Q34" s="194">
        <f>(85.2*KFC!$B$36*1.02+KFC!$C$36)*KFC!$C$5</f>
        <v>86.904000000000011</v>
      </c>
      <c r="R34" s="194">
        <f>(89.4*KFC!$B$36*1.02+KFC!$C$36)*KFC!$C$5</f>
        <v>91.188000000000002</v>
      </c>
      <c r="S34" s="194">
        <f>(93.6*KFC!$B$36*1.02+KFC!$C$36)*KFC!$C$5</f>
        <v>95.471999999999994</v>
      </c>
      <c r="T34" s="194">
        <f>(97.7*KFC!$B$36*1.02+KFC!$C$36)*KFC!$C$5</f>
        <v>99.654000000000011</v>
      </c>
      <c r="U34" s="194">
        <f>(101.9*KFC!$B$36*1.02+KFC!$C$36)*KFC!$C$5</f>
        <v>103.938</v>
      </c>
      <c r="V34" s="194">
        <f>(106*KFC!$B$36*1.02+KFC!$C$36)*KFC!$C$5</f>
        <v>108.12</v>
      </c>
      <c r="W34" s="194">
        <f>(110.2*KFC!$B$36*1.02+KFC!$C$36)*KFC!$C$5</f>
        <v>112.40400000000001</v>
      </c>
      <c r="X34" s="194">
        <f>(114.4*KFC!$B$36*1.02+KFC!$C$36)*KFC!$C$5</f>
        <v>116.688</v>
      </c>
      <c r="Y34" s="194">
        <f>(118.5*KFC!$B$36*1.02+KFC!$C$36)*KFC!$C$5</f>
        <v>120.87</v>
      </c>
      <c r="Z34" s="194">
        <f>(122.7*KFC!$B$36*1.02+KFC!$C$36)*KFC!$C$5</f>
        <v>125.15400000000001</v>
      </c>
      <c r="AA34" s="195">
        <f>(126.8*KFC!$B$36*1.02+KFC!$C$36)*KFC!$C$5</f>
        <v>129.33600000000001</v>
      </c>
    </row>
    <row r="35" spans="1:27">
      <c r="A35" s="1781"/>
      <c r="B35" s="224">
        <v>3.5</v>
      </c>
      <c r="C35" s="247">
        <f>(27.6*KFC!$B$36*1.02+KFC!$C$36)*KFC!$C$5</f>
        <v>28.152000000000001</v>
      </c>
      <c r="D35" s="194">
        <f>(31.9*KFC!$B$36*1.02+KFC!$C$36)*KFC!$C$5</f>
        <v>32.537999999999997</v>
      </c>
      <c r="E35" s="194">
        <f>(36.2*KFC!$B$36*1.02+KFC!$C$36)*KFC!$C$5</f>
        <v>36.924000000000007</v>
      </c>
      <c r="F35" s="194">
        <f>(40.5*KFC!$B$36*1.02+KFC!$C$36)*KFC!$C$5</f>
        <v>41.31</v>
      </c>
      <c r="G35" s="194">
        <f>(44.6*KFC!$B$36*1.02+KFC!$C$36)*KFC!$C$5</f>
        <v>45.492000000000004</v>
      </c>
      <c r="H35" s="194">
        <f>(48.9*KFC!$B$36*1.02+KFC!$C$36)*KFC!$C$5</f>
        <v>49.878</v>
      </c>
      <c r="I35" s="194">
        <f>(53.2*KFC!$B$36*1.02+KFC!$C$36)*KFC!$C$5</f>
        <v>54.264000000000003</v>
      </c>
      <c r="J35" s="194">
        <f>(57.5*KFC!$B$36*1.02+KFC!$C$36)*KFC!$C$5</f>
        <v>58.65</v>
      </c>
      <c r="K35" s="194">
        <f>(61.8*KFC!$B$36*1.02+KFC!$C$36)*KFC!$C$5</f>
        <v>63.036000000000001</v>
      </c>
      <c r="L35" s="194">
        <f>(66*KFC!$B$36*1.02+KFC!$C$36)*KFC!$C$5</f>
        <v>67.320000000000007</v>
      </c>
      <c r="M35" s="194">
        <f>(70.3*KFC!$B$36*1.02+KFC!$C$36)*KFC!$C$5</f>
        <v>71.706000000000003</v>
      </c>
      <c r="N35" s="194">
        <f>(74.6*KFC!$B$36*1.02+KFC!$C$36)*KFC!$C$5</f>
        <v>76.091999999999999</v>
      </c>
      <c r="O35" s="194">
        <f>(78.9*KFC!$B$36*1.02+KFC!$C$36)*KFC!$C$5</f>
        <v>80.478000000000009</v>
      </c>
      <c r="P35" s="194">
        <f>(83.2*KFC!$B$36*1.02+KFC!$C$36)*KFC!$C$5</f>
        <v>84.864000000000004</v>
      </c>
      <c r="Q35" s="194">
        <f>(87.4*KFC!$B$36*1.02+KFC!$C$36)*KFC!$C$5</f>
        <v>89.14800000000001</v>
      </c>
      <c r="R35" s="194">
        <f>(91.7*KFC!$B$36*1.02+KFC!$C$36)*KFC!$C$5</f>
        <v>93.534000000000006</v>
      </c>
      <c r="S35" s="194">
        <f>(96*KFC!$B$36*1.02+KFC!$C$36)*KFC!$C$5</f>
        <v>97.92</v>
      </c>
      <c r="T35" s="194">
        <f>(100.3*KFC!$B$36*1.02+KFC!$C$36)*KFC!$C$5</f>
        <v>102.306</v>
      </c>
      <c r="U35" s="194">
        <f>(104.6*KFC!$B$36*1.02+KFC!$C$36)*KFC!$C$5</f>
        <v>106.69199999999999</v>
      </c>
      <c r="V35" s="194">
        <f>(108.8*KFC!$B$36*1.02+KFC!$C$36)*KFC!$C$5</f>
        <v>110.976</v>
      </c>
      <c r="W35" s="194">
        <f>(113.1*KFC!$B$36*1.02+KFC!$C$36)*KFC!$C$5</f>
        <v>115.36199999999999</v>
      </c>
      <c r="X35" s="194">
        <f>(117.3*KFC!$B$36*1.02+KFC!$C$36)*KFC!$C$5</f>
        <v>119.646</v>
      </c>
      <c r="Y35" s="194">
        <f>(121.6*KFC!$B$36*1.02+KFC!$C$36)*KFC!$C$5</f>
        <v>124.032</v>
      </c>
      <c r="Z35" s="194">
        <f>(125.8*KFC!$B$36*1.02+KFC!$C$36)*KFC!$C$5</f>
        <v>128.316</v>
      </c>
      <c r="AA35" s="195">
        <f>(130.1*KFC!$B$36*1.02+KFC!$C$36)*KFC!$C$5</f>
        <v>132.702</v>
      </c>
    </row>
    <row r="36" spans="1:27">
      <c r="A36" s="1781"/>
      <c r="B36" s="224">
        <v>3.6</v>
      </c>
      <c r="C36" s="247">
        <f>(28.3*KFC!$B$36*1.02+KFC!$C$36)*KFC!$C$5</f>
        <v>28.866</v>
      </c>
      <c r="D36" s="194">
        <f>(32.5*KFC!$B$36*1.02+KFC!$C$36)*KFC!$C$5</f>
        <v>33.15</v>
      </c>
      <c r="E36" s="194">
        <f>(36.9*KFC!$B$36*1.02+KFC!$C$36)*KFC!$C$5</f>
        <v>37.637999999999998</v>
      </c>
      <c r="F36" s="194">
        <f>(41.3*KFC!$B$36*1.02+KFC!$C$36)*KFC!$C$5</f>
        <v>42.125999999999998</v>
      </c>
      <c r="G36" s="194">
        <f>(45.7*KFC!$B$36*1.02+KFC!$C$36)*KFC!$C$5</f>
        <v>46.614000000000004</v>
      </c>
      <c r="H36" s="194">
        <f>(50.1*KFC!$B$36*1.02+KFC!$C$36)*KFC!$C$5</f>
        <v>51.102000000000004</v>
      </c>
      <c r="I36" s="194">
        <f>(54.5*KFC!$B$36*1.02+KFC!$C$36)*KFC!$C$5</f>
        <v>55.59</v>
      </c>
      <c r="J36" s="194">
        <f>(58.9*KFC!$B$36*1.02+KFC!$C$36)*KFC!$C$5</f>
        <v>60.078000000000003</v>
      </c>
      <c r="K36" s="194">
        <f>(63.4*KFC!$B$36*1.02+KFC!$C$36)*KFC!$C$5</f>
        <v>64.668000000000006</v>
      </c>
      <c r="L36" s="194">
        <f>(67.6*KFC!$B$36*1.02+KFC!$C$36)*KFC!$C$5</f>
        <v>68.951999999999998</v>
      </c>
      <c r="M36" s="194">
        <f>(72*KFC!$B$36*1.02+KFC!$C$36)*KFC!$C$5</f>
        <v>73.44</v>
      </c>
      <c r="N36" s="194">
        <f>(76.4*KFC!$B$36*1.02+KFC!$C$36)*KFC!$C$5</f>
        <v>77.928000000000011</v>
      </c>
      <c r="O36" s="194">
        <f>(80.8*KFC!$B$36*1.02+KFC!$C$36)*KFC!$C$5</f>
        <v>82.415999999999997</v>
      </c>
      <c r="P36" s="194">
        <f>(85.2*KFC!$B$36*1.02+KFC!$C$36)*KFC!$C$5</f>
        <v>86.904000000000011</v>
      </c>
      <c r="Q36" s="194">
        <f>(89.6*KFC!$B$36*1.02+KFC!$C$36)*KFC!$C$5</f>
        <v>91.391999999999996</v>
      </c>
      <c r="R36" s="194">
        <f>(94*KFC!$B$36*1.02+KFC!$C$36)*KFC!$C$5</f>
        <v>95.88</v>
      </c>
      <c r="S36" s="194">
        <f>(98.3*KFC!$B$36*1.02+KFC!$C$36)*KFC!$C$5</f>
        <v>100.26600000000001</v>
      </c>
      <c r="T36" s="194">
        <f>(102.7*KFC!$B$36*1.02+KFC!$C$36)*KFC!$C$5</f>
        <v>104.754</v>
      </c>
      <c r="U36" s="194">
        <f>(107.1*KFC!$B$36*1.02+KFC!$C$36)*KFC!$C$5</f>
        <v>109.24199999999999</v>
      </c>
      <c r="V36" s="194">
        <f>(111.5*KFC!$B$36*1.02+KFC!$C$36)*KFC!$C$5</f>
        <v>113.73</v>
      </c>
      <c r="W36" s="194">
        <f>(115.9*KFC!$B$36*1.02+KFC!$C$36)*KFC!$C$5</f>
        <v>118.218</v>
      </c>
      <c r="X36" s="194">
        <f>(120.3*KFC!$B$36*1.02+KFC!$C$36)*KFC!$C$5</f>
        <v>122.706</v>
      </c>
      <c r="Y36" s="194">
        <f>(124.7*KFC!$B$36*1.02+KFC!$C$36)*KFC!$C$5</f>
        <v>127.194</v>
      </c>
      <c r="Z36" s="194">
        <f>(129.1*KFC!$B$36*1.02+KFC!$C$36)*KFC!$C$5</f>
        <v>131.68199999999999</v>
      </c>
      <c r="AA36" s="195">
        <f>(133.4*KFC!$B$36*1.02+KFC!$C$36)*KFC!$C$5</f>
        <v>136.06800000000001</v>
      </c>
    </row>
    <row r="37" spans="1:27">
      <c r="A37" s="1781"/>
      <c r="B37" s="224">
        <v>3.7</v>
      </c>
      <c r="C37" s="247">
        <f>(28.7*KFC!$B$36*1.02+KFC!$C$36)*KFC!$C$5</f>
        <v>29.274000000000001</v>
      </c>
      <c r="D37" s="194">
        <f>(33.3*KFC!$B$36*1.02+KFC!$C$36)*KFC!$C$5</f>
        <v>33.966000000000001</v>
      </c>
      <c r="E37" s="194">
        <f>(37.8*KFC!$B$36*1.02+KFC!$C$36)*KFC!$C$5</f>
        <v>38.555999999999997</v>
      </c>
      <c r="F37" s="194">
        <f>(42.3*KFC!$B$36*1.02+KFC!$C$36)*KFC!$C$5</f>
        <v>43.146000000000001</v>
      </c>
      <c r="G37" s="194">
        <f>(46.8*KFC!$B$36*1.02+KFC!$C$36)*KFC!$C$5</f>
        <v>47.735999999999997</v>
      </c>
      <c r="H37" s="194">
        <f>(51.2*KFC!$B$36*1.02+KFC!$C$36)*KFC!$C$5</f>
        <v>52.224000000000004</v>
      </c>
      <c r="I37" s="194">
        <f>(55.8*KFC!$B$36*1.02+KFC!$C$36)*KFC!$C$5</f>
        <v>56.915999999999997</v>
      </c>
      <c r="J37" s="194">
        <f>(60.3*KFC!$B$36*1.02+KFC!$C$36)*KFC!$C$5</f>
        <v>61.506</v>
      </c>
      <c r="K37" s="194">
        <f>(64.8*KFC!$B$36*1.02+KFC!$C$36)*KFC!$C$5</f>
        <v>66.096000000000004</v>
      </c>
      <c r="L37" s="194">
        <f>(69.3*KFC!$B$36*1.02+KFC!$C$36)*KFC!$C$5</f>
        <v>70.685999999999993</v>
      </c>
      <c r="M37" s="194">
        <f>(73.7*KFC!$B$36*1.02+KFC!$C$36)*KFC!$C$5</f>
        <v>75.174000000000007</v>
      </c>
      <c r="N37" s="194">
        <f>(78.3*KFC!$B$36*1.02+KFC!$C$36)*KFC!$C$5</f>
        <v>79.866</v>
      </c>
      <c r="O37" s="194">
        <f>(82.8*KFC!$B$36*1.02+KFC!$C$36)*KFC!$C$5</f>
        <v>84.456000000000003</v>
      </c>
      <c r="P37" s="194">
        <f>(87.3*KFC!$B$36*1.02+KFC!$C$36)*KFC!$C$5</f>
        <v>89.045999999999992</v>
      </c>
      <c r="Q37" s="194">
        <f>(91.8*KFC!$B$36*1.02+KFC!$C$36)*KFC!$C$5</f>
        <v>93.635999999999996</v>
      </c>
      <c r="R37" s="194">
        <f>(96.3*KFC!$B$36*1.02+KFC!$C$36)*KFC!$C$5</f>
        <v>98.225999999999999</v>
      </c>
      <c r="S37" s="194">
        <f>(100.8*KFC!$B$36*1.02+KFC!$C$36)*KFC!$C$5</f>
        <v>102.816</v>
      </c>
      <c r="T37" s="194">
        <f>(105.3*KFC!$B$36*1.02+KFC!$C$36)*KFC!$C$5</f>
        <v>107.40600000000001</v>
      </c>
      <c r="U37" s="194">
        <f>(109.8*KFC!$B$36*1.02+KFC!$C$36)*KFC!$C$5</f>
        <v>111.996</v>
      </c>
      <c r="V37" s="194">
        <f>(114.4*KFC!$B$36*1.02+KFC!$C$36)*KFC!$C$5</f>
        <v>116.688</v>
      </c>
      <c r="W37" s="194">
        <f>(118.8*KFC!$B$36*1.02+KFC!$C$36)*KFC!$C$5</f>
        <v>121.176</v>
      </c>
      <c r="X37" s="194">
        <f>(123.3*KFC!$B$36*1.02+KFC!$C$36)*KFC!$C$5</f>
        <v>125.76600000000001</v>
      </c>
      <c r="Y37" s="194">
        <f>(127.8*KFC!$B$36*1.02+KFC!$C$36)*KFC!$C$5</f>
        <v>130.35599999999999</v>
      </c>
      <c r="Z37" s="194">
        <f>(132.3*KFC!$B$36*1.02+KFC!$C$36)*KFC!$C$5</f>
        <v>134.94600000000003</v>
      </c>
      <c r="AA37" s="195">
        <f>(136.9*KFC!$B$36*1.02+KFC!$C$36)*KFC!$C$5</f>
        <v>139.63800000000001</v>
      </c>
    </row>
    <row r="38" spans="1:27">
      <c r="A38" s="1781"/>
      <c r="B38" s="224">
        <v>3.8</v>
      </c>
      <c r="C38" s="247">
        <f>(29.4*KFC!$B$36*1.02+KFC!$C$36)*KFC!$C$5</f>
        <v>29.988</v>
      </c>
      <c r="D38" s="194">
        <f>(34*KFC!$B$36*1.02+KFC!$C$36)*KFC!$C$5</f>
        <v>34.68</v>
      </c>
      <c r="E38" s="194">
        <f>(38.6*KFC!$B$36*1.02+KFC!$C$36)*KFC!$C$5</f>
        <v>39.372</v>
      </c>
      <c r="F38" s="194">
        <f>(43.2*KFC!$B$36*1.02+KFC!$C$36)*KFC!$C$5</f>
        <v>44.064000000000007</v>
      </c>
      <c r="G38" s="194">
        <f>(47.8*KFC!$B$36*1.02+KFC!$C$36)*KFC!$C$5</f>
        <v>48.756</v>
      </c>
      <c r="H38" s="194">
        <f>(52.5*KFC!$B$36*1.02+KFC!$C$36)*KFC!$C$5</f>
        <v>53.550000000000004</v>
      </c>
      <c r="I38" s="194">
        <f>(57.1*KFC!$B$36*1.02+KFC!$C$36)*KFC!$C$5</f>
        <v>58.242000000000004</v>
      </c>
      <c r="J38" s="194">
        <f>(61.6*KFC!$B$36*1.02+KFC!$C$36)*KFC!$C$5</f>
        <v>62.832000000000001</v>
      </c>
      <c r="K38" s="194">
        <f>(66.3*KFC!$B$36*1.02+KFC!$C$36)*KFC!$C$5</f>
        <v>67.626000000000005</v>
      </c>
      <c r="L38" s="194">
        <f>(70.9*KFC!$B$36*1.02+KFC!$C$36)*KFC!$C$5</f>
        <v>72.318000000000012</v>
      </c>
      <c r="M38" s="194">
        <f>(75.6*KFC!$B$36*1.02+KFC!$C$36)*KFC!$C$5</f>
        <v>77.111999999999995</v>
      </c>
      <c r="N38" s="194">
        <f>(80.1*KFC!$B$36*1.02+KFC!$C$36)*KFC!$C$5</f>
        <v>81.701999999999998</v>
      </c>
      <c r="O38" s="194">
        <f>(84.8*KFC!$B$36*1.02+KFC!$C$36)*KFC!$C$5</f>
        <v>86.495999999999995</v>
      </c>
      <c r="P38" s="194">
        <f>(89.4*KFC!$B$36*1.02+KFC!$C$36)*KFC!$C$5</f>
        <v>91.188000000000002</v>
      </c>
      <c r="Q38" s="194">
        <f>(93.9*KFC!$B$36*1.02+KFC!$C$36)*KFC!$C$5</f>
        <v>95.778000000000006</v>
      </c>
      <c r="R38" s="194">
        <f>(98.6*KFC!$B$36*1.02+KFC!$C$36)*KFC!$C$5</f>
        <v>100.572</v>
      </c>
      <c r="S38" s="194">
        <f>(103.2*KFC!$B$36*1.02+KFC!$C$36)*KFC!$C$5</f>
        <v>105.26400000000001</v>
      </c>
      <c r="T38" s="194">
        <f>(107.9*KFC!$B$36*1.02+KFC!$C$36)*KFC!$C$5</f>
        <v>110.05800000000001</v>
      </c>
      <c r="U38" s="194">
        <f>(112.4*KFC!$B$36*1.02+KFC!$C$36)*KFC!$C$5</f>
        <v>114.64800000000001</v>
      </c>
      <c r="V38" s="194">
        <f>(117*KFC!$B$36*1.02+KFC!$C$36)*KFC!$C$5</f>
        <v>119.34</v>
      </c>
      <c r="W38" s="194">
        <f>(121.7*KFC!$B$36*1.02+KFC!$C$36)*KFC!$C$5</f>
        <v>124.134</v>
      </c>
      <c r="X38" s="194">
        <f>(126.3*KFC!$B$36*1.02+KFC!$C$36)*KFC!$C$5</f>
        <v>128.82599999999999</v>
      </c>
      <c r="Y38" s="194">
        <f>(130.9*KFC!$B$36*1.02+KFC!$C$36)*KFC!$C$5</f>
        <v>133.518</v>
      </c>
      <c r="Z38" s="194">
        <f>(135.5*KFC!$B$36*1.02+KFC!$C$36)*KFC!$C$5</f>
        <v>138.21</v>
      </c>
      <c r="AA38" s="195">
        <f>(140.2*KFC!$B$36*1.02+KFC!$C$36)*KFC!$C$5</f>
        <v>143.00399999999999</v>
      </c>
    </row>
    <row r="39" spans="1:27">
      <c r="A39" s="1781"/>
      <c r="B39" s="224">
        <v>3.9</v>
      </c>
      <c r="C39" s="247">
        <f>(30*KFC!$B$36*1.02+KFC!$C$36)*KFC!$C$5</f>
        <v>30.6</v>
      </c>
      <c r="D39" s="194">
        <f>(34.7*KFC!$B$36*1.02+KFC!$C$36)*KFC!$C$5</f>
        <v>35.394000000000005</v>
      </c>
      <c r="E39" s="194">
        <f>(39.4*KFC!$B$36*1.02+KFC!$C$36)*KFC!$C$5</f>
        <v>40.188000000000002</v>
      </c>
      <c r="F39" s="194">
        <f>(44.2*KFC!$B$36*1.02+KFC!$C$36)*KFC!$C$5</f>
        <v>45.084000000000003</v>
      </c>
      <c r="G39" s="194">
        <f>(48.9*KFC!$B$36*1.02+KFC!$C$36)*KFC!$C$5</f>
        <v>49.878</v>
      </c>
      <c r="H39" s="194">
        <f>(53.6*KFC!$B$36*1.02+KFC!$C$36)*KFC!$C$5</f>
        <v>54.672000000000004</v>
      </c>
      <c r="I39" s="194">
        <f>(58.3*KFC!$B$36*1.02+KFC!$C$36)*KFC!$C$5</f>
        <v>59.466000000000001</v>
      </c>
      <c r="J39" s="194">
        <f>(63.1*KFC!$B$36*1.02+KFC!$C$36)*KFC!$C$5</f>
        <v>64.362000000000009</v>
      </c>
      <c r="K39" s="194">
        <f>(67.8*KFC!$B$36*1.02+KFC!$C$36)*KFC!$C$5</f>
        <v>69.155999999999992</v>
      </c>
      <c r="L39" s="194">
        <f>(72.5*KFC!$B$36*1.02+KFC!$C$36)*KFC!$C$5</f>
        <v>73.95</v>
      </c>
      <c r="M39" s="194">
        <f>(77.3*KFC!$B$36*1.02+KFC!$C$36)*KFC!$C$5</f>
        <v>78.846000000000004</v>
      </c>
      <c r="N39" s="194">
        <f>(81.9*KFC!$B$36*1.02+KFC!$C$36)*KFC!$C$5</f>
        <v>83.538000000000011</v>
      </c>
      <c r="O39" s="194">
        <f>(86.7*KFC!$B$36*1.02+KFC!$C$36)*KFC!$C$5</f>
        <v>88.433999999999997</v>
      </c>
      <c r="P39" s="194">
        <f>(91.5*KFC!$B$36*1.02+KFC!$C$36)*KFC!$C$5</f>
        <v>93.33</v>
      </c>
      <c r="Q39" s="194">
        <f>(96.1*KFC!$B$36*1.02+KFC!$C$36)*KFC!$C$5</f>
        <v>98.021999999999991</v>
      </c>
      <c r="R39" s="194">
        <f>(100.9*KFC!$B$36*1.02+KFC!$C$36)*KFC!$C$5</f>
        <v>102.91800000000001</v>
      </c>
      <c r="S39" s="194">
        <f>(105.7*KFC!$B$36*1.02+KFC!$C$36)*KFC!$C$5</f>
        <v>107.81400000000001</v>
      </c>
      <c r="T39" s="194">
        <f>(110.3*KFC!$B$36*1.02+KFC!$C$36)*KFC!$C$5</f>
        <v>112.506</v>
      </c>
      <c r="U39" s="194">
        <f>(115.1*KFC!$B$36*1.02+KFC!$C$36)*KFC!$C$5</f>
        <v>117.402</v>
      </c>
      <c r="V39" s="194">
        <f>(119.9*KFC!$B$36*1.02+KFC!$C$36)*KFC!$C$5</f>
        <v>122.298</v>
      </c>
      <c r="W39" s="194">
        <f>(124.5*KFC!$B$36*1.02+KFC!$C$36)*KFC!$C$5</f>
        <v>126.99000000000001</v>
      </c>
      <c r="X39" s="194">
        <f>(129.3*KFC!$B$36*1.02+KFC!$C$36)*KFC!$C$5</f>
        <v>131.88600000000002</v>
      </c>
      <c r="Y39" s="194">
        <f>(134*KFC!$B$36*1.02+KFC!$C$36)*KFC!$C$5</f>
        <v>136.68</v>
      </c>
      <c r="Z39" s="194">
        <f>(138.7*KFC!$B$36*1.02+KFC!$C$36)*KFC!$C$5</f>
        <v>141.47399999999999</v>
      </c>
      <c r="AA39" s="195">
        <f>(143.5*KFC!$B$36*1.02+KFC!$C$36)*KFC!$C$5</f>
        <v>146.37</v>
      </c>
    </row>
    <row r="40" spans="1:27" ht="13.8" thickBot="1">
      <c r="A40" s="1782"/>
      <c r="B40" s="225">
        <v>4</v>
      </c>
      <c r="C40" s="248">
        <f>(30.6*KFC!$B$36*1.02+KFC!$C$36)*KFC!$C$5</f>
        <v>31.212000000000003</v>
      </c>
      <c r="D40" s="196">
        <f>(35.5*KFC!$B$36*1.02+KFC!$C$36)*KFC!$C$5</f>
        <v>36.21</v>
      </c>
      <c r="E40" s="196">
        <f>(40.2*KFC!$B$36*1.02+KFC!$C$36)*KFC!$C$5</f>
        <v>41.004000000000005</v>
      </c>
      <c r="F40" s="196">
        <f>(45.1*KFC!$B$36*1.02+KFC!$C$36)*KFC!$C$5</f>
        <v>46.002000000000002</v>
      </c>
      <c r="G40" s="196">
        <f>(49.9*KFC!$B$36*1.02+KFC!$C$36)*KFC!$C$5</f>
        <v>50.897999999999996</v>
      </c>
      <c r="H40" s="196">
        <f>(54.8*KFC!$B$36*1.02+KFC!$C$36)*KFC!$C$5</f>
        <v>55.896000000000001</v>
      </c>
      <c r="I40" s="196">
        <f>(59.7*KFC!$B$36*1.02+KFC!$C$36)*KFC!$C$5</f>
        <v>60.894000000000005</v>
      </c>
      <c r="J40" s="196">
        <f>(64.5*KFC!$B$36*1.02+KFC!$C$36)*KFC!$C$5</f>
        <v>65.790000000000006</v>
      </c>
      <c r="K40" s="196">
        <f>(69.3*KFC!$B$36*1.02+KFC!$C$36)*KFC!$C$5</f>
        <v>70.685999999999993</v>
      </c>
      <c r="L40" s="196">
        <f>(74.1*KFC!$B$36*1.02+KFC!$C$36)*KFC!$C$5</f>
        <v>75.581999999999994</v>
      </c>
      <c r="M40" s="196">
        <f>(79*KFC!$B$36*1.02+KFC!$C$36)*KFC!$C$5</f>
        <v>80.58</v>
      </c>
      <c r="N40" s="196">
        <f>(83.8*KFC!$B$36*1.02+KFC!$C$36)*KFC!$C$5</f>
        <v>85.475999999999999</v>
      </c>
      <c r="O40" s="196">
        <f>(88.7*KFC!$B$36*1.02+KFC!$C$36)*KFC!$C$5</f>
        <v>90.474000000000004</v>
      </c>
      <c r="P40" s="196">
        <f>(93.6*KFC!$B$36*1.02+KFC!$C$36)*KFC!$C$5</f>
        <v>95.471999999999994</v>
      </c>
      <c r="Q40" s="196">
        <f>(98.3*KFC!$B$36*1.02+KFC!$C$36)*KFC!$C$5</f>
        <v>100.26600000000001</v>
      </c>
      <c r="R40" s="196">
        <f>(103.2*KFC!$B$36*1.02+KFC!$C$36)*KFC!$C$5</f>
        <v>105.26400000000001</v>
      </c>
      <c r="S40" s="196">
        <f>(108*KFC!$B$36*1.02+KFC!$C$36)*KFC!$C$5</f>
        <v>110.16</v>
      </c>
      <c r="T40" s="196">
        <f>(112.9*KFC!$B$36*1.02+KFC!$C$36)*KFC!$C$5</f>
        <v>115.158</v>
      </c>
      <c r="U40" s="196">
        <f>(117.8*KFC!$B$36*1.02+KFC!$C$36)*KFC!$C$5</f>
        <v>120.15600000000001</v>
      </c>
      <c r="V40" s="196">
        <f>(122.5*KFC!$B$36*1.02+KFC!$C$36)*KFC!$C$5</f>
        <v>124.95</v>
      </c>
      <c r="W40" s="196">
        <f>(127.4*KFC!$B$36*1.02+KFC!$C$36)*KFC!$C$5</f>
        <v>129.94800000000001</v>
      </c>
      <c r="X40" s="196">
        <f>(132.2*KFC!$B$36*1.02+KFC!$C$36)*KFC!$C$5</f>
        <v>134.84399999999999</v>
      </c>
      <c r="Y40" s="196">
        <f>(137.1*KFC!$B$36*1.02+KFC!$C$36)*KFC!$C$5</f>
        <v>139.84199999999998</v>
      </c>
      <c r="Z40" s="196">
        <f>(141.9*KFC!$B$36*1.02+KFC!$C$36)*KFC!$C$5</f>
        <v>144.738</v>
      </c>
      <c r="AA40" s="197">
        <f>(146.8*KFC!$B$36*1.02+KFC!$C$36)*KFC!$C$5</f>
        <v>149.73600000000002</v>
      </c>
    </row>
    <row r="41" spans="1:27" ht="13.8" thickBot="1">
      <c r="A41" s="66"/>
      <c r="B41" s="66"/>
      <c r="C41" s="66"/>
      <c r="D41" s="66"/>
      <c r="E41" s="66"/>
      <c r="F41" s="66"/>
      <c r="G41" s="66"/>
      <c r="H41" s="66"/>
      <c r="I41" s="66"/>
      <c r="J41" s="66"/>
      <c r="K41" s="66"/>
      <c r="L41" s="66"/>
      <c r="M41" s="66"/>
      <c r="N41" s="66"/>
    </row>
    <row r="42" spans="1:27" ht="15.75" customHeight="1" thickBot="1">
      <c r="A42" s="1413" t="s">
        <v>315</v>
      </c>
      <c r="B42" s="1415"/>
      <c r="C42" s="1534" t="s">
        <v>207</v>
      </c>
      <c r="D42" s="1535"/>
      <c r="E42" s="1535"/>
      <c r="F42" s="1535"/>
      <c r="G42" s="1535"/>
      <c r="H42" s="1535"/>
      <c r="I42" s="1535"/>
      <c r="J42" s="1535"/>
      <c r="K42" s="1535"/>
      <c r="L42" s="1535"/>
      <c r="M42" s="1535"/>
      <c r="N42" s="1535"/>
      <c r="O42" s="1535"/>
      <c r="P42" s="1535"/>
      <c r="Q42" s="1535"/>
      <c r="R42" s="1535"/>
      <c r="S42" s="1535"/>
      <c r="T42" s="1535"/>
      <c r="U42" s="1535"/>
      <c r="V42" s="1535"/>
      <c r="W42" s="1535"/>
      <c r="X42" s="1535"/>
      <c r="Y42" s="1535"/>
      <c r="Z42" s="1535"/>
      <c r="AA42" s="1536"/>
    </row>
    <row r="43" spans="1:27" ht="12" customHeight="1" thickBot="1">
      <c r="A43" s="1803"/>
      <c r="B43" s="1802"/>
      <c r="C43" s="167">
        <v>0.4</v>
      </c>
      <c r="D43" s="167">
        <v>0.5</v>
      </c>
      <c r="E43" s="167">
        <v>0.6</v>
      </c>
      <c r="F43" s="167">
        <v>0.7</v>
      </c>
      <c r="G43" s="167">
        <v>0.8</v>
      </c>
      <c r="H43" s="167">
        <v>0.9</v>
      </c>
      <c r="I43" s="167">
        <v>1</v>
      </c>
      <c r="J43" s="167">
        <v>1.1000000000000001</v>
      </c>
      <c r="K43" s="167">
        <v>1.2</v>
      </c>
      <c r="L43" s="167">
        <v>1.3</v>
      </c>
      <c r="M43" s="167">
        <v>1.4</v>
      </c>
      <c r="N43" s="120">
        <v>1.5</v>
      </c>
      <c r="O43" s="119">
        <v>1.6</v>
      </c>
      <c r="P43" s="120">
        <v>1.7</v>
      </c>
      <c r="Q43" s="119">
        <v>1.8</v>
      </c>
      <c r="R43" s="120">
        <v>1.9</v>
      </c>
      <c r="S43" s="119">
        <v>2</v>
      </c>
      <c r="T43" s="120">
        <v>2.1</v>
      </c>
      <c r="U43" s="119">
        <v>2.2000000000000002</v>
      </c>
      <c r="V43" s="120">
        <v>2.2999999999999998</v>
      </c>
      <c r="W43" s="119">
        <v>2.4</v>
      </c>
      <c r="X43" s="120">
        <v>2.5</v>
      </c>
      <c r="Y43" s="120">
        <v>2.6</v>
      </c>
      <c r="Z43" s="120">
        <v>2.7</v>
      </c>
      <c r="AA43" s="120">
        <v>2.8</v>
      </c>
    </row>
    <row r="44" spans="1:27" ht="12.75" customHeight="1">
      <c r="A44" s="1780" t="s">
        <v>3</v>
      </c>
      <c r="B44" s="226">
        <v>0.5</v>
      </c>
      <c r="C44" s="246">
        <f>(11*KFC!$B$36*1.02*1.3+KFC!$C$36)*KFC!$C$5</f>
        <v>14.586000000000002</v>
      </c>
      <c r="D44" s="192">
        <f>(12.2*KFC!$B$36*1.02*1.3+KFC!$C$36)*KFC!$C$5</f>
        <v>16.177199999999999</v>
      </c>
      <c r="E44" s="192">
        <f>(13.3*KFC!$B$36*1.02*1.3+KFC!$C$36)*KFC!$C$5</f>
        <v>17.635800000000003</v>
      </c>
      <c r="F44" s="192">
        <f>(14.6*KFC!$B$36*1.02*1.3+KFC!$C$36)*KFC!$C$5</f>
        <v>19.3596</v>
      </c>
      <c r="G44" s="192">
        <f>(15.7*KFC!$B$36*1.02*1.3+KFC!$C$36)*KFC!$C$5</f>
        <v>20.818200000000001</v>
      </c>
      <c r="H44" s="192">
        <f>(16.9*KFC!$B$36*1.02*1.3+KFC!$C$36)*KFC!$C$5</f>
        <v>22.409400000000002</v>
      </c>
      <c r="I44" s="192">
        <f>(18.1*KFC!$B$36*1.02*1.3+KFC!$C$36)*KFC!$C$5</f>
        <v>24.000600000000006</v>
      </c>
      <c r="J44" s="192">
        <f>(19.2*KFC!$B$36*1.02*1.3+KFC!$C$36)*KFC!$C$5</f>
        <v>25.459199999999999</v>
      </c>
      <c r="K44" s="192">
        <f>(20.4*KFC!$B$36*1.02*1.3+KFC!$C$36)*KFC!$C$5</f>
        <v>27.0504</v>
      </c>
      <c r="L44" s="192">
        <f>(21.5*KFC!$B$36*1.02*1.3+KFC!$C$36)*KFC!$C$5</f>
        <v>28.509</v>
      </c>
      <c r="M44" s="192">
        <f>(22.7*KFC!$B$36*1.02*1.3+KFC!$C$36)*KFC!$C$5</f>
        <v>30.100200000000001</v>
      </c>
      <c r="N44" s="192">
        <f>(23.8*KFC!$B$36*1.02*1.3+KFC!$C$36)*KFC!$C$5</f>
        <v>31.558800000000002</v>
      </c>
      <c r="O44" s="192">
        <f>(25.1*KFC!$B$36*1.02*1.3+KFC!$C$36)*KFC!$C$5</f>
        <v>33.282600000000002</v>
      </c>
      <c r="P44" s="192">
        <f>(26.3*KFC!$B$36*1.02*1.3+KFC!$C$36)*KFC!$C$5</f>
        <v>34.873800000000003</v>
      </c>
      <c r="Q44" s="192">
        <f>(27.4*KFC!$B$36*1.02*1.3+KFC!$C$36)*KFC!$C$5</f>
        <v>36.3324</v>
      </c>
      <c r="R44" s="192">
        <f>(28.6*KFC!$B$36*1.02*1.3+KFC!$C$36)*KFC!$C$5</f>
        <v>37.9236</v>
      </c>
      <c r="S44" s="192">
        <f>(29.7*KFC!$B$36*1.02*1.3+KFC!$C$36)*KFC!$C$5</f>
        <v>39.382200000000005</v>
      </c>
      <c r="T44" s="192">
        <f>(30.9*KFC!$B$36*1.02*1.3+KFC!$C$36)*KFC!$C$5</f>
        <v>40.973400000000005</v>
      </c>
      <c r="U44" s="192">
        <f>(32.2*KFC!$B$36*1.02*1.3+KFC!$C$36)*KFC!$C$5</f>
        <v>42.697200000000002</v>
      </c>
      <c r="V44" s="192">
        <f>(33.3*KFC!$B$36*1.02*1.3+KFC!$C$36)*KFC!$C$5</f>
        <v>44.155800000000006</v>
      </c>
      <c r="W44" s="192">
        <f>(34.5*KFC!$B$36*1.02*1.3+KFC!$C$36)*KFC!$C$5</f>
        <v>45.747</v>
      </c>
      <c r="X44" s="192">
        <f>(35.6*KFC!$B$36*1.02*1.3+KFC!$C$36)*KFC!$C$5</f>
        <v>47.205600000000011</v>
      </c>
      <c r="Y44" s="192">
        <f>(36.8*KFC!$B$36*1.02*1.3+KFC!$C$36)*KFC!$C$5</f>
        <v>48.796799999999998</v>
      </c>
      <c r="Z44" s="192">
        <f>(37.9*KFC!$B$36*1.02*1.3+KFC!$C$36)*KFC!$C$5</f>
        <v>50.255400000000002</v>
      </c>
      <c r="AA44" s="193">
        <f>(39.1*KFC!$B$36*1.02*1.3+KFC!$C$36)*KFC!$C$5</f>
        <v>51.846600000000009</v>
      </c>
    </row>
    <row r="45" spans="1:27">
      <c r="A45" s="1781"/>
      <c r="B45" s="224">
        <v>0.6</v>
      </c>
      <c r="C45" s="247">
        <f>(11.6*KFC!$B$36*1.02*1.3+KFC!$C$36)*KFC!$C$5</f>
        <v>15.381599999999999</v>
      </c>
      <c r="D45" s="194">
        <f>(13*KFC!$B$36*1.02*1.3+KFC!$C$36)*KFC!$C$5</f>
        <v>17.238</v>
      </c>
      <c r="E45" s="194">
        <f>(14.3*KFC!$B$36*1.02*1.3+KFC!$C$36)*KFC!$C$5</f>
        <v>18.9618</v>
      </c>
      <c r="F45" s="194">
        <f>(15.7*KFC!$B$36*1.02*1.3+KFC!$C$36)*KFC!$C$5</f>
        <v>20.818200000000001</v>
      </c>
      <c r="G45" s="194">
        <f>(16.9*KFC!$B$36*1.02*1.3+KFC!$C$36)*KFC!$C$5</f>
        <v>22.409400000000002</v>
      </c>
      <c r="H45" s="194">
        <f>(18.2*KFC!$B$36*1.02*1.3+KFC!$C$36)*KFC!$C$5</f>
        <v>24.133200000000002</v>
      </c>
      <c r="I45" s="194">
        <f>(19.6*KFC!$B$36*1.02*1.3+KFC!$C$36)*KFC!$C$5</f>
        <v>25.989600000000003</v>
      </c>
      <c r="J45" s="194">
        <f>(20.9*KFC!$B$36*1.02*1.3+KFC!$C$36)*KFC!$C$5</f>
        <v>27.713399999999996</v>
      </c>
      <c r="K45" s="194">
        <f>(22.3*KFC!$B$36*1.02*1.3+KFC!$C$36)*KFC!$C$5</f>
        <v>29.569800000000004</v>
      </c>
      <c r="L45" s="194">
        <f>(23.5*KFC!$B$36*1.02*1.3+KFC!$C$36)*KFC!$C$5</f>
        <v>31.160999999999998</v>
      </c>
      <c r="M45" s="194">
        <f>(24.8*KFC!$B$36*1.02*1.3+KFC!$C$36)*KFC!$C$5</f>
        <v>32.884800000000006</v>
      </c>
      <c r="N45" s="194">
        <f>(26.2*KFC!$B$36*1.02*1.3+KFC!$C$36)*KFC!$C$5</f>
        <v>34.741199999999999</v>
      </c>
      <c r="O45" s="194">
        <f>(27.5*KFC!$B$36*1.02*1.3+KFC!$C$36)*KFC!$C$5</f>
        <v>36.465000000000003</v>
      </c>
      <c r="P45" s="194">
        <f>(28.7*KFC!$B$36*1.02*1.3+KFC!$C$36)*KFC!$C$5</f>
        <v>38.056200000000004</v>
      </c>
      <c r="Q45" s="194">
        <f>(30.1*KFC!$B$36*1.02*1.3+KFC!$C$36)*KFC!$C$5</f>
        <v>39.912600000000005</v>
      </c>
      <c r="R45" s="194">
        <f>(31.4*KFC!$B$36*1.02*1.3+KFC!$C$36)*KFC!$C$5</f>
        <v>41.636400000000002</v>
      </c>
      <c r="S45" s="194">
        <f>(32.8*KFC!$B$36*1.02*1.3+KFC!$C$36)*KFC!$C$5</f>
        <v>43.492799999999995</v>
      </c>
      <c r="T45" s="194">
        <f>(34*KFC!$B$36*1.02*1.3+KFC!$C$36)*KFC!$C$5</f>
        <v>45.084000000000003</v>
      </c>
      <c r="U45" s="194">
        <f>(35.3*KFC!$B$36*1.02*1.3+KFC!$C$36)*KFC!$C$5</f>
        <v>46.8078</v>
      </c>
      <c r="V45" s="194">
        <f>(36.7*KFC!$B$36*1.02*1.3+KFC!$C$36)*KFC!$C$5</f>
        <v>48.664200000000008</v>
      </c>
      <c r="W45" s="194">
        <f>(38*KFC!$B$36*1.02*1.3+KFC!$C$36)*KFC!$C$5</f>
        <v>50.387999999999998</v>
      </c>
      <c r="X45" s="194">
        <f>(39.3*KFC!$B$36*1.02*1.3+KFC!$C$36)*KFC!$C$5</f>
        <v>52.111800000000002</v>
      </c>
      <c r="Y45" s="194">
        <f>(40.6*KFC!$B$36*1.02*1.3+KFC!$C$36)*KFC!$C$5</f>
        <v>53.835599999999999</v>
      </c>
      <c r="Z45" s="194">
        <f>(41.9*KFC!$B$36*1.02*1.3+KFC!$C$36)*KFC!$C$5</f>
        <v>55.559400000000004</v>
      </c>
      <c r="AA45" s="195">
        <f>(43.3*KFC!$B$36*1.02*1.3+KFC!$C$36)*KFC!$C$5</f>
        <v>57.415799999999997</v>
      </c>
    </row>
    <row r="46" spans="1:27">
      <c r="A46" s="1781"/>
      <c r="B46" s="224">
        <v>0.7</v>
      </c>
      <c r="C46" s="247">
        <f>(12.4*KFC!$B$36*1.02*1.3+KFC!$C$36)*KFC!$C$5</f>
        <v>16.442400000000003</v>
      </c>
      <c r="D46" s="194">
        <f>(13.8*KFC!$B$36*1.02*1.3+KFC!$C$36)*KFC!$C$5</f>
        <v>18.2988</v>
      </c>
      <c r="E46" s="194">
        <f>(15.3*KFC!$B$36*1.02*1.3+KFC!$C$36)*KFC!$C$5</f>
        <v>20.287800000000004</v>
      </c>
      <c r="F46" s="194">
        <f>(16.8*KFC!$B$36*1.02*1.3+KFC!$C$36)*KFC!$C$5</f>
        <v>22.276800000000005</v>
      </c>
      <c r="G46" s="194">
        <f>(18.2*KFC!$B$36*1.02*1.3+KFC!$C$36)*KFC!$C$5</f>
        <v>24.133200000000002</v>
      </c>
      <c r="H46" s="194">
        <f>(19.2*KFC!$B$36*1.02*1.3+KFC!$C$36)*KFC!$C$5</f>
        <v>25.459199999999999</v>
      </c>
      <c r="I46" s="194">
        <f>(21.2*KFC!$B$36*1.02*1.3+KFC!$C$36)*KFC!$C$5</f>
        <v>28.1112</v>
      </c>
      <c r="J46" s="194">
        <f>(22.5*KFC!$B$36*1.02*1.3+KFC!$C$36)*KFC!$C$5</f>
        <v>29.835000000000001</v>
      </c>
      <c r="K46" s="194">
        <f>(24*KFC!$B$36*1.02*1.3+KFC!$C$36)*KFC!$C$5</f>
        <v>31.824000000000002</v>
      </c>
      <c r="L46" s="194">
        <f>(25.4*KFC!$B$36*1.02*1.3+KFC!$C$36)*KFC!$C$5</f>
        <v>33.680399999999999</v>
      </c>
      <c r="M46" s="194">
        <f>(26.9*KFC!$B$36*1.02*1.3+KFC!$C$36)*KFC!$C$5</f>
        <v>35.669400000000003</v>
      </c>
      <c r="N46" s="194">
        <f>(48.4*KFC!$B$36*1.02*1.3+KFC!$C$36)*KFC!$C$5</f>
        <v>64.178400000000011</v>
      </c>
      <c r="O46" s="194">
        <f>(29.8*KFC!$B$36*1.02*1.3+KFC!$C$36)*KFC!$C$5</f>
        <v>39.514800000000001</v>
      </c>
      <c r="P46" s="194">
        <f>(31.3*KFC!$B$36*1.02*1.3+KFC!$C$36)*KFC!$C$5</f>
        <v>41.503800000000005</v>
      </c>
      <c r="Q46" s="194">
        <f>(32.8*KFC!$B$36*1.02*1.3+KFC!$C$36)*KFC!$C$5</f>
        <v>43.492799999999995</v>
      </c>
      <c r="R46" s="194">
        <f>(34.2*KFC!$B$36*1.02*1.3+KFC!$C$36)*KFC!$C$5</f>
        <v>45.349200000000003</v>
      </c>
      <c r="S46" s="194">
        <f>(35.7*KFC!$B$36*1.02*1.3+KFC!$C$36)*KFC!$C$5</f>
        <v>47.338200000000001</v>
      </c>
      <c r="T46" s="194">
        <f>(37.2*KFC!$B$36*1.02*1.3+KFC!$C$36)*KFC!$C$5</f>
        <v>49.327200000000005</v>
      </c>
      <c r="U46" s="194">
        <f>(38.6*KFC!$B$36*1.02*1.3+KFC!$C$36)*KFC!$C$5</f>
        <v>51.183599999999998</v>
      </c>
      <c r="V46" s="194">
        <f>(40.1*KFC!$B$36*1.02*1.3+KFC!$C$36)*KFC!$C$5</f>
        <v>53.172600000000003</v>
      </c>
      <c r="W46" s="194">
        <f>(41.6*KFC!$B$36*1.02*1.3+KFC!$C$36)*KFC!$C$5</f>
        <v>55.161600000000007</v>
      </c>
      <c r="X46" s="194">
        <f>(43*KFC!$B$36*1.02*1.3+KFC!$C$36)*KFC!$C$5</f>
        <v>57.018000000000001</v>
      </c>
      <c r="Y46" s="194">
        <f>(44.5*KFC!$B$36*1.02*1.3+KFC!$C$36)*KFC!$C$5</f>
        <v>59.007000000000005</v>
      </c>
      <c r="Z46" s="194">
        <f>(45.9*KFC!$B$36*1.02*1.3+KFC!$C$36)*KFC!$C$5</f>
        <v>60.863399999999999</v>
      </c>
      <c r="AA46" s="195">
        <f>(47.3*KFC!$B$36*1.02*1.3+KFC!$C$36)*KFC!$C$5</f>
        <v>62.719799999999999</v>
      </c>
    </row>
    <row r="47" spans="1:27">
      <c r="A47" s="1781"/>
      <c r="B47" s="224">
        <v>0.8</v>
      </c>
      <c r="C47" s="247">
        <f>(13*KFC!$B$36*1.02*1.3+KFC!$C$36)*KFC!$C$5</f>
        <v>17.238</v>
      </c>
      <c r="D47" s="194">
        <f>(14.6*KFC!$B$36*1.02*1.3+KFC!$C$36)*KFC!$C$5</f>
        <v>19.3596</v>
      </c>
      <c r="E47" s="194">
        <f>(16.3*KFC!$B$36*1.02*1.3+KFC!$C$36)*KFC!$C$5</f>
        <v>21.613800000000001</v>
      </c>
      <c r="F47" s="194">
        <f>(17.9*KFC!$B$36*1.02*1.3+KFC!$C$36)*KFC!$C$5</f>
        <v>23.735399999999998</v>
      </c>
      <c r="G47" s="194">
        <f>(19.4*KFC!$B$36*1.02*1.3+KFC!$C$36)*KFC!$C$5</f>
        <v>25.724400000000003</v>
      </c>
      <c r="H47" s="194">
        <f>(21*KFC!$B$36*1.02*1.3+KFC!$C$36)*KFC!$C$5</f>
        <v>27.846000000000004</v>
      </c>
      <c r="I47" s="194">
        <f>(22.6*KFC!$B$36*1.02*1.3+KFC!$C$36)*KFC!$C$5</f>
        <v>29.967600000000004</v>
      </c>
      <c r="J47" s="194">
        <f>(24.2*KFC!$B$36*1.02*1.3+KFC!$C$36)*KFC!$C$5</f>
        <v>32.089200000000005</v>
      </c>
      <c r="K47" s="194">
        <f>(25.8*KFC!$B$36*1.02*1.3+KFC!$C$36)*KFC!$C$5</f>
        <v>34.210800000000006</v>
      </c>
      <c r="L47" s="194">
        <f>(27.4*KFC!$B$36*1.02*1.3+KFC!$C$36)*KFC!$C$5</f>
        <v>36.3324</v>
      </c>
      <c r="M47" s="194">
        <f>(29*KFC!$B$36*1.02*1.3+KFC!$C$36)*KFC!$C$5</f>
        <v>38.454000000000001</v>
      </c>
      <c r="N47" s="194">
        <f>(30.7*KFC!$B$36*1.02*1.3+KFC!$C$36)*KFC!$C$5</f>
        <v>40.708199999999998</v>
      </c>
      <c r="O47" s="194">
        <f>(32.3*KFC!$B$36*1.02*1.3+KFC!$C$36)*KFC!$C$5</f>
        <v>42.829799999999999</v>
      </c>
      <c r="P47" s="194">
        <f>(33.9*KFC!$B$36*1.02*1.3+KFC!$C$36)*KFC!$C$5</f>
        <v>44.9514</v>
      </c>
      <c r="Q47" s="194">
        <f>(35.5*KFC!$B$36*1.02*1.3+KFC!$C$36)*KFC!$C$5</f>
        <v>47.073</v>
      </c>
      <c r="R47" s="194">
        <f>(37.1*KFC!$B$36*1.02*1.3+KFC!$C$36)*KFC!$C$5</f>
        <v>49.194600000000001</v>
      </c>
      <c r="S47" s="194">
        <f>(38.6*KFC!$B$36*1.02*1.3+KFC!$C$36)*KFC!$C$5</f>
        <v>51.183599999999998</v>
      </c>
      <c r="T47" s="194">
        <f>(40.2*KFC!$B$36*1.02*1.3+KFC!$C$36)*KFC!$C$5</f>
        <v>53.305200000000006</v>
      </c>
      <c r="U47" s="194">
        <f>(41.8*KFC!$B$36*1.02*1.3+KFC!$C$36)*KFC!$C$5</f>
        <v>55.426799999999993</v>
      </c>
      <c r="V47" s="194">
        <f>(43.5*KFC!$B$36*1.02*1.3+KFC!$C$36)*KFC!$C$5</f>
        <v>57.680999999999997</v>
      </c>
      <c r="W47" s="194">
        <f>(45.1*KFC!$B$36*1.02*1.3+KFC!$C$36)*KFC!$C$5</f>
        <v>59.802600000000005</v>
      </c>
      <c r="X47" s="194">
        <f>(46.7*KFC!$B$36*1.02*1.3+KFC!$C$36)*KFC!$C$5</f>
        <v>61.924199999999999</v>
      </c>
      <c r="Y47" s="194">
        <f>(48.3*KFC!$B$36*1.02*1.3+KFC!$C$36)*KFC!$C$5</f>
        <v>64.0458</v>
      </c>
      <c r="Z47" s="194">
        <f>(49.9*KFC!$B$36*1.02*1.3+KFC!$C$36)*KFC!$C$5</f>
        <v>66.167400000000001</v>
      </c>
      <c r="AA47" s="195">
        <f>(51.5*KFC!$B$36*1.02*1.3+KFC!$C$36)*KFC!$C$5</f>
        <v>68.289000000000001</v>
      </c>
    </row>
    <row r="48" spans="1:27">
      <c r="A48" s="1781"/>
      <c r="B48" s="224">
        <v>0.9</v>
      </c>
      <c r="C48" s="247">
        <f>(13.7*KFC!$B$36*1.02*1.3+KFC!$C$36)*KFC!$C$5</f>
        <v>18.1662</v>
      </c>
      <c r="D48" s="194">
        <f>(15.4*KFC!$B$36*1.02*1.3+KFC!$C$36)*KFC!$C$5</f>
        <v>20.420400000000001</v>
      </c>
      <c r="E48" s="194">
        <f>(17.1*KFC!$B$36*1.02*1.3+KFC!$C$36)*KFC!$C$5</f>
        <v>22.674600000000002</v>
      </c>
      <c r="F48" s="194">
        <f>(19*KFC!$B$36*1.02*1.3+KFC!$C$36)*KFC!$C$5</f>
        <v>25.193999999999999</v>
      </c>
      <c r="G48" s="194">
        <f>(20.7*KFC!$B$36*1.02*1.3+KFC!$C$36)*KFC!$C$5</f>
        <v>27.448200000000003</v>
      </c>
      <c r="H48" s="194">
        <f>(22.4*KFC!$B$36*1.02*1.3+KFC!$C$36)*KFC!$C$5</f>
        <v>29.702400000000001</v>
      </c>
      <c r="I48" s="194">
        <f>(24.2*KFC!$B$36*1.02*1.3+KFC!$C$36)*KFC!$C$5</f>
        <v>32.089200000000005</v>
      </c>
      <c r="J48" s="194">
        <f>(25.9*KFC!$B$36*1.02*1.3+KFC!$C$36)*KFC!$C$5</f>
        <v>34.343400000000003</v>
      </c>
      <c r="K48" s="194">
        <f>(27.6*KFC!$B$36*1.02*1.3+KFC!$C$36)*KFC!$C$5</f>
        <v>36.5976</v>
      </c>
      <c r="L48" s="194">
        <f>(29.4*KFC!$B$36*1.02*1.3+KFC!$C$36)*KFC!$C$5</f>
        <v>38.984400000000001</v>
      </c>
      <c r="M48" s="194">
        <f>(31.2*KFC!$B$36*1.02*1.3+KFC!$C$36)*KFC!$C$5</f>
        <v>41.371200000000002</v>
      </c>
      <c r="N48" s="194">
        <f>(32.9*KFC!$B$36*1.02*1.3+KFC!$C$36)*KFC!$C$5</f>
        <v>43.625399999999999</v>
      </c>
      <c r="O48" s="194">
        <f>(34.6*KFC!$B$36*1.02*1.3+KFC!$C$36)*KFC!$C$5</f>
        <v>45.879600000000003</v>
      </c>
      <c r="P48" s="194">
        <f>(36.4*KFC!$B$36*1.02*1.3+KFC!$C$36)*KFC!$C$5</f>
        <v>48.266400000000004</v>
      </c>
      <c r="Q48" s="194">
        <f>(38.2*KFC!$B$36*1.02*1.3+KFC!$C$36)*KFC!$C$5</f>
        <v>50.653200000000012</v>
      </c>
      <c r="R48" s="194">
        <f>(39.9*KFC!$B$36*1.02*1.3+KFC!$C$36)*KFC!$C$5</f>
        <v>52.907400000000003</v>
      </c>
      <c r="S48" s="194">
        <f>(41.6*KFC!$B$36*1.02*1.3+KFC!$C$36)*KFC!$C$5</f>
        <v>55.161600000000007</v>
      </c>
      <c r="T48" s="194">
        <f>(43.4*KFC!$B$36*1.02*1.3+KFC!$C$36)*KFC!$C$5</f>
        <v>57.548400000000001</v>
      </c>
      <c r="U48" s="194">
        <f>(45.1*KFC!$B$36*1.02*1.3+KFC!$C$36)*KFC!$C$5</f>
        <v>59.802600000000005</v>
      </c>
      <c r="V48" s="194">
        <f>(46.8*KFC!$B$36*1.02*1.3+KFC!$C$36)*KFC!$C$5</f>
        <v>62.056799999999996</v>
      </c>
      <c r="W48" s="194">
        <f>(48.7*KFC!$B$36*1.02*1.3+KFC!$C$36)*KFC!$C$5</f>
        <v>64.576200000000014</v>
      </c>
      <c r="X48" s="194">
        <f>(50.4*KFC!$B$36*1.02*1.3+KFC!$C$36)*KFC!$C$5</f>
        <v>66.830399999999997</v>
      </c>
      <c r="Y48" s="194">
        <f>(52.1*KFC!$B$36*1.02*1.3+KFC!$C$36)*KFC!$C$5</f>
        <v>69.084600000000009</v>
      </c>
      <c r="Z48" s="194">
        <f>(53.9*KFC!$B$36*1.02*1.3+KFC!$C$36)*KFC!$C$5</f>
        <v>71.471400000000003</v>
      </c>
      <c r="AA48" s="195">
        <f>(55.6*KFC!$B$36*1.02*1.3+KFC!$C$36)*KFC!$C$5</f>
        <v>73.7256</v>
      </c>
    </row>
    <row r="49" spans="1:27">
      <c r="A49" s="1781"/>
      <c r="B49" s="224">
        <v>1</v>
      </c>
      <c r="C49" s="247">
        <f>(14.3*KFC!$B$36*1.02*1.3+KFC!$C$36)*KFC!$C$5</f>
        <v>18.9618</v>
      </c>
      <c r="D49" s="194">
        <f>(16.3*KFC!$B$36*1.02*1.3+KFC!$C$36)*KFC!$C$5</f>
        <v>21.613800000000001</v>
      </c>
      <c r="E49" s="194">
        <f>(18.1*KFC!$B$36*1.02*1.3+KFC!$C$36)*KFC!$C$5</f>
        <v>24.000600000000006</v>
      </c>
      <c r="F49" s="194">
        <f>(20.1*KFC!$B$36*1.02*1.3+KFC!$C$36)*KFC!$C$5</f>
        <v>26.652600000000003</v>
      </c>
      <c r="G49" s="194">
        <f>(21.9*KFC!$B$36*1.02*1.3+KFC!$C$36)*KFC!$C$5</f>
        <v>29.039399999999997</v>
      </c>
      <c r="H49" s="194">
        <f>(23.8*KFC!$B$36*1.02*1.3+KFC!$C$36)*KFC!$C$5</f>
        <v>31.558800000000002</v>
      </c>
      <c r="I49" s="194">
        <f>(25.7*KFC!$B$36*1.02*1.3+KFC!$C$36)*KFC!$C$5</f>
        <v>34.078200000000002</v>
      </c>
      <c r="J49" s="194">
        <f>(27.5*KFC!$B$36*1.02*1.3+KFC!$C$36)*KFC!$C$5</f>
        <v>36.465000000000003</v>
      </c>
      <c r="K49" s="194">
        <f>(29.5*KFC!$B$36*1.02*1.3+KFC!$C$36)*KFC!$C$5</f>
        <v>39.117000000000004</v>
      </c>
      <c r="L49" s="194">
        <f>(31.3*KFC!$B$36*1.02*1.3+KFC!$C$36)*KFC!$C$5</f>
        <v>41.503800000000005</v>
      </c>
      <c r="M49" s="194">
        <f>(33.3*KFC!$B$36*1.02*1.3+KFC!$C$36)*KFC!$C$5</f>
        <v>44.155800000000006</v>
      </c>
      <c r="N49" s="194">
        <f>(35.1*KFC!$B$36*1.02*1.3+KFC!$C$36)*KFC!$C$5</f>
        <v>46.5426</v>
      </c>
      <c r="O49" s="194">
        <f>(37.1*KFC!$B$36*1.02*1.3+KFC!$C$36)*KFC!$C$5</f>
        <v>49.194600000000001</v>
      </c>
      <c r="P49" s="194">
        <f>(38.9*KFC!$B$36*1.02*1.3+KFC!$C$36)*KFC!$C$5</f>
        <v>51.581399999999995</v>
      </c>
      <c r="Q49" s="194">
        <f>(40.8*KFC!$B$36*1.02*1.3+KFC!$C$36)*KFC!$C$5</f>
        <v>54.1008</v>
      </c>
      <c r="R49" s="194">
        <f>(42.7*KFC!$B$36*1.02*1.3+KFC!$C$36)*KFC!$C$5</f>
        <v>56.620200000000004</v>
      </c>
      <c r="S49" s="194">
        <f>(44.6*KFC!$B$36*1.02*1.3+KFC!$C$36)*KFC!$C$5</f>
        <v>59.139600000000009</v>
      </c>
      <c r="T49" s="194">
        <f>(46.5*KFC!$B$36*1.02*1.3+KFC!$C$36)*KFC!$C$5</f>
        <v>61.658999999999999</v>
      </c>
      <c r="U49" s="194">
        <f>(48.4*KFC!$B$36*1.02*1.3+KFC!$C$36)*KFC!$C$5</f>
        <v>64.178400000000011</v>
      </c>
      <c r="V49" s="194">
        <f>(50.3*KFC!$B$36*1.02*1.3+KFC!$C$36)*KFC!$C$5</f>
        <v>66.697800000000001</v>
      </c>
      <c r="W49" s="194">
        <f>(52.2*KFC!$B$36*1.02*1.3+KFC!$C$36)*KFC!$C$5</f>
        <v>69.217200000000005</v>
      </c>
      <c r="X49" s="194">
        <f>(54.1*KFC!$B$36*1.02*1.3+KFC!$C$36)*KFC!$C$5</f>
        <v>71.73660000000001</v>
      </c>
      <c r="Y49" s="194">
        <f>(56*KFC!$B$36*1.02*1.3+KFC!$C$36)*KFC!$C$5</f>
        <v>74.256000000000014</v>
      </c>
      <c r="Z49" s="194">
        <f>(57.8*KFC!$B$36*1.02*1.3+KFC!$C$36)*KFC!$C$5</f>
        <v>76.642799999999994</v>
      </c>
      <c r="AA49" s="195">
        <f>(59.8*KFC!$B$36*1.02*1.3+KFC!$C$36)*KFC!$C$5</f>
        <v>79.294799999999995</v>
      </c>
    </row>
    <row r="50" spans="1:27">
      <c r="A50" s="1781"/>
      <c r="B50" s="224">
        <v>1.1000000000000001</v>
      </c>
      <c r="C50" s="247">
        <f>(15*KFC!$B$36*1.02*1.3+KFC!$C$36)*KFC!$C$5</f>
        <v>19.89</v>
      </c>
      <c r="D50" s="194">
        <f>(17*KFC!$B$36*1.02*1.3+KFC!$C$36)*KFC!$C$5</f>
        <v>22.542000000000002</v>
      </c>
      <c r="E50" s="194">
        <f>(19.1*KFC!$B$36*1.02*1.3+KFC!$C$36)*KFC!$C$5</f>
        <v>25.326600000000006</v>
      </c>
      <c r="F50" s="194">
        <f>(21.2*KFC!$B$36*1.02*1.3+KFC!$C$36)*KFC!$C$5</f>
        <v>28.1112</v>
      </c>
      <c r="G50" s="194">
        <f>(23.1*KFC!$B$36*1.02*1.3+KFC!$C$36)*KFC!$C$5</f>
        <v>30.630600000000001</v>
      </c>
      <c r="H50" s="194">
        <f>(25.2*KFC!$B$36*1.02*1.3+KFC!$C$36)*KFC!$C$5</f>
        <v>33.415199999999999</v>
      </c>
      <c r="I50" s="194">
        <f>(27.3*KFC!$B$36*1.02*1.3+KFC!$C$36)*KFC!$C$5</f>
        <v>36.199800000000003</v>
      </c>
      <c r="J50" s="194">
        <f>(29.2*KFC!$B$36*1.02*1.3+KFC!$C$36)*KFC!$C$5</f>
        <v>38.719200000000001</v>
      </c>
      <c r="K50" s="194">
        <f>(31.3*KFC!$B$36*1.02*1.3+KFC!$C$36)*KFC!$C$5</f>
        <v>41.503800000000005</v>
      </c>
      <c r="L50" s="194">
        <f>(33.3*KFC!$B$36*1.02*1.3+KFC!$C$36)*KFC!$C$5</f>
        <v>44.155800000000006</v>
      </c>
      <c r="M50" s="194">
        <f>(35.3*KFC!$B$36*1.02*1.3+KFC!$C$36)*KFC!$C$5</f>
        <v>46.8078</v>
      </c>
      <c r="N50" s="194">
        <f>(37.4*KFC!$B$36*1.02*1.3+KFC!$C$36)*KFC!$C$5</f>
        <v>49.592399999999998</v>
      </c>
      <c r="O50" s="194">
        <f>(39.4*KFC!$B$36*1.02*1.3+KFC!$C$36)*KFC!$C$5</f>
        <v>52.244400000000006</v>
      </c>
      <c r="P50" s="194">
        <f>(41.5*KFC!$B$36*1.02*1.3+KFC!$C$36)*KFC!$C$5</f>
        <v>55.028999999999996</v>
      </c>
      <c r="Q50" s="194">
        <f>(43.5*KFC!$B$36*1.02*1.3+KFC!$C$36)*KFC!$C$5</f>
        <v>57.680999999999997</v>
      </c>
      <c r="R50" s="194">
        <f>(45.5*KFC!$B$36*1.02*1.3+KFC!$C$36)*KFC!$C$5</f>
        <v>60.333000000000006</v>
      </c>
      <c r="S50" s="194">
        <f>(47.6*KFC!$B$36*1.02*1.3+KFC!$C$36)*KFC!$C$5</f>
        <v>63.117600000000003</v>
      </c>
      <c r="T50" s="194">
        <f>(49.7*KFC!$B$36*1.02*1.3+KFC!$C$36)*KFC!$C$5</f>
        <v>65.902200000000008</v>
      </c>
      <c r="U50" s="194">
        <f>(51.6*KFC!$B$36*1.02*1.3+KFC!$C$36)*KFC!$C$5</f>
        <v>68.421600000000012</v>
      </c>
      <c r="V50" s="194">
        <f>(53.7*KFC!$B$36*1.02*1.3+KFC!$C$36)*KFC!$C$5</f>
        <v>71.20620000000001</v>
      </c>
      <c r="W50" s="194">
        <f>(55.8*KFC!$B$36*1.02*1.3+KFC!$C$36)*KFC!$C$5</f>
        <v>73.990799999999993</v>
      </c>
      <c r="X50" s="194">
        <f>(57.7*KFC!$B$36*1.02*1.3+KFC!$C$36)*KFC!$C$5</f>
        <v>76.510200000000012</v>
      </c>
      <c r="Y50" s="194">
        <f>(59.8*KFC!$B$36*1.02*1.3+KFC!$C$36)*KFC!$C$5</f>
        <v>79.294799999999995</v>
      </c>
      <c r="Z50" s="194">
        <f>(61.9*KFC!$B$36*1.02*1.3+KFC!$C$36)*KFC!$C$5</f>
        <v>82.079400000000007</v>
      </c>
      <c r="AA50" s="195">
        <f>(63.8*KFC!$B$36*1.02*1.3+KFC!$C$36)*KFC!$C$5</f>
        <v>84.598799999999997</v>
      </c>
    </row>
    <row r="51" spans="1:27">
      <c r="A51" s="1781"/>
      <c r="B51" s="224">
        <v>1.2</v>
      </c>
      <c r="C51" s="247">
        <f>(15.7*KFC!$B$36*1.02*1.3+KFC!$C$36)*KFC!$C$5</f>
        <v>20.818200000000001</v>
      </c>
      <c r="D51" s="194">
        <f>(17.9*KFC!$B$36*1.02*1.3+KFC!$C$36)*KFC!$C$5</f>
        <v>23.735399999999998</v>
      </c>
      <c r="E51" s="194">
        <f>(20.1*KFC!$B$36*1.02*1.3+KFC!$C$36)*KFC!$C$5</f>
        <v>26.652600000000003</v>
      </c>
      <c r="F51" s="194">
        <f>(22.3*KFC!$B$36*1.02*1.3+KFC!$C$36)*KFC!$C$5</f>
        <v>29.569800000000004</v>
      </c>
      <c r="G51" s="194">
        <f>(24.3*KFC!$B$36*1.02*1.3+KFC!$C$36)*KFC!$C$5</f>
        <v>32.221800000000002</v>
      </c>
      <c r="H51" s="194">
        <f>(26.5*KFC!$B$36*1.02*1.3+KFC!$C$36)*KFC!$C$5</f>
        <v>35.139000000000003</v>
      </c>
      <c r="I51" s="194">
        <f>(28.7*KFC!$B$36*1.02*1.3+KFC!$C$36)*KFC!$C$5</f>
        <v>38.056200000000004</v>
      </c>
      <c r="J51" s="194">
        <f>(30.9*KFC!$B$36*1.02*1.3+KFC!$C$36)*KFC!$C$5</f>
        <v>40.973400000000005</v>
      </c>
      <c r="K51" s="194">
        <f>(33.1*KFC!$B$36*1.02*1.3+KFC!$C$36)*KFC!$C$5</f>
        <v>43.890599999999999</v>
      </c>
      <c r="L51" s="194">
        <f>(35.3*KFC!$B$36*1.02*1.3+KFC!$C$36)*KFC!$C$5</f>
        <v>46.8078</v>
      </c>
      <c r="M51" s="194">
        <f>(37.4*KFC!$B$36*1.02*1.3+KFC!$C$36)*KFC!$C$5</f>
        <v>49.592399999999998</v>
      </c>
      <c r="N51" s="194">
        <f>(39.6*KFC!$B$36*1.02*1.3+KFC!$C$36)*KFC!$C$5</f>
        <v>52.509600000000006</v>
      </c>
      <c r="O51" s="194">
        <f>(41.8*KFC!$B$36*1.02*1.3+KFC!$C$36)*KFC!$C$5</f>
        <v>55.426799999999993</v>
      </c>
      <c r="P51" s="194">
        <f>(44*KFC!$B$36*1.02*1.3+KFC!$C$36)*KFC!$C$5</f>
        <v>58.344000000000008</v>
      </c>
      <c r="Q51" s="194">
        <f>(46.2*KFC!$B$36*1.02*1.3+KFC!$C$36)*KFC!$C$5</f>
        <v>61.261200000000002</v>
      </c>
      <c r="R51" s="194">
        <f>(48.4*KFC!$B$36*1.02*1.3+KFC!$C$36)*KFC!$C$5</f>
        <v>64.178400000000011</v>
      </c>
      <c r="S51" s="194">
        <f>(50.5*KFC!$B$36*1.02*1.3+KFC!$C$36)*KFC!$C$5</f>
        <v>66.962999999999994</v>
      </c>
      <c r="T51" s="194">
        <f>(52.7*KFC!$B$36*1.02*1.3+KFC!$C$36)*KFC!$C$5</f>
        <v>69.880200000000002</v>
      </c>
      <c r="U51" s="194">
        <f>(54.9*KFC!$B$36*1.02*1.3+KFC!$C$36)*KFC!$C$5</f>
        <v>72.797399999999996</v>
      </c>
      <c r="V51" s="194">
        <f>(57.1*KFC!$B$36*1.02*1.3+KFC!$C$36)*KFC!$C$5</f>
        <v>75.714600000000004</v>
      </c>
      <c r="W51" s="194">
        <f>(59.3*KFC!$B$36*1.02*1.3+KFC!$C$36)*KFC!$C$5</f>
        <v>78.631799999999998</v>
      </c>
      <c r="X51" s="194">
        <f>(61.5*KFC!$B$36*1.02*1.3+KFC!$C$36)*KFC!$C$5</f>
        <v>81.549000000000007</v>
      </c>
      <c r="Y51" s="194">
        <f>(63.6*KFC!$B$36*1.02*1.3+KFC!$C$36)*KFC!$C$5</f>
        <v>84.333600000000004</v>
      </c>
      <c r="Z51" s="194">
        <f>(65.8*KFC!$B$36*1.02*1.3+KFC!$C$36)*KFC!$C$5</f>
        <v>87.250799999999998</v>
      </c>
      <c r="AA51" s="195">
        <f>(68*KFC!$B$36*1.02*1.3+KFC!$C$36)*KFC!$C$5</f>
        <v>90.168000000000006</v>
      </c>
    </row>
    <row r="52" spans="1:27">
      <c r="A52" s="1781"/>
      <c r="B52" s="224">
        <v>1.3</v>
      </c>
      <c r="C52" s="247">
        <f>(16.3*KFC!$B$36*1.02*1.3+KFC!$C$36)*KFC!$C$5</f>
        <v>21.613800000000001</v>
      </c>
      <c r="D52" s="194">
        <f>(18.6*KFC!$B$36*1.02*1.3+KFC!$C$36)*KFC!$C$5</f>
        <v>24.663600000000002</v>
      </c>
      <c r="E52" s="194">
        <f>(20.9*KFC!$B$36*1.02*1.3+KFC!$C$36)*KFC!$C$5</f>
        <v>27.713399999999996</v>
      </c>
      <c r="F52" s="194">
        <f>(23.2*KFC!$B$36*1.02*1.3+KFC!$C$36)*KFC!$C$5</f>
        <v>30.763199999999998</v>
      </c>
      <c r="G52" s="194">
        <f>(25.6*KFC!$B$36*1.02*1.3+KFC!$C$36)*KFC!$C$5</f>
        <v>33.945600000000006</v>
      </c>
      <c r="H52" s="194">
        <f>(27.9*KFC!$B$36*1.02*1.3+KFC!$C$36)*KFC!$C$5</f>
        <v>36.995399999999997</v>
      </c>
      <c r="I52" s="194">
        <f>(30.3*KFC!$B$36*1.02*1.3+KFC!$C$36)*KFC!$C$5</f>
        <v>40.177800000000005</v>
      </c>
      <c r="J52" s="194">
        <f>(32.7*KFC!$B$36*1.02*1.3+KFC!$C$36)*KFC!$C$5</f>
        <v>43.360200000000013</v>
      </c>
      <c r="K52" s="194">
        <f>(35*KFC!$B$36*1.02*1.3+KFC!$C$36)*KFC!$C$5</f>
        <v>46.410000000000004</v>
      </c>
      <c r="L52" s="194">
        <f>(37.3*KFC!$B$36*1.02*1.3+KFC!$C$36)*KFC!$C$5</f>
        <v>49.459800000000001</v>
      </c>
      <c r="M52" s="194">
        <f>(39.6*KFC!$B$36*1.02*1.3+KFC!$C$36)*KFC!$C$5</f>
        <v>52.509600000000006</v>
      </c>
      <c r="N52" s="194">
        <f>(41.9*KFC!$B$36*1.02*1.3+KFC!$C$36)*KFC!$C$5</f>
        <v>55.559400000000004</v>
      </c>
      <c r="O52" s="194">
        <f>(44.3*KFC!$B$36*1.02*1.3+KFC!$C$36)*KFC!$C$5</f>
        <v>58.741800000000005</v>
      </c>
      <c r="P52" s="194">
        <f>(46.6*KFC!$B$36*1.02*1.3+KFC!$C$36)*KFC!$C$5</f>
        <v>61.79160000000001</v>
      </c>
      <c r="Q52" s="194">
        <f>(48.9*KFC!$B$36*1.02*1.3+KFC!$C$36)*KFC!$C$5</f>
        <v>64.841400000000007</v>
      </c>
      <c r="R52" s="194">
        <f>(51.2*KFC!$B$36*1.02*1.3+KFC!$C$36)*KFC!$C$5</f>
        <v>67.891200000000012</v>
      </c>
      <c r="S52" s="194">
        <f>(53.6*KFC!$B$36*1.02*1.3+KFC!$C$36)*KFC!$C$5</f>
        <v>71.073600000000013</v>
      </c>
      <c r="T52" s="194">
        <f>(55.9*KFC!$B$36*1.02*1.3+KFC!$C$36)*KFC!$C$5</f>
        <v>74.123400000000004</v>
      </c>
      <c r="U52" s="194">
        <f>(58.2*KFC!$B$36*1.02*1.3+KFC!$C$36)*KFC!$C$5</f>
        <v>77.173200000000008</v>
      </c>
      <c r="V52" s="194">
        <f>(60.5*KFC!$B$36*1.02*1.3+KFC!$C$36)*KFC!$C$5</f>
        <v>80.222999999999999</v>
      </c>
      <c r="W52" s="194">
        <f>(62.9*KFC!$B$36*1.02*1.3+KFC!$C$36)*KFC!$C$5</f>
        <v>83.4054</v>
      </c>
      <c r="X52" s="194">
        <f>(65.2*KFC!$B$36*1.02*1.3+KFC!$C$36)*KFC!$C$5</f>
        <v>86.455200000000005</v>
      </c>
      <c r="Y52" s="194">
        <f>(67.5*KFC!$B$36*1.02*1.3+KFC!$C$36)*KFC!$C$5</f>
        <v>89.504999999999995</v>
      </c>
      <c r="Z52" s="194">
        <f>(69.8*KFC!$B$36*1.02*1.3+KFC!$C$36)*KFC!$C$5</f>
        <v>92.5548</v>
      </c>
      <c r="AA52" s="195">
        <f>(72.2*KFC!$B$36*1.02*1.3+KFC!$C$36)*KFC!$C$5</f>
        <v>95.737200000000016</v>
      </c>
    </row>
    <row r="53" spans="1:27">
      <c r="A53" s="1781"/>
      <c r="B53" s="224">
        <v>1.4</v>
      </c>
      <c r="C53" s="247">
        <f>(17*KFC!$B$36*1.02*1.3+KFC!$C$36)*KFC!$C$5</f>
        <v>22.542000000000002</v>
      </c>
      <c r="D53" s="194">
        <f>(19.4*KFC!$B$36*1.02*1.3+KFC!$C$36)*KFC!$C$5</f>
        <v>25.724400000000003</v>
      </c>
      <c r="E53" s="194">
        <f>(21.9*KFC!$B$36*1.02*1.3+KFC!$C$36)*KFC!$C$5</f>
        <v>29.039399999999997</v>
      </c>
      <c r="F53" s="194">
        <f>(24.3*KFC!$B$36*1.02*1.3+KFC!$C$36)*KFC!$C$5</f>
        <v>32.221800000000002</v>
      </c>
      <c r="G53" s="194">
        <f>(26.9*KFC!$B$36*1.02*1.3+KFC!$C$36)*KFC!$C$5</f>
        <v>35.669400000000003</v>
      </c>
      <c r="H53" s="194">
        <f>(29.4*KFC!$B$36*1.02*1.3+KFC!$C$36)*KFC!$C$5</f>
        <v>38.984400000000001</v>
      </c>
      <c r="I53" s="194">
        <f>(31.8*KFC!$B$36*1.02*1.3+KFC!$C$36)*KFC!$C$5</f>
        <v>42.166800000000002</v>
      </c>
      <c r="J53" s="194">
        <f>(34.2*KFC!$B$36*1.02*1.3+KFC!$C$36)*KFC!$C$5</f>
        <v>45.349200000000003</v>
      </c>
      <c r="K53" s="194">
        <f>(36.7*KFC!$B$36*1.02*1.3+KFC!$C$36)*KFC!$C$5</f>
        <v>48.664200000000008</v>
      </c>
      <c r="L53" s="194">
        <f>(39.3*KFC!$B$36*1.02*1.3+KFC!$C$36)*KFC!$C$5</f>
        <v>52.111800000000002</v>
      </c>
      <c r="M53" s="194">
        <f>(41.7*KFC!$B$36*1.02*1.3+KFC!$C$36)*KFC!$C$5</f>
        <v>55.294200000000011</v>
      </c>
      <c r="N53" s="194">
        <f>(44.2*KFC!$B$36*1.02*1.3+KFC!$C$36)*KFC!$C$5</f>
        <v>58.609200000000008</v>
      </c>
      <c r="O53" s="194">
        <f>(46.6*KFC!$B$36*1.02*1.3+KFC!$C$36)*KFC!$C$5</f>
        <v>61.79160000000001</v>
      </c>
      <c r="P53" s="194">
        <f>(49*KFC!$B$36*1.02*1.3+KFC!$C$36)*KFC!$C$5</f>
        <v>64.974000000000004</v>
      </c>
      <c r="Q53" s="194">
        <f>(51.6*KFC!$B$36*1.02*1.3+KFC!$C$36)*KFC!$C$5</f>
        <v>68.421600000000012</v>
      </c>
      <c r="R53" s="194">
        <f>(54.1*KFC!$B$36*1.02*1.3+KFC!$C$36)*KFC!$C$5</f>
        <v>71.73660000000001</v>
      </c>
      <c r="S53" s="194">
        <f>(56.5*KFC!$B$36*1.02*1.3+KFC!$C$36)*KFC!$C$5</f>
        <v>74.919000000000011</v>
      </c>
      <c r="T53" s="194">
        <f>(58.9*KFC!$B$36*1.02*1.3+KFC!$C$36)*KFC!$C$5</f>
        <v>78.101400000000012</v>
      </c>
      <c r="U53" s="194">
        <f>(61.4*KFC!$B$36*1.02*1.3+KFC!$C$36)*KFC!$C$5</f>
        <v>81.416399999999996</v>
      </c>
      <c r="V53" s="194">
        <f>(63.8*KFC!$B$36*1.02*1.3+KFC!$C$36)*KFC!$C$5</f>
        <v>84.598799999999997</v>
      </c>
      <c r="W53" s="194">
        <f>(66.4*KFC!$B$36*1.02*1.3+KFC!$C$36)*KFC!$C$5</f>
        <v>88.04640000000002</v>
      </c>
      <c r="X53" s="194">
        <f>(68.9*KFC!$B$36*1.02*1.3+KFC!$C$36)*KFC!$C$5</f>
        <v>91.361400000000017</v>
      </c>
      <c r="Y53" s="194">
        <f>(71.3*KFC!$B$36*1.02*1.3+KFC!$C$36)*KFC!$C$5</f>
        <v>94.543800000000005</v>
      </c>
      <c r="Z53" s="194">
        <f>(73.7*KFC!$B$36*1.02*1.3+KFC!$C$36)*KFC!$C$5</f>
        <v>97.726200000000006</v>
      </c>
      <c r="AA53" s="195">
        <f>(76.2*KFC!$B$36*1.02*1.3+KFC!$C$36)*KFC!$C$5</f>
        <v>101.0412</v>
      </c>
    </row>
    <row r="54" spans="1:27">
      <c r="A54" s="1781"/>
      <c r="B54" s="224">
        <v>1.5</v>
      </c>
      <c r="C54" s="247">
        <f>(17.6*KFC!$B$36*1.02*1.3+KFC!$C$36)*KFC!$C$5</f>
        <v>23.337600000000002</v>
      </c>
      <c r="D54" s="194">
        <f>(20.3*KFC!$B$36*1.02*1.3+KFC!$C$36)*KFC!$C$5</f>
        <v>26.9178</v>
      </c>
      <c r="E54" s="194">
        <f>(22.9*KFC!$B$36*1.02*1.3+KFC!$C$36)*KFC!$C$5</f>
        <v>30.365400000000001</v>
      </c>
      <c r="F54" s="194">
        <f>(25.4*KFC!$B$36*1.02*1.3+KFC!$C$36)*KFC!$C$5</f>
        <v>33.680399999999999</v>
      </c>
      <c r="G54" s="194">
        <f>(28.1*KFC!$B$36*1.02*1.3+KFC!$C$36)*KFC!$C$5</f>
        <v>37.260600000000004</v>
      </c>
      <c r="H54" s="194">
        <f>(30.7*KFC!$B$36*1.02*1.3+KFC!$C$36)*KFC!$C$5</f>
        <v>40.708199999999998</v>
      </c>
      <c r="I54" s="194">
        <f>(33.4*KFC!$B$36*1.02*1.3+KFC!$C$36)*KFC!$C$5</f>
        <v>44.288399999999996</v>
      </c>
      <c r="J54" s="194">
        <f>(36*KFC!$B$36*1.02*1.3+KFC!$C$36)*KFC!$C$5</f>
        <v>47.735999999999997</v>
      </c>
      <c r="K54" s="194">
        <f>(38.5*KFC!$B$36*1.02*1.3+KFC!$C$36)*KFC!$C$5</f>
        <v>51.051000000000009</v>
      </c>
      <c r="L54" s="194">
        <f>(41.2*KFC!$B$36*1.02*1.3+KFC!$C$36)*KFC!$C$5</f>
        <v>54.6312</v>
      </c>
      <c r="M54" s="194">
        <f>(43.8*KFC!$B$36*1.02*1.3+KFC!$C$36)*KFC!$C$5</f>
        <v>58.078799999999994</v>
      </c>
      <c r="N54" s="194">
        <f>(46.4*KFC!$B$36*1.02*1.3+KFC!$C$36)*KFC!$C$5</f>
        <v>61.526399999999995</v>
      </c>
      <c r="O54" s="194">
        <f>(49*KFC!$B$36*1.02*1.3+KFC!$C$36)*KFC!$C$5</f>
        <v>64.974000000000004</v>
      </c>
      <c r="P54" s="194">
        <f>(51.6*KFC!$B$36*1.02*1.3+KFC!$C$36)*KFC!$C$5</f>
        <v>68.421600000000012</v>
      </c>
      <c r="Q54" s="194">
        <f>(54.2*KFC!$B$36*1.02*1.3+KFC!$C$36)*KFC!$C$5</f>
        <v>71.869200000000006</v>
      </c>
      <c r="R54" s="194">
        <f>(56.9*KFC!$B$36*1.02*1.3+KFC!$C$36)*KFC!$C$5</f>
        <v>75.449399999999997</v>
      </c>
      <c r="S54" s="194">
        <f>(59.4*KFC!$B$36*1.02*1.3+KFC!$C$36)*KFC!$C$5</f>
        <v>78.764400000000009</v>
      </c>
      <c r="T54" s="194">
        <f>(62.1*KFC!$B$36*1.02*1.3+KFC!$C$36)*KFC!$C$5</f>
        <v>82.344600000000014</v>
      </c>
      <c r="U54" s="194">
        <f>(64.7*KFC!$B$36*1.02*1.3+KFC!$C$36)*KFC!$C$5</f>
        <v>85.792200000000008</v>
      </c>
      <c r="V54" s="194">
        <f>(67.3*KFC!$B$36*1.02*1.3+KFC!$C$36)*KFC!$C$5</f>
        <v>89.239800000000002</v>
      </c>
      <c r="W54" s="194">
        <f>(70*KFC!$B$36*1.02*1.3+KFC!$C$36)*KFC!$C$5</f>
        <v>92.820000000000007</v>
      </c>
      <c r="X54" s="194">
        <f>(72.5*KFC!$B$36*1.02*1.3+KFC!$C$36)*KFC!$C$5</f>
        <v>96.135000000000005</v>
      </c>
      <c r="Y54" s="194">
        <f>(75.1*KFC!$B$36*1.02*1.3+KFC!$C$36)*KFC!$C$5</f>
        <v>99.582599999999985</v>
      </c>
      <c r="Z54" s="194">
        <f>(77.8*KFC!$B$36*1.02*1.3+KFC!$C$36)*KFC!$C$5</f>
        <v>103.16279999999999</v>
      </c>
      <c r="AA54" s="195">
        <f>(80.4*KFC!$B$36*1.02*1.3+KFC!$C$36)*KFC!$C$5</f>
        <v>106.61040000000001</v>
      </c>
    </row>
    <row r="55" spans="1:27">
      <c r="A55" s="1781"/>
      <c r="B55" s="224">
        <v>1.6</v>
      </c>
      <c r="C55" s="247">
        <f>(18.3*KFC!$B$36*1.02*1.3+KFC!$C$36)*KFC!$C$5</f>
        <v>24.265800000000002</v>
      </c>
      <c r="D55" s="194">
        <f>(21*KFC!$B$36*1.02*1.3+KFC!$C$36)*KFC!$C$5</f>
        <v>27.846000000000004</v>
      </c>
      <c r="E55" s="194">
        <f>(23.8*KFC!$B$36*1.02*1.3+KFC!$C$36)*KFC!$C$5</f>
        <v>31.558800000000002</v>
      </c>
      <c r="F55" s="194">
        <f>(26.5*KFC!$B$36*1.02*1.3+KFC!$C$36)*KFC!$C$5</f>
        <v>35.139000000000003</v>
      </c>
      <c r="G55" s="194">
        <f>(29.4*KFC!$B$36*1.02*1.3+KFC!$C$36)*KFC!$C$5</f>
        <v>38.984400000000001</v>
      </c>
      <c r="H55" s="194">
        <f>(32*KFC!$B$36*1.02*1.3+KFC!$C$36)*KFC!$C$5</f>
        <v>42.432000000000002</v>
      </c>
      <c r="I55" s="194">
        <f>(34.9*KFC!$B$36*1.02*1.3+KFC!$C$36)*KFC!$C$5</f>
        <v>46.2774</v>
      </c>
      <c r="J55" s="194">
        <f>(37.7*KFC!$B$36*1.02*1.3+KFC!$C$36)*KFC!$C$5</f>
        <v>49.990200000000002</v>
      </c>
      <c r="K55" s="194">
        <f>(40.4*KFC!$B$36*1.02*1.3+KFC!$C$36)*KFC!$C$5</f>
        <v>53.570399999999999</v>
      </c>
      <c r="L55" s="194">
        <f>(43.2*KFC!$B$36*1.02*1.3+KFC!$C$36)*KFC!$C$5</f>
        <v>57.283200000000008</v>
      </c>
      <c r="M55" s="194">
        <f>(45.9*KFC!$B$36*1.02*1.3+KFC!$C$36)*KFC!$C$5</f>
        <v>60.863399999999999</v>
      </c>
      <c r="N55" s="194">
        <f>(48.7*KFC!$B$36*1.02*1.3+KFC!$C$36)*KFC!$C$5</f>
        <v>64.576200000000014</v>
      </c>
      <c r="O55" s="194">
        <f>(51.4*KFC!$B$36*1.02*1.3+KFC!$C$36)*KFC!$C$5</f>
        <v>68.156400000000005</v>
      </c>
      <c r="P55" s="194">
        <f>(54.2*KFC!$B$36*1.02*1.3+KFC!$C$36)*KFC!$C$5</f>
        <v>71.869200000000006</v>
      </c>
      <c r="Q55" s="194">
        <f>(56.9*KFC!$B$36*1.02*1.3+KFC!$C$36)*KFC!$C$5</f>
        <v>75.449399999999997</v>
      </c>
      <c r="R55" s="194">
        <f>(59.7*KFC!$B$36*1.02*1.3+KFC!$C$36)*KFC!$C$5</f>
        <v>79.162200000000013</v>
      </c>
      <c r="S55" s="194">
        <f>(62.4*KFC!$B$36*1.02*1.3+KFC!$C$36)*KFC!$C$5</f>
        <v>82.742400000000004</v>
      </c>
      <c r="T55" s="194">
        <f>(62.2*KFC!$B$36*1.02*1.3+KFC!$C$36)*KFC!$C$5</f>
        <v>82.477200000000011</v>
      </c>
      <c r="U55" s="194">
        <f>(68*KFC!$B$36*1.02*1.3+KFC!$C$36)*KFC!$C$5</f>
        <v>90.168000000000006</v>
      </c>
      <c r="V55" s="194">
        <f>(70.7*KFC!$B$36*1.02*1.3+KFC!$C$36)*KFC!$C$5</f>
        <v>93.748200000000011</v>
      </c>
      <c r="W55" s="194">
        <f>(73.5*KFC!$B$36*1.02*1.3+KFC!$C$36)*KFC!$C$5</f>
        <v>97.460999999999999</v>
      </c>
      <c r="X55" s="194">
        <f>(76.2*KFC!$B$36*1.02*1.3+KFC!$C$36)*KFC!$C$5</f>
        <v>101.0412</v>
      </c>
      <c r="Y55" s="194">
        <f>(79*KFC!$B$36*1.02*1.3+KFC!$C$36)*KFC!$C$5</f>
        <v>104.754</v>
      </c>
      <c r="Z55" s="194">
        <f>(81.7*KFC!$B$36*1.02*1.3+KFC!$C$36)*KFC!$C$5</f>
        <v>108.33420000000001</v>
      </c>
      <c r="AA55" s="195">
        <f>(84.5*KFC!$B$36*1.02*1.3+KFC!$C$36)*KFC!$C$5</f>
        <v>112.047</v>
      </c>
    </row>
    <row r="56" spans="1:27">
      <c r="A56" s="1781"/>
      <c r="B56" s="224">
        <v>1.7</v>
      </c>
      <c r="C56" s="247">
        <f>(19*KFC!$B$36*1.02*1.3+KFC!$C$36)*KFC!$C$5</f>
        <v>25.193999999999999</v>
      </c>
      <c r="D56" s="194">
        <f>(21.9*KFC!$B$36*1.02*1.3+KFC!$C$36)*KFC!$C$5</f>
        <v>29.039399999999997</v>
      </c>
      <c r="E56" s="194">
        <f>(24.8*KFC!$B$36*1.02*1.3+KFC!$C$36)*KFC!$C$5</f>
        <v>32.884800000000006</v>
      </c>
      <c r="F56" s="194">
        <f>(27.6*KFC!$B$36*1.02*1.3+KFC!$C$36)*KFC!$C$5</f>
        <v>36.5976</v>
      </c>
      <c r="G56" s="194">
        <f>(30.6*KFC!$B$36*1.02*1.3+KFC!$C$36)*KFC!$C$5</f>
        <v>40.575600000000009</v>
      </c>
      <c r="H56" s="194">
        <f>(33.5*KFC!$B$36*1.02*1.3+KFC!$C$36)*KFC!$C$5</f>
        <v>44.421000000000006</v>
      </c>
      <c r="I56" s="194">
        <f>(36.4*KFC!$B$36*1.02*1.3+KFC!$C$36)*KFC!$C$5</f>
        <v>48.266400000000004</v>
      </c>
      <c r="J56" s="194">
        <f>(39.3*KFC!$B$36*1.02*1.3+KFC!$C$36)*KFC!$C$5</f>
        <v>52.111800000000002</v>
      </c>
      <c r="K56" s="194">
        <f>(42.2*KFC!$B$36*1.02*1.3+KFC!$C$36)*KFC!$C$5</f>
        <v>55.957200000000007</v>
      </c>
      <c r="L56" s="194">
        <f>(45.1*KFC!$B$36*1.02*1.3+KFC!$C$36)*KFC!$C$5</f>
        <v>59.802600000000005</v>
      </c>
      <c r="M56" s="194">
        <f>(47.9*KFC!$B$36*1.02*1.3+KFC!$C$36)*KFC!$C$5</f>
        <v>63.5154</v>
      </c>
      <c r="N56" s="194">
        <f>(50.9*KFC!$B$36*1.02*1.3+KFC!$C$36)*KFC!$C$5</f>
        <v>67.493400000000008</v>
      </c>
      <c r="O56" s="194">
        <f>(53.8*KFC!$B$36*1.02*1.3+KFC!$C$36)*KFC!$C$5</f>
        <v>71.338800000000006</v>
      </c>
      <c r="P56" s="194">
        <f>(56.7*KFC!$B$36*1.02*1.3+KFC!$C$36)*KFC!$C$5</f>
        <v>75.184200000000004</v>
      </c>
      <c r="Q56" s="194">
        <f>(59.6*KFC!$B$36*1.02*1.3+KFC!$C$36)*KFC!$C$5</f>
        <v>79.029600000000002</v>
      </c>
      <c r="R56" s="194">
        <f>(62.5*KFC!$B$36*1.02*1.3+KFC!$C$36)*KFC!$C$5</f>
        <v>82.875</v>
      </c>
      <c r="S56" s="194">
        <f>(65.4*KFC!$B$36*1.02*1.3+KFC!$C$36)*KFC!$C$5</f>
        <v>86.720400000000026</v>
      </c>
      <c r="T56" s="194">
        <f>(68.2*KFC!$B$36*1.02*1.3+KFC!$C$36)*KFC!$C$5</f>
        <v>90.433200000000014</v>
      </c>
      <c r="U56" s="194">
        <f>(71.2*KFC!$B$36*1.02*1.3+KFC!$C$36)*KFC!$C$5</f>
        <v>94.411200000000022</v>
      </c>
      <c r="V56" s="194">
        <f>(74.1*KFC!$B$36*1.02*1.3+KFC!$C$36)*KFC!$C$5</f>
        <v>98.256599999999992</v>
      </c>
      <c r="W56" s="194">
        <f>(77*KFC!$B$36*1.02*1.3+KFC!$C$36)*KFC!$C$5</f>
        <v>102.10200000000002</v>
      </c>
      <c r="X56" s="194">
        <f>(79.9*KFC!$B$36*1.02*1.3+KFC!$C$36)*KFC!$C$5</f>
        <v>105.94740000000002</v>
      </c>
      <c r="Y56" s="194">
        <f>(82.8*KFC!$B$36*1.02*1.3+KFC!$C$36)*KFC!$C$5</f>
        <v>109.79280000000001</v>
      </c>
      <c r="Z56" s="194">
        <f>(85.7*KFC!$B$36*1.02*1.3+KFC!$C$36)*KFC!$C$5</f>
        <v>113.63820000000001</v>
      </c>
      <c r="AA56" s="195">
        <f>(88.7*KFC!$B$36*1.02*1.3+KFC!$C$36)*KFC!$C$5</f>
        <v>117.61620000000001</v>
      </c>
    </row>
    <row r="57" spans="1:27">
      <c r="A57" s="1781"/>
      <c r="B57" s="224">
        <v>1.8</v>
      </c>
      <c r="C57" s="247">
        <f>(19.7*KFC!$B$36*1.02*1.3+KFC!$C$36)*KFC!$C$5</f>
        <v>26.122200000000003</v>
      </c>
      <c r="D57" s="194">
        <f>(22.6*KFC!$B$36*1.02*1.3+KFC!$C$36)*KFC!$C$5</f>
        <v>29.967600000000004</v>
      </c>
      <c r="E57" s="194">
        <f>(25.7*KFC!$B$36*1.02*1.3+KFC!$C$36)*KFC!$C$5</f>
        <v>34.078200000000002</v>
      </c>
      <c r="F57" s="194">
        <f>(28.7*KFC!$B$36*1.02*1.3+KFC!$C$36)*KFC!$C$5</f>
        <v>38.056200000000004</v>
      </c>
      <c r="G57" s="194">
        <f>(31.8*KFC!$B$36*1.02*1.3+KFC!$C$36)*KFC!$C$5</f>
        <v>42.166800000000002</v>
      </c>
      <c r="H57" s="194">
        <f>(34.9*KFC!$B$36*1.02*1.3+KFC!$C$36)*KFC!$C$5</f>
        <v>46.2774</v>
      </c>
      <c r="I57" s="194">
        <f>(37.9*KFC!$B$36*1.02*1.3+KFC!$C$36)*KFC!$C$5</f>
        <v>50.255400000000002</v>
      </c>
      <c r="J57" s="194">
        <f>(41*KFC!$B$36*1.02*1.3+KFC!$C$36)*KFC!$C$5</f>
        <v>54.366</v>
      </c>
      <c r="K57" s="194">
        <f>(44*KFC!$B$36*1.02*1.3+KFC!$C$36)*KFC!$C$5</f>
        <v>58.344000000000008</v>
      </c>
      <c r="L57" s="194">
        <f>(47.1*KFC!$B$36*1.02*1.3+KFC!$C$36)*KFC!$C$5</f>
        <v>62.454600000000006</v>
      </c>
      <c r="M57" s="194">
        <f>(50.1*KFC!$B$36*1.02*1.3+KFC!$C$36)*KFC!$C$5</f>
        <v>66.432600000000008</v>
      </c>
      <c r="N57" s="194">
        <f>(53.2*KFC!$B$36*1.02*1.3+KFC!$C$36)*KFC!$C$5</f>
        <v>70.543200000000013</v>
      </c>
      <c r="O57" s="194">
        <f>(56.1*KFC!$B$36*1.02*1.3+KFC!$C$36)*KFC!$C$5</f>
        <v>74.388600000000011</v>
      </c>
      <c r="P57" s="194">
        <f>(59.2*KFC!$B$36*1.02*1.3+KFC!$C$36)*KFC!$C$5</f>
        <v>78.499200000000016</v>
      </c>
      <c r="Q57" s="194">
        <f>(62.3*KFC!$B$36*1.02*1.3+KFC!$C$36)*KFC!$C$5</f>
        <v>82.609800000000007</v>
      </c>
      <c r="R57" s="194">
        <f>(65.3*KFC!$B$36*1.02*1.3+KFC!$C$36)*KFC!$C$5</f>
        <v>86.587800000000001</v>
      </c>
      <c r="S57" s="194">
        <f>(68.4*KFC!$B$36*1.02*1.3+KFC!$C$36)*KFC!$C$5</f>
        <v>90.698400000000007</v>
      </c>
      <c r="T57" s="194">
        <f>(71.4*KFC!$B$36*1.02*1.3+KFC!$C$36)*KFC!$C$5</f>
        <v>94.676400000000001</v>
      </c>
      <c r="U57" s="194">
        <f>(74.5*KFC!$B$36*1.02*1.3+KFC!$C$36)*KFC!$C$5</f>
        <v>98.786999999999992</v>
      </c>
      <c r="V57" s="194">
        <f>(77.5*KFC!$B$36*1.02*1.3+KFC!$C$36)*KFC!$C$5</f>
        <v>102.765</v>
      </c>
      <c r="W57" s="194">
        <f>(80.6*KFC!$B$36*1.02*1.3+KFC!$C$36)*KFC!$C$5</f>
        <v>106.87559999999999</v>
      </c>
      <c r="X57" s="194">
        <f>(83.7*KFC!$B$36*1.02*1.3+KFC!$C$36)*KFC!$C$5</f>
        <v>110.98620000000001</v>
      </c>
      <c r="Y57" s="194">
        <f>(86.6*KFC!$B$36*1.02*1.3+KFC!$C$36)*KFC!$C$5</f>
        <v>114.83159999999999</v>
      </c>
      <c r="Z57" s="194">
        <f>(89.6*KFC!$B$36*1.02*1.3+KFC!$C$36)*KFC!$C$5</f>
        <v>118.8096</v>
      </c>
      <c r="AA57" s="195">
        <f>(92.7*KFC!$B$36*1.02*1.3+KFC!$C$36)*KFC!$C$5</f>
        <v>122.92020000000001</v>
      </c>
    </row>
    <row r="58" spans="1:27">
      <c r="A58" s="1781"/>
      <c r="B58" s="224">
        <v>1.9</v>
      </c>
      <c r="C58" s="247">
        <f>(20.3*KFC!$B$36*1.02*1.3+KFC!$C$36)*KFC!$C$5</f>
        <v>26.9178</v>
      </c>
      <c r="D58" s="194">
        <f>(23.5*KFC!$B$36*1.02*1.3+KFC!$C$36)*KFC!$C$5</f>
        <v>31.160999999999998</v>
      </c>
      <c r="E58" s="194">
        <f>(26.7*KFC!$B$36*1.02*1.3+KFC!$C$36)*KFC!$C$5</f>
        <v>35.404199999999996</v>
      </c>
      <c r="F58" s="194">
        <f>(29.7*KFC!$B$36*1.02*1.3+KFC!$C$36)*KFC!$C$5</f>
        <v>39.382200000000005</v>
      </c>
      <c r="G58" s="194">
        <f>(33*KFC!$B$36*1.02*1.3+KFC!$C$36)*KFC!$C$5</f>
        <v>43.75800000000001</v>
      </c>
      <c r="H58" s="194">
        <f>(36.2*KFC!$B$36*1.02*1.3+KFC!$C$36)*KFC!$C$5</f>
        <v>48.001200000000011</v>
      </c>
      <c r="I58" s="194">
        <f>(39.5*KFC!$B$36*1.02*1.3+KFC!$C$36)*KFC!$C$5</f>
        <v>52.377000000000002</v>
      </c>
      <c r="J58" s="194">
        <f>(42.7*KFC!$B$36*1.02*1.3+KFC!$C$36)*KFC!$C$5</f>
        <v>56.620200000000004</v>
      </c>
      <c r="K58" s="194">
        <f>(45.9*KFC!$B$36*1.02*1.3+KFC!$C$36)*KFC!$C$5</f>
        <v>60.863399999999999</v>
      </c>
      <c r="L58" s="194">
        <f>(49*KFC!$B$36*1.02*1.3+KFC!$C$36)*KFC!$C$5</f>
        <v>64.974000000000004</v>
      </c>
      <c r="M58" s="194">
        <f>(52.2*KFC!$B$36*1.02*1.3+KFC!$C$36)*KFC!$C$5</f>
        <v>69.217200000000005</v>
      </c>
      <c r="N58" s="194">
        <f>(55.4*KFC!$B$36*1.02*1.3+KFC!$C$36)*KFC!$C$5</f>
        <v>73.460400000000007</v>
      </c>
      <c r="O58" s="194">
        <f>(58.6*KFC!$B$36*1.02*1.3+KFC!$C$36)*KFC!$C$5</f>
        <v>77.703600000000009</v>
      </c>
      <c r="P58" s="194">
        <f>(61.8*KFC!$B$36*1.02*1.3+KFC!$C$36)*KFC!$C$5</f>
        <v>81.94680000000001</v>
      </c>
      <c r="Q58" s="194">
        <f>(64.9*KFC!$B$36*1.02*1.3+KFC!$C$36)*KFC!$C$5</f>
        <v>86.057400000000015</v>
      </c>
      <c r="R58" s="194">
        <f>(68.1*KFC!$B$36*1.02*1.3+KFC!$C$36)*KFC!$C$5</f>
        <v>90.300599999999989</v>
      </c>
      <c r="S58" s="194">
        <f>(71.3*KFC!$B$36*1.02*1.3+KFC!$C$36)*KFC!$C$5</f>
        <v>94.543800000000005</v>
      </c>
      <c r="T58" s="194">
        <f>(74.5*KFC!$B$36*1.02*1.3+KFC!$C$36)*KFC!$C$5</f>
        <v>98.786999999999992</v>
      </c>
      <c r="U58" s="194">
        <f>(77.8*KFC!$B$36*1.02*1.3+KFC!$C$36)*KFC!$C$5</f>
        <v>103.16279999999999</v>
      </c>
      <c r="V58" s="194">
        <f>(81*KFC!$B$36*1.02*1.3+KFC!$C$36)*KFC!$C$5</f>
        <v>107.40600000000001</v>
      </c>
      <c r="W58" s="194">
        <f>(84.1*KFC!$B$36*1.02*1.3+KFC!$C$36)*KFC!$C$5</f>
        <v>111.5166</v>
      </c>
      <c r="X58" s="194">
        <f>(87.3*KFC!$B$36*1.02*1.3+KFC!$C$36)*KFC!$C$5</f>
        <v>115.7598</v>
      </c>
      <c r="Y58" s="194">
        <f>(90.5*KFC!$B$36*1.02*1.3+KFC!$C$36)*KFC!$C$5</f>
        <v>120.003</v>
      </c>
      <c r="Z58" s="194">
        <f>(93.7*KFC!$B$36*1.02*1.3+KFC!$C$36)*KFC!$C$5</f>
        <v>124.2462</v>
      </c>
      <c r="AA58" s="195">
        <f>(96.9*KFC!$B$36*1.02*1.3+KFC!$C$36)*KFC!$C$5</f>
        <v>128.48940000000002</v>
      </c>
    </row>
    <row r="59" spans="1:27">
      <c r="A59" s="1781"/>
      <c r="B59" s="224">
        <v>2</v>
      </c>
      <c r="C59" s="247">
        <f>(20.9*KFC!$B$36*1.02*1.3+KFC!$C$36)*KFC!$C$5</f>
        <v>27.713399999999996</v>
      </c>
      <c r="D59" s="194">
        <f>(24.3*KFC!$B$36*1.02*1.3+KFC!$C$36)*KFC!$C$5</f>
        <v>32.221800000000002</v>
      </c>
      <c r="E59" s="194">
        <f>(27.6*KFC!$B$36*1.02*1.3+KFC!$C$36)*KFC!$C$5</f>
        <v>36.5976</v>
      </c>
      <c r="F59" s="194">
        <f>(30.9*KFC!$B$36*1.02*1.3+KFC!$C$36)*KFC!$C$5</f>
        <v>40.973400000000005</v>
      </c>
      <c r="G59" s="194">
        <f>(34.2*KFC!$B$36*1.02*1.3+KFC!$C$36)*KFC!$C$5</f>
        <v>45.349200000000003</v>
      </c>
      <c r="H59" s="194">
        <f>(37.7*KFC!$B$36*1.02*1.3+KFC!$C$36)*KFC!$C$5</f>
        <v>49.990200000000002</v>
      </c>
      <c r="I59" s="194">
        <f>(41*KFC!$B$36*1.02*1.3+KFC!$C$36)*KFC!$C$5</f>
        <v>54.366</v>
      </c>
      <c r="J59" s="194">
        <f>(44.3*KFC!$B$36*1.02*1.3+KFC!$C$36)*KFC!$C$5</f>
        <v>58.741800000000005</v>
      </c>
      <c r="K59" s="194">
        <f>(47.7*KFC!$B$36*1.02*1.3+KFC!$C$36)*KFC!$C$5</f>
        <v>63.250200000000007</v>
      </c>
      <c r="L59" s="194">
        <f>(51*KFC!$B$36*1.02*1.3+KFC!$C$36)*KFC!$C$5</f>
        <v>67.626000000000005</v>
      </c>
      <c r="M59" s="194">
        <f>(54.3*KFC!$B$36*1.02*1.3+KFC!$C$36)*KFC!$C$5</f>
        <v>72.001800000000003</v>
      </c>
      <c r="N59" s="194">
        <f>(57.6*KFC!$B$36*1.02*1.3+KFC!$C$36)*KFC!$C$5</f>
        <v>76.377600000000001</v>
      </c>
      <c r="O59" s="194">
        <f>(61*KFC!$B$36*1.02*1.3+KFC!$C$36)*KFC!$C$5</f>
        <v>80.885999999999996</v>
      </c>
      <c r="P59" s="194">
        <f>(64.3*KFC!$B$36*1.02*1.3+KFC!$C$36)*KFC!$C$5</f>
        <v>85.261800000000008</v>
      </c>
      <c r="Q59" s="194">
        <f>(67.6*KFC!$B$36*1.02*1.3+KFC!$C$36)*KFC!$C$5</f>
        <v>89.637600000000006</v>
      </c>
      <c r="R59" s="194">
        <f>(70.9*KFC!$B$36*1.02*1.3+KFC!$C$36)*KFC!$C$5</f>
        <v>94.013400000000019</v>
      </c>
      <c r="S59" s="194">
        <f>(74.4*KFC!$B$36*1.02*1.3+KFC!$C$36)*KFC!$C$5</f>
        <v>98.65440000000001</v>
      </c>
      <c r="T59" s="194">
        <f>(77.7*KFC!$B$36*1.02*1.3+KFC!$C$36)*KFC!$C$5</f>
        <v>103.03020000000001</v>
      </c>
      <c r="U59" s="194">
        <f>(81*KFC!$B$36*1.02*1.3+KFC!$C$36)*KFC!$C$5</f>
        <v>107.40600000000001</v>
      </c>
      <c r="V59" s="194">
        <f>(84.3*KFC!$B$36*1.02*1.3+KFC!$C$36)*KFC!$C$5</f>
        <v>111.7818</v>
      </c>
      <c r="W59" s="194">
        <f>(87.7*KFC!$B$36*1.02*1.3+KFC!$C$36)*KFC!$C$5</f>
        <v>116.29020000000001</v>
      </c>
      <c r="X59" s="194">
        <f>(91*KFC!$B$36*1.02*1.3+KFC!$C$36)*KFC!$C$5</f>
        <v>120.66600000000001</v>
      </c>
      <c r="Y59" s="194">
        <f>(94.3*KFC!$B$36*1.02*1.3+KFC!$C$36)*KFC!$C$5</f>
        <v>125.04179999999999</v>
      </c>
      <c r="Z59" s="194">
        <f>(97.6*KFC!$B$36*1.02*1.3+KFC!$C$36)*KFC!$C$5</f>
        <v>129.41759999999999</v>
      </c>
      <c r="AA59" s="195">
        <f>(101*KFC!$B$36*1.02*1.3+KFC!$C$36)*KFC!$C$5</f>
        <v>133.92599999999999</v>
      </c>
    </row>
    <row r="60" spans="1:27">
      <c r="A60" s="1781"/>
      <c r="B60" s="224">
        <v>2.1</v>
      </c>
      <c r="C60" s="247">
        <f>(21.6*KFC!$B$36*1.02*1.3+KFC!$C$36)*KFC!$C$5</f>
        <v>28.641600000000004</v>
      </c>
      <c r="D60" s="194">
        <f>(25.1*KFC!$B$36*1.02*1.3+KFC!$C$36)*KFC!$C$5</f>
        <v>33.282600000000002</v>
      </c>
      <c r="E60" s="194">
        <f>(28.6*KFC!$B$36*1.02*1.3+KFC!$C$36)*KFC!$C$5</f>
        <v>37.9236</v>
      </c>
      <c r="F60" s="194">
        <f>(32*KFC!$B$36*1.02*1.3+KFC!$C$36)*KFC!$C$5</f>
        <v>42.432000000000002</v>
      </c>
      <c r="G60" s="194">
        <f>(35.6*KFC!$B$36*1.02*1.3+KFC!$C$36)*KFC!$C$5</f>
        <v>47.205600000000011</v>
      </c>
      <c r="H60" s="194">
        <f>(39*KFC!$B$36*1.02*1.3+KFC!$C$36)*KFC!$C$5</f>
        <v>51.714000000000006</v>
      </c>
      <c r="I60" s="194">
        <f>(42.6*KFC!$B$36*1.02*1.3+KFC!$C$36)*KFC!$C$5</f>
        <v>56.487600000000008</v>
      </c>
      <c r="J60" s="194">
        <f>(46*KFC!$B$36*1.02*1.3+KFC!$C$36)*KFC!$C$5</f>
        <v>60.996000000000002</v>
      </c>
      <c r="K60" s="194">
        <f>(49.4*KFC!$B$36*1.02*1.3+KFC!$C$36)*KFC!$C$5</f>
        <v>65.504400000000004</v>
      </c>
      <c r="L60" s="194">
        <f>(53*KFC!$B$36*1.02*1.3+KFC!$C$36)*KFC!$C$5</f>
        <v>70.278000000000006</v>
      </c>
      <c r="M60" s="194">
        <f>(56.4*KFC!$B$36*1.02*1.3+KFC!$C$36)*KFC!$C$5</f>
        <v>74.7864</v>
      </c>
      <c r="N60" s="194">
        <f>(59.9*KFC!$B$36*1.02*1.3+KFC!$C$36)*KFC!$C$5</f>
        <v>79.427400000000006</v>
      </c>
      <c r="O60" s="194">
        <f>(63.4*KFC!$B$36*1.02*1.3+KFC!$C$36)*KFC!$C$5</f>
        <v>84.068400000000011</v>
      </c>
      <c r="P60" s="194">
        <f>(66.9*KFC!$B$36*1.02*1.3+KFC!$C$36)*KFC!$C$5</f>
        <v>88.709400000000016</v>
      </c>
      <c r="Q60" s="194">
        <f>(70.3*KFC!$B$36*1.02*1.3+KFC!$C$36)*KFC!$C$5</f>
        <v>93.217800000000011</v>
      </c>
      <c r="R60" s="194">
        <f>(73.7*KFC!$B$36*1.02*1.3+KFC!$C$36)*KFC!$C$5</f>
        <v>97.726200000000006</v>
      </c>
      <c r="S60" s="194">
        <f>(77.3*KFC!$B$36*1.02*1.3+KFC!$C$36)*KFC!$C$5</f>
        <v>102.49980000000001</v>
      </c>
      <c r="T60" s="194">
        <f>(80.7*KFC!$B$36*1.02*1.3+KFC!$C$36)*KFC!$C$5</f>
        <v>107.00820000000002</v>
      </c>
      <c r="U60" s="194">
        <f>(84.3*KFC!$B$36*1.02*1.3+KFC!$C$36)*KFC!$C$5</f>
        <v>111.7818</v>
      </c>
      <c r="V60" s="194">
        <f>(87.7*KFC!$B$36*1.02*1.3+KFC!$C$36)*KFC!$C$5</f>
        <v>116.29020000000001</v>
      </c>
      <c r="W60" s="194">
        <f>(91.2*KFC!$B$36*1.02*1.3+KFC!$C$36)*KFC!$C$5</f>
        <v>120.9312</v>
      </c>
      <c r="X60" s="194">
        <f>(94.7*KFC!$B$36*1.02*1.3+KFC!$C$36)*KFC!$C$5</f>
        <v>125.57220000000001</v>
      </c>
      <c r="Y60" s="194">
        <f>(98.2*KFC!$B$36*1.02*1.3+KFC!$C$36)*KFC!$C$5</f>
        <v>130.2132</v>
      </c>
      <c r="Z60" s="194">
        <f>(101.6*KFC!$B$36*1.02*1.3+KFC!$C$36)*KFC!$C$5</f>
        <v>134.7216</v>
      </c>
      <c r="AA60" s="195">
        <f>(105.1*KFC!$B$36*1.02*1.3+KFC!$C$36)*KFC!$C$5</f>
        <v>139.36260000000001</v>
      </c>
    </row>
    <row r="61" spans="1:27">
      <c r="A61" s="1781"/>
      <c r="B61" s="224">
        <v>2.2000000000000002</v>
      </c>
      <c r="C61" s="247">
        <f>(22.3*KFC!$B$36*1.02*1.3+KFC!$C$36)*KFC!$C$5</f>
        <v>29.569800000000004</v>
      </c>
      <c r="D61" s="194">
        <f>(25.9*KFC!$B$36*1.02*1.3+KFC!$C$36)*KFC!$C$5</f>
        <v>34.343400000000003</v>
      </c>
      <c r="E61" s="194">
        <f>(29.6*KFC!$B$36*1.02*1.3+KFC!$C$36)*KFC!$C$5</f>
        <v>39.249600000000008</v>
      </c>
      <c r="F61" s="194">
        <f>(33.1*KFC!$B$36*1.02*1.3+KFC!$C$36)*KFC!$C$5</f>
        <v>43.890599999999999</v>
      </c>
      <c r="G61" s="194">
        <f>(36.8*KFC!$B$36*1.02*1.3+KFC!$C$36)*KFC!$C$5</f>
        <v>48.796799999999998</v>
      </c>
      <c r="H61" s="194">
        <f>(40.4*KFC!$B$36*1.02*1.3+KFC!$C$36)*KFC!$C$5</f>
        <v>53.570399999999999</v>
      </c>
      <c r="I61" s="194">
        <f>(44*KFC!$B$36*1.02*1.3+KFC!$C$36)*KFC!$C$5</f>
        <v>58.344000000000008</v>
      </c>
      <c r="J61" s="194">
        <f>(47.7*KFC!$B$36*1.02*1.3+KFC!$C$36)*KFC!$C$5</f>
        <v>63.250200000000007</v>
      </c>
      <c r="K61" s="194">
        <f>(51.2*KFC!$B$36*1.02*1.3+KFC!$C$36)*KFC!$C$5</f>
        <v>67.891200000000012</v>
      </c>
      <c r="L61" s="194">
        <f>(54.9*KFC!$B$36*1.02*1.3+KFC!$C$36)*KFC!$C$5</f>
        <v>72.797399999999996</v>
      </c>
      <c r="M61" s="194">
        <f>(58.5*KFC!$B$36*1.02*1.3+KFC!$C$36)*KFC!$C$5</f>
        <v>77.570999999999998</v>
      </c>
      <c r="N61" s="194">
        <f>(62.1*KFC!$B$36*1.02*1.3+KFC!$C$36)*KFC!$C$5</f>
        <v>82.344600000000014</v>
      </c>
      <c r="O61" s="194">
        <f>(65.8*KFC!$B$36*1.02*1.3+KFC!$C$36)*KFC!$C$5</f>
        <v>87.250799999999998</v>
      </c>
      <c r="P61" s="194">
        <f>(69.3*KFC!$B$36*1.02*1.3+KFC!$C$36)*KFC!$C$5</f>
        <v>91.891799999999989</v>
      </c>
      <c r="Q61" s="194">
        <f>(73*KFC!$B$36*1.02*1.3+KFC!$C$36)*KFC!$C$5</f>
        <v>96.798000000000016</v>
      </c>
      <c r="R61" s="194">
        <f>(76.7*KFC!$B$36*1.02*1.3+KFC!$C$36)*KFC!$C$5</f>
        <v>101.70420000000001</v>
      </c>
      <c r="S61" s="194">
        <f>(80.2*KFC!$B$36*1.02*1.3+KFC!$C$36)*KFC!$C$5</f>
        <v>106.34520000000001</v>
      </c>
      <c r="T61" s="194">
        <f>(83.9*KFC!$B$36*1.02*1.3+KFC!$C$36)*KFC!$C$5</f>
        <v>111.2514</v>
      </c>
      <c r="U61" s="194">
        <f>(87.4*KFC!$B$36*1.02*1.3+KFC!$C$36)*KFC!$C$5</f>
        <v>115.89240000000002</v>
      </c>
      <c r="V61" s="194">
        <f>(91.1*KFC!$B$36*1.02*1.3+KFC!$C$36)*KFC!$C$5</f>
        <v>120.79859999999999</v>
      </c>
      <c r="W61" s="194">
        <f>(94.8*KFC!$B$36*1.02*1.3+KFC!$C$36)*KFC!$C$5</f>
        <v>125.70480000000001</v>
      </c>
      <c r="X61" s="194">
        <f>(98.3*KFC!$B$36*1.02*1.3+KFC!$C$36)*KFC!$C$5</f>
        <v>130.34580000000003</v>
      </c>
      <c r="Y61" s="194">
        <f>(102*KFC!$B$36*1.02*1.3+KFC!$C$36)*KFC!$C$5</f>
        <v>135.25200000000001</v>
      </c>
      <c r="Z61" s="194">
        <f>(105.7*KFC!$B$36*1.02*1.3+KFC!$C$36)*KFC!$C$5</f>
        <v>140.15820000000002</v>
      </c>
      <c r="AA61" s="195">
        <f>(109.2*KFC!$B$36*1.02*1.3+KFC!$C$36)*KFC!$C$5</f>
        <v>144.79920000000001</v>
      </c>
    </row>
    <row r="62" spans="1:27">
      <c r="A62" s="1781"/>
      <c r="B62" s="224">
        <v>2.2999999999999998</v>
      </c>
      <c r="C62" s="247">
        <f>(23*KFC!$B$36*1.02*1.3+KFC!$C$36)*KFC!$C$5</f>
        <v>30.498000000000001</v>
      </c>
      <c r="D62" s="194">
        <f>(26.8*KFC!$B$36*1.02*1.3+KFC!$C$36)*KFC!$C$5</f>
        <v>35.536800000000007</v>
      </c>
      <c r="E62" s="194">
        <f>(30.5*KFC!$B$36*1.02*1.3+KFC!$C$36)*KFC!$C$5</f>
        <v>40.442999999999998</v>
      </c>
      <c r="F62" s="194">
        <f>(34.2*KFC!$B$36*1.02*1.3+KFC!$C$36)*KFC!$C$5</f>
        <v>45.349200000000003</v>
      </c>
      <c r="G62" s="194">
        <f>(38*KFC!$B$36*1.02*1.3+KFC!$C$36)*KFC!$C$5</f>
        <v>50.387999999999998</v>
      </c>
      <c r="H62" s="194">
        <f>(41.8*KFC!$B$36*1.02*1.3+KFC!$C$36)*KFC!$C$5</f>
        <v>55.426799999999993</v>
      </c>
      <c r="I62" s="194">
        <f>(45.6*KFC!$B$36*1.02*1.3+KFC!$C$36)*KFC!$C$5</f>
        <v>60.465600000000002</v>
      </c>
      <c r="J62" s="194">
        <f>(49.3*KFC!$B$36*1.02*1.3+KFC!$C$36)*KFC!$C$5</f>
        <v>65.371800000000007</v>
      </c>
      <c r="K62" s="194">
        <f>(53.1*KFC!$B$36*1.02*1.3+KFC!$C$36)*KFC!$C$5</f>
        <v>70.410600000000002</v>
      </c>
      <c r="L62" s="194">
        <f>(56.9*KFC!$B$36*1.02*1.3+KFC!$C$36)*KFC!$C$5</f>
        <v>75.449399999999997</v>
      </c>
      <c r="M62" s="194">
        <f>(60.7*KFC!$B$36*1.02*1.3+KFC!$C$36)*KFC!$C$5</f>
        <v>80.488200000000006</v>
      </c>
      <c r="N62" s="194">
        <f>(64.3*KFC!$B$36*1.02*1.3+KFC!$C$36)*KFC!$C$5</f>
        <v>85.261800000000008</v>
      </c>
      <c r="O62" s="194">
        <f>(68.1*KFC!$B$36*1.02*1.3+KFC!$C$36)*KFC!$C$5</f>
        <v>90.300599999999989</v>
      </c>
      <c r="P62" s="194">
        <f>(71.9*KFC!$B$36*1.02*1.3+KFC!$C$36)*KFC!$C$5</f>
        <v>95.339400000000012</v>
      </c>
      <c r="Q62" s="194">
        <f>(75.7*KFC!$B$36*1.02*1.3+KFC!$C$36)*KFC!$C$5</f>
        <v>100.37820000000001</v>
      </c>
      <c r="R62" s="194">
        <f>(79.5*KFC!$B$36*1.02*1.3+KFC!$C$36)*KFC!$C$5</f>
        <v>105.417</v>
      </c>
      <c r="S62" s="194">
        <f>(83.2*KFC!$B$36*1.02*1.3+KFC!$C$36)*KFC!$C$5</f>
        <v>110.32320000000001</v>
      </c>
      <c r="T62" s="194">
        <f>(87*KFC!$B$36*1.02*1.3+KFC!$C$36)*KFC!$C$5</f>
        <v>115.36199999999999</v>
      </c>
      <c r="U62" s="194">
        <f>(90.7*KFC!$B$36*1.02*1.3+KFC!$C$36)*KFC!$C$5</f>
        <v>120.26820000000002</v>
      </c>
      <c r="V62" s="194">
        <f>(94.5*KFC!$B$36*1.02*1.3+KFC!$C$36)*KFC!$C$5</f>
        <v>125.307</v>
      </c>
      <c r="W62" s="194">
        <f>(98.3*KFC!$B$36*1.02*1.3+KFC!$C$36)*KFC!$C$5</f>
        <v>130.34580000000003</v>
      </c>
      <c r="X62" s="194">
        <f>(102*KFC!$B$36*1.02*1.3+KFC!$C$36)*KFC!$C$5</f>
        <v>135.25200000000001</v>
      </c>
      <c r="Y62" s="194">
        <f>(105.8*KFC!$B$36*1.02*1.3+KFC!$C$36)*KFC!$C$5</f>
        <v>140.29079999999999</v>
      </c>
      <c r="Z62" s="194">
        <f>(109.6*KFC!$B$36*1.02*1.3+KFC!$C$36)*KFC!$C$5</f>
        <v>145.3296</v>
      </c>
      <c r="AA62" s="195">
        <f>(113.4*KFC!$B$36*1.02*1.3+KFC!$C$36)*KFC!$C$5</f>
        <v>150.36840000000001</v>
      </c>
    </row>
    <row r="63" spans="1:27">
      <c r="A63" s="1781"/>
      <c r="B63" s="224">
        <v>2.4</v>
      </c>
      <c r="C63" s="247">
        <f>(23.6*KFC!$B$36*1.02*1.3+KFC!$C$36)*KFC!$C$5</f>
        <v>31.293600000000005</v>
      </c>
      <c r="D63" s="194">
        <f>(27.5*KFC!$B$36*1.02*1.3+KFC!$C$36)*KFC!$C$5</f>
        <v>36.465000000000003</v>
      </c>
      <c r="E63" s="194">
        <f>(31.4*KFC!$B$36*1.02*1.3+KFC!$C$36)*KFC!$C$5</f>
        <v>41.636400000000002</v>
      </c>
      <c r="F63" s="194">
        <f>(35.3*KFC!$B$36*1.02*1.3+KFC!$C$36)*KFC!$C$5</f>
        <v>46.8078</v>
      </c>
      <c r="G63" s="194">
        <f>(39.3*KFC!$B$36*1.02*1.3+KFC!$C$36)*KFC!$C$5</f>
        <v>52.111800000000002</v>
      </c>
      <c r="H63" s="194">
        <f>(43.2*KFC!$B$36*1.02*1.3+KFC!$C$36)*KFC!$C$5</f>
        <v>57.283200000000008</v>
      </c>
      <c r="I63" s="194">
        <f>(47.1*KFC!$B$36*1.02*1.3+KFC!$C$36)*KFC!$C$5</f>
        <v>62.454600000000006</v>
      </c>
      <c r="J63" s="194">
        <f>(51*KFC!$B$36*1.02*1.3+KFC!$C$36)*KFC!$C$5</f>
        <v>67.626000000000005</v>
      </c>
      <c r="K63" s="194">
        <f>(54.9*KFC!$B$36*1.02*1.3+KFC!$C$36)*KFC!$C$5</f>
        <v>72.797399999999996</v>
      </c>
      <c r="L63" s="194">
        <f>(58.8*KFC!$B$36*1.02*1.3+KFC!$C$36)*KFC!$C$5</f>
        <v>77.968800000000002</v>
      </c>
      <c r="M63" s="194">
        <f>(62.7*KFC!$B$36*1.02*1.3+KFC!$C$36)*KFC!$C$5</f>
        <v>83.140200000000007</v>
      </c>
      <c r="N63" s="194">
        <f>(66.7*KFC!$B$36*1.02*1.3+KFC!$C$36)*KFC!$C$5</f>
        <v>88.444200000000009</v>
      </c>
      <c r="O63" s="194">
        <f>(70.6*KFC!$B$36*1.02*1.3+KFC!$C$36)*KFC!$C$5</f>
        <v>93.615600000000001</v>
      </c>
      <c r="P63" s="194">
        <f>(74.5*KFC!$B$36*1.02*1.3+KFC!$C$36)*KFC!$C$5</f>
        <v>98.786999999999992</v>
      </c>
      <c r="Q63" s="194">
        <f>(78.4*KFC!$B$36*1.02*1.3+KFC!$C$36)*KFC!$C$5</f>
        <v>103.95840000000001</v>
      </c>
      <c r="R63" s="194">
        <f>(82.3*KFC!$B$36*1.02*1.3+KFC!$C$36)*KFC!$C$5</f>
        <v>109.1298</v>
      </c>
      <c r="S63" s="194">
        <f>(86.2*KFC!$B$36*1.02*1.3+KFC!$C$36)*KFC!$C$5</f>
        <v>114.30120000000001</v>
      </c>
      <c r="T63" s="194">
        <f>(90.1*KFC!$B$36*1.02*1.3+KFC!$C$36)*KFC!$C$5</f>
        <v>119.4726</v>
      </c>
      <c r="U63" s="194">
        <f>(94*KFC!$B$36*1.02*1.3+KFC!$C$36)*KFC!$C$5</f>
        <v>124.64399999999999</v>
      </c>
      <c r="V63" s="194">
        <f>(98*KFC!$B$36*1.02*1.3+KFC!$C$36)*KFC!$C$5</f>
        <v>129.94800000000001</v>
      </c>
      <c r="W63" s="194">
        <f>(101.9*KFC!$B$36*1.02*1.3+KFC!$C$36)*KFC!$C$5</f>
        <v>135.11940000000001</v>
      </c>
      <c r="X63" s="194">
        <f>(105.8*KFC!$B$36*1.02*1.3+KFC!$C$36)*KFC!$C$5</f>
        <v>140.29079999999999</v>
      </c>
      <c r="Y63" s="194">
        <f>(109.7*KFC!$B$36*1.02*1.3+KFC!$C$36)*KFC!$C$5</f>
        <v>145.46220000000002</v>
      </c>
      <c r="Z63" s="194">
        <f>(113.6*KFC!$B$36*1.02*1.3+KFC!$C$36)*KFC!$C$5</f>
        <v>150.6336</v>
      </c>
      <c r="AA63" s="195">
        <f>(117.5*KFC!$B$36*1.02*1.3+KFC!$C$36)*KFC!$C$5</f>
        <v>155.80500000000001</v>
      </c>
    </row>
    <row r="64" spans="1:27">
      <c r="A64" s="1781"/>
      <c r="B64" s="224">
        <v>2.5</v>
      </c>
      <c r="C64" s="247">
        <f>(24.3*KFC!$B$36*1.02*1.3+KFC!$C$36)*KFC!$C$5</f>
        <v>32.221800000000002</v>
      </c>
      <c r="D64" s="194">
        <f>(28.4*KFC!$B$36*1.02*1.3+KFC!$C$36)*KFC!$C$5</f>
        <v>37.6584</v>
      </c>
      <c r="E64" s="194">
        <f>(32.4*KFC!$B$36*1.02*1.3+KFC!$C$36)*KFC!$C$5</f>
        <v>42.962400000000002</v>
      </c>
      <c r="F64" s="194">
        <f>(36.4*KFC!$B$36*1.02*1.3+KFC!$C$36)*KFC!$C$5</f>
        <v>48.266400000000004</v>
      </c>
      <c r="G64" s="194">
        <f>(40.5*KFC!$B$36*1.02*1.3+KFC!$C$36)*KFC!$C$5</f>
        <v>53.703000000000003</v>
      </c>
      <c r="H64" s="194">
        <f>(44.5*KFC!$B$36*1.02*1.3+KFC!$C$36)*KFC!$C$5</f>
        <v>59.007000000000005</v>
      </c>
      <c r="I64" s="194">
        <f>(48.7*KFC!$B$36*1.02*1.3+KFC!$C$36)*KFC!$C$5</f>
        <v>64.576200000000014</v>
      </c>
      <c r="J64" s="194">
        <f>(52.7*KFC!$B$36*1.02*1.3+KFC!$C$36)*KFC!$C$5</f>
        <v>69.880200000000002</v>
      </c>
      <c r="K64" s="194">
        <f>(56.7*KFC!$B$36*1.02*1.3+KFC!$C$36)*KFC!$C$5</f>
        <v>75.184200000000004</v>
      </c>
      <c r="L64" s="194">
        <f>(60.8*KFC!$B$36*1.02*1.3+KFC!$C$36)*KFC!$C$5</f>
        <v>80.620800000000003</v>
      </c>
      <c r="M64" s="194">
        <f>(64.8*KFC!$B$36*1.02*1.3+KFC!$C$36)*KFC!$C$5</f>
        <v>85.924800000000005</v>
      </c>
      <c r="N64" s="194">
        <f>(68.9*KFC!$B$36*1.02*1.3+KFC!$C$36)*KFC!$C$5</f>
        <v>91.361400000000017</v>
      </c>
      <c r="O64" s="194">
        <f>(72.9*KFC!$B$36*1.02*1.3+KFC!$C$36)*KFC!$C$5</f>
        <v>96.665400000000005</v>
      </c>
      <c r="P64" s="194">
        <f>(77*KFC!$B$36*1.02*1.3+KFC!$C$36)*KFC!$C$5</f>
        <v>102.10200000000002</v>
      </c>
      <c r="Q64" s="194">
        <f>(81.1*KFC!$B$36*1.02*1.3+KFC!$C$36)*KFC!$C$5</f>
        <v>107.5386</v>
      </c>
      <c r="R64" s="194">
        <f>(85.1*KFC!$B$36*1.02*1.3+KFC!$C$36)*KFC!$C$5</f>
        <v>112.84259999999999</v>
      </c>
      <c r="S64" s="194">
        <f>(89.2*KFC!$B$36*1.02*1.3+KFC!$C$36)*KFC!$C$5</f>
        <v>118.27920000000002</v>
      </c>
      <c r="T64" s="194">
        <f>(93.2*KFC!$B$36*1.02*1.3+KFC!$C$36)*KFC!$C$5</f>
        <v>123.58320000000002</v>
      </c>
      <c r="U64" s="194">
        <f>(97.2*KFC!$B$36*1.02*1.3+KFC!$C$36)*KFC!$C$5</f>
        <v>128.88720000000001</v>
      </c>
      <c r="V64" s="194">
        <f>(101.4*KFC!$B$36*1.02*1.3+KFC!$C$36)*KFC!$C$5</f>
        <v>134.45640000000003</v>
      </c>
      <c r="W64" s="194">
        <f>(105.4*KFC!$B$36*1.02*1.3+KFC!$C$36)*KFC!$C$5</f>
        <v>139.7604</v>
      </c>
      <c r="X64" s="194">
        <f>(109.5*KFC!$B$36*1.02*1.3+KFC!$C$36)*KFC!$C$5</f>
        <v>145.197</v>
      </c>
      <c r="Y64" s="194">
        <f>(113.5*KFC!$B$36*1.02*1.3+KFC!$C$36)*KFC!$C$5</f>
        <v>150.501</v>
      </c>
      <c r="Z64" s="194">
        <f>(117.5*KFC!$B$36*1.02*1.3+KFC!$C$36)*KFC!$C$5</f>
        <v>155.80500000000001</v>
      </c>
      <c r="AA64" s="195">
        <f>(121.6*KFC!$B$36*1.02*1.3+KFC!$C$36)*KFC!$C$5</f>
        <v>161.24160000000001</v>
      </c>
    </row>
    <row r="65" spans="1:27">
      <c r="A65" s="1781"/>
      <c r="B65" s="224">
        <v>2.6</v>
      </c>
      <c r="C65" s="247">
        <f>(24.9*KFC!$B$36*1.02*1.3+KFC!$C$36)*KFC!$C$5</f>
        <v>33.017400000000002</v>
      </c>
      <c r="D65" s="194">
        <f>(29.1*KFC!$B$36*1.02*1.3+KFC!$C$36)*KFC!$C$5</f>
        <v>38.586600000000004</v>
      </c>
      <c r="E65" s="194">
        <f>(33.4*KFC!$B$36*1.02*1.3+KFC!$C$36)*KFC!$C$5</f>
        <v>44.288399999999996</v>
      </c>
      <c r="F65" s="194">
        <f>(37.5*KFC!$B$36*1.02*1.3+KFC!$C$36)*KFC!$C$5</f>
        <v>49.725000000000001</v>
      </c>
      <c r="G65" s="194">
        <f>(41.7*KFC!$B$36*1.02*1.3+KFC!$C$36)*KFC!$C$5</f>
        <v>55.294200000000011</v>
      </c>
      <c r="H65" s="194">
        <f>(46*KFC!$B$36*1.02*1.3+KFC!$C$36)*KFC!$C$5</f>
        <v>60.996000000000002</v>
      </c>
      <c r="I65" s="194">
        <f>(50.1*KFC!$B$36*1.02*1.3+KFC!$C$36)*KFC!$C$5</f>
        <v>66.432600000000008</v>
      </c>
      <c r="J65" s="194">
        <f>(54.3*KFC!$B$36*1.02*1.3+KFC!$C$36)*KFC!$C$5</f>
        <v>72.001800000000003</v>
      </c>
      <c r="K65" s="194">
        <f>(58.6*KFC!$B$36*1.02*1.3+KFC!$C$36)*KFC!$C$5</f>
        <v>77.703600000000009</v>
      </c>
      <c r="L65" s="194">
        <f>(62.7*KFC!$B$36*1.02*1.3+KFC!$C$36)*KFC!$C$5</f>
        <v>83.140200000000007</v>
      </c>
      <c r="M65" s="194">
        <f>(66.9*KFC!$B$36*1.02*1.3+KFC!$C$36)*KFC!$C$5</f>
        <v>88.709400000000016</v>
      </c>
      <c r="N65" s="194">
        <f>(71.2*KFC!$B$36*1.02*1.3+KFC!$C$36)*KFC!$C$5</f>
        <v>94.411200000000022</v>
      </c>
      <c r="O65" s="194">
        <f>(75.3*KFC!$B$36*1.02*1.3+KFC!$C$36)*KFC!$C$5</f>
        <v>99.847800000000007</v>
      </c>
      <c r="P65" s="194">
        <f>(79.5*KFC!$B$36*1.02*1.3+KFC!$C$36)*KFC!$C$5</f>
        <v>105.417</v>
      </c>
      <c r="Q65" s="194">
        <f>(83.8*KFC!$B$36*1.02*1.3+KFC!$C$36)*KFC!$C$5</f>
        <v>111.11880000000001</v>
      </c>
      <c r="R65" s="194">
        <f>(87.9*KFC!$B$36*1.02*1.3+KFC!$C$36)*KFC!$C$5</f>
        <v>116.55540000000001</v>
      </c>
      <c r="S65" s="194">
        <f>(92.1*KFC!$B$36*1.02*1.3+KFC!$C$36)*KFC!$C$5</f>
        <v>122.1246</v>
      </c>
      <c r="T65" s="194">
        <f>(96.4*KFC!$B$36*1.02*1.3+KFC!$C$36)*KFC!$C$5</f>
        <v>127.82640000000001</v>
      </c>
      <c r="U65" s="194">
        <f>(100.5*KFC!$B$36*1.02*1.3+KFC!$C$36)*KFC!$C$5</f>
        <v>133.26300000000001</v>
      </c>
      <c r="V65" s="194">
        <f>(104.7*KFC!$B$36*1.02*1.3+KFC!$C$36)*KFC!$C$5</f>
        <v>138.83220000000003</v>
      </c>
      <c r="W65" s="194">
        <f>(109*KFC!$B$36*1.02*1.3+KFC!$C$36)*KFC!$C$5</f>
        <v>144.53400000000002</v>
      </c>
      <c r="X65" s="194">
        <f>(113.1*KFC!$B$36*1.02*1.3+KFC!$C$36)*KFC!$C$5</f>
        <v>149.97059999999999</v>
      </c>
      <c r="Y65" s="194">
        <f>(117.3*KFC!$B$36*1.02*1.3+KFC!$C$36)*KFC!$C$5</f>
        <v>155.53980000000001</v>
      </c>
      <c r="Z65" s="194">
        <f>(121.6*KFC!$B$36*1.02*1.3+KFC!$C$36)*KFC!$C$5</f>
        <v>161.24160000000001</v>
      </c>
      <c r="AA65" s="195">
        <f>(125.7*KFC!$B$36*1.02*1.3+KFC!$C$36)*KFC!$C$5</f>
        <v>166.6782</v>
      </c>
    </row>
    <row r="66" spans="1:27">
      <c r="A66" s="1781"/>
      <c r="B66" s="224">
        <v>2.7</v>
      </c>
      <c r="C66" s="247">
        <f>(25.6*KFC!$B$36*1.02*1.3+KFC!$C$36)*KFC!$C$5</f>
        <v>33.945600000000006</v>
      </c>
      <c r="D66" s="194">
        <f>(30*KFC!$B$36*1.02*1.3+KFC!$C$36)*KFC!$C$5</f>
        <v>39.78</v>
      </c>
      <c r="E66" s="194">
        <f>(34.2*KFC!$B$36*1.02*1.3+KFC!$C$36)*KFC!$C$5</f>
        <v>45.349200000000003</v>
      </c>
      <c r="F66" s="194">
        <f>(38.6*KFC!$B$36*1.02*1.3+KFC!$C$36)*KFC!$C$5</f>
        <v>51.183599999999998</v>
      </c>
      <c r="G66" s="194">
        <f>(42.9*KFC!$B$36*1.02*1.3+KFC!$C$36)*KFC!$C$5</f>
        <v>56.885400000000004</v>
      </c>
      <c r="H66" s="194">
        <f>(47.3*KFC!$B$36*1.02*1.3+KFC!$C$36)*KFC!$C$5</f>
        <v>62.719799999999999</v>
      </c>
      <c r="I66" s="194">
        <f>(51.7*KFC!$B$36*1.02*1.3+KFC!$C$36)*KFC!$C$5</f>
        <v>68.554200000000009</v>
      </c>
      <c r="J66" s="194">
        <f>(56*KFC!$B$36*1.02*1.3+KFC!$C$36)*KFC!$C$5</f>
        <v>74.256000000000014</v>
      </c>
      <c r="K66" s="194">
        <f>(60.4*KFC!$B$36*1.02*1.3+KFC!$C$36)*KFC!$C$5</f>
        <v>80.090400000000002</v>
      </c>
      <c r="L66" s="194">
        <f>(64.7*KFC!$B$36*1.02*1.3+KFC!$C$36)*KFC!$C$5</f>
        <v>85.792200000000008</v>
      </c>
      <c r="M66" s="194">
        <f>(69.1*KFC!$B$36*1.02*1.3+KFC!$C$36)*KFC!$C$5</f>
        <v>91.626599999999996</v>
      </c>
      <c r="N66" s="194">
        <f>(73.4*KFC!$B$36*1.02*1.3+KFC!$C$36)*KFC!$C$5</f>
        <v>97.328400000000016</v>
      </c>
      <c r="O66" s="194">
        <f>(77.8*KFC!$B$36*1.02*1.3+KFC!$C$36)*KFC!$C$5</f>
        <v>103.16279999999999</v>
      </c>
      <c r="P66" s="194">
        <f>(82.1*KFC!$B$36*1.02*1.3+KFC!$C$36)*KFC!$C$5</f>
        <v>108.8646</v>
      </c>
      <c r="Q66" s="194">
        <f>(86.5*KFC!$B$36*1.02*1.3+KFC!$C$36)*KFC!$C$5</f>
        <v>114.69900000000001</v>
      </c>
      <c r="R66" s="194">
        <f>(90.7*KFC!$B$36*1.02*1.3+KFC!$C$36)*KFC!$C$5</f>
        <v>120.26820000000002</v>
      </c>
      <c r="S66" s="194">
        <f>(95.1*KFC!$B$36*1.02*1.3+KFC!$C$36)*KFC!$C$5</f>
        <v>126.1026</v>
      </c>
      <c r="T66" s="194">
        <f>(99.4*KFC!$B$36*1.02*1.3+KFC!$C$36)*KFC!$C$5</f>
        <v>131.80440000000002</v>
      </c>
      <c r="U66" s="194">
        <f>(103.8*KFC!$B$36*1.02*1.3+KFC!$C$36)*KFC!$C$5</f>
        <v>137.6388</v>
      </c>
      <c r="V66" s="194">
        <f>(108.1*KFC!$B$36*1.02*1.3+KFC!$C$36)*KFC!$C$5</f>
        <v>143.34059999999999</v>
      </c>
      <c r="W66" s="194">
        <f>(112.5*KFC!$B$36*1.02*1.3+KFC!$C$36)*KFC!$C$5</f>
        <v>149.17500000000001</v>
      </c>
      <c r="X66" s="194">
        <f>(116.8*KFC!$B$36*1.02*1.3+KFC!$C$36)*KFC!$C$5</f>
        <v>154.8768</v>
      </c>
      <c r="Y66" s="194">
        <f>(121.2*KFC!$B$36*1.02*1.3+KFC!$C$36)*KFC!$C$5</f>
        <v>160.71120000000002</v>
      </c>
      <c r="Z66" s="194">
        <f>(125.5*KFC!$B$36*1.02*1.3+KFC!$C$36)*KFC!$C$5</f>
        <v>166.41299999999998</v>
      </c>
      <c r="AA66" s="195">
        <f>(129.9*KFC!$B$36*1.02*1.3+KFC!$C$36)*KFC!$C$5</f>
        <v>172.24740000000003</v>
      </c>
    </row>
    <row r="67" spans="1:27">
      <c r="A67" s="1781"/>
      <c r="B67" s="224">
        <v>2.8</v>
      </c>
      <c r="C67" s="247">
        <f>(26.3*KFC!$B$36*1.02*1.3+KFC!$C$36)*KFC!$C$5</f>
        <v>34.873800000000003</v>
      </c>
      <c r="D67" s="194">
        <f>(30.8*KFC!$B$36*1.02*1.3+KFC!$C$36)*KFC!$C$5</f>
        <v>40.840800000000002</v>
      </c>
      <c r="E67" s="194">
        <f>(35.2*KFC!$B$36*1.02*1.3+KFC!$C$36)*KFC!$C$5</f>
        <v>46.675200000000004</v>
      </c>
      <c r="F67" s="194">
        <f>(39.7*KFC!$B$36*1.02*1.3+KFC!$C$36)*KFC!$C$5</f>
        <v>52.64220000000001</v>
      </c>
      <c r="G67" s="194">
        <f>(44.3*KFC!$B$36*1.02*1.3+KFC!$C$36)*KFC!$C$5</f>
        <v>58.741800000000005</v>
      </c>
      <c r="H67" s="194">
        <f>(48.7*KFC!$B$36*1.02*1.3+KFC!$C$36)*KFC!$C$5</f>
        <v>64.576200000000014</v>
      </c>
      <c r="I67" s="194">
        <f>(53.2*KFC!$B$36*1.02*1.3+KFC!$C$36)*KFC!$C$5</f>
        <v>70.543200000000013</v>
      </c>
      <c r="J67" s="194">
        <f>(57.7*KFC!$B$36*1.02*1.3+KFC!$C$36)*KFC!$C$5</f>
        <v>76.510200000000012</v>
      </c>
      <c r="K67" s="194">
        <f>(62.1*KFC!$B$36*1.02*1.3+KFC!$C$36)*KFC!$C$5</f>
        <v>82.344600000000014</v>
      </c>
      <c r="L67" s="194">
        <f>(66.7*KFC!$B$36*1.02*1.3+KFC!$C$36)*KFC!$C$5</f>
        <v>88.444200000000009</v>
      </c>
      <c r="M67" s="194">
        <f>(71.2*KFC!$B$36*1.02*1.3+KFC!$C$36)*KFC!$C$5</f>
        <v>94.411200000000022</v>
      </c>
      <c r="N67" s="194">
        <f>(75.6*KFC!$B$36*1.02*1.3+KFC!$C$36)*KFC!$C$5</f>
        <v>100.2456</v>
      </c>
      <c r="O67" s="194">
        <f>(80.1*KFC!$B$36*1.02*1.3+KFC!$C$36)*KFC!$C$5</f>
        <v>106.21259999999999</v>
      </c>
      <c r="P67" s="194">
        <f>(84.6*KFC!$B$36*1.02*1.3+KFC!$C$36)*KFC!$C$5</f>
        <v>112.17960000000001</v>
      </c>
      <c r="Q67" s="194">
        <f>(89.2*KFC!$B$36*1.02*1.3+KFC!$C$36)*KFC!$C$5</f>
        <v>118.27920000000002</v>
      </c>
      <c r="R67" s="194">
        <f>(93.6*KFC!$B$36*1.02*1.3+KFC!$C$36)*KFC!$C$5</f>
        <v>124.11359999999999</v>
      </c>
      <c r="S67" s="194">
        <f>(98.1*KFC!$B$36*1.02*1.3+KFC!$C$36)*KFC!$C$5</f>
        <v>130.0806</v>
      </c>
      <c r="T67" s="194">
        <f>(102.6*KFC!$B$36*1.02*1.3+KFC!$C$36)*KFC!$C$5</f>
        <v>136.04760000000002</v>
      </c>
      <c r="U67" s="194">
        <f>(107*KFC!$B$36*1.02*1.3+KFC!$C$36)*KFC!$C$5</f>
        <v>141.88200000000001</v>
      </c>
      <c r="V67" s="194">
        <f>(111.5*KFC!$B$36*1.02*1.3+KFC!$C$36)*KFC!$C$5</f>
        <v>147.84900000000002</v>
      </c>
      <c r="W67" s="194">
        <f>(116.1*KFC!$B$36*1.02*1.3+KFC!$C$36)*KFC!$C$5</f>
        <v>153.9486</v>
      </c>
      <c r="X67" s="194">
        <f>(120.5*KFC!$B$36*1.02*1.3+KFC!$C$36)*KFC!$C$5</f>
        <v>159.78299999999999</v>
      </c>
      <c r="Y67" s="194">
        <f>(125*KFC!$B$36*1.02*1.3+KFC!$C$36)*KFC!$C$5</f>
        <v>165.75</v>
      </c>
      <c r="Z67" s="194">
        <f>(129.5*KFC!$B$36*1.02*1.3+KFC!$C$36)*KFC!$C$5</f>
        <v>171.71700000000001</v>
      </c>
      <c r="AA67" s="195">
        <f>(133.9*KFC!$B$36*1.02*1.3+KFC!$C$36)*KFC!$C$5</f>
        <v>177.5514</v>
      </c>
    </row>
    <row r="68" spans="1:27">
      <c r="A68" s="1781"/>
      <c r="B68" s="224">
        <v>2.9</v>
      </c>
      <c r="C68" s="247">
        <f>(26.9*KFC!$B$36*1.02*1.3+KFC!$C$36)*KFC!$C$5</f>
        <v>35.669400000000003</v>
      </c>
      <c r="D68" s="194">
        <f>(31.6*KFC!$B$36*1.02*1.3+KFC!$C$36)*KFC!$C$5</f>
        <v>41.901600000000002</v>
      </c>
      <c r="E68" s="194">
        <f>(36.2*KFC!$B$36*1.02*1.3+KFC!$C$36)*KFC!$C$5</f>
        <v>48.001200000000011</v>
      </c>
      <c r="F68" s="194">
        <f>(40.8*KFC!$B$36*1.02*1.3+KFC!$C$36)*KFC!$C$5</f>
        <v>54.1008</v>
      </c>
      <c r="G68" s="194">
        <f>(45.5*KFC!$B$36*1.02*1.3+KFC!$C$36)*KFC!$C$5</f>
        <v>60.333000000000006</v>
      </c>
      <c r="H68" s="194">
        <f>(50.1*KFC!$B$36*1.02*1.3+KFC!$C$36)*KFC!$C$5</f>
        <v>66.432600000000008</v>
      </c>
      <c r="I68" s="194">
        <f>(54.8*KFC!$B$36*1.02*1.3+KFC!$C$36)*KFC!$C$5</f>
        <v>72.6648</v>
      </c>
      <c r="J68" s="194">
        <f>(59.3*KFC!$B$36*1.02*1.3+KFC!$C$36)*KFC!$C$5</f>
        <v>78.631799999999998</v>
      </c>
      <c r="K68" s="194">
        <f>(64*KFC!$B$36*1.02*1.3+KFC!$C$36)*KFC!$C$5</f>
        <v>84.864000000000004</v>
      </c>
      <c r="L68" s="194">
        <f>(68.6*KFC!$B$36*1.02*1.3+KFC!$C$36)*KFC!$C$5</f>
        <v>90.9636</v>
      </c>
      <c r="M68" s="194">
        <f>(73.3*KFC!$B$36*1.02*1.3+KFC!$C$36)*KFC!$C$5</f>
        <v>97.195800000000006</v>
      </c>
      <c r="N68" s="194">
        <f>(77.9*KFC!$B$36*1.02*1.3+KFC!$C$36)*KFC!$C$5</f>
        <v>103.29540000000001</v>
      </c>
      <c r="O68" s="194">
        <f>(82.6*KFC!$B$36*1.02*1.3+KFC!$C$36)*KFC!$C$5</f>
        <v>109.52759999999999</v>
      </c>
      <c r="P68" s="194">
        <f>(87.2*KFC!$B$36*1.02*1.3+KFC!$C$36)*KFC!$C$5</f>
        <v>115.6272</v>
      </c>
      <c r="Q68" s="194">
        <f>(91.7*KFC!$B$36*1.02*1.3+KFC!$C$36)*KFC!$C$5</f>
        <v>121.59420000000001</v>
      </c>
      <c r="R68" s="194">
        <f>(96.4*KFC!$B$36*1.02*1.3+KFC!$C$36)*KFC!$C$5</f>
        <v>127.82640000000001</v>
      </c>
      <c r="S68" s="194">
        <f>(101*KFC!$B$36*1.02*1.3+KFC!$C$36)*KFC!$C$5</f>
        <v>133.92599999999999</v>
      </c>
      <c r="T68" s="194">
        <f>(105.7*KFC!$B$36*1.02*1.3+KFC!$C$36)*KFC!$C$5</f>
        <v>140.15820000000002</v>
      </c>
      <c r="U68" s="194">
        <f>(103.3*KFC!$B$36*1.02*1.3+KFC!$C$36)*KFC!$C$5</f>
        <v>136.97579999999999</v>
      </c>
      <c r="V68" s="194">
        <f>(115*KFC!$B$36*1.02*1.3+KFC!$C$36)*KFC!$C$5</f>
        <v>152.49</v>
      </c>
      <c r="W68" s="194">
        <f>(119.6*KFC!$B$36*1.02*1.3+KFC!$C$36)*KFC!$C$5</f>
        <v>158.58959999999999</v>
      </c>
      <c r="X68" s="194">
        <f>(124.3*KFC!$B$36*1.02*1.3+KFC!$C$36)*KFC!$C$5</f>
        <v>164.8218</v>
      </c>
      <c r="Y68" s="194">
        <f>(128.8*KFC!$B$36*1.02*1.3+KFC!$C$36)*KFC!$C$5</f>
        <v>170.78880000000001</v>
      </c>
      <c r="Z68" s="194">
        <f>(133.4*KFC!$B$36*1.02*1.3+KFC!$C$36)*KFC!$C$5</f>
        <v>176.88840000000002</v>
      </c>
      <c r="AA68" s="195">
        <f>(138.1*KFC!$B$36*1.02*1.3+KFC!$C$36)*KFC!$C$5</f>
        <v>183.1206</v>
      </c>
    </row>
    <row r="69" spans="1:27">
      <c r="A69" s="1781"/>
      <c r="B69" s="224">
        <v>3</v>
      </c>
      <c r="C69" s="247">
        <f>(27.6*KFC!$B$36*1.02*1.3+KFC!$C$36)*KFC!$C$5</f>
        <v>36.5976</v>
      </c>
      <c r="D69" s="194">
        <f>(32.4*KFC!$B$36*1.02*1.3+KFC!$C$36)*KFC!$C$5</f>
        <v>42.962400000000002</v>
      </c>
      <c r="E69" s="194">
        <f>(37.2*KFC!$B$36*1.02*1.3+KFC!$C$36)*KFC!$C$5</f>
        <v>49.327200000000005</v>
      </c>
      <c r="F69" s="194">
        <f>(41.9*KFC!$B$36*1.02*1.3+KFC!$C$36)*KFC!$C$5</f>
        <v>55.559400000000004</v>
      </c>
      <c r="G69" s="194">
        <f>(46.7*KFC!$B$36*1.02*1.3+KFC!$C$36)*KFC!$C$5</f>
        <v>61.924199999999999</v>
      </c>
      <c r="H69" s="194">
        <f>(51.5*KFC!$B$36*1.02*1.3+KFC!$C$36)*KFC!$C$5</f>
        <v>68.289000000000001</v>
      </c>
      <c r="I69" s="194">
        <f>(56.3*KFC!$B$36*1.02*1.3+KFC!$C$36)*KFC!$C$5</f>
        <v>74.65379999999999</v>
      </c>
      <c r="J69" s="194">
        <f>(61*KFC!$B$36*1.02*1.3+KFC!$C$36)*KFC!$C$5</f>
        <v>80.885999999999996</v>
      </c>
      <c r="K69" s="194">
        <f>(65.8*KFC!$B$36*1.02*1.3+KFC!$C$36)*KFC!$C$5</f>
        <v>87.250799999999998</v>
      </c>
      <c r="L69" s="194">
        <f>(70.6*KFC!$B$36*1.02*1.3+KFC!$C$36)*KFC!$C$5</f>
        <v>93.615600000000001</v>
      </c>
      <c r="M69" s="194">
        <f>(75.3*KFC!$B$36*1.02*1.3+KFC!$C$36)*KFC!$C$5</f>
        <v>99.847800000000007</v>
      </c>
      <c r="N69" s="194">
        <f>(80.1*KFC!$B$36*1.02*1.3+KFC!$C$36)*KFC!$C$5</f>
        <v>106.21259999999999</v>
      </c>
      <c r="O69" s="194">
        <f>(84.9*KFC!$B$36*1.02*1.3+KFC!$C$36)*KFC!$C$5</f>
        <v>112.57740000000003</v>
      </c>
      <c r="P69" s="194">
        <f>(89.6*KFC!$B$36*1.02*1.3+KFC!$C$36)*KFC!$C$5</f>
        <v>118.8096</v>
      </c>
      <c r="Q69" s="194">
        <f>(94.4*KFC!$B$36*1.02*1.3+KFC!$C$36)*KFC!$C$5</f>
        <v>125.17440000000002</v>
      </c>
      <c r="R69" s="194">
        <f>(99.2*KFC!$B$36*1.02*1.3+KFC!$C$36)*KFC!$C$5</f>
        <v>131.53920000000002</v>
      </c>
      <c r="S69" s="194">
        <f>(104*KFC!$B$36*1.02*1.3+KFC!$C$36)*KFC!$C$5</f>
        <v>137.904</v>
      </c>
      <c r="T69" s="194">
        <f>(108.8*KFC!$B$36*1.02*1.3+KFC!$C$36)*KFC!$C$5</f>
        <v>144.2688</v>
      </c>
      <c r="U69" s="194">
        <f>(113.6*KFC!$B$36*1.02*1.3+KFC!$C$36)*KFC!$C$5</f>
        <v>150.6336</v>
      </c>
      <c r="V69" s="194">
        <f>(118.4*KFC!$B$36*1.02*1.3+KFC!$C$36)*KFC!$C$5</f>
        <v>156.99840000000003</v>
      </c>
      <c r="W69" s="194">
        <f>(123.2*KFC!$B$36*1.02*1.3+KFC!$C$36)*KFC!$C$5</f>
        <v>163.36320000000001</v>
      </c>
      <c r="X69" s="194">
        <f>(127.9*KFC!$B$36*1.02*1.3+KFC!$C$36)*KFC!$C$5</f>
        <v>169.59540000000001</v>
      </c>
      <c r="Y69" s="194">
        <f>(132.7*KFC!$B$36*1.02*1.3+KFC!$C$36)*KFC!$C$5</f>
        <v>175.96019999999999</v>
      </c>
      <c r="Z69" s="194">
        <f>(137.5*KFC!$B$36*1.02*1.3+KFC!$C$36)*KFC!$C$5</f>
        <v>182.32500000000002</v>
      </c>
      <c r="AA69" s="195">
        <f>(142.2*KFC!$B$36*1.02*1.3+KFC!$C$36)*KFC!$C$5</f>
        <v>188.55719999999999</v>
      </c>
    </row>
    <row r="70" spans="1:27">
      <c r="A70" s="1781"/>
      <c r="B70" s="224">
        <v>3.1</v>
      </c>
      <c r="C70" s="247">
        <f>(28.3*KFC!$B$36*1.02*1.3+KFC!$C$36)*KFC!$C$5</f>
        <v>37.525800000000004</v>
      </c>
      <c r="D70" s="194">
        <f>(33.1*KFC!$B$36*1.02*1.3+KFC!$C$36)*KFC!$C$5</f>
        <v>43.890599999999999</v>
      </c>
      <c r="E70" s="194">
        <f>(38.2*KFC!$B$36*1.02*1.3+KFC!$C$36)*KFC!$C$5</f>
        <v>50.653200000000012</v>
      </c>
      <c r="F70" s="194">
        <f>(43*KFC!$B$36*1.02*1.3+KFC!$C$36)*KFC!$C$5</f>
        <v>57.018000000000001</v>
      </c>
      <c r="G70" s="194">
        <f>(47.9*KFC!$B$36*1.02*1.3+KFC!$C$36)*KFC!$C$5</f>
        <v>63.5154</v>
      </c>
      <c r="H70" s="194">
        <f>(52.8*KFC!$B$36*1.02*1.3+KFC!$C$36)*KFC!$C$5</f>
        <v>70.012799999999999</v>
      </c>
      <c r="I70" s="194">
        <f>(57.8*KFC!$B$36*1.02*1.3+KFC!$C$36)*KFC!$C$5</f>
        <v>76.642799999999994</v>
      </c>
      <c r="J70" s="194">
        <f>(62.7*KFC!$B$36*1.02*1.3+KFC!$C$36)*KFC!$C$5</f>
        <v>83.140200000000007</v>
      </c>
      <c r="K70" s="194">
        <f>(67.6*KFC!$B$36*1.02*1.3+KFC!$C$36)*KFC!$C$5</f>
        <v>89.637600000000006</v>
      </c>
      <c r="L70" s="194">
        <f>(72.5*KFC!$B$36*1.02*1.3+KFC!$C$36)*KFC!$C$5</f>
        <v>96.135000000000005</v>
      </c>
      <c r="M70" s="194">
        <f>(77.4*KFC!$B$36*1.02*1.3+KFC!$C$36)*KFC!$C$5</f>
        <v>102.63240000000002</v>
      </c>
      <c r="N70" s="194">
        <f>(82.4*KFC!$B$36*1.02*1.3+KFC!$C$36)*KFC!$C$5</f>
        <v>109.2624</v>
      </c>
      <c r="O70" s="194">
        <f>(87.3*KFC!$B$36*1.02*1.3+KFC!$C$36)*KFC!$C$5</f>
        <v>115.7598</v>
      </c>
      <c r="P70" s="194">
        <f>(92.2*KFC!$B$36*1.02*1.3+KFC!$C$36)*KFC!$C$5</f>
        <v>122.25720000000001</v>
      </c>
      <c r="Q70" s="194">
        <f>(97.1*KFC!$B$36*1.02*1.3+KFC!$C$36)*KFC!$C$5</f>
        <v>128.75460000000001</v>
      </c>
      <c r="R70" s="194">
        <f>(102.1*KFC!$B$36*1.02*1.3+KFC!$C$36)*KFC!$C$5</f>
        <v>135.38460000000001</v>
      </c>
      <c r="S70" s="194">
        <f>(107*KFC!$B$36*1.02*1.3+KFC!$C$36)*KFC!$C$5</f>
        <v>141.88200000000001</v>
      </c>
      <c r="T70" s="194">
        <f>(111.9*KFC!$B$36*1.02*1.3+KFC!$C$36)*KFC!$C$5</f>
        <v>148.3794</v>
      </c>
      <c r="U70" s="194">
        <f>(116.8*KFC!$B$36*1.02*1.3+KFC!$C$36)*KFC!$C$5</f>
        <v>154.8768</v>
      </c>
      <c r="V70" s="194">
        <f>(121.7*KFC!$B$36*1.02*1.3+KFC!$C$36)*KFC!$C$5</f>
        <v>161.3742</v>
      </c>
      <c r="W70" s="194">
        <f>(126.7*KFC!$B$36*1.02*1.3+KFC!$C$36)*KFC!$C$5</f>
        <v>168.00420000000003</v>
      </c>
      <c r="X70" s="194">
        <f>(131.6*KFC!$B$36*1.02*1.3+KFC!$C$36)*KFC!$C$5</f>
        <v>174.5016</v>
      </c>
      <c r="Y70" s="194">
        <f>(136.5*KFC!$B$36*1.02*1.3+KFC!$C$36)*KFC!$C$5</f>
        <v>180.999</v>
      </c>
      <c r="Z70" s="194">
        <f>(141.4*KFC!$B$36*1.02*1.3+KFC!$C$36)*KFC!$C$5</f>
        <v>187.49640000000002</v>
      </c>
      <c r="AA70" s="195">
        <f>(146.4*KFC!$B$36*1.02*1.3+KFC!$C$36)*KFC!$C$5</f>
        <v>194.12640000000002</v>
      </c>
    </row>
    <row r="71" spans="1:27">
      <c r="A71" s="1781"/>
      <c r="B71" s="224">
        <v>3.2</v>
      </c>
      <c r="C71" s="247">
        <f>(29*KFC!$B$36*1.02*1.3+KFC!$C$36)*KFC!$C$5</f>
        <v>38.454000000000001</v>
      </c>
      <c r="D71" s="194">
        <f>(34*KFC!$B$36*1.02*1.3+KFC!$C$36)*KFC!$C$5</f>
        <v>45.084000000000003</v>
      </c>
      <c r="E71" s="194">
        <f>(39*KFC!$B$36*1.02*1.3+KFC!$C$36)*KFC!$C$5</f>
        <v>51.714000000000006</v>
      </c>
      <c r="F71" s="194">
        <f>(44.2*KFC!$B$36*1.02*1.3+KFC!$C$36)*KFC!$C$5</f>
        <v>58.609200000000008</v>
      </c>
      <c r="G71" s="194">
        <f>(49.2*KFC!$B$36*1.02*1.3+KFC!$C$36)*KFC!$C$5</f>
        <v>65.239200000000011</v>
      </c>
      <c r="H71" s="194">
        <f>(54.3*KFC!$B$36*1.02*1.3+KFC!$C$36)*KFC!$C$5</f>
        <v>72.001800000000003</v>
      </c>
      <c r="I71" s="194">
        <f>(59.3*KFC!$B$36*1.02*1.3+KFC!$C$36)*KFC!$C$5</f>
        <v>78.631799999999998</v>
      </c>
      <c r="J71" s="194">
        <f>(64.3*KFC!$B$36*1.02*1.3+KFC!$C$36)*KFC!$C$5</f>
        <v>85.261800000000008</v>
      </c>
      <c r="K71" s="194">
        <f>(69.5*KFC!$B$36*1.02*1.3+KFC!$C$36)*KFC!$C$5</f>
        <v>92.157000000000011</v>
      </c>
      <c r="L71" s="194">
        <f>(74.5*KFC!$B$36*1.02*1.3+KFC!$C$36)*KFC!$C$5</f>
        <v>98.786999999999992</v>
      </c>
      <c r="M71" s="194">
        <f>(79.6*KFC!$B$36*1.02*1.3+KFC!$C$36)*KFC!$C$5</f>
        <v>105.5496</v>
      </c>
      <c r="N71" s="194">
        <f>(84.6*KFC!$B$36*1.02*1.3+KFC!$C$36)*KFC!$C$5</f>
        <v>112.17960000000001</v>
      </c>
      <c r="O71" s="194">
        <f>(89.3*KFC!$B$36*1.02*1.3+KFC!$C$36)*KFC!$C$5</f>
        <v>118.4118</v>
      </c>
      <c r="P71" s="194">
        <f>(94.8*KFC!$B$36*1.02*1.3+KFC!$C$36)*KFC!$C$5</f>
        <v>125.70480000000001</v>
      </c>
      <c r="Q71" s="194">
        <f>(99.8*KFC!$B$36*1.02*1.3+KFC!$C$36)*KFC!$C$5</f>
        <v>132.3348</v>
      </c>
      <c r="R71" s="194">
        <f>(104.9*KFC!$B$36*1.02*1.3+KFC!$C$36)*KFC!$C$5</f>
        <v>139.09740000000002</v>
      </c>
      <c r="S71" s="194">
        <f>(109.9*KFC!$B$36*1.02*1.3+KFC!$C$36)*KFC!$C$5</f>
        <v>145.72740000000002</v>
      </c>
      <c r="T71" s="194">
        <f>(115*KFC!$B$36*1.02*1.3+KFC!$C$36)*KFC!$C$5</f>
        <v>152.49</v>
      </c>
      <c r="U71" s="194">
        <f>(120.1*KFC!$B$36*1.02*1.3+KFC!$C$36)*KFC!$C$5</f>
        <v>159.2526</v>
      </c>
      <c r="V71" s="194">
        <f>(125.1*KFC!$B$36*1.02*1.3+KFC!$C$36)*KFC!$C$5</f>
        <v>165.8826</v>
      </c>
      <c r="W71" s="194">
        <f>(130.2*KFC!$B$36*1.02*1.3+KFC!$C$36)*KFC!$C$5</f>
        <v>172.64520000000002</v>
      </c>
      <c r="X71" s="194">
        <f>(135.3*KFC!$B$36*1.02*1.3+KFC!$C$36)*KFC!$C$5</f>
        <v>179.40780000000001</v>
      </c>
      <c r="Y71" s="194">
        <f>(140.3*KFC!$B$36*1.02*1.3+KFC!$C$36)*KFC!$C$5</f>
        <v>186.03780000000003</v>
      </c>
      <c r="Z71" s="194">
        <f>(145.4*KFC!$B$36*1.02*1.3+KFC!$C$36)*KFC!$C$5</f>
        <v>192.80040000000002</v>
      </c>
      <c r="AA71" s="195">
        <f>(150.4*KFC!$B$36*1.02*1.3+KFC!$C$36)*KFC!$C$5</f>
        <v>199.43040000000002</v>
      </c>
    </row>
    <row r="72" spans="1:27">
      <c r="A72" s="1781"/>
      <c r="B72" s="224">
        <v>3.3</v>
      </c>
      <c r="C72" s="247">
        <f>(29.6*KFC!$B$36*1.02*1.3+KFC!$C$36)*KFC!$C$5</f>
        <v>39.249600000000008</v>
      </c>
      <c r="D72" s="194">
        <f>(34.9*KFC!$B$36*1.02*1.3+KFC!$C$36)*KFC!$C$5</f>
        <v>46.2774</v>
      </c>
      <c r="E72" s="194">
        <f>(40*KFC!$B$36*1.02*1.3+KFC!$C$36)*KFC!$C$5</f>
        <v>53.04</v>
      </c>
      <c r="F72" s="194">
        <f>(45.3*KFC!$B$36*1.02*1.3+KFC!$C$36)*KFC!$C$5</f>
        <v>60.067799999999998</v>
      </c>
      <c r="G72" s="194">
        <f>(50.4*KFC!$B$36*1.02*1.3+KFC!$C$36)*KFC!$C$5</f>
        <v>66.830399999999997</v>
      </c>
      <c r="H72" s="194">
        <f>(55.6*KFC!$B$36*1.02*1.3+KFC!$C$36)*KFC!$C$5</f>
        <v>73.7256</v>
      </c>
      <c r="I72" s="194">
        <f>(60.9*KFC!$B$36*1.02*1.3+KFC!$C$36)*KFC!$C$5</f>
        <v>80.753399999999999</v>
      </c>
      <c r="J72" s="194">
        <f>(66*KFC!$B$36*1.02*1.3+KFC!$C$36)*KFC!$C$5</f>
        <v>87.51600000000002</v>
      </c>
      <c r="K72" s="194">
        <f>(71.3*KFC!$B$36*1.02*1.3+KFC!$C$36)*KFC!$C$5</f>
        <v>94.543800000000005</v>
      </c>
      <c r="L72" s="194">
        <f>(76.4*KFC!$B$36*1.02*1.3+KFC!$C$36)*KFC!$C$5</f>
        <v>101.30640000000002</v>
      </c>
      <c r="M72" s="194">
        <f>(81.7*KFC!$B$36*1.02*1.3+KFC!$C$36)*KFC!$C$5</f>
        <v>108.33420000000001</v>
      </c>
      <c r="N72" s="194">
        <f>(86.8*KFC!$B$36*1.02*1.3+KFC!$C$36)*KFC!$C$5</f>
        <v>115.0968</v>
      </c>
      <c r="O72" s="194">
        <f>(92.1*KFC!$B$36*1.02*1.3+KFC!$C$36)*KFC!$C$5</f>
        <v>122.1246</v>
      </c>
      <c r="P72" s="194">
        <f>(97.4*KFC!$B$36*1.02*1.3+KFC!$C$36)*KFC!$C$5</f>
        <v>129.15240000000003</v>
      </c>
      <c r="Q72" s="194">
        <f>(102.5*KFC!$B$36*1.02*1.3+KFC!$C$36)*KFC!$C$5</f>
        <v>135.91499999999999</v>
      </c>
      <c r="R72" s="194">
        <f>(107.7*KFC!$B$36*1.02*1.3+KFC!$C$36)*KFC!$C$5</f>
        <v>142.81020000000001</v>
      </c>
      <c r="S72" s="194">
        <f>(112.9*KFC!$B$36*1.02*1.3+KFC!$C$36)*KFC!$C$5</f>
        <v>149.7054</v>
      </c>
      <c r="T72" s="194">
        <f>(118.1*KFC!$B$36*1.02*1.3+KFC!$C$36)*KFC!$C$5</f>
        <v>156.60060000000001</v>
      </c>
      <c r="U72" s="194">
        <f>(123.4*KFC!$B$36*1.02*1.3+KFC!$C$36)*KFC!$C$5</f>
        <v>163.62840000000003</v>
      </c>
      <c r="V72" s="194">
        <f>(128.5*KFC!$B$36*1.02*1.3+KFC!$C$36)*KFC!$C$5</f>
        <v>170.39099999999999</v>
      </c>
      <c r="W72" s="194">
        <f>(133.8*KFC!$B$36*1.02*1.3+KFC!$C$36)*KFC!$C$5</f>
        <v>177.41880000000003</v>
      </c>
      <c r="X72" s="194">
        <f>(138.9*KFC!$B$36*1.02*1.3+KFC!$C$36)*KFC!$C$5</f>
        <v>184.1814</v>
      </c>
      <c r="Y72" s="194">
        <f>(144.2*KFC!$B$36*1.02*1.3+KFC!$C$36)*KFC!$C$5</f>
        <v>191.20920000000001</v>
      </c>
      <c r="Z72" s="194">
        <f>(149.3*KFC!$B$36*1.02*1.3+KFC!$C$36)*KFC!$C$5</f>
        <v>197.9718</v>
      </c>
      <c r="AA72" s="195">
        <f>(154.6*KFC!$B$36*1.02*1.3+KFC!$C$36)*KFC!$C$5</f>
        <v>204.99960000000002</v>
      </c>
    </row>
    <row r="73" spans="1:27">
      <c r="A73" s="1781"/>
      <c r="B73" s="224">
        <v>3.4</v>
      </c>
      <c r="C73" s="247">
        <f>(30.2*KFC!$B$36*1.02*1.3+KFC!$C$36)*KFC!$C$5</f>
        <v>40.045200000000001</v>
      </c>
      <c r="D73" s="194">
        <f>(35.6*KFC!$B$36*1.02*1.3+KFC!$C$36)*KFC!$C$5</f>
        <v>47.205600000000011</v>
      </c>
      <c r="E73" s="194">
        <f>(41*KFC!$B$36*1.02*1.3+KFC!$C$36)*KFC!$C$5</f>
        <v>54.366</v>
      </c>
      <c r="F73" s="194">
        <f>(46.4*KFC!$B$36*1.02*1.3+KFC!$C$36)*KFC!$C$5</f>
        <v>61.526399999999995</v>
      </c>
      <c r="G73" s="194">
        <f>(51.6*KFC!$B$36*1.02*1.3+KFC!$C$36)*KFC!$C$5</f>
        <v>68.421600000000012</v>
      </c>
      <c r="H73" s="194">
        <f>(57*KFC!$B$36*1.02*1.3+KFC!$C$36)*KFC!$C$5</f>
        <v>75.582000000000008</v>
      </c>
      <c r="I73" s="194">
        <f>(62.4*KFC!$B$36*1.02*1.3+KFC!$C$36)*KFC!$C$5</f>
        <v>82.742400000000004</v>
      </c>
      <c r="J73" s="194">
        <f>(67.8*KFC!$B$36*1.02*1.3+KFC!$C$36)*KFC!$C$5</f>
        <v>89.902799999999999</v>
      </c>
      <c r="K73" s="194">
        <f>(73.1*KFC!$B$36*1.02*1.3+KFC!$C$36)*KFC!$C$5</f>
        <v>96.930599999999998</v>
      </c>
      <c r="L73" s="194">
        <f>(78.4*KFC!$B$36*1.02*1.3+KFC!$C$36)*KFC!$C$5</f>
        <v>103.95840000000001</v>
      </c>
      <c r="M73" s="194">
        <f>(83.8*KFC!$B$36*1.02*1.3+KFC!$C$36)*KFC!$C$5</f>
        <v>111.11880000000001</v>
      </c>
      <c r="N73" s="194">
        <f>(89.2*KFC!$B$36*1.02*1.3+KFC!$C$36)*KFC!$C$5</f>
        <v>118.27920000000002</v>
      </c>
      <c r="O73" s="194">
        <f>(94.5*KFC!$B$36*1.02*1.3+KFC!$C$36)*KFC!$C$5</f>
        <v>125.307</v>
      </c>
      <c r="P73" s="194">
        <f>(99.8*KFC!$B$36*1.02*1.3+KFC!$C$36)*KFC!$C$5</f>
        <v>132.3348</v>
      </c>
      <c r="Q73" s="194">
        <f>(105.2*KFC!$B$36*1.02*1.3+KFC!$C$36)*KFC!$C$5</f>
        <v>139.49520000000001</v>
      </c>
      <c r="R73" s="194">
        <f>(110.6*KFC!$B$36*1.02*1.3+KFC!$C$36)*KFC!$C$5</f>
        <v>146.65559999999999</v>
      </c>
      <c r="S73" s="194">
        <f>(115.9*KFC!$B$36*1.02*1.3+KFC!$C$36)*KFC!$C$5</f>
        <v>153.68340000000001</v>
      </c>
      <c r="T73" s="194">
        <f>(121.2*KFC!$B$36*1.02*1.3+KFC!$C$36)*KFC!$C$5</f>
        <v>160.71120000000002</v>
      </c>
      <c r="U73" s="194">
        <f>(126.6*KFC!$B$36*1.02*1.3+KFC!$C$36)*KFC!$C$5</f>
        <v>167.8716</v>
      </c>
      <c r="V73" s="194">
        <f>(132*KFC!$B$36*1.02*1.3+KFC!$C$36)*KFC!$C$5</f>
        <v>175.03200000000004</v>
      </c>
      <c r="W73" s="194">
        <f>(137.3*KFC!$B$36*1.02*1.3+KFC!$C$36)*KFC!$C$5</f>
        <v>182.05980000000002</v>
      </c>
      <c r="X73" s="194">
        <f>(142.6*KFC!$B$36*1.02*1.3+KFC!$C$36)*KFC!$C$5</f>
        <v>189.08760000000001</v>
      </c>
      <c r="Y73" s="194">
        <f>(148*KFC!$B$36*1.02*1.3+KFC!$C$36)*KFC!$C$5</f>
        <v>196.24800000000002</v>
      </c>
      <c r="Z73" s="194">
        <f>(153.4*KFC!$B$36*1.02*1.3+KFC!$C$36)*KFC!$C$5</f>
        <v>203.40840000000003</v>
      </c>
      <c r="AA73" s="195">
        <f>(158.7*KFC!$B$36*1.02*1.3+KFC!$C$36)*KFC!$C$5</f>
        <v>210.43620000000001</v>
      </c>
    </row>
    <row r="74" spans="1:27">
      <c r="A74" s="1781"/>
      <c r="B74" s="224">
        <v>3.5</v>
      </c>
      <c r="C74" s="247">
        <f>(30.9*KFC!$B$36*1.02*1.3+KFC!$C$36)*KFC!$C$5</f>
        <v>40.973400000000005</v>
      </c>
      <c r="D74" s="194">
        <f>(36.4*KFC!$B$36*1.02*1.3+KFC!$C$36)*KFC!$C$5</f>
        <v>48.266400000000004</v>
      </c>
      <c r="E74" s="194">
        <f>(41.9*KFC!$B$36*1.02*1.3+KFC!$C$36)*KFC!$C$5</f>
        <v>55.559400000000004</v>
      </c>
      <c r="F74" s="194">
        <f>(47.5*KFC!$B$36*1.02*1.3+KFC!$C$36)*KFC!$C$5</f>
        <v>62.985000000000007</v>
      </c>
      <c r="G74" s="194">
        <f>(53*KFC!$B$36*1.02*1.3+KFC!$C$36)*KFC!$C$5</f>
        <v>70.278000000000006</v>
      </c>
      <c r="H74" s="194">
        <f>(58.5*KFC!$B$36*1.02*1.3+KFC!$C$36)*KFC!$C$5</f>
        <v>77.570999999999998</v>
      </c>
      <c r="I74" s="194">
        <f>(64*KFC!$B$36*1.02*1.3+KFC!$C$36)*KFC!$C$5</f>
        <v>84.864000000000004</v>
      </c>
      <c r="J74" s="194">
        <f>(69.3*KFC!$B$36*1.02*1.3+KFC!$C$36)*KFC!$C$5</f>
        <v>91.891799999999989</v>
      </c>
      <c r="K74" s="194">
        <f>(74.8*KFC!$B$36*1.02*1.3+KFC!$C$36)*KFC!$C$5</f>
        <v>99.184799999999996</v>
      </c>
      <c r="L74" s="194">
        <f>(80.4*KFC!$B$36*1.02*1.3+KFC!$C$36)*KFC!$C$5</f>
        <v>106.61040000000001</v>
      </c>
      <c r="M74" s="194">
        <f>(85.9*KFC!$B$36*1.02*1.3+KFC!$C$36)*KFC!$C$5</f>
        <v>113.90340000000002</v>
      </c>
      <c r="N74" s="194">
        <f>(91.4*KFC!$B$36*1.02*1.3+KFC!$C$36)*KFC!$C$5</f>
        <v>121.19640000000001</v>
      </c>
      <c r="O74" s="194">
        <f>(96.9*KFC!$B$36*1.02*1.3+KFC!$C$36)*KFC!$C$5</f>
        <v>128.48940000000002</v>
      </c>
      <c r="P74" s="194">
        <f>(102.4*KFC!$B$36*1.02*1.3+KFC!$C$36)*KFC!$C$5</f>
        <v>135.78240000000002</v>
      </c>
      <c r="Q74" s="194">
        <f>(107.9*KFC!$B$36*1.02*1.3+KFC!$C$36)*KFC!$C$5</f>
        <v>143.0754</v>
      </c>
      <c r="R74" s="194">
        <f>(113.4*KFC!$B$36*1.02*1.3+KFC!$C$36)*KFC!$C$5</f>
        <v>150.36840000000001</v>
      </c>
      <c r="S74" s="194">
        <f>(118.9*KFC!$B$36*1.02*1.3+KFC!$C$36)*KFC!$C$5</f>
        <v>157.66140000000001</v>
      </c>
      <c r="T74" s="194">
        <f>(124.4*KFC!$B$36*1.02*1.3+KFC!$C$36)*KFC!$C$5</f>
        <v>164.95440000000002</v>
      </c>
      <c r="U74" s="194">
        <f>(129.9*KFC!$B$36*1.02*1.3+KFC!$C$36)*KFC!$C$5</f>
        <v>172.24740000000003</v>
      </c>
      <c r="V74" s="194">
        <f>(135.4*KFC!$B$36*1.02*1.3+KFC!$C$36)*KFC!$C$5</f>
        <v>179.54040000000001</v>
      </c>
      <c r="W74" s="194">
        <f>(140.9*KFC!$B$36*1.02*1.3+KFC!$C$36)*KFC!$C$5</f>
        <v>186.83340000000004</v>
      </c>
      <c r="X74" s="194">
        <f>(146.4*KFC!$B$36*1.02*1.3+KFC!$C$36)*KFC!$C$5</f>
        <v>194.12640000000002</v>
      </c>
      <c r="Y74" s="194">
        <f>(151.9*KFC!$B$36*1.02*1.3+KFC!$C$36)*KFC!$C$5</f>
        <v>201.41940000000002</v>
      </c>
      <c r="Z74" s="194">
        <f>(157.3*KFC!$B$36*1.02*1.3+KFC!$C$36)*KFC!$C$5</f>
        <v>208.57980000000003</v>
      </c>
      <c r="AA74" s="195">
        <f>(162.8*KFC!$B$36*1.02*1.3+KFC!$C$36)*KFC!$C$5</f>
        <v>215.87280000000001</v>
      </c>
    </row>
    <row r="75" spans="1:27">
      <c r="A75" s="1781"/>
      <c r="B75" s="224">
        <v>3.6</v>
      </c>
      <c r="C75" s="247">
        <f>(31.6*KFC!$B$36*1.02*1.3+KFC!$C$36)*KFC!$C$5</f>
        <v>41.901600000000002</v>
      </c>
      <c r="D75" s="194">
        <f>(37.2*KFC!$B$36*1.02*1.3+KFC!$C$36)*KFC!$C$5</f>
        <v>49.327200000000005</v>
      </c>
      <c r="E75" s="194">
        <f>(42.9*KFC!$B$36*1.02*1.3+KFC!$C$36)*KFC!$C$5</f>
        <v>56.885400000000004</v>
      </c>
      <c r="F75" s="194">
        <f>(48.6*KFC!$B$36*1.02*1.3+KFC!$C$36)*KFC!$C$5</f>
        <v>64.443600000000004</v>
      </c>
      <c r="G75" s="194">
        <f>(54.2*KFC!$B$36*1.02*1.3+KFC!$C$36)*KFC!$C$5</f>
        <v>71.869200000000006</v>
      </c>
      <c r="H75" s="194">
        <f>(59.8*KFC!$B$36*1.02*1.3+KFC!$C$36)*KFC!$C$5</f>
        <v>79.294799999999995</v>
      </c>
      <c r="I75" s="194">
        <f>(65.4*KFC!$B$36*1.02*1.3+KFC!$C$36)*KFC!$C$5</f>
        <v>86.720400000000026</v>
      </c>
      <c r="J75" s="194">
        <f>(71.1*KFC!$B$36*1.02*1.3+KFC!$C$36)*KFC!$C$5</f>
        <v>94.278599999999997</v>
      </c>
      <c r="K75" s="194">
        <f>(76.7*KFC!$B$36*1.02*1.3+KFC!$C$36)*KFC!$C$5</f>
        <v>101.70420000000001</v>
      </c>
      <c r="L75" s="194">
        <f>(82.3*KFC!$B$36*1.02*1.3+KFC!$C$36)*KFC!$C$5</f>
        <v>109.1298</v>
      </c>
      <c r="M75" s="194">
        <f>(87.9*KFC!$B$36*1.02*1.3+KFC!$C$36)*KFC!$C$5</f>
        <v>116.55540000000001</v>
      </c>
      <c r="N75" s="194">
        <f>(93.7*KFC!$B$36*1.02*1.3+KFC!$C$36)*KFC!$C$5</f>
        <v>124.2462</v>
      </c>
      <c r="O75" s="194">
        <f>(99.3*KFC!$B$36*1.02*1.3+KFC!$C$36)*KFC!$C$5</f>
        <v>131.67180000000002</v>
      </c>
      <c r="P75" s="194">
        <f>(104.9*KFC!$B$36*1.02*1.3+KFC!$C$36)*KFC!$C$5</f>
        <v>139.09740000000002</v>
      </c>
      <c r="Q75" s="194">
        <f>(110.6*KFC!$B$36*1.02*1.3+KFC!$C$36)*KFC!$C$5</f>
        <v>146.65559999999999</v>
      </c>
      <c r="R75" s="194">
        <f>(116.2*KFC!$B$36*1.02*1.3+KFC!$C$36)*KFC!$C$5</f>
        <v>154.0812</v>
      </c>
      <c r="S75" s="194">
        <f>(121.8*KFC!$B$36*1.02*1.3+KFC!$C$36)*KFC!$C$5</f>
        <v>161.5068</v>
      </c>
      <c r="T75" s="194">
        <f>(127.4*KFC!$B$36*1.02*1.3+KFC!$C$36)*KFC!$C$5</f>
        <v>168.93240000000003</v>
      </c>
      <c r="U75" s="194">
        <f>(133.1*KFC!$B$36*1.02*1.3+KFC!$C$36)*KFC!$C$5</f>
        <v>176.4906</v>
      </c>
      <c r="V75" s="194">
        <f>(138.8*KFC!$B$36*1.02*1.3+KFC!$C$36)*KFC!$C$5</f>
        <v>184.04880000000003</v>
      </c>
      <c r="W75" s="194">
        <f>(144.4*KFC!$B$36*1.02*1.3+KFC!$C$36)*KFC!$C$5</f>
        <v>191.47440000000003</v>
      </c>
      <c r="X75" s="194">
        <f>(150.1*KFC!$B$36*1.02*1.3+KFC!$C$36)*KFC!$C$5</f>
        <v>199.0326</v>
      </c>
      <c r="Y75" s="194">
        <f>(155.7*KFC!$B$36*1.02*1.3+KFC!$C$36)*KFC!$C$5</f>
        <v>206.45820000000001</v>
      </c>
      <c r="Z75" s="194">
        <f>(161.3*KFC!$B$36*1.02*1.3+KFC!$C$36)*KFC!$C$5</f>
        <v>213.88380000000001</v>
      </c>
      <c r="AA75" s="195">
        <f>(166.9*KFC!$B$36*1.02*1.3+KFC!$C$36)*KFC!$C$5</f>
        <v>221.30940000000001</v>
      </c>
    </row>
    <row r="76" spans="1:27">
      <c r="A76" s="1781"/>
      <c r="B76" s="224">
        <v>3.7</v>
      </c>
      <c r="C76" s="247">
        <f>(32.3*KFC!$B$36*1.02*1.3+KFC!$C$36)*KFC!$C$5</f>
        <v>42.829799999999999</v>
      </c>
      <c r="D76" s="194">
        <f>(38*KFC!$B$36*1.02*1.3+KFC!$C$36)*KFC!$C$5</f>
        <v>50.387999999999998</v>
      </c>
      <c r="E76" s="194">
        <f>(43.8*KFC!$B$36*1.02*1.3+KFC!$C$36)*KFC!$C$5</f>
        <v>58.078799999999994</v>
      </c>
      <c r="F76" s="194">
        <f>(49.7*KFC!$B$36*1.02*1.3+KFC!$C$36)*KFC!$C$5</f>
        <v>65.902200000000008</v>
      </c>
      <c r="G76" s="194">
        <f>(55.4*KFC!$B$36*1.02*1.3+KFC!$C$36)*KFC!$C$5</f>
        <v>73.460400000000007</v>
      </c>
      <c r="H76" s="194">
        <f>(61.2*KFC!$B$36*1.02*1.3+KFC!$C$36)*KFC!$C$5</f>
        <v>81.151200000000017</v>
      </c>
      <c r="I76" s="194">
        <f>(67*KFC!$B$36*1.02*1.3+KFC!$C$36)*KFC!$C$5</f>
        <v>88.842000000000013</v>
      </c>
      <c r="J76" s="194">
        <f>(72.8*KFC!$B$36*1.02*1.3+KFC!$C$36)*KFC!$C$5</f>
        <v>96.532800000000009</v>
      </c>
      <c r="K76" s="194">
        <f>(78.5*KFC!$B$36*1.02*1.3+KFC!$C$36)*KFC!$C$5</f>
        <v>104.09100000000001</v>
      </c>
      <c r="L76" s="194">
        <f>(84.3*KFC!$B$36*1.02*1.3+KFC!$C$36)*KFC!$C$5</f>
        <v>111.7818</v>
      </c>
      <c r="M76" s="194">
        <f>(90.1*KFC!$B$36*1.02*1.3+KFC!$C$36)*KFC!$C$5</f>
        <v>119.4726</v>
      </c>
      <c r="N76" s="194">
        <f>(95.9*KFC!$B$36*1.02*1.3+KFC!$C$36)*KFC!$C$5</f>
        <v>127.16340000000002</v>
      </c>
      <c r="O76" s="194">
        <f>(101.6*KFC!$B$36*1.02*1.3+KFC!$C$36)*KFC!$C$5</f>
        <v>134.7216</v>
      </c>
      <c r="P76" s="194">
        <f>(107.5*KFC!$B$36*1.02*1.3+KFC!$C$36)*KFC!$C$5</f>
        <v>142.54500000000002</v>
      </c>
      <c r="Q76" s="194">
        <f>(113.2*KFC!$B$36*1.02*1.3+KFC!$C$36)*KFC!$C$5</f>
        <v>150.10320000000002</v>
      </c>
      <c r="R76" s="194">
        <f>(119*KFC!$B$36*1.02*1.3+KFC!$C$36)*KFC!$C$5</f>
        <v>157.79400000000001</v>
      </c>
      <c r="S76" s="194">
        <f>(124.7*KFC!$B$36*1.02*1.3+KFC!$C$36)*KFC!$C$5</f>
        <v>165.35220000000001</v>
      </c>
      <c r="T76" s="194">
        <f>(130.6*KFC!$B$36*1.02*1.3+KFC!$C$36)*KFC!$C$5</f>
        <v>173.1756</v>
      </c>
      <c r="U76" s="194">
        <f>(136.4*KFC!$B$36*1.02*1.3+KFC!$C$36)*KFC!$C$5</f>
        <v>180.86640000000003</v>
      </c>
      <c r="V76" s="194">
        <f>(142.1*KFC!$B$36*1.02*1.3+KFC!$C$36)*KFC!$C$5</f>
        <v>188.42460000000003</v>
      </c>
      <c r="W76" s="194">
        <f>(148*KFC!$B$36*1.02*1.3+KFC!$C$36)*KFC!$C$5</f>
        <v>196.24800000000002</v>
      </c>
      <c r="X76" s="194">
        <f>(153.7*KFC!$B$36*1.02*1.3+KFC!$C$36)*KFC!$C$5</f>
        <v>203.80620000000002</v>
      </c>
      <c r="Y76" s="194">
        <f>(159.5*KFC!$B$36*1.02*1.3+KFC!$C$36)*KFC!$C$5</f>
        <v>211.49700000000001</v>
      </c>
      <c r="Z76" s="194">
        <f>(165.3*KFC!$B$36*1.02*1.3+KFC!$C$36)*KFC!$C$5</f>
        <v>219.18780000000004</v>
      </c>
      <c r="AA76" s="195">
        <f>(171.1*KFC!$B$36*1.02*1.3+KFC!$C$36)*KFC!$C$5</f>
        <v>226.87860000000001</v>
      </c>
    </row>
    <row r="77" spans="1:27">
      <c r="A77" s="1781"/>
      <c r="B77" s="224">
        <v>3.8</v>
      </c>
      <c r="C77" s="247">
        <f>(32.9*KFC!$B$36*1.02*1.3+KFC!$C$36)*KFC!$C$5</f>
        <v>43.625399999999999</v>
      </c>
      <c r="D77" s="194">
        <f>(38.9*KFC!$B$36*1.02*1.3+KFC!$C$36)*KFC!$C$5</f>
        <v>51.581399999999995</v>
      </c>
      <c r="E77" s="194">
        <f>(44.8*KFC!$B$36*1.02*1.3+KFC!$C$36)*KFC!$C$5</f>
        <v>59.404800000000002</v>
      </c>
      <c r="F77" s="194">
        <f>(50.8*KFC!$B$36*1.02*1.3+KFC!$C$36)*KFC!$C$5</f>
        <v>67.360799999999998</v>
      </c>
      <c r="G77" s="194">
        <f>(56.6*KFC!$B$36*1.02*1.3+KFC!$C$36)*KFC!$C$5</f>
        <v>75.051600000000008</v>
      </c>
      <c r="H77" s="194">
        <f>(62.6*KFC!$B$36*1.02*1.3+KFC!$C$36)*KFC!$C$5</f>
        <v>83.007600000000011</v>
      </c>
      <c r="I77" s="194">
        <f>(68.5*KFC!$B$36*1.02*1.3+KFC!$C$36)*KFC!$C$5</f>
        <v>90.831000000000003</v>
      </c>
      <c r="J77" s="194">
        <f>(74.4*KFC!$B$36*1.02*1.3+KFC!$C$36)*KFC!$C$5</f>
        <v>98.65440000000001</v>
      </c>
      <c r="K77" s="194">
        <f>(80.4*KFC!$B$36*1.02*1.3+KFC!$C$36)*KFC!$C$5</f>
        <v>106.61040000000001</v>
      </c>
      <c r="L77" s="194">
        <f>(86.2*KFC!$B$36*1.02*1.3+KFC!$C$36)*KFC!$C$5</f>
        <v>114.30120000000001</v>
      </c>
      <c r="M77" s="194">
        <f>(92.2*KFC!$B$36*1.02*1.3+KFC!$C$36)*KFC!$C$5</f>
        <v>122.25720000000001</v>
      </c>
      <c r="N77" s="194">
        <f>(98.1*KFC!$B$36*1.02*1.3+KFC!$C$36)*KFC!$C$5</f>
        <v>130.0806</v>
      </c>
      <c r="O77" s="194">
        <f>(104.1*KFC!$B$36*1.02*1.3+KFC!$C$36)*KFC!$C$5</f>
        <v>138.03660000000002</v>
      </c>
      <c r="P77" s="194">
        <f>(109.9*KFC!$B$36*1.02*1.3+KFC!$C$36)*KFC!$C$5</f>
        <v>145.72740000000002</v>
      </c>
      <c r="Q77" s="194">
        <f>(115.9*KFC!$B$36*1.02*1.3+KFC!$C$36)*KFC!$C$5</f>
        <v>153.68340000000001</v>
      </c>
      <c r="R77" s="194">
        <f>(121.8*KFC!$B$36*1.02*1.3+KFC!$C$36)*KFC!$C$5</f>
        <v>161.5068</v>
      </c>
      <c r="S77" s="194">
        <f>(127.8*KFC!$B$36*1.02*1.3+KFC!$C$36)*KFC!$C$5</f>
        <v>169.46279999999999</v>
      </c>
      <c r="T77" s="194">
        <f>(133.7*KFC!$B$36*1.02*1.3+KFC!$C$36)*KFC!$C$5</f>
        <v>177.28620000000001</v>
      </c>
      <c r="U77" s="194">
        <f>(139.7*KFC!$B$36*1.02*1.3+KFC!$C$36)*KFC!$C$5</f>
        <v>185.2422</v>
      </c>
      <c r="V77" s="194">
        <f>(145.5*KFC!$B$36*1.02*1.3+KFC!$C$36)*KFC!$C$5</f>
        <v>192.93299999999999</v>
      </c>
      <c r="W77" s="194">
        <f>(151.5*KFC!$B$36*1.02*1.3+KFC!$C$36)*KFC!$C$5</f>
        <v>200.88900000000001</v>
      </c>
      <c r="X77" s="194">
        <f>(157.4*KFC!$B$36*1.02*1.3+KFC!$C$36)*KFC!$C$5</f>
        <v>208.7124</v>
      </c>
      <c r="Y77" s="194">
        <f>(163.4*KFC!$B$36*1.02*1.3+KFC!$C$36)*KFC!$C$5</f>
        <v>216.66840000000002</v>
      </c>
      <c r="Z77" s="194">
        <f>(169.3*KFC!$B$36*1.02*1.3+KFC!$C$36)*KFC!$C$5</f>
        <v>224.49180000000001</v>
      </c>
      <c r="AA77" s="195">
        <f>(175.3*KFC!$B$36*1.02*1.3+KFC!$C$36)*KFC!$C$5</f>
        <v>232.44780000000003</v>
      </c>
    </row>
    <row r="78" spans="1:27">
      <c r="A78" s="1781"/>
      <c r="B78" s="224">
        <v>3.9</v>
      </c>
      <c r="C78" s="247">
        <f>(33.6*KFC!$B$36*1.02*1.3+KFC!$C$36)*KFC!$C$5</f>
        <v>44.55360000000001</v>
      </c>
      <c r="D78" s="194">
        <f>(39.6*KFC!$B$36*1.02*1.3+KFC!$C$36)*KFC!$C$5</f>
        <v>52.509600000000006</v>
      </c>
      <c r="E78" s="194">
        <f>(45.7*KFC!$B$36*1.02*1.3+KFC!$C$36)*KFC!$C$5</f>
        <v>60.598200000000006</v>
      </c>
      <c r="F78" s="194">
        <f>(51.9*KFC!$B$36*1.02*1.3+KFC!$C$36)*KFC!$C$5</f>
        <v>68.819400000000002</v>
      </c>
      <c r="G78" s="194">
        <f>(57.8*KFC!$B$36*1.02*1.3+KFC!$C$36)*KFC!$C$5</f>
        <v>76.642799999999994</v>
      </c>
      <c r="H78" s="194">
        <f>(64*KFC!$B$36*1.02*1.3+KFC!$C$36)*KFC!$C$5</f>
        <v>84.864000000000004</v>
      </c>
      <c r="I78" s="194">
        <f>(70.1*KFC!$B$36*1.02*1.3+KFC!$C$36)*KFC!$C$5</f>
        <v>92.952600000000004</v>
      </c>
      <c r="J78" s="194">
        <f>(76.1*KFC!$B$36*1.02*1.3+KFC!$C$36)*KFC!$C$5</f>
        <v>100.90860000000001</v>
      </c>
      <c r="K78" s="194">
        <f>(82.2*KFC!$B$36*1.02*1.3+KFC!$C$36)*KFC!$C$5</f>
        <v>108.99720000000002</v>
      </c>
      <c r="L78" s="194">
        <f>(88.2*KFC!$B$36*1.02*1.3+KFC!$C$36)*KFC!$C$5</f>
        <v>116.9532</v>
      </c>
      <c r="M78" s="194">
        <f>(94.3*KFC!$B$36*1.02*1.3+KFC!$C$36)*KFC!$C$5</f>
        <v>125.04179999999999</v>
      </c>
      <c r="N78" s="194">
        <f>(100.4*KFC!$B$36*1.02*1.3+KFC!$C$36)*KFC!$C$5</f>
        <v>133.13040000000001</v>
      </c>
      <c r="O78" s="194">
        <f>(106.4*KFC!$B$36*1.02*1.3+KFC!$C$36)*KFC!$C$5</f>
        <v>141.08640000000003</v>
      </c>
      <c r="P78" s="194">
        <f>(112.5*KFC!$B$36*1.02*1.3+KFC!$C$36)*KFC!$C$5</f>
        <v>149.17500000000001</v>
      </c>
      <c r="Q78" s="194">
        <f>(118.6*KFC!$B$36*1.02*1.3+KFC!$C$36)*KFC!$C$5</f>
        <v>157.2636</v>
      </c>
      <c r="R78" s="194">
        <f>(124.6*KFC!$B$36*1.02*1.3+KFC!$C$36)*KFC!$C$5</f>
        <v>165.21960000000001</v>
      </c>
      <c r="S78" s="194">
        <f>(130.7*KFC!$B$36*1.02*1.3+KFC!$C$36)*KFC!$C$5</f>
        <v>173.3082</v>
      </c>
      <c r="T78" s="194">
        <f>(136.9*KFC!$B$36*1.02*1.3+KFC!$C$36)*KFC!$C$5</f>
        <v>181.52940000000001</v>
      </c>
      <c r="U78" s="194">
        <f>(142.8*KFC!$B$36*1.02*1.3+KFC!$C$36)*KFC!$C$5</f>
        <v>189.3528</v>
      </c>
      <c r="V78" s="194">
        <f>(149*KFC!$B$36*1.02*1.3+KFC!$C$36)*KFC!$C$5</f>
        <v>197.57399999999998</v>
      </c>
      <c r="W78" s="194">
        <f>(155.1*KFC!$B$36*1.02*1.3+KFC!$C$36)*KFC!$C$5</f>
        <v>205.6626</v>
      </c>
      <c r="X78" s="194">
        <f>(161.1*KFC!$B$36*1.02*1.3+KFC!$C$36)*KFC!$C$5</f>
        <v>213.61860000000001</v>
      </c>
      <c r="Y78" s="194">
        <f>(167.2*KFC!$B$36*1.02*1.3+KFC!$C$36)*KFC!$C$5</f>
        <v>221.70719999999997</v>
      </c>
      <c r="Z78" s="194">
        <f>(173.3*KFC!$B$36*1.02*1.3+KFC!$C$36)*KFC!$C$5</f>
        <v>229.79580000000004</v>
      </c>
      <c r="AA78" s="195">
        <f>(179.3*KFC!$B$36*1.02*1.3+KFC!$C$36)*KFC!$C$5</f>
        <v>237.75180000000003</v>
      </c>
    </row>
    <row r="79" spans="1:27" ht="13.8" thickBot="1">
      <c r="A79" s="1782"/>
      <c r="B79" s="225">
        <v>4</v>
      </c>
      <c r="C79" s="248">
        <f>(34.2*KFC!$B$36*1.02*1.3+KFC!$C$36)*KFC!$C$5</f>
        <v>45.349200000000003</v>
      </c>
      <c r="D79" s="196">
        <f>(40.5*KFC!$B$36*1.02*1.3+KFC!$C$36)*KFC!$C$5</f>
        <v>53.703000000000003</v>
      </c>
      <c r="E79" s="196">
        <f>(46.7*KFC!$B$36*1.02*1.3+KFC!$C$36)*KFC!$C$5</f>
        <v>61.924199999999999</v>
      </c>
      <c r="F79" s="196">
        <f>(53*KFC!$B$36*1.02*1.3+KFC!$C$36)*KFC!$C$5</f>
        <v>70.278000000000006</v>
      </c>
      <c r="G79" s="196">
        <f>(59.1*KFC!$B$36*1.02*1.3+KFC!$C$36)*KFC!$C$5</f>
        <v>78.366600000000005</v>
      </c>
      <c r="H79" s="196">
        <f>(65.3*KFC!$B$36*1.02*1.3+KFC!$C$36)*KFC!$C$5</f>
        <v>86.587800000000001</v>
      </c>
      <c r="I79" s="196">
        <f>(71.5*KFC!$B$36*1.02*1.3+KFC!$C$36)*KFC!$C$5</f>
        <v>94.809000000000012</v>
      </c>
      <c r="J79" s="196">
        <f>(77.8*KFC!$B$36*1.02*1.3+KFC!$C$36)*KFC!$C$5</f>
        <v>103.16279999999999</v>
      </c>
      <c r="K79" s="196">
        <f>(84*KFC!$B$36*1.02*1.3+KFC!$C$36)*KFC!$C$5</f>
        <v>111.38400000000001</v>
      </c>
      <c r="L79" s="196">
        <f>(90.3*KFC!$B$36*1.02*1.3+KFC!$C$36)*KFC!$C$5</f>
        <v>119.73779999999999</v>
      </c>
      <c r="M79" s="196">
        <f>(96.4*KFC!$B$36*1.02*1.3+KFC!$C$36)*KFC!$C$5</f>
        <v>127.82640000000001</v>
      </c>
      <c r="N79" s="196">
        <f>(102.6*KFC!$B$36*1.02*1.3+KFC!$C$36)*KFC!$C$5</f>
        <v>136.04760000000002</v>
      </c>
      <c r="O79" s="196">
        <f>(108.8*KFC!$B$36*1.02*1.3+KFC!$C$36)*KFC!$C$5</f>
        <v>144.2688</v>
      </c>
      <c r="P79" s="196">
        <f>(115.1*KFC!$B$36*1.02*1.3+KFC!$C$36)*KFC!$C$5</f>
        <v>152.62260000000001</v>
      </c>
      <c r="Q79" s="196">
        <f>(121.3*KFC!$B$36*1.02*1.3+KFC!$C$36)*KFC!$C$5</f>
        <v>160.84380000000002</v>
      </c>
      <c r="R79" s="196">
        <f>(127.6*KFC!$B$36*1.02*1.3+KFC!$C$36)*KFC!$C$5</f>
        <v>169.19759999999999</v>
      </c>
      <c r="S79" s="196">
        <f>(133.7*KFC!$B$36*1.02*1.3+KFC!$C$36)*KFC!$C$5</f>
        <v>177.28620000000001</v>
      </c>
      <c r="T79" s="196">
        <f>(139.9*KFC!$B$36*1.02*1.3+KFC!$C$36)*KFC!$C$5</f>
        <v>185.50740000000002</v>
      </c>
      <c r="U79" s="196">
        <f>(146.1*KFC!$B$36*1.02*1.3+KFC!$C$36)*KFC!$C$5</f>
        <v>193.7286</v>
      </c>
      <c r="V79" s="196">
        <f>(152.4*KFC!$B$36*1.02*1.3+KFC!$C$36)*KFC!$C$5</f>
        <v>202.08240000000001</v>
      </c>
      <c r="W79" s="196">
        <f>(158.6*KFC!$B$36*1.02*1.3+KFC!$C$36)*KFC!$C$5</f>
        <v>210.30359999999999</v>
      </c>
      <c r="X79" s="196">
        <f>(164.9*KFC!$B$36*1.02*1.3+KFC!$C$36)*KFC!$C$5</f>
        <v>218.65740000000002</v>
      </c>
      <c r="Y79" s="196">
        <f>(171*KFC!$B$36*1.02*1.3+KFC!$C$36)*KFC!$C$5</f>
        <v>226.74600000000004</v>
      </c>
      <c r="Z79" s="196">
        <f>(177.2*KFC!$B$36*1.02*1.3+KFC!$C$36)*KFC!$C$5</f>
        <v>234.96720000000002</v>
      </c>
      <c r="AA79" s="197">
        <f>(183.5*KFC!$B$36*1.02*1.3+KFC!$C$36)*KFC!$C$5</f>
        <v>243.32100000000003</v>
      </c>
    </row>
    <row r="80" spans="1:27" ht="13.8" thickBot="1">
      <c r="A80" s="186"/>
      <c r="B80" s="184"/>
      <c r="C80" s="178"/>
      <c r="D80" s="178"/>
      <c r="E80" s="178"/>
      <c r="F80" s="178"/>
      <c r="G80" s="178"/>
      <c r="H80" s="178"/>
      <c r="I80" s="178"/>
      <c r="J80" s="178"/>
      <c r="K80" s="178"/>
      <c r="L80" s="178"/>
      <c r="M80" s="178"/>
      <c r="N80" s="178"/>
      <c r="O80" s="178"/>
      <c r="P80" s="178"/>
      <c r="Q80" s="178"/>
      <c r="R80" s="178"/>
      <c r="S80" s="178"/>
      <c r="T80" s="178"/>
      <c r="U80" s="178"/>
      <c r="V80" s="178"/>
      <c r="W80" s="178"/>
      <c r="X80" s="178"/>
      <c r="Y80" s="178"/>
    </row>
    <row r="81" spans="1:27" ht="13.5" customHeight="1" thickBot="1">
      <c r="A81" s="1413" t="s">
        <v>318</v>
      </c>
      <c r="B81" s="1415"/>
      <c r="C81" s="1534" t="s">
        <v>207</v>
      </c>
      <c r="D81" s="1535"/>
      <c r="E81" s="1535"/>
      <c r="F81" s="1535"/>
      <c r="G81" s="1535"/>
      <c r="H81" s="1535"/>
      <c r="I81" s="1535"/>
      <c r="J81" s="1535"/>
      <c r="K81" s="1535"/>
      <c r="L81" s="1535"/>
      <c r="M81" s="1535"/>
      <c r="N81" s="1535"/>
      <c r="O81" s="1535"/>
      <c r="P81" s="1535"/>
      <c r="Q81" s="1535"/>
      <c r="R81" s="1535"/>
      <c r="S81" s="1535"/>
      <c r="T81" s="1535"/>
      <c r="U81" s="1535"/>
      <c r="V81" s="1535"/>
      <c r="W81" s="1535"/>
      <c r="X81" s="1535"/>
      <c r="Y81" s="1535"/>
      <c r="Z81" s="1535"/>
      <c r="AA81" s="1536"/>
    </row>
    <row r="82" spans="1:27" ht="13.8" thickBot="1">
      <c r="A82" s="1803"/>
      <c r="B82" s="1802"/>
      <c r="C82" s="167">
        <v>0.4</v>
      </c>
      <c r="D82" s="167">
        <v>0.5</v>
      </c>
      <c r="E82" s="167">
        <v>0.6</v>
      </c>
      <c r="F82" s="167">
        <v>0.7</v>
      </c>
      <c r="G82" s="167">
        <v>0.8</v>
      </c>
      <c r="H82" s="167">
        <v>0.9</v>
      </c>
      <c r="I82" s="167">
        <v>1</v>
      </c>
      <c r="J82" s="167">
        <v>1.1000000000000001</v>
      </c>
      <c r="K82" s="167">
        <v>1.2</v>
      </c>
      <c r="L82" s="167">
        <v>1.3</v>
      </c>
      <c r="M82" s="167">
        <v>1.4</v>
      </c>
      <c r="N82" s="120">
        <v>1.5</v>
      </c>
      <c r="O82" s="119">
        <v>1.6</v>
      </c>
      <c r="P82" s="120">
        <v>1.7</v>
      </c>
      <c r="Q82" s="119">
        <v>1.8</v>
      </c>
      <c r="R82" s="120">
        <v>1.9</v>
      </c>
      <c r="S82" s="119">
        <v>2</v>
      </c>
      <c r="T82" s="120">
        <v>2.1</v>
      </c>
      <c r="U82" s="119">
        <v>2.2000000000000002</v>
      </c>
      <c r="V82" s="120">
        <v>2.2999999999999998</v>
      </c>
      <c r="W82" s="119">
        <v>2.4</v>
      </c>
      <c r="X82" s="120">
        <v>2.5</v>
      </c>
      <c r="Y82" s="120">
        <v>2.6</v>
      </c>
      <c r="Z82" s="120">
        <v>2.7</v>
      </c>
      <c r="AA82" s="120">
        <v>2.8</v>
      </c>
    </row>
    <row r="83" spans="1:27" ht="12.75" customHeight="1">
      <c r="A83" s="1780" t="s">
        <v>3</v>
      </c>
      <c r="B83" s="226">
        <v>0.5</v>
      </c>
      <c r="C83" s="246">
        <f>(14.7*KFC!$B$36*1.02*1.3+KFC!$C$36)*KFC!$C$5</f>
        <v>19.4922</v>
      </c>
      <c r="D83" s="192">
        <f>(16.3*KFC!$B$36*1.02*1.3+KFC!$C$36)*KFC!$C$5</f>
        <v>21.613800000000001</v>
      </c>
      <c r="E83" s="192">
        <f>(17.7*KFC!$B$36*1.02*1.3+KFC!$C$36)*KFC!$C$5</f>
        <v>23.470199999999998</v>
      </c>
      <c r="F83" s="192">
        <f>(19.3*KFC!$B$36*1.02*1.3+KFC!$C$36)*KFC!$C$5</f>
        <v>25.591799999999999</v>
      </c>
      <c r="G83" s="192">
        <f>(20.8*KFC!$B$36*1.02*1.3+KFC!$C$36)*KFC!$C$5</f>
        <v>27.580800000000004</v>
      </c>
      <c r="H83" s="192">
        <f>(22.4*KFC!$B$36*1.02*1.3+KFC!$C$36)*KFC!$C$5</f>
        <v>29.702400000000001</v>
      </c>
      <c r="I83" s="192">
        <f>(23.8*KFC!$B$36*1.02*1.3+KFC!$C$36)*KFC!$C$5</f>
        <v>31.558800000000002</v>
      </c>
      <c r="J83" s="192">
        <f>(25.4*KFC!$B$36*1.02*1.3+KFC!$C$36)*KFC!$C$5</f>
        <v>33.680399999999999</v>
      </c>
      <c r="K83" s="192">
        <f>(26.9*KFC!$B$36*1.02*1.3+KFC!$C$36)*KFC!$C$5</f>
        <v>35.669400000000003</v>
      </c>
      <c r="L83" s="192">
        <f>(28.5*KFC!$B$36*1.02*1.3+KFC!$C$36)*KFC!$C$5</f>
        <v>37.791000000000004</v>
      </c>
      <c r="M83" s="192">
        <f>(30*KFC!$B$36*1.02*1.3+KFC!$C$36)*KFC!$C$5</f>
        <v>39.78</v>
      </c>
      <c r="N83" s="192">
        <f>(31.6*KFC!$B$36*1.02*1.3+KFC!$C$36)*KFC!$C$5</f>
        <v>41.901600000000002</v>
      </c>
      <c r="O83" s="192">
        <f>(33*KFC!$B$36*1.02*1.3+KFC!$C$36)*KFC!$C$5</f>
        <v>43.75800000000001</v>
      </c>
      <c r="P83" s="192">
        <f>(34.6*KFC!$B$36*1.02*1.3+KFC!$C$36)*KFC!$C$5</f>
        <v>45.879600000000003</v>
      </c>
      <c r="Q83" s="192">
        <f>(36.1*KFC!$B$36*1.02*1.3+KFC!$C$36)*KFC!$C$5</f>
        <v>47.868600000000008</v>
      </c>
      <c r="R83" s="192">
        <f>(37.7*KFC!$B$36*1.02*1.3+KFC!$C$36)*KFC!$C$5</f>
        <v>49.990200000000002</v>
      </c>
      <c r="S83" s="192">
        <f>(39.1*KFC!$B$36*1.02*1.3+KFC!$C$36)*KFC!$C$5</f>
        <v>51.846600000000009</v>
      </c>
      <c r="T83" s="192">
        <f>(40.7*KFC!$B$36*1.02*1.3+KFC!$C$36)*KFC!$C$5</f>
        <v>53.968200000000003</v>
      </c>
      <c r="U83" s="192">
        <f>(42.2*KFC!$B$36*1.02*1.3+KFC!$C$36)*KFC!$C$5</f>
        <v>55.957200000000007</v>
      </c>
      <c r="V83" s="192">
        <f>(43.8*KFC!$B$36*1.02*1.3+KFC!$C$36)*KFC!$C$5</f>
        <v>58.078799999999994</v>
      </c>
      <c r="W83" s="192">
        <f>(45.3*KFC!$B$36*1.02*1.3+KFC!$C$36)*KFC!$C$5</f>
        <v>60.067799999999998</v>
      </c>
      <c r="X83" s="192">
        <f>(46.8*KFC!$B$36*1.02*1.3+KFC!$C$36)*KFC!$C$5</f>
        <v>62.056799999999996</v>
      </c>
      <c r="Y83" s="192">
        <f>(48.3*KFC!$B$36*1.02*1.3+KFC!$C$36)*KFC!$C$5</f>
        <v>64.0458</v>
      </c>
      <c r="Z83" s="192">
        <f>(49.9*KFC!$B$36*1.02*1.3+KFC!$C$36)*KFC!$C$5</f>
        <v>66.167400000000001</v>
      </c>
      <c r="AA83" s="193">
        <f>(51.4*KFC!$B$36*1.02*1.3+KFC!$C$36)*KFC!$C$5</f>
        <v>68.156400000000005</v>
      </c>
    </row>
    <row r="84" spans="1:27">
      <c r="A84" s="1781"/>
      <c r="B84" s="224">
        <v>0.6</v>
      </c>
      <c r="C84" s="247">
        <f>(15.7*KFC!$B$36*1.02*1.3+KFC!$C$36)*KFC!$C$5</f>
        <v>20.818200000000001</v>
      </c>
      <c r="D84" s="194">
        <f>(17.4*KFC!$B$36*1.02*1.3+KFC!$C$36)*KFC!$C$5</f>
        <v>23.072399999999998</v>
      </c>
      <c r="E84" s="194">
        <f>(19.2*KFC!$B$36*1.02*1.3+KFC!$C$36)*KFC!$C$5</f>
        <v>25.459199999999999</v>
      </c>
      <c r="F84" s="194">
        <f>(20.9*KFC!$B$36*1.02*1.3+KFC!$C$36)*KFC!$C$5</f>
        <v>27.713399999999996</v>
      </c>
      <c r="G84" s="194">
        <f>(22.6*KFC!$B$36*1.02*1.3+KFC!$C$36)*KFC!$C$5</f>
        <v>29.967600000000004</v>
      </c>
      <c r="H84" s="194">
        <f>(24.3*KFC!$B$36*1.02*1.3+KFC!$C$36)*KFC!$C$5</f>
        <v>32.221800000000002</v>
      </c>
      <c r="I84" s="194">
        <f>(26.2*KFC!$B$36*1.02*1.3+KFC!$C$36)*KFC!$C$5</f>
        <v>34.741199999999999</v>
      </c>
      <c r="J84" s="194">
        <f>(27.9*KFC!$B$36*1.02*1.3+KFC!$C$36)*KFC!$C$5</f>
        <v>36.995399999999997</v>
      </c>
      <c r="K84" s="194">
        <f>(29.6*KFC!$B$36*1.02*1.3+KFC!$C$36)*KFC!$C$5</f>
        <v>39.249600000000008</v>
      </c>
      <c r="L84" s="194">
        <f>(31.4*KFC!$B$36*1.02*1.3+KFC!$C$36)*KFC!$C$5</f>
        <v>41.636400000000002</v>
      </c>
      <c r="M84" s="194">
        <f>(33.1*KFC!$B$36*1.02*1.3+KFC!$C$36)*KFC!$C$5</f>
        <v>43.890599999999999</v>
      </c>
      <c r="N84" s="194">
        <f>(34.9*KFC!$B$36*1.02*1.3+KFC!$C$36)*KFC!$C$5</f>
        <v>46.2774</v>
      </c>
      <c r="O84" s="194">
        <f>(36.6*KFC!$B$36*1.02*1.3+KFC!$C$36)*KFC!$C$5</f>
        <v>48.531600000000005</v>
      </c>
      <c r="P84" s="194">
        <f>(38.4*KFC!$B$36*1.02*1.3+KFC!$C$36)*KFC!$C$5</f>
        <v>50.918399999999998</v>
      </c>
      <c r="Q84" s="194">
        <f>(40.1*KFC!$B$36*1.02*1.3+KFC!$C$36)*KFC!$C$5</f>
        <v>53.172600000000003</v>
      </c>
      <c r="R84" s="194">
        <f>(41.8*KFC!$B$36*1.02*1.3+KFC!$C$36)*KFC!$C$5</f>
        <v>55.426799999999993</v>
      </c>
      <c r="S84" s="194">
        <f>(43.7*KFC!$B$36*1.02*1.3+KFC!$C$36)*KFC!$C$5</f>
        <v>57.946200000000012</v>
      </c>
      <c r="T84" s="194">
        <f>(45.4*KFC!$B$36*1.02*1.3+KFC!$C$36)*KFC!$C$5</f>
        <v>60.200400000000002</v>
      </c>
      <c r="U84" s="194">
        <f>(47.1*KFC!$B$36*1.02*1.3+KFC!$C$36)*KFC!$C$5</f>
        <v>62.454600000000006</v>
      </c>
      <c r="V84" s="194">
        <f>(48.8*KFC!$B$36*1.02*1.3+KFC!$C$36)*KFC!$C$5</f>
        <v>64.708799999999997</v>
      </c>
      <c r="W84" s="194">
        <f>(50.6*KFC!$B$36*1.02*1.3+KFC!$C$36)*KFC!$C$5</f>
        <v>67.095600000000005</v>
      </c>
      <c r="X84" s="194">
        <f>(52.3*KFC!$B$36*1.02*1.3+KFC!$C$36)*KFC!$C$5</f>
        <v>69.349800000000002</v>
      </c>
      <c r="Y84" s="194">
        <f>(54.1*KFC!$B$36*1.02*1.3+KFC!$C$36)*KFC!$C$5</f>
        <v>71.73660000000001</v>
      </c>
      <c r="Z84" s="194">
        <f>(55.9*KFC!$B$36*1.02*1.3+KFC!$C$36)*KFC!$C$5</f>
        <v>74.123400000000004</v>
      </c>
      <c r="AA84" s="195">
        <f>(57.6*KFC!$B$36*1.02*1.3+KFC!$C$36)*KFC!$C$5</f>
        <v>76.377600000000001</v>
      </c>
    </row>
    <row r="85" spans="1:27">
      <c r="A85" s="1781"/>
      <c r="B85" s="224">
        <v>0.7</v>
      </c>
      <c r="C85" s="247">
        <f>(16.6*KFC!$B$36*1.02*1.3+KFC!$C$36)*KFC!$C$5</f>
        <v>22.011600000000005</v>
      </c>
      <c r="D85" s="194">
        <f>(18.6*KFC!$B$36*1.02*1.3+KFC!$C$36)*KFC!$C$5</f>
        <v>24.663600000000002</v>
      </c>
      <c r="E85" s="194">
        <f>(20.5*KFC!$B$36*1.02*1.3+KFC!$C$36)*KFC!$C$5</f>
        <v>27.183</v>
      </c>
      <c r="F85" s="194">
        <f>(22.5*KFC!$B$36*1.02*1.3+KFC!$C$36)*KFC!$C$5</f>
        <v>29.835000000000001</v>
      </c>
      <c r="G85" s="194">
        <f>(24.5*KFC!$B$36*1.02*1.3+KFC!$C$36)*KFC!$C$5</f>
        <v>32.487000000000002</v>
      </c>
      <c r="H85" s="194">
        <f>(26.4*KFC!$B$36*1.02*1.3+KFC!$C$36)*KFC!$C$5</f>
        <v>35.006399999999999</v>
      </c>
      <c r="I85" s="194">
        <f>(28.4*KFC!$B$36*1.02*1.3+KFC!$C$36)*KFC!$C$5</f>
        <v>37.6584</v>
      </c>
      <c r="J85" s="194">
        <f>(30.5*KFC!$B$36*1.02*1.3+KFC!$C$36)*KFC!$C$5</f>
        <v>40.442999999999998</v>
      </c>
      <c r="K85" s="194">
        <f>(32.4*KFC!$B$36*1.02*1.3+KFC!$C$36)*KFC!$C$5</f>
        <v>42.962400000000002</v>
      </c>
      <c r="L85" s="194">
        <f>(34.4*KFC!$B$36*1.02*1.3+KFC!$C$36)*KFC!$C$5</f>
        <v>45.614400000000003</v>
      </c>
      <c r="M85" s="194">
        <f>(36.3*KFC!$B$36*1.02*1.3+KFC!$C$36)*KFC!$C$5</f>
        <v>48.133799999999994</v>
      </c>
      <c r="N85" s="194">
        <f>(38.3*KFC!$B$36*1.02*1.3+KFC!$C$36)*KFC!$C$5</f>
        <v>50.785799999999995</v>
      </c>
      <c r="O85" s="194">
        <f>(40.2*KFC!$B$36*1.02*1.3+KFC!$C$36)*KFC!$C$5</f>
        <v>53.305200000000006</v>
      </c>
      <c r="P85" s="194">
        <f>(42.2*KFC!$B$36*1.02*1.3+KFC!$C$36)*KFC!$C$5</f>
        <v>55.957200000000007</v>
      </c>
      <c r="Q85" s="194">
        <f>(44.2*KFC!$B$36*1.02*1.3+KFC!$C$36)*KFC!$C$5</f>
        <v>58.609200000000008</v>
      </c>
      <c r="R85" s="194">
        <f>(46.1*KFC!$B$36*1.02*1.3+KFC!$C$36)*KFC!$C$5</f>
        <v>61.128600000000006</v>
      </c>
      <c r="S85" s="194">
        <f>(48.1*KFC!$B$36*1.02*1.3+KFC!$C$36)*KFC!$C$5</f>
        <v>63.780600000000007</v>
      </c>
      <c r="T85" s="194">
        <f>(50*KFC!$B$36*1.02*1.3+KFC!$C$36)*KFC!$C$5</f>
        <v>66.3</v>
      </c>
      <c r="U85" s="194">
        <f>(52*KFC!$B$36*1.02*1.3+KFC!$C$36)*KFC!$C$5</f>
        <v>68.951999999999998</v>
      </c>
      <c r="V85" s="194">
        <f>(53.9*KFC!$B$36*1.02*1.3+KFC!$C$36)*KFC!$C$5</f>
        <v>71.471400000000003</v>
      </c>
      <c r="W85" s="194">
        <f>(55.9*KFC!$B$36*1.02*1.3+KFC!$C$36)*KFC!$C$5</f>
        <v>74.123400000000004</v>
      </c>
      <c r="X85" s="194">
        <f>(58*KFC!$B$36*1.02*1.3+KFC!$C$36)*KFC!$C$5</f>
        <v>76.908000000000001</v>
      </c>
      <c r="Y85" s="194">
        <f>(59.9*KFC!$B$36*1.02*1.3+KFC!$C$36)*KFC!$C$5</f>
        <v>79.427400000000006</v>
      </c>
      <c r="Z85" s="194">
        <f>(61.9*KFC!$B$36*1.02*1.3+KFC!$C$36)*KFC!$C$5</f>
        <v>82.079400000000007</v>
      </c>
      <c r="AA85" s="195">
        <f>(63.8*KFC!$B$36*1.02*1.3+KFC!$C$36)*KFC!$C$5</f>
        <v>84.598799999999997</v>
      </c>
    </row>
    <row r="86" spans="1:27">
      <c r="A86" s="1781"/>
      <c r="B86" s="224">
        <v>0.8</v>
      </c>
      <c r="C86" s="247">
        <f>(17.6*KFC!$B$36*1.02*1.3+KFC!$C$36)*KFC!$C$5</f>
        <v>23.337600000000002</v>
      </c>
      <c r="D86" s="194">
        <f>(19.8*KFC!$B$36*1.02*1.3+KFC!$C$36)*KFC!$C$5</f>
        <v>26.254800000000003</v>
      </c>
      <c r="E86" s="194">
        <f>(22*KFC!$B$36*1.02*1.3+KFC!$C$36)*KFC!$C$5</f>
        <v>29.172000000000004</v>
      </c>
      <c r="F86" s="194">
        <f>(24.2*KFC!$B$36*1.02*1.3+KFC!$C$36)*KFC!$C$5</f>
        <v>32.089200000000005</v>
      </c>
      <c r="G86" s="194">
        <f>(26.3*KFC!$B$36*1.02*1.3+KFC!$C$36)*KFC!$C$5</f>
        <v>34.873800000000003</v>
      </c>
      <c r="H86" s="194">
        <f>(28.5*KFC!$B$36*1.02*1.3+KFC!$C$36)*KFC!$C$5</f>
        <v>37.791000000000004</v>
      </c>
      <c r="I86" s="194">
        <f>(30.7*KFC!$B$36*1.02*1.3+KFC!$C$36)*KFC!$C$5</f>
        <v>40.708199999999998</v>
      </c>
      <c r="J86" s="194">
        <f>(32.9*KFC!$B$36*1.02*1.3+KFC!$C$36)*KFC!$C$5</f>
        <v>43.625399999999999</v>
      </c>
      <c r="K86" s="194">
        <f>(35.1*KFC!$B$36*1.02*1.3+KFC!$C$36)*KFC!$C$5</f>
        <v>46.5426</v>
      </c>
      <c r="L86" s="194">
        <f>(37.3*KFC!$B$36*1.02*1.3+KFC!$C$36)*KFC!$C$5</f>
        <v>49.459800000000001</v>
      </c>
      <c r="M86" s="194">
        <f>(39.5*KFC!$B$36*1.02*1.3+KFC!$C$36)*KFC!$C$5</f>
        <v>52.377000000000002</v>
      </c>
      <c r="N86" s="194">
        <f>(41.6*KFC!$B$36*1.02*1.3+KFC!$C$36)*KFC!$C$5</f>
        <v>55.161600000000007</v>
      </c>
      <c r="O86" s="194">
        <f>(43.8*KFC!$B$36*1.02*1.3+KFC!$C$36)*KFC!$C$5</f>
        <v>58.078799999999994</v>
      </c>
      <c r="P86" s="194">
        <f>(46*KFC!$B$36*1.02*1.3+KFC!$C$36)*KFC!$C$5</f>
        <v>60.996000000000002</v>
      </c>
      <c r="Q86" s="194">
        <f>(48.2*KFC!$B$36*1.02*1.3+KFC!$C$36)*KFC!$C$5</f>
        <v>63.913200000000003</v>
      </c>
      <c r="R86" s="194">
        <f>(50.4*KFC!$B$36*1.02*1.3+KFC!$C$36)*KFC!$C$5</f>
        <v>66.830399999999997</v>
      </c>
      <c r="S86" s="194">
        <f>(52.6*KFC!$B$36*1.02*1.3+KFC!$C$36)*KFC!$C$5</f>
        <v>69.747600000000006</v>
      </c>
      <c r="T86" s="194">
        <f>(54.8*KFC!$B$36*1.02*1.3+KFC!$C$36)*KFC!$C$5</f>
        <v>72.6648</v>
      </c>
      <c r="U86" s="194">
        <f>(56.9*KFC!$B$36*1.02*1.3+KFC!$C$36)*KFC!$C$5</f>
        <v>75.449399999999997</v>
      </c>
      <c r="V86" s="194">
        <f>(59.1*KFC!$B$36*1.02*1.3+KFC!$C$36)*KFC!$C$5</f>
        <v>78.366600000000005</v>
      </c>
      <c r="W86" s="194">
        <f>(61.3*KFC!$B$36*1.02*1.3+KFC!$C$36)*KFC!$C$5</f>
        <v>81.283799999999999</v>
      </c>
      <c r="X86" s="194">
        <f>(63.5*KFC!$B$36*1.02*1.3+KFC!$C$36)*KFC!$C$5</f>
        <v>84.200999999999993</v>
      </c>
      <c r="Y86" s="194">
        <f>(65.7*KFC!$B$36*1.02*1.3+KFC!$C$36)*KFC!$C$5</f>
        <v>87.118200000000016</v>
      </c>
      <c r="Z86" s="194">
        <f>(67.9*KFC!$B$36*1.02*1.3+KFC!$C$36)*KFC!$C$5</f>
        <v>90.03540000000001</v>
      </c>
      <c r="AA86" s="195">
        <f>(70.1*KFC!$B$36*1.02*1.3+KFC!$C$36)*KFC!$C$5</f>
        <v>92.952600000000004</v>
      </c>
    </row>
    <row r="87" spans="1:27">
      <c r="A87" s="1781"/>
      <c r="B87" s="224">
        <v>0.9</v>
      </c>
      <c r="C87" s="247">
        <f>(18.6*KFC!$B$36*1.02*1.3+KFC!$C$36)*KFC!$C$5</f>
        <v>24.663600000000002</v>
      </c>
      <c r="D87" s="194">
        <f>(21*KFC!$B$36*1.02*1.3+KFC!$C$36)*KFC!$C$5</f>
        <v>27.846000000000004</v>
      </c>
      <c r="E87" s="194">
        <f>(23.4*KFC!$B$36*1.02*1.3+KFC!$C$36)*KFC!$C$5</f>
        <v>31.028399999999998</v>
      </c>
      <c r="F87" s="194">
        <f>(25.8*KFC!$B$36*1.02*1.3+KFC!$C$36)*KFC!$C$5</f>
        <v>34.210800000000006</v>
      </c>
      <c r="G87" s="194">
        <f>(28.3*KFC!$B$36*1.02*1.3+KFC!$C$36)*KFC!$C$5</f>
        <v>37.525800000000004</v>
      </c>
      <c r="H87" s="194">
        <f>(30.6*KFC!$B$36*1.02*1.3+KFC!$C$36)*KFC!$C$5</f>
        <v>40.575600000000009</v>
      </c>
      <c r="I87" s="194">
        <f>(33*KFC!$B$36*1.02*1.3+KFC!$C$36)*KFC!$C$5</f>
        <v>43.75800000000001</v>
      </c>
      <c r="J87" s="194">
        <f>(35.5*KFC!$B$36*1.02*1.3+KFC!$C$36)*KFC!$C$5</f>
        <v>47.073</v>
      </c>
      <c r="K87" s="194">
        <f>(37.8*KFC!$B$36*1.02*1.3+KFC!$C$36)*KFC!$C$5</f>
        <v>50.122799999999998</v>
      </c>
      <c r="L87" s="194">
        <f>(40.2*KFC!$B$36*1.02*1.3+KFC!$C$36)*KFC!$C$5</f>
        <v>53.305200000000006</v>
      </c>
      <c r="M87" s="194">
        <f>(42.6*KFC!$B$36*1.02*1.3+KFC!$C$36)*KFC!$C$5</f>
        <v>56.487600000000008</v>
      </c>
      <c r="N87" s="194">
        <f>(45*KFC!$B$36*1.02*1.3+KFC!$C$36)*KFC!$C$5</f>
        <v>59.67</v>
      </c>
      <c r="O87" s="194">
        <f>(47.5*KFC!$B$36*1.02*1.3+KFC!$C$36)*KFC!$C$5</f>
        <v>62.985000000000007</v>
      </c>
      <c r="P87" s="194">
        <f>(49.8*KFC!$B$36*1.02*1.3+KFC!$C$36)*KFC!$C$5</f>
        <v>66.034800000000004</v>
      </c>
      <c r="Q87" s="194">
        <f>(52.2*KFC!$B$36*1.02*1.3+KFC!$C$36)*KFC!$C$5</f>
        <v>69.217200000000005</v>
      </c>
      <c r="R87" s="194">
        <f>(54.7*KFC!$B$36*1.02*1.3+KFC!$C$36)*KFC!$C$5</f>
        <v>72.532200000000003</v>
      </c>
      <c r="S87" s="194">
        <f>(57*KFC!$B$36*1.02*1.3+KFC!$C$36)*KFC!$C$5</f>
        <v>75.582000000000008</v>
      </c>
      <c r="T87" s="194">
        <f>(59.4*KFC!$B$36*1.02*1.3+KFC!$C$36)*KFC!$C$5</f>
        <v>78.764400000000009</v>
      </c>
      <c r="U87" s="194">
        <f>(61.9*KFC!$B$36*1.02*1.3+KFC!$C$36)*KFC!$C$5</f>
        <v>82.079400000000007</v>
      </c>
      <c r="V87" s="194">
        <f>(64.2*KFC!$B$36*1.02*1.3+KFC!$C$36)*KFC!$C$5</f>
        <v>85.129200000000012</v>
      </c>
      <c r="W87" s="194">
        <f>(66.7*KFC!$B$36*1.02*1.3+KFC!$C$36)*KFC!$C$5</f>
        <v>88.444200000000009</v>
      </c>
      <c r="X87" s="194">
        <f>(69.1*KFC!$B$36*1.02*1.3+KFC!$C$36)*KFC!$C$5</f>
        <v>91.626599999999996</v>
      </c>
      <c r="Y87" s="194">
        <f>(71.4*KFC!$B$36*1.02*1.3+KFC!$C$36)*KFC!$C$5</f>
        <v>94.676400000000001</v>
      </c>
      <c r="Z87" s="194">
        <f>(73.9*KFC!$B$36*1.02*1.3+KFC!$C$36)*KFC!$C$5</f>
        <v>97.991399999999999</v>
      </c>
      <c r="AA87" s="195">
        <f>(76.2*KFC!$B$36*1.02*1.3+KFC!$C$36)*KFC!$C$5</f>
        <v>101.0412</v>
      </c>
    </row>
    <row r="88" spans="1:27">
      <c r="A88" s="1781"/>
      <c r="B88" s="224">
        <v>1</v>
      </c>
      <c r="C88" s="247">
        <f>(19.6*KFC!$B$36*1.02*1.3+KFC!$C$36)*KFC!$C$5</f>
        <v>25.989600000000003</v>
      </c>
      <c r="D88" s="194">
        <f>(22.1*KFC!$B$36*1.02*1.3+KFC!$C$36)*KFC!$C$5</f>
        <v>29.304600000000004</v>
      </c>
      <c r="E88" s="194">
        <f>(24.8*KFC!$B$36*1.02*1.3+KFC!$C$36)*KFC!$C$5</f>
        <v>32.884800000000006</v>
      </c>
      <c r="F88" s="194">
        <f>(27.4*KFC!$B$36*1.02*1.3+KFC!$C$36)*KFC!$C$5</f>
        <v>36.3324</v>
      </c>
      <c r="G88" s="194">
        <f>(30.1*KFC!$B$36*1.02*1.3+KFC!$C$36)*KFC!$C$5</f>
        <v>39.912600000000005</v>
      </c>
      <c r="H88" s="194">
        <f>(32.7*KFC!$B$36*1.02*1.3+KFC!$C$36)*KFC!$C$5</f>
        <v>43.360200000000013</v>
      </c>
      <c r="I88" s="194">
        <f>(35.3*KFC!$B$36*1.02*1.3+KFC!$C$36)*KFC!$C$5</f>
        <v>46.8078</v>
      </c>
      <c r="J88" s="194">
        <f>(37.9*KFC!$B$36*1.02*1.3+KFC!$C$36)*KFC!$C$5</f>
        <v>50.255400000000002</v>
      </c>
      <c r="K88" s="194">
        <f>(40.5*KFC!$B$36*1.02*1.3+KFC!$C$36)*KFC!$C$5</f>
        <v>53.703000000000003</v>
      </c>
      <c r="L88" s="194">
        <f>(43.2*KFC!$B$36*1.02*1.3+KFC!$C$36)*KFC!$C$5</f>
        <v>57.283200000000008</v>
      </c>
      <c r="M88" s="194">
        <f>(45.7*KFC!$B$36*1.02*1.3+KFC!$C$36)*KFC!$C$5</f>
        <v>60.598200000000006</v>
      </c>
      <c r="N88" s="194">
        <f>(48.4*KFC!$B$36*1.02*1.3+KFC!$C$36)*KFC!$C$5</f>
        <v>64.178400000000011</v>
      </c>
      <c r="O88" s="194">
        <f>(51*KFC!$B$36*1.02*1.3+KFC!$C$36)*KFC!$C$5</f>
        <v>67.626000000000005</v>
      </c>
      <c r="P88" s="194">
        <f>(53.7*KFC!$B$36*1.02*1.3+KFC!$C$36)*KFC!$C$5</f>
        <v>71.20620000000001</v>
      </c>
      <c r="Q88" s="194">
        <f>(56.3*KFC!$B$36*1.02*1.3+KFC!$C$36)*KFC!$C$5</f>
        <v>74.65379999999999</v>
      </c>
      <c r="R88" s="194">
        <f>(58.8*KFC!$B$36*1.02*1.3+KFC!$C$36)*KFC!$C$5</f>
        <v>77.968800000000002</v>
      </c>
      <c r="S88" s="194">
        <f>(61.5*KFC!$B$36*1.02*1.3+KFC!$C$36)*KFC!$C$5</f>
        <v>81.549000000000007</v>
      </c>
      <c r="T88" s="194">
        <f>(64.1*KFC!$B$36*1.02*1.3+KFC!$C$36)*KFC!$C$5</f>
        <v>84.996599999999987</v>
      </c>
      <c r="U88" s="194">
        <f>(66.8*KFC!$B$36*1.02*1.3+KFC!$C$36)*KFC!$C$5</f>
        <v>88.576799999999992</v>
      </c>
      <c r="V88" s="194">
        <f>(69.3*KFC!$B$36*1.02*1.3+KFC!$C$36)*KFC!$C$5</f>
        <v>91.891799999999989</v>
      </c>
      <c r="W88" s="194">
        <f>(72*KFC!$B$36*1.02*1.3+KFC!$C$36)*KFC!$C$5</f>
        <v>95.471999999999994</v>
      </c>
      <c r="X88" s="194">
        <f>(74.6*KFC!$B$36*1.02*1.3+KFC!$C$36)*KFC!$C$5</f>
        <v>98.919600000000003</v>
      </c>
      <c r="Y88" s="194">
        <f>(77.2*KFC!$B$36*1.02*1.3+KFC!$C$36)*KFC!$C$5</f>
        <v>102.3672</v>
      </c>
      <c r="Z88" s="194">
        <f>(79.9*KFC!$B$36*1.02*1.3+KFC!$C$36)*KFC!$C$5</f>
        <v>105.94740000000002</v>
      </c>
      <c r="AA88" s="195">
        <f>(82.4*KFC!$B$36*1.02*1.3+KFC!$C$36)*KFC!$C$5</f>
        <v>109.2624</v>
      </c>
    </row>
    <row r="89" spans="1:27">
      <c r="A89" s="1781"/>
      <c r="B89" s="224">
        <v>1.1000000000000001</v>
      </c>
      <c r="C89" s="247">
        <f>(20.5*KFC!$B$36*1.02*1.3+KFC!$C$36)*KFC!$C$5</f>
        <v>27.183</v>
      </c>
      <c r="D89" s="194">
        <f>(23.4*KFC!$B$36*1.02*1.3+KFC!$C$36)*KFC!$C$5</f>
        <v>31.028399999999998</v>
      </c>
      <c r="E89" s="194">
        <f>(26.2*KFC!$B$36*1.02*1.3+KFC!$C$36)*KFC!$C$5</f>
        <v>34.741199999999999</v>
      </c>
      <c r="F89" s="194">
        <f>(29.1*KFC!$B$36*1.02*1.3+KFC!$C$36)*KFC!$C$5</f>
        <v>38.586600000000004</v>
      </c>
      <c r="G89" s="194">
        <f>(31.9*KFC!$B$36*1.02*1.3+KFC!$C$36)*KFC!$C$5</f>
        <v>42.299399999999999</v>
      </c>
      <c r="H89" s="194">
        <f>(34.7*KFC!$B$36*1.02*1.3+KFC!$C$36)*KFC!$C$5</f>
        <v>46.012200000000007</v>
      </c>
      <c r="I89" s="194">
        <f>(37.5*KFC!$B$36*1.02*1.3+KFC!$C$36)*KFC!$C$5</f>
        <v>49.725000000000001</v>
      </c>
      <c r="J89" s="194">
        <f>(40.5*KFC!$B$36*1.02*1.3+KFC!$C$36)*KFC!$C$5</f>
        <v>53.703000000000003</v>
      </c>
      <c r="K89" s="194">
        <f>(43.3*KFC!$B$36*1.02*1.3+KFC!$C$36)*KFC!$C$5</f>
        <v>57.415799999999997</v>
      </c>
      <c r="L89" s="194">
        <f>(46.1*KFC!$B$36*1.02*1.3+KFC!$C$36)*KFC!$C$5</f>
        <v>61.128600000000006</v>
      </c>
      <c r="M89" s="194">
        <f>(48.9*KFC!$B$36*1.02*1.3+KFC!$C$36)*KFC!$C$5</f>
        <v>64.841400000000007</v>
      </c>
      <c r="N89" s="194">
        <f>(51.7*KFC!$B$36*1.02*1.3+KFC!$C$36)*KFC!$C$5</f>
        <v>68.554200000000009</v>
      </c>
      <c r="O89" s="194">
        <f>(54.7*KFC!$B$36*1.02*1.3+KFC!$C$36)*KFC!$C$5</f>
        <v>72.532200000000003</v>
      </c>
      <c r="P89" s="194">
        <f>(57.5*KFC!$B$36*1.02*1.3+KFC!$C$36)*KFC!$C$5</f>
        <v>76.245000000000005</v>
      </c>
      <c r="Q89" s="194">
        <f>(60.3*KFC!$B$36*1.02*1.3+KFC!$C$36)*KFC!$C$5</f>
        <v>79.957800000000006</v>
      </c>
      <c r="R89" s="194">
        <f>(63.1*KFC!$B$36*1.02*1.3+KFC!$C$36)*KFC!$C$5</f>
        <v>83.670600000000022</v>
      </c>
      <c r="S89" s="194">
        <f>(65.9*KFC!$B$36*1.02*1.3+KFC!$C$36)*KFC!$C$5</f>
        <v>87.383400000000009</v>
      </c>
      <c r="T89" s="194">
        <f>(68.9*KFC!$B$36*1.02*1.3+KFC!$C$36)*KFC!$C$5</f>
        <v>91.361400000000017</v>
      </c>
      <c r="U89" s="194">
        <f>(71.7*KFC!$B$36*1.02*1.3+KFC!$C$36)*KFC!$C$5</f>
        <v>95.074200000000005</v>
      </c>
      <c r="V89" s="194">
        <f>(74.5*KFC!$B$36*1.02*1.3+KFC!$C$36)*KFC!$C$5</f>
        <v>98.786999999999992</v>
      </c>
      <c r="W89" s="194">
        <f>(77.3*KFC!$B$36*1.02*1.3+KFC!$C$36)*KFC!$C$5</f>
        <v>102.49980000000001</v>
      </c>
      <c r="X89" s="194">
        <f>(80.2*KFC!$B$36*1.02*1.3+KFC!$C$36)*KFC!$C$5</f>
        <v>106.34520000000001</v>
      </c>
      <c r="Y89" s="194">
        <f>(83*KFC!$B$36*1.02*1.3+KFC!$C$36)*KFC!$C$5</f>
        <v>110.05799999999999</v>
      </c>
      <c r="Z89" s="194">
        <f>(85.9*KFC!$B$36*1.02*1.3+KFC!$C$36)*KFC!$C$5</f>
        <v>113.90340000000002</v>
      </c>
      <c r="AA89" s="195">
        <f>(88.7*KFC!$B$36*1.02*1.3+KFC!$C$36)*KFC!$C$5</f>
        <v>117.61620000000001</v>
      </c>
    </row>
    <row r="90" spans="1:27">
      <c r="A90" s="1781"/>
      <c r="B90" s="224">
        <v>1.2</v>
      </c>
      <c r="C90" s="247">
        <f>(21.5*KFC!$B$36*1.02*1.3+KFC!$C$36)*KFC!$C$5</f>
        <v>28.509</v>
      </c>
      <c r="D90" s="194">
        <f>(24.6*KFC!$B$36*1.02*1.3+KFC!$C$36)*KFC!$C$5</f>
        <v>32.619600000000005</v>
      </c>
      <c r="E90" s="194">
        <f>(27.6*KFC!$B$36*1.02*1.3+KFC!$C$36)*KFC!$C$5</f>
        <v>36.5976</v>
      </c>
      <c r="F90" s="194">
        <f>(30.7*KFC!$B$36*1.02*1.3+KFC!$C$36)*KFC!$C$5</f>
        <v>40.708199999999998</v>
      </c>
      <c r="G90" s="194">
        <f>(33.8*KFC!$B$36*1.02*1.3+KFC!$C$36)*KFC!$C$5</f>
        <v>44.818800000000003</v>
      </c>
      <c r="H90" s="194">
        <f>(36.8*KFC!$B$36*1.02*1.3+KFC!$C$36)*KFC!$C$5</f>
        <v>48.796799999999998</v>
      </c>
      <c r="I90" s="194">
        <f>(39.9*KFC!$B$36*1.02*1.3+KFC!$C$36)*KFC!$C$5</f>
        <v>52.907400000000003</v>
      </c>
      <c r="J90" s="194">
        <f>(42.9*KFC!$B$36*1.02*1.3+KFC!$C$36)*KFC!$C$5</f>
        <v>56.885400000000004</v>
      </c>
      <c r="K90" s="194">
        <f>(46*KFC!$B$36*1.02*1.3+KFC!$C$36)*KFC!$C$5</f>
        <v>60.996000000000002</v>
      </c>
      <c r="L90" s="194">
        <f>(49*KFC!$B$36*1.02*1.3+KFC!$C$36)*KFC!$C$5</f>
        <v>64.974000000000004</v>
      </c>
      <c r="M90" s="194">
        <f>(52.1*KFC!$B$36*1.02*1.3+KFC!$C$36)*KFC!$C$5</f>
        <v>69.084600000000009</v>
      </c>
      <c r="N90" s="194">
        <f>(55.2*KFC!$B$36*1.02*1.3+KFC!$C$36)*KFC!$C$5</f>
        <v>73.1952</v>
      </c>
      <c r="O90" s="194">
        <f>(58.2*KFC!$B$36*1.02*1.3+KFC!$C$36)*KFC!$C$5</f>
        <v>77.173200000000008</v>
      </c>
      <c r="P90" s="194">
        <f>(61.3*KFC!$B$36*1.02*1.3+KFC!$C$36)*KFC!$C$5</f>
        <v>81.283799999999999</v>
      </c>
      <c r="Q90" s="194">
        <f>(64.3*KFC!$B$36*1.02*1.3+KFC!$C$36)*KFC!$C$5</f>
        <v>85.261800000000008</v>
      </c>
      <c r="R90" s="194">
        <f>(67.4*KFC!$B$36*1.02*1.3+KFC!$C$36)*KFC!$C$5</f>
        <v>89.372400000000013</v>
      </c>
      <c r="S90" s="194">
        <f>(70.4*KFC!$B$36*1.02*1.3+KFC!$C$36)*KFC!$C$5</f>
        <v>93.350400000000008</v>
      </c>
      <c r="T90" s="194">
        <f>(73.5*KFC!$B$36*1.02*1.3+KFC!$C$36)*KFC!$C$5</f>
        <v>97.460999999999999</v>
      </c>
      <c r="U90" s="194">
        <f>(76.6*KFC!$B$36*1.02*1.3+KFC!$C$36)*KFC!$C$5</f>
        <v>101.57159999999999</v>
      </c>
      <c r="V90" s="194">
        <f>(79.6*KFC!$B$36*1.02*1.3+KFC!$C$36)*KFC!$C$5</f>
        <v>105.5496</v>
      </c>
      <c r="W90" s="194">
        <f>(82.7*KFC!$B$36*1.02*1.3+KFC!$C$36)*KFC!$C$5</f>
        <v>109.6602</v>
      </c>
      <c r="X90" s="194">
        <f>(85.7*KFC!$B$36*1.02*1.3+KFC!$C$36)*KFC!$C$5</f>
        <v>113.63820000000001</v>
      </c>
      <c r="Y90" s="194">
        <f>(88.8*KFC!$B$36*1.02*1.3+KFC!$C$36)*KFC!$C$5</f>
        <v>117.74879999999999</v>
      </c>
      <c r="Z90" s="194">
        <f>(91.8*KFC!$B$36*1.02*1.3+KFC!$C$36)*KFC!$C$5</f>
        <v>121.7268</v>
      </c>
      <c r="AA90" s="195">
        <f>(94.9*KFC!$B$36*1.02*1.3+KFC!$C$36)*KFC!$C$5</f>
        <v>125.8374</v>
      </c>
    </row>
    <row r="91" spans="1:27">
      <c r="A91" s="1781"/>
      <c r="B91" s="224">
        <v>1.3</v>
      </c>
      <c r="C91" s="247">
        <f>(22.5*KFC!$B$36*1.02*1.3+KFC!$C$36)*KFC!$C$5</f>
        <v>29.835000000000001</v>
      </c>
      <c r="D91" s="194">
        <f>(25.8*KFC!$B$36*1.02*1.3+KFC!$C$36)*KFC!$C$5</f>
        <v>34.210800000000006</v>
      </c>
      <c r="E91" s="194">
        <f>(29.1*KFC!$B$36*1.02*1.3+KFC!$C$36)*KFC!$C$5</f>
        <v>38.586600000000004</v>
      </c>
      <c r="F91" s="194">
        <f>(32.3*KFC!$B$36*1.02*1.3+KFC!$C$36)*KFC!$C$5</f>
        <v>42.829799999999999</v>
      </c>
      <c r="G91" s="194">
        <f>(35.6*KFC!$B$36*1.02*1.3+KFC!$C$36)*KFC!$C$5</f>
        <v>47.205600000000011</v>
      </c>
      <c r="H91" s="194">
        <f>(38.9*KFC!$B$36*1.02*1.3+KFC!$C$36)*KFC!$C$5</f>
        <v>51.581399999999995</v>
      </c>
      <c r="I91" s="194">
        <f>(42.2*KFC!$B$36*1.02*1.3+KFC!$C$36)*KFC!$C$5</f>
        <v>55.957200000000007</v>
      </c>
      <c r="J91" s="194">
        <f>(45.5*KFC!$B$36*1.02*1.3+KFC!$C$36)*KFC!$C$5</f>
        <v>60.333000000000006</v>
      </c>
      <c r="K91" s="194">
        <f>(48.7*KFC!$B$36*1.02*1.3+KFC!$C$36)*KFC!$C$5</f>
        <v>64.576200000000014</v>
      </c>
      <c r="L91" s="194">
        <f>(52*KFC!$B$36*1.02*1.3+KFC!$C$36)*KFC!$C$5</f>
        <v>68.951999999999998</v>
      </c>
      <c r="M91" s="194">
        <f>(55.3*KFC!$B$36*1.02*1.3+KFC!$C$36)*KFC!$C$5</f>
        <v>73.327799999999996</v>
      </c>
      <c r="N91" s="194">
        <f>(58.6*KFC!$B$36*1.02*1.3+KFC!$C$36)*KFC!$C$5</f>
        <v>77.703600000000009</v>
      </c>
      <c r="O91" s="194">
        <f>(61.8*KFC!$B$36*1.02*1.3+KFC!$C$36)*KFC!$C$5</f>
        <v>81.94680000000001</v>
      </c>
      <c r="P91" s="194">
        <f>(65.1*KFC!$B$36*1.02*1.3+KFC!$C$36)*KFC!$C$5</f>
        <v>86.322600000000008</v>
      </c>
      <c r="Q91" s="194">
        <f>(68.4*KFC!$B$36*1.02*1.3+KFC!$C$36)*KFC!$C$5</f>
        <v>90.698400000000007</v>
      </c>
      <c r="R91" s="194">
        <f>(71.7*KFC!$B$36*1.02*1.3+KFC!$C$36)*KFC!$C$5</f>
        <v>95.074200000000005</v>
      </c>
      <c r="S91" s="194">
        <f>(75*KFC!$B$36*1.02*1.3+KFC!$C$36)*KFC!$C$5</f>
        <v>99.45</v>
      </c>
      <c r="T91" s="194">
        <f>(78.1*KFC!$B$36*1.02*1.3+KFC!$C$36)*KFC!$C$5</f>
        <v>103.56059999999999</v>
      </c>
      <c r="U91" s="194">
        <f>(81.5*KFC!$B$36*1.02*1.3+KFC!$C$36)*KFC!$C$5</f>
        <v>108.069</v>
      </c>
      <c r="V91" s="194">
        <f>(84.8*KFC!$B$36*1.02*1.3+KFC!$C$36)*KFC!$C$5</f>
        <v>112.4448</v>
      </c>
      <c r="W91" s="194">
        <f>(88.1*KFC!$B$36*1.02*1.3+KFC!$C$36)*KFC!$C$5</f>
        <v>116.8206</v>
      </c>
      <c r="X91" s="194">
        <f>(91.4*KFC!$B$36*1.02*1.3+KFC!$C$36)*KFC!$C$5</f>
        <v>121.19640000000001</v>
      </c>
      <c r="Y91" s="194">
        <f>(94.5*KFC!$B$36*1.02*1.3+KFC!$C$36)*KFC!$C$5</f>
        <v>125.307</v>
      </c>
      <c r="Z91" s="194">
        <f>(97.8*KFC!$B$36*1.02*1.3+KFC!$C$36)*KFC!$C$5</f>
        <v>129.68280000000001</v>
      </c>
      <c r="AA91" s="195">
        <f>(101.1*KFC!$B$36*1.02*1.3+KFC!$C$36)*KFC!$C$5</f>
        <v>134.05860000000001</v>
      </c>
    </row>
    <row r="92" spans="1:27">
      <c r="A92" s="1781"/>
      <c r="B92" s="224">
        <v>1.4</v>
      </c>
      <c r="C92" s="247">
        <f>(23.5*KFC!$B$36*1.02*1.3+KFC!$C$36)*KFC!$C$5</f>
        <v>31.160999999999998</v>
      </c>
      <c r="D92" s="194">
        <f>(27*KFC!$B$36*1.02*1.3+KFC!$C$36)*KFC!$C$5</f>
        <v>35.802</v>
      </c>
      <c r="E92" s="194">
        <f>(30.5*KFC!$B$36*1.02*1.3+KFC!$C$36)*KFC!$C$5</f>
        <v>40.442999999999998</v>
      </c>
      <c r="F92" s="194">
        <f>(34*KFC!$B$36*1.02*1.3+KFC!$C$36)*KFC!$C$5</f>
        <v>45.084000000000003</v>
      </c>
      <c r="G92" s="194">
        <f>(37.4*KFC!$B$36*1.02*1.3+KFC!$C$36)*KFC!$C$5</f>
        <v>49.592399999999998</v>
      </c>
      <c r="H92" s="194">
        <f>(41*KFC!$B$36*1.02*1.3+KFC!$C$36)*KFC!$C$5</f>
        <v>54.366</v>
      </c>
      <c r="I92" s="194">
        <f>(44.4*KFC!$B$36*1.02*1.3+KFC!$C$36)*KFC!$C$5</f>
        <v>58.874399999999994</v>
      </c>
      <c r="J92" s="194">
        <f>(47.9*KFC!$B$36*1.02*1.3+KFC!$C$36)*KFC!$C$5</f>
        <v>63.5154</v>
      </c>
      <c r="K92" s="194">
        <f>(51.5*KFC!$B$36*1.02*1.3+KFC!$C$36)*KFC!$C$5</f>
        <v>68.289000000000001</v>
      </c>
      <c r="L92" s="194">
        <f>(54.9*KFC!$B$36*1.02*1.3+KFC!$C$36)*KFC!$C$5</f>
        <v>72.797399999999996</v>
      </c>
      <c r="M92" s="194">
        <f>(58.5*KFC!$B$36*1.02*1.3+KFC!$C$36)*KFC!$C$5</f>
        <v>77.570999999999998</v>
      </c>
      <c r="N92" s="194">
        <f>(61.9*KFC!$B$36*1.02*1.3+KFC!$C$36)*KFC!$C$5</f>
        <v>82.079400000000007</v>
      </c>
      <c r="O92" s="194">
        <f>(65.4*KFC!$B$36*1.02*1.3+KFC!$C$36)*KFC!$C$5</f>
        <v>86.720400000000026</v>
      </c>
      <c r="P92" s="194">
        <f>(68.9*KFC!$B$36*1.02*1.3+KFC!$C$36)*KFC!$C$5</f>
        <v>91.361400000000017</v>
      </c>
      <c r="Q92" s="194">
        <f>(72.4*KFC!$B$36*1.02*1.3+KFC!$C$36)*KFC!$C$5</f>
        <v>96.002400000000023</v>
      </c>
      <c r="R92" s="194">
        <f>(75.9*KFC!$B$36*1.02*1.3+KFC!$C$36)*KFC!$C$5</f>
        <v>100.64340000000001</v>
      </c>
      <c r="S92" s="194">
        <f>(79.4*KFC!$B$36*1.02*1.3+KFC!$C$36)*KFC!$C$5</f>
        <v>105.28440000000002</v>
      </c>
      <c r="T92" s="194">
        <f>(82.9*KFC!$B$36*1.02*1.3+KFC!$C$36)*KFC!$C$5</f>
        <v>109.92540000000001</v>
      </c>
      <c r="U92" s="194">
        <f>(86.3*KFC!$B$36*1.02*1.3+KFC!$C$36)*KFC!$C$5</f>
        <v>114.43380000000001</v>
      </c>
      <c r="V92" s="194">
        <f>(89.9*KFC!$B$36*1.02*1.3+KFC!$C$36)*KFC!$C$5</f>
        <v>119.20740000000001</v>
      </c>
      <c r="W92" s="194">
        <f>(93.3*KFC!$B$36*1.02*1.3+KFC!$C$36)*KFC!$C$5</f>
        <v>123.7158</v>
      </c>
      <c r="X92" s="194">
        <f>(96.9*KFC!$B$36*1.02*1.3+KFC!$C$36)*KFC!$C$5</f>
        <v>128.48940000000002</v>
      </c>
      <c r="Y92" s="194">
        <f>(100.4*KFC!$B$36*1.02*1.3+KFC!$C$36)*KFC!$C$5</f>
        <v>133.13040000000001</v>
      </c>
      <c r="Z92" s="194">
        <f>(103.8*KFC!$B$36*1.02*1.3+KFC!$C$36)*KFC!$C$5</f>
        <v>137.6388</v>
      </c>
      <c r="AA92" s="195">
        <f>(107.4*KFC!$B$36*1.02*1.3+KFC!$C$36)*KFC!$C$5</f>
        <v>142.41240000000002</v>
      </c>
    </row>
    <row r="93" spans="1:27">
      <c r="A93" s="1781"/>
      <c r="B93" s="224">
        <v>1.5</v>
      </c>
      <c r="C93" s="247">
        <f>(24.5*KFC!$B$36*1.02*1.3+KFC!$C$36)*KFC!$C$5</f>
        <v>32.487000000000002</v>
      </c>
      <c r="D93" s="194">
        <f>(28.1*KFC!$B$36*1.02*1.3+KFC!$C$36)*KFC!$C$5</f>
        <v>37.260600000000004</v>
      </c>
      <c r="E93" s="194">
        <f>(31.9*KFC!$B$36*1.02*1.3+KFC!$C$36)*KFC!$C$5</f>
        <v>42.299399999999999</v>
      </c>
      <c r="F93" s="194">
        <f>(35.6*KFC!$B$36*1.02*1.3+KFC!$C$36)*KFC!$C$5</f>
        <v>47.205600000000011</v>
      </c>
      <c r="G93" s="194">
        <f>(39.3*KFC!$B$36*1.02*1.3+KFC!$C$36)*KFC!$C$5</f>
        <v>52.111800000000002</v>
      </c>
      <c r="H93" s="194">
        <f>(43*KFC!$B$36*1.02*1.3+KFC!$C$36)*KFC!$C$5</f>
        <v>57.018000000000001</v>
      </c>
      <c r="I93" s="194">
        <f>(46.7*KFC!$B$36*1.02*1.3+KFC!$C$36)*KFC!$C$5</f>
        <v>61.924199999999999</v>
      </c>
      <c r="J93" s="194">
        <f>(50.5*KFC!$B$36*1.02*1.3+KFC!$C$36)*KFC!$C$5</f>
        <v>66.962999999999994</v>
      </c>
      <c r="K93" s="194">
        <f>(54.2*KFC!$B$36*1.02*1.3+KFC!$C$36)*KFC!$C$5</f>
        <v>71.869200000000006</v>
      </c>
      <c r="L93" s="194">
        <f>(57.8*KFC!$B$36*1.02*1.3+KFC!$C$36)*KFC!$C$5</f>
        <v>76.642799999999994</v>
      </c>
      <c r="M93" s="194">
        <f>(61.6*KFC!$B$36*1.02*1.3+KFC!$C$36)*KFC!$C$5</f>
        <v>81.681600000000003</v>
      </c>
      <c r="N93" s="194">
        <f>(65.3*KFC!$B$36*1.02*1.3+KFC!$C$36)*KFC!$C$5</f>
        <v>86.587800000000001</v>
      </c>
      <c r="O93" s="194">
        <f>(69*KFC!$B$36*1.02*1.3+KFC!$C$36)*KFC!$C$5</f>
        <v>91.494</v>
      </c>
      <c r="P93" s="194">
        <f>(72.8*KFC!$B$36*1.02*1.3+KFC!$C$36)*KFC!$C$5</f>
        <v>96.532800000000009</v>
      </c>
      <c r="Q93" s="194">
        <f>(76.4*KFC!$B$36*1.02*1.3+KFC!$C$36)*KFC!$C$5</f>
        <v>101.30640000000002</v>
      </c>
      <c r="R93" s="194">
        <f>(80.1*KFC!$B$36*1.02*1.3+KFC!$C$36)*KFC!$C$5</f>
        <v>106.21259999999999</v>
      </c>
      <c r="S93" s="194">
        <f>(83.9*KFC!$B$36*1.02*1.3+KFC!$C$36)*KFC!$C$5</f>
        <v>111.2514</v>
      </c>
      <c r="T93" s="194">
        <f>(87.6*KFC!$B$36*1.02*1.3+KFC!$C$36)*KFC!$C$5</f>
        <v>116.15759999999999</v>
      </c>
      <c r="U93" s="194">
        <f>(91.2*KFC!$B$36*1.02*1.3+KFC!$C$36)*KFC!$C$5</f>
        <v>120.9312</v>
      </c>
      <c r="V93" s="194">
        <f>(95*KFC!$B$36*1.02*1.3+KFC!$C$36)*KFC!$C$5</f>
        <v>125.97000000000001</v>
      </c>
      <c r="W93" s="194">
        <f>(98.7*KFC!$B$36*1.02*1.3+KFC!$C$36)*KFC!$C$5</f>
        <v>130.87620000000001</v>
      </c>
      <c r="X93" s="194">
        <f>(102.5*KFC!$B$36*1.02*1.3+KFC!$C$36)*KFC!$C$5</f>
        <v>135.91499999999999</v>
      </c>
      <c r="Y93" s="194">
        <f>(106.2*KFC!$B$36*1.02*1.3+KFC!$C$36)*KFC!$C$5</f>
        <v>140.8212</v>
      </c>
      <c r="Z93" s="194">
        <f>(109.8*KFC!$B$36*1.02*1.3+KFC!$C$36)*KFC!$C$5</f>
        <v>145.59479999999999</v>
      </c>
      <c r="AA93" s="195">
        <f>(113.6*KFC!$B$36*1.02*1.3+KFC!$C$36)*KFC!$C$5</f>
        <v>150.6336</v>
      </c>
    </row>
    <row r="94" spans="1:27">
      <c r="A94" s="1781"/>
      <c r="B94" s="224">
        <v>1.6</v>
      </c>
      <c r="C94" s="247">
        <f>(25.4*KFC!$B$36*1.02*1.3+KFC!$C$36)*KFC!$C$5</f>
        <v>33.680399999999999</v>
      </c>
      <c r="D94" s="194">
        <f>(29.4*KFC!$B$36*1.02*1.3+KFC!$C$36)*KFC!$C$5</f>
        <v>38.984400000000001</v>
      </c>
      <c r="E94" s="194">
        <f>(33.3*KFC!$B$36*1.02*1.3+KFC!$C$36)*KFC!$C$5</f>
        <v>44.155800000000006</v>
      </c>
      <c r="F94" s="194">
        <f>(37.2*KFC!$B$36*1.02*1.3+KFC!$C$36)*KFC!$C$5</f>
        <v>49.327200000000005</v>
      </c>
      <c r="G94" s="194">
        <f>(41.2*KFC!$B$36*1.02*1.3+KFC!$C$36)*KFC!$C$5</f>
        <v>54.6312</v>
      </c>
      <c r="H94" s="194">
        <f>(45.1*KFC!$B$36*1.02*1.3+KFC!$C$36)*KFC!$C$5</f>
        <v>59.802600000000005</v>
      </c>
      <c r="I94" s="194">
        <f>(49*KFC!$B$36*1.02*1.3+KFC!$C$36)*KFC!$C$5</f>
        <v>64.974000000000004</v>
      </c>
      <c r="J94" s="194">
        <f>(53*KFC!$B$36*1.02*1.3+KFC!$C$36)*KFC!$C$5</f>
        <v>70.278000000000006</v>
      </c>
      <c r="K94" s="194">
        <f>(56.9*KFC!$B$36*1.02*1.3+KFC!$C$36)*KFC!$C$5</f>
        <v>75.449399999999997</v>
      </c>
      <c r="L94" s="194">
        <f>(60.8*KFC!$B$36*1.02*1.3+KFC!$C$36)*KFC!$C$5</f>
        <v>80.620800000000003</v>
      </c>
      <c r="M94" s="194">
        <f>(64.7*KFC!$B$36*1.02*1.3+KFC!$C$36)*KFC!$C$5</f>
        <v>85.792200000000008</v>
      </c>
      <c r="N94" s="194">
        <f>(68.7*KFC!$B$36*1.02*1.3+KFC!$C$36)*KFC!$C$5</f>
        <v>91.096199999999996</v>
      </c>
      <c r="O94" s="194">
        <f>(72.6*KFC!$B$36*1.02*1.3+KFC!$C$36)*KFC!$C$5</f>
        <v>96.267599999999987</v>
      </c>
      <c r="P94" s="194">
        <f>(76.6*KFC!$B$36*1.02*1.3+KFC!$C$36)*KFC!$C$5</f>
        <v>101.57159999999999</v>
      </c>
      <c r="Q94" s="194">
        <f>(80.5*KFC!$B$36*1.02*1.3+KFC!$C$36)*KFC!$C$5</f>
        <v>106.74300000000001</v>
      </c>
      <c r="R94" s="194">
        <f>(84.4*KFC!$B$36*1.02*1.3+KFC!$C$36)*KFC!$C$5</f>
        <v>111.91440000000001</v>
      </c>
      <c r="S94" s="194">
        <f>(88.3*KFC!$B$36*1.02*1.3+KFC!$C$36)*KFC!$C$5</f>
        <v>117.08580000000001</v>
      </c>
      <c r="T94" s="194">
        <f>(92.2*KFC!$B$36*1.02*1.3+KFC!$C$36)*KFC!$C$5</f>
        <v>122.25720000000001</v>
      </c>
      <c r="U94" s="194">
        <f>(96.3*KFC!$B$36*1.02*1.3+KFC!$C$36)*KFC!$C$5</f>
        <v>127.69380000000001</v>
      </c>
      <c r="V94" s="194">
        <f>(100.2*KFC!$B$36*1.02*1.3+KFC!$C$36)*KFC!$C$5</f>
        <v>132.86520000000002</v>
      </c>
      <c r="W94" s="194">
        <f>(104.1*KFC!$B$36*1.02*1.3+KFC!$C$36)*KFC!$C$5</f>
        <v>138.03660000000002</v>
      </c>
      <c r="X94" s="194">
        <f>(108*KFC!$B$36*1.02*1.3+KFC!$C$36)*KFC!$C$5</f>
        <v>143.208</v>
      </c>
      <c r="Y94" s="194">
        <f>(111.9*KFC!$B$36*1.02*1.3+KFC!$C$36)*KFC!$C$5</f>
        <v>148.3794</v>
      </c>
      <c r="Z94" s="194">
        <f>(115.8*KFC!$B$36*1.02*1.3+KFC!$C$36)*KFC!$C$5</f>
        <v>153.55080000000001</v>
      </c>
      <c r="AA94" s="195">
        <f>(119.7*KFC!$B$36*1.02*1.3+KFC!$C$36)*KFC!$C$5</f>
        <v>158.72220000000002</v>
      </c>
    </row>
    <row r="95" spans="1:27">
      <c r="A95" s="1781"/>
      <c r="B95" s="224">
        <v>1.7</v>
      </c>
      <c r="C95" s="247">
        <f>(26.4*KFC!$B$36*1.02*1.3+KFC!$C$36)*KFC!$C$5</f>
        <v>35.006399999999999</v>
      </c>
      <c r="D95" s="194">
        <f>(30.6*KFC!$B$36*1.02*1.3+KFC!$C$36)*KFC!$C$5</f>
        <v>40.575600000000009</v>
      </c>
      <c r="E95" s="194">
        <f>(34.7*KFC!$B$36*1.02*1.3+KFC!$C$36)*KFC!$C$5</f>
        <v>46.012200000000007</v>
      </c>
      <c r="F95" s="194">
        <f>(38.9*KFC!$B$36*1.02*1.3+KFC!$C$36)*KFC!$C$5</f>
        <v>51.581399999999995</v>
      </c>
      <c r="G95" s="194">
        <f>(43*KFC!$B$36*1.02*1.3+KFC!$C$36)*KFC!$C$5</f>
        <v>57.018000000000001</v>
      </c>
      <c r="H95" s="194">
        <f>(47.2*KFC!$B$36*1.02*1.3+KFC!$C$36)*KFC!$C$5</f>
        <v>62.58720000000001</v>
      </c>
      <c r="I95" s="194">
        <f>(51.4*KFC!$B$36*1.02*1.3+KFC!$C$36)*KFC!$C$5</f>
        <v>68.156400000000005</v>
      </c>
      <c r="J95" s="194">
        <f>(55.5*KFC!$B$36*1.02*1.3+KFC!$C$36)*KFC!$C$5</f>
        <v>73.593000000000004</v>
      </c>
      <c r="K95" s="194">
        <f>(59.6*KFC!$B$36*1.02*1.3+KFC!$C$36)*KFC!$C$5</f>
        <v>79.029600000000002</v>
      </c>
      <c r="L95" s="194">
        <f>(63.7*KFC!$B$36*1.02*1.3+KFC!$C$36)*KFC!$C$5</f>
        <v>84.466200000000015</v>
      </c>
      <c r="M95" s="194">
        <f>(67.9*KFC!$B$36*1.02*1.3+KFC!$C$36)*KFC!$C$5</f>
        <v>90.03540000000001</v>
      </c>
      <c r="N95" s="194">
        <f>(72*KFC!$B$36*1.02*1.3+KFC!$C$36)*KFC!$C$5</f>
        <v>95.471999999999994</v>
      </c>
      <c r="O95" s="194">
        <f>(76.2*KFC!$B$36*1.02*1.3+KFC!$C$36)*KFC!$C$5</f>
        <v>101.0412</v>
      </c>
      <c r="P95" s="194">
        <f>(80.4*KFC!$B$36*1.02*1.3+KFC!$C$36)*KFC!$C$5</f>
        <v>106.61040000000001</v>
      </c>
      <c r="Q95" s="194">
        <f>(84.5*KFC!$B$36*1.02*1.3+KFC!$C$36)*KFC!$C$5</f>
        <v>112.047</v>
      </c>
      <c r="R95" s="194">
        <f>(88.7*KFC!$B$36*1.02*1.3+KFC!$C$36)*KFC!$C$5</f>
        <v>117.61620000000001</v>
      </c>
      <c r="S95" s="194">
        <f>(92.8*KFC!$B$36*1.02*1.3+KFC!$C$36)*KFC!$C$5</f>
        <v>123.05279999999999</v>
      </c>
      <c r="T95" s="194">
        <f>(97*KFC!$B$36*1.02*1.3+KFC!$C$36)*KFC!$C$5</f>
        <v>128.62200000000001</v>
      </c>
      <c r="U95" s="194">
        <f>(101.1*KFC!$B$36*1.02*1.3+KFC!$C$36)*KFC!$C$5</f>
        <v>134.05860000000001</v>
      </c>
      <c r="V95" s="194">
        <f>(105.3*KFC!$B$36*1.02*1.3+KFC!$C$36)*KFC!$C$5</f>
        <v>139.62780000000001</v>
      </c>
      <c r="W95" s="194">
        <f>(109.5*KFC!$B$36*1.02*1.3+KFC!$C$36)*KFC!$C$5</f>
        <v>145.197</v>
      </c>
      <c r="X95" s="194">
        <f>(113.6*KFC!$B$36*1.02*1.3+KFC!$C$36)*KFC!$C$5</f>
        <v>150.6336</v>
      </c>
      <c r="Y95" s="194">
        <f>(117.7*KFC!$B$36*1.02*1.3+KFC!$C$36)*KFC!$C$5</f>
        <v>156.0702</v>
      </c>
      <c r="Z95" s="194">
        <f>(121.8*KFC!$B$36*1.02*1.3+KFC!$C$36)*KFC!$C$5</f>
        <v>161.5068</v>
      </c>
      <c r="AA95" s="195">
        <f>(126*KFC!$B$36*1.02*1.3+KFC!$C$36)*KFC!$C$5</f>
        <v>167.07600000000002</v>
      </c>
    </row>
    <row r="96" spans="1:27">
      <c r="A96" s="1781"/>
      <c r="B96" s="224">
        <v>1.8</v>
      </c>
      <c r="C96" s="247">
        <f>(27.4*KFC!$B$36*1.02*1.3+KFC!$C$36)*KFC!$C$5</f>
        <v>36.3324</v>
      </c>
      <c r="D96" s="194">
        <f>(31.8*KFC!$B$36*1.02*1.3+KFC!$C$36)*KFC!$C$5</f>
        <v>42.166800000000002</v>
      </c>
      <c r="E96" s="194">
        <f>(36.1*KFC!$B$36*1.02*1.3+KFC!$C$36)*KFC!$C$5</f>
        <v>47.868600000000008</v>
      </c>
      <c r="F96" s="194">
        <f>(40.5*KFC!$B$36*1.02*1.3+KFC!$C$36)*KFC!$C$5</f>
        <v>53.703000000000003</v>
      </c>
      <c r="G96" s="194">
        <f>(44.9*KFC!$B$36*1.02*1.3+KFC!$C$36)*KFC!$C$5</f>
        <v>59.537400000000005</v>
      </c>
      <c r="H96" s="194">
        <f>(49.3*KFC!$B$36*1.02*1.3+KFC!$C$36)*KFC!$C$5</f>
        <v>65.371800000000007</v>
      </c>
      <c r="I96" s="194">
        <f>(53.6*KFC!$B$36*1.02*1.3+KFC!$C$36)*KFC!$C$5</f>
        <v>71.073600000000013</v>
      </c>
      <c r="J96" s="194">
        <f>(58*KFC!$B$36*1.02*1.3+KFC!$C$36)*KFC!$C$5</f>
        <v>76.908000000000001</v>
      </c>
      <c r="K96" s="194">
        <f>(62.4*KFC!$B$36*1.02*1.3+KFC!$C$36)*KFC!$C$5</f>
        <v>82.742400000000004</v>
      </c>
      <c r="L96" s="194">
        <f>(66.7*KFC!$B$36*1.02*1.3+KFC!$C$36)*KFC!$C$5</f>
        <v>88.444200000000009</v>
      </c>
      <c r="M96" s="194">
        <f>(71.1*KFC!$B$36*1.02*1.3+KFC!$C$36)*KFC!$C$5</f>
        <v>94.278599999999997</v>
      </c>
      <c r="N96" s="194">
        <f>(75.5*KFC!$B$36*1.02*1.3+KFC!$C$36)*KFC!$C$5</f>
        <v>100.11300000000001</v>
      </c>
      <c r="O96" s="194">
        <f>(79.9*KFC!$B$36*1.02*1.3+KFC!$C$36)*KFC!$C$5</f>
        <v>105.94740000000002</v>
      </c>
      <c r="P96" s="194">
        <f>(84.1*KFC!$B$36*1.02*1.3+KFC!$C$36)*KFC!$C$5</f>
        <v>111.5166</v>
      </c>
      <c r="Q96" s="194">
        <f>(88.5*KFC!$B$36*1.02*1.3+KFC!$C$36)*KFC!$C$5</f>
        <v>117.351</v>
      </c>
      <c r="R96" s="194">
        <f>(92.9*KFC!$B$36*1.02*1.3+KFC!$C$36)*KFC!$C$5</f>
        <v>123.18540000000002</v>
      </c>
      <c r="S96" s="194">
        <f>(97.2*KFC!$B$36*1.02*1.3+KFC!$C$36)*KFC!$C$5</f>
        <v>128.88720000000001</v>
      </c>
      <c r="T96" s="194">
        <f>(101.6*KFC!$B$36*1.02*1.3+KFC!$C$36)*KFC!$C$5</f>
        <v>134.7216</v>
      </c>
      <c r="U96" s="194">
        <f>(106*KFC!$B$36*1.02*1.3+KFC!$C$36)*KFC!$C$5</f>
        <v>140.55600000000001</v>
      </c>
      <c r="V96" s="194">
        <f>(110.4*KFC!$B$36*1.02*1.3+KFC!$C$36)*KFC!$C$5</f>
        <v>146.3904</v>
      </c>
      <c r="W96" s="194">
        <f>(114.7*KFC!$B$36*1.02*1.3+KFC!$C$36)*KFC!$C$5</f>
        <v>152.09219999999999</v>
      </c>
      <c r="X96" s="194">
        <f>(119.1*KFC!$B$36*1.02*1.3+KFC!$C$36)*KFC!$C$5</f>
        <v>157.92660000000001</v>
      </c>
      <c r="Y96" s="194">
        <f>(123.5*KFC!$B$36*1.02*1.3+KFC!$C$36)*KFC!$C$5</f>
        <v>163.761</v>
      </c>
      <c r="Z96" s="194">
        <f>(127.8*KFC!$B$36*1.02*1.3+KFC!$C$36)*KFC!$C$5</f>
        <v>169.46279999999999</v>
      </c>
      <c r="AA96" s="195">
        <f>(132.2*KFC!$B$36*1.02*1.3+KFC!$C$36)*KFC!$C$5</f>
        <v>175.2972</v>
      </c>
    </row>
    <row r="97" spans="1:27">
      <c r="A97" s="1781"/>
      <c r="B97" s="224">
        <v>1.9</v>
      </c>
      <c r="C97" s="247">
        <f>(28.4*KFC!$B$36*1.02*1.3+KFC!$C$36)*KFC!$C$5</f>
        <v>37.6584</v>
      </c>
      <c r="D97" s="194">
        <f>(33*KFC!$B$36*1.02*1.3+KFC!$C$36)*KFC!$C$5</f>
        <v>43.75800000000001</v>
      </c>
      <c r="E97" s="194">
        <f>(37.5*KFC!$B$36*1.02*1.3+KFC!$C$36)*KFC!$C$5</f>
        <v>49.725000000000001</v>
      </c>
      <c r="F97" s="194">
        <f>(42.2*KFC!$B$36*1.02*1.3+KFC!$C$36)*KFC!$C$5</f>
        <v>55.957200000000007</v>
      </c>
      <c r="G97" s="194">
        <f>(46.7*KFC!$B$36*1.02*1.3+KFC!$C$36)*KFC!$C$5</f>
        <v>61.924199999999999</v>
      </c>
      <c r="H97" s="194">
        <f>(51.4*KFC!$B$36*1.02*1.3+KFC!$C$36)*KFC!$C$5</f>
        <v>68.156400000000005</v>
      </c>
      <c r="I97" s="194">
        <f>(55.9*KFC!$B$36*1.02*1.3+KFC!$C$36)*KFC!$C$5</f>
        <v>74.123400000000004</v>
      </c>
      <c r="J97" s="194">
        <f>(60.5*KFC!$B$36*1.02*1.3+KFC!$C$36)*KFC!$C$5</f>
        <v>80.222999999999999</v>
      </c>
      <c r="K97" s="194">
        <f>(65.1*KFC!$B$36*1.02*1.3+KFC!$C$36)*KFC!$C$5</f>
        <v>86.322600000000008</v>
      </c>
      <c r="L97" s="194">
        <f>(69.7*KFC!$B$36*1.02*1.3+KFC!$C$36)*KFC!$C$5</f>
        <v>92.422200000000018</v>
      </c>
      <c r="M97" s="194">
        <f>(74.2*KFC!$B$36*1.02*1.3+KFC!$C$36)*KFC!$C$5</f>
        <v>98.389200000000002</v>
      </c>
      <c r="N97" s="194">
        <f>(78.9*KFC!$B$36*1.02*1.3+KFC!$C$36)*KFC!$C$5</f>
        <v>104.62140000000001</v>
      </c>
      <c r="O97" s="194">
        <f>(83.4*KFC!$B$36*1.02*1.3+KFC!$C$36)*KFC!$C$5</f>
        <v>110.58840000000002</v>
      </c>
      <c r="P97" s="194">
        <f>(88.1*KFC!$B$36*1.02*1.3+KFC!$C$36)*KFC!$C$5</f>
        <v>116.8206</v>
      </c>
      <c r="Q97" s="194">
        <f>(92.6*KFC!$B$36*1.02*1.3+KFC!$C$36)*KFC!$C$5</f>
        <v>122.7876</v>
      </c>
      <c r="R97" s="194">
        <f>(97.2*KFC!$B$36*1.02*1.3+KFC!$C$36)*KFC!$C$5</f>
        <v>128.88720000000001</v>
      </c>
      <c r="S97" s="194">
        <f>(101.8*KFC!$B$36*1.02*1.3+KFC!$C$36)*KFC!$C$5</f>
        <v>134.98680000000002</v>
      </c>
      <c r="T97" s="194">
        <f>(106.4*KFC!$B$36*1.02*1.3+KFC!$C$36)*KFC!$C$5</f>
        <v>141.08640000000003</v>
      </c>
      <c r="U97" s="194">
        <f>(110.9*KFC!$B$36*1.02*1.3+KFC!$C$36)*KFC!$C$5</f>
        <v>147.05340000000001</v>
      </c>
      <c r="V97" s="194">
        <f>(115.6*KFC!$B$36*1.02*1.3+KFC!$C$36)*KFC!$C$5</f>
        <v>153.28559999999999</v>
      </c>
      <c r="W97" s="194">
        <f>(120.1*KFC!$B$36*1.02*1.3+KFC!$C$36)*KFC!$C$5</f>
        <v>159.2526</v>
      </c>
      <c r="X97" s="194">
        <f>(124.7*KFC!$B$36*1.02*1.3+KFC!$C$36)*KFC!$C$5</f>
        <v>165.35220000000001</v>
      </c>
      <c r="Y97" s="194">
        <f>(129.3*KFC!$B$36*1.02*1.3+KFC!$C$36)*KFC!$C$5</f>
        <v>171.45180000000005</v>
      </c>
      <c r="Z97" s="194">
        <f>(133.9*KFC!$B$36*1.02*1.3+KFC!$C$36)*KFC!$C$5</f>
        <v>177.5514</v>
      </c>
      <c r="AA97" s="195">
        <f>(138.4*KFC!$B$36*1.02*1.3+KFC!$C$36)*KFC!$C$5</f>
        <v>183.51840000000001</v>
      </c>
    </row>
    <row r="98" spans="1:27">
      <c r="A98" s="1781"/>
      <c r="B98" s="224">
        <v>2</v>
      </c>
      <c r="C98" s="247">
        <f>(29.4*KFC!$B$36*1.02*1.3+KFC!$C$36)*KFC!$C$5</f>
        <v>38.984400000000001</v>
      </c>
      <c r="D98" s="194">
        <f>(34.1*KFC!$B$36*1.02*1.3+KFC!$C$36)*KFC!$C$5</f>
        <v>45.216600000000007</v>
      </c>
      <c r="E98" s="194">
        <f>(39*KFC!$B$36*1.02*1.3+KFC!$C$36)*KFC!$C$5</f>
        <v>51.714000000000006</v>
      </c>
      <c r="F98" s="194">
        <f>(43.8*KFC!$B$36*1.02*1.3+KFC!$C$36)*KFC!$C$5</f>
        <v>58.078799999999994</v>
      </c>
      <c r="G98" s="194">
        <f>(48.6*KFC!$B$36*1.02*1.3+KFC!$C$36)*KFC!$C$5</f>
        <v>64.443600000000004</v>
      </c>
      <c r="H98" s="194">
        <f>(53.3*KFC!$B$36*1.02*1.3+KFC!$C$36)*KFC!$C$5</f>
        <v>70.675799999999995</v>
      </c>
      <c r="I98" s="194">
        <f>(58.2*KFC!$B$36*1.02*1.3+KFC!$C$36)*KFC!$C$5</f>
        <v>77.173200000000008</v>
      </c>
      <c r="J98" s="194">
        <f>(63*KFC!$B$36*1.02*1.3+KFC!$C$36)*KFC!$C$5</f>
        <v>83.538000000000011</v>
      </c>
      <c r="K98" s="194">
        <f>(67.8*KFC!$B$36*1.02*1.3+KFC!$C$36)*KFC!$C$5</f>
        <v>89.902799999999999</v>
      </c>
      <c r="L98" s="194">
        <f>(72.6*KFC!$B$36*1.02*1.3+KFC!$C$36)*KFC!$C$5</f>
        <v>96.267599999999987</v>
      </c>
      <c r="M98" s="194">
        <f>(77.4*KFC!$B$36*1.02*1.3+KFC!$C$36)*KFC!$C$5</f>
        <v>102.63240000000002</v>
      </c>
      <c r="N98" s="194">
        <f>(82.2*KFC!$B$36*1.02*1.3+KFC!$C$36)*KFC!$C$5</f>
        <v>108.99720000000002</v>
      </c>
      <c r="O98" s="194">
        <f>(87*KFC!$B$36*1.02*1.3+KFC!$C$36)*KFC!$C$5</f>
        <v>115.36199999999999</v>
      </c>
      <c r="P98" s="194">
        <f>(91.8*KFC!$B$36*1.02*1.3+KFC!$C$36)*KFC!$C$5</f>
        <v>121.7268</v>
      </c>
      <c r="Q98" s="194">
        <f>(96.6*KFC!$B$36*1.02*1.3+KFC!$C$36)*KFC!$C$5</f>
        <v>128.0916</v>
      </c>
      <c r="R98" s="194">
        <f>(101.4*KFC!$B$36*1.02*1.3+KFC!$C$36)*KFC!$C$5</f>
        <v>134.45640000000003</v>
      </c>
      <c r="S98" s="194">
        <f>(106.3*KFC!$B$36*1.02*1.3+KFC!$C$36)*KFC!$C$5</f>
        <v>140.9538</v>
      </c>
      <c r="T98" s="194">
        <f>(111*KFC!$B$36*1.02*1.3+KFC!$C$36)*KFC!$C$5</f>
        <v>147.18600000000001</v>
      </c>
      <c r="U98" s="194">
        <f>(115.8*KFC!$B$36*1.02*1.3+KFC!$C$36)*KFC!$C$5</f>
        <v>153.55080000000001</v>
      </c>
      <c r="V98" s="194">
        <f>(120.6*KFC!$B$36*1.02*1.3+KFC!$C$36)*KFC!$C$5</f>
        <v>159.91560000000001</v>
      </c>
      <c r="W98" s="194">
        <f>(125.5*KFC!$B$36*1.02*1.3+KFC!$C$36)*KFC!$C$5</f>
        <v>166.41299999999998</v>
      </c>
      <c r="X98" s="194">
        <f>(130.2*KFC!$B$36*1.02*1.3+KFC!$C$36)*KFC!$C$5</f>
        <v>172.64520000000002</v>
      </c>
      <c r="Y98" s="194">
        <f>(135*KFC!$B$36*1.02*1.3+KFC!$C$36)*KFC!$C$5</f>
        <v>179.01</v>
      </c>
      <c r="Z98" s="194">
        <f>(139.9*KFC!$B$36*1.02*1.3+KFC!$C$36)*KFC!$C$5</f>
        <v>185.50740000000002</v>
      </c>
      <c r="AA98" s="195">
        <f>(144.7*KFC!$B$36*1.02*1.3+KFC!$C$36)*KFC!$C$5</f>
        <v>191.87219999999999</v>
      </c>
    </row>
    <row r="99" spans="1:27">
      <c r="A99" s="1781"/>
      <c r="B99" s="224">
        <v>2.1</v>
      </c>
      <c r="C99" s="247">
        <f>(30.3*KFC!$B$36*1.02*1.3+KFC!$C$36)*KFC!$C$5</f>
        <v>40.177800000000005</v>
      </c>
      <c r="D99" s="194">
        <f>(35.3*KFC!$B$36*1.02*1.3+KFC!$C$36)*KFC!$C$5</f>
        <v>46.8078</v>
      </c>
      <c r="E99" s="194">
        <f>(40.4*KFC!$B$36*1.02*1.3+KFC!$C$36)*KFC!$C$5</f>
        <v>53.570399999999999</v>
      </c>
      <c r="F99" s="194">
        <f>(45.4*KFC!$B$36*1.02*1.3+KFC!$C$36)*KFC!$C$5</f>
        <v>60.200400000000002</v>
      </c>
      <c r="G99" s="194">
        <f>(50.4*KFC!$B$36*1.02*1.3+KFC!$C$36)*KFC!$C$5</f>
        <v>66.830399999999997</v>
      </c>
      <c r="H99" s="194">
        <f>(55.4*KFC!$B$36*1.02*1.3+KFC!$C$36)*KFC!$C$5</f>
        <v>73.460400000000007</v>
      </c>
      <c r="I99" s="194">
        <f>(60.4*KFC!$B$36*1.02*1.3+KFC!$C$36)*KFC!$C$5</f>
        <v>80.090400000000002</v>
      </c>
      <c r="J99" s="194">
        <f>(65.6*KFC!$B$36*1.02*1.3+KFC!$C$36)*KFC!$C$5</f>
        <v>86.985599999999991</v>
      </c>
      <c r="K99" s="194">
        <f>(70.6*KFC!$B$36*1.02*1.3+KFC!$C$36)*KFC!$C$5</f>
        <v>93.615600000000001</v>
      </c>
      <c r="L99" s="194">
        <f>(75.6*KFC!$B$36*1.02*1.3+KFC!$C$36)*KFC!$C$5</f>
        <v>100.2456</v>
      </c>
      <c r="M99" s="194">
        <f>(80.6*KFC!$B$36*1.02*1.3+KFC!$C$36)*KFC!$C$5</f>
        <v>106.87559999999999</v>
      </c>
      <c r="N99" s="194">
        <f>(85.6*KFC!$B$36*1.02*1.3+KFC!$C$36)*KFC!$C$5</f>
        <v>113.5056</v>
      </c>
      <c r="O99" s="194">
        <f>(90.6*KFC!$B$36*1.02*1.3+KFC!$C$36)*KFC!$C$5</f>
        <v>120.1356</v>
      </c>
      <c r="P99" s="194">
        <f>(95.6*KFC!$B$36*1.02*1.3+KFC!$C$36)*KFC!$C$5</f>
        <v>126.76560000000001</v>
      </c>
      <c r="Q99" s="194">
        <f>(100.7*KFC!$B$36*1.02*1.3+KFC!$C$36)*KFC!$C$5</f>
        <v>133.5282</v>
      </c>
      <c r="R99" s="194">
        <f>(105.7*KFC!$B$36*1.02*1.3+KFC!$C$36)*KFC!$C$5</f>
        <v>140.15820000000002</v>
      </c>
      <c r="S99" s="194">
        <f>(110.7*KFC!$B$36*1.02*1.3+KFC!$C$36)*KFC!$C$5</f>
        <v>146.78820000000002</v>
      </c>
      <c r="T99" s="194">
        <f>(115.7*KFC!$B$36*1.02*1.3+KFC!$C$36)*KFC!$C$5</f>
        <v>153.41820000000001</v>
      </c>
      <c r="U99" s="194">
        <f>(120.7*KFC!$B$36*1.02*1.3+KFC!$C$36)*KFC!$C$5</f>
        <v>160.04820000000001</v>
      </c>
      <c r="V99" s="194">
        <f>(125.7*KFC!$B$36*1.02*1.3+KFC!$C$36)*KFC!$C$5</f>
        <v>166.6782</v>
      </c>
      <c r="W99" s="194">
        <f>(130.7*KFC!$B$36*1.02*1.3+KFC!$C$36)*KFC!$C$5</f>
        <v>173.3082</v>
      </c>
      <c r="X99" s="194">
        <f>(135.9*KFC!$B$36*1.02*1.3+KFC!$C$36)*KFC!$C$5</f>
        <v>180.20339999999999</v>
      </c>
      <c r="Y99" s="194">
        <f>(140.9*KFC!$B$36*1.02*1.3+KFC!$C$36)*KFC!$C$5</f>
        <v>186.83340000000004</v>
      </c>
      <c r="Z99" s="194">
        <f>(145.9*KFC!$B$36*1.02*1.3+KFC!$C$36)*KFC!$C$5</f>
        <v>193.46340000000004</v>
      </c>
      <c r="AA99" s="195">
        <f>(150.9*KFC!$B$36*1.02*1.3+KFC!$C$36)*KFC!$C$5</f>
        <v>200.0934</v>
      </c>
    </row>
    <row r="100" spans="1:27">
      <c r="A100" s="1781"/>
      <c r="B100" s="224">
        <v>2.2000000000000002</v>
      </c>
      <c r="C100" s="247">
        <f>(31.3*KFC!$B$36*1.02*1.3+KFC!$C$36)*KFC!$C$5</f>
        <v>41.503800000000005</v>
      </c>
      <c r="D100" s="194">
        <f>(36.6*KFC!$B$36*1.02*1.3+KFC!$C$36)*KFC!$C$5</f>
        <v>48.531600000000005</v>
      </c>
      <c r="E100" s="194">
        <f>(41.8*KFC!$B$36*1.02*1.3+KFC!$C$36)*KFC!$C$5</f>
        <v>55.426799999999993</v>
      </c>
      <c r="F100" s="194">
        <f>(47.1*KFC!$B$36*1.02*1.3+KFC!$C$36)*KFC!$C$5</f>
        <v>62.454600000000006</v>
      </c>
      <c r="G100" s="194">
        <f>(52.2*KFC!$B$36*1.02*1.3+KFC!$C$36)*KFC!$C$5</f>
        <v>69.217200000000005</v>
      </c>
      <c r="H100" s="194">
        <f>(57.5*KFC!$B$36*1.02*1.3+KFC!$C$36)*KFC!$C$5</f>
        <v>76.245000000000005</v>
      </c>
      <c r="I100" s="194">
        <f>(62.7*KFC!$B$36*1.02*1.3+KFC!$C$36)*KFC!$C$5</f>
        <v>83.140200000000007</v>
      </c>
      <c r="J100" s="194">
        <f>(68*KFC!$B$36*1.02*1.3+KFC!$C$36)*KFC!$C$5</f>
        <v>90.168000000000006</v>
      </c>
      <c r="K100" s="194">
        <f>(73.3*KFC!$B$36*1.02*1.3+KFC!$C$36)*KFC!$C$5</f>
        <v>97.195800000000006</v>
      </c>
      <c r="L100" s="194">
        <f>(78.5*KFC!$B$36*1.02*1.3+KFC!$C$36)*KFC!$C$5</f>
        <v>104.09100000000001</v>
      </c>
      <c r="M100" s="194">
        <f>(83.8*KFC!$B$36*1.02*1.3+KFC!$C$36)*KFC!$C$5</f>
        <v>111.11880000000001</v>
      </c>
      <c r="N100" s="194">
        <f>(88.9*KFC!$B$36*1.02*1.3+KFC!$C$36)*KFC!$C$5</f>
        <v>117.88140000000001</v>
      </c>
      <c r="O100" s="194">
        <f>(94.2*KFC!$B$36*1.02*1.3+KFC!$C$36)*KFC!$C$5</f>
        <v>124.90920000000001</v>
      </c>
      <c r="P100" s="194">
        <f>(99.4*KFC!$B$36*1.02*1.3+KFC!$C$36)*KFC!$C$5</f>
        <v>131.80440000000002</v>
      </c>
      <c r="Q100" s="194">
        <f>(104.7*KFC!$B$36*1.02*1.3+KFC!$C$36)*KFC!$C$5</f>
        <v>138.83220000000003</v>
      </c>
      <c r="R100" s="194">
        <f>(109.9*KFC!$B$36*1.02*1.3+KFC!$C$36)*KFC!$C$5</f>
        <v>145.72740000000002</v>
      </c>
      <c r="S100" s="194">
        <f>(115.2*KFC!$B$36*1.02*1.3+KFC!$C$36)*KFC!$C$5</f>
        <v>152.7552</v>
      </c>
      <c r="T100" s="194">
        <f>(120.5*KFC!$B$36*1.02*1.3+KFC!$C$36)*KFC!$C$5</f>
        <v>159.78299999999999</v>
      </c>
      <c r="U100" s="194">
        <f>(125.6*KFC!$B$36*1.02*1.3+KFC!$C$36)*KFC!$C$5</f>
        <v>166.54560000000001</v>
      </c>
      <c r="V100" s="194">
        <f>(130.9*KFC!$B$36*1.02*1.3+KFC!$C$36)*KFC!$C$5</f>
        <v>173.57340000000002</v>
      </c>
      <c r="W100" s="194">
        <f>(136.1*KFC!$B$36*1.02*1.3+KFC!$C$36)*KFC!$C$5</f>
        <v>180.46860000000001</v>
      </c>
      <c r="X100" s="194">
        <f>(141.4*KFC!$B$36*1.02*1.3+KFC!$C$36)*KFC!$C$5</f>
        <v>187.49640000000002</v>
      </c>
      <c r="Y100" s="194">
        <f>(146.6*KFC!$B$36*1.02*1.3+KFC!$C$36)*KFC!$C$5</f>
        <v>194.39160000000001</v>
      </c>
      <c r="Z100" s="194">
        <f>(151.9*KFC!$B$36*1.02*1.3+KFC!$C$36)*KFC!$C$5</f>
        <v>201.41940000000002</v>
      </c>
      <c r="AA100" s="195">
        <f>(157.2*KFC!$B$36*1.02*1.3+KFC!$C$36)*KFC!$C$5</f>
        <v>208.44720000000001</v>
      </c>
    </row>
    <row r="101" spans="1:27">
      <c r="A101" s="1781"/>
      <c r="B101" s="224">
        <v>2.2999999999999998</v>
      </c>
      <c r="C101" s="247">
        <f>(32.3*KFC!$B$36*1.02*1.3+KFC!$C$36)*KFC!$C$5</f>
        <v>42.829799999999999</v>
      </c>
      <c r="D101" s="194">
        <f>(37.8*KFC!$B$36*1.02*1.3+KFC!$C$36)*KFC!$C$5</f>
        <v>50.122799999999998</v>
      </c>
      <c r="E101" s="194">
        <f>(43.2*KFC!$B$36*1.02*1.3+KFC!$C$36)*KFC!$C$5</f>
        <v>57.283200000000008</v>
      </c>
      <c r="F101" s="194">
        <f>(48.7*KFC!$B$36*1.02*1.3+KFC!$C$36)*KFC!$C$5</f>
        <v>64.576200000000014</v>
      </c>
      <c r="G101" s="194">
        <f>(54.2*KFC!$B$36*1.02*1.3+KFC!$C$36)*KFC!$C$5</f>
        <v>71.869200000000006</v>
      </c>
      <c r="H101" s="194">
        <f>(59.6*KFC!$B$36*1.02*1.3+KFC!$C$36)*KFC!$C$5</f>
        <v>79.029600000000002</v>
      </c>
      <c r="I101" s="194">
        <f>(65.1*KFC!$B$36*1.02*1.3+KFC!$C$36)*KFC!$C$5</f>
        <v>86.322600000000008</v>
      </c>
      <c r="J101" s="194">
        <f>(70.6*KFC!$B$36*1.02*1.3+KFC!$C$36)*KFC!$C$5</f>
        <v>93.615600000000001</v>
      </c>
      <c r="K101" s="194">
        <f>(75.9*KFC!$B$36*1.02*1.3+KFC!$C$36)*KFC!$C$5</f>
        <v>100.64340000000001</v>
      </c>
      <c r="L101" s="194">
        <f>(81.5*KFC!$B$36*1.02*1.3+KFC!$C$36)*KFC!$C$5</f>
        <v>108.069</v>
      </c>
      <c r="M101" s="194">
        <f>(86.8*KFC!$B$36*1.02*1.3+KFC!$C$36)*KFC!$C$5</f>
        <v>115.0968</v>
      </c>
      <c r="N101" s="194">
        <f>(92.3*KFC!$B$36*1.02*1.3+KFC!$C$36)*KFC!$C$5</f>
        <v>122.38980000000001</v>
      </c>
      <c r="O101" s="194">
        <f>(97.8*KFC!$B$36*1.02*1.3+KFC!$C$36)*KFC!$C$5</f>
        <v>129.68280000000001</v>
      </c>
      <c r="P101" s="194">
        <f>(103.2*KFC!$B$36*1.02*1.3+KFC!$C$36)*KFC!$C$5</f>
        <v>136.84320000000002</v>
      </c>
      <c r="Q101" s="194">
        <f>(108.7*KFC!$B$36*1.02*1.3+KFC!$C$36)*KFC!$C$5</f>
        <v>144.13620000000003</v>
      </c>
      <c r="R101" s="194">
        <f>(114.2*KFC!$B$36*1.02*1.3+KFC!$C$36)*KFC!$C$5</f>
        <v>151.42920000000001</v>
      </c>
      <c r="S101" s="194">
        <f>(119.6*KFC!$B$36*1.02*1.3+KFC!$C$36)*KFC!$C$5</f>
        <v>158.58959999999999</v>
      </c>
      <c r="T101" s="194">
        <f>(125.1*KFC!$B$36*1.02*1.3+KFC!$C$36)*KFC!$C$5</f>
        <v>165.8826</v>
      </c>
      <c r="U101" s="194">
        <f>(130.6*KFC!$B$36*1.02*1.3+KFC!$C$36)*KFC!$C$5</f>
        <v>173.1756</v>
      </c>
      <c r="V101" s="194">
        <f>(136*KFC!$B$36*1.02*1.3+KFC!$C$36)*KFC!$C$5</f>
        <v>180.33600000000001</v>
      </c>
      <c r="W101" s="194">
        <f>(141.5*KFC!$B$36*1.02*1.3+KFC!$C$36)*KFC!$C$5</f>
        <v>187.62900000000002</v>
      </c>
      <c r="X101" s="194">
        <f>(147*KFC!$B$36*1.02*1.3+KFC!$C$36)*KFC!$C$5</f>
        <v>194.922</v>
      </c>
      <c r="Y101" s="194">
        <f>(152.4*KFC!$B$36*1.02*1.3+KFC!$C$36)*KFC!$C$5</f>
        <v>202.08240000000001</v>
      </c>
      <c r="Z101" s="194">
        <f>(157.9*KFC!$B$36*1.02*1.3+KFC!$C$36)*KFC!$C$5</f>
        <v>209.37540000000004</v>
      </c>
      <c r="AA101" s="195">
        <f>(163.3*KFC!$B$36*1.02*1.3+KFC!$C$36)*KFC!$C$5</f>
        <v>216.53580000000002</v>
      </c>
    </row>
    <row r="102" spans="1:27">
      <c r="A102" s="1781"/>
      <c r="B102" s="224">
        <v>2.4</v>
      </c>
      <c r="C102" s="247">
        <f>(33.3*KFC!$B$36*1.02*1.3+KFC!$C$36)*KFC!$C$5</f>
        <v>44.155800000000006</v>
      </c>
      <c r="D102" s="194">
        <f>(38.9*KFC!$B$36*1.02*1.3+KFC!$C$36)*KFC!$C$5</f>
        <v>51.581399999999995</v>
      </c>
      <c r="E102" s="194">
        <f>(44.6*KFC!$B$36*1.02*1.3+KFC!$C$36)*KFC!$C$5</f>
        <v>59.139600000000009</v>
      </c>
      <c r="F102" s="194">
        <f>(50.3*KFC!$B$36*1.02*1.3+KFC!$C$36)*KFC!$C$5</f>
        <v>66.697800000000001</v>
      </c>
      <c r="G102" s="194">
        <f>(56*KFC!$B$36*1.02*1.3+KFC!$C$36)*KFC!$C$5</f>
        <v>74.256000000000014</v>
      </c>
      <c r="H102" s="194">
        <f>(61.6*KFC!$B$36*1.02*1.3+KFC!$C$36)*KFC!$C$5</f>
        <v>81.681600000000003</v>
      </c>
      <c r="I102" s="194">
        <f>(67.4*KFC!$B$36*1.02*1.3+KFC!$C$36)*KFC!$C$5</f>
        <v>89.372400000000013</v>
      </c>
      <c r="J102" s="194">
        <f>(73*KFC!$B$36*1.02*1.3+KFC!$C$36)*KFC!$C$5</f>
        <v>96.798000000000016</v>
      </c>
      <c r="K102" s="194">
        <f>(78.6*KFC!$B$36*1.02*1.3+KFC!$C$36)*KFC!$C$5</f>
        <v>104.2236</v>
      </c>
      <c r="L102" s="194">
        <f>(84.4*KFC!$B$36*1.02*1.3+KFC!$C$36)*KFC!$C$5</f>
        <v>111.91440000000001</v>
      </c>
      <c r="M102" s="194">
        <f>(90*KFC!$B$36*1.02*1.3+KFC!$C$36)*KFC!$C$5</f>
        <v>119.34</v>
      </c>
      <c r="N102" s="194">
        <f>(95.8*KFC!$B$36*1.02*1.3+KFC!$C$36)*KFC!$C$5</f>
        <v>127.0308</v>
      </c>
      <c r="O102" s="194">
        <f>(101.4*KFC!$B$36*1.02*1.3+KFC!$C$36)*KFC!$C$5</f>
        <v>134.45640000000003</v>
      </c>
      <c r="P102" s="194">
        <f>(107.1*KFC!$B$36*1.02*1.3+KFC!$C$36)*KFC!$C$5</f>
        <v>142.0146</v>
      </c>
      <c r="Q102" s="194">
        <f>(112.8*KFC!$B$36*1.02*1.3+KFC!$C$36)*KFC!$C$5</f>
        <v>149.5728</v>
      </c>
      <c r="R102" s="194">
        <f>(118.4*KFC!$B$36*1.02*1.3+KFC!$C$36)*KFC!$C$5</f>
        <v>156.99840000000003</v>
      </c>
      <c r="S102" s="194">
        <f>(124.1*KFC!$B$36*1.02*1.3+KFC!$C$36)*KFC!$C$5</f>
        <v>164.5566</v>
      </c>
      <c r="T102" s="194">
        <f>(129.8*KFC!$B$36*1.02*1.3+KFC!$C$36)*KFC!$C$5</f>
        <v>172.11480000000003</v>
      </c>
      <c r="U102" s="194">
        <f>(135.5*KFC!$B$36*1.02*1.3+KFC!$C$36)*KFC!$C$5</f>
        <v>179.67300000000003</v>
      </c>
      <c r="V102" s="194">
        <f>(141.1*KFC!$B$36*1.02*1.3+KFC!$C$36)*KFC!$C$5</f>
        <v>187.0986</v>
      </c>
      <c r="W102" s="194">
        <f>(146.9*KFC!$B$36*1.02*1.3+KFC!$C$36)*KFC!$C$5</f>
        <v>194.78940000000003</v>
      </c>
      <c r="X102" s="194">
        <f>(152.5*KFC!$B$36*1.02*1.3+KFC!$C$36)*KFC!$C$5</f>
        <v>202.21500000000003</v>
      </c>
      <c r="Y102" s="194">
        <f>(158.1*KFC!$B$36*1.02*1.3+KFC!$C$36)*KFC!$C$5</f>
        <v>209.64060000000001</v>
      </c>
      <c r="Z102" s="194">
        <f>(163.9*KFC!$B$36*1.02*1.3+KFC!$C$36)*KFC!$C$5</f>
        <v>217.3314</v>
      </c>
      <c r="AA102" s="195">
        <f>(169.5*KFC!$B$36*1.02*1.3+KFC!$C$36)*KFC!$C$5</f>
        <v>224.75700000000003</v>
      </c>
    </row>
    <row r="103" spans="1:27">
      <c r="A103" s="1781"/>
      <c r="B103" s="224">
        <v>2.5</v>
      </c>
      <c r="C103" s="247">
        <f>(34.2*KFC!$B$36*1.02*1.3+KFC!$C$36)*KFC!$C$5</f>
        <v>45.349200000000003</v>
      </c>
      <c r="D103" s="194">
        <f>(40.1*KFC!$B$36*1.02*1.3+KFC!$C$36)*KFC!$C$5</f>
        <v>53.172600000000003</v>
      </c>
      <c r="E103" s="194">
        <f>(46*KFC!$B$36*1.02*1.3+KFC!$C$36)*KFC!$C$5</f>
        <v>60.996000000000002</v>
      </c>
      <c r="F103" s="194">
        <f>(52*KFC!$B$36*1.02*1.3+KFC!$C$36)*KFC!$C$5</f>
        <v>68.951999999999998</v>
      </c>
      <c r="G103" s="194">
        <f>(57.8*KFC!$B$36*1.02*1.3+KFC!$C$36)*KFC!$C$5</f>
        <v>76.642799999999994</v>
      </c>
      <c r="H103" s="194">
        <f>(63.7*KFC!$B$36*1.02*1.3+KFC!$C$36)*KFC!$C$5</f>
        <v>84.466200000000015</v>
      </c>
      <c r="I103" s="194">
        <f>(69.6*KFC!$B$36*1.02*1.3+KFC!$C$36)*KFC!$C$5</f>
        <v>92.289599999999993</v>
      </c>
      <c r="J103" s="194">
        <f>(75.6*KFC!$B$36*1.02*1.3+KFC!$C$36)*KFC!$C$5</f>
        <v>100.2456</v>
      </c>
      <c r="K103" s="194">
        <f>(81.5*KFC!$B$36*1.02*1.3+KFC!$C$36)*KFC!$C$5</f>
        <v>108.069</v>
      </c>
      <c r="L103" s="194">
        <f>(87.3*KFC!$B$36*1.02*1.3+KFC!$C$36)*KFC!$C$5</f>
        <v>115.7598</v>
      </c>
      <c r="M103" s="194">
        <f>(93.2*KFC!$B$36*1.02*1.3+KFC!$C$36)*KFC!$C$5</f>
        <v>123.58320000000002</v>
      </c>
      <c r="N103" s="194">
        <f>(99.1*KFC!$B$36*1.02*1.3+KFC!$C$36)*KFC!$C$5</f>
        <v>131.4066</v>
      </c>
      <c r="O103" s="194">
        <f>(105.1*KFC!$B$36*1.02*1.3+KFC!$C$36)*KFC!$C$5</f>
        <v>139.36260000000001</v>
      </c>
      <c r="P103" s="194">
        <f>(110.9*KFC!$B$36*1.02*1.3+KFC!$C$36)*KFC!$C$5</f>
        <v>147.05340000000001</v>
      </c>
      <c r="Q103" s="194">
        <f>(116.8*KFC!$B$36*1.02*1.3+KFC!$C$36)*KFC!$C$5</f>
        <v>154.8768</v>
      </c>
      <c r="R103" s="194">
        <f>(122.7*KFC!$B$36*1.02*1.3+KFC!$C$36)*KFC!$C$5</f>
        <v>162.70020000000002</v>
      </c>
      <c r="S103" s="194">
        <f>(128.5*KFC!$B$36*1.02*1.3+KFC!$C$36)*KFC!$C$5</f>
        <v>170.39099999999999</v>
      </c>
      <c r="T103" s="194">
        <f>(134.5*KFC!$B$36*1.02*1.3+KFC!$C$36)*KFC!$C$5</f>
        <v>178.34700000000001</v>
      </c>
      <c r="U103" s="194">
        <f>(140.4*KFC!$B$36*1.02*1.3+KFC!$C$36)*KFC!$C$5</f>
        <v>186.1704</v>
      </c>
      <c r="V103" s="194">
        <f>(146.3*KFC!$B$36*1.02*1.3+KFC!$C$36)*KFC!$C$5</f>
        <v>193.99380000000005</v>
      </c>
      <c r="W103" s="194">
        <f>(152.1*KFC!$B$36*1.02*1.3+KFC!$C$36)*KFC!$C$5</f>
        <v>201.68459999999999</v>
      </c>
      <c r="X103" s="194">
        <f>(158.1*KFC!$B$36*1.02*1.3+KFC!$C$36)*KFC!$C$5</f>
        <v>209.64060000000001</v>
      </c>
      <c r="Y103" s="194">
        <f>(164*KFC!$B$36*1.02*1.3+KFC!$C$36)*KFC!$C$5</f>
        <v>217.464</v>
      </c>
      <c r="Z103" s="194">
        <f>(169.9*KFC!$B$36*1.02*1.3+KFC!$C$36)*KFC!$C$5</f>
        <v>225.28740000000002</v>
      </c>
      <c r="AA103" s="195">
        <f>(175.7*KFC!$B$36*1.02*1.3+KFC!$C$36)*KFC!$C$5</f>
        <v>232.97820000000002</v>
      </c>
    </row>
    <row r="104" spans="1:27">
      <c r="A104" s="1781"/>
      <c r="B104" s="224">
        <v>2.6</v>
      </c>
      <c r="C104" s="247">
        <f>(35.2*KFC!$B$36*1.02*1.3+KFC!$C$36)*KFC!$C$5</f>
        <v>46.675200000000004</v>
      </c>
      <c r="D104" s="194">
        <f>(41.3*KFC!$B$36*1.02*1.3+KFC!$C$36)*KFC!$C$5</f>
        <v>54.763799999999996</v>
      </c>
      <c r="E104" s="194">
        <f>(47.5*KFC!$B$36*1.02*1.3+KFC!$C$36)*KFC!$C$5</f>
        <v>62.985000000000007</v>
      </c>
      <c r="F104" s="194">
        <f>(53.6*KFC!$B$36*1.02*1.3+KFC!$C$36)*KFC!$C$5</f>
        <v>71.073600000000013</v>
      </c>
      <c r="G104" s="194">
        <f>(59.7*KFC!$B$36*1.02*1.3+KFC!$C$36)*KFC!$C$5</f>
        <v>79.162200000000013</v>
      </c>
      <c r="H104" s="194">
        <f>(65.8*KFC!$B$36*1.02*1.3+KFC!$C$36)*KFC!$C$5</f>
        <v>87.250799999999998</v>
      </c>
      <c r="I104" s="194">
        <f>(71.9*KFC!$B$36*1.02*1.3+KFC!$C$36)*KFC!$C$5</f>
        <v>95.339400000000012</v>
      </c>
      <c r="J104" s="194">
        <f>(78*KFC!$B$36*1.02*1.3+KFC!$C$36)*KFC!$C$5</f>
        <v>103.42800000000001</v>
      </c>
      <c r="K104" s="194">
        <f>(84.1*KFC!$B$36*1.02*1.3+KFC!$C$36)*KFC!$C$5</f>
        <v>111.5166</v>
      </c>
      <c r="L104" s="194">
        <f>(90.3*KFC!$B$36*1.02*1.3+KFC!$C$36)*KFC!$C$5</f>
        <v>119.73779999999999</v>
      </c>
      <c r="M104" s="194">
        <f>(96.4*KFC!$B$36*1.02*1.3+KFC!$C$36)*KFC!$C$5</f>
        <v>127.82640000000001</v>
      </c>
      <c r="N104" s="194">
        <f>(102.5*KFC!$B$36*1.02*1.3+KFC!$C$36)*KFC!$C$5</f>
        <v>135.91499999999999</v>
      </c>
      <c r="O104" s="194">
        <f>(108.6*KFC!$B$36*1.02*1.3+KFC!$C$36)*KFC!$C$5</f>
        <v>144.00360000000001</v>
      </c>
      <c r="P104" s="194">
        <f>(114.7*KFC!$B$36*1.02*1.3+KFC!$C$36)*KFC!$C$5</f>
        <v>152.09219999999999</v>
      </c>
      <c r="Q104" s="194">
        <f>(120.8*KFC!$B$36*1.02*1.3+KFC!$C$36)*KFC!$C$5</f>
        <v>160.1808</v>
      </c>
      <c r="R104" s="194">
        <f>(126.9*KFC!$B$36*1.02*1.3+KFC!$C$36)*KFC!$C$5</f>
        <v>168.26940000000002</v>
      </c>
      <c r="S104" s="194">
        <f>(133.1*KFC!$B$36*1.02*1.3+KFC!$C$36)*KFC!$C$5</f>
        <v>176.4906</v>
      </c>
      <c r="T104" s="194">
        <f>(139.2*KFC!$B$36*1.02*1.3+KFC!$C$36)*KFC!$C$5</f>
        <v>184.57919999999999</v>
      </c>
      <c r="U104" s="194">
        <f>(145.3*KFC!$B$36*1.02*1.3+KFC!$C$36)*KFC!$C$5</f>
        <v>192.66780000000003</v>
      </c>
      <c r="V104" s="194">
        <f>(151.4*KFC!$B$36*1.02*1.3+KFC!$C$36)*KFC!$C$5</f>
        <v>200.75640000000001</v>
      </c>
      <c r="W104" s="194">
        <f>(157.5*KFC!$B$36*1.02*1.3+KFC!$C$36)*KFC!$C$5</f>
        <v>208.84500000000003</v>
      </c>
      <c r="X104" s="194">
        <f>(163.6*KFC!$B$36*1.02*1.3+KFC!$C$36)*KFC!$C$5</f>
        <v>216.93359999999998</v>
      </c>
      <c r="Y104" s="194">
        <f>(169.8*KFC!$B$36*1.02*1.3+KFC!$C$36)*KFC!$C$5</f>
        <v>225.15480000000005</v>
      </c>
      <c r="Z104" s="194">
        <f>(175.9*KFC!$B$36*1.02*1.3+KFC!$C$36)*KFC!$C$5</f>
        <v>233.24340000000001</v>
      </c>
      <c r="AA104" s="195">
        <f>(182*KFC!$B$36*1.02*1.3+KFC!$C$36)*KFC!$C$5</f>
        <v>241.33200000000002</v>
      </c>
    </row>
    <row r="105" spans="1:27">
      <c r="A105" s="1781"/>
      <c r="B105" s="224">
        <v>2.7</v>
      </c>
      <c r="C105" s="247">
        <f>(36.2*KFC!$B$36*1.02*1.3+KFC!$C$36)*KFC!$C$5</f>
        <v>48.001200000000011</v>
      </c>
      <c r="D105" s="194">
        <f>(42.6*KFC!$B$36*1.02*1.3+KFC!$C$36)*KFC!$C$5</f>
        <v>56.487600000000008</v>
      </c>
      <c r="E105" s="194">
        <f>(48.9*KFC!$B$36*1.02*1.3+KFC!$C$36)*KFC!$C$5</f>
        <v>64.841400000000007</v>
      </c>
      <c r="F105" s="194">
        <f>(55.2*KFC!$B$36*1.02*1.3+KFC!$C$36)*KFC!$C$5</f>
        <v>73.1952</v>
      </c>
      <c r="G105" s="194">
        <f>(61.5*KFC!$B$36*1.02*1.3+KFC!$C$36)*KFC!$C$5</f>
        <v>81.549000000000007</v>
      </c>
      <c r="H105" s="194">
        <f>(67.9*KFC!$B$36*1.02*1.3+KFC!$C$36)*KFC!$C$5</f>
        <v>90.03540000000001</v>
      </c>
      <c r="I105" s="194">
        <f>(74.2*KFC!$B$36*1.02*1.3+KFC!$C$36)*KFC!$C$5</f>
        <v>98.389200000000002</v>
      </c>
      <c r="J105" s="194">
        <f>(80.6*KFC!$B$36*1.02*1.3+KFC!$C$36)*KFC!$C$5</f>
        <v>106.87559999999999</v>
      </c>
      <c r="K105" s="194">
        <f>(86.8*KFC!$B$36*1.02*1.3+KFC!$C$36)*KFC!$C$5</f>
        <v>115.0968</v>
      </c>
      <c r="L105" s="194">
        <f>(93.2*KFC!$B$36*1.02*1.3+KFC!$C$36)*KFC!$C$5</f>
        <v>123.58320000000002</v>
      </c>
      <c r="M105" s="194">
        <f>(99.6*KFC!$B$36*1.02*1.3+KFC!$C$36)*KFC!$C$5</f>
        <v>132.06960000000001</v>
      </c>
      <c r="N105" s="194">
        <f>(105.9*KFC!$B$36*1.02*1.3+KFC!$C$36)*KFC!$C$5</f>
        <v>140.42340000000002</v>
      </c>
      <c r="O105" s="194">
        <f>(112.1*KFC!$B$36*1.02*1.3+KFC!$C$36)*KFC!$C$5</f>
        <v>148.6446</v>
      </c>
      <c r="P105" s="194">
        <f>(118.5*KFC!$B$36*1.02*1.3+KFC!$C$36)*KFC!$C$5</f>
        <v>157.131</v>
      </c>
      <c r="Q105" s="194">
        <f>(124.9*KFC!$B$36*1.02*1.3+KFC!$C$36)*KFC!$C$5</f>
        <v>165.61740000000003</v>
      </c>
      <c r="R105" s="194">
        <f>(131.2*KFC!$B$36*1.02*1.3+KFC!$C$36)*KFC!$C$5</f>
        <v>173.97119999999998</v>
      </c>
      <c r="S105" s="194">
        <f>(137.6*KFC!$B$36*1.02*1.3+KFC!$C$36)*KFC!$C$5</f>
        <v>182.45760000000001</v>
      </c>
      <c r="T105" s="194">
        <f>(143.8*KFC!$B$36*1.02*1.3+KFC!$C$36)*KFC!$C$5</f>
        <v>190.67880000000002</v>
      </c>
      <c r="U105" s="194">
        <f>(150.2*KFC!$B$36*1.02*1.3+KFC!$C$36)*KFC!$C$5</f>
        <v>199.16519999999997</v>
      </c>
      <c r="V105" s="194">
        <f>(156.5*KFC!$B$36*1.02*1.3+KFC!$C$36)*KFC!$C$5</f>
        <v>207.51900000000001</v>
      </c>
      <c r="W105" s="194">
        <f>(162.9*KFC!$B$36*1.02*1.3+KFC!$C$36)*KFC!$C$5</f>
        <v>216.00540000000004</v>
      </c>
      <c r="X105" s="194">
        <f>(169.3*KFC!$B$36*1.02*1.3+KFC!$C$36)*KFC!$C$5</f>
        <v>224.49180000000001</v>
      </c>
      <c r="Y105" s="194">
        <f>(175.5*KFC!$B$36*1.02*1.3+KFC!$C$36)*KFC!$C$5</f>
        <v>232.71299999999999</v>
      </c>
      <c r="Z105" s="194">
        <f>(181.9*KFC!$B$36*1.02*1.3+KFC!$C$36)*KFC!$C$5</f>
        <v>241.19940000000003</v>
      </c>
      <c r="AA105" s="195">
        <f>(188.2*KFC!$B$36*1.02*1.3+KFC!$C$36)*KFC!$C$5</f>
        <v>249.5532</v>
      </c>
    </row>
    <row r="106" spans="1:27">
      <c r="A106" s="1781"/>
      <c r="B106" s="224">
        <v>2.8</v>
      </c>
      <c r="C106" s="247">
        <f>(37.2*KFC!$B$36*1.02*1.3+KFC!$C$36)*KFC!$C$5</f>
        <v>49.327200000000005</v>
      </c>
      <c r="D106" s="194">
        <f>(43.8*KFC!$B$36*1.02*1.3+KFC!$C$36)*KFC!$C$5</f>
        <v>58.078799999999994</v>
      </c>
      <c r="E106" s="194">
        <f>(50.3*KFC!$B$36*1.02*1.3+KFC!$C$36)*KFC!$C$5</f>
        <v>66.697800000000001</v>
      </c>
      <c r="F106" s="194">
        <f>(56.9*KFC!$B$36*1.02*1.3+KFC!$C$36)*KFC!$C$5</f>
        <v>75.449399999999997</v>
      </c>
      <c r="G106" s="194">
        <f>(63.4*KFC!$B$36*1.02*1.3+KFC!$C$36)*KFC!$C$5</f>
        <v>84.068400000000011</v>
      </c>
      <c r="H106" s="194">
        <f>(70*KFC!$B$36*1.02*1.3+KFC!$C$36)*KFC!$C$5</f>
        <v>92.820000000000007</v>
      </c>
      <c r="I106" s="194">
        <f>(76.4*KFC!$B$36*1.02*1.3+KFC!$C$36)*KFC!$C$5</f>
        <v>101.30640000000002</v>
      </c>
      <c r="J106" s="194">
        <f>(83*KFC!$B$36*1.02*1.3+KFC!$C$36)*KFC!$C$5</f>
        <v>110.05799999999999</v>
      </c>
      <c r="K106" s="194">
        <f>(89.6*KFC!$B$36*1.02*1.3+KFC!$C$36)*KFC!$C$5</f>
        <v>118.8096</v>
      </c>
      <c r="L106" s="194">
        <f>(96.1*KFC!$B$36*1.02*1.3+KFC!$C$36)*KFC!$C$5</f>
        <v>127.42859999999999</v>
      </c>
      <c r="M106" s="194">
        <f>(102.7*KFC!$B$36*1.02*1.3+KFC!$C$36)*KFC!$C$5</f>
        <v>136.18020000000001</v>
      </c>
      <c r="N106" s="194">
        <f>(109.2*KFC!$B$36*1.02*1.3+KFC!$C$36)*KFC!$C$5</f>
        <v>144.79920000000001</v>
      </c>
      <c r="O106" s="194">
        <f>(115.8*KFC!$B$36*1.02*1.3+KFC!$C$36)*KFC!$C$5</f>
        <v>153.55080000000001</v>
      </c>
      <c r="P106" s="194">
        <f>(122.3*KFC!$B$36*1.02*1.3+KFC!$C$36)*KFC!$C$5</f>
        <v>162.16980000000001</v>
      </c>
      <c r="Q106" s="194">
        <f>(128.9*KFC!$B$36*1.02*1.3+KFC!$C$36)*KFC!$C$5</f>
        <v>170.92140000000001</v>
      </c>
      <c r="R106" s="194">
        <f>(135.5*KFC!$B$36*1.02*1.3+KFC!$C$36)*KFC!$C$5</f>
        <v>179.67300000000003</v>
      </c>
      <c r="S106" s="194">
        <f>(142*KFC!$B$36*1.02*1.3+KFC!$C$36)*KFC!$C$5</f>
        <v>188.292</v>
      </c>
      <c r="T106" s="194">
        <f>(148.6*KFC!$B$36*1.02*1.3+KFC!$C$36)*KFC!$C$5</f>
        <v>197.0436</v>
      </c>
      <c r="U106" s="194">
        <f>(155.1*KFC!$B$36*1.02*1.3+KFC!$C$36)*KFC!$C$5</f>
        <v>205.6626</v>
      </c>
      <c r="V106" s="194">
        <f>(161.7*KFC!$B$36*1.02*1.3+KFC!$C$36)*KFC!$C$5</f>
        <v>214.41419999999999</v>
      </c>
      <c r="W106" s="194">
        <f>(168.2*KFC!$B$36*1.02*1.3+KFC!$C$36)*KFC!$C$5</f>
        <v>223.03319999999999</v>
      </c>
      <c r="X106" s="194">
        <f>(174.8*KFC!$B$36*1.02*1.3+KFC!$C$36)*KFC!$C$5</f>
        <v>231.78480000000005</v>
      </c>
      <c r="Y106" s="194">
        <f>(181.4*KFC!$B$36*1.02*1.3+KFC!$C$36)*KFC!$C$5</f>
        <v>240.53640000000004</v>
      </c>
      <c r="Z106" s="194">
        <f>(187.9*KFC!$B$36*1.02*1.3+KFC!$C$36)*KFC!$C$5</f>
        <v>249.15540000000001</v>
      </c>
      <c r="AA106" s="195">
        <f>(194.5*KFC!$B$36*1.02*1.3+KFC!$C$36)*KFC!$C$5</f>
        <v>257.90700000000004</v>
      </c>
    </row>
    <row r="107" spans="1:27">
      <c r="A107" s="1781"/>
      <c r="B107" s="224">
        <v>2.9</v>
      </c>
      <c r="C107" s="247">
        <f>(38.2*KFC!$B$36*1.02*1.3+KFC!$C$36)*KFC!$C$5</f>
        <v>50.653200000000012</v>
      </c>
      <c r="D107" s="194">
        <f>(44.9*KFC!$B$36*1.02*1.3+KFC!$C$36)*KFC!$C$5</f>
        <v>59.537400000000005</v>
      </c>
      <c r="E107" s="194">
        <f>(51.7*KFC!$B$36*1.02*1.3+KFC!$C$36)*KFC!$C$5</f>
        <v>68.554200000000009</v>
      </c>
      <c r="F107" s="194">
        <f>(58.5*KFC!$B$36*1.02*1.3+KFC!$C$36)*KFC!$C$5</f>
        <v>77.570999999999998</v>
      </c>
      <c r="G107" s="194">
        <f>(65.2*KFC!$B$36*1.02*1.3+KFC!$C$36)*KFC!$C$5</f>
        <v>86.455200000000005</v>
      </c>
      <c r="H107" s="194">
        <f>(72*KFC!$B$36*1.02*1.3+KFC!$C$36)*KFC!$C$5</f>
        <v>95.471999999999994</v>
      </c>
      <c r="I107" s="194">
        <f>(78.8*KFC!$B$36*1.02*1.3+KFC!$C$36)*KFC!$C$5</f>
        <v>104.48880000000001</v>
      </c>
      <c r="J107" s="194">
        <f>(85.6*KFC!$B$36*1.02*1.3+KFC!$C$36)*KFC!$C$5</f>
        <v>113.5056</v>
      </c>
      <c r="K107" s="194">
        <f>(92.3*KFC!$B$36*1.02*1.3+KFC!$C$36)*KFC!$C$5</f>
        <v>122.38980000000001</v>
      </c>
      <c r="L107" s="194">
        <f>(99.1*KFC!$B$36*1.02*1.3+KFC!$C$36)*KFC!$C$5</f>
        <v>131.4066</v>
      </c>
      <c r="M107" s="194">
        <f>(105.9*KFC!$B$36*1.02*1.3+KFC!$C$36)*KFC!$C$5</f>
        <v>140.42340000000002</v>
      </c>
      <c r="N107" s="194">
        <f>(112.6*KFC!$B$36*1.02*1.3+KFC!$C$36)*KFC!$C$5</f>
        <v>149.30759999999998</v>
      </c>
      <c r="O107" s="194">
        <f>(119.4*KFC!$B$36*1.02*1.3+KFC!$C$36)*KFC!$C$5</f>
        <v>158.32440000000003</v>
      </c>
      <c r="P107" s="194">
        <f>(126.2*KFC!$B$36*1.02*1.3+KFC!$C$36)*KFC!$C$5</f>
        <v>167.34120000000004</v>
      </c>
      <c r="Q107" s="194">
        <f>(132.9*KFC!$B$36*1.02*1.3+KFC!$C$36)*KFC!$C$5</f>
        <v>176.22540000000004</v>
      </c>
      <c r="R107" s="194">
        <f>(139.7*KFC!$B$36*1.02*1.3+KFC!$C$36)*KFC!$C$5</f>
        <v>185.2422</v>
      </c>
      <c r="S107" s="194">
        <f>(146.5*KFC!$B$36*1.02*1.3+KFC!$C$36)*KFC!$C$5</f>
        <v>194.25900000000001</v>
      </c>
      <c r="T107" s="194">
        <f>(153.2*KFC!$B$36*1.02*1.3+KFC!$C$36)*KFC!$C$5</f>
        <v>203.14319999999998</v>
      </c>
      <c r="U107" s="194">
        <f>(160*KFC!$B$36*1.02*1.3+KFC!$C$36)*KFC!$C$5</f>
        <v>212.16</v>
      </c>
      <c r="V107" s="194">
        <f>(166.8*KFC!$B$36*1.02*1.3+KFC!$C$36)*KFC!$C$5</f>
        <v>221.17680000000004</v>
      </c>
      <c r="W107" s="194">
        <f>(173.5*KFC!$B$36*1.02*1.3+KFC!$C$36)*KFC!$C$5</f>
        <v>230.06100000000001</v>
      </c>
      <c r="X107" s="194">
        <f>(180.4*KFC!$B$36*1.02*1.3+KFC!$C$36)*KFC!$C$5</f>
        <v>239.21040000000002</v>
      </c>
      <c r="Y107" s="194">
        <f>(187.1*KFC!$B$36*1.02*1.3+KFC!$C$36)*KFC!$C$5</f>
        <v>248.09459999999999</v>
      </c>
      <c r="Z107" s="194">
        <f>(193.8*KFC!$B$36*1.02*1.3+KFC!$C$36)*KFC!$C$5</f>
        <v>256.97880000000004</v>
      </c>
      <c r="AA107" s="195">
        <f>(200.7*KFC!$B$36*1.02*1.3+KFC!$C$36)*KFC!$C$5</f>
        <v>266.12819999999999</v>
      </c>
    </row>
    <row r="108" spans="1:27">
      <c r="A108" s="1781"/>
      <c r="B108" s="224">
        <v>3</v>
      </c>
      <c r="C108" s="247">
        <f>(39.1*KFC!$B$36*1.02*1.3+KFC!$C$36)*KFC!$C$5</f>
        <v>51.846600000000009</v>
      </c>
      <c r="D108" s="194">
        <f>(46.1*KFC!$B$36*1.02*1.3+KFC!$C$36)*KFC!$C$5</f>
        <v>61.128600000000006</v>
      </c>
      <c r="E108" s="194">
        <f>(53.1*KFC!$B$36*1.02*1.3+KFC!$C$36)*KFC!$C$5</f>
        <v>70.410600000000002</v>
      </c>
      <c r="F108" s="194">
        <f>(60*KFC!$B$36*1.02*1.3+KFC!$C$36)*KFC!$C$5</f>
        <v>79.56</v>
      </c>
      <c r="G108" s="194">
        <f>(67.1*KFC!$B$36*1.02*1.3+KFC!$C$36)*KFC!$C$5</f>
        <v>88.974599999999995</v>
      </c>
      <c r="H108" s="194">
        <f>(74.1*KFC!$B$36*1.02*1.3+KFC!$C$36)*KFC!$C$5</f>
        <v>98.256599999999992</v>
      </c>
      <c r="I108" s="194">
        <f>(81.1*KFC!$B$36*1.02*1.3+KFC!$C$36)*KFC!$C$5</f>
        <v>107.5386</v>
      </c>
      <c r="J108" s="194">
        <f>(88.1*KFC!$B$36*1.02*1.3+KFC!$C$36)*KFC!$C$5</f>
        <v>116.8206</v>
      </c>
      <c r="K108" s="194">
        <f>(95*KFC!$B$36*1.02*1.3+KFC!$C$36)*KFC!$C$5</f>
        <v>125.97000000000001</v>
      </c>
      <c r="L108" s="194">
        <f>(102*KFC!$B$36*1.02*1.3+KFC!$C$36)*KFC!$C$5</f>
        <v>135.25200000000001</v>
      </c>
      <c r="M108" s="194">
        <f>(109*KFC!$B$36*1.02*1.3+KFC!$C$36)*KFC!$C$5</f>
        <v>144.53400000000002</v>
      </c>
      <c r="N108" s="194">
        <f>(116.1*KFC!$B$36*1.02*1.3+KFC!$C$36)*KFC!$C$5</f>
        <v>153.9486</v>
      </c>
      <c r="O108" s="194">
        <f>(123*KFC!$B$36*1.02*1.3+KFC!$C$36)*KFC!$C$5</f>
        <v>163.09800000000001</v>
      </c>
      <c r="P108" s="194">
        <f>(130*KFC!$B$36*1.02*1.3+KFC!$C$36)*KFC!$C$5</f>
        <v>172.38</v>
      </c>
      <c r="Q108" s="194">
        <f>(137*KFC!$B$36*1.02*1.3+KFC!$C$36)*KFC!$C$5</f>
        <v>181.66200000000001</v>
      </c>
      <c r="R108" s="194">
        <f>(143.9*KFC!$B$36*1.02*1.3+KFC!$C$36)*KFC!$C$5</f>
        <v>190.81140000000002</v>
      </c>
      <c r="S108" s="194">
        <f>(150.9*KFC!$B$36*1.02*1.3+KFC!$C$36)*KFC!$C$5</f>
        <v>200.0934</v>
      </c>
      <c r="T108" s="194">
        <f>(157.9*KFC!$B$36*1.02*1.3+KFC!$C$36)*KFC!$C$5</f>
        <v>209.37540000000004</v>
      </c>
      <c r="U108" s="194">
        <f>(165*KFC!$B$36*1.02*1.3+KFC!$C$36)*KFC!$C$5</f>
        <v>218.79000000000002</v>
      </c>
      <c r="V108" s="194">
        <f>(172*KFC!$B$36*1.02*1.3+KFC!$C$36)*KFC!$C$5</f>
        <v>228.072</v>
      </c>
      <c r="W108" s="194">
        <f>(178.9*KFC!$B$36*1.02*1.3+KFC!$C$36)*KFC!$C$5</f>
        <v>237.22140000000002</v>
      </c>
      <c r="X108" s="194">
        <f>(185.9*KFC!$B$36*1.02*1.3+KFC!$C$36)*KFC!$C$5</f>
        <v>246.5034</v>
      </c>
      <c r="Y108" s="194">
        <f>(192.9*KFC!$B$36*1.02*1.3+KFC!$C$36)*KFC!$C$5</f>
        <v>255.78540000000001</v>
      </c>
      <c r="Z108" s="194">
        <f>(199.8*KFC!$B$36*1.02*1.3+KFC!$C$36)*KFC!$C$5</f>
        <v>264.93480000000005</v>
      </c>
      <c r="AA108" s="195">
        <f>(206.8*KFC!$B$36*1.02*1.3+KFC!$C$36)*KFC!$C$5</f>
        <v>274.21680000000003</v>
      </c>
    </row>
    <row r="109" spans="1:27">
      <c r="A109" s="1781"/>
      <c r="B109" s="224">
        <v>3.1</v>
      </c>
      <c r="C109" s="247">
        <f>(40.1*KFC!$B$36*1.02*1.3+KFC!$C$36)*KFC!$C$5</f>
        <v>53.172600000000003</v>
      </c>
      <c r="D109" s="194">
        <f>(47.3*KFC!$B$36*1.02*1.3+KFC!$C$36)*KFC!$C$5</f>
        <v>62.719799999999999</v>
      </c>
      <c r="E109" s="194">
        <f>(54.5*KFC!$B$36*1.02*1.3+KFC!$C$36)*KFC!$C$5</f>
        <v>72.26700000000001</v>
      </c>
      <c r="F109" s="194">
        <f>(61.8*KFC!$B$36*1.02*1.3+KFC!$C$36)*KFC!$C$5</f>
        <v>81.94680000000001</v>
      </c>
      <c r="G109" s="194">
        <f>(69*KFC!$B$36*1.02*1.3+KFC!$C$36)*KFC!$C$5</f>
        <v>91.494</v>
      </c>
      <c r="H109" s="194">
        <f>(76.2*KFC!$B$36*1.02*1.3+KFC!$C$36)*KFC!$C$5</f>
        <v>101.0412</v>
      </c>
      <c r="I109" s="194">
        <f>(83.4*KFC!$B$36*1.02*1.3+KFC!$C$36)*KFC!$C$5</f>
        <v>110.58840000000002</v>
      </c>
      <c r="J109" s="194">
        <f>(90.6*KFC!$B$36*1.02*1.3+KFC!$C$36)*KFC!$C$5</f>
        <v>120.1356</v>
      </c>
      <c r="K109" s="194">
        <f>(97.7*KFC!$B$36*1.02*1.3+KFC!$C$36)*KFC!$C$5</f>
        <v>129.55020000000002</v>
      </c>
      <c r="L109" s="194">
        <f>(104.9*KFC!$B$36*1.02*1.3+KFC!$C$36)*KFC!$C$5</f>
        <v>139.09740000000002</v>
      </c>
      <c r="M109" s="194">
        <f>(112.1*KFC!$B$36*1.02*1.3+KFC!$C$36)*KFC!$C$5</f>
        <v>148.6446</v>
      </c>
      <c r="N109" s="194">
        <f>(119.4*KFC!$B$36*1.02*1.3+KFC!$C$36)*KFC!$C$5</f>
        <v>158.32440000000003</v>
      </c>
      <c r="O109" s="194">
        <f>(126.6*KFC!$B$36*1.02*1.3+KFC!$C$36)*KFC!$C$5</f>
        <v>167.8716</v>
      </c>
      <c r="P109" s="194">
        <f>(133.8*KFC!$B$36*1.02*1.3+KFC!$C$36)*KFC!$C$5</f>
        <v>177.41880000000003</v>
      </c>
      <c r="Q109" s="194">
        <f>(141*KFC!$B$36*1.02*1.3+KFC!$C$36)*KFC!$C$5</f>
        <v>186.96600000000001</v>
      </c>
      <c r="R109" s="194">
        <f>(148.2*KFC!$B$36*1.02*1.3+KFC!$C$36)*KFC!$C$5</f>
        <v>196.51319999999998</v>
      </c>
      <c r="S109" s="194">
        <f>(155.4*KFC!$B$36*1.02*1.3+KFC!$C$36)*KFC!$C$5</f>
        <v>206.06040000000002</v>
      </c>
      <c r="T109" s="194">
        <f>(162.7*KFC!$B$36*1.02*1.3+KFC!$C$36)*KFC!$C$5</f>
        <v>215.74019999999999</v>
      </c>
      <c r="U109" s="194">
        <f>(169.9*KFC!$B$36*1.02*1.3+KFC!$C$36)*KFC!$C$5</f>
        <v>225.28740000000002</v>
      </c>
      <c r="V109" s="194">
        <f>(177.1*KFC!$B$36*1.02*1.3+KFC!$C$36)*KFC!$C$5</f>
        <v>234.83459999999999</v>
      </c>
      <c r="W109" s="194">
        <f>(184.3*KFC!$B$36*1.02*1.3+KFC!$C$36)*KFC!$C$5</f>
        <v>244.38180000000003</v>
      </c>
      <c r="X109" s="194">
        <f>(191.5*KFC!$B$36*1.02*1.3+KFC!$C$36)*KFC!$C$5</f>
        <v>253.92900000000003</v>
      </c>
      <c r="Y109" s="194">
        <f>(198.6*KFC!$B$36*1.02*1.3+KFC!$C$36)*KFC!$C$5</f>
        <v>263.34360000000004</v>
      </c>
      <c r="Z109" s="194">
        <f>(205.8*KFC!$B$36*1.02*1.3+KFC!$C$36)*KFC!$C$5</f>
        <v>272.89080000000007</v>
      </c>
      <c r="AA109" s="195">
        <f>(213*KFC!$B$36*1.02*1.3+KFC!$C$36)*KFC!$C$5</f>
        <v>282.43799999999999</v>
      </c>
    </row>
    <row r="110" spans="1:27">
      <c r="A110" s="1781"/>
      <c r="B110" s="224">
        <v>3.2</v>
      </c>
      <c r="C110" s="247">
        <f>(41.1*KFC!$B$36*1.02*1.3+KFC!$C$36)*KFC!$C$5</f>
        <v>54.49860000000001</v>
      </c>
      <c r="D110" s="194">
        <f>(48.6*KFC!$B$36*1.02*1.3+KFC!$C$36)*KFC!$C$5</f>
        <v>64.443600000000004</v>
      </c>
      <c r="E110" s="194">
        <f>(55.9*KFC!$B$36*1.02*1.3+KFC!$C$36)*KFC!$C$5</f>
        <v>74.123400000000004</v>
      </c>
      <c r="F110" s="194">
        <f>(63.4*KFC!$B$36*1.02*1.3+KFC!$C$36)*KFC!$C$5</f>
        <v>84.068400000000011</v>
      </c>
      <c r="G110" s="194">
        <f>(70.8*KFC!$B$36*1.02*1.3+KFC!$C$36)*KFC!$C$5</f>
        <v>93.880799999999994</v>
      </c>
      <c r="H110" s="194">
        <f>(78.3*KFC!$B$36*1.02*1.3+KFC!$C$36)*KFC!$C$5</f>
        <v>103.8258</v>
      </c>
      <c r="I110" s="194">
        <f>(85.6*KFC!$B$36*1.02*1.3+KFC!$C$36)*KFC!$C$5</f>
        <v>113.5056</v>
      </c>
      <c r="J110" s="194">
        <f>(93.1*KFC!$B$36*1.02*1.3+KFC!$C$36)*KFC!$C$5</f>
        <v>123.45059999999999</v>
      </c>
      <c r="K110" s="194">
        <f>(100.5*KFC!$B$36*1.02*1.3+KFC!$C$36)*KFC!$C$5</f>
        <v>133.26300000000001</v>
      </c>
      <c r="L110" s="194">
        <f>(107.9*KFC!$B$36*1.02*1.3+KFC!$C$36)*KFC!$C$5</f>
        <v>143.0754</v>
      </c>
      <c r="M110" s="194">
        <f>(115.3*KFC!$B$36*1.02*1.3+KFC!$C$36)*KFC!$C$5</f>
        <v>152.8878</v>
      </c>
      <c r="N110" s="194">
        <f>(122.8*KFC!$B$36*1.02*1.3+KFC!$C$36)*KFC!$C$5</f>
        <v>162.83279999999999</v>
      </c>
      <c r="O110" s="194">
        <f>(130.2*KFC!$B$36*1.02*1.3+KFC!$C$36)*KFC!$C$5</f>
        <v>172.64520000000002</v>
      </c>
      <c r="P110" s="194">
        <f>(137.6*KFC!$B$36*1.02*1.3+KFC!$C$36)*KFC!$C$5</f>
        <v>182.45760000000001</v>
      </c>
      <c r="Q110" s="194">
        <f>(145*KFC!$B$36*1.02*1.3+KFC!$C$36)*KFC!$C$5</f>
        <v>192.27</v>
      </c>
      <c r="R110" s="194">
        <f>(152.5*KFC!$B$36*1.02*1.3+KFC!$C$36)*KFC!$C$5</f>
        <v>202.21500000000003</v>
      </c>
      <c r="S110" s="194">
        <f>(159.8*KFC!$B$36*1.02*1.3+KFC!$C$36)*KFC!$C$5</f>
        <v>211.89480000000003</v>
      </c>
      <c r="T110" s="194">
        <f>(167.3*KFC!$B$36*1.02*1.3+KFC!$C$36)*KFC!$C$5</f>
        <v>221.83980000000003</v>
      </c>
      <c r="U110" s="194">
        <f>(174.8*KFC!$B$36*1.02*1.3+KFC!$C$36)*KFC!$C$5</f>
        <v>231.78480000000005</v>
      </c>
      <c r="V110" s="194">
        <f>(182.2*KFC!$B$36*1.02*1.3+KFC!$C$36)*KFC!$C$5</f>
        <v>241.59719999999999</v>
      </c>
      <c r="W110" s="194">
        <f>(189.6*KFC!$B$36*1.02*1.3+KFC!$C$36)*KFC!$C$5</f>
        <v>251.40960000000001</v>
      </c>
      <c r="X110" s="194">
        <f>(197*KFC!$B$36*1.02*1.3+KFC!$C$36)*KFC!$C$5</f>
        <v>261.22199999999998</v>
      </c>
      <c r="Y110" s="194">
        <f>(204.5*KFC!$B$36*1.02*1.3+KFC!$C$36)*KFC!$C$5</f>
        <v>271.16700000000003</v>
      </c>
      <c r="Z110" s="194">
        <f>(211.8*KFC!$B$36*1.02*1.3+KFC!$C$36)*KFC!$C$5</f>
        <v>280.84680000000003</v>
      </c>
      <c r="AA110" s="195">
        <f>(219.3*KFC!$B$36*1.02*1.3+KFC!$C$36)*KFC!$C$5</f>
        <v>290.79180000000002</v>
      </c>
    </row>
    <row r="111" spans="1:27">
      <c r="A111" s="1781"/>
      <c r="B111" s="224">
        <v>3.3</v>
      </c>
      <c r="C111" s="247">
        <f>(42.1*KFC!$B$36*1.02*1.3+KFC!$C$36)*KFC!$C$5</f>
        <v>55.824600000000004</v>
      </c>
      <c r="D111" s="194">
        <f>(49.8*KFC!$B$36*1.02*1.3+KFC!$C$36)*KFC!$C$5</f>
        <v>66.034800000000004</v>
      </c>
      <c r="E111" s="194">
        <f>(57.4*KFC!$B$36*1.02*1.3+KFC!$C$36)*KFC!$C$5</f>
        <v>76.112400000000008</v>
      </c>
      <c r="F111" s="194">
        <f>(65.1*KFC!$B$36*1.02*1.3+KFC!$C$36)*KFC!$C$5</f>
        <v>86.322600000000008</v>
      </c>
      <c r="G111" s="194">
        <f>(72.6*KFC!$B$36*1.02*1.3+KFC!$C$36)*KFC!$C$5</f>
        <v>96.267599999999987</v>
      </c>
      <c r="H111" s="194">
        <f>(80.4*KFC!$B$36*1.02*1.3+KFC!$C$36)*KFC!$C$5</f>
        <v>106.61040000000001</v>
      </c>
      <c r="I111" s="194">
        <f>(87.9*KFC!$B$36*1.02*1.3+KFC!$C$36)*KFC!$C$5</f>
        <v>116.55540000000001</v>
      </c>
      <c r="J111" s="194">
        <f>(95.5*KFC!$B$36*1.02*1.3+KFC!$C$36)*KFC!$C$5</f>
        <v>126.633</v>
      </c>
      <c r="K111" s="194">
        <f>(103.2*KFC!$B$36*1.02*1.3+KFC!$C$36)*KFC!$C$5</f>
        <v>136.84320000000002</v>
      </c>
      <c r="L111" s="194">
        <f>(110.9*KFC!$B$36*1.02*1.3+KFC!$C$36)*KFC!$C$5</f>
        <v>147.05340000000001</v>
      </c>
      <c r="M111" s="194">
        <f>(118.5*KFC!$B$36*1.02*1.3+KFC!$C$36)*KFC!$C$5</f>
        <v>157.131</v>
      </c>
      <c r="N111" s="194">
        <f>(126.2*KFC!$B$36*1.02*1.3+KFC!$C$36)*KFC!$C$5</f>
        <v>167.34120000000004</v>
      </c>
      <c r="O111" s="194">
        <f>(133.8*KFC!$B$36*1.02*1.3+KFC!$C$36)*KFC!$C$5</f>
        <v>177.41880000000003</v>
      </c>
      <c r="P111" s="194">
        <f>(141.5*KFC!$B$36*1.02*1.3+KFC!$C$36)*KFC!$C$5</f>
        <v>187.62900000000002</v>
      </c>
      <c r="Q111" s="194">
        <f>(149.1*KFC!$B$36*1.02*1.3+KFC!$C$36)*KFC!$C$5</f>
        <v>197.70660000000001</v>
      </c>
      <c r="R111" s="194">
        <f>(156.8*KFC!$B$36*1.02*1.3+KFC!$C$36)*KFC!$C$5</f>
        <v>207.91680000000002</v>
      </c>
      <c r="S111" s="194">
        <f>(164.4*KFC!$B$36*1.02*1.3+KFC!$C$36)*KFC!$C$5</f>
        <v>217.99440000000004</v>
      </c>
      <c r="T111" s="194">
        <f>(172.1*KFC!$B$36*1.02*1.3+KFC!$C$36)*KFC!$C$5</f>
        <v>228.2046</v>
      </c>
      <c r="U111" s="194">
        <f>(179.7*KFC!$B$36*1.02*1.3+KFC!$C$36)*KFC!$C$5</f>
        <v>238.28219999999999</v>
      </c>
      <c r="V111" s="194">
        <f>(187.4*KFC!$B$36*1.02*1.3+KFC!$C$36)*KFC!$C$5</f>
        <v>248.4924</v>
      </c>
      <c r="W111" s="194">
        <f>(194.9*KFC!$B$36*1.02*1.3+KFC!$C$36)*KFC!$C$5</f>
        <v>258.43740000000003</v>
      </c>
      <c r="X111" s="194">
        <f>(202.7*KFC!$B$36*1.02*1.3+KFC!$C$36)*KFC!$C$5</f>
        <v>268.78019999999998</v>
      </c>
      <c r="Y111" s="194">
        <f>(210.2*KFC!$B$36*1.02*1.3+KFC!$C$36)*KFC!$C$5</f>
        <v>278.72520000000003</v>
      </c>
      <c r="Z111" s="194">
        <f>(217.9*KFC!$B$36*1.02*1.3+KFC!$C$36)*KFC!$C$5</f>
        <v>288.93540000000002</v>
      </c>
      <c r="AA111" s="195">
        <f>(225.5*KFC!$B$36*1.02*1.3+KFC!$C$36)*KFC!$C$5</f>
        <v>299.01299999999998</v>
      </c>
    </row>
    <row r="112" spans="1:27">
      <c r="A112" s="1781"/>
      <c r="B112" s="224">
        <v>3.4</v>
      </c>
      <c r="C112" s="247">
        <f>(43*KFC!$B$36*1.02*1.3+KFC!$C$36)*KFC!$C$5</f>
        <v>57.018000000000001</v>
      </c>
      <c r="D112" s="194">
        <f>(50.9*KFC!$B$36*1.02*1.3+KFC!$C$36)*KFC!$C$5</f>
        <v>67.493400000000008</v>
      </c>
      <c r="E112" s="194">
        <f>(58.8*KFC!$B$36*1.02*1.3+KFC!$C$36)*KFC!$C$5</f>
        <v>77.968800000000002</v>
      </c>
      <c r="F112" s="194">
        <f>(66.7*KFC!$B$36*1.02*1.3+KFC!$C$36)*KFC!$C$5</f>
        <v>88.444200000000009</v>
      </c>
      <c r="G112" s="194">
        <f>(74.5*KFC!$B$36*1.02*1.3+KFC!$C$36)*KFC!$C$5</f>
        <v>98.786999999999992</v>
      </c>
      <c r="H112" s="194">
        <f>(82.3*KFC!$B$36*1.02*1.3+KFC!$C$36)*KFC!$C$5</f>
        <v>109.1298</v>
      </c>
      <c r="I112" s="194">
        <f>(90.3*KFC!$B$36*1.02*1.3+KFC!$C$36)*KFC!$C$5</f>
        <v>119.73779999999999</v>
      </c>
      <c r="J112" s="194">
        <f>(98.1*KFC!$B$36*1.02*1.3+KFC!$C$36)*KFC!$C$5</f>
        <v>130.0806</v>
      </c>
      <c r="K112" s="194">
        <f>(105.9*KFC!$B$36*1.02*1.3+KFC!$C$36)*KFC!$C$5</f>
        <v>140.42340000000002</v>
      </c>
      <c r="L112" s="194">
        <f>(113.9*KFC!$B$36*1.02*1.3+KFC!$C$36)*KFC!$C$5</f>
        <v>151.03140000000002</v>
      </c>
      <c r="M112" s="194">
        <f>(121.7*KFC!$B$36*1.02*1.3+KFC!$C$36)*KFC!$C$5</f>
        <v>161.3742</v>
      </c>
      <c r="N112" s="194">
        <f>(129.5*KFC!$B$36*1.02*1.3+KFC!$C$36)*KFC!$C$5</f>
        <v>171.71700000000001</v>
      </c>
      <c r="O112" s="194">
        <f>(137.3*KFC!$B$36*1.02*1.3+KFC!$C$36)*KFC!$C$5</f>
        <v>182.05980000000002</v>
      </c>
      <c r="P112" s="194">
        <f>(145.3*KFC!$B$36*1.02*1.3+KFC!$C$36)*KFC!$C$5</f>
        <v>192.66780000000003</v>
      </c>
      <c r="Q112" s="194">
        <f>(153.1*KFC!$B$36*1.02*1.3+KFC!$C$36)*KFC!$C$5</f>
        <v>203.01060000000001</v>
      </c>
      <c r="R112" s="194">
        <f>(160.9*KFC!$B$36*1.02*1.3+KFC!$C$36)*KFC!$C$5</f>
        <v>213.35339999999999</v>
      </c>
      <c r="S112" s="194">
        <f>(168.9*KFC!$B$36*1.02*1.3+KFC!$C$36)*KFC!$C$5</f>
        <v>223.96140000000003</v>
      </c>
      <c r="T112" s="194">
        <f>(176.7*KFC!$B$36*1.02*1.3+KFC!$C$36)*KFC!$C$5</f>
        <v>234.30419999999998</v>
      </c>
      <c r="U112" s="194">
        <f>(184.6*KFC!$B$36*1.02*1.3+KFC!$C$36)*KFC!$C$5</f>
        <v>244.77960000000002</v>
      </c>
      <c r="V112" s="194">
        <f>(192.4*KFC!$B$36*1.02*1.3+KFC!$C$36)*KFC!$C$5</f>
        <v>255.12240000000003</v>
      </c>
      <c r="W112" s="194">
        <f>(200.3*KFC!$B$36*1.02*1.3+KFC!$C$36)*KFC!$C$5</f>
        <v>265.59780000000001</v>
      </c>
      <c r="X112" s="194">
        <f>(208.2*KFC!$B$36*1.02*1.3+KFC!$C$36)*KFC!$C$5</f>
        <v>276.07320000000004</v>
      </c>
      <c r="Y112" s="194">
        <f>(216*KFC!$B$36*1.02*1.3+KFC!$C$36)*KFC!$C$5</f>
        <v>286.416</v>
      </c>
      <c r="Z112" s="194">
        <f>(223.9*KFC!$B$36*1.02*1.3+KFC!$C$36)*KFC!$C$5</f>
        <v>296.89140000000003</v>
      </c>
      <c r="AA112" s="195">
        <f>(231.8*KFC!$B$36*1.02*1.3+KFC!$C$36)*KFC!$C$5</f>
        <v>307.36680000000001</v>
      </c>
    </row>
    <row r="113" spans="1:27">
      <c r="A113" s="1781"/>
      <c r="B113" s="224">
        <v>3.5</v>
      </c>
      <c r="C113" s="247">
        <f>(44*KFC!$B$36*1.02*1.3+KFC!$C$36)*KFC!$C$5</f>
        <v>58.344000000000008</v>
      </c>
      <c r="D113" s="194">
        <f>(52.1*KFC!$B$36*1.02*1.3+KFC!$C$36)*KFC!$C$5</f>
        <v>69.084600000000009</v>
      </c>
      <c r="E113" s="194">
        <f>(60.2*KFC!$B$36*1.02*1.3+KFC!$C$36)*KFC!$C$5</f>
        <v>79.825200000000009</v>
      </c>
      <c r="F113" s="194">
        <f>(68.2*KFC!$B$36*1.02*1.3+KFC!$C$36)*KFC!$C$5</f>
        <v>90.433200000000014</v>
      </c>
      <c r="G113" s="194">
        <f>(76.3*KFC!$B$36*1.02*1.3+KFC!$C$36)*KFC!$C$5</f>
        <v>101.1738</v>
      </c>
      <c r="H113" s="194">
        <f>(84.4*KFC!$B$36*1.02*1.3+KFC!$C$36)*KFC!$C$5</f>
        <v>111.91440000000001</v>
      </c>
      <c r="I113" s="194">
        <f>(92.5*KFC!$B$36*1.02*1.3+KFC!$C$36)*KFC!$C$5</f>
        <v>122.65500000000002</v>
      </c>
      <c r="J113" s="194">
        <f>(100.5*KFC!$B$36*1.02*1.3+KFC!$C$36)*KFC!$C$5</f>
        <v>133.26300000000001</v>
      </c>
      <c r="K113" s="194">
        <f>(108.7*KFC!$B$36*1.02*1.3+KFC!$C$36)*KFC!$C$5</f>
        <v>144.13620000000003</v>
      </c>
      <c r="L113" s="194">
        <f>(116.8*KFC!$B$36*1.02*1.3+KFC!$C$36)*KFC!$C$5</f>
        <v>154.8768</v>
      </c>
      <c r="M113" s="194">
        <f>(124.9*KFC!$B$36*1.02*1.3+KFC!$C$36)*KFC!$C$5</f>
        <v>165.61740000000003</v>
      </c>
      <c r="N113" s="194">
        <f>(132.9*KFC!$B$36*1.02*1.3+KFC!$C$36)*KFC!$C$5</f>
        <v>176.22540000000004</v>
      </c>
      <c r="O113" s="194">
        <f>(141*KFC!$B$36*1.02*1.3+KFC!$C$36)*KFC!$C$5</f>
        <v>186.96600000000001</v>
      </c>
      <c r="P113" s="194">
        <f>(149.1*KFC!$B$36*1.02*1.3+KFC!$C$36)*KFC!$C$5</f>
        <v>197.70660000000001</v>
      </c>
      <c r="Q113" s="194">
        <f>(157.2*KFC!$B$36*1.02*1.3+KFC!$C$36)*KFC!$C$5</f>
        <v>208.44720000000001</v>
      </c>
      <c r="R113" s="194">
        <f>(165.2*KFC!$B$36*1.02*1.3+KFC!$C$36)*KFC!$C$5</f>
        <v>219.05519999999999</v>
      </c>
      <c r="S113" s="194">
        <f>(173.3*KFC!$B$36*1.02*1.3+KFC!$C$36)*KFC!$C$5</f>
        <v>229.79580000000004</v>
      </c>
      <c r="T113" s="194">
        <f>(181.4*KFC!$B$36*1.02*1.3+KFC!$C$36)*KFC!$C$5</f>
        <v>240.53640000000004</v>
      </c>
      <c r="U113" s="194">
        <f>(189.4*KFC!$B$36*1.02*1.3+KFC!$C$36)*KFC!$C$5</f>
        <v>251.14440000000002</v>
      </c>
      <c r="V113" s="194">
        <f>(197.5*KFC!$B$36*1.02*1.3+KFC!$C$36)*KFC!$C$5</f>
        <v>261.88500000000005</v>
      </c>
      <c r="W113" s="194">
        <f>(205.6*KFC!$B$36*1.02*1.3+KFC!$C$36)*KFC!$C$5</f>
        <v>272.62560000000002</v>
      </c>
      <c r="X113" s="194">
        <f>(213.8*KFC!$B$36*1.02*1.3+KFC!$C$36)*KFC!$C$5</f>
        <v>283.49880000000002</v>
      </c>
      <c r="Y113" s="194">
        <f>(221.9*KFC!$B$36*1.02*1.3+KFC!$C$36)*KFC!$C$5</f>
        <v>294.23940000000005</v>
      </c>
      <c r="Z113" s="194">
        <f>(229.9*KFC!$B$36*1.02*1.3+KFC!$C$36)*KFC!$C$5</f>
        <v>304.84740000000005</v>
      </c>
      <c r="AA113" s="195">
        <f>(238*KFC!$B$36*1.02*1.3+KFC!$C$36)*KFC!$C$5</f>
        <v>315.58800000000002</v>
      </c>
    </row>
    <row r="114" spans="1:27">
      <c r="A114" s="1781"/>
      <c r="B114" s="224">
        <v>3.6</v>
      </c>
      <c r="C114" s="247">
        <f>(45*KFC!$B$36*1.02*1.3+KFC!$C$36)*KFC!$C$5</f>
        <v>59.67</v>
      </c>
      <c r="D114" s="194">
        <f>(53.3*KFC!$B$36*1.02*1.3+KFC!$C$36)*KFC!$C$5</f>
        <v>70.675799999999995</v>
      </c>
      <c r="E114" s="194">
        <f>(61.6*KFC!$B$36*1.02*1.3+KFC!$C$36)*KFC!$C$5</f>
        <v>81.681600000000003</v>
      </c>
      <c r="F114" s="194">
        <f>(70*KFC!$B$36*1.02*1.3+KFC!$C$36)*KFC!$C$5</f>
        <v>92.820000000000007</v>
      </c>
      <c r="G114" s="194">
        <f>(78.1*KFC!$B$36*1.02*1.3+KFC!$C$36)*KFC!$C$5</f>
        <v>103.56059999999999</v>
      </c>
      <c r="H114" s="194">
        <f>(86.5*KFC!$B$36*1.02*1.3+KFC!$C$36)*KFC!$C$5</f>
        <v>114.69900000000001</v>
      </c>
      <c r="I114" s="194">
        <f>(94.8*KFC!$B$36*1.02*1.3+KFC!$C$36)*KFC!$C$5</f>
        <v>125.70480000000001</v>
      </c>
      <c r="J114" s="194">
        <f>(103.1*KFC!$B$36*1.02*1.3+KFC!$C$36)*KFC!$C$5</f>
        <v>136.7106</v>
      </c>
      <c r="K114" s="194">
        <f>(111.4*KFC!$B$36*1.02*1.3+KFC!$C$36)*KFC!$C$5</f>
        <v>147.71640000000002</v>
      </c>
      <c r="L114" s="194">
        <f>(119.7*KFC!$B$36*1.02*1.3+KFC!$C$36)*KFC!$C$5</f>
        <v>158.72220000000002</v>
      </c>
      <c r="M114" s="194">
        <f>(128*KFC!$B$36*1.02*1.3+KFC!$C$36)*KFC!$C$5</f>
        <v>169.72800000000001</v>
      </c>
      <c r="N114" s="194">
        <f>(136.2*KFC!$B$36*1.02*1.3+KFC!$C$36)*KFC!$C$5</f>
        <v>180.60119999999998</v>
      </c>
      <c r="O114" s="194">
        <f>(144.6*KFC!$B$36*1.02*1.3+KFC!$C$36)*KFC!$C$5</f>
        <v>191.7396</v>
      </c>
      <c r="P114" s="194">
        <f>(152.9*KFC!$B$36*1.02*1.3+KFC!$C$36)*KFC!$C$5</f>
        <v>202.74540000000002</v>
      </c>
      <c r="Q114" s="194">
        <f>(161.2*KFC!$B$36*1.02*1.3+KFC!$C$36)*KFC!$C$5</f>
        <v>213.75119999999998</v>
      </c>
      <c r="R114" s="194">
        <f>(169.5*KFC!$B$36*1.02*1.3+KFC!$C$36)*KFC!$C$5</f>
        <v>224.75700000000003</v>
      </c>
      <c r="S114" s="194">
        <f>(177.8*KFC!$B$36*1.02*1.3+KFC!$C$36)*KFC!$C$5</f>
        <v>235.76280000000003</v>
      </c>
      <c r="T114" s="194">
        <f>(186.1*KFC!$B$36*1.02*1.3+KFC!$C$36)*KFC!$C$5</f>
        <v>246.76860000000002</v>
      </c>
      <c r="U114" s="194">
        <f>(194.3*KFC!$B$36*1.02*1.3+KFC!$C$36)*KFC!$C$5</f>
        <v>257.64180000000005</v>
      </c>
      <c r="V114" s="194">
        <f>(202.7*KFC!$B$36*1.02*1.3+KFC!$C$36)*KFC!$C$5</f>
        <v>268.78019999999998</v>
      </c>
      <c r="W114" s="194">
        <f>(211*KFC!$B$36*1.02*1.3+KFC!$C$36)*KFC!$C$5</f>
        <v>279.786</v>
      </c>
      <c r="X114" s="194">
        <f>(219.3*KFC!$B$36*1.02*1.3+KFC!$C$36)*KFC!$C$5</f>
        <v>290.79180000000002</v>
      </c>
      <c r="Y114" s="194">
        <f>(227.6*KFC!$B$36*1.02*1.3+KFC!$C$36)*KFC!$C$5</f>
        <v>301.79759999999999</v>
      </c>
      <c r="Z114" s="194">
        <f>(235.9*KFC!$B$36*1.02*1.3+KFC!$C$36)*KFC!$C$5</f>
        <v>312.80340000000007</v>
      </c>
      <c r="AA114" s="195">
        <f>(244.2*KFC!$B$36*1.02*1.3+KFC!$C$36)*KFC!$C$5</f>
        <v>323.80920000000003</v>
      </c>
    </row>
    <row r="115" spans="1:27">
      <c r="A115" s="1781"/>
      <c r="B115" s="224">
        <v>3.7</v>
      </c>
      <c r="C115" s="247">
        <f>(46*KFC!$B$36*1.02*1.3+KFC!$C$36)*KFC!$C$5</f>
        <v>60.996000000000002</v>
      </c>
      <c r="D115" s="194">
        <f>(54.5*KFC!$B$36*1.02*1.3+KFC!$C$36)*KFC!$C$5</f>
        <v>72.26700000000001</v>
      </c>
      <c r="E115" s="194">
        <f>(63*KFC!$B$36*1.02*1.3+KFC!$C$36)*KFC!$C$5</f>
        <v>83.538000000000011</v>
      </c>
      <c r="F115" s="194">
        <f>(71.5*KFC!$B$36*1.02*1.3+KFC!$C$36)*KFC!$C$5</f>
        <v>94.809000000000012</v>
      </c>
      <c r="G115" s="194">
        <f>(80.1*KFC!$B$36*1.02*1.3+KFC!$C$36)*KFC!$C$5</f>
        <v>106.21259999999999</v>
      </c>
      <c r="H115" s="194">
        <f>(88.5*KFC!$B$36*1.02*1.3+KFC!$C$36)*KFC!$C$5</f>
        <v>117.351</v>
      </c>
      <c r="I115" s="194">
        <f>(97.1*KFC!$B$36*1.02*1.3+KFC!$C$36)*KFC!$C$5</f>
        <v>128.75460000000001</v>
      </c>
      <c r="J115" s="194">
        <f>(105.5*KFC!$B$36*1.02*1.3+KFC!$C$36)*KFC!$C$5</f>
        <v>139.893</v>
      </c>
      <c r="K115" s="194">
        <f>(114.1*KFC!$B$36*1.02*1.3+KFC!$C$36)*KFC!$C$5</f>
        <v>151.29659999999998</v>
      </c>
      <c r="L115" s="194">
        <f>(122.7*KFC!$B$36*1.02*1.3+KFC!$C$36)*KFC!$C$5</f>
        <v>162.70020000000002</v>
      </c>
      <c r="M115" s="194">
        <f>(131.1*KFC!$B$36*1.02*1.3+KFC!$C$36)*KFC!$C$5</f>
        <v>173.83860000000001</v>
      </c>
      <c r="N115" s="194">
        <f>(139.7*KFC!$B$36*1.02*1.3+KFC!$C$36)*KFC!$C$5</f>
        <v>185.2422</v>
      </c>
      <c r="O115" s="194">
        <f>(148.2*KFC!$B$36*1.02*1.3+KFC!$C$36)*KFC!$C$5</f>
        <v>196.51319999999998</v>
      </c>
      <c r="P115" s="194">
        <f>(156.7*KFC!$B$36*1.02*1.3+KFC!$C$36)*KFC!$C$5</f>
        <v>207.7842</v>
      </c>
      <c r="Q115" s="194">
        <f>(165.2*KFC!$B$36*1.02*1.3+KFC!$C$36)*KFC!$C$5</f>
        <v>219.05519999999999</v>
      </c>
      <c r="R115" s="194">
        <f>(173.8*KFC!$B$36*1.02*1.3+KFC!$C$36)*KFC!$C$5</f>
        <v>230.45880000000002</v>
      </c>
      <c r="S115" s="194">
        <f>(182.2*KFC!$B$36*1.02*1.3+KFC!$C$36)*KFC!$C$5</f>
        <v>241.59719999999999</v>
      </c>
      <c r="T115" s="194">
        <f>(190.8*KFC!$B$36*1.02*1.3+KFC!$C$36)*KFC!$C$5</f>
        <v>253.00080000000003</v>
      </c>
      <c r="U115" s="194">
        <f>(199.3*KFC!$B$36*1.02*1.3+KFC!$C$36)*KFC!$C$5</f>
        <v>264.27179999999998</v>
      </c>
      <c r="V115" s="194">
        <f>(207.8*KFC!$B$36*1.02*1.3+KFC!$C$36)*KFC!$C$5</f>
        <v>275.54280000000006</v>
      </c>
      <c r="W115" s="194">
        <f>(216.3*KFC!$B$36*1.02*1.3+KFC!$C$36)*KFC!$C$5</f>
        <v>286.81380000000001</v>
      </c>
      <c r="X115" s="194">
        <f>(224.9*KFC!$B$36*1.02*1.3+KFC!$C$36)*KFC!$C$5</f>
        <v>298.2174</v>
      </c>
      <c r="Y115" s="194">
        <f>(233.3*KFC!$B$36*1.02*1.3+KFC!$C$36)*KFC!$C$5</f>
        <v>309.35580000000004</v>
      </c>
      <c r="Z115" s="194">
        <f>(241.9*KFC!$B$36*1.02*1.3+KFC!$C$36)*KFC!$C$5</f>
        <v>320.75940000000003</v>
      </c>
      <c r="AA115" s="195">
        <f>(250.3*KFC!$B$36*1.02*1.3+KFC!$C$36)*KFC!$C$5</f>
        <v>331.89780000000002</v>
      </c>
    </row>
    <row r="116" spans="1:27">
      <c r="A116" s="1781"/>
      <c r="B116" s="224">
        <v>3.8</v>
      </c>
      <c r="C116" s="247">
        <f>(47*KFC!$B$36*1.02*1.3+KFC!$C$36)*KFC!$C$5</f>
        <v>62.321999999999996</v>
      </c>
      <c r="D116" s="194">
        <f>(55.6*KFC!$B$36*1.02*1.3+KFC!$C$36)*KFC!$C$5</f>
        <v>73.7256</v>
      </c>
      <c r="E116" s="194">
        <f>(64.5*KFC!$B$36*1.02*1.3+KFC!$C$36)*KFC!$C$5</f>
        <v>85.527000000000015</v>
      </c>
      <c r="F116" s="194">
        <f>(73.1*KFC!$B$36*1.02*1.3+KFC!$C$36)*KFC!$C$5</f>
        <v>96.930599999999998</v>
      </c>
      <c r="G116" s="194">
        <f>(81.9*KFC!$B$36*1.02*1.3+KFC!$C$36)*KFC!$C$5</f>
        <v>108.59940000000002</v>
      </c>
      <c r="H116" s="194">
        <f>(90.6*KFC!$B$36*1.02*1.3+KFC!$C$36)*KFC!$C$5</f>
        <v>120.1356</v>
      </c>
      <c r="I116" s="194">
        <f>(99.4*KFC!$B$36*1.02*1.3+KFC!$C$36)*KFC!$C$5</f>
        <v>131.80440000000002</v>
      </c>
      <c r="J116" s="194">
        <f>(108.1*KFC!$B$36*1.02*1.3+KFC!$C$36)*KFC!$C$5</f>
        <v>143.34059999999999</v>
      </c>
      <c r="K116" s="194">
        <f>(116.8*KFC!$B$36*1.02*1.3+KFC!$C$36)*KFC!$C$5</f>
        <v>154.8768</v>
      </c>
      <c r="L116" s="194">
        <f>(125.6*KFC!$B$36*1.02*1.3+KFC!$C$36)*KFC!$C$5</f>
        <v>166.54560000000001</v>
      </c>
      <c r="M116" s="194">
        <f>(134.3*KFC!$B$36*1.02*1.3+KFC!$C$36)*KFC!$C$5</f>
        <v>178.08180000000004</v>
      </c>
      <c r="N116" s="194">
        <f>(143.1*KFC!$B$36*1.02*1.3+KFC!$C$36)*KFC!$C$5</f>
        <v>189.75059999999999</v>
      </c>
      <c r="O116" s="194">
        <f>(151.8*KFC!$B$36*1.02*1.3+KFC!$C$36)*KFC!$C$5</f>
        <v>201.28680000000003</v>
      </c>
      <c r="P116" s="194">
        <f>(160.6*KFC!$B$36*1.02*1.3+KFC!$C$36)*KFC!$C$5</f>
        <v>212.95559999999998</v>
      </c>
      <c r="Q116" s="194">
        <f>(169.3*KFC!$B$36*1.02*1.3+KFC!$C$36)*KFC!$C$5</f>
        <v>224.49180000000001</v>
      </c>
      <c r="R116" s="194">
        <f>(177.9*KFC!$B$36*1.02*1.3+KFC!$C$36)*KFC!$C$5</f>
        <v>235.8954</v>
      </c>
      <c r="S116" s="194">
        <f>(186.8*KFC!$B$36*1.02*1.3+KFC!$C$36)*KFC!$C$5</f>
        <v>247.6968</v>
      </c>
      <c r="T116" s="194">
        <f>(195.4*KFC!$B$36*1.02*1.3+KFC!$C$36)*KFC!$C$5</f>
        <v>259.10040000000004</v>
      </c>
      <c r="U116" s="194">
        <f>(204.2*KFC!$B$36*1.02*1.3+KFC!$C$36)*KFC!$C$5</f>
        <v>270.76920000000001</v>
      </c>
      <c r="V116" s="194">
        <f>(212.9*KFC!$B$36*1.02*1.3+KFC!$C$36)*KFC!$C$5</f>
        <v>282.30540000000002</v>
      </c>
      <c r="W116" s="194">
        <f>(221.7*KFC!$B$36*1.02*1.3+KFC!$C$36)*KFC!$C$5</f>
        <v>293.9742</v>
      </c>
      <c r="X116" s="194">
        <f>(230.4*KFC!$B$36*1.02*1.3+KFC!$C$36)*KFC!$C$5</f>
        <v>305.5104</v>
      </c>
      <c r="Y116" s="194">
        <f>(239.1*KFC!$B$36*1.02*1.3+KFC!$C$36)*KFC!$C$5</f>
        <v>317.04660000000001</v>
      </c>
      <c r="Z116" s="194">
        <f>(247.9*KFC!$B$36*1.02*1.3+KFC!$C$36)*KFC!$C$5</f>
        <v>328.71539999999999</v>
      </c>
      <c r="AA116" s="195">
        <f>(256.6*KFC!$B$36*1.02*1.3+KFC!$C$36)*KFC!$C$5</f>
        <v>340.25160000000005</v>
      </c>
    </row>
    <row r="117" spans="1:27">
      <c r="A117" s="1781"/>
      <c r="B117" s="224">
        <v>3.9</v>
      </c>
      <c r="C117" s="247">
        <f>(47.9*KFC!$B$36*1.02*1.3+KFC!$C$36)*KFC!$C$5</f>
        <v>63.5154</v>
      </c>
      <c r="D117" s="194">
        <f>(56.9*KFC!$B$36*1.02*1.3+KFC!$C$36)*KFC!$C$5</f>
        <v>75.449399999999997</v>
      </c>
      <c r="E117" s="194">
        <f>(65.8*KFC!$B$36*1.02*1.3+KFC!$C$36)*KFC!$C$5</f>
        <v>87.250799999999998</v>
      </c>
      <c r="F117" s="194">
        <f>(74.8*KFC!$B$36*1.02*1.3+KFC!$C$36)*KFC!$C$5</f>
        <v>99.184799999999996</v>
      </c>
      <c r="G117" s="194">
        <f>(83.8*KFC!$B$36*1.02*1.3+KFC!$C$36)*KFC!$C$5</f>
        <v>111.11880000000001</v>
      </c>
      <c r="H117" s="194">
        <f>(92.7*KFC!$B$36*1.02*1.3+KFC!$C$36)*KFC!$C$5</f>
        <v>122.92020000000001</v>
      </c>
      <c r="I117" s="194">
        <f>(101.6*KFC!$B$36*1.02*1.3+KFC!$C$36)*KFC!$C$5</f>
        <v>134.7216</v>
      </c>
      <c r="J117" s="194">
        <f>(110.6*KFC!$B$36*1.02*1.3+KFC!$C$36)*KFC!$C$5</f>
        <v>146.65559999999999</v>
      </c>
      <c r="K117" s="194">
        <f>(119.6*KFC!$B$36*1.02*1.3+KFC!$C$36)*KFC!$C$5</f>
        <v>158.58959999999999</v>
      </c>
      <c r="L117" s="194">
        <f>(128.5*KFC!$B$36*1.02*1.3+KFC!$C$36)*KFC!$C$5</f>
        <v>170.39099999999999</v>
      </c>
      <c r="M117" s="194">
        <f>(137.5*KFC!$B$36*1.02*1.3+KFC!$C$36)*KFC!$C$5</f>
        <v>182.32500000000002</v>
      </c>
      <c r="N117" s="194">
        <f>(146.4*KFC!$B$36*1.02*1.3+KFC!$C$36)*KFC!$C$5</f>
        <v>194.12640000000002</v>
      </c>
      <c r="O117" s="194">
        <f>(155.4*KFC!$B$36*1.02*1.3+KFC!$C$36)*KFC!$C$5</f>
        <v>206.06040000000002</v>
      </c>
      <c r="P117" s="194">
        <f>(164.4*KFC!$B$36*1.02*1.3+KFC!$C$36)*KFC!$C$5</f>
        <v>217.99440000000004</v>
      </c>
      <c r="Q117" s="194">
        <f>(173.3*KFC!$B$36*1.02*1.3+KFC!$C$36)*KFC!$C$5</f>
        <v>229.79580000000004</v>
      </c>
      <c r="R117" s="194">
        <f>(182.2*KFC!$B$36*1.02*1.3+KFC!$C$36)*KFC!$C$5</f>
        <v>241.59719999999999</v>
      </c>
      <c r="S117" s="194">
        <f>(191.2*KFC!$B$36*1.02*1.3+KFC!$C$36)*KFC!$C$5</f>
        <v>253.53120000000001</v>
      </c>
      <c r="T117" s="194">
        <f>(200.2*KFC!$B$36*1.02*1.3+KFC!$C$36)*KFC!$C$5</f>
        <v>265.46519999999998</v>
      </c>
      <c r="U117" s="194">
        <f>(209.1*KFC!$B$36*1.02*1.3+KFC!$C$36)*KFC!$C$5</f>
        <v>277.26660000000004</v>
      </c>
      <c r="V117" s="194">
        <f>(218.1*KFC!$B$36*1.02*1.3+KFC!$C$36)*KFC!$C$5</f>
        <v>289.20060000000001</v>
      </c>
      <c r="W117" s="194">
        <f>(227*KFC!$B$36*1.02*1.3+KFC!$C$36)*KFC!$C$5</f>
        <v>301.00200000000001</v>
      </c>
      <c r="X117" s="194">
        <f>(236*KFC!$B$36*1.02*1.3+KFC!$C$36)*KFC!$C$5</f>
        <v>312.93600000000004</v>
      </c>
      <c r="Y117" s="194">
        <f>(245*KFC!$B$36*1.02*1.3+KFC!$C$36)*KFC!$C$5</f>
        <v>324.87</v>
      </c>
      <c r="Z117" s="194">
        <f>(253.9*KFC!$B$36*1.02*1.3+KFC!$C$36)*KFC!$C$5</f>
        <v>336.67140000000001</v>
      </c>
      <c r="AA117" s="195">
        <f>(262.8*KFC!$B$36*1.02*1.3+KFC!$C$36)*KFC!$C$5</f>
        <v>348.47280000000006</v>
      </c>
    </row>
    <row r="118" spans="1:27" ht="13.8" thickBot="1">
      <c r="A118" s="1782"/>
      <c r="B118" s="225">
        <v>4</v>
      </c>
      <c r="C118" s="248">
        <f>(48.9*KFC!$B$36*1.02*1.3+KFC!$C$36)*KFC!$C$5</f>
        <v>64.841400000000007</v>
      </c>
      <c r="D118" s="196">
        <f>(58.1*KFC!$B$36*1.02*1.3+KFC!$C$36)*KFC!$C$5</f>
        <v>77.040599999999998</v>
      </c>
      <c r="E118" s="196">
        <f>(67.3*KFC!$B$36*1.02*1.3+KFC!$C$36)*KFC!$C$5</f>
        <v>89.239800000000002</v>
      </c>
      <c r="F118" s="196">
        <f>(76.4*KFC!$B$36*1.02*1.3+KFC!$C$36)*KFC!$C$5</f>
        <v>101.30640000000002</v>
      </c>
      <c r="G118" s="196">
        <f>(85.6*KFC!$B$36*1.02*1.3+KFC!$C$36)*KFC!$C$5</f>
        <v>113.5056</v>
      </c>
      <c r="H118" s="196">
        <f>(94.8*KFC!$B$36*1.02*1.3+KFC!$C$36)*KFC!$C$5</f>
        <v>125.70480000000001</v>
      </c>
      <c r="I118" s="196">
        <f>(104*KFC!$B$36*1.02*1.3+KFC!$C$36)*KFC!$C$5</f>
        <v>137.904</v>
      </c>
      <c r="J118" s="196">
        <f>(113.1*KFC!$B$36*1.02*1.3+KFC!$C$36)*KFC!$C$5</f>
        <v>149.97059999999999</v>
      </c>
      <c r="K118" s="196">
        <f>(122.3*KFC!$B$36*1.02*1.3+KFC!$C$36)*KFC!$C$5</f>
        <v>162.16980000000001</v>
      </c>
      <c r="L118" s="196">
        <f>(131.5*KFC!$B$36*1.02*1.3+KFC!$C$36)*KFC!$C$5</f>
        <v>174.369</v>
      </c>
      <c r="M118" s="196">
        <f>(140.6*KFC!$B$36*1.02*1.3+KFC!$C$36)*KFC!$C$5</f>
        <v>186.43560000000002</v>
      </c>
      <c r="N118" s="196">
        <f>(149.8*KFC!$B$36*1.02*1.3+KFC!$C$36)*KFC!$C$5</f>
        <v>198.63480000000004</v>
      </c>
      <c r="O118" s="196">
        <f>(159*KFC!$B$36*1.02*1.3+KFC!$C$36)*KFC!$C$5</f>
        <v>210.834</v>
      </c>
      <c r="P118" s="196">
        <f>(168.2*KFC!$B$36*1.02*1.3+KFC!$C$36)*KFC!$C$5</f>
        <v>223.03319999999999</v>
      </c>
      <c r="Q118" s="196">
        <f>(177.3*KFC!$B$36*1.02*1.3+KFC!$C$36)*KFC!$C$5</f>
        <v>235.09980000000002</v>
      </c>
      <c r="R118" s="196">
        <f>(186.5*KFC!$B$36*1.02*1.3+KFC!$C$36)*KFC!$C$5</f>
        <v>247.29900000000001</v>
      </c>
      <c r="S118" s="196">
        <f>(195.7*KFC!$B$36*1.02*1.3+KFC!$C$36)*KFC!$C$5</f>
        <v>259.4982</v>
      </c>
      <c r="T118" s="196">
        <f>(204.9*KFC!$B$36*1.02*1.3+KFC!$C$36)*KFC!$C$5</f>
        <v>271.69740000000002</v>
      </c>
      <c r="U118" s="196">
        <f>(214*KFC!$B$36*1.02*1.3+KFC!$C$36)*KFC!$C$5</f>
        <v>283.76400000000001</v>
      </c>
      <c r="V118" s="196">
        <f>(223.2*KFC!$B$36*1.02*1.3+KFC!$C$36)*KFC!$C$5</f>
        <v>295.96319999999997</v>
      </c>
      <c r="W118" s="196">
        <f>(232*KFC!$B$36*1.02*1.3+KFC!$C$36)*KFC!$C$5</f>
        <v>307.63200000000001</v>
      </c>
      <c r="X118" s="196">
        <f>(241.5*KFC!$B$36*1.02*1.3+KFC!$C$36)*KFC!$C$5</f>
        <v>320.22900000000004</v>
      </c>
      <c r="Y118" s="196">
        <f>(250.7*KFC!$B$36*1.02*1.3+KFC!$C$36)*KFC!$C$5</f>
        <v>332.4282</v>
      </c>
      <c r="Z118" s="196">
        <f>(259.9*KFC!$B$36*1.02*1.3+KFC!$C$36)*KFC!$C$5</f>
        <v>344.62739999999997</v>
      </c>
      <c r="AA118" s="197">
        <f>(269.1*KFC!$B$36*1.02*1.3+KFC!$C$36)*KFC!$C$5</f>
        <v>356.82660000000004</v>
      </c>
    </row>
    <row r="119" spans="1:27" ht="13.8" thickBot="1">
      <c r="A119" s="186"/>
      <c r="B119" s="184"/>
      <c r="C119" s="178"/>
      <c r="D119" s="178"/>
      <c r="E119" s="178"/>
      <c r="F119" s="178"/>
      <c r="G119" s="178"/>
      <c r="H119" s="178"/>
      <c r="I119" s="178"/>
      <c r="J119" s="178"/>
      <c r="K119" s="178"/>
      <c r="L119" s="178"/>
      <c r="M119" s="178"/>
      <c r="N119" s="178"/>
      <c r="O119" s="178"/>
      <c r="P119" s="178"/>
      <c r="Q119" s="178"/>
      <c r="R119" s="178"/>
      <c r="S119" s="178"/>
      <c r="T119" s="178"/>
      <c r="U119" s="178"/>
      <c r="V119" s="178"/>
      <c r="W119" s="178"/>
      <c r="X119" s="178"/>
      <c r="Y119" s="178"/>
    </row>
    <row r="120" spans="1:27" ht="13.5" customHeight="1" thickBot="1">
      <c r="A120" s="1413" t="s">
        <v>319</v>
      </c>
      <c r="B120" s="1415"/>
      <c r="C120" s="1534" t="s">
        <v>207</v>
      </c>
      <c r="D120" s="1535"/>
      <c r="E120" s="1535"/>
      <c r="F120" s="1535"/>
      <c r="G120" s="1535"/>
      <c r="H120" s="1535"/>
      <c r="I120" s="1535"/>
      <c r="J120" s="1535"/>
      <c r="K120" s="1535"/>
      <c r="L120" s="1535"/>
      <c r="M120" s="1535"/>
      <c r="N120" s="1535"/>
      <c r="O120" s="1535"/>
      <c r="P120" s="1535"/>
      <c r="Q120" s="1535"/>
      <c r="R120" s="1535"/>
      <c r="S120" s="1535"/>
      <c r="T120" s="1535"/>
      <c r="U120" s="1535"/>
      <c r="V120" s="1535"/>
      <c r="W120" s="1535"/>
      <c r="X120" s="1535"/>
      <c r="Y120" s="1535"/>
      <c r="Z120" s="1535"/>
      <c r="AA120" s="1536"/>
    </row>
    <row r="121" spans="1:27" ht="13.8" thickBot="1">
      <c r="A121" s="1803"/>
      <c r="B121" s="1802"/>
      <c r="C121" s="167">
        <v>0.4</v>
      </c>
      <c r="D121" s="167">
        <v>0.5</v>
      </c>
      <c r="E121" s="167">
        <v>0.6</v>
      </c>
      <c r="F121" s="167">
        <v>0.7</v>
      </c>
      <c r="G121" s="167">
        <v>0.8</v>
      </c>
      <c r="H121" s="167">
        <v>0.9</v>
      </c>
      <c r="I121" s="167">
        <v>1</v>
      </c>
      <c r="J121" s="167">
        <v>1.1000000000000001</v>
      </c>
      <c r="K121" s="167">
        <v>1.2</v>
      </c>
      <c r="L121" s="167">
        <v>1.3</v>
      </c>
      <c r="M121" s="167">
        <v>1.4</v>
      </c>
      <c r="N121" s="120">
        <v>1.5</v>
      </c>
      <c r="O121" s="119">
        <v>1.6</v>
      </c>
      <c r="P121" s="120">
        <v>1.7</v>
      </c>
      <c r="Q121" s="119">
        <v>1.8</v>
      </c>
      <c r="R121" s="120">
        <v>1.9</v>
      </c>
      <c r="S121" s="119">
        <v>2</v>
      </c>
      <c r="T121" s="120">
        <v>2.1</v>
      </c>
      <c r="U121" s="119">
        <v>2.2000000000000002</v>
      </c>
      <c r="V121" s="120">
        <v>2.2999999999999998</v>
      </c>
      <c r="W121" s="119">
        <v>2.4</v>
      </c>
      <c r="X121" s="120">
        <v>2.5</v>
      </c>
      <c r="Y121" s="120">
        <v>2.6</v>
      </c>
      <c r="Z121" s="120">
        <v>2.7</v>
      </c>
      <c r="AA121" s="120">
        <v>2.8</v>
      </c>
    </row>
    <row r="122" spans="1:27" ht="12.75" customHeight="1">
      <c r="A122" s="1780" t="s">
        <v>3</v>
      </c>
      <c r="B122" s="226">
        <v>0.5</v>
      </c>
      <c r="C122" s="246">
        <f>(17.1*KFC!$B$36*1.02*1.3+KFC!$C$36)*KFC!$C$5</f>
        <v>22.674600000000002</v>
      </c>
      <c r="D122" s="192">
        <f>(18.7*KFC!$B$36*1.02*1.3+KFC!$C$36)*KFC!$C$5</f>
        <v>24.796199999999999</v>
      </c>
      <c r="E122" s="192">
        <f>(20.4*KFC!$B$36*1.02*1.3+KFC!$C$36)*KFC!$C$5</f>
        <v>27.0504</v>
      </c>
      <c r="F122" s="192">
        <f>(22*KFC!$B$36*1.02*1.3+KFC!$C$36)*KFC!$C$5</f>
        <v>29.172000000000004</v>
      </c>
      <c r="G122" s="192">
        <f>(23.6*KFC!$B$36*1.02*1.3+KFC!$C$36)*KFC!$C$5</f>
        <v>31.293600000000005</v>
      </c>
      <c r="H122" s="192">
        <f>(25.3*KFC!$B$36*1.02*1.3+KFC!$C$36)*KFC!$C$5</f>
        <v>33.547800000000002</v>
      </c>
      <c r="I122" s="192">
        <f>(26.9*KFC!$B$36*1.02*1.3+KFC!$C$36)*KFC!$C$5</f>
        <v>35.669400000000003</v>
      </c>
      <c r="J122" s="192">
        <f>(28.5*KFC!$B$36*1.02*1.3+KFC!$C$36)*KFC!$C$5</f>
        <v>37.791000000000004</v>
      </c>
      <c r="K122" s="192">
        <f>(30.2*KFC!$B$36*1.02*1.3+KFC!$C$36)*KFC!$C$5</f>
        <v>40.045200000000001</v>
      </c>
      <c r="L122" s="192">
        <f>(31.8*KFC!$B$36*1.02*1.3+KFC!$C$36)*KFC!$C$5</f>
        <v>42.166800000000002</v>
      </c>
      <c r="M122" s="192">
        <f>(33.4*KFC!$B$36*1.02*1.3+KFC!$C$36)*KFC!$C$5</f>
        <v>44.288399999999996</v>
      </c>
      <c r="N122" s="192">
        <f>(35.1*KFC!$B$36*1.02*1.3+KFC!$C$36)*KFC!$C$5</f>
        <v>46.5426</v>
      </c>
      <c r="O122" s="192">
        <f>(36.7*KFC!$B$36*1.02*1.3+KFC!$C$36)*KFC!$C$5</f>
        <v>48.664200000000008</v>
      </c>
      <c r="P122" s="192">
        <f>(38.3*KFC!$B$36*1.02*1.3+KFC!$C$36)*KFC!$C$5</f>
        <v>50.785799999999995</v>
      </c>
      <c r="Q122" s="192">
        <f>(40*KFC!$B$36*1.02*1.3+KFC!$C$36)*KFC!$C$5</f>
        <v>53.04</v>
      </c>
      <c r="R122" s="192">
        <f>(41.6*KFC!$B$36*1.02*1.3+KFC!$C$36)*KFC!$C$5</f>
        <v>55.161600000000007</v>
      </c>
      <c r="S122" s="192">
        <f>(43.2*KFC!$B$36*1.02*1.3+KFC!$C$36)*KFC!$C$5</f>
        <v>57.283200000000008</v>
      </c>
      <c r="T122" s="192">
        <f>(44.9*KFC!$B$36*1.02*1.3+KFC!$C$36)*KFC!$C$5</f>
        <v>59.537400000000005</v>
      </c>
      <c r="U122" s="192">
        <f>(46.5*KFC!$B$36*1.02*1.3+KFC!$C$36)*KFC!$C$5</f>
        <v>61.658999999999999</v>
      </c>
      <c r="V122" s="192">
        <f>(48.1*KFC!$B$36*1.02*1.3+KFC!$C$36)*KFC!$C$5</f>
        <v>63.780600000000007</v>
      </c>
      <c r="W122" s="192">
        <f>(49.8*KFC!$B$36*1.02*1.3+KFC!$C$36)*KFC!$C$5</f>
        <v>66.034800000000004</v>
      </c>
      <c r="X122" s="192">
        <f>(51.4*KFC!$B$36*1.02*1.3+KFC!$C$36)*KFC!$C$5</f>
        <v>68.156400000000005</v>
      </c>
      <c r="Y122" s="192">
        <f>(53*KFC!$B$36*1.02*1.3+KFC!$C$36)*KFC!$C$5</f>
        <v>70.278000000000006</v>
      </c>
      <c r="Z122" s="192">
        <f>(54.7*KFC!$B$36*1.02*1.3+KFC!$C$36)*KFC!$C$5</f>
        <v>72.532200000000003</v>
      </c>
      <c r="AA122" s="193">
        <f>(56.3*KFC!$B$36*1.02*1.3+KFC!$C$36)*KFC!$C$5</f>
        <v>74.65379999999999</v>
      </c>
    </row>
    <row r="123" spans="1:27">
      <c r="A123" s="1781"/>
      <c r="B123" s="224">
        <v>0.6</v>
      </c>
      <c r="C123" s="247">
        <f>(18.3*KFC!$B$36*1.02*1.3+KFC!$C$36)*KFC!$C$5</f>
        <v>24.265800000000002</v>
      </c>
      <c r="D123" s="194">
        <f>(20.3*KFC!$B$36*1.02*1.3+KFC!$C$36)*KFC!$C$5</f>
        <v>26.9178</v>
      </c>
      <c r="E123" s="194">
        <f>(22.3*KFC!$B$36*1.02*1.3+KFC!$C$36)*KFC!$C$5</f>
        <v>29.569800000000004</v>
      </c>
      <c r="F123" s="194">
        <f>(24.2*KFC!$B$36*1.02*1.3+KFC!$C$36)*KFC!$C$5</f>
        <v>32.089200000000005</v>
      </c>
      <c r="G123" s="194">
        <f>(26.2*KFC!$B$36*1.02*1.3+KFC!$C$36)*KFC!$C$5</f>
        <v>34.741199999999999</v>
      </c>
      <c r="H123" s="194">
        <f>(28.1*KFC!$B$36*1.02*1.3+KFC!$C$36)*KFC!$C$5</f>
        <v>37.260600000000004</v>
      </c>
      <c r="I123" s="194">
        <f>(30.1*KFC!$B$36*1.02*1.3+KFC!$C$36)*KFC!$C$5</f>
        <v>39.912600000000005</v>
      </c>
      <c r="J123" s="194">
        <f>(32*KFC!$B$36*1.02*1.3+KFC!$C$36)*KFC!$C$5</f>
        <v>42.432000000000002</v>
      </c>
      <c r="K123" s="194">
        <f>(34*KFC!$B$36*1.02*1.3+KFC!$C$36)*KFC!$C$5</f>
        <v>45.084000000000003</v>
      </c>
      <c r="L123" s="194">
        <f>(36*KFC!$B$36*1.02*1.3+KFC!$C$36)*KFC!$C$5</f>
        <v>47.735999999999997</v>
      </c>
      <c r="M123" s="194">
        <f>(37.9*KFC!$B$36*1.02*1.3+KFC!$C$36)*KFC!$C$5</f>
        <v>50.255400000000002</v>
      </c>
      <c r="N123" s="194">
        <f>(39.9*KFC!$B$36*1.02*1.3+KFC!$C$36)*KFC!$C$5</f>
        <v>52.907400000000003</v>
      </c>
      <c r="O123" s="194">
        <f>(41.7*KFC!$B$36*1.02*1.3+KFC!$C$36)*KFC!$C$5</f>
        <v>55.294200000000011</v>
      </c>
      <c r="P123" s="194">
        <f>(43.7*KFC!$B$36*1.02*1.3+KFC!$C$36)*KFC!$C$5</f>
        <v>57.946200000000012</v>
      </c>
      <c r="Q123" s="194">
        <f>(45.6*KFC!$B$36*1.02*1.3+KFC!$C$36)*KFC!$C$5</f>
        <v>60.465600000000002</v>
      </c>
      <c r="R123" s="194">
        <f>(47.6*KFC!$B$36*1.02*1.3+KFC!$C$36)*KFC!$C$5</f>
        <v>63.117600000000003</v>
      </c>
      <c r="S123" s="194">
        <f>(49.5*KFC!$B$36*1.02*1.3+KFC!$C$36)*KFC!$C$5</f>
        <v>65.637</v>
      </c>
      <c r="T123" s="194">
        <f>(51.5*KFC!$B$36*1.02*1.3+KFC!$C$36)*KFC!$C$5</f>
        <v>68.289000000000001</v>
      </c>
      <c r="U123" s="194">
        <f>(53.4*KFC!$B$36*1.02*1.3+KFC!$C$36)*KFC!$C$5</f>
        <v>70.808399999999992</v>
      </c>
      <c r="V123" s="194">
        <f>(55.4*KFC!$B$36*1.02*1.3+KFC!$C$36)*KFC!$C$5</f>
        <v>73.460400000000007</v>
      </c>
      <c r="W123" s="194">
        <f>(57.4*KFC!$B$36*1.02*1.3+KFC!$C$36)*KFC!$C$5</f>
        <v>76.112400000000008</v>
      </c>
      <c r="X123" s="194">
        <f>(59.3*KFC!$B$36*1.02*1.3+KFC!$C$36)*KFC!$C$5</f>
        <v>78.631799999999998</v>
      </c>
      <c r="Y123" s="194">
        <f>(61.3*KFC!$B$36*1.02*1.3+KFC!$C$36)*KFC!$C$5</f>
        <v>81.283799999999999</v>
      </c>
      <c r="Z123" s="194">
        <f>(63.2*KFC!$B$36*1.02*1.3+KFC!$C$36)*KFC!$C$5</f>
        <v>83.803200000000004</v>
      </c>
      <c r="AA123" s="195">
        <f>(65.2*KFC!$B$36*1.02*1.3+KFC!$C$36)*KFC!$C$5</f>
        <v>86.455200000000005</v>
      </c>
    </row>
    <row r="124" spans="1:27">
      <c r="A124" s="1781"/>
      <c r="B124" s="224">
        <v>0.7</v>
      </c>
      <c r="C124" s="247">
        <f>(19.7*KFC!$B$36*1.02*1.3+KFC!$C$36)*KFC!$C$5</f>
        <v>26.122200000000003</v>
      </c>
      <c r="D124" s="194">
        <f>(21.9*KFC!$B$36*1.02*1.3+KFC!$C$36)*KFC!$C$5</f>
        <v>29.039399999999997</v>
      </c>
      <c r="E124" s="194">
        <f>(24.2*KFC!$B$36*1.02*1.3+KFC!$C$36)*KFC!$C$5</f>
        <v>32.089200000000005</v>
      </c>
      <c r="F124" s="194">
        <f>(26.4*KFC!$B$36*1.02*1.3+KFC!$C$36)*KFC!$C$5</f>
        <v>35.006399999999999</v>
      </c>
      <c r="G124" s="194">
        <f>(28.7*KFC!$B$36*1.02*1.3+KFC!$C$36)*KFC!$C$5</f>
        <v>38.056200000000004</v>
      </c>
      <c r="H124" s="194">
        <f>(30.9*KFC!$B$36*1.02*1.3+KFC!$C$36)*KFC!$C$5</f>
        <v>40.973400000000005</v>
      </c>
      <c r="I124" s="194">
        <f>(33.3*KFC!$B$36*1.02*1.3+KFC!$C$36)*KFC!$C$5</f>
        <v>44.155800000000006</v>
      </c>
      <c r="J124" s="194">
        <f>(35.5*KFC!$B$36*1.02*1.3+KFC!$C$36)*KFC!$C$5</f>
        <v>47.073</v>
      </c>
      <c r="K124" s="194">
        <f>(37.8*KFC!$B$36*1.02*1.3+KFC!$C$36)*KFC!$C$5</f>
        <v>50.122799999999998</v>
      </c>
      <c r="L124" s="194">
        <f>(40*KFC!$B$36*1.02*1.3+KFC!$C$36)*KFC!$C$5</f>
        <v>53.04</v>
      </c>
      <c r="M124" s="194">
        <f>(42.3*KFC!$B$36*1.02*1.3+KFC!$C$36)*KFC!$C$5</f>
        <v>56.089800000000004</v>
      </c>
      <c r="N124" s="194">
        <f>(44.5*KFC!$B$36*1.02*1.3+KFC!$C$36)*KFC!$C$5</f>
        <v>59.007000000000005</v>
      </c>
      <c r="O124" s="194">
        <f>(46.8*KFC!$B$36*1.02*1.3+KFC!$C$36)*KFC!$C$5</f>
        <v>62.056799999999996</v>
      </c>
      <c r="P124" s="194">
        <f>(49*KFC!$B$36*1.02*1.3+KFC!$C$36)*KFC!$C$5</f>
        <v>64.974000000000004</v>
      </c>
      <c r="Q124" s="194">
        <f>(51.4*KFC!$B$36*1.02*1.3+KFC!$C$36)*KFC!$C$5</f>
        <v>68.156400000000005</v>
      </c>
      <c r="R124" s="194">
        <f>(53.6*KFC!$B$36*1.02*1.3+KFC!$C$36)*KFC!$C$5</f>
        <v>71.073600000000013</v>
      </c>
      <c r="S124" s="194">
        <f>(55.9*KFC!$B$36*1.02*1.3+KFC!$C$36)*KFC!$C$5</f>
        <v>74.123400000000004</v>
      </c>
      <c r="T124" s="194">
        <f>(58.1*KFC!$B$36*1.02*1.3+KFC!$C$36)*KFC!$C$5</f>
        <v>77.040599999999998</v>
      </c>
      <c r="U124" s="194">
        <f>(60.4*KFC!$B$36*1.02*1.3+KFC!$C$36)*KFC!$C$5</f>
        <v>80.090400000000002</v>
      </c>
      <c r="V124" s="194">
        <f>(62.7*KFC!$B$36*1.02*1.3+KFC!$C$36)*KFC!$C$5</f>
        <v>83.140200000000007</v>
      </c>
      <c r="W124" s="194">
        <f>(64.9*KFC!$B$36*1.02*1.3+KFC!$C$36)*KFC!$C$5</f>
        <v>86.057400000000015</v>
      </c>
      <c r="X124" s="194">
        <f>(67.3*KFC!$B$36*1.02*1.3+KFC!$C$36)*KFC!$C$5</f>
        <v>89.239800000000002</v>
      </c>
      <c r="Y124" s="194">
        <f>(69.5*KFC!$B$36*1.02*1.3+KFC!$C$36)*KFC!$C$5</f>
        <v>92.157000000000011</v>
      </c>
      <c r="Z124" s="194">
        <f>(71.8*KFC!$B$36*1.02*1.3+KFC!$C$36)*KFC!$C$5</f>
        <v>95.206800000000015</v>
      </c>
      <c r="AA124" s="195">
        <f>(74*KFC!$B$36*1.02*1.3+KFC!$C$36)*KFC!$C$5</f>
        <v>98.124000000000009</v>
      </c>
    </row>
    <row r="125" spans="1:27">
      <c r="A125" s="1781"/>
      <c r="B125" s="224">
        <v>0.8</v>
      </c>
      <c r="C125" s="247">
        <f>(20.9*KFC!$B$36*1.02*1.3+KFC!$C$36)*KFC!$C$5</f>
        <v>27.713399999999996</v>
      </c>
      <c r="D125" s="194">
        <f>(23.5*KFC!$B$36*1.02*1.3+KFC!$C$36)*KFC!$C$5</f>
        <v>31.160999999999998</v>
      </c>
      <c r="E125" s="194">
        <f>(26*KFC!$B$36*1.02*1.3+KFC!$C$36)*KFC!$C$5</f>
        <v>34.475999999999999</v>
      </c>
      <c r="F125" s="194">
        <f>(28.6*KFC!$B$36*1.02*1.3+KFC!$C$36)*KFC!$C$5</f>
        <v>37.9236</v>
      </c>
      <c r="G125" s="194">
        <f>(31.2*KFC!$B$36*1.02*1.3+KFC!$C$36)*KFC!$C$5</f>
        <v>41.371200000000002</v>
      </c>
      <c r="H125" s="194">
        <f>(33.8*KFC!$B$36*1.02*1.3+KFC!$C$36)*KFC!$C$5</f>
        <v>44.818800000000003</v>
      </c>
      <c r="I125" s="194">
        <f>(36.4*KFC!$B$36*1.02*1.3+KFC!$C$36)*KFC!$C$5</f>
        <v>48.266400000000004</v>
      </c>
      <c r="J125" s="194">
        <f>(39*KFC!$B$36*1.02*1.3+KFC!$C$36)*KFC!$C$5</f>
        <v>51.714000000000006</v>
      </c>
      <c r="K125" s="194">
        <f>(41.6*KFC!$B$36*1.02*1.3+KFC!$C$36)*KFC!$C$5</f>
        <v>55.161600000000007</v>
      </c>
      <c r="L125" s="194">
        <f>(44.2*KFC!$B$36*1.02*1.3+KFC!$C$36)*KFC!$C$5</f>
        <v>58.609200000000008</v>
      </c>
      <c r="M125" s="194">
        <f>(46.7*KFC!$B$36*1.02*1.3+KFC!$C$36)*KFC!$C$5</f>
        <v>61.924199999999999</v>
      </c>
      <c r="N125" s="194">
        <f>(49.3*KFC!$B$36*1.02*1.3+KFC!$C$36)*KFC!$C$5</f>
        <v>65.371800000000007</v>
      </c>
      <c r="O125" s="194">
        <f>(51.9*KFC!$B$36*1.02*1.3+KFC!$C$36)*KFC!$C$5</f>
        <v>68.819400000000002</v>
      </c>
      <c r="P125" s="194">
        <f>(54.4*KFC!$B$36*1.02*1.3+KFC!$C$36)*KFC!$C$5</f>
        <v>72.134399999999999</v>
      </c>
      <c r="Q125" s="194">
        <f>(57.1*KFC!$B$36*1.02*1.3+KFC!$C$36)*KFC!$C$5</f>
        <v>75.714600000000004</v>
      </c>
      <c r="R125" s="194">
        <f>(59.7*KFC!$B$36*1.02*1.3+KFC!$C$36)*KFC!$C$5</f>
        <v>79.162200000000013</v>
      </c>
      <c r="S125" s="194">
        <f>(62.3*KFC!$B$36*1.02*1.3+KFC!$C$36)*KFC!$C$5</f>
        <v>82.609800000000007</v>
      </c>
      <c r="T125" s="194">
        <f>(64.8*KFC!$B$36*1.02*1.3+KFC!$C$36)*KFC!$C$5</f>
        <v>85.924800000000005</v>
      </c>
      <c r="U125" s="194">
        <f>(67.4*KFC!$B$36*1.02*1.3+KFC!$C$36)*KFC!$C$5</f>
        <v>89.372400000000013</v>
      </c>
      <c r="V125" s="194">
        <f>(70*KFC!$B$36*1.02*1.3+KFC!$C$36)*KFC!$C$5</f>
        <v>92.820000000000007</v>
      </c>
      <c r="W125" s="194">
        <f>(72.5*KFC!$B$36*1.02*1.3+KFC!$C$36)*KFC!$C$5</f>
        <v>96.135000000000005</v>
      </c>
      <c r="X125" s="194">
        <f>(75.1*KFC!$B$36*1.02*1.3+KFC!$C$36)*KFC!$C$5</f>
        <v>99.582599999999985</v>
      </c>
      <c r="Y125" s="194">
        <f>(77.7*KFC!$B$36*1.02*1.3+KFC!$C$36)*KFC!$C$5</f>
        <v>103.03020000000001</v>
      </c>
      <c r="Z125" s="194">
        <f>(80.4*KFC!$B$36*1.02*1.3+KFC!$C$36)*KFC!$C$5</f>
        <v>106.61040000000001</v>
      </c>
      <c r="AA125" s="195">
        <f>(82.9*KFC!$B$36*1.02*1.3+KFC!$C$36)*KFC!$C$5</f>
        <v>109.92540000000001</v>
      </c>
    </row>
    <row r="126" spans="1:27">
      <c r="A126" s="1781"/>
      <c r="B126" s="224">
        <v>0.9</v>
      </c>
      <c r="C126" s="247">
        <f>(22.1*KFC!$B$36*1.02*1.3+KFC!$C$36)*KFC!$C$5</f>
        <v>29.304600000000004</v>
      </c>
      <c r="D126" s="194">
        <f>(25.1*KFC!$B$36*1.02*1.3+KFC!$C$36)*KFC!$C$5</f>
        <v>33.282600000000002</v>
      </c>
      <c r="E126" s="194">
        <f>(28*KFC!$B$36*1.02*1.3+KFC!$C$36)*KFC!$C$5</f>
        <v>37.128000000000007</v>
      </c>
      <c r="F126" s="194">
        <f>(30.8*KFC!$B$36*1.02*1.3+KFC!$C$36)*KFC!$C$5</f>
        <v>40.840800000000002</v>
      </c>
      <c r="G126" s="194">
        <f>(33.8*KFC!$B$36*1.02*1.3+KFC!$C$36)*KFC!$C$5</f>
        <v>44.818800000000003</v>
      </c>
      <c r="H126" s="194">
        <f>(36.7*KFC!$B$36*1.02*1.3+KFC!$C$36)*KFC!$C$5</f>
        <v>48.664200000000008</v>
      </c>
      <c r="I126" s="194">
        <f>(39.5*KFC!$B$36*1.02*1.3+KFC!$C$36)*KFC!$C$5</f>
        <v>52.377000000000002</v>
      </c>
      <c r="J126" s="194">
        <f>(42.4*KFC!$B$36*1.02*1.3+KFC!$C$36)*KFC!$C$5</f>
        <v>56.2224</v>
      </c>
      <c r="K126" s="194">
        <f>(45.4*KFC!$B$36*1.02*1.3+KFC!$C$36)*KFC!$C$5</f>
        <v>60.200400000000002</v>
      </c>
      <c r="L126" s="194">
        <f>(48.3*KFC!$B$36*1.02*1.3+KFC!$C$36)*KFC!$C$5</f>
        <v>64.0458</v>
      </c>
      <c r="M126" s="194">
        <f>(51.1*KFC!$B$36*1.02*1.3+KFC!$C$36)*KFC!$C$5</f>
        <v>67.758600000000001</v>
      </c>
      <c r="N126" s="194">
        <f>(54.1*KFC!$B$36*1.02*1.3+KFC!$C$36)*KFC!$C$5</f>
        <v>71.73660000000001</v>
      </c>
      <c r="O126" s="194">
        <f>(57*KFC!$B$36*1.02*1.3+KFC!$C$36)*KFC!$C$5</f>
        <v>75.582000000000008</v>
      </c>
      <c r="P126" s="194">
        <f>(59.8*KFC!$B$36*1.02*1.3+KFC!$C$36)*KFC!$C$5</f>
        <v>79.294799999999995</v>
      </c>
      <c r="Q126" s="194">
        <f>(62.7*KFC!$B$36*1.02*1.3+KFC!$C$36)*KFC!$C$5</f>
        <v>83.140200000000007</v>
      </c>
      <c r="R126" s="194">
        <f>(65.7*KFC!$B$36*1.02*1.3+KFC!$C$36)*KFC!$C$5</f>
        <v>87.118200000000016</v>
      </c>
      <c r="S126" s="194">
        <f>(68.6*KFC!$B$36*1.02*1.3+KFC!$C$36)*KFC!$C$5</f>
        <v>90.9636</v>
      </c>
      <c r="T126" s="194">
        <f>(71.4*KFC!$B$36*1.02*1.3+KFC!$C$36)*KFC!$C$5</f>
        <v>94.676400000000001</v>
      </c>
      <c r="U126" s="194">
        <f>(74.4*KFC!$B$36*1.02*1.3+KFC!$C$36)*KFC!$C$5</f>
        <v>98.65440000000001</v>
      </c>
      <c r="V126" s="194">
        <f>(77.3*KFC!$B$36*1.02*1.3+KFC!$C$36)*KFC!$C$5</f>
        <v>102.49980000000001</v>
      </c>
      <c r="W126" s="194">
        <f>(80.1*KFC!$B$36*1.02*1.3+KFC!$C$36)*KFC!$C$5</f>
        <v>106.21259999999999</v>
      </c>
      <c r="X126" s="194">
        <f>(83*KFC!$B$36*1.02*1.3+KFC!$C$36)*KFC!$C$5</f>
        <v>110.05799999999999</v>
      </c>
      <c r="Y126" s="194">
        <f>(86*KFC!$B$36*1.02*1.3+KFC!$C$36)*KFC!$C$5</f>
        <v>114.036</v>
      </c>
      <c r="Z126" s="194">
        <f>(88.9*KFC!$B$36*1.02*1.3+KFC!$C$36)*KFC!$C$5</f>
        <v>117.88140000000001</v>
      </c>
      <c r="AA126" s="195">
        <f>(91.7*KFC!$B$36*1.02*1.3+KFC!$C$36)*KFC!$C$5</f>
        <v>121.59420000000001</v>
      </c>
    </row>
    <row r="127" spans="1:27">
      <c r="A127" s="1781"/>
      <c r="B127" s="224">
        <v>1</v>
      </c>
      <c r="C127" s="247">
        <f>(23.4*KFC!$B$36*1.02*1.3+KFC!$C$36)*KFC!$C$5</f>
        <v>31.028399999999998</v>
      </c>
      <c r="D127" s="194">
        <f>(26.7*KFC!$B$36*1.02*1.3+KFC!$C$36)*KFC!$C$5</f>
        <v>35.404199999999996</v>
      </c>
      <c r="E127" s="194">
        <f>(29.8*KFC!$B$36*1.02*1.3+KFC!$C$36)*KFC!$C$5</f>
        <v>39.514800000000001</v>
      </c>
      <c r="F127" s="194">
        <f>(33*KFC!$B$36*1.02*1.3+KFC!$C$36)*KFC!$C$5</f>
        <v>43.75800000000001</v>
      </c>
      <c r="G127" s="194">
        <f>(36.3*KFC!$B$36*1.02*1.3+KFC!$C$36)*KFC!$C$5</f>
        <v>48.133799999999994</v>
      </c>
      <c r="H127" s="194">
        <f>(39.5*KFC!$B$36*1.02*1.3+KFC!$C$36)*KFC!$C$5</f>
        <v>52.377000000000002</v>
      </c>
      <c r="I127" s="194">
        <f>(42.7*KFC!$B$36*1.02*1.3+KFC!$C$36)*KFC!$C$5</f>
        <v>56.620200000000004</v>
      </c>
      <c r="J127" s="194">
        <f>(46*KFC!$B$36*1.02*1.3+KFC!$C$36)*KFC!$C$5</f>
        <v>60.996000000000002</v>
      </c>
      <c r="K127" s="194">
        <f>(49.2*KFC!$B$36*1.02*1.3+KFC!$C$36)*KFC!$C$5</f>
        <v>65.239200000000011</v>
      </c>
      <c r="L127" s="194">
        <f>(52.3*KFC!$B$36*1.02*1.3+KFC!$C$36)*KFC!$C$5</f>
        <v>69.349800000000002</v>
      </c>
      <c r="M127" s="194">
        <f>(55.6*KFC!$B$36*1.02*1.3+KFC!$C$36)*KFC!$C$5</f>
        <v>73.7256</v>
      </c>
      <c r="N127" s="194">
        <f>(58.8*KFC!$B$36*1.02*1.3+KFC!$C$36)*KFC!$C$5</f>
        <v>77.968800000000002</v>
      </c>
      <c r="O127" s="194">
        <f>(62*KFC!$B$36*1.02*1.3+KFC!$C$36)*KFC!$C$5</f>
        <v>82.212000000000003</v>
      </c>
      <c r="P127" s="194">
        <f>(65.2*KFC!$B$36*1.02*1.3+KFC!$C$36)*KFC!$C$5</f>
        <v>86.455200000000005</v>
      </c>
      <c r="Q127" s="194">
        <f>(68.5*KFC!$B$36*1.02*1.3+KFC!$C$36)*KFC!$C$5</f>
        <v>90.831000000000003</v>
      </c>
      <c r="R127" s="194">
        <f>(71.7*KFC!$B$36*1.02*1.3+KFC!$C$36)*KFC!$C$5</f>
        <v>95.074200000000005</v>
      </c>
      <c r="S127" s="194">
        <f>(74.8*KFC!$B$36*1.02*1.3+KFC!$C$36)*KFC!$C$5</f>
        <v>99.184799999999996</v>
      </c>
      <c r="T127" s="194">
        <f>(78.1*KFC!$B$36*1.02*1.3+KFC!$C$36)*KFC!$C$5</f>
        <v>103.56059999999999</v>
      </c>
      <c r="U127" s="194">
        <f>(81.3*KFC!$B$36*1.02*1.3+KFC!$C$36)*KFC!$C$5</f>
        <v>107.80380000000001</v>
      </c>
      <c r="V127" s="194">
        <f>(84.5*KFC!$B$36*1.02*1.3+KFC!$C$36)*KFC!$C$5</f>
        <v>112.047</v>
      </c>
      <c r="W127" s="194">
        <f>(87.8*KFC!$B$36*1.02*1.3+KFC!$C$36)*KFC!$C$5</f>
        <v>116.4228</v>
      </c>
      <c r="X127" s="194">
        <f>(91*KFC!$B$36*1.02*1.3+KFC!$C$36)*KFC!$C$5</f>
        <v>120.66600000000001</v>
      </c>
      <c r="Y127" s="194">
        <f>(94.2*KFC!$B$36*1.02*1.3+KFC!$C$36)*KFC!$C$5</f>
        <v>124.90920000000001</v>
      </c>
      <c r="Z127" s="194">
        <f>(97.5*KFC!$B$36*1.02*1.3+KFC!$C$36)*KFC!$C$5</f>
        <v>129.285</v>
      </c>
      <c r="AA127" s="195">
        <f>(100.7*KFC!$B$36*1.02*1.3+KFC!$C$36)*KFC!$C$5</f>
        <v>133.5282</v>
      </c>
    </row>
    <row r="128" spans="1:27">
      <c r="A128" s="1781"/>
      <c r="B128" s="224">
        <v>1.1000000000000001</v>
      </c>
      <c r="C128" s="247">
        <f>(24.7*KFC!$B$36*1.02*1.3+KFC!$C$36)*KFC!$C$5</f>
        <v>32.752200000000002</v>
      </c>
      <c r="D128" s="194">
        <f>(28.3*KFC!$B$36*1.02*1.3+KFC!$C$36)*KFC!$C$5</f>
        <v>37.525800000000004</v>
      </c>
      <c r="E128" s="194">
        <f>(31.8*KFC!$B$36*1.02*1.3+KFC!$C$36)*KFC!$C$5</f>
        <v>42.166800000000002</v>
      </c>
      <c r="F128" s="194">
        <f>(35.2*KFC!$B$36*1.02*1.3+KFC!$C$36)*KFC!$C$5</f>
        <v>46.675200000000004</v>
      </c>
      <c r="G128" s="194">
        <f>(38.8*KFC!$B$36*1.02*1.3+KFC!$C$36)*KFC!$C$5</f>
        <v>51.448800000000006</v>
      </c>
      <c r="H128" s="194">
        <f>(42.3*KFC!$B$36*1.02*1.3+KFC!$C$36)*KFC!$C$5</f>
        <v>56.089800000000004</v>
      </c>
      <c r="I128" s="194">
        <f>(45.9*KFC!$B$36*1.02*1.3+KFC!$C$36)*KFC!$C$5</f>
        <v>60.863399999999999</v>
      </c>
      <c r="J128" s="194">
        <f>(49.4*KFC!$B$36*1.02*1.3+KFC!$C$36)*KFC!$C$5</f>
        <v>65.504400000000004</v>
      </c>
      <c r="K128" s="194">
        <f>(53*KFC!$B$36*1.02*1.3+KFC!$C$36)*KFC!$C$5</f>
        <v>70.278000000000006</v>
      </c>
      <c r="L128" s="194">
        <f>(56.5*KFC!$B$36*1.02*1.3+KFC!$C$36)*KFC!$C$5</f>
        <v>74.919000000000011</v>
      </c>
      <c r="M128" s="194">
        <f>(60*KFC!$B$36*1.02*1.3+KFC!$C$36)*KFC!$C$5</f>
        <v>79.56</v>
      </c>
      <c r="N128" s="194">
        <f>(63.6*KFC!$B$36*1.02*1.3+KFC!$C$36)*KFC!$C$5</f>
        <v>84.333600000000004</v>
      </c>
      <c r="O128" s="194">
        <f>(67.1*KFC!$B$36*1.02*1.3+KFC!$C$36)*KFC!$C$5</f>
        <v>88.974599999999995</v>
      </c>
      <c r="P128" s="194">
        <f>(70.6*KFC!$B$36*1.02*1.3+KFC!$C$36)*KFC!$C$5</f>
        <v>93.615600000000001</v>
      </c>
      <c r="Q128" s="194">
        <f>(74.1*KFC!$B$36*1.02*1.3+KFC!$C$36)*KFC!$C$5</f>
        <v>98.256599999999992</v>
      </c>
      <c r="R128" s="194">
        <f>(77.7*KFC!$B$36*1.02*1.3+KFC!$C$36)*KFC!$C$5</f>
        <v>103.03020000000001</v>
      </c>
      <c r="S128" s="194">
        <f>(81.2*KFC!$B$36*1.02*1.3+KFC!$C$36)*KFC!$C$5</f>
        <v>107.6712</v>
      </c>
      <c r="T128" s="194">
        <f>(84.8*KFC!$B$36*1.02*1.3+KFC!$C$36)*KFC!$C$5</f>
        <v>112.4448</v>
      </c>
      <c r="U128" s="194">
        <f>(88.3*KFC!$B$36*1.02*1.3+KFC!$C$36)*KFC!$C$5</f>
        <v>117.08580000000001</v>
      </c>
      <c r="V128" s="194">
        <f>(91.8*KFC!$B$36*1.02*1.3+KFC!$C$36)*KFC!$C$5</f>
        <v>121.7268</v>
      </c>
      <c r="W128" s="194">
        <f>(95.4*KFC!$B$36*1.02*1.3+KFC!$C$36)*KFC!$C$5</f>
        <v>126.50040000000001</v>
      </c>
      <c r="X128" s="194">
        <f>(98.9*KFC!$B$36*1.02*1.3+KFC!$C$36)*KFC!$C$5</f>
        <v>131.14140000000003</v>
      </c>
      <c r="Y128" s="194">
        <f>(102.5*KFC!$B$36*1.02*1.3+KFC!$C$36)*KFC!$C$5</f>
        <v>135.91499999999999</v>
      </c>
      <c r="Z128" s="194">
        <f>(106*KFC!$B$36*1.02*1.3+KFC!$C$36)*KFC!$C$5</f>
        <v>140.55600000000001</v>
      </c>
      <c r="AA128" s="195">
        <f>(109.5*KFC!$B$36*1.02*1.3+KFC!$C$36)*KFC!$C$5</f>
        <v>145.197</v>
      </c>
    </row>
    <row r="129" spans="1:27">
      <c r="A129" s="1781"/>
      <c r="B129" s="224">
        <v>1.2</v>
      </c>
      <c r="C129" s="247">
        <f>(25.9*KFC!$B$36*1.02*1.3+KFC!$C$36)*KFC!$C$5</f>
        <v>34.343400000000003</v>
      </c>
      <c r="D129" s="194">
        <f>(29.8*KFC!$B$36*1.02*1.3+KFC!$C$36)*KFC!$C$5</f>
        <v>39.514800000000001</v>
      </c>
      <c r="E129" s="194">
        <f>(33.6*KFC!$B$36*1.02*1.3+KFC!$C$36)*KFC!$C$5</f>
        <v>44.55360000000001</v>
      </c>
      <c r="F129" s="194">
        <f>(37.5*KFC!$B$36*1.02*1.3+KFC!$C$36)*KFC!$C$5</f>
        <v>49.725000000000001</v>
      </c>
      <c r="G129" s="194">
        <f>(41.3*KFC!$B$36*1.02*1.3+KFC!$C$36)*KFC!$C$5</f>
        <v>54.763799999999996</v>
      </c>
      <c r="H129" s="194">
        <f>(45.3*KFC!$B$36*1.02*1.3+KFC!$C$36)*KFC!$C$5</f>
        <v>60.067799999999998</v>
      </c>
      <c r="I129" s="194">
        <f>(49*KFC!$B$36*1.02*1.3+KFC!$C$36)*KFC!$C$5</f>
        <v>64.974000000000004</v>
      </c>
      <c r="J129" s="194">
        <f>(53*KFC!$B$36*1.02*1.3+KFC!$C$36)*KFC!$C$5</f>
        <v>70.278000000000006</v>
      </c>
      <c r="K129" s="194">
        <f>(56.7*KFC!$B$36*1.02*1.3+KFC!$C$36)*KFC!$C$5</f>
        <v>75.184200000000004</v>
      </c>
      <c r="L129" s="194">
        <f>(60.7*KFC!$B$36*1.02*1.3+KFC!$C$36)*KFC!$C$5</f>
        <v>80.488200000000006</v>
      </c>
      <c r="M129" s="194">
        <f>(64.5*KFC!$B$36*1.02*1.3+KFC!$C$36)*KFC!$C$5</f>
        <v>85.527000000000015</v>
      </c>
      <c r="N129" s="194">
        <f>(68.4*KFC!$B$36*1.02*1.3+KFC!$C$36)*KFC!$C$5</f>
        <v>90.698400000000007</v>
      </c>
      <c r="O129" s="194">
        <f>(72.2*KFC!$B$36*1.02*1.3+KFC!$C$36)*KFC!$C$5</f>
        <v>95.737200000000016</v>
      </c>
      <c r="P129" s="194">
        <f>(76.1*KFC!$B$36*1.02*1.3+KFC!$C$36)*KFC!$C$5</f>
        <v>100.90860000000001</v>
      </c>
      <c r="Q129" s="194">
        <f>(79.9*KFC!$B$36*1.02*1.3+KFC!$C$36)*KFC!$C$5</f>
        <v>105.94740000000002</v>
      </c>
      <c r="R129" s="194">
        <f>(83.8*KFC!$B$36*1.02*1.3+KFC!$C$36)*KFC!$C$5</f>
        <v>111.11880000000001</v>
      </c>
      <c r="S129" s="194">
        <f>(87.6*KFC!$B$36*1.02*1.3+KFC!$C$36)*KFC!$C$5</f>
        <v>116.15759999999999</v>
      </c>
      <c r="T129" s="194">
        <f>(91.5*KFC!$B$36*1.02*1.3+KFC!$C$36)*KFC!$C$5</f>
        <v>121.32900000000001</v>
      </c>
      <c r="U129" s="194">
        <f>(95.3*KFC!$B$36*1.02*1.3+KFC!$C$36)*KFC!$C$5</f>
        <v>126.3678</v>
      </c>
      <c r="V129" s="194">
        <f>(99.2*KFC!$B$36*1.02*1.3+KFC!$C$36)*KFC!$C$5</f>
        <v>131.53920000000002</v>
      </c>
      <c r="W129" s="194">
        <f>(103*KFC!$B$36*1.02*1.3+KFC!$C$36)*KFC!$C$5</f>
        <v>136.578</v>
      </c>
      <c r="X129" s="194">
        <f>(106.9*KFC!$B$36*1.02*1.3+KFC!$C$36)*KFC!$C$5</f>
        <v>141.74940000000001</v>
      </c>
      <c r="Y129" s="194">
        <f>(110.7*KFC!$B$36*1.02*1.3+KFC!$C$36)*KFC!$C$5</f>
        <v>146.78820000000002</v>
      </c>
      <c r="Z129" s="194">
        <f>(114.6*KFC!$B$36*1.02*1.3+KFC!$C$36)*KFC!$C$5</f>
        <v>151.95959999999999</v>
      </c>
      <c r="AA129" s="195">
        <f>(118.4*KFC!$B$36*1.02*1.3+KFC!$C$36)*KFC!$C$5</f>
        <v>156.99840000000003</v>
      </c>
    </row>
    <row r="130" spans="1:27">
      <c r="A130" s="1781"/>
      <c r="B130" s="224">
        <v>1.3</v>
      </c>
      <c r="C130" s="247">
        <f>(27.2*KFC!$B$36*1.02*1.3+KFC!$C$36)*KFC!$C$5</f>
        <v>36.0672</v>
      </c>
      <c r="D130" s="194">
        <f>(31.3*KFC!$B$36*1.02*1.3+KFC!$C$36)*KFC!$C$5</f>
        <v>41.503800000000005</v>
      </c>
      <c r="E130" s="194">
        <f>(35.5*KFC!$B$36*1.02*1.3+KFC!$C$36)*KFC!$C$5</f>
        <v>47.073</v>
      </c>
      <c r="F130" s="194">
        <f>(39.7*KFC!$B$36*1.02*1.3+KFC!$C$36)*KFC!$C$5</f>
        <v>52.64220000000001</v>
      </c>
      <c r="G130" s="194">
        <f>(43.9*KFC!$B$36*1.02*1.3+KFC!$C$36)*KFC!$C$5</f>
        <v>58.211399999999998</v>
      </c>
      <c r="H130" s="194">
        <f>(48.1*KFC!$B$36*1.02*1.3+KFC!$C$36)*KFC!$C$5</f>
        <v>63.780600000000007</v>
      </c>
      <c r="I130" s="194">
        <f>(52.2*KFC!$B$36*1.02*1.3+KFC!$C$36)*KFC!$C$5</f>
        <v>69.217200000000005</v>
      </c>
      <c r="J130" s="194">
        <f>(56.4*KFC!$B$36*1.02*1.3+KFC!$C$36)*KFC!$C$5</f>
        <v>74.7864</v>
      </c>
      <c r="K130" s="194">
        <f>(60.5*KFC!$B$36*1.02*1.3+KFC!$C$36)*KFC!$C$5</f>
        <v>80.222999999999999</v>
      </c>
      <c r="L130" s="194">
        <f>(64.7*KFC!$B$36*1.02*1.3+KFC!$C$36)*KFC!$C$5</f>
        <v>85.792200000000008</v>
      </c>
      <c r="M130" s="194">
        <f>(68.9*KFC!$B$36*1.02*1.3+KFC!$C$36)*KFC!$C$5</f>
        <v>91.361400000000017</v>
      </c>
      <c r="N130" s="194">
        <f>(73*KFC!$B$36*1.02*1.3+KFC!$C$36)*KFC!$C$5</f>
        <v>96.798000000000016</v>
      </c>
      <c r="O130" s="194">
        <f>(77.2*KFC!$B$36*1.02*1.3+KFC!$C$36)*KFC!$C$5</f>
        <v>102.3672</v>
      </c>
      <c r="P130" s="194">
        <f>(81.5*KFC!$B$36*1.02*1.3+KFC!$C$36)*KFC!$C$5</f>
        <v>108.069</v>
      </c>
      <c r="Q130" s="194">
        <f>(85.6*KFC!$B$36*1.02*1.3+KFC!$C$36)*KFC!$C$5</f>
        <v>113.5056</v>
      </c>
      <c r="R130" s="194">
        <f>(89.8*KFC!$B$36*1.02*1.3+KFC!$C$36)*KFC!$C$5</f>
        <v>119.07480000000001</v>
      </c>
      <c r="S130" s="194">
        <f>(93.9*KFC!$B$36*1.02*1.3+KFC!$C$36)*KFC!$C$5</f>
        <v>124.51140000000001</v>
      </c>
      <c r="T130" s="194">
        <f>(98.1*KFC!$B$36*1.02*1.3+KFC!$C$36)*KFC!$C$5</f>
        <v>130.0806</v>
      </c>
      <c r="U130" s="194">
        <f>(102.2*KFC!$B$36*1.02*1.3+KFC!$C$36)*KFC!$C$5</f>
        <v>135.5172</v>
      </c>
      <c r="V130" s="194">
        <f>(106.4*KFC!$B$36*1.02*1.3+KFC!$C$36)*KFC!$C$5</f>
        <v>141.08640000000003</v>
      </c>
      <c r="W130" s="194">
        <f>(110.6*KFC!$B$36*1.02*1.3+KFC!$C$36)*KFC!$C$5</f>
        <v>146.65559999999999</v>
      </c>
      <c r="X130" s="194">
        <f>(114.7*KFC!$B$36*1.02*1.3+KFC!$C$36)*KFC!$C$5</f>
        <v>152.09219999999999</v>
      </c>
      <c r="Y130" s="194">
        <f>(118.9*KFC!$B$36*1.02*1.3+KFC!$C$36)*KFC!$C$5</f>
        <v>157.66140000000001</v>
      </c>
      <c r="Z130" s="194">
        <f>(123*KFC!$B$36*1.02*1.3+KFC!$C$36)*KFC!$C$5</f>
        <v>163.09800000000001</v>
      </c>
      <c r="AA130" s="195">
        <f>(127.3*KFC!$B$36*1.02*1.3+KFC!$C$36)*KFC!$C$5</f>
        <v>168.7998</v>
      </c>
    </row>
    <row r="131" spans="1:27">
      <c r="A131" s="1781"/>
      <c r="B131" s="224">
        <v>1.4</v>
      </c>
      <c r="C131" s="247">
        <f>(28.5*KFC!$B$36*1.02*1.3+KFC!$C$36)*KFC!$C$5</f>
        <v>37.791000000000004</v>
      </c>
      <c r="D131" s="194">
        <f>(32.9*KFC!$B$36*1.02*1.3+KFC!$C$36)*KFC!$C$5</f>
        <v>43.625399999999999</v>
      </c>
      <c r="E131" s="194">
        <f>(37.4*KFC!$B$36*1.02*1.3+KFC!$C$36)*KFC!$C$5</f>
        <v>49.592399999999998</v>
      </c>
      <c r="F131" s="194">
        <f>(41.9*KFC!$B$36*1.02*1.3+KFC!$C$36)*KFC!$C$5</f>
        <v>55.559400000000004</v>
      </c>
      <c r="G131" s="194">
        <f>(46.4*KFC!$B$36*1.02*1.3+KFC!$C$36)*KFC!$C$5</f>
        <v>61.526399999999995</v>
      </c>
      <c r="H131" s="194">
        <f>(50.9*KFC!$B$36*1.02*1.3+KFC!$C$36)*KFC!$C$5</f>
        <v>67.493400000000008</v>
      </c>
      <c r="I131" s="194">
        <f>(55.4*KFC!$B$36*1.02*1.3+KFC!$C$36)*KFC!$C$5</f>
        <v>73.460400000000007</v>
      </c>
      <c r="J131" s="194">
        <f>(59.8*KFC!$B$36*1.02*1.3+KFC!$C$36)*KFC!$C$5</f>
        <v>79.294799999999995</v>
      </c>
      <c r="K131" s="194">
        <f>(64.3*KFC!$B$36*1.02*1.3+KFC!$C$36)*KFC!$C$5</f>
        <v>85.261800000000008</v>
      </c>
      <c r="L131" s="194">
        <f>(68.9*KFC!$B$36*1.02*1.3+KFC!$C$36)*KFC!$C$5</f>
        <v>91.361400000000017</v>
      </c>
      <c r="M131" s="194">
        <f>(73.3*KFC!$B$36*1.02*1.3+KFC!$C$36)*KFC!$C$5</f>
        <v>97.195800000000006</v>
      </c>
      <c r="N131" s="194">
        <f>(77.8*KFC!$B$36*1.02*1.3+KFC!$C$36)*KFC!$C$5</f>
        <v>103.16279999999999</v>
      </c>
      <c r="O131" s="194">
        <f>(82.3*KFC!$B$36*1.02*1.3+KFC!$C$36)*KFC!$C$5</f>
        <v>109.1298</v>
      </c>
      <c r="P131" s="194">
        <f>(86.8*KFC!$B$36*1.02*1.3+KFC!$C$36)*KFC!$C$5</f>
        <v>115.0968</v>
      </c>
      <c r="Q131" s="194">
        <f>(91.2*KFC!$B$36*1.02*1.3+KFC!$C$36)*KFC!$C$5</f>
        <v>120.9312</v>
      </c>
      <c r="R131" s="194">
        <f>(95.8*KFC!$B$36*1.02*1.3+KFC!$C$36)*KFC!$C$5</f>
        <v>127.0308</v>
      </c>
      <c r="S131" s="194">
        <f>(100.3*KFC!$B$36*1.02*1.3+KFC!$C$36)*KFC!$C$5</f>
        <v>132.99780000000001</v>
      </c>
      <c r="T131" s="194">
        <f>(104.7*KFC!$B$36*1.02*1.3+KFC!$C$36)*KFC!$C$5</f>
        <v>138.83220000000003</v>
      </c>
      <c r="U131" s="194">
        <f>(109.2*KFC!$B$36*1.02*1.3+KFC!$C$36)*KFC!$C$5</f>
        <v>144.79920000000001</v>
      </c>
      <c r="V131" s="194">
        <f>(113.7*KFC!$B$36*1.02*1.3+KFC!$C$36)*KFC!$C$5</f>
        <v>150.7662</v>
      </c>
      <c r="W131" s="194">
        <f>(118.1*KFC!$B$36*1.02*1.3+KFC!$C$36)*KFC!$C$5</f>
        <v>156.60060000000001</v>
      </c>
      <c r="X131" s="194">
        <f>(122.7*KFC!$B$36*1.02*1.3+KFC!$C$36)*KFC!$C$5</f>
        <v>162.70020000000002</v>
      </c>
      <c r="Y131" s="194">
        <f>(127.2*KFC!$B$36*1.02*1.3+KFC!$C$36)*KFC!$C$5</f>
        <v>168.66720000000001</v>
      </c>
      <c r="Z131" s="194">
        <f>(131.6*KFC!$B$36*1.02*1.3+KFC!$C$36)*KFC!$C$5</f>
        <v>174.5016</v>
      </c>
      <c r="AA131" s="195">
        <f>(136.1*KFC!$B$36*1.02*1.3+KFC!$C$36)*KFC!$C$5</f>
        <v>180.46860000000001</v>
      </c>
    </row>
    <row r="132" spans="1:27">
      <c r="A132" s="1781"/>
      <c r="B132" s="224">
        <v>1.5</v>
      </c>
      <c r="C132" s="247">
        <f>(29.7*KFC!$B$36*1.02*1.3+KFC!$C$36)*KFC!$C$5</f>
        <v>39.382200000000005</v>
      </c>
      <c r="D132" s="194">
        <f>(34.5*KFC!$B$36*1.02*1.3+KFC!$C$36)*KFC!$C$5</f>
        <v>45.747</v>
      </c>
      <c r="E132" s="194">
        <f>(39.3*KFC!$B$36*1.02*1.3+KFC!$C$36)*KFC!$C$5</f>
        <v>52.111800000000002</v>
      </c>
      <c r="F132" s="194">
        <f>(44.2*KFC!$B$36*1.02*1.3+KFC!$C$36)*KFC!$C$5</f>
        <v>58.609200000000008</v>
      </c>
      <c r="G132" s="194">
        <f>(48.9*KFC!$B$36*1.02*1.3+KFC!$C$36)*KFC!$C$5</f>
        <v>64.841400000000007</v>
      </c>
      <c r="H132" s="194">
        <f>(53.7*KFC!$B$36*1.02*1.3+KFC!$C$36)*KFC!$C$5</f>
        <v>71.20620000000001</v>
      </c>
      <c r="I132" s="194">
        <f>(58.6*KFC!$B$36*1.02*1.3+KFC!$C$36)*KFC!$C$5</f>
        <v>77.703600000000009</v>
      </c>
      <c r="J132" s="194">
        <f>(63.4*KFC!$B$36*1.02*1.3+KFC!$C$36)*KFC!$C$5</f>
        <v>84.068400000000011</v>
      </c>
      <c r="K132" s="194">
        <f>(68.1*KFC!$B$36*1.02*1.3+KFC!$C$36)*KFC!$C$5</f>
        <v>90.300599999999989</v>
      </c>
      <c r="L132" s="194">
        <f>(72.9*KFC!$B$36*1.02*1.3+KFC!$C$36)*KFC!$C$5</f>
        <v>96.665400000000005</v>
      </c>
      <c r="M132" s="194">
        <f>(77.8*KFC!$B$36*1.02*1.3+KFC!$C$36)*KFC!$C$5</f>
        <v>103.16279999999999</v>
      </c>
      <c r="N132" s="194">
        <f>(82.6*KFC!$B$36*1.02*1.3+KFC!$C$36)*KFC!$C$5</f>
        <v>109.52759999999999</v>
      </c>
      <c r="O132" s="194">
        <f>(87.3*KFC!$B$36*1.02*1.3+KFC!$C$36)*KFC!$C$5</f>
        <v>115.7598</v>
      </c>
      <c r="P132" s="194">
        <f>(92.2*KFC!$B$36*1.02*1.3+KFC!$C$36)*KFC!$C$5</f>
        <v>122.25720000000001</v>
      </c>
      <c r="Q132" s="194">
        <f>(97*KFC!$B$36*1.02*1.3+KFC!$C$36)*KFC!$C$5</f>
        <v>128.62200000000001</v>
      </c>
      <c r="R132" s="194">
        <f>(101.8*KFC!$B$36*1.02*1.3+KFC!$C$36)*KFC!$C$5</f>
        <v>134.98680000000002</v>
      </c>
      <c r="S132" s="194">
        <f>(106.5*KFC!$B$36*1.02*1.3+KFC!$C$36)*KFC!$C$5</f>
        <v>141.21899999999999</v>
      </c>
      <c r="T132" s="194">
        <f>(111.4*KFC!$B$36*1.02*1.3+KFC!$C$36)*KFC!$C$5</f>
        <v>147.71640000000002</v>
      </c>
      <c r="U132" s="194">
        <f>(116.2*KFC!$B$36*1.02*1.3+KFC!$C$36)*KFC!$C$5</f>
        <v>154.0812</v>
      </c>
      <c r="V132" s="194">
        <f>(121*KFC!$B$36*1.02*1.3+KFC!$C$36)*KFC!$C$5</f>
        <v>160.446</v>
      </c>
      <c r="W132" s="194">
        <f>(125.8*KFC!$B$36*1.02*1.3+KFC!$C$36)*KFC!$C$5</f>
        <v>166.8108</v>
      </c>
      <c r="X132" s="194">
        <f>(130.6*KFC!$B$36*1.02*1.3+KFC!$C$36)*KFC!$C$5</f>
        <v>173.1756</v>
      </c>
      <c r="Y132" s="194">
        <f>(135.4*KFC!$B$36*1.02*1.3+KFC!$C$36)*KFC!$C$5</f>
        <v>179.54040000000001</v>
      </c>
      <c r="Z132" s="194">
        <f>(140.2*KFC!$B$36*1.02*1.3+KFC!$C$36)*KFC!$C$5</f>
        <v>185.90520000000001</v>
      </c>
      <c r="AA132" s="195">
        <f>(145*KFC!$B$36*1.02*1.3+KFC!$C$36)*KFC!$C$5</f>
        <v>192.27</v>
      </c>
    </row>
    <row r="133" spans="1:27">
      <c r="A133" s="1781"/>
      <c r="B133" s="224">
        <v>1.6</v>
      </c>
      <c r="C133" s="247">
        <f>(30.9*KFC!$B$36*1.02*1.3+KFC!$C$36)*KFC!$C$5</f>
        <v>40.973400000000005</v>
      </c>
      <c r="D133" s="194">
        <f>(36.1*KFC!$B$36*1.02*1.3+KFC!$C$36)*KFC!$C$5</f>
        <v>47.868600000000008</v>
      </c>
      <c r="E133" s="194">
        <f>(41.2*KFC!$B$36*1.02*1.3+KFC!$C$36)*KFC!$C$5</f>
        <v>54.6312</v>
      </c>
      <c r="F133" s="194">
        <f>(46.4*KFC!$B$36*1.02*1.3+KFC!$C$36)*KFC!$C$5</f>
        <v>61.526399999999995</v>
      </c>
      <c r="G133" s="194">
        <f>(51.5*KFC!$B$36*1.02*1.3+KFC!$C$36)*KFC!$C$5</f>
        <v>68.289000000000001</v>
      </c>
      <c r="H133" s="194">
        <f>(56.6*KFC!$B$36*1.02*1.3+KFC!$C$36)*KFC!$C$5</f>
        <v>75.051600000000008</v>
      </c>
      <c r="I133" s="194">
        <f>(61.6*KFC!$B$36*1.02*1.3+KFC!$C$36)*KFC!$C$5</f>
        <v>81.681600000000003</v>
      </c>
      <c r="J133" s="194">
        <f>(66.8*KFC!$B$36*1.02*1.3+KFC!$C$36)*KFC!$C$5</f>
        <v>88.576799999999992</v>
      </c>
      <c r="K133" s="194">
        <f>(71.9*KFC!$B$36*1.02*1.3+KFC!$C$36)*KFC!$C$5</f>
        <v>95.339400000000012</v>
      </c>
      <c r="L133" s="194">
        <f>(77*KFC!$B$36*1.02*1.3+KFC!$C$36)*KFC!$C$5</f>
        <v>102.10200000000002</v>
      </c>
      <c r="M133" s="194">
        <f>(82.2*KFC!$B$36*1.02*1.3+KFC!$C$36)*KFC!$C$5</f>
        <v>108.99720000000002</v>
      </c>
      <c r="N133" s="194">
        <f>(87.3*KFC!$B$36*1.02*1.3+KFC!$C$36)*KFC!$C$5</f>
        <v>115.7598</v>
      </c>
      <c r="O133" s="194">
        <f>(92.5*KFC!$B$36*1.02*1.3+KFC!$C$36)*KFC!$C$5</f>
        <v>122.65500000000002</v>
      </c>
      <c r="P133" s="194">
        <f>(97.6*KFC!$B$36*1.02*1.3+KFC!$C$36)*KFC!$C$5</f>
        <v>129.41759999999999</v>
      </c>
      <c r="Q133" s="194">
        <f>(102.6*KFC!$B$36*1.02*1.3+KFC!$C$36)*KFC!$C$5</f>
        <v>136.04760000000002</v>
      </c>
      <c r="R133" s="194">
        <f>(107.7*KFC!$B$36*1.02*1.3+KFC!$C$36)*KFC!$C$5</f>
        <v>142.81020000000001</v>
      </c>
      <c r="S133" s="194">
        <f>(112.9*KFC!$B$36*1.02*1.3+KFC!$C$36)*KFC!$C$5</f>
        <v>149.7054</v>
      </c>
      <c r="T133" s="194">
        <f>(118*KFC!$B$36*1.02*1.3+KFC!$C$36)*KFC!$C$5</f>
        <v>156.46800000000002</v>
      </c>
      <c r="U133" s="194">
        <f>(123.2*KFC!$B$36*1.02*1.3+KFC!$C$36)*KFC!$C$5</f>
        <v>163.36320000000001</v>
      </c>
      <c r="V133" s="194">
        <f>(128.3*KFC!$B$36*1.02*1.3+KFC!$C$36)*KFC!$C$5</f>
        <v>170.12580000000003</v>
      </c>
      <c r="W133" s="194">
        <f>(133.4*KFC!$B$36*1.02*1.3+KFC!$C$36)*KFC!$C$5</f>
        <v>176.88840000000002</v>
      </c>
      <c r="X133" s="194">
        <f>(138.6*KFC!$B$36*1.02*1.3+KFC!$C$36)*KFC!$C$5</f>
        <v>183.78359999999998</v>
      </c>
      <c r="Y133" s="194">
        <f>(143.7*KFC!$B$36*1.02*1.3+KFC!$C$36)*KFC!$C$5</f>
        <v>190.5462</v>
      </c>
      <c r="Z133" s="194">
        <f>(148.7*KFC!$B$36*1.02*1.3+KFC!$C$36)*KFC!$C$5</f>
        <v>197.17619999999997</v>
      </c>
      <c r="AA133" s="195">
        <f>(153.9*KFC!$B$36*1.02*1.3+KFC!$C$36)*KFC!$C$5</f>
        <v>204.07140000000001</v>
      </c>
    </row>
    <row r="134" spans="1:27">
      <c r="A134" s="1781"/>
      <c r="B134" s="224">
        <v>1.7</v>
      </c>
      <c r="C134" s="247">
        <f>(32.2*KFC!$B$36*1.02*1.3+KFC!$C$36)*KFC!$C$5</f>
        <v>42.697200000000002</v>
      </c>
      <c r="D134" s="194">
        <f>(37.7*KFC!$B$36*1.02*1.3+KFC!$C$36)*KFC!$C$5</f>
        <v>49.990200000000002</v>
      </c>
      <c r="E134" s="194">
        <f>(43*KFC!$B$36*1.02*1.3+KFC!$C$36)*KFC!$C$5</f>
        <v>57.018000000000001</v>
      </c>
      <c r="F134" s="194">
        <f>(48.6*KFC!$B$36*1.02*1.3+KFC!$C$36)*KFC!$C$5</f>
        <v>64.443600000000004</v>
      </c>
      <c r="G134" s="194">
        <f>(53.9*KFC!$B$36*1.02*1.3+KFC!$C$36)*KFC!$C$5</f>
        <v>71.471400000000003</v>
      </c>
      <c r="H134" s="194">
        <f>(59.4*KFC!$B$36*1.02*1.3+KFC!$C$36)*KFC!$C$5</f>
        <v>78.764400000000009</v>
      </c>
      <c r="I134" s="194">
        <f>(64.8*KFC!$B$36*1.02*1.3+KFC!$C$36)*KFC!$C$5</f>
        <v>85.924800000000005</v>
      </c>
      <c r="J134" s="194">
        <f>(70.3*KFC!$B$36*1.02*1.3+KFC!$C$36)*KFC!$C$5</f>
        <v>93.217800000000011</v>
      </c>
      <c r="K134" s="194">
        <f>(75.7*KFC!$B$36*1.02*1.3+KFC!$C$36)*KFC!$C$5</f>
        <v>100.37820000000001</v>
      </c>
      <c r="L134" s="194">
        <f>(81.2*KFC!$B$36*1.02*1.3+KFC!$C$36)*KFC!$C$5</f>
        <v>107.6712</v>
      </c>
      <c r="M134" s="194">
        <f>(86.6*KFC!$B$36*1.02*1.3+KFC!$C$36)*KFC!$C$5</f>
        <v>114.83159999999999</v>
      </c>
      <c r="N134" s="194">
        <f>(92.1*KFC!$B$36*1.02*1.3+KFC!$C$36)*KFC!$C$5</f>
        <v>122.1246</v>
      </c>
      <c r="O134" s="194">
        <f>(97.5*KFC!$B$36*1.02*1.3+KFC!$C$36)*KFC!$C$5</f>
        <v>129.285</v>
      </c>
      <c r="P134" s="194">
        <f>(103*KFC!$B$36*1.02*1.3+KFC!$C$36)*KFC!$C$5</f>
        <v>136.578</v>
      </c>
      <c r="Q134" s="194">
        <f>(108.4*KFC!$B$36*1.02*1.3+KFC!$C$36)*KFC!$C$5</f>
        <v>143.73840000000001</v>
      </c>
      <c r="R134" s="194">
        <f>(113.9*KFC!$B$36*1.02*1.3+KFC!$C$36)*KFC!$C$5</f>
        <v>151.03140000000002</v>
      </c>
      <c r="S134" s="194">
        <f>(119.2*KFC!$B$36*1.02*1.3+KFC!$C$36)*KFC!$C$5</f>
        <v>158.0592</v>
      </c>
      <c r="T134" s="194">
        <f>(124.7*KFC!$B$36*1.02*1.3+KFC!$C$36)*KFC!$C$5</f>
        <v>165.35220000000001</v>
      </c>
      <c r="U134" s="194">
        <f>(130.1*KFC!$B$36*1.02*1.3+KFC!$C$36)*KFC!$C$5</f>
        <v>172.51259999999999</v>
      </c>
      <c r="V134" s="194">
        <f>(135.5*KFC!$B$36*1.02*1.3+KFC!$C$36)*KFC!$C$5</f>
        <v>179.67300000000003</v>
      </c>
      <c r="W134" s="194">
        <f>(141*KFC!$B$36*1.02*1.3+KFC!$C$36)*KFC!$C$5</f>
        <v>186.96600000000001</v>
      </c>
      <c r="X134" s="194">
        <f>(146.4*KFC!$B$36*1.02*1.3+KFC!$C$36)*KFC!$C$5</f>
        <v>194.12640000000002</v>
      </c>
      <c r="Y134" s="194">
        <f>(151.9*KFC!$B$36*1.02*1.3+KFC!$C$36)*KFC!$C$5</f>
        <v>201.41940000000002</v>
      </c>
      <c r="Z134" s="194">
        <f>(157.3*KFC!$B$36*1.02*1.3+KFC!$C$36)*KFC!$C$5</f>
        <v>208.57980000000003</v>
      </c>
      <c r="AA134" s="195">
        <f>(162.8*KFC!$B$36*1.02*1.3+KFC!$C$36)*KFC!$C$5</f>
        <v>215.87280000000001</v>
      </c>
    </row>
    <row r="135" spans="1:27">
      <c r="A135" s="1781"/>
      <c r="B135" s="224">
        <v>1.8</v>
      </c>
      <c r="C135" s="247">
        <f>(33.5*KFC!$B$36*1.02*1.3+KFC!$C$36)*KFC!$C$5</f>
        <v>44.421000000000006</v>
      </c>
      <c r="D135" s="194">
        <f>(39.3*KFC!$B$36*1.02*1.3+KFC!$C$36)*KFC!$C$5</f>
        <v>52.111800000000002</v>
      </c>
      <c r="E135" s="194">
        <f>(45*KFC!$B$36*1.02*1.3+KFC!$C$36)*KFC!$C$5</f>
        <v>59.67</v>
      </c>
      <c r="F135" s="194">
        <f>(50.8*KFC!$B$36*1.02*1.3+KFC!$C$36)*KFC!$C$5</f>
        <v>67.360799999999998</v>
      </c>
      <c r="G135" s="194">
        <f>(56.5*KFC!$B$36*1.02*1.3+KFC!$C$36)*KFC!$C$5</f>
        <v>74.919000000000011</v>
      </c>
      <c r="H135" s="194">
        <f>(62.3*KFC!$B$36*1.02*1.3+KFC!$C$36)*KFC!$C$5</f>
        <v>82.609800000000007</v>
      </c>
      <c r="I135" s="194">
        <f>(68*KFC!$B$36*1.02*1.3+KFC!$C$36)*KFC!$C$5</f>
        <v>90.168000000000006</v>
      </c>
      <c r="J135" s="194">
        <f>(73.7*KFC!$B$36*1.02*1.3+KFC!$C$36)*KFC!$C$5</f>
        <v>97.726200000000006</v>
      </c>
      <c r="K135" s="194">
        <f>(79.5*KFC!$B$36*1.02*1.3+KFC!$C$36)*KFC!$C$5</f>
        <v>105.417</v>
      </c>
      <c r="L135" s="194">
        <f>(85.2*KFC!$B$36*1.02*1.3+KFC!$C$36)*KFC!$C$5</f>
        <v>112.97520000000002</v>
      </c>
      <c r="M135" s="194">
        <f>(91*KFC!$B$36*1.02*1.3+KFC!$C$36)*KFC!$C$5</f>
        <v>120.66600000000001</v>
      </c>
      <c r="N135" s="194">
        <f>(96.9*KFC!$B$36*1.02*1.3+KFC!$C$36)*KFC!$C$5</f>
        <v>128.48940000000002</v>
      </c>
      <c r="O135" s="194">
        <f>(102.6*KFC!$B$36*1.02*1.3+KFC!$C$36)*KFC!$C$5</f>
        <v>136.04760000000002</v>
      </c>
      <c r="P135" s="194">
        <f>(108.4*KFC!$B$36*1.02*1.3+KFC!$C$36)*KFC!$C$5</f>
        <v>143.73840000000001</v>
      </c>
      <c r="Q135" s="194">
        <f>(114.1*KFC!$B$36*1.02*1.3+KFC!$C$36)*KFC!$C$5</f>
        <v>151.29659999999998</v>
      </c>
      <c r="R135" s="194">
        <f>(119.9*KFC!$B$36*1.02*1.3+KFC!$C$36)*KFC!$C$5</f>
        <v>158.98740000000001</v>
      </c>
      <c r="S135" s="194">
        <f>(125.6*KFC!$B$36*1.02*1.3+KFC!$C$36)*KFC!$C$5</f>
        <v>166.54560000000001</v>
      </c>
      <c r="T135" s="194">
        <f>(131.4*KFC!$B$36*1.02*1.3+KFC!$C$36)*KFC!$C$5</f>
        <v>174.23640000000003</v>
      </c>
      <c r="U135" s="194">
        <f>(137.1*KFC!$B$36*1.02*1.3+KFC!$C$36)*KFC!$C$5</f>
        <v>181.79459999999997</v>
      </c>
      <c r="V135" s="194">
        <f>(142.8*KFC!$B$36*1.02*1.3+KFC!$C$36)*KFC!$C$5</f>
        <v>189.3528</v>
      </c>
      <c r="W135" s="194">
        <f>(148.6*KFC!$B$36*1.02*1.3+KFC!$C$36)*KFC!$C$5</f>
        <v>197.0436</v>
      </c>
      <c r="X135" s="194">
        <f>(154.3*KFC!$B$36*1.02*1.3+KFC!$C$36)*KFC!$C$5</f>
        <v>204.60180000000003</v>
      </c>
      <c r="Y135" s="194">
        <f>(160.1*KFC!$B$36*1.02*1.3+KFC!$C$36)*KFC!$C$5</f>
        <v>212.29259999999999</v>
      </c>
      <c r="Z135" s="194">
        <f>(165.8*KFC!$B$36*1.02*1.3+KFC!$C$36)*KFC!$C$5</f>
        <v>219.85080000000002</v>
      </c>
      <c r="AA135" s="195">
        <f>(171.6*KFC!$B$36*1.02*1.3+KFC!$C$36)*KFC!$C$5</f>
        <v>227.54160000000002</v>
      </c>
    </row>
    <row r="136" spans="1:27">
      <c r="A136" s="1781"/>
      <c r="B136" s="224">
        <v>1.9</v>
      </c>
      <c r="C136" s="247">
        <f>(34.7*KFC!$B$36*1.02*1.3+KFC!$C$36)*KFC!$C$5</f>
        <v>46.012200000000007</v>
      </c>
      <c r="D136" s="194">
        <f>(40.8*KFC!$B$36*1.02*1.3+KFC!$C$36)*KFC!$C$5</f>
        <v>54.1008</v>
      </c>
      <c r="E136" s="194">
        <f>(46.8*KFC!$B$36*1.02*1.3+KFC!$C$36)*KFC!$C$5</f>
        <v>62.056799999999996</v>
      </c>
      <c r="F136" s="194">
        <f>(53*KFC!$B$36*1.02*1.3+KFC!$C$36)*KFC!$C$5</f>
        <v>70.278000000000006</v>
      </c>
      <c r="G136" s="194">
        <f>(59.1*KFC!$B$36*1.02*1.3+KFC!$C$36)*KFC!$C$5</f>
        <v>78.366600000000005</v>
      </c>
      <c r="H136" s="194">
        <f>(65.1*KFC!$B$36*1.02*1.3+KFC!$C$36)*KFC!$C$5</f>
        <v>86.322600000000008</v>
      </c>
      <c r="I136" s="194">
        <f>(71.2*KFC!$B$36*1.02*1.3+KFC!$C$36)*KFC!$C$5</f>
        <v>94.411200000000022</v>
      </c>
      <c r="J136" s="194">
        <f>(77.3*KFC!$B$36*1.02*1.3+KFC!$C$36)*KFC!$C$5</f>
        <v>102.49980000000001</v>
      </c>
      <c r="K136" s="194">
        <f>(83.3*KFC!$B$36*1.02*1.3+KFC!$C$36)*KFC!$C$5</f>
        <v>110.4558</v>
      </c>
      <c r="L136" s="194">
        <f>(89.4*KFC!$B$36*1.02*1.3+KFC!$C$36)*KFC!$C$5</f>
        <v>118.54440000000001</v>
      </c>
      <c r="M136" s="194">
        <f>(95.5*KFC!$B$36*1.02*1.3+KFC!$C$36)*KFC!$C$5</f>
        <v>126.633</v>
      </c>
      <c r="N136" s="194">
        <f>(101.5*KFC!$B$36*1.02*1.3+KFC!$C$36)*KFC!$C$5</f>
        <v>134.589</v>
      </c>
      <c r="O136" s="194">
        <f>(107.6*KFC!$B$36*1.02*1.3+KFC!$C$36)*KFC!$C$5</f>
        <v>142.67760000000001</v>
      </c>
      <c r="P136" s="194">
        <f>(113.7*KFC!$B$36*1.02*1.3+KFC!$C$36)*KFC!$C$5</f>
        <v>150.7662</v>
      </c>
      <c r="Q136" s="194">
        <f>(119.7*KFC!$B$36*1.02*1.3+KFC!$C$36)*KFC!$C$5</f>
        <v>158.72220000000002</v>
      </c>
      <c r="R136" s="194">
        <f>(125.8*KFC!$B$36*1.02*1.3+KFC!$C$36)*KFC!$C$5</f>
        <v>166.8108</v>
      </c>
      <c r="S136" s="194">
        <f>(132*KFC!$B$36*1.02*1.3+KFC!$C$36)*KFC!$C$5</f>
        <v>175.03200000000004</v>
      </c>
      <c r="T136" s="194">
        <f>(138*KFC!$B$36*1.02*1.3+KFC!$C$36)*KFC!$C$5</f>
        <v>182.988</v>
      </c>
      <c r="U136" s="194">
        <f>(144.1*KFC!$B$36*1.02*1.3+KFC!$C$36)*KFC!$C$5</f>
        <v>191.07660000000001</v>
      </c>
      <c r="V136" s="194">
        <f>(150.2*KFC!$B$36*1.02*1.3+KFC!$C$36)*KFC!$C$5</f>
        <v>199.16519999999997</v>
      </c>
      <c r="W136" s="194">
        <f>(156.2*KFC!$B$36*1.02*1.3+KFC!$C$36)*KFC!$C$5</f>
        <v>207.12119999999999</v>
      </c>
      <c r="X136" s="194">
        <f>(162.3*KFC!$B$36*1.02*1.3+KFC!$C$36)*KFC!$C$5</f>
        <v>215.20980000000003</v>
      </c>
      <c r="Y136" s="194">
        <f>(168.4*KFC!$B$36*1.02*1.3+KFC!$C$36)*KFC!$C$5</f>
        <v>223.29840000000002</v>
      </c>
      <c r="Z136" s="194">
        <f>(174.4*KFC!$B$36*1.02*1.3+KFC!$C$36)*KFC!$C$5</f>
        <v>231.2544</v>
      </c>
      <c r="AA136" s="195">
        <f>(180.5*KFC!$B$36*1.02*1.3+KFC!$C$36)*KFC!$C$5</f>
        <v>239.34300000000002</v>
      </c>
    </row>
    <row r="137" spans="1:27">
      <c r="A137" s="1781"/>
      <c r="B137" s="224">
        <v>2</v>
      </c>
      <c r="C137" s="247">
        <f>(36*KFC!$B$36*1.02*1.3+KFC!$C$36)*KFC!$C$5</f>
        <v>47.735999999999997</v>
      </c>
      <c r="D137" s="194">
        <f>(42.4*KFC!$B$36*1.02*1.3+KFC!$C$36)*KFC!$C$5</f>
        <v>56.2224</v>
      </c>
      <c r="E137" s="194">
        <f>(48.8*KFC!$B$36*1.02*1.3+KFC!$C$36)*KFC!$C$5</f>
        <v>64.708799999999997</v>
      </c>
      <c r="F137" s="194">
        <f>(55.2*KFC!$B$36*1.02*1.3+KFC!$C$36)*KFC!$C$5</f>
        <v>73.1952</v>
      </c>
      <c r="G137" s="194">
        <f>(61.5*KFC!$B$36*1.02*1.3+KFC!$C$36)*KFC!$C$5</f>
        <v>81.549000000000007</v>
      </c>
      <c r="H137" s="194">
        <f>(68*KFC!$B$36*1.02*1.3+KFC!$C$36)*KFC!$C$5</f>
        <v>90.168000000000006</v>
      </c>
      <c r="I137" s="194">
        <f>(74.4*KFC!$B$36*1.02*1.3+KFC!$C$36)*KFC!$C$5</f>
        <v>98.65440000000001</v>
      </c>
      <c r="J137" s="194">
        <f>(80.7*KFC!$B$36*1.02*1.3+KFC!$C$36)*KFC!$C$5</f>
        <v>107.00820000000002</v>
      </c>
      <c r="K137" s="194">
        <f>(87.1*KFC!$B$36*1.02*1.3+KFC!$C$36)*KFC!$C$5</f>
        <v>115.49460000000001</v>
      </c>
      <c r="L137" s="194">
        <f>(93.6*KFC!$B$36*1.02*1.3+KFC!$C$36)*KFC!$C$5</f>
        <v>124.11359999999999</v>
      </c>
      <c r="M137" s="194">
        <f>(99.9*KFC!$B$36*1.02*1.3+KFC!$C$36)*KFC!$C$5</f>
        <v>132.46740000000003</v>
      </c>
      <c r="N137" s="194">
        <f>(106.3*KFC!$B$36*1.02*1.3+KFC!$C$36)*KFC!$C$5</f>
        <v>140.9538</v>
      </c>
      <c r="O137" s="194">
        <f>(112.6*KFC!$B$36*1.02*1.3+KFC!$C$36)*KFC!$C$5</f>
        <v>149.30759999999998</v>
      </c>
      <c r="P137" s="194">
        <f>(119.1*KFC!$B$36*1.02*1.3+KFC!$C$36)*KFC!$C$5</f>
        <v>157.92660000000001</v>
      </c>
      <c r="Q137" s="194">
        <f>(125.5*KFC!$B$36*1.02*1.3+KFC!$C$36)*KFC!$C$5</f>
        <v>166.41299999999998</v>
      </c>
      <c r="R137" s="194">
        <f>(131.8*KFC!$B$36*1.02*1.3+KFC!$C$36)*KFC!$C$5</f>
        <v>174.76680000000002</v>
      </c>
      <c r="S137" s="194">
        <f>(138.2*KFC!$B$36*1.02*1.3+KFC!$C$36)*KFC!$C$5</f>
        <v>183.25319999999999</v>
      </c>
      <c r="T137" s="194">
        <f>(144.7*KFC!$B$36*1.02*1.3+KFC!$C$36)*KFC!$C$5</f>
        <v>191.87219999999999</v>
      </c>
      <c r="U137" s="194">
        <f>(151*KFC!$B$36*1.02*1.3+KFC!$C$36)*KFC!$C$5</f>
        <v>200.22600000000003</v>
      </c>
      <c r="V137" s="194">
        <f>(157.4*KFC!$B$36*1.02*1.3+KFC!$C$36)*KFC!$C$5</f>
        <v>208.7124</v>
      </c>
      <c r="W137" s="194">
        <f>(163.9*KFC!$B$36*1.02*1.3+KFC!$C$36)*KFC!$C$5</f>
        <v>217.3314</v>
      </c>
      <c r="X137" s="194">
        <f>(170.2*KFC!$B$36*1.02*1.3+KFC!$C$36)*KFC!$C$5</f>
        <v>225.68519999999998</v>
      </c>
      <c r="Y137" s="194">
        <f>(176.6*KFC!$B$36*1.02*1.3+KFC!$C$36)*KFC!$C$5</f>
        <v>234.17160000000001</v>
      </c>
      <c r="Z137" s="194">
        <f>(183*KFC!$B$36*1.02*1.3+KFC!$C$36)*KFC!$C$5</f>
        <v>242.65800000000002</v>
      </c>
      <c r="AA137" s="195">
        <f>(189.4*KFC!$B$36*1.02*1.3+KFC!$C$36)*KFC!$C$5</f>
        <v>251.14440000000002</v>
      </c>
    </row>
    <row r="138" spans="1:27">
      <c r="A138" s="1781"/>
      <c r="B138" s="224">
        <v>2.1</v>
      </c>
      <c r="C138" s="247">
        <f>(37.3*KFC!$B$36*1.02*1.3+KFC!$C$36)*KFC!$C$5</f>
        <v>49.459800000000001</v>
      </c>
      <c r="D138" s="194">
        <f>(43.9*KFC!$B$36*1.02*1.3+KFC!$C$36)*KFC!$C$5</f>
        <v>58.211399999999998</v>
      </c>
      <c r="E138" s="194">
        <f>(50.6*KFC!$B$36*1.02*1.3+KFC!$C$36)*KFC!$C$5</f>
        <v>67.095600000000005</v>
      </c>
      <c r="F138" s="194">
        <f>(57.4*KFC!$B$36*1.02*1.3+KFC!$C$36)*KFC!$C$5</f>
        <v>76.112400000000008</v>
      </c>
      <c r="G138" s="194">
        <f>(64.1*KFC!$B$36*1.02*1.3+KFC!$C$36)*KFC!$C$5</f>
        <v>84.996599999999987</v>
      </c>
      <c r="H138" s="194">
        <f>(70.8*KFC!$B$36*1.02*1.3+KFC!$C$36)*KFC!$C$5</f>
        <v>93.880799999999994</v>
      </c>
      <c r="I138" s="194">
        <f>(77.5*KFC!$B$36*1.02*1.3+KFC!$C$36)*KFC!$C$5</f>
        <v>102.765</v>
      </c>
      <c r="J138" s="194">
        <f>(84.3*KFC!$B$36*1.02*1.3+KFC!$C$36)*KFC!$C$5</f>
        <v>111.7818</v>
      </c>
      <c r="K138" s="194">
        <f>(90.9*KFC!$B$36*1.02*1.3+KFC!$C$36)*KFC!$C$5</f>
        <v>120.53340000000001</v>
      </c>
      <c r="L138" s="194">
        <f>(97.6*KFC!$B$36*1.02*1.3+KFC!$C$36)*KFC!$C$5</f>
        <v>129.41759999999999</v>
      </c>
      <c r="M138" s="194">
        <f>(104.3*KFC!$B$36*1.02*1.3+KFC!$C$36)*KFC!$C$5</f>
        <v>138.30179999999999</v>
      </c>
      <c r="N138" s="194">
        <f>(111*KFC!$B$36*1.02*1.3+KFC!$C$36)*KFC!$C$5</f>
        <v>147.18600000000001</v>
      </c>
      <c r="O138" s="194">
        <f>(117.8*KFC!$B$36*1.02*1.3+KFC!$C$36)*KFC!$C$5</f>
        <v>156.20280000000002</v>
      </c>
      <c r="P138" s="194">
        <f>(124.5*KFC!$B$36*1.02*1.3+KFC!$C$36)*KFC!$C$5</f>
        <v>165.08700000000002</v>
      </c>
      <c r="Q138" s="194">
        <f>(131.2*KFC!$B$36*1.02*1.3+KFC!$C$36)*KFC!$C$5</f>
        <v>173.97119999999998</v>
      </c>
      <c r="R138" s="194">
        <f>(137.8*KFC!$B$36*1.02*1.3+KFC!$C$36)*KFC!$C$5</f>
        <v>182.72280000000003</v>
      </c>
      <c r="S138" s="194">
        <f>(144.6*KFC!$B$36*1.02*1.3+KFC!$C$36)*KFC!$C$5</f>
        <v>191.7396</v>
      </c>
      <c r="T138" s="194">
        <f>(151.3*KFC!$B$36*1.02*1.3+KFC!$C$36)*KFC!$C$5</f>
        <v>200.62380000000005</v>
      </c>
      <c r="U138" s="194">
        <f>(158*KFC!$B$36*1.02*1.3+KFC!$C$36)*KFC!$C$5</f>
        <v>209.50800000000001</v>
      </c>
      <c r="V138" s="194">
        <f>(164.7*KFC!$B$36*1.02*1.3+KFC!$C$36)*KFC!$C$5</f>
        <v>218.3922</v>
      </c>
      <c r="W138" s="194">
        <f>(171.5*KFC!$B$36*1.02*1.3+KFC!$C$36)*KFC!$C$5</f>
        <v>227.40900000000002</v>
      </c>
      <c r="X138" s="194">
        <f>(178.2*KFC!$B$36*1.02*1.3+KFC!$C$36)*KFC!$C$5</f>
        <v>236.29319999999998</v>
      </c>
      <c r="Y138" s="194">
        <f>(184.8*KFC!$B$36*1.02*1.3+KFC!$C$36)*KFC!$C$5</f>
        <v>245.04480000000001</v>
      </c>
      <c r="Z138" s="194">
        <f>(191.5*KFC!$B$36*1.02*1.3+KFC!$C$36)*KFC!$C$5</f>
        <v>253.92900000000003</v>
      </c>
      <c r="AA138" s="195">
        <f>(198.2*KFC!$B$36*1.02*1.3+KFC!$C$36)*KFC!$C$5</f>
        <v>262.81319999999999</v>
      </c>
    </row>
    <row r="139" spans="1:27">
      <c r="A139" s="1781"/>
      <c r="B139" s="224">
        <v>2.2000000000000002</v>
      </c>
      <c r="C139" s="247">
        <f>(38.5*KFC!$B$36*1.02*1.3+KFC!$C$36)*KFC!$C$5</f>
        <v>51.051000000000009</v>
      </c>
      <c r="D139" s="194">
        <f>(45.5*KFC!$B$36*1.02*1.3+KFC!$C$36)*KFC!$C$5</f>
        <v>60.333000000000006</v>
      </c>
      <c r="E139" s="194">
        <f>(52.6*KFC!$B$36*1.02*1.3+KFC!$C$36)*KFC!$C$5</f>
        <v>69.747600000000006</v>
      </c>
      <c r="F139" s="194">
        <f>(59.6*KFC!$B$36*1.02*1.3+KFC!$C$36)*KFC!$C$5</f>
        <v>79.029600000000002</v>
      </c>
      <c r="G139" s="194">
        <f>(66.7*KFC!$B$36*1.02*1.3+KFC!$C$36)*KFC!$C$5</f>
        <v>88.444200000000009</v>
      </c>
      <c r="H139" s="194">
        <f>(73.6*KFC!$B$36*1.02*1.3+KFC!$C$36)*KFC!$C$5</f>
        <v>97.593599999999995</v>
      </c>
      <c r="I139" s="194">
        <f>(80.7*KFC!$B$36*1.02*1.3+KFC!$C$36)*KFC!$C$5</f>
        <v>107.00820000000002</v>
      </c>
      <c r="J139" s="194">
        <f>(87.7*KFC!$B$36*1.02*1.3+KFC!$C$36)*KFC!$C$5</f>
        <v>116.29020000000001</v>
      </c>
      <c r="K139" s="194">
        <f>(94.7*KFC!$B$36*1.02*1.3+KFC!$C$36)*KFC!$C$5</f>
        <v>125.57220000000001</v>
      </c>
      <c r="L139" s="194">
        <f>(101.8*KFC!$B$36*1.02*1.3+KFC!$C$36)*KFC!$C$5</f>
        <v>134.98680000000002</v>
      </c>
      <c r="M139" s="194">
        <f>(108.7*KFC!$B$36*1.02*1.3+KFC!$C$36)*KFC!$C$5</f>
        <v>144.13620000000003</v>
      </c>
      <c r="N139" s="194">
        <f>(115.8*KFC!$B$36*1.02*1.3+KFC!$C$36)*KFC!$C$5</f>
        <v>153.55080000000001</v>
      </c>
      <c r="O139" s="194">
        <f>(122.8*KFC!$B$36*1.02*1.3+KFC!$C$36)*KFC!$C$5</f>
        <v>162.83279999999999</v>
      </c>
      <c r="P139" s="194">
        <f>(129.9*KFC!$B$36*1.02*1.3+KFC!$C$36)*KFC!$C$5</f>
        <v>172.24740000000003</v>
      </c>
      <c r="Q139" s="194">
        <f>(136.9*KFC!$B$36*1.02*1.3+KFC!$C$36)*KFC!$C$5</f>
        <v>181.52940000000001</v>
      </c>
      <c r="R139" s="194">
        <f>(143.9*KFC!$B$36*1.02*1.3+KFC!$C$36)*KFC!$C$5</f>
        <v>190.81140000000002</v>
      </c>
      <c r="S139" s="194">
        <f>(150.9*KFC!$B$36*1.02*1.3+KFC!$C$36)*KFC!$C$5</f>
        <v>200.0934</v>
      </c>
      <c r="T139" s="194">
        <f>(158*KFC!$B$36*1.02*1.3+KFC!$C$36)*KFC!$C$5</f>
        <v>209.50800000000001</v>
      </c>
      <c r="U139" s="194">
        <f>(165*KFC!$B$36*1.02*1.3+KFC!$C$36)*KFC!$C$5</f>
        <v>218.79000000000002</v>
      </c>
      <c r="V139" s="194">
        <f>(172*KFC!$B$36*1.02*1.3+KFC!$C$36)*KFC!$C$5</f>
        <v>228.072</v>
      </c>
      <c r="W139" s="194">
        <f>(179*KFC!$B$36*1.02*1.3+KFC!$C$36)*KFC!$C$5</f>
        <v>237.35400000000001</v>
      </c>
      <c r="X139" s="194">
        <f>(186*KFC!$B$36*1.02*1.3+KFC!$C$36)*KFC!$C$5</f>
        <v>246.636</v>
      </c>
      <c r="Y139" s="194">
        <f>(193.1*KFC!$B$36*1.02*1.3+KFC!$C$36)*KFC!$C$5</f>
        <v>256.05059999999997</v>
      </c>
      <c r="Z139" s="194">
        <f>(200.1*KFC!$B$36*1.02*1.3+KFC!$C$36)*KFC!$C$5</f>
        <v>265.33260000000001</v>
      </c>
      <c r="AA139" s="195">
        <f>(207.2*KFC!$B$36*1.02*1.3+KFC!$C$36)*KFC!$C$5</f>
        <v>274.74720000000002</v>
      </c>
    </row>
    <row r="140" spans="1:27">
      <c r="A140" s="1781"/>
      <c r="B140" s="224">
        <v>2.2999999999999998</v>
      </c>
      <c r="C140" s="247">
        <f>(39.7*KFC!$B$36*1.02*1.3+KFC!$C$36)*KFC!$C$5</f>
        <v>52.64220000000001</v>
      </c>
      <c r="D140" s="194">
        <f>(47.1*KFC!$B$36*1.02*1.3+KFC!$C$36)*KFC!$C$5</f>
        <v>62.454600000000006</v>
      </c>
      <c r="E140" s="194">
        <f>(54.4*KFC!$B$36*1.02*1.3+KFC!$C$36)*KFC!$C$5</f>
        <v>72.134399999999999</v>
      </c>
      <c r="F140" s="194">
        <f>(61.8*KFC!$B$36*1.02*1.3+KFC!$C$36)*KFC!$C$5</f>
        <v>81.94680000000001</v>
      </c>
      <c r="G140" s="194">
        <f>(69.1*KFC!$B$36*1.02*1.3+KFC!$C$36)*KFC!$C$5</f>
        <v>91.626599999999996</v>
      </c>
      <c r="H140" s="194">
        <f>(76.4*KFC!$B$36*1.02*1.3+KFC!$C$36)*KFC!$C$5</f>
        <v>101.30640000000002</v>
      </c>
      <c r="I140" s="194">
        <f>(83.8*KFC!$B$36*1.02*1.3+KFC!$C$36)*KFC!$C$5</f>
        <v>111.11880000000001</v>
      </c>
      <c r="J140" s="194">
        <f>(91.1*KFC!$B$36*1.02*1.3+KFC!$C$36)*KFC!$C$5</f>
        <v>120.79859999999999</v>
      </c>
      <c r="K140" s="194">
        <f>(98.6*KFC!$B$36*1.02*1.3+KFC!$C$36)*KFC!$C$5</f>
        <v>130.74360000000001</v>
      </c>
      <c r="L140" s="194">
        <f>(105.9*KFC!$B$36*1.02*1.3+KFC!$C$36)*KFC!$C$5</f>
        <v>140.42340000000002</v>
      </c>
      <c r="M140" s="194">
        <f>(113.2*KFC!$B$36*1.02*1.3+KFC!$C$36)*KFC!$C$5</f>
        <v>150.10320000000002</v>
      </c>
      <c r="N140" s="194">
        <f>(120.6*KFC!$B$36*1.02*1.3+KFC!$C$36)*KFC!$C$5</f>
        <v>159.91560000000001</v>
      </c>
      <c r="O140" s="194">
        <f>(127.9*KFC!$B$36*1.02*1.3+KFC!$C$36)*KFC!$C$5</f>
        <v>169.59540000000001</v>
      </c>
      <c r="P140" s="194">
        <f>(135.3*KFC!$B$36*1.02*1.3+KFC!$C$36)*KFC!$C$5</f>
        <v>179.40780000000001</v>
      </c>
      <c r="Q140" s="194">
        <f>(142.6*KFC!$B$36*1.02*1.3+KFC!$C$36)*KFC!$C$5</f>
        <v>189.08760000000001</v>
      </c>
      <c r="R140" s="194">
        <f>(149.9*KFC!$B$36*1.02*1.3+KFC!$C$36)*KFC!$C$5</f>
        <v>198.76740000000001</v>
      </c>
      <c r="S140" s="194">
        <f>(157.3*KFC!$B$36*1.02*1.3+KFC!$C$36)*KFC!$C$5</f>
        <v>208.57980000000003</v>
      </c>
      <c r="T140" s="194">
        <f>(164.6*KFC!$B$36*1.02*1.3+KFC!$C$36)*KFC!$C$5</f>
        <v>218.25960000000001</v>
      </c>
      <c r="U140" s="194">
        <f>(172*KFC!$B$36*1.02*1.3+KFC!$C$36)*KFC!$C$5</f>
        <v>228.072</v>
      </c>
      <c r="V140" s="194">
        <f>(179.3*KFC!$B$36*1.02*1.3+KFC!$C$36)*KFC!$C$5</f>
        <v>237.75180000000003</v>
      </c>
      <c r="W140" s="194">
        <f>(186.6*KFC!$B$36*1.02*1.3+KFC!$C$36)*KFC!$C$5</f>
        <v>247.4316</v>
      </c>
      <c r="X140" s="194">
        <f>(194*KFC!$B$36*1.02*1.3+KFC!$C$36)*KFC!$C$5</f>
        <v>257.24400000000003</v>
      </c>
      <c r="Y140" s="194">
        <f>(201.3*KFC!$B$36*1.02*1.3+KFC!$C$36)*KFC!$C$5</f>
        <v>266.92380000000003</v>
      </c>
      <c r="Z140" s="194">
        <f>(208.6*KFC!$B$36*1.02*1.3+KFC!$C$36)*KFC!$C$5</f>
        <v>276.60359999999997</v>
      </c>
      <c r="AA140" s="195">
        <f>(216*KFC!$B$36*1.02*1.3+KFC!$C$36)*KFC!$C$5</f>
        <v>286.416</v>
      </c>
    </row>
    <row r="141" spans="1:27">
      <c r="A141" s="1781"/>
      <c r="B141" s="224">
        <v>2.4</v>
      </c>
      <c r="C141" s="247">
        <f>(41*KFC!$B$36*1.02*1.3+KFC!$C$36)*KFC!$C$5</f>
        <v>54.366</v>
      </c>
      <c r="D141" s="194">
        <f>(48.7*KFC!$B$36*1.02*1.3+KFC!$C$36)*KFC!$C$5</f>
        <v>64.576200000000014</v>
      </c>
      <c r="E141" s="194">
        <f>(56.4*KFC!$B$36*1.02*1.3+KFC!$C$36)*KFC!$C$5</f>
        <v>74.7864</v>
      </c>
      <c r="F141" s="194">
        <f>(64*KFC!$B$36*1.02*1.3+KFC!$C$36)*KFC!$C$5</f>
        <v>84.864000000000004</v>
      </c>
      <c r="G141" s="194">
        <f>(71.7*KFC!$B$36*1.02*1.3+KFC!$C$36)*KFC!$C$5</f>
        <v>95.074200000000005</v>
      </c>
      <c r="H141" s="194">
        <f>(79.4*KFC!$B$36*1.02*1.3+KFC!$C$36)*KFC!$C$5</f>
        <v>105.28440000000002</v>
      </c>
      <c r="I141" s="194">
        <f>(87*KFC!$B$36*1.02*1.3+KFC!$C$36)*KFC!$C$5</f>
        <v>115.36199999999999</v>
      </c>
      <c r="J141" s="194">
        <f>(94.7*KFC!$B$36*1.02*1.3+KFC!$C$36)*KFC!$C$5</f>
        <v>125.57220000000001</v>
      </c>
      <c r="K141" s="194">
        <f>(102.4*KFC!$B$36*1.02*1.3+KFC!$C$36)*KFC!$C$5</f>
        <v>135.78240000000002</v>
      </c>
      <c r="L141" s="194">
        <f>(109.9*KFC!$B$36*1.02*1.3+KFC!$C$36)*KFC!$C$5</f>
        <v>145.72740000000002</v>
      </c>
      <c r="M141" s="194">
        <f>(117.7*KFC!$B$36*1.02*1.3+KFC!$C$36)*KFC!$C$5</f>
        <v>156.0702</v>
      </c>
      <c r="N141" s="194">
        <f>(125.4*KFC!$B$36*1.02*1.3+KFC!$C$36)*KFC!$C$5</f>
        <v>166.28040000000001</v>
      </c>
      <c r="O141" s="194">
        <f>(132.9*KFC!$B$36*1.02*1.3+KFC!$C$36)*KFC!$C$5</f>
        <v>176.22540000000004</v>
      </c>
      <c r="P141" s="194">
        <f>(140.6*KFC!$B$36*1.02*1.3+KFC!$C$36)*KFC!$C$5</f>
        <v>186.43560000000002</v>
      </c>
      <c r="Q141" s="194">
        <f>(148.2*KFC!$B$36*1.02*1.3+KFC!$C$36)*KFC!$C$5</f>
        <v>196.51319999999998</v>
      </c>
      <c r="R141" s="194">
        <f>(155.9*KFC!$B$36*1.02*1.3+KFC!$C$36)*KFC!$C$5</f>
        <v>206.7234</v>
      </c>
      <c r="S141" s="194">
        <f>(163.6*KFC!$B$36*1.02*1.3+KFC!$C$36)*KFC!$C$5</f>
        <v>216.93359999999998</v>
      </c>
      <c r="T141" s="194">
        <f>(171.2*KFC!$B$36*1.02*1.3+KFC!$C$36)*KFC!$C$5</f>
        <v>227.0112</v>
      </c>
      <c r="U141" s="194">
        <f>(178.9*KFC!$B$36*1.02*1.3+KFC!$C$36)*KFC!$C$5</f>
        <v>237.22140000000002</v>
      </c>
      <c r="V141" s="194">
        <f>(186.6*KFC!$B$36*1.02*1.3+KFC!$C$36)*KFC!$C$5</f>
        <v>247.4316</v>
      </c>
      <c r="W141" s="194">
        <f>(194.2*KFC!$B$36*1.02*1.3+KFC!$C$36)*KFC!$C$5</f>
        <v>257.50920000000002</v>
      </c>
      <c r="X141" s="194">
        <f>(201.9*KFC!$B$36*1.02*1.3+KFC!$C$36)*KFC!$C$5</f>
        <v>267.71940000000001</v>
      </c>
      <c r="Y141" s="194">
        <f>(209.6*KFC!$B$36*1.02*1.3+KFC!$C$36)*KFC!$C$5</f>
        <v>277.92959999999999</v>
      </c>
      <c r="Z141" s="194">
        <f>(217.2*KFC!$B$36*1.02*1.3+KFC!$C$36)*KFC!$C$5</f>
        <v>288.00720000000001</v>
      </c>
      <c r="AA141" s="195">
        <f>(224.9*KFC!$B$36*1.02*1.3+KFC!$C$36)*KFC!$C$5</f>
        <v>298.2174</v>
      </c>
    </row>
    <row r="142" spans="1:27">
      <c r="A142" s="1781"/>
      <c r="B142" s="224">
        <v>2.5</v>
      </c>
      <c r="C142" s="247">
        <f>(42.3*KFC!$B$36*1.02*1.3+KFC!$C$36)*KFC!$C$5</f>
        <v>56.089800000000004</v>
      </c>
      <c r="D142" s="194">
        <f>(50.3*KFC!$B$36*1.02*1.3+KFC!$C$36)*KFC!$C$5</f>
        <v>66.697800000000001</v>
      </c>
      <c r="E142" s="194">
        <f>(58.2*KFC!$B$36*1.02*1.3+KFC!$C$36)*KFC!$C$5</f>
        <v>77.173200000000008</v>
      </c>
      <c r="F142" s="194">
        <f>(66.2*KFC!$B$36*1.02*1.3+KFC!$C$36)*KFC!$C$5</f>
        <v>87.781199999999998</v>
      </c>
      <c r="G142" s="194">
        <f>(74.2*KFC!$B$36*1.02*1.3+KFC!$C$36)*KFC!$C$5</f>
        <v>98.389200000000002</v>
      </c>
      <c r="H142" s="194">
        <f>(82.2*KFC!$B$36*1.02*1.3+KFC!$C$36)*KFC!$C$5</f>
        <v>108.99720000000002</v>
      </c>
      <c r="I142" s="194">
        <f>(90.1*KFC!$B$36*1.02*1.3+KFC!$C$36)*KFC!$C$5</f>
        <v>119.4726</v>
      </c>
      <c r="J142" s="194">
        <f>(98.1*KFC!$B$36*1.02*1.3+KFC!$C$36)*KFC!$C$5</f>
        <v>130.0806</v>
      </c>
      <c r="K142" s="194">
        <f>(106.2*KFC!$B$36*1.02*1.3+KFC!$C$36)*KFC!$C$5</f>
        <v>140.8212</v>
      </c>
      <c r="L142" s="194">
        <f>(114.1*KFC!$B$36*1.02*1.3+KFC!$C$36)*KFC!$C$5</f>
        <v>151.29659999999998</v>
      </c>
      <c r="M142" s="194">
        <f>(122.1*KFC!$B$36*1.02*1.3+KFC!$C$36)*KFC!$C$5</f>
        <v>161.90460000000002</v>
      </c>
      <c r="N142" s="194">
        <f>(130*KFC!$B$36*1.02*1.3+KFC!$C$36)*KFC!$C$5</f>
        <v>172.38</v>
      </c>
      <c r="O142" s="194">
        <f>(138.1*KFC!$B$36*1.02*1.3+KFC!$C$36)*KFC!$C$5</f>
        <v>183.1206</v>
      </c>
      <c r="P142" s="194">
        <f>(146*KFC!$B$36*1.02*1.3+KFC!$C$36)*KFC!$C$5</f>
        <v>193.59600000000003</v>
      </c>
      <c r="Q142" s="194">
        <f>(154*KFC!$B$36*1.02*1.3+KFC!$C$36)*KFC!$C$5</f>
        <v>204.20400000000004</v>
      </c>
      <c r="R142" s="194">
        <f>(161.9*KFC!$B$36*1.02*1.3+KFC!$C$36)*KFC!$C$5</f>
        <v>214.67940000000002</v>
      </c>
      <c r="S142" s="194">
        <f>(170*KFC!$B$36*1.02*1.3+KFC!$C$36)*KFC!$C$5</f>
        <v>225.42000000000002</v>
      </c>
      <c r="T142" s="194">
        <f>(177.9*KFC!$B$36*1.02*1.3+KFC!$C$36)*KFC!$C$5</f>
        <v>235.8954</v>
      </c>
      <c r="U142" s="194">
        <f>(185.9*KFC!$B$36*1.02*1.3+KFC!$C$36)*KFC!$C$5</f>
        <v>246.5034</v>
      </c>
      <c r="V142" s="194">
        <f>(193.8*KFC!$B$36*1.02*1.3+KFC!$C$36)*KFC!$C$5</f>
        <v>256.97880000000004</v>
      </c>
      <c r="W142" s="194">
        <f>(201.8*KFC!$B$36*1.02*1.3+KFC!$C$36)*KFC!$C$5</f>
        <v>267.58680000000004</v>
      </c>
      <c r="X142" s="194">
        <f>(209.9*KFC!$B$36*1.02*1.3+KFC!$C$36)*KFC!$C$5</f>
        <v>278.32740000000001</v>
      </c>
      <c r="Y142" s="194">
        <f>(217.8*KFC!$B$36*1.02*1.3+KFC!$C$36)*KFC!$C$5</f>
        <v>288.80279999999999</v>
      </c>
      <c r="Z142" s="194">
        <f>(225.8*KFC!$B$36*1.02*1.3+KFC!$C$36)*KFC!$C$5</f>
        <v>299.41079999999999</v>
      </c>
      <c r="AA142" s="195">
        <f>(233.7*KFC!$B$36*1.02*1.3+KFC!$C$36)*KFC!$C$5</f>
        <v>309.88620000000003</v>
      </c>
    </row>
    <row r="143" spans="1:27">
      <c r="A143" s="1781"/>
      <c r="B143" s="224">
        <v>2.6</v>
      </c>
      <c r="C143" s="247">
        <f>(43.5*KFC!$B$36*1.02*1.3+KFC!$C$36)*KFC!$C$5</f>
        <v>57.680999999999997</v>
      </c>
      <c r="D143" s="194">
        <f>(51.9*KFC!$B$36*1.02*1.3+KFC!$C$36)*KFC!$C$5</f>
        <v>68.819400000000002</v>
      </c>
      <c r="E143" s="194">
        <f>(60.2*KFC!$B$36*1.02*1.3+KFC!$C$36)*KFC!$C$5</f>
        <v>79.825200000000009</v>
      </c>
      <c r="F143" s="194">
        <f>(68.5*KFC!$B$36*1.02*1.3+KFC!$C$36)*KFC!$C$5</f>
        <v>90.831000000000003</v>
      </c>
      <c r="G143" s="194">
        <f>(76.7*KFC!$B$36*1.02*1.3+KFC!$C$36)*KFC!$C$5</f>
        <v>101.70420000000001</v>
      </c>
      <c r="H143" s="194">
        <f>(85*KFC!$B$36*1.02*1.3+KFC!$C$36)*KFC!$C$5</f>
        <v>112.71000000000001</v>
      </c>
      <c r="I143" s="194">
        <f>(93.3*KFC!$B$36*1.02*1.3+KFC!$C$36)*KFC!$C$5</f>
        <v>123.7158</v>
      </c>
      <c r="J143" s="194">
        <f>(101.6*KFC!$B$36*1.02*1.3+KFC!$C$36)*KFC!$C$5</f>
        <v>134.7216</v>
      </c>
      <c r="K143" s="194">
        <f>(109.9*KFC!$B$36*1.02*1.3+KFC!$C$36)*KFC!$C$5</f>
        <v>145.72740000000002</v>
      </c>
      <c r="L143" s="194">
        <f>(118.3*KFC!$B$36*1.02*1.3+KFC!$C$36)*KFC!$C$5</f>
        <v>156.86580000000001</v>
      </c>
      <c r="M143" s="194">
        <f>(126.5*KFC!$B$36*1.02*1.3+KFC!$C$36)*KFC!$C$5</f>
        <v>167.739</v>
      </c>
      <c r="N143" s="194">
        <f>(134.8*KFC!$B$36*1.02*1.3+KFC!$C$36)*KFC!$C$5</f>
        <v>178.74480000000003</v>
      </c>
      <c r="O143" s="194">
        <f>(143.1*KFC!$B$36*1.02*1.3+KFC!$C$36)*KFC!$C$5</f>
        <v>189.75059999999999</v>
      </c>
      <c r="P143" s="194">
        <f>(151.4*KFC!$B$36*1.02*1.3+KFC!$C$36)*KFC!$C$5</f>
        <v>200.75640000000001</v>
      </c>
      <c r="Q143" s="194">
        <f>(159.7*KFC!$B$36*1.02*1.3+KFC!$C$36)*KFC!$C$5</f>
        <v>211.76220000000001</v>
      </c>
      <c r="R143" s="194">
        <f>(168*KFC!$B$36*1.02*1.3+KFC!$C$36)*KFC!$C$5</f>
        <v>222.76800000000003</v>
      </c>
      <c r="S143" s="194">
        <f>(176.2*KFC!$B$36*1.02*1.3+KFC!$C$36)*KFC!$C$5</f>
        <v>233.6412</v>
      </c>
      <c r="T143" s="194">
        <f>(184.6*KFC!$B$36*1.02*1.3+KFC!$C$36)*KFC!$C$5</f>
        <v>244.77960000000002</v>
      </c>
      <c r="U143" s="194">
        <f>(192.9*KFC!$B$36*1.02*1.3+KFC!$C$36)*KFC!$C$5</f>
        <v>255.78540000000001</v>
      </c>
      <c r="V143" s="194">
        <f>(201.2*KFC!$B$36*1.02*1.3+KFC!$C$36)*KFC!$C$5</f>
        <v>266.7912</v>
      </c>
      <c r="W143" s="194">
        <f>(209.5*KFC!$B$36*1.02*1.3+KFC!$C$36)*KFC!$C$5</f>
        <v>277.79700000000003</v>
      </c>
      <c r="X143" s="194">
        <f>(217.8*KFC!$B$36*1.02*1.3+KFC!$C$36)*KFC!$C$5</f>
        <v>288.80279999999999</v>
      </c>
      <c r="Y143" s="194">
        <f>(226*KFC!$B$36*1.02*1.3+KFC!$C$36)*KFC!$C$5</f>
        <v>299.67600000000004</v>
      </c>
      <c r="Z143" s="194">
        <f>(234.3*KFC!$B$36*1.02*1.3+KFC!$C$36)*KFC!$C$5</f>
        <v>310.68180000000001</v>
      </c>
      <c r="AA143" s="195">
        <f>(242.6*KFC!$B$36*1.02*1.3+KFC!$C$36)*KFC!$C$5</f>
        <v>321.68760000000003</v>
      </c>
    </row>
    <row r="144" spans="1:27">
      <c r="A144" s="1781"/>
      <c r="B144" s="224">
        <v>2.7</v>
      </c>
      <c r="C144" s="247">
        <f>(44.8*KFC!$B$36*1.02*1.3+KFC!$C$36)*KFC!$C$5</f>
        <v>59.404800000000002</v>
      </c>
      <c r="D144" s="194">
        <f>(53.4*KFC!$B$36*1.02*1.3+KFC!$C$36)*KFC!$C$5</f>
        <v>70.808399999999992</v>
      </c>
      <c r="E144" s="194">
        <f>(62*KFC!$B$36*1.02*1.3+KFC!$C$36)*KFC!$C$5</f>
        <v>82.212000000000003</v>
      </c>
      <c r="F144" s="194">
        <f>(70.7*KFC!$B$36*1.02*1.3+KFC!$C$36)*KFC!$C$5</f>
        <v>93.748200000000011</v>
      </c>
      <c r="G144" s="194">
        <f>(79.3*KFC!$B$36*1.02*1.3+KFC!$C$36)*KFC!$C$5</f>
        <v>105.15179999999999</v>
      </c>
      <c r="H144" s="194">
        <f>(87.8*KFC!$B$36*1.02*1.3+KFC!$C$36)*KFC!$C$5</f>
        <v>116.4228</v>
      </c>
      <c r="I144" s="194">
        <f>(96.5*KFC!$B$36*1.02*1.3+KFC!$C$36)*KFC!$C$5</f>
        <v>127.95900000000002</v>
      </c>
      <c r="J144" s="194">
        <f>(105.1*KFC!$B$36*1.02*1.3+KFC!$C$36)*KFC!$C$5</f>
        <v>139.36260000000001</v>
      </c>
      <c r="K144" s="194">
        <f>(113.7*KFC!$B$36*1.02*1.3+KFC!$C$36)*KFC!$C$5</f>
        <v>150.7662</v>
      </c>
      <c r="L144" s="194">
        <f>(122.3*KFC!$B$36*1.02*1.3+KFC!$C$36)*KFC!$C$5</f>
        <v>162.16980000000001</v>
      </c>
      <c r="M144" s="194">
        <f>(131*KFC!$B$36*1.02*1.3+KFC!$C$36)*KFC!$C$5</f>
        <v>173.70600000000002</v>
      </c>
      <c r="N144" s="194">
        <f>(139.5*KFC!$B$36*1.02*1.3+KFC!$C$36)*KFC!$C$5</f>
        <v>184.977</v>
      </c>
      <c r="O144" s="194">
        <f>(148.1*KFC!$B$36*1.02*1.3+KFC!$C$36)*KFC!$C$5</f>
        <v>196.38059999999999</v>
      </c>
      <c r="P144" s="194">
        <f>(156.8*KFC!$B$36*1.02*1.3+KFC!$C$36)*KFC!$C$5</f>
        <v>207.91680000000002</v>
      </c>
      <c r="Q144" s="194">
        <f>(165.3*KFC!$B$36*1.02*1.3+KFC!$C$36)*KFC!$C$5</f>
        <v>219.18780000000004</v>
      </c>
      <c r="R144" s="194">
        <f>(174*KFC!$B$36*1.02*1.3+KFC!$C$36)*KFC!$C$5</f>
        <v>230.72399999999999</v>
      </c>
      <c r="S144" s="194">
        <f>(182.6*KFC!$B$36*1.02*1.3+KFC!$C$36)*KFC!$C$5</f>
        <v>242.12760000000003</v>
      </c>
      <c r="T144" s="194">
        <f>(191.3*KFC!$B$36*1.02*1.3+KFC!$C$36)*KFC!$C$5</f>
        <v>253.66380000000001</v>
      </c>
      <c r="U144" s="194">
        <f>(199.8*KFC!$B$36*1.02*1.3+KFC!$C$36)*KFC!$C$5</f>
        <v>264.93480000000005</v>
      </c>
      <c r="V144" s="194">
        <f>(208.4*KFC!$B$36*1.02*1.3+KFC!$C$36)*KFC!$C$5</f>
        <v>276.33840000000004</v>
      </c>
      <c r="W144" s="194">
        <f>(217.1*KFC!$B$36*1.02*1.3+KFC!$C$36)*KFC!$C$5</f>
        <v>287.87460000000004</v>
      </c>
      <c r="X144" s="194">
        <f>(225.6*KFC!$B$36*1.02*1.3+KFC!$C$36)*KFC!$C$5</f>
        <v>299.1456</v>
      </c>
      <c r="Y144" s="194">
        <f>(234.3*KFC!$B$36*1.02*1.3+KFC!$C$36)*KFC!$C$5</f>
        <v>310.68180000000001</v>
      </c>
      <c r="Z144" s="194">
        <f>(242.9*KFC!$B$36*1.02*1.3+KFC!$C$36)*KFC!$C$5</f>
        <v>322.08540000000005</v>
      </c>
      <c r="AA144" s="195">
        <f>(251.6*KFC!$B$36*1.02*1.3+KFC!$C$36)*KFC!$C$5</f>
        <v>333.6216</v>
      </c>
    </row>
    <row r="145" spans="1:27">
      <c r="A145" s="1781"/>
      <c r="B145" s="224">
        <v>2.8</v>
      </c>
      <c r="C145" s="247">
        <f>(46.1*KFC!$B$36*1.02*1.3+KFC!$C$36)*KFC!$C$5</f>
        <v>61.128600000000006</v>
      </c>
      <c r="D145" s="194">
        <f>(55*KFC!$B$36*1.02*1.3+KFC!$C$36)*KFC!$C$5</f>
        <v>72.930000000000007</v>
      </c>
      <c r="E145" s="194">
        <f>(64*KFC!$B$36*1.02*1.3+KFC!$C$36)*KFC!$C$5</f>
        <v>84.864000000000004</v>
      </c>
      <c r="F145" s="194">
        <f>(72.9*KFC!$B$36*1.02*1.3+KFC!$C$36)*KFC!$C$5</f>
        <v>96.665400000000005</v>
      </c>
      <c r="G145" s="194">
        <f>(81.8*KFC!$B$36*1.02*1.3+KFC!$C$36)*KFC!$C$5</f>
        <v>108.46679999999999</v>
      </c>
      <c r="H145" s="194">
        <f>(90.7*KFC!$B$36*1.02*1.3+KFC!$C$36)*KFC!$C$5</f>
        <v>120.26820000000002</v>
      </c>
      <c r="I145" s="194">
        <f>(99.7*KFC!$B$36*1.02*1.3+KFC!$C$36)*KFC!$C$5</f>
        <v>132.2022</v>
      </c>
      <c r="J145" s="194">
        <f>(108.6*KFC!$B$36*1.02*1.3+KFC!$C$36)*KFC!$C$5</f>
        <v>144.00360000000001</v>
      </c>
      <c r="K145" s="194">
        <f>(117.5*KFC!$B$36*1.02*1.3+KFC!$C$36)*KFC!$C$5</f>
        <v>155.80500000000001</v>
      </c>
      <c r="L145" s="194">
        <f>(126.5*KFC!$B$36*1.02*1.3+KFC!$C$36)*KFC!$C$5</f>
        <v>167.739</v>
      </c>
      <c r="M145" s="194">
        <f>(135.4*KFC!$B$36*1.02*1.3+KFC!$C$36)*KFC!$C$5</f>
        <v>179.54040000000001</v>
      </c>
      <c r="N145" s="194">
        <f>(144.3*KFC!$B$36*1.02*1.3+KFC!$C$36)*KFC!$C$5</f>
        <v>191.34180000000001</v>
      </c>
      <c r="O145" s="194">
        <f>(153.2*KFC!$B$36*1.02*1.3+KFC!$C$36)*KFC!$C$5</f>
        <v>203.14319999999998</v>
      </c>
      <c r="P145" s="194">
        <f>(162.2*KFC!$B$36*1.02*1.3+KFC!$C$36)*KFC!$C$5</f>
        <v>215.0772</v>
      </c>
      <c r="Q145" s="194">
        <f>(171.1*KFC!$B$36*1.02*1.3+KFC!$C$36)*KFC!$C$5</f>
        <v>226.87860000000001</v>
      </c>
      <c r="R145" s="194">
        <f>(180*KFC!$B$36*1.02*1.3+KFC!$C$36)*KFC!$C$5</f>
        <v>238.68</v>
      </c>
      <c r="S145" s="194">
        <f>(189*KFC!$B$36*1.02*1.3+KFC!$C$36)*KFC!$C$5</f>
        <v>250.614</v>
      </c>
      <c r="T145" s="194">
        <f>(197.9*KFC!$B$36*1.02*1.3+KFC!$C$36)*KFC!$C$5</f>
        <v>262.41540000000003</v>
      </c>
      <c r="U145" s="194">
        <f>(206.8*KFC!$B$36*1.02*1.3+KFC!$C$36)*KFC!$C$5</f>
        <v>274.21680000000003</v>
      </c>
      <c r="V145" s="194">
        <f>(215.7*KFC!$B$36*1.02*1.3+KFC!$C$36)*KFC!$C$5</f>
        <v>286.01819999999998</v>
      </c>
      <c r="W145" s="194">
        <f>(224.7*KFC!$B$36*1.02*1.3+KFC!$C$36)*KFC!$C$5</f>
        <v>297.9522</v>
      </c>
      <c r="X145" s="194">
        <f>(233.6*KFC!$B$36*1.02*1.3+KFC!$C$36)*KFC!$C$5</f>
        <v>309.75360000000001</v>
      </c>
      <c r="Y145" s="194">
        <f>(242.5*KFC!$B$36*1.02*1.3+KFC!$C$36)*KFC!$C$5</f>
        <v>321.55500000000001</v>
      </c>
      <c r="Z145" s="194">
        <f>(251.4*KFC!$B$36*1.02*1.3+KFC!$C$36)*KFC!$C$5</f>
        <v>333.35640000000001</v>
      </c>
      <c r="AA145" s="195">
        <f>(260.4*KFC!$B$36*1.02*1.3+KFC!$C$36)*KFC!$C$5</f>
        <v>345.29040000000003</v>
      </c>
    </row>
    <row r="146" spans="1:27">
      <c r="A146" s="1781"/>
      <c r="B146" s="224">
        <v>2.9</v>
      </c>
      <c r="C146" s="247">
        <f>(47.3*KFC!$B$36*1.02*1.3+KFC!$C$36)*KFC!$C$5</f>
        <v>62.719799999999999</v>
      </c>
      <c r="D146" s="194">
        <f>(56.5*KFC!$B$36*1.02*1.3+KFC!$C$36)*KFC!$C$5</f>
        <v>74.919000000000011</v>
      </c>
      <c r="E146" s="194">
        <f>(65.8*KFC!$B$36*1.02*1.3+KFC!$C$36)*KFC!$C$5</f>
        <v>87.250799999999998</v>
      </c>
      <c r="F146" s="194">
        <f>(75.1*KFC!$B$36*1.02*1.3+KFC!$C$36)*KFC!$C$5</f>
        <v>99.582599999999985</v>
      </c>
      <c r="G146" s="194">
        <f>(84.3*KFC!$B$36*1.02*1.3+KFC!$C$36)*KFC!$C$5</f>
        <v>111.7818</v>
      </c>
      <c r="H146" s="194">
        <f>(93.6*KFC!$B$36*1.02*1.3+KFC!$C$36)*KFC!$C$5</f>
        <v>124.11359999999999</v>
      </c>
      <c r="I146" s="194">
        <f>(102.9*KFC!$B$36*1.02*1.3+KFC!$C$36)*KFC!$C$5</f>
        <v>136.44540000000003</v>
      </c>
      <c r="J146" s="194">
        <f>(112*KFC!$B$36*1.02*1.3+KFC!$C$36)*KFC!$C$5</f>
        <v>148.51200000000003</v>
      </c>
      <c r="K146" s="194">
        <f>(121.3*KFC!$B$36*1.02*1.3+KFC!$C$36)*KFC!$C$5</f>
        <v>160.84380000000002</v>
      </c>
      <c r="L146" s="194">
        <f>(130.5*KFC!$B$36*1.02*1.3+KFC!$C$36)*KFC!$C$5</f>
        <v>173.04300000000003</v>
      </c>
      <c r="M146" s="194">
        <f>(139.8*KFC!$B$36*1.02*1.3+KFC!$C$36)*KFC!$C$5</f>
        <v>185.37480000000002</v>
      </c>
      <c r="N146" s="194">
        <f>(149.1*KFC!$B$36*1.02*1.3+KFC!$C$36)*KFC!$C$5</f>
        <v>197.70660000000001</v>
      </c>
      <c r="O146" s="194">
        <f>(158.3*KFC!$B$36*1.02*1.3+KFC!$C$36)*KFC!$C$5</f>
        <v>209.90580000000003</v>
      </c>
      <c r="P146" s="194">
        <f>(167.6*KFC!$B$36*1.02*1.3+KFC!$C$36)*KFC!$C$5</f>
        <v>222.23760000000001</v>
      </c>
      <c r="Q146" s="194">
        <f>(176.8*KFC!$B$36*1.02*1.3+KFC!$C$36)*KFC!$C$5</f>
        <v>234.43680000000003</v>
      </c>
      <c r="R146" s="194">
        <f>(186*KFC!$B$36*1.02*1.3+KFC!$C$36)*KFC!$C$5</f>
        <v>246.636</v>
      </c>
      <c r="S146" s="194">
        <f>(195.3*KFC!$B$36*1.02*1.3+KFC!$C$36)*KFC!$C$5</f>
        <v>258.96780000000001</v>
      </c>
      <c r="T146" s="194">
        <f>(204.5*KFC!$B$36*1.02*1.3+KFC!$C$36)*KFC!$C$5</f>
        <v>271.16700000000003</v>
      </c>
      <c r="U146" s="194">
        <f>(213.8*KFC!$B$36*1.02*1.3+KFC!$C$36)*KFC!$C$5</f>
        <v>283.49880000000002</v>
      </c>
      <c r="V146" s="194">
        <f>(223.1*KFC!$B$36*1.02*1.3+KFC!$C$36)*KFC!$C$5</f>
        <v>295.8306</v>
      </c>
      <c r="W146" s="194">
        <f>(232.2*KFC!$B$36*1.02*1.3+KFC!$C$36)*KFC!$C$5</f>
        <v>307.8972</v>
      </c>
      <c r="X146" s="194">
        <f>(241.5*KFC!$B$36*1.02*1.3+KFC!$C$36)*KFC!$C$5</f>
        <v>320.22900000000004</v>
      </c>
      <c r="Y146" s="194">
        <f>(250.7*KFC!$B$36*1.02*1.3+KFC!$C$36)*KFC!$C$5</f>
        <v>332.4282</v>
      </c>
      <c r="Z146" s="194">
        <f>(260*KFC!$B$36*1.02*1.3+KFC!$C$36)*KFC!$C$5</f>
        <v>344.76</v>
      </c>
      <c r="AA146" s="195">
        <f>(269.3*KFC!$B$36*1.02*1.3+KFC!$C$36)*KFC!$C$5</f>
        <v>357.09180000000003</v>
      </c>
    </row>
    <row r="147" spans="1:27">
      <c r="A147" s="1781"/>
      <c r="B147" s="224">
        <v>3</v>
      </c>
      <c r="C147" s="247">
        <f>(48.6*KFC!$B$36*1.02*1.3+KFC!$C$36)*KFC!$C$5</f>
        <v>64.443600000000004</v>
      </c>
      <c r="D147" s="194">
        <f>(58.1*KFC!$B$36*1.02*1.3+KFC!$C$36)*KFC!$C$5</f>
        <v>77.040599999999998</v>
      </c>
      <c r="E147" s="194">
        <f>(67.8*KFC!$B$36*1.02*1.3+KFC!$C$36)*KFC!$C$5</f>
        <v>89.902799999999999</v>
      </c>
      <c r="F147" s="194">
        <f>(77.3*KFC!$B$36*1.02*1.3+KFC!$C$36)*KFC!$C$5</f>
        <v>102.49980000000001</v>
      </c>
      <c r="G147" s="194">
        <f>(86.8*KFC!$B$36*1.02*1.3+KFC!$C$36)*KFC!$C$5</f>
        <v>115.0968</v>
      </c>
      <c r="H147" s="194">
        <f>(96.4*KFC!$B$36*1.02*1.3+KFC!$C$36)*KFC!$C$5</f>
        <v>127.82640000000001</v>
      </c>
      <c r="I147" s="194">
        <f>(105.9*KFC!$B$36*1.02*1.3+KFC!$C$36)*KFC!$C$5</f>
        <v>140.42340000000002</v>
      </c>
      <c r="J147" s="194">
        <f>(115.6*KFC!$B$36*1.02*1.3+KFC!$C$36)*KFC!$C$5</f>
        <v>153.28559999999999</v>
      </c>
      <c r="K147" s="194">
        <f>(125.1*KFC!$B$36*1.02*1.3+KFC!$C$36)*KFC!$C$5</f>
        <v>165.8826</v>
      </c>
      <c r="L147" s="194">
        <f>(134.7*KFC!$B$36*1.02*1.3+KFC!$C$36)*KFC!$C$5</f>
        <v>178.61219999999997</v>
      </c>
      <c r="M147" s="194">
        <f>(144.2*KFC!$B$36*1.02*1.3+KFC!$C$36)*KFC!$C$5</f>
        <v>191.20920000000001</v>
      </c>
      <c r="N147" s="194">
        <f>(153.9*KFC!$B$36*1.02*1.3+KFC!$C$36)*KFC!$C$5</f>
        <v>204.07140000000001</v>
      </c>
      <c r="O147" s="194">
        <f>(163.4*KFC!$B$36*1.02*1.3+KFC!$C$36)*KFC!$C$5</f>
        <v>216.66840000000002</v>
      </c>
      <c r="P147" s="194">
        <f>(172.9*KFC!$B$36*1.02*1.3+KFC!$C$36)*KFC!$C$5</f>
        <v>229.2654</v>
      </c>
      <c r="Q147" s="194">
        <f>(182.5*KFC!$B$36*1.02*1.3+KFC!$C$36)*KFC!$C$5</f>
        <v>241.995</v>
      </c>
      <c r="R147" s="194">
        <f>(192*KFC!$B$36*1.02*1.3+KFC!$C$36)*KFC!$C$5</f>
        <v>254.59200000000001</v>
      </c>
      <c r="S147" s="194">
        <f>(201.7*KFC!$B$36*1.02*1.3+KFC!$C$36)*KFC!$C$5</f>
        <v>267.45419999999996</v>
      </c>
      <c r="T147" s="194">
        <f>(211.2*KFC!$B$36*1.02*1.3+KFC!$C$36)*KFC!$C$5</f>
        <v>280.05119999999999</v>
      </c>
      <c r="U147" s="194">
        <f>(220.8*KFC!$B$36*1.02*1.3+KFC!$C$36)*KFC!$C$5</f>
        <v>292.7808</v>
      </c>
      <c r="V147" s="194">
        <f>(230.3*KFC!$B$36*1.02*1.3+KFC!$C$36)*KFC!$C$5</f>
        <v>305.37780000000004</v>
      </c>
      <c r="W147" s="194">
        <f>(239.8*KFC!$B$36*1.02*1.3+KFC!$C$36)*KFC!$C$5</f>
        <v>317.97480000000002</v>
      </c>
      <c r="X147" s="194">
        <f>(249.5*KFC!$B$36*1.02*1.3+KFC!$C$36)*KFC!$C$5</f>
        <v>330.83700000000005</v>
      </c>
      <c r="Y147" s="194">
        <f>(259*KFC!$B$36*1.02*1.3+KFC!$C$36)*KFC!$C$5</f>
        <v>343.43400000000003</v>
      </c>
      <c r="Z147" s="194">
        <f>(268.6*KFC!$B$36*1.02*1.3+KFC!$C$36)*KFC!$C$5</f>
        <v>356.16360000000009</v>
      </c>
      <c r="AA147" s="195">
        <f>(278.1*KFC!$B$36*1.02*1.3+KFC!$C$36)*KFC!$C$5</f>
        <v>368.76060000000007</v>
      </c>
    </row>
    <row r="148" spans="1:27">
      <c r="A148" s="1781"/>
      <c r="B148" s="224">
        <v>3.1</v>
      </c>
      <c r="C148" s="247">
        <f>(49.8*KFC!$B$36*1.02*1.3+KFC!$C$36)*KFC!$C$5</f>
        <v>66.034800000000004</v>
      </c>
      <c r="D148" s="194">
        <f>(59.7*KFC!$B$36*1.02*1.3+KFC!$C$36)*KFC!$C$5</f>
        <v>79.162200000000013</v>
      </c>
      <c r="E148" s="194">
        <f>(69.6*KFC!$B$36*1.02*1.3+KFC!$C$36)*KFC!$C$5</f>
        <v>92.289599999999993</v>
      </c>
      <c r="F148" s="194">
        <f>(79.5*KFC!$B$36*1.02*1.3+KFC!$C$36)*KFC!$C$5</f>
        <v>105.417</v>
      </c>
      <c r="G148" s="194">
        <f>(89.4*KFC!$B$36*1.02*1.3+KFC!$C$36)*KFC!$C$5</f>
        <v>118.54440000000001</v>
      </c>
      <c r="H148" s="194">
        <f>(99.2*KFC!$B$36*1.02*1.3+KFC!$C$36)*KFC!$C$5</f>
        <v>131.53920000000002</v>
      </c>
      <c r="I148" s="194">
        <f>(109.1*KFC!$B$36*1.02*1.3+KFC!$C$36)*KFC!$C$5</f>
        <v>144.66659999999999</v>
      </c>
      <c r="J148" s="194">
        <f>(119*KFC!$B$36*1.02*1.3+KFC!$C$36)*KFC!$C$5</f>
        <v>157.79400000000001</v>
      </c>
      <c r="K148" s="194">
        <f>(128.9*KFC!$B$36*1.02*1.3+KFC!$C$36)*KFC!$C$5</f>
        <v>170.92140000000001</v>
      </c>
      <c r="L148" s="194">
        <f>(138.8*KFC!$B$36*1.02*1.3+KFC!$C$36)*KFC!$C$5</f>
        <v>184.04880000000003</v>
      </c>
      <c r="M148" s="194">
        <f>(148.7*KFC!$B$36*1.02*1.3+KFC!$C$36)*KFC!$C$5</f>
        <v>197.17619999999997</v>
      </c>
      <c r="N148" s="194">
        <f>(158.5*KFC!$B$36*1.02*1.3+KFC!$C$36)*KFC!$C$5</f>
        <v>210.17100000000002</v>
      </c>
      <c r="O148" s="194">
        <f>(168.4*KFC!$B$36*1.02*1.3+KFC!$C$36)*KFC!$C$5</f>
        <v>223.29840000000002</v>
      </c>
      <c r="P148" s="194">
        <f>(178.3*KFC!$B$36*1.02*1.3+KFC!$C$36)*KFC!$C$5</f>
        <v>236.42580000000004</v>
      </c>
      <c r="Q148" s="194">
        <f>(188.2*KFC!$B$36*1.02*1.3+KFC!$C$36)*KFC!$C$5</f>
        <v>249.5532</v>
      </c>
      <c r="R148" s="194">
        <f>(198.1*KFC!$B$36*1.02*1.3+KFC!$C$36)*KFC!$C$5</f>
        <v>262.68060000000003</v>
      </c>
      <c r="S148" s="194">
        <f>(207.9*KFC!$B$36*1.02*1.3+KFC!$C$36)*KFC!$C$5</f>
        <v>275.67540000000002</v>
      </c>
      <c r="T148" s="194">
        <f>(217.8*KFC!$B$36*1.02*1.3+KFC!$C$36)*KFC!$C$5</f>
        <v>288.80279999999999</v>
      </c>
      <c r="U148" s="194">
        <f>(227.7*KFC!$B$36*1.02*1.3+KFC!$C$36)*KFC!$C$5</f>
        <v>301.93020000000001</v>
      </c>
      <c r="V148" s="194">
        <f>(237.6*KFC!$B$36*1.02*1.3+KFC!$C$36)*KFC!$C$5</f>
        <v>315.05760000000004</v>
      </c>
      <c r="W148" s="194">
        <f>(247.5*KFC!$B$36*1.02*1.3+KFC!$C$36)*KFC!$C$5</f>
        <v>328.18500000000006</v>
      </c>
      <c r="X148" s="194">
        <f>(257.3*KFC!$B$36*1.02*1.3+KFC!$C$36)*KFC!$C$5</f>
        <v>341.17980000000006</v>
      </c>
      <c r="Y148" s="194">
        <f>(267.2*KFC!$B$36*1.02*1.3+KFC!$C$36)*KFC!$C$5</f>
        <v>354.30719999999997</v>
      </c>
      <c r="Z148" s="194">
        <f>(277.1*KFC!$B$36*1.02*1.3+KFC!$C$36)*KFC!$C$5</f>
        <v>367.4346000000001</v>
      </c>
      <c r="AA148" s="195">
        <f>(287*KFC!$B$36*1.02*1.3+KFC!$C$36)*KFC!$C$5</f>
        <v>380.56200000000001</v>
      </c>
    </row>
    <row r="149" spans="1:27">
      <c r="A149" s="1781"/>
      <c r="B149" s="224">
        <v>3.2</v>
      </c>
      <c r="C149" s="247">
        <f>(51.1*KFC!$B$36*1.02*1.3+KFC!$C$36)*KFC!$C$5</f>
        <v>67.758600000000001</v>
      </c>
      <c r="D149" s="194">
        <f>(61.3*KFC!$B$36*1.02*1.3+KFC!$C$36)*KFC!$C$5</f>
        <v>81.283799999999999</v>
      </c>
      <c r="E149" s="194">
        <f>(71.5*KFC!$B$36*1.02*1.3+KFC!$C$36)*KFC!$C$5</f>
        <v>94.809000000000012</v>
      </c>
      <c r="F149" s="194">
        <f>(81.7*KFC!$B$36*1.02*1.3+KFC!$C$36)*KFC!$C$5</f>
        <v>108.33420000000001</v>
      </c>
      <c r="G149" s="194">
        <f>(91.8*KFC!$B$36*1.02*1.3+KFC!$C$36)*KFC!$C$5</f>
        <v>121.7268</v>
      </c>
      <c r="H149" s="194">
        <f>(102.1*KFC!$B$36*1.02*1.3+KFC!$C$36)*KFC!$C$5</f>
        <v>135.38460000000001</v>
      </c>
      <c r="I149" s="194">
        <f>(112.3*KFC!$B$36*1.02*1.3+KFC!$C$36)*KFC!$C$5</f>
        <v>148.90979999999999</v>
      </c>
      <c r="J149" s="194">
        <f>(122.5*KFC!$B$36*1.02*1.3+KFC!$C$36)*KFC!$C$5</f>
        <v>162.435</v>
      </c>
      <c r="K149" s="194">
        <f>(132.7*KFC!$B$36*1.02*1.3+KFC!$C$36)*KFC!$C$5</f>
        <v>175.96019999999999</v>
      </c>
      <c r="L149" s="194">
        <f>(142.8*KFC!$B$36*1.02*1.3+KFC!$C$36)*KFC!$C$5</f>
        <v>189.3528</v>
      </c>
      <c r="M149" s="194">
        <f>(153.1*KFC!$B$36*1.02*1.3+KFC!$C$36)*KFC!$C$5</f>
        <v>203.01060000000001</v>
      </c>
      <c r="N149" s="194">
        <f>(163.3*KFC!$B$36*1.02*1.3+KFC!$C$36)*KFC!$C$5</f>
        <v>216.53580000000002</v>
      </c>
      <c r="O149" s="194">
        <f>(173.5*KFC!$B$36*1.02*1.3+KFC!$C$36)*KFC!$C$5</f>
        <v>230.06100000000001</v>
      </c>
      <c r="P149" s="194">
        <f>(183.7*KFC!$B$36*1.02*1.3+KFC!$C$36)*KFC!$C$5</f>
        <v>243.58619999999999</v>
      </c>
      <c r="Q149" s="194">
        <f>(193.8*KFC!$B$36*1.02*1.3+KFC!$C$36)*KFC!$C$5</f>
        <v>256.97880000000004</v>
      </c>
      <c r="R149" s="194">
        <f>(204.1*KFC!$B$36*1.02*1.3+KFC!$C$36)*KFC!$C$5</f>
        <v>270.63659999999999</v>
      </c>
      <c r="S149" s="194">
        <f>(214.3*KFC!$B$36*1.02*1.3+KFC!$C$36)*KFC!$C$5</f>
        <v>284.16180000000003</v>
      </c>
      <c r="T149" s="194">
        <f>(224.5*KFC!$B$36*1.02*1.3+KFC!$C$36)*KFC!$C$5</f>
        <v>297.68700000000001</v>
      </c>
      <c r="U149" s="194">
        <f>(234.7*KFC!$B$36*1.02*1.3+KFC!$C$36)*KFC!$C$5</f>
        <v>311.2122</v>
      </c>
      <c r="V149" s="194">
        <f>(244.8*KFC!$B$36*1.02*1.3+KFC!$C$36)*KFC!$C$5</f>
        <v>324.60480000000007</v>
      </c>
      <c r="W149" s="194">
        <f>(255.1*KFC!$B$36*1.02*1.3+KFC!$C$36)*KFC!$C$5</f>
        <v>338.26260000000002</v>
      </c>
      <c r="X149" s="194">
        <f>(265.3*KFC!$B$36*1.02*1.3+KFC!$C$36)*KFC!$C$5</f>
        <v>351.7878</v>
      </c>
      <c r="Y149" s="194">
        <f>(275.5*KFC!$B$36*1.02*1.3+KFC!$C$36)*KFC!$C$5</f>
        <v>365.31299999999999</v>
      </c>
      <c r="Z149" s="194">
        <f>(285.7*KFC!$B$36*1.02*1.3+KFC!$C$36)*KFC!$C$5</f>
        <v>378.83819999999997</v>
      </c>
      <c r="AA149" s="195">
        <f>(295.8*KFC!$B$36*1.02*1.3+KFC!$C$36)*KFC!$C$5</f>
        <v>392.23080000000004</v>
      </c>
    </row>
    <row r="150" spans="1:27">
      <c r="A150" s="1781"/>
      <c r="B150" s="224">
        <v>3.3</v>
      </c>
      <c r="C150" s="247">
        <f>(52.3*KFC!$B$36*1.02*1.3+KFC!$C$36)*KFC!$C$5</f>
        <v>69.349800000000002</v>
      </c>
      <c r="D150" s="194">
        <f>(62.9*KFC!$B$36*1.02*1.3+KFC!$C$36)*KFC!$C$5</f>
        <v>83.4054</v>
      </c>
      <c r="E150" s="194">
        <f>(73.4*KFC!$B$36*1.02*1.3+KFC!$C$36)*KFC!$C$5</f>
        <v>97.328400000000016</v>
      </c>
      <c r="F150" s="194">
        <f>(83.9*KFC!$B$36*1.02*1.3+KFC!$C$36)*KFC!$C$5</f>
        <v>111.2514</v>
      </c>
      <c r="G150" s="194">
        <f>(94.4*KFC!$B$36*1.02*1.3+KFC!$C$36)*KFC!$C$5</f>
        <v>125.17440000000002</v>
      </c>
      <c r="H150" s="194">
        <f>(104.9*KFC!$B$36*1.02*1.3+KFC!$C$36)*KFC!$C$5</f>
        <v>139.09740000000002</v>
      </c>
      <c r="I150" s="194">
        <f>(115.5*KFC!$B$36*1.02*1.3+KFC!$C$36)*KFC!$C$5</f>
        <v>153.15300000000002</v>
      </c>
      <c r="J150" s="194">
        <f>(126*KFC!$B$36*1.02*1.3+KFC!$C$36)*KFC!$C$5</f>
        <v>167.07600000000002</v>
      </c>
      <c r="K150" s="194">
        <f>(136.5*KFC!$B$36*1.02*1.3+KFC!$C$36)*KFC!$C$5</f>
        <v>180.999</v>
      </c>
      <c r="L150" s="194">
        <f>(147*KFC!$B$36*1.02*1.3+KFC!$C$36)*KFC!$C$5</f>
        <v>194.922</v>
      </c>
      <c r="M150" s="194">
        <f>(157.5*KFC!$B$36*1.02*1.3+KFC!$C$36)*KFC!$C$5</f>
        <v>208.84500000000003</v>
      </c>
      <c r="N150" s="194">
        <f>(168*KFC!$B$36*1.02*1.3+KFC!$C$36)*KFC!$C$5</f>
        <v>222.76800000000003</v>
      </c>
      <c r="O150" s="194">
        <f>(178.6*KFC!$B$36*1.02*1.3+KFC!$C$36)*KFC!$C$5</f>
        <v>236.8236</v>
      </c>
      <c r="P150" s="194">
        <f>(189.1*KFC!$B$36*1.02*1.3+KFC!$C$36)*KFC!$C$5</f>
        <v>250.74660000000003</v>
      </c>
      <c r="Q150" s="194">
        <f>(199.6*KFC!$B$36*1.02*1.3+KFC!$C$36)*KFC!$C$5</f>
        <v>264.6696</v>
      </c>
      <c r="R150" s="194">
        <f>(210.1*KFC!$B$36*1.02*1.3+KFC!$C$36)*KFC!$C$5</f>
        <v>278.5926</v>
      </c>
      <c r="S150" s="194">
        <f>(220.6*KFC!$B$36*1.02*1.3+KFC!$C$36)*KFC!$C$5</f>
        <v>292.51560000000001</v>
      </c>
      <c r="T150" s="194">
        <f>(231.1*KFC!$B$36*1.02*1.3+KFC!$C$36)*KFC!$C$5</f>
        <v>306.43860000000001</v>
      </c>
      <c r="U150" s="194">
        <f>(241.7*KFC!$B$36*1.02*1.3+KFC!$C$36)*KFC!$C$5</f>
        <v>320.49419999999998</v>
      </c>
      <c r="V150" s="194">
        <f>(252.2*KFC!$B$36*1.02*1.3+KFC!$C$36)*KFC!$C$5</f>
        <v>334.41719999999998</v>
      </c>
      <c r="W150" s="194">
        <f>(262.7*KFC!$B$36*1.02*1.3+KFC!$C$36)*KFC!$C$5</f>
        <v>348.34020000000004</v>
      </c>
      <c r="X150" s="194">
        <f>(273.2*KFC!$B$36*1.02*1.3+KFC!$C$36)*KFC!$C$5</f>
        <v>362.26319999999998</v>
      </c>
      <c r="Y150" s="194">
        <f>(283.7*KFC!$B$36*1.02*1.3+KFC!$C$36)*KFC!$C$5</f>
        <v>376.18619999999999</v>
      </c>
      <c r="Z150" s="194">
        <f>(294.3*KFC!$B$36*1.02*1.3+KFC!$C$36)*KFC!$C$5</f>
        <v>390.24180000000007</v>
      </c>
      <c r="AA150" s="195">
        <f>(304.8*KFC!$B$36*1.02*1.3+KFC!$C$36)*KFC!$C$5</f>
        <v>404.16480000000001</v>
      </c>
    </row>
    <row r="151" spans="1:27">
      <c r="A151" s="1781"/>
      <c r="B151" s="224">
        <v>3.4</v>
      </c>
      <c r="C151" s="247">
        <f>(53.6*KFC!$B$36*1.02*1.3+KFC!$C$36)*KFC!$C$5</f>
        <v>71.073600000000013</v>
      </c>
      <c r="D151" s="194">
        <f>(64.5*KFC!$B$36*1.02*1.3+KFC!$C$36)*KFC!$C$5</f>
        <v>85.527000000000015</v>
      </c>
      <c r="E151" s="194">
        <f>(75.2*KFC!$B$36*1.02*1.3+KFC!$C$36)*KFC!$C$5</f>
        <v>99.71520000000001</v>
      </c>
      <c r="F151" s="194">
        <f>(86.1*KFC!$B$36*1.02*1.3+KFC!$C$36)*KFC!$C$5</f>
        <v>114.16860000000001</v>
      </c>
      <c r="G151" s="194">
        <f>(97*KFC!$B$36*1.02*1.3+KFC!$C$36)*KFC!$C$5</f>
        <v>128.62200000000001</v>
      </c>
      <c r="H151" s="194">
        <f>(107.7*KFC!$B$36*1.02*1.3+KFC!$C$36)*KFC!$C$5</f>
        <v>142.81020000000001</v>
      </c>
      <c r="I151" s="194">
        <f>(118.6*KFC!$B$36*1.02*1.3+KFC!$C$36)*KFC!$C$5</f>
        <v>157.2636</v>
      </c>
      <c r="J151" s="194">
        <f>(129.4*KFC!$B$36*1.02*1.3+KFC!$C$36)*KFC!$C$5</f>
        <v>171.58440000000002</v>
      </c>
      <c r="K151" s="194">
        <f>(140.3*KFC!$B$36*1.02*1.3+KFC!$C$36)*KFC!$C$5</f>
        <v>186.03780000000003</v>
      </c>
      <c r="L151" s="194">
        <f>(151.2*KFC!$B$36*1.02*1.3+KFC!$C$36)*KFC!$C$5</f>
        <v>200.49119999999999</v>
      </c>
      <c r="M151" s="194">
        <f>(161.9*KFC!$B$36*1.02*1.3+KFC!$C$36)*KFC!$C$5</f>
        <v>214.67940000000002</v>
      </c>
      <c r="N151" s="194">
        <f>(172.8*KFC!$B$36*1.02*1.3+KFC!$C$36)*KFC!$C$5</f>
        <v>229.13280000000003</v>
      </c>
      <c r="O151" s="194">
        <f>(183.6*KFC!$B$36*1.02*1.3+KFC!$C$36)*KFC!$C$5</f>
        <v>243.45359999999999</v>
      </c>
      <c r="P151" s="194">
        <f>(194.5*KFC!$B$36*1.02*1.3+KFC!$C$36)*KFC!$C$5</f>
        <v>257.90700000000004</v>
      </c>
      <c r="Q151" s="194">
        <f>(205.3*KFC!$B$36*1.02*1.3+KFC!$C$36)*KFC!$C$5</f>
        <v>272.2278</v>
      </c>
      <c r="R151" s="194">
        <f>(216.1*KFC!$B$36*1.02*1.3+KFC!$C$36)*KFC!$C$5</f>
        <v>286.54860000000002</v>
      </c>
      <c r="S151" s="194">
        <f>(227*KFC!$B$36*1.02*1.3+KFC!$C$36)*KFC!$C$5</f>
        <v>301.00200000000001</v>
      </c>
      <c r="T151" s="194">
        <f>(237.8*KFC!$B$36*1.02*1.3+KFC!$C$36)*KFC!$C$5</f>
        <v>315.32280000000003</v>
      </c>
      <c r="U151" s="194">
        <f>(248.6*KFC!$B$36*1.02*1.3+KFC!$C$36)*KFC!$C$5</f>
        <v>329.64359999999999</v>
      </c>
      <c r="V151" s="194">
        <f>(259.5*KFC!$B$36*1.02*1.3+KFC!$C$36)*KFC!$C$5</f>
        <v>344.09700000000004</v>
      </c>
      <c r="W151" s="194">
        <f>(270.3*KFC!$B$36*1.02*1.3+KFC!$C$36)*KFC!$C$5</f>
        <v>358.41780000000006</v>
      </c>
      <c r="X151" s="194">
        <f>(281.2*KFC!$B$36*1.02*1.3+KFC!$C$36)*KFC!$C$5</f>
        <v>372.87120000000004</v>
      </c>
      <c r="Y151" s="194">
        <f>(291.9*KFC!$B$36*1.02*1.3+KFC!$C$36)*KFC!$C$5</f>
        <v>387.05940000000004</v>
      </c>
      <c r="Z151" s="194">
        <f>(302.8*KFC!$B$36*1.02*1.3+KFC!$C$36)*KFC!$C$5</f>
        <v>401.51280000000003</v>
      </c>
      <c r="AA151" s="195">
        <f>(313.7*KFC!$B$36*1.02*1.3+KFC!$C$36)*KFC!$C$5</f>
        <v>415.96620000000001</v>
      </c>
    </row>
    <row r="152" spans="1:27">
      <c r="A152" s="1781"/>
      <c r="B152" s="224">
        <v>3.5</v>
      </c>
      <c r="C152" s="247">
        <f>(54.9*KFC!$B$36*1.02*1.3+KFC!$C$36)*KFC!$C$5</f>
        <v>72.797399999999996</v>
      </c>
      <c r="D152" s="194">
        <f>(66*KFC!$B$36*1.02*1.3+KFC!$C$36)*KFC!$C$5</f>
        <v>87.51600000000002</v>
      </c>
      <c r="E152" s="194">
        <f>(77.2*KFC!$B$36*1.02*1.3+KFC!$C$36)*KFC!$C$5</f>
        <v>102.3672</v>
      </c>
      <c r="F152" s="194">
        <f>(88.3*KFC!$B$36*1.02*1.3+KFC!$C$36)*KFC!$C$5</f>
        <v>117.08580000000001</v>
      </c>
      <c r="G152" s="194">
        <f>(99.4*KFC!$B$36*1.02*1.3+KFC!$C$36)*KFC!$C$5</f>
        <v>131.80440000000002</v>
      </c>
      <c r="H152" s="194">
        <f>(110.7*KFC!$B$36*1.02*1.3+KFC!$C$36)*KFC!$C$5</f>
        <v>146.78820000000002</v>
      </c>
      <c r="I152" s="194">
        <f>(121.8*KFC!$B$36*1.02*1.3+KFC!$C$36)*KFC!$C$5</f>
        <v>161.5068</v>
      </c>
      <c r="J152" s="194">
        <f>(132.9*KFC!$B$36*1.02*1.3+KFC!$C$36)*KFC!$C$5</f>
        <v>176.22540000000004</v>
      </c>
      <c r="K152" s="194">
        <f>(144.1*KFC!$B$36*1.02*1.3+KFC!$C$36)*KFC!$C$5</f>
        <v>191.07660000000001</v>
      </c>
      <c r="L152" s="194">
        <f>(155.2*KFC!$B$36*1.02*1.3+KFC!$C$36)*KFC!$C$5</f>
        <v>205.79520000000002</v>
      </c>
      <c r="M152" s="194">
        <f>(166.3*KFC!$B$36*1.02*1.3+KFC!$C$36)*KFC!$C$5</f>
        <v>220.5138</v>
      </c>
      <c r="N152" s="194">
        <f>(177.6*KFC!$B$36*1.02*1.3+KFC!$C$36)*KFC!$C$5</f>
        <v>235.49759999999998</v>
      </c>
      <c r="O152" s="194">
        <f>(188.7*KFC!$B$36*1.02*1.3+KFC!$C$36)*KFC!$C$5</f>
        <v>250.21619999999999</v>
      </c>
      <c r="P152" s="194">
        <f>(199.8*KFC!$B$36*1.02*1.3+KFC!$C$36)*KFC!$C$5</f>
        <v>264.93480000000005</v>
      </c>
      <c r="Q152" s="194">
        <f>(211*KFC!$B$36*1.02*1.3+KFC!$C$36)*KFC!$C$5</f>
        <v>279.786</v>
      </c>
      <c r="R152" s="194">
        <f>(222.1*KFC!$B$36*1.02*1.3+KFC!$C$36)*KFC!$C$5</f>
        <v>294.50460000000004</v>
      </c>
      <c r="S152" s="194">
        <f>(233.3*KFC!$B$36*1.02*1.3+KFC!$C$36)*KFC!$C$5</f>
        <v>309.35580000000004</v>
      </c>
      <c r="T152" s="194">
        <f>(244.5*KFC!$B$36*1.02*1.3+KFC!$C$36)*KFC!$C$5</f>
        <v>324.20700000000005</v>
      </c>
      <c r="U152" s="194">
        <f>(255.6*KFC!$B$36*1.02*1.3+KFC!$C$36)*KFC!$C$5</f>
        <v>338.92559999999997</v>
      </c>
      <c r="V152" s="194">
        <f>(266.7*KFC!$B$36*1.02*1.3+KFC!$C$36)*KFC!$C$5</f>
        <v>353.64420000000001</v>
      </c>
      <c r="W152" s="194">
        <f>(277.9*KFC!$B$36*1.02*1.3+KFC!$C$36)*KFC!$C$5</f>
        <v>368.49539999999996</v>
      </c>
      <c r="X152" s="194">
        <f>(289.1*KFC!$B$36*1.02*1.3+KFC!$C$36)*KFC!$C$5</f>
        <v>383.34660000000002</v>
      </c>
      <c r="Y152" s="194">
        <f>(300.2*KFC!$B$36*1.02*1.3+KFC!$C$36)*KFC!$C$5</f>
        <v>398.0652</v>
      </c>
      <c r="Z152" s="194">
        <f>(311.4*KFC!$B$36*1.02*1.3+KFC!$C$36)*KFC!$C$5</f>
        <v>412.91640000000001</v>
      </c>
      <c r="AA152" s="195">
        <f>(322.5*KFC!$B$36*1.02*1.3+KFC!$C$36)*KFC!$C$5</f>
        <v>427.63499999999999</v>
      </c>
    </row>
    <row r="153" spans="1:27">
      <c r="A153" s="1781"/>
      <c r="B153" s="224">
        <v>3.6</v>
      </c>
      <c r="C153" s="247">
        <f>(56.1*KFC!$B$36*1.02*1.3+KFC!$C$36)*KFC!$C$5</f>
        <v>74.388600000000011</v>
      </c>
      <c r="D153" s="194">
        <f>(67.6*KFC!$B$36*1.02*1.3+KFC!$C$36)*KFC!$C$5</f>
        <v>89.637600000000006</v>
      </c>
      <c r="E153" s="194">
        <f>(79*KFC!$B$36*1.02*1.3+KFC!$C$36)*KFC!$C$5</f>
        <v>104.754</v>
      </c>
      <c r="F153" s="194">
        <f>(90.5*KFC!$B$36*1.02*1.3+KFC!$C$36)*KFC!$C$5</f>
        <v>120.003</v>
      </c>
      <c r="G153" s="194">
        <f>(102*KFC!$B$36*1.02*1.3+KFC!$C$36)*KFC!$C$5</f>
        <v>135.25200000000001</v>
      </c>
      <c r="H153" s="194">
        <f>(113.5*KFC!$B$36*1.02*1.3+KFC!$C$36)*KFC!$C$5</f>
        <v>150.501</v>
      </c>
      <c r="I153" s="194">
        <f>(125*KFC!$B$36*1.02*1.3+KFC!$C$36)*KFC!$C$5</f>
        <v>165.75</v>
      </c>
      <c r="J153" s="194">
        <f>(136.4*KFC!$B$36*1.02*1.3+KFC!$C$36)*KFC!$C$5</f>
        <v>180.86640000000003</v>
      </c>
      <c r="K153" s="194">
        <f>(147.9*KFC!$B$36*1.02*1.3+KFC!$C$36)*KFC!$C$5</f>
        <v>196.11540000000002</v>
      </c>
      <c r="L153" s="194">
        <f>(159.4*KFC!$B$36*1.02*1.3+KFC!$C$36)*KFC!$C$5</f>
        <v>211.36440000000005</v>
      </c>
      <c r="M153" s="194">
        <f>(170.9*KFC!$B$36*1.02*1.3+KFC!$C$36)*KFC!$C$5</f>
        <v>226.61340000000001</v>
      </c>
      <c r="N153" s="194">
        <f>(182.3*KFC!$B$36*1.02*1.3+KFC!$C$36)*KFC!$C$5</f>
        <v>241.72980000000004</v>
      </c>
      <c r="O153" s="194">
        <f>(193.7*KFC!$B$36*1.02*1.3+KFC!$C$36)*KFC!$C$5</f>
        <v>256.84620000000001</v>
      </c>
      <c r="P153" s="194">
        <f>(205.2*KFC!$B$36*1.02*1.3+KFC!$C$36)*KFC!$C$5</f>
        <v>272.09520000000003</v>
      </c>
      <c r="Q153" s="194">
        <f>(216.7*KFC!$B$36*1.02*1.3+KFC!$C$36)*KFC!$C$5</f>
        <v>287.3442</v>
      </c>
      <c r="R153" s="194">
        <f>(228.2*KFC!$B$36*1.02*1.3+KFC!$C$36)*KFC!$C$5</f>
        <v>302.59319999999997</v>
      </c>
      <c r="S153" s="194">
        <f>(239.6*KFC!$B$36*1.02*1.3+KFC!$C$36)*KFC!$C$5</f>
        <v>317.70960000000002</v>
      </c>
      <c r="T153" s="194">
        <f>(251.1*KFC!$B$36*1.02*1.3+KFC!$C$36)*KFC!$C$5</f>
        <v>332.95860000000005</v>
      </c>
      <c r="U153" s="194">
        <f>(262.6*KFC!$B$36*1.02*1.3+KFC!$C$36)*KFC!$C$5</f>
        <v>348.20760000000007</v>
      </c>
      <c r="V153" s="194">
        <f>(274.1*KFC!$B$36*1.02*1.3+KFC!$C$36)*KFC!$C$5</f>
        <v>363.45660000000009</v>
      </c>
      <c r="W153" s="194">
        <f>(285.6*KFC!$B$36*1.02*1.3+KFC!$C$36)*KFC!$C$5</f>
        <v>378.7056</v>
      </c>
      <c r="X153" s="194">
        <f>(296.9*KFC!$B$36*1.02*1.3+KFC!$C$36)*KFC!$C$5</f>
        <v>393.68939999999998</v>
      </c>
      <c r="Y153" s="194">
        <f>(308.4*KFC!$B$36*1.02*1.3+KFC!$C$36)*KFC!$C$5</f>
        <v>408.9384</v>
      </c>
      <c r="Z153" s="194">
        <f>(319.9*KFC!$B$36*1.02*1.3+KFC!$C$36)*KFC!$C$5</f>
        <v>424.18740000000003</v>
      </c>
      <c r="AA153" s="195">
        <f>(331.4*KFC!$B$36*1.02*1.3+KFC!$C$36)*KFC!$C$5</f>
        <v>439.43639999999999</v>
      </c>
    </row>
    <row r="154" spans="1:27">
      <c r="A154" s="1781"/>
      <c r="B154" s="224">
        <v>3.7</v>
      </c>
      <c r="C154" s="247">
        <f>(57.4*KFC!$B$36*1.02*1.3+KFC!$C$36)*KFC!$C$5</f>
        <v>76.112400000000008</v>
      </c>
      <c r="D154" s="194">
        <f>(69.2*KFC!$B$36*1.02*1.3+KFC!$C$36)*KFC!$C$5</f>
        <v>91.759200000000007</v>
      </c>
      <c r="E154" s="194">
        <f>(81*KFC!$B$36*1.02*1.3+KFC!$C$36)*KFC!$C$5</f>
        <v>107.40600000000001</v>
      </c>
      <c r="F154" s="194">
        <f>(92.7*KFC!$B$36*1.02*1.3+KFC!$C$36)*KFC!$C$5</f>
        <v>122.92020000000001</v>
      </c>
      <c r="G154" s="194">
        <f>(104.6*KFC!$B$36*1.02*1.3+KFC!$C$36)*KFC!$C$5</f>
        <v>138.6996</v>
      </c>
      <c r="H154" s="194">
        <f>(116.3*KFC!$B$36*1.02*1.3+KFC!$C$36)*KFC!$C$5</f>
        <v>154.21380000000002</v>
      </c>
      <c r="I154" s="194">
        <f>(128*KFC!$B$36*1.02*1.3+KFC!$C$36)*KFC!$C$5</f>
        <v>169.72800000000001</v>
      </c>
      <c r="J154" s="194">
        <f>(139.9*KFC!$B$36*1.02*1.3+KFC!$C$36)*KFC!$C$5</f>
        <v>185.50740000000002</v>
      </c>
      <c r="K154" s="194">
        <f>(151.7*KFC!$B$36*1.02*1.3+KFC!$C$36)*KFC!$C$5</f>
        <v>201.15419999999997</v>
      </c>
      <c r="L154" s="194">
        <f>(163.5*KFC!$B$36*1.02*1.3+KFC!$C$36)*KFC!$C$5</f>
        <v>216.80100000000002</v>
      </c>
      <c r="M154" s="194">
        <f>(175.3*KFC!$B$36*1.02*1.3+KFC!$C$36)*KFC!$C$5</f>
        <v>232.44780000000003</v>
      </c>
      <c r="N154" s="194">
        <f>(187*KFC!$B$36*1.02*1.3+KFC!$C$36)*KFC!$C$5</f>
        <v>247.96200000000002</v>
      </c>
      <c r="O154" s="194">
        <f>(198.9*KFC!$B$36*1.02*1.3+KFC!$C$36)*KFC!$C$5</f>
        <v>263.74140000000006</v>
      </c>
      <c r="P154" s="194">
        <f>(210.6*KFC!$B$36*1.02*1.3+KFC!$C$36)*KFC!$C$5</f>
        <v>279.25560000000002</v>
      </c>
      <c r="Q154" s="194">
        <f>(222.3*KFC!$B$36*1.02*1.3+KFC!$C$36)*KFC!$C$5</f>
        <v>294.76980000000003</v>
      </c>
      <c r="R154" s="194">
        <f>(234.2*KFC!$B$36*1.02*1.3+KFC!$C$36)*KFC!$C$5</f>
        <v>310.54919999999998</v>
      </c>
      <c r="S154" s="194">
        <f>(245.9*KFC!$B$36*1.02*1.3+KFC!$C$36)*KFC!$C$5</f>
        <v>326.0634</v>
      </c>
      <c r="T154" s="194">
        <f>(257.8*KFC!$B$36*1.02*1.3+KFC!$C$36)*KFC!$C$5</f>
        <v>341.84280000000001</v>
      </c>
      <c r="U154" s="194">
        <f>(269.5*KFC!$B$36*1.02*1.3+KFC!$C$36)*KFC!$C$5</f>
        <v>357.35699999999997</v>
      </c>
      <c r="V154" s="194">
        <f>(281.3*KFC!$B$36*1.02*1.3+KFC!$C$36)*KFC!$C$5</f>
        <v>373.00380000000007</v>
      </c>
      <c r="W154" s="194">
        <f>(293.2*KFC!$B$36*1.02*1.3+KFC!$C$36)*KFC!$C$5</f>
        <v>388.78320000000002</v>
      </c>
      <c r="X154" s="194">
        <f>(304.9*KFC!$B$36*1.02*1.3+KFC!$C$36)*KFC!$C$5</f>
        <v>404.29739999999998</v>
      </c>
      <c r="Y154" s="194">
        <f>(316.8*KFC!$B$36*1.02*1.3+KFC!$C$36)*KFC!$C$5</f>
        <v>420.07680000000005</v>
      </c>
      <c r="Z154" s="194">
        <f>(328.5*KFC!$B$36*1.02*1.3+KFC!$C$36)*KFC!$C$5</f>
        <v>435.59100000000001</v>
      </c>
      <c r="AA154" s="195">
        <f>(340.2*KFC!$B$36*1.02*1.3+KFC!$C$36)*KFC!$C$5</f>
        <v>451.10520000000002</v>
      </c>
    </row>
    <row r="155" spans="1:27">
      <c r="A155" s="1781"/>
      <c r="B155" s="224">
        <v>3.8</v>
      </c>
      <c r="C155" s="247">
        <f>(58.6*KFC!$B$36*1.02*1.3+KFC!$C$36)*KFC!$C$5</f>
        <v>77.703600000000009</v>
      </c>
      <c r="D155" s="194">
        <f>(70.7*KFC!$B$36*1.02*1.3+KFC!$C$36)*KFC!$C$5</f>
        <v>93.748200000000011</v>
      </c>
      <c r="E155" s="194">
        <f>(82.8*KFC!$B$36*1.02*1.3+KFC!$C$36)*KFC!$C$5</f>
        <v>109.79280000000001</v>
      </c>
      <c r="F155" s="194">
        <f>(94.9*KFC!$B$36*1.02*1.3+KFC!$C$36)*KFC!$C$5</f>
        <v>125.8374</v>
      </c>
      <c r="G155" s="194">
        <f>(107*KFC!$B$36*1.02*1.3+KFC!$C$36)*KFC!$C$5</f>
        <v>141.88200000000001</v>
      </c>
      <c r="H155" s="194">
        <f>(119.1*KFC!$B$36*1.02*1.3+KFC!$C$36)*KFC!$C$5</f>
        <v>157.92660000000001</v>
      </c>
      <c r="I155" s="194">
        <f>(131.2*KFC!$B$36*1.02*1.3+KFC!$C$36)*KFC!$C$5</f>
        <v>173.97119999999998</v>
      </c>
      <c r="J155" s="194">
        <f>(143.3*KFC!$B$36*1.02*1.3+KFC!$C$36)*KFC!$C$5</f>
        <v>190.01580000000004</v>
      </c>
      <c r="K155" s="194">
        <f>(155.4*KFC!$B$36*1.02*1.3+KFC!$C$36)*KFC!$C$5</f>
        <v>206.06040000000002</v>
      </c>
      <c r="L155" s="194">
        <f>(167.6*KFC!$B$36*1.02*1.3+KFC!$C$36)*KFC!$C$5</f>
        <v>222.23760000000001</v>
      </c>
      <c r="M155" s="194">
        <f>(179.7*KFC!$B$36*1.02*1.3+KFC!$C$36)*KFC!$C$5</f>
        <v>238.28219999999999</v>
      </c>
      <c r="N155" s="194">
        <f>(191.8*KFC!$B$36*1.02*1.3+KFC!$C$36)*KFC!$C$5</f>
        <v>254.32680000000005</v>
      </c>
      <c r="O155" s="194">
        <f>(203.9*KFC!$B$36*1.02*1.3+KFC!$C$36)*KFC!$C$5</f>
        <v>270.37139999999999</v>
      </c>
      <c r="P155" s="194">
        <f>(216*KFC!$B$36*1.02*1.3+KFC!$C$36)*KFC!$C$5</f>
        <v>286.416</v>
      </c>
      <c r="Q155" s="194">
        <f>(228.1*KFC!$B$36*1.02*1.3+KFC!$C$36)*KFC!$C$5</f>
        <v>302.4606</v>
      </c>
      <c r="R155" s="194">
        <f>(240.2*KFC!$B$36*1.02*1.3+KFC!$C$36)*KFC!$C$5</f>
        <v>318.5052</v>
      </c>
      <c r="S155" s="194">
        <f>(252.3*KFC!$B$36*1.02*1.3+KFC!$C$36)*KFC!$C$5</f>
        <v>334.5498</v>
      </c>
      <c r="T155" s="194">
        <f>(264.4*KFC!$B$36*1.02*1.3+KFC!$C$36)*KFC!$C$5</f>
        <v>350.59440000000001</v>
      </c>
      <c r="U155" s="194">
        <f>(276.5*KFC!$B$36*1.02*1.3+KFC!$C$36)*KFC!$C$5</f>
        <v>366.63900000000007</v>
      </c>
      <c r="V155" s="194">
        <f>(288.6*KFC!$B$36*1.02*1.3+KFC!$C$36)*KFC!$C$5</f>
        <v>382.68360000000001</v>
      </c>
      <c r="W155" s="194">
        <f>(300.7*KFC!$B$36*1.02*1.3+KFC!$C$36)*KFC!$C$5</f>
        <v>398.72820000000002</v>
      </c>
      <c r="X155" s="194">
        <f>(312.8*KFC!$B$36*1.02*1.3+KFC!$C$36)*KFC!$C$5</f>
        <v>414.77280000000007</v>
      </c>
      <c r="Y155" s="194">
        <f>(325*KFC!$B$36*1.02*1.3+KFC!$C$36)*KFC!$C$5</f>
        <v>430.95</v>
      </c>
      <c r="Z155" s="194">
        <f>(337.1*KFC!$B$36*1.02*1.3+KFC!$C$36)*KFC!$C$5</f>
        <v>446.99460000000005</v>
      </c>
      <c r="AA155" s="195">
        <f>(349.2*KFC!$B$36*1.02*1.3+KFC!$C$36)*KFC!$C$5</f>
        <v>463.03919999999999</v>
      </c>
    </row>
    <row r="156" spans="1:27">
      <c r="A156" s="1781"/>
      <c r="B156" s="224">
        <v>3.9</v>
      </c>
      <c r="C156" s="247">
        <f>(59.9*KFC!$B$36*1.02*1.3+KFC!$C$36)*KFC!$C$5</f>
        <v>79.427400000000006</v>
      </c>
      <c r="D156" s="194">
        <f>(72.3*KFC!$B$36*1.02*1.3+KFC!$C$36)*KFC!$C$5</f>
        <v>95.869799999999998</v>
      </c>
      <c r="E156" s="194">
        <f>(84.8*KFC!$B$36*1.02*1.3+KFC!$C$36)*KFC!$C$5</f>
        <v>112.4448</v>
      </c>
      <c r="F156" s="194">
        <f>(97.1*KFC!$B$36*1.02*1.3+KFC!$C$36)*KFC!$C$5</f>
        <v>128.75460000000001</v>
      </c>
      <c r="G156" s="194">
        <f>(109.6*KFC!$B$36*1.02*1.3+KFC!$C$36)*KFC!$C$5</f>
        <v>145.3296</v>
      </c>
      <c r="H156" s="194">
        <f>(122.1*KFC!$B$36*1.02*1.3+KFC!$C$36)*KFC!$C$5</f>
        <v>161.90460000000002</v>
      </c>
      <c r="I156" s="194">
        <f>(134.4*KFC!$B$36*1.02*1.3+KFC!$C$36)*KFC!$C$5</f>
        <v>178.21440000000004</v>
      </c>
      <c r="J156" s="194">
        <f>(146.9*KFC!$B$36*1.02*1.3+KFC!$C$36)*KFC!$C$5</f>
        <v>194.78940000000003</v>
      </c>
      <c r="K156" s="194">
        <f>(159.2*KFC!$B$36*1.02*1.3+KFC!$C$36)*KFC!$C$5</f>
        <v>211.0992</v>
      </c>
      <c r="L156" s="194">
        <f>(171.7*KFC!$B$36*1.02*1.3+KFC!$C$36)*KFC!$C$5</f>
        <v>227.67419999999998</v>
      </c>
      <c r="M156" s="194">
        <f>(184.1*KFC!$B$36*1.02*1.3+KFC!$C$36)*KFC!$C$5</f>
        <v>244.11660000000003</v>
      </c>
      <c r="N156" s="194">
        <f>(196.5*KFC!$B$36*1.02*1.3+KFC!$C$36)*KFC!$C$5</f>
        <v>260.55900000000003</v>
      </c>
      <c r="O156" s="194">
        <f>(209*KFC!$B$36*1.02*1.3+KFC!$C$36)*KFC!$C$5</f>
        <v>277.13400000000001</v>
      </c>
      <c r="P156" s="194">
        <f>(221.4*KFC!$B$36*1.02*1.3+KFC!$C$36)*KFC!$C$5</f>
        <v>293.57640000000004</v>
      </c>
      <c r="Q156" s="194">
        <f>(233.8*KFC!$B$36*1.02*1.3+KFC!$C$36)*KFC!$C$5</f>
        <v>310.01880000000006</v>
      </c>
      <c r="R156" s="194">
        <f>(246.2*KFC!$B$36*1.02*1.3+KFC!$C$36)*KFC!$C$5</f>
        <v>326.46120000000002</v>
      </c>
      <c r="S156" s="194">
        <f>(258.7*KFC!$B$36*1.02*1.3+KFC!$C$36)*KFC!$C$5</f>
        <v>343.03619999999995</v>
      </c>
      <c r="T156" s="194">
        <f>(271*KFC!$B$36*1.02*1.3+KFC!$C$36)*KFC!$C$5</f>
        <v>359.34600000000006</v>
      </c>
      <c r="U156" s="194">
        <f>(283.5*KFC!$B$36*1.02*1.3+KFC!$C$36)*KFC!$C$5</f>
        <v>375.92100000000005</v>
      </c>
      <c r="V156" s="194">
        <f>(296*KFC!$B$36*1.02*1.3+KFC!$C$36)*KFC!$C$5</f>
        <v>392.49600000000004</v>
      </c>
      <c r="W156" s="194">
        <f>(308.3*KFC!$B$36*1.02*1.3+KFC!$C$36)*KFC!$C$5</f>
        <v>408.80580000000003</v>
      </c>
      <c r="X156" s="194">
        <f>(320.8*KFC!$B$36*1.02*1.3+KFC!$C$36)*KFC!$C$5</f>
        <v>425.38080000000002</v>
      </c>
      <c r="Y156" s="194">
        <f>(333.1*KFC!$B$36*1.02*1.3+KFC!$C$36)*KFC!$C$5</f>
        <v>441.69060000000007</v>
      </c>
      <c r="Z156" s="194">
        <f>(345.6*KFC!$B$36*1.02*1.3+KFC!$C$36)*KFC!$C$5</f>
        <v>458.26560000000006</v>
      </c>
      <c r="AA156" s="195">
        <f>(358*KFC!$B$36*1.02*1.3+KFC!$C$36)*KFC!$C$5</f>
        <v>474.70800000000003</v>
      </c>
    </row>
    <row r="157" spans="1:27" ht="13.8" thickBot="1">
      <c r="A157" s="1782"/>
      <c r="B157" s="225">
        <v>4</v>
      </c>
      <c r="C157" s="248">
        <f>(61.2*KFC!$B$36*1.02*1.3+KFC!$C$36)*KFC!$C$5</f>
        <v>81.151200000000017</v>
      </c>
      <c r="D157" s="196">
        <f>(73.9*KFC!$B$36*1.02*1.3+KFC!$C$36)*KFC!$C$5</f>
        <v>97.991399999999999</v>
      </c>
      <c r="E157" s="196">
        <f>(86.6*KFC!$B$36*1.02*1.3+KFC!$C$36)*KFC!$C$5</f>
        <v>114.83159999999999</v>
      </c>
      <c r="F157" s="196">
        <f>(99.4*KFC!$B$36*1.02*1.3+KFC!$C$36)*KFC!$C$5</f>
        <v>131.80440000000002</v>
      </c>
      <c r="G157" s="196">
        <f>(112.1*KFC!$B$36*1.02*1.3+KFC!$C$36)*KFC!$C$5</f>
        <v>148.6446</v>
      </c>
      <c r="H157" s="196">
        <f>(124.9*KFC!$B$36*1.02*1.3+KFC!$C$36)*KFC!$C$5</f>
        <v>165.61740000000003</v>
      </c>
      <c r="I157" s="196">
        <f>(137.6*KFC!$B$36*1.02*1.3+KFC!$C$36)*KFC!$C$5</f>
        <v>182.45760000000001</v>
      </c>
      <c r="J157" s="196">
        <f>(150.3*KFC!$B$36*1.02*1.3+KFC!$C$36)*KFC!$C$5</f>
        <v>199.29780000000002</v>
      </c>
      <c r="K157" s="196">
        <f>(163*KFC!$B$36*1.02*1.3+KFC!$C$36)*KFC!$C$5</f>
        <v>216.13800000000001</v>
      </c>
      <c r="L157" s="196">
        <f>(175.9*KFC!$B$36*1.02*1.3+KFC!$C$36)*KFC!$C$5</f>
        <v>233.24340000000001</v>
      </c>
      <c r="M157" s="196">
        <f>(188.6*KFC!$B$36*1.02*1.3+KFC!$C$36)*KFC!$C$5</f>
        <v>250.08359999999999</v>
      </c>
      <c r="N157" s="196">
        <f>(201.3*KFC!$B$36*1.02*1.3+KFC!$C$36)*KFC!$C$5</f>
        <v>266.92380000000003</v>
      </c>
      <c r="O157" s="196">
        <f>(214*KFC!$B$36*1.02*1.3+KFC!$C$36)*KFC!$C$5</f>
        <v>283.76400000000001</v>
      </c>
      <c r="P157" s="196">
        <f>(226.7*KFC!$B$36*1.02*1.3+KFC!$C$36)*KFC!$C$5</f>
        <v>300.60419999999999</v>
      </c>
      <c r="Q157" s="196">
        <f>(239.5*KFC!$B$36*1.02*1.3+KFC!$C$36)*KFC!$C$5</f>
        <v>317.577</v>
      </c>
      <c r="R157" s="196">
        <f>(252.3*KFC!$B$36*1.02*1.3+KFC!$C$36)*KFC!$C$5</f>
        <v>334.5498</v>
      </c>
      <c r="S157" s="196">
        <f>(265*KFC!$B$36*1.02*1.3+KFC!$C$36)*KFC!$C$5</f>
        <v>351.39000000000004</v>
      </c>
      <c r="T157" s="196">
        <f>(277.7*KFC!$B$36*1.02*1.3+KFC!$C$36)*KFC!$C$5</f>
        <v>368.23020000000002</v>
      </c>
      <c r="U157" s="196">
        <f>(290.5*KFC!$B$36*1.02*1.3+KFC!$C$36)*KFC!$C$5</f>
        <v>385.20300000000003</v>
      </c>
      <c r="V157" s="196">
        <f>(303.2*KFC!$B$36*1.02*1.3+KFC!$C$36)*KFC!$C$5</f>
        <v>402.04320000000001</v>
      </c>
      <c r="W157" s="196">
        <f>(315.9*KFC!$B$36*1.02*1.3+KFC!$C$36)*KFC!$C$5</f>
        <v>418.88339999999994</v>
      </c>
      <c r="X157" s="196">
        <f>(328.7*KFC!$B$36*1.02*1.3+KFC!$C$36)*KFC!$C$5</f>
        <v>435.8562</v>
      </c>
      <c r="Y157" s="196">
        <f>(341.5*KFC!$B$36*1.02*1.3+KFC!$C$36)*KFC!$C$5</f>
        <v>452.82900000000001</v>
      </c>
      <c r="Z157" s="196">
        <f>(354.2*KFC!$B$36*1.02*1.3+KFC!$C$36)*KFC!$C$5</f>
        <v>469.66919999999999</v>
      </c>
      <c r="AA157" s="197">
        <f>(366.9*KFC!$B$36*1.02*1.3+KFC!$C$36)*KFC!$C$5</f>
        <v>486.50940000000003</v>
      </c>
    </row>
    <row r="158" spans="1:27" ht="13.8">
      <c r="A158" s="185" t="s">
        <v>303</v>
      </c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</row>
  </sheetData>
  <mergeCells count="14">
    <mergeCell ref="A44:A79"/>
    <mergeCell ref="A1:Y1"/>
    <mergeCell ref="A2:Y2"/>
    <mergeCell ref="A42:B43"/>
    <mergeCell ref="A3:B4"/>
    <mergeCell ref="A5:A40"/>
    <mergeCell ref="C3:AA3"/>
    <mergeCell ref="C42:AA42"/>
    <mergeCell ref="A81:B82"/>
    <mergeCell ref="A83:A118"/>
    <mergeCell ref="A120:B121"/>
    <mergeCell ref="A122:A157"/>
    <mergeCell ref="C81:AA81"/>
    <mergeCell ref="C120:AA120"/>
  </mergeCells>
  <phoneticPr fontId="7" type="noConversion"/>
  <pageMargins left="0.43307086614173229" right="0" top="0.2" bottom="0" header="0" footer="0"/>
  <pageSetup paperSize="9" scale="96" fitToHeight="7" orientation="landscape" r:id="rId1"/>
  <headerFooter alignWithMargins="0"/>
  <rowBreaks count="2" manualBreakCount="2">
    <brk id="79" max="26" man="1"/>
    <brk id="118" max="26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F8486D-8CAA-46C5-BB03-26262548E3D9}">
  <sheetPr>
    <tabColor rgb="FFFFC000"/>
  </sheetPr>
  <dimension ref="A1:AR99"/>
  <sheetViews>
    <sheetView view="pageBreakPreview" zoomScale="80" zoomScaleNormal="100" zoomScaleSheetLayoutView="80" workbookViewId="0">
      <selection sqref="A1:IV4"/>
    </sheetView>
  </sheetViews>
  <sheetFormatPr defaultRowHeight="13.2"/>
  <cols>
    <col min="1" max="1" width="3" customWidth="1"/>
    <col min="2" max="2" width="3.33203125" customWidth="1"/>
    <col min="3" max="3" width="5.33203125" customWidth="1"/>
    <col min="4" max="4" width="7.44140625" customWidth="1"/>
    <col min="5" max="16" width="7" customWidth="1"/>
    <col min="23" max="44" width="0" hidden="1" customWidth="1"/>
  </cols>
  <sheetData>
    <row r="1" spans="1:44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</row>
    <row r="2" spans="1:44" ht="18">
      <c r="A2" s="1848" t="s">
        <v>575</v>
      </c>
      <c r="B2" s="1848"/>
      <c r="C2" s="1848"/>
      <c r="D2" s="1848"/>
      <c r="E2" s="1848"/>
      <c r="F2" s="1848"/>
      <c r="G2" s="1848"/>
      <c r="H2" s="1848"/>
      <c r="I2" s="1848"/>
      <c r="J2" s="1848"/>
      <c r="K2" s="1848"/>
      <c r="L2" s="1848"/>
      <c r="M2" s="1848"/>
      <c r="N2" s="1848"/>
      <c r="O2" s="1848"/>
      <c r="P2" s="1848"/>
      <c r="Q2" s="1848"/>
      <c r="R2" s="1848"/>
      <c r="S2" s="1848"/>
      <c r="T2" s="1848"/>
      <c r="U2" s="1848"/>
      <c r="V2" s="1848"/>
    </row>
    <row r="3" spans="1:44">
      <c r="A3" s="1011" t="s">
        <v>302</v>
      </c>
      <c r="B3" s="1011"/>
      <c r="C3" s="1011"/>
      <c r="D3" s="1011"/>
      <c r="E3" s="1011"/>
      <c r="F3" s="1011"/>
      <c r="G3" s="1011"/>
      <c r="H3" s="1011"/>
      <c r="I3" s="1011"/>
      <c r="J3" s="1011"/>
      <c r="K3" s="1011"/>
      <c r="L3" s="1011"/>
      <c r="M3" s="1011"/>
      <c r="N3" s="1011"/>
      <c r="O3" s="1011"/>
      <c r="P3" s="1011"/>
      <c r="Q3" s="1011"/>
      <c r="R3" s="1011"/>
      <c r="S3" s="1011"/>
      <c r="T3" s="1011"/>
      <c r="U3" s="1011"/>
      <c r="V3" s="1011"/>
    </row>
    <row r="4" spans="1:44" ht="26.25" customHeight="1">
      <c r="A4" s="1089" t="s">
        <v>593</v>
      </c>
      <c r="B4" s="1089"/>
      <c r="C4" s="1089"/>
      <c r="D4" s="1089"/>
      <c r="E4" s="1089"/>
      <c r="F4" s="1089"/>
      <c r="G4" s="1406" t="s">
        <v>627</v>
      </c>
      <c r="H4" s="1406"/>
      <c r="I4" s="1406"/>
      <c r="J4" s="1406"/>
      <c r="K4" s="1406"/>
      <c r="L4" s="1406"/>
      <c r="M4" s="1406"/>
      <c r="N4" s="1406"/>
      <c r="O4" s="1406"/>
      <c r="P4" s="1406"/>
      <c r="Q4" s="3"/>
      <c r="R4" s="3"/>
      <c r="S4" s="3"/>
      <c r="T4" s="3"/>
      <c r="U4" s="3"/>
      <c r="V4" s="3"/>
    </row>
    <row r="5" spans="1:44" ht="24" customHeight="1" thickBot="1">
      <c r="A5" s="1896" t="s">
        <v>611</v>
      </c>
      <c r="B5" s="1896"/>
      <c r="C5" s="1896"/>
      <c r="D5" s="1896"/>
      <c r="E5" s="1896"/>
      <c r="F5" s="1896"/>
      <c r="G5" s="1168" t="s">
        <v>623</v>
      </c>
      <c r="H5" s="1168"/>
      <c r="I5" s="1168"/>
      <c r="J5" s="1168"/>
      <c r="K5" s="1168"/>
      <c r="L5" s="1168"/>
      <c r="M5" s="1168"/>
      <c r="N5" s="1168"/>
      <c r="O5" s="1168"/>
      <c r="P5" s="1168"/>
      <c r="Q5" s="3"/>
      <c r="R5" s="3"/>
      <c r="S5" s="3"/>
      <c r="T5" s="3"/>
      <c r="U5" s="3"/>
      <c r="V5" s="3"/>
    </row>
    <row r="6" spans="1:44" ht="13.8" thickBot="1">
      <c r="A6" s="1413" t="s">
        <v>314</v>
      </c>
      <c r="B6" s="1414"/>
      <c r="C6" s="1414"/>
      <c r="D6" s="1415"/>
      <c r="E6" s="1534" t="s">
        <v>207</v>
      </c>
      <c r="F6" s="1535"/>
      <c r="G6" s="1535"/>
      <c r="H6" s="1535"/>
      <c r="I6" s="1535"/>
      <c r="J6" s="1535"/>
      <c r="K6" s="1535"/>
      <c r="L6" s="1535"/>
      <c r="M6" s="1535"/>
      <c r="N6" s="1535"/>
      <c r="O6" s="1535"/>
      <c r="P6" s="1535"/>
      <c r="Q6" s="1535"/>
      <c r="R6" s="1535"/>
      <c r="S6" s="1535"/>
      <c r="T6" s="1535"/>
      <c r="U6" s="1535"/>
      <c r="V6" s="1535"/>
    </row>
    <row r="7" spans="1:44" ht="13.8" thickBot="1">
      <c r="A7" s="1416"/>
      <c r="B7" s="1417"/>
      <c r="C7" s="1417"/>
      <c r="D7" s="1418"/>
      <c r="E7" s="119">
        <v>0.4</v>
      </c>
      <c r="F7" s="119">
        <v>0.5</v>
      </c>
      <c r="G7" s="119">
        <v>0.6</v>
      </c>
      <c r="H7" s="119">
        <v>0.7</v>
      </c>
      <c r="I7" s="119">
        <v>0.8</v>
      </c>
      <c r="J7" s="119">
        <v>0.9</v>
      </c>
      <c r="K7" s="119">
        <v>1</v>
      </c>
      <c r="L7" s="119">
        <v>1.1000000000000001</v>
      </c>
      <c r="M7" s="119">
        <v>1.2</v>
      </c>
      <c r="N7" s="119">
        <v>1.3</v>
      </c>
      <c r="O7" s="119">
        <v>1.4</v>
      </c>
      <c r="P7" s="119">
        <v>1.5</v>
      </c>
      <c r="Q7" s="119">
        <v>1.6</v>
      </c>
      <c r="R7" s="119">
        <v>1.7</v>
      </c>
      <c r="S7" s="119">
        <v>1.8</v>
      </c>
      <c r="T7" s="119">
        <v>1.9</v>
      </c>
      <c r="U7" s="119">
        <v>2</v>
      </c>
      <c r="V7" s="119">
        <v>2.1</v>
      </c>
      <c r="X7" s="850"/>
      <c r="Y7" s="851">
        <v>0.4</v>
      </c>
      <c r="Z7" s="851">
        <v>0.5</v>
      </c>
      <c r="AA7" s="851">
        <v>0.6</v>
      </c>
      <c r="AB7" s="851">
        <v>0.7</v>
      </c>
      <c r="AC7" s="851">
        <v>0.8</v>
      </c>
      <c r="AD7" s="851">
        <v>0.9</v>
      </c>
      <c r="AE7" s="851">
        <v>1</v>
      </c>
      <c r="AF7" s="851">
        <v>1.1000000000000001</v>
      </c>
      <c r="AG7" s="851">
        <v>1.2</v>
      </c>
      <c r="AH7" s="851">
        <v>1.3</v>
      </c>
      <c r="AI7" s="851">
        <v>1.4</v>
      </c>
      <c r="AJ7" s="852">
        <v>1.5</v>
      </c>
      <c r="AK7" s="853">
        <v>1.6</v>
      </c>
      <c r="AL7" s="853">
        <v>1.7</v>
      </c>
      <c r="AM7" s="853">
        <v>1.8</v>
      </c>
      <c r="AN7" s="853">
        <v>1.9</v>
      </c>
      <c r="AO7" s="853">
        <v>2</v>
      </c>
      <c r="AP7" s="853">
        <v>2.1</v>
      </c>
      <c r="AQ7" s="853">
        <v>2.2000000000000002</v>
      </c>
      <c r="AR7" s="853">
        <v>2.2999999999999998</v>
      </c>
    </row>
    <row r="8" spans="1:44">
      <c r="A8" s="1827" t="s">
        <v>3</v>
      </c>
      <c r="B8" s="1965"/>
      <c r="C8" s="1966"/>
      <c r="D8" s="427">
        <v>0.5</v>
      </c>
      <c r="E8" s="76">
        <f>(Y8*KFC!$B$37+KFC!$C$37)*KFC!$C$5</f>
        <v>23.69</v>
      </c>
      <c r="F8" s="81">
        <f>(Z8*KFC!$B$37+KFC!$C$37)*KFC!$C$5</f>
        <v>27.03</v>
      </c>
      <c r="G8" s="81">
        <f>(AA8*KFC!$B$37+KFC!$C$37)*KFC!$C$5</f>
        <v>30.48</v>
      </c>
      <c r="H8" s="81">
        <f>(AB8*KFC!$B$37+KFC!$C$37)*KFC!$C$5</f>
        <v>33.83</v>
      </c>
      <c r="I8" s="81">
        <f>(AC8*KFC!$B$37+KFC!$C$37)*KFC!$C$5</f>
        <v>37.15</v>
      </c>
      <c r="J8" s="81">
        <f>(AD8*KFC!$B$37+KFC!$C$37)*KFC!$C$5</f>
        <v>40.61</v>
      </c>
      <c r="K8" s="81">
        <f>(AE8*KFC!$B$37+KFC!$C$37)*KFC!$C$5</f>
        <v>43.93</v>
      </c>
      <c r="L8" s="81">
        <f>(AF8*KFC!$B$37+KFC!$C$37)*KFC!$C$5</f>
        <v>47.4</v>
      </c>
      <c r="M8" s="81">
        <f>(AG8*KFC!$B$37+KFC!$C$37)*KFC!$C$5</f>
        <v>50.72</v>
      </c>
      <c r="N8" s="81">
        <f>(AH8*KFC!$B$37+KFC!$C$37)*KFC!$C$5</f>
        <v>54.07</v>
      </c>
      <c r="O8" s="81">
        <f>(AI8*KFC!$B$37+KFC!$C$37)*KFC!$C$5</f>
        <v>57.51</v>
      </c>
      <c r="P8" s="81">
        <f>(AJ8*KFC!$B$37+KFC!$C$37)*KFC!$C$5</f>
        <v>60.85</v>
      </c>
      <c r="Q8" s="81">
        <f>(AK8*KFC!$B$37+KFC!$C$37)*KFC!$C$5</f>
        <v>64.19</v>
      </c>
      <c r="R8" s="81">
        <f>(AL8*KFC!$B$37+KFC!$C$37)*KFC!$C$5</f>
        <v>67.53</v>
      </c>
      <c r="S8" s="81">
        <f>(AM8*KFC!$B$37+KFC!$C$37)*KFC!$C$5</f>
        <v>70.87</v>
      </c>
      <c r="T8" s="81">
        <f>(AN8*KFC!$B$37+KFC!$C$37)*KFC!$C$5</f>
        <v>74.210000000000008</v>
      </c>
      <c r="U8" s="81">
        <f>(AO8*KFC!$B$37+KFC!$C$37)*KFC!$C$5</f>
        <v>77.550000000000011</v>
      </c>
      <c r="V8" s="81">
        <f>(AP8*KFC!$B$37+KFC!$C$37)*KFC!$C$5</f>
        <v>80.890000000000015</v>
      </c>
      <c r="X8" s="851">
        <v>0.5</v>
      </c>
      <c r="Y8" s="847">
        <v>23.69</v>
      </c>
      <c r="Z8" s="847">
        <v>27.03</v>
      </c>
      <c r="AA8" s="847">
        <v>30.48</v>
      </c>
      <c r="AB8" s="847">
        <v>33.83</v>
      </c>
      <c r="AC8" s="847">
        <v>37.15</v>
      </c>
      <c r="AD8" s="847">
        <v>40.61</v>
      </c>
      <c r="AE8" s="847">
        <v>43.93</v>
      </c>
      <c r="AF8" s="847">
        <v>47.4</v>
      </c>
      <c r="AG8" s="847">
        <v>50.72</v>
      </c>
      <c r="AH8" s="847">
        <v>54.07</v>
      </c>
      <c r="AI8" s="847">
        <v>57.51</v>
      </c>
      <c r="AJ8" s="848">
        <v>60.85</v>
      </c>
      <c r="AK8" s="690">
        <f>AJ8-AI8+AJ8</f>
        <v>64.19</v>
      </c>
      <c r="AL8" s="690">
        <f t="shared" ref="AL8:AR21" si="0">AK8-AJ8+AK8</f>
        <v>67.53</v>
      </c>
      <c r="AM8" s="690">
        <f t="shared" si="0"/>
        <v>70.87</v>
      </c>
      <c r="AN8" s="690">
        <f t="shared" si="0"/>
        <v>74.210000000000008</v>
      </c>
      <c r="AO8" s="690">
        <f t="shared" si="0"/>
        <v>77.550000000000011</v>
      </c>
      <c r="AP8" s="690">
        <f t="shared" si="0"/>
        <v>80.890000000000015</v>
      </c>
      <c r="AQ8" s="690">
        <f t="shared" si="0"/>
        <v>84.230000000000018</v>
      </c>
      <c r="AR8" s="690">
        <f t="shared" si="0"/>
        <v>87.570000000000022</v>
      </c>
    </row>
    <row r="9" spans="1:44">
      <c r="A9" s="1828"/>
      <c r="B9" s="1967"/>
      <c r="C9" s="1968"/>
      <c r="D9" s="262">
        <v>0.6</v>
      </c>
      <c r="E9" s="80">
        <f>(Y9*KFC!$B$37+KFC!$C$37)*KFC!$C$5</f>
        <v>25.67</v>
      </c>
      <c r="F9" s="79">
        <f>(Z9*KFC!$B$37+KFC!$C$37)*KFC!$C$5</f>
        <v>29.25</v>
      </c>
      <c r="G9" s="79">
        <f>(AA9*KFC!$B$37+KFC!$C$37)*KFC!$C$5</f>
        <v>33.08</v>
      </c>
      <c r="H9" s="79">
        <f>(AB9*KFC!$B$37+KFC!$C$37)*KFC!$C$5</f>
        <v>36.65</v>
      </c>
      <c r="I9" s="79">
        <f>(AC9*KFC!$B$37+KFC!$C$37)*KFC!$C$5</f>
        <v>40.36</v>
      </c>
      <c r="J9" s="79">
        <f>(AD9*KFC!$B$37+KFC!$C$37)*KFC!$C$5</f>
        <v>43.93</v>
      </c>
      <c r="K9" s="79">
        <f>(AE9*KFC!$B$37+KFC!$C$37)*KFC!$C$5</f>
        <v>47.52</v>
      </c>
      <c r="L9" s="79">
        <f>(AF9*KFC!$B$37+KFC!$C$37)*KFC!$C$5</f>
        <v>51.22</v>
      </c>
      <c r="M9" s="79">
        <f>(AG9*KFC!$B$37+KFC!$C$37)*KFC!$C$5</f>
        <v>54.8</v>
      </c>
      <c r="N9" s="79">
        <f>(AH9*KFC!$B$37+KFC!$C$37)*KFC!$C$5</f>
        <v>58.39</v>
      </c>
      <c r="O9" s="79">
        <f>(AI9*KFC!$B$37+KFC!$C$37)*KFC!$C$5</f>
        <v>62.08</v>
      </c>
      <c r="P9" s="79">
        <f>(AJ9*KFC!$B$37+KFC!$C$37)*KFC!$C$5</f>
        <v>65.66</v>
      </c>
      <c r="Q9" s="79">
        <f>(AK9*KFC!$B$37+KFC!$C$37)*KFC!$C$5</f>
        <v>69.239999999999995</v>
      </c>
      <c r="R9" s="79">
        <f>(AL9*KFC!$B$37+KFC!$C$37)*KFC!$C$5</f>
        <v>72.819999999999993</v>
      </c>
      <c r="S9" s="79">
        <f>(AM9*KFC!$B$37+KFC!$C$37)*KFC!$C$5</f>
        <v>76.399999999999991</v>
      </c>
      <c r="T9" s="79">
        <f>(AN9*KFC!$B$37+KFC!$C$37)*KFC!$C$5</f>
        <v>79.97999999999999</v>
      </c>
      <c r="U9" s="79">
        <f>(AO9*KFC!$B$37+KFC!$C$37)*KFC!$C$5</f>
        <v>83.559999999999988</v>
      </c>
      <c r="V9" s="79">
        <f>(AP9*KFC!$B$37+KFC!$C$37)*KFC!$C$5</f>
        <v>87.139999999999986</v>
      </c>
      <c r="X9" s="851">
        <v>0.6</v>
      </c>
      <c r="Y9" s="847">
        <v>25.67</v>
      </c>
      <c r="Z9" s="847">
        <v>29.25</v>
      </c>
      <c r="AA9" s="847">
        <v>33.08</v>
      </c>
      <c r="AB9" s="847">
        <v>36.65</v>
      </c>
      <c r="AC9" s="847">
        <v>40.36</v>
      </c>
      <c r="AD9" s="847">
        <v>43.93</v>
      </c>
      <c r="AE9" s="847">
        <v>47.52</v>
      </c>
      <c r="AF9" s="847">
        <v>51.22</v>
      </c>
      <c r="AG9" s="847">
        <v>54.8</v>
      </c>
      <c r="AH9" s="847">
        <v>58.39</v>
      </c>
      <c r="AI9" s="847">
        <v>62.08</v>
      </c>
      <c r="AJ9" s="848">
        <v>65.66</v>
      </c>
      <c r="AK9" s="690">
        <f t="shared" ref="AK9:AK21" si="1">AJ9-AI9+AJ9</f>
        <v>69.239999999999995</v>
      </c>
      <c r="AL9" s="690">
        <f t="shared" si="0"/>
        <v>72.819999999999993</v>
      </c>
      <c r="AM9" s="690">
        <f t="shared" si="0"/>
        <v>76.399999999999991</v>
      </c>
      <c r="AN9" s="690">
        <f t="shared" si="0"/>
        <v>79.97999999999999</v>
      </c>
      <c r="AO9" s="690">
        <f t="shared" si="0"/>
        <v>83.559999999999988</v>
      </c>
      <c r="AP9" s="690">
        <f t="shared" si="0"/>
        <v>87.139999999999986</v>
      </c>
      <c r="AQ9" s="690">
        <f t="shared" si="0"/>
        <v>90.719999999999985</v>
      </c>
      <c r="AR9" s="690">
        <f t="shared" si="0"/>
        <v>94.299999999999983</v>
      </c>
    </row>
    <row r="10" spans="1:44">
      <c r="A10" s="1828"/>
      <c r="B10" s="1967"/>
      <c r="C10" s="1968"/>
      <c r="D10" s="262">
        <v>0.7</v>
      </c>
      <c r="E10" s="80">
        <f>(Y10*KFC!$B$37+KFC!$C$37)*KFC!$C$5</f>
        <v>27.78</v>
      </c>
      <c r="F10" s="79">
        <f>(Z10*KFC!$B$37+KFC!$C$37)*KFC!$C$5</f>
        <v>31.59</v>
      </c>
      <c r="G10" s="79">
        <f>(AA10*KFC!$B$37+KFC!$C$37)*KFC!$C$5</f>
        <v>35.42</v>
      </c>
      <c r="H10" s="79">
        <f>(AB10*KFC!$B$37+KFC!$C$37)*KFC!$C$5</f>
        <v>39.369999999999997</v>
      </c>
      <c r="I10" s="79">
        <f>(AC10*KFC!$B$37+KFC!$C$37)*KFC!$C$5</f>
        <v>43.32</v>
      </c>
      <c r="J10" s="79">
        <f>(AD10*KFC!$B$37+KFC!$C$37)*KFC!$C$5</f>
        <v>47.28</v>
      </c>
      <c r="K10" s="79">
        <f>(AE10*KFC!$B$37+KFC!$C$37)*KFC!$C$5</f>
        <v>51.22</v>
      </c>
      <c r="L10" s="79">
        <f>(AF10*KFC!$B$37+KFC!$C$37)*KFC!$C$5</f>
        <v>54.92</v>
      </c>
      <c r="M10" s="79">
        <f>(AG10*KFC!$B$37+KFC!$C$37)*KFC!$C$5</f>
        <v>58.87</v>
      </c>
      <c r="N10" s="79">
        <f>(AH10*KFC!$B$37+KFC!$C$37)*KFC!$C$5</f>
        <v>62.82</v>
      </c>
      <c r="O10" s="79">
        <f>(AI10*KFC!$B$37+KFC!$C$37)*KFC!$C$5</f>
        <v>66.77</v>
      </c>
      <c r="P10" s="79">
        <f>(AJ10*KFC!$B$37+KFC!$C$37)*KFC!$C$5</f>
        <v>70.59</v>
      </c>
      <c r="Q10" s="79">
        <f>(AK10*KFC!$B$37+KFC!$C$37)*KFC!$C$5</f>
        <v>74.410000000000011</v>
      </c>
      <c r="R10" s="79">
        <f>(AL10*KFC!$B$37+KFC!$C$37)*KFC!$C$5</f>
        <v>78.230000000000018</v>
      </c>
      <c r="S10" s="79">
        <f>(AM10*KFC!$B$37+KFC!$C$37)*KFC!$C$5</f>
        <v>82.050000000000026</v>
      </c>
      <c r="T10" s="79">
        <f>(AN10*KFC!$B$37+KFC!$C$37)*KFC!$C$5</f>
        <v>85.870000000000033</v>
      </c>
      <c r="U10" s="79">
        <f>(AO10*KFC!$B$37+KFC!$C$37)*KFC!$C$5</f>
        <v>89.69000000000004</v>
      </c>
      <c r="V10" s="79">
        <f>(AP10*KFC!$B$37+KFC!$C$37)*KFC!$C$5</f>
        <v>93.510000000000048</v>
      </c>
      <c r="X10" s="851">
        <v>0.7</v>
      </c>
      <c r="Y10" s="847">
        <v>27.78</v>
      </c>
      <c r="Z10" s="847">
        <v>31.59</v>
      </c>
      <c r="AA10" s="847">
        <v>35.42</v>
      </c>
      <c r="AB10" s="847">
        <v>39.369999999999997</v>
      </c>
      <c r="AC10" s="847">
        <v>43.32</v>
      </c>
      <c r="AD10" s="847">
        <v>47.28</v>
      </c>
      <c r="AE10" s="847">
        <v>51.22</v>
      </c>
      <c r="AF10" s="847">
        <v>54.92</v>
      </c>
      <c r="AG10" s="847">
        <v>58.87</v>
      </c>
      <c r="AH10" s="847">
        <v>62.82</v>
      </c>
      <c r="AI10" s="847">
        <v>66.77</v>
      </c>
      <c r="AJ10" s="848">
        <v>70.59</v>
      </c>
      <c r="AK10" s="690">
        <f t="shared" si="1"/>
        <v>74.410000000000011</v>
      </c>
      <c r="AL10" s="690">
        <f t="shared" si="0"/>
        <v>78.230000000000018</v>
      </c>
      <c r="AM10" s="690">
        <f t="shared" si="0"/>
        <v>82.050000000000026</v>
      </c>
      <c r="AN10" s="690">
        <f t="shared" si="0"/>
        <v>85.870000000000033</v>
      </c>
      <c r="AO10" s="690">
        <f t="shared" si="0"/>
        <v>89.69000000000004</v>
      </c>
      <c r="AP10" s="690">
        <f t="shared" si="0"/>
        <v>93.510000000000048</v>
      </c>
      <c r="AQ10" s="690">
        <f t="shared" si="0"/>
        <v>97.330000000000055</v>
      </c>
      <c r="AR10" s="690">
        <f t="shared" si="0"/>
        <v>101.15000000000006</v>
      </c>
    </row>
    <row r="11" spans="1:44">
      <c r="A11" s="1828"/>
      <c r="B11" s="1967"/>
      <c r="C11" s="1968"/>
      <c r="D11" s="262">
        <v>0.8</v>
      </c>
      <c r="E11" s="80">
        <f>(Y11*KFC!$B$37+KFC!$C$37)*KFC!$C$5</f>
        <v>29.74</v>
      </c>
      <c r="F11" s="79">
        <f>(Z11*KFC!$B$37+KFC!$C$37)*KFC!$C$5</f>
        <v>33.83</v>
      </c>
      <c r="G11" s="79">
        <f>(AA11*KFC!$B$37+KFC!$C$37)*KFC!$C$5</f>
        <v>38.020000000000003</v>
      </c>
      <c r="H11" s="79">
        <f>(AB11*KFC!$B$37+KFC!$C$37)*KFC!$C$5</f>
        <v>42.21</v>
      </c>
      <c r="I11" s="79">
        <f>(AC11*KFC!$B$37+KFC!$C$37)*KFC!$C$5</f>
        <v>46.29</v>
      </c>
      <c r="J11" s="79">
        <f>(AD11*KFC!$B$37+KFC!$C$37)*KFC!$C$5</f>
        <v>50.6</v>
      </c>
      <c r="K11" s="79">
        <f>(AE11*KFC!$B$37+KFC!$C$37)*KFC!$C$5</f>
        <v>54.68</v>
      </c>
      <c r="L11" s="79">
        <f>(AF11*KFC!$B$37+KFC!$C$37)*KFC!$C$5</f>
        <v>58.87</v>
      </c>
      <c r="M11" s="79">
        <f>(AG11*KFC!$B$37+KFC!$C$37)*KFC!$C$5</f>
        <v>62.94</v>
      </c>
      <c r="N11" s="79">
        <f>(AH11*KFC!$B$37+KFC!$C$37)*KFC!$C$5</f>
        <v>67.14</v>
      </c>
      <c r="O11" s="79">
        <f>(AI11*KFC!$B$37+KFC!$C$37)*KFC!$C$5</f>
        <v>71.349999999999994</v>
      </c>
      <c r="P11" s="79">
        <f>(AJ11*KFC!$B$37+KFC!$C$37)*KFC!$C$5</f>
        <v>75.53</v>
      </c>
      <c r="Q11" s="79">
        <f>(AK11*KFC!$B$37+KFC!$C$37)*KFC!$C$5</f>
        <v>79.710000000000008</v>
      </c>
      <c r="R11" s="79">
        <f>(AL11*KFC!$B$37+KFC!$C$37)*KFC!$C$5</f>
        <v>83.890000000000015</v>
      </c>
      <c r="S11" s="79">
        <f>(AM11*KFC!$B$37+KFC!$C$37)*KFC!$C$5</f>
        <v>88.070000000000022</v>
      </c>
      <c r="T11" s="79">
        <f>(AN11*KFC!$B$37+KFC!$C$37)*KFC!$C$5</f>
        <v>92.250000000000028</v>
      </c>
      <c r="U11" s="79">
        <f>(AO11*KFC!$B$37+KFC!$C$37)*KFC!$C$5</f>
        <v>96.430000000000035</v>
      </c>
      <c r="V11" s="79">
        <f>(AP11*KFC!$B$37+KFC!$C$37)*KFC!$C$5</f>
        <v>100.61000000000004</v>
      </c>
      <c r="X11" s="851">
        <v>0.8</v>
      </c>
      <c r="Y11" s="847">
        <v>29.74</v>
      </c>
      <c r="Z11" s="847">
        <v>33.83</v>
      </c>
      <c r="AA11" s="847">
        <v>38.020000000000003</v>
      </c>
      <c r="AB11" s="847">
        <v>42.21</v>
      </c>
      <c r="AC11" s="847">
        <v>46.29</v>
      </c>
      <c r="AD11" s="847">
        <v>50.6</v>
      </c>
      <c r="AE11" s="847">
        <v>54.68</v>
      </c>
      <c r="AF11" s="847">
        <v>58.87</v>
      </c>
      <c r="AG11" s="847">
        <v>62.94</v>
      </c>
      <c r="AH11" s="847">
        <v>67.14</v>
      </c>
      <c r="AI11" s="847">
        <v>71.349999999999994</v>
      </c>
      <c r="AJ11" s="848">
        <v>75.53</v>
      </c>
      <c r="AK11" s="690">
        <f t="shared" si="1"/>
        <v>79.710000000000008</v>
      </c>
      <c r="AL11" s="690">
        <f t="shared" si="0"/>
        <v>83.890000000000015</v>
      </c>
      <c r="AM11" s="690">
        <f t="shared" si="0"/>
        <v>88.070000000000022</v>
      </c>
      <c r="AN11" s="690">
        <f t="shared" si="0"/>
        <v>92.250000000000028</v>
      </c>
      <c r="AO11" s="690">
        <f t="shared" si="0"/>
        <v>96.430000000000035</v>
      </c>
      <c r="AP11" s="690">
        <f t="shared" si="0"/>
        <v>100.61000000000004</v>
      </c>
      <c r="AQ11" s="690">
        <f t="shared" si="0"/>
        <v>104.79000000000005</v>
      </c>
      <c r="AR11" s="690">
        <f t="shared" si="0"/>
        <v>108.97000000000006</v>
      </c>
    </row>
    <row r="12" spans="1:44">
      <c r="A12" s="1828"/>
      <c r="B12" s="1967"/>
      <c r="C12" s="1968"/>
      <c r="D12" s="262">
        <v>0.9</v>
      </c>
      <c r="E12" s="80">
        <f>(Y12*KFC!$B$37+KFC!$C$37)*KFC!$C$5</f>
        <v>31.71</v>
      </c>
      <c r="F12" s="79">
        <f>(Z12*KFC!$B$37+KFC!$C$37)*KFC!$C$5</f>
        <v>36.29</v>
      </c>
      <c r="G12" s="79">
        <f>(AA12*KFC!$B$37+KFC!$C$37)*KFC!$C$5</f>
        <v>40.61</v>
      </c>
      <c r="H12" s="79">
        <f>(AB12*KFC!$B$37+KFC!$C$37)*KFC!$C$5</f>
        <v>44.92</v>
      </c>
      <c r="I12" s="79">
        <f>(AC12*KFC!$B$37+KFC!$C$37)*KFC!$C$5</f>
        <v>49.37</v>
      </c>
      <c r="J12" s="79">
        <f>(AD12*KFC!$B$37+KFC!$C$37)*KFC!$C$5</f>
        <v>53.93</v>
      </c>
      <c r="K12" s="79">
        <f>(AE12*KFC!$B$37+KFC!$C$37)*KFC!$C$5</f>
        <v>58.25</v>
      </c>
      <c r="L12" s="79">
        <f>(AF12*KFC!$B$37+KFC!$C$37)*KFC!$C$5</f>
        <v>62.7</v>
      </c>
      <c r="M12" s="79">
        <f>(AG12*KFC!$B$37+KFC!$C$37)*KFC!$C$5</f>
        <v>67.14</v>
      </c>
      <c r="N12" s="79">
        <f>(AH12*KFC!$B$37+KFC!$C$37)*KFC!$C$5</f>
        <v>71.59</v>
      </c>
      <c r="O12" s="79">
        <f>(AI12*KFC!$B$37+KFC!$C$37)*KFC!$C$5</f>
        <v>75.900000000000006</v>
      </c>
      <c r="P12" s="79">
        <f>(AJ12*KFC!$B$37+KFC!$C$37)*KFC!$C$5</f>
        <v>80.47</v>
      </c>
      <c r="Q12" s="79">
        <f>(AK12*KFC!$B$37+KFC!$C$37)*KFC!$C$5</f>
        <v>85.039999999999992</v>
      </c>
      <c r="R12" s="79">
        <f>(AL12*KFC!$B$37+KFC!$C$37)*KFC!$C$5</f>
        <v>89.609999999999985</v>
      </c>
      <c r="S12" s="79">
        <f>(AM12*KFC!$B$37+KFC!$C$37)*KFC!$C$5</f>
        <v>94.179999999999978</v>
      </c>
      <c r="T12" s="79">
        <f>(AN12*KFC!$B$37+KFC!$C$37)*KFC!$C$5</f>
        <v>98.749999999999972</v>
      </c>
      <c r="U12" s="79">
        <f>(AO12*KFC!$B$37+KFC!$C$37)*KFC!$C$5</f>
        <v>103.31999999999996</v>
      </c>
      <c r="V12" s="79">
        <f>(AP12*KFC!$B$37+KFC!$C$37)*KFC!$C$5</f>
        <v>107.88999999999996</v>
      </c>
      <c r="X12" s="851">
        <v>0.9</v>
      </c>
      <c r="Y12" s="847">
        <v>31.71</v>
      </c>
      <c r="Z12" s="847">
        <v>36.29</v>
      </c>
      <c r="AA12" s="847">
        <v>40.61</v>
      </c>
      <c r="AB12" s="847">
        <v>44.92</v>
      </c>
      <c r="AC12" s="847">
        <v>49.37</v>
      </c>
      <c r="AD12" s="847">
        <v>53.93</v>
      </c>
      <c r="AE12" s="847">
        <v>58.25</v>
      </c>
      <c r="AF12" s="847">
        <v>62.7</v>
      </c>
      <c r="AG12" s="847">
        <v>67.14</v>
      </c>
      <c r="AH12" s="847">
        <v>71.59</v>
      </c>
      <c r="AI12" s="847">
        <v>75.900000000000006</v>
      </c>
      <c r="AJ12" s="848">
        <v>80.47</v>
      </c>
      <c r="AK12" s="690">
        <f t="shared" si="1"/>
        <v>85.039999999999992</v>
      </c>
      <c r="AL12" s="690">
        <f t="shared" si="0"/>
        <v>89.609999999999985</v>
      </c>
      <c r="AM12" s="690">
        <f t="shared" si="0"/>
        <v>94.179999999999978</v>
      </c>
      <c r="AN12" s="690">
        <f t="shared" si="0"/>
        <v>98.749999999999972</v>
      </c>
      <c r="AO12" s="690">
        <f t="shared" si="0"/>
        <v>103.31999999999996</v>
      </c>
      <c r="AP12" s="690">
        <f t="shared" si="0"/>
        <v>107.88999999999996</v>
      </c>
      <c r="AQ12" s="690">
        <f t="shared" si="0"/>
        <v>112.45999999999995</v>
      </c>
      <c r="AR12" s="690">
        <f t="shared" si="0"/>
        <v>117.02999999999994</v>
      </c>
    </row>
    <row r="13" spans="1:44">
      <c r="A13" s="1828"/>
      <c r="B13" s="1967"/>
      <c r="C13" s="1968"/>
      <c r="D13" s="262">
        <v>1</v>
      </c>
      <c r="E13" s="80">
        <f>(Y13*KFC!$B$37+KFC!$C$37)*KFC!$C$5</f>
        <v>33.83</v>
      </c>
      <c r="F13" s="79">
        <f>(Z13*KFC!$B$37+KFC!$C$37)*KFC!$C$5</f>
        <v>38.5</v>
      </c>
      <c r="G13" s="79">
        <f>(AA13*KFC!$B$37+KFC!$C$37)*KFC!$C$5</f>
        <v>43.2</v>
      </c>
      <c r="H13" s="79">
        <f>(AB13*KFC!$B$37+KFC!$C$37)*KFC!$C$5</f>
        <v>47.89</v>
      </c>
      <c r="I13" s="79">
        <f>(AC13*KFC!$B$37+KFC!$C$37)*KFC!$C$5</f>
        <v>52.58</v>
      </c>
      <c r="J13" s="79">
        <f>(AD13*KFC!$B$37+KFC!$C$37)*KFC!$C$5</f>
        <v>57.27</v>
      </c>
      <c r="K13" s="79">
        <f>(AE13*KFC!$B$37+KFC!$C$37)*KFC!$C$5</f>
        <v>61.83</v>
      </c>
      <c r="L13" s="79">
        <f>(AF13*KFC!$B$37+KFC!$C$37)*KFC!$C$5</f>
        <v>66.53</v>
      </c>
      <c r="M13" s="79">
        <f>(AG13*KFC!$B$37+KFC!$C$37)*KFC!$C$5</f>
        <v>71.209999999999994</v>
      </c>
      <c r="N13" s="79">
        <f>(AH13*KFC!$B$37+KFC!$C$37)*KFC!$C$5</f>
        <v>75.900000000000006</v>
      </c>
      <c r="O13" s="79">
        <f>(AI13*KFC!$B$37+KFC!$C$37)*KFC!$C$5</f>
        <v>80.599999999999994</v>
      </c>
      <c r="P13" s="79">
        <f>(AJ13*KFC!$B$37+KFC!$C$37)*KFC!$C$5</f>
        <v>85.28</v>
      </c>
      <c r="Q13" s="79">
        <f>(AK13*KFC!$B$37+KFC!$C$37)*KFC!$C$5</f>
        <v>89.960000000000008</v>
      </c>
      <c r="R13" s="79">
        <f>(AL13*KFC!$B$37+KFC!$C$37)*KFC!$C$5</f>
        <v>94.640000000000015</v>
      </c>
      <c r="S13" s="79">
        <f>(AM13*KFC!$B$37+KFC!$C$37)*KFC!$C$5</f>
        <v>99.320000000000022</v>
      </c>
      <c r="T13" s="79">
        <f>(AN13*KFC!$B$37+KFC!$C$37)*KFC!$C$5</f>
        <v>104.00000000000003</v>
      </c>
      <c r="U13" s="79">
        <f>(AO13*KFC!$B$37+KFC!$C$37)*KFC!$C$5</f>
        <v>108.68000000000004</v>
      </c>
      <c r="V13" s="79">
        <f>(AP13*KFC!$B$37+KFC!$C$37)*KFC!$C$5</f>
        <v>113.36000000000004</v>
      </c>
      <c r="X13" s="851">
        <v>1</v>
      </c>
      <c r="Y13" s="847">
        <v>33.83</v>
      </c>
      <c r="Z13" s="847">
        <v>38.5</v>
      </c>
      <c r="AA13" s="847">
        <v>43.2</v>
      </c>
      <c r="AB13" s="847">
        <v>47.89</v>
      </c>
      <c r="AC13" s="847">
        <v>52.58</v>
      </c>
      <c r="AD13" s="847">
        <v>57.27</v>
      </c>
      <c r="AE13" s="847">
        <v>61.83</v>
      </c>
      <c r="AF13" s="847">
        <v>66.53</v>
      </c>
      <c r="AG13" s="847">
        <v>71.209999999999994</v>
      </c>
      <c r="AH13" s="847">
        <v>75.900000000000006</v>
      </c>
      <c r="AI13" s="847">
        <v>80.599999999999994</v>
      </c>
      <c r="AJ13" s="848">
        <v>85.28</v>
      </c>
      <c r="AK13" s="690">
        <f t="shared" si="1"/>
        <v>89.960000000000008</v>
      </c>
      <c r="AL13" s="690">
        <f t="shared" si="0"/>
        <v>94.640000000000015</v>
      </c>
      <c r="AM13" s="690">
        <f t="shared" si="0"/>
        <v>99.320000000000022</v>
      </c>
      <c r="AN13" s="690">
        <f t="shared" si="0"/>
        <v>104.00000000000003</v>
      </c>
      <c r="AO13" s="690">
        <f t="shared" si="0"/>
        <v>108.68000000000004</v>
      </c>
      <c r="AP13" s="690">
        <f t="shared" si="0"/>
        <v>113.36000000000004</v>
      </c>
      <c r="AQ13" s="690">
        <f t="shared" si="0"/>
        <v>118.04000000000005</v>
      </c>
      <c r="AR13" s="690">
        <f t="shared" si="0"/>
        <v>122.72000000000006</v>
      </c>
    </row>
    <row r="14" spans="1:44">
      <c r="A14" s="1828"/>
      <c r="B14" s="1967"/>
      <c r="C14" s="1968"/>
      <c r="D14" s="262">
        <v>1.1000000000000001</v>
      </c>
      <c r="E14" s="80">
        <f>(Y14*KFC!$B$37+KFC!$C$37)*KFC!$C$5</f>
        <v>35.79</v>
      </c>
      <c r="F14" s="79">
        <f>(Z14*KFC!$B$37+KFC!$C$37)*KFC!$C$5</f>
        <v>40.729999999999997</v>
      </c>
      <c r="G14" s="79">
        <f>(AA14*KFC!$B$37+KFC!$C$37)*KFC!$C$5</f>
        <v>45.54</v>
      </c>
      <c r="H14" s="79">
        <f>(AB14*KFC!$B$37+KFC!$C$37)*KFC!$C$5</f>
        <v>50.6</v>
      </c>
      <c r="I14" s="79">
        <f>(AC14*KFC!$B$37+KFC!$C$37)*KFC!$C$5</f>
        <v>55.54</v>
      </c>
      <c r="J14" s="79">
        <f>(AD14*KFC!$B$37+KFC!$C$37)*KFC!$C$5</f>
        <v>60.48</v>
      </c>
      <c r="K14" s="79">
        <f>(AE14*KFC!$B$37+KFC!$C$37)*KFC!$C$5</f>
        <v>65.42</v>
      </c>
      <c r="L14" s="79">
        <f>(AF14*KFC!$B$37+KFC!$C$37)*KFC!$C$5</f>
        <v>70.349999999999994</v>
      </c>
      <c r="M14" s="79">
        <f>(AG14*KFC!$B$37+KFC!$C$37)*KFC!$C$5</f>
        <v>75.28</v>
      </c>
      <c r="N14" s="79">
        <f>(AH14*KFC!$B$37+KFC!$C$37)*KFC!$C$5</f>
        <v>80.34</v>
      </c>
      <c r="O14" s="79">
        <f>(AI14*KFC!$B$37+KFC!$C$37)*KFC!$C$5</f>
        <v>85.28</v>
      </c>
      <c r="P14" s="79">
        <f>(AJ14*KFC!$B$37+KFC!$C$37)*KFC!$C$5</f>
        <v>90.1</v>
      </c>
      <c r="Q14" s="79">
        <f>(AK14*KFC!$B$37+KFC!$C$37)*KFC!$C$5</f>
        <v>94.919999999999987</v>
      </c>
      <c r="R14" s="79">
        <f>(AL14*KFC!$B$37+KFC!$C$37)*KFC!$C$5</f>
        <v>99.739999999999981</v>
      </c>
      <c r="S14" s="79">
        <f>(AM14*KFC!$B$37+KFC!$C$37)*KFC!$C$5</f>
        <v>104.55999999999997</v>
      </c>
      <c r="T14" s="79">
        <f>(AN14*KFC!$B$37+KFC!$C$37)*KFC!$C$5</f>
        <v>109.37999999999997</v>
      </c>
      <c r="U14" s="79">
        <f>(AO14*KFC!$B$37+KFC!$C$37)*KFC!$C$5</f>
        <v>114.19999999999996</v>
      </c>
      <c r="V14" s="79">
        <f>(AP14*KFC!$B$37+KFC!$C$37)*KFC!$C$5</f>
        <v>119.01999999999995</v>
      </c>
      <c r="X14" s="851">
        <v>1.1000000000000001</v>
      </c>
      <c r="Y14" s="847">
        <v>35.79</v>
      </c>
      <c r="Z14" s="847">
        <v>40.729999999999997</v>
      </c>
      <c r="AA14" s="847">
        <v>45.54</v>
      </c>
      <c r="AB14" s="847">
        <v>50.6</v>
      </c>
      <c r="AC14" s="847">
        <v>55.54</v>
      </c>
      <c r="AD14" s="847">
        <v>60.48</v>
      </c>
      <c r="AE14" s="847">
        <v>65.42</v>
      </c>
      <c r="AF14" s="847">
        <v>70.349999999999994</v>
      </c>
      <c r="AG14" s="847">
        <v>75.28</v>
      </c>
      <c r="AH14" s="847">
        <v>80.34</v>
      </c>
      <c r="AI14" s="847">
        <v>85.28</v>
      </c>
      <c r="AJ14" s="848">
        <v>90.1</v>
      </c>
      <c r="AK14" s="690">
        <f t="shared" si="1"/>
        <v>94.919999999999987</v>
      </c>
      <c r="AL14" s="690">
        <f t="shared" si="0"/>
        <v>99.739999999999981</v>
      </c>
      <c r="AM14" s="690">
        <f t="shared" si="0"/>
        <v>104.55999999999997</v>
      </c>
      <c r="AN14" s="690">
        <f t="shared" si="0"/>
        <v>109.37999999999997</v>
      </c>
      <c r="AO14" s="690">
        <f t="shared" si="0"/>
        <v>114.19999999999996</v>
      </c>
      <c r="AP14" s="690">
        <f t="shared" si="0"/>
        <v>119.01999999999995</v>
      </c>
      <c r="AQ14" s="690">
        <f t="shared" si="0"/>
        <v>123.83999999999995</v>
      </c>
      <c r="AR14" s="690">
        <f t="shared" si="0"/>
        <v>128.65999999999994</v>
      </c>
    </row>
    <row r="15" spans="1:44">
      <c r="A15" s="1828"/>
      <c r="B15" s="1967"/>
      <c r="C15" s="1968"/>
      <c r="D15" s="262">
        <v>1.2</v>
      </c>
      <c r="E15" s="80">
        <f>(Y15*KFC!$B$37+KFC!$C$37)*KFC!$C$5</f>
        <v>37.76</v>
      </c>
      <c r="F15" s="79">
        <f>(Z15*KFC!$B$37+KFC!$C$37)*KFC!$C$5</f>
        <v>43.08</v>
      </c>
      <c r="G15" s="79">
        <f>(AA15*KFC!$B$37+KFC!$C$37)*KFC!$C$5</f>
        <v>48.14</v>
      </c>
      <c r="H15" s="79">
        <f>(AB15*KFC!$B$37+KFC!$C$37)*KFC!$C$5</f>
        <v>53.45</v>
      </c>
      <c r="I15" s="79">
        <f>(AC15*KFC!$B$37+KFC!$C$37)*KFC!$C$5</f>
        <v>58.63</v>
      </c>
      <c r="J15" s="79">
        <f>(AD15*KFC!$B$37+KFC!$C$37)*KFC!$C$5</f>
        <v>63.8</v>
      </c>
      <c r="K15" s="79">
        <f>(AE15*KFC!$B$37+KFC!$C$37)*KFC!$C$5</f>
        <v>68.989999999999995</v>
      </c>
      <c r="L15" s="79">
        <f>(AF15*KFC!$B$37+KFC!$C$37)*KFC!$C$5</f>
        <v>74.290000000000006</v>
      </c>
      <c r="M15" s="79">
        <f>(AG15*KFC!$B$37+KFC!$C$37)*KFC!$C$5</f>
        <v>79.37</v>
      </c>
      <c r="N15" s="79">
        <f>(AH15*KFC!$B$37+KFC!$C$37)*KFC!$C$5</f>
        <v>84.67</v>
      </c>
      <c r="O15" s="79">
        <f>(AI15*KFC!$B$37+KFC!$C$37)*KFC!$C$5</f>
        <v>89.86</v>
      </c>
      <c r="P15" s="79">
        <f>(AJ15*KFC!$B$37+KFC!$C$37)*KFC!$C$5</f>
        <v>95.03</v>
      </c>
      <c r="Q15" s="79">
        <f>(AK15*KFC!$B$37+KFC!$C$37)*KFC!$C$5</f>
        <v>100.2</v>
      </c>
      <c r="R15" s="79">
        <f>(AL15*KFC!$B$37+KFC!$C$37)*KFC!$C$5</f>
        <v>105.37</v>
      </c>
      <c r="S15" s="79">
        <f>(AM15*KFC!$B$37+KFC!$C$37)*KFC!$C$5</f>
        <v>110.54</v>
      </c>
      <c r="T15" s="79">
        <f>(AN15*KFC!$B$37+KFC!$C$37)*KFC!$C$5</f>
        <v>115.71000000000001</v>
      </c>
      <c r="U15" s="79">
        <f>(AO15*KFC!$B$37+KFC!$C$37)*KFC!$C$5</f>
        <v>120.88000000000001</v>
      </c>
      <c r="V15" s="79">
        <f>(AP15*KFC!$B$37+KFC!$C$37)*KFC!$C$5</f>
        <v>126.05000000000001</v>
      </c>
      <c r="X15" s="851">
        <v>1.2</v>
      </c>
      <c r="Y15" s="847">
        <v>37.76</v>
      </c>
      <c r="Z15" s="847">
        <v>43.08</v>
      </c>
      <c r="AA15" s="847">
        <v>48.14</v>
      </c>
      <c r="AB15" s="847">
        <v>53.45</v>
      </c>
      <c r="AC15" s="847">
        <v>58.63</v>
      </c>
      <c r="AD15" s="847">
        <v>63.8</v>
      </c>
      <c r="AE15" s="847">
        <v>68.989999999999995</v>
      </c>
      <c r="AF15" s="847">
        <v>74.290000000000006</v>
      </c>
      <c r="AG15" s="847">
        <v>79.37</v>
      </c>
      <c r="AH15" s="847">
        <v>84.67</v>
      </c>
      <c r="AI15" s="847">
        <v>89.86</v>
      </c>
      <c r="AJ15" s="848">
        <v>95.03</v>
      </c>
      <c r="AK15" s="690">
        <f t="shared" si="1"/>
        <v>100.2</v>
      </c>
      <c r="AL15" s="690">
        <f t="shared" si="0"/>
        <v>105.37</v>
      </c>
      <c r="AM15" s="690">
        <f t="shared" si="0"/>
        <v>110.54</v>
      </c>
      <c r="AN15" s="690">
        <f t="shared" si="0"/>
        <v>115.71000000000001</v>
      </c>
      <c r="AO15" s="690">
        <f t="shared" si="0"/>
        <v>120.88000000000001</v>
      </c>
      <c r="AP15" s="690">
        <f t="shared" si="0"/>
        <v>126.05000000000001</v>
      </c>
      <c r="AQ15" s="690">
        <f t="shared" si="0"/>
        <v>131.22000000000003</v>
      </c>
      <c r="AR15" s="690">
        <f t="shared" si="0"/>
        <v>136.39000000000004</v>
      </c>
    </row>
    <row r="16" spans="1:44">
      <c r="A16" s="1828"/>
      <c r="B16" s="1967"/>
      <c r="C16" s="1968"/>
      <c r="D16" s="262">
        <v>1.3</v>
      </c>
      <c r="E16" s="80">
        <f>(Y16*KFC!$B$37+KFC!$C$37)*KFC!$C$5</f>
        <v>39.729999999999997</v>
      </c>
      <c r="F16" s="79">
        <f>(Z16*KFC!$B$37+KFC!$C$37)*KFC!$C$5</f>
        <v>45.29</v>
      </c>
      <c r="G16" s="79">
        <f>(AA16*KFC!$B$37+KFC!$C$37)*KFC!$C$5</f>
        <v>50.72</v>
      </c>
      <c r="H16" s="79">
        <f>(AB16*KFC!$B$37+KFC!$C$37)*KFC!$C$5</f>
        <v>56.16</v>
      </c>
      <c r="I16" s="79">
        <f>(AC16*KFC!$B$37+KFC!$C$37)*KFC!$C$5</f>
        <v>61.59</v>
      </c>
      <c r="J16" s="79">
        <f>(AD16*KFC!$B$37+KFC!$C$37)*KFC!$C$5</f>
        <v>67.14</v>
      </c>
      <c r="K16" s="79">
        <f>(AE16*KFC!$B$37+KFC!$C$37)*KFC!$C$5</f>
        <v>72.58</v>
      </c>
      <c r="L16" s="79">
        <f>(AF16*KFC!$B$37+KFC!$C$37)*KFC!$C$5</f>
        <v>78</v>
      </c>
      <c r="M16" s="79">
        <f>(AG16*KFC!$B$37+KFC!$C$37)*KFC!$C$5</f>
        <v>83.44</v>
      </c>
      <c r="N16" s="79">
        <f>(AH16*KFC!$B$37+KFC!$C$37)*KFC!$C$5</f>
        <v>89.1</v>
      </c>
      <c r="O16" s="79">
        <f>(AI16*KFC!$B$37+KFC!$C$37)*KFC!$C$5</f>
        <v>94.53</v>
      </c>
      <c r="P16" s="79">
        <f>(AJ16*KFC!$B$37+KFC!$C$37)*KFC!$C$5</f>
        <v>99.97</v>
      </c>
      <c r="Q16" s="79">
        <f>(AK16*KFC!$B$37+KFC!$C$37)*KFC!$C$5</f>
        <v>105.41</v>
      </c>
      <c r="R16" s="79">
        <f>(AL16*KFC!$B$37+KFC!$C$37)*KFC!$C$5</f>
        <v>110.85</v>
      </c>
      <c r="S16" s="79">
        <f>(AM16*KFC!$B$37+KFC!$C$37)*KFC!$C$5</f>
        <v>116.28999999999999</v>
      </c>
      <c r="T16" s="79">
        <f>(AN16*KFC!$B$37+KFC!$C$37)*KFC!$C$5</f>
        <v>121.72999999999999</v>
      </c>
      <c r="U16" s="79">
        <f>(AO16*KFC!$B$37+KFC!$C$37)*KFC!$C$5</f>
        <v>127.16999999999999</v>
      </c>
      <c r="V16" s="79">
        <f>(AP16*KFC!$B$37+KFC!$C$37)*KFC!$C$5</f>
        <v>132.60999999999999</v>
      </c>
      <c r="X16" s="851">
        <v>1.3</v>
      </c>
      <c r="Y16" s="847">
        <v>39.729999999999997</v>
      </c>
      <c r="Z16" s="847">
        <v>45.29</v>
      </c>
      <c r="AA16" s="847">
        <v>50.72</v>
      </c>
      <c r="AB16" s="847">
        <v>56.16</v>
      </c>
      <c r="AC16" s="847">
        <v>61.59</v>
      </c>
      <c r="AD16" s="847">
        <v>67.14</v>
      </c>
      <c r="AE16" s="847">
        <v>72.58</v>
      </c>
      <c r="AF16" s="847">
        <v>78</v>
      </c>
      <c r="AG16" s="847">
        <v>83.44</v>
      </c>
      <c r="AH16" s="847">
        <v>89.1</v>
      </c>
      <c r="AI16" s="847">
        <v>94.53</v>
      </c>
      <c r="AJ16" s="848">
        <v>99.97</v>
      </c>
      <c r="AK16" s="690">
        <f t="shared" si="1"/>
        <v>105.41</v>
      </c>
      <c r="AL16" s="690">
        <f t="shared" si="0"/>
        <v>110.85</v>
      </c>
      <c r="AM16" s="690">
        <f t="shared" si="0"/>
        <v>116.28999999999999</v>
      </c>
      <c r="AN16" s="690">
        <f t="shared" si="0"/>
        <v>121.72999999999999</v>
      </c>
      <c r="AO16" s="690">
        <f t="shared" si="0"/>
        <v>127.16999999999999</v>
      </c>
      <c r="AP16" s="690">
        <f t="shared" si="0"/>
        <v>132.60999999999999</v>
      </c>
      <c r="AQ16" s="690">
        <f t="shared" si="0"/>
        <v>138.04999999999998</v>
      </c>
      <c r="AR16" s="690">
        <f t="shared" si="0"/>
        <v>143.48999999999998</v>
      </c>
    </row>
    <row r="17" spans="1:44">
      <c r="A17" s="1828"/>
      <c r="B17" s="1967"/>
      <c r="C17" s="1968"/>
      <c r="D17" s="262">
        <v>1.4</v>
      </c>
      <c r="E17" s="80">
        <f>(Y17*KFC!$B$37+KFC!$C$37)*KFC!$C$5</f>
        <v>41.84</v>
      </c>
      <c r="F17" s="79">
        <f>(Z17*KFC!$B$37+KFC!$C$37)*KFC!$C$5</f>
        <v>47.52</v>
      </c>
      <c r="G17" s="79">
        <f>(AA17*KFC!$B$37+KFC!$C$37)*KFC!$C$5</f>
        <v>53.32</v>
      </c>
      <c r="H17" s="79">
        <f>(AB17*KFC!$B$37+KFC!$C$37)*KFC!$C$5</f>
        <v>59</v>
      </c>
      <c r="I17" s="79">
        <f>(AC17*KFC!$B$37+KFC!$C$37)*KFC!$C$5</f>
        <v>64.8</v>
      </c>
      <c r="J17" s="79">
        <f>(AD17*KFC!$B$37+KFC!$C$37)*KFC!$C$5</f>
        <v>70.47</v>
      </c>
      <c r="K17" s="79">
        <f>(AE17*KFC!$B$37+KFC!$C$37)*KFC!$C$5</f>
        <v>76.27</v>
      </c>
      <c r="L17" s="79">
        <f>(AF17*KFC!$B$37+KFC!$C$37)*KFC!$C$5</f>
        <v>81.95</v>
      </c>
      <c r="M17" s="79">
        <f>(AG17*KFC!$B$37+KFC!$C$37)*KFC!$C$5</f>
        <v>87.75</v>
      </c>
      <c r="N17" s="79">
        <f>(AH17*KFC!$B$37+KFC!$C$37)*KFC!$C$5</f>
        <v>93.42</v>
      </c>
      <c r="O17" s="79">
        <f>(AI17*KFC!$B$37+KFC!$C$37)*KFC!$C$5</f>
        <v>98.98</v>
      </c>
      <c r="P17" s="79">
        <f>(AJ17*KFC!$B$37+KFC!$C$37)*KFC!$C$5</f>
        <v>104.79</v>
      </c>
      <c r="Q17" s="79">
        <f>(AK17*KFC!$B$37+KFC!$C$37)*KFC!$C$5</f>
        <v>110.60000000000001</v>
      </c>
      <c r="R17" s="79">
        <f>(AL17*KFC!$B$37+KFC!$C$37)*KFC!$C$5</f>
        <v>116.41000000000001</v>
      </c>
      <c r="S17" s="79">
        <f>(AM17*KFC!$B$37+KFC!$C$37)*KFC!$C$5</f>
        <v>122.22000000000001</v>
      </c>
      <c r="T17" s="79">
        <f>(AN17*KFC!$B$37+KFC!$C$37)*KFC!$C$5</f>
        <v>128.03000000000003</v>
      </c>
      <c r="U17" s="79">
        <f>(AO17*KFC!$B$37+KFC!$C$37)*KFC!$C$5</f>
        <v>133.84000000000003</v>
      </c>
      <c r="V17" s="79">
        <f>(AP17*KFC!$B$37+KFC!$C$37)*KFC!$C$5</f>
        <v>139.65000000000003</v>
      </c>
      <c r="X17" s="851">
        <v>1.4</v>
      </c>
      <c r="Y17" s="847">
        <v>41.84</v>
      </c>
      <c r="Z17" s="847">
        <v>47.52</v>
      </c>
      <c r="AA17" s="847">
        <v>53.32</v>
      </c>
      <c r="AB17" s="847">
        <v>59</v>
      </c>
      <c r="AC17" s="847">
        <v>64.8</v>
      </c>
      <c r="AD17" s="847">
        <v>70.47</v>
      </c>
      <c r="AE17" s="847">
        <v>76.27</v>
      </c>
      <c r="AF17" s="847">
        <v>81.95</v>
      </c>
      <c r="AG17" s="847">
        <v>87.75</v>
      </c>
      <c r="AH17" s="847">
        <v>93.42</v>
      </c>
      <c r="AI17" s="847">
        <v>98.98</v>
      </c>
      <c r="AJ17" s="848">
        <v>104.79</v>
      </c>
      <c r="AK17" s="690">
        <f t="shared" si="1"/>
        <v>110.60000000000001</v>
      </c>
      <c r="AL17" s="690">
        <f t="shared" si="0"/>
        <v>116.41000000000001</v>
      </c>
      <c r="AM17" s="690">
        <f t="shared" si="0"/>
        <v>122.22000000000001</v>
      </c>
      <c r="AN17" s="690">
        <f t="shared" si="0"/>
        <v>128.03000000000003</v>
      </c>
      <c r="AO17" s="690">
        <f t="shared" si="0"/>
        <v>133.84000000000003</v>
      </c>
      <c r="AP17" s="690">
        <f t="shared" si="0"/>
        <v>139.65000000000003</v>
      </c>
      <c r="AQ17" s="690">
        <f t="shared" si="0"/>
        <v>145.46000000000004</v>
      </c>
      <c r="AR17" s="690">
        <f t="shared" si="0"/>
        <v>151.27000000000004</v>
      </c>
    </row>
    <row r="18" spans="1:44">
      <c r="A18" s="1828"/>
      <c r="B18" s="1967"/>
      <c r="C18" s="1968"/>
      <c r="D18" s="262">
        <v>1.5</v>
      </c>
      <c r="E18" s="80">
        <f>(Y18*KFC!$B$37+KFC!$C$37)*KFC!$C$5</f>
        <v>43.81</v>
      </c>
      <c r="F18" s="79">
        <f>(Z18*KFC!$B$37+KFC!$C$37)*KFC!$C$5</f>
        <v>49.86</v>
      </c>
      <c r="G18" s="79">
        <f>(AA18*KFC!$B$37+KFC!$C$37)*KFC!$C$5</f>
        <v>55.66</v>
      </c>
      <c r="H18" s="79">
        <f>(AB18*KFC!$B$37+KFC!$C$37)*KFC!$C$5</f>
        <v>61.71</v>
      </c>
      <c r="I18" s="79">
        <f>(AC18*KFC!$B$37+KFC!$C$37)*KFC!$C$5</f>
        <v>67.760000000000005</v>
      </c>
      <c r="J18" s="79">
        <f>(AD18*KFC!$B$37+KFC!$C$37)*KFC!$C$5</f>
        <v>73.81</v>
      </c>
      <c r="K18" s="79">
        <f>(AE18*KFC!$B$37+KFC!$C$37)*KFC!$C$5</f>
        <v>79.73</v>
      </c>
      <c r="L18" s="79">
        <f>(AF18*KFC!$B$37+KFC!$C$37)*KFC!$C$5</f>
        <v>85.78</v>
      </c>
      <c r="M18" s="79">
        <f>(AG18*KFC!$B$37+KFC!$C$37)*KFC!$C$5</f>
        <v>91.83</v>
      </c>
      <c r="N18" s="79">
        <f>(AH18*KFC!$B$37+KFC!$C$37)*KFC!$C$5</f>
        <v>97.63</v>
      </c>
      <c r="O18" s="79">
        <f>(AI18*KFC!$B$37+KFC!$C$37)*KFC!$C$5</f>
        <v>103.68</v>
      </c>
      <c r="P18" s="79">
        <f>(AJ18*KFC!$B$37+KFC!$C$37)*KFC!$C$5</f>
        <v>109.73</v>
      </c>
      <c r="Q18" s="79">
        <f>(AK18*KFC!$B$37+KFC!$C$37)*KFC!$C$5</f>
        <v>115.78</v>
      </c>
      <c r="R18" s="79">
        <f>(AL18*KFC!$B$37+KFC!$C$37)*KFC!$C$5</f>
        <v>121.83</v>
      </c>
      <c r="S18" s="79">
        <f>(AM18*KFC!$B$37+KFC!$C$37)*KFC!$C$5</f>
        <v>127.88</v>
      </c>
      <c r="T18" s="79">
        <f>(AN18*KFC!$B$37+KFC!$C$37)*KFC!$C$5</f>
        <v>133.93</v>
      </c>
      <c r="U18" s="79">
        <f>(AO18*KFC!$B$37+KFC!$C$37)*KFC!$C$5</f>
        <v>139.98000000000002</v>
      </c>
      <c r="V18" s="79">
        <f>(AP18*KFC!$B$37+KFC!$C$37)*KFC!$C$5</f>
        <v>146.03000000000003</v>
      </c>
      <c r="X18" s="851">
        <v>1.5</v>
      </c>
      <c r="Y18" s="847">
        <v>43.81</v>
      </c>
      <c r="Z18" s="847">
        <v>49.86</v>
      </c>
      <c r="AA18" s="847">
        <v>55.66</v>
      </c>
      <c r="AB18" s="847">
        <v>61.71</v>
      </c>
      <c r="AC18" s="847">
        <v>67.760000000000005</v>
      </c>
      <c r="AD18" s="847">
        <v>73.81</v>
      </c>
      <c r="AE18" s="847">
        <v>79.73</v>
      </c>
      <c r="AF18" s="847">
        <v>85.78</v>
      </c>
      <c r="AG18" s="847">
        <v>91.83</v>
      </c>
      <c r="AH18" s="847">
        <v>97.63</v>
      </c>
      <c r="AI18" s="847">
        <v>103.68</v>
      </c>
      <c r="AJ18" s="848">
        <v>109.73</v>
      </c>
      <c r="AK18" s="690">
        <f t="shared" si="1"/>
        <v>115.78</v>
      </c>
      <c r="AL18" s="690">
        <f t="shared" si="0"/>
        <v>121.83</v>
      </c>
      <c r="AM18" s="690">
        <f t="shared" si="0"/>
        <v>127.88</v>
      </c>
      <c r="AN18" s="690">
        <f t="shared" si="0"/>
        <v>133.93</v>
      </c>
      <c r="AO18" s="690">
        <f t="shared" si="0"/>
        <v>139.98000000000002</v>
      </c>
      <c r="AP18" s="690">
        <f t="shared" si="0"/>
        <v>146.03000000000003</v>
      </c>
      <c r="AQ18" s="690">
        <f t="shared" si="0"/>
        <v>152.08000000000004</v>
      </c>
      <c r="AR18" s="690">
        <f t="shared" si="0"/>
        <v>158.13000000000005</v>
      </c>
    </row>
    <row r="19" spans="1:44">
      <c r="A19" s="1828"/>
      <c r="B19" s="1967"/>
      <c r="C19" s="1968"/>
      <c r="D19" s="262">
        <v>1.6</v>
      </c>
      <c r="E19" s="80">
        <f>(Y19*KFC!$B$37+KFC!$C$37)*KFC!$C$5</f>
        <v>45.78</v>
      </c>
      <c r="F19" s="79">
        <f>(Z19*KFC!$B$37+KFC!$C$37)*KFC!$C$5</f>
        <v>52.07</v>
      </c>
      <c r="G19" s="79">
        <f>(AA19*KFC!$B$37+KFC!$C$37)*KFC!$C$5</f>
        <v>58.25</v>
      </c>
      <c r="H19" s="79">
        <f>(AB19*KFC!$B$37+KFC!$C$37)*KFC!$C$5</f>
        <v>64.56</v>
      </c>
      <c r="I19" s="79">
        <f>(AC19*KFC!$B$37+KFC!$C$37)*KFC!$C$5</f>
        <v>70.849999999999994</v>
      </c>
      <c r="J19" s="79">
        <f>(AD19*KFC!$B$37+KFC!$C$37)*KFC!$C$5</f>
        <v>77.14</v>
      </c>
      <c r="K19" s="79">
        <f>(AE19*KFC!$B$37+KFC!$C$37)*KFC!$C$5</f>
        <v>83.31</v>
      </c>
      <c r="L19" s="79">
        <f>(AF19*KFC!$B$37+KFC!$C$37)*KFC!$C$5</f>
        <v>89.49</v>
      </c>
      <c r="M19" s="79">
        <f>(AG19*KFC!$B$37+KFC!$C$37)*KFC!$C$5</f>
        <v>95.9</v>
      </c>
      <c r="N19" s="79">
        <f>(AH19*KFC!$B$37+KFC!$C$37)*KFC!$C$5</f>
        <v>102.07</v>
      </c>
      <c r="O19" s="79">
        <f>(AI19*KFC!$B$37+KFC!$C$37)*KFC!$C$5</f>
        <v>108.37</v>
      </c>
      <c r="P19" s="79">
        <f>(AJ19*KFC!$B$37+KFC!$C$37)*KFC!$C$5</f>
        <v>114.54</v>
      </c>
      <c r="Q19" s="79">
        <f>(AK19*KFC!$B$37+KFC!$C$37)*KFC!$C$5</f>
        <v>120.71000000000001</v>
      </c>
      <c r="R19" s="79">
        <f>(AL19*KFC!$B$37+KFC!$C$37)*KFC!$C$5</f>
        <v>126.88000000000001</v>
      </c>
      <c r="S19" s="79">
        <f>(AM19*KFC!$B$37+KFC!$C$37)*KFC!$C$5</f>
        <v>133.05000000000001</v>
      </c>
      <c r="T19" s="79">
        <f>(AN19*KFC!$B$37+KFC!$C$37)*KFC!$C$5</f>
        <v>139.22000000000003</v>
      </c>
      <c r="U19" s="79">
        <f>(AO19*KFC!$B$37+KFC!$C$37)*KFC!$C$5</f>
        <v>145.39000000000004</v>
      </c>
      <c r="V19" s="79">
        <f>(AP19*KFC!$B$37+KFC!$C$37)*KFC!$C$5</f>
        <v>151.56000000000006</v>
      </c>
      <c r="X19" s="851">
        <v>1.6</v>
      </c>
      <c r="Y19" s="847">
        <v>45.78</v>
      </c>
      <c r="Z19" s="847">
        <v>52.07</v>
      </c>
      <c r="AA19" s="847">
        <v>58.25</v>
      </c>
      <c r="AB19" s="847">
        <v>64.56</v>
      </c>
      <c r="AC19" s="847">
        <v>70.849999999999994</v>
      </c>
      <c r="AD19" s="847">
        <v>77.14</v>
      </c>
      <c r="AE19" s="847">
        <v>83.31</v>
      </c>
      <c r="AF19" s="847">
        <v>89.49</v>
      </c>
      <c r="AG19" s="847">
        <v>95.9</v>
      </c>
      <c r="AH19" s="847">
        <v>102.07</v>
      </c>
      <c r="AI19" s="847">
        <v>108.37</v>
      </c>
      <c r="AJ19" s="848">
        <v>114.54</v>
      </c>
      <c r="AK19" s="690">
        <f t="shared" si="1"/>
        <v>120.71000000000001</v>
      </c>
      <c r="AL19" s="690">
        <f t="shared" si="0"/>
        <v>126.88000000000001</v>
      </c>
      <c r="AM19" s="690">
        <f t="shared" si="0"/>
        <v>133.05000000000001</v>
      </c>
      <c r="AN19" s="690">
        <f t="shared" si="0"/>
        <v>139.22000000000003</v>
      </c>
      <c r="AO19" s="690">
        <f t="shared" si="0"/>
        <v>145.39000000000004</v>
      </c>
      <c r="AP19" s="690">
        <f t="shared" si="0"/>
        <v>151.56000000000006</v>
      </c>
      <c r="AQ19" s="690">
        <f t="shared" si="0"/>
        <v>157.73000000000008</v>
      </c>
      <c r="AR19" s="690">
        <f t="shared" si="0"/>
        <v>163.90000000000009</v>
      </c>
    </row>
    <row r="20" spans="1:44">
      <c r="A20" s="1828"/>
      <c r="B20" s="1967"/>
      <c r="C20" s="1968"/>
      <c r="D20" s="262">
        <v>1.7</v>
      </c>
      <c r="E20" s="80">
        <f>(Y20*KFC!$B$37+KFC!$C$37)*KFC!$C$5</f>
        <v>47.89</v>
      </c>
      <c r="F20" s="79">
        <f>(Z20*KFC!$B$37+KFC!$C$37)*KFC!$C$5</f>
        <v>54.31</v>
      </c>
      <c r="G20" s="79">
        <f>(AA20*KFC!$B$37+KFC!$C$37)*KFC!$C$5</f>
        <v>60.85</v>
      </c>
      <c r="H20" s="79">
        <f>(AB20*KFC!$B$37+KFC!$C$37)*KFC!$C$5</f>
        <v>67.27</v>
      </c>
      <c r="I20" s="79">
        <f>(AC20*KFC!$B$37+KFC!$C$37)*KFC!$C$5</f>
        <v>73.81</v>
      </c>
      <c r="J20" s="79">
        <f>(AD20*KFC!$B$37+KFC!$C$37)*KFC!$C$5</f>
        <v>80.47</v>
      </c>
      <c r="K20" s="79">
        <f>(AE20*KFC!$B$37+KFC!$C$37)*KFC!$C$5</f>
        <v>86.89</v>
      </c>
      <c r="L20" s="79">
        <f>(AF20*KFC!$B$37+KFC!$C$37)*KFC!$C$5</f>
        <v>93.42</v>
      </c>
      <c r="M20" s="79">
        <f>(AG20*KFC!$B$37+KFC!$C$37)*KFC!$C$5</f>
        <v>99.97</v>
      </c>
      <c r="N20" s="79">
        <f>(AH20*KFC!$B$37+KFC!$C$37)*KFC!$C$5</f>
        <v>106.38</v>
      </c>
      <c r="O20" s="79">
        <f>(AI20*KFC!$B$37+KFC!$C$37)*KFC!$C$5</f>
        <v>112.93</v>
      </c>
      <c r="P20" s="79">
        <f>(AJ20*KFC!$B$37+KFC!$C$37)*KFC!$C$5</f>
        <v>119.59</v>
      </c>
      <c r="Q20" s="79">
        <f>(AK20*KFC!$B$37+KFC!$C$37)*KFC!$C$5</f>
        <v>126.25</v>
      </c>
      <c r="R20" s="79">
        <f>(AL20*KFC!$B$37+KFC!$C$37)*KFC!$C$5</f>
        <v>132.91</v>
      </c>
      <c r="S20" s="79">
        <f>(AM20*KFC!$B$37+KFC!$C$37)*KFC!$C$5</f>
        <v>139.57</v>
      </c>
      <c r="T20" s="79">
        <f>(AN20*KFC!$B$37+KFC!$C$37)*KFC!$C$5</f>
        <v>146.22999999999999</v>
      </c>
      <c r="U20" s="79">
        <f>(AO20*KFC!$B$37+KFC!$C$37)*KFC!$C$5</f>
        <v>152.88999999999999</v>
      </c>
      <c r="V20" s="79">
        <f>(AP20*KFC!$B$37+KFC!$C$37)*KFC!$C$5</f>
        <v>159.54999999999998</v>
      </c>
      <c r="X20" s="851">
        <v>1.7</v>
      </c>
      <c r="Y20" s="847">
        <v>47.89</v>
      </c>
      <c r="Z20" s="847">
        <v>54.31</v>
      </c>
      <c r="AA20" s="847">
        <v>60.85</v>
      </c>
      <c r="AB20" s="847">
        <v>67.27</v>
      </c>
      <c r="AC20" s="847">
        <v>73.81</v>
      </c>
      <c r="AD20" s="847">
        <v>80.47</v>
      </c>
      <c r="AE20" s="847">
        <v>86.89</v>
      </c>
      <c r="AF20" s="847">
        <v>93.42</v>
      </c>
      <c r="AG20" s="847">
        <v>99.97</v>
      </c>
      <c r="AH20" s="847">
        <v>106.38</v>
      </c>
      <c r="AI20" s="847">
        <v>112.93</v>
      </c>
      <c r="AJ20" s="848">
        <v>119.59</v>
      </c>
      <c r="AK20" s="690">
        <f t="shared" si="1"/>
        <v>126.25</v>
      </c>
      <c r="AL20" s="690">
        <f t="shared" si="0"/>
        <v>132.91</v>
      </c>
      <c r="AM20" s="690">
        <f t="shared" si="0"/>
        <v>139.57</v>
      </c>
      <c r="AN20" s="690">
        <f t="shared" si="0"/>
        <v>146.22999999999999</v>
      </c>
      <c r="AO20" s="690">
        <f t="shared" si="0"/>
        <v>152.88999999999999</v>
      </c>
      <c r="AP20" s="690">
        <f t="shared" si="0"/>
        <v>159.54999999999998</v>
      </c>
      <c r="AQ20" s="690">
        <f t="shared" si="0"/>
        <v>166.20999999999998</v>
      </c>
      <c r="AR20" s="690">
        <f t="shared" si="0"/>
        <v>172.86999999999998</v>
      </c>
    </row>
    <row r="21" spans="1:44" ht="13.8" thickBot="1">
      <c r="A21" s="1829"/>
      <c r="B21" s="1969"/>
      <c r="C21" s="1970"/>
      <c r="D21" s="263">
        <v>1.8</v>
      </c>
      <c r="E21" s="89">
        <f>(Y21*KFC!$B$37+KFC!$C$37)*KFC!$C$5</f>
        <v>49.86</v>
      </c>
      <c r="F21" s="87">
        <f>(Z21*KFC!$B$37+KFC!$C$37)*KFC!$C$5</f>
        <v>56.65</v>
      </c>
      <c r="G21" s="87">
        <f>(AA21*KFC!$B$37+KFC!$C$37)*KFC!$C$5</f>
        <v>63.44</v>
      </c>
      <c r="H21" s="87">
        <f>(AB21*KFC!$B$37+KFC!$C$37)*KFC!$C$5</f>
        <v>70.22</v>
      </c>
      <c r="I21" s="87">
        <f>(AC21*KFC!$B$37+KFC!$C$37)*KFC!$C$5</f>
        <v>77.02</v>
      </c>
      <c r="J21" s="87">
        <f>(AD21*KFC!$B$37+KFC!$C$37)*KFC!$C$5</f>
        <v>83.81</v>
      </c>
      <c r="K21" s="87">
        <f>(AE21*KFC!$B$37+KFC!$C$37)*KFC!$C$5</f>
        <v>90.48</v>
      </c>
      <c r="L21" s="87">
        <f>(AF21*KFC!$B$37+KFC!$C$37)*KFC!$C$5</f>
        <v>97.26</v>
      </c>
      <c r="M21" s="87">
        <f>(AG21*KFC!$B$37+KFC!$C$37)*KFC!$C$5</f>
        <v>104.05</v>
      </c>
      <c r="N21" s="87">
        <f>(AH21*KFC!$B$37+KFC!$C$37)*KFC!$C$5</f>
        <v>110.84</v>
      </c>
      <c r="O21" s="87">
        <f>(AI21*KFC!$B$37+KFC!$C$37)*KFC!$C$5</f>
        <v>117.62</v>
      </c>
      <c r="P21" s="87">
        <f>(AJ21*KFC!$B$37+KFC!$C$37)*KFC!$C$5</f>
        <v>124.41</v>
      </c>
      <c r="Q21" s="87">
        <f>(AK21*KFC!$B$37+KFC!$C$37)*KFC!$C$5</f>
        <v>131.19999999999999</v>
      </c>
      <c r="R21" s="87">
        <f>(AL21*KFC!$B$37+KFC!$C$37)*KFC!$C$5</f>
        <v>137.98999999999998</v>
      </c>
      <c r="S21" s="87">
        <f>(AM21*KFC!$B$37+KFC!$C$37)*KFC!$C$5</f>
        <v>144.77999999999997</v>
      </c>
      <c r="T21" s="87">
        <f>(AN21*KFC!$B$37+KFC!$C$37)*KFC!$C$5</f>
        <v>151.56999999999996</v>
      </c>
      <c r="U21" s="87">
        <f>(AO21*KFC!$B$37+KFC!$C$37)*KFC!$C$5</f>
        <v>158.35999999999996</v>
      </c>
      <c r="V21" s="87">
        <f>(AP21*KFC!$B$37+KFC!$C$37)*KFC!$C$5</f>
        <v>165.14999999999995</v>
      </c>
      <c r="X21" s="851">
        <v>1.8</v>
      </c>
      <c r="Y21" s="847">
        <v>49.86</v>
      </c>
      <c r="Z21" s="847">
        <v>56.65</v>
      </c>
      <c r="AA21" s="847">
        <v>63.44</v>
      </c>
      <c r="AB21" s="847">
        <v>70.22</v>
      </c>
      <c r="AC21" s="847">
        <v>77.02</v>
      </c>
      <c r="AD21" s="847">
        <v>83.81</v>
      </c>
      <c r="AE21" s="847">
        <v>90.48</v>
      </c>
      <c r="AF21" s="847">
        <v>97.26</v>
      </c>
      <c r="AG21" s="847">
        <v>104.05</v>
      </c>
      <c r="AH21" s="847">
        <v>110.84</v>
      </c>
      <c r="AI21" s="847">
        <v>117.62</v>
      </c>
      <c r="AJ21" s="848">
        <v>124.41</v>
      </c>
      <c r="AK21" s="690">
        <f t="shared" si="1"/>
        <v>131.19999999999999</v>
      </c>
      <c r="AL21" s="690">
        <f t="shared" si="0"/>
        <v>137.98999999999998</v>
      </c>
      <c r="AM21" s="690">
        <f t="shared" si="0"/>
        <v>144.77999999999997</v>
      </c>
      <c r="AN21" s="690">
        <f t="shared" si="0"/>
        <v>151.56999999999996</v>
      </c>
      <c r="AO21" s="690">
        <f t="shared" si="0"/>
        <v>158.35999999999996</v>
      </c>
      <c r="AP21" s="690">
        <f t="shared" si="0"/>
        <v>165.14999999999995</v>
      </c>
      <c r="AQ21" s="690">
        <f t="shared" si="0"/>
        <v>171.93999999999994</v>
      </c>
      <c r="AR21" s="690">
        <f t="shared" si="0"/>
        <v>178.72999999999993</v>
      </c>
    </row>
    <row r="22" spans="1:44" ht="13.8" thickBot="1">
      <c r="A22" s="66"/>
      <c r="B22" s="66"/>
      <c r="E22" s="66"/>
      <c r="F22" s="66"/>
      <c r="G22" s="66"/>
      <c r="H22" s="66"/>
      <c r="I22" s="66"/>
      <c r="J22" s="66"/>
      <c r="K22" s="66"/>
      <c r="L22" s="66"/>
      <c r="M22" s="66"/>
      <c r="N22" s="66"/>
      <c r="O22" s="66"/>
      <c r="P22" s="66"/>
    </row>
    <row r="23" spans="1:44" ht="13.8" thickBot="1">
      <c r="A23" s="1413" t="s">
        <v>315</v>
      </c>
      <c r="B23" s="1414"/>
      <c r="C23" s="1414"/>
      <c r="D23" s="1415"/>
      <c r="E23" s="1534" t="s">
        <v>207</v>
      </c>
      <c r="F23" s="1535"/>
      <c r="G23" s="1535"/>
      <c r="H23" s="1535"/>
      <c r="I23" s="1535"/>
      <c r="J23" s="1535"/>
      <c r="K23" s="1535"/>
      <c r="L23" s="1535"/>
      <c r="M23" s="1535"/>
      <c r="N23" s="1535"/>
      <c r="O23" s="1535"/>
      <c r="P23" s="1535"/>
      <c r="Q23" s="1535"/>
      <c r="R23" s="1535"/>
      <c r="S23" s="1535"/>
      <c r="T23" s="1535"/>
      <c r="U23" s="1535"/>
      <c r="V23" s="1535"/>
    </row>
    <row r="24" spans="1:44" ht="13.8" thickBot="1">
      <c r="A24" s="1416"/>
      <c r="B24" s="1417"/>
      <c r="C24" s="1417"/>
      <c r="D24" s="1418"/>
      <c r="E24" s="119">
        <v>0.4</v>
      </c>
      <c r="F24" s="119">
        <v>0.5</v>
      </c>
      <c r="G24" s="119">
        <v>0.6</v>
      </c>
      <c r="H24" s="119">
        <v>0.7</v>
      </c>
      <c r="I24" s="119">
        <v>0.8</v>
      </c>
      <c r="J24" s="119">
        <v>0.9</v>
      </c>
      <c r="K24" s="119">
        <v>1</v>
      </c>
      <c r="L24" s="119">
        <v>1.1000000000000001</v>
      </c>
      <c r="M24" s="119">
        <v>1.2</v>
      </c>
      <c r="N24" s="119">
        <v>1.3</v>
      </c>
      <c r="O24" s="119">
        <v>1.4</v>
      </c>
      <c r="P24" s="119">
        <v>1.5</v>
      </c>
      <c r="Q24" s="119">
        <v>1.6</v>
      </c>
      <c r="R24" s="119">
        <v>1.7</v>
      </c>
      <c r="S24" s="119">
        <v>1.8</v>
      </c>
      <c r="T24" s="119">
        <v>1.9</v>
      </c>
      <c r="U24" s="119">
        <v>2</v>
      </c>
      <c r="V24" s="119">
        <v>2.1</v>
      </c>
      <c r="X24" s="850"/>
      <c r="Y24" s="851">
        <v>0.4</v>
      </c>
      <c r="Z24" s="851">
        <v>0.5</v>
      </c>
      <c r="AA24" s="851">
        <v>0.6</v>
      </c>
      <c r="AB24" s="851">
        <v>0.7</v>
      </c>
      <c r="AC24" s="851">
        <v>0.8</v>
      </c>
      <c r="AD24" s="851">
        <v>0.9</v>
      </c>
      <c r="AE24" s="851">
        <v>1</v>
      </c>
      <c r="AF24" s="851">
        <v>1.1000000000000001</v>
      </c>
      <c r="AG24" s="851">
        <v>1.2</v>
      </c>
      <c r="AH24" s="851">
        <v>1.3</v>
      </c>
      <c r="AI24" s="851">
        <v>1.4</v>
      </c>
      <c r="AJ24" s="852">
        <v>1.5</v>
      </c>
      <c r="AK24" s="853">
        <v>1.6</v>
      </c>
      <c r="AL24" s="853">
        <v>1.7</v>
      </c>
      <c r="AM24" s="853">
        <v>1.8</v>
      </c>
      <c r="AN24" s="853">
        <v>1.9</v>
      </c>
      <c r="AO24" s="853">
        <v>2</v>
      </c>
      <c r="AP24" s="853">
        <v>2.1</v>
      </c>
      <c r="AQ24" s="853">
        <v>2.2000000000000002</v>
      </c>
      <c r="AR24" s="853">
        <v>2.2999999999999998</v>
      </c>
    </row>
    <row r="25" spans="1:44">
      <c r="A25" s="1827" t="s">
        <v>3</v>
      </c>
      <c r="B25" s="1965"/>
      <c r="C25" s="1966"/>
      <c r="D25" s="227">
        <v>0.5</v>
      </c>
      <c r="E25" s="76">
        <f>(Y25*KFC!$B$37+KFC!$C$37)*KFC!$C$5</f>
        <v>30.24</v>
      </c>
      <c r="F25" s="81">
        <f>(Z25*KFC!$B$37+KFC!$C$37)*KFC!$C$5</f>
        <v>34.32</v>
      </c>
      <c r="G25" s="81">
        <f>(AA25*KFC!$B$37+KFC!$C$37)*KFC!$C$5</f>
        <v>38.5</v>
      </c>
      <c r="H25" s="81">
        <f>(AB25*KFC!$B$37+KFC!$C$37)*KFC!$C$5</f>
        <v>42.58</v>
      </c>
      <c r="I25" s="81">
        <f>(AC25*KFC!$B$37+KFC!$C$37)*KFC!$C$5</f>
        <v>46.66</v>
      </c>
      <c r="J25" s="81">
        <f>(AD25*KFC!$B$37+KFC!$C$37)*KFC!$C$5</f>
        <v>50.72</v>
      </c>
      <c r="K25" s="81">
        <f>(AE25*KFC!$B$37+KFC!$C$37)*KFC!$C$5</f>
        <v>54.92</v>
      </c>
      <c r="L25" s="81">
        <f>(AF25*KFC!$B$37+KFC!$C$37)*KFC!$C$5</f>
        <v>59</v>
      </c>
      <c r="M25" s="81">
        <f>(AG25*KFC!$B$37+KFC!$C$37)*KFC!$C$5</f>
        <v>63.06</v>
      </c>
      <c r="N25" s="81">
        <f>(AH25*KFC!$B$37+KFC!$C$37)*KFC!$C$5</f>
        <v>67.14</v>
      </c>
      <c r="O25" s="81">
        <f>(AI25*KFC!$B$37+KFC!$C$37)*KFC!$C$5</f>
        <v>71.349999999999994</v>
      </c>
      <c r="P25" s="81">
        <f>(AJ25*KFC!$B$37+KFC!$C$37)*KFC!$C$5</f>
        <v>75.53</v>
      </c>
      <c r="Q25" s="81">
        <f>(AK25*KFC!$B$37+KFC!$C$37)*KFC!$C$5</f>
        <v>79.710000000000008</v>
      </c>
      <c r="R25" s="81">
        <f>(AL25*KFC!$B$37+KFC!$C$37)*KFC!$C$5</f>
        <v>83.890000000000015</v>
      </c>
      <c r="S25" s="81">
        <f>(AM25*KFC!$B$37+KFC!$C$37)*KFC!$C$5</f>
        <v>88.070000000000022</v>
      </c>
      <c r="T25" s="81">
        <f>(AN25*KFC!$B$37+KFC!$C$37)*KFC!$C$5</f>
        <v>92.250000000000028</v>
      </c>
      <c r="U25" s="81">
        <f>(AO25*KFC!$B$37+KFC!$C$37)*KFC!$C$5</f>
        <v>96.430000000000035</v>
      </c>
      <c r="V25" s="81">
        <f>(AP25*KFC!$B$37+KFC!$C$37)*KFC!$C$5</f>
        <v>100.61000000000004</v>
      </c>
      <c r="X25" s="851">
        <v>0.5</v>
      </c>
      <c r="Y25" s="847">
        <v>30.24</v>
      </c>
      <c r="Z25" s="847">
        <v>34.32</v>
      </c>
      <c r="AA25" s="847">
        <v>38.5</v>
      </c>
      <c r="AB25" s="847">
        <v>42.58</v>
      </c>
      <c r="AC25" s="847">
        <v>46.66</v>
      </c>
      <c r="AD25" s="847">
        <v>50.72</v>
      </c>
      <c r="AE25" s="847">
        <v>54.92</v>
      </c>
      <c r="AF25" s="847">
        <v>59</v>
      </c>
      <c r="AG25" s="847">
        <v>63.06</v>
      </c>
      <c r="AH25" s="847">
        <v>67.14</v>
      </c>
      <c r="AI25" s="847">
        <v>71.349999999999994</v>
      </c>
      <c r="AJ25" s="848">
        <v>75.53</v>
      </c>
      <c r="AK25" s="690">
        <f>AJ25-AI25+AJ25</f>
        <v>79.710000000000008</v>
      </c>
      <c r="AL25" s="690">
        <f t="shared" ref="AL25:AR38" si="2">AK25-AJ25+AK25</f>
        <v>83.890000000000015</v>
      </c>
      <c r="AM25" s="690">
        <f t="shared" si="2"/>
        <v>88.070000000000022</v>
      </c>
      <c r="AN25" s="690">
        <f t="shared" si="2"/>
        <v>92.250000000000028</v>
      </c>
      <c r="AO25" s="690">
        <f t="shared" si="2"/>
        <v>96.430000000000035</v>
      </c>
      <c r="AP25" s="690">
        <f t="shared" si="2"/>
        <v>100.61000000000004</v>
      </c>
      <c r="AQ25" s="690">
        <f t="shared" si="2"/>
        <v>104.79000000000005</v>
      </c>
      <c r="AR25" s="690">
        <f t="shared" si="2"/>
        <v>108.97000000000006</v>
      </c>
    </row>
    <row r="26" spans="1:44">
      <c r="A26" s="1828"/>
      <c r="B26" s="1967"/>
      <c r="C26" s="1968"/>
      <c r="D26" s="111">
        <v>0.6</v>
      </c>
      <c r="E26" s="80">
        <f>(Y26*KFC!$B$37+KFC!$C$37)*KFC!$C$5</f>
        <v>33.56</v>
      </c>
      <c r="F26" s="79">
        <f>(Z26*KFC!$B$37+KFC!$C$37)*KFC!$C$5</f>
        <v>37.76</v>
      </c>
      <c r="G26" s="79">
        <f>(AA26*KFC!$B$37+KFC!$C$37)*KFC!$C$5</f>
        <v>42.09</v>
      </c>
      <c r="H26" s="79">
        <f>(AB26*KFC!$B$37+KFC!$C$37)*KFC!$C$5</f>
        <v>46.29</v>
      </c>
      <c r="I26" s="79">
        <f>(AC26*KFC!$B$37+KFC!$C$37)*KFC!$C$5</f>
        <v>50.72</v>
      </c>
      <c r="J26" s="79">
        <f>(AD26*KFC!$B$37+KFC!$C$37)*KFC!$C$5</f>
        <v>54.92</v>
      </c>
      <c r="K26" s="79">
        <f>(AE26*KFC!$B$37+KFC!$C$37)*KFC!$C$5</f>
        <v>59.37</v>
      </c>
      <c r="L26" s="79">
        <f>(AF26*KFC!$B$37+KFC!$C$37)*KFC!$C$5</f>
        <v>63.56</v>
      </c>
      <c r="M26" s="79">
        <f>(AG26*KFC!$B$37+KFC!$C$37)*KFC!$C$5</f>
        <v>67.88</v>
      </c>
      <c r="N26" s="79">
        <f>(AH26*KFC!$B$37+KFC!$C$37)*KFC!$C$5</f>
        <v>72.2</v>
      </c>
      <c r="O26" s="79">
        <f>(AI26*KFC!$B$37+KFC!$C$37)*KFC!$C$5</f>
        <v>76.52</v>
      </c>
      <c r="P26" s="79">
        <f>(AJ26*KFC!$B$37+KFC!$C$37)*KFC!$C$5</f>
        <v>80.72</v>
      </c>
      <c r="Q26" s="79">
        <f>(AK26*KFC!$B$37+KFC!$C$37)*KFC!$C$5</f>
        <v>84.92</v>
      </c>
      <c r="R26" s="79">
        <f>(AL26*KFC!$B$37+KFC!$C$37)*KFC!$C$5</f>
        <v>89.12</v>
      </c>
      <c r="S26" s="79">
        <f>(AM26*KFC!$B$37+KFC!$C$37)*KFC!$C$5</f>
        <v>93.320000000000007</v>
      </c>
      <c r="T26" s="79">
        <f>(AN26*KFC!$B$37+KFC!$C$37)*KFC!$C$5</f>
        <v>97.52000000000001</v>
      </c>
      <c r="U26" s="79">
        <f>(AO26*KFC!$B$37+KFC!$C$37)*KFC!$C$5</f>
        <v>101.72000000000001</v>
      </c>
      <c r="V26" s="79">
        <f>(AP26*KFC!$B$37+KFC!$C$37)*KFC!$C$5</f>
        <v>105.92000000000002</v>
      </c>
      <c r="X26" s="851">
        <v>0.6</v>
      </c>
      <c r="Y26" s="847">
        <v>33.56</v>
      </c>
      <c r="Z26" s="847">
        <v>37.76</v>
      </c>
      <c r="AA26" s="847">
        <v>42.09</v>
      </c>
      <c r="AB26" s="847">
        <v>46.29</v>
      </c>
      <c r="AC26" s="847">
        <v>50.72</v>
      </c>
      <c r="AD26" s="847">
        <v>54.92</v>
      </c>
      <c r="AE26" s="847">
        <v>59.37</v>
      </c>
      <c r="AF26" s="847">
        <v>63.56</v>
      </c>
      <c r="AG26" s="847">
        <v>67.88</v>
      </c>
      <c r="AH26" s="847">
        <v>72.2</v>
      </c>
      <c r="AI26" s="847">
        <v>76.52</v>
      </c>
      <c r="AJ26" s="848">
        <v>80.72</v>
      </c>
      <c r="AK26" s="690">
        <f t="shared" ref="AK26:AK38" si="3">AJ26-AI26+AJ26</f>
        <v>84.92</v>
      </c>
      <c r="AL26" s="690">
        <f t="shared" si="2"/>
        <v>89.12</v>
      </c>
      <c r="AM26" s="690">
        <f t="shared" si="2"/>
        <v>93.320000000000007</v>
      </c>
      <c r="AN26" s="690">
        <f t="shared" si="2"/>
        <v>97.52000000000001</v>
      </c>
      <c r="AO26" s="690">
        <f t="shared" si="2"/>
        <v>101.72000000000001</v>
      </c>
      <c r="AP26" s="690">
        <f t="shared" si="2"/>
        <v>105.92000000000002</v>
      </c>
      <c r="AQ26" s="690">
        <f t="shared" si="2"/>
        <v>110.12000000000002</v>
      </c>
      <c r="AR26" s="690">
        <f t="shared" si="2"/>
        <v>114.32000000000002</v>
      </c>
    </row>
    <row r="27" spans="1:44">
      <c r="A27" s="1828"/>
      <c r="B27" s="1967"/>
      <c r="C27" s="1968"/>
      <c r="D27" s="111">
        <v>0.7</v>
      </c>
      <c r="E27" s="80">
        <f>(Y27*KFC!$B$37+KFC!$C$37)*KFC!$C$5</f>
        <v>36.65</v>
      </c>
      <c r="F27" s="79">
        <f>(Z27*KFC!$B$37+KFC!$C$37)*KFC!$C$5</f>
        <v>41.23</v>
      </c>
      <c r="G27" s="79">
        <f>(AA27*KFC!$B$37+KFC!$C$37)*KFC!$C$5</f>
        <v>45.78</v>
      </c>
      <c r="H27" s="79">
        <f>(AB27*KFC!$B$37+KFC!$C$37)*KFC!$C$5</f>
        <v>50.11</v>
      </c>
      <c r="I27" s="79">
        <f>(AC27*KFC!$B$37+KFC!$C$37)*KFC!$C$5</f>
        <v>54.68</v>
      </c>
      <c r="J27" s="79">
        <f>(AD27*KFC!$B$37+KFC!$C$37)*KFC!$C$5</f>
        <v>59.13</v>
      </c>
      <c r="K27" s="79">
        <f>(AE27*KFC!$B$37+KFC!$C$37)*KFC!$C$5</f>
        <v>63.68</v>
      </c>
      <c r="L27" s="79">
        <f>(AF27*KFC!$B$37+KFC!$C$37)*KFC!$C$5</f>
        <v>68.260000000000005</v>
      </c>
      <c r="M27" s="79">
        <f>(AG27*KFC!$B$37+KFC!$C$37)*KFC!$C$5</f>
        <v>72.58</v>
      </c>
      <c r="N27" s="79">
        <f>(AH27*KFC!$B$37+KFC!$C$37)*KFC!$C$5</f>
        <v>77.14</v>
      </c>
      <c r="O27" s="79">
        <f>(AI27*KFC!$B$37+KFC!$C$37)*KFC!$C$5</f>
        <v>81.7</v>
      </c>
      <c r="P27" s="79">
        <f>(AJ27*KFC!$B$37+KFC!$C$37)*KFC!$C$5</f>
        <v>86.15</v>
      </c>
      <c r="Q27" s="79">
        <f>(AK27*KFC!$B$37+KFC!$C$37)*KFC!$C$5</f>
        <v>90.600000000000009</v>
      </c>
      <c r="R27" s="79">
        <f>(AL27*KFC!$B$37+KFC!$C$37)*KFC!$C$5</f>
        <v>95.050000000000011</v>
      </c>
      <c r="S27" s="79">
        <f>(AM27*KFC!$B$37+KFC!$C$37)*KFC!$C$5</f>
        <v>99.500000000000014</v>
      </c>
      <c r="T27" s="79">
        <f>(AN27*KFC!$B$37+KFC!$C$37)*KFC!$C$5</f>
        <v>103.95000000000002</v>
      </c>
      <c r="U27" s="79">
        <f>(AO27*KFC!$B$37+KFC!$C$37)*KFC!$C$5</f>
        <v>108.40000000000002</v>
      </c>
      <c r="V27" s="79">
        <f>(AP27*KFC!$B$37+KFC!$C$37)*KFC!$C$5</f>
        <v>112.85000000000002</v>
      </c>
      <c r="X27" s="851">
        <v>0.7</v>
      </c>
      <c r="Y27" s="847">
        <v>36.65</v>
      </c>
      <c r="Z27" s="847">
        <v>41.23</v>
      </c>
      <c r="AA27" s="847">
        <v>45.78</v>
      </c>
      <c r="AB27" s="847">
        <v>50.11</v>
      </c>
      <c r="AC27" s="847">
        <v>54.68</v>
      </c>
      <c r="AD27" s="847">
        <v>59.13</v>
      </c>
      <c r="AE27" s="847">
        <v>63.68</v>
      </c>
      <c r="AF27" s="847">
        <v>68.260000000000005</v>
      </c>
      <c r="AG27" s="847">
        <v>72.58</v>
      </c>
      <c r="AH27" s="847">
        <v>77.14</v>
      </c>
      <c r="AI27" s="847">
        <v>81.7</v>
      </c>
      <c r="AJ27" s="848">
        <v>86.15</v>
      </c>
      <c r="AK27" s="690">
        <f t="shared" si="3"/>
        <v>90.600000000000009</v>
      </c>
      <c r="AL27" s="690">
        <f t="shared" si="2"/>
        <v>95.050000000000011</v>
      </c>
      <c r="AM27" s="690">
        <f t="shared" si="2"/>
        <v>99.500000000000014</v>
      </c>
      <c r="AN27" s="690">
        <f t="shared" si="2"/>
        <v>103.95000000000002</v>
      </c>
      <c r="AO27" s="690">
        <f t="shared" si="2"/>
        <v>108.40000000000002</v>
      </c>
      <c r="AP27" s="690">
        <f t="shared" si="2"/>
        <v>112.85000000000002</v>
      </c>
      <c r="AQ27" s="690">
        <f t="shared" si="2"/>
        <v>117.30000000000003</v>
      </c>
      <c r="AR27" s="690">
        <f t="shared" si="2"/>
        <v>121.75000000000003</v>
      </c>
    </row>
    <row r="28" spans="1:44">
      <c r="A28" s="1828"/>
      <c r="B28" s="1967"/>
      <c r="C28" s="1968"/>
      <c r="D28" s="111">
        <v>0.8</v>
      </c>
      <c r="E28" s="80">
        <f>(Y28*KFC!$B$37+KFC!$C$37)*KFC!$C$5</f>
        <v>40</v>
      </c>
      <c r="F28" s="79">
        <f>(Z28*KFC!$B$37+KFC!$C$37)*KFC!$C$5</f>
        <v>44.67</v>
      </c>
      <c r="G28" s="79">
        <f>(AA28*KFC!$B$37+KFC!$C$37)*KFC!$C$5</f>
        <v>49.37</v>
      </c>
      <c r="H28" s="79">
        <f>(AB28*KFC!$B$37+KFC!$C$37)*KFC!$C$5</f>
        <v>54.07</v>
      </c>
      <c r="I28" s="79">
        <f>(AC28*KFC!$B$37+KFC!$C$37)*KFC!$C$5</f>
        <v>58.75</v>
      </c>
      <c r="J28" s="79">
        <f>(AD28*KFC!$B$37+KFC!$C$37)*KFC!$C$5</f>
        <v>63.44</v>
      </c>
      <c r="K28" s="79">
        <f>(AE28*KFC!$B$37+KFC!$C$37)*KFC!$C$5</f>
        <v>68.12</v>
      </c>
      <c r="L28" s="79">
        <f>(AF28*KFC!$B$37+KFC!$C$37)*KFC!$C$5</f>
        <v>72.7</v>
      </c>
      <c r="M28" s="79">
        <f>(AG28*KFC!$B$37+KFC!$C$37)*KFC!$C$5</f>
        <v>77.39</v>
      </c>
      <c r="N28" s="79">
        <f>(AH28*KFC!$B$37+KFC!$C$37)*KFC!$C$5</f>
        <v>82.07</v>
      </c>
      <c r="O28" s="79">
        <f>(AI28*KFC!$B$37+KFC!$C$37)*KFC!$C$5</f>
        <v>86.77</v>
      </c>
      <c r="P28" s="79">
        <f>(AJ28*KFC!$B$37+KFC!$C$37)*KFC!$C$5</f>
        <v>91.45</v>
      </c>
      <c r="Q28" s="79">
        <f>(AK28*KFC!$B$37+KFC!$C$37)*KFC!$C$5</f>
        <v>96.13000000000001</v>
      </c>
      <c r="R28" s="79">
        <f>(AL28*KFC!$B$37+KFC!$C$37)*KFC!$C$5</f>
        <v>100.81000000000002</v>
      </c>
      <c r="S28" s="79">
        <f>(AM28*KFC!$B$37+KFC!$C$37)*KFC!$C$5</f>
        <v>105.49000000000002</v>
      </c>
      <c r="T28" s="79">
        <f>(AN28*KFC!$B$37+KFC!$C$37)*KFC!$C$5</f>
        <v>110.17000000000003</v>
      </c>
      <c r="U28" s="79">
        <f>(AO28*KFC!$B$37+KFC!$C$37)*KFC!$C$5</f>
        <v>114.85000000000004</v>
      </c>
      <c r="V28" s="79">
        <f>(AP28*KFC!$B$37+KFC!$C$37)*KFC!$C$5</f>
        <v>119.53000000000004</v>
      </c>
      <c r="X28" s="851">
        <v>0.8</v>
      </c>
      <c r="Y28" s="847">
        <v>40</v>
      </c>
      <c r="Z28" s="847">
        <v>44.67</v>
      </c>
      <c r="AA28" s="847">
        <v>49.37</v>
      </c>
      <c r="AB28" s="847">
        <v>54.07</v>
      </c>
      <c r="AC28" s="847">
        <v>58.75</v>
      </c>
      <c r="AD28" s="847">
        <v>63.44</v>
      </c>
      <c r="AE28" s="847">
        <v>68.12</v>
      </c>
      <c r="AF28" s="847">
        <v>72.7</v>
      </c>
      <c r="AG28" s="847">
        <v>77.39</v>
      </c>
      <c r="AH28" s="847">
        <v>82.07</v>
      </c>
      <c r="AI28" s="847">
        <v>86.77</v>
      </c>
      <c r="AJ28" s="848">
        <v>91.45</v>
      </c>
      <c r="AK28" s="690">
        <f t="shared" si="3"/>
        <v>96.13000000000001</v>
      </c>
      <c r="AL28" s="690">
        <f t="shared" si="2"/>
        <v>100.81000000000002</v>
      </c>
      <c r="AM28" s="690">
        <f t="shared" si="2"/>
        <v>105.49000000000002</v>
      </c>
      <c r="AN28" s="690">
        <f t="shared" si="2"/>
        <v>110.17000000000003</v>
      </c>
      <c r="AO28" s="690">
        <f t="shared" si="2"/>
        <v>114.85000000000004</v>
      </c>
      <c r="AP28" s="690">
        <f t="shared" si="2"/>
        <v>119.53000000000004</v>
      </c>
      <c r="AQ28" s="690">
        <f t="shared" si="2"/>
        <v>124.21000000000005</v>
      </c>
      <c r="AR28" s="690">
        <f t="shared" si="2"/>
        <v>128.89000000000004</v>
      </c>
    </row>
    <row r="29" spans="1:44">
      <c r="A29" s="1828"/>
      <c r="B29" s="1967"/>
      <c r="C29" s="1968"/>
      <c r="D29" s="111">
        <v>0.9</v>
      </c>
      <c r="E29" s="80">
        <f>(Y29*KFC!$B$37+KFC!$C$37)*KFC!$C$5</f>
        <v>43.2</v>
      </c>
      <c r="F29" s="79">
        <f>(Z29*KFC!$B$37+KFC!$C$37)*KFC!$C$5</f>
        <v>48.02</v>
      </c>
      <c r="G29" s="79">
        <f>(AA29*KFC!$B$37+KFC!$C$37)*KFC!$C$5</f>
        <v>52.95</v>
      </c>
      <c r="H29" s="79">
        <f>(AB29*KFC!$B$37+KFC!$C$37)*KFC!$C$5</f>
        <v>57.76</v>
      </c>
      <c r="I29" s="79">
        <f>(AC29*KFC!$B$37+KFC!$C$37)*KFC!$C$5</f>
        <v>62.7</v>
      </c>
      <c r="J29" s="79">
        <f>(AD29*KFC!$B$37+KFC!$C$37)*KFC!$C$5</f>
        <v>67.64</v>
      </c>
      <c r="K29" s="79">
        <f>(AE29*KFC!$B$37+KFC!$C$37)*KFC!$C$5</f>
        <v>72.45</v>
      </c>
      <c r="L29" s="79">
        <f>(AF29*KFC!$B$37+KFC!$C$37)*KFC!$C$5</f>
        <v>77.260000000000005</v>
      </c>
      <c r="M29" s="79">
        <f>(AG29*KFC!$B$37+KFC!$C$37)*KFC!$C$5</f>
        <v>82.31</v>
      </c>
      <c r="N29" s="79">
        <f>(AH29*KFC!$B$37+KFC!$C$37)*KFC!$C$5</f>
        <v>87.13</v>
      </c>
      <c r="O29" s="79">
        <f>(AI29*KFC!$B$37+KFC!$C$37)*KFC!$C$5</f>
        <v>91.95</v>
      </c>
      <c r="P29" s="79">
        <f>(AJ29*KFC!$B$37+KFC!$C$37)*KFC!$C$5</f>
        <v>96.89</v>
      </c>
      <c r="Q29" s="79">
        <f>(AK29*KFC!$B$37+KFC!$C$37)*KFC!$C$5</f>
        <v>101.83</v>
      </c>
      <c r="R29" s="79">
        <f>(AL29*KFC!$B$37+KFC!$C$37)*KFC!$C$5</f>
        <v>106.77</v>
      </c>
      <c r="S29" s="79">
        <f>(AM29*KFC!$B$37+KFC!$C$37)*KFC!$C$5</f>
        <v>111.71</v>
      </c>
      <c r="T29" s="79">
        <f>(AN29*KFC!$B$37+KFC!$C$37)*KFC!$C$5</f>
        <v>116.64999999999999</v>
      </c>
      <c r="U29" s="79">
        <f>(AO29*KFC!$B$37+KFC!$C$37)*KFC!$C$5</f>
        <v>121.58999999999999</v>
      </c>
      <c r="V29" s="79">
        <f>(AP29*KFC!$B$37+KFC!$C$37)*KFC!$C$5</f>
        <v>126.52999999999999</v>
      </c>
      <c r="X29" s="851">
        <v>0.9</v>
      </c>
      <c r="Y29" s="847">
        <v>43.2</v>
      </c>
      <c r="Z29" s="847">
        <v>48.02</v>
      </c>
      <c r="AA29" s="847">
        <v>52.95</v>
      </c>
      <c r="AB29" s="847">
        <v>57.76</v>
      </c>
      <c r="AC29" s="847">
        <v>62.7</v>
      </c>
      <c r="AD29" s="847">
        <v>67.64</v>
      </c>
      <c r="AE29" s="847">
        <v>72.45</v>
      </c>
      <c r="AF29" s="847">
        <v>77.260000000000005</v>
      </c>
      <c r="AG29" s="847">
        <v>82.31</v>
      </c>
      <c r="AH29" s="847">
        <v>87.13</v>
      </c>
      <c r="AI29" s="847">
        <v>91.95</v>
      </c>
      <c r="AJ29" s="848">
        <v>96.89</v>
      </c>
      <c r="AK29" s="690">
        <f t="shared" si="3"/>
        <v>101.83</v>
      </c>
      <c r="AL29" s="690">
        <f t="shared" si="2"/>
        <v>106.77</v>
      </c>
      <c r="AM29" s="690">
        <f t="shared" si="2"/>
        <v>111.71</v>
      </c>
      <c r="AN29" s="690">
        <f t="shared" si="2"/>
        <v>116.64999999999999</v>
      </c>
      <c r="AO29" s="690">
        <f t="shared" si="2"/>
        <v>121.58999999999999</v>
      </c>
      <c r="AP29" s="690">
        <f t="shared" si="2"/>
        <v>126.52999999999999</v>
      </c>
      <c r="AQ29" s="690">
        <f t="shared" si="2"/>
        <v>131.46999999999997</v>
      </c>
      <c r="AR29" s="690">
        <f t="shared" si="2"/>
        <v>136.40999999999997</v>
      </c>
    </row>
    <row r="30" spans="1:44">
      <c r="A30" s="1828"/>
      <c r="B30" s="1967"/>
      <c r="C30" s="1968"/>
      <c r="D30" s="111">
        <v>1</v>
      </c>
      <c r="E30" s="80">
        <f>(Y30*KFC!$B$37+KFC!$C$37)*KFC!$C$5</f>
        <v>46.53</v>
      </c>
      <c r="F30" s="79">
        <f>(Z30*KFC!$B$37+KFC!$C$37)*KFC!$C$5</f>
        <v>51.46</v>
      </c>
      <c r="G30" s="79">
        <f>(AA30*KFC!$B$37+KFC!$C$37)*KFC!$C$5</f>
        <v>56.65</v>
      </c>
      <c r="H30" s="79">
        <f>(AB30*KFC!$B$37+KFC!$C$37)*KFC!$C$5</f>
        <v>61.59</v>
      </c>
      <c r="I30" s="79">
        <f>(AC30*KFC!$B$37+KFC!$C$37)*KFC!$C$5</f>
        <v>66.77</v>
      </c>
      <c r="J30" s="79">
        <f>(AD30*KFC!$B$37+KFC!$C$37)*KFC!$C$5</f>
        <v>71.83</v>
      </c>
      <c r="K30" s="79">
        <f>(AE30*KFC!$B$37+KFC!$C$37)*KFC!$C$5</f>
        <v>76.900000000000006</v>
      </c>
      <c r="L30" s="79">
        <f>(AF30*KFC!$B$37+KFC!$C$37)*KFC!$C$5</f>
        <v>81.95</v>
      </c>
      <c r="M30" s="79">
        <f>(AG30*KFC!$B$37+KFC!$C$37)*KFC!$C$5</f>
        <v>86.89</v>
      </c>
      <c r="N30" s="79">
        <f>(AH30*KFC!$B$37+KFC!$C$37)*KFC!$C$5</f>
        <v>92.07</v>
      </c>
      <c r="O30" s="79">
        <f>(AI30*KFC!$B$37+KFC!$C$37)*KFC!$C$5</f>
        <v>97.01</v>
      </c>
      <c r="P30" s="79">
        <f>(AJ30*KFC!$B$37+KFC!$C$37)*KFC!$C$5</f>
        <v>102.2</v>
      </c>
      <c r="Q30" s="79">
        <f>(AK30*KFC!$B$37+KFC!$C$37)*KFC!$C$5</f>
        <v>107.39</v>
      </c>
      <c r="R30" s="79">
        <f>(AL30*KFC!$B$37+KFC!$C$37)*KFC!$C$5</f>
        <v>112.58</v>
      </c>
      <c r="S30" s="79">
        <f>(AM30*KFC!$B$37+KFC!$C$37)*KFC!$C$5</f>
        <v>117.77</v>
      </c>
      <c r="T30" s="79">
        <f>(AN30*KFC!$B$37+KFC!$C$37)*KFC!$C$5</f>
        <v>122.96</v>
      </c>
      <c r="U30" s="79">
        <f>(AO30*KFC!$B$37+KFC!$C$37)*KFC!$C$5</f>
        <v>128.14999999999998</v>
      </c>
      <c r="V30" s="79">
        <f>(AP30*KFC!$B$37+KFC!$C$37)*KFC!$C$5</f>
        <v>133.33999999999997</v>
      </c>
      <c r="X30" s="851">
        <v>1</v>
      </c>
      <c r="Y30" s="847">
        <v>46.53</v>
      </c>
      <c r="Z30" s="847">
        <v>51.46</v>
      </c>
      <c r="AA30" s="847">
        <v>56.65</v>
      </c>
      <c r="AB30" s="847">
        <v>61.59</v>
      </c>
      <c r="AC30" s="847">
        <v>66.77</v>
      </c>
      <c r="AD30" s="847">
        <v>71.83</v>
      </c>
      <c r="AE30" s="847">
        <v>76.900000000000006</v>
      </c>
      <c r="AF30" s="847">
        <v>81.95</v>
      </c>
      <c r="AG30" s="847">
        <v>86.89</v>
      </c>
      <c r="AH30" s="847">
        <v>92.07</v>
      </c>
      <c r="AI30" s="847">
        <v>97.01</v>
      </c>
      <c r="AJ30" s="848">
        <v>102.2</v>
      </c>
      <c r="AK30" s="690">
        <f t="shared" si="3"/>
        <v>107.39</v>
      </c>
      <c r="AL30" s="690">
        <f t="shared" si="2"/>
        <v>112.58</v>
      </c>
      <c r="AM30" s="690">
        <f t="shared" si="2"/>
        <v>117.77</v>
      </c>
      <c r="AN30" s="690">
        <f t="shared" si="2"/>
        <v>122.96</v>
      </c>
      <c r="AO30" s="690">
        <f t="shared" si="2"/>
        <v>128.14999999999998</v>
      </c>
      <c r="AP30" s="690">
        <f t="shared" si="2"/>
        <v>133.33999999999997</v>
      </c>
      <c r="AQ30" s="690">
        <f t="shared" si="2"/>
        <v>138.52999999999997</v>
      </c>
      <c r="AR30" s="690">
        <f t="shared" si="2"/>
        <v>143.71999999999997</v>
      </c>
    </row>
    <row r="31" spans="1:44">
      <c r="A31" s="1828"/>
      <c r="B31" s="1967"/>
      <c r="C31" s="1968"/>
      <c r="D31" s="111">
        <v>1.1000000000000001</v>
      </c>
      <c r="E31" s="80">
        <f>(Y31*KFC!$B$37+KFC!$C$37)*KFC!$C$5</f>
        <v>49.61</v>
      </c>
      <c r="F31" s="79">
        <f>(Z31*KFC!$B$37+KFC!$C$37)*KFC!$C$5</f>
        <v>54.92</v>
      </c>
      <c r="G31" s="79">
        <f>(AA31*KFC!$B$37+KFC!$C$37)*KFC!$C$5</f>
        <v>60.24</v>
      </c>
      <c r="H31" s="79">
        <f>(AB31*KFC!$B$37+KFC!$C$37)*KFC!$C$5</f>
        <v>65.540000000000006</v>
      </c>
      <c r="I31" s="79">
        <f>(AC31*KFC!$B$37+KFC!$C$37)*KFC!$C$5</f>
        <v>70.849999999999994</v>
      </c>
      <c r="J31" s="79">
        <f>(AD31*KFC!$B$37+KFC!$C$37)*KFC!$C$5</f>
        <v>75.900000000000006</v>
      </c>
      <c r="K31" s="79">
        <f>(AE31*KFC!$B$37+KFC!$C$37)*KFC!$C$5</f>
        <v>81.209999999999994</v>
      </c>
      <c r="L31" s="79">
        <f>(AF31*KFC!$B$37+KFC!$C$37)*KFC!$C$5</f>
        <v>86.52</v>
      </c>
      <c r="M31" s="79">
        <f>(AG31*KFC!$B$37+KFC!$C$37)*KFC!$C$5</f>
        <v>91.83</v>
      </c>
      <c r="N31" s="79">
        <f>(AH31*KFC!$B$37+KFC!$C$37)*KFC!$C$5</f>
        <v>97.01</v>
      </c>
      <c r="O31" s="79">
        <f>(AI31*KFC!$B$37+KFC!$C$37)*KFC!$C$5</f>
        <v>102.2</v>
      </c>
      <c r="P31" s="79">
        <f>(AJ31*KFC!$B$37+KFC!$C$37)*KFC!$C$5</f>
        <v>107.49</v>
      </c>
      <c r="Q31" s="79">
        <f>(AK31*KFC!$B$37+KFC!$C$37)*KFC!$C$5</f>
        <v>112.77999999999999</v>
      </c>
      <c r="R31" s="79">
        <f>(AL31*KFC!$B$37+KFC!$C$37)*KFC!$C$5</f>
        <v>118.06999999999998</v>
      </c>
      <c r="S31" s="79">
        <f>(AM31*KFC!$B$37+KFC!$C$37)*KFC!$C$5</f>
        <v>123.35999999999997</v>
      </c>
      <c r="T31" s="79">
        <f>(AN31*KFC!$B$37+KFC!$C$37)*KFC!$C$5</f>
        <v>128.64999999999998</v>
      </c>
      <c r="U31" s="79">
        <f>(AO31*KFC!$B$37+KFC!$C$37)*KFC!$C$5</f>
        <v>133.94</v>
      </c>
      <c r="V31" s="79">
        <f>(AP31*KFC!$B$37+KFC!$C$37)*KFC!$C$5</f>
        <v>139.23000000000002</v>
      </c>
      <c r="X31" s="851">
        <v>1.1000000000000001</v>
      </c>
      <c r="Y31" s="847">
        <v>49.61</v>
      </c>
      <c r="Z31" s="847">
        <v>54.92</v>
      </c>
      <c r="AA31" s="847">
        <v>60.24</v>
      </c>
      <c r="AB31" s="847">
        <v>65.540000000000006</v>
      </c>
      <c r="AC31" s="847">
        <v>70.849999999999994</v>
      </c>
      <c r="AD31" s="847">
        <v>75.900000000000006</v>
      </c>
      <c r="AE31" s="847">
        <v>81.209999999999994</v>
      </c>
      <c r="AF31" s="847">
        <v>86.52</v>
      </c>
      <c r="AG31" s="847">
        <v>91.83</v>
      </c>
      <c r="AH31" s="847">
        <v>97.01</v>
      </c>
      <c r="AI31" s="847">
        <v>102.2</v>
      </c>
      <c r="AJ31" s="848">
        <v>107.49</v>
      </c>
      <c r="AK31" s="690">
        <f t="shared" si="3"/>
        <v>112.77999999999999</v>
      </c>
      <c r="AL31" s="690">
        <f t="shared" si="2"/>
        <v>118.06999999999998</v>
      </c>
      <c r="AM31" s="690">
        <f t="shared" si="2"/>
        <v>123.35999999999997</v>
      </c>
      <c r="AN31" s="690">
        <f t="shared" si="2"/>
        <v>128.64999999999998</v>
      </c>
      <c r="AO31" s="690">
        <f t="shared" si="2"/>
        <v>133.94</v>
      </c>
      <c r="AP31" s="690">
        <f t="shared" si="2"/>
        <v>139.23000000000002</v>
      </c>
      <c r="AQ31" s="690">
        <f t="shared" si="2"/>
        <v>144.52000000000004</v>
      </c>
      <c r="AR31" s="690">
        <f t="shared" si="2"/>
        <v>149.81000000000006</v>
      </c>
    </row>
    <row r="32" spans="1:44">
      <c r="A32" s="1828"/>
      <c r="B32" s="1967"/>
      <c r="C32" s="1968"/>
      <c r="D32" s="111">
        <v>1.2</v>
      </c>
      <c r="E32" s="80">
        <f>(Y32*KFC!$B$37+KFC!$C$37)*KFC!$C$5</f>
        <v>52.95</v>
      </c>
      <c r="F32" s="79">
        <f>(Z32*KFC!$B$37+KFC!$C$37)*KFC!$C$5</f>
        <v>58.39</v>
      </c>
      <c r="G32" s="79">
        <f>(AA32*KFC!$B$37+KFC!$C$37)*KFC!$C$5</f>
        <v>63.8</v>
      </c>
      <c r="H32" s="79">
        <f>(AB32*KFC!$B$37+KFC!$C$37)*KFC!$C$5</f>
        <v>69.23</v>
      </c>
      <c r="I32" s="79">
        <f>(AC32*KFC!$B$37+KFC!$C$37)*KFC!$C$5</f>
        <v>74.67</v>
      </c>
      <c r="J32" s="79">
        <f>(AD32*KFC!$B$37+KFC!$C$37)*KFC!$C$5</f>
        <v>80.099999999999994</v>
      </c>
      <c r="K32" s="79">
        <f>(AE32*KFC!$B$37+KFC!$C$37)*KFC!$C$5</f>
        <v>85.54</v>
      </c>
      <c r="L32" s="79">
        <f>(AF32*KFC!$B$37+KFC!$C$37)*KFC!$C$5</f>
        <v>90.96</v>
      </c>
      <c r="M32" s="79">
        <f>(AG32*KFC!$B$37+KFC!$C$37)*KFC!$C$5</f>
        <v>96.39</v>
      </c>
      <c r="N32" s="79">
        <f>(AH32*KFC!$B$37+KFC!$C$37)*KFC!$C$5</f>
        <v>102.07</v>
      </c>
      <c r="O32" s="79">
        <f>(AI32*KFC!$B$37+KFC!$C$37)*KFC!$C$5</f>
        <v>107.49</v>
      </c>
      <c r="P32" s="79">
        <f>(AJ32*KFC!$B$37+KFC!$C$37)*KFC!$C$5</f>
        <v>112.93</v>
      </c>
      <c r="Q32" s="79">
        <f>(AK32*KFC!$B$37+KFC!$C$37)*KFC!$C$5</f>
        <v>118.37000000000002</v>
      </c>
      <c r="R32" s="79">
        <f>(AL32*KFC!$B$37+KFC!$C$37)*KFC!$C$5</f>
        <v>123.81000000000003</v>
      </c>
      <c r="S32" s="79">
        <f>(AM32*KFC!$B$37+KFC!$C$37)*KFC!$C$5</f>
        <v>129.25000000000006</v>
      </c>
      <c r="T32" s="79">
        <f>(AN32*KFC!$B$37+KFC!$C$37)*KFC!$C$5</f>
        <v>134.69000000000008</v>
      </c>
      <c r="U32" s="79">
        <f>(AO32*KFC!$B$37+KFC!$C$37)*KFC!$C$5</f>
        <v>140.13000000000011</v>
      </c>
      <c r="V32" s="79">
        <f>(AP32*KFC!$B$37+KFC!$C$37)*KFC!$C$5</f>
        <v>145.57000000000014</v>
      </c>
      <c r="X32" s="851">
        <v>1.2</v>
      </c>
      <c r="Y32" s="847">
        <v>52.95</v>
      </c>
      <c r="Z32" s="847">
        <v>58.39</v>
      </c>
      <c r="AA32" s="847">
        <v>63.8</v>
      </c>
      <c r="AB32" s="847">
        <v>69.23</v>
      </c>
      <c r="AC32" s="847">
        <v>74.67</v>
      </c>
      <c r="AD32" s="847">
        <v>80.099999999999994</v>
      </c>
      <c r="AE32" s="847">
        <v>85.54</v>
      </c>
      <c r="AF32" s="847">
        <v>90.96</v>
      </c>
      <c r="AG32" s="847">
        <v>96.39</v>
      </c>
      <c r="AH32" s="847">
        <v>102.07</v>
      </c>
      <c r="AI32" s="847">
        <v>107.49</v>
      </c>
      <c r="AJ32" s="848">
        <v>112.93</v>
      </c>
      <c r="AK32" s="690">
        <f t="shared" si="3"/>
        <v>118.37000000000002</v>
      </c>
      <c r="AL32" s="690">
        <f t="shared" si="2"/>
        <v>123.81000000000003</v>
      </c>
      <c r="AM32" s="690">
        <f t="shared" si="2"/>
        <v>129.25000000000006</v>
      </c>
      <c r="AN32" s="690">
        <f t="shared" si="2"/>
        <v>134.69000000000008</v>
      </c>
      <c r="AO32" s="690">
        <f t="shared" si="2"/>
        <v>140.13000000000011</v>
      </c>
      <c r="AP32" s="690">
        <f t="shared" si="2"/>
        <v>145.57000000000014</v>
      </c>
      <c r="AQ32" s="690">
        <f t="shared" si="2"/>
        <v>151.01000000000016</v>
      </c>
      <c r="AR32" s="690">
        <f t="shared" si="2"/>
        <v>156.45000000000019</v>
      </c>
    </row>
    <row r="33" spans="1:44">
      <c r="A33" s="1828"/>
      <c r="B33" s="1967"/>
      <c r="C33" s="1968"/>
      <c r="D33" s="111">
        <v>1.3</v>
      </c>
      <c r="E33" s="80">
        <f>(Y33*KFC!$B$37+KFC!$C$37)*KFC!$C$5</f>
        <v>56.16</v>
      </c>
      <c r="F33" s="79">
        <f>(Z33*KFC!$B$37+KFC!$C$37)*KFC!$C$5</f>
        <v>61.83</v>
      </c>
      <c r="G33" s="79">
        <f>(AA33*KFC!$B$37+KFC!$C$37)*KFC!$C$5</f>
        <v>67.510000000000005</v>
      </c>
      <c r="H33" s="79">
        <f>(AB33*KFC!$B$37+KFC!$C$37)*KFC!$C$5</f>
        <v>73.06</v>
      </c>
      <c r="I33" s="79">
        <f>(AC33*KFC!$B$37+KFC!$C$37)*KFC!$C$5</f>
        <v>78.75</v>
      </c>
      <c r="J33" s="79">
        <f>(AD33*KFC!$B$37+KFC!$C$37)*KFC!$C$5</f>
        <v>84.43</v>
      </c>
      <c r="K33" s="79">
        <f>(AE33*KFC!$B$37+KFC!$C$37)*KFC!$C$5</f>
        <v>89.98</v>
      </c>
      <c r="L33" s="79">
        <f>(AF33*KFC!$B$37+KFC!$C$37)*KFC!$C$5</f>
        <v>95.66</v>
      </c>
      <c r="M33" s="79">
        <f>(AG33*KFC!$B$37+KFC!$C$37)*KFC!$C$5</f>
        <v>101.32</v>
      </c>
      <c r="N33" s="79">
        <f>(AH33*KFC!$B$37+KFC!$C$37)*KFC!$C$5</f>
        <v>106.88</v>
      </c>
      <c r="O33" s="79">
        <f>(AI33*KFC!$B$37+KFC!$C$37)*KFC!$C$5</f>
        <v>112.55</v>
      </c>
      <c r="P33" s="79">
        <f>(AJ33*KFC!$B$37+KFC!$C$37)*KFC!$C$5</f>
        <v>118.24</v>
      </c>
      <c r="Q33" s="79">
        <f>(AK33*KFC!$B$37+KFC!$C$37)*KFC!$C$5</f>
        <v>123.92999999999999</v>
      </c>
      <c r="R33" s="79">
        <f>(AL33*KFC!$B$37+KFC!$C$37)*KFC!$C$5</f>
        <v>129.62</v>
      </c>
      <c r="S33" s="79">
        <f>(AM33*KFC!$B$37+KFC!$C$37)*KFC!$C$5</f>
        <v>135.31</v>
      </c>
      <c r="T33" s="79">
        <f>(AN33*KFC!$B$37+KFC!$C$37)*KFC!$C$5</f>
        <v>141</v>
      </c>
      <c r="U33" s="79">
        <f>(AO33*KFC!$B$37+KFC!$C$37)*KFC!$C$5</f>
        <v>146.69</v>
      </c>
      <c r="V33" s="79">
        <f>(AP33*KFC!$B$37+KFC!$C$37)*KFC!$C$5</f>
        <v>152.38</v>
      </c>
      <c r="X33" s="851">
        <v>1.3</v>
      </c>
      <c r="Y33" s="847">
        <v>56.16</v>
      </c>
      <c r="Z33" s="847">
        <v>61.83</v>
      </c>
      <c r="AA33" s="847">
        <v>67.510000000000005</v>
      </c>
      <c r="AB33" s="847">
        <v>73.06</v>
      </c>
      <c r="AC33" s="847">
        <v>78.75</v>
      </c>
      <c r="AD33" s="847">
        <v>84.43</v>
      </c>
      <c r="AE33" s="847">
        <v>89.98</v>
      </c>
      <c r="AF33" s="847">
        <v>95.66</v>
      </c>
      <c r="AG33" s="847">
        <v>101.32</v>
      </c>
      <c r="AH33" s="847">
        <v>106.88</v>
      </c>
      <c r="AI33" s="847">
        <v>112.55</v>
      </c>
      <c r="AJ33" s="848">
        <v>118.24</v>
      </c>
      <c r="AK33" s="690">
        <f t="shared" si="3"/>
        <v>123.92999999999999</v>
      </c>
      <c r="AL33" s="690">
        <f t="shared" si="2"/>
        <v>129.62</v>
      </c>
      <c r="AM33" s="690">
        <f t="shared" si="2"/>
        <v>135.31</v>
      </c>
      <c r="AN33" s="690">
        <f t="shared" si="2"/>
        <v>141</v>
      </c>
      <c r="AO33" s="690">
        <f t="shared" si="2"/>
        <v>146.69</v>
      </c>
      <c r="AP33" s="690">
        <f t="shared" si="2"/>
        <v>152.38</v>
      </c>
      <c r="AQ33" s="690">
        <f t="shared" si="2"/>
        <v>158.07</v>
      </c>
      <c r="AR33" s="690">
        <f t="shared" si="2"/>
        <v>163.76</v>
      </c>
    </row>
    <row r="34" spans="1:44">
      <c r="A34" s="1828"/>
      <c r="B34" s="1967"/>
      <c r="C34" s="1968"/>
      <c r="D34" s="111">
        <v>1.4</v>
      </c>
      <c r="E34" s="80">
        <f>(Y34*KFC!$B$37+KFC!$C$37)*KFC!$C$5</f>
        <v>59.49</v>
      </c>
      <c r="F34" s="79">
        <f>(Z34*KFC!$B$37+KFC!$C$37)*KFC!$C$5</f>
        <v>65.180000000000007</v>
      </c>
      <c r="G34" s="79">
        <f>(AA34*KFC!$B$37+KFC!$C$37)*KFC!$C$5</f>
        <v>71.09</v>
      </c>
      <c r="H34" s="79">
        <f>(AB34*KFC!$B$37+KFC!$C$37)*KFC!$C$5</f>
        <v>77.02</v>
      </c>
      <c r="I34" s="79">
        <f>(AC34*KFC!$B$37+KFC!$C$37)*KFC!$C$5</f>
        <v>82.69</v>
      </c>
      <c r="J34" s="79">
        <f>(AD34*KFC!$B$37+KFC!$C$37)*KFC!$C$5</f>
        <v>88.62</v>
      </c>
      <c r="K34" s="79">
        <f>(AE34*KFC!$B$37+KFC!$C$37)*KFC!$C$5</f>
        <v>94.29</v>
      </c>
      <c r="L34" s="79">
        <f>(AF34*KFC!$B$37+KFC!$C$37)*KFC!$C$5</f>
        <v>100.21</v>
      </c>
      <c r="M34" s="79">
        <f>(AG34*KFC!$B$37+KFC!$C$37)*KFC!$C$5</f>
        <v>106.14</v>
      </c>
      <c r="N34" s="79">
        <f>(AH34*KFC!$B$37+KFC!$C$37)*KFC!$C$5</f>
        <v>111.82</v>
      </c>
      <c r="O34" s="79">
        <f>(AI34*KFC!$B$37+KFC!$C$37)*KFC!$C$5</f>
        <v>117.74</v>
      </c>
      <c r="P34" s="79">
        <f>(AJ34*KFC!$B$37+KFC!$C$37)*KFC!$C$5</f>
        <v>123.42</v>
      </c>
      <c r="Q34" s="79">
        <f>(AK34*KFC!$B$37+KFC!$C$37)*KFC!$C$5</f>
        <v>129.10000000000002</v>
      </c>
      <c r="R34" s="79">
        <f>(AL34*KFC!$B$37+KFC!$C$37)*KFC!$C$5</f>
        <v>134.78000000000003</v>
      </c>
      <c r="S34" s="79">
        <f>(AM34*KFC!$B$37+KFC!$C$37)*KFC!$C$5</f>
        <v>140.46000000000004</v>
      </c>
      <c r="T34" s="79">
        <f>(AN34*KFC!$B$37+KFC!$C$37)*KFC!$C$5</f>
        <v>146.14000000000004</v>
      </c>
      <c r="U34" s="79">
        <f>(AO34*KFC!$B$37+KFC!$C$37)*KFC!$C$5</f>
        <v>151.82000000000005</v>
      </c>
      <c r="V34" s="79">
        <f>(AP34*KFC!$B$37+KFC!$C$37)*KFC!$C$5</f>
        <v>157.50000000000006</v>
      </c>
      <c r="X34" s="851">
        <v>1.4</v>
      </c>
      <c r="Y34" s="847">
        <v>59.49</v>
      </c>
      <c r="Z34" s="847">
        <v>65.180000000000007</v>
      </c>
      <c r="AA34" s="847">
        <v>71.09</v>
      </c>
      <c r="AB34" s="847">
        <v>77.02</v>
      </c>
      <c r="AC34" s="847">
        <v>82.69</v>
      </c>
      <c r="AD34" s="847">
        <v>88.62</v>
      </c>
      <c r="AE34" s="847">
        <v>94.29</v>
      </c>
      <c r="AF34" s="847">
        <v>100.21</v>
      </c>
      <c r="AG34" s="847">
        <v>106.14</v>
      </c>
      <c r="AH34" s="847">
        <v>111.82</v>
      </c>
      <c r="AI34" s="847">
        <v>117.74</v>
      </c>
      <c r="AJ34" s="848">
        <v>123.42</v>
      </c>
      <c r="AK34" s="690">
        <f t="shared" si="3"/>
        <v>129.10000000000002</v>
      </c>
      <c r="AL34" s="690">
        <f t="shared" si="2"/>
        <v>134.78000000000003</v>
      </c>
      <c r="AM34" s="690">
        <f t="shared" si="2"/>
        <v>140.46000000000004</v>
      </c>
      <c r="AN34" s="690">
        <f t="shared" si="2"/>
        <v>146.14000000000004</v>
      </c>
      <c r="AO34" s="690">
        <f t="shared" si="2"/>
        <v>151.82000000000005</v>
      </c>
      <c r="AP34" s="690">
        <f t="shared" si="2"/>
        <v>157.50000000000006</v>
      </c>
      <c r="AQ34" s="690">
        <f t="shared" si="2"/>
        <v>163.18000000000006</v>
      </c>
      <c r="AR34" s="690">
        <f t="shared" si="2"/>
        <v>168.86000000000007</v>
      </c>
    </row>
    <row r="35" spans="1:44">
      <c r="A35" s="1828"/>
      <c r="B35" s="1967"/>
      <c r="C35" s="1968"/>
      <c r="D35" s="111">
        <v>1.5</v>
      </c>
      <c r="E35" s="80">
        <f>(Y35*KFC!$B$37+KFC!$C$37)*KFC!$C$5</f>
        <v>62.7</v>
      </c>
      <c r="F35" s="79">
        <f>(Z35*KFC!$B$37+KFC!$C$37)*KFC!$C$5</f>
        <v>68.62</v>
      </c>
      <c r="G35" s="79">
        <f>(AA35*KFC!$B$37+KFC!$C$37)*KFC!$C$5</f>
        <v>74.67</v>
      </c>
      <c r="H35" s="79">
        <f>(AB35*KFC!$B$37+KFC!$C$37)*KFC!$C$5</f>
        <v>80.72</v>
      </c>
      <c r="I35" s="79">
        <f>(AC35*KFC!$B$37+KFC!$C$37)*KFC!$C$5</f>
        <v>86.77</v>
      </c>
      <c r="J35" s="79">
        <f>(AD35*KFC!$B$37+KFC!$C$37)*KFC!$C$5</f>
        <v>92.81</v>
      </c>
      <c r="K35" s="79">
        <f>(AE35*KFC!$B$37+KFC!$C$37)*KFC!$C$5</f>
        <v>98.86</v>
      </c>
      <c r="L35" s="79">
        <f>(AF35*KFC!$B$37+KFC!$C$37)*KFC!$C$5</f>
        <v>104.79</v>
      </c>
      <c r="M35" s="79">
        <f>(AG35*KFC!$B$37+KFC!$C$37)*KFC!$C$5</f>
        <v>110.84</v>
      </c>
      <c r="N35" s="79">
        <f>(AH35*KFC!$B$37+KFC!$C$37)*KFC!$C$5</f>
        <v>116.88</v>
      </c>
      <c r="O35" s="79">
        <f>(AI35*KFC!$B$37+KFC!$C$37)*KFC!$C$5</f>
        <v>122.93</v>
      </c>
      <c r="P35" s="79">
        <f>(AJ35*KFC!$B$37+KFC!$C$37)*KFC!$C$5</f>
        <v>128.85</v>
      </c>
      <c r="Q35" s="79">
        <f>(AK35*KFC!$B$37+KFC!$C$37)*KFC!$C$5</f>
        <v>134.76999999999998</v>
      </c>
      <c r="R35" s="79">
        <f>(AL35*KFC!$B$37+KFC!$C$37)*KFC!$C$5</f>
        <v>140.68999999999997</v>
      </c>
      <c r="S35" s="79">
        <f>(AM35*KFC!$B$37+KFC!$C$37)*KFC!$C$5</f>
        <v>146.60999999999996</v>
      </c>
      <c r="T35" s="79">
        <f>(AN35*KFC!$B$37+KFC!$C$37)*KFC!$C$5</f>
        <v>152.52999999999994</v>
      </c>
      <c r="U35" s="79">
        <f>(AO35*KFC!$B$37+KFC!$C$37)*KFC!$C$5</f>
        <v>158.44999999999993</v>
      </c>
      <c r="V35" s="79">
        <f>(AP35*KFC!$B$37+KFC!$C$37)*KFC!$C$5</f>
        <v>164.36999999999992</v>
      </c>
      <c r="X35" s="851">
        <v>1.5</v>
      </c>
      <c r="Y35" s="847">
        <v>62.7</v>
      </c>
      <c r="Z35" s="847">
        <v>68.62</v>
      </c>
      <c r="AA35" s="847">
        <v>74.67</v>
      </c>
      <c r="AB35" s="847">
        <v>80.72</v>
      </c>
      <c r="AC35" s="847">
        <v>86.77</v>
      </c>
      <c r="AD35" s="847">
        <v>92.81</v>
      </c>
      <c r="AE35" s="847">
        <v>98.86</v>
      </c>
      <c r="AF35" s="847">
        <v>104.79</v>
      </c>
      <c r="AG35" s="847">
        <v>110.84</v>
      </c>
      <c r="AH35" s="847">
        <v>116.88</v>
      </c>
      <c r="AI35" s="847">
        <v>122.93</v>
      </c>
      <c r="AJ35" s="848">
        <v>128.85</v>
      </c>
      <c r="AK35" s="690">
        <f t="shared" si="3"/>
        <v>134.76999999999998</v>
      </c>
      <c r="AL35" s="690">
        <f t="shared" si="2"/>
        <v>140.68999999999997</v>
      </c>
      <c r="AM35" s="690">
        <f t="shared" si="2"/>
        <v>146.60999999999996</v>
      </c>
      <c r="AN35" s="690">
        <f t="shared" si="2"/>
        <v>152.52999999999994</v>
      </c>
      <c r="AO35" s="690">
        <f t="shared" si="2"/>
        <v>158.44999999999993</v>
      </c>
      <c r="AP35" s="690">
        <f t="shared" si="2"/>
        <v>164.36999999999992</v>
      </c>
      <c r="AQ35" s="690">
        <f t="shared" si="2"/>
        <v>170.28999999999991</v>
      </c>
      <c r="AR35" s="690">
        <f t="shared" si="2"/>
        <v>176.20999999999989</v>
      </c>
    </row>
    <row r="36" spans="1:44">
      <c r="A36" s="1828"/>
      <c r="B36" s="1967"/>
      <c r="C36" s="1968"/>
      <c r="D36" s="111">
        <v>1.6</v>
      </c>
      <c r="E36" s="80">
        <f>(Y36*KFC!$B$37+KFC!$C$37)*KFC!$C$5</f>
        <v>65.91</v>
      </c>
      <c r="F36" s="79">
        <f>(Z36*KFC!$B$37+KFC!$C$37)*KFC!$C$5</f>
        <v>72.2</v>
      </c>
      <c r="G36" s="79">
        <f>(AA36*KFC!$B$37+KFC!$C$37)*KFC!$C$5</f>
        <v>78.38</v>
      </c>
      <c r="H36" s="79">
        <f>(AB36*KFC!$B$37+KFC!$C$37)*KFC!$C$5</f>
        <v>84.55</v>
      </c>
      <c r="I36" s="79">
        <f>(AC36*KFC!$B$37+KFC!$C$37)*KFC!$C$5</f>
        <v>90.72</v>
      </c>
      <c r="J36" s="79">
        <f>(AD36*KFC!$B$37+KFC!$C$37)*KFC!$C$5</f>
        <v>97.01</v>
      </c>
      <c r="K36" s="79">
        <f>(AE36*KFC!$B$37+KFC!$C$37)*KFC!$C$5</f>
        <v>103.3</v>
      </c>
      <c r="L36" s="79">
        <f>(AF36*KFC!$B$37+KFC!$C$37)*KFC!$C$5</f>
        <v>109.47</v>
      </c>
      <c r="M36" s="79">
        <f>(AG36*KFC!$B$37+KFC!$C$37)*KFC!$C$5</f>
        <v>115.64</v>
      </c>
      <c r="N36" s="79">
        <f>(AH36*KFC!$B$37+KFC!$C$37)*KFC!$C$5</f>
        <v>121.81</v>
      </c>
      <c r="O36" s="79">
        <f>(AI36*KFC!$B$37+KFC!$C$37)*KFC!$C$5</f>
        <v>127.99</v>
      </c>
      <c r="P36" s="79">
        <f>(AJ36*KFC!$B$37+KFC!$C$37)*KFC!$C$5</f>
        <v>134.16</v>
      </c>
      <c r="Q36" s="79">
        <f>(AK36*KFC!$B$37+KFC!$C$37)*KFC!$C$5</f>
        <v>140.32999999999998</v>
      </c>
      <c r="R36" s="79">
        <f>(AL36*KFC!$B$37+KFC!$C$37)*KFC!$C$5</f>
        <v>146.49999999999997</v>
      </c>
      <c r="S36" s="79">
        <f>(AM36*KFC!$B$37+KFC!$C$37)*KFC!$C$5</f>
        <v>152.66999999999996</v>
      </c>
      <c r="T36" s="79">
        <f>(AN36*KFC!$B$37+KFC!$C$37)*KFC!$C$5</f>
        <v>158.83999999999995</v>
      </c>
      <c r="U36" s="79">
        <f>(AO36*KFC!$B$37+KFC!$C$37)*KFC!$C$5</f>
        <v>165.00999999999993</v>
      </c>
      <c r="V36" s="79">
        <f>(AP36*KFC!$B$37+KFC!$C$37)*KFC!$C$5</f>
        <v>171.17999999999992</v>
      </c>
      <c r="X36" s="851">
        <v>1.6</v>
      </c>
      <c r="Y36" s="847">
        <v>65.91</v>
      </c>
      <c r="Z36" s="847">
        <v>72.2</v>
      </c>
      <c r="AA36" s="847">
        <v>78.38</v>
      </c>
      <c r="AB36" s="847">
        <v>84.55</v>
      </c>
      <c r="AC36" s="847">
        <v>90.72</v>
      </c>
      <c r="AD36" s="847">
        <v>97.01</v>
      </c>
      <c r="AE36" s="847">
        <v>103.3</v>
      </c>
      <c r="AF36" s="847">
        <v>109.47</v>
      </c>
      <c r="AG36" s="847">
        <v>115.64</v>
      </c>
      <c r="AH36" s="847">
        <v>121.81</v>
      </c>
      <c r="AI36" s="847">
        <v>127.99</v>
      </c>
      <c r="AJ36" s="848">
        <v>134.16</v>
      </c>
      <c r="AK36" s="690">
        <f t="shared" si="3"/>
        <v>140.32999999999998</v>
      </c>
      <c r="AL36" s="690">
        <f t="shared" si="2"/>
        <v>146.49999999999997</v>
      </c>
      <c r="AM36" s="690">
        <f t="shared" si="2"/>
        <v>152.66999999999996</v>
      </c>
      <c r="AN36" s="690">
        <f t="shared" si="2"/>
        <v>158.83999999999995</v>
      </c>
      <c r="AO36" s="690">
        <f t="shared" si="2"/>
        <v>165.00999999999993</v>
      </c>
      <c r="AP36" s="690">
        <f t="shared" si="2"/>
        <v>171.17999999999992</v>
      </c>
      <c r="AQ36" s="690">
        <f t="shared" si="2"/>
        <v>177.34999999999991</v>
      </c>
      <c r="AR36" s="690">
        <f t="shared" si="2"/>
        <v>183.5199999999999</v>
      </c>
    </row>
    <row r="37" spans="1:44">
      <c r="A37" s="1828"/>
      <c r="B37" s="1967"/>
      <c r="C37" s="1968"/>
      <c r="D37" s="111">
        <v>1.7</v>
      </c>
      <c r="E37" s="80">
        <f>(Y37*KFC!$B$37+KFC!$C$37)*KFC!$C$5</f>
        <v>69.11</v>
      </c>
      <c r="F37" s="79">
        <f>(Z37*KFC!$B$37+KFC!$C$37)*KFC!$C$5</f>
        <v>75.66</v>
      </c>
      <c r="G37" s="79">
        <f>(AA37*KFC!$B$37+KFC!$C$37)*KFC!$C$5</f>
        <v>81.95</v>
      </c>
      <c r="H37" s="79">
        <f>(AB37*KFC!$B$37+KFC!$C$37)*KFC!$C$5</f>
        <v>88.48</v>
      </c>
      <c r="I37" s="79">
        <f>(AC37*KFC!$B$37+KFC!$C$37)*KFC!$C$5</f>
        <v>94.79</v>
      </c>
      <c r="J37" s="79">
        <f>(AD37*KFC!$B$37+KFC!$C$37)*KFC!$C$5</f>
        <v>101.08</v>
      </c>
      <c r="K37" s="79">
        <f>(AE37*KFC!$B$37+KFC!$C$37)*KFC!$C$5</f>
        <v>107.61</v>
      </c>
      <c r="L37" s="79">
        <f>(AF37*KFC!$B$37+KFC!$C$37)*KFC!$C$5</f>
        <v>113.93</v>
      </c>
      <c r="M37" s="79">
        <f>(AG37*KFC!$B$37+KFC!$C$37)*KFC!$C$5</f>
        <v>120.34</v>
      </c>
      <c r="N37" s="79">
        <f>(AH37*KFC!$B$37+KFC!$C$37)*KFC!$C$5</f>
        <v>126.75</v>
      </c>
      <c r="O37" s="79">
        <f>(AI37*KFC!$B$37+KFC!$C$37)*KFC!$C$5</f>
        <v>133.18</v>
      </c>
      <c r="P37" s="79">
        <f>(AJ37*KFC!$B$37+KFC!$C$37)*KFC!$C$5</f>
        <v>139.59</v>
      </c>
      <c r="Q37" s="79">
        <f>(AK37*KFC!$B$37+KFC!$C$37)*KFC!$C$5</f>
        <v>146</v>
      </c>
      <c r="R37" s="79">
        <f>(AL37*KFC!$B$37+KFC!$C$37)*KFC!$C$5</f>
        <v>152.41</v>
      </c>
      <c r="S37" s="79">
        <f>(AM37*KFC!$B$37+KFC!$C$37)*KFC!$C$5</f>
        <v>158.82</v>
      </c>
      <c r="T37" s="79">
        <f>(AN37*KFC!$B$37+KFC!$C$37)*KFC!$C$5</f>
        <v>165.23</v>
      </c>
      <c r="U37" s="79">
        <f>(AO37*KFC!$B$37+KFC!$C$37)*KFC!$C$5</f>
        <v>171.64</v>
      </c>
      <c r="V37" s="79">
        <f>(AP37*KFC!$B$37+KFC!$C$37)*KFC!$C$5</f>
        <v>178.04999999999998</v>
      </c>
      <c r="X37" s="851">
        <v>1.7</v>
      </c>
      <c r="Y37" s="847">
        <v>69.11</v>
      </c>
      <c r="Z37" s="847">
        <v>75.66</v>
      </c>
      <c r="AA37" s="847">
        <v>81.95</v>
      </c>
      <c r="AB37" s="847">
        <v>88.48</v>
      </c>
      <c r="AC37" s="847">
        <v>94.79</v>
      </c>
      <c r="AD37" s="847">
        <v>101.08</v>
      </c>
      <c r="AE37" s="847">
        <v>107.61</v>
      </c>
      <c r="AF37" s="847">
        <v>113.93</v>
      </c>
      <c r="AG37" s="847">
        <v>120.34</v>
      </c>
      <c r="AH37" s="847">
        <v>126.75</v>
      </c>
      <c r="AI37" s="847">
        <v>133.18</v>
      </c>
      <c r="AJ37" s="848">
        <v>139.59</v>
      </c>
      <c r="AK37" s="690">
        <f t="shared" si="3"/>
        <v>146</v>
      </c>
      <c r="AL37" s="690">
        <f t="shared" si="2"/>
        <v>152.41</v>
      </c>
      <c r="AM37" s="690">
        <f t="shared" si="2"/>
        <v>158.82</v>
      </c>
      <c r="AN37" s="690">
        <f t="shared" si="2"/>
        <v>165.23</v>
      </c>
      <c r="AO37" s="690">
        <f t="shared" si="2"/>
        <v>171.64</v>
      </c>
      <c r="AP37" s="690">
        <f t="shared" si="2"/>
        <v>178.04999999999998</v>
      </c>
      <c r="AQ37" s="690">
        <f t="shared" si="2"/>
        <v>184.45999999999998</v>
      </c>
      <c r="AR37" s="690">
        <f t="shared" si="2"/>
        <v>190.86999999999998</v>
      </c>
    </row>
    <row r="38" spans="1:44" ht="13.8" thickBot="1">
      <c r="A38" s="1829"/>
      <c r="B38" s="1969"/>
      <c r="C38" s="1970"/>
      <c r="D38" s="112">
        <v>1.8</v>
      </c>
      <c r="E38" s="89">
        <f>(Y38*KFC!$B$37+KFC!$C$37)*KFC!$C$5</f>
        <v>72.45</v>
      </c>
      <c r="F38" s="87">
        <f>(Z38*KFC!$B$37+KFC!$C$37)*KFC!$C$5</f>
        <v>79.11</v>
      </c>
      <c r="G38" s="87">
        <f>(AA38*KFC!$B$37+KFC!$C$37)*KFC!$C$5</f>
        <v>85.54</v>
      </c>
      <c r="H38" s="87">
        <f>(AB38*KFC!$B$37+KFC!$C$37)*KFC!$C$5</f>
        <v>92.19</v>
      </c>
      <c r="I38" s="87">
        <f>(AC38*KFC!$B$37+KFC!$C$37)*KFC!$C$5</f>
        <v>98.86</v>
      </c>
      <c r="J38" s="87">
        <f>(AD38*KFC!$B$37+KFC!$C$37)*KFC!$C$5</f>
        <v>105.4</v>
      </c>
      <c r="K38" s="87">
        <f>(AE38*KFC!$B$37+KFC!$C$37)*KFC!$C$5</f>
        <v>111.94</v>
      </c>
      <c r="L38" s="87">
        <f>(AF38*KFC!$B$37+KFC!$C$37)*KFC!$C$5</f>
        <v>118.48</v>
      </c>
      <c r="M38" s="87">
        <f>(AG38*KFC!$B$37+KFC!$C$37)*KFC!$C$5</f>
        <v>125.15</v>
      </c>
      <c r="N38" s="87">
        <f>(AH38*KFC!$B$37+KFC!$C$37)*KFC!$C$5</f>
        <v>131.81</v>
      </c>
      <c r="O38" s="87">
        <f>(AI38*KFC!$B$37+KFC!$C$37)*KFC!$C$5</f>
        <v>138.22999999999999</v>
      </c>
      <c r="P38" s="87">
        <f>(AJ38*KFC!$B$37+KFC!$C$37)*KFC!$C$5</f>
        <v>144.9</v>
      </c>
      <c r="Q38" s="87">
        <f>(AK38*KFC!$B$37+KFC!$C$37)*KFC!$C$5</f>
        <v>151.57000000000002</v>
      </c>
      <c r="R38" s="87">
        <f>(AL38*KFC!$B$37+KFC!$C$37)*KFC!$C$5</f>
        <v>158.24000000000004</v>
      </c>
      <c r="S38" s="87">
        <f>(AM38*KFC!$B$37+KFC!$C$37)*KFC!$C$5</f>
        <v>164.91000000000005</v>
      </c>
      <c r="T38" s="87">
        <f>(AN38*KFC!$B$37+KFC!$C$37)*KFC!$C$5</f>
        <v>171.58000000000007</v>
      </c>
      <c r="U38" s="87">
        <f>(AO38*KFC!$B$37+KFC!$C$37)*KFC!$C$5</f>
        <v>178.25000000000009</v>
      </c>
      <c r="V38" s="87">
        <f>(AP38*KFC!$B$37+KFC!$C$37)*KFC!$C$5</f>
        <v>184.9200000000001</v>
      </c>
      <c r="X38" s="851">
        <v>1.8</v>
      </c>
      <c r="Y38" s="847">
        <v>72.45</v>
      </c>
      <c r="Z38" s="847">
        <v>79.11</v>
      </c>
      <c r="AA38" s="847">
        <v>85.54</v>
      </c>
      <c r="AB38" s="847">
        <v>92.19</v>
      </c>
      <c r="AC38" s="847">
        <v>98.86</v>
      </c>
      <c r="AD38" s="847">
        <v>105.4</v>
      </c>
      <c r="AE38" s="847">
        <v>111.94</v>
      </c>
      <c r="AF38" s="847">
        <v>118.48</v>
      </c>
      <c r="AG38" s="847">
        <v>125.15</v>
      </c>
      <c r="AH38" s="847">
        <v>131.81</v>
      </c>
      <c r="AI38" s="847">
        <v>138.22999999999999</v>
      </c>
      <c r="AJ38" s="848">
        <v>144.9</v>
      </c>
      <c r="AK38" s="690">
        <f t="shared" si="3"/>
        <v>151.57000000000002</v>
      </c>
      <c r="AL38" s="690">
        <f t="shared" si="2"/>
        <v>158.24000000000004</v>
      </c>
      <c r="AM38" s="690">
        <f t="shared" si="2"/>
        <v>164.91000000000005</v>
      </c>
      <c r="AN38" s="690">
        <f t="shared" si="2"/>
        <v>171.58000000000007</v>
      </c>
      <c r="AO38" s="690">
        <f t="shared" si="2"/>
        <v>178.25000000000009</v>
      </c>
      <c r="AP38" s="690">
        <f t="shared" si="2"/>
        <v>184.9200000000001</v>
      </c>
      <c r="AQ38" s="690">
        <f t="shared" si="2"/>
        <v>191.59000000000012</v>
      </c>
      <c r="AR38" s="690">
        <f t="shared" si="2"/>
        <v>198.26000000000013</v>
      </c>
    </row>
    <row r="39" spans="1:44" ht="13.8" thickBot="1">
      <c r="A39" s="186"/>
      <c r="B39" s="184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</row>
    <row r="40" spans="1:44" ht="13.8" thickBot="1">
      <c r="A40" s="1413" t="s">
        <v>318</v>
      </c>
      <c r="B40" s="1414"/>
      <c r="C40" s="1414"/>
      <c r="D40" s="1415"/>
      <c r="E40" s="1534" t="s">
        <v>207</v>
      </c>
      <c r="F40" s="1535"/>
      <c r="G40" s="1535"/>
      <c r="H40" s="1535"/>
      <c r="I40" s="1535"/>
      <c r="J40" s="1535"/>
      <c r="K40" s="1535"/>
      <c r="L40" s="1535"/>
      <c r="M40" s="1535"/>
      <c r="N40" s="1535"/>
      <c r="O40" s="1535"/>
      <c r="P40" s="1535"/>
      <c r="Q40" s="1535"/>
      <c r="R40" s="1535"/>
      <c r="S40" s="1535"/>
      <c r="T40" s="1535"/>
      <c r="U40" s="1535"/>
      <c r="V40" s="1535"/>
    </row>
    <row r="41" spans="1:44" ht="13.8" thickBot="1">
      <c r="A41" s="1416"/>
      <c r="B41" s="1417"/>
      <c r="C41" s="1417"/>
      <c r="D41" s="1418"/>
      <c r="E41" s="119">
        <v>0.4</v>
      </c>
      <c r="F41" s="119">
        <v>0.5</v>
      </c>
      <c r="G41" s="119">
        <v>0.6</v>
      </c>
      <c r="H41" s="119">
        <v>0.7</v>
      </c>
      <c r="I41" s="119">
        <v>0.8</v>
      </c>
      <c r="J41" s="119">
        <v>0.9</v>
      </c>
      <c r="K41" s="119">
        <v>1</v>
      </c>
      <c r="L41" s="119">
        <v>1.1000000000000001</v>
      </c>
      <c r="M41" s="119">
        <v>1.2</v>
      </c>
      <c r="N41" s="119">
        <v>1.3</v>
      </c>
      <c r="O41" s="119">
        <v>1.4</v>
      </c>
      <c r="P41" s="119">
        <v>1.5</v>
      </c>
      <c r="Q41" s="119">
        <v>1.6</v>
      </c>
      <c r="R41" s="119">
        <v>1.7</v>
      </c>
      <c r="S41" s="119">
        <v>1.8</v>
      </c>
      <c r="T41" s="119">
        <v>1.9</v>
      </c>
      <c r="U41" s="119">
        <v>2</v>
      </c>
      <c r="V41" s="119">
        <v>2.1</v>
      </c>
      <c r="X41" s="850"/>
      <c r="Y41" s="851">
        <v>0.4</v>
      </c>
      <c r="Z41" s="851">
        <v>0.5</v>
      </c>
      <c r="AA41" s="851">
        <v>0.6</v>
      </c>
      <c r="AB41" s="851">
        <v>0.7</v>
      </c>
      <c r="AC41" s="851">
        <v>0.8</v>
      </c>
      <c r="AD41" s="851">
        <v>0.9</v>
      </c>
      <c r="AE41" s="851">
        <v>1</v>
      </c>
      <c r="AF41" s="851">
        <v>1.1000000000000001</v>
      </c>
      <c r="AG41" s="851">
        <v>1.2</v>
      </c>
      <c r="AH41" s="851">
        <v>1.3</v>
      </c>
      <c r="AI41" s="851">
        <v>1.4</v>
      </c>
      <c r="AJ41" s="852">
        <v>1.5</v>
      </c>
      <c r="AK41" s="853">
        <v>1.6</v>
      </c>
      <c r="AL41" s="853">
        <v>1.7</v>
      </c>
      <c r="AM41" s="853">
        <v>1.8</v>
      </c>
      <c r="AN41" s="853">
        <v>1.9</v>
      </c>
      <c r="AO41" s="853">
        <v>2</v>
      </c>
      <c r="AP41" s="853">
        <v>2.1</v>
      </c>
      <c r="AQ41" s="853">
        <v>2.2000000000000002</v>
      </c>
      <c r="AR41" s="853">
        <v>2.2999999999999998</v>
      </c>
    </row>
    <row r="42" spans="1:44">
      <c r="A42" s="1827" t="s">
        <v>3</v>
      </c>
      <c r="B42" s="1965"/>
      <c r="C42" s="1966"/>
      <c r="D42" s="427">
        <v>0.5</v>
      </c>
      <c r="E42" s="76">
        <f>(Y42*KFC!$B$37+KFC!$C$37)*KFC!$C$5</f>
        <v>37.76</v>
      </c>
      <c r="F42" s="81">
        <f>(Z42*KFC!$B$37+KFC!$C$37)*KFC!$C$5</f>
        <v>43.08</v>
      </c>
      <c r="G42" s="81">
        <f>(AA42*KFC!$B$37+KFC!$C$37)*KFC!$C$5</f>
        <v>48.51</v>
      </c>
      <c r="H42" s="81">
        <f>(AB42*KFC!$B$37+KFC!$C$37)*KFC!$C$5</f>
        <v>53.69</v>
      </c>
      <c r="I42" s="81">
        <f>(AC42*KFC!$B$37+KFC!$C$37)*KFC!$C$5</f>
        <v>59.13</v>
      </c>
      <c r="J42" s="81">
        <f>(AD42*KFC!$B$37+KFC!$C$37)*KFC!$C$5</f>
        <v>64.42</v>
      </c>
      <c r="K42" s="81">
        <f>(AE42*KFC!$B$37+KFC!$C$37)*KFC!$C$5</f>
        <v>69.849999999999994</v>
      </c>
      <c r="L42" s="81">
        <f>(AF42*KFC!$B$37+KFC!$C$37)*KFC!$C$5</f>
        <v>75.16</v>
      </c>
      <c r="M42" s="81">
        <f>(AG42*KFC!$B$37+KFC!$C$37)*KFC!$C$5</f>
        <v>80.599999999999994</v>
      </c>
      <c r="N42" s="81">
        <f>(AH42*KFC!$B$37+KFC!$C$37)*KFC!$C$5</f>
        <v>85.9</v>
      </c>
      <c r="O42" s="81">
        <f>(AI42*KFC!$B$37+KFC!$C$37)*KFC!$C$5</f>
        <v>91.33</v>
      </c>
      <c r="P42" s="81">
        <f>(AJ42*KFC!$B$37+KFC!$C$37)*KFC!$C$5</f>
        <v>96.65</v>
      </c>
      <c r="Q42" s="81">
        <f>(AK42*KFC!$B$37+KFC!$C$37)*KFC!$C$5</f>
        <v>101.97000000000001</v>
      </c>
      <c r="R42" s="81">
        <f>(AL42*KFC!$B$37+KFC!$C$37)*KFC!$C$5</f>
        <v>107.29000000000002</v>
      </c>
      <c r="S42" s="81">
        <f>(AM42*KFC!$B$37+KFC!$C$37)*KFC!$C$5</f>
        <v>112.61000000000003</v>
      </c>
      <c r="T42" s="81">
        <f>(AN42*KFC!$B$37+KFC!$C$37)*KFC!$C$5</f>
        <v>117.93000000000004</v>
      </c>
      <c r="U42" s="81">
        <f>(AO42*KFC!$B$37+KFC!$C$37)*KFC!$C$5</f>
        <v>123.25000000000004</v>
      </c>
      <c r="V42" s="81">
        <f>(AP42*KFC!$B$37+KFC!$C$37)*KFC!$C$5</f>
        <v>128.57000000000005</v>
      </c>
      <c r="X42" s="851">
        <v>0.5</v>
      </c>
      <c r="Y42" s="847">
        <v>37.76</v>
      </c>
      <c r="Z42" s="847">
        <v>43.08</v>
      </c>
      <c r="AA42" s="847">
        <v>48.51</v>
      </c>
      <c r="AB42" s="847">
        <v>53.69</v>
      </c>
      <c r="AC42" s="847">
        <v>59.13</v>
      </c>
      <c r="AD42" s="847">
        <v>64.42</v>
      </c>
      <c r="AE42" s="847">
        <v>69.849999999999994</v>
      </c>
      <c r="AF42" s="847">
        <v>75.16</v>
      </c>
      <c r="AG42" s="847">
        <v>80.599999999999994</v>
      </c>
      <c r="AH42" s="847">
        <v>85.9</v>
      </c>
      <c r="AI42" s="847">
        <v>91.33</v>
      </c>
      <c r="AJ42" s="848">
        <v>96.65</v>
      </c>
      <c r="AK42" s="690">
        <f>AJ42-AI42+AJ42</f>
        <v>101.97000000000001</v>
      </c>
      <c r="AL42" s="690">
        <f t="shared" ref="AL42:AR55" si="4">AK42-AJ42+AK42</f>
        <v>107.29000000000002</v>
      </c>
      <c r="AM42" s="690">
        <f t="shared" si="4"/>
        <v>112.61000000000003</v>
      </c>
      <c r="AN42" s="690">
        <f t="shared" si="4"/>
        <v>117.93000000000004</v>
      </c>
      <c r="AO42" s="690">
        <f t="shared" si="4"/>
        <v>123.25000000000004</v>
      </c>
      <c r="AP42" s="690">
        <f t="shared" si="4"/>
        <v>128.57000000000005</v>
      </c>
      <c r="AQ42" s="690">
        <f t="shared" si="4"/>
        <v>133.89000000000004</v>
      </c>
      <c r="AR42" s="690">
        <f t="shared" si="4"/>
        <v>139.21000000000004</v>
      </c>
    </row>
    <row r="43" spans="1:44">
      <c r="A43" s="1828"/>
      <c r="B43" s="1967"/>
      <c r="C43" s="1968"/>
      <c r="D43" s="262">
        <v>0.6</v>
      </c>
      <c r="E43" s="80">
        <f>(Y43*KFC!$B$37+KFC!$C$37)*KFC!$C$5</f>
        <v>41.11</v>
      </c>
      <c r="F43" s="79">
        <f>(Z43*KFC!$B$37+KFC!$C$37)*KFC!$C$5</f>
        <v>46.9</v>
      </c>
      <c r="G43" s="79">
        <f>(AA43*KFC!$B$37+KFC!$C$37)*KFC!$C$5</f>
        <v>52.83</v>
      </c>
      <c r="H43" s="79">
        <f>(AB43*KFC!$B$37+KFC!$C$37)*KFC!$C$5</f>
        <v>58.75</v>
      </c>
      <c r="I43" s="79">
        <f>(AC43*KFC!$B$37+KFC!$C$37)*KFC!$C$5</f>
        <v>64.56</v>
      </c>
      <c r="J43" s="79">
        <f>(AD43*KFC!$B$37+KFC!$C$37)*KFC!$C$5</f>
        <v>70.47</v>
      </c>
      <c r="K43" s="79">
        <f>(AE43*KFC!$B$37+KFC!$C$37)*KFC!$C$5</f>
        <v>76.400000000000006</v>
      </c>
      <c r="L43" s="79">
        <f>(AF43*KFC!$B$37+KFC!$C$37)*KFC!$C$5</f>
        <v>82.07</v>
      </c>
      <c r="M43" s="79">
        <f>(AG43*KFC!$B$37+KFC!$C$37)*KFC!$C$5</f>
        <v>88</v>
      </c>
      <c r="N43" s="79">
        <f>(AH43*KFC!$B$37+KFC!$C$37)*KFC!$C$5</f>
        <v>93.92</v>
      </c>
      <c r="O43" s="79">
        <f>(AI43*KFC!$B$37+KFC!$C$37)*KFC!$C$5</f>
        <v>99.73</v>
      </c>
      <c r="P43" s="79">
        <f>(AJ43*KFC!$B$37+KFC!$C$37)*KFC!$C$5</f>
        <v>105.64</v>
      </c>
      <c r="Q43" s="79">
        <f>(AK43*KFC!$B$37+KFC!$C$37)*KFC!$C$5</f>
        <v>111.55</v>
      </c>
      <c r="R43" s="79">
        <f>(AL43*KFC!$B$37+KFC!$C$37)*KFC!$C$5</f>
        <v>117.46</v>
      </c>
      <c r="S43" s="79">
        <f>(AM43*KFC!$B$37+KFC!$C$37)*KFC!$C$5</f>
        <v>123.36999999999999</v>
      </c>
      <c r="T43" s="79">
        <f>(AN43*KFC!$B$37+KFC!$C$37)*KFC!$C$5</f>
        <v>129.27999999999997</v>
      </c>
      <c r="U43" s="79">
        <f>(AO43*KFC!$B$37+KFC!$C$37)*KFC!$C$5</f>
        <v>135.18999999999994</v>
      </c>
      <c r="V43" s="79">
        <f>(AP43*KFC!$B$37+KFC!$C$37)*KFC!$C$5</f>
        <v>141.09999999999991</v>
      </c>
      <c r="X43" s="851">
        <v>0.6</v>
      </c>
      <c r="Y43" s="847">
        <v>41.11</v>
      </c>
      <c r="Z43" s="847">
        <v>46.9</v>
      </c>
      <c r="AA43" s="847">
        <v>52.83</v>
      </c>
      <c r="AB43" s="847">
        <v>58.75</v>
      </c>
      <c r="AC43" s="847">
        <v>64.56</v>
      </c>
      <c r="AD43" s="847">
        <v>70.47</v>
      </c>
      <c r="AE43" s="847">
        <v>76.400000000000006</v>
      </c>
      <c r="AF43" s="847">
        <v>82.07</v>
      </c>
      <c r="AG43" s="847">
        <v>88</v>
      </c>
      <c r="AH43" s="847">
        <v>93.92</v>
      </c>
      <c r="AI43" s="847">
        <v>99.73</v>
      </c>
      <c r="AJ43" s="848">
        <v>105.64</v>
      </c>
      <c r="AK43" s="690">
        <f t="shared" ref="AK43:AK55" si="5">AJ43-AI43+AJ43</f>
        <v>111.55</v>
      </c>
      <c r="AL43" s="690">
        <f t="shared" si="4"/>
        <v>117.46</v>
      </c>
      <c r="AM43" s="690">
        <f t="shared" si="4"/>
        <v>123.36999999999999</v>
      </c>
      <c r="AN43" s="690">
        <f t="shared" si="4"/>
        <v>129.27999999999997</v>
      </c>
      <c r="AO43" s="690">
        <f t="shared" si="4"/>
        <v>135.18999999999994</v>
      </c>
      <c r="AP43" s="690">
        <f t="shared" si="4"/>
        <v>141.09999999999991</v>
      </c>
      <c r="AQ43" s="690">
        <f t="shared" si="4"/>
        <v>147.00999999999988</v>
      </c>
      <c r="AR43" s="690">
        <f t="shared" si="4"/>
        <v>152.91999999999985</v>
      </c>
    </row>
    <row r="44" spans="1:44">
      <c r="A44" s="1828"/>
      <c r="B44" s="1967"/>
      <c r="C44" s="1968"/>
      <c r="D44" s="262">
        <v>0.7</v>
      </c>
      <c r="E44" s="80">
        <f>(Y44*KFC!$B$37+KFC!$C$37)*KFC!$C$5</f>
        <v>44.55</v>
      </c>
      <c r="F44" s="79">
        <f>(Z44*KFC!$B$37+KFC!$C$37)*KFC!$C$5</f>
        <v>50.84</v>
      </c>
      <c r="G44" s="79">
        <f>(AA44*KFC!$B$37+KFC!$C$37)*KFC!$C$5</f>
        <v>57.27</v>
      </c>
      <c r="H44" s="79">
        <f>(AB44*KFC!$B$37+KFC!$C$37)*KFC!$C$5</f>
        <v>63.68</v>
      </c>
      <c r="I44" s="79">
        <f>(AC44*KFC!$B$37+KFC!$C$37)*KFC!$C$5</f>
        <v>69.97</v>
      </c>
      <c r="J44" s="79">
        <f>(AD44*KFC!$B$37+KFC!$C$37)*KFC!$C$5</f>
        <v>76.400000000000006</v>
      </c>
      <c r="K44" s="79">
        <f>(AE44*KFC!$B$37+KFC!$C$37)*KFC!$C$5</f>
        <v>82.69</v>
      </c>
      <c r="L44" s="79">
        <f>(AF44*KFC!$B$37+KFC!$C$37)*KFC!$C$5</f>
        <v>89.24</v>
      </c>
      <c r="M44" s="79">
        <f>(AG44*KFC!$B$37+KFC!$C$37)*KFC!$C$5</f>
        <v>95.54</v>
      </c>
      <c r="N44" s="79">
        <f>(AH44*KFC!$B$37+KFC!$C$37)*KFC!$C$5</f>
        <v>101.95</v>
      </c>
      <c r="O44" s="79">
        <f>(AI44*KFC!$B$37+KFC!$C$37)*KFC!$C$5</f>
        <v>108.37</v>
      </c>
      <c r="P44" s="79">
        <f>(AJ44*KFC!$B$37+KFC!$C$37)*KFC!$C$5</f>
        <v>114.66</v>
      </c>
      <c r="Q44" s="79">
        <f>(AK44*KFC!$B$37+KFC!$C$37)*KFC!$C$5</f>
        <v>120.94999999999999</v>
      </c>
      <c r="R44" s="79">
        <f>(AL44*KFC!$B$37+KFC!$C$37)*KFC!$C$5</f>
        <v>127.23999999999998</v>
      </c>
      <c r="S44" s="79">
        <f>(AM44*KFC!$B$37+KFC!$C$37)*KFC!$C$5</f>
        <v>133.52999999999997</v>
      </c>
      <c r="T44" s="79">
        <f>(AN44*KFC!$B$37+KFC!$C$37)*KFC!$C$5</f>
        <v>139.81999999999996</v>
      </c>
      <c r="U44" s="79">
        <f>(AO44*KFC!$B$37+KFC!$C$37)*KFC!$C$5</f>
        <v>146.10999999999996</v>
      </c>
      <c r="V44" s="79">
        <f>(AP44*KFC!$B$37+KFC!$C$37)*KFC!$C$5</f>
        <v>152.39999999999995</v>
      </c>
      <c r="X44" s="851">
        <v>0.7</v>
      </c>
      <c r="Y44" s="847">
        <v>44.55</v>
      </c>
      <c r="Z44" s="847">
        <v>50.84</v>
      </c>
      <c r="AA44" s="847">
        <v>57.27</v>
      </c>
      <c r="AB44" s="847">
        <v>63.68</v>
      </c>
      <c r="AC44" s="847">
        <v>69.97</v>
      </c>
      <c r="AD44" s="847">
        <v>76.400000000000006</v>
      </c>
      <c r="AE44" s="847">
        <v>82.69</v>
      </c>
      <c r="AF44" s="847">
        <v>89.24</v>
      </c>
      <c r="AG44" s="847">
        <v>95.54</v>
      </c>
      <c r="AH44" s="847">
        <v>101.95</v>
      </c>
      <c r="AI44" s="847">
        <v>108.37</v>
      </c>
      <c r="AJ44" s="848">
        <v>114.66</v>
      </c>
      <c r="AK44" s="690">
        <f t="shared" si="5"/>
        <v>120.94999999999999</v>
      </c>
      <c r="AL44" s="690">
        <f t="shared" si="4"/>
        <v>127.23999999999998</v>
      </c>
      <c r="AM44" s="690">
        <f t="shared" si="4"/>
        <v>133.52999999999997</v>
      </c>
      <c r="AN44" s="690">
        <f t="shared" si="4"/>
        <v>139.81999999999996</v>
      </c>
      <c r="AO44" s="690">
        <f t="shared" si="4"/>
        <v>146.10999999999996</v>
      </c>
      <c r="AP44" s="690">
        <f t="shared" si="4"/>
        <v>152.39999999999995</v>
      </c>
      <c r="AQ44" s="690">
        <f t="shared" si="4"/>
        <v>158.68999999999994</v>
      </c>
      <c r="AR44" s="690">
        <f t="shared" si="4"/>
        <v>164.97999999999993</v>
      </c>
    </row>
    <row r="45" spans="1:44">
      <c r="A45" s="1828"/>
      <c r="B45" s="1967"/>
      <c r="C45" s="1968"/>
      <c r="D45" s="262">
        <v>0.8</v>
      </c>
      <c r="E45" s="80">
        <f>(Y45*KFC!$B$37+KFC!$C$37)*KFC!$C$5</f>
        <v>47.89</v>
      </c>
      <c r="F45" s="79">
        <f>(Z45*KFC!$B$37+KFC!$C$37)*KFC!$C$5</f>
        <v>54.8</v>
      </c>
      <c r="G45" s="79">
        <f>(AA45*KFC!$B$37+KFC!$C$37)*KFC!$C$5</f>
        <v>61.59</v>
      </c>
      <c r="H45" s="79">
        <f>(AB45*KFC!$B$37+KFC!$C$37)*KFC!$C$5</f>
        <v>68.5</v>
      </c>
      <c r="I45" s="79">
        <f>(AC45*KFC!$B$37+KFC!$C$37)*KFC!$C$5</f>
        <v>75.53</v>
      </c>
      <c r="J45" s="79">
        <f>(AD45*KFC!$B$37+KFC!$C$37)*KFC!$C$5</f>
        <v>82.45</v>
      </c>
      <c r="K45" s="79">
        <f>(AE45*KFC!$B$37+KFC!$C$37)*KFC!$C$5</f>
        <v>89.24</v>
      </c>
      <c r="L45" s="79">
        <f>(AF45*KFC!$B$37+KFC!$C$37)*KFC!$C$5</f>
        <v>96.15</v>
      </c>
      <c r="M45" s="79">
        <f>(AG45*KFC!$B$37+KFC!$C$37)*KFC!$C$5</f>
        <v>103.06</v>
      </c>
      <c r="N45" s="79">
        <f>(AH45*KFC!$B$37+KFC!$C$37)*KFC!$C$5</f>
        <v>110.09</v>
      </c>
      <c r="O45" s="79">
        <f>(AI45*KFC!$B$37+KFC!$C$37)*KFC!$C$5</f>
        <v>116.88</v>
      </c>
      <c r="P45" s="79">
        <f>(AJ45*KFC!$B$37+KFC!$C$37)*KFC!$C$5</f>
        <v>123.79</v>
      </c>
      <c r="Q45" s="79">
        <f>(AK45*KFC!$B$37+KFC!$C$37)*KFC!$C$5</f>
        <v>130.70000000000002</v>
      </c>
      <c r="R45" s="79">
        <f>(AL45*KFC!$B$37+KFC!$C$37)*KFC!$C$5</f>
        <v>137.61000000000001</v>
      </c>
      <c r="S45" s="79">
        <f>(AM45*KFC!$B$37+KFC!$C$37)*KFC!$C$5</f>
        <v>144.52000000000001</v>
      </c>
      <c r="T45" s="79">
        <f>(AN45*KFC!$B$37+KFC!$C$37)*KFC!$C$5</f>
        <v>151.43</v>
      </c>
      <c r="U45" s="79">
        <f>(AO45*KFC!$B$37+KFC!$C$37)*KFC!$C$5</f>
        <v>158.34</v>
      </c>
      <c r="V45" s="79">
        <f>(AP45*KFC!$B$37+KFC!$C$37)*KFC!$C$5</f>
        <v>165.25</v>
      </c>
      <c r="X45" s="851">
        <v>0.8</v>
      </c>
      <c r="Y45" s="847">
        <v>47.89</v>
      </c>
      <c r="Z45" s="847">
        <v>54.8</v>
      </c>
      <c r="AA45" s="847">
        <v>61.59</v>
      </c>
      <c r="AB45" s="847">
        <v>68.5</v>
      </c>
      <c r="AC45" s="847">
        <v>75.53</v>
      </c>
      <c r="AD45" s="847">
        <v>82.45</v>
      </c>
      <c r="AE45" s="847">
        <v>89.24</v>
      </c>
      <c r="AF45" s="847">
        <v>96.15</v>
      </c>
      <c r="AG45" s="847">
        <v>103.06</v>
      </c>
      <c r="AH45" s="847">
        <v>110.09</v>
      </c>
      <c r="AI45" s="847">
        <v>116.88</v>
      </c>
      <c r="AJ45" s="848">
        <v>123.79</v>
      </c>
      <c r="AK45" s="690">
        <f t="shared" si="5"/>
        <v>130.70000000000002</v>
      </c>
      <c r="AL45" s="690">
        <f t="shared" si="4"/>
        <v>137.61000000000001</v>
      </c>
      <c r="AM45" s="690">
        <f t="shared" si="4"/>
        <v>144.52000000000001</v>
      </c>
      <c r="AN45" s="690">
        <f t="shared" si="4"/>
        <v>151.43</v>
      </c>
      <c r="AO45" s="690">
        <f t="shared" si="4"/>
        <v>158.34</v>
      </c>
      <c r="AP45" s="690">
        <f t="shared" si="4"/>
        <v>165.25</v>
      </c>
      <c r="AQ45" s="690">
        <f t="shared" si="4"/>
        <v>172.16</v>
      </c>
      <c r="AR45" s="690">
        <f t="shared" si="4"/>
        <v>179.07</v>
      </c>
    </row>
    <row r="46" spans="1:44">
      <c r="A46" s="1828"/>
      <c r="B46" s="1967"/>
      <c r="C46" s="1968"/>
      <c r="D46" s="262">
        <v>0.9</v>
      </c>
      <c r="E46" s="80">
        <f>(Y46*KFC!$B$37+KFC!$C$37)*KFC!$C$5</f>
        <v>51.22</v>
      </c>
      <c r="F46" s="79">
        <f>(Z46*KFC!$B$37+KFC!$C$37)*KFC!$C$5</f>
        <v>58.63</v>
      </c>
      <c r="G46" s="79">
        <f>(AA46*KFC!$B$37+KFC!$C$37)*KFC!$C$5</f>
        <v>66.150000000000006</v>
      </c>
      <c r="H46" s="79">
        <f>(AB46*KFC!$B$37+KFC!$C$37)*KFC!$C$5</f>
        <v>73.56</v>
      </c>
      <c r="I46" s="79">
        <f>(AC46*KFC!$B$37+KFC!$C$37)*KFC!$C$5</f>
        <v>80.959999999999994</v>
      </c>
      <c r="J46" s="79">
        <f>(AD46*KFC!$B$37+KFC!$C$37)*KFC!$C$5</f>
        <v>88.24</v>
      </c>
      <c r="K46" s="79">
        <f>(AE46*KFC!$B$37+KFC!$C$37)*KFC!$C$5</f>
        <v>95.66</v>
      </c>
      <c r="L46" s="79">
        <f>(AF46*KFC!$B$37+KFC!$C$37)*KFC!$C$5</f>
        <v>103.06</v>
      </c>
      <c r="M46" s="79">
        <f>(AG46*KFC!$B$37+KFC!$C$37)*KFC!$C$5</f>
        <v>110.58</v>
      </c>
      <c r="N46" s="79">
        <f>(AH46*KFC!$B$37+KFC!$C$37)*KFC!$C$5</f>
        <v>117.99</v>
      </c>
      <c r="O46" s="79">
        <f>(AI46*KFC!$B$37+KFC!$C$37)*KFC!$C$5</f>
        <v>125.39</v>
      </c>
      <c r="P46" s="79">
        <f>(AJ46*KFC!$B$37+KFC!$C$37)*KFC!$C$5</f>
        <v>132.80000000000001</v>
      </c>
      <c r="Q46" s="79">
        <f>(AK46*KFC!$B$37+KFC!$C$37)*KFC!$C$5</f>
        <v>140.21000000000004</v>
      </c>
      <c r="R46" s="79">
        <f>(AL46*KFC!$B$37+KFC!$C$37)*KFC!$C$5</f>
        <v>147.62000000000006</v>
      </c>
      <c r="S46" s="79">
        <f>(AM46*KFC!$B$37+KFC!$C$37)*KFC!$C$5</f>
        <v>155.03000000000009</v>
      </c>
      <c r="T46" s="79">
        <f>(AN46*KFC!$B$37+KFC!$C$37)*KFC!$C$5</f>
        <v>162.44000000000011</v>
      </c>
      <c r="U46" s="79">
        <f>(AO46*KFC!$B$37+KFC!$C$37)*KFC!$C$5</f>
        <v>169.85000000000014</v>
      </c>
      <c r="V46" s="79">
        <f>(AP46*KFC!$B$37+KFC!$C$37)*KFC!$C$5</f>
        <v>177.26000000000016</v>
      </c>
      <c r="X46" s="851">
        <v>0.9</v>
      </c>
      <c r="Y46" s="847">
        <v>51.22</v>
      </c>
      <c r="Z46" s="847">
        <v>58.63</v>
      </c>
      <c r="AA46" s="847">
        <v>66.150000000000006</v>
      </c>
      <c r="AB46" s="847">
        <v>73.56</v>
      </c>
      <c r="AC46" s="847">
        <v>80.959999999999994</v>
      </c>
      <c r="AD46" s="847">
        <v>88.24</v>
      </c>
      <c r="AE46" s="847">
        <v>95.66</v>
      </c>
      <c r="AF46" s="847">
        <v>103.06</v>
      </c>
      <c r="AG46" s="847">
        <v>110.58</v>
      </c>
      <c r="AH46" s="847">
        <v>117.99</v>
      </c>
      <c r="AI46" s="847">
        <v>125.39</v>
      </c>
      <c r="AJ46" s="848">
        <v>132.80000000000001</v>
      </c>
      <c r="AK46" s="690">
        <f t="shared" si="5"/>
        <v>140.21000000000004</v>
      </c>
      <c r="AL46" s="690">
        <f t="shared" si="4"/>
        <v>147.62000000000006</v>
      </c>
      <c r="AM46" s="690">
        <f t="shared" si="4"/>
        <v>155.03000000000009</v>
      </c>
      <c r="AN46" s="690">
        <f t="shared" si="4"/>
        <v>162.44000000000011</v>
      </c>
      <c r="AO46" s="690">
        <f t="shared" si="4"/>
        <v>169.85000000000014</v>
      </c>
      <c r="AP46" s="690">
        <f t="shared" si="4"/>
        <v>177.26000000000016</v>
      </c>
      <c r="AQ46" s="690">
        <f t="shared" si="4"/>
        <v>184.67000000000019</v>
      </c>
      <c r="AR46" s="690">
        <f t="shared" si="4"/>
        <v>192.08000000000021</v>
      </c>
    </row>
    <row r="47" spans="1:44">
      <c r="A47" s="1828"/>
      <c r="B47" s="1967"/>
      <c r="C47" s="1968"/>
      <c r="D47" s="262">
        <v>1</v>
      </c>
      <c r="E47" s="80">
        <f>(Y47*KFC!$B$37+KFC!$C$37)*KFC!$C$5</f>
        <v>54.68</v>
      </c>
      <c r="F47" s="79">
        <f>(Z47*KFC!$B$37+KFC!$C$37)*KFC!$C$5</f>
        <v>62.45</v>
      </c>
      <c r="G47" s="79">
        <f>(AA47*KFC!$B$37+KFC!$C$37)*KFC!$C$5</f>
        <v>70.47</v>
      </c>
      <c r="H47" s="79">
        <f>(AB47*KFC!$B$37+KFC!$C$37)*KFC!$C$5</f>
        <v>78.38</v>
      </c>
      <c r="I47" s="79">
        <f>(AC47*KFC!$B$37+KFC!$C$37)*KFC!$C$5</f>
        <v>86.39</v>
      </c>
      <c r="J47" s="79">
        <f>(AD47*KFC!$B$37+KFC!$C$37)*KFC!$C$5</f>
        <v>94.17</v>
      </c>
      <c r="K47" s="79">
        <f>(AE47*KFC!$B$37+KFC!$C$37)*KFC!$C$5</f>
        <v>102.2</v>
      </c>
      <c r="L47" s="79">
        <f>(AF47*KFC!$B$37+KFC!$C$37)*KFC!$C$5</f>
        <v>110.22</v>
      </c>
      <c r="M47" s="79">
        <f>(AG47*KFC!$B$37+KFC!$C$37)*KFC!$C$5</f>
        <v>117.99</v>
      </c>
      <c r="N47" s="79">
        <f>(AH47*KFC!$B$37+KFC!$C$37)*KFC!$C$5</f>
        <v>126.01</v>
      </c>
      <c r="O47" s="79">
        <f>(AI47*KFC!$B$37+KFC!$C$37)*KFC!$C$5</f>
        <v>133.91</v>
      </c>
      <c r="P47" s="79">
        <f>(AJ47*KFC!$B$37+KFC!$C$37)*KFC!$C$5</f>
        <v>141.93</v>
      </c>
      <c r="Q47" s="79">
        <f>(AK47*KFC!$B$37+KFC!$C$37)*KFC!$C$5</f>
        <v>149.95000000000002</v>
      </c>
      <c r="R47" s="79">
        <f>(AL47*KFC!$B$37+KFC!$C$37)*KFC!$C$5</f>
        <v>157.97000000000003</v>
      </c>
      <c r="S47" s="79">
        <f>(AM47*KFC!$B$37+KFC!$C$37)*KFC!$C$5</f>
        <v>165.99000000000004</v>
      </c>
      <c r="T47" s="79">
        <f>(AN47*KFC!$B$37+KFC!$C$37)*KFC!$C$5</f>
        <v>174.01000000000005</v>
      </c>
      <c r="U47" s="79">
        <f>(AO47*KFC!$B$37+KFC!$C$37)*KFC!$C$5</f>
        <v>182.03000000000006</v>
      </c>
      <c r="V47" s="79">
        <f>(AP47*KFC!$B$37+KFC!$C$37)*KFC!$C$5</f>
        <v>190.05000000000007</v>
      </c>
      <c r="X47" s="851">
        <v>1</v>
      </c>
      <c r="Y47" s="847">
        <v>54.68</v>
      </c>
      <c r="Z47" s="847">
        <v>62.45</v>
      </c>
      <c r="AA47" s="847">
        <v>70.47</v>
      </c>
      <c r="AB47" s="847">
        <v>78.38</v>
      </c>
      <c r="AC47" s="847">
        <v>86.39</v>
      </c>
      <c r="AD47" s="847">
        <v>94.17</v>
      </c>
      <c r="AE47" s="847">
        <v>102.2</v>
      </c>
      <c r="AF47" s="847">
        <v>110.22</v>
      </c>
      <c r="AG47" s="847">
        <v>117.99</v>
      </c>
      <c r="AH47" s="847">
        <v>126.01</v>
      </c>
      <c r="AI47" s="847">
        <v>133.91</v>
      </c>
      <c r="AJ47" s="848">
        <v>141.93</v>
      </c>
      <c r="AK47" s="690">
        <f t="shared" si="5"/>
        <v>149.95000000000002</v>
      </c>
      <c r="AL47" s="690">
        <f t="shared" si="4"/>
        <v>157.97000000000003</v>
      </c>
      <c r="AM47" s="690">
        <f t="shared" si="4"/>
        <v>165.99000000000004</v>
      </c>
      <c r="AN47" s="690">
        <f t="shared" si="4"/>
        <v>174.01000000000005</v>
      </c>
      <c r="AO47" s="690">
        <f t="shared" si="4"/>
        <v>182.03000000000006</v>
      </c>
      <c r="AP47" s="690">
        <f t="shared" si="4"/>
        <v>190.05000000000007</v>
      </c>
      <c r="AQ47" s="690">
        <f t="shared" si="4"/>
        <v>198.07000000000008</v>
      </c>
      <c r="AR47" s="690">
        <f t="shared" si="4"/>
        <v>206.09000000000009</v>
      </c>
    </row>
    <row r="48" spans="1:44">
      <c r="A48" s="1828"/>
      <c r="B48" s="1967"/>
      <c r="C48" s="1968"/>
      <c r="D48" s="262">
        <v>1.1000000000000001</v>
      </c>
      <c r="E48" s="80">
        <f>(Y48*KFC!$B$37+KFC!$C$37)*KFC!$C$5</f>
        <v>58</v>
      </c>
      <c r="F48" s="79">
        <f>(Z48*KFC!$B$37+KFC!$C$37)*KFC!$C$5</f>
        <v>66.41</v>
      </c>
      <c r="G48" s="79">
        <f>(AA48*KFC!$B$37+KFC!$C$37)*KFC!$C$5</f>
        <v>74.91</v>
      </c>
      <c r="H48" s="79">
        <f>(AB48*KFC!$B$37+KFC!$C$37)*KFC!$C$5</f>
        <v>83.31</v>
      </c>
      <c r="I48" s="79">
        <f>(AC48*KFC!$B$37+KFC!$C$37)*KFC!$C$5</f>
        <v>91.83</v>
      </c>
      <c r="J48" s="79">
        <f>(AD48*KFC!$B$37+KFC!$C$37)*KFC!$C$5</f>
        <v>100.21</v>
      </c>
      <c r="K48" s="79">
        <f>(AE48*KFC!$B$37+KFC!$C$37)*KFC!$C$5</f>
        <v>108.74</v>
      </c>
      <c r="L48" s="79">
        <f>(AF48*KFC!$B$37+KFC!$C$37)*KFC!$C$5</f>
        <v>117.13</v>
      </c>
      <c r="M48" s="79">
        <f>(AG48*KFC!$B$37+KFC!$C$37)*KFC!$C$5</f>
        <v>125.64</v>
      </c>
      <c r="N48" s="79">
        <f>(AH48*KFC!$B$37+KFC!$C$37)*KFC!$C$5</f>
        <v>134.04</v>
      </c>
      <c r="O48" s="79">
        <f>(AI48*KFC!$B$37+KFC!$C$37)*KFC!$C$5</f>
        <v>142.55000000000001</v>
      </c>
      <c r="P48" s="79">
        <f>(AJ48*KFC!$B$37+KFC!$C$37)*KFC!$C$5</f>
        <v>150.94999999999999</v>
      </c>
      <c r="Q48" s="79">
        <f>(AK48*KFC!$B$37+KFC!$C$37)*KFC!$C$5</f>
        <v>159.34999999999997</v>
      </c>
      <c r="R48" s="79">
        <f>(AL48*KFC!$B$37+KFC!$C$37)*KFC!$C$5</f>
        <v>167.74999999999994</v>
      </c>
      <c r="S48" s="79">
        <f>(AM48*KFC!$B$37+KFC!$C$37)*KFC!$C$5</f>
        <v>176.14999999999992</v>
      </c>
      <c r="T48" s="79">
        <f>(AN48*KFC!$B$37+KFC!$C$37)*KFC!$C$5</f>
        <v>184.5499999999999</v>
      </c>
      <c r="U48" s="79">
        <f>(AO48*KFC!$B$37+KFC!$C$37)*KFC!$C$5</f>
        <v>192.94999999999987</v>
      </c>
      <c r="V48" s="79">
        <f>(AP48*KFC!$B$37+KFC!$C$37)*KFC!$C$5</f>
        <v>201.34999999999985</v>
      </c>
      <c r="X48" s="851">
        <v>1.1000000000000001</v>
      </c>
      <c r="Y48" s="847">
        <v>58</v>
      </c>
      <c r="Z48" s="847">
        <v>66.41</v>
      </c>
      <c r="AA48" s="847">
        <v>74.91</v>
      </c>
      <c r="AB48" s="847">
        <v>83.31</v>
      </c>
      <c r="AC48" s="847">
        <v>91.83</v>
      </c>
      <c r="AD48" s="847">
        <v>100.21</v>
      </c>
      <c r="AE48" s="847">
        <v>108.74</v>
      </c>
      <c r="AF48" s="847">
        <v>117.13</v>
      </c>
      <c r="AG48" s="847">
        <v>125.64</v>
      </c>
      <c r="AH48" s="847">
        <v>134.04</v>
      </c>
      <c r="AI48" s="847">
        <v>142.55000000000001</v>
      </c>
      <c r="AJ48" s="848">
        <v>150.94999999999999</v>
      </c>
      <c r="AK48" s="690">
        <f t="shared" si="5"/>
        <v>159.34999999999997</v>
      </c>
      <c r="AL48" s="690">
        <f t="shared" si="4"/>
        <v>167.74999999999994</v>
      </c>
      <c r="AM48" s="690">
        <f t="shared" si="4"/>
        <v>176.14999999999992</v>
      </c>
      <c r="AN48" s="690">
        <f t="shared" si="4"/>
        <v>184.5499999999999</v>
      </c>
      <c r="AO48" s="690">
        <f t="shared" si="4"/>
        <v>192.94999999999987</v>
      </c>
      <c r="AP48" s="690">
        <f t="shared" si="4"/>
        <v>201.34999999999985</v>
      </c>
      <c r="AQ48" s="690">
        <f t="shared" si="4"/>
        <v>209.74999999999983</v>
      </c>
      <c r="AR48" s="690">
        <f t="shared" si="4"/>
        <v>218.14999999999981</v>
      </c>
    </row>
    <row r="49" spans="1:44">
      <c r="A49" s="1828"/>
      <c r="B49" s="1967"/>
      <c r="C49" s="1968"/>
      <c r="D49" s="262">
        <v>1.2</v>
      </c>
      <c r="E49" s="80">
        <f>(Y49*KFC!$B$37+KFC!$C$37)*KFC!$C$5</f>
        <v>61.34</v>
      </c>
      <c r="F49" s="79">
        <f>(Z49*KFC!$B$37+KFC!$C$37)*KFC!$C$5</f>
        <v>70.349999999999994</v>
      </c>
      <c r="G49" s="79">
        <f>(AA49*KFC!$B$37+KFC!$C$37)*KFC!$C$5</f>
        <v>79.23</v>
      </c>
      <c r="H49" s="79">
        <f>(AB49*KFC!$B$37+KFC!$C$37)*KFC!$C$5</f>
        <v>88.12</v>
      </c>
      <c r="I49" s="79">
        <f>(AC49*KFC!$B$37+KFC!$C$37)*KFC!$C$5</f>
        <v>97.26</v>
      </c>
      <c r="J49" s="79">
        <f>(AD49*KFC!$B$37+KFC!$C$37)*KFC!$C$5</f>
        <v>106.14</v>
      </c>
      <c r="K49" s="79">
        <f>(AE49*KFC!$B$37+KFC!$C$37)*KFC!$C$5</f>
        <v>115.16</v>
      </c>
      <c r="L49" s="79">
        <f>(AF49*KFC!$B$37+KFC!$C$37)*KFC!$C$5</f>
        <v>124.04</v>
      </c>
      <c r="M49" s="79">
        <f>(AG49*KFC!$B$37+KFC!$C$37)*KFC!$C$5</f>
        <v>133.18</v>
      </c>
      <c r="N49" s="79">
        <f>(AH49*KFC!$B$37+KFC!$C$37)*KFC!$C$5</f>
        <v>142.05000000000001</v>
      </c>
      <c r="O49" s="79">
        <f>(AI49*KFC!$B$37+KFC!$C$37)*KFC!$C$5</f>
        <v>151.07</v>
      </c>
      <c r="P49" s="79">
        <f>(AJ49*KFC!$B$37+KFC!$C$37)*KFC!$C$5</f>
        <v>159.94999999999999</v>
      </c>
      <c r="Q49" s="79">
        <f>(AK49*KFC!$B$37+KFC!$C$37)*KFC!$C$5</f>
        <v>168.82999999999998</v>
      </c>
      <c r="R49" s="79">
        <f>(AL49*KFC!$B$37+KFC!$C$37)*KFC!$C$5</f>
        <v>177.70999999999998</v>
      </c>
      <c r="S49" s="79">
        <f>(AM49*KFC!$B$37+KFC!$C$37)*KFC!$C$5</f>
        <v>186.58999999999997</v>
      </c>
      <c r="T49" s="79">
        <f>(AN49*KFC!$B$37+KFC!$C$37)*KFC!$C$5</f>
        <v>195.46999999999997</v>
      </c>
      <c r="U49" s="79">
        <f>(AO49*KFC!$B$37+KFC!$C$37)*KFC!$C$5</f>
        <v>204.34999999999997</v>
      </c>
      <c r="V49" s="79">
        <f>(AP49*KFC!$B$37+KFC!$C$37)*KFC!$C$5</f>
        <v>213.22999999999996</v>
      </c>
      <c r="X49" s="851">
        <v>1.2</v>
      </c>
      <c r="Y49" s="847">
        <v>61.34</v>
      </c>
      <c r="Z49" s="847">
        <v>70.349999999999994</v>
      </c>
      <c r="AA49" s="847">
        <v>79.23</v>
      </c>
      <c r="AB49" s="847">
        <v>88.12</v>
      </c>
      <c r="AC49" s="847">
        <v>97.26</v>
      </c>
      <c r="AD49" s="847">
        <v>106.14</v>
      </c>
      <c r="AE49" s="847">
        <v>115.16</v>
      </c>
      <c r="AF49" s="847">
        <v>124.04</v>
      </c>
      <c r="AG49" s="847">
        <v>133.18</v>
      </c>
      <c r="AH49" s="847">
        <v>142.05000000000001</v>
      </c>
      <c r="AI49" s="847">
        <v>151.07</v>
      </c>
      <c r="AJ49" s="848">
        <v>159.94999999999999</v>
      </c>
      <c r="AK49" s="690">
        <f t="shared" si="5"/>
        <v>168.82999999999998</v>
      </c>
      <c r="AL49" s="690">
        <f t="shared" si="4"/>
        <v>177.70999999999998</v>
      </c>
      <c r="AM49" s="690">
        <f t="shared" si="4"/>
        <v>186.58999999999997</v>
      </c>
      <c r="AN49" s="690">
        <f t="shared" si="4"/>
        <v>195.46999999999997</v>
      </c>
      <c r="AO49" s="690">
        <f t="shared" si="4"/>
        <v>204.34999999999997</v>
      </c>
      <c r="AP49" s="690">
        <f t="shared" si="4"/>
        <v>213.22999999999996</v>
      </c>
      <c r="AQ49" s="690">
        <f t="shared" si="4"/>
        <v>222.10999999999996</v>
      </c>
      <c r="AR49" s="690">
        <f t="shared" si="4"/>
        <v>230.98999999999995</v>
      </c>
    </row>
    <row r="50" spans="1:44">
      <c r="A50" s="1828"/>
      <c r="B50" s="1967"/>
      <c r="C50" s="1968"/>
      <c r="D50" s="262">
        <v>1.3</v>
      </c>
      <c r="E50" s="80">
        <f>(Y50*KFC!$B$37+KFC!$C$37)*KFC!$C$5</f>
        <v>64.56</v>
      </c>
      <c r="F50" s="79">
        <f>(Z50*KFC!$B$37+KFC!$C$37)*KFC!$C$5</f>
        <v>74.05</v>
      </c>
      <c r="G50" s="79">
        <f>(AA50*KFC!$B$37+KFC!$C$37)*KFC!$C$5</f>
        <v>83.69</v>
      </c>
      <c r="H50" s="79">
        <f>(AB50*KFC!$B$37+KFC!$C$37)*KFC!$C$5</f>
        <v>93.18</v>
      </c>
      <c r="I50" s="79">
        <f>(AC50*KFC!$B$37+KFC!$C$37)*KFC!$C$5</f>
        <v>102.69</v>
      </c>
      <c r="J50" s="79">
        <f>(AD50*KFC!$B$37+KFC!$C$37)*KFC!$C$5</f>
        <v>112.19</v>
      </c>
      <c r="K50" s="79">
        <f>(AE50*KFC!$B$37+KFC!$C$37)*KFC!$C$5</f>
        <v>121.69</v>
      </c>
      <c r="L50" s="79">
        <f>(AF50*KFC!$B$37+KFC!$C$37)*KFC!$C$5</f>
        <v>131.19999999999999</v>
      </c>
      <c r="M50" s="79">
        <f>(AG50*KFC!$B$37+KFC!$C$37)*KFC!$C$5</f>
        <v>140.58000000000001</v>
      </c>
      <c r="N50" s="79">
        <f>(AH50*KFC!$B$37+KFC!$C$37)*KFC!$C$5</f>
        <v>150.07</v>
      </c>
      <c r="O50" s="79">
        <f>(AI50*KFC!$B$37+KFC!$C$37)*KFC!$C$5</f>
        <v>159.59</v>
      </c>
      <c r="P50" s="79">
        <f>(AJ50*KFC!$B$37+KFC!$C$37)*KFC!$C$5</f>
        <v>169.08</v>
      </c>
      <c r="Q50" s="79">
        <f>(AK50*KFC!$B$37+KFC!$C$37)*KFC!$C$5</f>
        <v>178.57000000000002</v>
      </c>
      <c r="R50" s="79">
        <f>(AL50*KFC!$B$37+KFC!$C$37)*KFC!$C$5</f>
        <v>188.06000000000003</v>
      </c>
      <c r="S50" s="79">
        <f>(AM50*KFC!$B$37+KFC!$C$37)*KFC!$C$5</f>
        <v>197.55000000000004</v>
      </c>
      <c r="T50" s="79">
        <f>(AN50*KFC!$B$37+KFC!$C$37)*KFC!$C$5</f>
        <v>207.04000000000005</v>
      </c>
      <c r="U50" s="79">
        <f>(AO50*KFC!$B$37+KFC!$C$37)*KFC!$C$5</f>
        <v>216.53000000000006</v>
      </c>
      <c r="V50" s="79">
        <f>(AP50*KFC!$B$37+KFC!$C$37)*KFC!$C$5</f>
        <v>226.02000000000007</v>
      </c>
      <c r="X50" s="851">
        <v>1.3</v>
      </c>
      <c r="Y50" s="847">
        <v>64.56</v>
      </c>
      <c r="Z50" s="847">
        <v>74.05</v>
      </c>
      <c r="AA50" s="847">
        <v>83.69</v>
      </c>
      <c r="AB50" s="847">
        <v>93.18</v>
      </c>
      <c r="AC50" s="847">
        <v>102.69</v>
      </c>
      <c r="AD50" s="847">
        <v>112.19</v>
      </c>
      <c r="AE50" s="847">
        <v>121.69</v>
      </c>
      <c r="AF50" s="847">
        <v>131.19999999999999</v>
      </c>
      <c r="AG50" s="847">
        <v>140.58000000000001</v>
      </c>
      <c r="AH50" s="847">
        <v>150.07</v>
      </c>
      <c r="AI50" s="847">
        <v>159.59</v>
      </c>
      <c r="AJ50" s="848">
        <v>169.08</v>
      </c>
      <c r="AK50" s="690">
        <f t="shared" si="5"/>
        <v>178.57000000000002</v>
      </c>
      <c r="AL50" s="690">
        <f t="shared" si="4"/>
        <v>188.06000000000003</v>
      </c>
      <c r="AM50" s="690">
        <f t="shared" si="4"/>
        <v>197.55000000000004</v>
      </c>
      <c r="AN50" s="690">
        <f t="shared" si="4"/>
        <v>207.04000000000005</v>
      </c>
      <c r="AO50" s="690">
        <f t="shared" si="4"/>
        <v>216.53000000000006</v>
      </c>
      <c r="AP50" s="690">
        <f t="shared" si="4"/>
        <v>226.02000000000007</v>
      </c>
      <c r="AQ50" s="690">
        <f t="shared" si="4"/>
        <v>235.51000000000008</v>
      </c>
      <c r="AR50" s="690">
        <f t="shared" si="4"/>
        <v>245.00000000000009</v>
      </c>
    </row>
    <row r="51" spans="1:44">
      <c r="A51" s="1828"/>
      <c r="B51" s="1967"/>
      <c r="C51" s="1968"/>
      <c r="D51" s="262">
        <v>1.4</v>
      </c>
      <c r="E51" s="80">
        <f>(Y51*KFC!$B$37+KFC!$C$37)*KFC!$C$5</f>
        <v>68.12</v>
      </c>
      <c r="F51" s="79">
        <f>(Z51*KFC!$B$37+KFC!$C$37)*KFC!$C$5</f>
        <v>78</v>
      </c>
      <c r="G51" s="79">
        <f>(AA51*KFC!$B$37+KFC!$C$37)*KFC!$C$5</f>
        <v>88</v>
      </c>
      <c r="H51" s="79">
        <f>(AB51*KFC!$B$37+KFC!$C$37)*KFC!$C$5</f>
        <v>98.12</v>
      </c>
      <c r="I51" s="79">
        <f>(AC51*KFC!$B$37+KFC!$C$37)*KFC!$C$5</f>
        <v>108.12</v>
      </c>
      <c r="J51" s="79">
        <f>(AD51*KFC!$B$37+KFC!$C$37)*KFC!$C$5</f>
        <v>117.99</v>
      </c>
      <c r="K51" s="79">
        <f>(AE51*KFC!$B$37+KFC!$C$37)*KFC!$C$5</f>
        <v>128.12</v>
      </c>
      <c r="L51" s="79">
        <f>(AF51*KFC!$B$37+KFC!$C$37)*KFC!$C$5</f>
        <v>138.11000000000001</v>
      </c>
      <c r="M51" s="79">
        <f>(AG51*KFC!$B$37+KFC!$C$37)*KFC!$C$5</f>
        <v>148.1</v>
      </c>
      <c r="N51" s="79">
        <f>(AH51*KFC!$B$37+KFC!$C$37)*KFC!$C$5</f>
        <v>157.97999999999999</v>
      </c>
      <c r="O51" s="79">
        <f>(AI51*KFC!$B$37+KFC!$C$37)*KFC!$C$5</f>
        <v>168.09</v>
      </c>
      <c r="P51" s="79">
        <f>(AJ51*KFC!$B$37+KFC!$C$37)*KFC!$C$5</f>
        <v>178.1</v>
      </c>
      <c r="Q51" s="79">
        <f>(AK51*KFC!$B$37+KFC!$C$37)*KFC!$C$5</f>
        <v>188.10999999999999</v>
      </c>
      <c r="R51" s="79">
        <f>(AL51*KFC!$B$37+KFC!$C$37)*KFC!$C$5</f>
        <v>198.11999999999998</v>
      </c>
      <c r="S51" s="79">
        <f>(AM51*KFC!$B$37+KFC!$C$37)*KFC!$C$5</f>
        <v>208.12999999999997</v>
      </c>
      <c r="T51" s="79">
        <f>(AN51*KFC!$B$37+KFC!$C$37)*KFC!$C$5</f>
        <v>218.13999999999996</v>
      </c>
      <c r="U51" s="79">
        <f>(AO51*KFC!$B$37+KFC!$C$37)*KFC!$C$5</f>
        <v>228.14999999999995</v>
      </c>
      <c r="V51" s="79">
        <f>(AP51*KFC!$B$37+KFC!$C$37)*KFC!$C$5</f>
        <v>238.15999999999994</v>
      </c>
      <c r="X51" s="851">
        <v>1.4</v>
      </c>
      <c r="Y51" s="847">
        <v>68.12</v>
      </c>
      <c r="Z51" s="847">
        <v>78</v>
      </c>
      <c r="AA51" s="847">
        <v>88</v>
      </c>
      <c r="AB51" s="847">
        <v>98.12</v>
      </c>
      <c r="AC51" s="847">
        <v>108.12</v>
      </c>
      <c r="AD51" s="847">
        <v>117.99</v>
      </c>
      <c r="AE51" s="847">
        <v>128.12</v>
      </c>
      <c r="AF51" s="847">
        <v>138.11000000000001</v>
      </c>
      <c r="AG51" s="847">
        <v>148.1</v>
      </c>
      <c r="AH51" s="847">
        <v>157.97999999999999</v>
      </c>
      <c r="AI51" s="847">
        <v>168.09</v>
      </c>
      <c r="AJ51" s="848">
        <v>178.1</v>
      </c>
      <c r="AK51" s="690">
        <f t="shared" si="5"/>
        <v>188.10999999999999</v>
      </c>
      <c r="AL51" s="690">
        <f t="shared" si="4"/>
        <v>198.11999999999998</v>
      </c>
      <c r="AM51" s="690">
        <f t="shared" si="4"/>
        <v>208.12999999999997</v>
      </c>
      <c r="AN51" s="690">
        <f t="shared" si="4"/>
        <v>218.13999999999996</v>
      </c>
      <c r="AO51" s="690">
        <f t="shared" si="4"/>
        <v>228.14999999999995</v>
      </c>
      <c r="AP51" s="690">
        <f t="shared" si="4"/>
        <v>238.15999999999994</v>
      </c>
      <c r="AQ51" s="690">
        <f t="shared" si="4"/>
        <v>248.16999999999993</v>
      </c>
      <c r="AR51" s="690">
        <f t="shared" si="4"/>
        <v>258.17999999999995</v>
      </c>
    </row>
    <row r="52" spans="1:44">
      <c r="A52" s="1828"/>
      <c r="B52" s="1967"/>
      <c r="C52" s="1968"/>
      <c r="D52" s="262">
        <v>1.5</v>
      </c>
      <c r="E52" s="80">
        <f>(Y52*KFC!$B$37+KFC!$C$37)*KFC!$C$5</f>
        <v>71.349999999999994</v>
      </c>
      <c r="F52" s="79">
        <f>(Z52*KFC!$B$37+KFC!$C$37)*KFC!$C$5</f>
        <v>81.95</v>
      </c>
      <c r="G52" s="79">
        <f>(AA52*KFC!$B$37+KFC!$C$37)*KFC!$C$5</f>
        <v>92.57</v>
      </c>
      <c r="H52" s="79">
        <f>(AB52*KFC!$B$37+KFC!$C$37)*KFC!$C$5</f>
        <v>102.94</v>
      </c>
      <c r="I52" s="79">
        <f>(AC52*KFC!$B$37+KFC!$C$37)*KFC!$C$5</f>
        <v>113.54</v>
      </c>
      <c r="J52" s="79">
        <f>(AD52*KFC!$B$37+KFC!$C$37)*KFC!$C$5</f>
        <v>124.04</v>
      </c>
      <c r="K52" s="79">
        <f>(AE52*KFC!$B$37+KFC!$C$37)*KFC!$C$5</f>
        <v>134.53</v>
      </c>
      <c r="L52" s="79">
        <f>(AF52*KFC!$B$37+KFC!$C$37)*KFC!$C$5</f>
        <v>145.02000000000001</v>
      </c>
      <c r="M52" s="79">
        <f>(AG52*KFC!$B$37+KFC!$C$37)*KFC!$C$5</f>
        <v>155.63</v>
      </c>
      <c r="N52" s="79">
        <f>(AH52*KFC!$B$37+KFC!$C$37)*KFC!$C$5</f>
        <v>166.24</v>
      </c>
      <c r="O52" s="79">
        <f>(AI52*KFC!$B$37+KFC!$C$37)*KFC!$C$5</f>
        <v>176.62</v>
      </c>
      <c r="P52" s="79">
        <f>(AJ52*KFC!$B$37+KFC!$C$37)*KFC!$C$5</f>
        <v>187.22</v>
      </c>
      <c r="Q52" s="79">
        <f>(AK52*KFC!$B$37+KFC!$C$37)*KFC!$C$5</f>
        <v>197.82</v>
      </c>
      <c r="R52" s="79">
        <f>(AL52*KFC!$B$37+KFC!$C$37)*KFC!$C$5</f>
        <v>208.42</v>
      </c>
      <c r="S52" s="79">
        <f>(AM52*KFC!$B$37+KFC!$C$37)*KFC!$C$5</f>
        <v>219.01999999999998</v>
      </c>
      <c r="T52" s="79">
        <f>(AN52*KFC!$B$37+KFC!$C$37)*KFC!$C$5</f>
        <v>229.61999999999998</v>
      </c>
      <c r="U52" s="79">
        <f>(AO52*KFC!$B$37+KFC!$C$37)*KFC!$C$5</f>
        <v>240.21999999999997</v>
      </c>
      <c r="V52" s="79">
        <f>(AP52*KFC!$B$37+KFC!$C$37)*KFC!$C$5</f>
        <v>250.81999999999996</v>
      </c>
      <c r="X52" s="851">
        <v>1.5</v>
      </c>
      <c r="Y52" s="847">
        <v>71.349999999999994</v>
      </c>
      <c r="Z52" s="847">
        <v>81.95</v>
      </c>
      <c r="AA52" s="847">
        <v>92.57</v>
      </c>
      <c r="AB52" s="847">
        <v>102.94</v>
      </c>
      <c r="AC52" s="847">
        <v>113.54</v>
      </c>
      <c r="AD52" s="847">
        <v>124.04</v>
      </c>
      <c r="AE52" s="847">
        <v>134.53</v>
      </c>
      <c r="AF52" s="847">
        <v>145.02000000000001</v>
      </c>
      <c r="AG52" s="847">
        <v>155.63</v>
      </c>
      <c r="AH52" s="847">
        <v>166.24</v>
      </c>
      <c r="AI52" s="847">
        <v>176.62</v>
      </c>
      <c r="AJ52" s="848">
        <v>187.22</v>
      </c>
      <c r="AK52" s="690">
        <f t="shared" si="5"/>
        <v>197.82</v>
      </c>
      <c r="AL52" s="690">
        <f t="shared" si="4"/>
        <v>208.42</v>
      </c>
      <c r="AM52" s="690">
        <f t="shared" si="4"/>
        <v>219.01999999999998</v>
      </c>
      <c r="AN52" s="690">
        <f t="shared" si="4"/>
        <v>229.61999999999998</v>
      </c>
      <c r="AO52" s="690">
        <f t="shared" si="4"/>
        <v>240.21999999999997</v>
      </c>
      <c r="AP52" s="690">
        <f t="shared" si="4"/>
        <v>250.81999999999996</v>
      </c>
      <c r="AQ52" s="690">
        <f t="shared" si="4"/>
        <v>261.41999999999996</v>
      </c>
      <c r="AR52" s="690">
        <f t="shared" si="4"/>
        <v>272.02</v>
      </c>
    </row>
    <row r="53" spans="1:44">
      <c r="A53" s="1828"/>
      <c r="B53" s="1967"/>
      <c r="C53" s="1968"/>
      <c r="D53" s="262">
        <v>1.6</v>
      </c>
      <c r="E53" s="80">
        <f>(Y53*KFC!$B$37+KFC!$C$37)*KFC!$C$5</f>
        <v>74.67</v>
      </c>
      <c r="F53" s="79">
        <f>(Z53*KFC!$B$37+KFC!$C$37)*KFC!$C$5</f>
        <v>85.9</v>
      </c>
      <c r="G53" s="79">
        <f>(AA53*KFC!$B$37+KFC!$C$37)*KFC!$C$5</f>
        <v>96.89</v>
      </c>
      <c r="H53" s="79">
        <f>(AB53*KFC!$B$37+KFC!$C$37)*KFC!$C$5</f>
        <v>107.88</v>
      </c>
      <c r="I53" s="79">
        <f>(AC53*KFC!$B$37+KFC!$C$37)*KFC!$C$5</f>
        <v>118.98</v>
      </c>
      <c r="J53" s="79">
        <f>(AD53*KFC!$B$37+KFC!$C$37)*KFC!$C$5</f>
        <v>129.97</v>
      </c>
      <c r="K53" s="79">
        <f>(AE53*KFC!$B$37+KFC!$C$37)*KFC!$C$5</f>
        <v>140.94</v>
      </c>
      <c r="L53" s="79">
        <f>(AF53*KFC!$B$37+KFC!$C$37)*KFC!$C$5</f>
        <v>152.05000000000001</v>
      </c>
      <c r="M53" s="79">
        <f>(AG53*KFC!$B$37+KFC!$C$37)*KFC!$C$5</f>
        <v>163.15</v>
      </c>
      <c r="N53" s="79">
        <f>(AH53*KFC!$B$37+KFC!$C$37)*KFC!$C$5</f>
        <v>174.14</v>
      </c>
      <c r="O53" s="79">
        <f>(AI53*KFC!$B$37+KFC!$C$37)*KFC!$C$5</f>
        <v>185.25</v>
      </c>
      <c r="P53" s="79">
        <f>(AJ53*KFC!$B$37+KFC!$C$37)*KFC!$C$5</f>
        <v>196.24</v>
      </c>
      <c r="Q53" s="79">
        <f>(AK53*KFC!$B$37+KFC!$C$37)*KFC!$C$5</f>
        <v>207.23000000000002</v>
      </c>
      <c r="R53" s="79">
        <f>(AL53*KFC!$B$37+KFC!$C$37)*KFC!$C$5</f>
        <v>218.22000000000003</v>
      </c>
      <c r="S53" s="79">
        <f>(AM53*KFC!$B$37+KFC!$C$37)*KFC!$C$5</f>
        <v>229.21000000000004</v>
      </c>
      <c r="T53" s="79">
        <f>(AN53*KFC!$B$37+KFC!$C$37)*KFC!$C$5</f>
        <v>240.20000000000005</v>
      </c>
      <c r="U53" s="79">
        <f>(AO53*KFC!$B$37+KFC!$C$37)*KFC!$C$5</f>
        <v>251.19000000000005</v>
      </c>
      <c r="V53" s="79">
        <f>(AP53*KFC!$B$37+KFC!$C$37)*KFC!$C$5</f>
        <v>262.18000000000006</v>
      </c>
      <c r="X53" s="851">
        <v>1.6</v>
      </c>
      <c r="Y53" s="847">
        <v>74.67</v>
      </c>
      <c r="Z53" s="847">
        <v>85.9</v>
      </c>
      <c r="AA53" s="847">
        <v>96.89</v>
      </c>
      <c r="AB53" s="847">
        <v>107.88</v>
      </c>
      <c r="AC53" s="847">
        <v>118.98</v>
      </c>
      <c r="AD53" s="847">
        <v>129.97</v>
      </c>
      <c r="AE53" s="847">
        <v>140.94</v>
      </c>
      <c r="AF53" s="847">
        <v>152.05000000000001</v>
      </c>
      <c r="AG53" s="847">
        <v>163.15</v>
      </c>
      <c r="AH53" s="847">
        <v>174.14</v>
      </c>
      <c r="AI53" s="847">
        <v>185.25</v>
      </c>
      <c r="AJ53" s="848">
        <v>196.24</v>
      </c>
      <c r="AK53" s="690">
        <f t="shared" si="5"/>
        <v>207.23000000000002</v>
      </c>
      <c r="AL53" s="690">
        <f t="shared" si="4"/>
        <v>218.22000000000003</v>
      </c>
      <c r="AM53" s="690">
        <f t="shared" si="4"/>
        <v>229.21000000000004</v>
      </c>
      <c r="AN53" s="690">
        <f t="shared" si="4"/>
        <v>240.20000000000005</v>
      </c>
      <c r="AO53" s="690">
        <f t="shared" si="4"/>
        <v>251.19000000000005</v>
      </c>
      <c r="AP53" s="690">
        <f t="shared" si="4"/>
        <v>262.18000000000006</v>
      </c>
      <c r="AQ53" s="690">
        <f t="shared" si="4"/>
        <v>273.17000000000007</v>
      </c>
      <c r="AR53" s="690">
        <f t="shared" si="4"/>
        <v>284.16000000000008</v>
      </c>
    </row>
    <row r="54" spans="1:44">
      <c r="A54" s="1828"/>
      <c r="B54" s="1967"/>
      <c r="C54" s="1968"/>
      <c r="D54" s="262">
        <v>1.7</v>
      </c>
      <c r="E54" s="80">
        <f>(Y54*KFC!$B$37+KFC!$C$37)*KFC!$C$5</f>
        <v>78.25</v>
      </c>
      <c r="F54" s="79">
        <f>(Z54*KFC!$B$37+KFC!$C$37)*KFC!$C$5</f>
        <v>89.61</v>
      </c>
      <c r="G54" s="79">
        <f>(AA54*KFC!$B$37+KFC!$C$37)*KFC!$C$5</f>
        <v>101.32</v>
      </c>
      <c r="H54" s="79">
        <f>(AB54*KFC!$B$37+KFC!$C$37)*KFC!$C$5</f>
        <v>112.81</v>
      </c>
      <c r="I54" s="79">
        <f>(AC54*KFC!$B$37+KFC!$C$37)*KFC!$C$5</f>
        <v>124.41</v>
      </c>
      <c r="J54" s="79">
        <f>(AD54*KFC!$B$37+KFC!$C$37)*KFC!$C$5</f>
        <v>136</v>
      </c>
      <c r="K54" s="79">
        <f>(AE54*KFC!$B$37+KFC!$C$37)*KFC!$C$5</f>
        <v>147.49</v>
      </c>
      <c r="L54" s="79">
        <f>(AF54*KFC!$B$37+KFC!$C$37)*KFC!$C$5</f>
        <v>159.09</v>
      </c>
      <c r="M54" s="79">
        <f>(AG54*KFC!$B$37+KFC!$C$37)*KFC!$C$5</f>
        <v>170.57</v>
      </c>
      <c r="N54" s="79">
        <f>(AH54*KFC!$B$37+KFC!$C$37)*KFC!$C$5</f>
        <v>182.17</v>
      </c>
      <c r="O54" s="79">
        <f>(AI54*KFC!$B$37+KFC!$C$37)*KFC!$C$5</f>
        <v>193.64</v>
      </c>
      <c r="P54" s="79">
        <f>(AJ54*KFC!$B$37+KFC!$C$37)*KFC!$C$5</f>
        <v>205.25</v>
      </c>
      <c r="Q54" s="79">
        <f>(AK54*KFC!$B$37+KFC!$C$37)*KFC!$C$5</f>
        <v>216.86</v>
      </c>
      <c r="R54" s="79">
        <f>(AL54*KFC!$B$37+KFC!$C$37)*KFC!$C$5</f>
        <v>228.47000000000003</v>
      </c>
      <c r="S54" s="79">
        <f>(AM54*KFC!$B$37+KFC!$C$37)*KFC!$C$5</f>
        <v>240.08000000000004</v>
      </c>
      <c r="T54" s="79">
        <f>(AN54*KFC!$B$37+KFC!$C$37)*KFC!$C$5</f>
        <v>251.69000000000005</v>
      </c>
      <c r="U54" s="79">
        <f>(AO54*KFC!$B$37+KFC!$C$37)*KFC!$C$5</f>
        <v>263.30000000000007</v>
      </c>
      <c r="V54" s="79">
        <f>(AP54*KFC!$B$37+KFC!$C$37)*KFC!$C$5</f>
        <v>274.91000000000008</v>
      </c>
      <c r="X54" s="851">
        <v>1.7</v>
      </c>
      <c r="Y54" s="847">
        <v>78.25</v>
      </c>
      <c r="Z54" s="847">
        <v>89.61</v>
      </c>
      <c r="AA54" s="847">
        <v>101.32</v>
      </c>
      <c r="AB54" s="847">
        <v>112.81</v>
      </c>
      <c r="AC54" s="847">
        <v>124.41</v>
      </c>
      <c r="AD54" s="847">
        <v>136</v>
      </c>
      <c r="AE54" s="847">
        <v>147.49</v>
      </c>
      <c r="AF54" s="847">
        <v>159.09</v>
      </c>
      <c r="AG54" s="847">
        <v>170.57</v>
      </c>
      <c r="AH54" s="847">
        <v>182.17</v>
      </c>
      <c r="AI54" s="847">
        <v>193.64</v>
      </c>
      <c r="AJ54" s="848">
        <v>205.25</v>
      </c>
      <c r="AK54" s="690">
        <f t="shared" si="5"/>
        <v>216.86</v>
      </c>
      <c r="AL54" s="690">
        <f t="shared" si="4"/>
        <v>228.47000000000003</v>
      </c>
      <c r="AM54" s="690">
        <f t="shared" si="4"/>
        <v>240.08000000000004</v>
      </c>
      <c r="AN54" s="690">
        <f t="shared" si="4"/>
        <v>251.69000000000005</v>
      </c>
      <c r="AO54" s="690">
        <f t="shared" si="4"/>
        <v>263.30000000000007</v>
      </c>
      <c r="AP54" s="690">
        <f t="shared" si="4"/>
        <v>274.91000000000008</v>
      </c>
      <c r="AQ54" s="690">
        <f t="shared" si="4"/>
        <v>286.5200000000001</v>
      </c>
      <c r="AR54" s="690">
        <f t="shared" si="4"/>
        <v>298.13000000000011</v>
      </c>
    </row>
    <row r="55" spans="1:44" ht="13.8" thickBot="1">
      <c r="A55" s="1829"/>
      <c r="B55" s="1969"/>
      <c r="C55" s="1970"/>
      <c r="D55" s="263">
        <v>1.8</v>
      </c>
      <c r="E55" s="89">
        <f>(Y55*KFC!$B$37+KFC!$C$37)*KFC!$C$5</f>
        <v>81.459999999999994</v>
      </c>
      <c r="F55" s="87">
        <f>(Z55*KFC!$B$37+KFC!$C$37)*KFC!$C$5</f>
        <v>93.56</v>
      </c>
      <c r="G55" s="87">
        <f>(AA55*KFC!$B$37+KFC!$C$37)*KFC!$C$5</f>
        <v>105.64</v>
      </c>
      <c r="H55" s="87">
        <f>(AB55*KFC!$B$37+KFC!$C$37)*KFC!$C$5</f>
        <v>117.74</v>
      </c>
      <c r="I55" s="87">
        <f>(AC55*KFC!$B$37+KFC!$C$37)*KFC!$C$5</f>
        <v>129.83000000000001</v>
      </c>
      <c r="J55" s="87">
        <f>(AD55*KFC!$B$37+KFC!$C$37)*KFC!$C$5</f>
        <v>141.93</v>
      </c>
      <c r="K55" s="87">
        <f>(AE55*KFC!$B$37+KFC!$C$37)*KFC!$C$5</f>
        <v>153.9</v>
      </c>
      <c r="L55" s="87">
        <f>(AF55*KFC!$B$37+KFC!$C$37)*KFC!$C$5</f>
        <v>166</v>
      </c>
      <c r="M55" s="87">
        <f>(AG55*KFC!$B$37+KFC!$C$37)*KFC!$C$5</f>
        <v>178.1</v>
      </c>
      <c r="N55" s="87">
        <f>(AH55*KFC!$B$37+KFC!$C$37)*KFC!$C$5</f>
        <v>190.19</v>
      </c>
      <c r="O55" s="87">
        <f>(AI55*KFC!$B$37+KFC!$C$37)*KFC!$C$5</f>
        <v>202.29</v>
      </c>
      <c r="P55" s="87">
        <f>(AJ55*KFC!$B$37+KFC!$C$37)*KFC!$C$5</f>
        <v>214.38</v>
      </c>
      <c r="Q55" s="87">
        <f>(AK55*KFC!$B$37+KFC!$C$37)*KFC!$C$5</f>
        <v>226.47</v>
      </c>
      <c r="R55" s="87">
        <f>(AL55*KFC!$B$37+KFC!$C$37)*KFC!$C$5</f>
        <v>238.56</v>
      </c>
      <c r="S55" s="87">
        <f>(AM55*KFC!$B$37+KFC!$C$37)*KFC!$C$5</f>
        <v>250.65</v>
      </c>
      <c r="T55" s="87">
        <f>(AN55*KFC!$B$37+KFC!$C$37)*KFC!$C$5</f>
        <v>262.74</v>
      </c>
      <c r="U55" s="87">
        <f>(AO55*KFC!$B$37+KFC!$C$37)*KFC!$C$5</f>
        <v>274.83000000000004</v>
      </c>
      <c r="V55" s="87">
        <f>(AP55*KFC!$B$37+KFC!$C$37)*KFC!$C$5</f>
        <v>286.92000000000007</v>
      </c>
      <c r="X55" s="851">
        <v>1.8</v>
      </c>
      <c r="Y55" s="847">
        <v>81.459999999999994</v>
      </c>
      <c r="Z55" s="847">
        <v>93.56</v>
      </c>
      <c r="AA55" s="847">
        <v>105.64</v>
      </c>
      <c r="AB55" s="847">
        <v>117.74</v>
      </c>
      <c r="AC55" s="847">
        <v>129.83000000000001</v>
      </c>
      <c r="AD55" s="847">
        <v>141.93</v>
      </c>
      <c r="AE55" s="847">
        <v>153.9</v>
      </c>
      <c r="AF55" s="847">
        <v>166</v>
      </c>
      <c r="AG55" s="847">
        <v>178.1</v>
      </c>
      <c r="AH55" s="847">
        <v>190.19</v>
      </c>
      <c r="AI55" s="847">
        <v>202.29</v>
      </c>
      <c r="AJ55" s="848">
        <v>214.38</v>
      </c>
      <c r="AK55" s="690">
        <f t="shared" si="5"/>
        <v>226.47</v>
      </c>
      <c r="AL55" s="690">
        <f t="shared" si="4"/>
        <v>238.56</v>
      </c>
      <c r="AM55" s="690">
        <f t="shared" si="4"/>
        <v>250.65</v>
      </c>
      <c r="AN55" s="690">
        <f t="shared" si="4"/>
        <v>262.74</v>
      </c>
      <c r="AO55" s="690">
        <f t="shared" si="4"/>
        <v>274.83000000000004</v>
      </c>
      <c r="AP55" s="690">
        <f t="shared" si="4"/>
        <v>286.92000000000007</v>
      </c>
      <c r="AQ55" s="690">
        <f t="shared" si="4"/>
        <v>299.0100000000001</v>
      </c>
      <c r="AR55" s="690">
        <f t="shared" si="4"/>
        <v>311.10000000000014</v>
      </c>
    </row>
    <row r="56" spans="1:44" ht="13.8" thickBot="1">
      <c r="A56" s="186"/>
      <c r="B56" s="184"/>
      <c r="E56" s="178"/>
      <c r="F56" s="178"/>
      <c r="G56" s="178"/>
      <c r="H56" s="178"/>
      <c r="I56" s="178"/>
      <c r="J56" s="178"/>
      <c r="K56" s="178"/>
      <c r="L56" s="178"/>
      <c r="M56" s="178"/>
      <c r="N56" s="178"/>
      <c r="O56" s="178"/>
      <c r="P56" s="178"/>
    </row>
    <row r="57" spans="1:44" ht="13.8" thickBot="1">
      <c r="A57" s="1413" t="s">
        <v>319</v>
      </c>
      <c r="B57" s="1414"/>
      <c r="C57" s="1414"/>
      <c r="D57" s="1415"/>
      <c r="E57" s="1534" t="s">
        <v>207</v>
      </c>
      <c r="F57" s="1535"/>
      <c r="G57" s="1535"/>
      <c r="H57" s="1535"/>
      <c r="I57" s="1535"/>
      <c r="J57" s="1535"/>
      <c r="K57" s="1535"/>
      <c r="L57" s="1535"/>
      <c r="M57" s="1535"/>
      <c r="N57" s="1535"/>
      <c r="O57" s="1535"/>
      <c r="P57" s="1535"/>
      <c r="Q57" s="1535"/>
      <c r="R57" s="1535"/>
      <c r="S57" s="1535"/>
      <c r="T57" s="1535"/>
      <c r="U57" s="1535"/>
      <c r="V57" s="1535"/>
    </row>
    <row r="58" spans="1:44" ht="13.8" thickBot="1">
      <c r="A58" s="1416"/>
      <c r="B58" s="1417"/>
      <c r="C58" s="1417"/>
      <c r="D58" s="1418"/>
      <c r="E58" s="119">
        <v>0.4</v>
      </c>
      <c r="F58" s="119">
        <v>0.5</v>
      </c>
      <c r="G58" s="119">
        <v>0.6</v>
      </c>
      <c r="H58" s="119">
        <v>0.7</v>
      </c>
      <c r="I58" s="119">
        <v>0.8</v>
      </c>
      <c r="J58" s="119">
        <v>0.9</v>
      </c>
      <c r="K58" s="119">
        <v>1</v>
      </c>
      <c r="L58" s="119">
        <v>1.1000000000000001</v>
      </c>
      <c r="M58" s="119">
        <v>1.2</v>
      </c>
      <c r="N58" s="119">
        <v>1.3</v>
      </c>
      <c r="O58" s="119">
        <v>1.4</v>
      </c>
      <c r="P58" s="119">
        <v>1.5</v>
      </c>
      <c r="Q58" s="119">
        <v>1.6</v>
      </c>
      <c r="R58" s="119">
        <v>1.7</v>
      </c>
      <c r="S58" s="119">
        <v>1.8</v>
      </c>
      <c r="T58" s="119">
        <v>1.9</v>
      </c>
      <c r="U58" s="119">
        <v>2</v>
      </c>
      <c r="V58" s="119">
        <v>2.1</v>
      </c>
      <c r="X58" s="850"/>
      <c r="Y58" s="851">
        <v>0.4</v>
      </c>
      <c r="Z58" s="851">
        <v>0.5</v>
      </c>
      <c r="AA58" s="851">
        <v>0.6</v>
      </c>
      <c r="AB58" s="851">
        <v>0.7</v>
      </c>
      <c r="AC58" s="851">
        <v>0.8</v>
      </c>
      <c r="AD58" s="851">
        <v>0.9</v>
      </c>
      <c r="AE58" s="851">
        <v>1</v>
      </c>
      <c r="AF58" s="851">
        <v>1.1000000000000001</v>
      </c>
      <c r="AG58" s="851">
        <v>1.2</v>
      </c>
      <c r="AH58" s="851">
        <v>1.3</v>
      </c>
      <c r="AI58" s="851">
        <v>1.4</v>
      </c>
      <c r="AJ58" s="852">
        <v>1.5</v>
      </c>
      <c r="AK58" s="853">
        <v>1.6</v>
      </c>
      <c r="AL58" s="853">
        <v>1.7</v>
      </c>
      <c r="AM58" s="853">
        <v>1.8</v>
      </c>
      <c r="AN58" s="853">
        <v>1.9</v>
      </c>
      <c r="AO58" s="853">
        <v>2</v>
      </c>
      <c r="AP58" s="853">
        <v>2.1</v>
      </c>
      <c r="AQ58" s="853">
        <v>2.2000000000000002</v>
      </c>
      <c r="AR58" s="853">
        <v>2.2999999999999998</v>
      </c>
    </row>
    <row r="59" spans="1:44">
      <c r="A59" s="1827" t="s">
        <v>3</v>
      </c>
      <c r="B59" s="1965"/>
      <c r="C59" s="1966"/>
      <c r="D59" s="427">
        <v>0.5</v>
      </c>
      <c r="E59" s="76">
        <f>(Y59*KFC!$B$37+KFC!$C$37)*KFC!$C$5</f>
        <v>42.21</v>
      </c>
      <c r="F59" s="81">
        <f>(Z59*KFC!$B$37+KFC!$C$37)*KFC!$C$5</f>
        <v>48.87</v>
      </c>
      <c r="G59" s="81">
        <f>(AA59*KFC!$B$37+KFC!$C$37)*KFC!$C$5</f>
        <v>55.42</v>
      </c>
      <c r="H59" s="81">
        <f>(AB59*KFC!$B$37+KFC!$C$37)*KFC!$C$5</f>
        <v>62.08</v>
      </c>
      <c r="I59" s="81">
        <f>(AC59*KFC!$B$37+KFC!$C$37)*KFC!$C$5</f>
        <v>68.62</v>
      </c>
      <c r="J59" s="81">
        <f>(AD59*KFC!$B$37+KFC!$C$37)*KFC!$C$5</f>
        <v>75.16</v>
      </c>
      <c r="K59" s="81">
        <f>(AE59*KFC!$B$37+KFC!$C$37)*KFC!$C$5</f>
        <v>81.83</v>
      </c>
      <c r="L59" s="81">
        <f>(AF59*KFC!$B$37+KFC!$C$37)*KFC!$C$5</f>
        <v>88.24</v>
      </c>
      <c r="M59" s="81">
        <f>(AG59*KFC!$B$37+KFC!$C$37)*KFC!$C$5</f>
        <v>94.91</v>
      </c>
      <c r="N59" s="81">
        <f>(AH59*KFC!$B$37+KFC!$C$37)*KFC!$C$5</f>
        <v>101.59</v>
      </c>
      <c r="O59" s="81">
        <f>(AI59*KFC!$B$37+KFC!$C$37)*KFC!$C$5</f>
        <v>108.12</v>
      </c>
      <c r="P59" s="81">
        <f>(AJ59*KFC!$B$37+KFC!$C$37)*KFC!$C$5</f>
        <v>114.66</v>
      </c>
      <c r="Q59" s="81">
        <f>(AK59*KFC!$B$37+KFC!$C$37)*KFC!$C$5</f>
        <v>121.19999999999999</v>
      </c>
      <c r="R59" s="81">
        <f>(AL59*KFC!$B$37+KFC!$C$37)*KFC!$C$5</f>
        <v>127.73999999999998</v>
      </c>
      <c r="S59" s="81">
        <f>(AM59*KFC!$B$37+KFC!$C$37)*KFC!$C$5</f>
        <v>134.27999999999997</v>
      </c>
      <c r="T59" s="81">
        <f>(AN59*KFC!$B$37+KFC!$C$37)*KFC!$C$5</f>
        <v>140.81999999999996</v>
      </c>
      <c r="U59" s="81">
        <f>(AO59*KFC!$B$37+KFC!$C$37)*KFC!$C$5</f>
        <v>147.35999999999996</v>
      </c>
      <c r="V59" s="81">
        <f>(AP59*KFC!$B$37+KFC!$C$37)*KFC!$C$5</f>
        <v>153.89999999999995</v>
      </c>
      <c r="X59" s="851">
        <v>0.5</v>
      </c>
      <c r="Y59" s="847">
        <v>42.21</v>
      </c>
      <c r="Z59" s="847">
        <v>48.87</v>
      </c>
      <c r="AA59" s="847">
        <v>55.42</v>
      </c>
      <c r="AB59" s="847">
        <v>62.08</v>
      </c>
      <c r="AC59" s="847">
        <v>68.62</v>
      </c>
      <c r="AD59" s="847">
        <v>75.16</v>
      </c>
      <c r="AE59" s="847">
        <v>81.83</v>
      </c>
      <c r="AF59" s="847">
        <v>88.24</v>
      </c>
      <c r="AG59" s="847">
        <v>94.91</v>
      </c>
      <c r="AH59" s="847">
        <v>101.59</v>
      </c>
      <c r="AI59" s="847">
        <v>108.12</v>
      </c>
      <c r="AJ59" s="848">
        <v>114.66</v>
      </c>
      <c r="AK59" s="690">
        <f>AJ59-AI59+AJ59</f>
        <v>121.19999999999999</v>
      </c>
      <c r="AL59" s="690">
        <f t="shared" ref="AL59:AR72" si="6">AK59-AJ59+AK59</f>
        <v>127.73999999999998</v>
      </c>
      <c r="AM59" s="690">
        <f t="shared" si="6"/>
        <v>134.27999999999997</v>
      </c>
      <c r="AN59" s="690">
        <f t="shared" si="6"/>
        <v>140.81999999999996</v>
      </c>
      <c r="AO59" s="690">
        <f t="shared" si="6"/>
        <v>147.35999999999996</v>
      </c>
      <c r="AP59" s="690">
        <f t="shared" si="6"/>
        <v>153.89999999999995</v>
      </c>
      <c r="AQ59" s="690">
        <f t="shared" si="6"/>
        <v>160.43999999999994</v>
      </c>
      <c r="AR59" s="690">
        <f t="shared" si="6"/>
        <v>166.97999999999993</v>
      </c>
    </row>
    <row r="60" spans="1:44">
      <c r="A60" s="1828"/>
      <c r="B60" s="1967"/>
      <c r="C60" s="1968"/>
      <c r="D60" s="262">
        <v>0.6</v>
      </c>
      <c r="E60" s="80">
        <f>(Y60*KFC!$B$37+KFC!$C$37)*KFC!$C$5</f>
        <v>46.53</v>
      </c>
      <c r="F60" s="79">
        <f>(Z60*KFC!$B$37+KFC!$C$37)*KFC!$C$5</f>
        <v>53.57</v>
      </c>
      <c r="G60" s="79">
        <f>(AA60*KFC!$B$37+KFC!$C$37)*KFC!$C$5</f>
        <v>60.48</v>
      </c>
      <c r="H60" s="79">
        <f>(AB60*KFC!$B$37+KFC!$C$37)*KFC!$C$5</f>
        <v>67.64</v>
      </c>
      <c r="I60" s="79">
        <f>(AC60*KFC!$B$37+KFC!$C$37)*KFC!$C$5</f>
        <v>74.55</v>
      </c>
      <c r="J60" s="79">
        <f>(AD60*KFC!$B$37+KFC!$C$37)*KFC!$C$5</f>
        <v>81.7</v>
      </c>
      <c r="K60" s="79">
        <f>(AE60*KFC!$B$37+KFC!$C$37)*KFC!$C$5</f>
        <v>88.62</v>
      </c>
      <c r="L60" s="79">
        <f>(AF60*KFC!$B$37+KFC!$C$37)*KFC!$C$5</f>
        <v>95.54</v>
      </c>
      <c r="M60" s="79">
        <f>(AG60*KFC!$B$37+KFC!$C$37)*KFC!$C$5</f>
        <v>102.69</v>
      </c>
      <c r="N60" s="79">
        <f>(AH60*KFC!$B$37+KFC!$C$37)*KFC!$C$5</f>
        <v>109.6</v>
      </c>
      <c r="O60" s="79">
        <f>(AI60*KFC!$B$37+KFC!$C$37)*KFC!$C$5</f>
        <v>116.63</v>
      </c>
      <c r="P60" s="79">
        <f>(AJ60*KFC!$B$37+KFC!$C$37)*KFC!$C$5</f>
        <v>123.66</v>
      </c>
      <c r="Q60" s="79">
        <f>(AK60*KFC!$B$37+KFC!$C$37)*KFC!$C$5</f>
        <v>130.69</v>
      </c>
      <c r="R60" s="79">
        <f>(AL60*KFC!$B$37+KFC!$C$37)*KFC!$C$5</f>
        <v>137.72</v>
      </c>
      <c r="S60" s="79">
        <f>(AM60*KFC!$B$37+KFC!$C$37)*KFC!$C$5</f>
        <v>144.75</v>
      </c>
      <c r="T60" s="79">
        <f>(AN60*KFC!$B$37+KFC!$C$37)*KFC!$C$5</f>
        <v>151.78</v>
      </c>
      <c r="U60" s="79">
        <f>(AO60*KFC!$B$37+KFC!$C$37)*KFC!$C$5</f>
        <v>158.81</v>
      </c>
      <c r="V60" s="79">
        <f>(AP60*KFC!$B$37+KFC!$C$37)*KFC!$C$5</f>
        <v>165.84</v>
      </c>
      <c r="X60" s="851">
        <v>0.6</v>
      </c>
      <c r="Y60" s="847">
        <v>46.53</v>
      </c>
      <c r="Z60" s="847">
        <v>53.57</v>
      </c>
      <c r="AA60" s="847">
        <v>60.48</v>
      </c>
      <c r="AB60" s="847">
        <v>67.64</v>
      </c>
      <c r="AC60" s="847">
        <v>74.55</v>
      </c>
      <c r="AD60" s="847">
        <v>81.7</v>
      </c>
      <c r="AE60" s="847">
        <v>88.62</v>
      </c>
      <c r="AF60" s="847">
        <v>95.54</v>
      </c>
      <c r="AG60" s="847">
        <v>102.69</v>
      </c>
      <c r="AH60" s="847">
        <v>109.6</v>
      </c>
      <c r="AI60" s="847">
        <v>116.63</v>
      </c>
      <c r="AJ60" s="848">
        <v>123.66</v>
      </c>
      <c r="AK60" s="690">
        <f t="shared" ref="AK60:AK72" si="7">AJ60-AI60+AJ60</f>
        <v>130.69</v>
      </c>
      <c r="AL60" s="690">
        <f t="shared" si="6"/>
        <v>137.72</v>
      </c>
      <c r="AM60" s="690">
        <f t="shared" si="6"/>
        <v>144.75</v>
      </c>
      <c r="AN60" s="690">
        <f t="shared" si="6"/>
        <v>151.78</v>
      </c>
      <c r="AO60" s="690">
        <f t="shared" si="6"/>
        <v>158.81</v>
      </c>
      <c r="AP60" s="690">
        <f t="shared" si="6"/>
        <v>165.84</v>
      </c>
      <c r="AQ60" s="690">
        <f t="shared" si="6"/>
        <v>172.87</v>
      </c>
      <c r="AR60" s="690">
        <f t="shared" si="6"/>
        <v>179.9</v>
      </c>
    </row>
    <row r="61" spans="1:44">
      <c r="A61" s="1828"/>
      <c r="B61" s="1967"/>
      <c r="C61" s="1968"/>
      <c r="D61" s="262">
        <v>0.7</v>
      </c>
      <c r="E61" s="80">
        <f>(Y61*KFC!$B$37+KFC!$C$37)*KFC!$C$5</f>
        <v>50.84</v>
      </c>
      <c r="F61" s="79">
        <f>(Z61*KFC!$B$37+KFC!$C$37)*KFC!$C$5</f>
        <v>58.25</v>
      </c>
      <c r="G61" s="79">
        <f>(AA61*KFC!$B$37+KFC!$C$37)*KFC!$C$5</f>
        <v>65.66</v>
      </c>
      <c r="H61" s="79">
        <f>(AB61*KFC!$B$37+KFC!$C$37)*KFC!$C$5</f>
        <v>73.19</v>
      </c>
      <c r="I61" s="79">
        <f>(AC61*KFC!$B$37+KFC!$C$37)*KFC!$C$5</f>
        <v>80.599999999999994</v>
      </c>
      <c r="J61" s="79">
        <f>(AD61*KFC!$B$37+KFC!$C$37)*KFC!$C$5</f>
        <v>88</v>
      </c>
      <c r="K61" s="79">
        <f>(AE61*KFC!$B$37+KFC!$C$37)*KFC!$C$5</f>
        <v>95.41</v>
      </c>
      <c r="L61" s="79">
        <f>(AF61*KFC!$B$37+KFC!$C$37)*KFC!$C$5</f>
        <v>102.94</v>
      </c>
      <c r="M61" s="79">
        <f>(AG61*KFC!$B$37+KFC!$C$37)*KFC!$C$5</f>
        <v>110.34</v>
      </c>
      <c r="N61" s="79">
        <f>(AH61*KFC!$B$37+KFC!$C$37)*KFC!$C$5</f>
        <v>117.74</v>
      </c>
      <c r="O61" s="79">
        <f>(AI61*KFC!$B$37+KFC!$C$37)*KFC!$C$5</f>
        <v>125.15</v>
      </c>
      <c r="P61" s="79">
        <f>(AJ61*KFC!$B$37+KFC!$C$37)*KFC!$C$5</f>
        <v>132.56</v>
      </c>
      <c r="Q61" s="79">
        <f>(AK61*KFC!$B$37+KFC!$C$37)*KFC!$C$5</f>
        <v>139.97</v>
      </c>
      <c r="R61" s="79">
        <f>(AL61*KFC!$B$37+KFC!$C$37)*KFC!$C$5</f>
        <v>147.38</v>
      </c>
      <c r="S61" s="79">
        <f>(AM61*KFC!$B$37+KFC!$C$37)*KFC!$C$5</f>
        <v>154.79</v>
      </c>
      <c r="T61" s="79">
        <f>(AN61*KFC!$B$37+KFC!$C$37)*KFC!$C$5</f>
        <v>162.19999999999999</v>
      </c>
      <c r="U61" s="79">
        <f>(AO61*KFC!$B$37+KFC!$C$37)*KFC!$C$5</f>
        <v>169.60999999999999</v>
      </c>
      <c r="V61" s="79">
        <f>(AP61*KFC!$B$37+KFC!$C$37)*KFC!$C$5</f>
        <v>177.01999999999998</v>
      </c>
      <c r="X61" s="851">
        <v>0.7</v>
      </c>
      <c r="Y61" s="847">
        <v>50.84</v>
      </c>
      <c r="Z61" s="847">
        <v>58.25</v>
      </c>
      <c r="AA61" s="847">
        <v>65.66</v>
      </c>
      <c r="AB61" s="847">
        <v>73.19</v>
      </c>
      <c r="AC61" s="847">
        <v>80.599999999999994</v>
      </c>
      <c r="AD61" s="847">
        <v>88</v>
      </c>
      <c r="AE61" s="847">
        <v>95.41</v>
      </c>
      <c r="AF61" s="847">
        <v>102.94</v>
      </c>
      <c r="AG61" s="847">
        <v>110.34</v>
      </c>
      <c r="AH61" s="847">
        <v>117.74</v>
      </c>
      <c r="AI61" s="847">
        <v>125.15</v>
      </c>
      <c r="AJ61" s="848">
        <v>132.56</v>
      </c>
      <c r="AK61" s="690">
        <f t="shared" si="7"/>
        <v>139.97</v>
      </c>
      <c r="AL61" s="690">
        <f t="shared" si="6"/>
        <v>147.38</v>
      </c>
      <c r="AM61" s="690">
        <f t="shared" si="6"/>
        <v>154.79</v>
      </c>
      <c r="AN61" s="690">
        <f t="shared" si="6"/>
        <v>162.19999999999999</v>
      </c>
      <c r="AO61" s="690">
        <f t="shared" si="6"/>
        <v>169.60999999999999</v>
      </c>
      <c r="AP61" s="690">
        <f t="shared" si="6"/>
        <v>177.01999999999998</v>
      </c>
      <c r="AQ61" s="690">
        <f t="shared" si="6"/>
        <v>184.42999999999998</v>
      </c>
      <c r="AR61" s="690">
        <f t="shared" si="6"/>
        <v>191.83999999999997</v>
      </c>
    </row>
    <row r="62" spans="1:44">
      <c r="A62" s="1828"/>
      <c r="B62" s="1967"/>
      <c r="C62" s="1968"/>
      <c r="D62" s="262">
        <v>0.8</v>
      </c>
      <c r="E62" s="80">
        <f>(Y62*KFC!$B$37+KFC!$C$37)*KFC!$C$5</f>
        <v>55.04</v>
      </c>
      <c r="F62" s="79">
        <f>(Z62*KFC!$B$37+KFC!$C$37)*KFC!$C$5</f>
        <v>62.94</v>
      </c>
      <c r="G62" s="79">
        <f>(AA62*KFC!$B$37+KFC!$C$37)*KFC!$C$5</f>
        <v>70.849999999999994</v>
      </c>
      <c r="H62" s="79">
        <f>(AB62*KFC!$B$37+KFC!$C$37)*KFC!$C$5</f>
        <v>78.62</v>
      </c>
      <c r="I62" s="79">
        <f>(AC62*KFC!$B$37+KFC!$C$37)*KFC!$C$5</f>
        <v>86.52</v>
      </c>
      <c r="J62" s="79">
        <f>(AD62*KFC!$B$37+KFC!$C$37)*KFC!$C$5</f>
        <v>94.53</v>
      </c>
      <c r="K62" s="79">
        <f>(AE62*KFC!$B$37+KFC!$C$37)*KFC!$C$5</f>
        <v>102.32</v>
      </c>
      <c r="L62" s="79">
        <f>(AF62*KFC!$B$37+KFC!$C$37)*KFC!$C$5</f>
        <v>110.22</v>
      </c>
      <c r="M62" s="79">
        <f>(AG62*KFC!$B$37+KFC!$C$37)*KFC!$C$5</f>
        <v>117.99</v>
      </c>
      <c r="N62" s="79">
        <f>(AH62*KFC!$B$37+KFC!$C$37)*KFC!$C$5</f>
        <v>125.88</v>
      </c>
      <c r="O62" s="79">
        <f>(AI62*KFC!$B$37+KFC!$C$37)*KFC!$C$5</f>
        <v>133.79</v>
      </c>
      <c r="P62" s="79">
        <f>(AJ62*KFC!$B$37+KFC!$C$37)*KFC!$C$5</f>
        <v>141.56</v>
      </c>
      <c r="Q62" s="79">
        <f>(AK62*KFC!$B$37+KFC!$C$37)*KFC!$C$5</f>
        <v>149.33000000000001</v>
      </c>
      <c r="R62" s="79">
        <f>(AL62*KFC!$B$37+KFC!$C$37)*KFC!$C$5</f>
        <v>157.10000000000002</v>
      </c>
      <c r="S62" s="79">
        <f>(AM62*KFC!$B$37+KFC!$C$37)*KFC!$C$5</f>
        <v>164.87000000000003</v>
      </c>
      <c r="T62" s="79">
        <f>(AN62*KFC!$B$37+KFC!$C$37)*KFC!$C$5</f>
        <v>172.64000000000004</v>
      </c>
      <c r="U62" s="79">
        <f>(AO62*KFC!$B$37+KFC!$C$37)*KFC!$C$5</f>
        <v>180.41000000000005</v>
      </c>
      <c r="V62" s="79">
        <f>(AP62*KFC!$B$37+KFC!$C$37)*KFC!$C$5</f>
        <v>188.18000000000006</v>
      </c>
      <c r="X62" s="851">
        <v>0.8</v>
      </c>
      <c r="Y62" s="847">
        <v>55.04</v>
      </c>
      <c r="Z62" s="847">
        <v>62.94</v>
      </c>
      <c r="AA62" s="847">
        <v>70.849999999999994</v>
      </c>
      <c r="AB62" s="847">
        <v>78.62</v>
      </c>
      <c r="AC62" s="847">
        <v>86.52</v>
      </c>
      <c r="AD62" s="847">
        <v>94.53</v>
      </c>
      <c r="AE62" s="847">
        <v>102.32</v>
      </c>
      <c r="AF62" s="847">
        <v>110.22</v>
      </c>
      <c r="AG62" s="847">
        <v>117.99</v>
      </c>
      <c r="AH62" s="847">
        <v>125.88</v>
      </c>
      <c r="AI62" s="847">
        <v>133.79</v>
      </c>
      <c r="AJ62" s="848">
        <v>141.56</v>
      </c>
      <c r="AK62" s="690">
        <f t="shared" si="7"/>
        <v>149.33000000000001</v>
      </c>
      <c r="AL62" s="690">
        <f t="shared" si="6"/>
        <v>157.10000000000002</v>
      </c>
      <c r="AM62" s="690">
        <f t="shared" si="6"/>
        <v>164.87000000000003</v>
      </c>
      <c r="AN62" s="690">
        <f t="shared" si="6"/>
        <v>172.64000000000004</v>
      </c>
      <c r="AO62" s="690">
        <f t="shared" si="6"/>
        <v>180.41000000000005</v>
      </c>
      <c r="AP62" s="690">
        <f t="shared" si="6"/>
        <v>188.18000000000006</v>
      </c>
      <c r="AQ62" s="690">
        <f t="shared" si="6"/>
        <v>195.95000000000007</v>
      </c>
      <c r="AR62" s="690">
        <f t="shared" si="6"/>
        <v>203.72000000000008</v>
      </c>
    </row>
    <row r="63" spans="1:44">
      <c r="A63" s="1828"/>
      <c r="B63" s="1967"/>
      <c r="C63" s="1968"/>
      <c r="D63" s="262">
        <v>0.9</v>
      </c>
      <c r="E63" s="80">
        <f>(Y63*KFC!$B$37+KFC!$C$37)*KFC!$C$5</f>
        <v>59.49</v>
      </c>
      <c r="F63" s="79">
        <f>(Z63*KFC!$B$37+KFC!$C$37)*KFC!$C$5</f>
        <v>67.760000000000005</v>
      </c>
      <c r="G63" s="79">
        <f>(AA63*KFC!$B$37+KFC!$C$37)*KFC!$C$5</f>
        <v>75.900000000000006</v>
      </c>
      <c r="H63" s="79">
        <f>(AB63*KFC!$B$37+KFC!$C$37)*KFC!$C$5</f>
        <v>84.17</v>
      </c>
      <c r="I63" s="79">
        <f>(AC63*KFC!$B$37+KFC!$C$37)*KFC!$C$5</f>
        <v>92.57</v>
      </c>
      <c r="J63" s="79">
        <f>(AD63*KFC!$B$37+KFC!$C$37)*KFC!$C$5</f>
        <v>100.83</v>
      </c>
      <c r="K63" s="79">
        <f>(AE63*KFC!$B$37+KFC!$C$37)*KFC!$C$5</f>
        <v>109.11</v>
      </c>
      <c r="L63" s="79">
        <f>(AF63*KFC!$B$37+KFC!$C$37)*KFC!$C$5</f>
        <v>117.37</v>
      </c>
      <c r="M63" s="79">
        <f>(AG63*KFC!$B$37+KFC!$C$37)*KFC!$C$5</f>
        <v>125.64</v>
      </c>
      <c r="N63" s="79">
        <f>(AH63*KFC!$B$37+KFC!$C$37)*KFC!$C$5</f>
        <v>133.91</v>
      </c>
      <c r="O63" s="79">
        <f>(AI63*KFC!$B$37+KFC!$C$37)*KFC!$C$5</f>
        <v>142.18</v>
      </c>
      <c r="P63" s="79">
        <f>(AJ63*KFC!$B$37+KFC!$C$37)*KFC!$C$5</f>
        <v>150.44999999999999</v>
      </c>
      <c r="Q63" s="79">
        <f>(AK63*KFC!$B$37+KFC!$C$37)*KFC!$C$5</f>
        <v>158.71999999999997</v>
      </c>
      <c r="R63" s="79">
        <f>(AL63*KFC!$B$37+KFC!$C$37)*KFC!$C$5</f>
        <v>166.98999999999995</v>
      </c>
      <c r="S63" s="79">
        <f>(AM63*KFC!$B$37+KFC!$C$37)*KFC!$C$5</f>
        <v>175.25999999999993</v>
      </c>
      <c r="T63" s="79">
        <f>(AN63*KFC!$B$37+KFC!$C$37)*KFC!$C$5</f>
        <v>183.52999999999992</v>
      </c>
      <c r="U63" s="79">
        <f>(AO63*KFC!$B$37+KFC!$C$37)*KFC!$C$5</f>
        <v>191.7999999999999</v>
      </c>
      <c r="V63" s="79">
        <f>(AP63*KFC!$B$37+KFC!$C$37)*KFC!$C$5</f>
        <v>200.06999999999988</v>
      </c>
      <c r="X63" s="851">
        <v>0.9</v>
      </c>
      <c r="Y63" s="847">
        <v>59.49</v>
      </c>
      <c r="Z63" s="847">
        <v>67.760000000000005</v>
      </c>
      <c r="AA63" s="847">
        <v>75.900000000000006</v>
      </c>
      <c r="AB63" s="847">
        <v>84.17</v>
      </c>
      <c r="AC63" s="847">
        <v>92.57</v>
      </c>
      <c r="AD63" s="847">
        <v>100.83</v>
      </c>
      <c r="AE63" s="847">
        <v>109.11</v>
      </c>
      <c r="AF63" s="847">
        <v>117.37</v>
      </c>
      <c r="AG63" s="847">
        <v>125.64</v>
      </c>
      <c r="AH63" s="847">
        <v>133.91</v>
      </c>
      <c r="AI63" s="847">
        <v>142.18</v>
      </c>
      <c r="AJ63" s="848">
        <v>150.44999999999999</v>
      </c>
      <c r="AK63" s="690">
        <f t="shared" si="7"/>
        <v>158.71999999999997</v>
      </c>
      <c r="AL63" s="690">
        <f t="shared" si="6"/>
        <v>166.98999999999995</v>
      </c>
      <c r="AM63" s="690">
        <f t="shared" si="6"/>
        <v>175.25999999999993</v>
      </c>
      <c r="AN63" s="690">
        <f t="shared" si="6"/>
        <v>183.52999999999992</v>
      </c>
      <c r="AO63" s="690">
        <f t="shared" si="6"/>
        <v>191.7999999999999</v>
      </c>
      <c r="AP63" s="690">
        <f t="shared" si="6"/>
        <v>200.06999999999988</v>
      </c>
      <c r="AQ63" s="690">
        <f t="shared" si="6"/>
        <v>208.33999999999986</v>
      </c>
      <c r="AR63" s="690">
        <f t="shared" si="6"/>
        <v>216.60999999999984</v>
      </c>
    </row>
    <row r="64" spans="1:44">
      <c r="A64" s="1828"/>
      <c r="B64" s="1967"/>
      <c r="C64" s="1968"/>
      <c r="D64" s="262">
        <v>1</v>
      </c>
      <c r="E64" s="80">
        <f>(Y64*KFC!$B$37+KFC!$C$37)*KFC!$C$5</f>
        <v>63.68</v>
      </c>
      <c r="F64" s="79">
        <f>(Z64*KFC!$B$37+KFC!$C$37)*KFC!$C$5</f>
        <v>72.45</v>
      </c>
      <c r="G64" s="79">
        <f>(AA64*KFC!$B$37+KFC!$C$37)*KFC!$C$5</f>
        <v>81.209999999999994</v>
      </c>
      <c r="H64" s="79">
        <f>(AB64*KFC!$B$37+KFC!$C$37)*KFC!$C$5</f>
        <v>89.86</v>
      </c>
      <c r="I64" s="79">
        <f>(AC64*KFC!$B$37+KFC!$C$37)*KFC!$C$5</f>
        <v>98.62</v>
      </c>
      <c r="J64" s="79">
        <f>(AD64*KFC!$B$37+KFC!$C$37)*KFC!$C$5</f>
        <v>107.13</v>
      </c>
      <c r="K64" s="79">
        <f>(AE64*KFC!$B$37+KFC!$C$37)*KFC!$C$5</f>
        <v>115.9</v>
      </c>
      <c r="L64" s="79">
        <f>(AF64*KFC!$B$37+KFC!$C$37)*KFC!$C$5</f>
        <v>124.65</v>
      </c>
      <c r="M64" s="79">
        <f>(AG64*KFC!$B$37+KFC!$C$37)*KFC!$C$5</f>
        <v>133.30000000000001</v>
      </c>
      <c r="N64" s="79">
        <f>(AH64*KFC!$B$37+KFC!$C$37)*KFC!$C$5</f>
        <v>142.05000000000001</v>
      </c>
      <c r="O64" s="79">
        <f>(AI64*KFC!$B$37+KFC!$C$37)*KFC!$C$5</f>
        <v>150.81</v>
      </c>
      <c r="P64" s="79">
        <f>(AJ64*KFC!$B$37+KFC!$C$37)*KFC!$C$5</f>
        <v>159.34</v>
      </c>
      <c r="Q64" s="79">
        <f>(AK64*KFC!$B$37+KFC!$C$37)*KFC!$C$5</f>
        <v>167.87</v>
      </c>
      <c r="R64" s="79">
        <f>(AL64*KFC!$B$37+KFC!$C$37)*KFC!$C$5</f>
        <v>176.4</v>
      </c>
      <c r="S64" s="79">
        <f>(AM64*KFC!$B$37+KFC!$C$37)*KFC!$C$5</f>
        <v>184.93</v>
      </c>
      <c r="T64" s="79">
        <f>(AN64*KFC!$B$37+KFC!$C$37)*KFC!$C$5</f>
        <v>193.46</v>
      </c>
      <c r="U64" s="79">
        <f>(AO64*KFC!$B$37+KFC!$C$37)*KFC!$C$5</f>
        <v>201.99</v>
      </c>
      <c r="V64" s="79">
        <f>(AP64*KFC!$B$37+KFC!$C$37)*KFC!$C$5</f>
        <v>210.52</v>
      </c>
      <c r="X64" s="851">
        <v>1</v>
      </c>
      <c r="Y64" s="847">
        <v>63.68</v>
      </c>
      <c r="Z64" s="847">
        <v>72.45</v>
      </c>
      <c r="AA64" s="847">
        <v>81.209999999999994</v>
      </c>
      <c r="AB64" s="847">
        <v>89.86</v>
      </c>
      <c r="AC64" s="847">
        <v>98.62</v>
      </c>
      <c r="AD64" s="847">
        <v>107.13</v>
      </c>
      <c r="AE64" s="847">
        <v>115.9</v>
      </c>
      <c r="AF64" s="847">
        <v>124.65</v>
      </c>
      <c r="AG64" s="847">
        <v>133.30000000000001</v>
      </c>
      <c r="AH64" s="847">
        <v>142.05000000000001</v>
      </c>
      <c r="AI64" s="847">
        <v>150.81</v>
      </c>
      <c r="AJ64" s="848">
        <v>159.34</v>
      </c>
      <c r="AK64" s="690">
        <f t="shared" si="7"/>
        <v>167.87</v>
      </c>
      <c r="AL64" s="690">
        <f t="shared" si="6"/>
        <v>176.4</v>
      </c>
      <c r="AM64" s="690">
        <f t="shared" si="6"/>
        <v>184.93</v>
      </c>
      <c r="AN64" s="690">
        <f t="shared" si="6"/>
        <v>193.46</v>
      </c>
      <c r="AO64" s="690">
        <f t="shared" si="6"/>
        <v>201.99</v>
      </c>
      <c r="AP64" s="690">
        <f t="shared" si="6"/>
        <v>210.52</v>
      </c>
      <c r="AQ64" s="690">
        <f t="shared" si="6"/>
        <v>219.05</v>
      </c>
      <c r="AR64" s="690">
        <f t="shared" si="6"/>
        <v>227.58</v>
      </c>
    </row>
    <row r="65" spans="1:44">
      <c r="A65" s="1828"/>
      <c r="B65" s="1967"/>
      <c r="C65" s="1968"/>
      <c r="D65" s="262">
        <v>1.1000000000000001</v>
      </c>
      <c r="E65" s="80">
        <f>(Y65*KFC!$B$37+KFC!$C$37)*KFC!$C$5</f>
        <v>68.12</v>
      </c>
      <c r="F65" s="79">
        <f>(Z65*KFC!$B$37+KFC!$C$37)*KFC!$C$5</f>
        <v>77.14</v>
      </c>
      <c r="G65" s="79">
        <f>(AA65*KFC!$B$37+KFC!$C$37)*KFC!$C$5</f>
        <v>86.39</v>
      </c>
      <c r="H65" s="79">
        <f>(AB65*KFC!$B$37+KFC!$C$37)*KFC!$C$5</f>
        <v>95.41</v>
      </c>
      <c r="I65" s="79">
        <f>(AC65*KFC!$B$37+KFC!$C$37)*KFC!$C$5</f>
        <v>104.41</v>
      </c>
      <c r="J65" s="79">
        <f>(AD65*KFC!$B$37+KFC!$C$37)*KFC!$C$5</f>
        <v>113.66</v>
      </c>
      <c r="K65" s="79">
        <f>(AE65*KFC!$B$37+KFC!$C$37)*KFC!$C$5</f>
        <v>122.68</v>
      </c>
      <c r="L65" s="79">
        <f>(AF65*KFC!$B$37+KFC!$C$37)*KFC!$C$5</f>
        <v>131.93</v>
      </c>
      <c r="M65" s="79">
        <f>(AG65*KFC!$B$37+KFC!$C$37)*KFC!$C$5</f>
        <v>140.94</v>
      </c>
      <c r="N65" s="79">
        <f>(AH65*KFC!$B$37+KFC!$C$37)*KFC!$C$5</f>
        <v>150.19</v>
      </c>
      <c r="O65" s="79">
        <f>(AI65*KFC!$B$37+KFC!$C$37)*KFC!$C$5</f>
        <v>159.21</v>
      </c>
      <c r="P65" s="79">
        <f>(AJ65*KFC!$B$37+KFC!$C$37)*KFC!$C$5</f>
        <v>168.34</v>
      </c>
      <c r="Q65" s="79">
        <f>(AK65*KFC!$B$37+KFC!$C$37)*KFC!$C$5</f>
        <v>177.47</v>
      </c>
      <c r="R65" s="79">
        <f>(AL65*KFC!$B$37+KFC!$C$37)*KFC!$C$5</f>
        <v>186.6</v>
      </c>
      <c r="S65" s="79">
        <f>(AM65*KFC!$B$37+KFC!$C$37)*KFC!$C$5</f>
        <v>195.73</v>
      </c>
      <c r="T65" s="79">
        <f>(AN65*KFC!$B$37+KFC!$C$37)*KFC!$C$5</f>
        <v>204.85999999999999</v>
      </c>
      <c r="U65" s="79">
        <f>(AO65*KFC!$B$37+KFC!$C$37)*KFC!$C$5</f>
        <v>213.98999999999998</v>
      </c>
      <c r="V65" s="79">
        <f>(AP65*KFC!$B$37+KFC!$C$37)*KFC!$C$5</f>
        <v>223.11999999999998</v>
      </c>
      <c r="X65" s="851">
        <v>1.1000000000000001</v>
      </c>
      <c r="Y65" s="847">
        <v>68.12</v>
      </c>
      <c r="Z65" s="847">
        <v>77.14</v>
      </c>
      <c r="AA65" s="847">
        <v>86.39</v>
      </c>
      <c r="AB65" s="847">
        <v>95.41</v>
      </c>
      <c r="AC65" s="847">
        <v>104.41</v>
      </c>
      <c r="AD65" s="847">
        <v>113.66</v>
      </c>
      <c r="AE65" s="847">
        <v>122.68</v>
      </c>
      <c r="AF65" s="847">
        <v>131.93</v>
      </c>
      <c r="AG65" s="847">
        <v>140.94</v>
      </c>
      <c r="AH65" s="847">
        <v>150.19</v>
      </c>
      <c r="AI65" s="847">
        <v>159.21</v>
      </c>
      <c r="AJ65" s="848">
        <v>168.34</v>
      </c>
      <c r="AK65" s="690">
        <f t="shared" si="7"/>
        <v>177.47</v>
      </c>
      <c r="AL65" s="690">
        <f t="shared" si="6"/>
        <v>186.6</v>
      </c>
      <c r="AM65" s="690">
        <f t="shared" si="6"/>
        <v>195.73</v>
      </c>
      <c r="AN65" s="690">
        <f t="shared" si="6"/>
        <v>204.85999999999999</v>
      </c>
      <c r="AO65" s="690">
        <f t="shared" si="6"/>
        <v>213.98999999999998</v>
      </c>
      <c r="AP65" s="690">
        <f t="shared" si="6"/>
        <v>223.11999999999998</v>
      </c>
      <c r="AQ65" s="690">
        <f t="shared" si="6"/>
        <v>232.24999999999997</v>
      </c>
      <c r="AR65" s="690">
        <f t="shared" si="6"/>
        <v>241.37999999999997</v>
      </c>
    </row>
    <row r="66" spans="1:44">
      <c r="A66" s="1828"/>
      <c r="B66" s="1967"/>
      <c r="C66" s="1968"/>
      <c r="D66" s="262">
        <v>1.2</v>
      </c>
      <c r="E66" s="80">
        <f>(Y66*KFC!$B$37+KFC!$C$37)*KFC!$C$5</f>
        <v>72.33</v>
      </c>
      <c r="F66" s="79">
        <f>(Z66*KFC!$B$37+KFC!$C$37)*KFC!$C$5</f>
        <v>81.83</v>
      </c>
      <c r="G66" s="79">
        <f>(AA66*KFC!$B$37+KFC!$C$37)*KFC!$C$5</f>
        <v>91.45</v>
      </c>
      <c r="H66" s="79">
        <f>(AB66*KFC!$B$37+KFC!$C$37)*KFC!$C$5</f>
        <v>100.96</v>
      </c>
      <c r="I66" s="79">
        <f>(AC66*KFC!$B$37+KFC!$C$37)*KFC!$C$5</f>
        <v>110.46</v>
      </c>
      <c r="J66" s="79">
        <f>(AD66*KFC!$B$37+KFC!$C$37)*KFC!$C$5</f>
        <v>119.96</v>
      </c>
      <c r="K66" s="79">
        <f>(AE66*KFC!$B$37+KFC!$C$37)*KFC!$C$5</f>
        <v>129.71</v>
      </c>
      <c r="L66" s="79">
        <f>(AF66*KFC!$B$37+KFC!$C$37)*KFC!$C$5</f>
        <v>139.22999999999999</v>
      </c>
      <c r="M66" s="79">
        <f>(AG66*KFC!$B$37+KFC!$C$37)*KFC!$C$5</f>
        <v>148.72</v>
      </c>
      <c r="N66" s="79">
        <f>(AH66*KFC!$B$37+KFC!$C$37)*KFC!$C$5</f>
        <v>158.22</v>
      </c>
      <c r="O66" s="79">
        <f>(AI66*KFC!$B$37+KFC!$C$37)*KFC!$C$5</f>
        <v>167.73</v>
      </c>
      <c r="P66" s="79">
        <f>(AJ66*KFC!$B$37+KFC!$C$37)*KFC!$C$5</f>
        <v>177.35</v>
      </c>
      <c r="Q66" s="79">
        <f>(AK66*KFC!$B$37+KFC!$C$37)*KFC!$C$5</f>
        <v>186.97</v>
      </c>
      <c r="R66" s="79">
        <f>(AL66*KFC!$B$37+KFC!$C$37)*KFC!$C$5</f>
        <v>196.59</v>
      </c>
      <c r="S66" s="79">
        <f>(AM66*KFC!$B$37+KFC!$C$37)*KFC!$C$5</f>
        <v>206.21</v>
      </c>
      <c r="T66" s="79">
        <f>(AN66*KFC!$B$37+KFC!$C$37)*KFC!$C$5</f>
        <v>215.83</v>
      </c>
      <c r="U66" s="79">
        <f>(AO66*KFC!$B$37+KFC!$C$37)*KFC!$C$5</f>
        <v>225.45000000000002</v>
      </c>
      <c r="V66" s="79">
        <f>(AP66*KFC!$B$37+KFC!$C$37)*KFC!$C$5</f>
        <v>235.07000000000002</v>
      </c>
      <c r="X66" s="851">
        <v>1.2</v>
      </c>
      <c r="Y66" s="847">
        <v>72.33</v>
      </c>
      <c r="Z66" s="847">
        <v>81.83</v>
      </c>
      <c r="AA66" s="847">
        <v>91.45</v>
      </c>
      <c r="AB66" s="847">
        <v>100.96</v>
      </c>
      <c r="AC66" s="847">
        <v>110.46</v>
      </c>
      <c r="AD66" s="847">
        <v>119.96</v>
      </c>
      <c r="AE66" s="847">
        <v>129.71</v>
      </c>
      <c r="AF66" s="847">
        <v>139.22999999999999</v>
      </c>
      <c r="AG66" s="847">
        <v>148.72</v>
      </c>
      <c r="AH66" s="847">
        <v>158.22</v>
      </c>
      <c r="AI66" s="847">
        <v>167.73</v>
      </c>
      <c r="AJ66" s="848">
        <v>177.35</v>
      </c>
      <c r="AK66" s="690">
        <f t="shared" si="7"/>
        <v>186.97</v>
      </c>
      <c r="AL66" s="690">
        <f t="shared" si="6"/>
        <v>196.59</v>
      </c>
      <c r="AM66" s="690">
        <f t="shared" si="6"/>
        <v>206.21</v>
      </c>
      <c r="AN66" s="690">
        <f t="shared" si="6"/>
        <v>215.83</v>
      </c>
      <c r="AO66" s="690">
        <f t="shared" si="6"/>
        <v>225.45000000000002</v>
      </c>
      <c r="AP66" s="690">
        <f t="shared" si="6"/>
        <v>235.07000000000002</v>
      </c>
      <c r="AQ66" s="690">
        <f t="shared" si="6"/>
        <v>244.69000000000003</v>
      </c>
      <c r="AR66" s="690">
        <f t="shared" si="6"/>
        <v>254.31000000000003</v>
      </c>
    </row>
    <row r="67" spans="1:44">
      <c r="A67" s="1828"/>
      <c r="B67" s="1967"/>
      <c r="C67" s="1968"/>
      <c r="D67" s="262">
        <v>1.3</v>
      </c>
      <c r="E67" s="80">
        <f>(Y67*KFC!$B$37+KFC!$C$37)*KFC!$C$5</f>
        <v>76.64</v>
      </c>
      <c r="F67" s="79">
        <f>(Z67*KFC!$B$37+KFC!$C$37)*KFC!$C$5</f>
        <v>86.64</v>
      </c>
      <c r="G67" s="79">
        <f>(AA67*KFC!$B$37+KFC!$C$37)*KFC!$C$5</f>
        <v>96.65</v>
      </c>
      <c r="H67" s="79">
        <f>(AB67*KFC!$B$37+KFC!$C$37)*KFC!$C$5</f>
        <v>106.51</v>
      </c>
      <c r="I67" s="79">
        <f>(AC67*KFC!$B$37+KFC!$C$37)*KFC!$C$5</f>
        <v>116.51</v>
      </c>
      <c r="J67" s="79">
        <f>(AD67*KFC!$B$37+KFC!$C$37)*KFC!$C$5</f>
        <v>126.51</v>
      </c>
      <c r="K67" s="79">
        <f>(AE67*KFC!$B$37+KFC!$C$37)*KFC!$C$5</f>
        <v>136.5</v>
      </c>
      <c r="L67" s="79">
        <f>(AF67*KFC!$B$37+KFC!$C$37)*KFC!$C$5</f>
        <v>146.38</v>
      </c>
      <c r="M67" s="79">
        <f>(AG67*KFC!$B$37+KFC!$C$37)*KFC!$C$5</f>
        <v>156.37</v>
      </c>
      <c r="N67" s="79">
        <f>(AH67*KFC!$B$37+KFC!$C$37)*KFC!$C$5</f>
        <v>166.38</v>
      </c>
      <c r="O67" s="79">
        <f>(AI67*KFC!$B$37+KFC!$C$37)*KFC!$C$5</f>
        <v>176.25</v>
      </c>
      <c r="P67" s="79">
        <f>(AJ67*KFC!$B$37+KFC!$C$37)*KFC!$C$5</f>
        <v>186.24</v>
      </c>
      <c r="Q67" s="79">
        <f>(AK67*KFC!$B$37+KFC!$C$37)*KFC!$C$5</f>
        <v>196.23000000000002</v>
      </c>
      <c r="R67" s="79">
        <f>(AL67*KFC!$B$37+KFC!$C$37)*KFC!$C$5</f>
        <v>206.22000000000003</v>
      </c>
      <c r="S67" s="79">
        <f>(AM67*KFC!$B$37+KFC!$C$37)*KFC!$C$5</f>
        <v>216.21000000000004</v>
      </c>
      <c r="T67" s="79">
        <f>(AN67*KFC!$B$37+KFC!$C$37)*KFC!$C$5</f>
        <v>226.20000000000005</v>
      </c>
      <c r="U67" s="79">
        <f>(AO67*KFC!$B$37+KFC!$C$37)*KFC!$C$5</f>
        <v>236.19000000000005</v>
      </c>
      <c r="V67" s="79">
        <f>(AP67*KFC!$B$37+KFC!$C$37)*KFC!$C$5</f>
        <v>246.18000000000006</v>
      </c>
      <c r="X67" s="851">
        <v>1.3</v>
      </c>
      <c r="Y67" s="847">
        <v>76.64</v>
      </c>
      <c r="Z67" s="847">
        <v>86.64</v>
      </c>
      <c r="AA67" s="847">
        <v>96.65</v>
      </c>
      <c r="AB67" s="847">
        <v>106.51</v>
      </c>
      <c r="AC67" s="847">
        <v>116.51</v>
      </c>
      <c r="AD67" s="847">
        <v>126.51</v>
      </c>
      <c r="AE67" s="847">
        <v>136.5</v>
      </c>
      <c r="AF67" s="847">
        <v>146.38</v>
      </c>
      <c r="AG67" s="847">
        <v>156.37</v>
      </c>
      <c r="AH67" s="847">
        <v>166.38</v>
      </c>
      <c r="AI67" s="847">
        <v>176.25</v>
      </c>
      <c r="AJ67" s="848">
        <v>186.24</v>
      </c>
      <c r="AK67" s="690">
        <f t="shared" si="7"/>
        <v>196.23000000000002</v>
      </c>
      <c r="AL67" s="690">
        <f t="shared" si="6"/>
        <v>206.22000000000003</v>
      </c>
      <c r="AM67" s="690">
        <f t="shared" si="6"/>
        <v>216.21000000000004</v>
      </c>
      <c r="AN67" s="690">
        <f t="shared" si="6"/>
        <v>226.20000000000005</v>
      </c>
      <c r="AO67" s="690">
        <f t="shared" si="6"/>
        <v>236.19000000000005</v>
      </c>
      <c r="AP67" s="690">
        <f t="shared" si="6"/>
        <v>246.18000000000006</v>
      </c>
      <c r="AQ67" s="690">
        <f t="shared" si="6"/>
        <v>256.17000000000007</v>
      </c>
      <c r="AR67" s="690">
        <f t="shared" si="6"/>
        <v>266.16000000000008</v>
      </c>
    </row>
    <row r="68" spans="1:44">
      <c r="A68" s="1828"/>
      <c r="B68" s="1967"/>
      <c r="C68" s="1968"/>
      <c r="D68" s="262">
        <v>1.4</v>
      </c>
      <c r="E68" s="80">
        <f>(Y68*KFC!$B$37+KFC!$C$37)*KFC!$C$5</f>
        <v>80.959999999999994</v>
      </c>
      <c r="F68" s="79">
        <f>(Z68*KFC!$B$37+KFC!$C$37)*KFC!$C$5</f>
        <v>91.33</v>
      </c>
      <c r="G68" s="79">
        <f>(AA68*KFC!$B$37+KFC!$C$37)*KFC!$C$5</f>
        <v>101.71</v>
      </c>
      <c r="H68" s="79">
        <f>(AB68*KFC!$B$37+KFC!$C$37)*KFC!$C$5</f>
        <v>112.19</v>
      </c>
      <c r="I68" s="79">
        <f>(AC68*KFC!$B$37+KFC!$C$37)*KFC!$C$5</f>
        <v>122.43</v>
      </c>
      <c r="J68" s="79">
        <f>(AD68*KFC!$B$37+KFC!$C$37)*KFC!$C$5</f>
        <v>132.80000000000001</v>
      </c>
      <c r="K68" s="79">
        <f>(AE68*KFC!$B$37+KFC!$C$37)*KFC!$C$5</f>
        <v>143.29</v>
      </c>
      <c r="L68" s="79">
        <f>(AF68*KFC!$B$37+KFC!$C$37)*KFC!$C$5</f>
        <v>153.66</v>
      </c>
      <c r="M68" s="79">
        <f>(AG68*KFC!$B$37+KFC!$C$37)*KFC!$C$5</f>
        <v>164.03</v>
      </c>
      <c r="N68" s="79">
        <f>(AH68*KFC!$B$37+KFC!$C$37)*KFC!$C$5</f>
        <v>174.39</v>
      </c>
      <c r="O68" s="79">
        <f>(AI68*KFC!$B$37+KFC!$C$37)*KFC!$C$5</f>
        <v>184.76</v>
      </c>
      <c r="P68" s="79">
        <f>(AJ68*KFC!$B$37+KFC!$C$37)*KFC!$C$5</f>
        <v>195.13</v>
      </c>
      <c r="Q68" s="79">
        <f>(AK68*KFC!$B$37+KFC!$C$37)*KFC!$C$5</f>
        <v>205.5</v>
      </c>
      <c r="R68" s="79">
        <f>(AL68*KFC!$B$37+KFC!$C$37)*KFC!$C$5</f>
        <v>215.87</v>
      </c>
      <c r="S68" s="79">
        <f>(AM68*KFC!$B$37+KFC!$C$37)*KFC!$C$5</f>
        <v>226.24</v>
      </c>
      <c r="T68" s="79">
        <f>(AN68*KFC!$B$37+KFC!$C$37)*KFC!$C$5</f>
        <v>236.61</v>
      </c>
      <c r="U68" s="79">
        <f>(AO68*KFC!$B$37+KFC!$C$37)*KFC!$C$5</f>
        <v>246.98000000000002</v>
      </c>
      <c r="V68" s="79">
        <f>(AP68*KFC!$B$37+KFC!$C$37)*KFC!$C$5</f>
        <v>257.35000000000002</v>
      </c>
      <c r="X68" s="851">
        <v>1.4</v>
      </c>
      <c r="Y68" s="847">
        <v>80.959999999999994</v>
      </c>
      <c r="Z68" s="847">
        <v>91.33</v>
      </c>
      <c r="AA68" s="847">
        <v>101.71</v>
      </c>
      <c r="AB68" s="847">
        <v>112.19</v>
      </c>
      <c r="AC68" s="847">
        <v>122.43</v>
      </c>
      <c r="AD68" s="847">
        <v>132.80000000000001</v>
      </c>
      <c r="AE68" s="847">
        <v>143.29</v>
      </c>
      <c r="AF68" s="847">
        <v>153.66</v>
      </c>
      <c r="AG68" s="847">
        <v>164.03</v>
      </c>
      <c r="AH68" s="847">
        <v>174.39</v>
      </c>
      <c r="AI68" s="847">
        <v>184.76</v>
      </c>
      <c r="AJ68" s="848">
        <v>195.13</v>
      </c>
      <c r="AK68" s="690">
        <f t="shared" si="7"/>
        <v>205.5</v>
      </c>
      <c r="AL68" s="690">
        <f t="shared" si="6"/>
        <v>215.87</v>
      </c>
      <c r="AM68" s="690">
        <f t="shared" si="6"/>
        <v>226.24</v>
      </c>
      <c r="AN68" s="690">
        <f t="shared" si="6"/>
        <v>236.61</v>
      </c>
      <c r="AO68" s="690">
        <f t="shared" si="6"/>
        <v>246.98000000000002</v>
      </c>
      <c r="AP68" s="690">
        <f t="shared" si="6"/>
        <v>257.35000000000002</v>
      </c>
      <c r="AQ68" s="690">
        <f t="shared" si="6"/>
        <v>267.72000000000003</v>
      </c>
      <c r="AR68" s="690">
        <f t="shared" si="6"/>
        <v>278.09000000000003</v>
      </c>
    </row>
    <row r="69" spans="1:44">
      <c r="A69" s="1828"/>
      <c r="B69" s="1967"/>
      <c r="C69" s="1968"/>
      <c r="D69" s="262">
        <v>1.5</v>
      </c>
      <c r="E69" s="80">
        <f>(Y69*KFC!$B$37+KFC!$C$37)*KFC!$C$5</f>
        <v>85.28</v>
      </c>
      <c r="F69" s="79">
        <f>(Z69*KFC!$B$37+KFC!$C$37)*KFC!$C$5</f>
        <v>96.03</v>
      </c>
      <c r="G69" s="79">
        <f>(AA69*KFC!$B$37+KFC!$C$37)*KFC!$C$5</f>
        <v>106.88</v>
      </c>
      <c r="H69" s="79">
        <f>(AB69*KFC!$B$37+KFC!$C$37)*KFC!$C$5</f>
        <v>117.62</v>
      </c>
      <c r="I69" s="79">
        <f>(AC69*KFC!$B$37+KFC!$C$37)*KFC!$C$5</f>
        <v>128.47999999999999</v>
      </c>
      <c r="J69" s="79">
        <f>(AD69*KFC!$B$37+KFC!$C$37)*KFC!$C$5</f>
        <v>139.35</v>
      </c>
      <c r="K69" s="79">
        <f>(AE69*KFC!$B$37+KFC!$C$37)*KFC!$C$5</f>
        <v>150.07</v>
      </c>
      <c r="L69" s="79">
        <f>(AF69*KFC!$B$37+KFC!$C$37)*KFC!$C$5</f>
        <v>160.94</v>
      </c>
      <c r="M69" s="79">
        <f>(AG69*KFC!$B$37+KFC!$C$37)*KFC!$C$5</f>
        <v>171.68</v>
      </c>
      <c r="N69" s="79">
        <f>(AH69*KFC!$B$37+KFC!$C$37)*KFC!$C$5</f>
        <v>182.55</v>
      </c>
      <c r="O69" s="79">
        <f>(AI69*KFC!$B$37+KFC!$C$37)*KFC!$C$5</f>
        <v>193.39</v>
      </c>
      <c r="P69" s="79">
        <f>(AJ69*KFC!$B$37+KFC!$C$37)*KFC!$C$5</f>
        <v>204.02</v>
      </c>
      <c r="Q69" s="79">
        <f>(AK69*KFC!$B$37+KFC!$C$37)*KFC!$C$5</f>
        <v>214.65000000000003</v>
      </c>
      <c r="R69" s="79">
        <f>(AL69*KFC!$B$37+KFC!$C$37)*KFC!$C$5</f>
        <v>225.28000000000006</v>
      </c>
      <c r="S69" s="79">
        <f>(AM69*KFC!$B$37+KFC!$C$37)*KFC!$C$5</f>
        <v>235.91000000000008</v>
      </c>
      <c r="T69" s="79">
        <f>(AN69*KFC!$B$37+KFC!$C$37)*KFC!$C$5</f>
        <v>246.54000000000011</v>
      </c>
      <c r="U69" s="79">
        <f>(AO69*KFC!$B$37+KFC!$C$37)*KFC!$C$5</f>
        <v>257.17000000000013</v>
      </c>
      <c r="V69" s="79">
        <f>(AP69*KFC!$B$37+KFC!$C$37)*KFC!$C$5</f>
        <v>267.80000000000018</v>
      </c>
      <c r="X69" s="851">
        <v>1.5</v>
      </c>
      <c r="Y69" s="847">
        <v>85.28</v>
      </c>
      <c r="Z69" s="847">
        <v>96.03</v>
      </c>
      <c r="AA69" s="847">
        <v>106.88</v>
      </c>
      <c r="AB69" s="847">
        <v>117.62</v>
      </c>
      <c r="AC69" s="847">
        <v>128.47999999999999</v>
      </c>
      <c r="AD69" s="847">
        <v>139.35</v>
      </c>
      <c r="AE69" s="847">
        <v>150.07</v>
      </c>
      <c r="AF69" s="847">
        <v>160.94</v>
      </c>
      <c r="AG69" s="847">
        <v>171.68</v>
      </c>
      <c r="AH69" s="847">
        <v>182.55</v>
      </c>
      <c r="AI69" s="847">
        <v>193.39</v>
      </c>
      <c r="AJ69" s="848">
        <v>204.02</v>
      </c>
      <c r="AK69" s="690">
        <f t="shared" si="7"/>
        <v>214.65000000000003</v>
      </c>
      <c r="AL69" s="690">
        <f t="shared" si="6"/>
        <v>225.28000000000006</v>
      </c>
      <c r="AM69" s="690">
        <f t="shared" si="6"/>
        <v>235.91000000000008</v>
      </c>
      <c r="AN69" s="690">
        <f t="shared" si="6"/>
        <v>246.54000000000011</v>
      </c>
      <c r="AO69" s="690">
        <f t="shared" si="6"/>
        <v>257.17000000000013</v>
      </c>
      <c r="AP69" s="690">
        <f t="shared" si="6"/>
        <v>267.80000000000018</v>
      </c>
      <c r="AQ69" s="690">
        <f t="shared" si="6"/>
        <v>278.43000000000023</v>
      </c>
      <c r="AR69" s="690">
        <f t="shared" si="6"/>
        <v>289.06000000000029</v>
      </c>
    </row>
    <row r="70" spans="1:44">
      <c r="A70" s="1828"/>
      <c r="B70" s="1967"/>
      <c r="C70" s="1968"/>
      <c r="D70" s="262">
        <v>1.6</v>
      </c>
      <c r="E70" s="80">
        <f>(Y70*KFC!$B$37+KFC!$C$37)*KFC!$C$5</f>
        <v>89.49</v>
      </c>
      <c r="F70" s="79">
        <f>(Z70*KFC!$B$37+KFC!$C$37)*KFC!$C$5</f>
        <v>100.71</v>
      </c>
      <c r="G70" s="79">
        <f>(AA70*KFC!$B$37+KFC!$C$37)*KFC!$C$5</f>
        <v>111.94</v>
      </c>
      <c r="H70" s="79">
        <f>(AB70*KFC!$B$37+KFC!$C$37)*KFC!$C$5</f>
        <v>123.18</v>
      </c>
      <c r="I70" s="79">
        <f>(AC70*KFC!$B$37+KFC!$C$37)*KFC!$C$5</f>
        <v>134.53</v>
      </c>
      <c r="J70" s="79">
        <f>(AD70*KFC!$B$37+KFC!$C$37)*KFC!$C$5</f>
        <v>145.63999999999999</v>
      </c>
      <c r="K70" s="79">
        <f>(AE70*KFC!$B$37+KFC!$C$37)*KFC!$C$5</f>
        <v>156.97999999999999</v>
      </c>
      <c r="L70" s="79">
        <f>(AF70*KFC!$B$37+KFC!$C$37)*KFC!$C$5</f>
        <v>168.09</v>
      </c>
      <c r="M70" s="79">
        <f>(AG70*KFC!$B$37+KFC!$C$37)*KFC!$C$5</f>
        <v>179.33</v>
      </c>
      <c r="N70" s="79">
        <f>(AH70*KFC!$B$37+KFC!$C$37)*KFC!$C$5</f>
        <v>190.69</v>
      </c>
      <c r="O70" s="79">
        <f>(AI70*KFC!$B$37+KFC!$C$37)*KFC!$C$5</f>
        <v>201.8</v>
      </c>
      <c r="P70" s="79">
        <f>(AJ70*KFC!$B$37+KFC!$C$37)*KFC!$C$5</f>
        <v>213.15</v>
      </c>
      <c r="Q70" s="79">
        <f>(AK70*KFC!$B$37+KFC!$C$37)*KFC!$C$5</f>
        <v>224.5</v>
      </c>
      <c r="R70" s="79">
        <f>(AL70*KFC!$B$37+KFC!$C$37)*KFC!$C$5</f>
        <v>235.85</v>
      </c>
      <c r="S70" s="79">
        <f>(AM70*KFC!$B$37+KFC!$C$37)*KFC!$C$5</f>
        <v>247.2</v>
      </c>
      <c r="T70" s="79">
        <f>(AN70*KFC!$B$37+KFC!$C$37)*KFC!$C$5</f>
        <v>258.54999999999995</v>
      </c>
      <c r="U70" s="79">
        <f>(AO70*KFC!$B$37+KFC!$C$37)*KFC!$C$5</f>
        <v>269.89999999999992</v>
      </c>
      <c r="V70" s="79">
        <f>(AP70*KFC!$B$37+KFC!$C$37)*KFC!$C$5</f>
        <v>281.24999999999989</v>
      </c>
      <c r="X70" s="851">
        <v>1.6</v>
      </c>
      <c r="Y70" s="847">
        <v>89.49</v>
      </c>
      <c r="Z70" s="847">
        <v>100.71</v>
      </c>
      <c r="AA70" s="847">
        <v>111.94</v>
      </c>
      <c r="AB70" s="847">
        <v>123.18</v>
      </c>
      <c r="AC70" s="847">
        <v>134.53</v>
      </c>
      <c r="AD70" s="847">
        <v>145.63999999999999</v>
      </c>
      <c r="AE70" s="847">
        <v>156.97999999999999</v>
      </c>
      <c r="AF70" s="847">
        <v>168.09</v>
      </c>
      <c r="AG70" s="847">
        <v>179.33</v>
      </c>
      <c r="AH70" s="847">
        <v>190.69</v>
      </c>
      <c r="AI70" s="847">
        <v>201.8</v>
      </c>
      <c r="AJ70" s="848">
        <v>213.15</v>
      </c>
      <c r="AK70" s="690">
        <f t="shared" si="7"/>
        <v>224.5</v>
      </c>
      <c r="AL70" s="690">
        <f t="shared" si="6"/>
        <v>235.85</v>
      </c>
      <c r="AM70" s="690">
        <f t="shared" si="6"/>
        <v>247.2</v>
      </c>
      <c r="AN70" s="690">
        <f t="shared" si="6"/>
        <v>258.54999999999995</v>
      </c>
      <c r="AO70" s="690">
        <f t="shared" si="6"/>
        <v>269.89999999999992</v>
      </c>
      <c r="AP70" s="690">
        <f t="shared" si="6"/>
        <v>281.24999999999989</v>
      </c>
      <c r="AQ70" s="690">
        <f t="shared" si="6"/>
        <v>292.59999999999985</v>
      </c>
      <c r="AR70" s="690">
        <f t="shared" si="6"/>
        <v>303.94999999999982</v>
      </c>
    </row>
    <row r="71" spans="1:44">
      <c r="A71" s="1828"/>
      <c r="B71" s="1967"/>
      <c r="C71" s="1968"/>
      <c r="D71" s="262">
        <v>1.7</v>
      </c>
      <c r="E71" s="80">
        <f>(Y71*KFC!$B$37+KFC!$C$37)*KFC!$C$5</f>
        <v>93.92</v>
      </c>
      <c r="F71" s="79">
        <f>(Z71*KFC!$B$37+KFC!$C$37)*KFC!$C$5</f>
        <v>105.52</v>
      </c>
      <c r="G71" s="79">
        <f>(AA71*KFC!$B$37+KFC!$C$37)*KFC!$C$5</f>
        <v>117.13</v>
      </c>
      <c r="H71" s="79">
        <f>(AB71*KFC!$B$37+KFC!$C$37)*KFC!$C$5</f>
        <v>128.72999999999999</v>
      </c>
      <c r="I71" s="79">
        <f>(AC71*KFC!$B$37+KFC!$C$37)*KFC!$C$5</f>
        <v>140.33000000000001</v>
      </c>
      <c r="J71" s="79">
        <f>(AD71*KFC!$B$37+KFC!$C$37)*KFC!$C$5</f>
        <v>152.19</v>
      </c>
      <c r="K71" s="79">
        <f>(AE71*KFC!$B$37+KFC!$C$37)*KFC!$C$5</f>
        <v>163.78</v>
      </c>
      <c r="L71" s="79">
        <f>(AF71*KFC!$B$37+KFC!$C$37)*KFC!$C$5</f>
        <v>175.37</v>
      </c>
      <c r="M71" s="79">
        <f>(AG71*KFC!$B$37+KFC!$C$37)*KFC!$C$5</f>
        <v>186.98</v>
      </c>
      <c r="N71" s="79">
        <f>(AH71*KFC!$B$37+KFC!$C$37)*KFC!$C$5</f>
        <v>198.58</v>
      </c>
      <c r="O71" s="79">
        <f>(AI71*KFC!$B$37+KFC!$C$37)*KFC!$C$5</f>
        <v>210.43</v>
      </c>
      <c r="P71" s="79">
        <f>(AJ71*KFC!$B$37+KFC!$C$37)*KFC!$C$5</f>
        <v>222.04</v>
      </c>
      <c r="Q71" s="79">
        <f>(AK71*KFC!$B$37+KFC!$C$37)*KFC!$C$5</f>
        <v>233.64999999999998</v>
      </c>
      <c r="R71" s="79">
        <f>(AL71*KFC!$B$37+KFC!$C$37)*KFC!$C$5</f>
        <v>245.25999999999996</v>
      </c>
      <c r="S71" s="79">
        <f>(AM71*KFC!$B$37+KFC!$C$37)*KFC!$C$5</f>
        <v>256.86999999999995</v>
      </c>
      <c r="T71" s="79">
        <f>(AN71*KFC!$B$37+KFC!$C$37)*KFC!$C$5</f>
        <v>268.4799999999999</v>
      </c>
      <c r="U71" s="79">
        <f>(AO71*KFC!$B$37+KFC!$C$37)*KFC!$C$5</f>
        <v>280.08999999999986</v>
      </c>
      <c r="V71" s="79">
        <f>(AP71*KFC!$B$37+KFC!$C$37)*KFC!$C$5</f>
        <v>291.69999999999982</v>
      </c>
      <c r="X71" s="851">
        <v>1.7</v>
      </c>
      <c r="Y71" s="847">
        <v>93.92</v>
      </c>
      <c r="Z71" s="847">
        <v>105.52</v>
      </c>
      <c r="AA71" s="847">
        <v>117.13</v>
      </c>
      <c r="AB71" s="847">
        <v>128.72999999999999</v>
      </c>
      <c r="AC71" s="847">
        <v>140.33000000000001</v>
      </c>
      <c r="AD71" s="847">
        <v>152.19</v>
      </c>
      <c r="AE71" s="847">
        <v>163.78</v>
      </c>
      <c r="AF71" s="847">
        <v>175.37</v>
      </c>
      <c r="AG71" s="847">
        <v>186.98</v>
      </c>
      <c r="AH71" s="847">
        <v>198.58</v>
      </c>
      <c r="AI71" s="847">
        <v>210.43</v>
      </c>
      <c r="AJ71" s="848">
        <v>222.04</v>
      </c>
      <c r="AK71" s="690">
        <f t="shared" si="7"/>
        <v>233.64999999999998</v>
      </c>
      <c r="AL71" s="690">
        <f t="shared" si="6"/>
        <v>245.25999999999996</v>
      </c>
      <c r="AM71" s="690">
        <f t="shared" si="6"/>
        <v>256.86999999999995</v>
      </c>
      <c r="AN71" s="690">
        <f t="shared" si="6"/>
        <v>268.4799999999999</v>
      </c>
      <c r="AO71" s="690">
        <f t="shared" si="6"/>
        <v>280.08999999999986</v>
      </c>
      <c r="AP71" s="690">
        <f t="shared" si="6"/>
        <v>291.69999999999982</v>
      </c>
      <c r="AQ71" s="690">
        <f t="shared" si="6"/>
        <v>303.30999999999977</v>
      </c>
      <c r="AR71" s="690">
        <f t="shared" si="6"/>
        <v>314.91999999999973</v>
      </c>
    </row>
    <row r="72" spans="1:44" ht="13.8" thickBot="1">
      <c r="A72" s="1829"/>
      <c r="B72" s="1969"/>
      <c r="C72" s="1970"/>
      <c r="D72" s="263">
        <v>1.8</v>
      </c>
      <c r="E72" s="89">
        <f>(Y72*KFC!$B$37+KFC!$C$37)*KFC!$C$5</f>
        <v>98.12</v>
      </c>
      <c r="F72" s="87">
        <f>(Z72*KFC!$B$37+KFC!$C$37)*KFC!$C$5</f>
        <v>110.22</v>
      </c>
      <c r="G72" s="87">
        <f>(AA72*KFC!$B$37+KFC!$C$37)*KFC!$C$5</f>
        <v>122.31</v>
      </c>
      <c r="H72" s="87">
        <f>(AB72*KFC!$B$37+KFC!$C$37)*KFC!$C$5</f>
        <v>134.29</v>
      </c>
      <c r="I72" s="87">
        <f>(AC72*KFC!$B$37+KFC!$C$37)*KFC!$C$5</f>
        <v>146.38</v>
      </c>
      <c r="J72" s="87">
        <f>(AD72*KFC!$B$37+KFC!$C$37)*KFC!$C$5</f>
        <v>158.47999999999999</v>
      </c>
      <c r="K72" s="87">
        <f>(AE72*KFC!$B$37+KFC!$C$37)*KFC!$C$5</f>
        <v>170.57</v>
      </c>
      <c r="L72" s="87">
        <f>(AF72*KFC!$B$37+KFC!$C$37)*KFC!$C$5</f>
        <v>182.67</v>
      </c>
      <c r="M72" s="87">
        <f>(AG72*KFC!$B$37+KFC!$C$37)*KFC!$C$5</f>
        <v>194.77</v>
      </c>
      <c r="N72" s="87">
        <f>(AH72*KFC!$B$37+KFC!$C$37)*KFC!$C$5</f>
        <v>206.86</v>
      </c>
      <c r="O72" s="87">
        <f>(AI72*KFC!$B$37+KFC!$C$37)*KFC!$C$5</f>
        <v>218.83</v>
      </c>
      <c r="P72" s="87">
        <f>(AJ72*KFC!$B$37+KFC!$C$37)*KFC!$C$5</f>
        <v>230.91</v>
      </c>
      <c r="Q72" s="87">
        <f>(AK72*KFC!$B$37+KFC!$C$37)*KFC!$C$5</f>
        <v>242.98999999999998</v>
      </c>
      <c r="R72" s="87">
        <f>(AL72*KFC!$B$37+KFC!$C$37)*KFC!$C$5</f>
        <v>255.06999999999996</v>
      </c>
      <c r="S72" s="87">
        <f>(AM72*KFC!$B$37+KFC!$C$37)*KFC!$C$5</f>
        <v>267.14999999999998</v>
      </c>
      <c r="T72" s="87">
        <f>(AN72*KFC!$B$37+KFC!$C$37)*KFC!$C$5</f>
        <v>279.23</v>
      </c>
      <c r="U72" s="87">
        <f>(AO72*KFC!$B$37+KFC!$C$37)*KFC!$C$5</f>
        <v>291.31000000000006</v>
      </c>
      <c r="V72" s="87">
        <f>(AP72*KFC!$B$37+KFC!$C$37)*KFC!$C$5</f>
        <v>303.3900000000001</v>
      </c>
      <c r="X72" s="851">
        <v>1.8</v>
      </c>
      <c r="Y72" s="847">
        <v>98.12</v>
      </c>
      <c r="Z72" s="847">
        <v>110.22</v>
      </c>
      <c r="AA72" s="847">
        <v>122.31</v>
      </c>
      <c r="AB72" s="847">
        <v>134.29</v>
      </c>
      <c r="AC72" s="847">
        <v>146.38</v>
      </c>
      <c r="AD72" s="847">
        <v>158.47999999999999</v>
      </c>
      <c r="AE72" s="847">
        <v>170.57</v>
      </c>
      <c r="AF72" s="847">
        <v>182.67</v>
      </c>
      <c r="AG72" s="847">
        <v>194.77</v>
      </c>
      <c r="AH72" s="847">
        <v>206.86</v>
      </c>
      <c r="AI72" s="847">
        <v>218.83</v>
      </c>
      <c r="AJ72" s="848">
        <v>230.91</v>
      </c>
      <c r="AK72" s="690">
        <f t="shared" si="7"/>
        <v>242.98999999999998</v>
      </c>
      <c r="AL72" s="690">
        <f t="shared" si="6"/>
        <v>255.06999999999996</v>
      </c>
      <c r="AM72" s="690">
        <f t="shared" si="6"/>
        <v>267.14999999999998</v>
      </c>
      <c r="AN72" s="690">
        <f t="shared" si="6"/>
        <v>279.23</v>
      </c>
      <c r="AO72" s="690">
        <f t="shared" si="6"/>
        <v>291.31000000000006</v>
      </c>
      <c r="AP72" s="690">
        <f t="shared" si="6"/>
        <v>303.3900000000001</v>
      </c>
      <c r="AQ72" s="690">
        <f t="shared" si="6"/>
        <v>315.47000000000014</v>
      </c>
      <c r="AR72" s="690">
        <f t="shared" si="6"/>
        <v>327.55000000000018</v>
      </c>
    </row>
    <row r="73" spans="1:44">
      <c r="A73" s="833" t="s">
        <v>1165</v>
      </c>
      <c r="B73" s="833"/>
      <c r="C73" s="833"/>
      <c r="D73" s="833"/>
      <c r="E73" s="833"/>
      <c r="F73" s="833"/>
      <c r="G73" s="833"/>
      <c r="H73" s="833"/>
      <c r="I73" s="834"/>
      <c r="J73" s="835"/>
      <c r="K73" s="831">
        <v>0.15</v>
      </c>
      <c r="L73" s="178"/>
      <c r="M73" s="178"/>
      <c r="N73" s="178"/>
      <c r="O73" s="178"/>
      <c r="P73" s="178"/>
    </row>
    <row r="74" spans="1:44">
      <c r="A74" s="185" t="s">
        <v>303</v>
      </c>
      <c r="B74" s="186"/>
      <c r="C74" s="186"/>
      <c r="D74" s="184"/>
      <c r="E74" s="184"/>
      <c r="F74" s="184"/>
      <c r="G74" s="184"/>
      <c r="H74" s="184"/>
      <c r="I74" s="184"/>
      <c r="J74" s="184"/>
      <c r="K74" s="184"/>
      <c r="L74" s="178"/>
      <c r="M74" s="178"/>
      <c r="N74" s="178"/>
      <c r="O74" s="178"/>
      <c r="P74" s="178"/>
      <c r="Q74" s="3"/>
      <c r="R74" s="3"/>
      <c r="S74" s="3"/>
      <c r="T74" s="3"/>
      <c r="U74" s="3"/>
      <c r="V74" s="3"/>
    </row>
    <row r="75" spans="1:44" ht="13.8">
      <c r="A75" s="5" t="s">
        <v>1178</v>
      </c>
      <c r="B75" s="5"/>
      <c r="C75" s="12"/>
      <c r="D75" s="12"/>
      <c r="E75" s="12"/>
      <c r="F75" s="12"/>
      <c r="G75" s="12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</row>
    <row r="76" spans="1:44">
      <c r="A76" s="5" t="s">
        <v>208</v>
      </c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</row>
    <row r="77" spans="1:44">
      <c r="A77" s="5" t="s">
        <v>218</v>
      </c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</row>
    <row r="78" spans="1:44">
      <c r="A78" s="5" t="s">
        <v>217</v>
      </c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</row>
    <row r="79" spans="1:44" ht="13.8" thickBot="1">
      <c r="A79" s="508" t="s">
        <v>804</v>
      </c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</row>
    <row r="80" spans="1:44" ht="13.8" thickBo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O80" s="161"/>
      <c r="P80" s="198"/>
      <c r="Q80" s="3"/>
      <c r="R80" s="3"/>
      <c r="S80" s="3"/>
      <c r="T80" s="3"/>
      <c r="U80" s="3"/>
      <c r="V80" s="3"/>
    </row>
    <row r="81" spans="1:22" ht="13.8" thickBo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199"/>
      <c r="N81" s="161"/>
      <c r="O81" s="161"/>
      <c r="P81" s="198"/>
      <c r="Q81" s="3"/>
      <c r="R81" s="3"/>
      <c r="S81" s="3"/>
      <c r="T81" s="3"/>
      <c r="U81" s="3"/>
      <c r="V81" s="3"/>
    </row>
    <row r="82" spans="1:22" ht="13.8" thickBo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199"/>
      <c r="N82" s="161"/>
      <c r="O82" s="161"/>
      <c r="P82" s="198"/>
      <c r="Q82" s="3"/>
      <c r="R82" s="3"/>
      <c r="S82" s="3"/>
      <c r="T82" s="3"/>
      <c r="U82" s="3"/>
      <c r="V82" s="3"/>
    </row>
    <row r="83" spans="1:22" ht="13.8" thickBo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199"/>
      <c r="N83" s="161"/>
      <c r="O83" s="161"/>
      <c r="P83" s="198"/>
      <c r="Q83" s="3"/>
      <c r="R83" s="3"/>
      <c r="S83" s="3"/>
      <c r="T83" s="3"/>
      <c r="U83" s="3"/>
      <c r="V83" s="3"/>
    </row>
    <row r="84" spans="1:22" ht="13.8" thickBo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O84" s="161"/>
      <c r="P84" s="198"/>
      <c r="Q84" s="3"/>
      <c r="R84" s="3"/>
      <c r="S84" s="3"/>
      <c r="T84" s="3"/>
      <c r="U84" s="3"/>
      <c r="V84" s="3"/>
    </row>
    <row r="85" spans="1:22" ht="18" customHeight="1">
      <c r="A85" s="1800" t="s">
        <v>707</v>
      </c>
      <c r="B85" s="1800"/>
      <c r="C85" s="1800"/>
      <c r="D85" s="1800"/>
      <c r="E85" s="1800"/>
      <c r="F85" s="1800"/>
      <c r="G85" s="1800"/>
      <c r="H85" s="1800"/>
      <c r="I85" s="1800"/>
      <c r="J85" s="1800"/>
      <c r="K85" s="1800"/>
      <c r="L85" s="1800"/>
      <c r="M85" s="1800"/>
      <c r="N85" s="1800"/>
      <c r="O85" s="1800"/>
      <c r="P85" s="1800"/>
      <c r="Q85" s="1800"/>
      <c r="R85" s="1800"/>
      <c r="S85" s="1800"/>
      <c r="T85" s="1800"/>
      <c r="U85" s="1800"/>
      <c r="V85" s="1800"/>
    </row>
    <row r="86" spans="1:22" ht="16.2" thickBot="1">
      <c r="A86" s="1004" t="s">
        <v>708</v>
      </c>
      <c r="B86" s="1004"/>
      <c r="C86" s="1004"/>
      <c r="D86" s="1004"/>
      <c r="E86" s="1004"/>
      <c r="F86" s="1004"/>
      <c r="G86" s="1004"/>
      <c r="H86" s="1004"/>
      <c r="I86" s="1004"/>
      <c r="J86" s="1004"/>
      <c r="K86" s="1004"/>
      <c r="L86" s="1004"/>
      <c r="M86" s="1004"/>
      <c r="N86" s="1004"/>
      <c r="O86" s="1004"/>
      <c r="P86" s="1004"/>
      <c r="Q86" s="1004"/>
      <c r="R86" s="1004"/>
      <c r="S86" s="1004"/>
      <c r="T86" s="1004"/>
      <c r="U86" s="1004"/>
      <c r="V86" s="1004"/>
    </row>
    <row r="87" spans="1:22" ht="42" customHeight="1" thickBot="1">
      <c r="A87" s="837"/>
      <c r="B87" s="837"/>
      <c r="C87" s="837"/>
      <c r="D87" s="837"/>
      <c r="E87" s="837"/>
      <c r="F87" s="1665" t="s">
        <v>88</v>
      </c>
      <c r="G87" s="1666"/>
      <c r="H87" s="1666"/>
      <c r="I87" s="1666"/>
      <c r="J87" s="1810"/>
      <c r="K87" s="1114" t="s">
        <v>87</v>
      </c>
      <c r="L87" s="1006"/>
      <c r="M87" s="1006"/>
      <c r="N87" s="1006"/>
      <c r="O87" s="1006"/>
      <c r="P87" s="1006"/>
      <c r="Q87" s="1006"/>
      <c r="R87" s="1006"/>
      <c r="S87" s="1115"/>
      <c r="T87" s="1641" t="s">
        <v>24</v>
      </c>
      <c r="U87" s="1642"/>
      <c r="V87" s="837"/>
    </row>
    <row r="88" spans="1:22" ht="14.4" customHeight="1" thickBot="1">
      <c r="A88" s="844"/>
      <c r="B88" s="844"/>
      <c r="C88" s="844"/>
      <c r="D88" s="844"/>
      <c r="E88" s="844"/>
      <c r="F88" s="1978" t="s">
        <v>884</v>
      </c>
      <c r="G88" s="1979"/>
      <c r="H88" s="1979"/>
      <c r="I88" s="1979"/>
      <c r="J88" s="1979"/>
      <c r="K88" s="1835" t="s">
        <v>975</v>
      </c>
      <c r="L88" s="1836"/>
      <c r="M88" s="1836"/>
      <c r="N88" s="1836"/>
      <c r="O88" s="1836"/>
      <c r="P88" s="1836"/>
      <c r="Q88" s="1836"/>
      <c r="R88" s="1836"/>
      <c r="S88" s="1957"/>
      <c r="T88" s="1976">
        <f>(107.59*KFC!$B$41+KFC!$C$41)*KFC!$C$5</f>
        <v>107.59</v>
      </c>
      <c r="U88" s="1977"/>
      <c r="V88" s="3"/>
    </row>
    <row r="89" spans="1:22" ht="43.2" customHeight="1" thickBot="1">
      <c r="A89" s="1948" t="s">
        <v>1175</v>
      </c>
      <c r="B89" s="1948"/>
      <c r="C89" s="1948"/>
      <c r="D89" s="1948"/>
      <c r="E89" s="1948"/>
      <c r="F89" s="1948"/>
      <c r="G89" s="1948"/>
      <c r="H89" s="1948"/>
      <c r="I89" s="1948"/>
      <c r="J89" s="1948"/>
      <c r="K89" s="1948"/>
      <c r="L89" s="1948"/>
      <c r="M89" s="1948"/>
      <c r="N89" s="1948"/>
      <c r="O89" s="1948"/>
      <c r="P89" s="1948"/>
      <c r="Q89" s="1948"/>
      <c r="R89" s="1948"/>
      <c r="S89" s="1948"/>
      <c r="T89" s="1948"/>
      <c r="U89" s="1948"/>
      <c r="V89" s="1948"/>
    </row>
    <row r="90" spans="1:22" ht="60.6" customHeight="1">
      <c r="A90" s="844"/>
      <c r="B90" s="844"/>
      <c r="C90" s="844"/>
      <c r="D90" s="844"/>
      <c r="E90" s="844"/>
      <c r="F90" s="1949" t="s">
        <v>260</v>
      </c>
      <c r="G90" s="1950"/>
      <c r="H90" s="1950"/>
      <c r="I90" s="1950"/>
      <c r="J90" s="1950"/>
      <c r="K90" s="1951"/>
      <c r="L90" s="1952" t="s">
        <v>174</v>
      </c>
      <c r="M90" s="1953"/>
      <c r="N90" s="1952" t="s">
        <v>175</v>
      </c>
      <c r="O90" s="1953"/>
      <c r="P90" s="1952" t="s">
        <v>179</v>
      </c>
      <c r="Q90" s="1953"/>
      <c r="R90" s="1952" t="s">
        <v>180</v>
      </c>
      <c r="S90" s="1953"/>
      <c r="T90" s="1952" t="s">
        <v>181</v>
      </c>
      <c r="U90" s="1954"/>
      <c r="V90" s="844"/>
    </row>
    <row r="91" spans="1:22" ht="54" customHeight="1" thickBot="1">
      <c r="B91" s="844"/>
      <c r="C91" s="844"/>
      <c r="D91" s="844"/>
      <c r="E91" s="844"/>
      <c r="F91" s="1980" t="s">
        <v>976</v>
      </c>
      <c r="G91" s="1981"/>
      <c r="H91" s="1981"/>
      <c r="I91" s="1981"/>
      <c r="J91" s="1981"/>
      <c r="K91" s="1982"/>
      <c r="L91" s="1983">
        <v>400</v>
      </c>
      <c r="M91" s="1984"/>
      <c r="N91" s="1973">
        <v>1200</v>
      </c>
      <c r="O91" s="1974"/>
      <c r="P91" s="1973">
        <v>950</v>
      </c>
      <c r="Q91" s="1974"/>
      <c r="R91" s="1973">
        <v>1500</v>
      </c>
      <c r="S91" s="1974"/>
      <c r="T91" s="1973">
        <v>1650</v>
      </c>
      <c r="U91" s="1975"/>
      <c r="V91" s="3"/>
    </row>
    <row r="92" spans="1:22" ht="33" customHeight="1" thickBot="1">
      <c r="A92" s="1033" t="s">
        <v>709</v>
      </c>
      <c r="B92" s="1033"/>
      <c r="C92" s="1033"/>
      <c r="D92" s="1033"/>
      <c r="E92" s="1033"/>
      <c r="F92" s="1033"/>
      <c r="G92" s="1033"/>
      <c r="H92" s="1033"/>
      <c r="I92" s="1033"/>
      <c r="J92" s="1033"/>
      <c r="K92" s="1033"/>
      <c r="L92" s="1033"/>
      <c r="M92" s="1033"/>
      <c r="N92" s="1033"/>
      <c r="O92" s="1033"/>
      <c r="P92" s="1033"/>
      <c r="Q92" s="1033"/>
      <c r="R92" s="1033"/>
      <c r="S92" s="1033"/>
      <c r="T92" s="1033"/>
      <c r="U92" s="1033"/>
      <c r="V92" s="1033"/>
    </row>
    <row r="93" spans="1:22" ht="33" customHeight="1" thickBot="1">
      <c r="A93" s="607"/>
      <c r="B93" s="607"/>
      <c r="C93" s="607"/>
      <c r="D93" s="607"/>
      <c r="E93" s="607"/>
      <c r="F93" s="1797" t="s">
        <v>88</v>
      </c>
      <c r="G93" s="1798"/>
      <c r="H93" s="1798"/>
      <c r="I93" s="1114" t="s">
        <v>87</v>
      </c>
      <c r="J93" s="1006"/>
      <c r="K93" s="1006"/>
      <c r="L93" s="1006"/>
      <c r="M93" s="1006"/>
      <c r="N93" s="1006"/>
      <c r="O93" s="1006"/>
      <c r="P93" s="1006"/>
      <c r="Q93" s="1006"/>
      <c r="R93" s="1006"/>
      <c r="S93" s="1115"/>
      <c r="T93" s="839" t="s">
        <v>24</v>
      </c>
      <c r="U93" s="531"/>
      <c r="V93" s="607"/>
    </row>
    <row r="94" spans="1:22" ht="13.95" customHeight="1">
      <c r="A94" s="844"/>
      <c r="B94" s="844"/>
      <c r="C94" s="844"/>
      <c r="D94" s="844"/>
      <c r="E94" s="844"/>
      <c r="F94" s="1653" t="s">
        <v>884</v>
      </c>
      <c r="G94" s="1654"/>
      <c r="H94" s="1654"/>
      <c r="I94" s="1985" t="s">
        <v>886</v>
      </c>
      <c r="J94" s="1986"/>
      <c r="K94" s="1986"/>
      <c r="L94" s="1986"/>
      <c r="M94" s="1986"/>
      <c r="N94" s="1986"/>
      <c r="O94" s="1986"/>
      <c r="P94" s="1986"/>
      <c r="Q94" s="1986"/>
      <c r="R94" s="1986"/>
      <c r="S94" s="1987"/>
      <c r="T94" s="1971">
        <f>(31.65*KFC!$B$41+KFC!$C$41)*KFC!$C$5</f>
        <v>31.65</v>
      </c>
      <c r="U94" s="1972"/>
      <c r="V94" s="3"/>
    </row>
    <row r="95" spans="1:22" ht="30.6" customHeight="1">
      <c r="A95" s="844"/>
      <c r="B95" s="844"/>
      <c r="C95" s="844"/>
      <c r="D95" s="844"/>
      <c r="E95" s="844"/>
      <c r="F95" s="1035" t="s">
        <v>884</v>
      </c>
      <c r="G95" s="1218"/>
      <c r="H95" s="1218"/>
      <c r="I95" s="1162" t="s">
        <v>887</v>
      </c>
      <c r="J95" s="1163"/>
      <c r="K95" s="1163"/>
      <c r="L95" s="1163"/>
      <c r="M95" s="1163"/>
      <c r="N95" s="1163"/>
      <c r="O95" s="1163"/>
      <c r="P95" s="1163"/>
      <c r="Q95" s="1163"/>
      <c r="R95" s="1163"/>
      <c r="S95" s="1164"/>
      <c r="T95" s="1946">
        <f>(37.97*KFC!$B$41+KFC!$C$41)*KFC!$C$5</f>
        <v>37.97</v>
      </c>
      <c r="U95" s="1947"/>
      <c r="V95" s="3"/>
    </row>
    <row r="96" spans="1:22" ht="30.6" customHeight="1">
      <c r="A96" s="844"/>
      <c r="B96" s="844"/>
      <c r="C96" s="844"/>
      <c r="D96" s="844"/>
      <c r="E96" s="844"/>
      <c r="F96" s="1035" t="s">
        <v>884</v>
      </c>
      <c r="G96" s="1218"/>
      <c r="H96" s="1218"/>
      <c r="I96" s="1162" t="s">
        <v>888</v>
      </c>
      <c r="J96" s="1163"/>
      <c r="K96" s="1163"/>
      <c r="L96" s="1163"/>
      <c r="M96" s="1163"/>
      <c r="N96" s="1163"/>
      <c r="O96" s="1163"/>
      <c r="P96" s="1163"/>
      <c r="Q96" s="1163"/>
      <c r="R96" s="1163"/>
      <c r="S96" s="1164"/>
      <c r="T96" s="1946">
        <f>(44.3*KFC!$B$41+KFC!$C$41)*KFC!$C$5</f>
        <v>44.3</v>
      </c>
      <c r="U96" s="1947"/>
      <c r="V96" s="3"/>
    </row>
    <row r="97" spans="1:22" s="1" customFormat="1" ht="31.2" customHeight="1" thickBot="1">
      <c r="A97" s="844"/>
      <c r="B97" s="844"/>
      <c r="C97" s="844"/>
      <c r="D97" s="844"/>
      <c r="E97" s="844"/>
      <c r="F97" s="1036" t="s">
        <v>884</v>
      </c>
      <c r="G97" s="1564"/>
      <c r="H97" s="1564"/>
      <c r="I97" s="1962" t="s">
        <v>889</v>
      </c>
      <c r="J97" s="1963"/>
      <c r="K97" s="1963"/>
      <c r="L97" s="1963"/>
      <c r="M97" s="1963"/>
      <c r="N97" s="1963"/>
      <c r="O97" s="1963"/>
      <c r="P97" s="1963"/>
      <c r="Q97" s="1963"/>
      <c r="R97" s="1963"/>
      <c r="S97" s="1964"/>
      <c r="T97" s="1958">
        <f>(18.35*KFC!$B$41+KFC!$C$41)*KFC!$C$5</f>
        <v>18.350000000000001</v>
      </c>
      <c r="U97" s="1959"/>
      <c r="V97" s="3"/>
    </row>
    <row r="98" spans="1:22" ht="31.2" customHeight="1" thickBot="1">
      <c r="A98" s="844"/>
      <c r="B98" s="844"/>
      <c r="C98" s="844"/>
      <c r="D98" s="844"/>
      <c r="E98" s="844"/>
      <c r="F98" s="1036" t="s">
        <v>884</v>
      </c>
      <c r="G98" s="1564"/>
      <c r="H98" s="1564"/>
      <c r="I98" s="1835" t="s">
        <v>1006</v>
      </c>
      <c r="J98" s="1836"/>
      <c r="K98" s="1836"/>
      <c r="L98" s="1836"/>
      <c r="M98" s="1836"/>
      <c r="N98" s="1836"/>
      <c r="O98" s="1836"/>
      <c r="P98" s="1836"/>
      <c r="Q98" s="1836"/>
      <c r="R98" s="1836"/>
      <c r="S98" s="1957"/>
      <c r="T98" s="1960">
        <f>(75.95*KFC!$B$41+KFC!$C$41)*KFC!$C$5</f>
        <v>75.95</v>
      </c>
      <c r="U98" s="1961"/>
      <c r="V98" s="3"/>
    </row>
    <row r="99" spans="1:22" ht="31.2" customHeight="1" thickBot="1">
      <c r="A99" s="844"/>
      <c r="B99" s="844"/>
      <c r="C99" s="844"/>
      <c r="D99" s="844"/>
      <c r="E99" s="844"/>
      <c r="F99" s="1036" t="s">
        <v>884</v>
      </c>
      <c r="G99" s="1564"/>
      <c r="H99" s="1564"/>
      <c r="I99" s="1556" t="s">
        <v>1054</v>
      </c>
      <c r="J99" s="1556"/>
      <c r="K99" s="1556"/>
      <c r="L99" s="1556"/>
      <c r="M99" s="1556"/>
      <c r="N99" s="1556"/>
      <c r="O99" s="1556"/>
      <c r="P99" s="1556"/>
      <c r="Q99" s="1556"/>
      <c r="R99" s="1556"/>
      <c r="S99" s="1556"/>
      <c r="T99" s="1955">
        <f>(76*KFC!$B$41+KFC!$C$41)*KFC!$C$5</f>
        <v>76</v>
      </c>
      <c r="U99" s="1956"/>
      <c r="V99" s="3"/>
    </row>
  </sheetData>
  <mergeCells count="60">
    <mergeCell ref="F93:H93"/>
    <mergeCell ref="F91:K91"/>
    <mergeCell ref="L91:M91"/>
    <mergeCell ref="I94:S94"/>
    <mergeCell ref="I95:S95"/>
    <mergeCell ref="T94:U94"/>
    <mergeCell ref="T95:U95"/>
    <mergeCell ref="P91:Q91"/>
    <mergeCell ref="R91:S91"/>
    <mergeCell ref="E40:V40"/>
    <mergeCell ref="E57:V57"/>
    <mergeCell ref="N91:O91"/>
    <mergeCell ref="T91:U91"/>
    <mergeCell ref="T88:U88"/>
    <mergeCell ref="F88:J88"/>
    <mergeCell ref="K88:S88"/>
    <mergeCell ref="A86:V86"/>
    <mergeCell ref="F87:J87"/>
    <mergeCell ref="K87:S87"/>
    <mergeCell ref="T87:U87"/>
    <mergeCell ref="A59:C72"/>
    <mergeCell ref="A2:V2"/>
    <mergeCell ref="A3:V3"/>
    <mergeCell ref="A57:D58"/>
    <mergeCell ref="A42:C55"/>
    <mergeCell ref="A4:F4"/>
    <mergeCell ref="A5:F5"/>
    <mergeCell ref="G4:P4"/>
    <mergeCell ref="G5:P5"/>
    <mergeCell ref="A6:D7"/>
    <mergeCell ref="A8:C21"/>
    <mergeCell ref="A23:D24"/>
    <mergeCell ref="E6:V6"/>
    <mergeCell ref="A25:C38"/>
    <mergeCell ref="A40:D41"/>
    <mergeCell ref="F97:H97"/>
    <mergeCell ref="I99:S99"/>
    <mergeCell ref="T99:U99"/>
    <mergeCell ref="F98:H98"/>
    <mergeCell ref="F99:H99"/>
    <mergeCell ref="I98:S98"/>
    <mergeCell ref="T97:U97"/>
    <mergeCell ref="T98:U98"/>
    <mergeCell ref="I97:S97"/>
    <mergeCell ref="A85:V85"/>
    <mergeCell ref="E23:V23"/>
    <mergeCell ref="T96:U96"/>
    <mergeCell ref="A89:V89"/>
    <mergeCell ref="F90:K90"/>
    <mergeCell ref="L90:M90"/>
    <mergeCell ref="N90:O90"/>
    <mergeCell ref="P90:Q90"/>
    <mergeCell ref="F94:H94"/>
    <mergeCell ref="F95:H95"/>
    <mergeCell ref="F96:H96"/>
    <mergeCell ref="I96:S96"/>
    <mergeCell ref="R90:S90"/>
    <mergeCell ref="T90:U90"/>
    <mergeCell ref="A92:V92"/>
    <mergeCell ref="I93:S93"/>
  </mergeCells>
  <hyperlinks>
    <hyperlink ref="G5" r:id="rId1" xr:uid="{208548D9-B5F6-42C4-B4EB-FFBA6EE8F45B}"/>
    <hyperlink ref="G4" r:id="rId2" xr:uid="{7CE78824-4018-44A6-A666-B19CD16CB5DF}"/>
  </hyperlinks>
  <pageMargins left="0.7" right="0.7" top="0.75" bottom="0.75" header="0.3" footer="0.3"/>
  <pageSetup paperSize="9" scale="45" orientation="portrait" verticalDpi="1200" r:id="rId3"/>
  <rowBreaks count="1" manualBreakCount="1">
    <brk id="56" max="16383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71585A-A7B0-4EA3-BCB2-1058F3E26D5A}">
  <sheetPr>
    <tabColor rgb="FFC00000"/>
  </sheetPr>
  <dimension ref="A1:AR100"/>
  <sheetViews>
    <sheetView view="pageBreakPreview" zoomScale="90" zoomScaleNormal="100" zoomScaleSheetLayoutView="90" workbookViewId="0">
      <pane ySplit="3" topLeftCell="A4" activePane="bottomLeft" state="frozen"/>
      <selection pane="bottomLeft" activeCell="H34" sqref="H34"/>
    </sheetView>
  </sheetViews>
  <sheetFormatPr defaultRowHeight="13.2"/>
  <cols>
    <col min="1" max="1" width="3" customWidth="1"/>
    <col min="2" max="2" width="3.33203125" customWidth="1"/>
    <col min="3" max="3" width="4" bestFit="1" customWidth="1"/>
    <col min="4" max="4" width="7.44140625" customWidth="1"/>
    <col min="5" max="16" width="7" customWidth="1"/>
    <col min="23" max="44" width="0" hidden="1" customWidth="1"/>
  </cols>
  <sheetData>
    <row r="1" spans="1:44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</row>
    <row r="2" spans="1:44" ht="18">
      <c r="A2" s="1848" t="s">
        <v>47</v>
      </c>
      <c r="B2" s="1848"/>
      <c r="C2" s="1848"/>
      <c r="D2" s="1848"/>
      <c r="E2" s="1848"/>
      <c r="F2" s="1848"/>
      <c r="G2" s="1848"/>
      <c r="H2" s="1848"/>
      <c r="I2" s="1848"/>
      <c r="J2" s="1848"/>
      <c r="K2" s="1848"/>
      <c r="L2" s="1848"/>
      <c r="M2" s="1848"/>
      <c r="N2" s="1848"/>
      <c r="O2" s="1848"/>
      <c r="P2" s="1848"/>
      <c r="Q2" s="1848"/>
      <c r="R2" s="1848"/>
      <c r="S2" s="1848"/>
      <c r="T2" s="1848"/>
      <c r="U2" s="1848"/>
      <c r="V2" s="1848"/>
    </row>
    <row r="3" spans="1:44">
      <c r="A3" s="1011" t="s">
        <v>1029</v>
      </c>
      <c r="B3" s="1011"/>
      <c r="C3" s="1011"/>
      <c r="D3" s="1011"/>
      <c r="E3" s="1011"/>
      <c r="F3" s="1011"/>
      <c r="G3" s="1011"/>
      <c r="H3" s="1011"/>
      <c r="I3" s="1011"/>
      <c r="J3" s="1011"/>
      <c r="K3" s="1011"/>
      <c r="L3" s="1011"/>
      <c r="M3" s="1011"/>
      <c r="N3" s="1011"/>
      <c r="O3" s="1011"/>
      <c r="P3" s="1011"/>
      <c r="Q3" s="1011"/>
      <c r="R3" s="1011"/>
      <c r="S3" s="1011"/>
      <c r="T3" s="1011"/>
      <c r="U3" s="1011"/>
      <c r="V3" s="1011"/>
    </row>
    <row r="4" spans="1:44" ht="19.5" customHeight="1">
      <c r="A4" s="1089" t="s">
        <v>593</v>
      </c>
      <c r="B4" s="1089"/>
      <c r="C4" s="1089"/>
      <c r="D4" s="1089"/>
      <c r="E4" s="1089"/>
      <c r="F4" s="1406" t="s">
        <v>626</v>
      </c>
      <c r="G4" s="1406"/>
      <c r="H4" s="1406"/>
      <c r="I4" s="1406"/>
      <c r="J4" s="1406"/>
      <c r="K4" s="1406"/>
      <c r="L4" s="1406"/>
      <c r="M4" s="1406"/>
      <c r="N4" s="1406"/>
      <c r="O4" s="1406"/>
      <c r="P4" s="1406"/>
      <c r="Q4" s="3"/>
      <c r="R4" s="3"/>
      <c r="S4" s="3"/>
      <c r="T4" s="3"/>
      <c r="U4" s="3"/>
      <c r="V4" s="3"/>
    </row>
    <row r="5" spans="1:44" ht="19.5" customHeight="1" thickBot="1">
      <c r="A5" s="1896" t="s">
        <v>611</v>
      </c>
      <c r="B5" s="1896"/>
      <c r="C5" s="1896"/>
      <c r="D5" s="1896"/>
      <c r="E5" s="1896"/>
      <c r="F5" s="1168" t="s">
        <v>623</v>
      </c>
      <c r="G5" s="1168"/>
      <c r="H5" s="1168"/>
      <c r="I5" s="1168"/>
      <c r="J5" s="1168"/>
      <c r="K5" s="1168"/>
      <c r="L5" s="1168"/>
      <c r="M5" s="1168"/>
      <c r="N5" s="1168"/>
      <c r="O5" s="1168"/>
      <c r="P5" s="1168"/>
      <c r="Q5" s="3"/>
      <c r="R5" s="3"/>
      <c r="S5" s="3"/>
      <c r="T5" s="3"/>
      <c r="U5" s="3"/>
      <c r="V5" s="3"/>
    </row>
    <row r="6" spans="1:44" ht="13.8" thickBot="1">
      <c r="A6" s="1413" t="s">
        <v>314</v>
      </c>
      <c r="B6" s="1414"/>
      <c r="C6" s="1414"/>
      <c r="D6" s="1415"/>
      <c r="E6" s="1534" t="s">
        <v>207</v>
      </c>
      <c r="F6" s="1535"/>
      <c r="G6" s="1535"/>
      <c r="H6" s="1535"/>
      <c r="I6" s="1535"/>
      <c r="J6" s="1535"/>
      <c r="K6" s="1535"/>
      <c r="L6" s="1535"/>
      <c r="M6" s="1535"/>
      <c r="N6" s="1535"/>
      <c r="O6" s="1535"/>
      <c r="P6" s="1535"/>
      <c r="Q6" s="1535"/>
      <c r="R6" s="1535"/>
      <c r="S6" s="1535"/>
      <c r="T6" s="1535"/>
      <c r="U6" s="1535"/>
      <c r="V6" s="1535"/>
    </row>
    <row r="7" spans="1:44" ht="13.8" thickBot="1">
      <c r="A7" s="1416"/>
      <c r="B7" s="1417"/>
      <c r="C7" s="1417"/>
      <c r="D7" s="1418"/>
      <c r="E7" s="119">
        <v>0.4</v>
      </c>
      <c r="F7" s="119">
        <v>0.5</v>
      </c>
      <c r="G7" s="119">
        <v>0.6</v>
      </c>
      <c r="H7" s="119">
        <v>0.7</v>
      </c>
      <c r="I7" s="119">
        <v>0.8</v>
      </c>
      <c r="J7" s="119">
        <v>0.9</v>
      </c>
      <c r="K7" s="119">
        <v>1</v>
      </c>
      <c r="L7" s="119">
        <v>1.1000000000000001</v>
      </c>
      <c r="M7" s="119">
        <v>1.2</v>
      </c>
      <c r="N7" s="119">
        <v>1.3</v>
      </c>
      <c r="O7" s="119">
        <v>1.4</v>
      </c>
      <c r="P7" s="119">
        <v>1.5</v>
      </c>
      <c r="Q7" s="119">
        <v>1.6</v>
      </c>
      <c r="R7" s="119">
        <v>1.7</v>
      </c>
      <c r="S7" s="119">
        <v>1.8</v>
      </c>
      <c r="T7" s="119">
        <v>1.9</v>
      </c>
      <c r="U7" s="119">
        <v>2</v>
      </c>
      <c r="V7" s="119">
        <v>2.1</v>
      </c>
      <c r="X7" s="850"/>
      <c r="Y7" s="851">
        <v>0.4</v>
      </c>
      <c r="Z7" s="851">
        <v>0.5</v>
      </c>
      <c r="AA7" s="851">
        <v>0.6</v>
      </c>
      <c r="AB7" s="851">
        <v>0.7</v>
      </c>
      <c r="AC7" s="851">
        <v>0.8</v>
      </c>
      <c r="AD7" s="851">
        <v>0.9</v>
      </c>
      <c r="AE7" s="851">
        <v>1</v>
      </c>
      <c r="AF7" s="851">
        <v>1.1000000000000001</v>
      </c>
      <c r="AG7" s="851">
        <v>1.2</v>
      </c>
      <c r="AH7" s="851">
        <v>1.3</v>
      </c>
      <c r="AI7" s="851">
        <v>1.4</v>
      </c>
      <c r="AJ7" s="852">
        <v>1.5</v>
      </c>
      <c r="AK7" s="853">
        <v>1.6</v>
      </c>
      <c r="AL7" s="853">
        <v>1.7</v>
      </c>
      <c r="AM7" s="853">
        <v>1.8</v>
      </c>
      <c r="AN7" s="853">
        <v>1.9</v>
      </c>
      <c r="AO7" s="853">
        <v>2</v>
      </c>
      <c r="AP7" s="853">
        <v>2.1</v>
      </c>
      <c r="AQ7" s="853">
        <v>2.2000000000000002</v>
      </c>
      <c r="AR7" s="853">
        <v>2.2999999999999998</v>
      </c>
    </row>
    <row r="8" spans="1:44" ht="12.75" customHeight="1">
      <c r="A8" s="1827" t="s">
        <v>3</v>
      </c>
      <c r="B8" s="1965"/>
      <c r="C8" s="1966"/>
      <c r="D8" s="427">
        <v>0.5</v>
      </c>
      <c r="E8" s="76">
        <f>(Y8*KFC!$B$37+KFC!$C$37)*KFC!$C$5</f>
        <v>23.69</v>
      </c>
      <c r="F8" s="81">
        <f>(Z8*KFC!$B$37+KFC!$C$37)*KFC!$C$5</f>
        <v>27.03</v>
      </c>
      <c r="G8" s="81">
        <f>(AA8*KFC!$B$37+KFC!$C$37)*KFC!$C$5</f>
        <v>30.48</v>
      </c>
      <c r="H8" s="81">
        <f>(AB8*KFC!$B$37+KFC!$C$37)*KFC!$C$5</f>
        <v>33.83</v>
      </c>
      <c r="I8" s="81">
        <f>(AC8*KFC!$B$37+KFC!$C$37)*KFC!$C$5</f>
        <v>37.15</v>
      </c>
      <c r="J8" s="81">
        <f>(AD8*KFC!$B$37+KFC!$C$37)*KFC!$C$5</f>
        <v>40.61</v>
      </c>
      <c r="K8" s="81">
        <f>(AE8*KFC!$B$37+KFC!$C$37)*KFC!$C$5</f>
        <v>43.93</v>
      </c>
      <c r="L8" s="81">
        <f>(AF8*KFC!$B$37+KFC!$C$37)*KFC!$C$5</f>
        <v>47.4</v>
      </c>
      <c r="M8" s="81">
        <f>(AG8*KFC!$B$37+KFC!$C$37)*KFC!$C$5</f>
        <v>50.72</v>
      </c>
      <c r="N8" s="81">
        <f>(AH8*KFC!$B$37+KFC!$C$37)*KFC!$C$5</f>
        <v>54.07</v>
      </c>
      <c r="O8" s="81">
        <f>(AI8*KFC!$B$37+KFC!$C$37)*KFC!$C$5</f>
        <v>57.51</v>
      </c>
      <c r="P8" s="81">
        <f>(AJ8*KFC!$B$37+KFC!$C$37)*KFC!$C$5</f>
        <v>60.85</v>
      </c>
      <c r="Q8" s="81">
        <f>(AK8*KFC!$B$37+KFC!$C$37)*KFC!$C$5</f>
        <v>64.19</v>
      </c>
      <c r="R8" s="81">
        <f>(AL8*KFC!$B$37+KFC!$C$37)*KFC!$C$5</f>
        <v>67.53</v>
      </c>
      <c r="S8" s="81">
        <f>(AM8*KFC!$B$37+KFC!$C$37)*KFC!$C$5</f>
        <v>70.87</v>
      </c>
      <c r="T8" s="81">
        <f>(AN8*KFC!$B$37+KFC!$C$37)*KFC!$C$5</f>
        <v>74.210000000000008</v>
      </c>
      <c r="U8" s="81">
        <f>(AO8*KFC!$B$37+KFC!$C$37)*KFC!$C$5</f>
        <v>77.550000000000011</v>
      </c>
      <c r="V8" s="81">
        <f>(AP8*KFC!$B$37+KFC!$C$37)*KFC!$C$5</f>
        <v>80.890000000000015</v>
      </c>
      <c r="X8" s="851">
        <v>0.5</v>
      </c>
      <c r="Y8" s="847">
        <v>23.69</v>
      </c>
      <c r="Z8" s="847">
        <v>27.03</v>
      </c>
      <c r="AA8" s="847">
        <v>30.48</v>
      </c>
      <c r="AB8" s="847">
        <v>33.83</v>
      </c>
      <c r="AC8" s="847">
        <v>37.15</v>
      </c>
      <c r="AD8" s="847">
        <v>40.61</v>
      </c>
      <c r="AE8" s="847">
        <v>43.93</v>
      </c>
      <c r="AF8" s="847">
        <v>47.4</v>
      </c>
      <c r="AG8" s="847">
        <v>50.72</v>
      </c>
      <c r="AH8" s="847">
        <v>54.07</v>
      </c>
      <c r="AI8" s="847">
        <v>57.51</v>
      </c>
      <c r="AJ8" s="848">
        <v>60.85</v>
      </c>
      <c r="AK8" s="690">
        <f>AJ8-AI8+AJ8</f>
        <v>64.19</v>
      </c>
      <c r="AL8" s="690">
        <f t="shared" ref="AL8:AR21" si="0">AK8-AJ8+AK8</f>
        <v>67.53</v>
      </c>
      <c r="AM8" s="690">
        <f t="shared" si="0"/>
        <v>70.87</v>
      </c>
      <c r="AN8" s="690">
        <f t="shared" si="0"/>
        <v>74.210000000000008</v>
      </c>
      <c r="AO8" s="690">
        <f t="shared" si="0"/>
        <v>77.550000000000011</v>
      </c>
      <c r="AP8" s="690">
        <f t="shared" si="0"/>
        <v>80.890000000000015</v>
      </c>
      <c r="AQ8" s="690">
        <f t="shared" si="0"/>
        <v>84.230000000000018</v>
      </c>
      <c r="AR8" s="690">
        <f t="shared" si="0"/>
        <v>87.570000000000022</v>
      </c>
    </row>
    <row r="9" spans="1:44">
      <c r="A9" s="1828"/>
      <c r="B9" s="1967"/>
      <c r="C9" s="1968"/>
      <c r="D9" s="262">
        <v>0.6</v>
      </c>
      <c r="E9" s="80">
        <f>(Y9*KFC!$B$37+KFC!$C$37)*KFC!$C$5</f>
        <v>25.67</v>
      </c>
      <c r="F9" s="79">
        <f>(Z9*KFC!$B$37+KFC!$C$37)*KFC!$C$5</f>
        <v>29.25</v>
      </c>
      <c r="G9" s="79">
        <f>(AA9*KFC!$B$37+KFC!$C$37)*KFC!$C$5</f>
        <v>33.08</v>
      </c>
      <c r="H9" s="79">
        <f>(AB9*KFC!$B$37+KFC!$C$37)*KFC!$C$5</f>
        <v>36.65</v>
      </c>
      <c r="I9" s="79">
        <f>(AC9*KFC!$B$37+KFC!$C$37)*KFC!$C$5</f>
        <v>40.36</v>
      </c>
      <c r="J9" s="79">
        <f>(AD9*KFC!$B$37+KFC!$C$37)*KFC!$C$5</f>
        <v>43.93</v>
      </c>
      <c r="K9" s="79">
        <f>(AE9*KFC!$B$37+KFC!$C$37)*KFC!$C$5</f>
        <v>47.52</v>
      </c>
      <c r="L9" s="79">
        <f>(AF9*KFC!$B$37+KFC!$C$37)*KFC!$C$5</f>
        <v>51.22</v>
      </c>
      <c r="M9" s="79">
        <f>(AG9*KFC!$B$37+KFC!$C$37)*KFC!$C$5</f>
        <v>54.8</v>
      </c>
      <c r="N9" s="79">
        <f>(AH9*KFC!$B$37+KFC!$C$37)*KFC!$C$5</f>
        <v>58.39</v>
      </c>
      <c r="O9" s="79">
        <f>(AI9*KFC!$B$37+KFC!$C$37)*KFC!$C$5</f>
        <v>62.08</v>
      </c>
      <c r="P9" s="79">
        <f>(AJ9*KFC!$B$37+KFC!$C$37)*KFC!$C$5</f>
        <v>65.66</v>
      </c>
      <c r="Q9" s="79">
        <f>(AK9*KFC!$B$37+KFC!$C$37)*KFC!$C$5</f>
        <v>69.239999999999995</v>
      </c>
      <c r="R9" s="79">
        <f>(AL9*KFC!$B$37+KFC!$C$37)*KFC!$C$5</f>
        <v>72.819999999999993</v>
      </c>
      <c r="S9" s="79">
        <f>(AM9*KFC!$B$37+KFC!$C$37)*KFC!$C$5</f>
        <v>76.399999999999991</v>
      </c>
      <c r="T9" s="79">
        <f>(AN9*KFC!$B$37+KFC!$C$37)*KFC!$C$5</f>
        <v>79.97999999999999</v>
      </c>
      <c r="U9" s="79">
        <f>(AO9*KFC!$B$37+KFC!$C$37)*KFC!$C$5</f>
        <v>83.559999999999988</v>
      </c>
      <c r="V9" s="79">
        <f>(AP9*KFC!$B$37+KFC!$C$37)*KFC!$C$5</f>
        <v>87.139999999999986</v>
      </c>
      <c r="X9" s="851">
        <v>0.6</v>
      </c>
      <c r="Y9" s="847">
        <v>25.67</v>
      </c>
      <c r="Z9" s="847">
        <v>29.25</v>
      </c>
      <c r="AA9" s="847">
        <v>33.08</v>
      </c>
      <c r="AB9" s="847">
        <v>36.65</v>
      </c>
      <c r="AC9" s="847">
        <v>40.36</v>
      </c>
      <c r="AD9" s="847">
        <v>43.93</v>
      </c>
      <c r="AE9" s="847">
        <v>47.52</v>
      </c>
      <c r="AF9" s="847">
        <v>51.22</v>
      </c>
      <c r="AG9" s="847">
        <v>54.8</v>
      </c>
      <c r="AH9" s="847">
        <v>58.39</v>
      </c>
      <c r="AI9" s="847">
        <v>62.08</v>
      </c>
      <c r="AJ9" s="848">
        <v>65.66</v>
      </c>
      <c r="AK9" s="690">
        <f t="shared" ref="AK9:AK21" si="1">AJ9-AI9+AJ9</f>
        <v>69.239999999999995</v>
      </c>
      <c r="AL9" s="690">
        <f t="shared" si="0"/>
        <v>72.819999999999993</v>
      </c>
      <c r="AM9" s="690">
        <f t="shared" si="0"/>
        <v>76.399999999999991</v>
      </c>
      <c r="AN9" s="690">
        <f t="shared" si="0"/>
        <v>79.97999999999999</v>
      </c>
      <c r="AO9" s="690">
        <f t="shared" si="0"/>
        <v>83.559999999999988</v>
      </c>
      <c r="AP9" s="690">
        <f t="shared" si="0"/>
        <v>87.139999999999986</v>
      </c>
      <c r="AQ9" s="690">
        <f t="shared" si="0"/>
        <v>90.719999999999985</v>
      </c>
      <c r="AR9" s="690">
        <f t="shared" si="0"/>
        <v>94.299999999999983</v>
      </c>
    </row>
    <row r="10" spans="1:44">
      <c r="A10" s="1828"/>
      <c r="B10" s="1967"/>
      <c r="C10" s="1968"/>
      <c r="D10" s="262">
        <v>0.7</v>
      </c>
      <c r="E10" s="80">
        <f>(Y10*KFC!$B$37+KFC!$C$37)*KFC!$C$5</f>
        <v>27.78</v>
      </c>
      <c r="F10" s="79">
        <f>(Z10*KFC!$B$37+KFC!$C$37)*KFC!$C$5</f>
        <v>31.59</v>
      </c>
      <c r="G10" s="79">
        <f>(AA10*KFC!$B$37+KFC!$C$37)*KFC!$C$5</f>
        <v>35.42</v>
      </c>
      <c r="H10" s="79">
        <f>(AB10*KFC!$B$37+KFC!$C$37)*KFC!$C$5</f>
        <v>39.369999999999997</v>
      </c>
      <c r="I10" s="79">
        <f>(AC10*KFC!$B$37+KFC!$C$37)*KFC!$C$5</f>
        <v>43.32</v>
      </c>
      <c r="J10" s="79">
        <f>(AD10*KFC!$B$37+KFC!$C$37)*KFC!$C$5</f>
        <v>47.28</v>
      </c>
      <c r="K10" s="79">
        <f>(AE10*KFC!$B$37+KFC!$C$37)*KFC!$C$5</f>
        <v>51.22</v>
      </c>
      <c r="L10" s="79">
        <f>(AF10*KFC!$B$37+KFC!$C$37)*KFC!$C$5</f>
        <v>54.92</v>
      </c>
      <c r="M10" s="79">
        <f>(AG10*KFC!$B$37+KFC!$C$37)*KFC!$C$5</f>
        <v>58.87</v>
      </c>
      <c r="N10" s="79">
        <f>(AH10*KFC!$B$37+KFC!$C$37)*KFC!$C$5</f>
        <v>62.82</v>
      </c>
      <c r="O10" s="79">
        <f>(AI10*KFC!$B$37+KFC!$C$37)*KFC!$C$5</f>
        <v>66.77</v>
      </c>
      <c r="P10" s="79">
        <f>(AJ10*KFC!$B$37+KFC!$C$37)*KFC!$C$5</f>
        <v>70.59</v>
      </c>
      <c r="Q10" s="79">
        <f>(AK10*KFC!$B$37+KFC!$C$37)*KFC!$C$5</f>
        <v>74.410000000000011</v>
      </c>
      <c r="R10" s="79">
        <f>(AL10*KFC!$B$37+KFC!$C$37)*KFC!$C$5</f>
        <v>78.230000000000018</v>
      </c>
      <c r="S10" s="79">
        <f>(AM10*KFC!$B$37+KFC!$C$37)*KFC!$C$5</f>
        <v>82.050000000000026</v>
      </c>
      <c r="T10" s="79">
        <f>(AN10*KFC!$B$37+KFC!$C$37)*KFC!$C$5</f>
        <v>85.870000000000033</v>
      </c>
      <c r="U10" s="79">
        <f>(AO10*KFC!$B$37+KFC!$C$37)*KFC!$C$5</f>
        <v>89.69000000000004</v>
      </c>
      <c r="V10" s="79">
        <f>(AP10*KFC!$B$37+KFC!$C$37)*KFC!$C$5</f>
        <v>93.510000000000048</v>
      </c>
      <c r="X10" s="851">
        <v>0.7</v>
      </c>
      <c r="Y10" s="847">
        <v>27.78</v>
      </c>
      <c r="Z10" s="847">
        <v>31.59</v>
      </c>
      <c r="AA10" s="847">
        <v>35.42</v>
      </c>
      <c r="AB10" s="847">
        <v>39.369999999999997</v>
      </c>
      <c r="AC10" s="847">
        <v>43.32</v>
      </c>
      <c r="AD10" s="847">
        <v>47.28</v>
      </c>
      <c r="AE10" s="847">
        <v>51.22</v>
      </c>
      <c r="AF10" s="847">
        <v>54.92</v>
      </c>
      <c r="AG10" s="847">
        <v>58.87</v>
      </c>
      <c r="AH10" s="847">
        <v>62.82</v>
      </c>
      <c r="AI10" s="847">
        <v>66.77</v>
      </c>
      <c r="AJ10" s="848">
        <v>70.59</v>
      </c>
      <c r="AK10" s="690">
        <f t="shared" si="1"/>
        <v>74.410000000000011</v>
      </c>
      <c r="AL10" s="690">
        <f t="shared" si="0"/>
        <v>78.230000000000018</v>
      </c>
      <c r="AM10" s="690">
        <f t="shared" si="0"/>
        <v>82.050000000000026</v>
      </c>
      <c r="AN10" s="690">
        <f t="shared" si="0"/>
        <v>85.870000000000033</v>
      </c>
      <c r="AO10" s="690">
        <f t="shared" si="0"/>
        <v>89.69000000000004</v>
      </c>
      <c r="AP10" s="690">
        <f t="shared" si="0"/>
        <v>93.510000000000048</v>
      </c>
      <c r="AQ10" s="690">
        <f t="shared" si="0"/>
        <v>97.330000000000055</v>
      </c>
      <c r="AR10" s="690">
        <f t="shared" si="0"/>
        <v>101.15000000000006</v>
      </c>
    </row>
    <row r="11" spans="1:44">
      <c r="A11" s="1828"/>
      <c r="B11" s="1967"/>
      <c r="C11" s="1968"/>
      <c r="D11" s="262">
        <v>0.8</v>
      </c>
      <c r="E11" s="80">
        <f>(Y11*KFC!$B$37+KFC!$C$37)*KFC!$C$5</f>
        <v>29.74</v>
      </c>
      <c r="F11" s="79">
        <f>(Z11*KFC!$B$37+KFC!$C$37)*KFC!$C$5</f>
        <v>33.83</v>
      </c>
      <c r="G11" s="79">
        <f>(AA11*KFC!$B$37+KFC!$C$37)*KFC!$C$5</f>
        <v>38.020000000000003</v>
      </c>
      <c r="H11" s="79">
        <f>(AB11*KFC!$B$37+KFC!$C$37)*KFC!$C$5</f>
        <v>42.21</v>
      </c>
      <c r="I11" s="79">
        <f>(AC11*KFC!$B$37+KFC!$C$37)*KFC!$C$5</f>
        <v>46.29</v>
      </c>
      <c r="J11" s="79">
        <f>(AD11*KFC!$B$37+KFC!$C$37)*KFC!$C$5</f>
        <v>50.6</v>
      </c>
      <c r="K11" s="79">
        <f>(AE11*KFC!$B$37+KFC!$C$37)*KFC!$C$5</f>
        <v>54.68</v>
      </c>
      <c r="L11" s="79">
        <f>(AF11*KFC!$B$37+KFC!$C$37)*KFC!$C$5</f>
        <v>58.87</v>
      </c>
      <c r="M11" s="79">
        <f>(AG11*KFC!$B$37+KFC!$C$37)*KFC!$C$5</f>
        <v>62.94</v>
      </c>
      <c r="N11" s="79">
        <f>(AH11*KFC!$B$37+KFC!$C$37)*KFC!$C$5</f>
        <v>67.14</v>
      </c>
      <c r="O11" s="79">
        <f>(AI11*KFC!$B$37+KFC!$C$37)*KFC!$C$5</f>
        <v>71.349999999999994</v>
      </c>
      <c r="P11" s="79">
        <f>(AJ11*KFC!$B$37+KFC!$C$37)*KFC!$C$5</f>
        <v>75.53</v>
      </c>
      <c r="Q11" s="79">
        <f>(AK11*KFC!$B$37+KFC!$C$37)*KFC!$C$5</f>
        <v>79.710000000000008</v>
      </c>
      <c r="R11" s="79">
        <f>(AL11*KFC!$B$37+KFC!$C$37)*KFC!$C$5</f>
        <v>83.890000000000015</v>
      </c>
      <c r="S11" s="79">
        <f>(AM11*KFC!$B$37+KFC!$C$37)*KFC!$C$5</f>
        <v>88.070000000000022</v>
      </c>
      <c r="T11" s="79">
        <f>(AN11*KFC!$B$37+KFC!$C$37)*KFC!$C$5</f>
        <v>92.250000000000028</v>
      </c>
      <c r="U11" s="79">
        <f>(AO11*KFC!$B$37+KFC!$C$37)*KFC!$C$5</f>
        <v>96.430000000000035</v>
      </c>
      <c r="V11" s="79">
        <f>(AP11*KFC!$B$37+KFC!$C$37)*KFC!$C$5</f>
        <v>100.61000000000004</v>
      </c>
      <c r="X11" s="851">
        <v>0.8</v>
      </c>
      <c r="Y11" s="847">
        <v>29.74</v>
      </c>
      <c r="Z11" s="847">
        <v>33.83</v>
      </c>
      <c r="AA11" s="847">
        <v>38.020000000000003</v>
      </c>
      <c r="AB11" s="847">
        <v>42.21</v>
      </c>
      <c r="AC11" s="847">
        <v>46.29</v>
      </c>
      <c r="AD11" s="847">
        <v>50.6</v>
      </c>
      <c r="AE11" s="847">
        <v>54.68</v>
      </c>
      <c r="AF11" s="847">
        <v>58.87</v>
      </c>
      <c r="AG11" s="847">
        <v>62.94</v>
      </c>
      <c r="AH11" s="847">
        <v>67.14</v>
      </c>
      <c r="AI11" s="847">
        <v>71.349999999999994</v>
      </c>
      <c r="AJ11" s="848">
        <v>75.53</v>
      </c>
      <c r="AK11" s="690">
        <f t="shared" si="1"/>
        <v>79.710000000000008</v>
      </c>
      <c r="AL11" s="690">
        <f t="shared" si="0"/>
        <v>83.890000000000015</v>
      </c>
      <c r="AM11" s="690">
        <f t="shared" si="0"/>
        <v>88.070000000000022</v>
      </c>
      <c r="AN11" s="690">
        <f t="shared" si="0"/>
        <v>92.250000000000028</v>
      </c>
      <c r="AO11" s="690">
        <f t="shared" si="0"/>
        <v>96.430000000000035</v>
      </c>
      <c r="AP11" s="690">
        <f t="shared" si="0"/>
        <v>100.61000000000004</v>
      </c>
      <c r="AQ11" s="690">
        <f t="shared" si="0"/>
        <v>104.79000000000005</v>
      </c>
      <c r="AR11" s="690">
        <f t="shared" si="0"/>
        <v>108.97000000000006</v>
      </c>
    </row>
    <row r="12" spans="1:44">
      <c r="A12" s="1828"/>
      <c r="B12" s="1967"/>
      <c r="C12" s="1968"/>
      <c r="D12" s="262">
        <v>0.9</v>
      </c>
      <c r="E12" s="80">
        <f>(Y12*KFC!$B$37+KFC!$C$37)*KFC!$C$5</f>
        <v>31.71</v>
      </c>
      <c r="F12" s="79">
        <f>(Z12*KFC!$B$37+KFC!$C$37)*KFC!$C$5</f>
        <v>36.29</v>
      </c>
      <c r="G12" s="79">
        <f>(AA12*KFC!$B$37+KFC!$C$37)*KFC!$C$5</f>
        <v>40.61</v>
      </c>
      <c r="H12" s="79">
        <f>(AB12*KFC!$B$37+KFC!$C$37)*KFC!$C$5</f>
        <v>44.92</v>
      </c>
      <c r="I12" s="79">
        <f>(AC12*KFC!$B$37+KFC!$C$37)*KFC!$C$5</f>
        <v>49.37</v>
      </c>
      <c r="J12" s="79">
        <f>(AD12*KFC!$B$37+KFC!$C$37)*KFC!$C$5</f>
        <v>53.93</v>
      </c>
      <c r="K12" s="79">
        <f>(AE12*KFC!$B$37+KFC!$C$37)*KFC!$C$5</f>
        <v>58.25</v>
      </c>
      <c r="L12" s="79">
        <f>(AF12*KFC!$B$37+KFC!$C$37)*KFC!$C$5</f>
        <v>62.7</v>
      </c>
      <c r="M12" s="79">
        <f>(AG12*KFC!$B$37+KFC!$C$37)*KFC!$C$5</f>
        <v>67.14</v>
      </c>
      <c r="N12" s="79">
        <f>(AH12*KFC!$B$37+KFC!$C$37)*KFC!$C$5</f>
        <v>71.59</v>
      </c>
      <c r="O12" s="79">
        <f>(AI12*KFC!$B$37+KFC!$C$37)*KFC!$C$5</f>
        <v>75.900000000000006</v>
      </c>
      <c r="P12" s="79">
        <f>(AJ12*KFC!$B$37+KFC!$C$37)*KFC!$C$5</f>
        <v>80.47</v>
      </c>
      <c r="Q12" s="79">
        <f>(AK12*KFC!$B$37+KFC!$C$37)*KFC!$C$5</f>
        <v>85.039999999999992</v>
      </c>
      <c r="R12" s="79">
        <f>(AL12*KFC!$B$37+KFC!$C$37)*KFC!$C$5</f>
        <v>89.609999999999985</v>
      </c>
      <c r="S12" s="79">
        <f>(AM12*KFC!$B$37+KFC!$C$37)*KFC!$C$5</f>
        <v>94.179999999999978</v>
      </c>
      <c r="T12" s="79">
        <f>(AN12*KFC!$B$37+KFC!$C$37)*KFC!$C$5</f>
        <v>98.749999999999972</v>
      </c>
      <c r="U12" s="79">
        <f>(AO12*KFC!$B$37+KFC!$C$37)*KFC!$C$5</f>
        <v>103.31999999999996</v>
      </c>
      <c r="V12" s="79">
        <f>(AP12*KFC!$B$37+KFC!$C$37)*KFC!$C$5</f>
        <v>107.88999999999996</v>
      </c>
      <c r="X12" s="851">
        <v>0.9</v>
      </c>
      <c r="Y12" s="847">
        <v>31.71</v>
      </c>
      <c r="Z12" s="847">
        <v>36.29</v>
      </c>
      <c r="AA12" s="847">
        <v>40.61</v>
      </c>
      <c r="AB12" s="847">
        <v>44.92</v>
      </c>
      <c r="AC12" s="847">
        <v>49.37</v>
      </c>
      <c r="AD12" s="847">
        <v>53.93</v>
      </c>
      <c r="AE12" s="847">
        <v>58.25</v>
      </c>
      <c r="AF12" s="847">
        <v>62.7</v>
      </c>
      <c r="AG12" s="847">
        <v>67.14</v>
      </c>
      <c r="AH12" s="847">
        <v>71.59</v>
      </c>
      <c r="AI12" s="847">
        <v>75.900000000000006</v>
      </c>
      <c r="AJ12" s="848">
        <v>80.47</v>
      </c>
      <c r="AK12" s="690">
        <f t="shared" si="1"/>
        <v>85.039999999999992</v>
      </c>
      <c r="AL12" s="690">
        <f t="shared" si="0"/>
        <v>89.609999999999985</v>
      </c>
      <c r="AM12" s="690">
        <f t="shared" si="0"/>
        <v>94.179999999999978</v>
      </c>
      <c r="AN12" s="690">
        <f t="shared" si="0"/>
        <v>98.749999999999972</v>
      </c>
      <c r="AO12" s="690">
        <f t="shared" si="0"/>
        <v>103.31999999999996</v>
      </c>
      <c r="AP12" s="690">
        <f t="shared" si="0"/>
        <v>107.88999999999996</v>
      </c>
      <c r="AQ12" s="690">
        <f t="shared" si="0"/>
        <v>112.45999999999995</v>
      </c>
      <c r="AR12" s="690">
        <f t="shared" si="0"/>
        <v>117.02999999999994</v>
      </c>
    </row>
    <row r="13" spans="1:44">
      <c r="A13" s="1828"/>
      <c r="B13" s="1967"/>
      <c r="C13" s="1968"/>
      <c r="D13" s="262">
        <v>1</v>
      </c>
      <c r="E13" s="80">
        <f>(Y13*KFC!$B$37+KFC!$C$37)*KFC!$C$5</f>
        <v>33.83</v>
      </c>
      <c r="F13" s="79">
        <f>(Z13*KFC!$B$37+KFC!$C$37)*KFC!$C$5</f>
        <v>38.5</v>
      </c>
      <c r="G13" s="79">
        <f>(AA13*KFC!$B$37+KFC!$C$37)*KFC!$C$5</f>
        <v>43.2</v>
      </c>
      <c r="H13" s="79">
        <f>(AB13*KFC!$B$37+KFC!$C$37)*KFC!$C$5</f>
        <v>47.89</v>
      </c>
      <c r="I13" s="79">
        <f>(AC13*KFC!$B$37+KFC!$C$37)*KFC!$C$5</f>
        <v>52.58</v>
      </c>
      <c r="J13" s="79">
        <f>(AD13*KFC!$B$37+KFC!$C$37)*KFC!$C$5</f>
        <v>57.27</v>
      </c>
      <c r="K13" s="79">
        <f>(AE13*KFC!$B$37+KFC!$C$37)*KFC!$C$5</f>
        <v>61.83</v>
      </c>
      <c r="L13" s="79">
        <f>(AF13*KFC!$B$37+KFC!$C$37)*KFC!$C$5</f>
        <v>66.53</v>
      </c>
      <c r="M13" s="79">
        <f>(AG13*KFC!$B$37+KFC!$C$37)*KFC!$C$5</f>
        <v>71.209999999999994</v>
      </c>
      <c r="N13" s="79">
        <f>(AH13*KFC!$B$37+KFC!$C$37)*KFC!$C$5</f>
        <v>75.900000000000006</v>
      </c>
      <c r="O13" s="79">
        <f>(AI13*KFC!$B$37+KFC!$C$37)*KFC!$C$5</f>
        <v>80.599999999999994</v>
      </c>
      <c r="P13" s="79">
        <f>(AJ13*KFC!$B$37+KFC!$C$37)*KFC!$C$5</f>
        <v>85.28</v>
      </c>
      <c r="Q13" s="79">
        <f>(AK13*KFC!$B$37+KFC!$C$37)*KFC!$C$5</f>
        <v>89.960000000000008</v>
      </c>
      <c r="R13" s="79">
        <f>(AL13*KFC!$B$37+KFC!$C$37)*KFC!$C$5</f>
        <v>94.640000000000015</v>
      </c>
      <c r="S13" s="79">
        <f>(AM13*KFC!$B$37+KFC!$C$37)*KFC!$C$5</f>
        <v>99.320000000000022</v>
      </c>
      <c r="T13" s="79">
        <f>(AN13*KFC!$B$37+KFC!$C$37)*KFC!$C$5</f>
        <v>104.00000000000003</v>
      </c>
      <c r="U13" s="79">
        <f>(AO13*KFC!$B$37+KFC!$C$37)*KFC!$C$5</f>
        <v>108.68000000000004</v>
      </c>
      <c r="V13" s="79">
        <f>(AP13*KFC!$B$37+KFC!$C$37)*KFC!$C$5</f>
        <v>113.36000000000004</v>
      </c>
      <c r="X13" s="851">
        <v>1</v>
      </c>
      <c r="Y13" s="847">
        <v>33.83</v>
      </c>
      <c r="Z13" s="847">
        <v>38.5</v>
      </c>
      <c r="AA13" s="847">
        <v>43.2</v>
      </c>
      <c r="AB13" s="847">
        <v>47.89</v>
      </c>
      <c r="AC13" s="847">
        <v>52.58</v>
      </c>
      <c r="AD13" s="847">
        <v>57.27</v>
      </c>
      <c r="AE13" s="847">
        <v>61.83</v>
      </c>
      <c r="AF13" s="847">
        <v>66.53</v>
      </c>
      <c r="AG13" s="847">
        <v>71.209999999999994</v>
      </c>
      <c r="AH13" s="847">
        <v>75.900000000000006</v>
      </c>
      <c r="AI13" s="847">
        <v>80.599999999999994</v>
      </c>
      <c r="AJ13" s="848">
        <v>85.28</v>
      </c>
      <c r="AK13" s="690">
        <f t="shared" si="1"/>
        <v>89.960000000000008</v>
      </c>
      <c r="AL13" s="690">
        <f t="shared" si="0"/>
        <v>94.640000000000015</v>
      </c>
      <c r="AM13" s="690">
        <f t="shared" si="0"/>
        <v>99.320000000000022</v>
      </c>
      <c r="AN13" s="690">
        <f t="shared" si="0"/>
        <v>104.00000000000003</v>
      </c>
      <c r="AO13" s="690">
        <f t="shared" si="0"/>
        <v>108.68000000000004</v>
      </c>
      <c r="AP13" s="690">
        <f t="shared" si="0"/>
        <v>113.36000000000004</v>
      </c>
      <c r="AQ13" s="690">
        <f t="shared" si="0"/>
        <v>118.04000000000005</v>
      </c>
      <c r="AR13" s="690">
        <f t="shared" si="0"/>
        <v>122.72000000000006</v>
      </c>
    </row>
    <row r="14" spans="1:44">
      <c r="A14" s="1828"/>
      <c r="B14" s="1967"/>
      <c r="C14" s="1968"/>
      <c r="D14" s="262">
        <v>1.1000000000000001</v>
      </c>
      <c r="E14" s="80">
        <f>(Y14*KFC!$B$37+KFC!$C$37)*KFC!$C$5</f>
        <v>35.79</v>
      </c>
      <c r="F14" s="79">
        <f>(Z14*KFC!$B$37+KFC!$C$37)*KFC!$C$5</f>
        <v>40.729999999999997</v>
      </c>
      <c r="G14" s="79">
        <f>(AA14*KFC!$B$37+KFC!$C$37)*KFC!$C$5</f>
        <v>45.54</v>
      </c>
      <c r="H14" s="79">
        <f>(AB14*KFC!$B$37+KFC!$C$37)*KFC!$C$5</f>
        <v>50.6</v>
      </c>
      <c r="I14" s="79">
        <f>(AC14*KFC!$B$37+KFC!$C$37)*KFC!$C$5</f>
        <v>55.54</v>
      </c>
      <c r="J14" s="79">
        <f>(AD14*KFC!$B$37+KFC!$C$37)*KFC!$C$5</f>
        <v>60.48</v>
      </c>
      <c r="K14" s="79">
        <f>(AE14*KFC!$B$37+KFC!$C$37)*KFC!$C$5</f>
        <v>65.42</v>
      </c>
      <c r="L14" s="79">
        <f>(AF14*KFC!$B$37+KFC!$C$37)*KFC!$C$5</f>
        <v>70.349999999999994</v>
      </c>
      <c r="M14" s="79">
        <f>(AG14*KFC!$B$37+KFC!$C$37)*KFC!$C$5</f>
        <v>75.28</v>
      </c>
      <c r="N14" s="79">
        <f>(AH14*KFC!$B$37+KFC!$C$37)*KFC!$C$5</f>
        <v>80.34</v>
      </c>
      <c r="O14" s="79">
        <f>(AI14*KFC!$B$37+KFC!$C$37)*KFC!$C$5</f>
        <v>85.28</v>
      </c>
      <c r="P14" s="79">
        <f>(AJ14*KFC!$B$37+KFC!$C$37)*KFC!$C$5</f>
        <v>90.1</v>
      </c>
      <c r="Q14" s="79">
        <f>(AK14*KFC!$B$37+KFC!$C$37)*KFC!$C$5</f>
        <v>94.919999999999987</v>
      </c>
      <c r="R14" s="79">
        <f>(AL14*KFC!$B$37+KFC!$C$37)*KFC!$C$5</f>
        <v>99.739999999999981</v>
      </c>
      <c r="S14" s="79">
        <f>(AM14*KFC!$B$37+KFC!$C$37)*KFC!$C$5</f>
        <v>104.55999999999997</v>
      </c>
      <c r="T14" s="79">
        <f>(AN14*KFC!$B$37+KFC!$C$37)*KFC!$C$5</f>
        <v>109.37999999999997</v>
      </c>
      <c r="U14" s="79">
        <f>(AO14*KFC!$B$37+KFC!$C$37)*KFC!$C$5</f>
        <v>114.19999999999996</v>
      </c>
      <c r="V14" s="79">
        <f>(AP14*KFC!$B$37+KFC!$C$37)*KFC!$C$5</f>
        <v>119.01999999999995</v>
      </c>
      <c r="X14" s="851">
        <v>1.1000000000000001</v>
      </c>
      <c r="Y14" s="847">
        <v>35.79</v>
      </c>
      <c r="Z14" s="847">
        <v>40.729999999999997</v>
      </c>
      <c r="AA14" s="847">
        <v>45.54</v>
      </c>
      <c r="AB14" s="847">
        <v>50.6</v>
      </c>
      <c r="AC14" s="847">
        <v>55.54</v>
      </c>
      <c r="AD14" s="847">
        <v>60.48</v>
      </c>
      <c r="AE14" s="847">
        <v>65.42</v>
      </c>
      <c r="AF14" s="847">
        <v>70.349999999999994</v>
      </c>
      <c r="AG14" s="847">
        <v>75.28</v>
      </c>
      <c r="AH14" s="847">
        <v>80.34</v>
      </c>
      <c r="AI14" s="847">
        <v>85.28</v>
      </c>
      <c r="AJ14" s="848">
        <v>90.1</v>
      </c>
      <c r="AK14" s="690">
        <f t="shared" si="1"/>
        <v>94.919999999999987</v>
      </c>
      <c r="AL14" s="690">
        <f t="shared" si="0"/>
        <v>99.739999999999981</v>
      </c>
      <c r="AM14" s="690">
        <f t="shared" si="0"/>
        <v>104.55999999999997</v>
      </c>
      <c r="AN14" s="690">
        <f t="shared" si="0"/>
        <v>109.37999999999997</v>
      </c>
      <c r="AO14" s="690">
        <f t="shared" si="0"/>
        <v>114.19999999999996</v>
      </c>
      <c r="AP14" s="690">
        <f t="shared" si="0"/>
        <v>119.01999999999995</v>
      </c>
      <c r="AQ14" s="690">
        <f t="shared" si="0"/>
        <v>123.83999999999995</v>
      </c>
      <c r="AR14" s="690">
        <f t="shared" si="0"/>
        <v>128.65999999999994</v>
      </c>
    </row>
    <row r="15" spans="1:44">
      <c r="A15" s="1828"/>
      <c r="B15" s="1967"/>
      <c r="C15" s="1968"/>
      <c r="D15" s="262">
        <v>1.2</v>
      </c>
      <c r="E15" s="80">
        <f>(Y15*KFC!$B$37+KFC!$C$37)*KFC!$C$5</f>
        <v>37.76</v>
      </c>
      <c r="F15" s="79">
        <f>(Z15*KFC!$B$37+KFC!$C$37)*KFC!$C$5</f>
        <v>43.08</v>
      </c>
      <c r="G15" s="79">
        <f>(AA15*KFC!$B$37+KFC!$C$37)*KFC!$C$5</f>
        <v>48.14</v>
      </c>
      <c r="H15" s="79">
        <f>(AB15*KFC!$B$37+KFC!$C$37)*KFC!$C$5</f>
        <v>53.45</v>
      </c>
      <c r="I15" s="79">
        <f>(AC15*KFC!$B$37+KFC!$C$37)*KFC!$C$5</f>
        <v>58.63</v>
      </c>
      <c r="J15" s="79">
        <f>(AD15*KFC!$B$37+KFC!$C$37)*KFC!$C$5</f>
        <v>63.8</v>
      </c>
      <c r="K15" s="79">
        <f>(AE15*KFC!$B$37+KFC!$C$37)*KFC!$C$5</f>
        <v>68.989999999999995</v>
      </c>
      <c r="L15" s="79">
        <f>(AF15*KFC!$B$37+KFC!$C$37)*KFC!$C$5</f>
        <v>74.290000000000006</v>
      </c>
      <c r="M15" s="79">
        <f>(AG15*KFC!$B$37+KFC!$C$37)*KFC!$C$5</f>
        <v>79.37</v>
      </c>
      <c r="N15" s="79">
        <f>(AH15*KFC!$B$37+KFC!$C$37)*KFC!$C$5</f>
        <v>84.67</v>
      </c>
      <c r="O15" s="79">
        <f>(AI15*KFC!$B$37+KFC!$C$37)*KFC!$C$5</f>
        <v>89.86</v>
      </c>
      <c r="P15" s="79">
        <f>(AJ15*KFC!$B$37+KFC!$C$37)*KFC!$C$5</f>
        <v>95.03</v>
      </c>
      <c r="Q15" s="79">
        <f>(AK15*KFC!$B$37+KFC!$C$37)*KFC!$C$5</f>
        <v>100.2</v>
      </c>
      <c r="R15" s="79">
        <f>(AL15*KFC!$B$37+KFC!$C$37)*KFC!$C$5</f>
        <v>105.37</v>
      </c>
      <c r="S15" s="79">
        <f>(AM15*KFC!$B$37+KFC!$C$37)*KFC!$C$5</f>
        <v>110.54</v>
      </c>
      <c r="T15" s="79">
        <f>(AN15*KFC!$B$37+KFC!$C$37)*KFC!$C$5</f>
        <v>115.71000000000001</v>
      </c>
      <c r="U15" s="79">
        <f>(AO15*KFC!$B$37+KFC!$C$37)*KFC!$C$5</f>
        <v>120.88000000000001</v>
      </c>
      <c r="V15" s="79">
        <f>(AP15*KFC!$B$37+KFC!$C$37)*KFC!$C$5</f>
        <v>126.05000000000001</v>
      </c>
      <c r="X15" s="851">
        <v>1.2</v>
      </c>
      <c r="Y15" s="847">
        <v>37.76</v>
      </c>
      <c r="Z15" s="847">
        <v>43.08</v>
      </c>
      <c r="AA15" s="847">
        <v>48.14</v>
      </c>
      <c r="AB15" s="847">
        <v>53.45</v>
      </c>
      <c r="AC15" s="847">
        <v>58.63</v>
      </c>
      <c r="AD15" s="847">
        <v>63.8</v>
      </c>
      <c r="AE15" s="847">
        <v>68.989999999999995</v>
      </c>
      <c r="AF15" s="847">
        <v>74.290000000000006</v>
      </c>
      <c r="AG15" s="847">
        <v>79.37</v>
      </c>
      <c r="AH15" s="847">
        <v>84.67</v>
      </c>
      <c r="AI15" s="847">
        <v>89.86</v>
      </c>
      <c r="AJ15" s="848">
        <v>95.03</v>
      </c>
      <c r="AK15" s="690">
        <f t="shared" si="1"/>
        <v>100.2</v>
      </c>
      <c r="AL15" s="690">
        <f t="shared" si="0"/>
        <v>105.37</v>
      </c>
      <c r="AM15" s="690">
        <f t="shared" si="0"/>
        <v>110.54</v>
      </c>
      <c r="AN15" s="690">
        <f t="shared" si="0"/>
        <v>115.71000000000001</v>
      </c>
      <c r="AO15" s="690">
        <f t="shared" si="0"/>
        <v>120.88000000000001</v>
      </c>
      <c r="AP15" s="690">
        <f t="shared" si="0"/>
        <v>126.05000000000001</v>
      </c>
      <c r="AQ15" s="690">
        <f t="shared" si="0"/>
        <v>131.22000000000003</v>
      </c>
      <c r="AR15" s="690">
        <f t="shared" si="0"/>
        <v>136.39000000000004</v>
      </c>
    </row>
    <row r="16" spans="1:44">
      <c r="A16" s="1828"/>
      <c r="B16" s="1967"/>
      <c r="C16" s="1968"/>
      <c r="D16" s="262">
        <v>1.3</v>
      </c>
      <c r="E16" s="80">
        <f>(Y16*KFC!$B$37+KFC!$C$37)*KFC!$C$5</f>
        <v>39.729999999999997</v>
      </c>
      <c r="F16" s="79">
        <f>(Z16*KFC!$B$37+KFC!$C$37)*KFC!$C$5</f>
        <v>45.29</v>
      </c>
      <c r="G16" s="79">
        <f>(AA16*KFC!$B$37+KFC!$C$37)*KFC!$C$5</f>
        <v>50.72</v>
      </c>
      <c r="H16" s="79">
        <f>(AB16*KFC!$B$37+KFC!$C$37)*KFC!$C$5</f>
        <v>56.16</v>
      </c>
      <c r="I16" s="79">
        <f>(AC16*KFC!$B$37+KFC!$C$37)*KFC!$C$5</f>
        <v>61.59</v>
      </c>
      <c r="J16" s="79">
        <f>(AD16*KFC!$B$37+KFC!$C$37)*KFC!$C$5</f>
        <v>67.14</v>
      </c>
      <c r="K16" s="79">
        <f>(AE16*KFC!$B$37+KFC!$C$37)*KFC!$C$5</f>
        <v>72.58</v>
      </c>
      <c r="L16" s="79">
        <f>(AF16*KFC!$B$37+KFC!$C$37)*KFC!$C$5</f>
        <v>78</v>
      </c>
      <c r="M16" s="79">
        <f>(AG16*KFC!$B$37+KFC!$C$37)*KFC!$C$5</f>
        <v>83.44</v>
      </c>
      <c r="N16" s="79">
        <f>(AH16*KFC!$B$37+KFC!$C$37)*KFC!$C$5</f>
        <v>89.1</v>
      </c>
      <c r="O16" s="79">
        <f>(AI16*KFC!$B$37+KFC!$C$37)*KFC!$C$5</f>
        <v>94.53</v>
      </c>
      <c r="P16" s="79">
        <f>(AJ16*KFC!$B$37+KFC!$C$37)*KFC!$C$5</f>
        <v>99.97</v>
      </c>
      <c r="Q16" s="79">
        <f>(AK16*KFC!$B$37+KFC!$C$37)*KFC!$C$5</f>
        <v>105.41</v>
      </c>
      <c r="R16" s="79">
        <f>(AL16*KFC!$B$37+KFC!$C$37)*KFC!$C$5</f>
        <v>110.85</v>
      </c>
      <c r="S16" s="79">
        <f>(AM16*KFC!$B$37+KFC!$C$37)*KFC!$C$5</f>
        <v>116.28999999999999</v>
      </c>
      <c r="T16" s="79">
        <f>(AN16*KFC!$B$37+KFC!$C$37)*KFC!$C$5</f>
        <v>121.72999999999999</v>
      </c>
      <c r="U16" s="79">
        <f>(AO16*KFC!$B$37+KFC!$C$37)*KFC!$C$5</f>
        <v>127.16999999999999</v>
      </c>
      <c r="V16" s="79">
        <f>(AP16*KFC!$B$37+KFC!$C$37)*KFC!$C$5</f>
        <v>132.60999999999999</v>
      </c>
      <c r="X16" s="851">
        <v>1.3</v>
      </c>
      <c r="Y16" s="847">
        <v>39.729999999999997</v>
      </c>
      <c r="Z16" s="847">
        <v>45.29</v>
      </c>
      <c r="AA16" s="847">
        <v>50.72</v>
      </c>
      <c r="AB16" s="847">
        <v>56.16</v>
      </c>
      <c r="AC16" s="847">
        <v>61.59</v>
      </c>
      <c r="AD16" s="847">
        <v>67.14</v>
      </c>
      <c r="AE16" s="847">
        <v>72.58</v>
      </c>
      <c r="AF16" s="847">
        <v>78</v>
      </c>
      <c r="AG16" s="847">
        <v>83.44</v>
      </c>
      <c r="AH16" s="847">
        <v>89.1</v>
      </c>
      <c r="AI16" s="847">
        <v>94.53</v>
      </c>
      <c r="AJ16" s="848">
        <v>99.97</v>
      </c>
      <c r="AK16" s="690">
        <f t="shared" si="1"/>
        <v>105.41</v>
      </c>
      <c r="AL16" s="690">
        <f t="shared" si="0"/>
        <v>110.85</v>
      </c>
      <c r="AM16" s="690">
        <f t="shared" si="0"/>
        <v>116.28999999999999</v>
      </c>
      <c r="AN16" s="690">
        <f t="shared" si="0"/>
        <v>121.72999999999999</v>
      </c>
      <c r="AO16" s="690">
        <f t="shared" si="0"/>
        <v>127.16999999999999</v>
      </c>
      <c r="AP16" s="690">
        <f t="shared" si="0"/>
        <v>132.60999999999999</v>
      </c>
      <c r="AQ16" s="690">
        <f t="shared" si="0"/>
        <v>138.04999999999998</v>
      </c>
      <c r="AR16" s="690">
        <f t="shared" si="0"/>
        <v>143.48999999999998</v>
      </c>
    </row>
    <row r="17" spans="1:44">
      <c r="A17" s="1828"/>
      <c r="B17" s="1967"/>
      <c r="C17" s="1968"/>
      <c r="D17" s="262">
        <v>1.4</v>
      </c>
      <c r="E17" s="80">
        <f>(Y17*KFC!$B$37+KFC!$C$37)*KFC!$C$5</f>
        <v>41.84</v>
      </c>
      <c r="F17" s="79">
        <f>(Z17*KFC!$B$37+KFC!$C$37)*KFC!$C$5</f>
        <v>47.52</v>
      </c>
      <c r="G17" s="79">
        <f>(AA17*KFC!$B$37+KFC!$C$37)*KFC!$C$5</f>
        <v>53.32</v>
      </c>
      <c r="H17" s="79">
        <f>(AB17*KFC!$B$37+KFC!$C$37)*KFC!$C$5</f>
        <v>59</v>
      </c>
      <c r="I17" s="79">
        <f>(AC17*KFC!$B$37+KFC!$C$37)*KFC!$C$5</f>
        <v>64.8</v>
      </c>
      <c r="J17" s="79">
        <f>(AD17*KFC!$B$37+KFC!$C$37)*KFC!$C$5</f>
        <v>70.47</v>
      </c>
      <c r="K17" s="79">
        <f>(AE17*KFC!$B$37+KFC!$C$37)*KFC!$C$5</f>
        <v>76.27</v>
      </c>
      <c r="L17" s="79">
        <f>(AF17*KFC!$B$37+KFC!$C$37)*KFC!$C$5</f>
        <v>81.95</v>
      </c>
      <c r="M17" s="79">
        <f>(AG17*KFC!$B$37+KFC!$C$37)*KFC!$C$5</f>
        <v>87.75</v>
      </c>
      <c r="N17" s="79">
        <f>(AH17*KFC!$B$37+KFC!$C$37)*KFC!$C$5</f>
        <v>93.42</v>
      </c>
      <c r="O17" s="79">
        <f>(AI17*KFC!$B$37+KFC!$C$37)*KFC!$C$5</f>
        <v>98.98</v>
      </c>
      <c r="P17" s="79">
        <f>(AJ17*KFC!$B$37+KFC!$C$37)*KFC!$C$5</f>
        <v>104.79</v>
      </c>
      <c r="Q17" s="79">
        <f>(AK17*KFC!$B$37+KFC!$C$37)*KFC!$C$5</f>
        <v>110.60000000000001</v>
      </c>
      <c r="R17" s="79">
        <f>(AL17*KFC!$B$37+KFC!$C$37)*KFC!$C$5</f>
        <v>116.41000000000001</v>
      </c>
      <c r="S17" s="79">
        <f>(AM17*KFC!$B$37+KFC!$C$37)*KFC!$C$5</f>
        <v>122.22000000000001</v>
      </c>
      <c r="T17" s="79">
        <f>(AN17*KFC!$B$37+KFC!$C$37)*KFC!$C$5</f>
        <v>128.03000000000003</v>
      </c>
      <c r="U17" s="79">
        <f>(AO17*KFC!$B$37+KFC!$C$37)*KFC!$C$5</f>
        <v>133.84000000000003</v>
      </c>
      <c r="V17" s="79">
        <f>(AP17*KFC!$B$37+KFC!$C$37)*KFC!$C$5</f>
        <v>139.65000000000003</v>
      </c>
      <c r="X17" s="851">
        <v>1.4</v>
      </c>
      <c r="Y17" s="847">
        <v>41.84</v>
      </c>
      <c r="Z17" s="847">
        <v>47.52</v>
      </c>
      <c r="AA17" s="847">
        <v>53.32</v>
      </c>
      <c r="AB17" s="847">
        <v>59</v>
      </c>
      <c r="AC17" s="847">
        <v>64.8</v>
      </c>
      <c r="AD17" s="847">
        <v>70.47</v>
      </c>
      <c r="AE17" s="847">
        <v>76.27</v>
      </c>
      <c r="AF17" s="847">
        <v>81.95</v>
      </c>
      <c r="AG17" s="847">
        <v>87.75</v>
      </c>
      <c r="AH17" s="847">
        <v>93.42</v>
      </c>
      <c r="AI17" s="847">
        <v>98.98</v>
      </c>
      <c r="AJ17" s="848">
        <v>104.79</v>
      </c>
      <c r="AK17" s="690">
        <f t="shared" si="1"/>
        <v>110.60000000000001</v>
      </c>
      <c r="AL17" s="690">
        <f t="shared" si="0"/>
        <v>116.41000000000001</v>
      </c>
      <c r="AM17" s="690">
        <f t="shared" si="0"/>
        <v>122.22000000000001</v>
      </c>
      <c r="AN17" s="690">
        <f t="shared" si="0"/>
        <v>128.03000000000003</v>
      </c>
      <c r="AO17" s="690">
        <f t="shared" si="0"/>
        <v>133.84000000000003</v>
      </c>
      <c r="AP17" s="690">
        <f t="shared" si="0"/>
        <v>139.65000000000003</v>
      </c>
      <c r="AQ17" s="690">
        <f t="shared" si="0"/>
        <v>145.46000000000004</v>
      </c>
      <c r="AR17" s="690">
        <f t="shared" si="0"/>
        <v>151.27000000000004</v>
      </c>
    </row>
    <row r="18" spans="1:44">
      <c r="A18" s="1828"/>
      <c r="B18" s="1967"/>
      <c r="C18" s="1968"/>
      <c r="D18" s="262">
        <v>1.5</v>
      </c>
      <c r="E18" s="80">
        <f>(Y18*KFC!$B$37+KFC!$C$37)*KFC!$C$5</f>
        <v>43.81</v>
      </c>
      <c r="F18" s="79">
        <f>(Z18*KFC!$B$37+KFC!$C$37)*KFC!$C$5</f>
        <v>49.86</v>
      </c>
      <c r="G18" s="79">
        <f>(AA18*KFC!$B$37+KFC!$C$37)*KFC!$C$5</f>
        <v>55.66</v>
      </c>
      <c r="H18" s="79">
        <f>(AB18*KFC!$B$37+KFC!$C$37)*KFC!$C$5</f>
        <v>61.71</v>
      </c>
      <c r="I18" s="79">
        <f>(AC18*KFC!$B$37+KFC!$C$37)*KFC!$C$5</f>
        <v>67.760000000000005</v>
      </c>
      <c r="J18" s="79">
        <f>(AD18*KFC!$B$37+KFC!$C$37)*KFC!$C$5</f>
        <v>73.81</v>
      </c>
      <c r="K18" s="79">
        <f>(AE18*KFC!$B$37+KFC!$C$37)*KFC!$C$5</f>
        <v>79.73</v>
      </c>
      <c r="L18" s="79">
        <f>(AF18*KFC!$B$37+KFC!$C$37)*KFC!$C$5</f>
        <v>85.78</v>
      </c>
      <c r="M18" s="79">
        <f>(AG18*KFC!$B$37+KFC!$C$37)*KFC!$C$5</f>
        <v>91.83</v>
      </c>
      <c r="N18" s="79">
        <f>(AH18*KFC!$B$37+KFC!$C$37)*KFC!$C$5</f>
        <v>97.63</v>
      </c>
      <c r="O18" s="79">
        <f>(AI18*KFC!$B$37+KFC!$C$37)*KFC!$C$5</f>
        <v>103.68</v>
      </c>
      <c r="P18" s="79">
        <f>(AJ18*KFC!$B$37+KFC!$C$37)*KFC!$C$5</f>
        <v>109.73</v>
      </c>
      <c r="Q18" s="79">
        <f>(AK18*KFC!$B$37+KFC!$C$37)*KFC!$C$5</f>
        <v>115.78</v>
      </c>
      <c r="R18" s="79">
        <f>(AL18*KFC!$B$37+KFC!$C$37)*KFC!$C$5</f>
        <v>121.83</v>
      </c>
      <c r="S18" s="79">
        <f>(AM18*KFC!$B$37+KFC!$C$37)*KFC!$C$5</f>
        <v>127.88</v>
      </c>
      <c r="T18" s="79">
        <f>(AN18*KFC!$B$37+KFC!$C$37)*KFC!$C$5</f>
        <v>133.93</v>
      </c>
      <c r="U18" s="79">
        <f>(AO18*KFC!$B$37+KFC!$C$37)*KFC!$C$5</f>
        <v>139.98000000000002</v>
      </c>
      <c r="V18" s="79">
        <f>(AP18*KFC!$B$37+KFC!$C$37)*KFC!$C$5</f>
        <v>146.03000000000003</v>
      </c>
      <c r="X18" s="851">
        <v>1.5</v>
      </c>
      <c r="Y18" s="847">
        <v>43.81</v>
      </c>
      <c r="Z18" s="847">
        <v>49.86</v>
      </c>
      <c r="AA18" s="847">
        <v>55.66</v>
      </c>
      <c r="AB18" s="847">
        <v>61.71</v>
      </c>
      <c r="AC18" s="847">
        <v>67.760000000000005</v>
      </c>
      <c r="AD18" s="847">
        <v>73.81</v>
      </c>
      <c r="AE18" s="847">
        <v>79.73</v>
      </c>
      <c r="AF18" s="847">
        <v>85.78</v>
      </c>
      <c r="AG18" s="847">
        <v>91.83</v>
      </c>
      <c r="AH18" s="847">
        <v>97.63</v>
      </c>
      <c r="AI18" s="847">
        <v>103.68</v>
      </c>
      <c r="AJ18" s="848">
        <v>109.73</v>
      </c>
      <c r="AK18" s="690">
        <f t="shared" si="1"/>
        <v>115.78</v>
      </c>
      <c r="AL18" s="690">
        <f t="shared" si="0"/>
        <v>121.83</v>
      </c>
      <c r="AM18" s="690">
        <f t="shared" si="0"/>
        <v>127.88</v>
      </c>
      <c r="AN18" s="690">
        <f t="shared" si="0"/>
        <v>133.93</v>
      </c>
      <c r="AO18" s="690">
        <f t="shared" si="0"/>
        <v>139.98000000000002</v>
      </c>
      <c r="AP18" s="690">
        <f t="shared" si="0"/>
        <v>146.03000000000003</v>
      </c>
      <c r="AQ18" s="690">
        <f t="shared" si="0"/>
        <v>152.08000000000004</v>
      </c>
      <c r="AR18" s="690">
        <f t="shared" si="0"/>
        <v>158.13000000000005</v>
      </c>
    </row>
    <row r="19" spans="1:44">
      <c r="A19" s="1828"/>
      <c r="B19" s="1967"/>
      <c r="C19" s="1968"/>
      <c r="D19" s="262">
        <v>1.6</v>
      </c>
      <c r="E19" s="80">
        <f>(Y19*KFC!$B$37+KFC!$C$37)*KFC!$C$5</f>
        <v>45.78</v>
      </c>
      <c r="F19" s="79">
        <f>(Z19*KFC!$B$37+KFC!$C$37)*KFC!$C$5</f>
        <v>52.07</v>
      </c>
      <c r="G19" s="79">
        <f>(AA19*KFC!$B$37+KFC!$C$37)*KFC!$C$5</f>
        <v>58.25</v>
      </c>
      <c r="H19" s="79">
        <f>(AB19*KFC!$B$37+KFC!$C$37)*KFC!$C$5</f>
        <v>64.56</v>
      </c>
      <c r="I19" s="79">
        <f>(AC19*KFC!$B$37+KFC!$C$37)*KFC!$C$5</f>
        <v>70.849999999999994</v>
      </c>
      <c r="J19" s="79">
        <f>(AD19*KFC!$B$37+KFC!$C$37)*KFC!$C$5</f>
        <v>77.14</v>
      </c>
      <c r="K19" s="79">
        <f>(AE19*KFC!$B$37+KFC!$C$37)*KFC!$C$5</f>
        <v>83.31</v>
      </c>
      <c r="L19" s="79">
        <f>(AF19*KFC!$B$37+KFC!$C$37)*KFC!$C$5</f>
        <v>89.49</v>
      </c>
      <c r="M19" s="79">
        <f>(AG19*KFC!$B$37+KFC!$C$37)*KFC!$C$5</f>
        <v>95.9</v>
      </c>
      <c r="N19" s="79">
        <f>(AH19*KFC!$B$37+KFC!$C$37)*KFC!$C$5</f>
        <v>102.07</v>
      </c>
      <c r="O19" s="79">
        <f>(AI19*KFC!$B$37+KFC!$C$37)*KFC!$C$5</f>
        <v>108.37</v>
      </c>
      <c r="P19" s="79">
        <f>(AJ19*KFC!$B$37+KFC!$C$37)*KFC!$C$5</f>
        <v>114.54</v>
      </c>
      <c r="Q19" s="79">
        <f>(AK19*KFC!$B$37+KFC!$C$37)*KFC!$C$5</f>
        <v>120.71000000000001</v>
      </c>
      <c r="R19" s="79">
        <f>(AL19*KFC!$B$37+KFC!$C$37)*KFC!$C$5</f>
        <v>126.88000000000001</v>
      </c>
      <c r="S19" s="79">
        <f>(AM19*KFC!$B$37+KFC!$C$37)*KFC!$C$5</f>
        <v>133.05000000000001</v>
      </c>
      <c r="T19" s="79">
        <f>(AN19*KFC!$B$37+KFC!$C$37)*KFC!$C$5</f>
        <v>139.22000000000003</v>
      </c>
      <c r="U19" s="79">
        <f>(AO19*KFC!$B$37+KFC!$C$37)*KFC!$C$5</f>
        <v>145.39000000000004</v>
      </c>
      <c r="V19" s="79">
        <f>(AP19*KFC!$B$37+KFC!$C$37)*KFC!$C$5</f>
        <v>151.56000000000006</v>
      </c>
      <c r="X19" s="851">
        <v>1.6</v>
      </c>
      <c r="Y19" s="847">
        <v>45.78</v>
      </c>
      <c r="Z19" s="847">
        <v>52.07</v>
      </c>
      <c r="AA19" s="847">
        <v>58.25</v>
      </c>
      <c r="AB19" s="847">
        <v>64.56</v>
      </c>
      <c r="AC19" s="847">
        <v>70.849999999999994</v>
      </c>
      <c r="AD19" s="847">
        <v>77.14</v>
      </c>
      <c r="AE19" s="847">
        <v>83.31</v>
      </c>
      <c r="AF19" s="847">
        <v>89.49</v>
      </c>
      <c r="AG19" s="847">
        <v>95.9</v>
      </c>
      <c r="AH19" s="847">
        <v>102.07</v>
      </c>
      <c r="AI19" s="847">
        <v>108.37</v>
      </c>
      <c r="AJ19" s="848">
        <v>114.54</v>
      </c>
      <c r="AK19" s="690">
        <f t="shared" si="1"/>
        <v>120.71000000000001</v>
      </c>
      <c r="AL19" s="690">
        <f t="shared" si="0"/>
        <v>126.88000000000001</v>
      </c>
      <c r="AM19" s="690">
        <f t="shared" si="0"/>
        <v>133.05000000000001</v>
      </c>
      <c r="AN19" s="690">
        <f t="shared" si="0"/>
        <v>139.22000000000003</v>
      </c>
      <c r="AO19" s="690">
        <f t="shared" si="0"/>
        <v>145.39000000000004</v>
      </c>
      <c r="AP19" s="690">
        <f t="shared" si="0"/>
        <v>151.56000000000006</v>
      </c>
      <c r="AQ19" s="690">
        <f t="shared" si="0"/>
        <v>157.73000000000008</v>
      </c>
      <c r="AR19" s="690">
        <f t="shared" si="0"/>
        <v>163.90000000000009</v>
      </c>
    </row>
    <row r="20" spans="1:44" ht="13.5" customHeight="1">
      <c r="A20" s="1828"/>
      <c r="B20" s="1967"/>
      <c r="C20" s="1968"/>
      <c r="D20" s="262">
        <v>1.7</v>
      </c>
      <c r="E20" s="80">
        <f>(Y20*KFC!$B$37+KFC!$C$37)*KFC!$C$5</f>
        <v>47.89</v>
      </c>
      <c r="F20" s="79">
        <f>(Z20*KFC!$B$37+KFC!$C$37)*KFC!$C$5</f>
        <v>54.31</v>
      </c>
      <c r="G20" s="79">
        <f>(AA20*KFC!$B$37+KFC!$C$37)*KFC!$C$5</f>
        <v>60.85</v>
      </c>
      <c r="H20" s="79">
        <f>(AB20*KFC!$B$37+KFC!$C$37)*KFC!$C$5</f>
        <v>67.27</v>
      </c>
      <c r="I20" s="79">
        <f>(AC20*KFC!$B$37+KFC!$C$37)*KFC!$C$5</f>
        <v>73.81</v>
      </c>
      <c r="J20" s="79">
        <f>(AD20*KFC!$B$37+KFC!$C$37)*KFC!$C$5</f>
        <v>80.47</v>
      </c>
      <c r="K20" s="79">
        <f>(AE20*KFC!$B$37+KFC!$C$37)*KFC!$C$5</f>
        <v>86.89</v>
      </c>
      <c r="L20" s="79">
        <f>(AF20*KFC!$B$37+KFC!$C$37)*KFC!$C$5</f>
        <v>93.42</v>
      </c>
      <c r="M20" s="79">
        <f>(AG20*KFC!$B$37+KFC!$C$37)*KFC!$C$5</f>
        <v>99.97</v>
      </c>
      <c r="N20" s="79">
        <f>(AH20*KFC!$B$37+KFC!$C$37)*KFC!$C$5</f>
        <v>106.38</v>
      </c>
      <c r="O20" s="79">
        <f>(AI20*KFC!$B$37+KFC!$C$37)*KFC!$C$5</f>
        <v>112.93</v>
      </c>
      <c r="P20" s="79">
        <f>(AJ20*KFC!$B$37+KFC!$C$37)*KFC!$C$5</f>
        <v>119.59</v>
      </c>
      <c r="Q20" s="79">
        <f>(AK20*KFC!$B$37+KFC!$C$37)*KFC!$C$5</f>
        <v>126.25</v>
      </c>
      <c r="R20" s="79">
        <f>(AL20*KFC!$B$37+KFC!$C$37)*KFC!$C$5</f>
        <v>132.91</v>
      </c>
      <c r="S20" s="79">
        <f>(AM20*KFC!$B$37+KFC!$C$37)*KFC!$C$5</f>
        <v>139.57</v>
      </c>
      <c r="T20" s="79">
        <f>(AN20*KFC!$B$37+KFC!$C$37)*KFC!$C$5</f>
        <v>146.22999999999999</v>
      </c>
      <c r="U20" s="79">
        <f>(AO20*KFC!$B$37+KFC!$C$37)*KFC!$C$5</f>
        <v>152.88999999999999</v>
      </c>
      <c r="V20" s="79">
        <f>(AP20*KFC!$B$37+KFC!$C$37)*KFC!$C$5</f>
        <v>159.54999999999998</v>
      </c>
      <c r="X20" s="851">
        <v>1.7</v>
      </c>
      <c r="Y20" s="847">
        <v>47.89</v>
      </c>
      <c r="Z20" s="847">
        <v>54.31</v>
      </c>
      <c r="AA20" s="847">
        <v>60.85</v>
      </c>
      <c r="AB20" s="847">
        <v>67.27</v>
      </c>
      <c r="AC20" s="847">
        <v>73.81</v>
      </c>
      <c r="AD20" s="847">
        <v>80.47</v>
      </c>
      <c r="AE20" s="847">
        <v>86.89</v>
      </c>
      <c r="AF20" s="847">
        <v>93.42</v>
      </c>
      <c r="AG20" s="847">
        <v>99.97</v>
      </c>
      <c r="AH20" s="847">
        <v>106.38</v>
      </c>
      <c r="AI20" s="847">
        <v>112.93</v>
      </c>
      <c r="AJ20" s="848">
        <v>119.59</v>
      </c>
      <c r="AK20" s="690">
        <f t="shared" si="1"/>
        <v>126.25</v>
      </c>
      <c r="AL20" s="690">
        <f t="shared" si="0"/>
        <v>132.91</v>
      </c>
      <c r="AM20" s="690">
        <f t="shared" si="0"/>
        <v>139.57</v>
      </c>
      <c r="AN20" s="690">
        <f t="shared" si="0"/>
        <v>146.22999999999999</v>
      </c>
      <c r="AO20" s="690">
        <f t="shared" si="0"/>
        <v>152.88999999999999</v>
      </c>
      <c r="AP20" s="690">
        <f t="shared" si="0"/>
        <v>159.54999999999998</v>
      </c>
      <c r="AQ20" s="690">
        <f t="shared" si="0"/>
        <v>166.20999999999998</v>
      </c>
      <c r="AR20" s="690">
        <f t="shared" si="0"/>
        <v>172.86999999999998</v>
      </c>
    </row>
    <row r="21" spans="1:44" ht="13.8" thickBot="1">
      <c r="A21" s="1829"/>
      <c r="B21" s="1969"/>
      <c r="C21" s="1970"/>
      <c r="D21" s="263">
        <v>1.8</v>
      </c>
      <c r="E21" s="89">
        <f>(Y21*KFC!$B$37+KFC!$C$37)*KFC!$C$5</f>
        <v>49.86</v>
      </c>
      <c r="F21" s="87">
        <f>(Z21*KFC!$B$37+KFC!$C$37)*KFC!$C$5</f>
        <v>56.65</v>
      </c>
      <c r="G21" s="87">
        <f>(AA21*KFC!$B$37+KFC!$C$37)*KFC!$C$5</f>
        <v>63.44</v>
      </c>
      <c r="H21" s="87">
        <f>(AB21*KFC!$B$37+KFC!$C$37)*KFC!$C$5</f>
        <v>70.22</v>
      </c>
      <c r="I21" s="87">
        <f>(AC21*KFC!$B$37+KFC!$C$37)*KFC!$C$5</f>
        <v>77.02</v>
      </c>
      <c r="J21" s="87">
        <f>(AD21*KFC!$B$37+KFC!$C$37)*KFC!$C$5</f>
        <v>83.81</v>
      </c>
      <c r="K21" s="87">
        <f>(AE21*KFC!$B$37+KFC!$C$37)*KFC!$C$5</f>
        <v>90.48</v>
      </c>
      <c r="L21" s="87">
        <f>(AF21*KFC!$B$37+KFC!$C$37)*KFC!$C$5</f>
        <v>97.26</v>
      </c>
      <c r="M21" s="87">
        <f>(AG21*KFC!$B$37+KFC!$C$37)*KFC!$C$5</f>
        <v>104.05</v>
      </c>
      <c r="N21" s="87">
        <f>(AH21*KFC!$B$37+KFC!$C$37)*KFC!$C$5</f>
        <v>110.84</v>
      </c>
      <c r="O21" s="87">
        <f>(AI21*KFC!$B$37+KFC!$C$37)*KFC!$C$5</f>
        <v>117.62</v>
      </c>
      <c r="P21" s="87">
        <f>(AJ21*KFC!$B$37+KFC!$C$37)*KFC!$C$5</f>
        <v>124.41</v>
      </c>
      <c r="Q21" s="87">
        <f>(AK21*KFC!$B$37+KFC!$C$37)*KFC!$C$5</f>
        <v>131.19999999999999</v>
      </c>
      <c r="R21" s="87">
        <f>(AL21*KFC!$B$37+KFC!$C$37)*KFC!$C$5</f>
        <v>137.98999999999998</v>
      </c>
      <c r="S21" s="87">
        <f>(AM21*KFC!$B$37+KFC!$C$37)*KFC!$C$5</f>
        <v>144.77999999999997</v>
      </c>
      <c r="T21" s="87">
        <f>(AN21*KFC!$B$37+KFC!$C$37)*KFC!$C$5</f>
        <v>151.56999999999996</v>
      </c>
      <c r="U21" s="87">
        <f>(AO21*KFC!$B$37+KFC!$C$37)*KFC!$C$5</f>
        <v>158.35999999999996</v>
      </c>
      <c r="V21" s="87">
        <f>(AP21*KFC!$B$37+KFC!$C$37)*KFC!$C$5</f>
        <v>165.14999999999995</v>
      </c>
      <c r="X21" s="851">
        <v>1.8</v>
      </c>
      <c r="Y21" s="847">
        <v>49.86</v>
      </c>
      <c r="Z21" s="847">
        <v>56.65</v>
      </c>
      <c r="AA21" s="847">
        <v>63.44</v>
      </c>
      <c r="AB21" s="847">
        <v>70.22</v>
      </c>
      <c r="AC21" s="847">
        <v>77.02</v>
      </c>
      <c r="AD21" s="847">
        <v>83.81</v>
      </c>
      <c r="AE21" s="847">
        <v>90.48</v>
      </c>
      <c r="AF21" s="847">
        <v>97.26</v>
      </c>
      <c r="AG21" s="847">
        <v>104.05</v>
      </c>
      <c r="AH21" s="847">
        <v>110.84</v>
      </c>
      <c r="AI21" s="847">
        <v>117.62</v>
      </c>
      <c r="AJ21" s="848">
        <v>124.41</v>
      </c>
      <c r="AK21" s="690">
        <f t="shared" si="1"/>
        <v>131.19999999999999</v>
      </c>
      <c r="AL21" s="690">
        <f t="shared" si="0"/>
        <v>137.98999999999998</v>
      </c>
      <c r="AM21" s="690">
        <f t="shared" si="0"/>
        <v>144.77999999999997</v>
      </c>
      <c r="AN21" s="690">
        <f t="shared" si="0"/>
        <v>151.56999999999996</v>
      </c>
      <c r="AO21" s="690">
        <f t="shared" si="0"/>
        <v>158.35999999999996</v>
      </c>
      <c r="AP21" s="690">
        <f t="shared" si="0"/>
        <v>165.14999999999995</v>
      </c>
      <c r="AQ21" s="690">
        <f t="shared" si="0"/>
        <v>171.93999999999994</v>
      </c>
      <c r="AR21" s="690">
        <f t="shared" si="0"/>
        <v>178.72999999999993</v>
      </c>
    </row>
    <row r="22" spans="1:44" ht="12.75" customHeight="1" thickBot="1">
      <c r="A22" s="66"/>
      <c r="B22" s="66"/>
      <c r="E22" s="66"/>
      <c r="F22" s="66"/>
      <c r="G22" s="66"/>
      <c r="H22" s="66"/>
      <c r="I22" s="66"/>
      <c r="J22" s="66"/>
      <c r="K22" s="66"/>
      <c r="L22" s="66"/>
      <c r="M22" s="66"/>
      <c r="N22" s="66"/>
      <c r="O22" s="66"/>
      <c r="P22" s="66"/>
    </row>
    <row r="23" spans="1:44" ht="13.5" customHeight="1" thickBot="1">
      <c r="A23" s="1413" t="s">
        <v>315</v>
      </c>
      <c r="B23" s="1414"/>
      <c r="C23" s="1414"/>
      <c r="D23" s="1415"/>
      <c r="E23" s="1534" t="s">
        <v>207</v>
      </c>
      <c r="F23" s="1535"/>
      <c r="G23" s="1535"/>
      <c r="H23" s="1535"/>
      <c r="I23" s="1535"/>
      <c r="J23" s="1535"/>
      <c r="K23" s="1535"/>
      <c r="L23" s="1535"/>
      <c r="M23" s="1535"/>
      <c r="N23" s="1535"/>
      <c r="O23" s="1535"/>
      <c r="P23" s="1535"/>
      <c r="Q23" s="1535"/>
      <c r="R23" s="1535"/>
      <c r="S23" s="1535"/>
      <c r="T23" s="1535"/>
      <c r="U23" s="1535"/>
      <c r="V23" s="1535"/>
    </row>
    <row r="24" spans="1:44" ht="13.8" thickBot="1">
      <c r="A24" s="1416"/>
      <c r="B24" s="1417"/>
      <c r="C24" s="1417"/>
      <c r="D24" s="1418"/>
      <c r="E24" s="119">
        <v>0.4</v>
      </c>
      <c r="F24" s="119">
        <v>0.5</v>
      </c>
      <c r="G24" s="119">
        <v>0.6</v>
      </c>
      <c r="H24" s="119">
        <v>0.7</v>
      </c>
      <c r="I24" s="119">
        <v>0.8</v>
      </c>
      <c r="J24" s="119">
        <v>0.9</v>
      </c>
      <c r="K24" s="119">
        <v>1</v>
      </c>
      <c r="L24" s="119">
        <v>1.1000000000000001</v>
      </c>
      <c r="M24" s="119">
        <v>1.2</v>
      </c>
      <c r="N24" s="119">
        <v>1.3</v>
      </c>
      <c r="O24" s="119">
        <v>1.4</v>
      </c>
      <c r="P24" s="119">
        <v>1.5</v>
      </c>
      <c r="Q24" s="119">
        <v>1.6</v>
      </c>
      <c r="R24" s="119">
        <v>1.7</v>
      </c>
      <c r="S24" s="119">
        <v>1.8</v>
      </c>
      <c r="T24" s="119">
        <v>1.9</v>
      </c>
      <c r="U24" s="119">
        <v>2</v>
      </c>
      <c r="V24" s="119">
        <v>2.1</v>
      </c>
      <c r="X24" s="850"/>
      <c r="Y24" s="851">
        <v>0.4</v>
      </c>
      <c r="Z24" s="851">
        <v>0.5</v>
      </c>
      <c r="AA24" s="851">
        <v>0.6</v>
      </c>
      <c r="AB24" s="851">
        <v>0.7</v>
      </c>
      <c r="AC24" s="851">
        <v>0.8</v>
      </c>
      <c r="AD24" s="851">
        <v>0.9</v>
      </c>
      <c r="AE24" s="851">
        <v>1</v>
      </c>
      <c r="AF24" s="851">
        <v>1.1000000000000001</v>
      </c>
      <c r="AG24" s="851">
        <v>1.2</v>
      </c>
      <c r="AH24" s="851">
        <v>1.3</v>
      </c>
      <c r="AI24" s="851">
        <v>1.4</v>
      </c>
      <c r="AJ24" s="852">
        <v>1.5</v>
      </c>
      <c r="AK24" s="853">
        <v>1.6</v>
      </c>
      <c r="AL24" s="853">
        <v>1.7</v>
      </c>
      <c r="AM24" s="853">
        <v>1.8</v>
      </c>
      <c r="AN24" s="853">
        <v>1.9</v>
      </c>
      <c r="AO24" s="853">
        <v>2</v>
      </c>
      <c r="AP24" s="853">
        <v>2.1</v>
      </c>
      <c r="AQ24" s="853">
        <v>2.2000000000000002</v>
      </c>
      <c r="AR24" s="853">
        <v>2.2999999999999998</v>
      </c>
    </row>
    <row r="25" spans="1:44" ht="12.75" customHeight="1">
      <c r="A25" s="1827" t="s">
        <v>3</v>
      </c>
      <c r="B25" s="1965"/>
      <c r="C25" s="1966"/>
      <c r="D25" s="227">
        <v>0.5</v>
      </c>
      <c r="E25" s="76">
        <f>(Y25*KFC!$B$37+KFC!$C$37)*KFC!$C$5</f>
        <v>30.24</v>
      </c>
      <c r="F25" s="81">
        <f>(Z25*KFC!$B$37+KFC!$C$37)*KFC!$C$5</f>
        <v>34.32</v>
      </c>
      <c r="G25" s="81">
        <f>(AA25*KFC!$B$37+KFC!$C$37)*KFC!$C$5</f>
        <v>38.5</v>
      </c>
      <c r="H25" s="81">
        <f>(AB25*KFC!$B$37+KFC!$C$37)*KFC!$C$5</f>
        <v>42.58</v>
      </c>
      <c r="I25" s="81">
        <f>(AC25*KFC!$B$37+KFC!$C$37)*KFC!$C$5</f>
        <v>46.66</v>
      </c>
      <c r="J25" s="81">
        <f>(AD25*KFC!$B$37+KFC!$C$37)*KFC!$C$5</f>
        <v>50.72</v>
      </c>
      <c r="K25" s="81">
        <f>(AE25*KFC!$B$37+KFC!$C$37)*KFC!$C$5</f>
        <v>54.92</v>
      </c>
      <c r="L25" s="81">
        <f>(AF25*KFC!$B$37+KFC!$C$37)*KFC!$C$5</f>
        <v>59</v>
      </c>
      <c r="M25" s="81">
        <f>(AG25*KFC!$B$37+KFC!$C$37)*KFC!$C$5</f>
        <v>63.06</v>
      </c>
      <c r="N25" s="81">
        <f>(AH25*KFC!$B$37+KFC!$C$37)*KFC!$C$5</f>
        <v>67.14</v>
      </c>
      <c r="O25" s="81">
        <f>(AI25*KFC!$B$37+KFC!$C$37)*KFC!$C$5</f>
        <v>71.349999999999994</v>
      </c>
      <c r="P25" s="81">
        <f>(AJ25*KFC!$B$37+KFC!$C$37)*KFC!$C$5</f>
        <v>75.53</v>
      </c>
      <c r="Q25" s="81">
        <f>(AK25*KFC!$B$37+KFC!$C$37)*KFC!$C$5</f>
        <v>79.710000000000008</v>
      </c>
      <c r="R25" s="81">
        <f>(AL25*KFC!$B$37+KFC!$C$37)*KFC!$C$5</f>
        <v>83.890000000000015</v>
      </c>
      <c r="S25" s="81">
        <f>(AM25*KFC!$B$37+KFC!$C$37)*KFC!$C$5</f>
        <v>88.070000000000022</v>
      </c>
      <c r="T25" s="81">
        <f>(AN25*KFC!$B$37+KFC!$C$37)*KFC!$C$5</f>
        <v>92.250000000000028</v>
      </c>
      <c r="U25" s="81">
        <f>(AO25*KFC!$B$37+KFC!$C$37)*KFC!$C$5</f>
        <v>96.430000000000035</v>
      </c>
      <c r="V25" s="81">
        <f>(AP25*KFC!$B$37+KFC!$C$37)*KFC!$C$5</f>
        <v>100.61000000000004</v>
      </c>
      <c r="X25" s="851">
        <v>0.5</v>
      </c>
      <c r="Y25" s="847">
        <v>30.24</v>
      </c>
      <c r="Z25" s="847">
        <v>34.32</v>
      </c>
      <c r="AA25" s="847">
        <v>38.5</v>
      </c>
      <c r="AB25" s="847">
        <v>42.58</v>
      </c>
      <c r="AC25" s="847">
        <v>46.66</v>
      </c>
      <c r="AD25" s="847">
        <v>50.72</v>
      </c>
      <c r="AE25" s="847">
        <v>54.92</v>
      </c>
      <c r="AF25" s="847">
        <v>59</v>
      </c>
      <c r="AG25" s="847">
        <v>63.06</v>
      </c>
      <c r="AH25" s="847">
        <v>67.14</v>
      </c>
      <c r="AI25" s="847">
        <v>71.349999999999994</v>
      </c>
      <c r="AJ25" s="848">
        <v>75.53</v>
      </c>
      <c r="AK25" s="690">
        <f>AJ25-AI25+AJ25</f>
        <v>79.710000000000008</v>
      </c>
      <c r="AL25" s="690">
        <f t="shared" ref="AL25:AR38" si="2">AK25-AJ25+AK25</f>
        <v>83.890000000000015</v>
      </c>
      <c r="AM25" s="690">
        <f t="shared" si="2"/>
        <v>88.070000000000022</v>
      </c>
      <c r="AN25" s="690">
        <f t="shared" si="2"/>
        <v>92.250000000000028</v>
      </c>
      <c r="AO25" s="690">
        <f t="shared" si="2"/>
        <v>96.430000000000035</v>
      </c>
      <c r="AP25" s="690">
        <f t="shared" si="2"/>
        <v>100.61000000000004</v>
      </c>
      <c r="AQ25" s="690">
        <f t="shared" si="2"/>
        <v>104.79000000000005</v>
      </c>
      <c r="AR25" s="690">
        <f t="shared" si="2"/>
        <v>108.97000000000006</v>
      </c>
    </row>
    <row r="26" spans="1:44" ht="12.75" customHeight="1">
      <c r="A26" s="1828"/>
      <c r="B26" s="1967"/>
      <c r="C26" s="1968"/>
      <c r="D26" s="111">
        <v>0.6</v>
      </c>
      <c r="E26" s="80">
        <f>(Y26*KFC!$B$37+KFC!$C$37)*KFC!$C$5</f>
        <v>33.56</v>
      </c>
      <c r="F26" s="79">
        <f>(Z26*KFC!$B$37+KFC!$C$37)*KFC!$C$5</f>
        <v>37.76</v>
      </c>
      <c r="G26" s="79">
        <f>(AA26*KFC!$B$37+KFC!$C$37)*KFC!$C$5</f>
        <v>42.09</v>
      </c>
      <c r="H26" s="79">
        <f>(AB26*KFC!$B$37+KFC!$C$37)*KFC!$C$5</f>
        <v>46.29</v>
      </c>
      <c r="I26" s="79">
        <f>(AC26*KFC!$B$37+KFC!$C$37)*KFC!$C$5</f>
        <v>50.72</v>
      </c>
      <c r="J26" s="79">
        <f>(AD26*KFC!$B$37+KFC!$C$37)*KFC!$C$5</f>
        <v>54.92</v>
      </c>
      <c r="K26" s="79">
        <f>(AE26*KFC!$B$37+KFC!$C$37)*KFC!$C$5</f>
        <v>59.37</v>
      </c>
      <c r="L26" s="79">
        <f>(AF26*KFC!$B$37+KFC!$C$37)*KFC!$C$5</f>
        <v>63.56</v>
      </c>
      <c r="M26" s="79">
        <f>(AG26*KFC!$B$37+KFC!$C$37)*KFC!$C$5</f>
        <v>67.88</v>
      </c>
      <c r="N26" s="79">
        <f>(AH26*KFC!$B$37+KFC!$C$37)*KFC!$C$5</f>
        <v>72.2</v>
      </c>
      <c r="O26" s="79">
        <f>(AI26*KFC!$B$37+KFC!$C$37)*KFC!$C$5</f>
        <v>76.52</v>
      </c>
      <c r="P26" s="79">
        <f>(AJ26*KFC!$B$37+KFC!$C$37)*KFC!$C$5</f>
        <v>80.72</v>
      </c>
      <c r="Q26" s="79">
        <f>(AK26*KFC!$B$37+KFC!$C$37)*KFC!$C$5</f>
        <v>84.92</v>
      </c>
      <c r="R26" s="79">
        <f>(AL26*KFC!$B$37+KFC!$C$37)*KFC!$C$5</f>
        <v>89.12</v>
      </c>
      <c r="S26" s="79">
        <f>(AM26*KFC!$B$37+KFC!$C$37)*KFC!$C$5</f>
        <v>93.320000000000007</v>
      </c>
      <c r="T26" s="79">
        <f>(AN26*KFC!$B$37+KFC!$C$37)*KFC!$C$5</f>
        <v>97.52000000000001</v>
      </c>
      <c r="U26" s="79">
        <f>(AO26*KFC!$B$37+KFC!$C$37)*KFC!$C$5</f>
        <v>101.72000000000001</v>
      </c>
      <c r="V26" s="79">
        <f>(AP26*KFC!$B$37+KFC!$C$37)*KFC!$C$5</f>
        <v>105.92000000000002</v>
      </c>
      <c r="X26" s="851">
        <v>0.6</v>
      </c>
      <c r="Y26" s="847">
        <v>33.56</v>
      </c>
      <c r="Z26" s="847">
        <v>37.76</v>
      </c>
      <c r="AA26" s="847">
        <v>42.09</v>
      </c>
      <c r="AB26" s="847">
        <v>46.29</v>
      </c>
      <c r="AC26" s="847">
        <v>50.72</v>
      </c>
      <c r="AD26" s="847">
        <v>54.92</v>
      </c>
      <c r="AE26" s="847">
        <v>59.37</v>
      </c>
      <c r="AF26" s="847">
        <v>63.56</v>
      </c>
      <c r="AG26" s="847">
        <v>67.88</v>
      </c>
      <c r="AH26" s="847">
        <v>72.2</v>
      </c>
      <c r="AI26" s="847">
        <v>76.52</v>
      </c>
      <c r="AJ26" s="848">
        <v>80.72</v>
      </c>
      <c r="AK26" s="690">
        <f t="shared" ref="AK26:AK38" si="3">AJ26-AI26+AJ26</f>
        <v>84.92</v>
      </c>
      <c r="AL26" s="690">
        <f t="shared" si="2"/>
        <v>89.12</v>
      </c>
      <c r="AM26" s="690">
        <f t="shared" si="2"/>
        <v>93.320000000000007</v>
      </c>
      <c r="AN26" s="690">
        <f t="shared" si="2"/>
        <v>97.52000000000001</v>
      </c>
      <c r="AO26" s="690">
        <f t="shared" si="2"/>
        <v>101.72000000000001</v>
      </c>
      <c r="AP26" s="690">
        <f t="shared" si="2"/>
        <v>105.92000000000002</v>
      </c>
      <c r="AQ26" s="690">
        <f t="shared" si="2"/>
        <v>110.12000000000002</v>
      </c>
      <c r="AR26" s="690">
        <f t="shared" si="2"/>
        <v>114.32000000000002</v>
      </c>
    </row>
    <row r="27" spans="1:44" ht="12.75" customHeight="1">
      <c r="A27" s="1828"/>
      <c r="B27" s="1967"/>
      <c r="C27" s="1968"/>
      <c r="D27" s="111">
        <v>0.7</v>
      </c>
      <c r="E27" s="80">
        <f>(Y27*KFC!$B$37+KFC!$C$37)*KFC!$C$5</f>
        <v>36.65</v>
      </c>
      <c r="F27" s="79">
        <f>(Z27*KFC!$B$37+KFC!$C$37)*KFC!$C$5</f>
        <v>41.23</v>
      </c>
      <c r="G27" s="79">
        <f>(AA27*KFC!$B$37+KFC!$C$37)*KFC!$C$5</f>
        <v>45.78</v>
      </c>
      <c r="H27" s="79">
        <f>(AB27*KFC!$B$37+KFC!$C$37)*KFC!$C$5</f>
        <v>50.11</v>
      </c>
      <c r="I27" s="79">
        <f>(AC27*KFC!$B$37+KFC!$C$37)*KFC!$C$5</f>
        <v>54.68</v>
      </c>
      <c r="J27" s="79">
        <f>(AD27*KFC!$B$37+KFC!$C$37)*KFC!$C$5</f>
        <v>59.13</v>
      </c>
      <c r="K27" s="79">
        <f>(AE27*KFC!$B$37+KFC!$C$37)*KFC!$C$5</f>
        <v>63.68</v>
      </c>
      <c r="L27" s="79">
        <f>(AF27*KFC!$B$37+KFC!$C$37)*KFC!$C$5</f>
        <v>68.260000000000005</v>
      </c>
      <c r="M27" s="79">
        <f>(AG27*KFC!$B$37+KFC!$C$37)*KFC!$C$5</f>
        <v>72.58</v>
      </c>
      <c r="N27" s="79">
        <f>(AH27*KFC!$B$37+KFC!$C$37)*KFC!$C$5</f>
        <v>77.14</v>
      </c>
      <c r="O27" s="79">
        <f>(AI27*KFC!$B$37+KFC!$C$37)*KFC!$C$5</f>
        <v>81.7</v>
      </c>
      <c r="P27" s="79">
        <f>(AJ27*KFC!$B$37+KFC!$C$37)*KFC!$C$5</f>
        <v>86.15</v>
      </c>
      <c r="Q27" s="79">
        <f>(AK27*KFC!$B$37+KFC!$C$37)*KFC!$C$5</f>
        <v>90.600000000000009</v>
      </c>
      <c r="R27" s="79">
        <f>(AL27*KFC!$B$37+KFC!$C$37)*KFC!$C$5</f>
        <v>95.050000000000011</v>
      </c>
      <c r="S27" s="79">
        <f>(AM27*KFC!$B$37+KFC!$C$37)*KFC!$C$5</f>
        <v>99.500000000000014</v>
      </c>
      <c r="T27" s="79">
        <f>(AN27*KFC!$B$37+KFC!$C$37)*KFC!$C$5</f>
        <v>103.95000000000002</v>
      </c>
      <c r="U27" s="79">
        <f>(AO27*KFC!$B$37+KFC!$C$37)*KFC!$C$5</f>
        <v>108.40000000000002</v>
      </c>
      <c r="V27" s="79">
        <f>(AP27*KFC!$B$37+KFC!$C$37)*KFC!$C$5</f>
        <v>112.85000000000002</v>
      </c>
      <c r="X27" s="851">
        <v>0.7</v>
      </c>
      <c r="Y27" s="847">
        <v>36.65</v>
      </c>
      <c r="Z27" s="847">
        <v>41.23</v>
      </c>
      <c r="AA27" s="847">
        <v>45.78</v>
      </c>
      <c r="AB27" s="847">
        <v>50.11</v>
      </c>
      <c r="AC27" s="847">
        <v>54.68</v>
      </c>
      <c r="AD27" s="847">
        <v>59.13</v>
      </c>
      <c r="AE27" s="847">
        <v>63.68</v>
      </c>
      <c r="AF27" s="847">
        <v>68.260000000000005</v>
      </c>
      <c r="AG27" s="847">
        <v>72.58</v>
      </c>
      <c r="AH27" s="847">
        <v>77.14</v>
      </c>
      <c r="AI27" s="847">
        <v>81.7</v>
      </c>
      <c r="AJ27" s="848">
        <v>86.15</v>
      </c>
      <c r="AK27" s="690">
        <f t="shared" si="3"/>
        <v>90.600000000000009</v>
      </c>
      <c r="AL27" s="690">
        <f t="shared" si="2"/>
        <v>95.050000000000011</v>
      </c>
      <c r="AM27" s="690">
        <f t="shared" si="2"/>
        <v>99.500000000000014</v>
      </c>
      <c r="AN27" s="690">
        <f t="shared" si="2"/>
        <v>103.95000000000002</v>
      </c>
      <c r="AO27" s="690">
        <f t="shared" si="2"/>
        <v>108.40000000000002</v>
      </c>
      <c r="AP27" s="690">
        <f t="shared" si="2"/>
        <v>112.85000000000002</v>
      </c>
      <c r="AQ27" s="690">
        <f t="shared" si="2"/>
        <v>117.30000000000003</v>
      </c>
      <c r="AR27" s="690">
        <f t="shared" si="2"/>
        <v>121.75000000000003</v>
      </c>
    </row>
    <row r="28" spans="1:44" ht="12.75" customHeight="1">
      <c r="A28" s="1828"/>
      <c r="B28" s="1967"/>
      <c r="C28" s="1968"/>
      <c r="D28" s="111">
        <v>0.8</v>
      </c>
      <c r="E28" s="80">
        <f>(Y28*KFC!$B$37+KFC!$C$37)*KFC!$C$5</f>
        <v>40</v>
      </c>
      <c r="F28" s="79">
        <f>(Z28*KFC!$B$37+KFC!$C$37)*KFC!$C$5</f>
        <v>44.67</v>
      </c>
      <c r="G28" s="79">
        <f>(AA28*KFC!$B$37+KFC!$C$37)*KFC!$C$5</f>
        <v>49.37</v>
      </c>
      <c r="H28" s="79">
        <f>(AB28*KFC!$B$37+KFC!$C$37)*KFC!$C$5</f>
        <v>54.07</v>
      </c>
      <c r="I28" s="79">
        <f>(AC28*KFC!$B$37+KFC!$C$37)*KFC!$C$5</f>
        <v>58.75</v>
      </c>
      <c r="J28" s="79">
        <f>(AD28*KFC!$B$37+KFC!$C$37)*KFC!$C$5</f>
        <v>63.44</v>
      </c>
      <c r="K28" s="79">
        <f>(AE28*KFC!$B$37+KFC!$C$37)*KFC!$C$5</f>
        <v>68.12</v>
      </c>
      <c r="L28" s="79">
        <f>(AF28*KFC!$B$37+KFC!$C$37)*KFC!$C$5</f>
        <v>72.7</v>
      </c>
      <c r="M28" s="79">
        <f>(AG28*KFC!$B$37+KFC!$C$37)*KFC!$C$5</f>
        <v>77.39</v>
      </c>
      <c r="N28" s="79">
        <f>(AH28*KFC!$B$37+KFC!$C$37)*KFC!$C$5</f>
        <v>82.07</v>
      </c>
      <c r="O28" s="79">
        <f>(AI28*KFC!$B$37+KFC!$C$37)*KFC!$C$5</f>
        <v>86.77</v>
      </c>
      <c r="P28" s="79">
        <f>(AJ28*KFC!$B$37+KFC!$C$37)*KFC!$C$5</f>
        <v>91.45</v>
      </c>
      <c r="Q28" s="79">
        <f>(AK28*KFC!$B$37+KFC!$C$37)*KFC!$C$5</f>
        <v>96.13000000000001</v>
      </c>
      <c r="R28" s="79">
        <f>(AL28*KFC!$B$37+KFC!$C$37)*KFC!$C$5</f>
        <v>100.81000000000002</v>
      </c>
      <c r="S28" s="79">
        <f>(AM28*KFC!$B$37+KFC!$C$37)*KFC!$C$5</f>
        <v>105.49000000000002</v>
      </c>
      <c r="T28" s="79">
        <f>(AN28*KFC!$B$37+KFC!$C$37)*KFC!$C$5</f>
        <v>110.17000000000003</v>
      </c>
      <c r="U28" s="79">
        <f>(AO28*KFC!$B$37+KFC!$C$37)*KFC!$C$5</f>
        <v>114.85000000000004</v>
      </c>
      <c r="V28" s="79">
        <f>(AP28*KFC!$B$37+KFC!$C$37)*KFC!$C$5</f>
        <v>119.53000000000004</v>
      </c>
      <c r="X28" s="851">
        <v>0.8</v>
      </c>
      <c r="Y28" s="847">
        <v>40</v>
      </c>
      <c r="Z28" s="847">
        <v>44.67</v>
      </c>
      <c r="AA28" s="847">
        <v>49.37</v>
      </c>
      <c r="AB28" s="847">
        <v>54.07</v>
      </c>
      <c r="AC28" s="847">
        <v>58.75</v>
      </c>
      <c r="AD28" s="847">
        <v>63.44</v>
      </c>
      <c r="AE28" s="847">
        <v>68.12</v>
      </c>
      <c r="AF28" s="847">
        <v>72.7</v>
      </c>
      <c r="AG28" s="847">
        <v>77.39</v>
      </c>
      <c r="AH28" s="847">
        <v>82.07</v>
      </c>
      <c r="AI28" s="847">
        <v>86.77</v>
      </c>
      <c r="AJ28" s="848">
        <v>91.45</v>
      </c>
      <c r="AK28" s="690">
        <f t="shared" si="3"/>
        <v>96.13000000000001</v>
      </c>
      <c r="AL28" s="690">
        <f t="shared" si="2"/>
        <v>100.81000000000002</v>
      </c>
      <c r="AM28" s="690">
        <f t="shared" si="2"/>
        <v>105.49000000000002</v>
      </c>
      <c r="AN28" s="690">
        <f t="shared" si="2"/>
        <v>110.17000000000003</v>
      </c>
      <c r="AO28" s="690">
        <f t="shared" si="2"/>
        <v>114.85000000000004</v>
      </c>
      <c r="AP28" s="690">
        <f t="shared" si="2"/>
        <v>119.53000000000004</v>
      </c>
      <c r="AQ28" s="690">
        <f t="shared" si="2"/>
        <v>124.21000000000005</v>
      </c>
      <c r="AR28" s="690">
        <f t="shared" si="2"/>
        <v>128.89000000000004</v>
      </c>
    </row>
    <row r="29" spans="1:44" ht="12.75" customHeight="1">
      <c r="A29" s="1828"/>
      <c r="B29" s="1967"/>
      <c r="C29" s="1968"/>
      <c r="D29" s="111">
        <v>0.9</v>
      </c>
      <c r="E29" s="80">
        <f>(Y29*KFC!$B$37+KFC!$C$37)*KFC!$C$5</f>
        <v>43.2</v>
      </c>
      <c r="F29" s="79">
        <f>(Z29*KFC!$B$37+KFC!$C$37)*KFC!$C$5</f>
        <v>48.02</v>
      </c>
      <c r="G29" s="79">
        <f>(AA29*KFC!$B$37+KFC!$C$37)*KFC!$C$5</f>
        <v>52.95</v>
      </c>
      <c r="H29" s="79">
        <f>(AB29*KFC!$B$37+KFC!$C$37)*KFC!$C$5</f>
        <v>57.76</v>
      </c>
      <c r="I29" s="79">
        <f>(AC29*KFC!$B$37+KFC!$C$37)*KFC!$C$5</f>
        <v>62.7</v>
      </c>
      <c r="J29" s="79">
        <f>(AD29*KFC!$B$37+KFC!$C$37)*KFC!$C$5</f>
        <v>67.64</v>
      </c>
      <c r="K29" s="79">
        <f>(AE29*KFC!$B$37+KFC!$C$37)*KFC!$C$5</f>
        <v>72.45</v>
      </c>
      <c r="L29" s="79">
        <f>(AF29*KFC!$B$37+KFC!$C$37)*KFC!$C$5</f>
        <v>77.260000000000005</v>
      </c>
      <c r="M29" s="79">
        <f>(AG29*KFC!$B$37+KFC!$C$37)*KFC!$C$5</f>
        <v>82.31</v>
      </c>
      <c r="N29" s="79">
        <f>(AH29*KFC!$B$37+KFC!$C$37)*KFC!$C$5</f>
        <v>87.13</v>
      </c>
      <c r="O29" s="79">
        <f>(AI29*KFC!$B$37+KFC!$C$37)*KFC!$C$5</f>
        <v>91.95</v>
      </c>
      <c r="P29" s="79">
        <f>(AJ29*KFC!$B$37+KFC!$C$37)*KFC!$C$5</f>
        <v>96.89</v>
      </c>
      <c r="Q29" s="79">
        <f>(AK29*KFC!$B$37+KFC!$C$37)*KFC!$C$5</f>
        <v>101.83</v>
      </c>
      <c r="R29" s="79">
        <f>(AL29*KFC!$B$37+KFC!$C$37)*KFC!$C$5</f>
        <v>106.77</v>
      </c>
      <c r="S29" s="79">
        <f>(AM29*KFC!$B$37+KFC!$C$37)*KFC!$C$5</f>
        <v>111.71</v>
      </c>
      <c r="T29" s="79">
        <f>(AN29*KFC!$B$37+KFC!$C$37)*KFC!$C$5</f>
        <v>116.64999999999999</v>
      </c>
      <c r="U29" s="79">
        <f>(AO29*KFC!$B$37+KFC!$C$37)*KFC!$C$5</f>
        <v>121.58999999999999</v>
      </c>
      <c r="V29" s="79">
        <f>(AP29*KFC!$B$37+KFC!$C$37)*KFC!$C$5</f>
        <v>126.52999999999999</v>
      </c>
      <c r="X29" s="851">
        <v>0.9</v>
      </c>
      <c r="Y29" s="847">
        <v>43.2</v>
      </c>
      <c r="Z29" s="847">
        <v>48.02</v>
      </c>
      <c r="AA29" s="847">
        <v>52.95</v>
      </c>
      <c r="AB29" s="847">
        <v>57.76</v>
      </c>
      <c r="AC29" s="847">
        <v>62.7</v>
      </c>
      <c r="AD29" s="847">
        <v>67.64</v>
      </c>
      <c r="AE29" s="847">
        <v>72.45</v>
      </c>
      <c r="AF29" s="847">
        <v>77.260000000000005</v>
      </c>
      <c r="AG29" s="847">
        <v>82.31</v>
      </c>
      <c r="AH29" s="847">
        <v>87.13</v>
      </c>
      <c r="AI29" s="847">
        <v>91.95</v>
      </c>
      <c r="AJ29" s="848">
        <v>96.89</v>
      </c>
      <c r="AK29" s="690">
        <f t="shared" si="3"/>
        <v>101.83</v>
      </c>
      <c r="AL29" s="690">
        <f t="shared" si="2"/>
        <v>106.77</v>
      </c>
      <c r="AM29" s="690">
        <f t="shared" si="2"/>
        <v>111.71</v>
      </c>
      <c r="AN29" s="690">
        <f t="shared" si="2"/>
        <v>116.64999999999999</v>
      </c>
      <c r="AO29" s="690">
        <f t="shared" si="2"/>
        <v>121.58999999999999</v>
      </c>
      <c r="AP29" s="690">
        <f t="shared" si="2"/>
        <v>126.52999999999999</v>
      </c>
      <c r="AQ29" s="690">
        <f t="shared" si="2"/>
        <v>131.46999999999997</v>
      </c>
      <c r="AR29" s="690">
        <f t="shared" si="2"/>
        <v>136.40999999999997</v>
      </c>
    </row>
    <row r="30" spans="1:44" ht="12.75" customHeight="1">
      <c r="A30" s="1828"/>
      <c r="B30" s="1967"/>
      <c r="C30" s="1968"/>
      <c r="D30" s="111">
        <v>1</v>
      </c>
      <c r="E30" s="80">
        <f>(Y30*KFC!$B$37+KFC!$C$37)*KFC!$C$5</f>
        <v>46.53</v>
      </c>
      <c r="F30" s="79">
        <f>(Z30*KFC!$B$37+KFC!$C$37)*KFC!$C$5</f>
        <v>51.46</v>
      </c>
      <c r="G30" s="79">
        <f>(AA30*KFC!$B$37+KFC!$C$37)*KFC!$C$5</f>
        <v>56.65</v>
      </c>
      <c r="H30" s="79">
        <f>(AB30*KFC!$B$37+KFC!$C$37)*KFC!$C$5</f>
        <v>61.59</v>
      </c>
      <c r="I30" s="79">
        <f>(AC30*KFC!$B$37+KFC!$C$37)*KFC!$C$5</f>
        <v>66.77</v>
      </c>
      <c r="J30" s="79">
        <f>(AD30*KFC!$B$37+KFC!$C$37)*KFC!$C$5</f>
        <v>71.83</v>
      </c>
      <c r="K30" s="79">
        <f>(AE30*KFC!$B$37+KFC!$C$37)*KFC!$C$5</f>
        <v>76.900000000000006</v>
      </c>
      <c r="L30" s="79">
        <f>(AF30*KFC!$B$37+KFC!$C$37)*KFC!$C$5</f>
        <v>81.95</v>
      </c>
      <c r="M30" s="79">
        <f>(AG30*KFC!$B$37+KFC!$C$37)*KFC!$C$5</f>
        <v>86.89</v>
      </c>
      <c r="N30" s="79">
        <f>(AH30*KFC!$B$37+KFC!$C$37)*KFC!$C$5</f>
        <v>92.07</v>
      </c>
      <c r="O30" s="79">
        <f>(AI30*KFC!$B$37+KFC!$C$37)*KFC!$C$5</f>
        <v>97.01</v>
      </c>
      <c r="P30" s="79">
        <f>(AJ30*KFC!$B$37+KFC!$C$37)*KFC!$C$5</f>
        <v>102.2</v>
      </c>
      <c r="Q30" s="79">
        <f>(AK30*KFC!$B$37+KFC!$C$37)*KFC!$C$5</f>
        <v>107.39</v>
      </c>
      <c r="R30" s="79">
        <f>(AL30*KFC!$B$37+KFC!$C$37)*KFC!$C$5</f>
        <v>112.58</v>
      </c>
      <c r="S30" s="79">
        <f>(AM30*KFC!$B$37+KFC!$C$37)*KFC!$C$5</f>
        <v>117.77</v>
      </c>
      <c r="T30" s="79">
        <f>(AN30*KFC!$B$37+KFC!$C$37)*KFC!$C$5</f>
        <v>122.96</v>
      </c>
      <c r="U30" s="79">
        <f>(AO30*KFC!$B$37+KFC!$C$37)*KFC!$C$5</f>
        <v>128.14999999999998</v>
      </c>
      <c r="V30" s="79">
        <f>(AP30*KFC!$B$37+KFC!$C$37)*KFC!$C$5</f>
        <v>133.33999999999997</v>
      </c>
      <c r="X30" s="851">
        <v>1</v>
      </c>
      <c r="Y30" s="847">
        <v>46.53</v>
      </c>
      <c r="Z30" s="847">
        <v>51.46</v>
      </c>
      <c r="AA30" s="847">
        <v>56.65</v>
      </c>
      <c r="AB30" s="847">
        <v>61.59</v>
      </c>
      <c r="AC30" s="847">
        <v>66.77</v>
      </c>
      <c r="AD30" s="847">
        <v>71.83</v>
      </c>
      <c r="AE30" s="847">
        <v>76.900000000000006</v>
      </c>
      <c r="AF30" s="847">
        <v>81.95</v>
      </c>
      <c r="AG30" s="847">
        <v>86.89</v>
      </c>
      <c r="AH30" s="847">
        <v>92.07</v>
      </c>
      <c r="AI30" s="847">
        <v>97.01</v>
      </c>
      <c r="AJ30" s="848">
        <v>102.2</v>
      </c>
      <c r="AK30" s="690">
        <f t="shared" si="3"/>
        <v>107.39</v>
      </c>
      <c r="AL30" s="690">
        <f t="shared" si="2"/>
        <v>112.58</v>
      </c>
      <c r="AM30" s="690">
        <f t="shared" si="2"/>
        <v>117.77</v>
      </c>
      <c r="AN30" s="690">
        <f t="shared" si="2"/>
        <v>122.96</v>
      </c>
      <c r="AO30" s="690">
        <f t="shared" si="2"/>
        <v>128.14999999999998</v>
      </c>
      <c r="AP30" s="690">
        <f t="shared" si="2"/>
        <v>133.33999999999997</v>
      </c>
      <c r="AQ30" s="690">
        <f t="shared" si="2"/>
        <v>138.52999999999997</v>
      </c>
      <c r="AR30" s="690">
        <f t="shared" si="2"/>
        <v>143.71999999999997</v>
      </c>
    </row>
    <row r="31" spans="1:44" ht="12.75" customHeight="1">
      <c r="A31" s="1828"/>
      <c r="B31" s="1967"/>
      <c r="C31" s="1968"/>
      <c r="D31" s="111">
        <v>1.1000000000000001</v>
      </c>
      <c r="E31" s="80">
        <f>(Y31*KFC!$B$37+KFC!$C$37)*KFC!$C$5</f>
        <v>49.61</v>
      </c>
      <c r="F31" s="79">
        <f>(Z31*KFC!$B$37+KFC!$C$37)*KFC!$C$5</f>
        <v>54.92</v>
      </c>
      <c r="G31" s="79">
        <f>(AA31*KFC!$B$37+KFC!$C$37)*KFC!$C$5</f>
        <v>60.24</v>
      </c>
      <c r="H31" s="79">
        <f>(AB31*KFC!$B$37+KFC!$C$37)*KFC!$C$5</f>
        <v>65.540000000000006</v>
      </c>
      <c r="I31" s="79">
        <f>(AC31*KFC!$B$37+KFC!$C$37)*KFC!$C$5</f>
        <v>70.849999999999994</v>
      </c>
      <c r="J31" s="79">
        <f>(AD31*KFC!$B$37+KFC!$C$37)*KFC!$C$5</f>
        <v>75.900000000000006</v>
      </c>
      <c r="K31" s="79">
        <f>(AE31*KFC!$B$37+KFC!$C$37)*KFC!$C$5</f>
        <v>81.209999999999994</v>
      </c>
      <c r="L31" s="79">
        <f>(AF31*KFC!$B$37+KFC!$C$37)*KFC!$C$5</f>
        <v>86.52</v>
      </c>
      <c r="M31" s="79">
        <f>(AG31*KFC!$B$37+KFC!$C$37)*KFC!$C$5</f>
        <v>91.83</v>
      </c>
      <c r="N31" s="79">
        <f>(AH31*KFC!$B$37+KFC!$C$37)*KFC!$C$5</f>
        <v>97.01</v>
      </c>
      <c r="O31" s="79">
        <f>(AI31*KFC!$B$37+KFC!$C$37)*KFC!$C$5</f>
        <v>102.2</v>
      </c>
      <c r="P31" s="79">
        <f>(AJ31*KFC!$B$37+KFC!$C$37)*KFC!$C$5</f>
        <v>107.49</v>
      </c>
      <c r="Q31" s="79">
        <f>(AK31*KFC!$B$37+KFC!$C$37)*KFC!$C$5</f>
        <v>112.77999999999999</v>
      </c>
      <c r="R31" s="79">
        <f>(AL31*KFC!$B$37+KFC!$C$37)*KFC!$C$5</f>
        <v>118.06999999999998</v>
      </c>
      <c r="S31" s="79">
        <f>(AM31*KFC!$B$37+KFC!$C$37)*KFC!$C$5</f>
        <v>123.35999999999997</v>
      </c>
      <c r="T31" s="79">
        <f>(AN31*KFC!$B$37+KFC!$C$37)*KFC!$C$5</f>
        <v>128.64999999999998</v>
      </c>
      <c r="U31" s="79">
        <f>(AO31*KFC!$B$37+KFC!$C$37)*KFC!$C$5</f>
        <v>133.94</v>
      </c>
      <c r="V31" s="79">
        <f>(AP31*KFC!$B$37+KFC!$C$37)*KFC!$C$5</f>
        <v>139.23000000000002</v>
      </c>
      <c r="X31" s="851">
        <v>1.1000000000000001</v>
      </c>
      <c r="Y31" s="847">
        <v>49.61</v>
      </c>
      <c r="Z31" s="847">
        <v>54.92</v>
      </c>
      <c r="AA31" s="847">
        <v>60.24</v>
      </c>
      <c r="AB31" s="847">
        <v>65.540000000000006</v>
      </c>
      <c r="AC31" s="847">
        <v>70.849999999999994</v>
      </c>
      <c r="AD31" s="847">
        <v>75.900000000000006</v>
      </c>
      <c r="AE31" s="847">
        <v>81.209999999999994</v>
      </c>
      <c r="AF31" s="847">
        <v>86.52</v>
      </c>
      <c r="AG31" s="847">
        <v>91.83</v>
      </c>
      <c r="AH31" s="847">
        <v>97.01</v>
      </c>
      <c r="AI31" s="847">
        <v>102.2</v>
      </c>
      <c r="AJ31" s="848">
        <v>107.49</v>
      </c>
      <c r="AK31" s="690">
        <f t="shared" si="3"/>
        <v>112.77999999999999</v>
      </c>
      <c r="AL31" s="690">
        <f t="shared" si="2"/>
        <v>118.06999999999998</v>
      </c>
      <c r="AM31" s="690">
        <f t="shared" si="2"/>
        <v>123.35999999999997</v>
      </c>
      <c r="AN31" s="690">
        <f t="shared" si="2"/>
        <v>128.64999999999998</v>
      </c>
      <c r="AO31" s="690">
        <f t="shared" si="2"/>
        <v>133.94</v>
      </c>
      <c r="AP31" s="690">
        <f t="shared" si="2"/>
        <v>139.23000000000002</v>
      </c>
      <c r="AQ31" s="690">
        <f t="shared" si="2"/>
        <v>144.52000000000004</v>
      </c>
      <c r="AR31" s="690">
        <f t="shared" si="2"/>
        <v>149.81000000000006</v>
      </c>
    </row>
    <row r="32" spans="1:44" ht="12.75" customHeight="1">
      <c r="A32" s="1828"/>
      <c r="B32" s="1967"/>
      <c r="C32" s="1968"/>
      <c r="D32" s="111">
        <v>1.2</v>
      </c>
      <c r="E32" s="80">
        <f>(Y32*KFC!$B$37+KFC!$C$37)*KFC!$C$5</f>
        <v>52.95</v>
      </c>
      <c r="F32" s="79">
        <f>(Z32*KFC!$B$37+KFC!$C$37)*KFC!$C$5</f>
        <v>58.39</v>
      </c>
      <c r="G32" s="79">
        <f>(AA32*KFC!$B$37+KFC!$C$37)*KFC!$C$5</f>
        <v>63.8</v>
      </c>
      <c r="H32" s="79">
        <f>(AB32*KFC!$B$37+KFC!$C$37)*KFC!$C$5</f>
        <v>69.23</v>
      </c>
      <c r="I32" s="79">
        <f>(AC32*KFC!$B$37+KFC!$C$37)*KFC!$C$5</f>
        <v>74.67</v>
      </c>
      <c r="J32" s="79">
        <f>(AD32*KFC!$B$37+KFC!$C$37)*KFC!$C$5</f>
        <v>80.099999999999994</v>
      </c>
      <c r="K32" s="79">
        <f>(AE32*KFC!$B$37+KFC!$C$37)*KFC!$C$5</f>
        <v>85.54</v>
      </c>
      <c r="L32" s="79">
        <f>(AF32*KFC!$B$37+KFC!$C$37)*KFC!$C$5</f>
        <v>90.96</v>
      </c>
      <c r="M32" s="79">
        <f>(AG32*KFC!$B$37+KFC!$C$37)*KFC!$C$5</f>
        <v>96.39</v>
      </c>
      <c r="N32" s="79">
        <f>(AH32*KFC!$B$37+KFC!$C$37)*KFC!$C$5</f>
        <v>102.07</v>
      </c>
      <c r="O32" s="79">
        <f>(AI32*KFC!$B$37+KFC!$C$37)*KFC!$C$5</f>
        <v>107.49</v>
      </c>
      <c r="P32" s="79">
        <f>(AJ32*KFC!$B$37+KFC!$C$37)*KFC!$C$5</f>
        <v>112.93</v>
      </c>
      <c r="Q32" s="79">
        <f>(AK32*KFC!$B$37+KFC!$C$37)*KFC!$C$5</f>
        <v>118.37000000000002</v>
      </c>
      <c r="R32" s="79">
        <f>(AL32*KFC!$B$37+KFC!$C$37)*KFC!$C$5</f>
        <v>123.81000000000003</v>
      </c>
      <c r="S32" s="79">
        <f>(AM32*KFC!$B$37+KFC!$C$37)*KFC!$C$5</f>
        <v>129.25000000000006</v>
      </c>
      <c r="T32" s="79">
        <f>(AN32*KFC!$B$37+KFC!$C$37)*KFC!$C$5</f>
        <v>134.69000000000008</v>
      </c>
      <c r="U32" s="79">
        <f>(AO32*KFC!$B$37+KFC!$C$37)*KFC!$C$5</f>
        <v>140.13000000000011</v>
      </c>
      <c r="V32" s="79">
        <f>(AP32*KFC!$B$37+KFC!$C$37)*KFC!$C$5</f>
        <v>145.57000000000014</v>
      </c>
      <c r="X32" s="851">
        <v>1.2</v>
      </c>
      <c r="Y32" s="847">
        <v>52.95</v>
      </c>
      <c r="Z32" s="847">
        <v>58.39</v>
      </c>
      <c r="AA32" s="847">
        <v>63.8</v>
      </c>
      <c r="AB32" s="847">
        <v>69.23</v>
      </c>
      <c r="AC32" s="847">
        <v>74.67</v>
      </c>
      <c r="AD32" s="847">
        <v>80.099999999999994</v>
      </c>
      <c r="AE32" s="847">
        <v>85.54</v>
      </c>
      <c r="AF32" s="847">
        <v>90.96</v>
      </c>
      <c r="AG32" s="847">
        <v>96.39</v>
      </c>
      <c r="AH32" s="847">
        <v>102.07</v>
      </c>
      <c r="AI32" s="847">
        <v>107.49</v>
      </c>
      <c r="AJ32" s="848">
        <v>112.93</v>
      </c>
      <c r="AK32" s="690">
        <f t="shared" si="3"/>
        <v>118.37000000000002</v>
      </c>
      <c r="AL32" s="690">
        <f t="shared" si="2"/>
        <v>123.81000000000003</v>
      </c>
      <c r="AM32" s="690">
        <f t="shared" si="2"/>
        <v>129.25000000000006</v>
      </c>
      <c r="AN32" s="690">
        <f t="shared" si="2"/>
        <v>134.69000000000008</v>
      </c>
      <c r="AO32" s="690">
        <f t="shared" si="2"/>
        <v>140.13000000000011</v>
      </c>
      <c r="AP32" s="690">
        <f t="shared" si="2"/>
        <v>145.57000000000014</v>
      </c>
      <c r="AQ32" s="690">
        <f t="shared" si="2"/>
        <v>151.01000000000016</v>
      </c>
      <c r="AR32" s="690">
        <f t="shared" si="2"/>
        <v>156.45000000000019</v>
      </c>
    </row>
    <row r="33" spans="1:44" ht="12.75" customHeight="1">
      <c r="A33" s="1828"/>
      <c r="B33" s="1967"/>
      <c r="C33" s="1968"/>
      <c r="D33" s="111">
        <v>1.3</v>
      </c>
      <c r="E33" s="80">
        <f>(Y33*KFC!$B$37+KFC!$C$37)*KFC!$C$5</f>
        <v>56.16</v>
      </c>
      <c r="F33" s="79">
        <f>(Z33*KFC!$B$37+KFC!$C$37)*KFC!$C$5</f>
        <v>61.83</v>
      </c>
      <c r="G33" s="79">
        <f>(AA33*KFC!$B$37+KFC!$C$37)*KFC!$C$5</f>
        <v>67.510000000000005</v>
      </c>
      <c r="H33" s="79">
        <f>(AB33*KFC!$B$37+KFC!$C$37)*KFC!$C$5</f>
        <v>73.06</v>
      </c>
      <c r="I33" s="79">
        <f>(AC33*KFC!$B$37+KFC!$C$37)*KFC!$C$5</f>
        <v>78.75</v>
      </c>
      <c r="J33" s="79">
        <f>(AD33*KFC!$B$37+KFC!$C$37)*KFC!$C$5</f>
        <v>84.43</v>
      </c>
      <c r="K33" s="79">
        <f>(AE33*KFC!$B$37+KFC!$C$37)*KFC!$C$5</f>
        <v>89.98</v>
      </c>
      <c r="L33" s="79">
        <f>(AF33*KFC!$B$37+KFC!$C$37)*KFC!$C$5</f>
        <v>95.66</v>
      </c>
      <c r="M33" s="79">
        <f>(AG33*KFC!$B$37+KFC!$C$37)*KFC!$C$5</f>
        <v>101.32</v>
      </c>
      <c r="N33" s="79">
        <f>(AH33*KFC!$B$37+KFC!$C$37)*KFC!$C$5</f>
        <v>106.88</v>
      </c>
      <c r="O33" s="79">
        <f>(AI33*KFC!$B$37+KFC!$C$37)*KFC!$C$5</f>
        <v>112.55</v>
      </c>
      <c r="P33" s="79">
        <f>(AJ33*KFC!$B$37+KFC!$C$37)*KFC!$C$5</f>
        <v>118.24</v>
      </c>
      <c r="Q33" s="79">
        <f>(AK33*KFC!$B$37+KFC!$C$37)*KFC!$C$5</f>
        <v>123.92999999999999</v>
      </c>
      <c r="R33" s="79">
        <f>(AL33*KFC!$B$37+KFC!$C$37)*KFC!$C$5</f>
        <v>129.62</v>
      </c>
      <c r="S33" s="79">
        <f>(AM33*KFC!$B$37+KFC!$C$37)*KFC!$C$5</f>
        <v>135.31</v>
      </c>
      <c r="T33" s="79">
        <f>(AN33*KFC!$B$37+KFC!$C$37)*KFC!$C$5</f>
        <v>141</v>
      </c>
      <c r="U33" s="79">
        <f>(AO33*KFC!$B$37+KFC!$C$37)*KFC!$C$5</f>
        <v>146.69</v>
      </c>
      <c r="V33" s="79">
        <f>(AP33*KFC!$B$37+KFC!$C$37)*KFC!$C$5</f>
        <v>152.38</v>
      </c>
      <c r="X33" s="851">
        <v>1.3</v>
      </c>
      <c r="Y33" s="847">
        <v>56.16</v>
      </c>
      <c r="Z33" s="847">
        <v>61.83</v>
      </c>
      <c r="AA33" s="847">
        <v>67.510000000000005</v>
      </c>
      <c r="AB33" s="847">
        <v>73.06</v>
      </c>
      <c r="AC33" s="847">
        <v>78.75</v>
      </c>
      <c r="AD33" s="847">
        <v>84.43</v>
      </c>
      <c r="AE33" s="847">
        <v>89.98</v>
      </c>
      <c r="AF33" s="847">
        <v>95.66</v>
      </c>
      <c r="AG33" s="847">
        <v>101.32</v>
      </c>
      <c r="AH33" s="847">
        <v>106.88</v>
      </c>
      <c r="AI33" s="847">
        <v>112.55</v>
      </c>
      <c r="AJ33" s="848">
        <v>118.24</v>
      </c>
      <c r="AK33" s="690">
        <f t="shared" si="3"/>
        <v>123.92999999999999</v>
      </c>
      <c r="AL33" s="690">
        <f t="shared" si="2"/>
        <v>129.62</v>
      </c>
      <c r="AM33" s="690">
        <f t="shared" si="2"/>
        <v>135.31</v>
      </c>
      <c r="AN33" s="690">
        <f t="shared" si="2"/>
        <v>141</v>
      </c>
      <c r="AO33" s="690">
        <f t="shared" si="2"/>
        <v>146.69</v>
      </c>
      <c r="AP33" s="690">
        <f t="shared" si="2"/>
        <v>152.38</v>
      </c>
      <c r="AQ33" s="690">
        <f t="shared" si="2"/>
        <v>158.07</v>
      </c>
      <c r="AR33" s="690">
        <f t="shared" si="2"/>
        <v>163.76</v>
      </c>
    </row>
    <row r="34" spans="1:44" ht="12.75" customHeight="1">
      <c r="A34" s="1828"/>
      <c r="B34" s="1967"/>
      <c r="C34" s="1968"/>
      <c r="D34" s="111">
        <v>1.4</v>
      </c>
      <c r="E34" s="80">
        <f>(Y34*KFC!$B$37+KFC!$C$37)*KFC!$C$5</f>
        <v>59.49</v>
      </c>
      <c r="F34" s="79">
        <f>(Z34*KFC!$B$37+KFC!$C$37)*KFC!$C$5</f>
        <v>65.180000000000007</v>
      </c>
      <c r="G34" s="79">
        <f>(AA34*KFC!$B$37+KFC!$C$37)*KFC!$C$5</f>
        <v>71.09</v>
      </c>
      <c r="H34" s="79">
        <f>(AB34*KFC!$B$37+KFC!$C$37)*KFC!$C$5</f>
        <v>77.02</v>
      </c>
      <c r="I34" s="79">
        <f>(AC34*KFC!$B$37+KFC!$C$37)*KFC!$C$5</f>
        <v>82.69</v>
      </c>
      <c r="J34" s="79">
        <f>(AD34*KFC!$B$37+KFC!$C$37)*KFC!$C$5</f>
        <v>88.62</v>
      </c>
      <c r="K34" s="79">
        <f>(AE34*KFC!$B$37+KFC!$C$37)*KFC!$C$5</f>
        <v>94.29</v>
      </c>
      <c r="L34" s="79">
        <f>(AF34*KFC!$B$37+KFC!$C$37)*KFC!$C$5</f>
        <v>100.21</v>
      </c>
      <c r="M34" s="79">
        <f>(AG34*KFC!$B$37+KFC!$C$37)*KFC!$C$5</f>
        <v>106.14</v>
      </c>
      <c r="N34" s="79">
        <f>(AH34*KFC!$B$37+KFC!$C$37)*KFC!$C$5</f>
        <v>111.82</v>
      </c>
      <c r="O34" s="79">
        <f>(AI34*KFC!$B$37+KFC!$C$37)*KFC!$C$5</f>
        <v>117.74</v>
      </c>
      <c r="P34" s="79">
        <f>(AJ34*KFC!$B$37+KFC!$C$37)*KFC!$C$5</f>
        <v>123.42</v>
      </c>
      <c r="Q34" s="79">
        <f>(AK34*KFC!$B$37+KFC!$C$37)*KFC!$C$5</f>
        <v>129.10000000000002</v>
      </c>
      <c r="R34" s="79">
        <f>(AL34*KFC!$B$37+KFC!$C$37)*KFC!$C$5</f>
        <v>134.78000000000003</v>
      </c>
      <c r="S34" s="79">
        <f>(AM34*KFC!$B$37+KFC!$C$37)*KFC!$C$5</f>
        <v>140.46000000000004</v>
      </c>
      <c r="T34" s="79">
        <f>(AN34*KFC!$B$37+KFC!$C$37)*KFC!$C$5</f>
        <v>146.14000000000004</v>
      </c>
      <c r="U34" s="79">
        <f>(AO34*KFC!$B$37+KFC!$C$37)*KFC!$C$5</f>
        <v>151.82000000000005</v>
      </c>
      <c r="V34" s="79">
        <f>(AP34*KFC!$B$37+KFC!$C$37)*KFC!$C$5</f>
        <v>157.50000000000006</v>
      </c>
      <c r="X34" s="851">
        <v>1.4</v>
      </c>
      <c r="Y34" s="847">
        <v>59.49</v>
      </c>
      <c r="Z34" s="847">
        <v>65.180000000000007</v>
      </c>
      <c r="AA34" s="847">
        <v>71.09</v>
      </c>
      <c r="AB34" s="847">
        <v>77.02</v>
      </c>
      <c r="AC34" s="847">
        <v>82.69</v>
      </c>
      <c r="AD34" s="847">
        <v>88.62</v>
      </c>
      <c r="AE34" s="847">
        <v>94.29</v>
      </c>
      <c r="AF34" s="847">
        <v>100.21</v>
      </c>
      <c r="AG34" s="847">
        <v>106.14</v>
      </c>
      <c r="AH34" s="847">
        <v>111.82</v>
      </c>
      <c r="AI34" s="847">
        <v>117.74</v>
      </c>
      <c r="AJ34" s="848">
        <v>123.42</v>
      </c>
      <c r="AK34" s="690">
        <f t="shared" si="3"/>
        <v>129.10000000000002</v>
      </c>
      <c r="AL34" s="690">
        <f t="shared" si="2"/>
        <v>134.78000000000003</v>
      </c>
      <c r="AM34" s="690">
        <f t="shared" si="2"/>
        <v>140.46000000000004</v>
      </c>
      <c r="AN34" s="690">
        <f t="shared" si="2"/>
        <v>146.14000000000004</v>
      </c>
      <c r="AO34" s="690">
        <f t="shared" si="2"/>
        <v>151.82000000000005</v>
      </c>
      <c r="AP34" s="690">
        <f t="shared" si="2"/>
        <v>157.50000000000006</v>
      </c>
      <c r="AQ34" s="690">
        <f t="shared" si="2"/>
        <v>163.18000000000006</v>
      </c>
      <c r="AR34" s="690">
        <f t="shared" si="2"/>
        <v>168.86000000000007</v>
      </c>
    </row>
    <row r="35" spans="1:44" ht="12.75" customHeight="1">
      <c r="A35" s="1828"/>
      <c r="B35" s="1967"/>
      <c r="C35" s="1968"/>
      <c r="D35" s="111">
        <v>1.5</v>
      </c>
      <c r="E35" s="80">
        <f>(Y35*KFC!$B$37+KFC!$C$37)*KFC!$C$5</f>
        <v>62.7</v>
      </c>
      <c r="F35" s="79">
        <f>(Z35*KFC!$B$37+KFC!$C$37)*KFC!$C$5</f>
        <v>68.62</v>
      </c>
      <c r="G35" s="79">
        <f>(AA35*KFC!$B$37+KFC!$C$37)*KFC!$C$5</f>
        <v>74.67</v>
      </c>
      <c r="H35" s="79">
        <f>(AB35*KFC!$B$37+KFC!$C$37)*KFC!$C$5</f>
        <v>80.72</v>
      </c>
      <c r="I35" s="79">
        <f>(AC35*KFC!$B$37+KFC!$C$37)*KFC!$C$5</f>
        <v>86.77</v>
      </c>
      <c r="J35" s="79">
        <f>(AD35*KFC!$B$37+KFC!$C$37)*KFC!$C$5</f>
        <v>92.81</v>
      </c>
      <c r="K35" s="79">
        <f>(AE35*KFC!$B$37+KFC!$C$37)*KFC!$C$5</f>
        <v>98.86</v>
      </c>
      <c r="L35" s="79">
        <f>(AF35*KFC!$B$37+KFC!$C$37)*KFC!$C$5</f>
        <v>104.79</v>
      </c>
      <c r="M35" s="79">
        <f>(AG35*KFC!$B$37+KFC!$C$37)*KFC!$C$5</f>
        <v>110.84</v>
      </c>
      <c r="N35" s="79">
        <f>(AH35*KFC!$B$37+KFC!$C$37)*KFC!$C$5</f>
        <v>116.88</v>
      </c>
      <c r="O35" s="79">
        <f>(AI35*KFC!$B$37+KFC!$C$37)*KFC!$C$5</f>
        <v>122.93</v>
      </c>
      <c r="P35" s="79">
        <f>(AJ35*KFC!$B$37+KFC!$C$37)*KFC!$C$5</f>
        <v>128.85</v>
      </c>
      <c r="Q35" s="79">
        <f>(AK35*KFC!$B$37+KFC!$C$37)*KFC!$C$5</f>
        <v>134.76999999999998</v>
      </c>
      <c r="R35" s="79">
        <f>(AL35*KFC!$B$37+KFC!$C$37)*KFC!$C$5</f>
        <v>140.68999999999997</v>
      </c>
      <c r="S35" s="79">
        <f>(AM35*KFC!$B$37+KFC!$C$37)*KFC!$C$5</f>
        <v>146.60999999999996</v>
      </c>
      <c r="T35" s="79">
        <f>(AN35*KFC!$B$37+KFC!$C$37)*KFC!$C$5</f>
        <v>152.52999999999994</v>
      </c>
      <c r="U35" s="79">
        <f>(AO35*KFC!$B$37+KFC!$C$37)*KFC!$C$5</f>
        <v>158.44999999999993</v>
      </c>
      <c r="V35" s="79">
        <f>(AP35*KFC!$B$37+KFC!$C$37)*KFC!$C$5</f>
        <v>164.36999999999992</v>
      </c>
      <c r="X35" s="851">
        <v>1.5</v>
      </c>
      <c r="Y35" s="847">
        <v>62.7</v>
      </c>
      <c r="Z35" s="847">
        <v>68.62</v>
      </c>
      <c r="AA35" s="847">
        <v>74.67</v>
      </c>
      <c r="AB35" s="847">
        <v>80.72</v>
      </c>
      <c r="AC35" s="847">
        <v>86.77</v>
      </c>
      <c r="AD35" s="847">
        <v>92.81</v>
      </c>
      <c r="AE35" s="847">
        <v>98.86</v>
      </c>
      <c r="AF35" s="847">
        <v>104.79</v>
      </c>
      <c r="AG35" s="847">
        <v>110.84</v>
      </c>
      <c r="AH35" s="847">
        <v>116.88</v>
      </c>
      <c r="AI35" s="847">
        <v>122.93</v>
      </c>
      <c r="AJ35" s="848">
        <v>128.85</v>
      </c>
      <c r="AK35" s="690">
        <f t="shared" si="3"/>
        <v>134.76999999999998</v>
      </c>
      <c r="AL35" s="690">
        <f t="shared" si="2"/>
        <v>140.68999999999997</v>
      </c>
      <c r="AM35" s="690">
        <f t="shared" si="2"/>
        <v>146.60999999999996</v>
      </c>
      <c r="AN35" s="690">
        <f t="shared" si="2"/>
        <v>152.52999999999994</v>
      </c>
      <c r="AO35" s="690">
        <f t="shared" si="2"/>
        <v>158.44999999999993</v>
      </c>
      <c r="AP35" s="690">
        <f t="shared" si="2"/>
        <v>164.36999999999992</v>
      </c>
      <c r="AQ35" s="690">
        <f t="shared" si="2"/>
        <v>170.28999999999991</v>
      </c>
      <c r="AR35" s="690">
        <f t="shared" si="2"/>
        <v>176.20999999999989</v>
      </c>
    </row>
    <row r="36" spans="1:44" ht="12.75" customHeight="1">
      <c r="A36" s="1828"/>
      <c r="B36" s="1967"/>
      <c r="C36" s="1968"/>
      <c r="D36" s="111">
        <v>1.6</v>
      </c>
      <c r="E36" s="80">
        <f>(Y36*KFC!$B$37+KFC!$C$37)*KFC!$C$5</f>
        <v>65.91</v>
      </c>
      <c r="F36" s="79">
        <f>(Z36*KFC!$B$37+KFC!$C$37)*KFC!$C$5</f>
        <v>72.2</v>
      </c>
      <c r="G36" s="79">
        <f>(AA36*KFC!$B$37+KFC!$C$37)*KFC!$C$5</f>
        <v>78.38</v>
      </c>
      <c r="H36" s="79">
        <f>(AB36*KFC!$B$37+KFC!$C$37)*KFC!$C$5</f>
        <v>84.55</v>
      </c>
      <c r="I36" s="79">
        <f>(AC36*KFC!$B$37+KFC!$C$37)*KFC!$C$5</f>
        <v>90.72</v>
      </c>
      <c r="J36" s="79">
        <f>(AD36*KFC!$B$37+KFC!$C$37)*KFC!$C$5</f>
        <v>97.01</v>
      </c>
      <c r="K36" s="79">
        <f>(AE36*KFC!$B$37+KFC!$C$37)*KFC!$C$5</f>
        <v>103.3</v>
      </c>
      <c r="L36" s="79">
        <f>(AF36*KFC!$B$37+KFC!$C$37)*KFC!$C$5</f>
        <v>109.47</v>
      </c>
      <c r="M36" s="79">
        <f>(AG36*KFC!$B$37+KFC!$C$37)*KFC!$C$5</f>
        <v>115.64</v>
      </c>
      <c r="N36" s="79">
        <f>(AH36*KFC!$B$37+KFC!$C$37)*KFC!$C$5</f>
        <v>121.81</v>
      </c>
      <c r="O36" s="79">
        <f>(AI36*KFC!$B$37+KFC!$C$37)*KFC!$C$5</f>
        <v>127.99</v>
      </c>
      <c r="P36" s="79">
        <f>(AJ36*KFC!$B$37+KFC!$C$37)*KFC!$C$5</f>
        <v>134.16</v>
      </c>
      <c r="Q36" s="79">
        <f>(AK36*KFC!$B$37+KFC!$C$37)*KFC!$C$5</f>
        <v>140.32999999999998</v>
      </c>
      <c r="R36" s="79">
        <f>(AL36*KFC!$B$37+KFC!$C$37)*KFC!$C$5</f>
        <v>146.49999999999997</v>
      </c>
      <c r="S36" s="79">
        <f>(AM36*KFC!$B$37+KFC!$C$37)*KFC!$C$5</f>
        <v>152.66999999999996</v>
      </c>
      <c r="T36" s="79">
        <f>(AN36*KFC!$B$37+KFC!$C$37)*KFC!$C$5</f>
        <v>158.83999999999995</v>
      </c>
      <c r="U36" s="79">
        <f>(AO36*KFC!$B$37+KFC!$C$37)*KFC!$C$5</f>
        <v>165.00999999999993</v>
      </c>
      <c r="V36" s="79">
        <f>(AP36*KFC!$B$37+KFC!$C$37)*KFC!$C$5</f>
        <v>171.17999999999992</v>
      </c>
      <c r="X36" s="851">
        <v>1.6</v>
      </c>
      <c r="Y36" s="847">
        <v>65.91</v>
      </c>
      <c r="Z36" s="847">
        <v>72.2</v>
      </c>
      <c r="AA36" s="847">
        <v>78.38</v>
      </c>
      <c r="AB36" s="847">
        <v>84.55</v>
      </c>
      <c r="AC36" s="847">
        <v>90.72</v>
      </c>
      <c r="AD36" s="847">
        <v>97.01</v>
      </c>
      <c r="AE36" s="847">
        <v>103.3</v>
      </c>
      <c r="AF36" s="847">
        <v>109.47</v>
      </c>
      <c r="AG36" s="847">
        <v>115.64</v>
      </c>
      <c r="AH36" s="847">
        <v>121.81</v>
      </c>
      <c r="AI36" s="847">
        <v>127.99</v>
      </c>
      <c r="AJ36" s="848">
        <v>134.16</v>
      </c>
      <c r="AK36" s="690">
        <f t="shared" si="3"/>
        <v>140.32999999999998</v>
      </c>
      <c r="AL36" s="690">
        <f t="shared" si="2"/>
        <v>146.49999999999997</v>
      </c>
      <c r="AM36" s="690">
        <f t="shared" si="2"/>
        <v>152.66999999999996</v>
      </c>
      <c r="AN36" s="690">
        <f t="shared" si="2"/>
        <v>158.83999999999995</v>
      </c>
      <c r="AO36" s="690">
        <f t="shared" si="2"/>
        <v>165.00999999999993</v>
      </c>
      <c r="AP36" s="690">
        <f t="shared" si="2"/>
        <v>171.17999999999992</v>
      </c>
      <c r="AQ36" s="690">
        <f t="shared" si="2"/>
        <v>177.34999999999991</v>
      </c>
      <c r="AR36" s="690">
        <f t="shared" si="2"/>
        <v>183.5199999999999</v>
      </c>
    </row>
    <row r="37" spans="1:44" ht="12.75" customHeight="1">
      <c r="A37" s="1828"/>
      <c r="B37" s="1967"/>
      <c r="C37" s="1968"/>
      <c r="D37" s="111">
        <v>1.7</v>
      </c>
      <c r="E37" s="80">
        <f>(Y37*KFC!$B$37+KFC!$C$37)*KFC!$C$5</f>
        <v>69.11</v>
      </c>
      <c r="F37" s="79">
        <f>(Z37*KFC!$B$37+KFC!$C$37)*KFC!$C$5</f>
        <v>75.66</v>
      </c>
      <c r="G37" s="79">
        <f>(AA37*KFC!$B$37+KFC!$C$37)*KFC!$C$5</f>
        <v>81.95</v>
      </c>
      <c r="H37" s="79">
        <f>(AB37*KFC!$B$37+KFC!$C$37)*KFC!$C$5</f>
        <v>88.48</v>
      </c>
      <c r="I37" s="79">
        <f>(AC37*KFC!$B$37+KFC!$C$37)*KFC!$C$5</f>
        <v>94.79</v>
      </c>
      <c r="J37" s="79">
        <f>(AD37*KFC!$B$37+KFC!$C$37)*KFC!$C$5</f>
        <v>101.08</v>
      </c>
      <c r="K37" s="79">
        <f>(AE37*KFC!$B$37+KFC!$C$37)*KFC!$C$5</f>
        <v>107.61</v>
      </c>
      <c r="L37" s="79">
        <f>(AF37*KFC!$B$37+KFC!$C$37)*KFC!$C$5</f>
        <v>113.93</v>
      </c>
      <c r="M37" s="79">
        <f>(AG37*KFC!$B$37+KFC!$C$37)*KFC!$C$5</f>
        <v>120.34</v>
      </c>
      <c r="N37" s="79">
        <f>(AH37*KFC!$B$37+KFC!$C$37)*KFC!$C$5</f>
        <v>126.75</v>
      </c>
      <c r="O37" s="79">
        <f>(AI37*KFC!$B$37+KFC!$C$37)*KFC!$C$5</f>
        <v>133.18</v>
      </c>
      <c r="P37" s="79">
        <f>(AJ37*KFC!$B$37+KFC!$C$37)*KFC!$C$5</f>
        <v>139.59</v>
      </c>
      <c r="Q37" s="79">
        <f>(AK37*KFC!$B$37+KFC!$C$37)*KFC!$C$5</f>
        <v>146</v>
      </c>
      <c r="R37" s="79">
        <f>(AL37*KFC!$B$37+KFC!$C$37)*KFC!$C$5</f>
        <v>152.41</v>
      </c>
      <c r="S37" s="79">
        <f>(AM37*KFC!$B$37+KFC!$C$37)*KFC!$C$5</f>
        <v>158.82</v>
      </c>
      <c r="T37" s="79">
        <f>(AN37*KFC!$B$37+KFC!$C$37)*KFC!$C$5</f>
        <v>165.23</v>
      </c>
      <c r="U37" s="79">
        <f>(AO37*KFC!$B$37+KFC!$C$37)*KFC!$C$5</f>
        <v>171.64</v>
      </c>
      <c r="V37" s="79">
        <f>(AP37*KFC!$B$37+KFC!$C$37)*KFC!$C$5</f>
        <v>178.04999999999998</v>
      </c>
      <c r="X37" s="851">
        <v>1.7</v>
      </c>
      <c r="Y37" s="847">
        <v>69.11</v>
      </c>
      <c r="Z37" s="847">
        <v>75.66</v>
      </c>
      <c r="AA37" s="847">
        <v>81.95</v>
      </c>
      <c r="AB37" s="847">
        <v>88.48</v>
      </c>
      <c r="AC37" s="847">
        <v>94.79</v>
      </c>
      <c r="AD37" s="847">
        <v>101.08</v>
      </c>
      <c r="AE37" s="847">
        <v>107.61</v>
      </c>
      <c r="AF37" s="847">
        <v>113.93</v>
      </c>
      <c r="AG37" s="847">
        <v>120.34</v>
      </c>
      <c r="AH37" s="847">
        <v>126.75</v>
      </c>
      <c r="AI37" s="847">
        <v>133.18</v>
      </c>
      <c r="AJ37" s="848">
        <v>139.59</v>
      </c>
      <c r="AK37" s="690">
        <f t="shared" si="3"/>
        <v>146</v>
      </c>
      <c r="AL37" s="690">
        <f t="shared" si="2"/>
        <v>152.41</v>
      </c>
      <c r="AM37" s="690">
        <f t="shared" si="2"/>
        <v>158.82</v>
      </c>
      <c r="AN37" s="690">
        <f t="shared" si="2"/>
        <v>165.23</v>
      </c>
      <c r="AO37" s="690">
        <f t="shared" si="2"/>
        <v>171.64</v>
      </c>
      <c r="AP37" s="690">
        <f t="shared" si="2"/>
        <v>178.04999999999998</v>
      </c>
      <c r="AQ37" s="690">
        <f t="shared" si="2"/>
        <v>184.45999999999998</v>
      </c>
      <c r="AR37" s="690">
        <f t="shared" si="2"/>
        <v>190.86999999999998</v>
      </c>
    </row>
    <row r="38" spans="1:44" ht="13.5" customHeight="1" thickBot="1">
      <c r="A38" s="1829"/>
      <c r="B38" s="1969"/>
      <c r="C38" s="1970"/>
      <c r="D38" s="112">
        <v>1.8</v>
      </c>
      <c r="E38" s="89">
        <f>(Y38*KFC!$B$37+KFC!$C$37)*KFC!$C$5</f>
        <v>72.45</v>
      </c>
      <c r="F38" s="87">
        <f>(Z38*KFC!$B$37+KFC!$C$37)*KFC!$C$5</f>
        <v>79.11</v>
      </c>
      <c r="G38" s="87">
        <f>(AA38*KFC!$B$37+KFC!$C$37)*KFC!$C$5</f>
        <v>85.54</v>
      </c>
      <c r="H38" s="87">
        <f>(AB38*KFC!$B$37+KFC!$C$37)*KFC!$C$5</f>
        <v>92.19</v>
      </c>
      <c r="I38" s="87">
        <f>(AC38*KFC!$B$37+KFC!$C$37)*KFC!$C$5</f>
        <v>98.86</v>
      </c>
      <c r="J38" s="87">
        <f>(AD38*KFC!$B$37+KFC!$C$37)*KFC!$C$5</f>
        <v>105.4</v>
      </c>
      <c r="K38" s="87">
        <f>(AE38*KFC!$B$37+KFC!$C$37)*KFC!$C$5</f>
        <v>111.94</v>
      </c>
      <c r="L38" s="87">
        <f>(AF38*KFC!$B$37+KFC!$C$37)*KFC!$C$5</f>
        <v>118.48</v>
      </c>
      <c r="M38" s="87">
        <f>(AG38*KFC!$B$37+KFC!$C$37)*KFC!$C$5</f>
        <v>125.15</v>
      </c>
      <c r="N38" s="87">
        <f>(AH38*KFC!$B$37+KFC!$C$37)*KFC!$C$5</f>
        <v>131.81</v>
      </c>
      <c r="O38" s="87">
        <f>(AI38*KFC!$B$37+KFC!$C$37)*KFC!$C$5</f>
        <v>138.22999999999999</v>
      </c>
      <c r="P38" s="87">
        <f>(AJ38*KFC!$B$37+KFC!$C$37)*KFC!$C$5</f>
        <v>144.9</v>
      </c>
      <c r="Q38" s="87">
        <f>(AK38*KFC!$B$37+KFC!$C$37)*KFC!$C$5</f>
        <v>151.57000000000002</v>
      </c>
      <c r="R38" s="87">
        <f>(AL38*KFC!$B$37+KFC!$C$37)*KFC!$C$5</f>
        <v>158.24000000000004</v>
      </c>
      <c r="S38" s="87">
        <f>(AM38*KFC!$B$37+KFC!$C$37)*KFC!$C$5</f>
        <v>164.91000000000005</v>
      </c>
      <c r="T38" s="87">
        <f>(AN38*KFC!$B$37+KFC!$C$37)*KFC!$C$5</f>
        <v>171.58000000000007</v>
      </c>
      <c r="U38" s="87">
        <f>(AO38*KFC!$B$37+KFC!$C$37)*KFC!$C$5</f>
        <v>178.25000000000009</v>
      </c>
      <c r="V38" s="87">
        <f>(AP38*KFC!$B$37+KFC!$C$37)*KFC!$C$5</f>
        <v>184.9200000000001</v>
      </c>
      <c r="X38" s="851">
        <v>1.8</v>
      </c>
      <c r="Y38" s="847">
        <v>72.45</v>
      </c>
      <c r="Z38" s="847">
        <v>79.11</v>
      </c>
      <c r="AA38" s="847">
        <v>85.54</v>
      </c>
      <c r="AB38" s="847">
        <v>92.19</v>
      </c>
      <c r="AC38" s="847">
        <v>98.86</v>
      </c>
      <c r="AD38" s="847">
        <v>105.4</v>
      </c>
      <c r="AE38" s="847">
        <v>111.94</v>
      </c>
      <c r="AF38" s="847">
        <v>118.48</v>
      </c>
      <c r="AG38" s="847">
        <v>125.15</v>
      </c>
      <c r="AH38" s="847">
        <v>131.81</v>
      </c>
      <c r="AI38" s="847">
        <v>138.22999999999999</v>
      </c>
      <c r="AJ38" s="848">
        <v>144.9</v>
      </c>
      <c r="AK38" s="690">
        <f t="shared" si="3"/>
        <v>151.57000000000002</v>
      </c>
      <c r="AL38" s="690">
        <f t="shared" si="2"/>
        <v>158.24000000000004</v>
      </c>
      <c r="AM38" s="690">
        <f t="shared" si="2"/>
        <v>164.91000000000005</v>
      </c>
      <c r="AN38" s="690">
        <f t="shared" si="2"/>
        <v>171.58000000000007</v>
      </c>
      <c r="AO38" s="690">
        <f t="shared" si="2"/>
        <v>178.25000000000009</v>
      </c>
      <c r="AP38" s="690">
        <f t="shared" si="2"/>
        <v>184.9200000000001</v>
      </c>
      <c r="AQ38" s="690">
        <f t="shared" si="2"/>
        <v>191.59000000000012</v>
      </c>
      <c r="AR38" s="690">
        <f t="shared" si="2"/>
        <v>198.26000000000013</v>
      </c>
    </row>
    <row r="39" spans="1:44" ht="13.8" thickBot="1">
      <c r="A39" s="186"/>
      <c r="B39" s="184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</row>
    <row r="40" spans="1:44" ht="13.5" customHeight="1" thickBot="1">
      <c r="A40" s="1413" t="s">
        <v>318</v>
      </c>
      <c r="B40" s="1414"/>
      <c r="C40" s="1414"/>
      <c r="D40" s="1415"/>
      <c r="E40" s="1534" t="s">
        <v>207</v>
      </c>
      <c r="F40" s="1535"/>
      <c r="G40" s="1535"/>
      <c r="H40" s="1535"/>
      <c r="I40" s="1535"/>
      <c r="J40" s="1535"/>
      <c r="K40" s="1535"/>
      <c r="L40" s="1535"/>
      <c r="M40" s="1535"/>
      <c r="N40" s="1535"/>
      <c r="O40" s="1535"/>
      <c r="P40" s="1535"/>
      <c r="Q40" s="1535"/>
      <c r="R40" s="1535"/>
      <c r="S40" s="1535"/>
      <c r="T40" s="1535"/>
      <c r="U40" s="1535"/>
      <c r="V40" s="1535"/>
    </row>
    <row r="41" spans="1:44" ht="13.8" thickBot="1">
      <c r="A41" s="1416"/>
      <c r="B41" s="1417"/>
      <c r="C41" s="1417"/>
      <c r="D41" s="1418"/>
      <c r="E41" s="119">
        <v>0.4</v>
      </c>
      <c r="F41" s="119">
        <v>0.5</v>
      </c>
      <c r="G41" s="119">
        <v>0.6</v>
      </c>
      <c r="H41" s="119">
        <v>0.7</v>
      </c>
      <c r="I41" s="119">
        <v>0.8</v>
      </c>
      <c r="J41" s="119">
        <v>0.9</v>
      </c>
      <c r="K41" s="119">
        <v>1</v>
      </c>
      <c r="L41" s="119">
        <v>1.1000000000000001</v>
      </c>
      <c r="M41" s="119">
        <v>1.2</v>
      </c>
      <c r="N41" s="119">
        <v>1.3</v>
      </c>
      <c r="O41" s="119">
        <v>1.4</v>
      </c>
      <c r="P41" s="119">
        <v>1.5</v>
      </c>
      <c r="Q41" s="119">
        <v>1.6</v>
      </c>
      <c r="R41" s="119">
        <v>1.7</v>
      </c>
      <c r="S41" s="119">
        <v>1.8</v>
      </c>
      <c r="T41" s="119">
        <v>1.9</v>
      </c>
      <c r="U41" s="119">
        <v>2</v>
      </c>
      <c r="V41" s="119">
        <v>2.1</v>
      </c>
      <c r="X41" s="850"/>
      <c r="Y41" s="851">
        <v>0.4</v>
      </c>
      <c r="Z41" s="851">
        <v>0.5</v>
      </c>
      <c r="AA41" s="851">
        <v>0.6</v>
      </c>
      <c r="AB41" s="851">
        <v>0.7</v>
      </c>
      <c r="AC41" s="851">
        <v>0.8</v>
      </c>
      <c r="AD41" s="851">
        <v>0.9</v>
      </c>
      <c r="AE41" s="851">
        <v>1</v>
      </c>
      <c r="AF41" s="851">
        <v>1.1000000000000001</v>
      </c>
      <c r="AG41" s="851">
        <v>1.2</v>
      </c>
      <c r="AH41" s="851">
        <v>1.3</v>
      </c>
      <c r="AI41" s="851">
        <v>1.4</v>
      </c>
      <c r="AJ41" s="852">
        <v>1.5</v>
      </c>
      <c r="AK41" s="853">
        <v>1.6</v>
      </c>
      <c r="AL41" s="853">
        <v>1.7</v>
      </c>
      <c r="AM41" s="853">
        <v>1.8</v>
      </c>
      <c r="AN41" s="853">
        <v>1.9</v>
      </c>
      <c r="AO41" s="853">
        <v>2</v>
      </c>
      <c r="AP41" s="853">
        <v>2.1</v>
      </c>
      <c r="AQ41" s="853">
        <v>2.2000000000000002</v>
      </c>
      <c r="AR41" s="853">
        <v>2.2999999999999998</v>
      </c>
    </row>
    <row r="42" spans="1:44" ht="12.75" customHeight="1">
      <c r="A42" s="1827" t="s">
        <v>3</v>
      </c>
      <c r="B42" s="1965"/>
      <c r="C42" s="1966"/>
      <c r="D42" s="227">
        <v>0.5</v>
      </c>
      <c r="E42" s="76">
        <f>(Y42*KFC!$B$37+KFC!$C$37)*KFC!$C$5</f>
        <v>37.76</v>
      </c>
      <c r="F42" s="81">
        <f>(Z42*KFC!$B$37+KFC!$C$37)*KFC!$C$5</f>
        <v>43.08</v>
      </c>
      <c r="G42" s="81">
        <f>(AA42*KFC!$B$37+KFC!$C$37)*KFC!$C$5</f>
        <v>48.51</v>
      </c>
      <c r="H42" s="81">
        <f>(AB42*KFC!$B$37+KFC!$C$37)*KFC!$C$5</f>
        <v>53.69</v>
      </c>
      <c r="I42" s="81">
        <f>(AC42*KFC!$B$37+KFC!$C$37)*KFC!$C$5</f>
        <v>59.13</v>
      </c>
      <c r="J42" s="81">
        <f>(AD42*KFC!$B$37+KFC!$C$37)*KFC!$C$5</f>
        <v>64.42</v>
      </c>
      <c r="K42" s="81">
        <f>(AE42*KFC!$B$37+KFC!$C$37)*KFC!$C$5</f>
        <v>69.849999999999994</v>
      </c>
      <c r="L42" s="81">
        <f>(AF42*KFC!$B$37+KFC!$C$37)*KFC!$C$5</f>
        <v>75.16</v>
      </c>
      <c r="M42" s="81">
        <f>(AG42*KFC!$B$37+KFC!$C$37)*KFC!$C$5</f>
        <v>80.599999999999994</v>
      </c>
      <c r="N42" s="81">
        <f>(AH42*KFC!$B$37+KFC!$C$37)*KFC!$C$5</f>
        <v>85.9</v>
      </c>
      <c r="O42" s="81">
        <f>(AI42*KFC!$B$37+KFC!$C$37)*KFC!$C$5</f>
        <v>91.33</v>
      </c>
      <c r="P42" s="81">
        <f>(AJ42*KFC!$B$37+KFC!$C$37)*KFC!$C$5</f>
        <v>96.65</v>
      </c>
      <c r="Q42" s="81">
        <f>(AK42*KFC!$B$37+KFC!$C$37)*KFC!$C$5</f>
        <v>101.97000000000001</v>
      </c>
      <c r="R42" s="81">
        <f>(AL42*KFC!$B$37+KFC!$C$37)*KFC!$C$5</f>
        <v>107.29000000000002</v>
      </c>
      <c r="S42" s="81">
        <f>(AM42*KFC!$B$37+KFC!$C$37)*KFC!$C$5</f>
        <v>112.61000000000003</v>
      </c>
      <c r="T42" s="81">
        <f>(AN42*KFC!$B$37+KFC!$C$37)*KFC!$C$5</f>
        <v>117.93000000000004</v>
      </c>
      <c r="U42" s="81">
        <f>(AO42*KFC!$B$37+KFC!$C$37)*KFC!$C$5</f>
        <v>123.25000000000004</v>
      </c>
      <c r="V42" s="81">
        <f>(AP42*KFC!$B$37+KFC!$C$37)*KFC!$C$5</f>
        <v>128.57000000000005</v>
      </c>
      <c r="X42" s="851">
        <v>0.5</v>
      </c>
      <c r="Y42" s="847">
        <v>37.76</v>
      </c>
      <c r="Z42" s="847">
        <v>43.08</v>
      </c>
      <c r="AA42" s="847">
        <v>48.51</v>
      </c>
      <c r="AB42" s="847">
        <v>53.69</v>
      </c>
      <c r="AC42" s="847">
        <v>59.13</v>
      </c>
      <c r="AD42" s="847">
        <v>64.42</v>
      </c>
      <c r="AE42" s="847">
        <v>69.849999999999994</v>
      </c>
      <c r="AF42" s="847">
        <v>75.16</v>
      </c>
      <c r="AG42" s="847">
        <v>80.599999999999994</v>
      </c>
      <c r="AH42" s="847">
        <v>85.9</v>
      </c>
      <c r="AI42" s="847">
        <v>91.33</v>
      </c>
      <c r="AJ42" s="848">
        <v>96.65</v>
      </c>
      <c r="AK42" s="690">
        <f>AJ42-AI42+AJ42</f>
        <v>101.97000000000001</v>
      </c>
      <c r="AL42" s="690">
        <f t="shared" ref="AL42:AR55" si="4">AK42-AJ42+AK42</f>
        <v>107.29000000000002</v>
      </c>
      <c r="AM42" s="690">
        <f t="shared" si="4"/>
        <v>112.61000000000003</v>
      </c>
      <c r="AN42" s="690">
        <f t="shared" si="4"/>
        <v>117.93000000000004</v>
      </c>
      <c r="AO42" s="690">
        <f t="shared" si="4"/>
        <v>123.25000000000004</v>
      </c>
      <c r="AP42" s="690">
        <f t="shared" si="4"/>
        <v>128.57000000000005</v>
      </c>
      <c r="AQ42" s="690">
        <f t="shared" si="4"/>
        <v>133.89000000000004</v>
      </c>
      <c r="AR42" s="690">
        <f t="shared" si="4"/>
        <v>139.21000000000004</v>
      </c>
    </row>
    <row r="43" spans="1:44">
      <c r="A43" s="1828"/>
      <c r="B43" s="1967"/>
      <c r="C43" s="1968"/>
      <c r="D43" s="111">
        <v>0.6</v>
      </c>
      <c r="E43" s="80">
        <f>(Y43*KFC!$B$37+KFC!$C$37)*KFC!$C$5</f>
        <v>41.11</v>
      </c>
      <c r="F43" s="79">
        <f>(Z43*KFC!$B$37+KFC!$C$37)*KFC!$C$5</f>
        <v>46.9</v>
      </c>
      <c r="G43" s="79">
        <f>(AA43*KFC!$B$37+KFC!$C$37)*KFC!$C$5</f>
        <v>52.83</v>
      </c>
      <c r="H43" s="79">
        <f>(AB43*KFC!$B$37+KFC!$C$37)*KFC!$C$5</f>
        <v>58.75</v>
      </c>
      <c r="I43" s="79">
        <f>(AC43*KFC!$B$37+KFC!$C$37)*KFC!$C$5</f>
        <v>64.56</v>
      </c>
      <c r="J43" s="79">
        <f>(AD43*KFC!$B$37+KFC!$C$37)*KFC!$C$5</f>
        <v>70.47</v>
      </c>
      <c r="K43" s="79">
        <f>(AE43*KFC!$B$37+KFC!$C$37)*KFC!$C$5</f>
        <v>76.400000000000006</v>
      </c>
      <c r="L43" s="79">
        <f>(AF43*KFC!$B$37+KFC!$C$37)*KFC!$C$5</f>
        <v>82.07</v>
      </c>
      <c r="M43" s="79">
        <f>(AG43*KFC!$B$37+KFC!$C$37)*KFC!$C$5</f>
        <v>88</v>
      </c>
      <c r="N43" s="79">
        <f>(AH43*KFC!$B$37+KFC!$C$37)*KFC!$C$5</f>
        <v>93.92</v>
      </c>
      <c r="O43" s="79">
        <f>(AI43*KFC!$B$37+KFC!$C$37)*KFC!$C$5</f>
        <v>99.73</v>
      </c>
      <c r="P43" s="79">
        <f>(AJ43*KFC!$B$37+KFC!$C$37)*KFC!$C$5</f>
        <v>105.64</v>
      </c>
      <c r="Q43" s="79">
        <f>(AK43*KFC!$B$37+KFC!$C$37)*KFC!$C$5</f>
        <v>111.55</v>
      </c>
      <c r="R43" s="79">
        <f>(AL43*KFC!$B$37+KFC!$C$37)*KFC!$C$5</f>
        <v>117.46</v>
      </c>
      <c r="S43" s="79">
        <f>(AM43*KFC!$B$37+KFC!$C$37)*KFC!$C$5</f>
        <v>123.36999999999999</v>
      </c>
      <c r="T43" s="79">
        <f>(AN43*KFC!$B$37+KFC!$C$37)*KFC!$C$5</f>
        <v>129.27999999999997</v>
      </c>
      <c r="U43" s="79">
        <f>(AO43*KFC!$B$37+KFC!$C$37)*KFC!$C$5</f>
        <v>135.18999999999994</v>
      </c>
      <c r="V43" s="79">
        <f>(AP43*KFC!$B$37+KFC!$C$37)*KFC!$C$5</f>
        <v>141.09999999999991</v>
      </c>
      <c r="X43" s="851">
        <v>0.6</v>
      </c>
      <c r="Y43" s="847">
        <v>41.11</v>
      </c>
      <c r="Z43" s="847">
        <v>46.9</v>
      </c>
      <c r="AA43" s="847">
        <v>52.83</v>
      </c>
      <c r="AB43" s="847">
        <v>58.75</v>
      </c>
      <c r="AC43" s="847">
        <v>64.56</v>
      </c>
      <c r="AD43" s="847">
        <v>70.47</v>
      </c>
      <c r="AE43" s="847">
        <v>76.400000000000006</v>
      </c>
      <c r="AF43" s="847">
        <v>82.07</v>
      </c>
      <c r="AG43" s="847">
        <v>88</v>
      </c>
      <c r="AH43" s="847">
        <v>93.92</v>
      </c>
      <c r="AI43" s="847">
        <v>99.73</v>
      </c>
      <c r="AJ43" s="848">
        <v>105.64</v>
      </c>
      <c r="AK43" s="690">
        <f t="shared" ref="AK43:AK55" si="5">AJ43-AI43+AJ43</f>
        <v>111.55</v>
      </c>
      <c r="AL43" s="690">
        <f t="shared" si="4"/>
        <v>117.46</v>
      </c>
      <c r="AM43" s="690">
        <f t="shared" si="4"/>
        <v>123.36999999999999</v>
      </c>
      <c r="AN43" s="690">
        <f t="shared" si="4"/>
        <v>129.27999999999997</v>
      </c>
      <c r="AO43" s="690">
        <f t="shared" si="4"/>
        <v>135.18999999999994</v>
      </c>
      <c r="AP43" s="690">
        <f t="shared" si="4"/>
        <v>141.09999999999991</v>
      </c>
      <c r="AQ43" s="690">
        <f t="shared" si="4"/>
        <v>147.00999999999988</v>
      </c>
      <c r="AR43" s="690">
        <f t="shared" si="4"/>
        <v>152.91999999999985</v>
      </c>
    </row>
    <row r="44" spans="1:44">
      <c r="A44" s="1828"/>
      <c r="B44" s="1967"/>
      <c r="C44" s="1968"/>
      <c r="D44" s="111">
        <v>0.7</v>
      </c>
      <c r="E44" s="80">
        <f>(Y44*KFC!$B$37+KFC!$C$37)*KFC!$C$5</f>
        <v>44.55</v>
      </c>
      <c r="F44" s="79">
        <f>(Z44*KFC!$B$37+KFC!$C$37)*KFC!$C$5</f>
        <v>50.84</v>
      </c>
      <c r="G44" s="79">
        <f>(AA44*KFC!$B$37+KFC!$C$37)*KFC!$C$5</f>
        <v>57.27</v>
      </c>
      <c r="H44" s="79">
        <f>(AB44*KFC!$B$37+KFC!$C$37)*KFC!$C$5</f>
        <v>63.68</v>
      </c>
      <c r="I44" s="79">
        <f>(AC44*KFC!$B$37+KFC!$C$37)*KFC!$C$5</f>
        <v>69.97</v>
      </c>
      <c r="J44" s="79">
        <f>(AD44*KFC!$B$37+KFC!$C$37)*KFC!$C$5</f>
        <v>76.400000000000006</v>
      </c>
      <c r="K44" s="79">
        <f>(AE44*KFC!$B$37+KFC!$C$37)*KFC!$C$5</f>
        <v>82.69</v>
      </c>
      <c r="L44" s="79">
        <f>(AF44*KFC!$B$37+KFC!$C$37)*KFC!$C$5</f>
        <v>89.24</v>
      </c>
      <c r="M44" s="79">
        <f>(AG44*KFC!$B$37+KFC!$C$37)*KFC!$C$5</f>
        <v>95.54</v>
      </c>
      <c r="N44" s="79">
        <f>(AH44*KFC!$B$37+KFC!$C$37)*KFC!$C$5</f>
        <v>101.95</v>
      </c>
      <c r="O44" s="79">
        <f>(AI44*KFC!$B$37+KFC!$C$37)*KFC!$C$5</f>
        <v>108.37</v>
      </c>
      <c r="P44" s="79">
        <f>(AJ44*KFC!$B$37+KFC!$C$37)*KFC!$C$5</f>
        <v>114.66</v>
      </c>
      <c r="Q44" s="79">
        <f>(AK44*KFC!$B$37+KFC!$C$37)*KFC!$C$5</f>
        <v>120.94999999999999</v>
      </c>
      <c r="R44" s="79">
        <f>(AL44*KFC!$B$37+KFC!$C$37)*KFC!$C$5</f>
        <v>127.23999999999998</v>
      </c>
      <c r="S44" s="79">
        <f>(AM44*KFC!$B$37+KFC!$C$37)*KFC!$C$5</f>
        <v>133.52999999999997</v>
      </c>
      <c r="T44" s="79">
        <f>(AN44*KFC!$B$37+KFC!$C$37)*KFC!$C$5</f>
        <v>139.81999999999996</v>
      </c>
      <c r="U44" s="79">
        <f>(AO44*KFC!$B$37+KFC!$C$37)*KFC!$C$5</f>
        <v>146.10999999999996</v>
      </c>
      <c r="V44" s="79">
        <f>(AP44*KFC!$B$37+KFC!$C$37)*KFC!$C$5</f>
        <v>152.39999999999995</v>
      </c>
      <c r="X44" s="851">
        <v>0.7</v>
      </c>
      <c r="Y44" s="847">
        <v>44.55</v>
      </c>
      <c r="Z44" s="847">
        <v>50.84</v>
      </c>
      <c r="AA44" s="847">
        <v>57.27</v>
      </c>
      <c r="AB44" s="847">
        <v>63.68</v>
      </c>
      <c r="AC44" s="847">
        <v>69.97</v>
      </c>
      <c r="AD44" s="847">
        <v>76.400000000000006</v>
      </c>
      <c r="AE44" s="847">
        <v>82.69</v>
      </c>
      <c r="AF44" s="847">
        <v>89.24</v>
      </c>
      <c r="AG44" s="847">
        <v>95.54</v>
      </c>
      <c r="AH44" s="847">
        <v>101.95</v>
      </c>
      <c r="AI44" s="847">
        <v>108.37</v>
      </c>
      <c r="AJ44" s="848">
        <v>114.66</v>
      </c>
      <c r="AK44" s="690">
        <f t="shared" si="5"/>
        <v>120.94999999999999</v>
      </c>
      <c r="AL44" s="690">
        <f t="shared" si="4"/>
        <v>127.23999999999998</v>
      </c>
      <c r="AM44" s="690">
        <f t="shared" si="4"/>
        <v>133.52999999999997</v>
      </c>
      <c r="AN44" s="690">
        <f t="shared" si="4"/>
        <v>139.81999999999996</v>
      </c>
      <c r="AO44" s="690">
        <f t="shared" si="4"/>
        <v>146.10999999999996</v>
      </c>
      <c r="AP44" s="690">
        <f t="shared" si="4"/>
        <v>152.39999999999995</v>
      </c>
      <c r="AQ44" s="690">
        <f t="shared" si="4"/>
        <v>158.68999999999994</v>
      </c>
      <c r="AR44" s="690">
        <f t="shared" si="4"/>
        <v>164.97999999999993</v>
      </c>
    </row>
    <row r="45" spans="1:44">
      <c r="A45" s="1828"/>
      <c r="B45" s="1967"/>
      <c r="C45" s="1968"/>
      <c r="D45" s="111">
        <v>0.8</v>
      </c>
      <c r="E45" s="80">
        <f>(Y45*KFC!$B$37+KFC!$C$37)*KFC!$C$5</f>
        <v>47.89</v>
      </c>
      <c r="F45" s="79">
        <f>(Z45*KFC!$B$37+KFC!$C$37)*KFC!$C$5</f>
        <v>54.8</v>
      </c>
      <c r="G45" s="79">
        <f>(AA45*KFC!$B$37+KFC!$C$37)*KFC!$C$5</f>
        <v>61.59</v>
      </c>
      <c r="H45" s="79">
        <f>(AB45*KFC!$B$37+KFC!$C$37)*KFC!$C$5</f>
        <v>68.5</v>
      </c>
      <c r="I45" s="79">
        <f>(AC45*KFC!$B$37+KFC!$C$37)*KFC!$C$5</f>
        <v>75.53</v>
      </c>
      <c r="J45" s="79">
        <f>(AD45*KFC!$B$37+KFC!$C$37)*KFC!$C$5</f>
        <v>82.45</v>
      </c>
      <c r="K45" s="79">
        <f>(AE45*KFC!$B$37+KFC!$C$37)*KFC!$C$5</f>
        <v>89.24</v>
      </c>
      <c r="L45" s="79">
        <f>(AF45*KFC!$B$37+KFC!$C$37)*KFC!$C$5</f>
        <v>96.15</v>
      </c>
      <c r="M45" s="79">
        <f>(AG45*KFC!$B$37+KFC!$C$37)*KFC!$C$5</f>
        <v>103.06</v>
      </c>
      <c r="N45" s="79">
        <f>(AH45*KFC!$B$37+KFC!$C$37)*KFC!$C$5</f>
        <v>110.09</v>
      </c>
      <c r="O45" s="79">
        <f>(AI45*KFC!$B$37+KFC!$C$37)*KFC!$C$5</f>
        <v>116.88</v>
      </c>
      <c r="P45" s="79">
        <f>(AJ45*KFC!$B$37+KFC!$C$37)*KFC!$C$5</f>
        <v>123.79</v>
      </c>
      <c r="Q45" s="79">
        <f>(AK45*KFC!$B$37+KFC!$C$37)*KFC!$C$5</f>
        <v>130.70000000000002</v>
      </c>
      <c r="R45" s="79">
        <f>(AL45*KFC!$B$37+KFC!$C$37)*KFC!$C$5</f>
        <v>137.61000000000001</v>
      </c>
      <c r="S45" s="79">
        <f>(AM45*KFC!$B$37+KFC!$C$37)*KFC!$C$5</f>
        <v>144.52000000000001</v>
      </c>
      <c r="T45" s="79">
        <f>(AN45*KFC!$B$37+KFC!$C$37)*KFC!$C$5</f>
        <v>151.43</v>
      </c>
      <c r="U45" s="79">
        <f>(AO45*KFC!$B$37+KFC!$C$37)*KFC!$C$5</f>
        <v>158.34</v>
      </c>
      <c r="V45" s="79">
        <f>(AP45*KFC!$B$37+KFC!$C$37)*KFC!$C$5</f>
        <v>165.25</v>
      </c>
      <c r="X45" s="851">
        <v>0.8</v>
      </c>
      <c r="Y45" s="847">
        <v>47.89</v>
      </c>
      <c r="Z45" s="847">
        <v>54.8</v>
      </c>
      <c r="AA45" s="847">
        <v>61.59</v>
      </c>
      <c r="AB45" s="847">
        <v>68.5</v>
      </c>
      <c r="AC45" s="847">
        <v>75.53</v>
      </c>
      <c r="AD45" s="847">
        <v>82.45</v>
      </c>
      <c r="AE45" s="847">
        <v>89.24</v>
      </c>
      <c r="AF45" s="847">
        <v>96.15</v>
      </c>
      <c r="AG45" s="847">
        <v>103.06</v>
      </c>
      <c r="AH45" s="847">
        <v>110.09</v>
      </c>
      <c r="AI45" s="847">
        <v>116.88</v>
      </c>
      <c r="AJ45" s="848">
        <v>123.79</v>
      </c>
      <c r="AK45" s="690">
        <f t="shared" si="5"/>
        <v>130.70000000000002</v>
      </c>
      <c r="AL45" s="690">
        <f t="shared" si="4"/>
        <v>137.61000000000001</v>
      </c>
      <c r="AM45" s="690">
        <f t="shared" si="4"/>
        <v>144.52000000000001</v>
      </c>
      <c r="AN45" s="690">
        <f t="shared" si="4"/>
        <v>151.43</v>
      </c>
      <c r="AO45" s="690">
        <f t="shared" si="4"/>
        <v>158.34</v>
      </c>
      <c r="AP45" s="690">
        <f t="shared" si="4"/>
        <v>165.25</v>
      </c>
      <c r="AQ45" s="690">
        <f t="shared" si="4"/>
        <v>172.16</v>
      </c>
      <c r="AR45" s="690">
        <f t="shared" si="4"/>
        <v>179.07</v>
      </c>
    </row>
    <row r="46" spans="1:44">
      <c r="A46" s="1828"/>
      <c r="B46" s="1967"/>
      <c r="C46" s="1968"/>
      <c r="D46" s="111">
        <v>0.9</v>
      </c>
      <c r="E46" s="80">
        <f>(Y46*KFC!$B$37+KFC!$C$37)*KFC!$C$5</f>
        <v>51.22</v>
      </c>
      <c r="F46" s="79">
        <f>(Z46*KFC!$B$37+KFC!$C$37)*KFC!$C$5</f>
        <v>58.63</v>
      </c>
      <c r="G46" s="79">
        <f>(AA46*KFC!$B$37+KFC!$C$37)*KFC!$C$5</f>
        <v>66.150000000000006</v>
      </c>
      <c r="H46" s="79">
        <f>(AB46*KFC!$B$37+KFC!$C$37)*KFC!$C$5</f>
        <v>73.56</v>
      </c>
      <c r="I46" s="79">
        <f>(AC46*KFC!$B$37+KFC!$C$37)*KFC!$C$5</f>
        <v>80.959999999999994</v>
      </c>
      <c r="J46" s="79">
        <f>(AD46*KFC!$B$37+KFC!$C$37)*KFC!$C$5</f>
        <v>88.24</v>
      </c>
      <c r="K46" s="79">
        <f>(AE46*KFC!$B$37+KFC!$C$37)*KFC!$C$5</f>
        <v>95.66</v>
      </c>
      <c r="L46" s="79">
        <f>(AF46*KFC!$B$37+KFC!$C$37)*KFC!$C$5</f>
        <v>103.06</v>
      </c>
      <c r="M46" s="79">
        <f>(AG46*KFC!$B$37+KFC!$C$37)*KFC!$C$5</f>
        <v>110.58</v>
      </c>
      <c r="N46" s="79">
        <f>(AH46*KFC!$B$37+KFC!$C$37)*KFC!$C$5</f>
        <v>117.99</v>
      </c>
      <c r="O46" s="79">
        <f>(AI46*KFC!$B$37+KFC!$C$37)*KFC!$C$5</f>
        <v>125.39</v>
      </c>
      <c r="P46" s="79">
        <f>(AJ46*KFC!$B$37+KFC!$C$37)*KFC!$C$5</f>
        <v>132.80000000000001</v>
      </c>
      <c r="Q46" s="79">
        <f>(AK46*KFC!$B$37+KFC!$C$37)*KFC!$C$5</f>
        <v>140.21000000000004</v>
      </c>
      <c r="R46" s="79">
        <f>(AL46*KFC!$B$37+KFC!$C$37)*KFC!$C$5</f>
        <v>147.62000000000006</v>
      </c>
      <c r="S46" s="79">
        <f>(AM46*KFC!$B$37+KFC!$C$37)*KFC!$C$5</f>
        <v>155.03000000000009</v>
      </c>
      <c r="T46" s="79">
        <f>(AN46*KFC!$B$37+KFC!$C$37)*KFC!$C$5</f>
        <v>162.44000000000011</v>
      </c>
      <c r="U46" s="79">
        <f>(AO46*KFC!$B$37+KFC!$C$37)*KFC!$C$5</f>
        <v>169.85000000000014</v>
      </c>
      <c r="V46" s="79">
        <f>(AP46*KFC!$B$37+KFC!$C$37)*KFC!$C$5</f>
        <v>177.26000000000016</v>
      </c>
      <c r="X46" s="851">
        <v>0.9</v>
      </c>
      <c r="Y46" s="847">
        <v>51.22</v>
      </c>
      <c r="Z46" s="847">
        <v>58.63</v>
      </c>
      <c r="AA46" s="847">
        <v>66.150000000000006</v>
      </c>
      <c r="AB46" s="847">
        <v>73.56</v>
      </c>
      <c r="AC46" s="847">
        <v>80.959999999999994</v>
      </c>
      <c r="AD46" s="847">
        <v>88.24</v>
      </c>
      <c r="AE46" s="847">
        <v>95.66</v>
      </c>
      <c r="AF46" s="847">
        <v>103.06</v>
      </c>
      <c r="AG46" s="847">
        <v>110.58</v>
      </c>
      <c r="AH46" s="847">
        <v>117.99</v>
      </c>
      <c r="AI46" s="847">
        <v>125.39</v>
      </c>
      <c r="AJ46" s="848">
        <v>132.80000000000001</v>
      </c>
      <c r="AK46" s="690">
        <f t="shared" si="5"/>
        <v>140.21000000000004</v>
      </c>
      <c r="AL46" s="690">
        <f t="shared" si="4"/>
        <v>147.62000000000006</v>
      </c>
      <c r="AM46" s="690">
        <f t="shared" si="4"/>
        <v>155.03000000000009</v>
      </c>
      <c r="AN46" s="690">
        <f t="shared" si="4"/>
        <v>162.44000000000011</v>
      </c>
      <c r="AO46" s="690">
        <f t="shared" si="4"/>
        <v>169.85000000000014</v>
      </c>
      <c r="AP46" s="690">
        <f t="shared" si="4"/>
        <v>177.26000000000016</v>
      </c>
      <c r="AQ46" s="690">
        <f t="shared" si="4"/>
        <v>184.67000000000019</v>
      </c>
      <c r="AR46" s="690">
        <f t="shared" si="4"/>
        <v>192.08000000000021</v>
      </c>
    </row>
    <row r="47" spans="1:44">
      <c r="A47" s="1828"/>
      <c r="B47" s="1967"/>
      <c r="C47" s="1968"/>
      <c r="D47" s="111">
        <v>1</v>
      </c>
      <c r="E47" s="80">
        <f>(Y47*KFC!$B$37+KFC!$C$37)*KFC!$C$5</f>
        <v>54.68</v>
      </c>
      <c r="F47" s="79">
        <f>(Z47*KFC!$B$37+KFC!$C$37)*KFC!$C$5</f>
        <v>62.45</v>
      </c>
      <c r="G47" s="79">
        <f>(AA47*KFC!$B$37+KFC!$C$37)*KFC!$C$5</f>
        <v>70.47</v>
      </c>
      <c r="H47" s="79">
        <f>(AB47*KFC!$B$37+KFC!$C$37)*KFC!$C$5</f>
        <v>78.38</v>
      </c>
      <c r="I47" s="79">
        <f>(AC47*KFC!$B$37+KFC!$C$37)*KFC!$C$5</f>
        <v>86.39</v>
      </c>
      <c r="J47" s="79">
        <f>(AD47*KFC!$B$37+KFC!$C$37)*KFC!$C$5</f>
        <v>94.17</v>
      </c>
      <c r="K47" s="79">
        <f>(AE47*KFC!$B$37+KFC!$C$37)*KFC!$C$5</f>
        <v>102.2</v>
      </c>
      <c r="L47" s="79">
        <f>(AF47*KFC!$B$37+KFC!$C$37)*KFC!$C$5</f>
        <v>110.22</v>
      </c>
      <c r="M47" s="79">
        <f>(AG47*KFC!$B$37+KFC!$C$37)*KFC!$C$5</f>
        <v>117.99</v>
      </c>
      <c r="N47" s="79">
        <f>(AH47*KFC!$B$37+KFC!$C$37)*KFC!$C$5</f>
        <v>126.01</v>
      </c>
      <c r="O47" s="79">
        <f>(AI47*KFC!$B$37+KFC!$C$37)*KFC!$C$5</f>
        <v>133.91</v>
      </c>
      <c r="P47" s="79">
        <f>(AJ47*KFC!$B$37+KFC!$C$37)*KFC!$C$5</f>
        <v>141.93</v>
      </c>
      <c r="Q47" s="79">
        <f>(AK47*KFC!$B$37+KFC!$C$37)*KFC!$C$5</f>
        <v>149.95000000000002</v>
      </c>
      <c r="R47" s="79">
        <f>(AL47*KFC!$B$37+KFC!$C$37)*KFC!$C$5</f>
        <v>157.97000000000003</v>
      </c>
      <c r="S47" s="79">
        <f>(AM47*KFC!$B$37+KFC!$C$37)*KFC!$C$5</f>
        <v>165.99000000000004</v>
      </c>
      <c r="T47" s="79">
        <f>(AN47*KFC!$B$37+KFC!$C$37)*KFC!$C$5</f>
        <v>174.01000000000005</v>
      </c>
      <c r="U47" s="79">
        <f>(AO47*KFC!$B$37+KFC!$C$37)*KFC!$C$5</f>
        <v>182.03000000000006</v>
      </c>
      <c r="V47" s="79">
        <f>(AP47*KFC!$B$37+KFC!$C$37)*KFC!$C$5</f>
        <v>190.05000000000007</v>
      </c>
      <c r="X47" s="851">
        <v>1</v>
      </c>
      <c r="Y47" s="847">
        <v>54.68</v>
      </c>
      <c r="Z47" s="847">
        <v>62.45</v>
      </c>
      <c r="AA47" s="847">
        <v>70.47</v>
      </c>
      <c r="AB47" s="847">
        <v>78.38</v>
      </c>
      <c r="AC47" s="847">
        <v>86.39</v>
      </c>
      <c r="AD47" s="847">
        <v>94.17</v>
      </c>
      <c r="AE47" s="847">
        <v>102.2</v>
      </c>
      <c r="AF47" s="847">
        <v>110.22</v>
      </c>
      <c r="AG47" s="847">
        <v>117.99</v>
      </c>
      <c r="AH47" s="847">
        <v>126.01</v>
      </c>
      <c r="AI47" s="847">
        <v>133.91</v>
      </c>
      <c r="AJ47" s="848">
        <v>141.93</v>
      </c>
      <c r="AK47" s="690">
        <f t="shared" si="5"/>
        <v>149.95000000000002</v>
      </c>
      <c r="AL47" s="690">
        <f t="shared" si="4"/>
        <v>157.97000000000003</v>
      </c>
      <c r="AM47" s="690">
        <f t="shared" si="4"/>
        <v>165.99000000000004</v>
      </c>
      <c r="AN47" s="690">
        <f t="shared" si="4"/>
        <v>174.01000000000005</v>
      </c>
      <c r="AO47" s="690">
        <f t="shared" si="4"/>
        <v>182.03000000000006</v>
      </c>
      <c r="AP47" s="690">
        <f t="shared" si="4"/>
        <v>190.05000000000007</v>
      </c>
      <c r="AQ47" s="690">
        <f t="shared" si="4"/>
        <v>198.07000000000008</v>
      </c>
      <c r="AR47" s="690">
        <f t="shared" si="4"/>
        <v>206.09000000000009</v>
      </c>
    </row>
    <row r="48" spans="1:44">
      <c r="A48" s="1828"/>
      <c r="B48" s="1967"/>
      <c r="C48" s="1968"/>
      <c r="D48" s="111">
        <v>1.1000000000000001</v>
      </c>
      <c r="E48" s="80">
        <f>(Y48*KFC!$B$37+KFC!$C$37)*KFC!$C$5</f>
        <v>58</v>
      </c>
      <c r="F48" s="79">
        <f>(Z48*KFC!$B$37+KFC!$C$37)*KFC!$C$5</f>
        <v>66.41</v>
      </c>
      <c r="G48" s="79">
        <f>(AA48*KFC!$B$37+KFC!$C$37)*KFC!$C$5</f>
        <v>74.91</v>
      </c>
      <c r="H48" s="79">
        <f>(AB48*KFC!$B$37+KFC!$C$37)*KFC!$C$5</f>
        <v>83.31</v>
      </c>
      <c r="I48" s="79">
        <f>(AC48*KFC!$B$37+KFC!$C$37)*KFC!$C$5</f>
        <v>91.83</v>
      </c>
      <c r="J48" s="79">
        <f>(AD48*KFC!$B$37+KFC!$C$37)*KFC!$C$5</f>
        <v>100.21</v>
      </c>
      <c r="K48" s="79">
        <f>(AE48*KFC!$B$37+KFC!$C$37)*KFC!$C$5</f>
        <v>108.74</v>
      </c>
      <c r="L48" s="79">
        <f>(AF48*KFC!$B$37+KFC!$C$37)*KFC!$C$5</f>
        <v>117.13</v>
      </c>
      <c r="M48" s="79">
        <f>(AG48*KFC!$B$37+KFC!$C$37)*KFC!$C$5</f>
        <v>125.64</v>
      </c>
      <c r="N48" s="79">
        <f>(AH48*KFC!$B$37+KFC!$C$37)*KFC!$C$5</f>
        <v>134.04</v>
      </c>
      <c r="O48" s="79">
        <f>(AI48*KFC!$B$37+KFC!$C$37)*KFC!$C$5</f>
        <v>142.55000000000001</v>
      </c>
      <c r="P48" s="79">
        <f>(AJ48*KFC!$B$37+KFC!$C$37)*KFC!$C$5</f>
        <v>150.94999999999999</v>
      </c>
      <c r="Q48" s="79">
        <f>(AK48*KFC!$B$37+KFC!$C$37)*KFC!$C$5</f>
        <v>159.34999999999997</v>
      </c>
      <c r="R48" s="79">
        <f>(AL48*KFC!$B$37+KFC!$C$37)*KFC!$C$5</f>
        <v>167.74999999999994</v>
      </c>
      <c r="S48" s="79">
        <f>(AM48*KFC!$B$37+KFC!$C$37)*KFC!$C$5</f>
        <v>176.14999999999992</v>
      </c>
      <c r="T48" s="79">
        <f>(AN48*KFC!$B$37+KFC!$C$37)*KFC!$C$5</f>
        <v>184.5499999999999</v>
      </c>
      <c r="U48" s="79">
        <f>(AO48*KFC!$B$37+KFC!$C$37)*KFC!$C$5</f>
        <v>192.94999999999987</v>
      </c>
      <c r="V48" s="79">
        <f>(AP48*KFC!$B$37+KFC!$C$37)*KFC!$C$5</f>
        <v>201.34999999999985</v>
      </c>
      <c r="X48" s="851">
        <v>1.1000000000000001</v>
      </c>
      <c r="Y48" s="847">
        <v>58</v>
      </c>
      <c r="Z48" s="847">
        <v>66.41</v>
      </c>
      <c r="AA48" s="847">
        <v>74.91</v>
      </c>
      <c r="AB48" s="847">
        <v>83.31</v>
      </c>
      <c r="AC48" s="847">
        <v>91.83</v>
      </c>
      <c r="AD48" s="847">
        <v>100.21</v>
      </c>
      <c r="AE48" s="847">
        <v>108.74</v>
      </c>
      <c r="AF48" s="847">
        <v>117.13</v>
      </c>
      <c r="AG48" s="847">
        <v>125.64</v>
      </c>
      <c r="AH48" s="847">
        <v>134.04</v>
      </c>
      <c r="AI48" s="847">
        <v>142.55000000000001</v>
      </c>
      <c r="AJ48" s="848">
        <v>150.94999999999999</v>
      </c>
      <c r="AK48" s="690">
        <f t="shared" si="5"/>
        <v>159.34999999999997</v>
      </c>
      <c r="AL48" s="690">
        <f t="shared" si="4"/>
        <v>167.74999999999994</v>
      </c>
      <c r="AM48" s="690">
        <f t="shared" si="4"/>
        <v>176.14999999999992</v>
      </c>
      <c r="AN48" s="690">
        <f t="shared" si="4"/>
        <v>184.5499999999999</v>
      </c>
      <c r="AO48" s="690">
        <f t="shared" si="4"/>
        <v>192.94999999999987</v>
      </c>
      <c r="AP48" s="690">
        <f t="shared" si="4"/>
        <v>201.34999999999985</v>
      </c>
      <c r="AQ48" s="690">
        <f t="shared" si="4"/>
        <v>209.74999999999983</v>
      </c>
      <c r="AR48" s="690">
        <f t="shared" si="4"/>
        <v>218.14999999999981</v>
      </c>
    </row>
    <row r="49" spans="1:44">
      <c r="A49" s="1828"/>
      <c r="B49" s="1967"/>
      <c r="C49" s="1968"/>
      <c r="D49" s="111">
        <v>1.2</v>
      </c>
      <c r="E49" s="80">
        <f>(Y49*KFC!$B$37+KFC!$C$37)*KFC!$C$5</f>
        <v>61.34</v>
      </c>
      <c r="F49" s="79">
        <f>(Z49*KFC!$B$37+KFC!$C$37)*KFC!$C$5</f>
        <v>70.349999999999994</v>
      </c>
      <c r="G49" s="79">
        <f>(AA49*KFC!$B$37+KFC!$C$37)*KFC!$C$5</f>
        <v>79.23</v>
      </c>
      <c r="H49" s="79">
        <f>(AB49*KFC!$B$37+KFC!$C$37)*KFC!$C$5</f>
        <v>88.12</v>
      </c>
      <c r="I49" s="79">
        <f>(AC49*KFC!$B$37+KFC!$C$37)*KFC!$C$5</f>
        <v>97.26</v>
      </c>
      <c r="J49" s="79">
        <f>(AD49*KFC!$B$37+KFC!$C$37)*KFC!$C$5</f>
        <v>106.14</v>
      </c>
      <c r="K49" s="79">
        <f>(AE49*KFC!$B$37+KFC!$C$37)*KFC!$C$5</f>
        <v>115.16</v>
      </c>
      <c r="L49" s="79">
        <f>(AF49*KFC!$B$37+KFC!$C$37)*KFC!$C$5</f>
        <v>124.04</v>
      </c>
      <c r="M49" s="79">
        <f>(AG49*KFC!$B$37+KFC!$C$37)*KFC!$C$5</f>
        <v>133.18</v>
      </c>
      <c r="N49" s="79">
        <f>(AH49*KFC!$B$37+KFC!$C$37)*KFC!$C$5</f>
        <v>142.05000000000001</v>
      </c>
      <c r="O49" s="79">
        <f>(AI49*KFC!$B$37+KFC!$C$37)*KFC!$C$5</f>
        <v>151.07</v>
      </c>
      <c r="P49" s="79">
        <f>(AJ49*KFC!$B$37+KFC!$C$37)*KFC!$C$5</f>
        <v>159.94999999999999</v>
      </c>
      <c r="Q49" s="79">
        <f>(AK49*KFC!$B$37+KFC!$C$37)*KFC!$C$5</f>
        <v>168.82999999999998</v>
      </c>
      <c r="R49" s="79">
        <f>(AL49*KFC!$B$37+KFC!$C$37)*KFC!$C$5</f>
        <v>177.70999999999998</v>
      </c>
      <c r="S49" s="79">
        <f>(AM49*KFC!$B$37+KFC!$C$37)*KFC!$C$5</f>
        <v>186.58999999999997</v>
      </c>
      <c r="T49" s="79">
        <f>(AN49*KFC!$B$37+KFC!$C$37)*KFC!$C$5</f>
        <v>195.46999999999997</v>
      </c>
      <c r="U49" s="79">
        <f>(AO49*KFC!$B$37+KFC!$C$37)*KFC!$C$5</f>
        <v>204.34999999999997</v>
      </c>
      <c r="V49" s="79">
        <f>(AP49*KFC!$B$37+KFC!$C$37)*KFC!$C$5</f>
        <v>213.22999999999996</v>
      </c>
      <c r="X49" s="851">
        <v>1.2</v>
      </c>
      <c r="Y49" s="847">
        <v>61.34</v>
      </c>
      <c r="Z49" s="847">
        <v>70.349999999999994</v>
      </c>
      <c r="AA49" s="847">
        <v>79.23</v>
      </c>
      <c r="AB49" s="847">
        <v>88.12</v>
      </c>
      <c r="AC49" s="847">
        <v>97.26</v>
      </c>
      <c r="AD49" s="847">
        <v>106.14</v>
      </c>
      <c r="AE49" s="847">
        <v>115.16</v>
      </c>
      <c r="AF49" s="847">
        <v>124.04</v>
      </c>
      <c r="AG49" s="847">
        <v>133.18</v>
      </c>
      <c r="AH49" s="847">
        <v>142.05000000000001</v>
      </c>
      <c r="AI49" s="847">
        <v>151.07</v>
      </c>
      <c r="AJ49" s="848">
        <v>159.94999999999999</v>
      </c>
      <c r="AK49" s="690">
        <f t="shared" si="5"/>
        <v>168.82999999999998</v>
      </c>
      <c r="AL49" s="690">
        <f t="shared" si="4"/>
        <v>177.70999999999998</v>
      </c>
      <c r="AM49" s="690">
        <f t="shared" si="4"/>
        <v>186.58999999999997</v>
      </c>
      <c r="AN49" s="690">
        <f t="shared" si="4"/>
        <v>195.46999999999997</v>
      </c>
      <c r="AO49" s="690">
        <f t="shared" si="4"/>
        <v>204.34999999999997</v>
      </c>
      <c r="AP49" s="690">
        <f t="shared" si="4"/>
        <v>213.22999999999996</v>
      </c>
      <c r="AQ49" s="690">
        <f t="shared" si="4"/>
        <v>222.10999999999996</v>
      </c>
      <c r="AR49" s="690">
        <f t="shared" si="4"/>
        <v>230.98999999999995</v>
      </c>
    </row>
    <row r="50" spans="1:44">
      <c r="A50" s="1828"/>
      <c r="B50" s="1967"/>
      <c r="C50" s="1968"/>
      <c r="D50" s="111">
        <v>1.3</v>
      </c>
      <c r="E50" s="80">
        <f>(Y50*KFC!$B$37+KFC!$C$37)*KFC!$C$5</f>
        <v>64.56</v>
      </c>
      <c r="F50" s="79">
        <f>(Z50*KFC!$B$37+KFC!$C$37)*KFC!$C$5</f>
        <v>74.05</v>
      </c>
      <c r="G50" s="79">
        <f>(AA50*KFC!$B$37+KFC!$C$37)*KFC!$C$5</f>
        <v>83.69</v>
      </c>
      <c r="H50" s="79">
        <f>(AB50*KFC!$B$37+KFC!$C$37)*KFC!$C$5</f>
        <v>93.18</v>
      </c>
      <c r="I50" s="79">
        <f>(AC50*KFC!$B$37+KFC!$C$37)*KFC!$C$5</f>
        <v>102.69</v>
      </c>
      <c r="J50" s="79">
        <f>(AD50*KFC!$B$37+KFC!$C$37)*KFC!$C$5</f>
        <v>112.19</v>
      </c>
      <c r="K50" s="79">
        <f>(AE50*KFC!$B$37+KFC!$C$37)*KFC!$C$5</f>
        <v>121.69</v>
      </c>
      <c r="L50" s="79">
        <f>(AF50*KFC!$B$37+KFC!$C$37)*KFC!$C$5</f>
        <v>131.19999999999999</v>
      </c>
      <c r="M50" s="79">
        <f>(AG50*KFC!$B$37+KFC!$C$37)*KFC!$C$5</f>
        <v>140.58000000000001</v>
      </c>
      <c r="N50" s="79">
        <f>(AH50*KFC!$B$37+KFC!$C$37)*KFC!$C$5</f>
        <v>150.07</v>
      </c>
      <c r="O50" s="79">
        <f>(AI50*KFC!$B$37+KFC!$C$37)*KFC!$C$5</f>
        <v>159.59</v>
      </c>
      <c r="P50" s="79">
        <f>(AJ50*KFC!$B$37+KFC!$C$37)*KFC!$C$5</f>
        <v>169.08</v>
      </c>
      <c r="Q50" s="79">
        <f>(AK50*KFC!$B$37+KFC!$C$37)*KFC!$C$5</f>
        <v>178.57000000000002</v>
      </c>
      <c r="R50" s="79">
        <f>(AL50*KFC!$B$37+KFC!$C$37)*KFC!$C$5</f>
        <v>188.06000000000003</v>
      </c>
      <c r="S50" s="79">
        <f>(AM50*KFC!$B$37+KFC!$C$37)*KFC!$C$5</f>
        <v>197.55000000000004</v>
      </c>
      <c r="T50" s="79">
        <f>(AN50*KFC!$B$37+KFC!$C$37)*KFC!$C$5</f>
        <v>207.04000000000005</v>
      </c>
      <c r="U50" s="79">
        <f>(AO50*KFC!$B$37+KFC!$C$37)*KFC!$C$5</f>
        <v>216.53000000000006</v>
      </c>
      <c r="V50" s="79">
        <f>(AP50*KFC!$B$37+KFC!$C$37)*KFC!$C$5</f>
        <v>226.02000000000007</v>
      </c>
      <c r="X50" s="851">
        <v>1.3</v>
      </c>
      <c r="Y50" s="847">
        <v>64.56</v>
      </c>
      <c r="Z50" s="847">
        <v>74.05</v>
      </c>
      <c r="AA50" s="847">
        <v>83.69</v>
      </c>
      <c r="AB50" s="847">
        <v>93.18</v>
      </c>
      <c r="AC50" s="847">
        <v>102.69</v>
      </c>
      <c r="AD50" s="847">
        <v>112.19</v>
      </c>
      <c r="AE50" s="847">
        <v>121.69</v>
      </c>
      <c r="AF50" s="847">
        <v>131.19999999999999</v>
      </c>
      <c r="AG50" s="847">
        <v>140.58000000000001</v>
      </c>
      <c r="AH50" s="847">
        <v>150.07</v>
      </c>
      <c r="AI50" s="847">
        <v>159.59</v>
      </c>
      <c r="AJ50" s="848">
        <v>169.08</v>
      </c>
      <c r="AK50" s="690">
        <f t="shared" si="5"/>
        <v>178.57000000000002</v>
      </c>
      <c r="AL50" s="690">
        <f t="shared" si="4"/>
        <v>188.06000000000003</v>
      </c>
      <c r="AM50" s="690">
        <f t="shared" si="4"/>
        <v>197.55000000000004</v>
      </c>
      <c r="AN50" s="690">
        <f t="shared" si="4"/>
        <v>207.04000000000005</v>
      </c>
      <c r="AO50" s="690">
        <f t="shared" si="4"/>
        <v>216.53000000000006</v>
      </c>
      <c r="AP50" s="690">
        <f t="shared" si="4"/>
        <v>226.02000000000007</v>
      </c>
      <c r="AQ50" s="690">
        <f t="shared" si="4"/>
        <v>235.51000000000008</v>
      </c>
      <c r="AR50" s="690">
        <f t="shared" si="4"/>
        <v>245.00000000000009</v>
      </c>
    </row>
    <row r="51" spans="1:44">
      <c r="A51" s="1828"/>
      <c r="B51" s="1967"/>
      <c r="C51" s="1968"/>
      <c r="D51" s="111">
        <v>1.4</v>
      </c>
      <c r="E51" s="80">
        <f>(Y51*KFC!$B$37+KFC!$C$37)*KFC!$C$5</f>
        <v>68.12</v>
      </c>
      <c r="F51" s="79">
        <f>(Z51*KFC!$B$37+KFC!$C$37)*KFC!$C$5</f>
        <v>78</v>
      </c>
      <c r="G51" s="79">
        <f>(AA51*KFC!$B$37+KFC!$C$37)*KFC!$C$5</f>
        <v>88</v>
      </c>
      <c r="H51" s="79">
        <f>(AB51*KFC!$B$37+KFC!$C$37)*KFC!$C$5</f>
        <v>98.12</v>
      </c>
      <c r="I51" s="79">
        <f>(AC51*KFC!$B$37+KFC!$C$37)*KFC!$C$5</f>
        <v>108.12</v>
      </c>
      <c r="J51" s="79">
        <f>(AD51*KFC!$B$37+KFC!$C$37)*KFC!$C$5</f>
        <v>117.99</v>
      </c>
      <c r="K51" s="79">
        <f>(AE51*KFC!$B$37+KFC!$C$37)*KFC!$C$5</f>
        <v>128.12</v>
      </c>
      <c r="L51" s="79">
        <f>(AF51*KFC!$B$37+KFC!$C$37)*KFC!$C$5</f>
        <v>138.11000000000001</v>
      </c>
      <c r="M51" s="79">
        <f>(AG51*KFC!$B$37+KFC!$C$37)*KFC!$C$5</f>
        <v>148.1</v>
      </c>
      <c r="N51" s="79">
        <f>(AH51*KFC!$B$37+KFC!$C$37)*KFC!$C$5</f>
        <v>157.97999999999999</v>
      </c>
      <c r="O51" s="79">
        <f>(AI51*KFC!$B$37+KFC!$C$37)*KFC!$C$5</f>
        <v>168.09</v>
      </c>
      <c r="P51" s="79">
        <f>(AJ51*KFC!$B$37+KFC!$C$37)*KFC!$C$5</f>
        <v>178.1</v>
      </c>
      <c r="Q51" s="79">
        <f>(AK51*KFC!$B$37+KFC!$C$37)*KFC!$C$5</f>
        <v>188.10999999999999</v>
      </c>
      <c r="R51" s="79">
        <f>(AL51*KFC!$B$37+KFC!$C$37)*KFC!$C$5</f>
        <v>198.11999999999998</v>
      </c>
      <c r="S51" s="79">
        <f>(AM51*KFC!$B$37+KFC!$C$37)*KFC!$C$5</f>
        <v>208.12999999999997</v>
      </c>
      <c r="T51" s="79">
        <f>(AN51*KFC!$B$37+KFC!$C$37)*KFC!$C$5</f>
        <v>218.13999999999996</v>
      </c>
      <c r="U51" s="79">
        <f>(AO51*KFC!$B$37+KFC!$C$37)*KFC!$C$5</f>
        <v>228.14999999999995</v>
      </c>
      <c r="V51" s="79">
        <f>(AP51*KFC!$B$37+KFC!$C$37)*KFC!$C$5</f>
        <v>238.15999999999994</v>
      </c>
      <c r="X51" s="851">
        <v>1.4</v>
      </c>
      <c r="Y51" s="847">
        <v>68.12</v>
      </c>
      <c r="Z51" s="847">
        <v>78</v>
      </c>
      <c r="AA51" s="847">
        <v>88</v>
      </c>
      <c r="AB51" s="847">
        <v>98.12</v>
      </c>
      <c r="AC51" s="847">
        <v>108.12</v>
      </c>
      <c r="AD51" s="847">
        <v>117.99</v>
      </c>
      <c r="AE51" s="847">
        <v>128.12</v>
      </c>
      <c r="AF51" s="847">
        <v>138.11000000000001</v>
      </c>
      <c r="AG51" s="847">
        <v>148.1</v>
      </c>
      <c r="AH51" s="847">
        <v>157.97999999999999</v>
      </c>
      <c r="AI51" s="847">
        <v>168.09</v>
      </c>
      <c r="AJ51" s="848">
        <v>178.1</v>
      </c>
      <c r="AK51" s="690">
        <f t="shared" si="5"/>
        <v>188.10999999999999</v>
      </c>
      <c r="AL51" s="690">
        <f t="shared" si="4"/>
        <v>198.11999999999998</v>
      </c>
      <c r="AM51" s="690">
        <f t="shared" si="4"/>
        <v>208.12999999999997</v>
      </c>
      <c r="AN51" s="690">
        <f t="shared" si="4"/>
        <v>218.13999999999996</v>
      </c>
      <c r="AO51" s="690">
        <f t="shared" si="4"/>
        <v>228.14999999999995</v>
      </c>
      <c r="AP51" s="690">
        <f t="shared" si="4"/>
        <v>238.15999999999994</v>
      </c>
      <c r="AQ51" s="690">
        <f t="shared" si="4"/>
        <v>248.16999999999993</v>
      </c>
      <c r="AR51" s="690">
        <f t="shared" si="4"/>
        <v>258.17999999999995</v>
      </c>
    </row>
    <row r="52" spans="1:44">
      <c r="A52" s="1828"/>
      <c r="B52" s="1967"/>
      <c r="C52" s="1968"/>
      <c r="D52" s="111">
        <v>1.5</v>
      </c>
      <c r="E52" s="80">
        <f>(Y52*KFC!$B$37+KFC!$C$37)*KFC!$C$5</f>
        <v>71.349999999999994</v>
      </c>
      <c r="F52" s="79">
        <f>(Z52*KFC!$B$37+KFC!$C$37)*KFC!$C$5</f>
        <v>81.95</v>
      </c>
      <c r="G52" s="79">
        <f>(AA52*KFC!$B$37+KFC!$C$37)*KFC!$C$5</f>
        <v>92.57</v>
      </c>
      <c r="H52" s="79">
        <f>(AB52*KFC!$B$37+KFC!$C$37)*KFC!$C$5</f>
        <v>102.94</v>
      </c>
      <c r="I52" s="79">
        <f>(AC52*KFC!$B$37+KFC!$C$37)*KFC!$C$5</f>
        <v>113.54</v>
      </c>
      <c r="J52" s="79">
        <f>(AD52*KFC!$B$37+KFC!$C$37)*KFC!$C$5</f>
        <v>124.04</v>
      </c>
      <c r="K52" s="79">
        <f>(AE52*KFC!$B$37+KFC!$C$37)*KFC!$C$5</f>
        <v>134.53</v>
      </c>
      <c r="L52" s="79">
        <f>(AF52*KFC!$B$37+KFC!$C$37)*KFC!$C$5</f>
        <v>145.02000000000001</v>
      </c>
      <c r="M52" s="79">
        <f>(AG52*KFC!$B$37+KFC!$C$37)*KFC!$C$5</f>
        <v>155.63</v>
      </c>
      <c r="N52" s="79">
        <f>(AH52*KFC!$B$37+KFC!$C$37)*KFC!$C$5</f>
        <v>166.24</v>
      </c>
      <c r="O52" s="79">
        <f>(AI52*KFC!$B$37+KFC!$C$37)*KFC!$C$5</f>
        <v>176.62</v>
      </c>
      <c r="P52" s="79">
        <f>(AJ52*KFC!$B$37+KFC!$C$37)*KFC!$C$5</f>
        <v>187.22</v>
      </c>
      <c r="Q52" s="79">
        <f>(AK52*KFC!$B$37+KFC!$C$37)*KFC!$C$5</f>
        <v>197.82</v>
      </c>
      <c r="R52" s="79">
        <f>(AL52*KFC!$B$37+KFC!$C$37)*KFC!$C$5</f>
        <v>208.42</v>
      </c>
      <c r="S52" s="79">
        <f>(AM52*KFC!$B$37+KFC!$C$37)*KFC!$C$5</f>
        <v>219.01999999999998</v>
      </c>
      <c r="T52" s="79">
        <f>(AN52*KFC!$B$37+KFC!$C$37)*KFC!$C$5</f>
        <v>229.61999999999998</v>
      </c>
      <c r="U52" s="79">
        <f>(AO52*KFC!$B$37+KFC!$C$37)*KFC!$C$5</f>
        <v>240.21999999999997</v>
      </c>
      <c r="V52" s="79">
        <f>(AP52*KFC!$B$37+KFC!$C$37)*KFC!$C$5</f>
        <v>250.81999999999996</v>
      </c>
      <c r="X52" s="851">
        <v>1.5</v>
      </c>
      <c r="Y52" s="847">
        <v>71.349999999999994</v>
      </c>
      <c r="Z52" s="847">
        <v>81.95</v>
      </c>
      <c r="AA52" s="847">
        <v>92.57</v>
      </c>
      <c r="AB52" s="847">
        <v>102.94</v>
      </c>
      <c r="AC52" s="847">
        <v>113.54</v>
      </c>
      <c r="AD52" s="847">
        <v>124.04</v>
      </c>
      <c r="AE52" s="847">
        <v>134.53</v>
      </c>
      <c r="AF52" s="847">
        <v>145.02000000000001</v>
      </c>
      <c r="AG52" s="847">
        <v>155.63</v>
      </c>
      <c r="AH52" s="847">
        <v>166.24</v>
      </c>
      <c r="AI52" s="847">
        <v>176.62</v>
      </c>
      <c r="AJ52" s="848">
        <v>187.22</v>
      </c>
      <c r="AK52" s="690">
        <f t="shared" si="5"/>
        <v>197.82</v>
      </c>
      <c r="AL52" s="690">
        <f t="shared" si="4"/>
        <v>208.42</v>
      </c>
      <c r="AM52" s="690">
        <f t="shared" si="4"/>
        <v>219.01999999999998</v>
      </c>
      <c r="AN52" s="690">
        <f t="shared" si="4"/>
        <v>229.61999999999998</v>
      </c>
      <c r="AO52" s="690">
        <f t="shared" si="4"/>
        <v>240.21999999999997</v>
      </c>
      <c r="AP52" s="690">
        <f t="shared" si="4"/>
        <v>250.81999999999996</v>
      </c>
      <c r="AQ52" s="690">
        <f t="shared" si="4"/>
        <v>261.41999999999996</v>
      </c>
      <c r="AR52" s="690">
        <f t="shared" si="4"/>
        <v>272.02</v>
      </c>
    </row>
    <row r="53" spans="1:44">
      <c r="A53" s="1828"/>
      <c r="B53" s="1967"/>
      <c r="C53" s="1968"/>
      <c r="D53" s="111">
        <v>1.6</v>
      </c>
      <c r="E53" s="80">
        <f>(Y53*KFC!$B$37+KFC!$C$37)*KFC!$C$5</f>
        <v>74.67</v>
      </c>
      <c r="F53" s="79">
        <f>(Z53*KFC!$B$37+KFC!$C$37)*KFC!$C$5</f>
        <v>85.9</v>
      </c>
      <c r="G53" s="79">
        <f>(AA53*KFC!$B$37+KFC!$C$37)*KFC!$C$5</f>
        <v>96.89</v>
      </c>
      <c r="H53" s="79">
        <f>(AB53*KFC!$B$37+KFC!$C$37)*KFC!$C$5</f>
        <v>107.88</v>
      </c>
      <c r="I53" s="79">
        <f>(AC53*KFC!$B$37+KFC!$C$37)*KFC!$C$5</f>
        <v>118.98</v>
      </c>
      <c r="J53" s="79">
        <f>(AD53*KFC!$B$37+KFC!$C$37)*KFC!$C$5</f>
        <v>129.97</v>
      </c>
      <c r="K53" s="79">
        <f>(AE53*KFC!$B$37+KFC!$C$37)*KFC!$C$5</f>
        <v>140.94</v>
      </c>
      <c r="L53" s="79">
        <f>(AF53*KFC!$B$37+KFC!$C$37)*KFC!$C$5</f>
        <v>152.05000000000001</v>
      </c>
      <c r="M53" s="79">
        <f>(AG53*KFC!$B$37+KFC!$C$37)*KFC!$C$5</f>
        <v>163.15</v>
      </c>
      <c r="N53" s="79">
        <f>(AH53*KFC!$B$37+KFC!$C$37)*KFC!$C$5</f>
        <v>174.14</v>
      </c>
      <c r="O53" s="79">
        <f>(AI53*KFC!$B$37+KFC!$C$37)*KFC!$C$5</f>
        <v>185.25</v>
      </c>
      <c r="P53" s="79">
        <f>(AJ53*KFC!$B$37+KFC!$C$37)*KFC!$C$5</f>
        <v>196.24</v>
      </c>
      <c r="Q53" s="79">
        <f>(AK53*KFC!$B$37+KFC!$C$37)*KFC!$C$5</f>
        <v>207.23000000000002</v>
      </c>
      <c r="R53" s="79">
        <f>(AL53*KFC!$B$37+KFC!$C$37)*KFC!$C$5</f>
        <v>218.22000000000003</v>
      </c>
      <c r="S53" s="79">
        <f>(AM53*KFC!$B$37+KFC!$C$37)*KFC!$C$5</f>
        <v>229.21000000000004</v>
      </c>
      <c r="T53" s="79">
        <f>(AN53*KFC!$B$37+KFC!$C$37)*KFC!$C$5</f>
        <v>240.20000000000005</v>
      </c>
      <c r="U53" s="79">
        <f>(AO53*KFC!$B$37+KFC!$C$37)*KFC!$C$5</f>
        <v>251.19000000000005</v>
      </c>
      <c r="V53" s="79">
        <f>(AP53*KFC!$B$37+KFC!$C$37)*KFC!$C$5</f>
        <v>262.18000000000006</v>
      </c>
      <c r="X53" s="851">
        <v>1.6</v>
      </c>
      <c r="Y53" s="847">
        <v>74.67</v>
      </c>
      <c r="Z53" s="847">
        <v>85.9</v>
      </c>
      <c r="AA53" s="847">
        <v>96.89</v>
      </c>
      <c r="AB53" s="847">
        <v>107.88</v>
      </c>
      <c r="AC53" s="847">
        <v>118.98</v>
      </c>
      <c r="AD53" s="847">
        <v>129.97</v>
      </c>
      <c r="AE53" s="847">
        <v>140.94</v>
      </c>
      <c r="AF53" s="847">
        <v>152.05000000000001</v>
      </c>
      <c r="AG53" s="847">
        <v>163.15</v>
      </c>
      <c r="AH53" s="847">
        <v>174.14</v>
      </c>
      <c r="AI53" s="847">
        <v>185.25</v>
      </c>
      <c r="AJ53" s="848">
        <v>196.24</v>
      </c>
      <c r="AK53" s="690">
        <f t="shared" si="5"/>
        <v>207.23000000000002</v>
      </c>
      <c r="AL53" s="690">
        <f t="shared" si="4"/>
        <v>218.22000000000003</v>
      </c>
      <c r="AM53" s="690">
        <f t="shared" si="4"/>
        <v>229.21000000000004</v>
      </c>
      <c r="AN53" s="690">
        <f t="shared" si="4"/>
        <v>240.20000000000005</v>
      </c>
      <c r="AO53" s="690">
        <f t="shared" si="4"/>
        <v>251.19000000000005</v>
      </c>
      <c r="AP53" s="690">
        <f t="shared" si="4"/>
        <v>262.18000000000006</v>
      </c>
      <c r="AQ53" s="690">
        <f t="shared" si="4"/>
        <v>273.17000000000007</v>
      </c>
      <c r="AR53" s="690">
        <f t="shared" si="4"/>
        <v>284.16000000000008</v>
      </c>
    </row>
    <row r="54" spans="1:44">
      <c r="A54" s="1828"/>
      <c r="B54" s="1967"/>
      <c r="C54" s="1968"/>
      <c r="D54" s="111">
        <v>1.7</v>
      </c>
      <c r="E54" s="80">
        <f>(Y54*KFC!$B$37+KFC!$C$37)*KFC!$C$5</f>
        <v>78.25</v>
      </c>
      <c r="F54" s="79">
        <f>(Z54*KFC!$B$37+KFC!$C$37)*KFC!$C$5</f>
        <v>89.61</v>
      </c>
      <c r="G54" s="79">
        <f>(AA54*KFC!$B$37+KFC!$C$37)*KFC!$C$5</f>
        <v>101.32</v>
      </c>
      <c r="H54" s="79">
        <f>(AB54*KFC!$B$37+KFC!$C$37)*KFC!$C$5</f>
        <v>112.81</v>
      </c>
      <c r="I54" s="79">
        <f>(AC54*KFC!$B$37+KFC!$C$37)*KFC!$C$5</f>
        <v>124.41</v>
      </c>
      <c r="J54" s="79">
        <f>(AD54*KFC!$B$37+KFC!$C$37)*KFC!$C$5</f>
        <v>136</v>
      </c>
      <c r="K54" s="79">
        <f>(AE54*KFC!$B$37+KFC!$C$37)*KFC!$C$5</f>
        <v>147.49</v>
      </c>
      <c r="L54" s="79">
        <f>(AF54*KFC!$B$37+KFC!$C$37)*KFC!$C$5</f>
        <v>159.09</v>
      </c>
      <c r="M54" s="79">
        <f>(AG54*KFC!$B$37+KFC!$C$37)*KFC!$C$5</f>
        <v>170.57</v>
      </c>
      <c r="N54" s="79">
        <f>(AH54*KFC!$B$37+KFC!$C$37)*KFC!$C$5</f>
        <v>182.17</v>
      </c>
      <c r="O54" s="79">
        <f>(AI54*KFC!$B$37+KFC!$C$37)*KFC!$C$5</f>
        <v>193.64</v>
      </c>
      <c r="P54" s="79">
        <f>(AJ54*KFC!$B$37+KFC!$C$37)*KFC!$C$5</f>
        <v>205.25</v>
      </c>
      <c r="Q54" s="79">
        <f>(AK54*KFC!$B$37+KFC!$C$37)*KFC!$C$5</f>
        <v>216.86</v>
      </c>
      <c r="R54" s="79">
        <f>(AL54*KFC!$B$37+KFC!$C$37)*KFC!$C$5</f>
        <v>228.47000000000003</v>
      </c>
      <c r="S54" s="79">
        <f>(AM54*KFC!$B$37+KFC!$C$37)*KFC!$C$5</f>
        <v>240.08000000000004</v>
      </c>
      <c r="T54" s="79">
        <f>(AN54*KFC!$B$37+KFC!$C$37)*KFC!$C$5</f>
        <v>251.69000000000005</v>
      </c>
      <c r="U54" s="79">
        <f>(AO54*KFC!$B$37+KFC!$C$37)*KFC!$C$5</f>
        <v>263.30000000000007</v>
      </c>
      <c r="V54" s="79">
        <f>(AP54*KFC!$B$37+KFC!$C$37)*KFC!$C$5</f>
        <v>274.91000000000008</v>
      </c>
      <c r="X54" s="851">
        <v>1.7</v>
      </c>
      <c r="Y54" s="847">
        <v>78.25</v>
      </c>
      <c r="Z54" s="847">
        <v>89.61</v>
      </c>
      <c r="AA54" s="847">
        <v>101.32</v>
      </c>
      <c r="AB54" s="847">
        <v>112.81</v>
      </c>
      <c r="AC54" s="847">
        <v>124.41</v>
      </c>
      <c r="AD54" s="847">
        <v>136</v>
      </c>
      <c r="AE54" s="847">
        <v>147.49</v>
      </c>
      <c r="AF54" s="847">
        <v>159.09</v>
      </c>
      <c r="AG54" s="847">
        <v>170.57</v>
      </c>
      <c r="AH54" s="847">
        <v>182.17</v>
      </c>
      <c r="AI54" s="847">
        <v>193.64</v>
      </c>
      <c r="AJ54" s="848">
        <v>205.25</v>
      </c>
      <c r="AK54" s="690">
        <f t="shared" si="5"/>
        <v>216.86</v>
      </c>
      <c r="AL54" s="690">
        <f t="shared" si="4"/>
        <v>228.47000000000003</v>
      </c>
      <c r="AM54" s="690">
        <f t="shared" si="4"/>
        <v>240.08000000000004</v>
      </c>
      <c r="AN54" s="690">
        <f t="shared" si="4"/>
        <v>251.69000000000005</v>
      </c>
      <c r="AO54" s="690">
        <f t="shared" si="4"/>
        <v>263.30000000000007</v>
      </c>
      <c r="AP54" s="690">
        <f t="shared" si="4"/>
        <v>274.91000000000008</v>
      </c>
      <c r="AQ54" s="690">
        <f t="shared" si="4"/>
        <v>286.5200000000001</v>
      </c>
      <c r="AR54" s="690">
        <f t="shared" si="4"/>
        <v>298.13000000000011</v>
      </c>
    </row>
    <row r="55" spans="1:44" ht="13.8" thickBot="1">
      <c r="A55" s="1829"/>
      <c r="B55" s="1969"/>
      <c r="C55" s="1970"/>
      <c r="D55" s="112">
        <v>1.8</v>
      </c>
      <c r="E55" s="89">
        <f>(Y55*KFC!$B$37+KFC!$C$37)*KFC!$C$5</f>
        <v>81.459999999999994</v>
      </c>
      <c r="F55" s="87">
        <f>(Z55*KFC!$B$37+KFC!$C$37)*KFC!$C$5</f>
        <v>93.56</v>
      </c>
      <c r="G55" s="87">
        <f>(AA55*KFC!$B$37+KFC!$C$37)*KFC!$C$5</f>
        <v>105.64</v>
      </c>
      <c r="H55" s="87">
        <f>(AB55*KFC!$B$37+KFC!$C$37)*KFC!$C$5</f>
        <v>117.74</v>
      </c>
      <c r="I55" s="87">
        <f>(AC55*KFC!$B$37+KFC!$C$37)*KFC!$C$5</f>
        <v>129.83000000000001</v>
      </c>
      <c r="J55" s="87">
        <f>(AD55*KFC!$B$37+KFC!$C$37)*KFC!$C$5</f>
        <v>141.93</v>
      </c>
      <c r="K55" s="87">
        <f>(AE55*KFC!$B$37+KFC!$C$37)*KFC!$C$5</f>
        <v>153.9</v>
      </c>
      <c r="L55" s="87">
        <f>(AF55*KFC!$B$37+KFC!$C$37)*KFC!$C$5</f>
        <v>166</v>
      </c>
      <c r="M55" s="87">
        <f>(AG55*KFC!$B$37+KFC!$C$37)*KFC!$C$5</f>
        <v>178.1</v>
      </c>
      <c r="N55" s="87">
        <f>(AH55*KFC!$B$37+KFC!$C$37)*KFC!$C$5</f>
        <v>190.19</v>
      </c>
      <c r="O55" s="87">
        <f>(AI55*KFC!$B$37+KFC!$C$37)*KFC!$C$5</f>
        <v>202.29</v>
      </c>
      <c r="P55" s="87">
        <f>(AJ55*KFC!$B$37+KFC!$C$37)*KFC!$C$5</f>
        <v>214.38</v>
      </c>
      <c r="Q55" s="87">
        <f>(AK55*KFC!$B$37+KFC!$C$37)*KFC!$C$5</f>
        <v>226.47</v>
      </c>
      <c r="R55" s="87">
        <f>(AL55*KFC!$B$37+KFC!$C$37)*KFC!$C$5</f>
        <v>238.56</v>
      </c>
      <c r="S55" s="87">
        <f>(AM55*KFC!$B$37+KFC!$C$37)*KFC!$C$5</f>
        <v>250.65</v>
      </c>
      <c r="T55" s="87">
        <f>(AN55*KFC!$B$37+KFC!$C$37)*KFC!$C$5</f>
        <v>262.74</v>
      </c>
      <c r="U55" s="87">
        <f>(AO55*KFC!$B$37+KFC!$C$37)*KFC!$C$5</f>
        <v>274.83000000000004</v>
      </c>
      <c r="V55" s="87">
        <f>(AP55*KFC!$B$37+KFC!$C$37)*KFC!$C$5</f>
        <v>286.92000000000007</v>
      </c>
      <c r="X55" s="851">
        <v>1.8</v>
      </c>
      <c r="Y55" s="847">
        <v>81.459999999999994</v>
      </c>
      <c r="Z55" s="847">
        <v>93.56</v>
      </c>
      <c r="AA55" s="847">
        <v>105.64</v>
      </c>
      <c r="AB55" s="847">
        <v>117.74</v>
      </c>
      <c r="AC55" s="847">
        <v>129.83000000000001</v>
      </c>
      <c r="AD55" s="847">
        <v>141.93</v>
      </c>
      <c r="AE55" s="847">
        <v>153.9</v>
      </c>
      <c r="AF55" s="847">
        <v>166</v>
      </c>
      <c r="AG55" s="847">
        <v>178.1</v>
      </c>
      <c r="AH55" s="847">
        <v>190.19</v>
      </c>
      <c r="AI55" s="847">
        <v>202.29</v>
      </c>
      <c r="AJ55" s="848">
        <v>214.38</v>
      </c>
      <c r="AK55" s="690">
        <f t="shared" si="5"/>
        <v>226.47</v>
      </c>
      <c r="AL55" s="690">
        <f t="shared" si="4"/>
        <v>238.56</v>
      </c>
      <c r="AM55" s="690">
        <f t="shared" si="4"/>
        <v>250.65</v>
      </c>
      <c r="AN55" s="690">
        <f t="shared" si="4"/>
        <v>262.74</v>
      </c>
      <c r="AO55" s="690">
        <f t="shared" si="4"/>
        <v>274.83000000000004</v>
      </c>
      <c r="AP55" s="690">
        <f t="shared" si="4"/>
        <v>286.92000000000007</v>
      </c>
      <c r="AQ55" s="690">
        <f t="shared" si="4"/>
        <v>299.0100000000001</v>
      </c>
      <c r="AR55" s="690">
        <f t="shared" si="4"/>
        <v>311.10000000000014</v>
      </c>
    </row>
    <row r="56" spans="1:44" ht="13.8" thickBot="1">
      <c r="A56" s="186"/>
      <c r="B56" s="184"/>
      <c r="E56" s="178"/>
      <c r="F56" s="178"/>
      <c r="G56" s="178"/>
      <c r="H56" s="178"/>
      <c r="I56" s="178"/>
      <c r="J56" s="178"/>
      <c r="K56" s="178"/>
      <c r="L56" s="178"/>
      <c r="M56" s="178"/>
      <c r="N56" s="178"/>
      <c r="O56" s="178"/>
      <c r="P56" s="178"/>
    </row>
    <row r="57" spans="1:44" ht="13.5" customHeight="1" thickBot="1">
      <c r="A57" s="1413" t="s">
        <v>319</v>
      </c>
      <c r="B57" s="1414"/>
      <c r="C57" s="1414"/>
      <c r="D57" s="1415"/>
      <c r="E57" s="1534" t="s">
        <v>207</v>
      </c>
      <c r="F57" s="1535"/>
      <c r="G57" s="1535"/>
      <c r="H57" s="1535"/>
      <c r="I57" s="1535"/>
      <c r="J57" s="1535"/>
      <c r="K57" s="1535"/>
      <c r="L57" s="1535"/>
      <c r="M57" s="1535"/>
      <c r="N57" s="1535"/>
      <c r="O57" s="1535"/>
      <c r="P57" s="1535"/>
      <c r="Q57" s="1535"/>
      <c r="R57" s="1535"/>
      <c r="S57" s="1535"/>
      <c r="T57" s="1535"/>
      <c r="U57" s="1535"/>
      <c r="V57" s="1535"/>
    </row>
    <row r="58" spans="1:44" ht="13.8" thickBot="1">
      <c r="A58" s="1416"/>
      <c r="B58" s="1417"/>
      <c r="C58" s="1417"/>
      <c r="D58" s="1418"/>
      <c r="E58" s="119">
        <v>0.4</v>
      </c>
      <c r="F58" s="119">
        <v>0.5</v>
      </c>
      <c r="G58" s="119">
        <v>0.6</v>
      </c>
      <c r="H58" s="119">
        <v>0.7</v>
      </c>
      <c r="I58" s="119">
        <v>0.8</v>
      </c>
      <c r="J58" s="119">
        <v>0.9</v>
      </c>
      <c r="K58" s="119">
        <v>1</v>
      </c>
      <c r="L58" s="119">
        <v>1.1000000000000001</v>
      </c>
      <c r="M58" s="119">
        <v>1.2</v>
      </c>
      <c r="N58" s="119">
        <v>1.3</v>
      </c>
      <c r="O58" s="119">
        <v>1.4</v>
      </c>
      <c r="P58" s="119">
        <v>1.5</v>
      </c>
      <c r="Q58" s="119">
        <v>1.6</v>
      </c>
      <c r="R58" s="119">
        <v>1.7</v>
      </c>
      <c r="S58" s="119">
        <v>1.8</v>
      </c>
      <c r="T58" s="119">
        <v>1.9</v>
      </c>
      <c r="U58" s="119">
        <v>2</v>
      </c>
      <c r="V58" s="119">
        <v>2.1</v>
      </c>
      <c r="X58" s="850"/>
      <c r="Y58" s="851">
        <v>0.4</v>
      </c>
      <c r="Z58" s="851">
        <v>0.5</v>
      </c>
      <c r="AA58" s="851">
        <v>0.6</v>
      </c>
      <c r="AB58" s="851">
        <v>0.7</v>
      </c>
      <c r="AC58" s="851">
        <v>0.8</v>
      </c>
      <c r="AD58" s="851">
        <v>0.9</v>
      </c>
      <c r="AE58" s="851">
        <v>1</v>
      </c>
      <c r="AF58" s="851">
        <v>1.1000000000000001</v>
      </c>
      <c r="AG58" s="851">
        <v>1.2</v>
      </c>
      <c r="AH58" s="851">
        <v>1.3</v>
      </c>
      <c r="AI58" s="851">
        <v>1.4</v>
      </c>
      <c r="AJ58" s="852">
        <v>1.5</v>
      </c>
      <c r="AK58" s="853">
        <v>1.6</v>
      </c>
      <c r="AL58" s="853">
        <v>1.7</v>
      </c>
      <c r="AM58" s="853">
        <v>1.8</v>
      </c>
      <c r="AN58" s="853">
        <v>1.9</v>
      </c>
      <c r="AO58" s="853">
        <v>2</v>
      </c>
      <c r="AP58" s="853">
        <v>2.1</v>
      </c>
      <c r="AQ58" s="853">
        <v>2.2000000000000002</v>
      </c>
      <c r="AR58" s="853">
        <v>2.2999999999999998</v>
      </c>
    </row>
    <row r="59" spans="1:44" ht="12.75" customHeight="1">
      <c r="A59" s="1827" t="s">
        <v>3</v>
      </c>
      <c r="B59" s="1965"/>
      <c r="C59" s="1966"/>
      <c r="D59" s="227">
        <v>0.5</v>
      </c>
      <c r="E59" s="76">
        <f>(Y59*KFC!$B$37+KFC!$C$37)*KFC!$C$5</f>
        <v>42.21</v>
      </c>
      <c r="F59" s="81">
        <f>(Z59*KFC!$B$37+KFC!$C$37)*KFC!$C$5</f>
        <v>48.87</v>
      </c>
      <c r="G59" s="81">
        <f>(AA59*KFC!$B$37+KFC!$C$37)*KFC!$C$5</f>
        <v>55.42</v>
      </c>
      <c r="H59" s="81">
        <f>(AB59*KFC!$B$37+KFC!$C$37)*KFC!$C$5</f>
        <v>62.08</v>
      </c>
      <c r="I59" s="81">
        <f>(AC59*KFC!$B$37+KFC!$C$37)*KFC!$C$5</f>
        <v>68.62</v>
      </c>
      <c r="J59" s="81">
        <f>(AD59*KFC!$B$37+KFC!$C$37)*KFC!$C$5</f>
        <v>75.16</v>
      </c>
      <c r="K59" s="81">
        <f>(AE59*KFC!$B$37+KFC!$C$37)*KFC!$C$5</f>
        <v>81.83</v>
      </c>
      <c r="L59" s="81">
        <f>(AF59*KFC!$B$37+KFC!$C$37)*KFC!$C$5</f>
        <v>88.24</v>
      </c>
      <c r="M59" s="81">
        <f>(AG59*KFC!$B$37+KFC!$C$37)*KFC!$C$5</f>
        <v>94.91</v>
      </c>
      <c r="N59" s="81">
        <f>(AH59*KFC!$B$37+KFC!$C$37)*KFC!$C$5</f>
        <v>101.59</v>
      </c>
      <c r="O59" s="81">
        <f>(AI59*KFC!$B$37+KFC!$C$37)*KFC!$C$5</f>
        <v>108.12</v>
      </c>
      <c r="P59" s="81">
        <f>(AJ59*KFC!$B$37+KFC!$C$37)*KFC!$C$5</f>
        <v>114.66</v>
      </c>
      <c r="Q59" s="81">
        <f>(AK59*KFC!$B$37+KFC!$C$37)*KFC!$C$5</f>
        <v>121.19999999999999</v>
      </c>
      <c r="R59" s="81">
        <f>(AL59*KFC!$B$37+KFC!$C$37)*KFC!$C$5</f>
        <v>127.73999999999998</v>
      </c>
      <c r="S59" s="81">
        <f>(AM59*KFC!$B$37+KFC!$C$37)*KFC!$C$5</f>
        <v>134.27999999999997</v>
      </c>
      <c r="T59" s="81">
        <f>(AN59*KFC!$B$37+KFC!$C$37)*KFC!$C$5</f>
        <v>140.81999999999996</v>
      </c>
      <c r="U59" s="81">
        <f>(AO59*KFC!$B$37+KFC!$C$37)*KFC!$C$5</f>
        <v>147.35999999999996</v>
      </c>
      <c r="V59" s="81">
        <f>(AP59*KFC!$B$37+KFC!$C$37)*KFC!$C$5</f>
        <v>153.89999999999995</v>
      </c>
      <c r="X59" s="851">
        <v>0.5</v>
      </c>
      <c r="Y59" s="847">
        <v>42.21</v>
      </c>
      <c r="Z59" s="847">
        <v>48.87</v>
      </c>
      <c r="AA59" s="847">
        <v>55.42</v>
      </c>
      <c r="AB59" s="847">
        <v>62.08</v>
      </c>
      <c r="AC59" s="847">
        <v>68.62</v>
      </c>
      <c r="AD59" s="847">
        <v>75.16</v>
      </c>
      <c r="AE59" s="847">
        <v>81.83</v>
      </c>
      <c r="AF59" s="847">
        <v>88.24</v>
      </c>
      <c r="AG59" s="847">
        <v>94.91</v>
      </c>
      <c r="AH59" s="847">
        <v>101.59</v>
      </c>
      <c r="AI59" s="847">
        <v>108.12</v>
      </c>
      <c r="AJ59" s="848">
        <v>114.66</v>
      </c>
      <c r="AK59" s="690">
        <f>AJ59-AI59+AJ59</f>
        <v>121.19999999999999</v>
      </c>
      <c r="AL59" s="690">
        <f t="shared" ref="AL59:AR72" si="6">AK59-AJ59+AK59</f>
        <v>127.73999999999998</v>
      </c>
      <c r="AM59" s="690">
        <f t="shared" si="6"/>
        <v>134.27999999999997</v>
      </c>
      <c r="AN59" s="690">
        <f t="shared" si="6"/>
        <v>140.81999999999996</v>
      </c>
      <c r="AO59" s="690">
        <f t="shared" si="6"/>
        <v>147.35999999999996</v>
      </c>
      <c r="AP59" s="690">
        <f t="shared" si="6"/>
        <v>153.89999999999995</v>
      </c>
      <c r="AQ59" s="690">
        <f t="shared" si="6"/>
        <v>160.43999999999994</v>
      </c>
      <c r="AR59" s="690">
        <f t="shared" si="6"/>
        <v>166.97999999999993</v>
      </c>
    </row>
    <row r="60" spans="1:44">
      <c r="A60" s="1828"/>
      <c r="B60" s="1967"/>
      <c r="C60" s="1968"/>
      <c r="D60" s="111">
        <v>0.6</v>
      </c>
      <c r="E60" s="80">
        <f>(Y60*KFC!$B$37+KFC!$C$37)*KFC!$C$5</f>
        <v>46.53</v>
      </c>
      <c r="F60" s="79">
        <f>(Z60*KFC!$B$37+KFC!$C$37)*KFC!$C$5</f>
        <v>53.57</v>
      </c>
      <c r="G60" s="79">
        <f>(AA60*KFC!$B$37+KFC!$C$37)*KFC!$C$5</f>
        <v>60.48</v>
      </c>
      <c r="H60" s="79">
        <f>(AB60*KFC!$B$37+KFC!$C$37)*KFC!$C$5</f>
        <v>67.64</v>
      </c>
      <c r="I60" s="79">
        <f>(AC60*KFC!$B$37+KFC!$C$37)*KFC!$C$5</f>
        <v>74.55</v>
      </c>
      <c r="J60" s="79">
        <f>(AD60*KFC!$B$37+KFC!$C$37)*KFC!$C$5</f>
        <v>81.7</v>
      </c>
      <c r="K60" s="79">
        <f>(AE60*KFC!$B$37+KFC!$C$37)*KFC!$C$5</f>
        <v>88.62</v>
      </c>
      <c r="L60" s="79">
        <f>(AF60*KFC!$B$37+KFC!$C$37)*KFC!$C$5</f>
        <v>95.54</v>
      </c>
      <c r="M60" s="79">
        <f>(AG60*KFC!$B$37+KFC!$C$37)*KFC!$C$5</f>
        <v>102.69</v>
      </c>
      <c r="N60" s="79">
        <f>(AH60*KFC!$B$37+KFC!$C$37)*KFC!$C$5</f>
        <v>109.6</v>
      </c>
      <c r="O60" s="79">
        <f>(AI60*KFC!$B$37+KFC!$C$37)*KFC!$C$5</f>
        <v>116.63</v>
      </c>
      <c r="P60" s="79">
        <f>(AJ60*KFC!$B$37+KFC!$C$37)*KFC!$C$5</f>
        <v>123.66</v>
      </c>
      <c r="Q60" s="79">
        <f>(AK60*KFC!$B$37+KFC!$C$37)*KFC!$C$5</f>
        <v>130.69</v>
      </c>
      <c r="R60" s="79">
        <f>(AL60*KFC!$B$37+KFC!$C$37)*KFC!$C$5</f>
        <v>137.72</v>
      </c>
      <c r="S60" s="79">
        <f>(AM60*KFC!$B$37+KFC!$C$37)*KFC!$C$5</f>
        <v>144.75</v>
      </c>
      <c r="T60" s="79">
        <f>(AN60*KFC!$B$37+KFC!$C$37)*KFC!$C$5</f>
        <v>151.78</v>
      </c>
      <c r="U60" s="79">
        <f>(AO60*KFC!$B$37+KFC!$C$37)*KFC!$C$5</f>
        <v>158.81</v>
      </c>
      <c r="V60" s="79">
        <f>(AP60*KFC!$B$37+KFC!$C$37)*KFC!$C$5</f>
        <v>165.84</v>
      </c>
      <c r="X60" s="851">
        <v>0.6</v>
      </c>
      <c r="Y60" s="847">
        <v>46.53</v>
      </c>
      <c r="Z60" s="847">
        <v>53.57</v>
      </c>
      <c r="AA60" s="847">
        <v>60.48</v>
      </c>
      <c r="AB60" s="847">
        <v>67.64</v>
      </c>
      <c r="AC60" s="847">
        <v>74.55</v>
      </c>
      <c r="AD60" s="847">
        <v>81.7</v>
      </c>
      <c r="AE60" s="847">
        <v>88.62</v>
      </c>
      <c r="AF60" s="847">
        <v>95.54</v>
      </c>
      <c r="AG60" s="847">
        <v>102.69</v>
      </c>
      <c r="AH60" s="847">
        <v>109.6</v>
      </c>
      <c r="AI60" s="847">
        <v>116.63</v>
      </c>
      <c r="AJ60" s="848">
        <v>123.66</v>
      </c>
      <c r="AK60" s="690">
        <f t="shared" ref="AK60:AK72" si="7">AJ60-AI60+AJ60</f>
        <v>130.69</v>
      </c>
      <c r="AL60" s="690">
        <f t="shared" si="6"/>
        <v>137.72</v>
      </c>
      <c r="AM60" s="690">
        <f t="shared" si="6"/>
        <v>144.75</v>
      </c>
      <c r="AN60" s="690">
        <f t="shared" si="6"/>
        <v>151.78</v>
      </c>
      <c r="AO60" s="690">
        <f t="shared" si="6"/>
        <v>158.81</v>
      </c>
      <c r="AP60" s="690">
        <f t="shared" si="6"/>
        <v>165.84</v>
      </c>
      <c r="AQ60" s="690">
        <f t="shared" si="6"/>
        <v>172.87</v>
      </c>
      <c r="AR60" s="690">
        <f t="shared" si="6"/>
        <v>179.9</v>
      </c>
    </row>
    <row r="61" spans="1:44">
      <c r="A61" s="1828"/>
      <c r="B61" s="1967"/>
      <c r="C61" s="1968"/>
      <c r="D61" s="111">
        <v>0.7</v>
      </c>
      <c r="E61" s="80">
        <f>(Y61*KFC!$B$37+KFC!$C$37)*KFC!$C$5</f>
        <v>50.84</v>
      </c>
      <c r="F61" s="79">
        <f>(Z61*KFC!$B$37+KFC!$C$37)*KFC!$C$5</f>
        <v>58.25</v>
      </c>
      <c r="G61" s="79">
        <f>(AA61*KFC!$B$37+KFC!$C$37)*KFC!$C$5</f>
        <v>65.66</v>
      </c>
      <c r="H61" s="79">
        <f>(AB61*KFC!$B$37+KFC!$C$37)*KFC!$C$5</f>
        <v>73.19</v>
      </c>
      <c r="I61" s="79">
        <f>(AC61*KFC!$B$37+KFC!$C$37)*KFC!$C$5</f>
        <v>80.599999999999994</v>
      </c>
      <c r="J61" s="79">
        <f>(AD61*KFC!$B$37+KFC!$C$37)*KFC!$C$5</f>
        <v>88</v>
      </c>
      <c r="K61" s="79">
        <f>(AE61*KFC!$B$37+KFC!$C$37)*KFC!$C$5</f>
        <v>95.41</v>
      </c>
      <c r="L61" s="79">
        <f>(AF61*KFC!$B$37+KFC!$C$37)*KFC!$C$5</f>
        <v>102.94</v>
      </c>
      <c r="M61" s="79">
        <f>(AG61*KFC!$B$37+KFC!$C$37)*KFC!$C$5</f>
        <v>110.34</v>
      </c>
      <c r="N61" s="79">
        <f>(AH61*KFC!$B$37+KFC!$C$37)*KFC!$C$5</f>
        <v>117.74</v>
      </c>
      <c r="O61" s="79">
        <f>(AI61*KFC!$B$37+KFC!$C$37)*KFC!$C$5</f>
        <v>125.15</v>
      </c>
      <c r="P61" s="79">
        <f>(AJ61*KFC!$B$37+KFC!$C$37)*KFC!$C$5</f>
        <v>132.56</v>
      </c>
      <c r="Q61" s="79">
        <f>(AK61*KFC!$B$37+KFC!$C$37)*KFC!$C$5</f>
        <v>139.97</v>
      </c>
      <c r="R61" s="79">
        <f>(AL61*KFC!$B$37+KFC!$C$37)*KFC!$C$5</f>
        <v>147.38</v>
      </c>
      <c r="S61" s="79">
        <f>(AM61*KFC!$B$37+KFC!$C$37)*KFC!$C$5</f>
        <v>154.79</v>
      </c>
      <c r="T61" s="79">
        <f>(AN61*KFC!$B$37+KFC!$C$37)*KFC!$C$5</f>
        <v>162.19999999999999</v>
      </c>
      <c r="U61" s="79">
        <f>(AO61*KFC!$B$37+KFC!$C$37)*KFC!$C$5</f>
        <v>169.60999999999999</v>
      </c>
      <c r="V61" s="79">
        <f>(AP61*KFC!$B$37+KFC!$C$37)*KFC!$C$5</f>
        <v>177.01999999999998</v>
      </c>
      <c r="X61" s="851">
        <v>0.7</v>
      </c>
      <c r="Y61" s="847">
        <v>50.84</v>
      </c>
      <c r="Z61" s="847">
        <v>58.25</v>
      </c>
      <c r="AA61" s="847">
        <v>65.66</v>
      </c>
      <c r="AB61" s="847">
        <v>73.19</v>
      </c>
      <c r="AC61" s="847">
        <v>80.599999999999994</v>
      </c>
      <c r="AD61" s="847">
        <v>88</v>
      </c>
      <c r="AE61" s="847">
        <v>95.41</v>
      </c>
      <c r="AF61" s="847">
        <v>102.94</v>
      </c>
      <c r="AG61" s="847">
        <v>110.34</v>
      </c>
      <c r="AH61" s="847">
        <v>117.74</v>
      </c>
      <c r="AI61" s="847">
        <v>125.15</v>
      </c>
      <c r="AJ61" s="848">
        <v>132.56</v>
      </c>
      <c r="AK61" s="690">
        <f t="shared" si="7"/>
        <v>139.97</v>
      </c>
      <c r="AL61" s="690">
        <f t="shared" si="6"/>
        <v>147.38</v>
      </c>
      <c r="AM61" s="690">
        <f t="shared" si="6"/>
        <v>154.79</v>
      </c>
      <c r="AN61" s="690">
        <f t="shared" si="6"/>
        <v>162.19999999999999</v>
      </c>
      <c r="AO61" s="690">
        <f t="shared" si="6"/>
        <v>169.60999999999999</v>
      </c>
      <c r="AP61" s="690">
        <f t="shared" si="6"/>
        <v>177.01999999999998</v>
      </c>
      <c r="AQ61" s="690">
        <f t="shared" si="6"/>
        <v>184.42999999999998</v>
      </c>
      <c r="AR61" s="690">
        <f t="shared" si="6"/>
        <v>191.83999999999997</v>
      </c>
    </row>
    <row r="62" spans="1:44">
      <c r="A62" s="1828"/>
      <c r="B62" s="1967"/>
      <c r="C62" s="1968"/>
      <c r="D62" s="111">
        <v>0.8</v>
      </c>
      <c r="E62" s="80">
        <f>(Y62*KFC!$B$37+KFC!$C$37)*KFC!$C$5</f>
        <v>55.04</v>
      </c>
      <c r="F62" s="79">
        <f>(Z62*KFC!$B$37+KFC!$C$37)*KFC!$C$5</f>
        <v>62.94</v>
      </c>
      <c r="G62" s="79">
        <f>(AA62*KFC!$B$37+KFC!$C$37)*KFC!$C$5</f>
        <v>70.849999999999994</v>
      </c>
      <c r="H62" s="79">
        <f>(AB62*KFC!$B$37+KFC!$C$37)*KFC!$C$5</f>
        <v>78.62</v>
      </c>
      <c r="I62" s="79">
        <f>(AC62*KFC!$B$37+KFC!$C$37)*KFC!$C$5</f>
        <v>86.52</v>
      </c>
      <c r="J62" s="79">
        <f>(AD62*KFC!$B$37+KFC!$C$37)*KFC!$C$5</f>
        <v>94.53</v>
      </c>
      <c r="K62" s="79">
        <f>(AE62*KFC!$B$37+KFC!$C$37)*KFC!$C$5</f>
        <v>102.32</v>
      </c>
      <c r="L62" s="79">
        <f>(AF62*KFC!$B$37+KFC!$C$37)*KFC!$C$5</f>
        <v>110.22</v>
      </c>
      <c r="M62" s="79">
        <f>(AG62*KFC!$B$37+KFC!$C$37)*KFC!$C$5</f>
        <v>117.99</v>
      </c>
      <c r="N62" s="79">
        <f>(AH62*KFC!$B$37+KFC!$C$37)*KFC!$C$5</f>
        <v>125.88</v>
      </c>
      <c r="O62" s="79">
        <f>(AI62*KFC!$B$37+KFC!$C$37)*KFC!$C$5</f>
        <v>133.79</v>
      </c>
      <c r="P62" s="79">
        <f>(AJ62*KFC!$B$37+KFC!$C$37)*KFC!$C$5</f>
        <v>141.56</v>
      </c>
      <c r="Q62" s="79">
        <f>(AK62*KFC!$B$37+KFC!$C$37)*KFC!$C$5</f>
        <v>149.33000000000001</v>
      </c>
      <c r="R62" s="79">
        <f>(AL62*KFC!$B$37+KFC!$C$37)*KFC!$C$5</f>
        <v>157.10000000000002</v>
      </c>
      <c r="S62" s="79">
        <f>(AM62*KFC!$B$37+KFC!$C$37)*KFC!$C$5</f>
        <v>164.87000000000003</v>
      </c>
      <c r="T62" s="79">
        <f>(AN62*KFC!$B$37+KFC!$C$37)*KFC!$C$5</f>
        <v>172.64000000000004</v>
      </c>
      <c r="U62" s="79">
        <f>(AO62*KFC!$B$37+KFC!$C$37)*KFC!$C$5</f>
        <v>180.41000000000005</v>
      </c>
      <c r="V62" s="79">
        <f>(AP62*KFC!$B$37+KFC!$C$37)*KFC!$C$5</f>
        <v>188.18000000000006</v>
      </c>
      <c r="X62" s="851">
        <v>0.8</v>
      </c>
      <c r="Y62" s="847">
        <v>55.04</v>
      </c>
      <c r="Z62" s="847">
        <v>62.94</v>
      </c>
      <c r="AA62" s="847">
        <v>70.849999999999994</v>
      </c>
      <c r="AB62" s="847">
        <v>78.62</v>
      </c>
      <c r="AC62" s="847">
        <v>86.52</v>
      </c>
      <c r="AD62" s="847">
        <v>94.53</v>
      </c>
      <c r="AE62" s="847">
        <v>102.32</v>
      </c>
      <c r="AF62" s="847">
        <v>110.22</v>
      </c>
      <c r="AG62" s="847">
        <v>117.99</v>
      </c>
      <c r="AH62" s="847">
        <v>125.88</v>
      </c>
      <c r="AI62" s="847">
        <v>133.79</v>
      </c>
      <c r="AJ62" s="848">
        <v>141.56</v>
      </c>
      <c r="AK62" s="690">
        <f t="shared" si="7"/>
        <v>149.33000000000001</v>
      </c>
      <c r="AL62" s="690">
        <f t="shared" si="6"/>
        <v>157.10000000000002</v>
      </c>
      <c r="AM62" s="690">
        <f t="shared" si="6"/>
        <v>164.87000000000003</v>
      </c>
      <c r="AN62" s="690">
        <f t="shared" si="6"/>
        <v>172.64000000000004</v>
      </c>
      <c r="AO62" s="690">
        <f t="shared" si="6"/>
        <v>180.41000000000005</v>
      </c>
      <c r="AP62" s="690">
        <f t="shared" si="6"/>
        <v>188.18000000000006</v>
      </c>
      <c r="AQ62" s="690">
        <f t="shared" si="6"/>
        <v>195.95000000000007</v>
      </c>
      <c r="AR62" s="690">
        <f t="shared" si="6"/>
        <v>203.72000000000008</v>
      </c>
    </row>
    <row r="63" spans="1:44">
      <c r="A63" s="1828"/>
      <c r="B63" s="1967"/>
      <c r="C63" s="1968"/>
      <c r="D63" s="111">
        <v>0.9</v>
      </c>
      <c r="E63" s="80">
        <f>(Y63*KFC!$B$37+KFC!$C$37)*KFC!$C$5</f>
        <v>59.49</v>
      </c>
      <c r="F63" s="79">
        <f>(Z63*KFC!$B$37+KFC!$C$37)*KFC!$C$5</f>
        <v>67.760000000000005</v>
      </c>
      <c r="G63" s="79">
        <f>(AA63*KFC!$B$37+KFC!$C$37)*KFC!$C$5</f>
        <v>75.900000000000006</v>
      </c>
      <c r="H63" s="79">
        <f>(AB63*KFC!$B$37+KFC!$C$37)*KFC!$C$5</f>
        <v>84.17</v>
      </c>
      <c r="I63" s="79">
        <f>(AC63*KFC!$B$37+KFC!$C$37)*KFC!$C$5</f>
        <v>92.57</v>
      </c>
      <c r="J63" s="79">
        <f>(AD63*KFC!$B$37+KFC!$C$37)*KFC!$C$5</f>
        <v>100.83</v>
      </c>
      <c r="K63" s="79">
        <f>(AE63*KFC!$B$37+KFC!$C$37)*KFC!$C$5</f>
        <v>109.11</v>
      </c>
      <c r="L63" s="79">
        <f>(AF63*KFC!$B$37+KFC!$C$37)*KFC!$C$5</f>
        <v>117.37</v>
      </c>
      <c r="M63" s="79">
        <f>(AG63*KFC!$B$37+KFC!$C$37)*KFC!$C$5</f>
        <v>125.64</v>
      </c>
      <c r="N63" s="79">
        <f>(AH63*KFC!$B$37+KFC!$C$37)*KFC!$C$5</f>
        <v>133.91</v>
      </c>
      <c r="O63" s="79">
        <f>(AI63*KFC!$B$37+KFC!$C$37)*KFC!$C$5</f>
        <v>142.18</v>
      </c>
      <c r="P63" s="79">
        <f>(AJ63*KFC!$B$37+KFC!$C$37)*KFC!$C$5</f>
        <v>150.44999999999999</v>
      </c>
      <c r="Q63" s="79">
        <f>(AK63*KFC!$B$37+KFC!$C$37)*KFC!$C$5</f>
        <v>158.71999999999997</v>
      </c>
      <c r="R63" s="79">
        <f>(AL63*KFC!$B$37+KFC!$C$37)*KFC!$C$5</f>
        <v>166.98999999999995</v>
      </c>
      <c r="S63" s="79">
        <f>(AM63*KFC!$B$37+KFC!$C$37)*KFC!$C$5</f>
        <v>175.25999999999993</v>
      </c>
      <c r="T63" s="79">
        <f>(AN63*KFC!$B$37+KFC!$C$37)*KFC!$C$5</f>
        <v>183.52999999999992</v>
      </c>
      <c r="U63" s="79">
        <f>(AO63*KFC!$B$37+KFC!$C$37)*KFC!$C$5</f>
        <v>191.7999999999999</v>
      </c>
      <c r="V63" s="79">
        <f>(AP63*KFC!$B$37+KFC!$C$37)*KFC!$C$5</f>
        <v>200.06999999999988</v>
      </c>
      <c r="X63" s="851">
        <v>0.9</v>
      </c>
      <c r="Y63" s="847">
        <v>59.49</v>
      </c>
      <c r="Z63" s="847">
        <v>67.760000000000005</v>
      </c>
      <c r="AA63" s="847">
        <v>75.900000000000006</v>
      </c>
      <c r="AB63" s="847">
        <v>84.17</v>
      </c>
      <c r="AC63" s="847">
        <v>92.57</v>
      </c>
      <c r="AD63" s="847">
        <v>100.83</v>
      </c>
      <c r="AE63" s="847">
        <v>109.11</v>
      </c>
      <c r="AF63" s="847">
        <v>117.37</v>
      </c>
      <c r="AG63" s="847">
        <v>125.64</v>
      </c>
      <c r="AH63" s="847">
        <v>133.91</v>
      </c>
      <c r="AI63" s="847">
        <v>142.18</v>
      </c>
      <c r="AJ63" s="848">
        <v>150.44999999999999</v>
      </c>
      <c r="AK63" s="690">
        <f t="shared" si="7"/>
        <v>158.71999999999997</v>
      </c>
      <c r="AL63" s="690">
        <f t="shared" si="6"/>
        <v>166.98999999999995</v>
      </c>
      <c r="AM63" s="690">
        <f t="shared" si="6"/>
        <v>175.25999999999993</v>
      </c>
      <c r="AN63" s="690">
        <f t="shared" si="6"/>
        <v>183.52999999999992</v>
      </c>
      <c r="AO63" s="690">
        <f t="shared" si="6"/>
        <v>191.7999999999999</v>
      </c>
      <c r="AP63" s="690">
        <f t="shared" si="6"/>
        <v>200.06999999999988</v>
      </c>
      <c r="AQ63" s="690">
        <f t="shared" si="6"/>
        <v>208.33999999999986</v>
      </c>
      <c r="AR63" s="690">
        <f t="shared" si="6"/>
        <v>216.60999999999984</v>
      </c>
    </row>
    <row r="64" spans="1:44">
      <c r="A64" s="1828"/>
      <c r="B64" s="1967"/>
      <c r="C64" s="1968"/>
      <c r="D64" s="111">
        <v>1</v>
      </c>
      <c r="E64" s="80">
        <f>(Y64*KFC!$B$37+KFC!$C$37)*KFC!$C$5</f>
        <v>63.68</v>
      </c>
      <c r="F64" s="79">
        <f>(Z64*KFC!$B$37+KFC!$C$37)*KFC!$C$5</f>
        <v>72.45</v>
      </c>
      <c r="G64" s="79">
        <f>(AA64*KFC!$B$37+KFC!$C$37)*KFC!$C$5</f>
        <v>81.209999999999994</v>
      </c>
      <c r="H64" s="79">
        <f>(AB64*KFC!$B$37+KFC!$C$37)*KFC!$C$5</f>
        <v>89.86</v>
      </c>
      <c r="I64" s="79">
        <f>(AC64*KFC!$B$37+KFC!$C$37)*KFC!$C$5</f>
        <v>98.62</v>
      </c>
      <c r="J64" s="79">
        <f>(AD64*KFC!$B$37+KFC!$C$37)*KFC!$C$5</f>
        <v>107.13</v>
      </c>
      <c r="K64" s="79">
        <f>(AE64*KFC!$B$37+KFC!$C$37)*KFC!$C$5</f>
        <v>115.9</v>
      </c>
      <c r="L64" s="79">
        <f>(AF64*KFC!$B$37+KFC!$C$37)*KFC!$C$5</f>
        <v>124.65</v>
      </c>
      <c r="M64" s="79">
        <f>(AG64*KFC!$B$37+KFC!$C$37)*KFC!$C$5</f>
        <v>133.30000000000001</v>
      </c>
      <c r="N64" s="79">
        <f>(AH64*KFC!$B$37+KFC!$C$37)*KFC!$C$5</f>
        <v>142.05000000000001</v>
      </c>
      <c r="O64" s="79">
        <f>(AI64*KFC!$B$37+KFC!$C$37)*KFC!$C$5</f>
        <v>150.81</v>
      </c>
      <c r="P64" s="79">
        <f>(AJ64*KFC!$B$37+KFC!$C$37)*KFC!$C$5</f>
        <v>159.34</v>
      </c>
      <c r="Q64" s="79">
        <f>(AK64*KFC!$B$37+KFC!$C$37)*KFC!$C$5</f>
        <v>167.87</v>
      </c>
      <c r="R64" s="79">
        <f>(AL64*KFC!$B$37+KFC!$C$37)*KFC!$C$5</f>
        <v>176.4</v>
      </c>
      <c r="S64" s="79">
        <f>(AM64*KFC!$B$37+KFC!$C$37)*KFC!$C$5</f>
        <v>184.93</v>
      </c>
      <c r="T64" s="79">
        <f>(AN64*KFC!$B$37+KFC!$C$37)*KFC!$C$5</f>
        <v>193.46</v>
      </c>
      <c r="U64" s="79">
        <f>(AO64*KFC!$B$37+KFC!$C$37)*KFC!$C$5</f>
        <v>201.99</v>
      </c>
      <c r="V64" s="79">
        <f>(AP64*KFC!$B$37+KFC!$C$37)*KFC!$C$5</f>
        <v>210.52</v>
      </c>
      <c r="X64" s="851">
        <v>1</v>
      </c>
      <c r="Y64" s="847">
        <v>63.68</v>
      </c>
      <c r="Z64" s="847">
        <v>72.45</v>
      </c>
      <c r="AA64" s="847">
        <v>81.209999999999994</v>
      </c>
      <c r="AB64" s="847">
        <v>89.86</v>
      </c>
      <c r="AC64" s="847">
        <v>98.62</v>
      </c>
      <c r="AD64" s="847">
        <v>107.13</v>
      </c>
      <c r="AE64" s="847">
        <v>115.9</v>
      </c>
      <c r="AF64" s="847">
        <v>124.65</v>
      </c>
      <c r="AG64" s="847">
        <v>133.30000000000001</v>
      </c>
      <c r="AH64" s="847">
        <v>142.05000000000001</v>
      </c>
      <c r="AI64" s="847">
        <v>150.81</v>
      </c>
      <c r="AJ64" s="848">
        <v>159.34</v>
      </c>
      <c r="AK64" s="690">
        <f t="shared" si="7"/>
        <v>167.87</v>
      </c>
      <c r="AL64" s="690">
        <f t="shared" si="6"/>
        <v>176.4</v>
      </c>
      <c r="AM64" s="690">
        <f t="shared" si="6"/>
        <v>184.93</v>
      </c>
      <c r="AN64" s="690">
        <f t="shared" si="6"/>
        <v>193.46</v>
      </c>
      <c r="AO64" s="690">
        <f t="shared" si="6"/>
        <v>201.99</v>
      </c>
      <c r="AP64" s="690">
        <f t="shared" si="6"/>
        <v>210.52</v>
      </c>
      <c r="AQ64" s="690">
        <f t="shared" si="6"/>
        <v>219.05</v>
      </c>
      <c r="AR64" s="690">
        <f t="shared" si="6"/>
        <v>227.58</v>
      </c>
    </row>
    <row r="65" spans="1:44">
      <c r="A65" s="1828"/>
      <c r="B65" s="1967"/>
      <c r="C65" s="1968"/>
      <c r="D65" s="111">
        <v>1.1000000000000001</v>
      </c>
      <c r="E65" s="80">
        <f>(Y65*KFC!$B$37+KFC!$C$37)*KFC!$C$5</f>
        <v>68.12</v>
      </c>
      <c r="F65" s="79">
        <f>(Z65*KFC!$B$37+KFC!$C$37)*KFC!$C$5</f>
        <v>77.14</v>
      </c>
      <c r="G65" s="79">
        <f>(AA65*KFC!$B$37+KFC!$C$37)*KFC!$C$5</f>
        <v>86.39</v>
      </c>
      <c r="H65" s="79">
        <f>(AB65*KFC!$B$37+KFC!$C$37)*KFC!$C$5</f>
        <v>95.41</v>
      </c>
      <c r="I65" s="79">
        <f>(AC65*KFC!$B$37+KFC!$C$37)*KFC!$C$5</f>
        <v>104.41</v>
      </c>
      <c r="J65" s="79">
        <f>(AD65*KFC!$B$37+KFC!$C$37)*KFC!$C$5</f>
        <v>113.66</v>
      </c>
      <c r="K65" s="79">
        <f>(AE65*KFC!$B$37+KFC!$C$37)*KFC!$C$5</f>
        <v>122.68</v>
      </c>
      <c r="L65" s="79">
        <f>(AF65*KFC!$B$37+KFC!$C$37)*KFC!$C$5</f>
        <v>131.93</v>
      </c>
      <c r="M65" s="79">
        <f>(AG65*KFC!$B$37+KFC!$C$37)*KFC!$C$5</f>
        <v>140.94</v>
      </c>
      <c r="N65" s="79">
        <f>(AH65*KFC!$B$37+KFC!$C$37)*KFC!$C$5</f>
        <v>150.19</v>
      </c>
      <c r="O65" s="79">
        <f>(AI65*KFC!$B$37+KFC!$C$37)*KFC!$C$5</f>
        <v>159.21</v>
      </c>
      <c r="P65" s="79">
        <f>(AJ65*KFC!$B$37+KFC!$C$37)*KFC!$C$5</f>
        <v>168.34</v>
      </c>
      <c r="Q65" s="79">
        <f>(AK65*KFC!$B$37+KFC!$C$37)*KFC!$C$5</f>
        <v>177.47</v>
      </c>
      <c r="R65" s="79">
        <f>(AL65*KFC!$B$37+KFC!$C$37)*KFC!$C$5</f>
        <v>186.6</v>
      </c>
      <c r="S65" s="79">
        <f>(AM65*KFC!$B$37+KFC!$C$37)*KFC!$C$5</f>
        <v>195.73</v>
      </c>
      <c r="T65" s="79">
        <f>(AN65*KFC!$B$37+KFC!$C$37)*KFC!$C$5</f>
        <v>204.85999999999999</v>
      </c>
      <c r="U65" s="79">
        <f>(AO65*KFC!$B$37+KFC!$C$37)*KFC!$C$5</f>
        <v>213.98999999999998</v>
      </c>
      <c r="V65" s="79">
        <f>(AP65*KFC!$B$37+KFC!$C$37)*KFC!$C$5</f>
        <v>223.11999999999998</v>
      </c>
      <c r="X65" s="851">
        <v>1.1000000000000001</v>
      </c>
      <c r="Y65" s="847">
        <v>68.12</v>
      </c>
      <c r="Z65" s="847">
        <v>77.14</v>
      </c>
      <c r="AA65" s="847">
        <v>86.39</v>
      </c>
      <c r="AB65" s="847">
        <v>95.41</v>
      </c>
      <c r="AC65" s="847">
        <v>104.41</v>
      </c>
      <c r="AD65" s="847">
        <v>113.66</v>
      </c>
      <c r="AE65" s="847">
        <v>122.68</v>
      </c>
      <c r="AF65" s="847">
        <v>131.93</v>
      </c>
      <c r="AG65" s="847">
        <v>140.94</v>
      </c>
      <c r="AH65" s="847">
        <v>150.19</v>
      </c>
      <c r="AI65" s="847">
        <v>159.21</v>
      </c>
      <c r="AJ65" s="848">
        <v>168.34</v>
      </c>
      <c r="AK65" s="690">
        <f t="shared" si="7"/>
        <v>177.47</v>
      </c>
      <c r="AL65" s="690">
        <f t="shared" si="6"/>
        <v>186.6</v>
      </c>
      <c r="AM65" s="690">
        <f t="shared" si="6"/>
        <v>195.73</v>
      </c>
      <c r="AN65" s="690">
        <f t="shared" si="6"/>
        <v>204.85999999999999</v>
      </c>
      <c r="AO65" s="690">
        <f t="shared" si="6"/>
        <v>213.98999999999998</v>
      </c>
      <c r="AP65" s="690">
        <f t="shared" si="6"/>
        <v>223.11999999999998</v>
      </c>
      <c r="AQ65" s="690">
        <f t="shared" si="6"/>
        <v>232.24999999999997</v>
      </c>
      <c r="AR65" s="690">
        <f t="shared" si="6"/>
        <v>241.37999999999997</v>
      </c>
    </row>
    <row r="66" spans="1:44">
      <c r="A66" s="1828"/>
      <c r="B66" s="1967"/>
      <c r="C66" s="1968"/>
      <c r="D66" s="111">
        <v>1.2</v>
      </c>
      <c r="E66" s="80">
        <f>(Y66*KFC!$B$37+KFC!$C$37)*KFC!$C$5</f>
        <v>72.33</v>
      </c>
      <c r="F66" s="79">
        <f>(Z66*KFC!$B$37+KFC!$C$37)*KFC!$C$5</f>
        <v>81.83</v>
      </c>
      <c r="G66" s="79">
        <f>(AA66*KFC!$B$37+KFC!$C$37)*KFC!$C$5</f>
        <v>91.45</v>
      </c>
      <c r="H66" s="79">
        <f>(AB66*KFC!$B$37+KFC!$C$37)*KFC!$C$5</f>
        <v>100.96</v>
      </c>
      <c r="I66" s="79">
        <f>(AC66*KFC!$B$37+KFC!$C$37)*KFC!$C$5</f>
        <v>110.46</v>
      </c>
      <c r="J66" s="79">
        <f>(AD66*KFC!$B$37+KFC!$C$37)*KFC!$C$5</f>
        <v>119.96</v>
      </c>
      <c r="K66" s="79">
        <f>(AE66*KFC!$B$37+KFC!$C$37)*KFC!$C$5</f>
        <v>129.71</v>
      </c>
      <c r="L66" s="79">
        <f>(AF66*KFC!$B$37+KFC!$C$37)*KFC!$C$5</f>
        <v>139.22999999999999</v>
      </c>
      <c r="M66" s="79">
        <f>(AG66*KFC!$B$37+KFC!$C$37)*KFC!$C$5</f>
        <v>148.72</v>
      </c>
      <c r="N66" s="79">
        <f>(AH66*KFC!$B$37+KFC!$C$37)*KFC!$C$5</f>
        <v>158.22</v>
      </c>
      <c r="O66" s="79">
        <f>(AI66*KFC!$B$37+KFC!$C$37)*KFC!$C$5</f>
        <v>167.73</v>
      </c>
      <c r="P66" s="79">
        <f>(AJ66*KFC!$B$37+KFC!$C$37)*KFC!$C$5</f>
        <v>177.35</v>
      </c>
      <c r="Q66" s="79">
        <f>(AK66*KFC!$B$37+KFC!$C$37)*KFC!$C$5</f>
        <v>186.97</v>
      </c>
      <c r="R66" s="79">
        <f>(AL66*KFC!$B$37+KFC!$C$37)*KFC!$C$5</f>
        <v>196.59</v>
      </c>
      <c r="S66" s="79">
        <f>(AM66*KFC!$B$37+KFC!$C$37)*KFC!$C$5</f>
        <v>206.21</v>
      </c>
      <c r="T66" s="79">
        <f>(AN66*KFC!$B$37+KFC!$C$37)*KFC!$C$5</f>
        <v>215.83</v>
      </c>
      <c r="U66" s="79">
        <f>(AO66*KFC!$B$37+KFC!$C$37)*KFC!$C$5</f>
        <v>225.45000000000002</v>
      </c>
      <c r="V66" s="79">
        <f>(AP66*KFC!$B$37+KFC!$C$37)*KFC!$C$5</f>
        <v>235.07000000000002</v>
      </c>
      <c r="X66" s="851">
        <v>1.2</v>
      </c>
      <c r="Y66" s="847">
        <v>72.33</v>
      </c>
      <c r="Z66" s="847">
        <v>81.83</v>
      </c>
      <c r="AA66" s="847">
        <v>91.45</v>
      </c>
      <c r="AB66" s="847">
        <v>100.96</v>
      </c>
      <c r="AC66" s="847">
        <v>110.46</v>
      </c>
      <c r="AD66" s="847">
        <v>119.96</v>
      </c>
      <c r="AE66" s="847">
        <v>129.71</v>
      </c>
      <c r="AF66" s="847">
        <v>139.22999999999999</v>
      </c>
      <c r="AG66" s="847">
        <v>148.72</v>
      </c>
      <c r="AH66" s="847">
        <v>158.22</v>
      </c>
      <c r="AI66" s="847">
        <v>167.73</v>
      </c>
      <c r="AJ66" s="848">
        <v>177.35</v>
      </c>
      <c r="AK66" s="690">
        <f t="shared" si="7"/>
        <v>186.97</v>
      </c>
      <c r="AL66" s="690">
        <f t="shared" si="6"/>
        <v>196.59</v>
      </c>
      <c r="AM66" s="690">
        <f t="shared" si="6"/>
        <v>206.21</v>
      </c>
      <c r="AN66" s="690">
        <f t="shared" si="6"/>
        <v>215.83</v>
      </c>
      <c r="AO66" s="690">
        <f t="shared" si="6"/>
        <v>225.45000000000002</v>
      </c>
      <c r="AP66" s="690">
        <f t="shared" si="6"/>
        <v>235.07000000000002</v>
      </c>
      <c r="AQ66" s="690">
        <f t="shared" si="6"/>
        <v>244.69000000000003</v>
      </c>
      <c r="AR66" s="690">
        <f t="shared" si="6"/>
        <v>254.31000000000003</v>
      </c>
    </row>
    <row r="67" spans="1:44">
      <c r="A67" s="1828"/>
      <c r="B67" s="1967"/>
      <c r="C67" s="1968"/>
      <c r="D67" s="111">
        <v>1.3</v>
      </c>
      <c r="E67" s="80">
        <f>(Y67*KFC!$B$37+KFC!$C$37)*KFC!$C$5</f>
        <v>76.64</v>
      </c>
      <c r="F67" s="79">
        <f>(Z67*KFC!$B$37+KFC!$C$37)*KFC!$C$5</f>
        <v>86.64</v>
      </c>
      <c r="G67" s="79">
        <f>(AA67*KFC!$B$37+KFC!$C$37)*KFC!$C$5</f>
        <v>96.65</v>
      </c>
      <c r="H67" s="79">
        <f>(AB67*KFC!$B$37+KFC!$C$37)*KFC!$C$5</f>
        <v>106.51</v>
      </c>
      <c r="I67" s="79">
        <f>(AC67*KFC!$B$37+KFC!$C$37)*KFC!$C$5</f>
        <v>116.51</v>
      </c>
      <c r="J67" s="79">
        <f>(AD67*KFC!$B$37+KFC!$C$37)*KFC!$C$5</f>
        <v>126.51</v>
      </c>
      <c r="K67" s="79">
        <f>(AE67*KFC!$B$37+KFC!$C$37)*KFC!$C$5</f>
        <v>136.5</v>
      </c>
      <c r="L67" s="79">
        <f>(AF67*KFC!$B$37+KFC!$C$37)*KFC!$C$5</f>
        <v>146.38</v>
      </c>
      <c r="M67" s="79">
        <f>(AG67*KFC!$B$37+KFC!$C$37)*KFC!$C$5</f>
        <v>156.37</v>
      </c>
      <c r="N67" s="79">
        <f>(AH67*KFC!$B$37+KFC!$C$37)*KFC!$C$5</f>
        <v>166.38</v>
      </c>
      <c r="O67" s="79">
        <f>(AI67*KFC!$B$37+KFC!$C$37)*KFC!$C$5</f>
        <v>176.25</v>
      </c>
      <c r="P67" s="79">
        <f>(AJ67*KFC!$B$37+KFC!$C$37)*KFC!$C$5</f>
        <v>186.24</v>
      </c>
      <c r="Q67" s="79">
        <f>(AK67*KFC!$B$37+KFC!$C$37)*KFC!$C$5</f>
        <v>196.23000000000002</v>
      </c>
      <c r="R67" s="79">
        <f>(AL67*KFC!$B$37+KFC!$C$37)*KFC!$C$5</f>
        <v>206.22000000000003</v>
      </c>
      <c r="S67" s="79">
        <f>(AM67*KFC!$B$37+KFC!$C$37)*KFC!$C$5</f>
        <v>216.21000000000004</v>
      </c>
      <c r="T67" s="79">
        <f>(AN67*KFC!$B$37+KFC!$C$37)*KFC!$C$5</f>
        <v>226.20000000000005</v>
      </c>
      <c r="U67" s="79">
        <f>(AO67*KFC!$B$37+KFC!$C$37)*KFC!$C$5</f>
        <v>236.19000000000005</v>
      </c>
      <c r="V67" s="79">
        <f>(AP67*KFC!$B$37+KFC!$C$37)*KFC!$C$5</f>
        <v>246.18000000000006</v>
      </c>
      <c r="X67" s="851">
        <v>1.3</v>
      </c>
      <c r="Y67" s="847">
        <v>76.64</v>
      </c>
      <c r="Z67" s="847">
        <v>86.64</v>
      </c>
      <c r="AA67" s="847">
        <v>96.65</v>
      </c>
      <c r="AB67" s="847">
        <v>106.51</v>
      </c>
      <c r="AC67" s="847">
        <v>116.51</v>
      </c>
      <c r="AD67" s="847">
        <v>126.51</v>
      </c>
      <c r="AE67" s="847">
        <v>136.5</v>
      </c>
      <c r="AF67" s="847">
        <v>146.38</v>
      </c>
      <c r="AG67" s="847">
        <v>156.37</v>
      </c>
      <c r="AH67" s="847">
        <v>166.38</v>
      </c>
      <c r="AI67" s="847">
        <v>176.25</v>
      </c>
      <c r="AJ67" s="848">
        <v>186.24</v>
      </c>
      <c r="AK67" s="690">
        <f t="shared" si="7"/>
        <v>196.23000000000002</v>
      </c>
      <c r="AL67" s="690">
        <f t="shared" si="6"/>
        <v>206.22000000000003</v>
      </c>
      <c r="AM67" s="690">
        <f t="shared" si="6"/>
        <v>216.21000000000004</v>
      </c>
      <c r="AN67" s="690">
        <f t="shared" si="6"/>
        <v>226.20000000000005</v>
      </c>
      <c r="AO67" s="690">
        <f t="shared" si="6"/>
        <v>236.19000000000005</v>
      </c>
      <c r="AP67" s="690">
        <f t="shared" si="6"/>
        <v>246.18000000000006</v>
      </c>
      <c r="AQ67" s="690">
        <f t="shared" si="6"/>
        <v>256.17000000000007</v>
      </c>
      <c r="AR67" s="690">
        <f t="shared" si="6"/>
        <v>266.16000000000008</v>
      </c>
    </row>
    <row r="68" spans="1:44">
      <c r="A68" s="1828"/>
      <c r="B68" s="1967"/>
      <c r="C68" s="1968"/>
      <c r="D68" s="111">
        <v>1.4</v>
      </c>
      <c r="E68" s="80">
        <f>(Y68*KFC!$B$37+KFC!$C$37)*KFC!$C$5</f>
        <v>80.959999999999994</v>
      </c>
      <c r="F68" s="79">
        <f>(Z68*KFC!$B$37+KFC!$C$37)*KFC!$C$5</f>
        <v>91.33</v>
      </c>
      <c r="G68" s="79">
        <f>(AA68*KFC!$B$37+KFC!$C$37)*KFC!$C$5</f>
        <v>101.71</v>
      </c>
      <c r="H68" s="79">
        <f>(AB68*KFC!$B$37+KFC!$C$37)*KFC!$C$5</f>
        <v>112.19</v>
      </c>
      <c r="I68" s="79">
        <f>(AC68*KFC!$B$37+KFC!$C$37)*KFC!$C$5</f>
        <v>122.43</v>
      </c>
      <c r="J68" s="79">
        <f>(AD68*KFC!$B$37+KFC!$C$37)*KFC!$C$5</f>
        <v>132.80000000000001</v>
      </c>
      <c r="K68" s="79">
        <f>(AE68*KFC!$B$37+KFC!$C$37)*KFC!$C$5</f>
        <v>143.29</v>
      </c>
      <c r="L68" s="79">
        <f>(AF68*KFC!$B$37+KFC!$C$37)*KFC!$C$5</f>
        <v>153.66</v>
      </c>
      <c r="M68" s="79">
        <f>(AG68*KFC!$B$37+KFC!$C$37)*KFC!$C$5</f>
        <v>164.03</v>
      </c>
      <c r="N68" s="79">
        <f>(AH68*KFC!$B$37+KFC!$C$37)*KFC!$C$5</f>
        <v>174.39</v>
      </c>
      <c r="O68" s="79">
        <f>(AI68*KFC!$B$37+KFC!$C$37)*KFC!$C$5</f>
        <v>184.76</v>
      </c>
      <c r="P68" s="79">
        <f>(AJ68*KFC!$B$37+KFC!$C$37)*KFC!$C$5</f>
        <v>195.13</v>
      </c>
      <c r="Q68" s="79">
        <f>(AK68*KFC!$B$37+KFC!$C$37)*KFC!$C$5</f>
        <v>205.5</v>
      </c>
      <c r="R68" s="79">
        <f>(AL68*KFC!$B$37+KFC!$C$37)*KFC!$C$5</f>
        <v>215.87</v>
      </c>
      <c r="S68" s="79">
        <f>(AM68*KFC!$B$37+KFC!$C$37)*KFC!$C$5</f>
        <v>226.24</v>
      </c>
      <c r="T68" s="79">
        <f>(AN68*KFC!$B$37+KFC!$C$37)*KFC!$C$5</f>
        <v>236.61</v>
      </c>
      <c r="U68" s="79">
        <f>(AO68*KFC!$B$37+KFC!$C$37)*KFC!$C$5</f>
        <v>246.98000000000002</v>
      </c>
      <c r="V68" s="79">
        <f>(AP68*KFC!$B$37+KFC!$C$37)*KFC!$C$5</f>
        <v>257.35000000000002</v>
      </c>
      <c r="X68" s="851">
        <v>1.4</v>
      </c>
      <c r="Y68" s="847">
        <v>80.959999999999994</v>
      </c>
      <c r="Z68" s="847">
        <v>91.33</v>
      </c>
      <c r="AA68" s="847">
        <v>101.71</v>
      </c>
      <c r="AB68" s="847">
        <v>112.19</v>
      </c>
      <c r="AC68" s="847">
        <v>122.43</v>
      </c>
      <c r="AD68" s="847">
        <v>132.80000000000001</v>
      </c>
      <c r="AE68" s="847">
        <v>143.29</v>
      </c>
      <c r="AF68" s="847">
        <v>153.66</v>
      </c>
      <c r="AG68" s="847">
        <v>164.03</v>
      </c>
      <c r="AH68" s="847">
        <v>174.39</v>
      </c>
      <c r="AI68" s="847">
        <v>184.76</v>
      </c>
      <c r="AJ68" s="848">
        <v>195.13</v>
      </c>
      <c r="AK68" s="690">
        <f t="shared" si="7"/>
        <v>205.5</v>
      </c>
      <c r="AL68" s="690">
        <f t="shared" si="6"/>
        <v>215.87</v>
      </c>
      <c r="AM68" s="690">
        <f t="shared" si="6"/>
        <v>226.24</v>
      </c>
      <c r="AN68" s="690">
        <f t="shared" si="6"/>
        <v>236.61</v>
      </c>
      <c r="AO68" s="690">
        <f t="shared" si="6"/>
        <v>246.98000000000002</v>
      </c>
      <c r="AP68" s="690">
        <f t="shared" si="6"/>
        <v>257.35000000000002</v>
      </c>
      <c r="AQ68" s="690">
        <f t="shared" si="6"/>
        <v>267.72000000000003</v>
      </c>
      <c r="AR68" s="690">
        <f t="shared" si="6"/>
        <v>278.09000000000003</v>
      </c>
    </row>
    <row r="69" spans="1:44">
      <c r="A69" s="1828"/>
      <c r="B69" s="1967"/>
      <c r="C69" s="1968"/>
      <c r="D69" s="111">
        <v>1.5</v>
      </c>
      <c r="E69" s="80">
        <f>(Y69*KFC!$B$37+KFC!$C$37)*KFC!$C$5</f>
        <v>85.28</v>
      </c>
      <c r="F69" s="79">
        <f>(Z69*KFC!$B$37+KFC!$C$37)*KFC!$C$5</f>
        <v>96.03</v>
      </c>
      <c r="G69" s="79">
        <f>(AA69*KFC!$B$37+KFC!$C$37)*KFC!$C$5</f>
        <v>106.88</v>
      </c>
      <c r="H69" s="79">
        <f>(AB69*KFC!$B$37+KFC!$C$37)*KFC!$C$5</f>
        <v>117.62</v>
      </c>
      <c r="I69" s="79">
        <f>(AC69*KFC!$B$37+KFC!$C$37)*KFC!$C$5</f>
        <v>128.47999999999999</v>
      </c>
      <c r="J69" s="79">
        <f>(AD69*KFC!$B$37+KFC!$C$37)*KFC!$C$5</f>
        <v>139.35</v>
      </c>
      <c r="K69" s="79">
        <f>(AE69*KFC!$B$37+KFC!$C$37)*KFC!$C$5</f>
        <v>150.07</v>
      </c>
      <c r="L69" s="79">
        <f>(AF69*KFC!$B$37+KFC!$C$37)*KFC!$C$5</f>
        <v>160.94</v>
      </c>
      <c r="M69" s="79">
        <f>(AG69*KFC!$B$37+KFC!$C$37)*KFC!$C$5</f>
        <v>171.68</v>
      </c>
      <c r="N69" s="79">
        <f>(AH69*KFC!$B$37+KFC!$C$37)*KFC!$C$5</f>
        <v>182.55</v>
      </c>
      <c r="O69" s="79">
        <f>(AI69*KFC!$B$37+KFC!$C$37)*KFC!$C$5</f>
        <v>193.39</v>
      </c>
      <c r="P69" s="79">
        <f>(AJ69*KFC!$B$37+KFC!$C$37)*KFC!$C$5</f>
        <v>204.02</v>
      </c>
      <c r="Q69" s="79">
        <f>(AK69*KFC!$B$37+KFC!$C$37)*KFC!$C$5</f>
        <v>214.65000000000003</v>
      </c>
      <c r="R69" s="79">
        <f>(AL69*KFC!$B$37+KFC!$C$37)*KFC!$C$5</f>
        <v>225.28000000000006</v>
      </c>
      <c r="S69" s="79">
        <f>(AM69*KFC!$B$37+KFC!$C$37)*KFC!$C$5</f>
        <v>235.91000000000008</v>
      </c>
      <c r="T69" s="79">
        <f>(AN69*KFC!$B$37+KFC!$C$37)*KFC!$C$5</f>
        <v>246.54000000000011</v>
      </c>
      <c r="U69" s="79">
        <f>(AO69*KFC!$B$37+KFC!$C$37)*KFC!$C$5</f>
        <v>257.17000000000013</v>
      </c>
      <c r="V69" s="79">
        <f>(AP69*KFC!$B$37+KFC!$C$37)*KFC!$C$5</f>
        <v>267.80000000000018</v>
      </c>
      <c r="X69" s="851">
        <v>1.5</v>
      </c>
      <c r="Y69" s="847">
        <v>85.28</v>
      </c>
      <c r="Z69" s="847">
        <v>96.03</v>
      </c>
      <c r="AA69" s="847">
        <v>106.88</v>
      </c>
      <c r="AB69" s="847">
        <v>117.62</v>
      </c>
      <c r="AC69" s="847">
        <v>128.47999999999999</v>
      </c>
      <c r="AD69" s="847">
        <v>139.35</v>
      </c>
      <c r="AE69" s="847">
        <v>150.07</v>
      </c>
      <c r="AF69" s="847">
        <v>160.94</v>
      </c>
      <c r="AG69" s="847">
        <v>171.68</v>
      </c>
      <c r="AH69" s="847">
        <v>182.55</v>
      </c>
      <c r="AI69" s="847">
        <v>193.39</v>
      </c>
      <c r="AJ69" s="848">
        <v>204.02</v>
      </c>
      <c r="AK69" s="690">
        <f t="shared" si="7"/>
        <v>214.65000000000003</v>
      </c>
      <c r="AL69" s="690">
        <f t="shared" si="6"/>
        <v>225.28000000000006</v>
      </c>
      <c r="AM69" s="690">
        <f t="shared" si="6"/>
        <v>235.91000000000008</v>
      </c>
      <c r="AN69" s="690">
        <f t="shared" si="6"/>
        <v>246.54000000000011</v>
      </c>
      <c r="AO69" s="690">
        <f t="shared" si="6"/>
        <v>257.17000000000013</v>
      </c>
      <c r="AP69" s="690">
        <f t="shared" si="6"/>
        <v>267.80000000000018</v>
      </c>
      <c r="AQ69" s="690">
        <f t="shared" si="6"/>
        <v>278.43000000000023</v>
      </c>
      <c r="AR69" s="690">
        <f t="shared" si="6"/>
        <v>289.06000000000029</v>
      </c>
    </row>
    <row r="70" spans="1:44">
      <c r="A70" s="1828"/>
      <c r="B70" s="1967"/>
      <c r="C70" s="1968"/>
      <c r="D70" s="111">
        <v>1.6</v>
      </c>
      <c r="E70" s="80">
        <f>(Y70*KFC!$B$37+KFC!$C$37)*KFC!$C$5</f>
        <v>89.49</v>
      </c>
      <c r="F70" s="79">
        <f>(Z70*KFC!$B$37+KFC!$C$37)*KFC!$C$5</f>
        <v>100.71</v>
      </c>
      <c r="G70" s="79">
        <f>(AA70*KFC!$B$37+KFC!$C$37)*KFC!$C$5</f>
        <v>111.94</v>
      </c>
      <c r="H70" s="79">
        <f>(AB70*KFC!$B$37+KFC!$C$37)*KFC!$C$5</f>
        <v>123.18</v>
      </c>
      <c r="I70" s="79">
        <f>(AC70*KFC!$B$37+KFC!$C$37)*KFC!$C$5</f>
        <v>134.53</v>
      </c>
      <c r="J70" s="79">
        <f>(AD70*KFC!$B$37+KFC!$C$37)*KFC!$C$5</f>
        <v>145.63999999999999</v>
      </c>
      <c r="K70" s="79">
        <f>(AE70*KFC!$B$37+KFC!$C$37)*KFC!$C$5</f>
        <v>156.97999999999999</v>
      </c>
      <c r="L70" s="79">
        <f>(AF70*KFC!$B$37+KFC!$C$37)*KFC!$C$5</f>
        <v>168.09</v>
      </c>
      <c r="M70" s="79">
        <f>(AG70*KFC!$B$37+KFC!$C$37)*KFC!$C$5</f>
        <v>179.33</v>
      </c>
      <c r="N70" s="79">
        <f>(AH70*KFC!$B$37+KFC!$C$37)*KFC!$C$5</f>
        <v>190.69</v>
      </c>
      <c r="O70" s="79">
        <f>(AI70*KFC!$B$37+KFC!$C$37)*KFC!$C$5</f>
        <v>201.8</v>
      </c>
      <c r="P70" s="79">
        <f>(AJ70*KFC!$B$37+KFC!$C$37)*KFC!$C$5</f>
        <v>213.15</v>
      </c>
      <c r="Q70" s="79">
        <f>(AK70*KFC!$B$37+KFC!$C$37)*KFC!$C$5</f>
        <v>224.5</v>
      </c>
      <c r="R70" s="79">
        <f>(AL70*KFC!$B$37+KFC!$C$37)*KFC!$C$5</f>
        <v>235.85</v>
      </c>
      <c r="S70" s="79">
        <f>(AM70*KFC!$B$37+KFC!$C$37)*KFC!$C$5</f>
        <v>247.2</v>
      </c>
      <c r="T70" s="79">
        <f>(AN70*KFC!$B$37+KFC!$C$37)*KFC!$C$5</f>
        <v>258.54999999999995</v>
      </c>
      <c r="U70" s="79">
        <f>(AO70*KFC!$B$37+KFC!$C$37)*KFC!$C$5</f>
        <v>269.89999999999992</v>
      </c>
      <c r="V70" s="79">
        <f>(AP70*KFC!$B$37+KFC!$C$37)*KFC!$C$5</f>
        <v>281.24999999999989</v>
      </c>
      <c r="X70" s="851">
        <v>1.6</v>
      </c>
      <c r="Y70" s="847">
        <v>89.49</v>
      </c>
      <c r="Z70" s="847">
        <v>100.71</v>
      </c>
      <c r="AA70" s="847">
        <v>111.94</v>
      </c>
      <c r="AB70" s="847">
        <v>123.18</v>
      </c>
      <c r="AC70" s="847">
        <v>134.53</v>
      </c>
      <c r="AD70" s="847">
        <v>145.63999999999999</v>
      </c>
      <c r="AE70" s="847">
        <v>156.97999999999999</v>
      </c>
      <c r="AF70" s="847">
        <v>168.09</v>
      </c>
      <c r="AG70" s="847">
        <v>179.33</v>
      </c>
      <c r="AH70" s="847">
        <v>190.69</v>
      </c>
      <c r="AI70" s="847">
        <v>201.8</v>
      </c>
      <c r="AJ70" s="848">
        <v>213.15</v>
      </c>
      <c r="AK70" s="690">
        <f t="shared" si="7"/>
        <v>224.5</v>
      </c>
      <c r="AL70" s="690">
        <f t="shared" si="6"/>
        <v>235.85</v>
      </c>
      <c r="AM70" s="690">
        <f t="shared" si="6"/>
        <v>247.2</v>
      </c>
      <c r="AN70" s="690">
        <f t="shared" si="6"/>
        <v>258.54999999999995</v>
      </c>
      <c r="AO70" s="690">
        <f t="shared" si="6"/>
        <v>269.89999999999992</v>
      </c>
      <c r="AP70" s="690">
        <f t="shared" si="6"/>
        <v>281.24999999999989</v>
      </c>
      <c r="AQ70" s="690">
        <f t="shared" si="6"/>
        <v>292.59999999999985</v>
      </c>
      <c r="AR70" s="690">
        <f t="shared" si="6"/>
        <v>303.94999999999982</v>
      </c>
    </row>
    <row r="71" spans="1:44">
      <c r="A71" s="1828"/>
      <c r="B71" s="1967"/>
      <c r="C71" s="1968"/>
      <c r="D71" s="111">
        <v>1.7</v>
      </c>
      <c r="E71" s="80">
        <f>(Y71*KFC!$B$37+KFC!$C$37)*KFC!$C$5</f>
        <v>93.92</v>
      </c>
      <c r="F71" s="79">
        <f>(Z71*KFC!$B$37+KFC!$C$37)*KFC!$C$5</f>
        <v>105.52</v>
      </c>
      <c r="G71" s="79">
        <f>(AA71*KFC!$B$37+KFC!$C$37)*KFC!$C$5</f>
        <v>117.13</v>
      </c>
      <c r="H71" s="79">
        <f>(AB71*KFC!$B$37+KFC!$C$37)*KFC!$C$5</f>
        <v>128.72999999999999</v>
      </c>
      <c r="I71" s="79">
        <f>(AC71*KFC!$B$37+KFC!$C$37)*KFC!$C$5</f>
        <v>140.33000000000001</v>
      </c>
      <c r="J71" s="79">
        <f>(AD71*KFC!$B$37+KFC!$C$37)*KFC!$C$5</f>
        <v>152.19</v>
      </c>
      <c r="K71" s="79">
        <f>(AE71*KFC!$B$37+KFC!$C$37)*KFC!$C$5</f>
        <v>163.78</v>
      </c>
      <c r="L71" s="79">
        <f>(AF71*KFC!$B$37+KFC!$C$37)*KFC!$C$5</f>
        <v>175.37</v>
      </c>
      <c r="M71" s="79">
        <f>(AG71*KFC!$B$37+KFC!$C$37)*KFC!$C$5</f>
        <v>186.98</v>
      </c>
      <c r="N71" s="79">
        <f>(AH71*KFC!$B$37+KFC!$C$37)*KFC!$C$5</f>
        <v>198.58</v>
      </c>
      <c r="O71" s="79">
        <f>(AI71*KFC!$B$37+KFC!$C$37)*KFC!$C$5</f>
        <v>210.43</v>
      </c>
      <c r="P71" s="79">
        <f>(AJ71*KFC!$B$37+KFC!$C$37)*KFC!$C$5</f>
        <v>222.04</v>
      </c>
      <c r="Q71" s="79">
        <f>(AK71*KFC!$B$37+KFC!$C$37)*KFC!$C$5</f>
        <v>233.64999999999998</v>
      </c>
      <c r="R71" s="79">
        <f>(AL71*KFC!$B$37+KFC!$C$37)*KFC!$C$5</f>
        <v>245.25999999999996</v>
      </c>
      <c r="S71" s="79">
        <f>(AM71*KFC!$B$37+KFC!$C$37)*KFC!$C$5</f>
        <v>256.86999999999995</v>
      </c>
      <c r="T71" s="79">
        <f>(AN71*KFC!$B$37+KFC!$C$37)*KFC!$C$5</f>
        <v>268.4799999999999</v>
      </c>
      <c r="U71" s="79">
        <f>(AO71*KFC!$B$37+KFC!$C$37)*KFC!$C$5</f>
        <v>280.08999999999986</v>
      </c>
      <c r="V71" s="79">
        <f>(AP71*KFC!$B$37+KFC!$C$37)*KFC!$C$5</f>
        <v>291.69999999999982</v>
      </c>
      <c r="X71" s="851">
        <v>1.7</v>
      </c>
      <c r="Y71" s="847">
        <v>93.92</v>
      </c>
      <c r="Z71" s="847">
        <v>105.52</v>
      </c>
      <c r="AA71" s="847">
        <v>117.13</v>
      </c>
      <c r="AB71" s="847">
        <v>128.72999999999999</v>
      </c>
      <c r="AC71" s="847">
        <v>140.33000000000001</v>
      </c>
      <c r="AD71" s="847">
        <v>152.19</v>
      </c>
      <c r="AE71" s="847">
        <v>163.78</v>
      </c>
      <c r="AF71" s="847">
        <v>175.37</v>
      </c>
      <c r="AG71" s="847">
        <v>186.98</v>
      </c>
      <c r="AH71" s="847">
        <v>198.58</v>
      </c>
      <c r="AI71" s="847">
        <v>210.43</v>
      </c>
      <c r="AJ71" s="848">
        <v>222.04</v>
      </c>
      <c r="AK71" s="690">
        <f t="shared" si="7"/>
        <v>233.64999999999998</v>
      </c>
      <c r="AL71" s="690">
        <f t="shared" si="6"/>
        <v>245.25999999999996</v>
      </c>
      <c r="AM71" s="690">
        <f t="shared" si="6"/>
        <v>256.86999999999995</v>
      </c>
      <c r="AN71" s="690">
        <f t="shared" si="6"/>
        <v>268.4799999999999</v>
      </c>
      <c r="AO71" s="690">
        <f t="shared" si="6"/>
        <v>280.08999999999986</v>
      </c>
      <c r="AP71" s="690">
        <f t="shared" si="6"/>
        <v>291.69999999999982</v>
      </c>
      <c r="AQ71" s="690">
        <f t="shared" si="6"/>
        <v>303.30999999999977</v>
      </c>
      <c r="AR71" s="690">
        <f t="shared" si="6"/>
        <v>314.91999999999973</v>
      </c>
    </row>
    <row r="72" spans="1:44" ht="13.8" thickBot="1">
      <c r="A72" s="1829"/>
      <c r="B72" s="1969"/>
      <c r="C72" s="1970"/>
      <c r="D72" s="112">
        <v>1.8</v>
      </c>
      <c r="E72" s="89">
        <f>(Y72*KFC!$B$37+KFC!$C$37)*KFC!$C$5</f>
        <v>98.12</v>
      </c>
      <c r="F72" s="87">
        <f>(Z72*KFC!$B$37+KFC!$C$37)*KFC!$C$5</f>
        <v>110.22</v>
      </c>
      <c r="G72" s="87">
        <f>(AA72*KFC!$B$37+KFC!$C$37)*KFC!$C$5</f>
        <v>122.31</v>
      </c>
      <c r="H72" s="87">
        <f>(AB72*KFC!$B$37+KFC!$C$37)*KFC!$C$5</f>
        <v>134.29</v>
      </c>
      <c r="I72" s="87">
        <f>(AC72*KFC!$B$37+KFC!$C$37)*KFC!$C$5</f>
        <v>146.38</v>
      </c>
      <c r="J72" s="87">
        <f>(AD72*KFC!$B$37+KFC!$C$37)*KFC!$C$5</f>
        <v>158.47999999999999</v>
      </c>
      <c r="K72" s="87">
        <f>(AE72*KFC!$B$37+KFC!$C$37)*KFC!$C$5</f>
        <v>170.57</v>
      </c>
      <c r="L72" s="87">
        <f>(AF72*KFC!$B$37+KFC!$C$37)*KFC!$C$5</f>
        <v>182.67</v>
      </c>
      <c r="M72" s="87">
        <f>(AG72*KFC!$B$37+KFC!$C$37)*KFC!$C$5</f>
        <v>194.77</v>
      </c>
      <c r="N72" s="87">
        <f>(AH72*KFC!$B$37+KFC!$C$37)*KFC!$C$5</f>
        <v>206.86</v>
      </c>
      <c r="O72" s="87">
        <f>(AI72*KFC!$B$37+KFC!$C$37)*KFC!$C$5</f>
        <v>218.83</v>
      </c>
      <c r="P72" s="87">
        <f>(AJ72*KFC!$B$37+KFC!$C$37)*KFC!$C$5</f>
        <v>230.91</v>
      </c>
      <c r="Q72" s="87">
        <f>(AK72*KFC!$B$37+KFC!$C$37)*KFC!$C$5</f>
        <v>242.98999999999998</v>
      </c>
      <c r="R72" s="87">
        <f>(AL72*KFC!$B$37+KFC!$C$37)*KFC!$C$5</f>
        <v>255.06999999999996</v>
      </c>
      <c r="S72" s="87">
        <f>(AM72*KFC!$B$37+KFC!$C$37)*KFC!$C$5</f>
        <v>267.14999999999998</v>
      </c>
      <c r="T72" s="87">
        <f>(AN72*KFC!$B$37+KFC!$C$37)*KFC!$C$5</f>
        <v>279.23</v>
      </c>
      <c r="U72" s="87">
        <f>(AO72*KFC!$B$37+KFC!$C$37)*KFC!$C$5</f>
        <v>291.31000000000006</v>
      </c>
      <c r="V72" s="87">
        <f>(AP72*KFC!$B$37+KFC!$C$37)*KFC!$C$5</f>
        <v>303.3900000000001</v>
      </c>
      <c r="X72" s="851">
        <v>1.8</v>
      </c>
      <c r="Y72" s="847">
        <v>98.12</v>
      </c>
      <c r="Z72" s="847">
        <v>110.22</v>
      </c>
      <c r="AA72" s="847">
        <v>122.31</v>
      </c>
      <c r="AB72" s="847">
        <v>134.29</v>
      </c>
      <c r="AC72" s="847">
        <v>146.38</v>
      </c>
      <c r="AD72" s="847">
        <v>158.47999999999999</v>
      </c>
      <c r="AE72" s="847">
        <v>170.57</v>
      </c>
      <c r="AF72" s="847">
        <v>182.67</v>
      </c>
      <c r="AG72" s="847">
        <v>194.77</v>
      </c>
      <c r="AH72" s="847">
        <v>206.86</v>
      </c>
      <c r="AI72" s="847">
        <v>218.83</v>
      </c>
      <c r="AJ72" s="848">
        <v>230.91</v>
      </c>
      <c r="AK72" s="690">
        <f t="shared" si="7"/>
        <v>242.98999999999998</v>
      </c>
      <c r="AL72" s="690">
        <f t="shared" si="6"/>
        <v>255.06999999999996</v>
      </c>
      <c r="AM72" s="690">
        <f t="shared" si="6"/>
        <v>267.14999999999998</v>
      </c>
      <c r="AN72" s="690">
        <f t="shared" si="6"/>
        <v>279.23</v>
      </c>
      <c r="AO72" s="690">
        <f t="shared" si="6"/>
        <v>291.31000000000006</v>
      </c>
      <c r="AP72" s="690">
        <f t="shared" si="6"/>
        <v>303.3900000000001</v>
      </c>
      <c r="AQ72" s="690">
        <f t="shared" si="6"/>
        <v>315.47000000000014</v>
      </c>
      <c r="AR72" s="690">
        <f t="shared" si="6"/>
        <v>327.55000000000018</v>
      </c>
    </row>
    <row r="73" spans="1:44">
      <c r="A73" s="833" t="s">
        <v>1165</v>
      </c>
      <c r="B73" s="833"/>
      <c r="C73" s="833"/>
      <c r="D73" s="833"/>
      <c r="E73" s="833"/>
      <c r="F73" s="833"/>
      <c r="G73" s="833"/>
      <c r="H73" s="833"/>
      <c r="I73" s="834"/>
      <c r="J73" s="835"/>
      <c r="K73" s="831">
        <v>0.15</v>
      </c>
      <c r="L73" s="178"/>
      <c r="M73" s="178"/>
      <c r="N73" s="178"/>
      <c r="O73" s="178"/>
      <c r="P73" s="178"/>
      <c r="Q73" s="3"/>
      <c r="R73" s="3"/>
      <c r="S73" s="3"/>
      <c r="T73" s="3"/>
      <c r="U73" s="3"/>
      <c r="V73" s="3"/>
    </row>
    <row r="74" spans="1:44">
      <c r="A74" s="185" t="s">
        <v>303</v>
      </c>
      <c r="B74" s="186"/>
      <c r="C74" s="186"/>
      <c r="D74" s="184"/>
      <c r="E74" s="184"/>
      <c r="F74" s="184"/>
      <c r="G74" s="184"/>
      <c r="H74" s="184"/>
      <c r="I74" s="184"/>
      <c r="J74" s="184"/>
      <c r="K74" s="184"/>
      <c r="L74" s="178"/>
      <c r="M74" s="178"/>
      <c r="N74" s="178"/>
      <c r="O74" s="178"/>
      <c r="P74" s="178"/>
      <c r="Q74" s="3"/>
      <c r="R74" s="3"/>
      <c r="S74" s="3"/>
      <c r="T74" s="3"/>
      <c r="U74" s="3"/>
      <c r="V74" s="3"/>
    </row>
    <row r="75" spans="1:44" ht="13.8">
      <c r="A75" s="5" t="s">
        <v>1178</v>
      </c>
      <c r="B75" s="5"/>
      <c r="C75" s="12"/>
      <c r="D75" s="12"/>
      <c r="E75" s="12"/>
      <c r="F75" s="12"/>
      <c r="G75" s="12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</row>
    <row r="76" spans="1:44">
      <c r="A76" s="1990" t="s">
        <v>209</v>
      </c>
      <c r="B76" s="1990"/>
      <c r="C76" s="1990"/>
      <c r="D76" s="1990"/>
      <c r="E76" s="1990"/>
      <c r="F76" s="1990"/>
      <c r="G76" s="1990"/>
      <c r="H76" s="1990"/>
      <c r="I76" s="1990"/>
      <c r="J76" s="1990"/>
      <c r="K76" s="1990"/>
      <c r="L76" s="1990"/>
      <c r="M76" s="1990"/>
      <c r="N76" s="1990"/>
      <c r="O76" s="3"/>
      <c r="P76" s="3"/>
      <c r="Q76" s="3"/>
      <c r="R76" s="3"/>
      <c r="S76" s="3"/>
      <c r="T76" s="3"/>
      <c r="U76" s="3"/>
      <c r="V76" s="3"/>
    </row>
    <row r="77" spans="1:44">
      <c r="A77" s="5" t="s">
        <v>208</v>
      </c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</row>
    <row r="78" spans="1:44">
      <c r="A78" s="5" t="s">
        <v>218</v>
      </c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</row>
    <row r="79" spans="1:44">
      <c r="A79" s="5" t="s">
        <v>217</v>
      </c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</row>
    <row r="80" spans="1:44" ht="13.8" thickBot="1">
      <c r="A80" s="508" t="s">
        <v>804</v>
      </c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</row>
    <row r="81" spans="1:22" ht="13.8" thickBo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O81" s="161"/>
      <c r="P81" s="198"/>
      <c r="Q81" s="3"/>
      <c r="R81" s="3"/>
      <c r="S81" s="3"/>
      <c r="T81" s="3"/>
      <c r="U81" s="3"/>
      <c r="V81" s="3"/>
    </row>
    <row r="82" spans="1:22" ht="13.8" thickBo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199"/>
      <c r="N82" s="161"/>
      <c r="O82" s="161"/>
      <c r="P82" s="198"/>
      <c r="Q82" s="3"/>
      <c r="R82" s="3"/>
      <c r="S82" s="3"/>
      <c r="T82" s="3"/>
      <c r="U82" s="3"/>
      <c r="V82" s="3"/>
    </row>
    <row r="83" spans="1:22" ht="13.8" thickBo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199"/>
      <c r="N83" s="161"/>
      <c r="O83" s="161"/>
      <c r="P83" s="198"/>
      <c r="Q83" s="3"/>
      <c r="R83" s="3"/>
      <c r="S83" s="3"/>
      <c r="T83" s="3"/>
      <c r="U83" s="3"/>
      <c r="V83" s="3"/>
    </row>
    <row r="84" spans="1:22" ht="13.8" thickBo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199"/>
      <c r="N84" s="161"/>
      <c r="O84" s="161"/>
      <c r="P84" s="198"/>
      <c r="Q84" s="3"/>
      <c r="R84" s="3"/>
      <c r="S84" s="3"/>
      <c r="T84" s="3"/>
      <c r="U84" s="3"/>
      <c r="V84" s="3"/>
    </row>
    <row r="85" spans="1:22" ht="13.8" thickBo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O85" s="161"/>
      <c r="P85" s="198"/>
      <c r="Q85" s="3"/>
      <c r="R85" s="3"/>
      <c r="S85" s="3"/>
      <c r="T85" s="3"/>
      <c r="U85" s="3"/>
      <c r="V85" s="3"/>
    </row>
    <row r="86" spans="1:22" ht="18" customHeight="1">
      <c r="A86" s="1800" t="s">
        <v>307</v>
      </c>
      <c r="B86" s="1800"/>
      <c r="C86" s="1800"/>
      <c r="D86" s="1800"/>
      <c r="E86" s="1800"/>
      <c r="F86" s="1800"/>
      <c r="G86" s="1800"/>
      <c r="H86" s="1800"/>
      <c r="I86" s="1800"/>
      <c r="J86" s="1800"/>
      <c r="K86" s="1800"/>
      <c r="L86" s="1800"/>
      <c r="M86" s="1800"/>
      <c r="N86" s="1800"/>
      <c r="O86" s="1800"/>
      <c r="P86" s="1800"/>
      <c r="Q86" s="1800"/>
      <c r="R86" s="1800"/>
      <c r="S86" s="1800"/>
      <c r="T86" s="1800"/>
      <c r="U86" s="1800"/>
      <c r="V86" s="1800"/>
    </row>
    <row r="87" spans="1:22" ht="16.2" thickBot="1">
      <c r="A87" s="1004" t="s">
        <v>308</v>
      </c>
      <c r="B87" s="1004"/>
      <c r="C87" s="1004"/>
      <c r="D87" s="1004"/>
      <c r="E87" s="1004"/>
      <c r="F87" s="1004"/>
      <c r="G87" s="1004"/>
      <c r="H87" s="1004"/>
      <c r="I87" s="1004"/>
      <c r="J87" s="1004"/>
      <c r="K87" s="1004"/>
      <c r="L87" s="1004"/>
      <c r="M87" s="1004"/>
      <c r="N87" s="1004"/>
      <c r="O87" s="1004"/>
      <c r="P87" s="1004"/>
      <c r="Q87" s="1004"/>
      <c r="R87" s="1004"/>
      <c r="S87" s="1004"/>
      <c r="T87" s="1004"/>
      <c r="U87" s="1004"/>
      <c r="V87" s="1004"/>
    </row>
    <row r="88" spans="1:22" ht="42" customHeight="1" thickBot="1">
      <c r="A88" s="3"/>
      <c r="B88" s="3"/>
      <c r="C88" s="3"/>
      <c r="D88" s="1638" t="s">
        <v>88</v>
      </c>
      <c r="E88" s="1639"/>
      <c r="F88" s="1639"/>
      <c r="G88" s="1639"/>
      <c r="H88" s="1640"/>
      <c r="I88" s="1114" t="s">
        <v>87</v>
      </c>
      <c r="J88" s="1006"/>
      <c r="K88" s="1006"/>
      <c r="L88" s="1006"/>
      <c r="M88" s="1006"/>
      <c r="N88" s="1006"/>
      <c r="O88" s="1006"/>
      <c r="P88" s="1006"/>
      <c r="Q88" s="1115"/>
      <c r="R88" s="1641" t="s">
        <v>24</v>
      </c>
      <c r="S88" s="1642"/>
      <c r="T88" s="3"/>
      <c r="U88" s="3"/>
      <c r="V88" s="3"/>
    </row>
    <row r="89" spans="1:22" ht="29.4" customHeight="1" thickBot="1">
      <c r="A89" s="3"/>
      <c r="B89" s="3"/>
      <c r="C89" s="3"/>
      <c r="D89" s="1833" t="s">
        <v>884</v>
      </c>
      <c r="E89" s="1834"/>
      <c r="F89" s="1834"/>
      <c r="G89" s="1834"/>
      <c r="H89" s="1993"/>
      <c r="I89" s="1835" t="s">
        <v>975</v>
      </c>
      <c r="J89" s="1836"/>
      <c r="K89" s="1836"/>
      <c r="L89" s="1836"/>
      <c r="M89" s="1836"/>
      <c r="N89" s="1836"/>
      <c r="O89" s="1836"/>
      <c r="P89" s="1836"/>
      <c r="Q89" s="1957"/>
      <c r="R89" s="1976">
        <f>(107.59*KFC!$B$41+KFC!$C$41)*KFC!$C$5</f>
        <v>107.59</v>
      </c>
      <c r="S89" s="1977"/>
      <c r="T89" s="3"/>
      <c r="U89" s="3"/>
      <c r="V89" s="3"/>
    </row>
    <row r="90" spans="1:22" ht="29.4" customHeight="1" thickBot="1">
      <c r="A90" s="1948" t="s">
        <v>1174</v>
      </c>
      <c r="B90" s="1948"/>
      <c r="C90" s="1948"/>
      <c r="D90" s="1948"/>
      <c r="E90" s="1948"/>
      <c r="F90" s="1948"/>
      <c r="G90" s="1948"/>
      <c r="H90" s="1948"/>
      <c r="I90" s="1948"/>
      <c r="J90" s="1948"/>
      <c r="K90" s="1948"/>
      <c r="L90" s="1948"/>
      <c r="M90" s="1948"/>
      <c r="N90" s="1948"/>
      <c r="O90" s="1948"/>
      <c r="P90" s="1948"/>
      <c r="Q90" s="1948"/>
      <c r="R90" s="1948"/>
      <c r="S90" s="1948"/>
      <c r="T90" s="1948"/>
      <c r="U90" s="1948"/>
      <c r="V90" s="1948"/>
    </row>
    <row r="91" spans="1:22" ht="54" customHeight="1">
      <c r="A91" s="3"/>
      <c r="B91" s="3"/>
      <c r="C91" s="3"/>
      <c r="D91" s="1949" t="s">
        <v>260</v>
      </c>
      <c r="E91" s="1950"/>
      <c r="F91" s="1950"/>
      <c r="G91" s="1950"/>
      <c r="H91" s="1950"/>
      <c r="I91" s="1951"/>
      <c r="J91" s="1952" t="s">
        <v>174</v>
      </c>
      <c r="K91" s="1953"/>
      <c r="L91" s="1952" t="s">
        <v>175</v>
      </c>
      <c r="M91" s="1953"/>
      <c r="N91" s="1952" t="s">
        <v>179</v>
      </c>
      <c r="O91" s="1953"/>
      <c r="P91" s="1952" t="s">
        <v>180</v>
      </c>
      <c r="Q91" s="1953"/>
      <c r="R91" s="1952" t="s">
        <v>181</v>
      </c>
      <c r="S91" s="1954"/>
      <c r="T91" s="3"/>
      <c r="U91" s="3"/>
      <c r="V91" s="3"/>
    </row>
    <row r="92" spans="1:22" ht="56.4" customHeight="1" thickBot="1">
      <c r="A92" s="3"/>
      <c r="B92" s="3"/>
      <c r="C92" s="3"/>
      <c r="D92" s="1980" t="s">
        <v>976</v>
      </c>
      <c r="E92" s="1981"/>
      <c r="F92" s="1981"/>
      <c r="G92" s="1981"/>
      <c r="H92" s="1981"/>
      <c r="I92" s="1982"/>
      <c r="J92" s="1983">
        <v>400</v>
      </c>
      <c r="K92" s="1984"/>
      <c r="L92" s="1973">
        <v>1200</v>
      </c>
      <c r="M92" s="1974"/>
      <c r="N92" s="1973">
        <v>950</v>
      </c>
      <c r="O92" s="1974"/>
      <c r="P92" s="1973">
        <v>1500</v>
      </c>
      <c r="Q92" s="1974"/>
      <c r="R92" s="1973">
        <v>1650</v>
      </c>
      <c r="S92" s="1975"/>
      <c r="T92" s="3"/>
      <c r="U92" s="3"/>
      <c r="V92" s="3"/>
    </row>
    <row r="93" spans="1:22" ht="29.4" customHeight="1" thickBot="1">
      <c r="A93" s="1033" t="s">
        <v>309</v>
      </c>
      <c r="B93" s="1033"/>
      <c r="C93" s="1033"/>
      <c r="D93" s="1033"/>
      <c r="E93" s="1033"/>
      <c r="F93" s="1033"/>
      <c r="G93" s="1033"/>
      <c r="H93" s="1033"/>
      <c r="I93" s="1033"/>
      <c r="J93" s="1033"/>
      <c r="K93" s="1033"/>
      <c r="L93" s="1033"/>
      <c r="M93" s="1033"/>
      <c r="N93" s="1033"/>
      <c r="O93" s="1033"/>
      <c r="P93" s="1033"/>
      <c r="Q93" s="1033"/>
      <c r="R93" s="1033"/>
      <c r="S93" s="1033"/>
      <c r="T93" s="1033"/>
      <c r="U93" s="1033"/>
      <c r="V93" s="1033"/>
    </row>
    <row r="94" spans="1:22" ht="29.4" customHeight="1" thickBot="1">
      <c r="A94" s="607"/>
      <c r="B94" s="607"/>
      <c r="C94" s="607"/>
      <c r="D94" s="1638" t="s">
        <v>88</v>
      </c>
      <c r="E94" s="1639"/>
      <c r="F94" s="1640"/>
      <c r="G94" s="862" t="s">
        <v>87</v>
      </c>
      <c r="H94" s="863"/>
      <c r="I94" s="863"/>
      <c r="J94" s="863"/>
      <c r="K94" s="863"/>
      <c r="L94" s="863"/>
      <c r="M94" s="863"/>
      <c r="N94" s="863"/>
      <c r="O94" s="863"/>
      <c r="P94" s="863"/>
      <c r="Q94" s="864"/>
      <c r="R94" s="1049" t="s">
        <v>24</v>
      </c>
      <c r="S94" s="1050"/>
      <c r="T94" s="3"/>
      <c r="U94" s="3"/>
      <c r="V94" s="3"/>
    </row>
    <row r="95" spans="1:22" ht="29.4" customHeight="1" thickBot="1">
      <c r="A95" s="3"/>
      <c r="B95" s="3"/>
      <c r="C95" s="3"/>
      <c r="D95" s="1994" t="s">
        <v>884</v>
      </c>
      <c r="E95" s="1995"/>
      <c r="F95" s="1996"/>
      <c r="G95" s="1835" t="s">
        <v>886</v>
      </c>
      <c r="H95" s="1836"/>
      <c r="I95" s="1836"/>
      <c r="J95" s="1836"/>
      <c r="K95" s="1836"/>
      <c r="L95" s="1836"/>
      <c r="M95" s="1836"/>
      <c r="N95" s="1836"/>
      <c r="O95" s="1836"/>
      <c r="P95" s="1836"/>
      <c r="Q95" s="1957"/>
      <c r="R95" s="1991">
        <f>(31.65*KFC!$B$41+KFC!$C$41)*KFC!$C$5</f>
        <v>31.65</v>
      </c>
      <c r="S95" s="1992"/>
      <c r="T95" s="3"/>
      <c r="U95" s="3"/>
      <c r="V95" s="3"/>
    </row>
    <row r="96" spans="1:22" ht="29.4" customHeight="1" thickBot="1">
      <c r="A96" s="3"/>
      <c r="B96" s="3"/>
      <c r="C96" s="3"/>
      <c r="D96" s="1997" t="s">
        <v>884</v>
      </c>
      <c r="E96" s="1998"/>
      <c r="F96" s="1999"/>
      <c r="G96" s="1985" t="s">
        <v>887</v>
      </c>
      <c r="H96" s="1986"/>
      <c r="I96" s="1986"/>
      <c r="J96" s="1986"/>
      <c r="K96" s="1986"/>
      <c r="L96" s="1986"/>
      <c r="M96" s="1986"/>
      <c r="N96" s="1986"/>
      <c r="O96" s="1986"/>
      <c r="P96" s="1986"/>
      <c r="Q96" s="1987"/>
      <c r="R96" s="1988">
        <f>(37.97*KFC!$B$41+KFC!$C$41)*KFC!$C$5</f>
        <v>37.97</v>
      </c>
      <c r="S96" s="1989"/>
      <c r="T96" s="3"/>
      <c r="U96" s="3"/>
      <c r="V96" s="3"/>
    </row>
    <row r="97" spans="1:22" ht="29.4" customHeight="1" thickBot="1">
      <c r="A97" s="3"/>
      <c r="B97" s="3"/>
      <c r="C97" s="3"/>
      <c r="D97" s="1997" t="s">
        <v>884</v>
      </c>
      <c r="E97" s="1998"/>
      <c r="F97" s="1999"/>
      <c r="G97" s="1985" t="s">
        <v>888</v>
      </c>
      <c r="H97" s="1986"/>
      <c r="I97" s="1986"/>
      <c r="J97" s="1986"/>
      <c r="K97" s="1986"/>
      <c r="L97" s="1986"/>
      <c r="M97" s="1986"/>
      <c r="N97" s="1986"/>
      <c r="O97" s="1986"/>
      <c r="P97" s="1986"/>
      <c r="Q97" s="1987"/>
      <c r="R97" s="1988">
        <f>(44.3*KFC!$B$41+KFC!$C$41)*KFC!$C$5</f>
        <v>44.3</v>
      </c>
      <c r="S97" s="1989"/>
      <c r="T97" s="3"/>
      <c r="U97" s="3"/>
      <c r="V97" s="3"/>
    </row>
    <row r="98" spans="1:22" s="1" customFormat="1" ht="31.2" customHeight="1" thickBot="1">
      <c r="D98" s="1997" t="s">
        <v>884</v>
      </c>
      <c r="E98" s="1998"/>
      <c r="F98" s="1999"/>
      <c r="G98" s="1985" t="s">
        <v>889</v>
      </c>
      <c r="H98" s="1986"/>
      <c r="I98" s="1986"/>
      <c r="J98" s="1986"/>
      <c r="K98" s="1986"/>
      <c r="L98" s="1986"/>
      <c r="M98" s="1986"/>
      <c r="N98" s="1986"/>
      <c r="O98" s="1986"/>
      <c r="P98" s="1986"/>
      <c r="Q98" s="1987"/>
      <c r="R98" s="1988">
        <f>(18.35*KFC!$B$41+KFC!$C$41)*KFC!$C$5</f>
        <v>18.350000000000001</v>
      </c>
      <c r="S98" s="1989"/>
    </row>
    <row r="99" spans="1:22" ht="14.4" customHeight="1" thickBot="1">
      <c r="A99" s="3"/>
      <c r="B99" s="3"/>
      <c r="C99" s="3"/>
      <c r="D99" s="1997" t="s">
        <v>884</v>
      </c>
      <c r="E99" s="1998"/>
      <c r="F99" s="1999"/>
      <c r="G99" s="1985" t="s">
        <v>1006</v>
      </c>
      <c r="H99" s="1986"/>
      <c r="I99" s="1986"/>
      <c r="J99" s="1986"/>
      <c r="K99" s="1986"/>
      <c r="L99" s="1986"/>
      <c r="M99" s="1986"/>
      <c r="N99" s="1986"/>
      <c r="O99" s="1986"/>
      <c r="P99" s="1986"/>
      <c r="Q99" s="1987"/>
      <c r="R99" s="1794">
        <f>(75.95*KFC!$B$41+KFC!$C$41)*KFC!$C$5</f>
        <v>75.95</v>
      </c>
      <c r="S99" s="1795"/>
      <c r="T99" s="3"/>
      <c r="U99" s="3"/>
      <c r="V99" s="3"/>
    </row>
    <row r="100" spans="1:22" ht="14.4" customHeight="1" thickBot="1">
      <c r="A100" s="3"/>
      <c r="B100" s="3"/>
      <c r="C100" s="3"/>
      <c r="D100" s="1997" t="s">
        <v>884</v>
      </c>
      <c r="E100" s="1998"/>
      <c r="F100" s="1999"/>
      <c r="G100" s="1985" t="s">
        <v>1054</v>
      </c>
      <c r="H100" s="1986"/>
      <c r="I100" s="1986"/>
      <c r="J100" s="1986"/>
      <c r="K100" s="1986"/>
      <c r="L100" s="1986"/>
      <c r="M100" s="1986"/>
      <c r="N100" s="1986"/>
      <c r="O100" s="1986"/>
      <c r="P100" s="1986"/>
      <c r="Q100" s="1987"/>
      <c r="R100" s="1955">
        <f>(76*KFC!$B$41+KFC!$C$41)*KFC!$C$5</f>
        <v>76</v>
      </c>
      <c r="S100" s="1956"/>
      <c r="T100" s="3"/>
      <c r="U100" s="3"/>
      <c r="V100" s="3"/>
    </row>
  </sheetData>
  <mergeCells count="61">
    <mergeCell ref="G100:Q100"/>
    <mergeCell ref="G95:Q95"/>
    <mergeCell ref="G96:Q96"/>
    <mergeCell ref="G97:Q97"/>
    <mergeCell ref="G98:Q98"/>
    <mergeCell ref="G99:Q99"/>
    <mergeCell ref="D95:F95"/>
    <mergeCell ref="D96:F96"/>
    <mergeCell ref="D97:F97"/>
    <mergeCell ref="D100:F100"/>
    <mergeCell ref="D99:F99"/>
    <mergeCell ref="D98:F98"/>
    <mergeCell ref="R94:S94"/>
    <mergeCell ref="D88:H88"/>
    <mergeCell ref="I88:Q88"/>
    <mergeCell ref="D89:H89"/>
    <mergeCell ref="I89:Q89"/>
    <mergeCell ref="D91:I91"/>
    <mergeCell ref="J91:K91"/>
    <mergeCell ref="L91:M91"/>
    <mergeCell ref="N91:O91"/>
    <mergeCell ref="P91:Q91"/>
    <mergeCell ref="P92:Q92"/>
    <mergeCell ref="D94:F94"/>
    <mergeCell ref="A3:V3"/>
    <mergeCell ref="A2:V2"/>
    <mergeCell ref="F4:P4"/>
    <mergeCell ref="F5:P5"/>
    <mergeCell ref="A5:E5"/>
    <mergeCell ref="A8:C21"/>
    <mergeCell ref="E6:V6"/>
    <mergeCell ref="A4:E4"/>
    <mergeCell ref="E23:V23"/>
    <mergeCell ref="E40:V40"/>
    <mergeCell ref="A6:D7"/>
    <mergeCell ref="E57:V57"/>
    <mergeCell ref="R88:S88"/>
    <mergeCell ref="A90:V90"/>
    <mergeCell ref="A57:D58"/>
    <mergeCell ref="A23:D24"/>
    <mergeCell ref="A25:C38"/>
    <mergeCell ref="R89:S89"/>
    <mergeCell ref="A40:D41"/>
    <mergeCell ref="A59:C72"/>
    <mergeCell ref="A42:C55"/>
    <mergeCell ref="R100:S100"/>
    <mergeCell ref="R97:S97"/>
    <mergeCell ref="R98:S98"/>
    <mergeCell ref="R99:S99"/>
    <mergeCell ref="A76:N76"/>
    <mergeCell ref="A86:V86"/>
    <mergeCell ref="A87:V87"/>
    <mergeCell ref="R96:S96"/>
    <mergeCell ref="D92:I92"/>
    <mergeCell ref="J92:K92"/>
    <mergeCell ref="L92:M92"/>
    <mergeCell ref="N92:O92"/>
    <mergeCell ref="R91:S91"/>
    <mergeCell ref="A93:V93"/>
    <mergeCell ref="R92:S92"/>
    <mergeCell ref="R95:S95"/>
  </mergeCells>
  <phoneticPr fontId="7" type="noConversion"/>
  <hyperlinks>
    <hyperlink ref="F5" r:id="rId1" xr:uid="{2B9146F3-9797-42B1-879B-8B1E240EEBDF}"/>
    <hyperlink ref="F4" r:id="rId2" xr:uid="{4D6578CF-CBE6-439F-A2CD-83E4B65AFEB2}"/>
  </hyperlinks>
  <pageMargins left="0.43" right="0.23" top="0.43" bottom="0.74803149606299213" header="0.31496062992125984" footer="0.31496062992125984"/>
  <pageSetup paperSize="9" scale="50" orientation="portrait" r:id="rId3"/>
  <rowBreaks count="2" manualBreakCount="2">
    <brk id="38" max="16383" man="1"/>
    <brk id="80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7B26B3-F09D-4228-92DF-8D8D384A75DC}">
  <sheetPr codeName="Лист22">
    <tabColor indexed="42"/>
  </sheetPr>
  <dimension ref="A1:W64"/>
  <sheetViews>
    <sheetView view="pageBreakPreview" zoomScaleNormal="100" workbookViewId="0">
      <pane ySplit="3" topLeftCell="A4" activePane="bottomLeft" state="frozen"/>
      <selection pane="bottomLeft" activeCell="D21" sqref="D21"/>
    </sheetView>
  </sheetViews>
  <sheetFormatPr defaultColWidth="9.109375" defaultRowHeight="13.2"/>
  <cols>
    <col min="1" max="1" width="15.6640625" style="1" customWidth="1"/>
    <col min="2" max="2" width="9.6640625" style="1" customWidth="1"/>
    <col min="3" max="3" width="15.6640625" style="1" customWidth="1"/>
    <col min="4" max="4" width="9.6640625" style="1" customWidth="1"/>
    <col min="5" max="5" width="15.5546875" style="1" customWidth="1"/>
    <col min="6" max="6" width="9.6640625" style="1" customWidth="1"/>
    <col min="7" max="7" width="15.6640625" style="1" customWidth="1"/>
    <col min="8" max="8" width="9.6640625" style="1" customWidth="1"/>
    <col min="9" max="16384" width="9.109375" style="1"/>
  </cols>
  <sheetData>
    <row r="1" spans="1:8" ht="17.399999999999999">
      <c r="D1" s="2"/>
      <c r="E1" s="2"/>
      <c r="F1" s="2"/>
      <c r="H1" s="67"/>
    </row>
    <row r="2" spans="1:8" ht="32.25" customHeight="1">
      <c r="A2" s="1084" t="s">
        <v>295</v>
      </c>
      <c r="B2" s="1084"/>
      <c r="C2" s="1084"/>
      <c r="D2" s="1084"/>
      <c r="E2" s="1084"/>
      <c r="F2" s="1084"/>
      <c r="G2" s="1084"/>
      <c r="H2" s="1084"/>
    </row>
    <row r="3" spans="1:8" ht="15.75" customHeight="1">
      <c r="A3" s="1085" t="s">
        <v>296</v>
      </c>
      <c r="B3" s="1085"/>
      <c r="C3" s="1085"/>
      <c r="D3" s="1085"/>
      <c r="E3" s="1085"/>
      <c r="F3" s="1085"/>
      <c r="G3" s="1085"/>
      <c r="H3" s="1085"/>
    </row>
    <row r="4" spans="1:8" ht="15.75" customHeight="1">
      <c r="A4" s="1067" t="s">
        <v>586</v>
      </c>
      <c r="B4" s="1067"/>
      <c r="C4" s="1067"/>
      <c r="D4" s="1067"/>
      <c r="E4" s="1067"/>
      <c r="F4" s="1067"/>
      <c r="G4" s="1067"/>
      <c r="H4" s="1067"/>
    </row>
    <row r="5" spans="1:8" ht="23.25" customHeight="1">
      <c r="A5" s="1033" t="s">
        <v>244</v>
      </c>
      <c r="B5" s="1033"/>
      <c r="C5" s="1033"/>
      <c r="D5" s="1033"/>
      <c r="E5" s="1033"/>
      <c r="F5" s="1033"/>
      <c r="G5" s="1033"/>
      <c r="H5" s="1033"/>
    </row>
    <row r="6" spans="1:8" ht="18" customHeight="1">
      <c r="A6" s="1089" t="s">
        <v>589</v>
      </c>
      <c r="B6" s="1089"/>
      <c r="C6" s="1090" t="s">
        <v>588</v>
      </c>
      <c r="D6" s="1090"/>
      <c r="E6" s="1090"/>
      <c r="F6" s="1090"/>
      <c r="G6" s="1090"/>
      <c r="H6" s="1090"/>
    </row>
    <row r="7" spans="1:8" ht="16.2" thickBot="1">
      <c r="A7" s="374" t="s">
        <v>418</v>
      </c>
      <c r="B7" s="375"/>
      <c r="C7" s="375"/>
      <c r="D7" s="375"/>
      <c r="E7" s="375"/>
      <c r="F7" s="375"/>
      <c r="G7" s="375"/>
      <c r="H7" s="375"/>
    </row>
    <row r="8" spans="1:8" ht="28.2" thickBot="1">
      <c r="A8" s="131" t="s">
        <v>95</v>
      </c>
      <c r="B8" s="131" t="s">
        <v>501</v>
      </c>
      <c r="C8" s="135" t="s">
        <v>95</v>
      </c>
      <c r="D8" s="131" t="s">
        <v>501</v>
      </c>
      <c r="E8" s="131" t="s">
        <v>95</v>
      </c>
      <c r="F8" s="131" t="s">
        <v>501</v>
      </c>
      <c r="G8" s="135" t="s">
        <v>95</v>
      </c>
      <c r="H8" s="131" t="s">
        <v>501</v>
      </c>
    </row>
    <row r="9" spans="1:8" ht="26.4">
      <c r="A9" s="409" t="s">
        <v>105</v>
      </c>
      <c r="B9" s="608">
        <f>(0.69*KFC!$B$10*1.1+KFC!$C$10)*KFC!$C$5</f>
        <v>0.75900000000000001</v>
      </c>
      <c r="C9" s="409" t="s">
        <v>424</v>
      </c>
      <c r="D9" s="608">
        <f>(0.53*KFC!$B$10*1.1+KFC!$C$10)*KFC!$C$5</f>
        <v>0.58300000000000007</v>
      </c>
      <c r="E9" s="409" t="s">
        <v>438</v>
      </c>
      <c r="F9" s="608">
        <f>(0.75*KFC!$B$10*1.1+KFC!$C$10)*KFC!$C$5</f>
        <v>0.82500000000000007</v>
      </c>
      <c r="G9" s="409" t="s">
        <v>393</v>
      </c>
      <c r="H9" s="410">
        <f>(1.07*KFC!$B$10*1.1+KFC!$C$10)*KFC!$C$5</f>
        <v>1.1770000000000003</v>
      </c>
    </row>
    <row r="10" spans="1:8" ht="26.4">
      <c r="A10" s="411" t="s">
        <v>419</v>
      </c>
      <c r="B10" s="609">
        <f>(1.02*KFC!$B$10*1.1+KFC!$C$10)*KFC!$C$5</f>
        <v>1.1220000000000001</v>
      </c>
      <c r="C10" s="411" t="s">
        <v>425</v>
      </c>
      <c r="D10" s="609">
        <f>(1.02*KFC!$B$10*1.1+KFC!$C$10)*KFC!$C$5</f>
        <v>1.1220000000000001</v>
      </c>
      <c r="E10" s="411" t="s">
        <v>439</v>
      </c>
      <c r="F10" s="609">
        <f>(0.75*KFC!$B$10*1.1+KFC!$C$10)*KFC!$C$5</f>
        <v>0.82500000000000007</v>
      </c>
      <c r="G10" s="411" t="s">
        <v>395</v>
      </c>
      <c r="H10" s="412">
        <f>(1.13*KFC!$B$10*1.1+KFC!$C$10)*KFC!$C$5</f>
        <v>1.2429999999999999</v>
      </c>
    </row>
    <row r="11" spans="1:8" ht="13.8">
      <c r="A11" s="411" t="s">
        <v>162</v>
      </c>
      <c r="B11" s="609">
        <f>(0.75*KFC!$B$10*1.1+KFC!$C$10)*KFC!$C$5</f>
        <v>0.82500000000000007</v>
      </c>
      <c r="C11" s="411" t="s">
        <v>426</v>
      </c>
      <c r="D11" s="609">
        <f>(0.46*KFC!$B$10*1.1+KFC!$C$10)*KFC!$C$5</f>
        <v>0.50600000000000012</v>
      </c>
      <c r="E11" s="411" t="s">
        <v>431</v>
      </c>
      <c r="F11" s="609">
        <f>(0.54*KFC!$B$10*1.1+KFC!$C$10)*KFC!$C$5</f>
        <v>0.59400000000000008</v>
      </c>
      <c r="G11" s="411" t="s">
        <v>394</v>
      </c>
      <c r="H11" s="412">
        <f>(1.18*KFC!$B$10*1.1+KFC!$C$10)*KFC!$C$5</f>
        <v>1.298</v>
      </c>
    </row>
    <row r="12" spans="1:8" ht="13.8">
      <c r="A12" s="411" t="s">
        <v>420</v>
      </c>
      <c r="B12" s="609">
        <f>(1.02*KFC!$B$10*1.1+KFC!$C$10)*KFC!$C$5</f>
        <v>1.1220000000000001</v>
      </c>
      <c r="C12" s="411" t="s">
        <v>427</v>
      </c>
      <c r="D12" s="609">
        <f>(0.46*KFC!$B$10*1.1+KFC!$C$10)*KFC!$C$5</f>
        <v>0.50600000000000012</v>
      </c>
      <c r="E12" s="411" t="s">
        <v>432</v>
      </c>
      <c r="F12" s="609">
        <f>(1.02*KFC!$B$10*1.1+KFC!$C$10)*KFC!$C$5</f>
        <v>1.1220000000000001</v>
      </c>
      <c r="G12" s="411" t="s">
        <v>437</v>
      </c>
      <c r="H12" s="412">
        <f>(1.02*KFC!$B$10*1.1+KFC!$C$10)*KFC!$C$5</f>
        <v>1.1220000000000001</v>
      </c>
    </row>
    <row r="13" spans="1:8" ht="13.8">
      <c r="A13" s="411" t="s">
        <v>421</v>
      </c>
      <c r="B13" s="609">
        <f>(0.75*KFC!$B$10*1.1+KFC!$C$10)*KFC!$C$5</f>
        <v>0.82500000000000007</v>
      </c>
      <c r="C13" s="411" t="s">
        <v>116</v>
      </c>
      <c r="D13" s="609">
        <f>(1.02*KFC!$B$10*1.1+KFC!$C$10)*KFC!$C$5</f>
        <v>1.1220000000000001</v>
      </c>
      <c r="E13" s="411" t="s">
        <v>433</v>
      </c>
      <c r="F13" s="609">
        <f>(0.54*KFC!$B$10*1.1+KFC!$C$10)*KFC!$C$5</f>
        <v>0.59400000000000008</v>
      </c>
      <c r="G13" s="411" t="s">
        <v>97</v>
      </c>
      <c r="H13" s="412">
        <f>(0.69*KFC!$B$10*1.1+KFC!$C$10)*KFC!$C$5</f>
        <v>0.75900000000000001</v>
      </c>
    </row>
    <row r="14" spans="1:8" ht="13.8">
      <c r="A14" s="411" t="s">
        <v>251</v>
      </c>
      <c r="B14" s="609">
        <f>(0.69*KFC!$B$10*1.1+KFC!$C$10)*KFC!$C$5</f>
        <v>0.75900000000000001</v>
      </c>
      <c r="C14" s="411" t="s">
        <v>428</v>
      </c>
      <c r="D14" s="609">
        <f>(0.69*KFC!$B$10*1.1+KFC!$C$10)*KFC!$C$5</f>
        <v>0.75900000000000001</v>
      </c>
      <c r="E14" s="411" t="s">
        <v>434</v>
      </c>
      <c r="F14" s="609">
        <f>(0.54*KFC!$B$10*1.1+KFC!$C$10)*KFC!$C$5</f>
        <v>0.59400000000000008</v>
      </c>
      <c r="G14" s="411" t="s">
        <v>115</v>
      </c>
      <c r="H14" s="412">
        <f>(0.75*KFC!$B$10*1.1+KFC!$C$10)*KFC!$C$5</f>
        <v>0.82500000000000007</v>
      </c>
    </row>
    <row r="15" spans="1:8" ht="14.4" thickBot="1">
      <c r="A15" s="411" t="s">
        <v>99</v>
      </c>
      <c r="B15" s="609">
        <f>(0.54*KFC!$B$10*1.1+KFC!$C$10)*KFC!$C$5</f>
        <v>0.59400000000000008</v>
      </c>
      <c r="C15" s="411" t="s">
        <v>429</v>
      </c>
      <c r="D15" s="609">
        <f>(0.69*KFC!$B$10*1.1+KFC!$C$10)*KFC!$C$5</f>
        <v>0.75900000000000001</v>
      </c>
      <c r="E15" s="411" t="s">
        <v>56</v>
      </c>
      <c r="F15" s="609">
        <f>(0.75*KFC!$B$10*1.1+KFC!$C$10)*KFC!$C$5</f>
        <v>0.82500000000000007</v>
      </c>
      <c r="G15" s="413" t="s">
        <v>101</v>
      </c>
      <c r="H15" s="414">
        <f>(0.69*KFC!$B$10*1.1+KFC!$C$10)*KFC!$C$5</f>
        <v>0.75900000000000001</v>
      </c>
    </row>
    <row r="16" spans="1:8" ht="13.8">
      <c r="A16" s="411" t="s">
        <v>422</v>
      </c>
      <c r="B16" s="609">
        <f>(0.69*KFC!$B$10*1.1+KFC!$C$10)*KFC!$C$5</f>
        <v>0.75900000000000001</v>
      </c>
      <c r="C16" s="411" t="s">
        <v>430</v>
      </c>
      <c r="D16" s="609">
        <f>(0.79*KFC!$B$10*1.1+KFC!$C$10)*KFC!$C$5</f>
        <v>0.86900000000000011</v>
      </c>
      <c r="E16" s="411" t="s">
        <v>435</v>
      </c>
      <c r="F16" s="412">
        <f>(0.54*KFC!$B$10*1.1+KFC!$C$10)*KFC!$C$5</f>
        <v>0.59400000000000008</v>
      </c>
    </row>
    <row r="17" spans="1:9" ht="16.2" thickBot="1">
      <c r="A17" s="413" t="s">
        <v>423</v>
      </c>
      <c r="B17" s="610">
        <f>(0.75*KFC!$B$10*1.1+KFC!$C$10)*KFC!$C$5</f>
        <v>0.82500000000000007</v>
      </c>
      <c r="C17" s="413" t="s">
        <v>100</v>
      </c>
      <c r="D17" s="610">
        <f>(0.75*KFC!$B$10*1.1+KFC!$C$10)*KFC!$C$5</f>
        <v>0.82500000000000007</v>
      </c>
      <c r="E17" s="413" t="s">
        <v>436</v>
      </c>
      <c r="F17" s="414">
        <f>(0.75*KFC!$B$10*1.1+KFC!$C$10)*KFC!$C$5</f>
        <v>0.82500000000000007</v>
      </c>
      <c r="G17" s="607"/>
      <c r="H17" s="607"/>
    </row>
    <row r="18" spans="1:9" ht="24.75" customHeight="1">
      <c r="A18" s="1033" t="s">
        <v>293</v>
      </c>
      <c r="B18" s="1033"/>
      <c r="C18" s="1033"/>
      <c r="D18" s="1033"/>
      <c r="E18" s="1033"/>
      <c r="F18" s="1033"/>
      <c r="G18" s="1033"/>
      <c r="H18" s="1033"/>
      <c r="I18" s="10"/>
    </row>
    <row r="19" spans="1:9" ht="22.5" customHeight="1" thickBot="1">
      <c r="A19" s="1089" t="s">
        <v>591</v>
      </c>
      <c r="B19" s="1089"/>
      <c r="C19" s="1090" t="s">
        <v>590</v>
      </c>
      <c r="D19" s="1090"/>
      <c r="E19" s="1090"/>
      <c r="F19" s="1090"/>
      <c r="G19" s="1090"/>
      <c r="H19" s="1090"/>
      <c r="I19" s="10"/>
    </row>
    <row r="20" spans="1:9" ht="28.2" thickBot="1">
      <c r="A20" s="130" t="s">
        <v>95</v>
      </c>
      <c r="B20" s="130" t="s">
        <v>18</v>
      </c>
      <c r="C20" s="131" t="s">
        <v>95</v>
      </c>
      <c r="D20" s="131" t="s">
        <v>18</v>
      </c>
      <c r="E20" s="131" t="s">
        <v>95</v>
      </c>
      <c r="F20" s="131" t="s">
        <v>18</v>
      </c>
      <c r="G20" s="130" t="s">
        <v>95</v>
      </c>
      <c r="H20" s="130" t="s">
        <v>18</v>
      </c>
      <c r="I20" s="10"/>
    </row>
    <row r="21" spans="1:9" ht="15.6">
      <c r="A21" s="597" t="s">
        <v>114</v>
      </c>
      <c r="B21" s="608">
        <f>(1.68*KFC!$B$10*1.2+KFC!$C$10)*KFC!$C$5</f>
        <v>2.016</v>
      </c>
      <c r="C21" s="136" t="s">
        <v>121</v>
      </c>
      <c r="D21" s="410">
        <f>(1.97*KFC!$B$10*1.2+KFC!$C$10)*KFC!$C$5</f>
        <v>2.3639999999999999</v>
      </c>
      <c r="E21" s="415" t="s">
        <v>122</v>
      </c>
      <c r="F21" s="410">
        <f>(1.97*KFC!$B$10*1.2+KFC!$C$10)*KFC!$C$5</f>
        <v>2.3639999999999999</v>
      </c>
      <c r="G21" s="737" t="s">
        <v>107</v>
      </c>
      <c r="H21" s="410">
        <f>(0.67*KFC!$B$10*1.2+KFC!$C$10)*KFC!$C$5</f>
        <v>0.80400000000000005</v>
      </c>
      <c r="I21" s="10"/>
    </row>
    <row r="22" spans="1:9" ht="14.4" thickBot="1">
      <c r="A22" s="599" t="s">
        <v>111</v>
      </c>
      <c r="B22" s="736">
        <f>(1.34*KFC!$B$10*1.2+KFC!$C$10)*KFC!$C$5</f>
        <v>1.6080000000000001</v>
      </c>
      <c r="C22" s="138" t="s">
        <v>110</v>
      </c>
      <c r="D22" s="412">
        <f>(1.68*KFC!$B$10*1.2+KFC!$C$10)*KFC!$C$5</f>
        <v>2.016</v>
      </c>
      <c r="E22" s="697" t="s">
        <v>1036</v>
      </c>
      <c r="F22" s="412">
        <f>(1.68*KFC!$B$10*1.2+KFC!$C$10)*KFC!$C$5</f>
        <v>2.016</v>
      </c>
      <c r="G22" s="416" t="s">
        <v>109</v>
      </c>
      <c r="H22" s="191">
        <f>(1.02*KFC!$B$10*1.2+KFC!$C$10)*KFC!$C$5</f>
        <v>1.224</v>
      </c>
      <c r="I22" s="10"/>
    </row>
    <row r="23" spans="1:9" ht="16.2" thickBot="1">
      <c r="A23" s="601" t="s">
        <v>112</v>
      </c>
      <c r="B23" s="738">
        <f>(1.68*KFC!$B$10*1.2+KFC!$C$10)*KFC!$C$5</f>
        <v>2.016</v>
      </c>
      <c r="C23" s="601" t="s">
        <v>1037</v>
      </c>
      <c r="D23" s="414">
        <f>(1.68*KFC!$B$10*1.2+KFC!$C$10)*KFC!$C$5</f>
        <v>2.016</v>
      </c>
      <c r="E23" s="739" t="s">
        <v>1035</v>
      </c>
      <c r="F23" s="414">
        <f>(0.83*KFC!$B$10*1.2+KFC!$C$10)*KFC!$C$5</f>
        <v>0.99599999999999989</v>
      </c>
      <c r="G23" s="54"/>
      <c r="H23" s="735"/>
      <c r="I23" s="10"/>
    </row>
    <row r="24" spans="1:9" ht="13.8">
      <c r="A24" s="733"/>
      <c r="B24" s="735"/>
      <c r="C24" s="732"/>
      <c r="D24" s="732"/>
      <c r="I24" s="10"/>
    </row>
    <row r="25" spans="1:9" s="17" customFormat="1" ht="14.25" customHeight="1">
      <c r="A25" s="1086" t="s">
        <v>294</v>
      </c>
      <c r="B25" s="1086"/>
      <c r="C25" s="1086"/>
      <c r="D25" s="1086"/>
      <c r="E25" s="1086"/>
      <c r="F25" s="1086"/>
      <c r="G25" s="1086"/>
      <c r="H25" s="1086"/>
    </row>
    <row r="26" spans="1:9" s="17" customFormat="1" ht="21" customHeight="1" thickBot="1">
      <c r="A26" s="1033" t="s">
        <v>245</v>
      </c>
      <c r="B26" s="1033"/>
      <c r="C26" s="1033"/>
      <c r="D26" s="1033"/>
      <c r="E26" s="1033"/>
      <c r="F26" s="1033"/>
      <c r="G26" s="1033"/>
      <c r="H26" s="1033"/>
    </row>
    <row r="27" spans="1:9" s="17" customFormat="1" ht="26.25" customHeight="1" thickBot="1">
      <c r="C27" s="611" t="s">
        <v>95</v>
      </c>
      <c r="D27" s="612" t="s">
        <v>18</v>
      </c>
      <c r="E27" s="612" t="s">
        <v>95</v>
      </c>
      <c r="F27" s="613" t="s">
        <v>18</v>
      </c>
      <c r="G27" s="1"/>
      <c r="H27" s="1"/>
    </row>
    <row r="28" spans="1:9" s="17" customFormat="1" ht="27" customHeight="1">
      <c r="C28" s="133" t="s">
        <v>959</v>
      </c>
      <c r="D28" s="729">
        <f>(1.3*KFC!$B$10+KFC!$C$10)*KFC!$C$5</f>
        <v>1.3</v>
      </c>
      <c r="E28" s="724" t="s">
        <v>960</v>
      </c>
      <c r="F28" s="722">
        <f>(1.3*KFC!$B$10+KFC!$C$10)*KFC!$C$5</f>
        <v>1.3</v>
      </c>
      <c r="G28" s="1"/>
      <c r="H28" s="1"/>
    </row>
    <row r="29" spans="1:9" s="17" customFormat="1" ht="27" customHeight="1">
      <c r="C29" s="726" t="s">
        <v>12</v>
      </c>
      <c r="D29" s="495">
        <f>(1.3*KFC!$B$10+KFC!$C$10)*KFC!$C$5</f>
        <v>1.3</v>
      </c>
      <c r="E29" s="494" t="s">
        <v>1055</v>
      </c>
      <c r="F29" s="593">
        <f>(1.6*KFC!$B$10+KFC!$C$10)*KFC!$C$5</f>
        <v>1.6</v>
      </c>
      <c r="G29" s="1"/>
      <c r="H29" s="1"/>
    </row>
    <row r="30" spans="1:9" s="17" customFormat="1" ht="27" customHeight="1" thickBot="1">
      <c r="C30" s="134" t="s">
        <v>1056</v>
      </c>
      <c r="D30" s="595">
        <f>(1.3*KFC!$B$10+KFC!$C$10)*KFC!$C$5</f>
        <v>1.3</v>
      </c>
      <c r="E30" s="594"/>
      <c r="F30" s="596"/>
      <c r="G30" s="1"/>
      <c r="H30" s="1"/>
    </row>
    <row r="32" spans="1:9" ht="22.95" customHeight="1" thickBot="1">
      <c r="A32" s="1091" t="s">
        <v>1045</v>
      </c>
      <c r="B32" s="1091"/>
      <c r="C32" s="1091"/>
      <c r="D32" s="1091"/>
      <c r="E32" s="1091"/>
      <c r="F32" s="1091"/>
      <c r="G32" s="1091"/>
      <c r="H32" s="1091"/>
    </row>
    <row r="33" spans="1:23">
      <c r="A33" s="1081" t="s">
        <v>356</v>
      </c>
      <c r="B33" s="1082"/>
      <c r="C33" s="1082"/>
      <c r="D33" s="1082"/>
      <c r="E33" s="1082"/>
      <c r="F33" s="1082"/>
      <c r="G33" s="1082"/>
      <c r="H33" s="1083"/>
      <c r="I33" s="709"/>
      <c r="J33" s="709"/>
      <c r="K33" s="709"/>
      <c r="L33" s="709"/>
      <c r="M33" s="709"/>
      <c r="N33" s="709"/>
      <c r="O33" s="709"/>
      <c r="P33" s="709"/>
      <c r="Q33" s="709"/>
      <c r="R33" s="709"/>
      <c r="S33" s="709"/>
      <c r="T33" s="709"/>
      <c r="U33" s="709"/>
      <c r="V33" s="709"/>
      <c r="W33" s="709"/>
    </row>
    <row r="34" spans="1:23" ht="13.95" customHeight="1">
      <c r="A34" s="1087" t="s">
        <v>511</v>
      </c>
      <c r="B34" s="708">
        <v>0.5</v>
      </c>
      <c r="C34" s="708">
        <v>0.7</v>
      </c>
      <c r="D34" s="708">
        <v>0.9</v>
      </c>
      <c r="E34" s="708">
        <v>1.1000000000000001</v>
      </c>
      <c r="F34" s="708">
        <v>1.3</v>
      </c>
      <c r="G34" s="708">
        <v>1.5</v>
      </c>
      <c r="H34" s="710">
        <v>1.7</v>
      </c>
    </row>
    <row r="35" spans="1:23" ht="13.8" thickBot="1">
      <c r="A35" s="1088"/>
      <c r="B35" s="711">
        <f>(5.95*KFC!$B$10+KFC!$C$10)*KFC!$C$5</f>
        <v>5.95</v>
      </c>
      <c r="C35" s="711">
        <f>(6.85*KFC!$B$10+KFC!$C$10)*KFC!$C$5</f>
        <v>6.85</v>
      </c>
      <c r="D35" s="711">
        <f>(7.76*KFC!$B$10+KFC!$C$10)*KFC!$C$5</f>
        <v>7.76</v>
      </c>
      <c r="E35" s="711">
        <f>(8.66*KFC!$B$10+KFC!$C$10)*KFC!$C$5</f>
        <v>8.66</v>
      </c>
      <c r="F35" s="711">
        <f>(9.57*KFC!$B$10+KFC!$C$10)*KFC!$C$5</f>
        <v>9.57</v>
      </c>
      <c r="G35" s="711">
        <f>(10.47*KFC!$B$10+KFC!$C$10)*KFC!$C$5</f>
        <v>10.47</v>
      </c>
      <c r="H35" s="712">
        <f>(11.38*KFC!$B$10+KFC!$C$10)*KFC!$C$5</f>
        <v>11.38</v>
      </c>
    </row>
    <row r="36" spans="1:23" ht="13.8" thickBot="1"/>
    <row r="37" spans="1:23">
      <c r="A37" s="1081" t="s">
        <v>356</v>
      </c>
      <c r="B37" s="1082"/>
      <c r="C37" s="1082"/>
      <c r="D37" s="1082"/>
      <c r="E37" s="1082"/>
      <c r="F37" s="1082"/>
      <c r="G37" s="1082"/>
      <c r="H37" s="1083"/>
    </row>
    <row r="38" spans="1:23">
      <c r="A38" s="1087" t="s">
        <v>511</v>
      </c>
      <c r="B38" s="708">
        <v>1.9</v>
      </c>
      <c r="C38" s="708">
        <v>2.1</v>
      </c>
      <c r="D38" s="708">
        <v>2.2999999999999998</v>
      </c>
      <c r="E38" s="708">
        <v>2.5</v>
      </c>
      <c r="F38" s="708">
        <v>2.7</v>
      </c>
      <c r="G38" s="708">
        <v>2.9</v>
      </c>
      <c r="H38" s="710">
        <v>3.1</v>
      </c>
    </row>
    <row r="39" spans="1:23" ht="13.8" thickBot="1">
      <c r="A39" s="1088"/>
      <c r="B39" s="711">
        <f>(12.28*KFC!$B$10+KFC!$C$10)*KFC!$C$5</f>
        <v>12.28</v>
      </c>
      <c r="C39" s="711">
        <f>(13.19*KFC!$B$10+KFC!$C$10)*KFC!$C$5</f>
        <v>13.19</v>
      </c>
      <c r="D39" s="711">
        <f>(14.09*KFC!$B$10+KFC!$C$10)*KFC!$C$5</f>
        <v>14.09</v>
      </c>
      <c r="E39" s="711">
        <f>(15*KFC!$B$10+KFC!$C$10)*KFC!$C$5</f>
        <v>15</v>
      </c>
      <c r="F39" s="711">
        <f>(15.9*KFC!$B$10+KFC!$C$10)*KFC!$C$5</f>
        <v>15.9</v>
      </c>
      <c r="G39" s="711">
        <f>(16.81*KFC!$B$10+KFC!$C$10)*KFC!$C$5</f>
        <v>16.809999999999999</v>
      </c>
      <c r="H39" s="712">
        <f>(17.71*KFC!$B$10+KFC!$C$10)*KFC!$C$5</f>
        <v>17.71</v>
      </c>
    </row>
    <row r="40" spans="1:23" ht="13.8" thickBot="1"/>
    <row r="41" spans="1:23">
      <c r="A41" s="1081" t="s">
        <v>356</v>
      </c>
      <c r="B41" s="1082"/>
      <c r="C41" s="1082"/>
      <c r="D41" s="1082"/>
      <c r="E41" s="1082"/>
      <c r="F41" s="1082"/>
      <c r="G41" s="1082"/>
      <c r="H41" s="1083"/>
    </row>
    <row r="42" spans="1:23">
      <c r="A42" s="1087" t="s">
        <v>511</v>
      </c>
      <c r="B42" s="708">
        <v>3.3</v>
      </c>
      <c r="C42" s="708">
        <v>3.5</v>
      </c>
      <c r="D42" s="708">
        <v>3.7</v>
      </c>
      <c r="E42" s="708">
        <v>3.9</v>
      </c>
      <c r="F42" s="708">
        <v>4.0999999999999996</v>
      </c>
      <c r="G42" s="708">
        <v>4.3</v>
      </c>
      <c r="H42" s="710">
        <v>4.5</v>
      </c>
    </row>
    <row r="43" spans="1:23" ht="13.8" thickBot="1">
      <c r="A43" s="1088"/>
      <c r="B43" s="711">
        <f>(18.62*KFC!$B$10+KFC!$C$10)*KFC!$C$5</f>
        <v>18.62</v>
      </c>
      <c r="C43" s="711">
        <f>(19.52*KFC!$B$10+KFC!$C$10)*KFC!$C$5</f>
        <v>19.52</v>
      </c>
      <c r="D43" s="711">
        <f>(20.43*KFC!$B$10+KFC!$C$10)*KFC!$C$5</f>
        <v>20.43</v>
      </c>
      <c r="E43" s="711">
        <f>(21.33*KFC!$B$10+KFC!$C$10)*KFC!$C$5</f>
        <v>21.33</v>
      </c>
      <c r="F43" s="711">
        <f>(22.24*KFC!$B$10+KFC!$C$10)*KFC!$C$5</f>
        <v>22.24</v>
      </c>
      <c r="G43" s="711">
        <f>(23.14*KFC!$B$10+KFC!$C$10)*KFC!$C$5</f>
        <v>23.14</v>
      </c>
      <c r="H43" s="712">
        <f>(24.05*KFC!$B$10+KFC!$C$10)*KFC!$C$5</f>
        <v>24.05</v>
      </c>
    </row>
    <row r="44" spans="1:23" ht="13.8" thickBot="1"/>
    <row r="45" spans="1:23">
      <c r="A45" s="1081" t="s">
        <v>356</v>
      </c>
      <c r="B45" s="1082"/>
      <c r="C45" s="1082"/>
      <c r="D45" s="1083"/>
    </row>
    <row r="46" spans="1:23">
      <c r="A46" s="1087" t="s">
        <v>511</v>
      </c>
      <c r="B46" s="708">
        <v>4.7</v>
      </c>
      <c r="C46" s="708">
        <v>4.9000000000000004</v>
      </c>
      <c r="D46" s="710">
        <v>5</v>
      </c>
    </row>
    <row r="47" spans="1:23" ht="13.8" thickBot="1">
      <c r="A47" s="1088"/>
      <c r="B47" s="711">
        <f>(24.95*KFC!$B$10+KFC!$C$10)*KFC!$C$5</f>
        <v>24.95</v>
      </c>
      <c r="C47" s="711">
        <f>(25.86*KFC!$B$10+KFC!$C$10)*KFC!$C$5</f>
        <v>25.86</v>
      </c>
      <c r="D47" s="712">
        <f>(26.76*KFC!$B$10+KFC!$C$10)*KFC!$C$5</f>
        <v>26.76</v>
      </c>
    </row>
    <row r="49" spans="1:8" ht="16.2" customHeight="1" thickBot="1">
      <c r="A49" s="1034" t="s">
        <v>508</v>
      </c>
      <c r="B49" s="1034"/>
      <c r="C49" s="1034"/>
      <c r="D49" s="1034"/>
      <c r="E49" s="1034"/>
      <c r="F49" s="1034"/>
      <c r="G49" s="1034"/>
      <c r="H49" s="1034"/>
    </row>
    <row r="50" spans="1:8" ht="27.75" customHeight="1" thickBot="1">
      <c r="A50" s="1054" t="s">
        <v>509</v>
      </c>
      <c r="B50" s="1055"/>
      <c r="C50" s="1055"/>
      <c r="D50" s="1055"/>
      <c r="E50" s="1071"/>
      <c r="F50" s="417" t="s">
        <v>510</v>
      </c>
      <c r="G50" s="1074" t="s">
        <v>511</v>
      </c>
      <c r="H50" s="1075"/>
    </row>
    <row r="51" spans="1:8" ht="23.25" customHeight="1">
      <c r="A51" s="1068" t="s">
        <v>512</v>
      </c>
      <c r="B51" s="1069"/>
      <c r="C51" s="1069"/>
      <c r="D51" s="1069"/>
      <c r="E51" s="1070"/>
      <c r="F51" s="418" t="s">
        <v>526</v>
      </c>
      <c r="G51" s="1072">
        <f>(0.15*KFC!$B$10+KFC!$C$10)*KFC!$C$5</f>
        <v>0.15</v>
      </c>
      <c r="H51" s="1073">
        <v>1.41</v>
      </c>
    </row>
    <row r="52" spans="1:8" ht="23.25" customHeight="1">
      <c r="A52" s="1068" t="s">
        <v>513</v>
      </c>
      <c r="B52" s="1069"/>
      <c r="C52" s="1069"/>
      <c r="D52" s="1069"/>
      <c r="E52" s="1070"/>
      <c r="F52" s="418" t="s">
        <v>526</v>
      </c>
      <c r="G52" s="1072">
        <f>(0.03*KFC!$B$10+KFC!$C$10)*KFC!$C$5</f>
        <v>0.03</v>
      </c>
      <c r="H52" s="1073">
        <v>1.41</v>
      </c>
    </row>
    <row r="53" spans="1:8" ht="23.25" customHeight="1">
      <c r="A53" s="1068" t="s">
        <v>514</v>
      </c>
      <c r="B53" s="1069"/>
      <c r="C53" s="1069"/>
      <c r="D53" s="1069"/>
      <c r="E53" s="1070"/>
      <c r="F53" s="418" t="s">
        <v>526</v>
      </c>
      <c r="G53" s="1072">
        <f>(0.0612*KFC!$B$10+KFC!$C$10)*KFC!$C$5</f>
        <v>6.1199999999999997E-2</v>
      </c>
      <c r="H53" s="1073">
        <v>1.41</v>
      </c>
    </row>
    <row r="54" spans="1:8" ht="23.25" customHeight="1">
      <c r="A54" s="1068" t="s">
        <v>515</v>
      </c>
      <c r="B54" s="1069"/>
      <c r="C54" s="1069"/>
      <c r="D54" s="1069"/>
      <c r="E54" s="1070"/>
      <c r="F54" s="418" t="s">
        <v>526</v>
      </c>
      <c r="G54" s="1072">
        <f>(0.52*KFC!$B$10*1.02+KFC!$C$10)*KFC!$C$5</f>
        <v>0.53039999999999998</v>
      </c>
      <c r="H54" s="1073">
        <v>1.41</v>
      </c>
    </row>
    <row r="55" spans="1:8" ht="23.25" customHeight="1">
      <c r="A55" s="1068" t="s">
        <v>516</v>
      </c>
      <c r="B55" s="1069"/>
      <c r="C55" s="1069"/>
      <c r="D55" s="1069"/>
      <c r="E55" s="1070"/>
      <c r="F55" s="418" t="s">
        <v>526</v>
      </c>
      <c r="G55" s="1072">
        <f>(0.4*KFC!$B$10*1.02+KFC!$C$10)*KFC!$C$5</f>
        <v>0.40800000000000003</v>
      </c>
      <c r="H55" s="1073">
        <v>1.41</v>
      </c>
    </row>
    <row r="56" spans="1:8" ht="23.25" customHeight="1">
      <c r="A56" s="1068" t="s">
        <v>517</v>
      </c>
      <c r="B56" s="1069"/>
      <c r="C56" s="1069"/>
      <c r="D56" s="1069"/>
      <c r="E56" s="1070"/>
      <c r="F56" s="418" t="s">
        <v>526</v>
      </c>
      <c r="G56" s="1072">
        <f>(0.2448*KFC!$B$10+KFC!$C$10)*KFC!$C$5</f>
        <v>0.24479999999999999</v>
      </c>
      <c r="H56" s="1073">
        <v>1.41</v>
      </c>
    </row>
    <row r="57" spans="1:8" ht="23.25" customHeight="1">
      <c r="A57" s="1068" t="s">
        <v>518</v>
      </c>
      <c r="B57" s="1069"/>
      <c r="C57" s="1069"/>
      <c r="D57" s="1069"/>
      <c r="E57" s="1070"/>
      <c r="F57" s="418" t="s">
        <v>526</v>
      </c>
      <c r="G57" s="1072">
        <f>(3.32*KFC!$B$10*1.02+KFC!$C$10)*KFC!$C$5</f>
        <v>3.3864000000000001</v>
      </c>
      <c r="H57" s="1073">
        <v>1.41</v>
      </c>
    </row>
    <row r="58" spans="1:8" ht="23.25" customHeight="1">
      <c r="A58" s="1068" t="s">
        <v>519</v>
      </c>
      <c r="B58" s="1069"/>
      <c r="C58" s="1069"/>
      <c r="D58" s="1069"/>
      <c r="E58" s="1070"/>
      <c r="F58" s="418" t="s">
        <v>526</v>
      </c>
      <c r="G58" s="1072">
        <f>(0.78*KFC!$B$10*1.02+KFC!$C$10)*KFC!$C$5</f>
        <v>0.79560000000000008</v>
      </c>
      <c r="H58" s="1073">
        <v>1.41</v>
      </c>
    </row>
    <row r="59" spans="1:8" ht="23.25" customHeight="1">
      <c r="A59" s="1068" t="s">
        <v>520</v>
      </c>
      <c r="B59" s="1069"/>
      <c r="C59" s="1069"/>
      <c r="D59" s="1069"/>
      <c r="E59" s="1070"/>
      <c r="F59" s="418" t="s">
        <v>526</v>
      </c>
      <c r="G59" s="1072">
        <f>(0.67*KFC!$B$10*1.02+KFC!$C$10)*KFC!$C$5</f>
        <v>0.68340000000000001</v>
      </c>
      <c r="H59" s="1073">
        <v>1.41</v>
      </c>
    </row>
    <row r="60" spans="1:8" ht="23.25" customHeight="1">
      <c r="A60" s="1068" t="s">
        <v>521</v>
      </c>
      <c r="B60" s="1069"/>
      <c r="C60" s="1069"/>
      <c r="D60" s="1069"/>
      <c r="E60" s="1070"/>
      <c r="F60" s="418" t="s">
        <v>526</v>
      </c>
      <c r="G60" s="1072">
        <f>(0.28*KFC!$B$10*1.02+KFC!$C$10)*KFC!$C$5</f>
        <v>0.28560000000000002</v>
      </c>
      <c r="H60" s="1073">
        <v>1.41</v>
      </c>
    </row>
    <row r="61" spans="1:8" ht="23.25" customHeight="1">
      <c r="A61" s="1068" t="s">
        <v>522</v>
      </c>
      <c r="B61" s="1069"/>
      <c r="C61" s="1069"/>
      <c r="D61" s="1069"/>
      <c r="E61" s="1070"/>
      <c r="F61" s="418" t="s">
        <v>526</v>
      </c>
      <c r="G61" s="1072">
        <f>(0.8*KFC!$B$10*1.02+KFC!$C$10)*KFC!$C$5</f>
        <v>0.81600000000000006</v>
      </c>
      <c r="H61" s="1073">
        <v>1.41</v>
      </c>
    </row>
    <row r="62" spans="1:8" ht="23.25" customHeight="1">
      <c r="A62" s="1068" t="s">
        <v>523</v>
      </c>
      <c r="B62" s="1069"/>
      <c r="C62" s="1069"/>
      <c r="D62" s="1069"/>
      <c r="E62" s="1070"/>
      <c r="F62" s="418" t="s">
        <v>527</v>
      </c>
      <c r="G62" s="1072">
        <f>(1.68*KFC!$B$10+KFC!$C$10)*KFC!$C$5</f>
        <v>1.68</v>
      </c>
      <c r="H62" s="1073">
        <v>1.41</v>
      </c>
    </row>
    <row r="63" spans="1:8" ht="23.25" customHeight="1">
      <c r="A63" s="1068" t="s">
        <v>524</v>
      </c>
      <c r="B63" s="1069"/>
      <c r="C63" s="1069"/>
      <c r="D63" s="1069"/>
      <c r="E63" s="1070"/>
      <c r="F63" s="418" t="s">
        <v>527</v>
      </c>
      <c r="G63" s="1072">
        <f>(4.0392*KFC!$B$10+KFC!$C$10)*KFC!$C$5</f>
        <v>4.0392000000000001</v>
      </c>
      <c r="H63" s="1073">
        <v>1.41</v>
      </c>
    </row>
    <row r="64" spans="1:8" ht="23.25" customHeight="1" thickBot="1">
      <c r="A64" s="1076" t="s">
        <v>525</v>
      </c>
      <c r="B64" s="1077"/>
      <c r="C64" s="1077"/>
      <c r="D64" s="1077"/>
      <c r="E64" s="1078"/>
      <c r="F64" s="419" t="s">
        <v>527</v>
      </c>
      <c r="G64" s="1079">
        <f>(0.14*KFC!$B$10*1.02+KFC!$C$10)*KFC!$C$5</f>
        <v>0.14280000000000001</v>
      </c>
      <c r="H64" s="1080">
        <v>1.41</v>
      </c>
    </row>
  </sheetData>
  <mergeCells count="51">
    <mergeCell ref="A41:H41"/>
    <mergeCell ref="A25:H25"/>
    <mergeCell ref="A53:E53"/>
    <mergeCell ref="A34:A35"/>
    <mergeCell ref="A6:B6"/>
    <mergeCell ref="C6:H6"/>
    <mergeCell ref="A19:B19"/>
    <mergeCell ref="C19:H19"/>
    <mergeCell ref="G51:H51"/>
    <mergeCell ref="A26:H26"/>
    <mergeCell ref="A38:A39"/>
    <mergeCell ref="A42:A43"/>
    <mergeCell ref="A46:A47"/>
    <mergeCell ref="A45:D45"/>
    <mergeCell ref="A32:H32"/>
    <mergeCell ref="A33:H33"/>
    <mergeCell ref="A37:H37"/>
    <mergeCell ref="A2:H2"/>
    <mergeCell ref="A5:H5"/>
    <mergeCell ref="A18:H18"/>
    <mergeCell ref="A3:H3"/>
    <mergeCell ref="A4:H4"/>
    <mergeCell ref="G62:H62"/>
    <mergeCell ref="G58:H58"/>
    <mergeCell ref="G63:H63"/>
    <mergeCell ref="G64:H64"/>
    <mergeCell ref="G57:H57"/>
    <mergeCell ref="G59:H59"/>
    <mergeCell ref="G60:H60"/>
    <mergeCell ref="A59:E59"/>
    <mergeCell ref="A52:E52"/>
    <mergeCell ref="G56:H56"/>
    <mergeCell ref="G61:H61"/>
    <mergeCell ref="G55:H55"/>
    <mergeCell ref="G53:H53"/>
    <mergeCell ref="A64:E64"/>
    <mergeCell ref="A63:E63"/>
    <mergeCell ref="A62:E62"/>
    <mergeCell ref="A61:E61"/>
    <mergeCell ref="A60:E60"/>
    <mergeCell ref="A51:E51"/>
    <mergeCell ref="A50:E50"/>
    <mergeCell ref="A49:H49"/>
    <mergeCell ref="A58:E58"/>
    <mergeCell ref="A57:E57"/>
    <mergeCell ref="A56:E56"/>
    <mergeCell ref="A55:E55"/>
    <mergeCell ref="A54:E54"/>
    <mergeCell ref="G54:H54"/>
    <mergeCell ref="G52:H52"/>
    <mergeCell ref="G50:H50"/>
  </mergeCells>
  <phoneticPr fontId="7" type="noConversion"/>
  <hyperlinks>
    <hyperlink ref="A4:H4" location="'Расчёт кол-ва ламелей'!A1" display="Рекомендуемое кол-во ламелей в зависимости от ширины изделия указано в таблице расчёта." xr:uid="{635743B4-DE90-488B-88E9-0580650EBB21}"/>
    <hyperlink ref="C19" r:id="rId1" xr:uid="{DF8D2918-A640-4683-8FC1-87973B20B888}"/>
    <hyperlink ref="C6" r:id="rId2" xr:uid="{99937520-67F0-48CF-BEC4-2125DB4CC56C}"/>
  </hyperlinks>
  <pageMargins left="0" right="0" top="0" bottom="0" header="0" footer="0"/>
  <pageSetup paperSize="9" scale="97" orientation="portrait" r:id="rId3"/>
  <headerFooter alignWithMargins="0"/>
  <rowBreaks count="1" manualBreakCount="1">
    <brk id="48" max="7" man="1"/>
  </rowBreaks>
  <legacyDrawing r:id="rId4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8F7751-7B77-44F3-8D67-5433B9A13A7E}">
  <sheetPr>
    <tabColor theme="5" tint="-0.249977111117893"/>
  </sheetPr>
  <dimension ref="A1:AZ100"/>
  <sheetViews>
    <sheetView view="pageBreakPreview" zoomScale="80" zoomScaleNormal="100" zoomScaleSheetLayoutView="80" workbookViewId="0">
      <pane ySplit="3" topLeftCell="A92" activePane="bottomLeft" state="frozen"/>
      <selection pane="bottomLeft" activeCell="S100" sqref="S100:T100"/>
    </sheetView>
  </sheetViews>
  <sheetFormatPr defaultRowHeight="13.2"/>
  <cols>
    <col min="1" max="1" width="3.6640625" customWidth="1"/>
    <col min="2" max="2" width="3.33203125" bestFit="1" customWidth="1"/>
    <col min="3" max="3" width="3" customWidth="1"/>
    <col min="4" max="4" width="7.33203125" customWidth="1"/>
    <col min="5" max="5" width="10" customWidth="1"/>
    <col min="6" max="16" width="7" customWidth="1"/>
    <col min="23" max="44" width="0" hidden="1" customWidth="1"/>
  </cols>
  <sheetData>
    <row r="1" spans="1:44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</row>
    <row r="2" spans="1:44" ht="18">
      <c r="A2" s="1848" t="s">
        <v>219</v>
      </c>
      <c r="B2" s="1848"/>
      <c r="C2" s="1848"/>
      <c r="D2" s="1848"/>
      <c r="E2" s="1848"/>
      <c r="F2" s="1848"/>
      <c r="G2" s="1848"/>
      <c r="H2" s="1848"/>
      <c r="I2" s="1848"/>
      <c r="J2" s="1848"/>
      <c r="K2" s="1848"/>
      <c r="L2" s="1848"/>
      <c r="M2" s="1848"/>
      <c r="N2" s="1848"/>
      <c r="O2" s="1848"/>
      <c r="P2" s="1848"/>
      <c r="Q2" s="1848"/>
      <c r="R2" s="1848"/>
      <c r="S2" s="1848"/>
      <c r="T2" s="1848"/>
      <c r="U2" s="1848"/>
      <c r="V2" s="1848"/>
    </row>
    <row r="3" spans="1:44">
      <c r="A3" s="1011" t="s">
        <v>746</v>
      </c>
      <c r="B3" s="1011"/>
      <c r="C3" s="1011"/>
      <c r="D3" s="1011"/>
      <c r="E3" s="1011"/>
      <c r="F3" s="1011"/>
      <c r="G3" s="1011"/>
      <c r="H3" s="1011"/>
      <c r="I3" s="1011"/>
      <c r="J3" s="1011"/>
      <c r="K3" s="1011"/>
      <c r="L3" s="1011"/>
      <c r="M3" s="1011"/>
      <c r="N3" s="1011"/>
      <c r="O3" s="1011"/>
      <c r="P3" s="1011"/>
      <c r="Q3" s="1011"/>
      <c r="R3" s="1011"/>
      <c r="S3" s="1011"/>
      <c r="T3" s="1011"/>
      <c r="U3" s="1011"/>
      <c r="V3" s="1011"/>
    </row>
    <row r="4" spans="1:44" ht="23.25" customHeight="1">
      <c r="A4" s="1089" t="s">
        <v>593</v>
      </c>
      <c r="B4" s="1089"/>
      <c r="C4" s="1089"/>
      <c r="D4" s="1089"/>
      <c r="E4" s="1089"/>
      <c r="F4" s="1406" t="s">
        <v>626</v>
      </c>
      <c r="G4" s="1406"/>
      <c r="H4" s="1406"/>
      <c r="I4" s="1406"/>
      <c r="J4" s="1406"/>
      <c r="K4" s="1406"/>
      <c r="L4" s="1406"/>
      <c r="M4" s="1406"/>
      <c r="N4" s="1406"/>
      <c r="O4" s="1406"/>
      <c r="P4" s="1406"/>
      <c r="Q4" s="3"/>
      <c r="R4" s="3"/>
      <c r="S4" s="3"/>
      <c r="T4" s="3"/>
      <c r="U4" s="3"/>
      <c r="V4" s="3"/>
    </row>
    <row r="5" spans="1:44" ht="19.5" customHeight="1" thickBot="1">
      <c r="A5" s="1896" t="s">
        <v>611</v>
      </c>
      <c r="B5" s="1896"/>
      <c r="C5" s="1896"/>
      <c r="D5" s="1896"/>
      <c r="E5" s="1896"/>
      <c r="F5" s="1168" t="s">
        <v>623</v>
      </c>
      <c r="G5" s="1168"/>
      <c r="H5" s="1168"/>
      <c r="I5" s="1168"/>
      <c r="J5" s="1168"/>
      <c r="K5" s="1168"/>
      <c r="L5" s="1168"/>
      <c r="M5" s="1168"/>
      <c r="N5" s="1168"/>
      <c r="O5" s="1168"/>
      <c r="P5" s="1168"/>
      <c r="Q5" s="3"/>
      <c r="R5" s="3"/>
      <c r="S5" s="3"/>
      <c r="T5" s="3"/>
      <c r="U5" s="3"/>
      <c r="V5" s="3"/>
    </row>
    <row r="6" spans="1:44" ht="18" customHeight="1" thickBot="1">
      <c r="A6" s="2009" t="s">
        <v>314</v>
      </c>
      <c r="B6" s="2010"/>
      <c r="C6" s="2010"/>
      <c r="D6" s="2011"/>
      <c r="E6" s="1534" t="s">
        <v>207</v>
      </c>
      <c r="F6" s="1535"/>
      <c r="G6" s="1535"/>
      <c r="H6" s="1535"/>
      <c r="I6" s="1535"/>
      <c r="J6" s="1535"/>
      <c r="K6" s="1535"/>
      <c r="L6" s="1535"/>
      <c r="M6" s="1535"/>
      <c r="N6" s="1535"/>
      <c r="O6" s="1535"/>
      <c r="P6" s="1535"/>
      <c r="Q6" s="1535"/>
      <c r="R6" s="1535"/>
      <c r="S6" s="1535"/>
      <c r="T6" s="1535"/>
      <c r="U6" s="1535"/>
      <c r="V6" s="1535"/>
    </row>
    <row r="7" spans="1:44" ht="21" customHeight="1" thickBot="1">
      <c r="A7" s="2012"/>
      <c r="B7" s="2013"/>
      <c r="C7" s="2013"/>
      <c r="D7" s="2014"/>
      <c r="E7" s="119">
        <v>0.4</v>
      </c>
      <c r="F7" s="119">
        <v>0.5</v>
      </c>
      <c r="G7" s="119">
        <v>0.6</v>
      </c>
      <c r="H7" s="119">
        <v>0.7</v>
      </c>
      <c r="I7" s="119">
        <v>0.8</v>
      </c>
      <c r="J7" s="119">
        <v>0.9</v>
      </c>
      <c r="K7" s="119">
        <v>1</v>
      </c>
      <c r="L7" s="119">
        <v>1.1000000000000001</v>
      </c>
      <c r="M7" s="119">
        <v>1.2</v>
      </c>
      <c r="N7" s="119">
        <v>1.3</v>
      </c>
      <c r="O7" s="119">
        <v>1.4</v>
      </c>
      <c r="P7" s="119">
        <v>1.5</v>
      </c>
      <c r="Q7" s="119">
        <v>1.6</v>
      </c>
      <c r="R7" s="119">
        <v>1.7</v>
      </c>
      <c r="S7" s="119">
        <v>1.8</v>
      </c>
      <c r="T7" s="119">
        <v>1.9</v>
      </c>
      <c r="U7" s="119">
        <v>2</v>
      </c>
      <c r="V7" s="119">
        <v>2.1</v>
      </c>
      <c r="X7" s="850"/>
      <c r="Y7" s="851">
        <v>0.4</v>
      </c>
      <c r="Z7" s="851">
        <v>0.5</v>
      </c>
      <c r="AA7" s="851">
        <v>0.6</v>
      </c>
      <c r="AB7" s="851">
        <v>0.7</v>
      </c>
      <c r="AC7" s="851">
        <v>0.8</v>
      </c>
      <c r="AD7" s="851">
        <v>0.9</v>
      </c>
      <c r="AE7" s="851">
        <v>1</v>
      </c>
      <c r="AF7" s="851">
        <v>1.1000000000000001</v>
      </c>
      <c r="AG7" s="851">
        <v>1.2</v>
      </c>
      <c r="AH7" s="851">
        <v>1.3</v>
      </c>
      <c r="AI7" s="851">
        <v>1.4</v>
      </c>
      <c r="AJ7" s="852">
        <v>1.5</v>
      </c>
      <c r="AK7" s="853">
        <v>1.6</v>
      </c>
      <c r="AL7" s="853">
        <v>1.7</v>
      </c>
      <c r="AM7" s="853">
        <v>1.8</v>
      </c>
      <c r="AN7" s="853">
        <v>1.9</v>
      </c>
      <c r="AO7" s="853">
        <v>2</v>
      </c>
      <c r="AP7" s="853">
        <v>2.1</v>
      </c>
      <c r="AQ7" s="853">
        <v>2.2000000000000002</v>
      </c>
      <c r="AR7" s="853">
        <v>2.2999999999999998</v>
      </c>
    </row>
    <row r="8" spans="1:44" ht="12.75" customHeight="1">
      <c r="A8" s="1827" t="s">
        <v>46</v>
      </c>
      <c r="B8" s="1965"/>
      <c r="C8" s="1966"/>
      <c r="D8" s="229">
        <v>0.5</v>
      </c>
      <c r="E8" s="76">
        <f>(Y8*KFC!$B$38+KFC!$C$38)*KFC!$C$5</f>
        <v>37.94</v>
      </c>
      <c r="F8" s="77">
        <f>(Z8*KFC!$B$38+KFC!$C$38)*KFC!$C$5</f>
        <v>43.35</v>
      </c>
      <c r="G8" s="77">
        <f>(AA8*KFC!$B$38+KFC!$C$38)*KFC!$C$5</f>
        <v>48.77</v>
      </c>
      <c r="H8" s="77">
        <f>(AB8*KFC!$B$38+KFC!$C$38)*KFC!$C$5</f>
        <v>54.32</v>
      </c>
      <c r="I8" s="77">
        <f>(AC8*KFC!$B$38+KFC!$C$38)*KFC!$C$5</f>
        <v>59.61</v>
      </c>
      <c r="J8" s="77">
        <f>(AD8*KFC!$B$38+KFC!$C$38)*KFC!$C$5</f>
        <v>65.16</v>
      </c>
      <c r="K8" s="77">
        <f>(AE8*KFC!$B$38+KFC!$C$38)*KFC!$C$5</f>
        <v>70.58</v>
      </c>
      <c r="L8" s="77">
        <f>(AF8*KFC!$B$38+KFC!$C$38)*KFC!$C$5</f>
        <v>76</v>
      </c>
      <c r="M8" s="77">
        <f>(AG8*KFC!$B$38+KFC!$C$38)*KFC!$C$5</f>
        <v>81.41</v>
      </c>
      <c r="N8" s="77">
        <f>(AH8*KFC!$B$38+KFC!$C$38)*KFC!$C$5</f>
        <v>86.97</v>
      </c>
      <c r="O8" s="77">
        <f>(AI8*KFC!$B$38+KFC!$C$38)*KFC!$C$5</f>
        <v>92.26</v>
      </c>
      <c r="P8" s="77">
        <f>(AJ8*KFC!$B$38+KFC!$C$38)*KFC!$C$5</f>
        <v>97.81</v>
      </c>
      <c r="Q8" s="77">
        <f>(AK8*KFC!$B$38+KFC!$C$38)*KFC!$C$5</f>
        <v>103.36</v>
      </c>
      <c r="R8" s="77">
        <f>(AL8*KFC!$B$38+KFC!$C$38)*KFC!$C$5</f>
        <v>108.91</v>
      </c>
      <c r="S8" s="77">
        <f>(AM8*KFC!$B$38+KFC!$C$38)*KFC!$C$5</f>
        <v>114.46</v>
      </c>
      <c r="T8" s="77">
        <f>(AN8*KFC!$B$38+KFC!$C$38)*KFC!$C$5</f>
        <v>120.00999999999999</v>
      </c>
      <c r="U8" s="77">
        <f>(AO8*KFC!$B$38+KFC!$C$38)*KFC!$C$5</f>
        <v>125.55999999999999</v>
      </c>
      <c r="V8" s="77">
        <f>(AP8*KFC!$B$38+KFC!$C$38)*KFC!$C$5</f>
        <v>131.10999999999999</v>
      </c>
      <c r="X8" s="851">
        <v>0.5</v>
      </c>
      <c r="Y8" s="847">
        <v>37.94</v>
      </c>
      <c r="Z8" s="847">
        <v>43.35</v>
      </c>
      <c r="AA8" s="847">
        <v>48.77</v>
      </c>
      <c r="AB8" s="847">
        <v>54.32</v>
      </c>
      <c r="AC8" s="847">
        <v>59.61</v>
      </c>
      <c r="AD8" s="847">
        <v>65.16</v>
      </c>
      <c r="AE8" s="847">
        <v>70.58</v>
      </c>
      <c r="AF8" s="847">
        <v>76</v>
      </c>
      <c r="AG8" s="847">
        <v>81.41</v>
      </c>
      <c r="AH8" s="847">
        <v>86.97</v>
      </c>
      <c r="AI8" s="847">
        <v>92.26</v>
      </c>
      <c r="AJ8" s="848">
        <v>97.81</v>
      </c>
      <c r="AK8" s="690">
        <f>AJ8-AI8+AJ8</f>
        <v>103.36</v>
      </c>
      <c r="AL8" s="690">
        <f t="shared" ref="AL8:AR21" si="0">AK8-AJ8+AK8</f>
        <v>108.91</v>
      </c>
      <c r="AM8" s="690">
        <f t="shared" si="0"/>
        <v>114.46</v>
      </c>
      <c r="AN8" s="690">
        <f t="shared" si="0"/>
        <v>120.00999999999999</v>
      </c>
      <c r="AO8" s="690">
        <f t="shared" si="0"/>
        <v>125.55999999999999</v>
      </c>
      <c r="AP8" s="690">
        <f t="shared" si="0"/>
        <v>131.10999999999999</v>
      </c>
      <c r="AQ8" s="690">
        <f t="shared" si="0"/>
        <v>136.65999999999997</v>
      </c>
      <c r="AR8" s="690">
        <f t="shared" si="0"/>
        <v>142.20999999999995</v>
      </c>
    </row>
    <row r="9" spans="1:44">
      <c r="A9" s="1828"/>
      <c r="B9" s="1967"/>
      <c r="C9" s="1968"/>
      <c r="D9" s="230">
        <v>0.6</v>
      </c>
      <c r="E9" s="78">
        <f>(Y9*KFC!$B$38+KFC!$C$38)*KFC!$C$5</f>
        <v>40.770000000000003</v>
      </c>
      <c r="F9" s="68">
        <f>(Z9*KFC!$B$38+KFC!$C$38)*KFC!$C$5</f>
        <v>46.57</v>
      </c>
      <c r="G9" s="68">
        <f>(AA9*KFC!$B$38+KFC!$C$38)*KFC!$C$5</f>
        <v>52.26</v>
      </c>
      <c r="H9" s="68">
        <f>(AB9*KFC!$B$38+KFC!$C$38)*KFC!$C$5</f>
        <v>57.94</v>
      </c>
      <c r="I9" s="68">
        <f>(AC9*KFC!$B$38+KFC!$C$38)*KFC!$C$5</f>
        <v>63.61</v>
      </c>
      <c r="J9" s="68">
        <f>(AD9*KFC!$B$38+KFC!$C$38)*KFC!$C$5</f>
        <v>69.42</v>
      </c>
      <c r="K9" s="68">
        <f>(AE9*KFC!$B$38+KFC!$C$38)*KFC!$C$5</f>
        <v>75.09</v>
      </c>
      <c r="L9" s="68">
        <f>(AF9*KFC!$B$38+KFC!$C$38)*KFC!$C$5</f>
        <v>80.77</v>
      </c>
      <c r="M9" s="68">
        <f>(AG9*KFC!$B$38+KFC!$C$38)*KFC!$C$5</f>
        <v>86.45</v>
      </c>
      <c r="N9" s="68">
        <f>(AH9*KFC!$B$38+KFC!$C$38)*KFC!$C$5</f>
        <v>92.13</v>
      </c>
      <c r="O9" s="68">
        <f>(AI9*KFC!$B$38+KFC!$C$38)*KFC!$C$5</f>
        <v>97.93</v>
      </c>
      <c r="P9" s="68">
        <f>(AJ9*KFC!$B$38+KFC!$C$38)*KFC!$C$5</f>
        <v>103.74</v>
      </c>
      <c r="Q9" s="68">
        <f>(AK9*KFC!$B$38+KFC!$C$38)*KFC!$C$5</f>
        <v>109.54999999999998</v>
      </c>
      <c r="R9" s="68">
        <f>(AL9*KFC!$B$38+KFC!$C$38)*KFC!$C$5</f>
        <v>115.35999999999997</v>
      </c>
      <c r="S9" s="68">
        <f>(AM9*KFC!$B$38+KFC!$C$38)*KFC!$C$5</f>
        <v>121.16999999999996</v>
      </c>
      <c r="T9" s="68">
        <f>(AN9*KFC!$B$38+KFC!$C$38)*KFC!$C$5</f>
        <v>126.97999999999995</v>
      </c>
      <c r="U9" s="68">
        <f>(AO9*KFC!$B$38+KFC!$C$38)*KFC!$C$5</f>
        <v>132.78999999999994</v>
      </c>
      <c r="V9" s="68">
        <f>(AP9*KFC!$B$38+KFC!$C$38)*KFC!$C$5</f>
        <v>138.59999999999991</v>
      </c>
      <c r="X9" s="851">
        <v>0.6</v>
      </c>
      <c r="Y9" s="847">
        <v>40.770000000000003</v>
      </c>
      <c r="Z9" s="847">
        <v>46.57</v>
      </c>
      <c r="AA9" s="847">
        <v>52.26</v>
      </c>
      <c r="AB9" s="847">
        <v>57.94</v>
      </c>
      <c r="AC9" s="847">
        <v>63.61</v>
      </c>
      <c r="AD9" s="847">
        <v>69.42</v>
      </c>
      <c r="AE9" s="847">
        <v>75.09</v>
      </c>
      <c r="AF9" s="847">
        <v>80.77</v>
      </c>
      <c r="AG9" s="847">
        <v>86.45</v>
      </c>
      <c r="AH9" s="847">
        <v>92.13</v>
      </c>
      <c r="AI9" s="847">
        <v>97.93</v>
      </c>
      <c r="AJ9" s="848">
        <v>103.74</v>
      </c>
      <c r="AK9" s="690">
        <f t="shared" ref="AK9:AK21" si="1">AJ9-AI9+AJ9</f>
        <v>109.54999999999998</v>
      </c>
      <c r="AL9" s="690">
        <f t="shared" si="0"/>
        <v>115.35999999999997</v>
      </c>
      <c r="AM9" s="690">
        <f t="shared" si="0"/>
        <v>121.16999999999996</v>
      </c>
      <c r="AN9" s="690">
        <f t="shared" si="0"/>
        <v>126.97999999999995</v>
      </c>
      <c r="AO9" s="690">
        <f t="shared" si="0"/>
        <v>132.78999999999994</v>
      </c>
      <c r="AP9" s="690">
        <f t="shared" si="0"/>
        <v>138.59999999999991</v>
      </c>
      <c r="AQ9" s="690">
        <f t="shared" si="0"/>
        <v>144.40999999999988</v>
      </c>
      <c r="AR9" s="690">
        <f t="shared" si="0"/>
        <v>150.21999999999986</v>
      </c>
    </row>
    <row r="10" spans="1:44">
      <c r="A10" s="1828"/>
      <c r="B10" s="1967"/>
      <c r="C10" s="1968"/>
      <c r="D10" s="230">
        <v>0.7</v>
      </c>
      <c r="E10" s="78">
        <f>(Y10*KFC!$B$38+KFC!$C$38)*KFC!$C$5</f>
        <v>43.75</v>
      </c>
      <c r="F10" s="68">
        <f>(Z10*KFC!$B$38+KFC!$C$38)*KFC!$C$5</f>
        <v>49.68</v>
      </c>
      <c r="G10" s="68">
        <f>(AA10*KFC!$B$38+KFC!$C$38)*KFC!$C$5</f>
        <v>55.74</v>
      </c>
      <c r="H10" s="68">
        <f>(AB10*KFC!$B$38+KFC!$C$38)*KFC!$C$5</f>
        <v>61.68</v>
      </c>
      <c r="I10" s="68">
        <f>(AC10*KFC!$B$38+KFC!$C$38)*KFC!$C$5</f>
        <v>67.739999999999995</v>
      </c>
      <c r="J10" s="68">
        <f>(AD10*KFC!$B$38+KFC!$C$38)*KFC!$C$5</f>
        <v>73.55</v>
      </c>
      <c r="K10" s="68">
        <f>(AE10*KFC!$B$38+KFC!$C$38)*KFC!$C$5</f>
        <v>79.48</v>
      </c>
      <c r="L10" s="68">
        <f>(AF10*KFC!$B$38+KFC!$C$38)*KFC!$C$5</f>
        <v>85.55</v>
      </c>
      <c r="M10" s="68">
        <f>(AG10*KFC!$B$38+KFC!$C$38)*KFC!$C$5</f>
        <v>91.49</v>
      </c>
      <c r="N10" s="68">
        <f>(AH10*KFC!$B$38+KFC!$C$38)*KFC!$C$5</f>
        <v>97.55</v>
      </c>
      <c r="O10" s="68">
        <f>(AI10*KFC!$B$38+KFC!$C$38)*KFC!$C$5</f>
        <v>103.48</v>
      </c>
      <c r="P10" s="68">
        <f>(AJ10*KFC!$B$38+KFC!$C$38)*KFC!$C$5</f>
        <v>109.55</v>
      </c>
      <c r="Q10" s="68">
        <f>(AK10*KFC!$B$38+KFC!$C$38)*KFC!$C$5</f>
        <v>115.61999999999999</v>
      </c>
      <c r="R10" s="68">
        <f>(AL10*KFC!$B$38+KFC!$C$38)*KFC!$C$5</f>
        <v>121.68999999999998</v>
      </c>
      <c r="S10" s="68">
        <f>(AM10*KFC!$B$38+KFC!$C$38)*KFC!$C$5</f>
        <v>127.75999999999998</v>
      </c>
      <c r="T10" s="68">
        <f>(AN10*KFC!$B$38+KFC!$C$38)*KFC!$C$5</f>
        <v>133.82999999999998</v>
      </c>
      <c r="U10" s="68">
        <f>(AO10*KFC!$B$38+KFC!$C$38)*KFC!$C$5</f>
        <v>139.89999999999998</v>
      </c>
      <c r="V10" s="68">
        <f>(AP10*KFC!$B$38+KFC!$C$38)*KFC!$C$5</f>
        <v>145.96999999999997</v>
      </c>
      <c r="X10" s="851">
        <v>0.7</v>
      </c>
      <c r="Y10" s="847">
        <v>43.75</v>
      </c>
      <c r="Z10" s="847">
        <v>49.68</v>
      </c>
      <c r="AA10" s="847">
        <v>55.74</v>
      </c>
      <c r="AB10" s="847">
        <v>61.68</v>
      </c>
      <c r="AC10" s="847">
        <v>67.739999999999995</v>
      </c>
      <c r="AD10" s="847">
        <v>73.55</v>
      </c>
      <c r="AE10" s="847">
        <v>79.48</v>
      </c>
      <c r="AF10" s="847">
        <v>85.55</v>
      </c>
      <c r="AG10" s="847">
        <v>91.49</v>
      </c>
      <c r="AH10" s="847">
        <v>97.55</v>
      </c>
      <c r="AI10" s="847">
        <v>103.48</v>
      </c>
      <c r="AJ10" s="848">
        <v>109.55</v>
      </c>
      <c r="AK10" s="690">
        <f t="shared" si="1"/>
        <v>115.61999999999999</v>
      </c>
      <c r="AL10" s="690">
        <f t="shared" si="0"/>
        <v>121.68999999999998</v>
      </c>
      <c r="AM10" s="690">
        <f t="shared" si="0"/>
        <v>127.75999999999998</v>
      </c>
      <c r="AN10" s="690">
        <f t="shared" si="0"/>
        <v>133.82999999999998</v>
      </c>
      <c r="AO10" s="690">
        <f t="shared" si="0"/>
        <v>139.89999999999998</v>
      </c>
      <c r="AP10" s="690">
        <f t="shared" si="0"/>
        <v>145.96999999999997</v>
      </c>
      <c r="AQ10" s="690">
        <f t="shared" si="0"/>
        <v>152.03999999999996</v>
      </c>
      <c r="AR10" s="690">
        <f t="shared" si="0"/>
        <v>158.10999999999996</v>
      </c>
    </row>
    <row r="11" spans="1:44">
      <c r="A11" s="1828"/>
      <c r="B11" s="1967"/>
      <c r="C11" s="1968"/>
      <c r="D11" s="230">
        <v>0.8</v>
      </c>
      <c r="E11" s="78">
        <f>(Y11*KFC!$B$38+KFC!$C$38)*KFC!$C$5</f>
        <v>46.57</v>
      </c>
      <c r="F11" s="68">
        <f>(Z11*KFC!$B$38+KFC!$C$38)*KFC!$C$5</f>
        <v>52.9</v>
      </c>
      <c r="G11" s="68">
        <f>(AA11*KFC!$B$38+KFC!$C$38)*KFC!$C$5</f>
        <v>59.22</v>
      </c>
      <c r="H11" s="68">
        <f>(AB11*KFC!$B$38+KFC!$C$38)*KFC!$C$5</f>
        <v>65.290000000000006</v>
      </c>
      <c r="I11" s="68">
        <f>(AC11*KFC!$B$38+KFC!$C$38)*KFC!$C$5</f>
        <v>71.61</v>
      </c>
      <c r="J11" s="68">
        <f>(AD11*KFC!$B$38+KFC!$C$38)*KFC!$C$5</f>
        <v>77.81</v>
      </c>
      <c r="K11" s="68">
        <f>(AE11*KFC!$B$38+KFC!$C$38)*KFC!$C$5</f>
        <v>84.13</v>
      </c>
      <c r="L11" s="68">
        <f>(AF11*KFC!$B$38+KFC!$C$38)*KFC!$C$5</f>
        <v>90.32</v>
      </c>
      <c r="M11" s="68">
        <f>(AG11*KFC!$B$38+KFC!$C$38)*KFC!$C$5</f>
        <v>96.53</v>
      </c>
      <c r="N11" s="68">
        <f>(AH11*KFC!$B$38+KFC!$C$38)*KFC!$C$5</f>
        <v>102.83</v>
      </c>
      <c r="O11" s="68">
        <f>(AI11*KFC!$B$38+KFC!$C$38)*KFC!$C$5</f>
        <v>109.03</v>
      </c>
      <c r="P11" s="68">
        <f>(AJ11*KFC!$B$38+KFC!$C$38)*KFC!$C$5</f>
        <v>115.36</v>
      </c>
      <c r="Q11" s="68">
        <f>(AK11*KFC!$B$38+KFC!$C$38)*KFC!$C$5</f>
        <v>121.69</v>
      </c>
      <c r="R11" s="68">
        <f>(AL11*KFC!$B$38+KFC!$C$38)*KFC!$C$5</f>
        <v>128.01999999999998</v>
      </c>
      <c r="S11" s="68">
        <f>(AM11*KFC!$B$38+KFC!$C$38)*KFC!$C$5</f>
        <v>134.34999999999997</v>
      </c>
      <c r="T11" s="68">
        <f>(AN11*KFC!$B$38+KFC!$C$38)*KFC!$C$5</f>
        <v>140.67999999999995</v>
      </c>
      <c r="U11" s="68">
        <f>(AO11*KFC!$B$38+KFC!$C$38)*KFC!$C$5</f>
        <v>147.00999999999993</v>
      </c>
      <c r="V11" s="68">
        <f>(AP11*KFC!$B$38+KFC!$C$38)*KFC!$C$5</f>
        <v>153.33999999999992</v>
      </c>
      <c r="X11" s="851">
        <v>0.8</v>
      </c>
      <c r="Y11" s="847">
        <v>46.57</v>
      </c>
      <c r="Z11" s="847">
        <v>52.9</v>
      </c>
      <c r="AA11" s="847">
        <v>59.22</v>
      </c>
      <c r="AB11" s="847">
        <v>65.290000000000006</v>
      </c>
      <c r="AC11" s="847">
        <v>71.61</v>
      </c>
      <c r="AD11" s="847">
        <v>77.81</v>
      </c>
      <c r="AE11" s="847">
        <v>84.13</v>
      </c>
      <c r="AF11" s="847">
        <v>90.32</v>
      </c>
      <c r="AG11" s="847">
        <v>96.53</v>
      </c>
      <c r="AH11" s="847">
        <v>102.83</v>
      </c>
      <c r="AI11" s="847">
        <v>109.03</v>
      </c>
      <c r="AJ11" s="848">
        <v>115.36</v>
      </c>
      <c r="AK11" s="690">
        <f t="shared" si="1"/>
        <v>121.69</v>
      </c>
      <c r="AL11" s="690">
        <f t="shared" si="0"/>
        <v>128.01999999999998</v>
      </c>
      <c r="AM11" s="690">
        <f t="shared" si="0"/>
        <v>134.34999999999997</v>
      </c>
      <c r="AN11" s="690">
        <f t="shared" si="0"/>
        <v>140.67999999999995</v>
      </c>
      <c r="AO11" s="690">
        <f t="shared" si="0"/>
        <v>147.00999999999993</v>
      </c>
      <c r="AP11" s="690">
        <f t="shared" si="0"/>
        <v>153.33999999999992</v>
      </c>
      <c r="AQ11" s="690">
        <f t="shared" si="0"/>
        <v>159.6699999999999</v>
      </c>
      <c r="AR11" s="690">
        <f t="shared" si="0"/>
        <v>165.99999999999989</v>
      </c>
    </row>
    <row r="12" spans="1:44">
      <c r="A12" s="1828"/>
      <c r="B12" s="1967"/>
      <c r="C12" s="1968"/>
      <c r="D12" s="230">
        <v>0.9</v>
      </c>
      <c r="E12" s="78">
        <f>(Y12*KFC!$B$38+KFC!$C$38)*KFC!$C$5</f>
        <v>49.56</v>
      </c>
      <c r="F12" s="68">
        <f>(Z12*KFC!$B$38+KFC!$C$38)*KFC!$C$5</f>
        <v>56</v>
      </c>
      <c r="G12" s="68">
        <f>(AA12*KFC!$B$38+KFC!$C$38)*KFC!$C$5</f>
        <v>62.46</v>
      </c>
      <c r="H12" s="68">
        <f>(AB12*KFC!$B$38+KFC!$C$38)*KFC!$C$5</f>
        <v>69.16</v>
      </c>
      <c r="I12" s="68">
        <f>(AC12*KFC!$B$38+KFC!$C$38)*KFC!$C$5</f>
        <v>75.61</v>
      </c>
      <c r="J12" s="68">
        <f>(AD12*KFC!$B$38+KFC!$C$38)*KFC!$C$5</f>
        <v>82.06</v>
      </c>
      <c r="K12" s="68">
        <f>(AE12*KFC!$B$38+KFC!$C$38)*KFC!$C$5</f>
        <v>88.52</v>
      </c>
      <c r="L12" s="68">
        <f>(AF12*KFC!$B$38+KFC!$C$38)*KFC!$C$5</f>
        <v>95.1</v>
      </c>
      <c r="M12" s="68">
        <f>(AG12*KFC!$B$38+KFC!$C$38)*KFC!$C$5</f>
        <v>101.68</v>
      </c>
      <c r="N12" s="68">
        <f>(AH12*KFC!$B$38+KFC!$C$38)*KFC!$C$5</f>
        <v>108.13</v>
      </c>
      <c r="O12" s="68">
        <f>(AI12*KFC!$B$38+KFC!$C$38)*KFC!$C$5</f>
        <v>114.59</v>
      </c>
      <c r="P12" s="68">
        <f>(AJ12*KFC!$B$38+KFC!$C$38)*KFC!$C$5</f>
        <v>121.17</v>
      </c>
      <c r="Q12" s="68">
        <f>(AK12*KFC!$B$38+KFC!$C$38)*KFC!$C$5</f>
        <v>127.75</v>
      </c>
      <c r="R12" s="68">
        <f>(AL12*KFC!$B$38+KFC!$C$38)*KFC!$C$5</f>
        <v>134.32999999999998</v>
      </c>
      <c r="S12" s="68">
        <f>(AM12*KFC!$B$38+KFC!$C$38)*KFC!$C$5</f>
        <v>140.90999999999997</v>
      </c>
      <c r="T12" s="68">
        <f>(AN12*KFC!$B$38+KFC!$C$38)*KFC!$C$5</f>
        <v>147.48999999999995</v>
      </c>
      <c r="U12" s="68">
        <f>(AO12*KFC!$B$38+KFC!$C$38)*KFC!$C$5</f>
        <v>154.06999999999994</v>
      </c>
      <c r="V12" s="68">
        <f>(AP12*KFC!$B$38+KFC!$C$38)*KFC!$C$5</f>
        <v>160.64999999999992</v>
      </c>
      <c r="X12" s="851">
        <v>0.9</v>
      </c>
      <c r="Y12" s="847">
        <v>49.56</v>
      </c>
      <c r="Z12" s="847">
        <v>56</v>
      </c>
      <c r="AA12" s="847">
        <v>62.46</v>
      </c>
      <c r="AB12" s="847">
        <v>69.16</v>
      </c>
      <c r="AC12" s="847">
        <v>75.61</v>
      </c>
      <c r="AD12" s="847">
        <v>82.06</v>
      </c>
      <c r="AE12" s="847">
        <v>88.52</v>
      </c>
      <c r="AF12" s="847">
        <v>95.1</v>
      </c>
      <c r="AG12" s="847">
        <v>101.68</v>
      </c>
      <c r="AH12" s="847">
        <v>108.13</v>
      </c>
      <c r="AI12" s="847">
        <v>114.59</v>
      </c>
      <c r="AJ12" s="848">
        <v>121.17</v>
      </c>
      <c r="AK12" s="690">
        <f t="shared" si="1"/>
        <v>127.75</v>
      </c>
      <c r="AL12" s="690">
        <f t="shared" si="0"/>
        <v>134.32999999999998</v>
      </c>
      <c r="AM12" s="690">
        <f t="shared" si="0"/>
        <v>140.90999999999997</v>
      </c>
      <c r="AN12" s="690">
        <f t="shared" si="0"/>
        <v>147.48999999999995</v>
      </c>
      <c r="AO12" s="690">
        <f t="shared" si="0"/>
        <v>154.06999999999994</v>
      </c>
      <c r="AP12" s="690">
        <f t="shared" si="0"/>
        <v>160.64999999999992</v>
      </c>
      <c r="AQ12" s="690">
        <f t="shared" si="0"/>
        <v>167.2299999999999</v>
      </c>
      <c r="AR12" s="690">
        <f t="shared" si="0"/>
        <v>173.80999999999989</v>
      </c>
    </row>
    <row r="13" spans="1:44">
      <c r="A13" s="1828"/>
      <c r="B13" s="1967"/>
      <c r="C13" s="1968"/>
      <c r="D13" s="230">
        <v>1</v>
      </c>
      <c r="E13" s="78">
        <f>(Y13*KFC!$B$38+KFC!$C$38)*KFC!$C$5</f>
        <v>52.38</v>
      </c>
      <c r="F13" s="68">
        <f>(Z13*KFC!$B$38+KFC!$C$38)*KFC!$C$5</f>
        <v>59.22</v>
      </c>
      <c r="G13" s="68">
        <f>(AA13*KFC!$B$38+KFC!$C$38)*KFC!$C$5</f>
        <v>65.930000000000007</v>
      </c>
      <c r="H13" s="68">
        <f>(AB13*KFC!$B$38+KFC!$C$38)*KFC!$C$5</f>
        <v>72.78</v>
      </c>
      <c r="I13" s="68">
        <f>(AC13*KFC!$B$38+KFC!$C$38)*KFC!$C$5</f>
        <v>79.48</v>
      </c>
      <c r="J13" s="68">
        <f>(AD13*KFC!$B$38+KFC!$C$38)*KFC!$C$5</f>
        <v>86.33</v>
      </c>
      <c r="K13" s="68">
        <f>(AE13*KFC!$B$38+KFC!$C$38)*KFC!$C$5</f>
        <v>93.16</v>
      </c>
      <c r="L13" s="68">
        <f>(AF13*KFC!$B$38+KFC!$C$38)*KFC!$C$5</f>
        <v>99.87</v>
      </c>
      <c r="M13" s="68">
        <f>(AG13*KFC!$B$38+KFC!$C$38)*KFC!$C$5</f>
        <v>106.7</v>
      </c>
      <c r="N13" s="68">
        <f>(AH13*KFC!$B$38+KFC!$C$38)*KFC!$C$5</f>
        <v>113.42</v>
      </c>
      <c r="O13" s="68">
        <f>(AI13*KFC!$B$38+KFC!$C$38)*KFC!$C$5</f>
        <v>120.25</v>
      </c>
      <c r="P13" s="68">
        <f>(AJ13*KFC!$B$38+KFC!$C$38)*KFC!$C$5</f>
        <v>127.09</v>
      </c>
      <c r="Q13" s="68">
        <f>(AK13*KFC!$B$38+KFC!$C$38)*KFC!$C$5</f>
        <v>133.93</v>
      </c>
      <c r="R13" s="68">
        <f>(AL13*KFC!$B$38+KFC!$C$38)*KFC!$C$5</f>
        <v>140.77000000000001</v>
      </c>
      <c r="S13" s="68">
        <f>(AM13*KFC!$B$38+KFC!$C$38)*KFC!$C$5</f>
        <v>147.61000000000001</v>
      </c>
      <c r="T13" s="68">
        <f>(AN13*KFC!$B$38+KFC!$C$38)*KFC!$C$5</f>
        <v>154.45000000000002</v>
      </c>
      <c r="U13" s="68">
        <f>(AO13*KFC!$B$38+KFC!$C$38)*KFC!$C$5</f>
        <v>161.29000000000002</v>
      </c>
      <c r="V13" s="68">
        <f>(AP13*KFC!$B$38+KFC!$C$38)*KFC!$C$5</f>
        <v>168.13000000000002</v>
      </c>
      <c r="X13" s="851">
        <v>1</v>
      </c>
      <c r="Y13" s="847">
        <v>52.38</v>
      </c>
      <c r="Z13" s="847">
        <v>59.22</v>
      </c>
      <c r="AA13" s="847">
        <v>65.930000000000007</v>
      </c>
      <c r="AB13" s="847">
        <v>72.78</v>
      </c>
      <c r="AC13" s="847">
        <v>79.48</v>
      </c>
      <c r="AD13" s="847">
        <v>86.33</v>
      </c>
      <c r="AE13" s="847">
        <v>93.16</v>
      </c>
      <c r="AF13" s="847">
        <v>99.87</v>
      </c>
      <c r="AG13" s="847">
        <v>106.7</v>
      </c>
      <c r="AH13" s="847">
        <v>113.42</v>
      </c>
      <c r="AI13" s="847">
        <v>120.25</v>
      </c>
      <c r="AJ13" s="848">
        <v>127.09</v>
      </c>
      <c r="AK13" s="690">
        <f t="shared" si="1"/>
        <v>133.93</v>
      </c>
      <c r="AL13" s="690">
        <f t="shared" si="0"/>
        <v>140.77000000000001</v>
      </c>
      <c r="AM13" s="690">
        <f t="shared" si="0"/>
        <v>147.61000000000001</v>
      </c>
      <c r="AN13" s="690">
        <f t="shared" si="0"/>
        <v>154.45000000000002</v>
      </c>
      <c r="AO13" s="690">
        <f t="shared" si="0"/>
        <v>161.29000000000002</v>
      </c>
      <c r="AP13" s="690">
        <f t="shared" si="0"/>
        <v>168.13000000000002</v>
      </c>
      <c r="AQ13" s="690">
        <f t="shared" si="0"/>
        <v>174.97000000000003</v>
      </c>
      <c r="AR13" s="690">
        <f t="shared" si="0"/>
        <v>181.81000000000003</v>
      </c>
    </row>
    <row r="14" spans="1:44">
      <c r="A14" s="1828"/>
      <c r="B14" s="1967"/>
      <c r="C14" s="1968"/>
      <c r="D14" s="230">
        <v>1.1000000000000001</v>
      </c>
      <c r="E14" s="78">
        <f>(Y14*KFC!$B$38+KFC!$C$38)*KFC!$C$5</f>
        <v>55.35</v>
      </c>
      <c r="F14" s="68">
        <f>(Z14*KFC!$B$38+KFC!$C$38)*KFC!$C$5</f>
        <v>62.33</v>
      </c>
      <c r="G14" s="68">
        <f>(AA14*KFC!$B$38+KFC!$C$38)*KFC!$C$5</f>
        <v>69.42</v>
      </c>
      <c r="H14" s="68">
        <f>(AB14*KFC!$B$38+KFC!$C$38)*KFC!$C$5</f>
        <v>76.52</v>
      </c>
      <c r="I14" s="68">
        <f>(AC14*KFC!$B$38+KFC!$C$38)*KFC!$C$5</f>
        <v>83.48</v>
      </c>
      <c r="J14" s="68">
        <f>(AD14*KFC!$B$38+KFC!$C$38)*KFC!$C$5</f>
        <v>90.57</v>
      </c>
      <c r="K14" s="68">
        <f>(AE14*KFC!$B$38+KFC!$C$38)*KFC!$C$5</f>
        <v>97.55</v>
      </c>
      <c r="L14" s="68">
        <f>(AF14*KFC!$B$38+KFC!$C$38)*KFC!$C$5</f>
        <v>104.64</v>
      </c>
      <c r="M14" s="68">
        <f>(AG14*KFC!$B$38+KFC!$C$38)*KFC!$C$5</f>
        <v>111.74</v>
      </c>
      <c r="N14" s="68">
        <f>(AH14*KFC!$B$38+KFC!$C$38)*KFC!$C$5</f>
        <v>118.71</v>
      </c>
      <c r="O14" s="68">
        <f>(AI14*KFC!$B$38+KFC!$C$38)*KFC!$C$5</f>
        <v>125.81</v>
      </c>
      <c r="P14" s="68">
        <f>(AJ14*KFC!$B$38+KFC!$C$38)*KFC!$C$5</f>
        <v>132.9</v>
      </c>
      <c r="Q14" s="68">
        <f>(AK14*KFC!$B$38+KFC!$C$38)*KFC!$C$5</f>
        <v>139.99</v>
      </c>
      <c r="R14" s="68">
        <f>(AL14*KFC!$B$38+KFC!$C$38)*KFC!$C$5</f>
        <v>147.08000000000001</v>
      </c>
      <c r="S14" s="68">
        <f>(AM14*KFC!$B$38+KFC!$C$38)*KFC!$C$5</f>
        <v>154.17000000000002</v>
      </c>
      <c r="T14" s="68">
        <f>(AN14*KFC!$B$38+KFC!$C$38)*KFC!$C$5</f>
        <v>161.26000000000002</v>
      </c>
      <c r="U14" s="68">
        <f>(AO14*KFC!$B$38+KFC!$C$38)*KFC!$C$5</f>
        <v>168.35000000000002</v>
      </c>
      <c r="V14" s="68">
        <f>(AP14*KFC!$B$38+KFC!$C$38)*KFC!$C$5</f>
        <v>175.44000000000003</v>
      </c>
      <c r="X14" s="851">
        <v>1.1000000000000001</v>
      </c>
      <c r="Y14" s="847">
        <v>55.35</v>
      </c>
      <c r="Z14" s="847">
        <v>62.33</v>
      </c>
      <c r="AA14" s="847">
        <v>69.42</v>
      </c>
      <c r="AB14" s="847">
        <v>76.52</v>
      </c>
      <c r="AC14" s="847">
        <v>83.48</v>
      </c>
      <c r="AD14" s="847">
        <v>90.57</v>
      </c>
      <c r="AE14" s="847">
        <v>97.55</v>
      </c>
      <c r="AF14" s="847">
        <v>104.64</v>
      </c>
      <c r="AG14" s="847">
        <v>111.74</v>
      </c>
      <c r="AH14" s="847">
        <v>118.71</v>
      </c>
      <c r="AI14" s="847">
        <v>125.81</v>
      </c>
      <c r="AJ14" s="848">
        <v>132.9</v>
      </c>
      <c r="AK14" s="690">
        <f t="shared" si="1"/>
        <v>139.99</v>
      </c>
      <c r="AL14" s="690">
        <f t="shared" si="0"/>
        <v>147.08000000000001</v>
      </c>
      <c r="AM14" s="690">
        <f t="shared" si="0"/>
        <v>154.17000000000002</v>
      </c>
      <c r="AN14" s="690">
        <f t="shared" si="0"/>
        <v>161.26000000000002</v>
      </c>
      <c r="AO14" s="690">
        <f t="shared" si="0"/>
        <v>168.35000000000002</v>
      </c>
      <c r="AP14" s="690">
        <f t="shared" si="0"/>
        <v>175.44000000000003</v>
      </c>
      <c r="AQ14" s="690">
        <f t="shared" si="0"/>
        <v>182.53000000000003</v>
      </c>
      <c r="AR14" s="690">
        <f t="shared" si="0"/>
        <v>189.62000000000003</v>
      </c>
    </row>
    <row r="15" spans="1:44">
      <c r="A15" s="1828"/>
      <c r="B15" s="1967"/>
      <c r="C15" s="1968"/>
      <c r="D15" s="230">
        <v>1.2</v>
      </c>
      <c r="E15" s="78">
        <f>(Y15*KFC!$B$38+KFC!$C$38)*KFC!$C$5</f>
        <v>58.19</v>
      </c>
      <c r="F15" s="68">
        <f>(Z15*KFC!$B$38+KFC!$C$38)*KFC!$C$5</f>
        <v>65.680000000000007</v>
      </c>
      <c r="G15" s="68">
        <f>(AA15*KFC!$B$38+KFC!$C$38)*KFC!$C$5</f>
        <v>72.900000000000006</v>
      </c>
      <c r="H15" s="68">
        <f>(AB15*KFC!$B$38+KFC!$C$38)*KFC!$C$5</f>
        <v>80.12</v>
      </c>
      <c r="I15" s="68">
        <f>(AC15*KFC!$B$38+KFC!$C$38)*KFC!$C$5</f>
        <v>87.48</v>
      </c>
      <c r="J15" s="68">
        <f>(AD15*KFC!$B$38+KFC!$C$38)*KFC!$C$5</f>
        <v>94.84</v>
      </c>
      <c r="K15" s="68">
        <f>(AE15*KFC!$B$38+KFC!$C$38)*KFC!$C$5</f>
        <v>102.06</v>
      </c>
      <c r="L15" s="68">
        <f>(AF15*KFC!$B$38+KFC!$C$38)*KFC!$C$5</f>
        <v>109.43</v>
      </c>
      <c r="M15" s="68">
        <f>(AG15*KFC!$B$38+KFC!$C$38)*KFC!$C$5</f>
        <v>116.78</v>
      </c>
      <c r="N15" s="68">
        <f>(AH15*KFC!$B$38+KFC!$C$38)*KFC!$C$5</f>
        <v>123.99</v>
      </c>
      <c r="O15" s="68">
        <f>(AI15*KFC!$B$38+KFC!$C$38)*KFC!$C$5</f>
        <v>131.36000000000001</v>
      </c>
      <c r="P15" s="68">
        <f>(AJ15*KFC!$B$38+KFC!$C$38)*KFC!$C$5</f>
        <v>138.58000000000001</v>
      </c>
      <c r="Q15" s="68">
        <f>(AK15*KFC!$B$38+KFC!$C$38)*KFC!$C$5</f>
        <v>145.80000000000001</v>
      </c>
      <c r="R15" s="68">
        <f>(AL15*KFC!$B$38+KFC!$C$38)*KFC!$C$5</f>
        <v>153.02000000000001</v>
      </c>
      <c r="S15" s="68">
        <f>(AM15*KFC!$B$38+KFC!$C$38)*KFC!$C$5</f>
        <v>160.24</v>
      </c>
      <c r="T15" s="68">
        <f>(AN15*KFC!$B$38+KFC!$C$38)*KFC!$C$5</f>
        <v>167.46</v>
      </c>
      <c r="U15" s="68">
        <f>(AO15*KFC!$B$38+KFC!$C$38)*KFC!$C$5</f>
        <v>174.68</v>
      </c>
      <c r="V15" s="68">
        <f>(AP15*KFC!$B$38+KFC!$C$38)*KFC!$C$5</f>
        <v>181.9</v>
      </c>
      <c r="X15" s="851">
        <v>1.2</v>
      </c>
      <c r="Y15" s="847">
        <v>58.19</v>
      </c>
      <c r="Z15" s="847">
        <v>65.680000000000007</v>
      </c>
      <c r="AA15" s="847">
        <v>72.900000000000006</v>
      </c>
      <c r="AB15" s="847">
        <v>80.12</v>
      </c>
      <c r="AC15" s="847">
        <v>87.48</v>
      </c>
      <c r="AD15" s="847">
        <v>94.84</v>
      </c>
      <c r="AE15" s="847">
        <v>102.06</v>
      </c>
      <c r="AF15" s="847">
        <v>109.43</v>
      </c>
      <c r="AG15" s="847">
        <v>116.78</v>
      </c>
      <c r="AH15" s="847">
        <v>123.99</v>
      </c>
      <c r="AI15" s="847">
        <v>131.36000000000001</v>
      </c>
      <c r="AJ15" s="848">
        <v>138.58000000000001</v>
      </c>
      <c r="AK15" s="690">
        <f t="shared" si="1"/>
        <v>145.80000000000001</v>
      </c>
      <c r="AL15" s="690">
        <f t="shared" si="0"/>
        <v>153.02000000000001</v>
      </c>
      <c r="AM15" s="690">
        <f t="shared" si="0"/>
        <v>160.24</v>
      </c>
      <c r="AN15" s="690">
        <f t="shared" si="0"/>
        <v>167.46</v>
      </c>
      <c r="AO15" s="690">
        <f t="shared" si="0"/>
        <v>174.68</v>
      </c>
      <c r="AP15" s="690">
        <f t="shared" si="0"/>
        <v>181.9</v>
      </c>
      <c r="AQ15" s="690">
        <f t="shared" si="0"/>
        <v>189.12</v>
      </c>
      <c r="AR15" s="690">
        <f t="shared" si="0"/>
        <v>196.34</v>
      </c>
    </row>
    <row r="16" spans="1:44">
      <c r="A16" s="1828"/>
      <c r="B16" s="1967"/>
      <c r="C16" s="1968"/>
      <c r="D16" s="230">
        <v>1.3</v>
      </c>
      <c r="E16" s="78">
        <f>(Y16*KFC!$B$38+KFC!$C$38)*KFC!$C$5</f>
        <v>61.29</v>
      </c>
      <c r="F16" s="68">
        <f>(Z16*KFC!$B$38+KFC!$C$38)*KFC!$C$5</f>
        <v>68.78</v>
      </c>
      <c r="G16" s="68">
        <f>(AA16*KFC!$B$38+KFC!$C$38)*KFC!$C$5</f>
        <v>76.38</v>
      </c>
      <c r="H16" s="68">
        <f>(AB16*KFC!$B$38+KFC!$C$38)*KFC!$C$5</f>
        <v>84</v>
      </c>
      <c r="I16" s="68">
        <f>(AC16*KFC!$B$38+KFC!$C$38)*KFC!$C$5</f>
        <v>91.49</v>
      </c>
      <c r="J16" s="68">
        <f>(AD16*KFC!$B$38+KFC!$C$38)*KFC!$C$5</f>
        <v>99.1</v>
      </c>
      <c r="K16" s="68">
        <f>(AE16*KFC!$B$38+KFC!$C$38)*KFC!$C$5</f>
        <v>106.7</v>
      </c>
      <c r="L16" s="68">
        <f>(AF16*KFC!$B$38+KFC!$C$38)*KFC!$C$5</f>
        <v>114.07</v>
      </c>
      <c r="M16" s="68">
        <f>(AG16*KFC!$B$38+KFC!$C$38)*KFC!$C$5</f>
        <v>121.68</v>
      </c>
      <c r="N16" s="68">
        <f>(AH16*KFC!$B$38+KFC!$C$38)*KFC!$C$5</f>
        <v>129.28</v>
      </c>
      <c r="O16" s="68">
        <f>(AI16*KFC!$B$38+KFC!$C$38)*KFC!$C$5</f>
        <v>136.77000000000001</v>
      </c>
      <c r="P16" s="68">
        <f>(AJ16*KFC!$B$38+KFC!$C$38)*KFC!$C$5</f>
        <v>144.38999999999999</v>
      </c>
      <c r="Q16" s="68">
        <f>(AK16*KFC!$B$38+KFC!$C$38)*KFC!$C$5</f>
        <v>152.00999999999996</v>
      </c>
      <c r="R16" s="68">
        <f>(AL16*KFC!$B$38+KFC!$C$38)*KFC!$C$5</f>
        <v>159.62999999999994</v>
      </c>
      <c r="S16" s="68">
        <f>(AM16*KFC!$B$38+KFC!$C$38)*KFC!$C$5</f>
        <v>167.24999999999991</v>
      </c>
      <c r="T16" s="68">
        <f>(AN16*KFC!$B$38+KFC!$C$38)*KFC!$C$5</f>
        <v>174.86999999999989</v>
      </c>
      <c r="U16" s="68">
        <f>(AO16*KFC!$B$38+KFC!$C$38)*KFC!$C$5</f>
        <v>182.48999999999987</v>
      </c>
      <c r="V16" s="68">
        <f>(AP16*KFC!$B$38+KFC!$C$38)*KFC!$C$5</f>
        <v>190.10999999999984</v>
      </c>
      <c r="X16" s="851">
        <v>1.3</v>
      </c>
      <c r="Y16" s="847">
        <v>61.29</v>
      </c>
      <c r="Z16" s="847">
        <v>68.78</v>
      </c>
      <c r="AA16" s="847">
        <v>76.38</v>
      </c>
      <c r="AB16" s="847">
        <v>84</v>
      </c>
      <c r="AC16" s="847">
        <v>91.49</v>
      </c>
      <c r="AD16" s="847">
        <v>99.1</v>
      </c>
      <c r="AE16" s="847">
        <v>106.7</v>
      </c>
      <c r="AF16" s="847">
        <v>114.07</v>
      </c>
      <c r="AG16" s="847">
        <v>121.68</v>
      </c>
      <c r="AH16" s="847">
        <v>129.28</v>
      </c>
      <c r="AI16" s="847">
        <v>136.77000000000001</v>
      </c>
      <c r="AJ16" s="848">
        <v>144.38999999999999</v>
      </c>
      <c r="AK16" s="690">
        <f t="shared" si="1"/>
        <v>152.00999999999996</v>
      </c>
      <c r="AL16" s="690">
        <f t="shared" si="0"/>
        <v>159.62999999999994</v>
      </c>
      <c r="AM16" s="690">
        <f t="shared" si="0"/>
        <v>167.24999999999991</v>
      </c>
      <c r="AN16" s="690">
        <f t="shared" si="0"/>
        <v>174.86999999999989</v>
      </c>
      <c r="AO16" s="690">
        <f t="shared" si="0"/>
        <v>182.48999999999987</v>
      </c>
      <c r="AP16" s="690">
        <f t="shared" si="0"/>
        <v>190.10999999999984</v>
      </c>
      <c r="AQ16" s="690">
        <f t="shared" si="0"/>
        <v>197.72999999999982</v>
      </c>
      <c r="AR16" s="690">
        <f t="shared" si="0"/>
        <v>205.3499999999998</v>
      </c>
    </row>
    <row r="17" spans="1:44">
      <c r="A17" s="1828"/>
      <c r="B17" s="1967"/>
      <c r="C17" s="1968"/>
      <c r="D17" s="230">
        <v>1.4</v>
      </c>
      <c r="E17" s="78">
        <f>(Y17*KFC!$B$38+KFC!$C$38)*KFC!$C$5</f>
        <v>64.12</v>
      </c>
      <c r="F17" s="68">
        <f>(Z17*KFC!$B$38+KFC!$C$38)*KFC!$C$5</f>
        <v>72.010000000000005</v>
      </c>
      <c r="G17" s="68">
        <f>(AA17*KFC!$B$38+KFC!$C$38)*KFC!$C$5</f>
        <v>79.75</v>
      </c>
      <c r="H17" s="68">
        <f>(AB17*KFC!$B$38+KFC!$C$38)*KFC!$C$5</f>
        <v>87.62</v>
      </c>
      <c r="I17" s="68">
        <f>(AC17*KFC!$B$38+KFC!$C$38)*KFC!$C$5</f>
        <v>95.48</v>
      </c>
      <c r="J17" s="68">
        <f>(AD17*KFC!$B$38+KFC!$C$38)*KFC!$C$5</f>
        <v>103.22</v>
      </c>
      <c r="K17" s="68">
        <f>(AE17*KFC!$B$38+KFC!$C$38)*KFC!$C$5</f>
        <v>111.09</v>
      </c>
      <c r="L17" s="68">
        <f>(AF17*KFC!$B$38+KFC!$C$38)*KFC!$C$5</f>
        <v>118.97</v>
      </c>
      <c r="M17" s="68">
        <f>(AG17*KFC!$B$38+KFC!$C$38)*KFC!$C$5</f>
        <v>126.7</v>
      </c>
      <c r="N17" s="68">
        <f>(AH17*KFC!$B$38+KFC!$C$38)*KFC!$C$5</f>
        <v>134.59</v>
      </c>
      <c r="O17" s="68">
        <f>(AI17*KFC!$B$38+KFC!$C$38)*KFC!$C$5</f>
        <v>142.44999999999999</v>
      </c>
      <c r="P17" s="68">
        <f>(AJ17*KFC!$B$38+KFC!$C$38)*KFC!$C$5</f>
        <v>150.19</v>
      </c>
      <c r="Q17" s="68">
        <f>(AK17*KFC!$B$38+KFC!$C$38)*KFC!$C$5</f>
        <v>157.93</v>
      </c>
      <c r="R17" s="68">
        <f>(AL17*KFC!$B$38+KFC!$C$38)*KFC!$C$5</f>
        <v>165.67000000000002</v>
      </c>
      <c r="S17" s="68">
        <f>(AM17*KFC!$B$38+KFC!$C$38)*KFC!$C$5</f>
        <v>173.41000000000003</v>
      </c>
      <c r="T17" s="68">
        <f>(AN17*KFC!$B$38+KFC!$C$38)*KFC!$C$5</f>
        <v>181.15000000000003</v>
      </c>
      <c r="U17" s="68">
        <f>(AO17*KFC!$B$38+KFC!$C$38)*KFC!$C$5</f>
        <v>188.89000000000004</v>
      </c>
      <c r="V17" s="68">
        <f>(AP17*KFC!$B$38+KFC!$C$38)*KFC!$C$5</f>
        <v>196.63000000000005</v>
      </c>
      <c r="X17" s="851">
        <v>1.4</v>
      </c>
      <c r="Y17" s="847">
        <v>64.12</v>
      </c>
      <c r="Z17" s="847">
        <v>72.010000000000005</v>
      </c>
      <c r="AA17" s="847">
        <v>79.75</v>
      </c>
      <c r="AB17" s="847">
        <v>87.62</v>
      </c>
      <c r="AC17" s="847">
        <v>95.48</v>
      </c>
      <c r="AD17" s="847">
        <v>103.22</v>
      </c>
      <c r="AE17" s="847">
        <v>111.09</v>
      </c>
      <c r="AF17" s="847">
        <v>118.97</v>
      </c>
      <c r="AG17" s="847">
        <v>126.7</v>
      </c>
      <c r="AH17" s="847">
        <v>134.59</v>
      </c>
      <c r="AI17" s="847">
        <v>142.44999999999999</v>
      </c>
      <c r="AJ17" s="848">
        <v>150.19</v>
      </c>
      <c r="AK17" s="690">
        <f t="shared" si="1"/>
        <v>157.93</v>
      </c>
      <c r="AL17" s="690">
        <f t="shared" si="0"/>
        <v>165.67000000000002</v>
      </c>
      <c r="AM17" s="690">
        <f t="shared" si="0"/>
        <v>173.41000000000003</v>
      </c>
      <c r="AN17" s="690">
        <f t="shared" si="0"/>
        <v>181.15000000000003</v>
      </c>
      <c r="AO17" s="690">
        <f t="shared" si="0"/>
        <v>188.89000000000004</v>
      </c>
      <c r="AP17" s="690">
        <f t="shared" si="0"/>
        <v>196.63000000000005</v>
      </c>
      <c r="AQ17" s="690">
        <f t="shared" si="0"/>
        <v>204.37000000000006</v>
      </c>
      <c r="AR17" s="690">
        <f t="shared" si="0"/>
        <v>212.11000000000007</v>
      </c>
    </row>
    <row r="18" spans="1:44">
      <c r="A18" s="1828"/>
      <c r="B18" s="1967"/>
      <c r="C18" s="1968"/>
      <c r="D18" s="230">
        <v>1.5</v>
      </c>
      <c r="E18" s="78">
        <f>(Y18*KFC!$B$38+KFC!$C$38)*KFC!$C$5</f>
        <v>67.099999999999994</v>
      </c>
      <c r="F18" s="68">
        <f>(Z18*KFC!$B$38+KFC!$C$38)*KFC!$C$5</f>
        <v>75.09</v>
      </c>
      <c r="G18" s="68">
        <f>(AA18*KFC!$B$38+KFC!$C$38)*KFC!$C$5</f>
        <v>83.23</v>
      </c>
      <c r="H18" s="68">
        <f>(AB18*KFC!$B$38+KFC!$C$38)*KFC!$C$5</f>
        <v>91.36</v>
      </c>
      <c r="I18" s="68">
        <f>(AC18*KFC!$B$38+KFC!$C$38)*KFC!$C$5</f>
        <v>99.35</v>
      </c>
      <c r="J18" s="68">
        <f>(AD18*KFC!$B$38+KFC!$C$38)*KFC!$C$5</f>
        <v>107.49</v>
      </c>
      <c r="K18" s="68">
        <f>(AE18*KFC!$B$38+KFC!$C$38)*KFC!$C$5</f>
        <v>115.61</v>
      </c>
      <c r="L18" s="68">
        <f>(AF18*KFC!$B$38+KFC!$C$38)*KFC!$C$5</f>
        <v>123.74</v>
      </c>
      <c r="M18" s="68">
        <f>(AG18*KFC!$B$38+KFC!$C$38)*KFC!$C$5</f>
        <v>131.74</v>
      </c>
      <c r="N18" s="68">
        <f>(AH18*KFC!$B$38+KFC!$C$38)*KFC!$C$5</f>
        <v>140</v>
      </c>
      <c r="O18" s="68">
        <f>(AI18*KFC!$B$38+KFC!$C$38)*KFC!$C$5</f>
        <v>147.99</v>
      </c>
      <c r="P18" s="68">
        <f>(AJ18*KFC!$B$38+KFC!$C$38)*KFC!$C$5</f>
        <v>156.12</v>
      </c>
      <c r="Q18" s="68">
        <f>(AK18*KFC!$B$38+KFC!$C$38)*KFC!$C$5</f>
        <v>164.25</v>
      </c>
      <c r="R18" s="68">
        <f>(AL18*KFC!$B$38+KFC!$C$38)*KFC!$C$5</f>
        <v>172.38</v>
      </c>
      <c r="S18" s="68">
        <f>(AM18*KFC!$B$38+KFC!$C$38)*KFC!$C$5</f>
        <v>180.51</v>
      </c>
      <c r="T18" s="68">
        <f>(AN18*KFC!$B$38+KFC!$C$38)*KFC!$C$5</f>
        <v>188.64</v>
      </c>
      <c r="U18" s="68">
        <f>(AO18*KFC!$B$38+KFC!$C$38)*KFC!$C$5</f>
        <v>196.76999999999998</v>
      </c>
      <c r="V18" s="68">
        <f>(AP18*KFC!$B$38+KFC!$C$38)*KFC!$C$5</f>
        <v>204.89999999999998</v>
      </c>
      <c r="X18" s="851">
        <v>1.5</v>
      </c>
      <c r="Y18" s="847">
        <v>67.099999999999994</v>
      </c>
      <c r="Z18" s="847">
        <v>75.09</v>
      </c>
      <c r="AA18" s="847">
        <v>83.23</v>
      </c>
      <c r="AB18" s="847">
        <v>91.36</v>
      </c>
      <c r="AC18" s="847">
        <v>99.35</v>
      </c>
      <c r="AD18" s="847">
        <v>107.49</v>
      </c>
      <c r="AE18" s="847">
        <v>115.61</v>
      </c>
      <c r="AF18" s="847">
        <v>123.74</v>
      </c>
      <c r="AG18" s="847">
        <v>131.74</v>
      </c>
      <c r="AH18" s="847">
        <v>140</v>
      </c>
      <c r="AI18" s="847">
        <v>147.99</v>
      </c>
      <c r="AJ18" s="848">
        <v>156.12</v>
      </c>
      <c r="AK18" s="690">
        <f t="shared" si="1"/>
        <v>164.25</v>
      </c>
      <c r="AL18" s="690">
        <f t="shared" si="0"/>
        <v>172.38</v>
      </c>
      <c r="AM18" s="690">
        <f t="shared" si="0"/>
        <v>180.51</v>
      </c>
      <c r="AN18" s="690">
        <f t="shared" si="0"/>
        <v>188.64</v>
      </c>
      <c r="AO18" s="690">
        <f t="shared" si="0"/>
        <v>196.76999999999998</v>
      </c>
      <c r="AP18" s="690">
        <f t="shared" si="0"/>
        <v>204.89999999999998</v>
      </c>
      <c r="AQ18" s="690">
        <f t="shared" si="0"/>
        <v>213.02999999999997</v>
      </c>
      <c r="AR18" s="690">
        <f t="shared" si="0"/>
        <v>221.15999999999997</v>
      </c>
    </row>
    <row r="19" spans="1:44">
      <c r="A19" s="1828"/>
      <c r="B19" s="1967"/>
      <c r="C19" s="1968"/>
      <c r="D19" s="230">
        <v>1.6</v>
      </c>
      <c r="E19" s="78">
        <f>(Y19*KFC!$B$38+KFC!$C$38)*KFC!$C$5</f>
        <v>69.930000000000007</v>
      </c>
      <c r="F19" s="68">
        <f>(Z19*KFC!$B$38+KFC!$C$38)*KFC!$C$5</f>
        <v>78.319999999999993</v>
      </c>
      <c r="G19" s="68">
        <f>(AA19*KFC!$B$38+KFC!$C$38)*KFC!$C$5</f>
        <v>86.58</v>
      </c>
      <c r="H19" s="68">
        <f>(AB19*KFC!$B$38+KFC!$C$38)*KFC!$C$5</f>
        <v>94.96</v>
      </c>
      <c r="I19" s="68">
        <f>(AC19*KFC!$B$38+KFC!$C$38)*KFC!$C$5</f>
        <v>103.36</v>
      </c>
      <c r="J19" s="68">
        <f>(AD19*KFC!$B$38+KFC!$C$38)*KFC!$C$5</f>
        <v>111.74</v>
      </c>
      <c r="K19" s="68">
        <f>(AE19*KFC!$B$38+KFC!$C$38)*KFC!$C$5</f>
        <v>120.12</v>
      </c>
      <c r="L19" s="68">
        <f>(AF19*KFC!$B$38+KFC!$C$38)*KFC!$C$5</f>
        <v>128.51</v>
      </c>
      <c r="M19" s="68">
        <f>(AG19*KFC!$B$38+KFC!$C$38)*KFC!$C$5</f>
        <v>136.77000000000001</v>
      </c>
      <c r="N19" s="68">
        <f>(AH19*KFC!$B$38+KFC!$C$38)*KFC!$C$5</f>
        <v>145.16</v>
      </c>
      <c r="O19" s="68">
        <f>(AI19*KFC!$B$38+KFC!$C$38)*KFC!$C$5</f>
        <v>153.55000000000001</v>
      </c>
      <c r="P19" s="68">
        <f>(AJ19*KFC!$B$38+KFC!$C$38)*KFC!$C$5</f>
        <v>161.93</v>
      </c>
      <c r="Q19" s="68">
        <f>(AK19*KFC!$B$38+KFC!$C$38)*KFC!$C$5</f>
        <v>170.31</v>
      </c>
      <c r="R19" s="68">
        <f>(AL19*KFC!$B$38+KFC!$C$38)*KFC!$C$5</f>
        <v>178.69</v>
      </c>
      <c r="S19" s="68">
        <f>(AM19*KFC!$B$38+KFC!$C$38)*KFC!$C$5</f>
        <v>187.07</v>
      </c>
      <c r="T19" s="68">
        <f>(AN19*KFC!$B$38+KFC!$C$38)*KFC!$C$5</f>
        <v>195.45</v>
      </c>
      <c r="U19" s="68">
        <f>(AO19*KFC!$B$38+KFC!$C$38)*KFC!$C$5</f>
        <v>203.82999999999998</v>
      </c>
      <c r="V19" s="68">
        <f>(AP19*KFC!$B$38+KFC!$C$38)*KFC!$C$5</f>
        <v>212.20999999999998</v>
      </c>
      <c r="X19" s="851">
        <v>1.6</v>
      </c>
      <c r="Y19" s="847">
        <v>69.930000000000007</v>
      </c>
      <c r="Z19" s="847">
        <v>78.319999999999993</v>
      </c>
      <c r="AA19" s="847">
        <v>86.58</v>
      </c>
      <c r="AB19" s="847">
        <v>94.96</v>
      </c>
      <c r="AC19" s="847">
        <v>103.36</v>
      </c>
      <c r="AD19" s="847">
        <v>111.74</v>
      </c>
      <c r="AE19" s="847">
        <v>120.12</v>
      </c>
      <c r="AF19" s="847">
        <v>128.51</v>
      </c>
      <c r="AG19" s="847">
        <v>136.77000000000001</v>
      </c>
      <c r="AH19" s="847">
        <v>145.16</v>
      </c>
      <c r="AI19" s="847">
        <v>153.55000000000001</v>
      </c>
      <c r="AJ19" s="848">
        <v>161.93</v>
      </c>
      <c r="AK19" s="690">
        <f t="shared" si="1"/>
        <v>170.31</v>
      </c>
      <c r="AL19" s="690">
        <f t="shared" si="0"/>
        <v>178.69</v>
      </c>
      <c r="AM19" s="690">
        <f t="shared" si="0"/>
        <v>187.07</v>
      </c>
      <c r="AN19" s="690">
        <f t="shared" si="0"/>
        <v>195.45</v>
      </c>
      <c r="AO19" s="690">
        <f t="shared" si="0"/>
        <v>203.82999999999998</v>
      </c>
      <c r="AP19" s="690">
        <f t="shared" si="0"/>
        <v>212.20999999999998</v>
      </c>
      <c r="AQ19" s="690">
        <f t="shared" si="0"/>
        <v>220.58999999999997</v>
      </c>
      <c r="AR19" s="690">
        <f t="shared" si="0"/>
        <v>228.96999999999997</v>
      </c>
    </row>
    <row r="20" spans="1:44">
      <c r="A20" s="1828"/>
      <c r="B20" s="1967"/>
      <c r="C20" s="1968"/>
      <c r="D20" s="230">
        <v>1.7</v>
      </c>
      <c r="E20" s="78">
        <f>(Y20*KFC!$B$38+KFC!$C$38)*KFC!$C$5</f>
        <v>72.900000000000006</v>
      </c>
      <c r="F20" s="68">
        <f>(Z20*KFC!$B$38+KFC!$C$38)*KFC!$C$5</f>
        <v>81.41</v>
      </c>
      <c r="G20" s="68">
        <f>(AA20*KFC!$B$38+KFC!$C$38)*KFC!$C$5</f>
        <v>90.07</v>
      </c>
      <c r="H20" s="68">
        <f>(AB20*KFC!$B$38+KFC!$C$38)*KFC!$C$5</f>
        <v>98.84</v>
      </c>
      <c r="I20" s="68">
        <f>(AC20*KFC!$B$38+KFC!$C$38)*KFC!$C$5</f>
        <v>107.35</v>
      </c>
      <c r="J20" s="68">
        <f>(AD20*KFC!$B$38+KFC!$C$38)*KFC!$C$5</f>
        <v>116.01</v>
      </c>
      <c r="K20" s="68">
        <f>(AE20*KFC!$B$38+KFC!$C$38)*KFC!$C$5</f>
        <v>124.64</v>
      </c>
      <c r="L20" s="68">
        <f>(AF20*KFC!$B$38+KFC!$C$38)*KFC!$C$5</f>
        <v>133.16</v>
      </c>
      <c r="M20" s="68">
        <f>(AG20*KFC!$B$38+KFC!$C$38)*KFC!$C$5</f>
        <v>141.81</v>
      </c>
      <c r="N20" s="68">
        <f>(AH20*KFC!$B$38+KFC!$C$38)*KFC!$C$5</f>
        <v>150.57</v>
      </c>
      <c r="O20" s="68">
        <f>(AI20*KFC!$B$38+KFC!$C$38)*KFC!$C$5</f>
        <v>159.1</v>
      </c>
      <c r="P20" s="68">
        <f>(AJ20*KFC!$B$38+KFC!$C$38)*KFC!$C$5</f>
        <v>167.74</v>
      </c>
      <c r="Q20" s="68">
        <f>(AK20*KFC!$B$38+KFC!$C$38)*KFC!$C$5</f>
        <v>176.38000000000002</v>
      </c>
      <c r="R20" s="68">
        <f>(AL20*KFC!$B$38+KFC!$C$38)*KFC!$C$5</f>
        <v>185.02000000000004</v>
      </c>
      <c r="S20" s="68">
        <f>(AM20*KFC!$B$38+KFC!$C$38)*KFC!$C$5</f>
        <v>193.66000000000005</v>
      </c>
      <c r="T20" s="68">
        <f>(AN20*KFC!$B$38+KFC!$C$38)*KFC!$C$5</f>
        <v>202.30000000000007</v>
      </c>
      <c r="U20" s="68">
        <f>(AO20*KFC!$B$38+KFC!$C$38)*KFC!$C$5</f>
        <v>210.94000000000008</v>
      </c>
      <c r="V20" s="68">
        <f>(AP20*KFC!$B$38+KFC!$C$38)*KFC!$C$5</f>
        <v>219.5800000000001</v>
      </c>
      <c r="X20" s="851">
        <v>1.7</v>
      </c>
      <c r="Y20" s="847">
        <v>72.900000000000006</v>
      </c>
      <c r="Z20" s="847">
        <v>81.41</v>
      </c>
      <c r="AA20" s="847">
        <v>90.07</v>
      </c>
      <c r="AB20" s="847">
        <v>98.84</v>
      </c>
      <c r="AC20" s="847">
        <v>107.35</v>
      </c>
      <c r="AD20" s="847">
        <v>116.01</v>
      </c>
      <c r="AE20" s="847">
        <v>124.64</v>
      </c>
      <c r="AF20" s="847">
        <v>133.16</v>
      </c>
      <c r="AG20" s="847">
        <v>141.81</v>
      </c>
      <c r="AH20" s="847">
        <v>150.57</v>
      </c>
      <c r="AI20" s="847">
        <v>159.1</v>
      </c>
      <c r="AJ20" s="848">
        <v>167.74</v>
      </c>
      <c r="AK20" s="690">
        <f t="shared" si="1"/>
        <v>176.38000000000002</v>
      </c>
      <c r="AL20" s="690">
        <f t="shared" si="0"/>
        <v>185.02000000000004</v>
      </c>
      <c r="AM20" s="690">
        <f t="shared" si="0"/>
        <v>193.66000000000005</v>
      </c>
      <c r="AN20" s="690">
        <f t="shared" si="0"/>
        <v>202.30000000000007</v>
      </c>
      <c r="AO20" s="690">
        <f t="shared" si="0"/>
        <v>210.94000000000008</v>
      </c>
      <c r="AP20" s="690">
        <f t="shared" si="0"/>
        <v>219.5800000000001</v>
      </c>
      <c r="AQ20" s="690">
        <f t="shared" si="0"/>
        <v>228.22000000000011</v>
      </c>
      <c r="AR20" s="690">
        <f t="shared" si="0"/>
        <v>236.86000000000013</v>
      </c>
    </row>
    <row r="21" spans="1:44" ht="13.8" thickBot="1">
      <c r="A21" s="1829"/>
      <c r="B21" s="1969"/>
      <c r="C21" s="1970"/>
      <c r="D21" s="231">
        <v>1.8</v>
      </c>
      <c r="E21" s="108">
        <f>(Y21*KFC!$B$38+KFC!$C$38)*KFC!$C$5</f>
        <v>75.739999999999995</v>
      </c>
      <c r="F21" s="109">
        <f>(Z21*KFC!$B$38+KFC!$C$38)*KFC!$C$5</f>
        <v>84.65</v>
      </c>
      <c r="G21" s="109">
        <f>(AA21*KFC!$B$38+KFC!$C$38)*KFC!$C$5</f>
        <v>93.54</v>
      </c>
      <c r="H21" s="109">
        <f>(AB21*KFC!$B$38+KFC!$C$38)*KFC!$C$5</f>
        <v>102.45</v>
      </c>
      <c r="I21" s="109">
        <f>(AC21*KFC!$B$38+KFC!$C$38)*KFC!$C$5</f>
        <v>111.22</v>
      </c>
      <c r="J21" s="109">
        <f>(AD21*KFC!$B$38+KFC!$C$38)*KFC!$C$5</f>
        <v>120.25</v>
      </c>
      <c r="K21" s="109">
        <f>(AE21*KFC!$B$38+KFC!$C$38)*KFC!$C$5</f>
        <v>129.03</v>
      </c>
      <c r="L21" s="109">
        <f>(AF21*KFC!$B$38+KFC!$C$38)*KFC!$C$5</f>
        <v>138.06</v>
      </c>
      <c r="M21" s="109">
        <f>(AG21*KFC!$B$38+KFC!$C$38)*KFC!$C$5</f>
        <v>146.97</v>
      </c>
      <c r="N21" s="109">
        <f>(AH21*KFC!$B$38+KFC!$C$38)*KFC!$C$5</f>
        <v>155.74</v>
      </c>
      <c r="O21" s="109">
        <f>(AI21*KFC!$B$38+KFC!$C$38)*KFC!$C$5</f>
        <v>164.77</v>
      </c>
      <c r="P21" s="109">
        <f>(AJ21*KFC!$B$38+KFC!$C$38)*KFC!$C$5</f>
        <v>173.55</v>
      </c>
      <c r="Q21" s="109">
        <f>(AK21*KFC!$B$38+KFC!$C$38)*KFC!$C$5</f>
        <v>182.33</v>
      </c>
      <c r="R21" s="109">
        <f>(AL21*KFC!$B$38+KFC!$C$38)*KFC!$C$5</f>
        <v>191.11</v>
      </c>
      <c r="S21" s="109">
        <f>(AM21*KFC!$B$38+KFC!$C$38)*KFC!$C$5</f>
        <v>199.89000000000001</v>
      </c>
      <c r="T21" s="109">
        <f>(AN21*KFC!$B$38+KFC!$C$38)*KFC!$C$5</f>
        <v>208.67000000000002</v>
      </c>
      <c r="U21" s="109">
        <f>(AO21*KFC!$B$38+KFC!$C$38)*KFC!$C$5</f>
        <v>217.45000000000002</v>
      </c>
      <c r="V21" s="109">
        <f>(AP21*KFC!$B$38+KFC!$C$38)*KFC!$C$5</f>
        <v>226.23000000000002</v>
      </c>
      <c r="X21" s="851">
        <v>1.8</v>
      </c>
      <c r="Y21" s="847">
        <v>75.739999999999995</v>
      </c>
      <c r="Z21" s="847">
        <v>84.65</v>
      </c>
      <c r="AA21" s="847">
        <v>93.54</v>
      </c>
      <c r="AB21" s="847">
        <v>102.45</v>
      </c>
      <c r="AC21" s="847">
        <v>111.22</v>
      </c>
      <c r="AD21" s="847">
        <v>120.25</v>
      </c>
      <c r="AE21" s="847">
        <v>129.03</v>
      </c>
      <c r="AF21" s="847">
        <v>138.06</v>
      </c>
      <c r="AG21" s="847">
        <v>146.97</v>
      </c>
      <c r="AH21" s="847">
        <v>155.74</v>
      </c>
      <c r="AI21" s="847">
        <v>164.77</v>
      </c>
      <c r="AJ21" s="848">
        <v>173.55</v>
      </c>
      <c r="AK21" s="690">
        <f t="shared" si="1"/>
        <v>182.33</v>
      </c>
      <c r="AL21" s="690">
        <f t="shared" si="0"/>
        <v>191.11</v>
      </c>
      <c r="AM21" s="690">
        <f t="shared" si="0"/>
        <v>199.89000000000001</v>
      </c>
      <c r="AN21" s="690">
        <f t="shared" si="0"/>
        <v>208.67000000000002</v>
      </c>
      <c r="AO21" s="690">
        <f t="shared" si="0"/>
        <v>217.45000000000002</v>
      </c>
      <c r="AP21" s="690">
        <f t="shared" si="0"/>
        <v>226.23000000000002</v>
      </c>
      <c r="AQ21" s="690">
        <f t="shared" si="0"/>
        <v>235.01000000000002</v>
      </c>
      <c r="AR21" s="690">
        <f t="shared" si="0"/>
        <v>243.79000000000002</v>
      </c>
    </row>
    <row r="22" spans="1:44" ht="13.8" thickBot="1">
      <c r="A22" s="186"/>
      <c r="B22" s="186"/>
      <c r="C22" s="186"/>
      <c r="D22" s="184"/>
      <c r="E22" s="178"/>
      <c r="F22" s="178"/>
      <c r="G22" s="178"/>
      <c r="H22" s="178"/>
      <c r="I22" s="178"/>
      <c r="J22" s="178"/>
      <c r="K22" s="178"/>
      <c r="L22" s="178"/>
      <c r="M22" s="178"/>
      <c r="N22" s="178"/>
      <c r="O22" s="178"/>
      <c r="P22" s="178"/>
    </row>
    <row r="23" spans="1:44" ht="13.5" customHeight="1" thickBot="1">
      <c r="A23" s="1413" t="s">
        <v>315</v>
      </c>
      <c r="B23" s="1414"/>
      <c r="C23" s="1414"/>
      <c r="D23" s="1415"/>
      <c r="E23" s="1534" t="s">
        <v>207</v>
      </c>
      <c r="F23" s="1535"/>
      <c r="G23" s="1535"/>
      <c r="H23" s="1535"/>
      <c r="I23" s="1535"/>
      <c r="J23" s="1535"/>
      <c r="K23" s="1535"/>
      <c r="L23" s="1535"/>
      <c r="M23" s="1535"/>
      <c r="N23" s="1535"/>
      <c r="O23" s="1535"/>
      <c r="P23" s="1535"/>
      <c r="Q23" s="1535"/>
      <c r="R23" s="1535"/>
      <c r="S23" s="1535"/>
      <c r="T23" s="1535"/>
      <c r="U23" s="1535"/>
      <c r="V23" s="1535"/>
    </row>
    <row r="24" spans="1:44" ht="13.8" thickBot="1">
      <c r="A24" s="1803"/>
      <c r="B24" s="1910"/>
      <c r="C24" s="1910"/>
      <c r="D24" s="1802"/>
      <c r="E24" s="119">
        <v>0.4</v>
      </c>
      <c r="F24" s="119">
        <v>0.5</v>
      </c>
      <c r="G24" s="119">
        <v>0.6</v>
      </c>
      <c r="H24" s="119">
        <v>0.7</v>
      </c>
      <c r="I24" s="119">
        <v>0.8</v>
      </c>
      <c r="J24" s="119">
        <v>0.9</v>
      </c>
      <c r="K24" s="119">
        <v>1</v>
      </c>
      <c r="L24" s="119">
        <v>1.1000000000000001</v>
      </c>
      <c r="M24" s="119">
        <v>1.2</v>
      </c>
      <c r="N24" s="119">
        <v>1.3</v>
      </c>
      <c r="O24" s="119">
        <v>1.4</v>
      </c>
      <c r="P24" s="119">
        <v>1.5</v>
      </c>
      <c r="Q24" s="119">
        <v>1.6</v>
      </c>
      <c r="R24" s="119">
        <v>1.7</v>
      </c>
      <c r="S24" s="119">
        <v>1.8</v>
      </c>
      <c r="T24" s="119">
        <v>1.9</v>
      </c>
      <c r="U24" s="119">
        <v>2</v>
      </c>
      <c r="V24" s="119">
        <v>2.1</v>
      </c>
      <c r="X24" s="850"/>
      <c r="Y24" s="851">
        <v>0.4</v>
      </c>
      <c r="Z24" s="851">
        <v>0.5</v>
      </c>
      <c r="AA24" s="851">
        <v>0.6</v>
      </c>
      <c r="AB24" s="851">
        <v>0.7</v>
      </c>
      <c r="AC24" s="851">
        <v>0.8</v>
      </c>
      <c r="AD24" s="851">
        <v>0.9</v>
      </c>
      <c r="AE24" s="851">
        <v>1</v>
      </c>
      <c r="AF24" s="851">
        <v>1.1000000000000001</v>
      </c>
      <c r="AG24" s="851">
        <v>1.2</v>
      </c>
      <c r="AH24" s="851">
        <v>1.3</v>
      </c>
      <c r="AI24" s="851">
        <v>1.4</v>
      </c>
      <c r="AJ24" s="852">
        <v>1.5</v>
      </c>
      <c r="AK24" s="853">
        <v>1.6</v>
      </c>
      <c r="AL24" s="853">
        <v>1.7</v>
      </c>
      <c r="AM24" s="853">
        <v>1.8</v>
      </c>
      <c r="AN24" s="853">
        <v>1.9</v>
      </c>
      <c r="AO24" s="853">
        <v>2</v>
      </c>
      <c r="AP24" s="853">
        <v>2.1</v>
      </c>
      <c r="AQ24" s="853">
        <v>2.2000000000000002</v>
      </c>
      <c r="AR24" s="853">
        <v>2.2999999999999998</v>
      </c>
    </row>
    <row r="25" spans="1:44" ht="12.75" customHeight="1">
      <c r="A25" s="2000" t="s">
        <v>3</v>
      </c>
      <c r="B25" s="2001"/>
      <c r="C25" s="2002"/>
      <c r="D25" s="232">
        <v>0.5</v>
      </c>
      <c r="E25" s="76">
        <f>(Y25*KFC!$B$38+KFC!$C$38)*KFC!$C$5</f>
        <v>44.12</v>
      </c>
      <c r="F25" s="77">
        <f>(Z25*KFC!$B$38+KFC!$C$38)*KFC!$C$5</f>
        <v>51.22</v>
      </c>
      <c r="G25" s="77">
        <f>(AA25*KFC!$B$38+KFC!$C$38)*KFC!$C$5</f>
        <v>58.59</v>
      </c>
      <c r="H25" s="77">
        <f>(AB25*KFC!$B$38+KFC!$C$38)*KFC!$C$5</f>
        <v>65.680000000000007</v>
      </c>
      <c r="I25" s="77">
        <f>(AC25*KFC!$B$38+KFC!$C$38)*KFC!$C$5</f>
        <v>72.900000000000006</v>
      </c>
      <c r="J25" s="77">
        <f>(AD25*KFC!$B$38+KFC!$C$38)*KFC!$C$5</f>
        <v>80</v>
      </c>
      <c r="K25" s="77">
        <f>(AE25*KFC!$B$38+KFC!$C$38)*KFC!$C$5</f>
        <v>87.22</v>
      </c>
      <c r="L25" s="77">
        <f>(AF25*KFC!$B$38+KFC!$C$38)*KFC!$C$5</f>
        <v>94.31</v>
      </c>
      <c r="M25" s="77">
        <f>(AG25*KFC!$B$38+KFC!$C$38)*KFC!$C$5</f>
        <v>101.68</v>
      </c>
      <c r="N25" s="77">
        <f>(AH25*KFC!$B$38+KFC!$C$38)*KFC!$C$5</f>
        <v>108.78</v>
      </c>
      <c r="O25" s="77">
        <f>(AI25*KFC!$B$38+KFC!$C$38)*KFC!$C$5</f>
        <v>116.01</v>
      </c>
      <c r="P25" s="77">
        <f>(AJ25*KFC!$B$38+KFC!$C$38)*KFC!$C$5</f>
        <v>123.1</v>
      </c>
      <c r="Q25" s="77">
        <f>(AK25*KFC!$B$38+KFC!$C$38)*KFC!$C$5</f>
        <v>130.19</v>
      </c>
      <c r="R25" s="77">
        <f>(AL25*KFC!$B$38+KFC!$C$38)*KFC!$C$5</f>
        <v>137.28</v>
      </c>
      <c r="S25" s="77">
        <f>(AM25*KFC!$B$38+KFC!$C$38)*KFC!$C$5</f>
        <v>144.37</v>
      </c>
      <c r="T25" s="77">
        <f>(AN25*KFC!$B$38+KFC!$C$38)*KFC!$C$5</f>
        <v>151.46</v>
      </c>
      <c r="U25" s="77">
        <f>(AO25*KFC!$B$38+KFC!$C$38)*KFC!$C$5</f>
        <v>158.55000000000001</v>
      </c>
      <c r="V25" s="77">
        <f>(AP25*KFC!$B$38+KFC!$C$38)*KFC!$C$5</f>
        <v>165.64000000000001</v>
      </c>
      <c r="X25" s="851">
        <v>0.5</v>
      </c>
      <c r="Y25" s="847">
        <v>44.12</v>
      </c>
      <c r="Z25" s="847">
        <v>51.22</v>
      </c>
      <c r="AA25" s="847">
        <v>58.59</v>
      </c>
      <c r="AB25" s="847">
        <v>65.680000000000007</v>
      </c>
      <c r="AC25" s="847">
        <v>72.900000000000006</v>
      </c>
      <c r="AD25" s="847">
        <v>80</v>
      </c>
      <c r="AE25" s="847">
        <v>87.22</v>
      </c>
      <c r="AF25" s="847">
        <v>94.31</v>
      </c>
      <c r="AG25" s="847">
        <v>101.68</v>
      </c>
      <c r="AH25" s="847">
        <v>108.78</v>
      </c>
      <c r="AI25" s="847">
        <v>116.01</v>
      </c>
      <c r="AJ25" s="848">
        <v>123.1</v>
      </c>
      <c r="AK25" s="690">
        <f>AJ25-AI25+AJ25</f>
        <v>130.19</v>
      </c>
      <c r="AL25" s="690">
        <f t="shared" ref="AL25:AR38" si="2">AK25-AJ25+AK25</f>
        <v>137.28</v>
      </c>
      <c r="AM25" s="690">
        <f t="shared" si="2"/>
        <v>144.37</v>
      </c>
      <c r="AN25" s="690">
        <f t="shared" si="2"/>
        <v>151.46</v>
      </c>
      <c r="AO25" s="690">
        <f t="shared" si="2"/>
        <v>158.55000000000001</v>
      </c>
      <c r="AP25" s="690">
        <f t="shared" si="2"/>
        <v>165.64000000000001</v>
      </c>
      <c r="AQ25" s="690">
        <f t="shared" si="2"/>
        <v>172.73000000000002</v>
      </c>
      <c r="AR25" s="690">
        <f t="shared" si="2"/>
        <v>179.82000000000002</v>
      </c>
    </row>
    <row r="26" spans="1:44">
      <c r="A26" s="2003"/>
      <c r="B26" s="2004"/>
      <c r="C26" s="2005"/>
      <c r="D26" s="230">
        <v>0.6</v>
      </c>
      <c r="E26" s="78">
        <f>(Y26*KFC!$B$38+KFC!$C$38)*KFC!$C$5</f>
        <v>49.28</v>
      </c>
      <c r="F26" s="68">
        <f>(Z26*KFC!$B$38+KFC!$C$38)*KFC!$C$5</f>
        <v>56.52</v>
      </c>
      <c r="G26" s="68">
        <f>(AA26*KFC!$B$38+KFC!$C$38)*KFC!$C$5</f>
        <v>63.87</v>
      </c>
      <c r="H26" s="68">
        <f>(AB26*KFC!$B$38+KFC!$C$38)*KFC!$C$5</f>
        <v>71.23</v>
      </c>
      <c r="I26" s="68">
        <f>(AC26*KFC!$B$38+KFC!$C$38)*KFC!$C$5</f>
        <v>78.45</v>
      </c>
      <c r="J26" s="68">
        <f>(AD26*KFC!$B$38+KFC!$C$38)*KFC!$C$5</f>
        <v>85.68</v>
      </c>
      <c r="K26" s="68">
        <f>(AE26*KFC!$B$38+KFC!$C$38)*KFC!$C$5</f>
        <v>92.91</v>
      </c>
      <c r="L26" s="68">
        <f>(AF26*KFC!$B$38+KFC!$C$38)*KFC!$C$5</f>
        <v>100.25</v>
      </c>
      <c r="M26" s="68">
        <f>(AG26*KFC!$B$38+KFC!$C$38)*KFC!$C$5</f>
        <v>107.61</v>
      </c>
      <c r="N26" s="68">
        <f>(AH26*KFC!$B$38+KFC!$C$38)*KFC!$C$5</f>
        <v>114.84</v>
      </c>
      <c r="O26" s="68">
        <f>(AI26*KFC!$B$38+KFC!$C$38)*KFC!$C$5</f>
        <v>122.19</v>
      </c>
      <c r="P26" s="68">
        <f>(AJ26*KFC!$B$38+KFC!$C$38)*KFC!$C$5</f>
        <v>129.43</v>
      </c>
      <c r="Q26" s="68">
        <f>(AK26*KFC!$B$38+KFC!$C$38)*KFC!$C$5</f>
        <v>136.67000000000002</v>
      </c>
      <c r="R26" s="68">
        <f>(AL26*KFC!$B$38+KFC!$C$38)*KFC!$C$5</f>
        <v>143.91000000000003</v>
      </c>
      <c r="S26" s="68">
        <f>(AM26*KFC!$B$38+KFC!$C$38)*KFC!$C$5</f>
        <v>151.15000000000003</v>
      </c>
      <c r="T26" s="68">
        <f>(AN26*KFC!$B$38+KFC!$C$38)*KFC!$C$5</f>
        <v>158.39000000000004</v>
      </c>
      <c r="U26" s="68">
        <f>(AO26*KFC!$B$38+KFC!$C$38)*KFC!$C$5</f>
        <v>165.63000000000005</v>
      </c>
      <c r="V26" s="68">
        <f>(AP26*KFC!$B$38+KFC!$C$38)*KFC!$C$5</f>
        <v>172.87000000000006</v>
      </c>
      <c r="X26" s="851">
        <v>0.6</v>
      </c>
      <c r="Y26" s="847">
        <v>49.28</v>
      </c>
      <c r="Z26" s="847">
        <v>56.52</v>
      </c>
      <c r="AA26" s="847">
        <v>63.87</v>
      </c>
      <c r="AB26" s="847">
        <v>71.23</v>
      </c>
      <c r="AC26" s="847">
        <v>78.45</v>
      </c>
      <c r="AD26" s="847">
        <v>85.68</v>
      </c>
      <c r="AE26" s="847">
        <v>92.91</v>
      </c>
      <c r="AF26" s="847">
        <v>100.25</v>
      </c>
      <c r="AG26" s="847">
        <v>107.61</v>
      </c>
      <c r="AH26" s="847">
        <v>114.84</v>
      </c>
      <c r="AI26" s="847">
        <v>122.19</v>
      </c>
      <c r="AJ26" s="848">
        <v>129.43</v>
      </c>
      <c r="AK26" s="690">
        <f t="shared" ref="AK26:AK38" si="3">AJ26-AI26+AJ26</f>
        <v>136.67000000000002</v>
      </c>
      <c r="AL26" s="690">
        <f t="shared" si="2"/>
        <v>143.91000000000003</v>
      </c>
      <c r="AM26" s="690">
        <f t="shared" si="2"/>
        <v>151.15000000000003</v>
      </c>
      <c r="AN26" s="690">
        <f t="shared" si="2"/>
        <v>158.39000000000004</v>
      </c>
      <c r="AO26" s="690">
        <f t="shared" si="2"/>
        <v>165.63000000000005</v>
      </c>
      <c r="AP26" s="690">
        <f t="shared" si="2"/>
        <v>172.87000000000006</v>
      </c>
      <c r="AQ26" s="690">
        <f t="shared" si="2"/>
        <v>180.11000000000007</v>
      </c>
      <c r="AR26" s="690">
        <f t="shared" si="2"/>
        <v>187.35000000000008</v>
      </c>
    </row>
    <row r="27" spans="1:44">
      <c r="A27" s="2003"/>
      <c r="B27" s="2004"/>
      <c r="C27" s="2005"/>
      <c r="D27" s="230">
        <v>0.7</v>
      </c>
      <c r="E27" s="78">
        <f>(Y27*KFC!$B$38+KFC!$C$38)*KFC!$C$5</f>
        <v>54.45</v>
      </c>
      <c r="F27" s="68">
        <f>(Z27*KFC!$B$38+KFC!$C$38)*KFC!$C$5</f>
        <v>61.68</v>
      </c>
      <c r="G27" s="68">
        <f>(AA27*KFC!$B$38+KFC!$C$38)*KFC!$C$5</f>
        <v>69.16</v>
      </c>
      <c r="H27" s="68">
        <f>(AB27*KFC!$B$38+KFC!$C$38)*KFC!$C$5</f>
        <v>76.52</v>
      </c>
      <c r="I27" s="68">
        <f>(AC27*KFC!$B$38+KFC!$C$38)*KFC!$C$5</f>
        <v>84</v>
      </c>
      <c r="J27" s="68">
        <f>(AD27*KFC!$B$38+KFC!$C$38)*KFC!$C$5</f>
        <v>91.36</v>
      </c>
      <c r="K27" s="68">
        <f>(AE27*KFC!$B$38+KFC!$C$38)*KFC!$C$5</f>
        <v>98.84</v>
      </c>
      <c r="L27" s="68">
        <f>(AF27*KFC!$B$38+KFC!$C$38)*KFC!$C$5</f>
        <v>106.19</v>
      </c>
      <c r="M27" s="68">
        <f>(AG27*KFC!$B$38+KFC!$C$38)*KFC!$C$5</f>
        <v>113.42</v>
      </c>
      <c r="N27" s="68">
        <f>(AH27*KFC!$B$38+KFC!$C$38)*KFC!$C$5</f>
        <v>120.9</v>
      </c>
      <c r="O27" s="68">
        <f>(AI27*KFC!$B$38+KFC!$C$38)*KFC!$C$5</f>
        <v>128.26</v>
      </c>
      <c r="P27" s="68">
        <f>(AJ27*KFC!$B$38+KFC!$C$38)*KFC!$C$5</f>
        <v>135.74</v>
      </c>
      <c r="Q27" s="68">
        <f>(AK27*KFC!$B$38+KFC!$C$38)*KFC!$C$5</f>
        <v>143.22000000000003</v>
      </c>
      <c r="R27" s="68">
        <f>(AL27*KFC!$B$38+KFC!$C$38)*KFC!$C$5</f>
        <v>150.70000000000005</v>
      </c>
      <c r="S27" s="68">
        <f>(AM27*KFC!$B$38+KFC!$C$38)*KFC!$C$5</f>
        <v>158.18000000000006</v>
      </c>
      <c r="T27" s="68">
        <f>(AN27*KFC!$B$38+KFC!$C$38)*KFC!$C$5</f>
        <v>165.66000000000008</v>
      </c>
      <c r="U27" s="68">
        <f>(AO27*KFC!$B$38+KFC!$C$38)*KFC!$C$5</f>
        <v>173.1400000000001</v>
      </c>
      <c r="V27" s="68">
        <f>(AP27*KFC!$B$38+KFC!$C$38)*KFC!$C$5</f>
        <v>180.62000000000012</v>
      </c>
      <c r="X27" s="851">
        <v>0.7</v>
      </c>
      <c r="Y27" s="847">
        <v>54.45</v>
      </c>
      <c r="Z27" s="847">
        <v>61.68</v>
      </c>
      <c r="AA27" s="847">
        <v>69.16</v>
      </c>
      <c r="AB27" s="847">
        <v>76.52</v>
      </c>
      <c r="AC27" s="847">
        <v>84</v>
      </c>
      <c r="AD27" s="847">
        <v>91.36</v>
      </c>
      <c r="AE27" s="847">
        <v>98.84</v>
      </c>
      <c r="AF27" s="847">
        <v>106.19</v>
      </c>
      <c r="AG27" s="847">
        <v>113.42</v>
      </c>
      <c r="AH27" s="847">
        <v>120.9</v>
      </c>
      <c r="AI27" s="847">
        <v>128.26</v>
      </c>
      <c r="AJ27" s="848">
        <v>135.74</v>
      </c>
      <c r="AK27" s="690">
        <f t="shared" si="3"/>
        <v>143.22000000000003</v>
      </c>
      <c r="AL27" s="690">
        <f t="shared" si="2"/>
        <v>150.70000000000005</v>
      </c>
      <c r="AM27" s="690">
        <f t="shared" si="2"/>
        <v>158.18000000000006</v>
      </c>
      <c r="AN27" s="690">
        <f t="shared" si="2"/>
        <v>165.66000000000008</v>
      </c>
      <c r="AO27" s="690">
        <f t="shared" si="2"/>
        <v>173.1400000000001</v>
      </c>
      <c r="AP27" s="690">
        <f t="shared" si="2"/>
        <v>180.62000000000012</v>
      </c>
      <c r="AQ27" s="690">
        <f t="shared" si="2"/>
        <v>188.10000000000014</v>
      </c>
      <c r="AR27" s="690">
        <f t="shared" si="2"/>
        <v>195.58000000000015</v>
      </c>
    </row>
    <row r="28" spans="1:44">
      <c r="A28" s="2003"/>
      <c r="B28" s="2004"/>
      <c r="C28" s="2005"/>
      <c r="D28" s="230">
        <v>0.8</v>
      </c>
      <c r="E28" s="78">
        <f>(Y28*KFC!$B$38+KFC!$C$38)*KFC!$C$5</f>
        <v>59.48</v>
      </c>
      <c r="F28" s="68">
        <f>(Z28*KFC!$B$38+KFC!$C$38)*KFC!$C$5</f>
        <v>66.97</v>
      </c>
      <c r="G28" s="68">
        <f>(AA28*KFC!$B$38+KFC!$C$38)*KFC!$C$5</f>
        <v>74.45</v>
      </c>
      <c r="H28" s="68">
        <f>(AB28*KFC!$B$38+KFC!$C$38)*KFC!$C$5</f>
        <v>82.06</v>
      </c>
      <c r="I28" s="68">
        <f>(AC28*KFC!$B$38+KFC!$C$38)*KFC!$C$5</f>
        <v>89.42</v>
      </c>
      <c r="J28" s="68">
        <f>(AD28*KFC!$B$38+KFC!$C$38)*KFC!$C$5</f>
        <v>97.03</v>
      </c>
      <c r="K28" s="68">
        <f>(AE28*KFC!$B$38+KFC!$C$38)*KFC!$C$5</f>
        <v>104.51</v>
      </c>
      <c r="L28" s="68">
        <f>(AF28*KFC!$B$38+KFC!$C$38)*KFC!$C$5</f>
        <v>112</v>
      </c>
      <c r="M28" s="68">
        <f>(AG28*KFC!$B$38+KFC!$C$38)*KFC!$C$5</f>
        <v>119.48</v>
      </c>
      <c r="N28" s="68">
        <f>(AH28*KFC!$B$38+KFC!$C$38)*KFC!$C$5</f>
        <v>127.09</v>
      </c>
      <c r="O28" s="68">
        <f>(AI28*KFC!$B$38+KFC!$C$38)*KFC!$C$5</f>
        <v>134.44</v>
      </c>
      <c r="P28" s="68">
        <f>(AJ28*KFC!$B$38+KFC!$C$38)*KFC!$C$5</f>
        <v>142.07</v>
      </c>
      <c r="Q28" s="68">
        <f>(AK28*KFC!$B$38+KFC!$C$38)*KFC!$C$5</f>
        <v>149.69999999999999</v>
      </c>
      <c r="R28" s="68">
        <f>(AL28*KFC!$B$38+KFC!$C$38)*KFC!$C$5</f>
        <v>157.32999999999998</v>
      </c>
      <c r="S28" s="68">
        <f>(AM28*KFC!$B$38+KFC!$C$38)*KFC!$C$5</f>
        <v>164.95999999999998</v>
      </c>
      <c r="T28" s="68">
        <f>(AN28*KFC!$B$38+KFC!$C$38)*KFC!$C$5</f>
        <v>172.58999999999997</v>
      </c>
      <c r="U28" s="68">
        <f>(AO28*KFC!$B$38+KFC!$C$38)*KFC!$C$5</f>
        <v>180.21999999999997</v>
      </c>
      <c r="V28" s="68">
        <f>(AP28*KFC!$B$38+KFC!$C$38)*KFC!$C$5</f>
        <v>187.84999999999997</v>
      </c>
      <c r="X28" s="851">
        <v>0.8</v>
      </c>
      <c r="Y28" s="847">
        <v>59.48</v>
      </c>
      <c r="Z28" s="847">
        <v>66.97</v>
      </c>
      <c r="AA28" s="847">
        <v>74.45</v>
      </c>
      <c r="AB28" s="847">
        <v>82.06</v>
      </c>
      <c r="AC28" s="847">
        <v>89.42</v>
      </c>
      <c r="AD28" s="847">
        <v>97.03</v>
      </c>
      <c r="AE28" s="847">
        <v>104.51</v>
      </c>
      <c r="AF28" s="847">
        <v>112</v>
      </c>
      <c r="AG28" s="847">
        <v>119.48</v>
      </c>
      <c r="AH28" s="847">
        <v>127.09</v>
      </c>
      <c r="AI28" s="847">
        <v>134.44</v>
      </c>
      <c r="AJ28" s="848">
        <v>142.07</v>
      </c>
      <c r="AK28" s="690">
        <f t="shared" si="3"/>
        <v>149.69999999999999</v>
      </c>
      <c r="AL28" s="690">
        <f t="shared" si="2"/>
        <v>157.32999999999998</v>
      </c>
      <c r="AM28" s="690">
        <f t="shared" si="2"/>
        <v>164.95999999999998</v>
      </c>
      <c r="AN28" s="690">
        <f t="shared" si="2"/>
        <v>172.58999999999997</v>
      </c>
      <c r="AO28" s="690">
        <f t="shared" si="2"/>
        <v>180.21999999999997</v>
      </c>
      <c r="AP28" s="690">
        <f t="shared" si="2"/>
        <v>187.84999999999997</v>
      </c>
      <c r="AQ28" s="690">
        <f t="shared" si="2"/>
        <v>195.47999999999996</v>
      </c>
      <c r="AR28" s="690">
        <f t="shared" si="2"/>
        <v>203.10999999999996</v>
      </c>
    </row>
    <row r="29" spans="1:44">
      <c r="A29" s="2003"/>
      <c r="B29" s="2004"/>
      <c r="C29" s="2005"/>
      <c r="D29" s="230">
        <v>0.9</v>
      </c>
      <c r="E29" s="78">
        <f>(Y29*KFC!$B$38+KFC!$C$38)*KFC!$C$5</f>
        <v>64.52</v>
      </c>
      <c r="F29" s="68">
        <f>(Z29*KFC!$B$38+KFC!$C$38)*KFC!$C$5</f>
        <v>72.13</v>
      </c>
      <c r="G29" s="68">
        <f>(AA29*KFC!$B$38+KFC!$C$38)*KFC!$C$5</f>
        <v>79.87</v>
      </c>
      <c r="H29" s="68">
        <f>(AB29*KFC!$B$38+KFC!$C$38)*KFC!$C$5</f>
        <v>87.48</v>
      </c>
      <c r="I29" s="68">
        <f>(AC29*KFC!$B$38+KFC!$C$38)*KFC!$C$5</f>
        <v>94.96</v>
      </c>
      <c r="J29" s="68">
        <f>(AD29*KFC!$B$38+KFC!$C$38)*KFC!$C$5</f>
        <v>102.58</v>
      </c>
      <c r="K29" s="68">
        <f>(AE29*KFC!$B$38+KFC!$C$38)*KFC!$C$5</f>
        <v>110.32</v>
      </c>
      <c r="L29" s="68">
        <f>(AF29*KFC!$B$38+KFC!$C$38)*KFC!$C$5</f>
        <v>117.93</v>
      </c>
      <c r="M29" s="68">
        <f>(AG29*KFC!$B$38+KFC!$C$38)*KFC!$C$5</f>
        <v>125.41</v>
      </c>
      <c r="N29" s="68">
        <f>(AH29*KFC!$B$38+KFC!$C$38)*KFC!$C$5</f>
        <v>133.02000000000001</v>
      </c>
      <c r="O29" s="68">
        <f>(AI29*KFC!$B$38+KFC!$C$38)*KFC!$C$5</f>
        <v>140.77000000000001</v>
      </c>
      <c r="P29" s="68">
        <f>(AJ29*KFC!$B$38+KFC!$C$38)*KFC!$C$5</f>
        <v>148.38999999999999</v>
      </c>
      <c r="Q29" s="68">
        <f>(AK29*KFC!$B$38+KFC!$C$38)*KFC!$C$5</f>
        <v>156.00999999999996</v>
      </c>
      <c r="R29" s="68">
        <f>(AL29*KFC!$B$38+KFC!$C$38)*KFC!$C$5</f>
        <v>163.62999999999994</v>
      </c>
      <c r="S29" s="68">
        <f>(AM29*KFC!$B$38+KFC!$C$38)*KFC!$C$5</f>
        <v>171.24999999999991</v>
      </c>
      <c r="T29" s="68">
        <f>(AN29*KFC!$B$38+KFC!$C$38)*KFC!$C$5</f>
        <v>178.86999999999989</v>
      </c>
      <c r="U29" s="68">
        <f>(AO29*KFC!$B$38+KFC!$C$38)*KFC!$C$5</f>
        <v>186.48999999999987</v>
      </c>
      <c r="V29" s="68">
        <f>(AP29*KFC!$B$38+KFC!$C$38)*KFC!$C$5</f>
        <v>194.10999999999984</v>
      </c>
      <c r="X29" s="851">
        <v>0.9</v>
      </c>
      <c r="Y29" s="847">
        <v>64.52</v>
      </c>
      <c r="Z29" s="847">
        <v>72.13</v>
      </c>
      <c r="AA29" s="847">
        <v>79.87</v>
      </c>
      <c r="AB29" s="847">
        <v>87.48</v>
      </c>
      <c r="AC29" s="847">
        <v>94.96</v>
      </c>
      <c r="AD29" s="847">
        <v>102.58</v>
      </c>
      <c r="AE29" s="847">
        <v>110.32</v>
      </c>
      <c r="AF29" s="847">
        <v>117.93</v>
      </c>
      <c r="AG29" s="847">
        <v>125.41</v>
      </c>
      <c r="AH29" s="847">
        <v>133.02000000000001</v>
      </c>
      <c r="AI29" s="847">
        <v>140.77000000000001</v>
      </c>
      <c r="AJ29" s="848">
        <v>148.38999999999999</v>
      </c>
      <c r="AK29" s="690">
        <f t="shared" si="3"/>
        <v>156.00999999999996</v>
      </c>
      <c r="AL29" s="690">
        <f t="shared" si="2"/>
        <v>163.62999999999994</v>
      </c>
      <c r="AM29" s="690">
        <f t="shared" si="2"/>
        <v>171.24999999999991</v>
      </c>
      <c r="AN29" s="690">
        <f t="shared" si="2"/>
        <v>178.86999999999989</v>
      </c>
      <c r="AO29" s="690">
        <f t="shared" si="2"/>
        <v>186.48999999999987</v>
      </c>
      <c r="AP29" s="690">
        <f t="shared" si="2"/>
        <v>194.10999999999984</v>
      </c>
      <c r="AQ29" s="690">
        <f t="shared" si="2"/>
        <v>201.72999999999982</v>
      </c>
      <c r="AR29" s="690">
        <f t="shared" si="2"/>
        <v>209.3499999999998</v>
      </c>
    </row>
    <row r="30" spans="1:44">
      <c r="A30" s="2003"/>
      <c r="B30" s="2004"/>
      <c r="C30" s="2005"/>
      <c r="D30" s="230">
        <v>1</v>
      </c>
      <c r="E30" s="78">
        <f>(Y30*KFC!$B$38+KFC!$C$38)*KFC!$C$5</f>
        <v>69.81</v>
      </c>
      <c r="F30" s="68">
        <f>(Z30*KFC!$B$38+KFC!$C$38)*KFC!$C$5</f>
        <v>77.3</v>
      </c>
      <c r="G30" s="68">
        <f>(AA30*KFC!$B$38+KFC!$C$38)*KFC!$C$5</f>
        <v>85.03</v>
      </c>
      <c r="H30" s="68">
        <f>(AB30*KFC!$B$38+KFC!$C$38)*KFC!$C$5</f>
        <v>92.77</v>
      </c>
      <c r="I30" s="68">
        <f>(AC30*KFC!$B$38+KFC!$C$38)*KFC!$C$5</f>
        <v>100.52</v>
      </c>
      <c r="J30" s="68">
        <f>(AD30*KFC!$B$38+KFC!$C$38)*KFC!$C$5</f>
        <v>108.26</v>
      </c>
      <c r="K30" s="68">
        <f>(AE30*KFC!$B$38+KFC!$C$38)*KFC!$C$5</f>
        <v>116.01</v>
      </c>
      <c r="L30" s="68">
        <f>(AF30*KFC!$B$38+KFC!$C$38)*KFC!$C$5</f>
        <v>123.74</v>
      </c>
      <c r="M30" s="68">
        <f>(AG30*KFC!$B$38+KFC!$C$38)*KFC!$C$5</f>
        <v>131.47999999999999</v>
      </c>
      <c r="N30" s="68">
        <f>(AH30*KFC!$B$38+KFC!$C$38)*KFC!$C$5</f>
        <v>139.22999999999999</v>
      </c>
      <c r="O30" s="68">
        <f>(AI30*KFC!$B$38+KFC!$C$38)*KFC!$C$5</f>
        <v>146.97</v>
      </c>
      <c r="P30" s="68">
        <f>(AJ30*KFC!$B$38+KFC!$C$38)*KFC!$C$5</f>
        <v>154.72</v>
      </c>
      <c r="Q30" s="68">
        <f>(AK30*KFC!$B$38+KFC!$C$38)*KFC!$C$5</f>
        <v>162.47</v>
      </c>
      <c r="R30" s="68">
        <f>(AL30*KFC!$B$38+KFC!$C$38)*KFC!$C$5</f>
        <v>170.22</v>
      </c>
      <c r="S30" s="68">
        <f>(AM30*KFC!$B$38+KFC!$C$38)*KFC!$C$5</f>
        <v>177.97</v>
      </c>
      <c r="T30" s="68">
        <f>(AN30*KFC!$B$38+KFC!$C$38)*KFC!$C$5</f>
        <v>185.72</v>
      </c>
      <c r="U30" s="68">
        <f>(AO30*KFC!$B$38+KFC!$C$38)*KFC!$C$5</f>
        <v>193.47</v>
      </c>
      <c r="V30" s="68">
        <f>(AP30*KFC!$B$38+KFC!$C$38)*KFC!$C$5</f>
        <v>201.22</v>
      </c>
      <c r="X30" s="851">
        <v>1</v>
      </c>
      <c r="Y30" s="847">
        <v>69.81</v>
      </c>
      <c r="Z30" s="847">
        <v>77.3</v>
      </c>
      <c r="AA30" s="847">
        <v>85.03</v>
      </c>
      <c r="AB30" s="847">
        <v>92.77</v>
      </c>
      <c r="AC30" s="847">
        <v>100.52</v>
      </c>
      <c r="AD30" s="847">
        <v>108.26</v>
      </c>
      <c r="AE30" s="847">
        <v>116.01</v>
      </c>
      <c r="AF30" s="847">
        <v>123.74</v>
      </c>
      <c r="AG30" s="847">
        <v>131.47999999999999</v>
      </c>
      <c r="AH30" s="847">
        <v>139.22999999999999</v>
      </c>
      <c r="AI30" s="847">
        <v>146.97</v>
      </c>
      <c r="AJ30" s="848">
        <v>154.72</v>
      </c>
      <c r="AK30" s="690">
        <f t="shared" si="3"/>
        <v>162.47</v>
      </c>
      <c r="AL30" s="690">
        <f t="shared" si="2"/>
        <v>170.22</v>
      </c>
      <c r="AM30" s="690">
        <f t="shared" si="2"/>
        <v>177.97</v>
      </c>
      <c r="AN30" s="690">
        <f t="shared" si="2"/>
        <v>185.72</v>
      </c>
      <c r="AO30" s="690">
        <f t="shared" si="2"/>
        <v>193.47</v>
      </c>
      <c r="AP30" s="690">
        <f t="shared" si="2"/>
        <v>201.22</v>
      </c>
      <c r="AQ30" s="690">
        <f t="shared" si="2"/>
        <v>208.97</v>
      </c>
      <c r="AR30" s="690">
        <f t="shared" si="2"/>
        <v>216.72</v>
      </c>
    </row>
    <row r="31" spans="1:44">
      <c r="A31" s="2003"/>
      <c r="B31" s="2004"/>
      <c r="C31" s="2005"/>
      <c r="D31" s="230">
        <v>1.1000000000000001</v>
      </c>
      <c r="E31" s="78">
        <f>(Y31*KFC!$B$38+KFC!$C$38)*KFC!$C$5</f>
        <v>74.83</v>
      </c>
      <c r="F31" s="68">
        <f>(Z31*KFC!$B$38+KFC!$C$38)*KFC!$C$5</f>
        <v>82.58</v>
      </c>
      <c r="G31" s="68">
        <f>(AA31*KFC!$B$38+KFC!$C$38)*KFC!$C$5</f>
        <v>90.45</v>
      </c>
      <c r="H31" s="68">
        <f>(AB31*KFC!$B$38+KFC!$C$38)*KFC!$C$5</f>
        <v>98.32</v>
      </c>
      <c r="I31" s="68">
        <f>(AC31*KFC!$B$38+KFC!$C$38)*KFC!$C$5</f>
        <v>106.06</v>
      </c>
      <c r="J31" s="68">
        <f>(AD31*KFC!$B$38+KFC!$C$38)*KFC!$C$5</f>
        <v>113.94</v>
      </c>
      <c r="K31" s="68">
        <f>(AE31*KFC!$B$38+KFC!$C$38)*KFC!$C$5</f>
        <v>121.8</v>
      </c>
      <c r="L31" s="68">
        <f>(AF31*KFC!$B$38+KFC!$C$38)*KFC!$C$5</f>
        <v>129.55000000000001</v>
      </c>
      <c r="M31" s="68">
        <f>(AG31*KFC!$B$38+KFC!$C$38)*KFC!$C$5</f>
        <v>137.41</v>
      </c>
      <c r="N31" s="68">
        <f>(AH31*KFC!$B$38+KFC!$C$38)*KFC!$C$5</f>
        <v>145.29</v>
      </c>
      <c r="O31" s="68">
        <f>(AI31*KFC!$B$38+KFC!$C$38)*KFC!$C$5</f>
        <v>153.03</v>
      </c>
      <c r="P31" s="68">
        <f>(AJ31*KFC!$B$38+KFC!$C$38)*KFC!$C$5</f>
        <v>160.9</v>
      </c>
      <c r="Q31" s="68">
        <f>(AK31*KFC!$B$38+KFC!$C$38)*KFC!$C$5</f>
        <v>168.77</v>
      </c>
      <c r="R31" s="68">
        <f>(AL31*KFC!$B$38+KFC!$C$38)*KFC!$C$5</f>
        <v>176.64000000000001</v>
      </c>
      <c r="S31" s="68">
        <f>(AM31*KFC!$B$38+KFC!$C$38)*KFC!$C$5</f>
        <v>184.51000000000002</v>
      </c>
      <c r="T31" s="68">
        <f>(AN31*KFC!$B$38+KFC!$C$38)*KFC!$C$5</f>
        <v>192.38000000000002</v>
      </c>
      <c r="U31" s="68">
        <f>(AO31*KFC!$B$38+KFC!$C$38)*KFC!$C$5</f>
        <v>200.25000000000003</v>
      </c>
      <c r="V31" s="68">
        <f>(AP31*KFC!$B$38+KFC!$C$38)*KFC!$C$5</f>
        <v>208.12000000000003</v>
      </c>
      <c r="X31" s="851">
        <v>1.1000000000000001</v>
      </c>
      <c r="Y31" s="847">
        <v>74.83</v>
      </c>
      <c r="Z31" s="847">
        <v>82.58</v>
      </c>
      <c r="AA31" s="847">
        <v>90.45</v>
      </c>
      <c r="AB31" s="847">
        <v>98.32</v>
      </c>
      <c r="AC31" s="847">
        <v>106.06</v>
      </c>
      <c r="AD31" s="847">
        <v>113.94</v>
      </c>
      <c r="AE31" s="847">
        <v>121.8</v>
      </c>
      <c r="AF31" s="847">
        <v>129.55000000000001</v>
      </c>
      <c r="AG31" s="847">
        <v>137.41</v>
      </c>
      <c r="AH31" s="847">
        <v>145.29</v>
      </c>
      <c r="AI31" s="847">
        <v>153.03</v>
      </c>
      <c r="AJ31" s="848">
        <v>160.9</v>
      </c>
      <c r="AK31" s="690">
        <f t="shared" si="3"/>
        <v>168.77</v>
      </c>
      <c r="AL31" s="690">
        <f t="shared" si="2"/>
        <v>176.64000000000001</v>
      </c>
      <c r="AM31" s="690">
        <f t="shared" si="2"/>
        <v>184.51000000000002</v>
      </c>
      <c r="AN31" s="690">
        <f t="shared" si="2"/>
        <v>192.38000000000002</v>
      </c>
      <c r="AO31" s="690">
        <f t="shared" si="2"/>
        <v>200.25000000000003</v>
      </c>
      <c r="AP31" s="690">
        <f t="shared" si="2"/>
        <v>208.12000000000003</v>
      </c>
      <c r="AQ31" s="690">
        <f t="shared" si="2"/>
        <v>215.99000000000004</v>
      </c>
      <c r="AR31" s="690">
        <f t="shared" si="2"/>
        <v>223.86000000000004</v>
      </c>
    </row>
    <row r="32" spans="1:44">
      <c r="A32" s="2003"/>
      <c r="B32" s="2004"/>
      <c r="C32" s="2005"/>
      <c r="D32" s="230">
        <v>1.2</v>
      </c>
      <c r="E32" s="78">
        <f>(Y32*KFC!$B$38+KFC!$C$38)*KFC!$C$5</f>
        <v>79.87</v>
      </c>
      <c r="F32" s="68">
        <f>(Z32*KFC!$B$38+KFC!$C$38)*KFC!$C$5</f>
        <v>87.87</v>
      </c>
      <c r="G32" s="68">
        <f>(AA32*KFC!$B$38+KFC!$C$38)*KFC!$C$5</f>
        <v>95.73</v>
      </c>
      <c r="H32" s="68">
        <f>(AB32*KFC!$B$38+KFC!$C$38)*KFC!$C$5</f>
        <v>103.74</v>
      </c>
      <c r="I32" s="68">
        <f>(AC32*KFC!$B$38+KFC!$C$38)*KFC!$C$5</f>
        <v>111.74</v>
      </c>
      <c r="J32" s="68">
        <f>(AD32*KFC!$B$38+KFC!$C$38)*KFC!$C$5</f>
        <v>119.6</v>
      </c>
      <c r="K32" s="68">
        <f>(AE32*KFC!$B$38+KFC!$C$38)*KFC!$C$5</f>
        <v>127.49</v>
      </c>
      <c r="L32" s="68">
        <f>(AF32*KFC!$B$38+KFC!$C$38)*KFC!$C$5</f>
        <v>135.61000000000001</v>
      </c>
      <c r="M32" s="68">
        <f>(AG32*KFC!$B$38+KFC!$C$38)*KFC!$C$5</f>
        <v>143.47</v>
      </c>
      <c r="N32" s="68">
        <f>(AH32*KFC!$B$38+KFC!$C$38)*KFC!$C$5</f>
        <v>151.36000000000001</v>
      </c>
      <c r="O32" s="68">
        <f>(AI32*KFC!$B$38+KFC!$C$38)*KFC!$C$5</f>
        <v>159.36000000000001</v>
      </c>
      <c r="P32" s="68">
        <f>(AJ32*KFC!$B$38+KFC!$C$38)*KFC!$C$5</f>
        <v>167.22</v>
      </c>
      <c r="Q32" s="68">
        <f>(AK32*KFC!$B$38+KFC!$C$38)*KFC!$C$5</f>
        <v>175.07999999999998</v>
      </c>
      <c r="R32" s="68">
        <f>(AL32*KFC!$B$38+KFC!$C$38)*KFC!$C$5</f>
        <v>182.93999999999997</v>
      </c>
      <c r="S32" s="68">
        <f>(AM32*KFC!$B$38+KFC!$C$38)*KFC!$C$5</f>
        <v>190.79999999999995</v>
      </c>
      <c r="T32" s="68">
        <f>(AN32*KFC!$B$38+KFC!$C$38)*KFC!$C$5</f>
        <v>198.65999999999994</v>
      </c>
      <c r="U32" s="68">
        <f>(AO32*KFC!$B$38+KFC!$C$38)*KFC!$C$5</f>
        <v>206.51999999999992</v>
      </c>
      <c r="V32" s="68">
        <f>(AP32*KFC!$B$38+KFC!$C$38)*KFC!$C$5</f>
        <v>214.37999999999991</v>
      </c>
      <c r="X32" s="851">
        <v>1.2</v>
      </c>
      <c r="Y32" s="847">
        <v>79.87</v>
      </c>
      <c r="Z32" s="847">
        <v>87.87</v>
      </c>
      <c r="AA32" s="847">
        <v>95.73</v>
      </c>
      <c r="AB32" s="847">
        <v>103.74</v>
      </c>
      <c r="AC32" s="847">
        <v>111.74</v>
      </c>
      <c r="AD32" s="847">
        <v>119.6</v>
      </c>
      <c r="AE32" s="847">
        <v>127.49</v>
      </c>
      <c r="AF32" s="847">
        <v>135.61000000000001</v>
      </c>
      <c r="AG32" s="847">
        <v>143.47</v>
      </c>
      <c r="AH32" s="847">
        <v>151.36000000000001</v>
      </c>
      <c r="AI32" s="847">
        <v>159.36000000000001</v>
      </c>
      <c r="AJ32" s="848">
        <v>167.22</v>
      </c>
      <c r="AK32" s="690">
        <f t="shared" si="3"/>
        <v>175.07999999999998</v>
      </c>
      <c r="AL32" s="690">
        <f t="shared" si="2"/>
        <v>182.93999999999997</v>
      </c>
      <c r="AM32" s="690">
        <f t="shared" si="2"/>
        <v>190.79999999999995</v>
      </c>
      <c r="AN32" s="690">
        <f t="shared" si="2"/>
        <v>198.65999999999994</v>
      </c>
      <c r="AO32" s="690">
        <f t="shared" si="2"/>
        <v>206.51999999999992</v>
      </c>
      <c r="AP32" s="690">
        <f t="shared" si="2"/>
        <v>214.37999999999991</v>
      </c>
      <c r="AQ32" s="690">
        <f t="shared" si="2"/>
        <v>222.2399999999999</v>
      </c>
      <c r="AR32" s="690">
        <f t="shared" si="2"/>
        <v>230.09999999999988</v>
      </c>
    </row>
    <row r="33" spans="1:44">
      <c r="A33" s="2003"/>
      <c r="B33" s="2004"/>
      <c r="C33" s="2005"/>
      <c r="D33" s="230">
        <v>1.3</v>
      </c>
      <c r="E33" s="78">
        <f>(Y33*KFC!$B$38+KFC!$C$38)*KFC!$C$5</f>
        <v>84.91</v>
      </c>
      <c r="F33" s="68">
        <f>(Z33*KFC!$B$38+KFC!$C$38)*KFC!$C$5</f>
        <v>93.16</v>
      </c>
      <c r="G33" s="68">
        <f>(AA33*KFC!$B$38+KFC!$C$38)*KFC!$C$5</f>
        <v>101.17</v>
      </c>
      <c r="H33" s="68">
        <f>(AB33*KFC!$B$38+KFC!$C$38)*KFC!$C$5</f>
        <v>109.15</v>
      </c>
      <c r="I33" s="68">
        <f>(AC33*KFC!$B$38+KFC!$C$38)*KFC!$C$5</f>
        <v>117.29</v>
      </c>
      <c r="J33" s="68">
        <f>(AD33*KFC!$B$38+KFC!$C$38)*KFC!$C$5</f>
        <v>125.29</v>
      </c>
      <c r="K33" s="68">
        <f>(AE33*KFC!$B$38+KFC!$C$38)*KFC!$C$5</f>
        <v>133.30000000000001</v>
      </c>
      <c r="L33" s="68">
        <f>(AF33*KFC!$B$38+KFC!$C$38)*KFC!$C$5</f>
        <v>141.41999999999999</v>
      </c>
      <c r="M33" s="68">
        <f>(AG33*KFC!$B$38+KFC!$C$38)*KFC!$C$5</f>
        <v>149.41999999999999</v>
      </c>
      <c r="N33" s="68">
        <f>(AH33*KFC!$B$38+KFC!$C$38)*KFC!$C$5</f>
        <v>157.54</v>
      </c>
      <c r="O33" s="68">
        <f>(AI33*KFC!$B$38+KFC!$C$38)*KFC!$C$5</f>
        <v>165.55</v>
      </c>
      <c r="P33" s="68">
        <f>(AJ33*KFC!$B$38+KFC!$C$38)*KFC!$C$5</f>
        <v>173.55</v>
      </c>
      <c r="Q33" s="68">
        <f>(AK33*KFC!$B$38+KFC!$C$38)*KFC!$C$5</f>
        <v>181.55</v>
      </c>
      <c r="R33" s="68">
        <f>(AL33*KFC!$B$38+KFC!$C$38)*KFC!$C$5</f>
        <v>189.55</v>
      </c>
      <c r="S33" s="68">
        <f>(AM33*KFC!$B$38+KFC!$C$38)*KFC!$C$5</f>
        <v>197.55</v>
      </c>
      <c r="T33" s="68">
        <f>(AN33*KFC!$B$38+KFC!$C$38)*KFC!$C$5</f>
        <v>205.55</v>
      </c>
      <c r="U33" s="68">
        <f>(AO33*KFC!$B$38+KFC!$C$38)*KFC!$C$5</f>
        <v>213.55</v>
      </c>
      <c r="V33" s="68">
        <f>(AP33*KFC!$B$38+KFC!$C$38)*KFC!$C$5</f>
        <v>221.55</v>
      </c>
      <c r="X33" s="851">
        <v>1.3</v>
      </c>
      <c r="Y33" s="847">
        <v>84.91</v>
      </c>
      <c r="Z33" s="847">
        <v>93.16</v>
      </c>
      <c r="AA33" s="847">
        <v>101.17</v>
      </c>
      <c r="AB33" s="847">
        <v>109.15</v>
      </c>
      <c r="AC33" s="847">
        <v>117.29</v>
      </c>
      <c r="AD33" s="847">
        <v>125.29</v>
      </c>
      <c r="AE33" s="847">
        <v>133.30000000000001</v>
      </c>
      <c r="AF33" s="847">
        <v>141.41999999999999</v>
      </c>
      <c r="AG33" s="847">
        <v>149.41999999999999</v>
      </c>
      <c r="AH33" s="847">
        <v>157.54</v>
      </c>
      <c r="AI33" s="847">
        <v>165.55</v>
      </c>
      <c r="AJ33" s="848">
        <v>173.55</v>
      </c>
      <c r="AK33" s="690">
        <f t="shared" si="3"/>
        <v>181.55</v>
      </c>
      <c r="AL33" s="690">
        <f t="shared" si="2"/>
        <v>189.55</v>
      </c>
      <c r="AM33" s="690">
        <f t="shared" si="2"/>
        <v>197.55</v>
      </c>
      <c r="AN33" s="690">
        <f t="shared" si="2"/>
        <v>205.55</v>
      </c>
      <c r="AO33" s="690">
        <f t="shared" si="2"/>
        <v>213.55</v>
      </c>
      <c r="AP33" s="690">
        <f t="shared" si="2"/>
        <v>221.55</v>
      </c>
      <c r="AQ33" s="690">
        <f t="shared" si="2"/>
        <v>229.55</v>
      </c>
      <c r="AR33" s="690">
        <f t="shared" si="2"/>
        <v>237.55</v>
      </c>
    </row>
    <row r="34" spans="1:44">
      <c r="A34" s="2003"/>
      <c r="B34" s="2004"/>
      <c r="C34" s="2005"/>
      <c r="D34" s="230">
        <v>1.4</v>
      </c>
      <c r="E34" s="78">
        <f>(Y34*KFC!$B$38+KFC!$C$38)*KFC!$C$5</f>
        <v>90.07</v>
      </c>
      <c r="F34" s="68">
        <f>(Z34*KFC!$B$38+KFC!$C$38)*KFC!$C$5</f>
        <v>98.32</v>
      </c>
      <c r="G34" s="68">
        <f>(AA34*KFC!$B$38+KFC!$C$38)*KFC!$C$5</f>
        <v>106.33</v>
      </c>
      <c r="H34" s="68">
        <f>(AB34*KFC!$B$38+KFC!$C$38)*KFC!$C$5</f>
        <v>114.59</v>
      </c>
      <c r="I34" s="68">
        <f>(AC34*KFC!$B$38+KFC!$C$38)*KFC!$C$5</f>
        <v>122.71</v>
      </c>
      <c r="J34" s="68">
        <f>(AD34*KFC!$B$38+KFC!$C$38)*KFC!$C$5</f>
        <v>130.97</v>
      </c>
      <c r="K34" s="68">
        <f>(AE34*KFC!$B$38+KFC!$C$38)*KFC!$C$5</f>
        <v>138.96</v>
      </c>
      <c r="L34" s="68">
        <f>(AF34*KFC!$B$38+KFC!$C$38)*KFC!$C$5</f>
        <v>147.22</v>
      </c>
      <c r="M34" s="68">
        <f>(AG34*KFC!$B$38+KFC!$C$38)*KFC!$C$5</f>
        <v>155.49</v>
      </c>
      <c r="N34" s="68">
        <f>(AH34*KFC!$B$38+KFC!$C$38)*KFC!$C$5</f>
        <v>163.61000000000001</v>
      </c>
      <c r="O34" s="68">
        <f>(AI34*KFC!$B$38+KFC!$C$38)*KFC!$C$5</f>
        <v>171.73</v>
      </c>
      <c r="P34" s="68">
        <f>(AJ34*KFC!$B$38+KFC!$C$38)*KFC!$C$5</f>
        <v>179.87</v>
      </c>
      <c r="Q34" s="68">
        <f>(AK34*KFC!$B$38+KFC!$C$38)*KFC!$C$5</f>
        <v>188.01000000000002</v>
      </c>
      <c r="R34" s="68">
        <f>(AL34*KFC!$B$38+KFC!$C$38)*KFC!$C$5</f>
        <v>196.15000000000003</v>
      </c>
      <c r="S34" s="68">
        <f>(AM34*KFC!$B$38+KFC!$C$38)*KFC!$C$5</f>
        <v>204.29000000000005</v>
      </c>
      <c r="T34" s="68">
        <f>(AN34*KFC!$B$38+KFC!$C$38)*KFC!$C$5</f>
        <v>212.43000000000006</v>
      </c>
      <c r="U34" s="68">
        <f>(AO34*KFC!$B$38+KFC!$C$38)*KFC!$C$5</f>
        <v>220.57000000000008</v>
      </c>
      <c r="V34" s="68">
        <f>(AP34*KFC!$B$38+KFC!$C$38)*KFC!$C$5</f>
        <v>228.71000000000009</v>
      </c>
      <c r="X34" s="851">
        <v>1.4</v>
      </c>
      <c r="Y34" s="847">
        <v>90.07</v>
      </c>
      <c r="Z34" s="847">
        <v>98.32</v>
      </c>
      <c r="AA34" s="847">
        <v>106.33</v>
      </c>
      <c r="AB34" s="847">
        <v>114.59</v>
      </c>
      <c r="AC34" s="847">
        <v>122.71</v>
      </c>
      <c r="AD34" s="847">
        <v>130.97</v>
      </c>
      <c r="AE34" s="847">
        <v>138.96</v>
      </c>
      <c r="AF34" s="847">
        <v>147.22</v>
      </c>
      <c r="AG34" s="847">
        <v>155.49</v>
      </c>
      <c r="AH34" s="847">
        <v>163.61000000000001</v>
      </c>
      <c r="AI34" s="847">
        <v>171.73</v>
      </c>
      <c r="AJ34" s="848">
        <v>179.87</v>
      </c>
      <c r="AK34" s="690">
        <f t="shared" si="3"/>
        <v>188.01000000000002</v>
      </c>
      <c r="AL34" s="690">
        <f t="shared" si="2"/>
        <v>196.15000000000003</v>
      </c>
      <c r="AM34" s="690">
        <f t="shared" si="2"/>
        <v>204.29000000000005</v>
      </c>
      <c r="AN34" s="690">
        <f t="shared" si="2"/>
        <v>212.43000000000006</v>
      </c>
      <c r="AO34" s="690">
        <f t="shared" si="2"/>
        <v>220.57000000000008</v>
      </c>
      <c r="AP34" s="690">
        <f t="shared" si="2"/>
        <v>228.71000000000009</v>
      </c>
      <c r="AQ34" s="690">
        <f t="shared" si="2"/>
        <v>236.85000000000011</v>
      </c>
      <c r="AR34" s="690">
        <f t="shared" si="2"/>
        <v>244.99000000000012</v>
      </c>
    </row>
    <row r="35" spans="1:44">
      <c r="A35" s="2003"/>
      <c r="B35" s="2004"/>
      <c r="C35" s="2005"/>
      <c r="D35" s="230">
        <v>1.5</v>
      </c>
      <c r="E35" s="78">
        <f>(Y35*KFC!$B$38+KFC!$C$38)*KFC!$C$5</f>
        <v>95.1</v>
      </c>
      <c r="F35" s="68">
        <f>(Z35*KFC!$B$38+KFC!$C$38)*KFC!$C$5</f>
        <v>103.48</v>
      </c>
      <c r="G35" s="68">
        <f>(AA35*KFC!$B$38+KFC!$C$38)*KFC!$C$5</f>
        <v>111.74</v>
      </c>
      <c r="H35" s="68">
        <f>(AB35*KFC!$B$38+KFC!$C$38)*KFC!$C$5</f>
        <v>119.87</v>
      </c>
      <c r="I35" s="68">
        <f>(AC35*KFC!$B$38+KFC!$C$38)*KFC!$C$5</f>
        <v>128.26</v>
      </c>
      <c r="J35" s="68">
        <f>(AD35*KFC!$B$38+KFC!$C$38)*KFC!$C$5</f>
        <v>136.52000000000001</v>
      </c>
      <c r="K35" s="68">
        <f>(AE35*KFC!$B$38+KFC!$C$38)*KFC!$C$5</f>
        <v>144.9</v>
      </c>
      <c r="L35" s="68">
        <f>(AF35*KFC!$B$38+KFC!$C$38)*KFC!$C$5</f>
        <v>153.03</v>
      </c>
      <c r="M35" s="68">
        <f>(AG35*KFC!$B$38+KFC!$C$38)*KFC!$C$5</f>
        <v>161.41</v>
      </c>
      <c r="N35" s="68">
        <f>(AH35*KFC!$B$38+KFC!$C$38)*KFC!$C$5</f>
        <v>169.68</v>
      </c>
      <c r="O35" s="68">
        <f>(AI35*KFC!$B$38+KFC!$C$38)*KFC!$C$5</f>
        <v>178.06</v>
      </c>
      <c r="P35" s="68">
        <f>(AJ35*KFC!$B$38+KFC!$C$38)*KFC!$C$5</f>
        <v>186.2</v>
      </c>
      <c r="Q35" s="68">
        <f>(AK35*KFC!$B$38+KFC!$C$38)*KFC!$C$5</f>
        <v>194.33999999999997</v>
      </c>
      <c r="R35" s="68">
        <f>(AL35*KFC!$B$38+KFC!$C$38)*KFC!$C$5</f>
        <v>202.47999999999996</v>
      </c>
      <c r="S35" s="68">
        <f>(AM35*KFC!$B$38+KFC!$C$38)*KFC!$C$5</f>
        <v>210.61999999999995</v>
      </c>
      <c r="T35" s="68">
        <f>(AN35*KFC!$B$38+KFC!$C$38)*KFC!$C$5</f>
        <v>218.75999999999993</v>
      </c>
      <c r="U35" s="68">
        <f>(AO35*KFC!$B$38+KFC!$C$38)*KFC!$C$5</f>
        <v>226.89999999999992</v>
      </c>
      <c r="V35" s="68">
        <f>(AP35*KFC!$B$38+KFC!$C$38)*KFC!$C$5</f>
        <v>235.03999999999991</v>
      </c>
      <c r="X35" s="851">
        <v>1.5</v>
      </c>
      <c r="Y35" s="847">
        <v>95.1</v>
      </c>
      <c r="Z35" s="847">
        <v>103.48</v>
      </c>
      <c r="AA35" s="847">
        <v>111.74</v>
      </c>
      <c r="AB35" s="847">
        <v>119.87</v>
      </c>
      <c r="AC35" s="847">
        <v>128.26</v>
      </c>
      <c r="AD35" s="847">
        <v>136.52000000000001</v>
      </c>
      <c r="AE35" s="847">
        <v>144.9</v>
      </c>
      <c r="AF35" s="847">
        <v>153.03</v>
      </c>
      <c r="AG35" s="847">
        <v>161.41</v>
      </c>
      <c r="AH35" s="847">
        <v>169.68</v>
      </c>
      <c r="AI35" s="847">
        <v>178.06</v>
      </c>
      <c r="AJ35" s="848">
        <v>186.2</v>
      </c>
      <c r="AK35" s="690">
        <f t="shared" si="3"/>
        <v>194.33999999999997</v>
      </c>
      <c r="AL35" s="690">
        <f t="shared" si="2"/>
        <v>202.47999999999996</v>
      </c>
      <c r="AM35" s="690">
        <f t="shared" si="2"/>
        <v>210.61999999999995</v>
      </c>
      <c r="AN35" s="690">
        <f t="shared" si="2"/>
        <v>218.75999999999993</v>
      </c>
      <c r="AO35" s="690">
        <f t="shared" si="2"/>
        <v>226.89999999999992</v>
      </c>
      <c r="AP35" s="690">
        <f t="shared" si="2"/>
        <v>235.03999999999991</v>
      </c>
      <c r="AQ35" s="690">
        <f t="shared" si="2"/>
        <v>243.17999999999989</v>
      </c>
      <c r="AR35" s="690">
        <f t="shared" si="2"/>
        <v>251.31999999999988</v>
      </c>
    </row>
    <row r="36" spans="1:44">
      <c r="A36" s="2003"/>
      <c r="B36" s="2004"/>
      <c r="C36" s="2005"/>
      <c r="D36" s="230">
        <v>1.6</v>
      </c>
      <c r="E36" s="78">
        <f>(Y36*KFC!$B$38+KFC!$C$38)*KFC!$C$5</f>
        <v>100.25</v>
      </c>
      <c r="F36" s="68">
        <f>(Z36*KFC!$B$38+KFC!$C$38)*KFC!$C$5</f>
        <v>108.78</v>
      </c>
      <c r="G36" s="68">
        <f>(AA36*KFC!$B$38+KFC!$C$38)*KFC!$C$5</f>
        <v>117.03</v>
      </c>
      <c r="H36" s="68">
        <f>(AB36*KFC!$B$38+KFC!$C$38)*KFC!$C$5</f>
        <v>125.41</v>
      </c>
      <c r="I36" s="68">
        <f>(AC36*KFC!$B$38+KFC!$C$38)*KFC!$C$5</f>
        <v>133.80000000000001</v>
      </c>
      <c r="J36" s="68">
        <f>(AD36*KFC!$B$38+KFC!$C$38)*KFC!$C$5</f>
        <v>142.19</v>
      </c>
      <c r="K36" s="68">
        <f>(AE36*KFC!$B$38+KFC!$C$38)*KFC!$C$5</f>
        <v>150.57</v>
      </c>
      <c r="L36" s="68">
        <f>(AF36*KFC!$B$38+KFC!$C$38)*KFC!$C$5</f>
        <v>158.96</v>
      </c>
      <c r="M36" s="68">
        <f>(AG36*KFC!$B$38+KFC!$C$38)*KFC!$C$5</f>
        <v>167.49</v>
      </c>
      <c r="N36" s="68">
        <f>(AH36*KFC!$B$38+KFC!$C$38)*KFC!$C$5</f>
        <v>175.74</v>
      </c>
      <c r="O36" s="68">
        <f>(AI36*KFC!$B$38+KFC!$C$38)*KFC!$C$5</f>
        <v>184.12</v>
      </c>
      <c r="P36" s="68">
        <f>(AJ36*KFC!$B$38+KFC!$C$38)*KFC!$C$5</f>
        <v>192.51</v>
      </c>
      <c r="Q36" s="68">
        <f>(AK36*KFC!$B$38+KFC!$C$38)*KFC!$C$5</f>
        <v>200.89999999999998</v>
      </c>
      <c r="R36" s="68">
        <f>(AL36*KFC!$B$38+KFC!$C$38)*KFC!$C$5</f>
        <v>209.28999999999996</v>
      </c>
      <c r="S36" s="68">
        <f>(AM36*KFC!$B$38+KFC!$C$38)*KFC!$C$5</f>
        <v>217.67999999999995</v>
      </c>
      <c r="T36" s="68">
        <f>(AN36*KFC!$B$38+KFC!$C$38)*KFC!$C$5</f>
        <v>226.06999999999994</v>
      </c>
      <c r="U36" s="68">
        <f>(AO36*KFC!$B$38+KFC!$C$38)*KFC!$C$5</f>
        <v>234.45999999999992</v>
      </c>
      <c r="V36" s="68">
        <f>(AP36*KFC!$B$38+KFC!$C$38)*KFC!$C$5</f>
        <v>242.84999999999991</v>
      </c>
      <c r="X36" s="851">
        <v>1.6</v>
      </c>
      <c r="Y36" s="847">
        <v>100.25</v>
      </c>
      <c r="Z36" s="847">
        <v>108.78</v>
      </c>
      <c r="AA36" s="847">
        <v>117.03</v>
      </c>
      <c r="AB36" s="847">
        <v>125.41</v>
      </c>
      <c r="AC36" s="847">
        <v>133.80000000000001</v>
      </c>
      <c r="AD36" s="847">
        <v>142.19</v>
      </c>
      <c r="AE36" s="847">
        <v>150.57</v>
      </c>
      <c r="AF36" s="847">
        <v>158.96</v>
      </c>
      <c r="AG36" s="847">
        <v>167.49</v>
      </c>
      <c r="AH36" s="847">
        <v>175.74</v>
      </c>
      <c r="AI36" s="847">
        <v>184.12</v>
      </c>
      <c r="AJ36" s="848">
        <v>192.51</v>
      </c>
      <c r="AK36" s="690">
        <f t="shared" si="3"/>
        <v>200.89999999999998</v>
      </c>
      <c r="AL36" s="690">
        <f t="shared" si="2"/>
        <v>209.28999999999996</v>
      </c>
      <c r="AM36" s="690">
        <f t="shared" si="2"/>
        <v>217.67999999999995</v>
      </c>
      <c r="AN36" s="690">
        <f t="shared" si="2"/>
        <v>226.06999999999994</v>
      </c>
      <c r="AO36" s="690">
        <f t="shared" si="2"/>
        <v>234.45999999999992</v>
      </c>
      <c r="AP36" s="690">
        <f t="shared" si="2"/>
        <v>242.84999999999991</v>
      </c>
      <c r="AQ36" s="690">
        <f t="shared" si="2"/>
        <v>251.2399999999999</v>
      </c>
      <c r="AR36" s="690">
        <f t="shared" si="2"/>
        <v>259.62999999999988</v>
      </c>
    </row>
    <row r="37" spans="1:44">
      <c r="A37" s="2003"/>
      <c r="B37" s="2004"/>
      <c r="C37" s="2005"/>
      <c r="D37" s="230">
        <v>1.7</v>
      </c>
      <c r="E37" s="78">
        <f>(Y37*KFC!$B$38+KFC!$C$38)*KFC!$C$5</f>
        <v>105.41</v>
      </c>
      <c r="F37" s="68">
        <f>(Z37*KFC!$B$38+KFC!$C$38)*KFC!$C$5</f>
        <v>113.94</v>
      </c>
      <c r="G37" s="68">
        <f>(AA37*KFC!$B$38+KFC!$C$38)*KFC!$C$5</f>
        <v>122.33</v>
      </c>
      <c r="H37" s="68">
        <f>(AB37*KFC!$B$38+KFC!$C$38)*KFC!$C$5</f>
        <v>130.83000000000001</v>
      </c>
      <c r="I37" s="68">
        <f>(AC37*KFC!$B$38+KFC!$C$38)*KFC!$C$5</f>
        <v>139.35</v>
      </c>
      <c r="J37" s="68">
        <f>(AD37*KFC!$B$38+KFC!$C$38)*KFC!$C$5</f>
        <v>147.86000000000001</v>
      </c>
      <c r="K37" s="68">
        <f>(AE37*KFC!$B$38+KFC!$C$38)*KFC!$C$5</f>
        <v>156.38</v>
      </c>
      <c r="L37" s="68">
        <f>(AF37*KFC!$B$38+KFC!$C$38)*KFC!$C$5</f>
        <v>164.9</v>
      </c>
      <c r="M37" s="68">
        <f>(AG37*KFC!$B$38+KFC!$C$38)*KFC!$C$5</f>
        <v>173.29</v>
      </c>
      <c r="N37" s="68">
        <f>(AH37*KFC!$B$38+KFC!$C$38)*KFC!$C$5</f>
        <v>181.81</v>
      </c>
      <c r="O37" s="68">
        <f>(AI37*KFC!$B$38+KFC!$C$38)*KFC!$C$5</f>
        <v>190.32</v>
      </c>
      <c r="P37" s="68">
        <f>(AJ37*KFC!$B$38+KFC!$C$38)*KFC!$C$5</f>
        <v>198.84</v>
      </c>
      <c r="Q37" s="68">
        <f>(AK37*KFC!$B$38+KFC!$C$38)*KFC!$C$5</f>
        <v>207.36</v>
      </c>
      <c r="R37" s="68">
        <f>(AL37*KFC!$B$38+KFC!$C$38)*KFC!$C$5</f>
        <v>215.88000000000002</v>
      </c>
      <c r="S37" s="68">
        <f>(AM37*KFC!$B$38+KFC!$C$38)*KFC!$C$5</f>
        <v>224.40000000000003</v>
      </c>
      <c r="T37" s="68">
        <f>(AN37*KFC!$B$38+KFC!$C$38)*KFC!$C$5</f>
        <v>232.92000000000004</v>
      </c>
      <c r="U37" s="68">
        <f>(AO37*KFC!$B$38+KFC!$C$38)*KFC!$C$5</f>
        <v>241.44000000000005</v>
      </c>
      <c r="V37" s="68">
        <f>(AP37*KFC!$B$38+KFC!$C$38)*KFC!$C$5</f>
        <v>249.96000000000006</v>
      </c>
      <c r="X37" s="851">
        <v>1.7</v>
      </c>
      <c r="Y37" s="847">
        <v>105.41</v>
      </c>
      <c r="Z37" s="847">
        <v>113.94</v>
      </c>
      <c r="AA37" s="847">
        <v>122.33</v>
      </c>
      <c r="AB37" s="847">
        <v>130.83000000000001</v>
      </c>
      <c r="AC37" s="847">
        <v>139.35</v>
      </c>
      <c r="AD37" s="847">
        <v>147.86000000000001</v>
      </c>
      <c r="AE37" s="847">
        <v>156.38</v>
      </c>
      <c r="AF37" s="847">
        <v>164.9</v>
      </c>
      <c r="AG37" s="847">
        <v>173.29</v>
      </c>
      <c r="AH37" s="847">
        <v>181.81</v>
      </c>
      <c r="AI37" s="847">
        <v>190.32</v>
      </c>
      <c r="AJ37" s="848">
        <v>198.84</v>
      </c>
      <c r="AK37" s="690">
        <f t="shared" si="3"/>
        <v>207.36</v>
      </c>
      <c r="AL37" s="690">
        <f t="shared" si="2"/>
        <v>215.88000000000002</v>
      </c>
      <c r="AM37" s="690">
        <f t="shared" si="2"/>
        <v>224.40000000000003</v>
      </c>
      <c r="AN37" s="690">
        <f t="shared" si="2"/>
        <v>232.92000000000004</v>
      </c>
      <c r="AO37" s="690">
        <f t="shared" si="2"/>
        <v>241.44000000000005</v>
      </c>
      <c r="AP37" s="690">
        <f t="shared" si="2"/>
        <v>249.96000000000006</v>
      </c>
      <c r="AQ37" s="690">
        <f t="shared" si="2"/>
        <v>258.48000000000008</v>
      </c>
      <c r="AR37" s="690">
        <f t="shared" si="2"/>
        <v>267.00000000000011</v>
      </c>
    </row>
    <row r="38" spans="1:44" ht="13.8" thickBot="1">
      <c r="A38" s="2006"/>
      <c r="B38" s="2007"/>
      <c r="C38" s="2008"/>
      <c r="D38" s="231">
        <v>1.8</v>
      </c>
      <c r="E38" s="108">
        <f>(Y38*KFC!$B$38+KFC!$C$38)*KFC!$C$5</f>
        <v>110.45</v>
      </c>
      <c r="F38" s="109">
        <f>(Z38*KFC!$B$38+KFC!$C$38)*KFC!$C$5</f>
        <v>119.1</v>
      </c>
      <c r="G38" s="109">
        <f>(AA38*KFC!$B$38+KFC!$C$38)*KFC!$C$5</f>
        <v>127.61</v>
      </c>
      <c r="H38" s="109">
        <f>(AB38*KFC!$B$38+KFC!$C$38)*KFC!$C$5</f>
        <v>136.38</v>
      </c>
      <c r="I38" s="109">
        <f>(AC38*KFC!$B$38+KFC!$C$38)*KFC!$C$5</f>
        <v>144.9</v>
      </c>
      <c r="J38" s="109">
        <f>(AD38*KFC!$B$38+KFC!$C$38)*KFC!$C$5</f>
        <v>153.55000000000001</v>
      </c>
      <c r="K38" s="109">
        <f>(AE38*KFC!$B$38+KFC!$C$38)*KFC!$C$5</f>
        <v>162.06</v>
      </c>
      <c r="L38" s="109">
        <f>(AF38*KFC!$B$38+KFC!$C$38)*KFC!$C$5</f>
        <v>170.71</v>
      </c>
      <c r="M38" s="109">
        <f>(AG38*KFC!$B$38+KFC!$C$38)*KFC!$C$5</f>
        <v>179.22</v>
      </c>
      <c r="N38" s="109">
        <f>(AH38*KFC!$B$38+KFC!$C$38)*KFC!$C$5</f>
        <v>187.99</v>
      </c>
      <c r="O38" s="109">
        <f>(AI38*KFC!$B$38+KFC!$C$38)*KFC!$C$5</f>
        <v>196.52</v>
      </c>
      <c r="P38" s="109">
        <f>(AJ38*KFC!$B$38+KFC!$C$38)*KFC!$C$5</f>
        <v>205.16</v>
      </c>
      <c r="Q38" s="109">
        <f>(AK38*KFC!$B$38+KFC!$C$38)*KFC!$C$5</f>
        <v>213.79999999999998</v>
      </c>
      <c r="R38" s="109">
        <f>(AL38*KFC!$B$38+KFC!$C$38)*KFC!$C$5</f>
        <v>222.43999999999997</v>
      </c>
      <c r="S38" s="109">
        <f>(AM38*KFC!$B$38+KFC!$C$38)*KFC!$C$5</f>
        <v>231.07999999999996</v>
      </c>
      <c r="T38" s="109">
        <f>(AN38*KFC!$B$38+KFC!$C$38)*KFC!$C$5</f>
        <v>239.71999999999994</v>
      </c>
      <c r="U38" s="109">
        <f>(AO38*KFC!$B$38+KFC!$C$38)*KFC!$C$5</f>
        <v>248.35999999999993</v>
      </c>
      <c r="V38" s="109">
        <f>(AP38*KFC!$B$38+KFC!$C$38)*KFC!$C$5</f>
        <v>256.99999999999989</v>
      </c>
      <c r="X38" s="851">
        <v>1.8</v>
      </c>
      <c r="Y38" s="847">
        <v>110.45</v>
      </c>
      <c r="Z38" s="847">
        <v>119.1</v>
      </c>
      <c r="AA38" s="847">
        <v>127.61</v>
      </c>
      <c r="AB38" s="847">
        <v>136.38</v>
      </c>
      <c r="AC38" s="847">
        <v>144.9</v>
      </c>
      <c r="AD38" s="847">
        <v>153.55000000000001</v>
      </c>
      <c r="AE38" s="847">
        <v>162.06</v>
      </c>
      <c r="AF38" s="847">
        <v>170.71</v>
      </c>
      <c r="AG38" s="847">
        <v>179.22</v>
      </c>
      <c r="AH38" s="847">
        <v>187.99</v>
      </c>
      <c r="AI38" s="847">
        <v>196.52</v>
      </c>
      <c r="AJ38" s="848">
        <v>205.16</v>
      </c>
      <c r="AK38" s="690">
        <f t="shared" si="3"/>
        <v>213.79999999999998</v>
      </c>
      <c r="AL38" s="690">
        <f t="shared" si="2"/>
        <v>222.43999999999997</v>
      </c>
      <c r="AM38" s="690">
        <f t="shared" si="2"/>
        <v>231.07999999999996</v>
      </c>
      <c r="AN38" s="690">
        <f t="shared" si="2"/>
        <v>239.71999999999994</v>
      </c>
      <c r="AO38" s="690">
        <f t="shared" si="2"/>
        <v>248.35999999999993</v>
      </c>
      <c r="AP38" s="690">
        <f t="shared" si="2"/>
        <v>256.99999999999989</v>
      </c>
      <c r="AQ38" s="690">
        <f t="shared" si="2"/>
        <v>265.63999999999987</v>
      </c>
      <c r="AR38" s="690">
        <f t="shared" si="2"/>
        <v>274.27999999999986</v>
      </c>
    </row>
    <row r="39" spans="1:44" ht="13.8" thickBot="1">
      <c r="A39" s="186"/>
      <c r="B39" s="186"/>
      <c r="C39" s="186"/>
      <c r="D39" s="184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</row>
    <row r="40" spans="1:44" ht="13.8" thickBot="1">
      <c r="A40" s="1413" t="s">
        <v>318</v>
      </c>
      <c r="B40" s="1414"/>
      <c r="C40" s="1414"/>
      <c r="D40" s="1415"/>
      <c r="E40" s="1534" t="s">
        <v>207</v>
      </c>
      <c r="F40" s="1535"/>
      <c r="G40" s="1535"/>
      <c r="H40" s="1535"/>
      <c r="I40" s="1535"/>
      <c r="J40" s="1535"/>
      <c r="K40" s="1535"/>
      <c r="L40" s="1535"/>
      <c r="M40" s="1535"/>
      <c r="N40" s="1535"/>
      <c r="O40" s="1535"/>
      <c r="P40" s="1535"/>
      <c r="Q40" s="1535"/>
      <c r="R40" s="1535"/>
      <c r="S40" s="1535"/>
      <c r="T40" s="1535"/>
      <c r="U40" s="1535"/>
      <c r="V40" s="1535"/>
    </row>
    <row r="41" spans="1:44" ht="13.8" thickBot="1">
      <c r="A41" s="1803"/>
      <c r="B41" s="1910"/>
      <c r="C41" s="1910"/>
      <c r="D41" s="1802"/>
      <c r="E41" s="119">
        <v>0.4</v>
      </c>
      <c r="F41" s="119">
        <v>0.5</v>
      </c>
      <c r="G41" s="119">
        <v>0.6</v>
      </c>
      <c r="H41" s="119">
        <v>0.7</v>
      </c>
      <c r="I41" s="119">
        <v>0.8</v>
      </c>
      <c r="J41" s="119">
        <v>0.9</v>
      </c>
      <c r="K41" s="119">
        <v>1</v>
      </c>
      <c r="L41" s="119">
        <v>1.1000000000000001</v>
      </c>
      <c r="M41" s="119">
        <v>1.2</v>
      </c>
      <c r="N41" s="119">
        <v>1.3</v>
      </c>
      <c r="O41" s="119">
        <v>1.4</v>
      </c>
      <c r="P41" s="119">
        <v>1.5</v>
      </c>
      <c r="Q41" s="119">
        <v>1.6</v>
      </c>
      <c r="R41" s="119">
        <v>1.7</v>
      </c>
      <c r="S41" s="119">
        <v>1.8</v>
      </c>
      <c r="T41" s="119">
        <v>1.9</v>
      </c>
      <c r="U41" s="119">
        <v>2</v>
      </c>
      <c r="V41" s="119">
        <v>2.1</v>
      </c>
      <c r="X41" s="850"/>
      <c r="Y41" s="851">
        <v>0.4</v>
      </c>
      <c r="Z41" s="851">
        <v>0.5</v>
      </c>
      <c r="AA41" s="851">
        <v>0.6</v>
      </c>
      <c r="AB41" s="851">
        <v>0.7</v>
      </c>
      <c r="AC41" s="851">
        <v>0.8</v>
      </c>
      <c r="AD41" s="851">
        <v>0.9</v>
      </c>
      <c r="AE41" s="851">
        <v>1</v>
      </c>
      <c r="AF41" s="851">
        <v>1.1000000000000001</v>
      </c>
      <c r="AG41" s="851">
        <v>1.2</v>
      </c>
      <c r="AH41" s="851">
        <v>1.3</v>
      </c>
      <c r="AI41" s="851">
        <v>1.4</v>
      </c>
      <c r="AJ41" s="852">
        <v>1.5</v>
      </c>
      <c r="AK41" s="853">
        <v>1.6</v>
      </c>
      <c r="AL41" s="853">
        <v>1.7</v>
      </c>
      <c r="AM41" s="853">
        <v>1.8</v>
      </c>
      <c r="AN41" s="853">
        <v>1.9</v>
      </c>
      <c r="AO41" s="853">
        <v>2</v>
      </c>
      <c r="AP41" s="853">
        <v>2.1</v>
      </c>
      <c r="AQ41" s="853">
        <v>2.2000000000000002</v>
      </c>
      <c r="AR41" s="853">
        <v>2.2999999999999998</v>
      </c>
    </row>
    <row r="42" spans="1:44">
      <c r="A42" s="2000" t="s">
        <v>3</v>
      </c>
      <c r="B42" s="2001"/>
      <c r="C42" s="2002"/>
      <c r="D42" s="232">
        <v>0.5</v>
      </c>
      <c r="E42" s="76">
        <f>(Y42*KFC!$B$38+KFC!$C$38)*KFC!$C$5</f>
        <v>50.45</v>
      </c>
      <c r="F42" s="77">
        <f>(Z42*KFC!$B$38+KFC!$C$38)*KFC!$C$5</f>
        <v>58.07</v>
      </c>
      <c r="G42" s="77">
        <f>(AA42*KFC!$B$38+KFC!$C$38)*KFC!$C$5</f>
        <v>65.680000000000007</v>
      </c>
      <c r="H42" s="77">
        <f>(AB42*KFC!$B$38+KFC!$C$38)*KFC!$C$5</f>
        <v>73.430000000000007</v>
      </c>
      <c r="I42" s="77">
        <f>(AC42*KFC!$B$38+KFC!$C$38)*KFC!$C$5</f>
        <v>80.89</v>
      </c>
      <c r="J42" s="77">
        <f>(AD42*KFC!$B$38+KFC!$C$38)*KFC!$C$5</f>
        <v>88.52</v>
      </c>
      <c r="K42" s="77">
        <f>(AE42*KFC!$B$38+KFC!$C$38)*KFC!$C$5</f>
        <v>96.13</v>
      </c>
      <c r="L42" s="77">
        <f>(AF42*KFC!$B$38+KFC!$C$38)*KFC!$C$5</f>
        <v>103.74</v>
      </c>
      <c r="M42" s="77">
        <f>(AG42*KFC!$B$38+KFC!$C$38)*KFC!$C$5</f>
        <v>111.22</v>
      </c>
      <c r="N42" s="77">
        <f>(AH42*KFC!$B$38+KFC!$C$38)*KFC!$C$5</f>
        <v>118.97</v>
      </c>
      <c r="O42" s="77">
        <f>(AI42*KFC!$B$38+KFC!$C$38)*KFC!$C$5</f>
        <v>126.58</v>
      </c>
      <c r="P42" s="77">
        <f>(AJ42*KFC!$B$38+KFC!$C$38)*KFC!$C$5</f>
        <v>134.19</v>
      </c>
      <c r="Q42" s="77">
        <f>(AK42*KFC!$B$38+KFC!$C$38)*KFC!$C$5</f>
        <v>141.80000000000001</v>
      </c>
      <c r="R42" s="77">
        <f>(AL42*KFC!$B$38+KFC!$C$38)*KFC!$C$5</f>
        <v>149.41000000000003</v>
      </c>
      <c r="S42" s="77">
        <f>(AM42*KFC!$B$38+KFC!$C$38)*KFC!$C$5</f>
        <v>157.02000000000004</v>
      </c>
      <c r="T42" s="77">
        <f>(AN42*KFC!$B$38+KFC!$C$38)*KFC!$C$5</f>
        <v>164.63000000000005</v>
      </c>
      <c r="U42" s="77">
        <f>(AO42*KFC!$B$38+KFC!$C$38)*KFC!$C$5</f>
        <v>172.24000000000007</v>
      </c>
      <c r="V42" s="77">
        <f>(AP42*KFC!$B$38+KFC!$C$38)*KFC!$C$5</f>
        <v>179.85000000000008</v>
      </c>
      <c r="X42" s="851">
        <v>0.5</v>
      </c>
      <c r="Y42" s="847">
        <v>50.45</v>
      </c>
      <c r="Z42" s="847">
        <v>58.07</v>
      </c>
      <c r="AA42" s="847">
        <v>65.680000000000007</v>
      </c>
      <c r="AB42" s="847">
        <v>73.430000000000007</v>
      </c>
      <c r="AC42" s="847">
        <v>80.89</v>
      </c>
      <c r="AD42" s="847">
        <v>88.52</v>
      </c>
      <c r="AE42" s="847">
        <v>96.13</v>
      </c>
      <c r="AF42" s="847">
        <v>103.74</v>
      </c>
      <c r="AG42" s="847">
        <v>111.22</v>
      </c>
      <c r="AH42" s="847">
        <v>118.97</v>
      </c>
      <c r="AI42" s="847">
        <v>126.58</v>
      </c>
      <c r="AJ42" s="848">
        <v>134.19</v>
      </c>
      <c r="AK42" s="690">
        <f>AJ42-AI42+AJ42</f>
        <v>141.80000000000001</v>
      </c>
      <c r="AL42" s="690">
        <f t="shared" ref="AL42:AR55" si="4">AK42-AJ42+AK42</f>
        <v>149.41000000000003</v>
      </c>
      <c r="AM42" s="690">
        <f t="shared" si="4"/>
        <v>157.02000000000004</v>
      </c>
      <c r="AN42" s="690">
        <f t="shared" si="4"/>
        <v>164.63000000000005</v>
      </c>
      <c r="AO42" s="690">
        <f t="shared" si="4"/>
        <v>172.24000000000007</v>
      </c>
      <c r="AP42" s="690">
        <f t="shared" si="4"/>
        <v>179.85000000000008</v>
      </c>
      <c r="AQ42" s="690">
        <f t="shared" si="4"/>
        <v>187.46000000000009</v>
      </c>
      <c r="AR42" s="690">
        <f t="shared" si="4"/>
        <v>195.07000000000011</v>
      </c>
    </row>
    <row r="43" spans="1:44">
      <c r="A43" s="2003"/>
      <c r="B43" s="2004"/>
      <c r="C43" s="2005"/>
      <c r="D43" s="230">
        <v>0.6</v>
      </c>
      <c r="E43" s="78">
        <f>(Y43*KFC!$B$38+KFC!$C$38)*KFC!$C$5</f>
        <v>56.52</v>
      </c>
      <c r="F43" s="68">
        <f>(Z43*KFC!$B$38+KFC!$C$38)*KFC!$C$5</f>
        <v>64.39</v>
      </c>
      <c r="G43" s="68">
        <f>(AA43*KFC!$B$38+KFC!$C$38)*KFC!$C$5</f>
        <v>72.13</v>
      </c>
      <c r="H43" s="68">
        <f>(AB43*KFC!$B$38+KFC!$C$38)*KFC!$C$5</f>
        <v>79.87</v>
      </c>
      <c r="I43" s="68">
        <f>(AC43*KFC!$B$38+KFC!$C$38)*KFC!$C$5</f>
        <v>87.62</v>
      </c>
      <c r="J43" s="68">
        <f>(AD43*KFC!$B$38+KFC!$C$38)*KFC!$C$5</f>
        <v>95.48</v>
      </c>
      <c r="K43" s="68">
        <f>(AE43*KFC!$B$38+KFC!$C$38)*KFC!$C$5</f>
        <v>103.22</v>
      </c>
      <c r="L43" s="68">
        <f>(AF43*KFC!$B$38+KFC!$C$38)*KFC!$C$5</f>
        <v>110.97</v>
      </c>
      <c r="M43" s="68">
        <f>(AG43*KFC!$B$38+KFC!$C$38)*KFC!$C$5</f>
        <v>118.71</v>
      </c>
      <c r="N43" s="68">
        <f>(AH43*KFC!$B$38+KFC!$C$38)*KFC!$C$5</f>
        <v>126.58</v>
      </c>
      <c r="O43" s="68">
        <f>(AI43*KFC!$B$38+KFC!$C$38)*KFC!$C$5</f>
        <v>134.32</v>
      </c>
      <c r="P43" s="68">
        <f>(AJ43*KFC!$B$38+KFC!$C$38)*KFC!$C$5</f>
        <v>142.07</v>
      </c>
      <c r="Q43" s="68">
        <f>(AK43*KFC!$B$38+KFC!$C$38)*KFC!$C$5</f>
        <v>149.82</v>
      </c>
      <c r="R43" s="68">
        <f>(AL43*KFC!$B$38+KFC!$C$38)*KFC!$C$5</f>
        <v>157.57</v>
      </c>
      <c r="S43" s="68">
        <f>(AM43*KFC!$B$38+KFC!$C$38)*KFC!$C$5</f>
        <v>165.32</v>
      </c>
      <c r="T43" s="68">
        <f>(AN43*KFC!$B$38+KFC!$C$38)*KFC!$C$5</f>
        <v>173.07</v>
      </c>
      <c r="U43" s="68">
        <f>(AO43*KFC!$B$38+KFC!$C$38)*KFC!$C$5</f>
        <v>180.82</v>
      </c>
      <c r="V43" s="68">
        <f>(AP43*KFC!$B$38+KFC!$C$38)*KFC!$C$5</f>
        <v>188.57</v>
      </c>
      <c r="X43" s="851">
        <v>0.6</v>
      </c>
      <c r="Y43" s="847">
        <v>56.52</v>
      </c>
      <c r="Z43" s="847">
        <v>64.39</v>
      </c>
      <c r="AA43" s="847">
        <v>72.13</v>
      </c>
      <c r="AB43" s="847">
        <v>79.87</v>
      </c>
      <c r="AC43" s="847">
        <v>87.62</v>
      </c>
      <c r="AD43" s="847">
        <v>95.48</v>
      </c>
      <c r="AE43" s="847">
        <v>103.22</v>
      </c>
      <c r="AF43" s="847">
        <v>110.97</v>
      </c>
      <c r="AG43" s="847">
        <v>118.71</v>
      </c>
      <c r="AH43" s="847">
        <v>126.58</v>
      </c>
      <c r="AI43" s="847">
        <v>134.32</v>
      </c>
      <c r="AJ43" s="848">
        <v>142.07</v>
      </c>
      <c r="AK43" s="690">
        <f t="shared" ref="AK43:AK55" si="5">AJ43-AI43+AJ43</f>
        <v>149.82</v>
      </c>
      <c r="AL43" s="690">
        <f t="shared" si="4"/>
        <v>157.57</v>
      </c>
      <c r="AM43" s="690">
        <f t="shared" si="4"/>
        <v>165.32</v>
      </c>
      <c r="AN43" s="690">
        <f t="shared" si="4"/>
        <v>173.07</v>
      </c>
      <c r="AO43" s="690">
        <f t="shared" si="4"/>
        <v>180.82</v>
      </c>
      <c r="AP43" s="690">
        <f t="shared" si="4"/>
        <v>188.57</v>
      </c>
      <c r="AQ43" s="690">
        <f t="shared" si="4"/>
        <v>196.32</v>
      </c>
      <c r="AR43" s="690">
        <f t="shared" si="4"/>
        <v>204.07</v>
      </c>
    </row>
    <row r="44" spans="1:44">
      <c r="A44" s="2003"/>
      <c r="B44" s="2004"/>
      <c r="C44" s="2005"/>
      <c r="D44" s="230">
        <v>0.7</v>
      </c>
      <c r="E44" s="78">
        <f>(Y44*KFC!$B$38+KFC!$C$38)*KFC!$C$5</f>
        <v>62.71</v>
      </c>
      <c r="F44" s="68">
        <f>(Z44*KFC!$B$38+KFC!$C$38)*KFC!$C$5</f>
        <v>70.58</v>
      </c>
      <c r="G44" s="68">
        <f>(AA44*KFC!$B$38+KFC!$C$38)*KFC!$C$5</f>
        <v>78.45</v>
      </c>
      <c r="H44" s="68">
        <f>(AB44*KFC!$B$38+KFC!$C$38)*KFC!$C$5</f>
        <v>86.45</v>
      </c>
      <c r="I44" s="68">
        <f>(AC44*KFC!$B$38+KFC!$C$38)*KFC!$C$5</f>
        <v>94.31</v>
      </c>
      <c r="J44" s="68">
        <f>(AD44*KFC!$B$38+KFC!$C$38)*KFC!$C$5</f>
        <v>102.32</v>
      </c>
      <c r="K44" s="68">
        <f>(AE44*KFC!$B$38+KFC!$C$38)*KFC!$C$5</f>
        <v>110.32</v>
      </c>
      <c r="L44" s="68">
        <f>(AF44*KFC!$B$38+KFC!$C$38)*KFC!$C$5</f>
        <v>118.18</v>
      </c>
      <c r="M44" s="68">
        <f>(AG44*KFC!$B$38+KFC!$C$38)*KFC!$C$5</f>
        <v>126.06</v>
      </c>
      <c r="N44" s="68">
        <f>(AH44*KFC!$B$38+KFC!$C$38)*KFC!$C$5</f>
        <v>133.94</v>
      </c>
      <c r="O44" s="68">
        <f>(AI44*KFC!$B$38+KFC!$C$38)*KFC!$C$5</f>
        <v>142.07</v>
      </c>
      <c r="P44" s="68">
        <f>(AJ44*KFC!$B$38+KFC!$C$38)*KFC!$C$5</f>
        <v>149.93</v>
      </c>
      <c r="Q44" s="68">
        <f>(AK44*KFC!$B$38+KFC!$C$38)*KFC!$C$5</f>
        <v>157.79000000000002</v>
      </c>
      <c r="R44" s="68">
        <f>(AL44*KFC!$B$38+KFC!$C$38)*KFC!$C$5</f>
        <v>165.65000000000003</v>
      </c>
      <c r="S44" s="68">
        <f>(AM44*KFC!$B$38+KFC!$C$38)*KFC!$C$5</f>
        <v>173.51000000000005</v>
      </c>
      <c r="T44" s="68">
        <f>(AN44*KFC!$B$38+KFC!$C$38)*KFC!$C$5</f>
        <v>181.37000000000006</v>
      </c>
      <c r="U44" s="68">
        <f>(AO44*KFC!$B$38+KFC!$C$38)*KFC!$C$5</f>
        <v>189.23000000000008</v>
      </c>
      <c r="V44" s="68">
        <f>(AP44*KFC!$B$38+KFC!$C$38)*KFC!$C$5</f>
        <v>197.09000000000009</v>
      </c>
      <c r="X44" s="851">
        <v>0.7</v>
      </c>
      <c r="Y44" s="847">
        <v>62.71</v>
      </c>
      <c r="Z44" s="847">
        <v>70.58</v>
      </c>
      <c r="AA44" s="847">
        <v>78.45</v>
      </c>
      <c r="AB44" s="847">
        <v>86.45</v>
      </c>
      <c r="AC44" s="847">
        <v>94.31</v>
      </c>
      <c r="AD44" s="847">
        <v>102.32</v>
      </c>
      <c r="AE44" s="847">
        <v>110.32</v>
      </c>
      <c r="AF44" s="847">
        <v>118.18</v>
      </c>
      <c r="AG44" s="847">
        <v>126.06</v>
      </c>
      <c r="AH44" s="847">
        <v>133.94</v>
      </c>
      <c r="AI44" s="847">
        <v>142.07</v>
      </c>
      <c r="AJ44" s="848">
        <v>149.93</v>
      </c>
      <c r="AK44" s="690">
        <f t="shared" si="5"/>
        <v>157.79000000000002</v>
      </c>
      <c r="AL44" s="690">
        <f t="shared" si="4"/>
        <v>165.65000000000003</v>
      </c>
      <c r="AM44" s="690">
        <f t="shared" si="4"/>
        <v>173.51000000000005</v>
      </c>
      <c r="AN44" s="690">
        <f t="shared" si="4"/>
        <v>181.37000000000006</v>
      </c>
      <c r="AO44" s="690">
        <f t="shared" si="4"/>
        <v>189.23000000000008</v>
      </c>
      <c r="AP44" s="690">
        <f t="shared" si="4"/>
        <v>197.09000000000009</v>
      </c>
      <c r="AQ44" s="690">
        <f t="shared" si="4"/>
        <v>204.9500000000001</v>
      </c>
      <c r="AR44" s="690">
        <f t="shared" si="4"/>
        <v>212.81000000000012</v>
      </c>
    </row>
    <row r="45" spans="1:44">
      <c r="A45" s="2003"/>
      <c r="B45" s="2004"/>
      <c r="C45" s="2005"/>
      <c r="D45" s="230">
        <v>0.8</v>
      </c>
      <c r="E45" s="78">
        <f>(Y45*KFC!$B$38+KFC!$C$38)*KFC!$C$5</f>
        <v>68.64</v>
      </c>
      <c r="F45" s="68">
        <f>(Z45*KFC!$B$38+KFC!$C$38)*KFC!$C$5</f>
        <v>76.900000000000006</v>
      </c>
      <c r="G45" s="68">
        <f>(AA45*KFC!$B$38+KFC!$C$38)*KFC!$C$5</f>
        <v>84.91</v>
      </c>
      <c r="H45" s="68">
        <f>(AB45*KFC!$B$38+KFC!$C$38)*KFC!$C$5</f>
        <v>92.91</v>
      </c>
      <c r="I45" s="68">
        <f>(AC45*KFC!$B$38+KFC!$C$38)*KFC!$C$5</f>
        <v>101.17</v>
      </c>
      <c r="J45" s="68">
        <f>(AD45*KFC!$B$38+KFC!$C$38)*KFC!$C$5</f>
        <v>109.15</v>
      </c>
      <c r="K45" s="68">
        <f>(AE45*KFC!$B$38+KFC!$C$38)*KFC!$C$5</f>
        <v>117.29</v>
      </c>
      <c r="L45" s="68">
        <f>(AF45*KFC!$B$38+KFC!$C$38)*KFC!$C$5</f>
        <v>125.41</v>
      </c>
      <c r="M45" s="68">
        <f>(AG45*KFC!$B$38+KFC!$C$38)*KFC!$C$5</f>
        <v>133.55000000000001</v>
      </c>
      <c r="N45" s="68">
        <f>(AH45*KFC!$B$38+KFC!$C$38)*KFC!$C$5</f>
        <v>141.54</v>
      </c>
      <c r="O45" s="68">
        <f>(AI45*KFC!$B$38+KFC!$C$38)*KFC!$C$5</f>
        <v>149.80000000000001</v>
      </c>
      <c r="P45" s="68">
        <f>(AJ45*KFC!$B$38+KFC!$C$38)*KFC!$C$5</f>
        <v>157.81</v>
      </c>
      <c r="Q45" s="68">
        <f>(AK45*KFC!$B$38+KFC!$C$38)*KFC!$C$5</f>
        <v>165.82</v>
      </c>
      <c r="R45" s="68">
        <f>(AL45*KFC!$B$38+KFC!$C$38)*KFC!$C$5</f>
        <v>173.82999999999998</v>
      </c>
      <c r="S45" s="68">
        <f>(AM45*KFC!$B$38+KFC!$C$38)*KFC!$C$5</f>
        <v>181.83999999999997</v>
      </c>
      <c r="T45" s="68">
        <f>(AN45*KFC!$B$38+KFC!$C$38)*KFC!$C$5</f>
        <v>189.84999999999997</v>
      </c>
      <c r="U45" s="68">
        <f>(AO45*KFC!$B$38+KFC!$C$38)*KFC!$C$5</f>
        <v>197.85999999999996</v>
      </c>
      <c r="V45" s="68">
        <f>(AP45*KFC!$B$38+KFC!$C$38)*KFC!$C$5</f>
        <v>205.86999999999995</v>
      </c>
      <c r="X45" s="851">
        <v>0.8</v>
      </c>
      <c r="Y45" s="847">
        <v>68.64</v>
      </c>
      <c r="Z45" s="847">
        <v>76.900000000000006</v>
      </c>
      <c r="AA45" s="847">
        <v>84.91</v>
      </c>
      <c r="AB45" s="847">
        <v>92.91</v>
      </c>
      <c r="AC45" s="847">
        <v>101.17</v>
      </c>
      <c r="AD45" s="847">
        <v>109.15</v>
      </c>
      <c r="AE45" s="847">
        <v>117.29</v>
      </c>
      <c r="AF45" s="847">
        <v>125.41</v>
      </c>
      <c r="AG45" s="847">
        <v>133.55000000000001</v>
      </c>
      <c r="AH45" s="847">
        <v>141.54</v>
      </c>
      <c r="AI45" s="847">
        <v>149.80000000000001</v>
      </c>
      <c r="AJ45" s="848">
        <v>157.81</v>
      </c>
      <c r="AK45" s="690">
        <f t="shared" si="5"/>
        <v>165.82</v>
      </c>
      <c r="AL45" s="690">
        <f t="shared" si="4"/>
        <v>173.82999999999998</v>
      </c>
      <c r="AM45" s="690">
        <f t="shared" si="4"/>
        <v>181.83999999999997</v>
      </c>
      <c r="AN45" s="690">
        <f t="shared" si="4"/>
        <v>189.84999999999997</v>
      </c>
      <c r="AO45" s="690">
        <f t="shared" si="4"/>
        <v>197.85999999999996</v>
      </c>
      <c r="AP45" s="690">
        <f t="shared" si="4"/>
        <v>205.86999999999995</v>
      </c>
      <c r="AQ45" s="690">
        <f t="shared" si="4"/>
        <v>213.87999999999994</v>
      </c>
      <c r="AR45" s="690">
        <f t="shared" si="4"/>
        <v>221.88999999999993</v>
      </c>
    </row>
    <row r="46" spans="1:44">
      <c r="A46" s="2003"/>
      <c r="B46" s="2004"/>
      <c r="C46" s="2005"/>
      <c r="D46" s="230">
        <v>0.9</v>
      </c>
      <c r="E46" s="78">
        <f>(Y46*KFC!$B$38+KFC!$C$38)*KFC!$C$5</f>
        <v>74.83</v>
      </c>
      <c r="F46" s="68">
        <f>(Z46*KFC!$B$38+KFC!$C$38)*KFC!$C$5</f>
        <v>82.97</v>
      </c>
      <c r="G46" s="68">
        <f>(AA46*KFC!$B$38+KFC!$C$38)*KFC!$C$5</f>
        <v>91.36</v>
      </c>
      <c r="H46" s="68">
        <f>(AB46*KFC!$B$38+KFC!$C$38)*KFC!$C$5</f>
        <v>99.61</v>
      </c>
      <c r="I46" s="68">
        <f>(AC46*KFC!$B$38+KFC!$C$38)*KFC!$C$5</f>
        <v>107.75</v>
      </c>
      <c r="J46" s="68">
        <f>(AD46*KFC!$B$38+KFC!$C$38)*KFC!$C$5</f>
        <v>116.13</v>
      </c>
      <c r="K46" s="68">
        <f>(AE46*KFC!$B$38+KFC!$C$38)*KFC!$C$5</f>
        <v>124.39</v>
      </c>
      <c r="L46" s="68">
        <f>(AF46*KFC!$B$38+KFC!$C$38)*KFC!$C$5</f>
        <v>132.51</v>
      </c>
      <c r="M46" s="68">
        <f>(AG46*KFC!$B$38+KFC!$C$38)*KFC!$C$5</f>
        <v>140.9</v>
      </c>
      <c r="N46" s="68">
        <f>(AH46*KFC!$B$38+KFC!$C$38)*KFC!$C$5</f>
        <v>149.16</v>
      </c>
      <c r="O46" s="68">
        <f>(AI46*KFC!$B$38+KFC!$C$38)*KFC!$C$5</f>
        <v>157.54</v>
      </c>
      <c r="P46" s="68">
        <f>(AJ46*KFC!$B$38+KFC!$C$38)*KFC!$C$5</f>
        <v>165.68</v>
      </c>
      <c r="Q46" s="68">
        <f>(AK46*KFC!$B$38+KFC!$C$38)*KFC!$C$5</f>
        <v>173.82000000000002</v>
      </c>
      <c r="R46" s="68">
        <f>(AL46*KFC!$B$38+KFC!$C$38)*KFC!$C$5</f>
        <v>181.96000000000004</v>
      </c>
      <c r="S46" s="68">
        <f>(AM46*KFC!$B$38+KFC!$C$38)*KFC!$C$5</f>
        <v>190.10000000000005</v>
      </c>
      <c r="T46" s="68">
        <f>(AN46*KFC!$B$38+KFC!$C$38)*KFC!$C$5</f>
        <v>198.24000000000007</v>
      </c>
      <c r="U46" s="68">
        <f>(AO46*KFC!$B$38+KFC!$C$38)*KFC!$C$5</f>
        <v>206.38000000000008</v>
      </c>
      <c r="V46" s="68">
        <f>(AP46*KFC!$B$38+KFC!$C$38)*KFC!$C$5</f>
        <v>214.5200000000001</v>
      </c>
      <c r="X46" s="851">
        <v>0.9</v>
      </c>
      <c r="Y46" s="847">
        <v>74.83</v>
      </c>
      <c r="Z46" s="847">
        <v>82.97</v>
      </c>
      <c r="AA46" s="847">
        <v>91.36</v>
      </c>
      <c r="AB46" s="847">
        <v>99.61</v>
      </c>
      <c r="AC46" s="847">
        <v>107.75</v>
      </c>
      <c r="AD46" s="847">
        <v>116.13</v>
      </c>
      <c r="AE46" s="847">
        <v>124.39</v>
      </c>
      <c r="AF46" s="847">
        <v>132.51</v>
      </c>
      <c r="AG46" s="847">
        <v>140.9</v>
      </c>
      <c r="AH46" s="847">
        <v>149.16</v>
      </c>
      <c r="AI46" s="847">
        <v>157.54</v>
      </c>
      <c r="AJ46" s="848">
        <v>165.68</v>
      </c>
      <c r="AK46" s="690">
        <f t="shared" si="5"/>
        <v>173.82000000000002</v>
      </c>
      <c r="AL46" s="690">
        <f t="shared" si="4"/>
        <v>181.96000000000004</v>
      </c>
      <c r="AM46" s="690">
        <f t="shared" si="4"/>
        <v>190.10000000000005</v>
      </c>
      <c r="AN46" s="690">
        <f t="shared" si="4"/>
        <v>198.24000000000007</v>
      </c>
      <c r="AO46" s="690">
        <f t="shared" si="4"/>
        <v>206.38000000000008</v>
      </c>
      <c r="AP46" s="690">
        <f t="shared" si="4"/>
        <v>214.5200000000001</v>
      </c>
      <c r="AQ46" s="690">
        <f t="shared" si="4"/>
        <v>222.66000000000011</v>
      </c>
      <c r="AR46" s="690">
        <f t="shared" si="4"/>
        <v>230.80000000000013</v>
      </c>
    </row>
    <row r="47" spans="1:44">
      <c r="A47" s="2003"/>
      <c r="B47" s="2004"/>
      <c r="C47" s="2005"/>
      <c r="D47" s="230">
        <v>1</v>
      </c>
      <c r="E47" s="78">
        <f>(Y47*KFC!$B$38+KFC!$C$38)*KFC!$C$5</f>
        <v>80.77</v>
      </c>
      <c r="F47" s="68">
        <f>(Z47*KFC!$B$38+KFC!$C$38)*KFC!$C$5</f>
        <v>89.29</v>
      </c>
      <c r="G47" s="68">
        <f>(AA47*KFC!$B$38+KFC!$C$38)*KFC!$C$5</f>
        <v>97.67</v>
      </c>
      <c r="H47" s="68">
        <f>(AB47*KFC!$B$38+KFC!$C$38)*KFC!$C$5</f>
        <v>106.19</v>
      </c>
      <c r="I47" s="68">
        <f>(AC47*KFC!$B$38+KFC!$C$38)*KFC!$C$5</f>
        <v>114.59</v>
      </c>
      <c r="J47" s="68">
        <f>(AD47*KFC!$B$38+KFC!$C$38)*KFC!$C$5</f>
        <v>122.97</v>
      </c>
      <c r="K47" s="68">
        <f>(AE47*KFC!$B$38+KFC!$C$38)*KFC!$C$5</f>
        <v>131.47999999999999</v>
      </c>
      <c r="L47" s="68">
        <f>(AF47*KFC!$B$38+KFC!$C$38)*KFC!$C$5</f>
        <v>139.88</v>
      </c>
      <c r="M47" s="68">
        <f>(AG47*KFC!$B$38+KFC!$C$38)*KFC!$C$5</f>
        <v>148.38999999999999</v>
      </c>
      <c r="N47" s="68">
        <f>(AH47*KFC!$B$38+KFC!$C$38)*KFC!$C$5</f>
        <v>156.63999999999999</v>
      </c>
      <c r="O47" s="68">
        <f>(AI47*KFC!$B$38+KFC!$C$38)*KFC!$C$5</f>
        <v>165.15</v>
      </c>
      <c r="P47" s="68">
        <f>(AJ47*KFC!$B$38+KFC!$C$38)*KFC!$C$5</f>
        <v>173.55</v>
      </c>
      <c r="Q47" s="68">
        <f>(AK47*KFC!$B$38+KFC!$C$38)*KFC!$C$5</f>
        <v>181.95000000000002</v>
      </c>
      <c r="R47" s="68">
        <f>(AL47*KFC!$B$38+KFC!$C$38)*KFC!$C$5</f>
        <v>190.35000000000002</v>
      </c>
      <c r="S47" s="68">
        <f>(AM47*KFC!$B$38+KFC!$C$38)*KFC!$C$5</f>
        <v>198.75000000000003</v>
      </c>
      <c r="T47" s="68">
        <f>(AN47*KFC!$B$38+KFC!$C$38)*KFC!$C$5</f>
        <v>207.15000000000003</v>
      </c>
      <c r="U47" s="68">
        <f>(AO47*KFC!$B$38+KFC!$C$38)*KFC!$C$5</f>
        <v>215.55000000000004</v>
      </c>
      <c r="V47" s="68">
        <f>(AP47*KFC!$B$38+KFC!$C$38)*KFC!$C$5</f>
        <v>223.95000000000005</v>
      </c>
      <c r="X47" s="851">
        <v>1</v>
      </c>
      <c r="Y47" s="847">
        <v>80.77</v>
      </c>
      <c r="Z47" s="847">
        <v>89.29</v>
      </c>
      <c r="AA47" s="847">
        <v>97.67</v>
      </c>
      <c r="AB47" s="847">
        <v>106.19</v>
      </c>
      <c r="AC47" s="847">
        <v>114.59</v>
      </c>
      <c r="AD47" s="847">
        <v>122.97</v>
      </c>
      <c r="AE47" s="847">
        <v>131.47999999999999</v>
      </c>
      <c r="AF47" s="847">
        <v>139.88</v>
      </c>
      <c r="AG47" s="847">
        <v>148.38999999999999</v>
      </c>
      <c r="AH47" s="847">
        <v>156.63999999999999</v>
      </c>
      <c r="AI47" s="847">
        <v>165.15</v>
      </c>
      <c r="AJ47" s="848">
        <v>173.55</v>
      </c>
      <c r="AK47" s="690">
        <f t="shared" si="5"/>
        <v>181.95000000000002</v>
      </c>
      <c r="AL47" s="690">
        <f t="shared" si="4"/>
        <v>190.35000000000002</v>
      </c>
      <c r="AM47" s="690">
        <f t="shared" si="4"/>
        <v>198.75000000000003</v>
      </c>
      <c r="AN47" s="690">
        <f t="shared" si="4"/>
        <v>207.15000000000003</v>
      </c>
      <c r="AO47" s="690">
        <f t="shared" si="4"/>
        <v>215.55000000000004</v>
      </c>
      <c r="AP47" s="690">
        <f t="shared" si="4"/>
        <v>223.95000000000005</v>
      </c>
      <c r="AQ47" s="690">
        <f t="shared" si="4"/>
        <v>232.35000000000005</v>
      </c>
      <c r="AR47" s="690">
        <f t="shared" si="4"/>
        <v>240.75000000000006</v>
      </c>
    </row>
    <row r="48" spans="1:44">
      <c r="A48" s="2003"/>
      <c r="B48" s="2004"/>
      <c r="C48" s="2005"/>
      <c r="D48" s="230">
        <v>1.1000000000000001</v>
      </c>
      <c r="E48" s="78">
        <f>(Y48*KFC!$B$38+KFC!$C$38)*KFC!$C$5</f>
        <v>86.97</v>
      </c>
      <c r="F48" s="68">
        <f>(Z48*KFC!$B$38+KFC!$C$38)*KFC!$C$5</f>
        <v>95.48</v>
      </c>
      <c r="G48" s="68">
        <f>(AA48*KFC!$B$38+KFC!$C$38)*KFC!$C$5</f>
        <v>104.13</v>
      </c>
      <c r="H48" s="68">
        <f>(AB48*KFC!$B$38+KFC!$C$38)*KFC!$C$5</f>
        <v>112.65</v>
      </c>
      <c r="I48" s="68">
        <f>(AC48*KFC!$B$38+KFC!$C$38)*KFC!$C$5</f>
        <v>121.29</v>
      </c>
      <c r="J48" s="68">
        <f>(AD48*KFC!$B$38+KFC!$C$38)*KFC!$C$5</f>
        <v>129.93</v>
      </c>
      <c r="K48" s="68">
        <f>(AE48*KFC!$B$38+KFC!$C$38)*KFC!$C$5</f>
        <v>138.58000000000001</v>
      </c>
      <c r="L48" s="68">
        <f>(AF48*KFC!$B$38+KFC!$C$38)*KFC!$C$5</f>
        <v>147.09</v>
      </c>
      <c r="M48" s="68">
        <f>(AG48*KFC!$B$38+KFC!$C$38)*KFC!$C$5</f>
        <v>155.74</v>
      </c>
      <c r="N48" s="68">
        <f>(AH48*KFC!$B$38+KFC!$C$38)*KFC!$C$5</f>
        <v>164.26</v>
      </c>
      <c r="O48" s="68">
        <f>(AI48*KFC!$B$38+KFC!$C$38)*KFC!$C$5</f>
        <v>172.9</v>
      </c>
      <c r="P48" s="68">
        <f>(AJ48*KFC!$B$38+KFC!$C$38)*KFC!$C$5</f>
        <v>181.41</v>
      </c>
      <c r="Q48" s="68">
        <f>(AK48*KFC!$B$38+KFC!$C$38)*KFC!$C$5</f>
        <v>189.92</v>
      </c>
      <c r="R48" s="68">
        <f>(AL48*KFC!$B$38+KFC!$C$38)*KFC!$C$5</f>
        <v>198.42999999999998</v>
      </c>
      <c r="S48" s="68">
        <f>(AM48*KFC!$B$38+KFC!$C$38)*KFC!$C$5</f>
        <v>206.93999999999997</v>
      </c>
      <c r="T48" s="68">
        <f>(AN48*KFC!$B$38+KFC!$C$38)*KFC!$C$5</f>
        <v>215.44999999999996</v>
      </c>
      <c r="U48" s="68">
        <f>(AO48*KFC!$B$38+KFC!$C$38)*KFC!$C$5</f>
        <v>223.95999999999995</v>
      </c>
      <c r="V48" s="68">
        <f>(AP48*KFC!$B$38+KFC!$C$38)*KFC!$C$5</f>
        <v>232.46999999999994</v>
      </c>
      <c r="X48" s="851">
        <v>1.1000000000000001</v>
      </c>
      <c r="Y48" s="847">
        <v>86.97</v>
      </c>
      <c r="Z48" s="847">
        <v>95.48</v>
      </c>
      <c r="AA48" s="847">
        <v>104.13</v>
      </c>
      <c r="AB48" s="847">
        <v>112.65</v>
      </c>
      <c r="AC48" s="847">
        <v>121.29</v>
      </c>
      <c r="AD48" s="847">
        <v>129.93</v>
      </c>
      <c r="AE48" s="847">
        <v>138.58000000000001</v>
      </c>
      <c r="AF48" s="847">
        <v>147.09</v>
      </c>
      <c r="AG48" s="847">
        <v>155.74</v>
      </c>
      <c r="AH48" s="847">
        <v>164.26</v>
      </c>
      <c r="AI48" s="847">
        <v>172.9</v>
      </c>
      <c r="AJ48" s="848">
        <v>181.41</v>
      </c>
      <c r="AK48" s="690">
        <f t="shared" si="5"/>
        <v>189.92</v>
      </c>
      <c r="AL48" s="690">
        <f t="shared" si="4"/>
        <v>198.42999999999998</v>
      </c>
      <c r="AM48" s="690">
        <f t="shared" si="4"/>
        <v>206.93999999999997</v>
      </c>
      <c r="AN48" s="690">
        <f t="shared" si="4"/>
        <v>215.44999999999996</v>
      </c>
      <c r="AO48" s="690">
        <f t="shared" si="4"/>
        <v>223.95999999999995</v>
      </c>
      <c r="AP48" s="690">
        <f t="shared" si="4"/>
        <v>232.46999999999994</v>
      </c>
      <c r="AQ48" s="690">
        <f t="shared" si="4"/>
        <v>240.97999999999993</v>
      </c>
      <c r="AR48" s="690">
        <f t="shared" si="4"/>
        <v>249.48999999999992</v>
      </c>
    </row>
    <row r="49" spans="1:44">
      <c r="A49" s="2003"/>
      <c r="B49" s="2004"/>
      <c r="C49" s="2005"/>
      <c r="D49" s="230">
        <v>1.2</v>
      </c>
      <c r="E49" s="78">
        <f>(Y49*KFC!$B$38+KFC!$C$38)*KFC!$C$5</f>
        <v>92.91</v>
      </c>
      <c r="F49" s="68">
        <f>(Z49*KFC!$B$38+KFC!$C$38)*KFC!$C$5</f>
        <v>101.81</v>
      </c>
      <c r="G49" s="68">
        <f>(AA49*KFC!$B$38+KFC!$C$38)*KFC!$C$5</f>
        <v>110.45</v>
      </c>
      <c r="H49" s="68">
        <f>(AB49*KFC!$B$38+KFC!$C$38)*KFC!$C$5</f>
        <v>119.35</v>
      </c>
      <c r="I49" s="68">
        <f>(AC49*KFC!$B$38+KFC!$C$38)*KFC!$C$5</f>
        <v>128</v>
      </c>
      <c r="J49" s="68">
        <f>(AD49*KFC!$B$38+KFC!$C$38)*KFC!$C$5</f>
        <v>136.77000000000001</v>
      </c>
      <c r="K49" s="68">
        <f>(AE49*KFC!$B$38+KFC!$C$38)*KFC!$C$5</f>
        <v>145.55000000000001</v>
      </c>
      <c r="L49" s="68">
        <f>(AF49*KFC!$B$38+KFC!$C$38)*KFC!$C$5</f>
        <v>154.32</v>
      </c>
      <c r="M49" s="68">
        <f>(AG49*KFC!$B$38+KFC!$C$38)*KFC!$C$5</f>
        <v>162.97</v>
      </c>
      <c r="N49" s="68">
        <f>(AH49*KFC!$B$38+KFC!$C$38)*KFC!$C$5</f>
        <v>171.86</v>
      </c>
      <c r="O49" s="68">
        <f>(AI49*KFC!$B$38+KFC!$C$38)*KFC!$C$5</f>
        <v>180.52</v>
      </c>
      <c r="P49" s="68">
        <f>(AJ49*KFC!$B$38+KFC!$C$38)*KFC!$C$5</f>
        <v>189.42</v>
      </c>
      <c r="Q49" s="68">
        <f>(AK49*KFC!$B$38+KFC!$C$38)*KFC!$C$5</f>
        <v>198.31999999999996</v>
      </c>
      <c r="R49" s="68">
        <f>(AL49*KFC!$B$38+KFC!$C$38)*KFC!$C$5</f>
        <v>207.21999999999994</v>
      </c>
      <c r="S49" s="68">
        <f>(AM49*KFC!$B$38+KFC!$C$38)*KFC!$C$5</f>
        <v>216.11999999999992</v>
      </c>
      <c r="T49" s="68">
        <f>(AN49*KFC!$B$38+KFC!$C$38)*KFC!$C$5</f>
        <v>225.0199999999999</v>
      </c>
      <c r="U49" s="68">
        <f>(AO49*KFC!$B$38+KFC!$C$38)*KFC!$C$5</f>
        <v>233.91999999999987</v>
      </c>
      <c r="V49" s="68">
        <f>(AP49*KFC!$B$38+KFC!$C$38)*KFC!$C$5</f>
        <v>242.81999999999985</v>
      </c>
      <c r="X49" s="851">
        <v>1.2</v>
      </c>
      <c r="Y49" s="847">
        <v>92.91</v>
      </c>
      <c r="Z49" s="847">
        <v>101.81</v>
      </c>
      <c r="AA49" s="847">
        <v>110.45</v>
      </c>
      <c r="AB49" s="847">
        <v>119.35</v>
      </c>
      <c r="AC49" s="847">
        <v>128</v>
      </c>
      <c r="AD49" s="847">
        <v>136.77000000000001</v>
      </c>
      <c r="AE49" s="847">
        <v>145.55000000000001</v>
      </c>
      <c r="AF49" s="847">
        <v>154.32</v>
      </c>
      <c r="AG49" s="847">
        <v>162.97</v>
      </c>
      <c r="AH49" s="847">
        <v>171.86</v>
      </c>
      <c r="AI49" s="847">
        <v>180.52</v>
      </c>
      <c r="AJ49" s="848">
        <v>189.42</v>
      </c>
      <c r="AK49" s="690">
        <f t="shared" si="5"/>
        <v>198.31999999999996</v>
      </c>
      <c r="AL49" s="690">
        <f t="shared" si="4"/>
        <v>207.21999999999994</v>
      </c>
      <c r="AM49" s="690">
        <f t="shared" si="4"/>
        <v>216.11999999999992</v>
      </c>
      <c r="AN49" s="690">
        <f t="shared" si="4"/>
        <v>225.0199999999999</v>
      </c>
      <c r="AO49" s="690">
        <f t="shared" si="4"/>
        <v>233.91999999999987</v>
      </c>
      <c r="AP49" s="690">
        <f t="shared" si="4"/>
        <v>242.81999999999985</v>
      </c>
      <c r="AQ49" s="690">
        <f t="shared" si="4"/>
        <v>251.71999999999983</v>
      </c>
      <c r="AR49" s="690">
        <f t="shared" si="4"/>
        <v>260.61999999999978</v>
      </c>
    </row>
    <row r="50" spans="1:44">
      <c r="A50" s="2003"/>
      <c r="B50" s="2004"/>
      <c r="C50" s="2005"/>
      <c r="D50" s="230">
        <v>1.3</v>
      </c>
      <c r="E50" s="78">
        <f>(Y50*KFC!$B$38+KFC!$C$38)*KFC!$C$5</f>
        <v>99.1</v>
      </c>
      <c r="F50" s="68">
        <f>(Z50*KFC!$B$38+KFC!$C$38)*KFC!$C$5</f>
        <v>108</v>
      </c>
      <c r="G50" s="68">
        <f>(AA50*KFC!$B$38+KFC!$C$38)*KFC!$C$5</f>
        <v>116.9</v>
      </c>
      <c r="H50" s="68">
        <f>(AB50*KFC!$B$38+KFC!$C$38)*KFC!$C$5</f>
        <v>125.81</v>
      </c>
      <c r="I50" s="68">
        <f>(AC50*KFC!$B$38+KFC!$C$38)*KFC!$C$5</f>
        <v>134.71</v>
      </c>
      <c r="J50" s="68">
        <f>(AD50*KFC!$B$38+KFC!$C$38)*KFC!$C$5</f>
        <v>143.74</v>
      </c>
      <c r="K50" s="68">
        <f>(AE50*KFC!$B$38+KFC!$C$38)*KFC!$C$5</f>
        <v>152.65</v>
      </c>
      <c r="L50" s="68">
        <f>(AF50*KFC!$B$38+KFC!$C$38)*KFC!$C$5</f>
        <v>161.55000000000001</v>
      </c>
      <c r="M50" s="68">
        <f>(AG50*KFC!$B$38+KFC!$C$38)*KFC!$C$5</f>
        <v>170.45</v>
      </c>
      <c r="N50" s="68">
        <f>(AH50*KFC!$B$38+KFC!$C$38)*KFC!$C$5</f>
        <v>179.48</v>
      </c>
      <c r="O50" s="68">
        <f>(AI50*KFC!$B$38+KFC!$C$38)*KFC!$C$5</f>
        <v>188.25</v>
      </c>
      <c r="P50" s="68">
        <f>(AJ50*KFC!$B$38+KFC!$C$38)*KFC!$C$5</f>
        <v>197.29</v>
      </c>
      <c r="Q50" s="68">
        <f>(AK50*KFC!$B$38+KFC!$C$38)*KFC!$C$5</f>
        <v>206.32999999999998</v>
      </c>
      <c r="R50" s="68">
        <f>(AL50*KFC!$B$38+KFC!$C$38)*KFC!$C$5</f>
        <v>215.36999999999998</v>
      </c>
      <c r="S50" s="68">
        <f>(AM50*KFC!$B$38+KFC!$C$38)*KFC!$C$5</f>
        <v>224.40999999999997</v>
      </c>
      <c r="T50" s="68">
        <f>(AN50*KFC!$B$38+KFC!$C$38)*KFC!$C$5</f>
        <v>233.44999999999996</v>
      </c>
      <c r="U50" s="68">
        <f>(AO50*KFC!$B$38+KFC!$C$38)*KFC!$C$5</f>
        <v>242.48999999999995</v>
      </c>
      <c r="V50" s="68">
        <f>(AP50*KFC!$B$38+KFC!$C$38)*KFC!$C$5</f>
        <v>251.52999999999994</v>
      </c>
      <c r="X50" s="851">
        <v>1.3</v>
      </c>
      <c r="Y50" s="847">
        <v>99.1</v>
      </c>
      <c r="Z50" s="847">
        <v>108</v>
      </c>
      <c r="AA50" s="847">
        <v>116.9</v>
      </c>
      <c r="AB50" s="847">
        <v>125.81</v>
      </c>
      <c r="AC50" s="847">
        <v>134.71</v>
      </c>
      <c r="AD50" s="847">
        <v>143.74</v>
      </c>
      <c r="AE50" s="847">
        <v>152.65</v>
      </c>
      <c r="AF50" s="847">
        <v>161.55000000000001</v>
      </c>
      <c r="AG50" s="847">
        <v>170.45</v>
      </c>
      <c r="AH50" s="847">
        <v>179.48</v>
      </c>
      <c r="AI50" s="847">
        <v>188.25</v>
      </c>
      <c r="AJ50" s="848">
        <v>197.29</v>
      </c>
      <c r="AK50" s="690">
        <f t="shared" si="5"/>
        <v>206.32999999999998</v>
      </c>
      <c r="AL50" s="690">
        <f t="shared" si="4"/>
        <v>215.36999999999998</v>
      </c>
      <c r="AM50" s="690">
        <f t="shared" si="4"/>
        <v>224.40999999999997</v>
      </c>
      <c r="AN50" s="690">
        <f t="shared" si="4"/>
        <v>233.44999999999996</v>
      </c>
      <c r="AO50" s="690">
        <f t="shared" si="4"/>
        <v>242.48999999999995</v>
      </c>
      <c r="AP50" s="690">
        <f t="shared" si="4"/>
        <v>251.52999999999994</v>
      </c>
      <c r="AQ50" s="690">
        <f t="shared" si="4"/>
        <v>260.56999999999994</v>
      </c>
      <c r="AR50" s="690">
        <f t="shared" si="4"/>
        <v>269.6099999999999</v>
      </c>
    </row>
    <row r="51" spans="1:44">
      <c r="A51" s="2003"/>
      <c r="B51" s="2004"/>
      <c r="C51" s="2005"/>
      <c r="D51" s="230">
        <v>1.4</v>
      </c>
      <c r="E51" s="78">
        <f>(Y51*KFC!$B$38+KFC!$C$38)*KFC!$C$5</f>
        <v>105.16</v>
      </c>
      <c r="F51" s="68">
        <f>(Z51*KFC!$B$38+KFC!$C$38)*KFC!$C$5</f>
        <v>114.19</v>
      </c>
      <c r="G51" s="68">
        <f>(AA51*KFC!$B$38+KFC!$C$38)*KFC!$C$5</f>
        <v>123.22</v>
      </c>
      <c r="H51" s="68">
        <f>(AB51*KFC!$B$38+KFC!$C$38)*KFC!$C$5</f>
        <v>132.38999999999999</v>
      </c>
      <c r="I51" s="68">
        <f>(AC51*KFC!$B$38+KFC!$C$38)*KFC!$C$5</f>
        <v>141.54</v>
      </c>
      <c r="J51" s="68">
        <f>(AD51*KFC!$B$38+KFC!$C$38)*KFC!$C$5</f>
        <v>150.57</v>
      </c>
      <c r="K51" s="68">
        <f>(AE51*KFC!$B$38+KFC!$C$38)*KFC!$C$5</f>
        <v>159.74</v>
      </c>
      <c r="L51" s="68">
        <f>(AF51*KFC!$B$38+KFC!$C$38)*KFC!$C$5</f>
        <v>168.91</v>
      </c>
      <c r="M51" s="68">
        <f>(AG51*KFC!$B$38+KFC!$C$38)*KFC!$C$5</f>
        <v>177.8</v>
      </c>
      <c r="N51" s="68">
        <f>(AH51*KFC!$B$38+KFC!$C$38)*KFC!$C$5</f>
        <v>186.97</v>
      </c>
      <c r="O51" s="68">
        <f>(AI51*KFC!$B$38+KFC!$C$38)*KFC!$C$5</f>
        <v>196</v>
      </c>
      <c r="P51" s="68">
        <f>(AJ51*KFC!$B$38+KFC!$C$38)*KFC!$C$5</f>
        <v>205.16</v>
      </c>
      <c r="Q51" s="68">
        <f>(AK51*KFC!$B$38+KFC!$C$38)*KFC!$C$5</f>
        <v>214.32</v>
      </c>
      <c r="R51" s="68">
        <f>(AL51*KFC!$B$38+KFC!$C$38)*KFC!$C$5</f>
        <v>223.48</v>
      </c>
      <c r="S51" s="68">
        <f>(AM51*KFC!$B$38+KFC!$C$38)*KFC!$C$5</f>
        <v>232.64</v>
      </c>
      <c r="T51" s="68">
        <f>(AN51*KFC!$B$38+KFC!$C$38)*KFC!$C$5</f>
        <v>241.79999999999998</v>
      </c>
      <c r="U51" s="68">
        <f>(AO51*KFC!$B$38+KFC!$C$38)*KFC!$C$5</f>
        <v>250.95999999999998</v>
      </c>
      <c r="V51" s="68">
        <f>(AP51*KFC!$B$38+KFC!$C$38)*KFC!$C$5</f>
        <v>260.12</v>
      </c>
      <c r="X51" s="851">
        <v>1.4</v>
      </c>
      <c r="Y51" s="847">
        <v>105.16</v>
      </c>
      <c r="Z51" s="847">
        <v>114.19</v>
      </c>
      <c r="AA51" s="847">
        <v>123.22</v>
      </c>
      <c r="AB51" s="847">
        <v>132.38999999999999</v>
      </c>
      <c r="AC51" s="847">
        <v>141.54</v>
      </c>
      <c r="AD51" s="847">
        <v>150.57</v>
      </c>
      <c r="AE51" s="847">
        <v>159.74</v>
      </c>
      <c r="AF51" s="847">
        <v>168.91</v>
      </c>
      <c r="AG51" s="847">
        <v>177.8</v>
      </c>
      <c r="AH51" s="847">
        <v>186.97</v>
      </c>
      <c r="AI51" s="847">
        <v>196</v>
      </c>
      <c r="AJ51" s="848">
        <v>205.16</v>
      </c>
      <c r="AK51" s="690">
        <f t="shared" si="5"/>
        <v>214.32</v>
      </c>
      <c r="AL51" s="690">
        <f t="shared" si="4"/>
        <v>223.48</v>
      </c>
      <c r="AM51" s="690">
        <f t="shared" si="4"/>
        <v>232.64</v>
      </c>
      <c r="AN51" s="690">
        <f t="shared" si="4"/>
        <v>241.79999999999998</v>
      </c>
      <c r="AO51" s="690">
        <f t="shared" si="4"/>
        <v>250.95999999999998</v>
      </c>
      <c r="AP51" s="690">
        <f t="shared" si="4"/>
        <v>260.12</v>
      </c>
      <c r="AQ51" s="690">
        <f t="shared" si="4"/>
        <v>269.28000000000003</v>
      </c>
      <c r="AR51" s="690">
        <f t="shared" si="4"/>
        <v>278.44000000000005</v>
      </c>
    </row>
    <row r="52" spans="1:44">
      <c r="A52" s="2003"/>
      <c r="B52" s="2004"/>
      <c r="C52" s="2005"/>
      <c r="D52" s="230">
        <v>1.5</v>
      </c>
      <c r="E52" s="78">
        <f>(Y52*KFC!$B$38+KFC!$C$38)*KFC!$C$5</f>
        <v>111.22</v>
      </c>
      <c r="F52" s="68">
        <f>(Z52*KFC!$B$38+KFC!$C$38)*KFC!$C$5</f>
        <v>120.4</v>
      </c>
      <c r="G52" s="68">
        <f>(AA52*KFC!$B$38+KFC!$C$38)*KFC!$C$5</f>
        <v>129.68</v>
      </c>
      <c r="H52" s="68">
        <f>(AB52*KFC!$B$38+KFC!$C$38)*KFC!$C$5</f>
        <v>138.96</v>
      </c>
      <c r="I52" s="68">
        <f>(AC52*KFC!$B$38+KFC!$C$38)*KFC!$C$5</f>
        <v>148.13999999999999</v>
      </c>
      <c r="J52" s="68">
        <f>(AD52*KFC!$B$38+KFC!$C$38)*KFC!$C$5</f>
        <v>157.54</v>
      </c>
      <c r="K52" s="68">
        <f>(AE52*KFC!$B$38+KFC!$C$38)*KFC!$C$5</f>
        <v>166.84</v>
      </c>
      <c r="L52" s="68">
        <f>(AF52*KFC!$B$38+KFC!$C$38)*KFC!$C$5</f>
        <v>176</v>
      </c>
      <c r="M52" s="68">
        <f>(AG52*KFC!$B$38+KFC!$C$38)*KFC!$C$5</f>
        <v>185.28</v>
      </c>
      <c r="N52" s="68">
        <f>(AH52*KFC!$B$38+KFC!$C$38)*KFC!$C$5</f>
        <v>194.58</v>
      </c>
      <c r="O52" s="68">
        <f>(AI52*KFC!$B$38+KFC!$C$38)*KFC!$C$5</f>
        <v>203.74</v>
      </c>
      <c r="P52" s="68">
        <f>(AJ52*KFC!$B$38+KFC!$C$38)*KFC!$C$5</f>
        <v>213.03</v>
      </c>
      <c r="Q52" s="68">
        <f>(AK52*KFC!$B$38+KFC!$C$38)*KFC!$C$5</f>
        <v>222.32</v>
      </c>
      <c r="R52" s="68">
        <f>(AL52*KFC!$B$38+KFC!$C$38)*KFC!$C$5</f>
        <v>231.60999999999999</v>
      </c>
      <c r="S52" s="68">
        <f>(AM52*KFC!$B$38+KFC!$C$38)*KFC!$C$5</f>
        <v>240.89999999999998</v>
      </c>
      <c r="T52" s="68">
        <f>(AN52*KFC!$B$38+KFC!$C$38)*KFC!$C$5</f>
        <v>250.18999999999997</v>
      </c>
      <c r="U52" s="68">
        <f>(AO52*KFC!$B$38+KFC!$C$38)*KFC!$C$5</f>
        <v>259.47999999999996</v>
      </c>
      <c r="V52" s="68">
        <f>(AP52*KFC!$B$38+KFC!$C$38)*KFC!$C$5</f>
        <v>268.77</v>
      </c>
      <c r="X52" s="851">
        <v>1.5</v>
      </c>
      <c r="Y52" s="847">
        <v>111.22</v>
      </c>
      <c r="Z52" s="847">
        <v>120.4</v>
      </c>
      <c r="AA52" s="847">
        <v>129.68</v>
      </c>
      <c r="AB52" s="847">
        <v>138.96</v>
      </c>
      <c r="AC52" s="847">
        <v>148.13999999999999</v>
      </c>
      <c r="AD52" s="847">
        <v>157.54</v>
      </c>
      <c r="AE52" s="847">
        <v>166.84</v>
      </c>
      <c r="AF52" s="847">
        <v>176</v>
      </c>
      <c r="AG52" s="847">
        <v>185.28</v>
      </c>
      <c r="AH52" s="847">
        <v>194.58</v>
      </c>
      <c r="AI52" s="847">
        <v>203.74</v>
      </c>
      <c r="AJ52" s="848">
        <v>213.03</v>
      </c>
      <c r="AK52" s="690">
        <f t="shared" si="5"/>
        <v>222.32</v>
      </c>
      <c r="AL52" s="690">
        <f t="shared" si="4"/>
        <v>231.60999999999999</v>
      </c>
      <c r="AM52" s="690">
        <f t="shared" si="4"/>
        <v>240.89999999999998</v>
      </c>
      <c r="AN52" s="690">
        <f t="shared" si="4"/>
        <v>250.18999999999997</v>
      </c>
      <c r="AO52" s="690">
        <f t="shared" si="4"/>
        <v>259.47999999999996</v>
      </c>
      <c r="AP52" s="690">
        <f t="shared" si="4"/>
        <v>268.77</v>
      </c>
      <c r="AQ52" s="690">
        <f t="shared" si="4"/>
        <v>278.06</v>
      </c>
      <c r="AR52" s="690">
        <f t="shared" si="4"/>
        <v>287.35000000000002</v>
      </c>
    </row>
    <row r="53" spans="1:44">
      <c r="A53" s="2003"/>
      <c r="B53" s="2004"/>
      <c r="C53" s="2005"/>
      <c r="D53" s="230">
        <v>1.6</v>
      </c>
      <c r="E53" s="78">
        <f>(Y53*KFC!$B$38+KFC!$C$38)*KFC!$C$5</f>
        <v>117.29</v>
      </c>
      <c r="F53" s="68">
        <f>(Z53*KFC!$B$38+KFC!$C$38)*KFC!$C$5</f>
        <v>126.7</v>
      </c>
      <c r="G53" s="68">
        <f>(AA53*KFC!$B$38+KFC!$C$38)*KFC!$C$5</f>
        <v>136.13</v>
      </c>
      <c r="H53" s="68">
        <f>(AB53*KFC!$B$38+KFC!$C$38)*KFC!$C$5</f>
        <v>145.55000000000001</v>
      </c>
      <c r="I53" s="68">
        <f>(AC53*KFC!$B$38+KFC!$C$38)*KFC!$C$5</f>
        <v>154.97</v>
      </c>
      <c r="J53" s="68">
        <f>(AD53*KFC!$B$38+KFC!$C$38)*KFC!$C$5</f>
        <v>164.38</v>
      </c>
      <c r="K53" s="68">
        <f>(AE53*KFC!$B$38+KFC!$C$38)*KFC!$C$5</f>
        <v>173.8</v>
      </c>
      <c r="L53" s="68">
        <f>(AF53*KFC!$B$38+KFC!$C$38)*KFC!$C$5</f>
        <v>183.23</v>
      </c>
      <c r="M53" s="68">
        <f>(AG53*KFC!$B$38+KFC!$C$38)*KFC!$C$5</f>
        <v>192.64</v>
      </c>
      <c r="N53" s="68">
        <f>(AH53*KFC!$B$38+KFC!$C$38)*KFC!$C$5</f>
        <v>202.18</v>
      </c>
      <c r="O53" s="68">
        <f>(AI53*KFC!$B$38+KFC!$C$38)*KFC!$C$5</f>
        <v>211.49</v>
      </c>
      <c r="P53" s="68">
        <f>(AJ53*KFC!$B$38+KFC!$C$38)*KFC!$C$5</f>
        <v>220.89</v>
      </c>
      <c r="Q53" s="68">
        <f>(AK53*KFC!$B$38+KFC!$C$38)*KFC!$C$5</f>
        <v>230.28999999999996</v>
      </c>
      <c r="R53" s="68">
        <f>(AL53*KFC!$B$38+KFC!$C$38)*KFC!$C$5</f>
        <v>239.68999999999994</v>
      </c>
      <c r="S53" s="68">
        <f>(AM53*KFC!$B$38+KFC!$C$38)*KFC!$C$5</f>
        <v>249.08999999999992</v>
      </c>
      <c r="T53" s="68">
        <f>(AN53*KFC!$B$38+KFC!$C$38)*KFC!$C$5</f>
        <v>258.4899999999999</v>
      </c>
      <c r="U53" s="68">
        <f>(AO53*KFC!$B$38+KFC!$C$38)*KFC!$C$5</f>
        <v>267.88999999999987</v>
      </c>
      <c r="V53" s="68">
        <f>(AP53*KFC!$B$38+KFC!$C$38)*KFC!$C$5</f>
        <v>277.28999999999985</v>
      </c>
      <c r="X53" s="851">
        <v>1.6</v>
      </c>
      <c r="Y53" s="847">
        <v>117.29</v>
      </c>
      <c r="Z53" s="847">
        <v>126.7</v>
      </c>
      <c r="AA53" s="847">
        <v>136.13</v>
      </c>
      <c r="AB53" s="847">
        <v>145.55000000000001</v>
      </c>
      <c r="AC53" s="847">
        <v>154.97</v>
      </c>
      <c r="AD53" s="847">
        <v>164.38</v>
      </c>
      <c r="AE53" s="847">
        <v>173.8</v>
      </c>
      <c r="AF53" s="847">
        <v>183.23</v>
      </c>
      <c r="AG53" s="847">
        <v>192.64</v>
      </c>
      <c r="AH53" s="847">
        <v>202.18</v>
      </c>
      <c r="AI53" s="847">
        <v>211.49</v>
      </c>
      <c r="AJ53" s="848">
        <v>220.89</v>
      </c>
      <c r="AK53" s="690">
        <f t="shared" si="5"/>
        <v>230.28999999999996</v>
      </c>
      <c r="AL53" s="690">
        <f t="shared" si="4"/>
        <v>239.68999999999994</v>
      </c>
      <c r="AM53" s="690">
        <f t="shared" si="4"/>
        <v>249.08999999999992</v>
      </c>
      <c r="AN53" s="690">
        <f t="shared" si="4"/>
        <v>258.4899999999999</v>
      </c>
      <c r="AO53" s="690">
        <f t="shared" si="4"/>
        <v>267.88999999999987</v>
      </c>
      <c r="AP53" s="690">
        <f t="shared" si="4"/>
        <v>277.28999999999985</v>
      </c>
      <c r="AQ53" s="690">
        <f t="shared" si="4"/>
        <v>286.68999999999983</v>
      </c>
      <c r="AR53" s="690">
        <f t="shared" si="4"/>
        <v>296.0899999999998</v>
      </c>
    </row>
    <row r="54" spans="1:44">
      <c r="A54" s="2003"/>
      <c r="B54" s="2004"/>
      <c r="C54" s="2005"/>
      <c r="D54" s="230">
        <v>1.7</v>
      </c>
      <c r="E54" s="78">
        <f>(Y54*KFC!$B$38+KFC!$C$38)*KFC!$C$5</f>
        <v>123.35</v>
      </c>
      <c r="F54" s="68">
        <f>(Z54*KFC!$B$38+KFC!$C$38)*KFC!$C$5</f>
        <v>132.9</v>
      </c>
      <c r="G54" s="68">
        <f>(AA54*KFC!$B$38+KFC!$C$38)*KFC!$C$5</f>
        <v>142.44999999999999</v>
      </c>
      <c r="H54" s="68">
        <f>(AB54*KFC!$B$38+KFC!$C$38)*KFC!$C$5</f>
        <v>152.13</v>
      </c>
      <c r="I54" s="68">
        <f>(AC54*KFC!$B$38+KFC!$C$38)*KFC!$C$5</f>
        <v>161.81</v>
      </c>
      <c r="J54" s="68">
        <f>(AD54*KFC!$B$38+KFC!$C$38)*KFC!$C$5</f>
        <v>171.22</v>
      </c>
      <c r="K54" s="68">
        <f>(AE54*KFC!$B$38+KFC!$C$38)*KFC!$C$5</f>
        <v>180.9</v>
      </c>
      <c r="L54" s="68">
        <f>(AF54*KFC!$B$38+KFC!$C$38)*KFC!$C$5</f>
        <v>190.44</v>
      </c>
      <c r="M54" s="68">
        <f>(AG54*KFC!$B$38+KFC!$C$38)*KFC!$C$5</f>
        <v>200.12</v>
      </c>
      <c r="N54" s="68">
        <f>(AH54*KFC!$B$38+KFC!$C$38)*KFC!$C$5</f>
        <v>209.55</v>
      </c>
      <c r="O54" s="68">
        <f>(AI54*KFC!$B$38+KFC!$C$38)*KFC!$C$5</f>
        <v>219.23</v>
      </c>
      <c r="P54" s="68">
        <f>(AJ54*KFC!$B$38+KFC!$C$38)*KFC!$C$5</f>
        <v>228.78</v>
      </c>
      <c r="Q54" s="68">
        <f>(AK54*KFC!$B$38+KFC!$C$38)*KFC!$C$5</f>
        <v>238.33</v>
      </c>
      <c r="R54" s="68">
        <f>(AL54*KFC!$B$38+KFC!$C$38)*KFC!$C$5</f>
        <v>247.88000000000002</v>
      </c>
      <c r="S54" s="68">
        <f>(AM54*KFC!$B$38+KFC!$C$38)*KFC!$C$5</f>
        <v>257.43000000000006</v>
      </c>
      <c r="T54" s="68">
        <f>(AN54*KFC!$B$38+KFC!$C$38)*KFC!$C$5</f>
        <v>266.98000000000013</v>
      </c>
      <c r="U54" s="68">
        <f>(AO54*KFC!$B$38+KFC!$C$38)*KFC!$C$5</f>
        <v>276.5300000000002</v>
      </c>
      <c r="V54" s="68">
        <f>(AP54*KFC!$B$38+KFC!$C$38)*KFC!$C$5</f>
        <v>286.08000000000027</v>
      </c>
      <c r="X54" s="851">
        <v>1.7</v>
      </c>
      <c r="Y54" s="847">
        <v>123.35</v>
      </c>
      <c r="Z54" s="847">
        <v>132.9</v>
      </c>
      <c r="AA54" s="847">
        <v>142.44999999999999</v>
      </c>
      <c r="AB54" s="847">
        <v>152.13</v>
      </c>
      <c r="AC54" s="847">
        <v>161.81</v>
      </c>
      <c r="AD54" s="847">
        <v>171.22</v>
      </c>
      <c r="AE54" s="847">
        <v>180.9</v>
      </c>
      <c r="AF54" s="847">
        <v>190.44</v>
      </c>
      <c r="AG54" s="847">
        <v>200.12</v>
      </c>
      <c r="AH54" s="847">
        <v>209.55</v>
      </c>
      <c r="AI54" s="847">
        <v>219.23</v>
      </c>
      <c r="AJ54" s="848">
        <v>228.78</v>
      </c>
      <c r="AK54" s="690">
        <f t="shared" si="5"/>
        <v>238.33</v>
      </c>
      <c r="AL54" s="690">
        <f t="shared" si="4"/>
        <v>247.88000000000002</v>
      </c>
      <c r="AM54" s="690">
        <f t="shared" si="4"/>
        <v>257.43000000000006</v>
      </c>
      <c r="AN54" s="690">
        <f t="shared" si="4"/>
        <v>266.98000000000013</v>
      </c>
      <c r="AO54" s="690">
        <f t="shared" si="4"/>
        <v>276.5300000000002</v>
      </c>
      <c r="AP54" s="690">
        <f t="shared" si="4"/>
        <v>286.08000000000027</v>
      </c>
      <c r="AQ54" s="690">
        <f t="shared" si="4"/>
        <v>295.63000000000034</v>
      </c>
      <c r="AR54" s="690">
        <f t="shared" si="4"/>
        <v>305.1800000000004</v>
      </c>
    </row>
    <row r="55" spans="1:44" ht="13.8" thickBot="1">
      <c r="A55" s="2006"/>
      <c r="B55" s="2007"/>
      <c r="C55" s="2008"/>
      <c r="D55" s="231">
        <v>1.8</v>
      </c>
      <c r="E55" s="108">
        <f>(Y55*KFC!$B$38+KFC!$C$38)*KFC!$C$5</f>
        <v>129.43</v>
      </c>
      <c r="F55" s="109">
        <f>(Z55*KFC!$B$38+KFC!$C$38)*KFC!$C$5</f>
        <v>139.22999999999999</v>
      </c>
      <c r="G55" s="109">
        <f>(AA55*KFC!$B$38+KFC!$C$38)*KFC!$C$5</f>
        <v>149.03</v>
      </c>
      <c r="H55" s="109">
        <f>(AB55*KFC!$B$38+KFC!$C$38)*KFC!$C$5</f>
        <v>158.58000000000001</v>
      </c>
      <c r="I55" s="109">
        <f>(AC55*KFC!$B$38+KFC!$C$38)*KFC!$C$5</f>
        <v>168.39</v>
      </c>
      <c r="J55" s="109">
        <f>(AD55*KFC!$B$38+KFC!$C$38)*KFC!$C$5</f>
        <v>178.19</v>
      </c>
      <c r="K55" s="109">
        <f>(AE55*KFC!$B$38+KFC!$C$38)*KFC!$C$5</f>
        <v>187.99</v>
      </c>
      <c r="L55" s="109">
        <f>(AF55*KFC!$B$38+KFC!$C$38)*KFC!$C$5</f>
        <v>197.67</v>
      </c>
      <c r="M55" s="109">
        <f>(AG55*KFC!$B$38+KFC!$C$38)*KFC!$C$5</f>
        <v>207.48</v>
      </c>
      <c r="N55" s="109">
        <f>(AH55*KFC!$B$38+KFC!$C$38)*KFC!$C$5</f>
        <v>217.16</v>
      </c>
      <c r="O55" s="109">
        <f>(AI55*KFC!$B$38+KFC!$C$38)*KFC!$C$5</f>
        <v>226.96</v>
      </c>
      <c r="P55" s="109">
        <f>(AJ55*KFC!$B$38+KFC!$C$38)*KFC!$C$5</f>
        <v>236.78</v>
      </c>
      <c r="Q55" s="109">
        <f>(AK55*KFC!$B$38+KFC!$C$38)*KFC!$C$5</f>
        <v>246.6</v>
      </c>
      <c r="R55" s="109">
        <f>(AL55*KFC!$B$38+KFC!$C$38)*KFC!$C$5</f>
        <v>256.41999999999996</v>
      </c>
      <c r="S55" s="109">
        <f>(AM55*KFC!$B$38+KFC!$C$38)*KFC!$C$5</f>
        <v>266.2399999999999</v>
      </c>
      <c r="T55" s="109">
        <f>(AN55*KFC!$B$38+KFC!$C$38)*KFC!$C$5</f>
        <v>276.05999999999983</v>
      </c>
      <c r="U55" s="109">
        <f>(AO55*KFC!$B$38+KFC!$C$38)*KFC!$C$5</f>
        <v>285.87999999999977</v>
      </c>
      <c r="V55" s="109">
        <f>(AP55*KFC!$B$38+KFC!$C$38)*KFC!$C$5</f>
        <v>295.6999999999997</v>
      </c>
      <c r="X55" s="851">
        <v>1.8</v>
      </c>
      <c r="Y55" s="847">
        <v>129.43</v>
      </c>
      <c r="Z55" s="847">
        <v>139.22999999999999</v>
      </c>
      <c r="AA55" s="847">
        <v>149.03</v>
      </c>
      <c r="AB55" s="847">
        <v>158.58000000000001</v>
      </c>
      <c r="AC55" s="847">
        <v>168.39</v>
      </c>
      <c r="AD55" s="847">
        <v>178.19</v>
      </c>
      <c r="AE55" s="847">
        <v>187.99</v>
      </c>
      <c r="AF55" s="847">
        <v>197.67</v>
      </c>
      <c r="AG55" s="847">
        <v>207.48</v>
      </c>
      <c r="AH55" s="847">
        <v>217.16</v>
      </c>
      <c r="AI55" s="847">
        <v>226.96</v>
      </c>
      <c r="AJ55" s="848">
        <v>236.78</v>
      </c>
      <c r="AK55" s="690">
        <f t="shared" si="5"/>
        <v>246.6</v>
      </c>
      <c r="AL55" s="690">
        <f t="shared" si="4"/>
        <v>256.41999999999996</v>
      </c>
      <c r="AM55" s="690">
        <f t="shared" si="4"/>
        <v>266.2399999999999</v>
      </c>
      <c r="AN55" s="690">
        <f t="shared" si="4"/>
        <v>276.05999999999983</v>
      </c>
      <c r="AO55" s="690">
        <f t="shared" si="4"/>
        <v>285.87999999999977</v>
      </c>
      <c r="AP55" s="690">
        <f t="shared" si="4"/>
        <v>295.6999999999997</v>
      </c>
      <c r="AQ55" s="690">
        <f t="shared" si="4"/>
        <v>305.51999999999964</v>
      </c>
      <c r="AR55" s="690">
        <f t="shared" si="4"/>
        <v>315.33999999999958</v>
      </c>
    </row>
    <row r="56" spans="1:44" ht="13.8" thickBot="1">
      <c r="A56" s="186"/>
      <c r="B56" s="186"/>
      <c r="C56" s="186"/>
      <c r="D56" s="184"/>
      <c r="E56" s="178"/>
      <c r="F56" s="178"/>
      <c r="G56" s="178"/>
      <c r="H56" s="178"/>
      <c r="I56" s="178"/>
      <c r="J56" s="178"/>
      <c r="K56" s="178"/>
      <c r="L56" s="178"/>
      <c r="M56" s="178"/>
      <c r="N56" s="178"/>
      <c r="O56" s="178"/>
      <c r="P56" s="178"/>
    </row>
    <row r="57" spans="1:44" ht="13.8" thickBot="1">
      <c r="A57" s="1413" t="s">
        <v>319</v>
      </c>
      <c r="B57" s="1414"/>
      <c r="C57" s="1414"/>
      <c r="D57" s="1415"/>
      <c r="E57" s="1534" t="s">
        <v>207</v>
      </c>
      <c r="F57" s="1535"/>
      <c r="G57" s="1535"/>
      <c r="H57" s="1535"/>
      <c r="I57" s="1535"/>
      <c r="J57" s="1535"/>
      <c r="K57" s="1535"/>
      <c r="L57" s="1535"/>
      <c r="M57" s="1535"/>
      <c r="N57" s="1535"/>
      <c r="O57" s="1535"/>
      <c r="P57" s="1535"/>
      <c r="Q57" s="1535"/>
      <c r="R57" s="1535"/>
      <c r="S57" s="1535"/>
      <c r="T57" s="1535"/>
      <c r="U57" s="1535"/>
      <c r="V57" s="1535"/>
    </row>
    <row r="58" spans="1:44" ht="13.8" thickBot="1">
      <c r="A58" s="1803"/>
      <c r="B58" s="1910"/>
      <c r="C58" s="1910"/>
      <c r="D58" s="1802"/>
      <c r="E58" s="119">
        <v>0.4</v>
      </c>
      <c r="F58" s="119">
        <v>0.5</v>
      </c>
      <c r="G58" s="119">
        <v>0.6</v>
      </c>
      <c r="H58" s="119">
        <v>0.7</v>
      </c>
      <c r="I58" s="119">
        <v>0.8</v>
      </c>
      <c r="J58" s="119">
        <v>0.9</v>
      </c>
      <c r="K58" s="119">
        <v>1</v>
      </c>
      <c r="L58" s="119">
        <v>1.1000000000000001</v>
      </c>
      <c r="M58" s="119">
        <v>1.2</v>
      </c>
      <c r="N58" s="119">
        <v>1.3</v>
      </c>
      <c r="O58" s="119">
        <v>1.4</v>
      </c>
      <c r="P58" s="119">
        <v>1.5</v>
      </c>
      <c r="Q58" s="119">
        <v>1.6</v>
      </c>
      <c r="R58" s="119">
        <v>1.7</v>
      </c>
      <c r="S58" s="119">
        <v>1.8</v>
      </c>
      <c r="T58" s="119">
        <v>1.9</v>
      </c>
      <c r="U58" s="119">
        <v>2</v>
      </c>
      <c r="V58" s="119">
        <v>2.1</v>
      </c>
      <c r="X58" s="850"/>
      <c r="Y58" s="851">
        <v>0.4</v>
      </c>
      <c r="Z58" s="851">
        <v>0.5</v>
      </c>
      <c r="AA58" s="851">
        <v>0.6</v>
      </c>
      <c r="AB58" s="851">
        <v>0.7</v>
      </c>
      <c r="AC58" s="851">
        <v>0.8</v>
      </c>
      <c r="AD58" s="851">
        <v>0.9</v>
      </c>
      <c r="AE58" s="851">
        <v>1</v>
      </c>
      <c r="AF58" s="851">
        <v>1.1000000000000001</v>
      </c>
      <c r="AG58" s="851">
        <v>1.2</v>
      </c>
      <c r="AH58" s="851">
        <v>1.3</v>
      </c>
      <c r="AI58" s="851">
        <v>1.4</v>
      </c>
      <c r="AJ58" s="852">
        <v>1.5</v>
      </c>
      <c r="AK58" s="853">
        <v>1.6</v>
      </c>
      <c r="AL58" s="853">
        <v>1.7</v>
      </c>
      <c r="AM58" s="853">
        <v>1.8</v>
      </c>
      <c r="AN58" s="853">
        <v>1.9</v>
      </c>
      <c r="AO58" s="853">
        <v>2</v>
      </c>
      <c r="AP58" s="853">
        <v>2.1</v>
      </c>
      <c r="AQ58" s="853">
        <v>2.2000000000000002</v>
      </c>
      <c r="AR58" s="853">
        <v>2.2999999999999998</v>
      </c>
    </row>
    <row r="59" spans="1:44">
      <c r="A59" s="2000" t="s">
        <v>3</v>
      </c>
      <c r="B59" s="2001"/>
      <c r="C59" s="2002"/>
      <c r="D59" s="232">
        <v>0.5</v>
      </c>
      <c r="E59" s="76">
        <f>(Y59*KFC!$B$38+KFC!$C$38)*KFC!$C$5</f>
        <v>56.77</v>
      </c>
      <c r="F59" s="77">
        <f>(Z59*KFC!$B$38+KFC!$C$38)*KFC!$C$5</f>
        <v>64.91</v>
      </c>
      <c r="G59" s="77">
        <f>(AA59*KFC!$B$38+KFC!$C$38)*KFC!$C$5</f>
        <v>72.900000000000006</v>
      </c>
      <c r="H59" s="77">
        <f>(AB59*KFC!$B$38+KFC!$C$38)*KFC!$C$5</f>
        <v>80.89</v>
      </c>
      <c r="I59" s="77">
        <f>(AC59*KFC!$B$38+KFC!$C$38)*KFC!$C$5</f>
        <v>89.03</v>
      </c>
      <c r="J59" s="77">
        <f>(AD59*KFC!$B$38+KFC!$C$38)*KFC!$C$5</f>
        <v>97.03</v>
      </c>
      <c r="K59" s="77">
        <f>(AE59*KFC!$B$38+KFC!$C$38)*KFC!$C$5</f>
        <v>104.91</v>
      </c>
      <c r="L59" s="77">
        <f>(AF59*KFC!$B$38+KFC!$C$38)*KFC!$C$5</f>
        <v>113.03</v>
      </c>
      <c r="M59" s="77">
        <f>(AG59*KFC!$B$38+KFC!$C$38)*KFC!$C$5</f>
        <v>121.03</v>
      </c>
      <c r="N59" s="77">
        <f>(AH59*KFC!$B$38+KFC!$C$38)*KFC!$C$5</f>
        <v>129.03</v>
      </c>
      <c r="O59" s="77">
        <f>(AI59*KFC!$B$38+KFC!$C$38)*KFC!$C$5</f>
        <v>137.16</v>
      </c>
      <c r="P59" s="77">
        <f>(AJ59*KFC!$B$38+KFC!$C$38)*KFC!$C$5</f>
        <v>145.16</v>
      </c>
      <c r="Q59" s="77">
        <f>(AK59*KFC!$B$38+KFC!$C$38)*KFC!$C$5</f>
        <v>153.16</v>
      </c>
      <c r="R59" s="77">
        <f>(AL59*KFC!$B$38+KFC!$C$38)*KFC!$C$5</f>
        <v>161.16</v>
      </c>
      <c r="S59" s="77">
        <f>(AM59*KFC!$B$38+KFC!$C$38)*KFC!$C$5</f>
        <v>169.16</v>
      </c>
      <c r="T59" s="77">
        <f>(AN59*KFC!$B$38+KFC!$C$38)*KFC!$C$5</f>
        <v>177.16</v>
      </c>
      <c r="U59" s="77">
        <f>(AO59*KFC!$B$38+KFC!$C$38)*KFC!$C$5</f>
        <v>185.16</v>
      </c>
      <c r="V59" s="77">
        <f>(AP59*KFC!$B$38+KFC!$C$38)*KFC!$C$5</f>
        <v>193.16</v>
      </c>
      <c r="X59" s="851">
        <v>0.5</v>
      </c>
      <c r="Y59" s="847">
        <v>56.77</v>
      </c>
      <c r="Z59" s="847">
        <v>64.91</v>
      </c>
      <c r="AA59" s="847">
        <v>72.900000000000006</v>
      </c>
      <c r="AB59" s="847">
        <v>80.89</v>
      </c>
      <c r="AC59" s="847">
        <v>89.03</v>
      </c>
      <c r="AD59" s="847">
        <v>97.03</v>
      </c>
      <c r="AE59" s="847">
        <v>104.91</v>
      </c>
      <c r="AF59" s="847">
        <v>113.03</v>
      </c>
      <c r="AG59" s="847">
        <v>121.03</v>
      </c>
      <c r="AH59" s="847">
        <v>129.03</v>
      </c>
      <c r="AI59" s="847">
        <v>137.16</v>
      </c>
      <c r="AJ59" s="848">
        <v>145.16</v>
      </c>
      <c r="AK59" s="690">
        <f>AJ59-AI59+AJ59</f>
        <v>153.16</v>
      </c>
      <c r="AL59" s="690">
        <f t="shared" ref="AL59:AR72" si="6">AK59-AJ59+AK59</f>
        <v>161.16</v>
      </c>
      <c r="AM59" s="690">
        <f t="shared" si="6"/>
        <v>169.16</v>
      </c>
      <c r="AN59" s="690">
        <f t="shared" si="6"/>
        <v>177.16</v>
      </c>
      <c r="AO59" s="690">
        <f t="shared" si="6"/>
        <v>185.16</v>
      </c>
      <c r="AP59" s="690">
        <f t="shared" si="6"/>
        <v>193.16</v>
      </c>
      <c r="AQ59" s="690">
        <f t="shared" si="6"/>
        <v>201.16</v>
      </c>
      <c r="AR59" s="690">
        <f t="shared" si="6"/>
        <v>209.16</v>
      </c>
    </row>
    <row r="60" spans="1:44">
      <c r="A60" s="2003"/>
      <c r="B60" s="2004"/>
      <c r="C60" s="2005"/>
      <c r="D60" s="230">
        <v>0.6</v>
      </c>
      <c r="E60" s="78">
        <f>(Y60*KFC!$B$38+KFC!$C$38)*KFC!$C$5</f>
        <v>63.48</v>
      </c>
      <c r="F60" s="68">
        <f>(Z60*KFC!$B$38+KFC!$C$38)*KFC!$C$5</f>
        <v>71.61</v>
      </c>
      <c r="G60" s="68">
        <f>(AA60*KFC!$B$38+KFC!$C$38)*KFC!$C$5</f>
        <v>80</v>
      </c>
      <c r="H60" s="68">
        <f>(AB60*KFC!$B$38+KFC!$C$38)*KFC!$C$5</f>
        <v>88.26</v>
      </c>
      <c r="I60" s="68">
        <f>(AC60*KFC!$B$38+KFC!$C$38)*KFC!$C$5</f>
        <v>96.53</v>
      </c>
      <c r="J60" s="68">
        <f>(AD60*KFC!$B$38+KFC!$C$38)*KFC!$C$5</f>
        <v>104.76</v>
      </c>
      <c r="K60" s="68">
        <f>(AE60*KFC!$B$38+KFC!$C$38)*KFC!$C$5</f>
        <v>113.16</v>
      </c>
      <c r="L60" s="68">
        <f>(AF60*KFC!$B$38+KFC!$C$38)*KFC!$C$5</f>
        <v>121.54</v>
      </c>
      <c r="M60" s="68">
        <f>(AG60*KFC!$B$38+KFC!$C$38)*KFC!$C$5</f>
        <v>129.68</v>
      </c>
      <c r="N60" s="68">
        <f>(AH60*KFC!$B$38+KFC!$C$38)*KFC!$C$5</f>
        <v>138.06</v>
      </c>
      <c r="O60" s="68">
        <f>(AI60*KFC!$B$38+KFC!$C$38)*KFC!$C$5</f>
        <v>146.32</v>
      </c>
      <c r="P60" s="68">
        <f>(AJ60*KFC!$B$38+KFC!$C$38)*KFC!$C$5</f>
        <v>154.72</v>
      </c>
      <c r="Q60" s="68">
        <f>(AK60*KFC!$B$38+KFC!$C$38)*KFC!$C$5</f>
        <v>163.12</v>
      </c>
      <c r="R60" s="68">
        <f>(AL60*KFC!$B$38+KFC!$C$38)*KFC!$C$5</f>
        <v>171.52</v>
      </c>
      <c r="S60" s="68">
        <f>(AM60*KFC!$B$38+KFC!$C$38)*KFC!$C$5</f>
        <v>179.92000000000002</v>
      </c>
      <c r="T60" s="68">
        <f>(AN60*KFC!$B$38+KFC!$C$38)*KFC!$C$5</f>
        <v>188.32000000000002</v>
      </c>
      <c r="U60" s="68">
        <f>(AO60*KFC!$B$38+KFC!$C$38)*KFC!$C$5</f>
        <v>196.72000000000003</v>
      </c>
      <c r="V60" s="68">
        <f>(AP60*KFC!$B$38+KFC!$C$38)*KFC!$C$5</f>
        <v>205.12000000000003</v>
      </c>
      <c r="X60" s="851">
        <v>0.6</v>
      </c>
      <c r="Y60" s="847">
        <v>63.48</v>
      </c>
      <c r="Z60" s="847">
        <v>71.61</v>
      </c>
      <c r="AA60" s="847">
        <v>80</v>
      </c>
      <c r="AB60" s="847">
        <v>88.26</v>
      </c>
      <c r="AC60" s="847">
        <v>96.53</v>
      </c>
      <c r="AD60" s="847">
        <v>104.76</v>
      </c>
      <c r="AE60" s="847">
        <v>113.16</v>
      </c>
      <c r="AF60" s="847">
        <v>121.54</v>
      </c>
      <c r="AG60" s="847">
        <v>129.68</v>
      </c>
      <c r="AH60" s="847">
        <v>138.06</v>
      </c>
      <c r="AI60" s="847">
        <v>146.32</v>
      </c>
      <c r="AJ60" s="848">
        <v>154.72</v>
      </c>
      <c r="AK60" s="690">
        <f t="shared" ref="AK60:AK72" si="7">AJ60-AI60+AJ60</f>
        <v>163.12</v>
      </c>
      <c r="AL60" s="690">
        <f t="shared" si="6"/>
        <v>171.52</v>
      </c>
      <c r="AM60" s="690">
        <f t="shared" si="6"/>
        <v>179.92000000000002</v>
      </c>
      <c r="AN60" s="690">
        <f t="shared" si="6"/>
        <v>188.32000000000002</v>
      </c>
      <c r="AO60" s="690">
        <f t="shared" si="6"/>
        <v>196.72000000000003</v>
      </c>
      <c r="AP60" s="690">
        <f t="shared" si="6"/>
        <v>205.12000000000003</v>
      </c>
      <c r="AQ60" s="690">
        <f t="shared" si="6"/>
        <v>213.52000000000004</v>
      </c>
      <c r="AR60" s="690">
        <f t="shared" si="6"/>
        <v>221.92000000000004</v>
      </c>
    </row>
    <row r="61" spans="1:44">
      <c r="A61" s="2003"/>
      <c r="B61" s="2004"/>
      <c r="C61" s="2005"/>
      <c r="D61" s="230">
        <v>0.7</v>
      </c>
      <c r="E61" s="78">
        <f>(Y61*KFC!$B$38+KFC!$C$38)*KFC!$C$5</f>
        <v>69.930000000000007</v>
      </c>
      <c r="F61" s="68">
        <f>(Z61*KFC!$B$38+KFC!$C$38)*KFC!$C$5</f>
        <v>78.45</v>
      </c>
      <c r="G61" s="68">
        <f>(AA61*KFC!$B$38+KFC!$C$38)*KFC!$C$5</f>
        <v>87.1</v>
      </c>
      <c r="H61" s="68">
        <f>(AB61*KFC!$B$38+KFC!$C$38)*KFC!$C$5</f>
        <v>95.61</v>
      </c>
      <c r="I61" s="68">
        <f>(AC61*KFC!$B$38+KFC!$C$38)*KFC!$C$5</f>
        <v>104.13</v>
      </c>
      <c r="J61" s="68">
        <f>(AD61*KFC!$B$38+KFC!$C$38)*KFC!$C$5</f>
        <v>112.65</v>
      </c>
      <c r="K61" s="68">
        <f>(AE61*KFC!$B$38+KFC!$C$38)*KFC!$C$5</f>
        <v>121.29</v>
      </c>
      <c r="L61" s="68">
        <f>(AF61*KFC!$B$38+KFC!$C$38)*KFC!$C$5</f>
        <v>129.93</v>
      </c>
      <c r="M61" s="68">
        <f>(AG61*KFC!$B$38+KFC!$C$38)*KFC!$C$5</f>
        <v>138.46</v>
      </c>
      <c r="N61" s="68">
        <f>(AH61*KFC!$B$38+KFC!$C$38)*KFC!$C$5</f>
        <v>146.97</v>
      </c>
      <c r="O61" s="68">
        <f>(AI61*KFC!$B$38+KFC!$C$38)*KFC!$C$5</f>
        <v>155.61000000000001</v>
      </c>
      <c r="P61" s="68">
        <f>(AJ61*KFC!$B$38+KFC!$C$38)*KFC!$C$5</f>
        <v>164.12</v>
      </c>
      <c r="Q61" s="68">
        <f>(AK61*KFC!$B$38+KFC!$C$38)*KFC!$C$5</f>
        <v>172.63</v>
      </c>
      <c r="R61" s="68">
        <f>(AL61*KFC!$B$38+KFC!$C$38)*KFC!$C$5</f>
        <v>181.14</v>
      </c>
      <c r="S61" s="68">
        <f>(AM61*KFC!$B$38+KFC!$C$38)*KFC!$C$5</f>
        <v>189.64999999999998</v>
      </c>
      <c r="T61" s="68">
        <f>(AN61*KFC!$B$38+KFC!$C$38)*KFC!$C$5</f>
        <v>198.15999999999997</v>
      </c>
      <c r="U61" s="68">
        <f>(AO61*KFC!$B$38+KFC!$C$38)*KFC!$C$5</f>
        <v>206.66999999999996</v>
      </c>
      <c r="V61" s="68">
        <f>(AP61*KFC!$B$38+KFC!$C$38)*KFC!$C$5</f>
        <v>215.17999999999995</v>
      </c>
      <c r="X61" s="851">
        <v>0.7</v>
      </c>
      <c r="Y61" s="847">
        <v>69.930000000000007</v>
      </c>
      <c r="Z61" s="847">
        <v>78.45</v>
      </c>
      <c r="AA61" s="847">
        <v>87.1</v>
      </c>
      <c r="AB61" s="847">
        <v>95.61</v>
      </c>
      <c r="AC61" s="847">
        <v>104.13</v>
      </c>
      <c r="AD61" s="847">
        <v>112.65</v>
      </c>
      <c r="AE61" s="847">
        <v>121.29</v>
      </c>
      <c r="AF61" s="847">
        <v>129.93</v>
      </c>
      <c r="AG61" s="847">
        <v>138.46</v>
      </c>
      <c r="AH61" s="847">
        <v>146.97</v>
      </c>
      <c r="AI61" s="847">
        <v>155.61000000000001</v>
      </c>
      <c r="AJ61" s="848">
        <v>164.12</v>
      </c>
      <c r="AK61" s="690">
        <f t="shared" si="7"/>
        <v>172.63</v>
      </c>
      <c r="AL61" s="690">
        <f t="shared" si="6"/>
        <v>181.14</v>
      </c>
      <c r="AM61" s="690">
        <f t="shared" si="6"/>
        <v>189.64999999999998</v>
      </c>
      <c r="AN61" s="690">
        <f t="shared" si="6"/>
        <v>198.15999999999997</v>
      </c>
      <c r="AO61" s="690">
        <f t="shared" si="6"/>
        <v>206.66999999999996</v>
      </c>
      <c r="AP61" s="690">
        <f t="shared" si="6"/>
        <v>215.17999999999995</v>
      </c>
      <c r="AQ61" s="690">
        <f t="shared" si="6"/>
        <v>223.68999999999994</v>
      </c>
      <c r="AR61" s="690">
        <f t="shared" si="6"/>
        <v>232.19999999999993</v>
      </c>
    </row>
    <row r="62" spans="1:44">
      <c r="A62" s="2003"/>
      <c r="B62" s="2004"/>
      <c r="C62" s="2005"/>
      <c r="D62" s="230">
        <v>0.8</v>
      </c>
      <c r="E62" s="78">
        <f>(Y62*KFC!$B$38+KFC!$C$38)*KFC!$C$5</f>
        <v>76.52</v>
      </c>
      <c r="F62" s="68">
        <f>(Z62*KFC!$B$38+KFC!$C$38)*KFC!$C$5</f>
        <v>85.42</v>
      </c>
      <c r="G62" s="68">
        <f>(AA62*KFC!$B$38+KFC!$C$38)*KFC!$C$5</f>
        <v>94.19</v>
      </c>
      <c r="H62" s="68">
        <f>(AB62*KFC!$B$38+KFC!$C$38)*KFC!$C$5</f>
        <v>102.83</v>
      </c>
      <c r="I62" s="68">
        <f>(AC62*KFC!$B$38+KFC!$C$38)*KFC!$C$5</f>
        <v>111.74</v>
      </c>
      <c r="J62" s="68">
        <f>(AD62*KFC!$B$38+KFC!$C$38)*KFC!$C$5</f>
        <v>120.52</v>
      </c>
      <c r="K62" s="68">
        <f>(AE62*KFC!$B$38+KFC!$C$38)*KFC!$C$5</f>
        <v>129.43</v>
      </c>
      <c r="L62" s="68">
        <f>(AF62*KFC!$B$38+KFC!$C$38)*KFC!$C$5</f>
        <v>138.19</v>
      </c>
      <c r="M62" s="68">
        <f>(AG62*KFC!$B$38+KFC!$C$38)*KFC!$C$5</f>
        <v>147.09</v>
      </c>
      <c r="N62" s="68">
        <f>(AH62*KFC!$B$38+KFC!$C$38)*KFC!$C$5</f>
        <v>155.87</v>
      </c>
      <c r="O62" s="68">
        <f>(AI62*KFC!$B$38+KFC!$C$38)*KFC!$C$5</f>
        <v>164.77</v>
      </c>
      <c r="P62" s="68">
        <f>(AJ62*KFC!$B$38+KFC!$C$38)*KFC!$C$5</f>
        <v>173.55</v>
      </c>
      <c r="Q62" s="68">
        <f>(AK62*KFC!$B$38+KFC!$C$38)*KFC!$C$5</f>
        <v>182.33</v>
      </c>
      <c r="R62" s="68">
        <f>(AL62*KFC!$B$38+KFC!$C$38)*KFC!$C$5</f>
        <v>191.11</v>
      </c>
      <c r="S62" s="68">
        <f>(AM62*KFC!$B$38+KFC!$C$38)*KFC!$C$5</f>
        <v>199.89000000000001</v>
      </c>
      <c r="T62" s="68">
        <f>(AN62*KFC!$B$38+KFC!$C$38)*KFC!$C$5</f>
        <v>208.67000000000002</v>
      </c>
      <c r="U62" s="68">
        <f>(AO62*KFC!$B$38+KFC!$C$38)*KFC!$C$5</f>
        <v>217.45000000000002</v>
      </c>
      <c r="V62" s="68">
        <f>(AP62*KFC!$B$38+KFC!$C$38)*KFC!$C$5</f>
        <v>226.23000000000002</v>
      </c>
      <c r="X62" s="851">
        <v>0.8</v>
      </c>
      <c r="Y62" s="847">
        <v>76.52</v>
      </c>
      <c r="Z62" s="847">
        <v>85.42</v>
      </c>
      <c r="AA62" s="847">
        <v>94.19</v>
      </c>
      <c r="AB62" s="847">
        <v>102.83</v>
      </c>
      <c r="AC62" s="847">
        <v>111.74</v>
      </c>
      <c r="AD62" s="847">
        <v>120.52</v>
      </c>
      <c r="AE62" s="847">
        <v>129.43</v>
      </c>
      <c r="AF62" s="847">
        <v>138.19</v>
      </c>
      <c r="AG62" s="847">
        <v>147.09</v>
      </c>
      <c r="AH62" s="847">
        <v>155.87</v>
      </c>
      <c r="AI62" s="847">
        <v>164.77</v>
      </c>
      <c r="AJ62" s="848">
        <v>173.55</v>
      </c>
      <c r="AK62" s="690">
        <f t="shared" si="7"/>
        <v>182.33</v>
      </c>
      <c r="AL62" s="690">
        <f t="shared" si="6"/>
        <v>191.11</v>
      </c>
      <c r="AM62" s="690">
        <f t="shared" si="6"/>
        <v>199.89000000000001</v>
      </c>
      <c r="AN62" s="690">
        <f t="shared" si="6"/>
        <v>208.67000000000002</v>
      </c>
      <c r="AO62" s="690">
        <f t="shared" si="6"/>
        <v>217.45000000000002</v>
      </c>
      <c r="AP62" s="690">
        <f t="shared" si="6"/>
        <v>226.23000000000002</v>
      </c>
      <c r="AQ62" s="690">
        <f t="shared" si="6"/>
        <v>235.01000000000002</v>
      </c>
      <c r="AR62" s="690">
        <f t="shared" si="6"/>
        <v>243.79000000000002</v>
      </c>
    </row>
    <row r="63" spans="1:44">
      <c r="A63" s="2003"/>
      <c r="B63" s="2004"/>
      <c r="C63" s="2005"/>
      <c r="D63" s="230">
        <v>0.9</v>
      </c>
      <c r="E63" s="78">
        <f>(Y63*KFC!$B$38+KFC!$C$38)*KFC!$C$5</f>
        <v>82.97</v>
      </c>
      <c r="F63" s="68">
        <f>(Z63*KFC!$B$38+KFC!$C$38)*KFC!$C$5</f>
        <v>92.13</v>
      </c>
      <c r="G63" s="68">
        <f>(AA63*KFC!$B$38+KFC!$C$38)*KFC!$C$5</f>
        <v>101.17</v>
      </c>
      <c r="H63" s="68">
        <f>(AB63*KFC!$B$38+KFC!$C$38)*KFC!$C$5</f>
        <v>110.32</v>
      </c>
      <c r="I63" s="68">
        <f>(AC63*KFC!$B$38+KFC!$C$38)*KFC!$C$5</f>
        <v>119.48</v>
      </c>
      <c r="J63" s="68">
        <f>(AD63*KFC!$B$38+KFC!$C$38)*KFC!$C$5</f>
        <v>128.51</v>
      </c>
      <c r="K63" s="68">
        <f>(AE63*KFC!$B$38+KFC!$C$38)*KFC!$C$5</f>
        <v>137.54</v>
      </c>
      <c r="L63" s="68">
        <f>(AF63*KFC!$B$38+KFC!$C$38)*KFC!$C$5</f>
        <v>146.71</v>
      </c>
      <c r="M63" s="68">
        <f>(AG63*KFC!$B$38+KFC!$C$38)*KFC!$C$5</f>
        <v>155.74</v>
      </c>
      <c r="N63" s="68">
        <f>(AH63*KFC!$B$38+KFC!$C$38)*KFC!$C$5</f>
        <v>164.9</v>
      </c>
      <c r="O63" s="68">
        <f>(AI63*KFC!$B$38+KFC!$C$38)*KFC!$C$5</f>
        <v>173.94</v>
      </c>
      <c r="P63" s="68">
        <f>(AJ63*KFC!$B$38+KFC!$C$38)*KFC!$C$5</f>
        <v>183.1</v>
      </c>
      <c r="Q63" s="68">
        <f>(AK63*KFC!$B$38+KFC!$C$38)*KFC!$C$5</f>
        <v>192.26</v>
      </c>
      <c r="R63" s="68">
        <f>(AL63*KFC!$B$38+KFC!$C$38)*KFC!$C$5</f>
        <v>201.42</v>
      </c>
      <c r="S63" s="68">
        <f>(AM63*KFC!$B$38+KFC!$C$38)*KFC!$C$5</f>
        <v>210.57999999999998</v>
      </c>
      <c r="T63" s="68">
        <f>(AN63*KFC!$B$38+KFC!$C$38)*KFC!$C$5</f>
        <v>219.73999999999998</v>
      </c>
      <c r="U63" s="68">
        <f>(AO63*KFC!$B$38+KFC!$C$38)*KFC!$C$5</f>
        <v>228.89999999999998</v>
      </c>
      <c r="V63" s="68">
        <f>(AP63*KFC!$B$38+KFC!$C$38)*KFC!$C$5</f>
        <v>238.05999999999997</v>
      </c>
      <c r="X63" s="851">
        <v>0.9</v>
      </c>
      <c r="Y63" s="847">
        <v>82.97</v>
      </c>
      <c r="Z63" s="847">
        <v>92.13</v>
      </c>
      <c r="AA63" s="847">
        <v>101.17</v>
      </c>
      <c r="AB63" s="847">
        <v>110.32</v>
      </c>
      <c r="AC63" s="847">
        <v>119.48</v>
      </c>
      <c r="AD63" s="847">
        <v>128.51</v>
      </c>
      <c r="AE63" s="847">
        <v>137.54</v>
      </c>
      <c r="AF63" s="847">
        <v>146.71</v>
      </c>
      <c r="AG63" s="847">
        <v>155.74</v>
      </c>
      <c r="AH63" s="847">
        <v>164.9</v>
      </c>
      <c r="AI63" s="847">
        <v>173.94</v>
      </c>
      <c r="AJ63" s="848">
        <v>183.1</v>
      </c>
      <c r="AK63" s="690">
        <f t="shared" si="7"/>
        <v>192.26</v>
      </c>
      <c r="AL63" s="690">
        <f t="shared" si="6"/>
        <v>201.42</v>
      </c>
      <c r="AM63" s="690">
        <f t="shared" si="6"/>
        <v>210.57999999999998</v>
      </c>
      <c r="AN63" s="690">
        <f t="shared" si="6"/>
        <v>219.73999999999998</v>
      </c>
      <c r="AO63" s="690">
        <f t="shared" si="6"/>
        <v>228.89999999999998</v>
      </c>
      <c r="AP63" s="690">
        <f t="shared" si="6"/>
        <v>238.05999999999997</v>
      </c>
      <c r="AQ63" s="690">
        <f t="shared" si="6"/>
        <v>247.21999999999997</v>
      </c>
      <c r="AR63" s="690">
        <f t="shared" si="6"/>
        <v>256.38</v>
      </c>
    </row>
    <row r="64" spans="1:44">
      <c r="A64" s="2003"/>
      <c r="B64" s="2004"/>
      <c r="C64" s="2005"/>
      <c r="D64" s="230">
        <v>1</v>
      </c>
      <c r="E64" s="78">
        <f>(Y64*KFC!$B$38+KFC!$C$38)*KFC!$C$5</f>
        <v>89.67</v>
      </c>
      <c r="F64" s="68">
        <f>(Z64*KFC!$B$38+KFC!$C$38)*KFC!$C$5</f>
        <v>98.96</v>
      </c>
      <c r="G64" s="68">
        <f>(AA64*KFC!$B$38+KFC!$C$38)*KFC!$C$5</f>
        <v>108.26</v>
      </c>
      <c r="H64" s="68">
        <f>(AB64*KFC!$B$38+KFC!$C$38)*KFC!$C$5</f>
        <v>117.67</v>
      </c>
      <c r="I64" s="68">
        <f>(AC64*KFC!$B$38+KFC!$C$38)*KFC!$C$5</f>
        <v>127.09</v>
      </c>
      <c r="J64" s="68">
        <f>(AD64*KFC!$B$38+KFC!$C$38)*KFC!$C$5</f>
        <v>136.38</v>
      </c>
      <c r="K64" s="68">
        <f>(AE64*KFC!$B$38+KFC!$C$38)*KFC!$C$5</f>
        <v>145.66999999999999</v>
      </c>
      <c r="L64" s="68">
        <f>(AF64*KFC!$B$38+KFC!$C$38)*KFC!$C$5</f>
        <v>155.09</v>
      </c>
      <c r="M64" s="68">
        <f>(AG64*KFC!$B$38+KFC!$C$38)*KFC!$C$5</f>
        <v>164.38</v>
      </c>
      <c r="N64" s="68">
        <f>(AH64*KFC!$B$38+KFC!$C$38)*KFC!$C$5</f>
        <v>173.8</v>
      </c>
      <c r="O64" s="68">
        <f>(AI64*KFC!$B$38+KFC!$C$38)*KFC!$C$5</f>
        <v>183.23</v>
      </c>
      <c r="P64" s="68">
        <f>(AJ64*KFC!$B$38+KFC!$C$38)*KFC!$C$5</f>
        <v>192.51</v>
      </c>
      <c r="Q64" s="68">
        <f>(AK64*KFC!$B$38+KFC!$C$38)*KFC!$C$5</f>
        <v>201.79</v>
      </c>
      <c r="R64" s="68">
        <f>(AL64*KFC!$B$38+KFC!$C$38)*KFC!$C$5</f>
        <v>211.07</v>
      </c>
      <c r="S64" s="68">
        <f>(AM64*KFC!$B$38+KFC!$C$38)*KFC!$C$5</f>
        <v>220.35</v>
      </c>
      <c r="T64" s="68">
        <f>(AN64*KFC!$B$38+KFC!$C$38)*KFC!$C$5</f>
        <v>229.63</v>
      </c>
      <c r="U64" s="68">
        <f>(AO64*KFC!$B$38+KFC!$C$38)*KFC!$C$5</f>
        <v>238.91</v>
      </c>
      <c r="V64" s="68">
        <f>(AP64*KFC!$B$38+KFC!$C$38)*KFC!$C$5</f>
        <v>248.19</v>
      </c>
      <c r="X64" s="851">
        <v>1</v>
      </c>
      <c r="Y64" s="847">
        <v>89.67</v>
      </c>
      <c r="Z64" s="847">
        <v>98.96</v>
      </c>
      <c r="AA64" s="847">
        <v>108.26</v>
      </c>
      <c r="AB64" s="847">
        <v>117.67</v>
      </c>
      <c r="AC64" s="847">
        <v>127.09</v>
      </c>
      <c r="AD64" s="847">
        <v>136.38</v>
      </c>
      <c r="AE64" s="847">
        <v>145.66999999999999</v>
      </c>
      <c r="AF64" s="847">
        <v>155.09</v>
      </c>
      <c r="AG64" s="847">
        <v>164.38</v>
      </c>
      <c r="AH64" s="847">
        <v>173.8</v>
      </c>
      <c r="AI64" s="847">
        <v>183.23</v>
      </c>
      <c r="AJ64" s="848">
        <v>192.51</v>
      </c>
      <c r="AK64" s="690">
        <f t="shared" si="7"/>
        <v>201.79</v>
      </c>
      <c r="AL64" s="690">
        <f t="shared" si="6"/>
        <v>211.07</v>
      </c>
      <c r="AM64" s="690">
        <f t="shared" si="6"/>
        <v>220.35</v>
      </c>
      <c r="AN64" s="690">
        <f t="shared" si="6"/>
        <v>229.63</v>
      </c>
      <c r="AO64" s="690">
        <f t="shared" si="6"/>
        <v>238.91</v>
      </c>
      <c r="AP64" s="690">
        <f t="shared" si="6"/>
        <v>248.19</v>
      </c>
      <c r="AQ64" s="690">
        <f t="shared" si="6"/>
        <v>257.47000000000003</v>
      </c>
      <c r="AR64" s="690">
        <f t="shared" si="6"/>
        <v>266.75000000000006</v>
      </c>
    </row>
    <row r="65" spans="1:44">
      <c r="A65" s="2003"/>
      <c r="B65" s="2004"/>
      <c r="C65" s="2005"/>
      <c r="D65" s="230">
        <v>1.1000000000000001</v>
      </c>
      <c r="E65" s="78">
        <f>(Y65*KFC!$B$38+KFC!$C$38)*KFC!$C$5</f>
        <v>96.13</v>
      </c>
      <c r="F65" s="68">
        <f>(Z65*KFC!$B$38+KFC!$C$38)*KFC!$C$5</f>
        <v>105.68</v>
      </c>
      <c r="G65" s="68">
        <f>(AA65*KFC!$B$38+KFC!$C$38)*KFC!$C$5</f>
        <v>115.36</v>
      </c>
      <c r="H65" s="68">
        <f>(AB65*KFC!$B$38+KFC!$C$38)*KFC!$C$5</f>
        <v>125.04</v>
      </c>
      <c r="I65" s="68">
        <f>(AC65*KFC!$B$38+KFC!$C$38)*KFC!$C$5</f>
        <v>134.59</v>
      </c>
      <c r="J65" s="68">
        <f>(AD65*KFC!$B$38+KFC!$C$38)*KFC!$C$5</f>
        <v>144.27000000000001</v>
      </c>
      <c r="K65" s="68">
        <f>(AE65*KFC!$B$38+KFC!$C$38)*KFC!$C$5</f>
        <v>153.80000000000001</v>
      </c>
      <c r="L65" s="68">
        <f>(AF65*KFC!$B$38+KFC!$C$38)*KFC!$C$5</f>
        <v>163.47</v>
      </c>
      <c r="M65" s="68">
        <f>(AG65*KFC!$B$38+KFC!$C$38)*KFC!$C$5</f>
        <v>173.15</v>
      </c>
      <c r="N65" s="68">
        <f>(AH65*KFC!$B$38+KFC!$C$38)*KFC!$C$5</f>
        <v>182.7</v>
      </c>
      <c r="O65" s="68">
        <f>(AI65*KFC!$B$38+KFC!$C$38)*KFC!$C$5</f>
        <v>192.38</v>
      </c>
      <c r="P65" s="68">
        <f>(AJ65*KFC!$B$38+KFC!$C$38)*KFC!$C$5</f>
        <v>201.93</v>
      </c>
      <c r="Q65" s="68">
        <f>(AK65*KFC!$B$38+KFC!$C$38)*KFC!$C$5</f>
        <v>211.48000000000002</v>
      </c>
      <c r="R65" s="68">
        <f>(AL65*KFC!$B$38+KFC!$C$38)*KFC!$C$5</f>
        <v>221.03000000000003</v>
      </c>
      <c r="S65" s="68">
        <f>(AM65*KFC!$B$38+KFC!$C$38)*KFC!$C$5</f>
        <v>230.58000000000004</v>
      </c>
      <c r="T65" s="68">
        <f>(AN65*KFC!$B$38+KFC!$C$38)*KFC!$C$5</f>
        <v>240.13000000000005</v>
      </c>
      <c r="U65" s="68">
        <f>(AO65*KFC!$B$38+KFC!$C$38)*KFC!$C$5</f>
        <v>249.68000000000006</v>
      </c>
      <c r="V65" s="68">
        <f>(AP65*KFC!$B$38+KFC!$C$38)*KFC!$C$5</f>
        <v>259.23000000000008</v>
      </c>
      <c r="X65" s="851">
        <v>1.1000000000000001</v>
      </c>
      <c r="Y65" s="847">
        <v>96.13</v>
      </c>
      <c r="Z65" s="847">
        <v>105.68</v>
      </c>
      <c r="AA65" s="847">
        <v>115.36</v>
      </c>
      <c r="AB65" s="847">
        <v>125.04</v>
      </c>
      <c r="AC65" s="847">
        <v>134.59</v>
      </c>
      <c r="AD65" s="847">
        <v>144.27000000000001</v>
      </c>
      <c r="AE65" s="847">
        <v>153.80000000000001</v>
      </c>
      <c r="AF65" s="847">
        <v>163.47</v>
      </c>
      <c r="AG65" s="847">
        <v>173.15</v>
      </c>
      <c r="AH65" s="847">
        <v>182.7</v>
      </c>
      <c r="AI65" s="847">
        <v>192.38</v>
      </c>
      <c r="AJ65" s="848">
        <v>201.93</v>
      </c>
      <c r="AK65" s="690">
        <f t="shared" si="7"/>
        <v>211.48000000000002</v>
      </c>
      <c r="AL65" s="690">
        <f t="shared" si="6"/>
        <v>221.03000000000003</v>
      </c>
      <c r="AM65" s="690">
        <f t="shared" si="6"/>
        <v>230.58000000000004</v>
      </c>
      <c r="AN65" s="690">
        <f t="shared" si="6"/>
        <v>240.13000000000005</v>
      </c>
      <c r="AO65" s="690">
        <f t="shared" si="6"/>
        <v>249.68000000000006</v>
      </c>
      <c r="AP65" s="690">
        <f t="shared" si="6"/>
        <v>259.23000000000008</v>
      </c>
      <c r="AQ65" s="690">
        <f t="shared" si="6"/>
        <v>268.78000000000009</v>
      </c>
      <c r="AR65" s="690">
        <f t="shared" si="6"/>
        <v>278.3300000000001</v>
      </c>
    </row>
    <row r="66" spans="1:44">
      <c r="A66" s="2003"/>
      <c r="B66" s="2004"/>
      <c r="C66" s="2005"/>
      <c r="D66" s="230">
        <v>1.2</v>
      </c>
      <c r="E66" s="78">
        <f>(Y66*KFC!$B$38+KFC!$C$38)*KFC!$C$5</f>
        <v>102.71</v>
      </c>
      <c r="F66" s="68">
        <f>(Z66*KFC!$B$38+KFC!$C$38)*KFC!$C$5</f>
        <v>112.51</v>
      </c>
      <c r="G66" s="68">
        <f>(AA66*KFC!$B$38+KFC!$C$38)*KFC!$C$5</f>
        <v>122.45</v>
      </c>
      <c r="H66" s="68">
        <f>(AB66*KFC!$B$38+KFC!$C$38)*KFC!$C$5</f>
        <v>132.38999999999999</v>
      </c>
      <c r="I66" s="68">
        <f>(AC66*KFC!$B$38+KFC!$C$38)*KFC!$C$5</f>
        <v>142.19</v>
      </c>
      <c r="J66" s="68">
        <f>(AD66*KFC!$B$38+KFC!$C$38)*KFC!$C$5</f>
        <v>152.13</v>
      </c>
      <c r="K66" s="68">
        <f>(AE66*KFC!$B$38+KFC!$C$38)*KFC!$C$5</f>
        <v>162.06</v>
      </c>
      <c r="L66" s="68">
        <f>(AF66*KFC!$B$38+KFC!$C$38)*KFC!$C$5</f>
        <v>171.86</v>
      </c>
      <c r="M66" s="68">
        <f>(AG66*KFC!$B$38+KFC!$C$38)*KFC!$C$5</f>
        <v>181.81</v>
      </c>
      <c r="N66" s="68">
        <f>(AH66*KFC!$B$38+KFC!$C$38)*KFC!$C$5</f>
        <v>191.74</v>
      </c>
      <c r="O66" s="68">
        <f>(AI66*KFC!$B$38+KFC!$C$38)*KFC!$C$5</f>
        <v>201.54</v>
      </c>
      <c r="P66" s="68">
        <f>(AJ66*KFC!$B$38+KFC!$C$38)*KFC!$C$5</f>
        <v>211.49</v>
      </c>
      <c r="Q66" s="68">
        <f>(AK66*KFC!$B$38+KFC!$C$38)*KFC!$C$5</f>
        <v>221.44000000000003</v>
      </c>
      <c r="R66" s="68">
        <f>(AL66*KFC!$B$38+KFC!$C$38)*KFC!$C$5</f>
        <v>231.39000000000004</v>
      </c>
      <c r="S66" s="68">
        <f>(AM66*KFC!$B$38+KFC!$C$38)*KFC!$C$5</f>
        <v>241.34000000000006</v>
      </c>
      <c r="T66" s="68">
        <f>(AN66*KFC!$B$38+KFC!$C$38)*KFC!$C$5</f>
        <v>251.29000000000008</v>
      </c>
      <c r="U66" s="68">
        <f>(AO66*KFC!$B$38+KFC!$C$38)*KFC!$C$5</f>
        <v>261.24000000000012</v>
      </c>
      <c r="V66" s="68">
        <f>(AP66*KFC!$B$38+KFC!$C$38)*KFC!$C$5</f>
        <v>271.19000000000017</v>
      </c>
      <c r="X66" s="851">
        <v>1.2</v>
      </c>
      <c r="Y66" s="847">
        <v>102.71</v>
      </c>
      <c r="Z66" s="847">
        <v>112.51</v>
      </c>
      <c r="AA66" s="847">
        <v>122.45</v>
      </c>
      <c r="AB66" s="847">
        <v>132.38999999999999</v>
      </c>
      <c r="AC66" s="847">
        <v>142.19</v>
      </c>
      <c r="AD66" s="847">
        <v>152.13</v>
      </c>
      <c r="AE66" s="847">
        <v>162.06</v>
      </c>
      <c r="AF66" s="847">
        <v>171.86</v>
      </c>
      <c r="AG66" s="847">
        <v>181.81</v>
      </c>
      <c r="AH66" s="847">
        <v>191.74</v>
      </c>
      <c r="AI66" s="847">
        <v>201.54</v>
      </c>
      <c r="AJ66" s="848">
        <v>211.49</v>
      </c>
      <c r="AK66" s="690">
        <f t="shared" si="7"/>
        <v>221.44000000000003</v>
      </c>
      <c r="AL66" s="690">
        <f t="shared" si="6"/>
        <v>231.39000000000004</v>
      </c>
      <c r="AM66" s="690">
        <f t="shared" si="6"/>
        <v>241.34000000000006</v>
      </c>
      <c r="AN66" s="690">
        <f t="shared" si="6"/>
        <v>251.29000000000008</v>
      </c>
      <c r="AO66" s="690">
        <f t="shared" si="6"/>
        <v>261.24000000000012</v>
      </c>
      <c r="AP66" s="690">
        <f t="shared" si="6"/>
        <v>271.19000000000017</v>
      </c>
      <c r="AQ66" s="690">
        <f t="shared" si="6"/>
        <v>281.14000000000021</v>
      </c>
      <c r="AR66" s="690">
        <f t="shared" si="6"/>
        <v>291.09000000000026</v>
      </c>
    </row>
    <row r="67" spans="1:44">
      <c r="A67" s="2003"/>
      <c r="B67" s="2004"/>
      <c r="C67" s="2005"/>
      <c r="D67" s="230">
        <v>1.3</v>
      </c>
      <c r="E67" s="78">
        <f>(Y67*KFC!$B$38+KFC!$C$38)*KFC!$C$5</f>
        <v>109.15</v>
      </c>
      <c r="F67" s="68">
        <f>(Z67*KFC!$B$38+KFC!$C$38)*KFC!$C$5</f>
        <v>119.48</v>
      </c>
      <c r="G67" s="68">
        <f>(AA67*KFC!$B$38+KFC!$C$38)*KFC!$C$5</f>
        <v>129.55000000000001</v>
      </c>
      <c r="H67" s="68">
        <f>(AB67*KFC!$B$38+KFC!$C$38)*KFC!$C$5</f>
        <v>139.6</v>
      </c>
      <c r="I67" s="68">
        <f>(AC67*KFC!$B$38+KFC!$C$38)*KFC!$C$5</f>
        <v>149.93</v>
      </c>
      <c r="J67" s="68">
        <f>(AD67*KFC!$B$38+KFC!$C$38)*KFC!$C$5</f>
        <v>160</v>
      </c>
      <c r="K67" s="68">
        <f>(AE67*KFC!$B$38+KFC!$C$38)*KFC!$C$5</f>
        <v>170.07</v>
      </c>
      <c r="L67" s="68">
        <f>(AF67*KFC!$B$38+KFC!$C$38)*KFC!$C$5</f>
        <v>180.39</v>
      </c>
      <c r="M67" s="68">
        <f>(AG67*KFC!$B$38+KFC!$C$38)*KFC!$C$5</f>
        <v>190.44</v>
      </c>
      <c r="N67" s="68">
        <f>(AH67*KFC!$B$38+KFC!$C$38)*KFC!$C$5</f>
        <v>200.52</v>
      </c>
      <c r="O67" s="68">
        <f>(AI67*KFC!$B$38+KFC!$C$38)*KFC!$C$5</f>
        <v>210.84</v>
      </c>
      <c r="P67" s="68">
        <f>(AJ67*KFC!$B$38+KFC!$C$38)*KFC!$C$5</f>
        <v>220.89</v>
      </c>
      <c r="Q67" s="68">
        <f>(AK67*KFC!$B$38+KFC!$C$38)*KFC!$C$5</f>
        <v>230.93999999999997</v>
      </c>
      <c r="R67" s="68">
        <f>(AL67*KFC!$B$38+KFC!$C$38)*KFC!$C$5</f>
        <v>240.98999999999995</v>
      </c>
      <c r="S67" s="68">
        <f>(AM67*KFC!$B$38+KFC!$C$38)*KFC!$C$5</f>
        <v>251.03999999999994</v>
      </c>
      <c r="T67" s="68">
        <f>(AN67*KFC!$B$38+KFC!$C$38)*KFC!$C$5</f>
        <v>261.08999999999992</v>
      </c>
      <c r="U67" s="68">
        <f>(AO67*KFC!$B$38+KFC!$C$38)*KFC!$C$5</f>
        <v>271.13999999999987</v>
      </c>
      <c r="V67" s="68">
        <f>(AP67*KFC!$B$38+KFC!$C$38)*KFC!$C$5</f>
        <v>281.18999999999983</v>
      </c>
      <c r="X67" s="851">
        <v>1.3</v>
      </c>
      <c r="Y67" s="847">
        <v>109.15</v>
      </c>
      <c r="Z67" s="847">
        <v>119.48</v>
      </c>
      <c r="AA67" s="847">
        <v>129.55000000000001</v>
      </c>
      <c r="AB67" s="847">
        <v>139.6</v>
      </c>
      <c r="AC67" s="847">
        <v>149.93</v>
      </c>
      <c r="AD67" s="847">
        <v>160</v>
      </c>
      <c r="AE67" s="847">
        <v>170.07</v>
      </c>
      <c r="AF67" s="847">
        <v>180.39</v>
      </c>
      <c r="AG67" s="847">
        <v>190.44</v>
      </c>
      <c r="AH67" s="847">
        <v>200.52</v>
      </c>
      <c r="AI67" s="847">
        <v>210.84</v>
      </c>
      <c r="AJ67" s="848">
        <v>220.89</v>
      </c>
      <c r="AK67" s="690">
        <f t="shared" si="7"/>
        <v>230.93999999999997</v>
      </c>
      <c r="AL67" s="690">
        <f t="shared" si="6"/>
        <v>240.98999999999995</v>
      </c>
      <c r="AM67" s="690">
        <f t="shared" si="6"/>
        <v>251.03999999999994</v>
      </c>
      <c r="AN67" s="690">
        <f t="shared" si="6"/>
        <v>261.08999999999992</v>
      </c>
      <c r="AO67" s="690">
        <f t="shared" si="6"/>
        <v>271.13999999999987</v>
      </c>
      <c r="AP67" s="690">
        <f t="shared" si="6"/>
        <v>281.18999999999983</v>
      </c>
      <c r="AQ67" s="690">
        <f t="shared" si="6"/>
        <v>291.23999999999978</v>
      </c>
      <c r="AR67" s="690">
        <f t="shared" si="6"/>
        <v>301.28999999999974</v>
      </c>
    </row>
    <row r="68" spans="1:44">
      <c r="A68" s="2003"/>
      <c r="B68" s="2004"/>
      <c r="C68" s="2005"/>
      <c r="D68" s="230">
        <v>1.4</v>
      </c>
      <c r="E68" s="78">
        <f>(Y68*KFC!$B$38+KFC!$C$38)*KFC!$C$5</f>
        <v>115.87</v>
      </c>
      <c r="F68" s="68">
        <f>(Z68*KFC!$B$38+KFC!$C$38)*KFC!$C$5</f>
        <v>126.19</v>
      </c>
      <c r="G68" s="68">
        <f>(AA68*KFC!$B$38+KFC!$C$38)*KFC!$C$5</f>
        <v>136.63999999999999</v>
      </c>
      <c r="H68" s="68">
        <f>(AB68*KFC!$B$38+KFC!$C$38)*KFC!$C$5</f>
        <v>147.09</v>
      </c>
      <c r="I68" s="68">
        <f>(AC68*KFC!$B$38+KFC!$C$38)*KFC!$C$5</f>
        <v>157.54</v>
      </c>
      <c r="J68" s="68">
        <f>(AD68*KFC!$B$38+KFC!$C$38)*KFC!$C$5</f>
        <v>167.87</v>
      </c>
      <c r="K68" s="68">
        <f>(AE68*KFC!$B$38+KFC!$C$38)*KFC!$C$5</f>
        <v>178.31</v>
      </c>
      <c r="L68" s="68">
        <f>(AF68*KFC!$B$38+KFC!$C$38)*KFC!$C$5</f>
        <v>188.77</v>
      </c>
      <c r="M68" s="68">
        <f>(AG68*KFC!$B$38+KFC!$C$38)*KFC!$C$5</f>
        <v>199.1</v>
      </c>
      <c r="N68" s="68">
        <f>(AH68*KFC!$B$38+KFC!$C$38)*KFC!$C$5</f>
        <v>209.55</v>
      </c>
      <c r="O68" s="68">
        <f>(AI68*KFC!$B$38+KFC!$C$38)*KFC!$C$5</f>
        <v>220</v>
      </c>
      <c r="P68" s="68">
        <f>(AJ68*KFC!$B$38+KFC!$C$38)*KFC!$C$5</f>
        <v>230.45</v>
      </c>
      <c r="Q68" s="68">
        <f>(AK68*KFC!$B$38+KFC!$C$38)*KFC!$C$5</f>
        <v>240.89999999999998</v>
      </c>
      <c r="R68" s="68">
        <f>(AL68*KFC!$B$38+KFC!$C$38)*KFC!$C$5</f>
        <v>251.34999999999997</v>
      </c>
      <c r="S68" s="68">
        <f>(AM68*KFC!$B$38+KFC!$C$38)*KFC!$C$5</f>
        <v>261.79999999999995</v>
      </c>
      <c r="T68" s="68">
        <f>(AN68*KFC!$B$38+KFC!$C$38)*KFC!$C$5</f>
        <v>272.24999999999994</v>
      </c>
      <c r="U68" s="68">
        <f>(AO68*KFC!$B$38+KFC!$C$38)*KFC!$C$5</f>
        <v>282.69999999999993</v>
      </c>
      <c r="V68" s="68">
        <f>(AP68*KFC!$B$38+KFC!$C$38)*KFC!$C$5</f>
        <v>293.14999999999992</v>
      </c>
      <c r="X68" s="851">
        <v>1.4</v>
      </c>
      <c r="Y68" s="847">
        <v>115.87</v>
      </c>
      <c r="Z68" s="847">
        <v>126.19</v>
      </c>
      <c r="AA68" s="847">
        <v>136.63999999999999</v>
      </c>
      <c r="AB68" s="847">
        <v>147.09</v>
      </c>
      <c r="AC68" s="847">
        <v>157.54</v>
      </c>
      <c r="AD68" s="847">
        <v>167.87</v>
      </c>
      <c r="AE68" s="847">
        <v>178.31</v>
      </c>
      <c r="AF68" s="847">
        <v>188.77</v>
      </c>
      <c r="AG68" s="847">
        <v>199.1</v>
      </c>
      <c r="AH68" s="847">
        <v>209.55</v>
      </c>
      <c r="AI68" s="847">
        <v>220</v>
      </c>
      <c r="AJ68" s="848">
        <v>230.45</v>
      </c>
      <c r="AK68" s="690">
        <f t="shared" si="7"/>
        <v>240.89999999999998</v>
      </c>
      <c r="AL68" s="690">
        <f t="shared" si="6"/>
        <v>251.34999999999997</v>
      </c>
      <c r="AM68" s="690">
        <f t="shared" si="6"/>
        <v>261.79999999999995</v>
      </c>
      <c r="AN68" s="690">
        <f t="shared" si="6"/>
        <v>272.24999999999994</v>
      </c>
      <c r="AO68" s="690">
        <f t="shared" si="6"/>
        <v>282.69999999999993</v>
      </c>
      <c r="AP68" s="690">
        <f t="shared" si="6"/>
        <v>293.14999999999992</v>
      </c>
      <c r="AQ68" s="690">
        <f t="shared" si="6"/>
        <v>303.59999999999991</v>
      </c>
      <c r="AR68" s="690">
        <f t="shared" si="6"/>
        <v>314.0499999999999</v>
      </c>
    </row>
    <row r="69" spans="1:44">
      <c r="A69" s="2003"/>
      <c r="B69" s="2004"/>
      <c r="C69" s="2005"/>
      <c r="D69" s="230">
        <v>1.5</v>
      </c>
      <c r="E69" s="78">
        <f>(Y69*KFC!$B$38+KFC!$C$38)*KFC!$C$5</f>
        <v>122.33</v>
      </c>
      <c r="F69" s="68">
        <f>(Z69*KFC!$B$38+KFC!$C$38)*KFC!$C$5</f>
        <v>133.02000000000001</v>
      </c>
      <c r="G69" s="68">
        <f>(AA69*KFC!$B$38+KFC!$C$38)*KFC!$C$5</f>
        <v>143.74</v>
      </c>
      <c r="H69" s="68">
        <f>(AB69*KFC!$B$38+KFC!$C$38)*KFC!$C$5</f>
        <v>154.32</v>
      </c>
      <c r="I69" s="68">
        <f>(AC69*KFC!$B$38+KFC!$C$38)*KFC!$C$5</f>
        <v>165.03</v>
      </c>
      <c r="J69" s="68">
        <f>(AD69*KFC!$B$38+KFC!$C$38)*KFC!$C$5</f>
        <v>175.74</v>
      </c>
      <c r="K69" s="68">
        <f>(AE69*KFC!$B$38+KFC!$C$38)*KFC!$C$5</f>
        <v>186.57</v>
      </c>
      <c r="L69" s="68">
        <f>(AF69*KFC!$B$38+KFC!$C$38)*KFC!$C$5</f>
        <v>197.16</v>
      </c>
      <c r="M69" s="68">
        <f>(AG69*KFC!$B$38+KFC!$C$38)*KFC!$C$5</f>
        <v>207.87</v>
      </c>
      <c r="N69" s="68">
        <f>(AH69*KFC!$B$38+KFC!$C$38)*KFC!$C$5</f>
        <v>218.58</v>
      </c>
      <c r="O69" s="68">
        <f>(AI69*KFC!$B$38+KFC!$C$38)*KFC!$C$5</f>
        <v>229.15</v>
      </c>
      <c r="P69" s="68">
        <f>(AJ69*KFC!$B$38+KFC!$C$38)*KFC!$C$5</f>
        <v>239.87</v>
      </c>
      <c r="Q69" s="68">
        <f>(AK69*KFC!$B$38+KFC!$C$38)*KFC!$C$5</f>
        <v>250.59</v>
      </c>
      <c r="R69" s="68">
        <f>(AL69*KFC!$B$38+KFC!$C$38)*KFC!$C$5</f>
        <v>261.31</v>
      </c>
      <c r="S69" s="68">
        <f>(AM69*KFC!$B$38+KFC!$C$38)*KFC!$C$5</f>
        <v>272.02999999999997</v>
      </c>
      <c r="T69" s="68">
        <f>(AN69*KFC!$B$38+KFC!$C$38)*KFC!$C$5</f>
        <v>282.74999999999994</v>
      </c>
      <c r="U69" s="68">
        <f>(AO69*KFC!$B$38+KFC!$C$38)*KFC!$C$5</f>
        <v>293.46999999999991</v>
      </c>
      <c r="V69" s="68">
        <f>(AP69*KFC!$B$38+KFC!$C$38)*KFC!$C$5</f>
        <v>304.18999999999988</v>
      </c>
      <c r="X69" s="851">
        <v>1.5</v>
      </c>
      <c r="Y69" s="847">
        <v>122.33</v>
      </c>
      <c r="Z69" s="847">
        <v>133.02000000000001</v>
      </c>
      <c r="AA69" s="847">
        <v>143.74</v>
      </c>
      <c r="AB69" s="847">
        <v>154.32</v>
      </c>
      <c r="AC69" s="847">
        <v>165.03</v>
      </c>
      <c r="AD69" s="847">
        <v>175.74</v>
      </c>
      <c r="AE69" s="847">
        <v>186.57</v>
      </c>
      <c r="AF69" s="847">
        <v>197.16</v>
      </c>
      <c r="AG69" s="847">
        <v>207.87</v>
      </c>
      <c r="AH69" s="847">
        <v>218.58</v>
      </c>
      <c r="AI69" s="847">
        <v>229.15</v>
      </c>
      <c r="AJ69" s="848">
        <v>239.87</v>
      </c>
      <c r="AK69" s="690">
        <f t="shared" si="7"/>
        <v>250.59</v>
      </c>
      <c r="AL69" s="690">
        <f t="shared" si="6"/>
        <v>261.31</v>
      </c>
      <c r="AM69" s="690">
        <f t="shared" si="6"/>
        <v>272.02999999999997</v>
      </c>
      <c r="AN69" s="690">
        <f t="shared" si="6"/>
        <v>282.74999999999994</v>
      </c>
      <c r="AO69" s="690">
        <f t="shared" si="6"/>
        <v>293.46999999999991</v>
      </c>
      <c r="AP69" s="690">
        <f t="shared" si="6"/>
        <v>304.18999999999988</v>
      </c>
      <c r="AQ69" s="690">
        <f t="shared" si="6"/>
        <v>314.90999999999985</v>
      </c>
      <c r="AR69" s="690">
        <f t="shared" si="6"/>
        <v>325.62999999999982</v>
      </c>
    </row>
    <row r="70" spans="1:44">
      <c r="A70" s="2003"/>
      <c r="B70" s="2004"/>
      <c r="C70" s="2005"/>
      <c r="D70" s="230">
        <v>1.6</v>
      </c>
      <c r="E70" s="78">
        <f>(Y70*KFC!$B$38+KFC!$C$38)*KFC!$C$5</f>
        <v>128.91</v>
      </c>
      <c r="F70" s="68">
        <f>(Z70*KFC!$B$38+KFC!$C$38)*KFC!$C$5</f>
        <v>139.88</v>
      </c>
      <c r="G70" s="68">
        <f>(AA70*KFC!$B$38+KFC!$C$38)*KFC!$C$5</f>
        <v>150.84</v>
      </c>
      <c r="H70" s="68">
        <f>(AB70*KFC!$B$38+KFC!$C$38)*KFC!$C$5</f>
        <v>161.81</v>
      </c>
      <c r="I70" s="68">
        <f>(AC70*KFC!$B$38+KFC!$C$38)*KFC!$C$5</f>
        <v>172.65</v>
      </c>
      <c r="J70" s="68">
        <f>(AD70*KFC!$B$38+KFC!$C$38)*KFC!$C$5</f>
        <v>183.74</v>
      </c>
      <c r="K70" s="68">
        <f>(AE70*KFC!$B$38+KFC!$C$38)*KFC!$C$5</f>
        <v>194.58</v>
      </c>
      <c r="L70" s="68">
        <f>(AF70*KFC!$B$38+KFC!$C$38)*KFC!$C$5</f>
        <v>205.68</v>
      </c>
      <c r="M70" s="68">
        <f>(AG70*KFC!$B$38+KFC!$C$38)*KFC!$C$5</f>
        <v>216.51</v>
      </c>
      <c r="N70" s="68">
        <f>(AH70*KFC!$B$38+KFC!$C$38)*KFC!$C$5</f>
        <v>227.35</v>
      </c>
      <c r="O70" s="68">
        <f>(AI70*KFC!$B$38+KFC!$C$38)*KFC!$C$5</f>
        <v>238.46</v>
      </c>
      <c r="P70" s="68">
        <f>(AJ70*KFC!$B$38+KFC!$C$38)*KFC!$C$5</f>
        <v>249.28</v>
      </c>
      <c r="Q70" s="68">
        <f>(AK70*KFC!$B$38+KFC!$C$38)*KFC!$C$5</f>
        <v>260.10000000000002</v>
      </c>
      <c r="R70" s="68">
        <f>(AL70*KFC!$B$38+KFC!$C$38)*KFC!$C$5</f>
        <v>270.92000000000007</v>
      </c>
      <c r="S70" s="68">
        <f>(AM70*KFC!$B$38+KFC!$C$38)*KFC!$C$5</f>
        <v>281.74000000000012</v>
      </c>
      <c r="T70" s="68">
        <f>(AN70*KFC!$B$38+KFC!$C$38)*KFC!$C$5</f>
        <v>292.56000000000017</v>
      </c>
      <c r="U70" s="68">
        <f>(AO70*KFC!$B$38+KFC!$C$38)*KFC!$C$5</f>
        <v>303.38000000000022</v>
      </c>
      <c r="V70" s="68">
        <f>(AP70*KFC!$B$38+KFC!$C$38)*KFC!$C$5</f>
        <v>314.20000000000027</v>
      </c>
      <c r="X70" s="851">
        <v>1.6</v>
      </c>
      <c r="Y70" s="847">
        <v>128.91</v>
      </c>
      <c r="Z70" s="847">
        <v>139.88</v>
      </c>
      <c r="AA70" s="847">
        <v>150.84</v>
      </c>
      <c r="AB70" s="847">
        <v>161.81</v>
      </c>
      <c r="AC70" s="847">
        <v>172.65</v>
      </c>
      <c r="AD70" s="847">
        <v>183.74</v>
      </c>
      <c r="AE70" s="847">
        <v>194.58</v>
      </c>
      <c r="AF70" s="847">
        <v>205.68</v>
      </c>
      <c r="AG70" s="847">
        <v>216.51</v>
      </c>
      <c r="AH70" s="847">
        <v>227.35</v>
      </c>
      <c r="AI70" s="847">
        <v>238.46</v>
      </c>
      <c r="AJ70" s="848">
        <v>249.28</v>
      </c>
      <c r="AK70" s="690">
        <f t="shared" si="7"/>
        <v>260.10000000000002</v>
      </c>
      <c r="AL70" s="690">
        <f t="shared" si="6"/>
        <v>270.92000000000007</v>
      </c>
      <c r="AM70" s="690">
        <f t="shared" si="6"/>
        <v>281.74000000000012</v>
      </c>
      <c r="AN70" s="690">
        <f t="shared" si="6"/>
        <v>292.56000000000017</v>
      </c>
      <c r="AO70" s="690">
        <f t="shared" si="6"/>
        <v>303.38000000000022</v>
      </c>
      <c r="AP70" s="690">
        <f t="shared" si="6"/>
        <v>314.20000000000027</v>
      </c>
      <c r="AQ70" s="690">
        <f t="shared" si="6"/>
        <v>325.02000000000032</v>
      </c>
      <c r="AR70" s="690">
        <f t="shared" si="6"/>
        <v>335.84000000000037</v>
      </c>
    </row>
    <row r="71" spans="1:44">
      <c r="A71" s="2003"/>
      <c r="B71" s="2004"/>
      <c r="C71" s="2005"/>
      <c r="D71" s="230">
        <v>1.7</v>
      </c>
      <c r="E71" s="78">
        <f>(Y71*KFC!$B$38+KFC!$C$38)*KFC!$C$5</f>
        <v>135.36000000000001</v>
      </c>
      <c r="F71" s="68">
        <f>(Z71*KFC!$B$38+KFC!$C$38)*KFC!$C$5</f>
        <v>146.71</v>
      </c>
      <c r="G71" s="68">
        <f>(AA71*KFC!$B$38+KFC!$C$38)*KFC!$C$5</f>
        <v>157.94</v>
      </c>
      <c r="H71" s="68">
        <f>(AB71*KFC!$B$38+KFC!$C$38)*KFC!$C$5</f>
        <v>169.16</v>
      </c>
      <c r="I71" s="68">
        <f>(AC71*KFC!$B$38+KFC!$C$38)*KFC!$C$5</f>
        <v>180.39</v>
      </c>
      <c r="J71" s="68">
        <f>(AD71*KFC!$B$38+KFC!$C$38)*KFC!$C$5</f>
        <v>191.61</v>
      </c>
      <c r="K71" s="68">
        <f>(AE71*KFC!$B$38+KFC!$C$38)*KFC!$C$5</f>
        <v>202.83</v>
      </c>
      <c r="L71" s="68">
        <f>(AF71*KFC!$B$38+KFC!$C$38)*KFC!$C$5</f>
        <v>213.94</v>
      </c>
      <c r="M71" s="68">
        <f>(AG71*KFC!$B$38+KFC!$C$38)*KFC!$C$5</f>
        <v>225.16</v>
      </c>
      <c r="N71" s="68">
        <f>(AH71*KFC!$B$38+KFC!$C$38)*KFC!$C$5</f>
        <v>236.38</v>
      </c>
      <c r="O71" s="68">
        <f>(AI71*KFC!$B$38+KFC!$C$38)*KFC!$C$5</f>
        <v>247.61</v>
      </c>
      <c r="P71" s="68">
        <f>(AJ71*KFC!$B$38+KFC!$C$38)*KFC!$C$5</f>
        <v>258.83</v>
      </c>
      <c r="Q71" s="68">
        <f>(AK71*KFC!$B$38+KFC!$C$38)*KFC!$C$5</f>
        <v>270.04999999999995</v>
      </c>
      <c r="R71" s="68">
        <f>(AL71*KFC!$B$38+KFC!$C$38)*KFC!$C$5</f>
        <v>281.26999999999992</v>
      </c>
      <c r="S71" s="68">
        <f>(AM71*KFC!$B$38+KFC!$C$38)*KFC!$C$5</f>
        <v>292.4899999999999</v>
      </c>
      <c r="T71" s="68">
        <f>(AN71*KFC!$B$38+KFC!$C$38)*KFC!$C$5</f>
        <v>303.70999999999987</v>
      </c>
      <c r="U71" s="68">
        <f>(AO71*KFC!$B$38+KFC!$C$38)*KFC!$C$5</f>
        <v>314.92999999999984</v>
      </c>
      <c r="V71" s="68">
        <f>(AP71*KFC!$B$38+KFC!$C$38)*KFC!$C$5</f>
        <v>326.14999999999981</v>
      </c>
      <c r="X71" s="851">
        <v>1.7</v>
      </c>
      <c r="Y71" s="847">
        <v>135.36000000000001</v>
      </c>
      <c r="Z71" s="847">
        <v>146.71</v>
      </c>
      <c r="AA71" s="847">
        <v>157.94</v>
      </c>
      <c r="AB71" s="847">
        <v>169.16</v>
      </c>
      <c r="AC71" s="847">
        <v>180.39</v>
      </c>
      <c r="AD71" s="847">
        <v>191.61</v>
      </c>
      <c r="AE71" s="847">
        <v>202.83</v>
      </c>
      <c r="AF71" s="847">
        <v>213.94</v>
      </c>
      <c r="AG71" s="847">
        <v>225.16</v>
      </c>
      <c r="AH71" s="847">
        <v>236.38</v>
      </c>
      <c r="AI71" s="847">
        <v>247.61</v>
      </c>
      <c r="AJ71" s="848">
        <v>258.83</v>
      </c>
      <c r="AK71" s="690">
        <f t="shared" si="7"/>
        <v>270.04999999999995</v>
      </c>
      <c r="AL71" s="690">
        <f t="shared" si="6"/>
        <v>281.26999999999992</v>
      </c>
      <c r="AM71" s="690">
        <f t="shared" si="6"/>
        <v>292.4899999999999</v>
      </c>
      <c r="AN71" s="690">
        <f t="shared" si="6"/>
        <v>303.70999999999987</v>
      </c>
      <c r="AO71" s="690">
        <f t="shared" si="6"/>
        <v>314.92999999999984</v>
      </c>
      <c r="AP71" s="690">
        <f t="shared" si="6"/>
        <v>326.14999999999981</v>
      </c>
      <c r="AQ71" s="690">
        <f t="shared" si="6"/>
        <v>337.36999999999978</v>
      </c>
      <c r="AR71" s="690">
        <f t="shared" si="6"/>
        <v>348.58999999999975</v>
      </c>
    </row>
    <row r="72" spans="1:44" ht="13.8" thickBot="1">
      <c r="A72" s="2006"/>
      <c r="B72" s="2007"/>
      <c r="C72" s="2008"/>
      <c r="D72" s="231">
        <v>1.8</v>
      </c>
      <c r="E72" s="108">
        <f>(Y72*KFC!$B$38+KFC!$C$38)*KFC!$C$5</f>
        <v>142.07</v>
      </c>
      <c r="F72" s="109">
        <f>(Z72*KFC!$B$38+KFC!$C$38)*KFC!$C$5</f>
        <v>153.55000000000001</v>
      </c>
      <c r="G72" s="109">
        <f>(AA72*KFC!$B$38+KFC!$C$38)*KFC!$C$5</f>
        <v>164.9</v>
      </c>
      <c r="H72" s="109">
        <f>(AB72*KFC!$B$38+KFC!$C$38)*KFC!$C$5</f>
        <v>176.37</v>
      </c>
      <c r="I72" s="109">
        <f>(AC72*KFC!$B$38+KFC!$C$38)*KFC!$C$5</f>
        <v>187.99</v>
      </c>
      <c r="J72" s="109">
        <f>(AD72*KFC!$B$38+KFC!$C$38)*KFC!$C$5</f>
        <v>199.47</v>
      </c>
      <c r="K72" s="109">
        <f>(AE72*KFC!$B$38+KFC!$C$38)*KFC!$C$5</f>
        <v>210.84</v>
      </c>
      <c r="L72" s="109">
        <f>(AF72*KFC!$B$38+KFC!$C$38)*KFC!$C$5</f>
        <v>222.32</v>
      </c>
      <c r="M72" s="109">
        <f>(AG72*KFC!$B$38+KFC!$C$38)*KFC!$C$5</f>
        <v>233.79</v>
      </c>
      <c r="N72" s="109">
        <f>(AH72*KFC!$B$38+KFC!$C$38)*KFC!$C$5</f>
        <v>245.41</v>
      </c>
      <c r="O72" s="109">
        <f>(AI72*KFC!$B$38+KFC!$C$38)*KFC!$C$5</f>
        <v>256.77</v>
      </c>
      <c r="P72" s="109">
        <f>(AJ72*KFC!$B$38+KFC!$C$38)*KFC!$C$5</f>
        <v>268.26</v>
      </c>
      <c r="Q72" s="109">
        <f>(AK72*KFC!$B$38+KFC!$C$38)*KFC!$C$5</f>
        <v>279.75</v>
      </c>
      <c r="R72" s="109">
        <f>(AL72*KFC!$B$38+KFC!$C$38)*KFC!$C$5</f>
        <v>291.24</v>
      </c>
      <c r="S72" s="109">
        <f>(AM72*KFC!$B$38+KFC!$C$38)*KFC!$C$5</f>
        <v>302.73</v>
      </c>
      <c r="T72" s="109">
        <f>(AN72*KFC!$B$38+KFC!$C$38)*KFC!$C$5</f>
        <v>314.22000000000003</v>
      </c>
      <c r="U72" s="109">
        <f>(AO72*KFC!$B$38+KFC!$C$38)*KFC!$C$5</f>
        <v>325.71000000000004</v>
      </c>
      <c r="V72" s="109">
        <f>(AP72*KFC!$B$38+KFC!$C$38)*KFC!$C$5</f>
        <v>337.20000000000005</v>
      </c>
      <c r="X72" s="851">
        <v>1.8</v>
      </c>
      <c r="Y72" s="847">
        <v>142.07</v>
      </c>
      <c r="Z72" s="847">
        <v>153.55000000000001</v>
      </c>
      <c r="AA72" s="847">
        <v>164.9</v>
      </c>
      <c r="AB72" s="847">
        <v>176.37</v>
      </c>
      <c r="AC72" s="847">
        <v>187.99</v>
      </c>
      <c r="AD72" s="847">
        <v>199.47</v>
      </c>
      <c r="AE72" s="847">
        <v>210.84</v>
      </c>
      <c r="AF72" s="847">
        <v>222.32</v>
      </c>
      <c r="AG72" s="847">
        <v>233.79</v>
      </c>
      <c r="AH72" s="847">
        <v>245.41</v>
      </c>
      <c r="AI72" s="847">
        <v>256.77</v>
      </c>
      <c r="AJ72" s="848">
        <v>268.26</v>
      </c>
      <c r="AK72" s="690">
        <f t="shared" si="7"/>
        <v>279.75</v>
      </c>
      <c r="AL72" s="690">
        <f t="shared" si="6"/>
        <v>291.24</v>
      </c>
      <c r="AM72" s="690">
        <f t="shared" si="6"/>
        <v>302.73</v>
      </c>
      <c r="AN72" s="690">
        <f t="shared" si="6"/>
        <v>314.22000000000003</v>
      </c>
      <c r="AO72" s="690">
        <f t="shared" si="6"/>
        <v>325.71000000000004</v>
      </c>
      <c r="AP72" s="690">
        <f t="shared" si="6"/>
        <v>337.20000000000005</v>
      </c>
      <c r="AQ72" s="690">
        <f t="shared" si="6"/>
        <v>348.69000000000005</v>
      </c>
      <c r="AR72" s="690">
        <f t="shared" si="6"/>
        <v>360.18000000000006</v>
      </c>
    </row>
    <row r="73" spans="1:44" ht="13.8" thickBot="1">
      <c r="A73" s="1809" t="s">
        <v>1165</v>
      </c>
      <c r="B73" s="1809"/>
      <c r="C73" s="1809"/>
      <c r="D73" s="1809"/>
      <c r="E73" s="1809"/>
      <c r="F73" s="1809"/>
      <c r="G73" s="1809"/>
      <c r="H73" s="1809"/>
      <c r="I73" s="1809"/>
      <c r="J73" s="831">
        <v>0.15</v>
      </c>
      <c r="K73" s="832"/>
      <c r="L73" s="178"/>
      <c r="M73" s="178"/>
      <c r="N73" s="178"/>
      <c r="O73" s="178"/>
      <c r="P73" s="178"/>
      <c r="Q73" s="161"/>
      <c r="R73" s="161"/>
      <c r="S73" s="161"/>
      <c r="T73" s="161"/>
      <c r="U73" s="161"/>
      <c r="V73" s="161"/>
      <c r="X73" s="859"/>
      <c r="Y73" s="860"/>
      <c r="Z73" s="860"/>
      <c r="AA73" s="860"/>
      <c r="AB73" s="860"/>
      <c r="AC73" s="860"/>
      <c r="AD73" s="860"/>
      <c r="AE73" s="860"/>
      <c r="AF73" s="860"/>
      <c r="AG73" s="860"/>
      <c r="AH73" s="860"/>
      <c r="AI73" s="860"/>
      <c r="AJ73" s="860"/>
      <c r="AK73" s="861"/>
      <c r="AL73" s="861"/>
      <c r="AM73" s="861"/>
      <c r="AN73" s="861"/>
      <c r="AO73" s="861"/>
      <c r="AP73" s="861"/>
      <c r="AQ73" s="861"/>
      <c r="AR73" s="861"/>
    </row>
    <row r="74" spans="1:44" ht="13.8" thickBot="1">
      <c r="A74" s="185" t="s">
        <v>303</v>
      </c>
      <c r="B74" s="186"/>
      <c r="C74" s="186"/>
      <c r="D74" s="184"/>
      <c r="E74" s="184"/>
      <c r="F74" s="184"/>
      <c r="G74" s="184"/>
      <c r="H74" s="184"/>
      <c r="I74" s="184"/>
      <c r="J74" s="184"/>
      <c r="K74" s="184"/>
      <c r="L74" s="178"/>
      <c r="M74" s="178"/>
      <c r="N74" s="178"/>
      <c r="O74" s="178"/>
      <c r="P74" s="178"/>
      <c r="Q74" s="161"/>
      <c r="R74" s="161"/>
      <c r="S74" s="161"/>
      <c r="T74" s="161"/>
      <c r="U74" s="161"/>
      <c r="V74" s="161"/>
    </row>
    <row r="75" spans="1:44" ht="14.4" thickBot="1">
      <c r="A75" s="5" t="s">
        <v>1179</v>
      </c>
      <c r="B75" s="12"/>
      <c r="C75" s="12"/>
      <c r="D75" s="12"/>
      <c r="E75" s="12"/>
      <c r="F75" s="12"/>
      <c r="G75" s="3"/>
      <c r="H75" s="3"/>
      <c r="I75" s="3"/>
      <c r="J75" s="3"/>
      <c r="K75" s="3"/>
      <c r="L75" s="3"/>
      <c r="M75" s="3"/>
      <c r="N75" s="3"/>
      <c r="O75" s="3"/>
      <c r="P75" s="3"/>
      <c r="Q75" s="161"/>
      <c r="R75" s="161"/>
      <c r="S75" s="161"/>
      <c r="T75" s="161"/>
      <c r="U75" s="161"/>
      <c r="V75" s="161"/>
    </row>
    <row r="76" spans="1:44" ht="13.8" thickBot="1">
      <c r="A76" s="1990" t="s">
        <v>209</v>
      </c>
      <c r="B76" s="1990"/>
      <c r="C76" s="1990"/>
      <c r="D76" s="1990"/>
      <c r="E76" s="1990"/>
      <c r="F76" s="1990"/>
      <c r="G76" s="1990"/>
      <c r="H76" s="1990"/>
      <c r="I76" s="1990"/>
      <c r="J76" s="1990"/>
      <c r="K76" s="1990"/>
      <c r="L76" s="1990"/>
      <c r="M76" s="1990"/>
      <c r="N76" s="1990"/>
      <c r="O76" s="3"/>
      <c r="P76" s="3"/>
      <c r="Q76" s="161"/>
      <c r="R76" s="161"/>
      <c r="S76" s="161"/>
      <c r="T76" s="161"/>
      <c r="U76" s="161"/>
      <c r="V76" s="161"/>
    </row>
    <row r="77" spans="1:44" ht="14.4" thickBot="1">
      <c r="A77" s="5" t="s">
        <v>208</v>
      </c>
      <c r="B77" s="12"/>
      <c r="C77" s="12"/>
      <c r="D77" s="12"/>
      <c r="E77" s="12"/>
      <c r="F77" s="12"/>
      <c r="G77" s="12"/>
      <c r="H77" s="3"/>
      <c r="I77" s="3"/>
      <c r="J77" s="3"/>
      <c r="K77" s="3"/>
      <c r="L77" s="3"/>
      <c r="M77" s="3"/>
      <c r="N77" s="3"/>
      <c r="O77" s="3"/>
      <c r="P77" s="3"/>
      <c r="Q77" s="161"/>
      <c r="R77" s="161"/>
      <c r="S77" s="161"/>
      <c r="T77" s="161"/>
      <c r="U77" s="161"/>
      <c r="V77" s="161"/>
    </row>
    <row r="78" spans="1:44" ht="13.8" thickBot="1">
      <c r="A78" s="5" t="s">
        <v>216</v>
      </c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161"/>
      <c r="R78" s="161"/>
      <c r="S78" s="161"/>
      <c r="T78" s="161"/>
      <c r="U78" s="161"/>
      <c r="V78" s="161"/>
    </row>
    <row r="79" spans="1:44" ht="13.8" thickBot="1">
      <c r="A79" s="5" t="s">
        <v>217</v>
      </c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161"/>
      <c r="R79" s="161"/>
      <c r="S79" s="161"/>
      <c r="T79" s="161"/>
      <c r="U79" s="161"/>
      <c r="V79" s="161"/>
    </row>
    <row r="80" spans="1:44" ht="13.8" thickBot="1">
      <c r="A80" s="508" t="s">
        <v>804</v>
      </c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161"/>
      <c r="R80" s="161"/>
      <c r="S80" s="161"/>
      <c r="T80" s="161"/>
      <c r="U80" s="161"/>
      <c r="V80" s="161"/>
    </row>
    <row r="81" spans="1:52" ht="13.8" thickBo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O81" s="161"/>
      <c r="P81" s="198"/>
      <c r="Q81" s="161"/>
      <c r="R81" s="161"/>
      <c r="S81" s="161"/>
      <c r="T81" s="161"/>
      <c r="U81" s="161"/>
      <c r="V81" s="161"/>
    </row>
    <row r="82" spans="1:52" ht="13.8" thickBo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199"/>
      <c r="N82" s="161"/>
      <c r="O82" s="161"/>
      <c r="P82" s="198"/>
      <c r="Q82" s="161"/>
      <c r="R82" s="161"/>
      <c r="S82" s="161"/>
      <c r="T82" s="161"/>
      <c r="U82" s="161"/>
      <c r="V82" s="161"/>
    </row>
    <row r="83" spans="1:52" ht="13.8" thickBo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199"/>
      <c r="N83" s="161"/>
      <c r="O83" s="161"/>
      <c r="P83" s="198"/>
      <c r="Q83" s="161"/>
      <c r="R83" s="161"/>
      <c r="S83" s="161"/>
      <c r="T83" s="161"/>
      <c r="U83" s="161"/>
      <c r="V83" s="161"/>
    </row>
    <row r="84" spans="1:52" ht="13.8" thickBo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199"/>
      <c r="N84" s="161"/>
      <c r="O84" s="161"/>
      <c r="P84" s="198"/>
      <c r="Q84" s="161"/>
      <c r="R84" s="161"/>
      <c r="S84" s="161"/>
      <c r="T84" s="161"/>
      <c r="U84" s="161"/>
      <c r="V84" s="161"/>
    </row>
    <row r="85" spans="1:52" ht="13.8" thickBo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O85" s="161"/>
      <c r="P85" s="198"/>
      <c r="Q85" s="161"/>
      <c r="R85" s="161"/>
      <c r="S85" s="161"/>
      <c r="T85" s="161"/>
      <c r="U85" s="161"/>
      <c r="V85" s="161"/>
    </row>
    <row r="86" spans="1:52" ht="18" customHeight="1">
      <c r="A86" s="1800" t="s">
        <v>307</v>
      </c>
      <c r="B86" s="1800"/>
      <c r="C86" s="1800"/>
      <c r="D86" s="1800"/>
      <c r="E86" s="1800"/>
      <c r="F86" s="1800"/>
      <c r="G86" s="1800"/>
      <c r="H86" s="1800"/>
      <c r="I86" s="1800"/>
      <c r="J86" s="1800"/>
      <c r="K86" s="1800"/>
      <c r="L86" s="1800"/>
      <c r="M86" s="1800"/>
      <c r="N86" s="1800"/>
      <c r="O86" s="1800"/>
      <c r="P86" s="1800"/>
      <c r="Q86" s="1800"/>
      <c r="R86" s="1800"/>
      <c r="S86" s="1800"/>
      <c r="T86" s="1800"/>
      <c r="U86" s="1800"/>
      <c r="V86" s="1800"/>
    </row>
    <row r="87" spans="1:52" ht="16.2" thickBot="1">
      <c r="A87" s="1004" t="s">
        <v>308</v>
      </c>
      <c r="B87" s="1004"/>
      <c r="C87" s="1004"/>
      <c r="D87" s="1004"/>
      <c r="E87" s="1004"/>
      <c r="F87" s="1004"/>
      <c r="G87" s="1004"/>
      <c r="H87" s="1004"/>
      <c r="I87" s="1004"/>
      <c r="J87" s="1004"/>
      <c r="K87" s="1004"/>
      <c r="L87" s="1004"/>
      <c r="M87" s="1004"/>
      <c r="N87" s="1004"/>
      <c r="O87" s="1004"/>
      <c r="P87" s="1004"/>
      <c r="Q87" s="1004"/>
      <c r="R87" s="1004"/>
      <c r="S87" s="1004"/>
      <c r="T87" s="1004"/>
      <c r="U87" s="1004"/>
      <c r="V87" s="1004"/>
    </row>
    <row r="88" spans="1:52" ht="42" customHeight="1" thickBot="1">
      <c r="A88" s="837"/>
      <c r="B88" s="837"/>
      <c r="C88" s="837"/>
      <c r="D88" s="837"/>
      <c r="E88" s="1638" t="s">
        <v>88</v>
      </c>
      <c r="F88" s="1639"/>
      <c r="G88" s="1639"/>
      <c r="H88" s="1639"/>
      <c r="I88" s="1640"/>
      <c r="J88" s="1114" t="s">
        <v>87</v>
      </c>
      <c r="K88" s="1006"/>
      <c r="L88" s="1006"/>
      <c r="M88" s="1006"/>
      <c r="N88" s="1006"/>
      <c r="O88" s="1006"/>
      <c r="P88" s="1006"/>
      <c r="Q88" s="1006"/>
      <c r="R88" s="1115"/>
      <c r="S88" s="1641" t="s">
        <v>24</v>
      </c>
      <c r="T88" s="1642"/>
      <c r="U88" s="3"/>
      <c r="V88" s="3"/>
    </row>
    <row r="89" spans="1:52" ht="34.200000000000003" customHeight="1" thickBot="1">
      <c r="A89" s="161"/>
      <c r="B89" s="161"/>
      <c r="C89" s="161"/>
      <c r="D89" s="161"/>
      <c r="E89" s="1833" t="s">
        <v>884</v>
      </c>
      <c r="F89" s="1834"/>
      <c r="G89" s="1834"/>
      <c r="H89" s="1834"/>
      <c r="I89" s="1993"/>
      <c r="J89" s="1835" t="s">
        <v>975</v>
      </c>
      <c r="K89" s="1836"/>
      <c r="L89" s="1836"/>
      <c r="M89" s="1836"/>
      <c r="N89" s="1836"/>
      <c r="O89" s="1836"/>
      <c r="P89" s="1836"/>
      <c r="Q89" s="1836"/>
      <c r="R89" s="1957"/>
      <c r="S89" s="1976">
        <f>(107.59*KFC!$B$41+KFC!$C$41)*KFC!$C$5</f>
        <v>107.59</v>
      </c>
      <c r="T89" s="1977"/>
      <c r="U89" s="3"/>
      <c r="V89" s="3"/>
      <c r="AY89" s="2016"/>
      <c r="AZ89" s="2016"/>
    </row>
    <row r="90" spans="1:52" ht="34.200000000000003" customHeight="1" thickBot="1">
      <c r="A90" s="2015" t="s">
        <v>1173</v>
      </c>
      <c r="B90" s="2015"/>
      <c r="C90" s="2015"/>
      <c r="D90" s="2015"/>
      <c r="E90" s="2015"/>
      <c r="F90" s="2015"/>
      <c r="G90" s="2015"/>
      <c r="H90" s="2015"/>
      <c r="I90" s="2015"/>
      <c r="J90" s="2015"/>
      <c r="K90" s="2015"/>
      <c r="L90" s="2015"/>
      <c r="M90" s="2015"/>
      <c r="N90" s="2015"/>
      <c r="O90" s="2015"/>
      <c r="P90" s="2015"/>
      <c r="Q90" s="2015"/>
      <c r="R90" s="2015"/>
      <c r="S90" s="2015"/>
      <c r="T90" s="2015"/>
      <c r="U90" s="2015"/>
      <c r="V90" s="2015"/>
    </row>
    <row r="91" spans="1:52" ht="51" customHeight="1" thickBot="1">
      <c r="A91" s="844"/>
      <c r="B91" s="844"/>
      <c r="C91" s="844"/>
      <c r="D91" s="844"/>
      <c r="E91" s="1949" t="s">
        <v>260</v>
      </c>
      <c r="F91" s="1950"/>
      <c r="G91" s="1950"/>
      <c r="H91" s="1950"/>
      <c r="I91" s="1950"/>
      <c r="J91" s="1951"/>
      <c r="K91" s="1952" t="s">
        <v>174</v>
      </c>
      <c r="L91" s="1953"/>
      <c r="M91" s="1952" t="s">
        <v>175</v>
      </c>
      <c r="N91" s="1953"/>
      <c r="O91" s="1952" t="s">
        <v>179</v>
      </c>
      <c r="P91" s="1953"/>
      <c r="Q91" s="1952" t="s">
        <v>180</v>
      </c>
      <c r="R91" s="1953"/>
      <c r="S91" s="1952" t="s">
        <v>181</v>
      </c>
      <c r="T91" s="1954"/>
      <c r="U91" s="3"/>
      <c r="V91" s="3"/>
    </row>
    <row r="92" spans="1:52" ht="60" customHeight="1" thickBot="1">
      <c r="A92" s="352"/>
      <c r="B92" s="352"/>
      <c r="C92" s="352"/>
      <c r="D92" s="352"/>
      <c r="E92" s="1980" t="s">
        <v>976</v>
      </c>
      <c r="F92" s="1981"/>
      <c r="G92" s="1981"/>
      <c r="H92" s="1981"/>
      <c r="I92" s="1981"/>
      <c r="J92" s="1982"/>
      <c r="K92" s="1983">
        <v>400</v>
      </c>
      <c r="L92" s="1984"/>
      <c r="M92" s="1983">
        <v>1200</v>
      </c>
      <c r="N92" s="1984"/>
      <c r="O92" s="1983">
        <v>950</v>
      </c>
      <c r="P92" s="1984"/>
      <c r="Q92" s="1983">
        <v>1500</v>
      </c>
      <c r="R92" s="1984"/>
      <c r="S92" s="1973">
        <v>1650</v>
      </c>
      <c r="T92" s="1975"/>
      <c r="U92" s="3"/>
      <c r="V92" s="3"/>
      <c r="AW92" s="2017"/>
      <c r="AX92" s="2017"/>
    </row>
    <row r="93" spans="1:52" ht="34.200000000000003" customHeight="1" thickBot="1">
      <c r="A93" s="1033" t="s">
        <v>309</v>
      </c>
      <c r="B93" s="1033"/>
      <c r="C93" s="1033"/>
      <c r="D93" s="1033"/>
      <c r="E93" s="1033"/>
      <c r="F93" s="1033"/>
      <c r="G93" s="1033"/>
      <c r="H93" s="1033"/>
      <c r="I93" s="1033"/>
      <c r="J93" s="1033"/>
      <c r="K93" s="1033"/>
      <c r="L93" s="1033"/>
      <c r="M93" s="1033"/>
      <c r="N93" s="1033"/>
      <c r="O93" s="1033"/>
      <c r="P93" s="1033"/>
      <c r="Q93" s="1033"/>
      <c r="R93" s="1033"/>
      <c r="S93" s="1033"/>
      <c r="T93" s="1033"/>
      <c r="U93" s="1033"/>
      <c r="V93" s="1033"/>
    </row>
    <row r="94" spans="1:52" ht="34.200000000000003" customHeight="1" thickBot="1">
      <c r="A94" s="607"/>
      <c r="B94" s="607"/>
      <c r="C94" s="607"/>
      <c r="D94" s="607"/>
      <c r="E94" s="1638" t="s">
        <v>88</v>
      </c>
      <c r="F94" s="1639"/>
      <c r="G94" s="1640"/>
      <c r="H94" s="1114" t="s">
        <v>87</v>
      </c>
      <c r="I94" s="1006"/>
      <c r="J94" s="1006"/>
      <c r="K94" s="1006"/>
      <c r="L94" s="1006"/>
      <c r="M94" s="1006"/>
      <c r="N94" s="1006"/>
      <c r="O94" s="1006"/>
      <c r="P94" s="1006"/>
      <c r="Q94" s="1006"/>
      <c r="R94" s="1115"/>
      <c r="S94" s="1049" t="s">
        <v>24</v>
      </c>
      <c r="T94" s="1050"/>
      <c r="U94" s="3"/>
      <c r="V94" s="3"/>
    </row>
    <row r="95" spans="1:52" ht="34.200000000000003" customHeight="1" thickBot="1">
      <c r="A95" s="161"/>
      <c r="B95" s="161"/>
      <c r="C95" s="161"/>
      <c r="D95" s="161"/>
      <c r="E95" s="1994" t="s">
        <v>884</v>
      </c>
      <c r="F95" s="1995"/>
      <c r="G95" s="1996"/>
      <c r="H95" s="1985" t="s">
        <v>886</v>
      </c>
      <c r="I95" s="1986"/>
      <c r="J95" s="1986"/>
      <c r="K95" s="1986"/>
      <c r="L95" s="1986"/>
      <c r="M95" s="1986"/>
      <c r="N95" s="1986"/>
      <c r="O95" s="1986"/>
      <c r="P95" s="1986"/>
      <c r="Q95" s="1986"/>
      <c r="R95" s="1987"/>
      <c r="S95" s="1991">
        <f>(31.65*KFC!$B$41+KFC!$C$41)*KFC!$C$5</f>
        <v>31.65</v>
      </c>
      <c r="T95" s="1992"/>
      <c r="U95" s="3"/>
      <c r="V95" s="3"/>
    </row>
    <row r="96" spans="1:52" ht="34.200000000000003" customHeight="1" thickBot="1">
      <c r="A96" s="161"/>
      <c r="B96" s="161"/>
      <c r="C96" s="161"/>
      <c r="D96" s="161"/>
      <c r="E96" s="1994" t="s">
        <v>884</v>
      </c>
      <c r="F96" s="1995"/>
      <c r="G96" s="1996"/>
      <c r="H96" s="1985" t="s">
        <v>887</v>
      </c>
      <c r="I96" s="1986"/>
      <c r="J96" s="1986"/>
      <c r="K96" s="1986"/>
      <c r="L96" s="1986"/>
      <c r="M96" s="1986"/>
      <c r="N96" s="1986"/>
      <c r="O96" s="1986"/>
      <c r="P96" s="1986"/>
      <c r="Q96" s="1986"/>
      <c r="R96" s="1987"/>
      <c r="S96" s="1988">
        <f>(37.97*KFC!$B$41+KFC!$C$41)*KFC!$C$5</f>
        <v>37.97</v>
      </c>
      <c r="T96" s="1989"/>
      <c r="U96" s="3"/>
      <c r="V96" s="3"/>
    </row>
    <row r="97" spans="1:22" ht="34.200000000000003" customHeight="1" thickBot="1">
      <c r="A97" s="161"/>
      <c r="B97" s="161"/>
      <c r="C97" s="161"/>
      <c r="D97" s="161"/>
      <c r="E97" s="1994" t="s">
        <v>884</v>
      </c>
      <c r="F97" s="1995"/>
      <c r="G97" s="1996"/>
      <c r="H97" s="1985" t="s">
        <v>888</v>
      </c>
      <c r="I97" s="1986"/>
      <c r="J97" s="1986"/>
      <c r="K97" s="1986"/>
      <c r="L97" s="1986"/>
      <c r="M97" s="1986"/>
      <c r="N97" s="1986"/>
      <c r="O97" s="1986"/>
      <c r="P97" s="1986"/>
      <c r="Q97" s="1986"/>
      <c r="R97" s="1987"/>
      <c r="S97" s="1988">
        <f>(44.3*KFC!$B$41+KFC!$C$41)*KFC!$C$5</f>
        <v>44.3</v>
      </c>
      <c r="T97" s="1989"/>
      <c r="U97" s="3"/>
      <c r="V97" s="3"/>
    </row>
    <row r="98" spans="1:22" s="1" customFormat="1" ht="31.2" customHeight="1" thickBot="1">
      <c r="A98" s="161"/>
      <c r="B98" s="161"/>
      <c r="C98" s="161"/>
      <c r="D98" s="161"/>
      <c r="E98" s="1994" t="s">
        <v>884</v>
      </c>
      <c r="F98" s="1995"/>
      <c r="G98" s="1996"/>
      <c r="H98" s="1985" t="s">
        <v>889</v>
      </c>
      <c r="I98" s="1986"/>
      <c r="J98" s="1986"/>
      <c r="K98" s="1986"/>
      <c r="L98" s="1986"/>
      <c r="M98" s="1986"/>
      <c r="N98" s="1986"/>
      <c r="O98" s="1986"/>
      <c r="P98" s="1986"/>
      <c r="Q98" s="1986"/>
      <c r="R98" s="1987"/>
      <c r="S98" s="1988">
        <f>(18.35*KFC!$B$41+KFC!$C$41)*KFC!$C$5</f>
        <v>18.350000000000001</v>
      </c>
      <c r="T98" s="1989"/>
    </row>
    <row r="99" spans="1:22" ht="31.2" customHeight="1" thickBot="1">
      <c r="A99" s="161"/>
      <c r="B99" s="161"/>
      <c r="C99" s="161"/>
      <c r="D99" s="161"/>
      <c r="E99" s="1994" t="s">
        <v>884</v>
      </c>
      <c r="F99" s="1995"/>
      <c r="G99" s="1996"/>
      <c r="H99" s="1985" t="s">
        <v>1006</v>
      </c>
      <c r="I99" s="1986"/>
      <c r="J99" s="1986"/>
      <c r="K99" s="1986"/>
      <c r="L99" s="1986"/>
      <c r="M99" s="1986"/>
      <c r="N99" s="1986"/>
      <c r="O99" s="1986"/>
      <c r="P99" s="1986"/>
      <c r="Q99" s="1986"/>
      <c r="R99" s="1987"/>
      <c r="S99" s="1794">
        <f>(75.95*KFC!$B$41+KFC!$C$41)*KFC!$C$5</f>
        <v>75.95</v>
      </c>
      <c r="T99" s="1795"/>
      <c r="U99" s="3"/>
      <c r="V99" s="3"/>
    </row>
    <row r="100" spans="1:22" ht="31.2" customHeight="1" thickBot="1">
      <c r="A100" s="161"/>
      <c r="B100" s="161"/>
      <c r="C100" s="161"/>
      <c r="D100" s="161"/>
      <c r="E100" s="1994" t="s">
        <v>884</v>
      </c>
      <c r="F100" s="1995"/>
      <c r="G100" s="1996"/>
      <c r="H100" s="1985" t="s">
        <v>1054</v>
      </c>
      <c r="I100" s="1986"/>
      <c r="J100" s="1986"/>
      <c r="K100" s="1986"/>
      <c r="L100" s="1986"/>
      <c r="M100" s="1986"/>
      <c r="N100" s="1986"/>
      <c r="O100" s="1986"/>
      <c r="P100" s="1986"/>
      <c r="Q100" s="1986"/>
      <c r="R100" s="1987"/>
      <c r="S100" s="1955">
        <f>(76*KFC!$B$39+KFC!$C$39)*KFC!$C$5</f>
        <v>76</v>
      </c>
      <c r="T100" s="1956"/>
      <c r="U100" s="3"/>
      <c r="V100" s="3"/>
    </row>
  </sheetData>
  <mergeCells count="65">
    <mergeCell ref="E98:G98"/>
    <mergeCell ref="AY89:AZ89"/>
    <mergeCell ref="K92:L92"/>
    <mergeCell ref="O92:P92"/>
    <mergeCell ref="Q92:R92"/>
    <mergeCell ref="AW92:AX92"/>
    <mergeCell ref="H98:R98"/>
    <mergeCell ref="E95:G95"/>
    <mergeCell ref="S95:T95"/>
    <mergeCell ref="A93:V93"/>
    <mergeCell ref="S94:T94"/>
    <mergeCell ref="E94:G94"/>
    <mergeCell ref="S98:T98"/>
    <mergeCell ref="H94:R94"/>
    <mergeCell ref="H95:R95"/>
    <mergeCell ref="H96:R96"/>
    <mergeCell ref="A2:V2"/>
    <mergeCell ref="A3:V3"/>
    <mergeCell ref="A73:I73"/>
    <mergeCell ref="O91:P91"/>
    <mergeCell ref="Q91:R91"/>
    <mergeCell ref="E6:V6"/>
    <mergeCell ref="E23:V23"/>
    <mergeCell ref="E40:V40"/>
    <mergeCell ref="E57:V57"/>
    <mergeCell ref="J88:R88"/>
    <mergeCell ref="J89:R89"/>
    <mergeCell ref="E91:J91"/>
    <mergeCell ref="A59:C72"/>
    <mergeCell ref="A86:V86"/>
    <mergeCell ref="A87:V87"/>
    <mergeCell ref="E89:I89"/>
    <mergeCell ref="S100:T100"/>
    <mergeCell ref="E99:G99"/>
    <mergeCell ref="E100:G100"/>
    <mergeCell ref="H99:R99"/>
    <mergeCell ref="H100:R100"/>
    <mergeCell ref="S99:T99"/>
    <mergeCell ref="H97:R97"/>
    <mergeCell ref="E97:G97"/>
    <mergeCell ref="A90:V90"/>
    <mergeCell ref="S92:T92"/>
    <mergeCell ref="M92:N92"/>
    <mergeCell ref="M91:N91"/>
    <mergeCell ref="S96:T96"/>
    <mergeCell ref="S97:T97"/>
    <mergeCell ref="S91:T91"/>
    <mergeCell ref="E92:J92"/>
    <mergeCell ref="K91:L91"/>
    <mergeCell ref="E96:G96"/>
    <mergeCell ref="A8:C21"/>
    <mergeCell ref="S89:T89"/>
    <mergeCell ref="A4:E4"/>
    <mergeCell ref="F4:P4"/>
    <mergeCell ref="A5:E5"/>
    <mergeCell ref="F5:P5"/>
    <mergeCell ref="A25:C38"/>
    <mergeCell ref="A40:D41"/>
    <mergeCell ref="A6:D7"/>
    <mergeCell ref="A23:D24"/>
    <mergeCell ref="A42:C55"/>
    <mergeCell ref="A76:N76"/>
    <mergeCell ref="E88:I88"/>
    <mergeCell ref="S88:T88"/>
    <mergeCell ref="A57:D58"/>
  </mergeCells>
  <phoneticPr fontId="7" type="noConversion"/>
  <hyperlinks>
    <hyperlink ref="F5" r:id="rId1" xr:uid="{466FDE3D-E811-4828-95D3-2108B0652DB4}"/>
    <hyperlink ref="F4" r:id="rId2" xr:uid="{8EE802DD-600C-412B-883C-0246FEC76D28}"/>
  </hyperlinks>
  <pageMargins left="0.33" right="0.26" top="0.35" bottom="0.74803149606299213" header="0.31496062992125984" footer="0.31496062992125984"/>
  <pageSetup paperSize="9" scale="57" orientation="landscape" r:id="rId3"/>
  <rowBreaks count="1" manualBreakCount="1">
    <brk id="55" max="45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EE34DD-E758-451E-9BC5-A39E4FDACB7E}">
  <sheetPr>
    <tabColor indexed="25"/>
  </sheetPr>
  <dimension ref="A2:BG238"/>
  <sheetViews>
    <sheetView tabSelected="1" view="pageBreakPreview" zoomScale="75" zoomScaleNormal="100" zoomScaleSheetLayoutView="75" workbookViewId="0">
      <pane ySplit="1" topLeftCell="A213" activePane="bottomLeft" state="frozen"/>
      <selection pane="bottomLeft" activeCell="Y224" sqref="Y224"/>
    </sheetView>
  </sheetViews>
  <sheetFormatPr defaultColWidth="9.109375" defaultRowHeight="13.2"/>
  <cols>
    <col min="1" max="2" width="5.109375" style="1" customWidth="1"/>
    <col min="3" max="4" width="6.88671875" style="1" customWidth="1"/>
    <col min="5" max="5" width="7.6640625" style="1" customWidth="1"/>
    <col min="6" max="6" width="6.88671875" style="1" customWidth="1"/>
    <col min="7" max="7" width="7.33203125" style="1" customWidth="1"/>
    <col min="8" max="8" width="8.88671875" style="1" customWidth="1"/>
    <col min="9" max="9" width="8" style="1" customWidth="1"/>
    <col min="10" max="10" width="7.6640625" style="1" customWidth="1"/>
    <col min="11" max="18" width="6.88671875" style="1" customWidth="1"/>
    <col min="19" max="23" width="6.6640625" style="1" customWidth="1"/>
    <col min="24" max="29" width="7.109375" style="1" customWidth="1"/>
    <col min="30" max="30" width="0" style="1" hidden="1" customWidth="1"/>
    <col min="31" max="59" width="9.109375" style="1" hidden="1" customWidth="1"/>
    <col min="60" max="60" width="0" style="1" hidden="1" customWidth="1"/>
    <col min="61" max="256" width="9.109375" style="1"/>
    <col min="257" max="258" width="5.109375" style="1" customWidth="1"/>
    <col min="259" max="260" width="6.88671875" style="1" customWidth="1"/>
    <col min="261" max="261" width="7.6640625" style="1" customWidth="1"/>
    <col min="262" max="262" width="6.88671875" style="1" customWidth="1"/>
    <col min="263" max="263" width="7.33203125" style="1" customWidth="1"/>
    <col min="264" max="264" width="8.88671875" style="1" customWidth="1"/>
    <col min="265" max="265" width="8" style="1" customWidth="1"/>
    <col min="266" max="266" width="7.6640625" style="1" customWidth="1"/>
    <col min="267" max="274" width="6.88671875" style="1" customWidth="1"/>
    <col min="275" max="279" width="6.6640625" style="1" customWidth="1"/>
    <col min="280" max="285" width="7.109375" style="1" customWidth="1"/>
    <col min="286" max="286" width="9.109375" style="1"/>
    <col min="287" max="315" width="0" style="1" hidden="1" customWidth="1"/>
    <col min="316" max="512" width="9.109375" style="1"/>
    <col min="513" max="514" width="5.109375" style="1" customWidth="1"/>
    <col min="515" max="516" width="6.88671875" style="1" customWidth="1"/>
    <col min="517" max="517" width="7.6640625" style="1" customWidth="1"/>
    <col min="518" max="518" width="6.88671875" style="1" customWidth="1"/>
    <col min="519" max="519" width="7.33203125" style="1" customWidth="1"/>
    <col min="520" max="520" width="8.88671875" style="1" customWidth="1"/>
    <col min="521" max="521" width="8" style="1" customWidth="1"/>
    <col min="522" max="522" width="7.6640625" style="1" customWidth="1"/>
    <col min="523" max="530" width="6.88671875" style="1" customWidth="1"/>
    <col min="531" max="535" width="6.6640625" style="1" customWidth="1"/>
    <col min="536" max="541" width="7.109375" style="1" customWidth="1"/>
    <col min="542" max="542" width="9.109375" style="1"/>
    <col min="543" max="571" width="0" style="1" hidden="1" customWidth="1"/>
    <col min="572" max="768" width="9.109375" style="1"/>
    <col min="769" max="770" width="5.109375" style="1" customWidth="1"/>
    <col min="771" max="772" width="6.88671875" style="1" customWidth="1"/>
    <col min="773" max="773" width="7.6640625" style="1" customWidth="1"/>
    <col min="774" max="774" width="6.88671875" style="1" customWidth="1"/>
    <col min="775" max="775" width="7.33203125" style="1" customWidth="1"/>
    <col min="776" max="776" width="8.88671875" style="1" customWidth="1"/>
    <col min="777" max="777" width="8" style="1" customWidth="1"/>
    <col min="778" max="778" width="7.6640625" style="1" customWidth="1"/>
    <col min="779" max="786" width="6.88671875" style="1" customWidth="1"/>
    <col min="787" max="791" width="6.6640625" style="1" customWidth="1"/>
    <col min="792" max="797" width="7.109375" style="1" customWidth="1"/>
    <col min="798" max="798" width="9.109375" style="1"/>
    <col min="799" max="827" width="0" style="1" hidden="1" customWidth="1"/>
    <col min="828" max="1024" width="9.109375" style="1"/>
    <col min="1025" max="1026" width="5.109375" style="1" customWidth="1"/>
    <col min="1027" max="1028" width="6.88671875" style="1" customWidth="1"/>
    <col min="1029" max="1029" width="7.6640625" style="1" customWidth="1"/>
    <col min="1030" max="1030" width="6.88671875" style="1" customWidth="1"/>
    <col min="1031" max="1031" width="7.33203125" style="1" customWidth="1"/>
    <col min="1032" max="1032" width="8.88671875" style="1" customWidth="1"/>
    <col min="1033" max="1033" width="8" style="1" customWidth="1"/>
    <col min="1034" max="1034" width="7.6640625" style="1" customWidth="1"/>
    <col min="1035" max="1042" width="6.88671875" style="1" customWidth="1"/>
    <col min="1043" max="1047" width="6.6640625" style="1" customWidth="1"/>
    <col min="1048" max="1053" width="7.109375" style="1" customWidth="1"/>
    <col min="1054" max="1054" width="9.109375" style="1"/>
    <col min="1055" max="1083" width="0" style="1" hidden="1" customWidth="1"/>
    <col min="1084" max="1280" width="9.109375" style="1"/>
    <col min="1281" max="1282" width="5.109375" style="1" customWidth="1"/>
    <col min="1283" max="1284" width="6.88671875" style="1" customWidth="1"/>
    <col min="1285" max="1285" width="7.6640625" style="1" customWidth="1"/>
    <col min="1286" max="1286" width="6.88671875" style="1" customWidth="1"/>
    <col min="1287" max="1287" width="7.33203125" style="1" customWidth="1"/>
    <col min="1288" max="1288" width="8.88671875" style="1" customWidth="1"/>
    <col min="1289" max="1289" width="8" style="1" customWidth="1"/>
    <col min="1290" max="1290" width="7.6640625" style="1" customWidth="1"/>
    <col min="1291" max="1298" width="6.88671875" style="1" customWidth="1"/>
    <col min="1299" max="1303" width="6.6640625" style="1" customWidth="1"/>
    <col min="1304" max="1309" width="7.109375" style="1" customWidth="1"/>
    <col min="1310" max="1310" width="9.109375" style="1"/>
    <col min="1311" max="1339" width="0" style="1" hidden="1" customWidth="1"/>
    <col min="1340" max="1536" width="9.109375" style="1"/>
    <col min="1537" max="1538" width="5.109375" style="1" customWidth="1"/>
    <col min="1539" max="1540" width="6.88671875" style="1" customWidth="1"/>
    <col min="1541" max="1541" width="7.6640625" style="1" customWidth="1"/>
    <col min="1542" max="1542" width="6.88671875" style="1" customWidth="1"/>
    <col min="1543" max="1543" width="7.33203125" style="1" customWidth="1"/>
    <col min="1544" max="1544" width="8.88671875" style="1" customWidth="1"/>
    <col min="1545" max="1545" width="8" style="1" customWidth="1"/>
    <col min="1546" max="1546" width="7.6640625" style="1" customWidth="1"/>
    <col min="1547" max="1554" width="6.88671875" style="1" customWidth="1"/>
    <col min="1555" max="1559" width="6.6640625" style="1" customWidth="1"/>
    <col min="1560" max="1565" width="7.109375" style="1" customWidth="1"/>
    <col min="1566" max="1566" width="9.109375" style="1"/>
    <col min="1567" max="1595" width="0" style="1" hidden="1" customWidth="1"/>
    <col min="1596" max="1792" width="9.109375" style="1"/>
    <col min="1793" max="1794" width="5.109375" style="1" customWidth="1"/>
    <col min="1795" max="1796" width="6.88671875" style="1" customWidth="1"/>
    <col min="1797" max="1797" width="7.6640625" style="1" customWidth="1"/>
    <col min="1798" max="1798" width="6.88671875" style="1" customWidth="1"/>
    <col min="1799" max="1799" width="7.33203125" style="1" customWidth="1"/>
    <col min="1800" max="1800" width="8.88671875" style="1" customWidth="1"/>
    <col min="1801" max="1801" width="8" style="1" customWidth="1"/>
    <col min="1802" max="1802" width="7.6640625" style="1" customWidth="1"/>
    <col min="1803" max="1810" width="6.88671875" style="1" customWidth="1"/>
    <col min="1811" max="1815" width="6.6640625" style="1" customWidth="1"/>
    <col min="1816" max="1821" width="7.109375" style="1" customWidth="1"/>
    <col min="1822" max="1822" width="9.109375" style="1"/>
    <col min="1823" max="1851" width="0" style="1" hidden="1" customWidth="1"/>
    <col min="1852" max="2048" width="9.109375" style="1"/>
    <col min="2049" max="2050" width="5.109375" style="1" customWidth="1"/>
    <col min="2051" max="2052" width="6.88671875" style="1" customWidth="1"/>
    <col min="2053" max="2053" width="7.6640625" style="1" customWidth="1"/>
    <col min="2054" max="2054" width="6.88671875" style="1" customWidth="1"/>
    <col min="2055" max="2055" width="7.33203125" style="1" customWidth="1"/>
    <col min="2056" max="2056" width="8.88671875" style="1" customWidth="1"/>
    <col min="2057" max="2057" width="8" style="1" customWidth="1"/>
    <col min="2058" max="2058" width="7.6640625" style="1" customWidth="1"/>
    <col min="2059" max="2066" width="6.88671875" style="1" customWidth="1"/>
    <col min="2067" max="2071" width="6.6640625" style="1" customWidth="1"/>
    <col min="2072" max="2077" width="7.109375" style="1" customWidth="1"/>
    <col min="2078" max="2078" width="9.109375" style="1"/>
    <col min="2079" max="2107" width="0" style="1" hidden="1" customWidth="1"/>
    <col min="2108" max="2304" width="9.109375" style="1"/>
    <col min="2305" max="2306" width="5.109375" style="1" customWidth="1"/>
    <col min="2307" max="2308" width="6.88671875" style="1" customWidth="1"/>
    <col min="2309" max="2309" width="7.6640625" style="1" customWidth="1"/>
    <col min="2310" max="2310" width="6.88671875" style="1" customWidth="1"/>
    <col min="2311" max="2311" width="7.33203125" style="1" customWidth="1"/>
    <col min="2312" max="2312" width="8.88671875" style="1" customWidth="1"/>
    <col min="2313" max="2313" width="8" style="1" customWidth="1"/>
    <col min="2314" max="2314" width="7.6640625" style="1" customWidth="1"/>
    <col min="2315" max="2322" width="6.88671875" style="1" customWidth="1"/>
    <col min="2323" max="2327" width="6.6640625" style="1" customWidth="1"/>
    <col min="2328" max="2333" width="7.109375" style="1" customWidth="1"/>
    <col min="2334" max="2334" width="9.109375" style="1"/>
    <col min="2335" max="2363" width="0" style="1" hidden="1" customWidth="1"/>
    <col min="2364" max="2560" width="9.109375" style="1"/>
    <col min="2561" max="2562" width="5.109375" style="1" customWidth="1"/>
    <col min="2563" max="2564" width="6.88671875" style="1" customWidth="1"/>
    <col min="2565" max="2565" width="7.6640625" style="1" customWidth="1"/>
    <col min="2566" max="2566" width="6.88671875" style="1" customWidth="1"/>
    <col min="2567" max="2567" width="7.33203125" style="1" customWidth="1"/>
    <col min="2568" max="2568" width="8.88671875" style="1" customWidth="1"/>
    <col min="2569" max="2569" width="8" style="1" customWidth="1"/>
    <col min="2570" max="2570" width="7.6640625" style="1" customWidth="1"/>
    <col min="2571" max="2578" width="6.88671875" style="1" customWidth="1"/>
    <col min="2579" max="2583" width="6.6640625" style="1" customWidth="1"/>
    <col min="2584" max="2589" width="7.109375" style="1" customWidth="1"/>
    <col min="2590" max="2590" width="9.109375" style="1"/>
    <col min="2591" max="2619" width="0" style="1" hidden="1" customWidth="1"/>
    <col min="2620" max="2816" width="9.109375" style="1"/>
    <col min="2817" max="2818" width="5.109375" style="1" customWidth="1"/>
    <col min="2819" max="2820" width="6.88671875" style="1" customWidth="1"/>
    <col min="2821" max="2821" width="7.6640625" style="1" customWidth="1"/>
    <col min="2822" max="2822" width="6.88671875" style="1" customWidth="1"/>
    <col min="2823" max="2823" width="7.33203125" style="1" customWidth="1"/>
    <col min="2824" max="2824" width="8.88671875" style="1" customWidth="1"/>
    <col min="2825" max="2825" width="8" style="1" customWidth="1"/>
    <col min="2826" max="2826" width="7.6640625" style="1" customWidth="1"/>
    <col min="2827" max="2834" width="6.88671875" style="1" customWidth="1"/>
    <col min="2835" max="2839" width="6.6640625" style="1" customWidth="1"/>
    <col min="2840" max="2845" width="7.109375" style="1" customWidth="1"/>
    <col min="2846" max="2846" width="9.109375" style="1"/>
    <col min="2847" max="2875" width="0" style="1" hidden="1" customWidth="1"/>
    <col min="2876" max="3072" width="9.109375" style="1"/>
    <col min="3073" max="3074" width="5.109375" style="1" customWidth="1"/>
    <col min="3075" max="3076" width="6.88671875" style="1" customWidth="1"/>
    <col min="3077" max="3077" width="7.6640625" style="1" customWidth="1"/>
    <col min="3078" max="3078" width="6.88671875" style="1" customWidth="1"/>
    <col min="3079" max="3079" width="7.33203125" style="1" customWidth="1"/>
    <col min="3080" max="3080" width="8.88671875" style="1" customWidth="1"/>
    <col min="3081" max="3081" width="8" style="1" customWidth="1"/>
    <col min="3082" max="3082" width="7.6640625" style="1" customWidth="1"/>
    <col min="3083" max="3090" width="6.88671875" style="1" customWidth="1"/>
    <col min="3091" max="3095" width="6.6640625" style="1" customWidth="1"/>
    <col min="3096" max="3101" width="7.109375" style="1" customWidth="1"/>
    <col min="3102" max="3102" width="9.109375" style="1"/>
    <col min="3103" max="3131" width="0" style="1" hidden="1" customWidth="1"/>
    <col min="3132" max="3328" width="9.109375" style="1"/>
    <col min="3329" max="3330" width="5.109375" style="1" customWidth="1"/>
    <col min="3331" max="3332" width="6.88671875" style="1" customWidth="1"/>
    <col min="3333" max="3333" width="7.6640625" style="1" customWidth="1"/>
    <col min="3334" max="3334" width="6.88671875" style="1" customWidth="1"/>
    <col min="3335" max="3335" width="7.33203125" style="1" customWidth="1"/>
    <col min="3336" max="3336" width="8.88671875" style="1" customWidth="1"/>
    <col min="3337" max="3337" width="8" style="1" customWidth="1"/>
    <col min="3338" max="3338" width="7.6640625" style="1" customWidth="1"/>
    <col min="3339" max="3346" width="6.88671875" style="1" customWidth="1"/>
    <col min="3347" max="3351" width="6.6640625" style="1" customWidth="1"/>
    <col min="3352" max="3357" width="7.109375" style="1" customWidth="1"/>
    <col min="3358" max="3358" width="9.109375" style="1"/>
    <col min="3359" max="3387" width="0" style="1" hidden="1" customWidth="1"/>
    <col min="3388" max="3584" width="9.109375" style="1"/>
    <col min="3585" max="3586" width="5.109375" style="1" customWidth="1"/>
    <col min="3587" max="3588" width="6.88671875" style="1" customWidth="1"/>
    <col min="3589" max="3589" width="7.6640625" style="1" customWidth="1"/>
    <col min="3590" max="3590" width="6.88671875" style="1" customWidth="1"/>
    <col min="3591" max="3591" width="7.33203125" style="1" customWidth="1"/>
    <col min="3592" max="3592" width="8.88671875" style="1" customWidth="1"/>
    <col min="3593" max="3593" width="8" style="1" customWidth="1"/>
    <col min="3594" max="3594" width="7.6640625" style="1" customWidth="1"/>
    <col min="3595" max="3602" width="6.88671875" style="1" customWidth="1"/>
    <col min="3603" max="3607" width="6.6640625" style="1" customWidth="1"/>
    <col min="3608" max="3613" width="7.109375" style="1" customWidth="1"/>
    <col min="3614" max="3614" width="9.109375" style="1"/>
    <col min="3615" max="3643" width="0" style="1" hidden="1" customWidth="1"/>
    <col min="3644" max="3840" width="9.109375" style="1"/>
    <col min="3841" max="3842" width="5.109375" style="1" customWidth="1"/>
    <col min="3843" max="3844" width="6.88671875" style="1" customWidth="1"/>
    <col min="3845" max="3845" width="7.6640625" style="1" customWidth="1"/>
    <col min="3846" max="3846" width="6.88671875" style="1" customWidth="1"/>
    <col min="3847" max="3847" width="7.33203125" style="1" customWidth="1"/>
    <col min="3848" max="3848" width="8.88671875" style="1" customWidth="1"/>
    <col min="3849" max="3849" width="8" style="1" customWidth="1"/>
    <col min="3850" max="3850" width="7.6640625" style="1" customWidth="1"/>
    <col min="3851" max="3858" width="6.88671875" style="1" customWidth="1"/>
    <col min="3859" max="3863" width="6.6640625" style="1" customWidth="1"/>
    <col min="3864" max="3869" width="7.109375" style="1" customWidth="1"/>
    <col min="3870" max="3870" width="9.109375" style="1"/>
    <col min="3871" max="3899" width="0" style="1" hidden="1" customWidth="1"/>
    <col min="3900" max="4096" width="9.109375" style="1"/>
    <col min="4097" max="4098" width="5.109375" style="1" customWidth="1"/>
    <col min="4099" max="4100" width="6.88671875" style="1" customWidth="1"/>
    <col min="4101" max="4101" width="7.6640625" style="1" customWidth="1"/>
    <col min="4102" max="4102" width="6.88671875" style="1" customWidth="1"/>
    <col min="4103" max="4103" width="7.33203125" style="1" customWidth="1"/>
    <col min="4104" max="4104" width="8.88671875" style="1" customWidth="1"/>
    <col min="4105" max="4105" width="8" style="1" customWidth="1"/>
    <col min="4106" max="4106" width="7.6640625" style="1" customWidth="1"/>
    <col min="4107" max="4114" width="6.88671875" style="1" customWidth="1"/>
    <col min="4115" max="4119" width="6.6640625" style="1" customWidth="1"/>
    <col min="4120" max="4125" width="7.109375" style="1" customWidth="1"/>
    <col min="4126" max="4126" width="9.109375" style="1"/>
    <col min="4127" max="4155" width="0" style="1" hidden="1" customWidth="1"/>
    <col min="4156" max="4352" width="9.109375" style="1"/>
    <col min="4353" max="4354" width="5.109375" style="1" customWidth="1"/>
    <col min="4355" max="4356" width="6.88671875" style="1" customWidth="1"/>
    <col min="4357" max="4357" width="7.6640625" style="1" customWidth="1"/>
    <col min="4358" max="4358" width="6.88671875" style="1" customWidth="1"/>
    <col min="4359" max="4359" width="7.33203125" style="1" customWidth="1"/>
    <col min="4360" max="4360" width="8.88671875" style="1" customWidth="1"/>
    <col min="4361" max="4361" width="8" style="1" customWidth="1"/>
    <col min="4362" max="4362" width="7.6640625" style="1" customWidth="1"/>
    <col min="4363" max="4370" width="6.88671875" style="1" customWidth="1"/>
    <col min="4371" max="4375" width="6.6640625" style="1" customWidth="1"/>
    <col min="4376" max="4381" width="7.109375" style="1" customWidth="1"/>
    <col min="4382" max="4382" width="9.109375" style="1"/>
    <col min="4383" max="4411" width="0" style="1" hidden="1" customWidth="1"/>
    <col min="4412" max="4608" width="9.109375" style="1"/>
    <col min="4609" max="4610" width="5.109375" style="1" customWidth="1"/>
    <col min="4611" max="4612" width="6.88671875" style="1" customWidth="1"/>
    <col min="4613" max="4613" width="7.6640625" style="1" customWidth="1"/>
    <col min="4614" max="4614" width="6.88671875" style="1" customWidth="1"/>
    <col min="4615" max="4615" width="7.33203125" style="1" customWidth="1"/>
    <col min="4616" max="4616" width="8.88671875" style="1" customWidth="1"/>
    <col min="4617" max="4617" width="8" style="1" customWidth="1"/>
    <col min="4618" max="4618" width="7.6640625" style="1" customWidth="1"/>
    <col min="4619" max="4626" width="6.88671875" style="1" customWidth="1"/>
    <col min="4627" max="4631" width="6.6640625" style="1" customWidth="1"/>
    <col min="4632" max="4637" width="7.109375" style="1" customWidth="1"/>
    <col min="4638" max="4638" width="9.109375" style="1"/>
    <col min="4639" max="4667" width="0" style="1" hidden="1" customWidth="1"/>
    <col min="4668" max="4864" width="9.109375" style="1"/>
    <col min="4865" max="4866" width="5.109375" style="1" customWidth="1"/>
    <col min="4867" max="4868" width="6.88671875" style="1" customWidth="1"/>
    <col min="4869" max="4869" width="7.6640625" style="1" customWidth="1"/>
    <col min="4870" max="4870" width="6.88671875" style="1" customWidth="1"/>
    <col min="4871" max="4871" width="7.33203125" style="1" customWidth="1"/>
    <col min="4872" max="4872" width="8.88671875" style="1" customWidth="1"/>
    <col min="4873" max="4873" width="8" style="1" customWidth="1"/>
    <col min="4874" max="4874" width="7.6640625" style="1" customWidth="1"/>
    <col min="4875" max="4882" width="6.88671875" style="1" customWidth="1"/>
    <col min="4883" max="4887" width="6.6640625" style="1" customWidth="1"/>
    <col min="4888" max="4893" width="7.109375" style="1" customWidth="1"/>
    <col min="4894" max="4894" width="9.109375" style="1"/>
    <col min="4895" max="4923" width="0" style="1" hidden="1" customWidth="1"/>
    <col min="4924" max="5120" width="9.109375" style="1"/>
    <col min="5121" max="5122" width="5.109375" style="1" customWidth="1"/>
    <col min="5123" max="5124" width="6.88671875" style="1" customWidth="1"/>
    <col min="5125" max="5125" width="7.6640625" style="1" customWidth="1"/>
    <col min="5126" max="5126" width="6.88671875" style="1" customWidth="1"/>
    <col min="5127" max="5127" width="7.33203125" style="1" customWidth="1"/>
    <col min="5128" max="5128" width="8.88671875" style="1" customWidth="1"/>
    <col min="5129" max="5129" width="8" style="1" customWidth="1"/>
    <col min="5130" max="5130" width="7.6640625" style="1" customWidth="1"/>
    <col min="5131" max="5138" width="6.88671875" style="1" customWidth="1"/>
    <col min="5139" max="5143" width="6.6640625" style="1" customWidth="1"/>
    <col min="5144" max="5149" width="7.109375" style="1" customWidth="1"/>
    <col min="5150" max="5150" width="9.109375" style="1"/>
    <col min="5151" max="5179" width="0" style="1" hidden="1" customWidth="1"/>
    <col min="5180" max="5376" width="9.109375" style="1"/>
    <col min="5377" max="5378" width="5.109375" style="1" customWidth="1"/>
    <col min="5379" max="5380" width="6.88671875" style="1" customWidth="1"/>
    <col min="5381" max="5381" width="7.6640625" style="1" customWidth="1"/>
    <col min="5382" max="5382" width="6.88671875" style="1" customWidth="1"/>
    <col min="5383" max="5383" width="7.33203125" style="1" customWidth="1"/>
    <col min="5384" max="5384" width="8.88671875" style="1" customWidth="1"/>
    <col min="5385" max="5385" width="8" style="1" customWidth="1"/>
    <col min="5386" max="5386" width="7.6640625" style="1" customWidth="1"/>
    <col min="5387" max="5394" width="6.88671875" style="1" customWidth="1"/>
    <col min="5395" max="5399" width="6.6640625" style="1" customWidth="1"/>
    <col min="5400" max="5405" width="7.109375" style="1" customWidth="1"/>
    <col min="5406" max="5406" width="9.109375" style="1"/>
    <col min="5407" max="5435" width="0" style="1" hidden="1" customWidth="1"/>
    <col min="5436" max="5632" width="9.109375" style="1"/>
    <col min="5633" max="5634" width="5.109375" style="1" customWidth="1"/>
    <col min="5635" max="5636" width="6.88671875" style="1" customWidth="1"/>
    <col min="5637" max="5637" width="7.6640625" style="1" customWidth="1"/>
    <col min="5638" max="5638" width="6.88671875" style="1" customWidth="1"/>
    <col min="5639" max="5639" width="7.33203125" style="1" customWidth="1"/>
    <col min="5640" max="5640" width="8.88671875" style="1" customWidth="1"/>
    <col min="5641" max="5641" width="8" style="1" customWidth="1"/>
    <col min="5642" max="5642" width="7.6640625" style="1" customWidth="1"/>
    <col min="5643" max="5650" width="6.88671875" style="1" customWidth="1"/>
    <col min="5651" max="5655" width="6.6640625" style="1" customWidth="1"/>
    <col min="5656" max="5661" width="7.109375" style="1" customWidth="1"/>
    <col min="5662" max="5662" width="9.109375" style="1"/>
    <col min="5663" max="5691" width="0" style="1" hidden="1" customWidth="1"/>
    <col min="5692" max="5888" width="9.109375" style="1"/>
    <col min="5889" max="5890" width="5.109375" style="1" customWidth="1"/>
    <col min="5891" max="5892" width="6.88671875" style="1" customWidth="1"/>
    <col min="5893" max="5893" width="7.6640625" style="1" customWidth="1"/>
    <col min="5894" max="5894" width="6.88671875" style="1" customWidth="1"/>
    <col min="5895" max="5895" width="7.33203125" style="1" customWidth="1"/>
    <col min="5896" max="5896" width="8.88671875" style="1" customWidth="1"/>
    <col min="5897" max="5897" width="8" style="1" customWidth="1"/>
    <col min="5898" max="5898" width="7.6640625" style="1" customWidth="1"/>
    <col min="5899" max="5906" width="6.88671875" style="1" customWidth="1"/>
    <col min="5907" max="5911" width="6.6640625" style="1" customWidth="1"/>
    <col min="5912" max="5917" width="7.109375" style="1" customWidth="1"/>
    <col min="5918" max="5918" width="9.109375" style="1"/>
    <col min="5919" max="5947" width="0" style="1" hidden="1" customWidth="1"/>
    <col min="5948" max="6144" width="9.109375" style="1"/>
    <col min="6145" max="6146" width="5.109375" style="1" customWidth="1"/>
    <col min="6147" max="6148" width="6.88671875" style="1" customWidth="1"/>
    <col min="6149" max="6149" width="7.6640625" style="1" customWidth="1"/>
    <col min="6150" max="6150" width="6.88671875" style="1" customWidth="1"/>
    <col min="6151" max="6151" width="7.33203125" style="1" customWidth="1"/>
    <col min="6152" max="6152" width="8.88671875" style="1" customWidth="1"/>
    <col min="6153" max="6153" width="8" style="1" customWidth="1"/>
    <col min="6154" max="6154" width="7.6640625" style="1" customWidth="1"/>
    <col min="6155" max="6162" width="6.88671875" style="1" customWidth="1"/>
    <col min="6163" max="6167" width="6.6640625" style="1" customWidth="1"/>
    <col min="6168" max="6173" width="7.109375" style="1" customWidth="1"/>
    <col min="6174" max="6174" width="9.109375" style="1"/>
    <col min="6175" max="6203" width="0" style="1" hidden="1" customWidth="1"/>
    <col min="6204" max="6400" width="9.109375" style="1"/>
    <col min="6401" max="6402" width="5.109375" style="1" customWidth="1"/>
    <col min="6403" max="6404" width="6.88671875" style="1" customWidth="1"/>
    <col min="6405" max="6405" width="7.6640625" style="1" customWidth="1"/>
    <col min="6406" max="6406" width="6.88671875" style="1" customWidth="1"/>
    <col min="6407" max="6407" width="7.33203125" style="1" customWidth="1"/>
    <col min="6408" max="6408" width="8.88671875" style="1" customWidth="1"/>
    <col min="6409" max="6409" width="8" style="1" customWidth="1"/>
    <col min="6410" max="6410" width="7.6640625" style="1" customWidth="1"/>
    <col min="6411" max="6418" width="6.88671875" style="1" customWidth="1"/>
    <col min="6419" max="6423" width="6.6640625" style="1" customWidth="1"/>
    <col min="6424" max="6429" width="7.109375" style="1" customWidth="1"/>
    <col min="6430" max="6430" width="9.109375" style="1"/>
    <col min="6431" max="6459" width="0" style="1" hidden="1" customWidth="1"/>
    <col min="6460" max="6656" width="9.109375" style="1"/>
    <col min="6657" max="6658" width="5.109375" style="1" customWidth="1"/>
    <col min="6659" max="6660" width="6.88671875" style="1" customWidth="1"/>
    <col min="6661" max="6661" width="7.6640625" style="1" customWidth="1"/>
    <col min="6662" max="6662" width="6.88671875" style="1" customWidth="1"/>
    <col min="6663" max="6663" width="7.33203125" style="1" customWidth="1"/>
    <col min="6664" max="6664" width="8.88671875" style="1" customWidth="1"/>
    <col min="6665" max="6665" width="8" style="1" customWidth="1"/>
    <col min="6666" max="6666" width="7.6640625" style="1" customWidth="1"/>
    <col min="6667" max="6674" width="6.88671875" style="1" customWidth="1"/>
    <col min="6675" max="6679" width="6.6640625" style="1" customWidth="1"/>
    <col min="6680" max="6685" width="7.109375" style="1" customWidth="1"/>
    <col min="6686" max="6686" width="9.109375" style="1"/>
    <col min="6687" max="6715" width="0" style="1" hidden="1" customWidth="1"/>
    <col min="6716" max="6912" width="9.109375" style="1"/>
    <col min="6913" max="6914" width="5.109375" style="1" customWidth="1"/>
    <col min="6915" max="6916" width="6.88671875" style="1" customWidth="1"/>
    <col min="6917" max="6917" width="7.6640625" style="1" customWidth="1"/>
    <col min="6918" max="6918" width="6.88671875" style="1" customWidth="1"/>
    <col min="6919" max="6919" width="7.33203125" style="1" customWidth="1"/>
    <col min="6920" max="6920" width="8.88671875" style="1" customWidth="1"/>
    <col min="6921" max="6921" width="8" style="1" customWidth="1"/>
    <col min="6922" max="6922" width="7.6640625" style="1" customWidth="1"/>
    <col min="6923" max="6930" width="6.88671875" style="1" customWidth="1"/>
    <col min="6931" max="6935" width="6.6640625" style="1" customWidth="1"/>
    <col min="6936" max="6941" width="7.109375" style="1" customWidth="1"/>
    <col min="6942" max="6942" width="9.109375" style="1"/>
    <col min="6943" max="6971" width="0" style="1" hidden="1" customWidth="1"/>
    <col min="6972" max="7168" width="9.109375" style="1"/>
    <col min="7169" max="7170" width="5.109375" style="1" customWidth="1"/>
    <col min="7171" max="7172" width="6.88671875" style="1" customWidth="1"/>
    <col min="7173" max="7173" width="7.6640625" style="1" customWidth="1"/>
    <col min="7174" max="7174" width="6.88671875" style="1" customWidth="1"/>
    <col min="7175" max="7175" width="7.33203125" style="1" customWidth="1"/>
    <col min="7176" max="7176" width="8.88671875" style="1" customWidth="1"/>
    <col min="7177" max="7177" width="8" style="1" customWidth="1"/>
    <col min="7178" max="7178" width="7.6640625" style="1" customWidth="1"/>
    <col min="7179" max="7186" width="6.88671875" style="1" customWidth="1"/>
    <col min="7187" max="7191" width="6.6640625" style="1" customWidth="1"/>
    <col min="7192" max="7197" width="7.109375" style="1" customWidth="1"/>
    <col min="7198" max="7198" width="9.109375" style="1"/>
    <col min="7199" max="7227" width="0" style="1" hidden="1" customWidth="1"/>
    <col min="7228" max="7424" width="9.109375" style="1"/>
    <col min="7425" max="7426" width="5.109375" style="1" customWidth="1"/>
    <col min="7427" max="7428" width="6.88671875" style="1" customWidth="1"/>
    <col min="7429" max="7429" width="7.6640625" style="1" customWidth="1"/>
    <col min="7430" max="7430" width="6.88671875" style="1" customWidth="1"/>
    <col min="7431" max="7431" width="7.33203125" style="1" customWidth="1"/>
    <col min="7432" max="7432" width="8.88671875" style="1" customWidth="1"/>
    <col min="7433" max="7433" width="8" style="1" customWidth="1"/>
    <col min="7434" max="7434" width="7.6640625" style="1" customWidth="1"/>
    <col min="7435" max="7442" width="6.88671875" style="1" customWidth="1"/>
    <col min="7443" max="7447" width="6.6640625" style="1" customWidth="1"/>
    <col min="7448" max="7453" width="7.109375" style="1" customWidth="1"/>
    <col min="7454" max="7454" width="9.109375" style="1"/>
    <col min="7455" max="7483" width="0" style="1" hidden="1" customWidth="1"/>
    <col min="7484" max="7680" width="9.109375" style="1"/>
    <col min="7681" max="7682" width="5.109375" style="1" customWidth="1"/>
    <col min="7683" max="7684" width="6.88671875" style="1" customWidth="1"/>
    <col min="7685" max="7685" width="7.6640625" style="1" customWidth="1"/>
    <col min="7686" max="7686" width="6.88671875" style="1" customWidth="1"/>
    <col min="7687" max="7687" width="7.33203125" style="1" customWidth="1"/>
    <col min="7688" max="7688" width="8.88671875" style="1" customWidth="1"/>
    <col min="7689" max="7689" width="8" style="1" customWidth="1"/>
    <col min="7690" max="7690" width="7.6640625" style="1" customWidth="1"/>
    <col min="7691" max="7698" width="6.88671875" style="1" customWidth="1"/>
    <col min="7699" max="7703" width="6.6640625" style="1" customWidth="1"/>
    <col min="7704" max="7709" width="7.109375" style="1" customWidth="1"/>
    <col min="7710" max="7710" width="9.109375" style="1"/>
    <col min="7711" max="7739" width="0" style="1" hidden="1" customWidth="1"/>
    <col min="7740" max="7936" width="9.109375" style="1"/>
    <col min="7937" max="7938" width="5.109375" style="1" customWidth="1"/>
    <col min="7939" max="7940" width="6.88671875" style="1" customWidth="1"/>
    <col min="7941" max="7941" width="7.6640625" style="1" customWidth="1"/>
    <col min="7942" max="7942" width="6.88671875" style="1" customWidth="1"/>
    <col min="7943" max="7943" width="7.33203125" style="1" customWidth="1"/>
    <col min="7944" max="7944" width="8.88671875" style="1" customWidth="1"/>
    <col min="7945" max="7945" width="8" style="1" customWidth="1"/>
    <col min="7946" max="7946" width="7.6640625" style="1" customWidth="1"/>
    <col min="7947" max="7954" width="6.88671875" style="1" customWidth="1"/>
    <col min="7955" max="7959" width="6.6640625" style="1" customWidth="1"/>
    <col min="7960" max="7965" width="7.109375" style="1" customWidth="1"/>
    <col min="7966" max="7966" width="9.109375" style="1"/>
    <col min="7967" max="7995" width="0" style="1" hidden="1" customWidth="1"/>
    <col min="7996" max="8192" width="9.109375" style="1"/>
    <col min="8193" max="8194" width="5.109375" style="1" customWidth="1"/>
    <col min="8195" max="8196" width="6.88671875" style="1" customWidth="1"/>
    <col min="8197" max="8197" width="7.6640625" style="1" customWidth="1"/>
    <col min="8198" max="8198" width="6.88671875" style="1" customWidth="1"/>
    <col min="8199" max="8199" width="7.33203125" style="1" customWidth="1"/>
    <col min="8200" max="8200" width="8.88671875" style="1" customWidth="1"/>
    <col min="8201" max="8201" width="8" style="1" customWidth="1"/>
    <col min="8202" max="8202" width="7.6640625" style="1" customWidth="1"/>
    <col min="8203" max="8210" width="6.88671875" style="1" customWidth="1"/>
    <col min="8211" max="8215" width="6.6640625" style="1" customWidth="1"/>
    <col min="8216" max="8221" width="7.109375" style="1" customWidth="1"/>
    <col min="8222" max="8222" width="9.109375" style="1"/>
    <col min="8223" max="8251" width="0" style="1" hidden="1" customWidth="1"/>
    <col min="8252" max="8448" width="9.109375" style="1"/>
    <col min="8449" max="8450" width="5.109375" style="1" customWidth="1"/>
    <col min="8451" max="8452" width="6.88671875" style="1" customWidth="1"/>
    <col min="8453" max="8453" width="7.6640625" style="1" customWidth="1"/>
    <col min="8454" max="8454" width="6.88671875" style="1" customWidth="1"/>
    <col min="8455" max="8455" width="7.33203125" style="1" customWidth="1"/>
    <col min="8456" max="8456" width="8.88671875" style="1" customWidth="1"/>
    <col min="8457" max="8457" width="8" style="1" customWidth="1"/>
    <col min="8458" max="8458" width="7.6640625" style="1" customWidth="1"/>
    <col min="8459" max="8466" width="6.88671875" style="1" customWidth="1"/>
    <col min="8467" max="8471" width="6.6640625" style="1" customWidth="1"/>
    <col min="8472" max="8477" width="7.109375" style="1" customWidth="1"/>
    <col min="8478" max="8478" width="9.109375" style="1"/>
    <col min="8479" max="8507" width="0" style="1" hidden="1" customWidth="1"/>
    <col min="8508" max="8704" width="9.109375" style="1"/>
    <col min="8705" max="8706" width="5.109375" style="1" customWidth="1"/>
    <col min="8707" max="8708" width="6.88671875" style="1" customWidth="1"/>
    <col min="8709" max="8709" width="7.6640625" style="1" customWidth="1"/>
    <col min="8710" max="8710" width="6.88671875" style="1" customWidth="1"/>
    <col min="8711" max="8711" width="7.33203125" style="1" customWidth="1"/>
    <col min="8712" max="8712" width="8.88671875" style="1" customWidth="1"/>
    <col min="8713" max="8713" width="8" style="1" customWidth="1"/>
    <col min="8714" max="8714" width="7.6640625" style="1" customWidth="1"/>
    <col min="8715" max="8722" width="6.88671875" style="1" customWidth="1"/>
    <col min="8723" max="8727" width="6.6640625" style="1" customWidth="1"/>
    <col min="8728" max="8733" width="7.109375" style="1" customWidth="1"/>
    <col min="8734" max="8734" width="9.109375" style="1"/>
    <col min="8735" max="8763" width="0" style="1" hidden="1" customWidth="1"/>
    <col min="8764" max="8960" width="9.109375" style="1"/>
    <col min="8961" max="8962" width="5.109375" style="1" customWidth="1"/>
    <col min="8963" max="8964" width="6.88671875" style="1" customWidth="1"/>
    <col min="8965" max="8965" width="7.6640625" style="1" customWidth="1"/>
    <col min="8966" max="8966" width="6.88671875" style="1" customWidth="1"/>
    <col min="8967" max="8967" width="7.33203125" style="1" customWidth="1"/>
    <col min="8968" max="8968" width="8.88671875" style="1" customWidth="1"/>
    <col min="8969" max="8969" width="8" style="1" customWidth="1"/>
    <col min="8970" max="8970" width="7.6640625" style="1" customWidth="1"/>
    <col min="8971" max="8978" width="6.88671875" style="1" customWidth="1"/>
    <col min="8979" max="8983" width="6.6640625" style="1" customWidth="1"/>
    <col min="8984" max="8989" width="7.109375" style="1" customWidth="1"/>
    <col min="8990" max="8990" width="9.109375" style="1"/>
    <col min="8991" max="9019" width="0" style="1" hidden="1" customWidth="1"/>
    <col min="9020" max="9216" width="9.109375" style="1"/>
    <col min="9217" max="9218" width="5.109375" style="1" customWidth="1"/>
    <col min="9219" max="9220" width="6.88671875" style="1" customWidth="1"/>
    <col min="9221" max="9221" width="7.6640625" style="1" customWidth="1"/>
    <col min="9222" max="9222" width="6.88671875" style="1" customWidth="1"/>
    <col min="9223" max="9223" width="7.33203125" style="1" customWidth="1"/>
    <col min="9224" max="9224" width="8.88671875" style="1" customWidth="1"/>
    <col min="9225" max="9225" width="8" style="1" customWidth="1"/>
    <col min="9226" max="9226" width="7.6640625" style="1" customWidth="1"/>
    <col min="9227" max="9234" width="6.88671875" style="1" customWidth="1"/>
    <col min="9235" max="9239" width="6.6640625" style="1" customWidth="1"/>
    <col min="9240" max="9245" width="7.109375" style="1" customWidth="1"/>
    <col min="9246" max="9246" width="9.109375" style="1"/>
    <col min="9247" max="9275" width="0" style="1" hidden="1" customWidth="1"/>
    <col min="9276" max="9472" width="9.109375" style="1"/>
    <col min="9473" max="9474" width="5.109375" style="1" customWidth="1"/>
    <col min="9475" max="9476" width="6.88671875" style="1" customWidth="1"/>
    <col min="9477" max="9477" width="7.6640625" style="1" customWidth="1"/>
    <col min="9478" max="9478" width="6.88671875" style="1" customWidth="1"/>
    <col min="9479" max="9479" width="7.33203125" style="1" customWidth="1"/>
    <col min="9480" max="9480" width="8.88671875" style="1" customWidth="1"/>
    <col min="9481" max="9481" width="8" style="1" customWidth="1"/>
    <col min="9482" max="9482" width="7.6640625" style="1" customWidth="1"/>
    <col min="9483" max="9490" width="6.88671875" style="1" customWidth="1"/>
    <col min="9491" max="9495" width="6.6640625" style="1" customWidth="1"/>
    <col min="9496" max="9501" width="7.109375" style="1" customWidth="1"/>
    <col min="9502" max="9502" width="9.109375" style="1"/>
    <col min="9503" max="9531" width="0" style="1" hidden="1" customWidth="1"/>
    <col min="9532" max="9728" width="9.109375" style="1"/>
    <col min="9729" max="9730" width="5.109375" style="1" customWidth="1"/>
    <col min="9731" max="9732" width="6.88671875" style="1" customWidth="1"/>
    <col min="9733" max="9733" width="7.6640625" style="1" customWidth="1"/>
    <col min="9734" max="9734" width="6.88671875" style="1" customWidth="1"/>
    <col min="9735" max="9735" width="7.33203125" style="1" customWidth="1"/>
    <col min="9736" max="9736" width="8.88671875" style="1" customWidth="1"/>
    <col min="9737" max="9737" width="8" style="1" customWidth="1"/>
    <col min="9738" max="9738" width="7.6640625" style="1" customWidth="1"/>
    <col min="9739" max="9746" width="6.88671875" style="1" customWidth="1"/>
    <col min="9747" max="9751" width="6.6640625" style="1" customWidth="1"/>
    <col min="9752" max="9757" width="7.109375" style="1" customWidth="1"/>
    <col min="9758" max="9758" width="9.109375" style="1"/>
    <col min="9759" max="9787" width="0" style="1" hidden="1" customWidth="1"/>
    <col min="9788" max="9984" width="9.109375" style="1"/>
    <col min="9985" max="9986" width="5.109375" style="1" customWidth="1"/>
    <col min="9987" max="9988" width="6.88671875" style="1" customWidth="1"/>
    <col min="9989" max="9989" width="7.6640625" style="1" customWidth="1"/>
    <col min="9990" max="9990" width="6.88671875" style="1" customWidth="1"/>
    <col min="9991" max="9991" width="7.33203125" style="1" customWidth="1"/>
    <col min="9992" max="9992" width="8.88671875" style="1" customWidth="1"/>
    <col min="9993" max="9993" width="8" style="1" customWidth="1"/>
    <col min="9994" max="9994" width="7.6640625" style="1" customWidth="1"/>
    <col min="9995" max="10002" width="6.88671875" style="1" customWidth="1"/>
    <col min="10003" max="10007" width="6.6640625" style="1" customWidth="1"/>
    <col min="10008" max="10013" width="7.109375" style="1" customWidth="1"/>
    <col min="10014" max="10014" width="9.109375" style="1"/>
    <col min="10015" max="10043" width="0" style="1" hidden="1" customWidth="1"/>
    <col min="10044" max="10240" width="9.109375" style="1"/>
    <col min="10241" max="10242" width="5.109375" style="1" customWidth="1"/>
    <col min="10243" max="10244" width="6.88671875" style="1" customWidth="1"/>
    <col min="10245" max="10245" width="7.6640625" style="1" customWidth="1"/>
    <col min="10246" max="10246" width="6.88671875" style="1" customWidth="1"/>
    <col min="10247" max="10247" width="7.33203125" style="1" customWidth="1"/>
    <col min="10248" max="10248" width="8.88671875" style="1" customWidth="1"/>
    <col min="10249" max="10249" width="8" style="1" customWidth="1"/>
    <col min="10250" max="10250" width="7.6640625" style="1" customWidth="1"/>
    <col min="10251" max="10258" width="6.88671875" style="1" customWidth="1"/>
    <col min="10259" max="10263" width="6.6640625" style="1" customWidth="1"/>
    <col min="10264" max="10269" width="7.109375" style="1" customWidth="1"/>
    <col min="10270" max="10270" width="9.109375" style="1"/>
    <col min="10271" max="10299" width="0" style="1" hidden="1" customWidth="1"/>
    <col min="10300" max="10496" width="9.109375" style="1"/>
    <col min="10497" max="10498" width="5.109375" style="1" customWidth="1"/>
    <col min="10499" max="10500" width="6.88671875" style="1" customWidth="1"/>
    <col min="10501" max="10501" width="7.6640625" style="1" customWidth="1"/>
    <col min="10502" max="10502" width="6.88671875" style="1" customWidth="1"/>
    <col min="10503" max="10503" width="7.33203125" style="1" customWidth="1"/>
    <col min="10504" max="10504" width="8.88671875" style="1" customWidth="1"/>
    <col min="10505" max="10505" width="8" style="1" customWidth="1"/>
    <col min="10506" max="10506" width="7.6640625" style="1" customWidth="1"/>
    <col min="10507" max="10514" width="6.88671875" style="1" customWidth="1"/>
    <col min="10515" max="10519" width="6.6640625" style="1" customWidth="1"/>
    <col min="10520" max="10525" width="7.109375" style="1" customWidth="1"/>
    <col min="10526" max="10526" width="9.109375" style="1"/>
    <col min="10527" max="10555" width="0" style="1" hidden="1" customWidth="1"/>
    <col min="10556" max="10752" width="9.109375" style="1"/>
    <col min="10753" max="10754" width="5.109375" style="1" customWidth="1"/>
    <col min="10755" max="10756" width="6.88671875" style="1" customWidth="1"/>
    <col min="10757" max="10757" width="7.6640625" style="1" customWidth="1"/>
    <col min="10758" max="10758" width="6.88671875" style="1" customWidth="1"/>
    <col min="10759" max="10759" width="7.33203125" style="1" customWidth="1"/>
    <col min="10760" max="10760" width="8.88671875" style="1" customWidth="1"/>
    <col min="10761" max="10761" width="8" style="1" customWidth="1"/>
    <col min="10762" max="10762" width="7.6640625" style="1" customWidth="1"/>
    <col min="10763" max="10770" width="6.88671875" style="1" customWidth="1"/>
    <col min="10771" max="10775" width="6.6640625" style="1" customWidth="1"/>
    <col min="10776" max="10781" width="7.109375" style="1" customWidth="1"/>
    <col min="10782" max="10782" width="9.109375" style="1"/>
    <col min="10783" max="10811" width="0" style="1" hidden="1" customWidth="1"/>
    <col min="10812" max="11008" width="9.109375" style="1"/>
    <col min="11009" max="11010" width="5.109375" style="1" customWidth="1"/>
    <col min="11011" max="11012" width="6.88671875" style="1" customWidth="1"/>
    <col min="11013" max="11013" width="7.6640625" style="1" customWidth="1"/>
    <col min="11014" max="11014" width="6.88671875" style="1" customWidth="1"/>
    <col min="11015" max="11015" width="7.33203125" style="1" customWidth="1"/>
    <col min="11016" max="11016" width="8.88671875" style="1" customWidth="1"/>
    <col min="11017" max="11017" width="8" style="1" customWidth="1"/>
    <col min="11018" max="11018" width="7.6640625" style="1" customWidth="1"/>
    <col min="11019" max="11026" width="6.88671875" style="1" customWidth="1"/>
    <col min="11027" max="11031" width="6.6640625" style="1" customWidth="1"/>
    <col min="11032" max="11037" width="7.109375" style="1" customWidth="1"/>
    <col min="11038" max="11038" width="9.109375" style="1"/>
    <col min="11039" max="11067" width="0" style="1" hidden="1" customWidth="1"/>
    <col min="11068" max="11264" width="9.109375" style="1"/>
    <col min="11265" max="11266" width="5.109375" style="1" customWidth="1"/>
    <col min="11267" max="11268" width="6.88671875" style="1" customWidth="1"/>
    <col min="11269" max="11269" width="7.6640625" style="1" customWidth="1"/>
    <col min="11270" max="11270" width="6.88671875" style="1" customWidth="1"/>
    <col min="11271" max="11271" width="7.33203125" style="1" customWidth="1"/>
    <col min="11272" max="11272" width="8.88671875" style="1" customWidth="1"/>
    <col min="11273" max="11273" width="8" style="1" customWidth="1"/>
    <col min="11274" max="11274" width="7.6640625" style="1" customWidth="1"/>
    <col min="11275" max="11282" width="6.88671875" style="1" customWidth="1"/>
    <col min="11283" max="11287" width="6.6640625" style="1" customWidth="1"/>
    <col min="11288" max="11293" width="7.109375" style="1" customWidth="1"/>
    <col min="11294" max="11294" width="9.109375" style="1"/>
    <col min="11295" max="11323" width="0" style="1" hidden="1" customWidth="1"/>
    <col min="11324" max="11520" width="9.109375" style="1"/>
    <col min="11521" max="11522" width="5.109375" style="1" customWidth="1"/>
    <col min="11523" max="11524" width="6.88671875" style="1" customWidth="1"/>
    <col min="11525" max="11525" width="7.6640625" style="1" customWidth="1"/>
    <col min="11526" max="11526" width="6.88671875" style="1" customWidth="1"/>
    <col min="11527" max="11527" width="7.33203125" style="1" customWidth="1"/>
    <col min="11528" max="11528" width="8.88671875" style="1" customWidth="1"/>
    <col min="11529" max="11529" width="8" style="1" customWidth="1"/>
    <col min="11530" max="11530" width="7.6640625" style="1" customWidth="1"/>
    <col min="11531" max="11538" width="6.88671875" style="1" customWidth="1"/>
    <col min="11539" max="11543" width="6.6640625" style="1" customWidth="1"/>
    <col min="11544" max="11549" width="7.109375" style="1" customWidth="1"/>
    <col min="11550" max="11550" width="9.109375" style="1"/>
    <col min="11551" max="11579" width="0" style="1" hidden="1" customWidth="1"/>
    <col min="11580" max="11776" width="9.109375" style="1"/>
    <col min="11777" max="11778" width="5.109375" style="1" customWidth="1"/>
    <col min="11779" max="11780" width="6.88671875" style="1" customWidth="1"/>
    <col min="11781" max="11781" width="7.6640625" style="1" customWidth="1"/>
    <col min="11782" max="11782" width="6.88671875" style="1" customWidth="1"/>
    <col min="11783" max="11783" width="7.33203125" style="1" customWidth="1"/>
    <col min="11784" max="11784" width="8.88671875" style="1" customWidth="1"/>
    <col min="11785" max="11785" width="8" style="1" customWidth="1"/>
    <col min="11786" max="11786" width="7.6640625" style="1" customWidth="1"/>
    <col min="11787" max="11794" width="6.88671875" style="1" customWidth="1"/>
    <col min="11795" max="11799" width="6.6640625" style="1" customWidth="1"/>
    <col min="11800" max="11805" width="7.109375" style="1" customWidth="1"/>
    <col min="11806" max="11806" width="9.109375" style="1"/>
    <col min="11807" max="11835" width="0" style="1" hidden="1" customWidth="1"/>
    <col min="11836" max="12032" width="9.109375" style="1"/>
    <col min="12033" max="12034" width="5.109375" style="1" customWidth="1"/>
    <col min="12035" max="12036" width="6.88671875" style="1" customWidth="1"/>
    <col min="12037" max="12037" width="7.6640625" style="1" customWidth="1"/>
    <col min="12038" max="12038" width="6.88671875" style="1" customWidth="1"/>
    <col min="12039" max="12039" width="7.33203125" style="1" customWidth="1"/>
    <col min="12040" max="12040" width="8.88671875" style="1" customWidth="1"/>
    <col min="12041" max="12041" width="8" style="1" customWidth="1"/>
    <col min="12042" max="12042" width="7.6640625" style="1" customWidth="1"/>
    <col min="12043" max="12050" width="6.88671875" style="1" customWidth="1"/>
    <col min="12051" max="12055" width="6.6640625" style="1" customWidth="1"/>
    <col min="12056" max="12061" width="7.109375" style="1" customWidth="1"/>
    <col min="12062" max="12062" width="9.109375" style="1"/>
    <col min="12063" max="12091" width="0" style="1" hidden="1" customWidth="1"/>
    <col min="12092" max="12288" width="9.109375" style="1"/>
    <col min="12289" max="12290" width="5.109375" style="1" customWidth="1"/>
    <col min="12291" max="12292" width="6.88671875" style="1" customWidth="1"/>
    <col min="12293" max="12293" width="7.6640625" style="1" customWidth="1"/>
    <col min="12294" max="12294" width="6.88671875" style="1" customWidth="1"/>
    <col min="12295" max="12295" width="7.33203125" style="1" customWidth="1"/>
    <col min="12296" max="12296" width="8.88671875" style="1" customWidth="1"/>
    <col min="12297" max="12297" width="8" style="1" customWidth="1"/>
    <col min="12298" max="12298" width="7.6640625" style="1" customWidth="1"/>
    <col min="12299" max="12306" width="6.88671875" style="1" customWidth="1"/>
    <col min="12307" max="12311" width="6.6640625" style="1" customWidth="1"/>
    <col min="12312" max="12317" width="7.109375" style="1" customWidth="1"/>
    <col min="12318" max="12318" width="9.109375" style="1"/>
    <col min="12319" max="12347" width="0" style="1" hidden="1" customWidth="1"/>
    <col min="12348" max="12544" width="9.109375" style="1"/>
    <col min="12545" max="12546" width="5.109375" style="1" customWidth="1"/>
    <col min="12547" max="12548" width="6.88671875" style="1" customWidth="1"/>
    <col min="12549" max="12549" width="7.6640625" style="1" customWidth="1"/>
    <col min="12550" max="12550" width="6.88671875" style="1" customWidth="1"/>
    <col min="12551" max="12551" width="7.33203125" style="1" customWidth="1"/>
    <col min="12552" max="12552" width="8.88671875" style="1" customWidth="1"/>
    <col min="12553" max="12553" width="8" style="1" customWidth="1"/>
    <col min="12554" max="12554" width="7.6640625" style="1" customWidth="1"/>
    <col min="12555" max="12562" width="6.88671875" style="1" customWidth="1"/>
    <col min="12563" max="12567" width="6.6640625" style="1" customWidth="1"/>
    <col min="12568" max="12573" width="7.109375" style="1" customWidth="1"/>
    <col min="12574" max="12574" width="9.109375" style="1"/>
    <col min="12575" max="12603" width="0" style="1" hidden="1" customWidth="1"/>
    <col min="12604" max="12800" width="9.109375" style="1"/>
    <col min="12801" max="12802" width="5.109375" style="1" customWidth="1"/>
    <col min="12803" max="12804" width="6.88671875" style="1" customWidth="1"/>
    <col min="12805" max="12805" width="7.6640625" style="1" customWidth="1"/>
    <col min="12806" max="12806" width="6.88671875" style="1" customWidth="1"/>
    <col min="12807" max="12807" width="7.33203125" style="1" customWidth="1"/>
    <col min="12808" max="12808" width="8.88671875" style="1" customWidth="1"/>
    <col min="12809" max="12809" width="8" style="1" customWidth="1"/>
    <col min="12810" max="12810" width="7.6640625" style="1" customWidth="1"/>
    <col min="12811" max="12818" width="6.88671875" style="1" customWidth="1"/>
    <col min="12819" max="12823" width="6.6640625" style="1" customWidth="1"/>
    <col min="12824" max="12829" width="7.109375" style="1" customWidth="1"/>
    <col min="12830" max="12830" width="9.109375" style="1"/>
    <col min="12831" max="12859" width="0" style="1" hidden="1" customWidth="1"/>
    <col min="12860" max="13056" width="9.109375" style="1"/>
    <col min="13057" max="13058" width="5.109375" style="1" customWidth="1"/>
    <col min="13059" max="13060" width="6.88671875" style="1" customWidth="1"/>
    <col min="13061" max="13061" width="7.6640625" style="1" customWidth="1"/>
    <col min="13062" max="13062" width="6.88671875" style="1" customWidth="1"/>
    <col min="13063" max="13063" width="7.33203125" style="1" customWidth="1"/>
    <col min="13064" max="13064" width="8.88671875" style="1" customWidth="1"/>
    <col min="13065" max="13065" width="8" style="1" customWidth="1"/>
    <col min="13066" max="13066" width="7.6640625" style="1" customWidth="1"/>
    <col min="13067" max="13074" width="6.88671875" style="1" customWidth="1"/>
    <col min="13075" max="13079" width="6.6640625" style="1" customWidth="1"/>
    <col min="13080" max="13085" width="7.109375" style="1" customWidth="1"/>
    <col min="13086" max="13086" width="9.109375" style="1"/>
    <col min="13087" max="13115" width="0" style="1" hidden="1" customWidth="1"/>
    <col min="13116" max="13312" width="9.109375" style="1"/>
    <col min="13313" max="13314" width="5.109375" style="1" customWidth="1"/>
    <col min="13315" max="13316" width="6.88671875" style="1" customWidth="1"/>
    <col min="13317" max="13317" width="7.6640625" style="1" customWidth="1"/>
    <col min="13318" max="13318" width="6.88671875" style="1" customWidth="1"/>
    <col min="13319" max="13319" width="7.33203125" style="1" customWidth="1"/>
    <col min="13320" max="13320" width="8.88671875" style="1" customWidth="1"/>
    <col min="13321" max="13321" width="8" style="1" customWidth="1"/>
    <col min="13322" max="13322" width="7.6640625" style="1" customWidth="1"/>
    <col min="13323" max="13330" width="6.88671875" style="1" customWidth="1"/>
    <col min="13331" max="13335" width="6.6640625" style="1" customWidth="1"/>
    <col min="13336" max="13341" width="7.109375" style="1" customWidth="1"/>
    <col min="13342" max="13342" width="9.109375" style="1"/>
    <col min="13343" max="13371" width="0" style="1" hidden="1" customWidth="1"/>
    <col min="13372" max="13568" width="9.109375" style="1"/>
    <col min="13569" max="13570" width="5.109375" style="1" customWidth="1"/>
    <col min="13571" max="13572" width="6.88671875" style="1" customWidth="1"/>
    <col min="13573" max="13573" width="7.6640625" style="1" customWidth="1"/>
    <col min="13574" max="13574" width="6.88671875" style="1" customWidth="1"/>
    <col min="13575" max="13575" width="7.33203125" style="1" customWidth="1"/>
    <col min="13576" max="13576" width="8.88671875" style="1" customWidth="1"/>
    <col min="13577" max="13577" width="8" style="1" customWidth="1"/>
    <col min="13578" max="13578" width="7.6640625" style="1" customWidth="1"/>
    <col min="13579" max="13586" width="6.88671875" style="1" customWidth="1"/>
    <col min="13587" max="13591" width="6.6640625" style="1" customWidth="1"/>
    <col min="13592" max="13597" width="7.109375" style="1" customWidth="1"/>
    <col min="13598" max="13598" width="9.109375" style="1"/>
    <col min="13599" max="13627" width="0" style="1" hidden="1" customWidth="1"/>
    <col min="13628" max="13824" width="9.109375" style="1"/>
    <col min="13825" max="13826" width="5.109375" style="1" customWidth="1"/>
    <col min="13827" max="13828" width="6.88671875" style="1" customWidth="1"/>
    <col min="13829" max="13829" width="7.6640625" style="1" customWidth="1"/>
    <col min="13830" max="13830" width="6.88671875" style="1" customWidth="1"/>
    <col min="13831" max="13831" width="7.33203125" style="1" customWidth="1"/>
    <col min="13832" max="13832" width="8.88671875" style="1" customWidth="1"/>
    <col min="13833" max="13833" width="8" style="1" customWidth="1"/>
    <col min="13834" max="13834" width="7.6640625" style="1" customWidth="1"/>
    <col min="13835" max="13842" width="6.88671875" style="1" customWidth="1"/>
    <col min="13843" max="13847" width="6.6640625" style="1" customWidth="1"/>
    <col min="13848" max="13853" width="7.109375" style="1" customWidth="1"/>
    <col min="13854" max="13854" width="9.109375" style="1"/>
    <col min="13855" max="13883" width="0" style="1" hidden="1" customWidth="1"/>
    <col min="13884" max="14080" width="9.109375" style="1"/>
    <col min="14081" max="14082" width="5.109375" style="1" customWidth="1"/>
    <col min="14083" max="14084" width="6.88671875" style="1" customWidth="1"/>
    <col min="14085" max="14085" width="7.6640625" style="1" customWidth="1"/>
    <col min="14086" max="14086" width="6.88671875" style="1" customWidth="1"/>
    <col min="14087" max="14087" width="7.33203125" style="1" customWidth="1"/>
    <col min="14088" max="14088" width="8.88671875" style="1" customWidth="1"/>
    <col min="14089" max="14089" width="8" style="1" customWidth="1"/>
    <col min="14090" max="14090" width="7.6640625" style="1" customWidth="1"/>
    <col min="14091" max="14098" width="6.88671875" style="1" customWidth="1"/>
    <col min="14099" max="14103" width="6.6640625" style="1" customWidth="1"/>
    <col min="14104" max="14109" width="7.109375" style="1" customWidth="1"/>
    <col min="14110" max="14110" width="9.109375" style="1"/>
    <col min="14111" max="14139" width="0" style="1" hidden="1" customWidth="1"/>
    <col min="14140" max="14336" width="9.109375" style="1"/>
    <col min="14337" max="14338" width="5.109375" style="1" customWidth="1"/>
    <col min="14339" max="14340" width="6.88671875" style="1" customWidth="1"/>
    <col min="14341" max="14341" width="7.6640625" style="1" customWidth="1"/>
    <col min="14342" max="14342" width="6.88671875" style="1" customWidth="1"/>
    <col min="14343" max="14343" width="7.33203125" style="1" customWidth="1"/>
    <col min="14344" max="14344" width="8.88671875" style="1" customWidth="1"/>
    <col min="14345" max="14345" width="8" style="1" customWidth="1"/>
    <col min="14346" max="14346" width="7.6640625" style="1" customWidth="1"/>
    <col min="14347" max="14354" width="6.88671875" style="1" customWidth="1"/>
    <col min="14355" max="14359" width="6.6640625" style="1" customWidth="1"/>
    <col min="14360" max="14365" width="7.109375" style="1" customWidth="1"/>
    <col min="14366" max="14366" width="9.109375" style="1"/>
    <col min="14367" max="14395" width="0" style="1" hidden="1" customWidth="1"/>
    <col min="14396" max="14592" width="9.109375" style="1"/>
    <col min="14593" max="14594" width="5.109375" style="1" customWidth="1"/>
    <col min="14595" max="14596" width="6.88671875" style="1" customWidth="1"/>
    <col min="14597" max="14597" width="7.6640625" style="1" customWidth="1"/>
    <col min="14598" max="14598" width="6.88671875" style="1" customWidth="1"/>
    <col min="14599" max="14599" width="7.33203125" style="1" customWidth="1"/>
    <col min="14600" max="14600" width="8.88671875" style="1" customWidth="1"/>
    <col min="14601" max="14601" width="8" style="1" customWidth="1"/>
    <col min="14602" max="14602" width="7.6640625" style="1" customWidth="1"/>
    <col min="14603" max="14610" width="6.88671875" style="1" customWidth="1"/>
    <col min="14611" max="14615" width="6.6640625" style="1" customWidth="1"/>
    <col min="14616" max="14621" width="7.109375" style="1" customWidth="1"/>
    <col min="14622" max="14622" width="9.109375" style="1"/>
    <col min="14623" max="14651" width="0" style="1" hidden="1" customWidth="1"/>
    <col min="14652" max="14848" width="9.109375" style="1"/>
    <col min="14849" max="14850" width="5.109375" style="1" customWidth="1"/>
    <col min="14851" max="14852" width="6.88671875" style="1" customWidth="1"/>
    <col min="14853" max="14853" width="7.6640625" style="1" customWidth="1"/>
    <col min="14854" max="14854" width="6.88671875" style="1" customWidth="1"/>
    <col min="14855" max="14855" width="7.33203125" style="1" customWidth="1"/>
    <col min="14856" max="14856" width="8.88671875" style="1" customWidth="1"/>
    <col min="14857" max="14857" width="8" style="1" customWidth="1"/>
    <col min="14858" max="14858" width="7.6640625" style="1" customWidth="1"/>
    <col min="14859" max="14866" width="6.88671875" style="1" customWidth="1"/>
    <col min="14867" max="14871" width="6.6640625" style="1" customWidth="1"/>
    <col min="14872" max="14877" width="7.109375" style="1" customWidth="1"/>
    <col min="14878" max="14878" width="9.109375" style="1"/>
    <col min="14879" max="14907" width="0" style="1" hidden="1" customWidth="1"/>
    <col min="14908" max="15104" width="9.109375" style="1"/>
    <col min="15105" max="15106" width="5.109375" style="1" customWidth="1"/>
    <col min="15107" max="15108" width="6.88671875" style="1" customWidth="1"/>
    <col min="15109" max="15109" width="7.6640625" style="1" customWidth="1"/>
    <col min="15110" max="15110" width="6.88671875" style="1" customWidth="1"/>
    <col min="15111" max="15111" width="7.33203125" style="1" customWidth="1"/>
    <col min="15112" max="15112" width="8.88671875" style="1" customWidth="1"/>
    <col min="15113" max="15113" width="8" style="1" customWidth="1"/>
    <col min="15114" max="15114" width="7.6640625" style="1" customWidth="1"/>
    <col min="15115" max="15122" width="6.88671875" style="1" customWidth="1"/>
    <col min="15123" max="15127" width="6.6640625" style="1" customWidth="1"/>
    <col min="15128" max="15133" width="7.109375" style="1" customWidth="1"/>
    <col min="15134" max="15134" width="9.109375" style="1"/>
    <col min="15135" max="15163" width="0" style="1" hidden="1" customWidth="1"/>
    <col min="15164" max="15360" width="9.109375" style="1"/>
    <col min="15361" max="15362" width="5.109375" style="1" customWidth="1"/>
    <col min="15363" max="15364" width="6.88671875" style="1" customWidth="1"/>
    <col min="15365" max="15365" width="7.6640625" style="1" customWidth="1"/>
    <col min="15366" max="15366" width="6.88671875" style="1" customWidth="1"/>
    <col min="15367" max="15367" width="7.33203125" style="1" customWidth="1"/>
    <col min="15368" max="15368" width="8.88671875" style="1" customWidth="1"/>
    <col min="15369" max="15369" width="8" style="1" customWidth="1"/>
    <col min="15370" max="15370" width="7.6640625" style="1" customWidth="1"/>
    <col min="15371" max="15378" width="6.88671875" style="1" customWidth="1"/>
    <col min="15379" max="15383" width="6.6640625" style="1" customWidth="1"/>
    <col min="15384" max="15389" width="7.109375" style="1" customWidth="1"/>
    <col min="15390" max="15390" width="9.109375" style="1"/>
    <col min="15391" max="15419" width="0" style="1" hidden="1" customWidth="1"/>
    <col min="15420" max="15616" width="9.109375" style="1"/>
    <col min="15617" max="15618" width="5.109375" style="1" customWidth="1"/>
    <col min="15619" max="15620" width="6.88671875" style="1" customWidth="1"/>
    <col min="15621" max="15621" width="7.6640625" style="1" customWidth="1"/>
    <col min="15622" max="15622" width="6.88671875" style="1" customWidth="1"/>
    <col min="15623" max="15623" width="7.33203125" style="1" customWidth="1"/>
    <col min="15624" max="15624" width="8.88671875" style="1" customWidth="1"/>
    <col min="15625" max="15625" width="8" style="1" customWidth="1"/>
    <col min="15626" max="15626" width="7.6640625" style="1" customWidth="1"/>
    <col min="15627" max="15634" width="6.88671875" style="1" customWidth="1"/>
    <col min="15635" max="15639" width="6.6640625" style="1" customWidth="1"/>
    <col min="15640" max="15645" width="7.109375" style="1" customWidth="1"/>
    <col min="15646" max="15646" width="9.109375" style="1"/>
    <col min="15647" max="15675" width="0" style="1" hidden="1" customWidth="1"/>
    <col min="15676" max="15872" width="9.109375" style="1"/>
    <col min="15873" max="15874" width="5.109375" style="1" customWidth="1"/>
    <col min="15875" max="15876" width="6.88671875" style="1" customWidth="1"/>
    <col min="15877" max="15877" width="7.6640625" style="1" customWidth="1"/>
    <col min="15878" max="15878" width="6.88671875" style="1" customWidth="1"/>
    <col min="15879" max="15879" width="7.33203125" style="1" customWidth="1"/>
    <col min="15880" max="15880" width="8.88671875" style="1" customWidth="1"/>
    <col min="15881" max="15881" width="8" style="1" customWidth="1"/>
    <col min="15882" max="15882" width="7.6640625" style="1" customWidth="1"/>
    <col min="15883" max="15890" width="6.88671875" style="1" customWidth="1"/>
    <col min="15891" max="15895" width="6.6640625" style="1" customWidth="1"/>
    <col min="15896" max="15901" width="7.109375" style="1" customWidth="1"/>
    <col min="15902" max="15902" width="9.109375" style="1"/>
    <col min="15903" max="15931" width="0" style="1" hidden="1" customWidth="1"/>
    <col min="15932" max="16128" width="9.109375" style="1"/>
    <col min="16129" max="16130" width="5.109375" style="1" customWidth="1"/>
    <col min="16131" max="16132" width="6.88671875" style="1" customWidth="1"/>
    <col min="16133" max="16133" width="7.6640625" style="1" customWidth="1"/>
    <col min="16134" max="16134" width="6.88671875" style="1" customWidth="1"/>
    <col min="16135" max="16135" width="7.33203125" style="1" customWidth="1"/>
    <col min="16136" max="16136" width="8.88671875" style="1" customWidth="1"/>
    <col min="16137" max="16137" width="8" style="1" customWidth="1"/>
    <col min="16138" max="16138" width="7.6640625" style="1" customWidth="1"/>
    <col min="16139" max="16146" width="6.88671875" style="1" customWidth="1"/>
    <col min="16147" max="16151" width="6.6640625" style="1" customWidth="1"/>
    <col min="16152" max="16157" width="7.109375" style="1" customWidth="1"/>
    <col min="16158" max="16158" width="9.109375" style="1"/>
    <col min="16159" max="16187" width="0" style="1" hidden="1" customWidth="1"/>
    <col min="16188" max="16384" width="9.109375" style="1"/>
  </cols>
  <sheetData>
    <row r="2" spans="1:59" ht="15.6">
      <c r="A2" s="979" t="s">
        <v>943</v>
      </c>
      <c r="B2" s="979"/>
      <c r="C2" s="979"/>
      <c r="D2" s="979"/>
      <c r="E2" s="979"/>
      <c r="F2" s="979"/>
      <c r="G2" s="979"/>
      <c r="H2" s="979"/>
      <c r="I2" s="979"/>
      <c r="J2" s="979"/>
      <c r="K2" s="979"/>
      <c r="L2" s="979"/>
      <c r="M2" s="979"/>
      <c r="N2" s="979"/>
      <c r="O2" s="979"/>
      <c r="P2" s="979"/>
      <c r="Q2" s="979"/>
      <c r="R2" s="979"/>
      <c r="S2" s="979"/>
      <c r="T2" s="979"/>
      <c r="U2" s="979"/>
      <c r="V2" s="979"/>
      <c r="W2" s="979"/>
      <c r="X2" s="979"/>
      <c r="Y2" s="979"/>
      <c r="Z2" s="979"/>
      <c r="AA2" s="979"/>
      <c r="AB2" s="979"/>
      <c r="AC2" s="979"/>
    </row>
    <row r="3" spans="1:59" ht="16.2" thickBot="1">
      <c r="A3" s="1089" t="s">
        <v>593</v>
      </c>
      <c r="B3" s="1089"/>
      <c r="C3" s="1089"/>
      <c r="D3" s="1089"/>
      <c r="E3" s="1089"/>
      <c r="F3" s="1406" t="s">
        <v>628</v>
      </c>
      <c r="G3" s="1406"/>
      <c r="H3" s="1406"/>
      <c r="I3" s="1406"/>
      <c r="J3" s="1406"/>
      <c r="K3" s="1406"/>
      <c r="L3" s="1406"/>
      <c r="M3" s="1406"/>
      <c r="N3" s="1406"/>
      <c r="O3" s="1406"/>
      <c r="P3" s="1406"/>
      <c r="Q3" s="421"/>
      <c r="R3" s="421"/>
      <c r="S3" s="421"/>
    </row>
    <row r="4" spans="1:59" ht="16.2" thickBot="1">
      <c r="A4" s="2126"/>
      <c r="B4" s="2127"/>
      <c r="C4" s="2130" t="s">
        <v>356</v>
      </c>
      <c r="D4" s="2131"/>
      <c r="E4" s="2131"/>
      <c r="F4" s="2131"/>
      <c r="G4" s="2131"/>
      <c r="H4" s="2131"/>
      <c r="I4" s="2131"/>
      <c r="J4" s="2131"/>
      <c r="K4" s="2131"/>
      <c r="L4" s="2131"/>
      <c r="M4" s="2131"/>
      <c r="N4" s="2131"/>
      <c r="O4" s="2131"/>
      <c r="P4" s="2131"/>
      <c r="Q4" s="2131"/>
      <c r="R4" s="2131"/>
      <c r="S4" s="2131"/>
      <c r="T4" s="2131"/>
      <c r="U4" s="2131"/>
      <c r="V4" s="2131"/>
      <c r="W4" s="2131"/>
      <c r="X4" s="2131"/>
      <c r="Y4" s="2131"/>
      <c r="Z4" s="2131"/>
      <c r="AA4" s="2131"/>
      <c r="AB4" s="2131"/>
      <c r="AC4" s="2132"/>
    </row>
    <row r="5" spans="1:59" ht="13.8" thickBot="1">
      <c r="A5" s="2128"/>
      <c r="B5" s="2129"/>
      <c r="C5" s="428">
        <v>0.3</v>
      </c>
      <c r="D5" s="428">
        <v>0.4</v>
      </c>
      <c r="E5" s="428">
        <v>0.5</v>
      </c>
      <c r="F5" s="428">
        <v>0.6</v>
      </c>
      <c r="G5" s="428">
        <v>0.7</v>
      </c>
      <c r="H5" s="428">
        <v>0.8</v>
      </c>
      <c r="I5" s="428">
        <v>0.9</v>
      </c>
      <c r="J5" s="428">
        <v>1</v>
      </c>
      <c r="K5" s="428">
        <v>1.1000000000000001</v>
      </c>
      <c r="L5" s="581">
        <v>1.2</v>
      </c>
      <c r="M5" s="428">
        <v>1.3</v>
      </c>
      <c r="N5" s="428">
        <v>1.4</v>
      </c>
      <c r="O5" s="428">
        <v>1.5</v>
      </c>
      <c r="P5" s="428">
        <v>1.6</v>
      </c>
      <c r="Q5" s="428">
        <v>1.7</v>
      </c>
      <c r="R5" s="428">
        <v>1.8</v>
      </c>
      <c r="S5" s="113">
        <v>1.9</v>
      </c>
      <c r="T5" s="428">
        <v>2</v>
      </c>
      <c r="U5" s="113">
        <v>2.1</v>
      </c>
      <c r="V5" s="428">
        <v>2.2000000000000002</v>
      </c>
      <c r="W5" s="113">
        <v>2.2999999999999998</v>
      </c>
      <c r="X5" s="428">
        <v>2.4</v>
      </c>
      <c r="Y5" s="113">
        <v>2.5</v>
      </c>
      <c r="Z5" s="428">
        <v>2.6</v>
      </c>
      <c r="AA5" s="113">
        <v>2.7</v>
      </c>
      <c r="AB5" s="428">
        <v>2.8</v>
      </c>
      <c r="AC5" s="113">
        <v>2.9</v>
      </c>
      <c r="AF5" s="949" t="s">
        <v>1257</v>
      </c>
      <c r="AG5" s="950">
        <v>0.3</v>
      </c>
      <c r="AH5" s="950">
        <v>0.4</v>
      </c>
      <c r="AI5" s="950">
        <v>0.5</v>
      </c>
      <c r="AJ5" s="950">
        <v>0.6</v>
      </c>
      <c r="AK5" s="950">
        <v>0.7</v>
      </c>
      <c r="AL5" s="950">
        <v>0.8</v>
      </c>
      <c r="AM5" s="950">
        <v>0.9</v>
      </c>
      <c r="AN5" s="950">
        <v>1</v>
      </c>
      <c r="AO5" s="950">
        <v>1.1000000000000001</v>
      </c>
      <c r="AP5" s="950">
        <v>1.2</v>
      </c>
      <c r="AQ5" s="950">
        <v>1.3</v>
      </c>
      <c r="AR5" s="950">
        <v>1.4</v>
      </c>
      <c r="AS5" s="950">
        <v>1.5</v>
      </c>
      <c r="AT5" s="950">
        <v>1.6</v>
      </c>
      <c r="AU5" s="950">
        <v>1.7</v>
      </c>
      <c r="AV5" s="950">
        <v>1.8</v>
      </c>
      <c r="AW5" s="950">
        <v>1.9</v>
      </c>
      <c r="AX5" s="950">
        <v>2</v>
      </c>
      <c r="AY5" s="950">
        <v>2.1</v>
      </c>
      <c r="AZ5" s="950">
        <v>2.2000000000000002</v>
      </c>
      <c r="BA5" s="950">
        <v>2.2999999999999998</v>
      </c>
      <c r="BB5" s="950">
        <v>2.4</v>
      </c>
      <c r="BC5" s="950">
        <v>2.5</v>
      </c>
      <c r="BD5" s="950">
        <v>2.6</v>
      </c>
      <c r="BE5" s="950">
        <v>2.7</v>
      </c>
      <c r="BF5" s="950">
        <v>2.8</v>
      </c>
      <c r="BG5" s="950">
        <v>2.9</v>
      </c>
    </row>
    <row r="6" spans="1:59">
      <c r="A6" s="2133" t="s">
        <v>357</v>
      </c>
      <c r="B6" s="261" t="s">
        <v>355</v>
      </c>
      <c r="C6" s="951">
        <f>(AG6*KFC!$B$39+KFC!$C$39)*курс_уе</f>
        <v>30.36</v>
      </c>
      <c r="D6" s="951">
        <f>(AH6*KFC!$B$39+KFC!$C$39)*курс_уе</f>
        <v>33.93</v>
      </c>
      <c r="E6" s="951">
        <f>(AI6*KFC!$B$39+KFC!$C$39)*курс_уе</f>
        <v>37.380000000000003</v>
      </c>
      <c r="F6" s="951">
        <f>(AJ6*KFC!$B$39+KFC!$C$39)*курс_уе</f>
        <v>40.83</v>
      </c>
      <c r="G6" s="951">
        <f>(AK6*KFC!$B$39+KFC!$C$39)*курс_уе</f>
        <v>44.39</v>
      </c>
      <c r="H6" s="951">
        <f>(AL6*KFC!$B$39+KFC!$C$39)*курс_уе</f>
        <v>47.84</v>
      </c>
      <c r="I6" s="951">
        <f>(AM6*KFC!$B$39+KFC!$C$39)*курс_уе</f>
        <v>51.29</v>
      </c>
      <c r="J6" s="951">
        <f>(AN6*KFC!$B$39+KFC!$C$39)*курс_уе</f>
        <v>54.74</v>
      </c>
      <c r="K6" s="951">
        <f>(AO6*KFC!$B$39+KFC!$C$39)*курс_уе</f>
        <v>58.31</v>
      </c>
      <c r="L6" s="951">
        <f>(AP6*KFC!$B$39+KFC!$C$39)*курс_уе</f>
        <v>61.76</v>
      </c>
      <c r="M6" s="951">
        <f>(AQ6*KFC!$B$39+KFC!$C$39)*курс_уе</f>
        <v>65.209999999999994</v>
      </c>
      <c r="N6" s="951">
        <f>(AR6*KFC!$B$39+KFC!$C$39)*курс_уе</f>
        <v>68.66</v>
      </c>
      <c r="O6" s="951">
        <f>(AS6*KFC!$B$39+KFC!$C$39)*курс_уе</f>
        <v>72.22</v>
      </c>
      <c r="P6" s="951">
        <f>(AT6*KFC!$B$39+KFC!$C$39)*курс_уе</f>
        <v>75.67</v>
      </c>
      <c r="Q6" s="951">
        <f>(AU6*KFC!$B$39+KFC!$C$39)*курс_уе</f>
        <v>79.239999999999995</v>
      </c>
      <c r="R6" s="951">
        <f>(AV6*KFC!$B$39+KFC!$C$39)*курс_уе</f>
        <v>82.8</v>
      </c>
      <c r="S6" s="951">
        <f>(AW6*KFC!$B$39+KFC!$C$39)*курс_уе</f>
        <v>86.25</v>
      </c>
      <c r="T6" s="951">
        <f>(AX6*KFC!$B$39+KFC!$C$39)*курс_уе</f>
        <v>89.7</v>
      </c>
      <c r="U6" s="951">
        <f>(AY6*KFC!$B$39+KFC!$C$39)*курс_уе</f>
        <v>93.27</v>
      </c>
      <c r="V6" s="951">
        <f>(AZ6*KFC!$B$39+KFC!$C$39)*курс_уе</f>
        <v>96.72</v>
      </c>
      <c r="W6" s="951">
        <f>(BA6*KFC!$B$39+KFC!$C$39)*курс_уе</f>
        <v>100.17</v>
      </c>
      <c r="X6" s="951">
        <f>(BB6*KFC!$B$39+KFC!$C$39)*курс_уе</f>
        <v>103.62</v>
      </c>
      <c r="Y6" s="951">
        <f>(BC6*KFC!$B$39+KFC!$C$39)*курс_уе</f>
        <v>107.18</v>
      </c>
      <c r="Z6" s="951">
        <f>(BD6*KFC!$B$39+KFC!$C$39)*курс_уе</f>
        <v>110.63</v>
      </c>
      <c r="AA6" s="951">
        <f>(BE6*KFC!$B$39+KFC!$C$39)*курс_уе</f>
        <v>114.08</v>
      </c>
      <c r="AB6" s="951">
        <f>(BF6*KFC!$B$39+KFC!$C$39)*курс_уе</f>
        <v>117.53</v>
      </c>
      <c r="AC6" s="951">
        <f>(BG6*KFC!$B$39+KFC!$C$39)*курс_уе</f>
        <v>121.1</v>
      </c>
      <c r="AF6" s="950">
        <v>0.6</v>
      </c>
      <c r="AG6" s="952">
        <v>30.36</v>
      </c>
      <c r="AH6" s="952">
        <v>33.93</v>
      </c>
      <c r="AI6" s="952">
        <v>37.380000000000003</v>
      </c>
      <c r="AJ6" s="952">
        <v>40.83</v>
      </c>
      <c r="AK6" s="952">
        <v>44.39</v>
      </c>
      <c r="AL6" s="952">
        <v>47.84</v>
      </c>
      <c r="AM6" s="952">
        <v>51.29</v>
      </c>
      <c r="AN6" s="952">
        <v>54.74</v>
      </c>
      <c r="AO6" s="952">
        <v>58.31</v>
      </c>
      <c r="AP6" s="952">
        <v>61.76</v>
      </c>
      <c r="AQ6" s="952">
        <v>65.209999999999994</v>
      </c>
      <c r="AR6" s="952">
        <v>68.66</v>
      </c>
      <c r="AS6" s="952">
        <v>72.22</v>
      </c>
      <c r="AT6" s="952">
        <v>75.67</v>
      </c>
      <c r="AU6" s="952">
        <v>79.239999999999995</v>
      </c>
      <c r="AV6" s="952">
        <v>82.8</v>
      </c>
      <c r="AW6" s="952">
        <v>86.25</v>
      </c>
      <c r="AX6" s="952">
        <v>89.7</v>
      </c>
      <c r="AY6" s="952">
        <v>93.27</v>
      </c>
      <c r="AZ6" s="952">
        <v>96.72</v>
      </c>
      <c r="BA6" s="952">
        <v>100.17</v>
      </c>
      <c r="BB6" s="952">
        <v>103.62</v>
      </c>
      <c r="BC6" s="952">
        <v>107.18</v>
      </c>
      <c r="BD6" s="952">
        <v>110.63</v>
      </c>
      <c r="BE6" s="952">
        <v>114.08</v>
      </c>
      <c r="BF6" s="952">
        <v>117.53</v>
      </c>
      <c r="BG6" s="952">
        <v>121.1</v>
      </c>
    </row>
    <row r="7" spans="1:59">
      <c r="A7" s="2134"/>
      <c r="B7" s="262">
        <v>0.7</v>
      </c>
      <c r="C7" s="951">
        <f>(AG7*KFC!$B$39+KFC!$C$39)*курс_уе</f>
        <v>34.159999999999997</v>
      </c>
      <c r="D7" s="951">
        <f>(AH7*KFC!$B$39+KFC!$C$39)*курс_уе</f>
        <v>37.72</v>
      </c>
      <c r="E7" s="951">
        <f>(AI7*KFC!$B$39+KFC!$C$39)*курс_уе</f>
        <v>41.17</v>
      </c>
      <c r="F7" s="951">
        <f>(AJ7*KFC!$B$39+KFC!$C$39)*курс_уе</f>
        <v>44.74</v>
      </c>
      <c r="G7" s="951">
        <f>(AK7*KFC!$B$39+KFC!$C$39)*курс_уе</f>
        <v>48.3</v>
      </c>
      <c r="H7" s="951">
        <f>(AL7*KFC!$B$39+KFC!$C$39)*курс_уе</f>
        <v>51.75</v>
      </c>
      <c r="I7" s="951">
        <f>(AM7*KFC!$B$39+KFC!$C$39)*курс_уе</f>
        <v>55.2</v>
      </c>
      <c r="J7" s="951">
        <f>(AN7*KFC!$B$39+KFC!$C$39)*курс_уе</f>
        <v>58.77</v>
      </c>
      <c r="K7" s="951">
        <f>(AO7*KFC!$B$39+KFC!$C$39)*курс_уе</f>
        <v>62.22</v>
      </c>
      <c r="L7" s="951">
        <f>(AP7*KFC!$B$39+KFC!$C$39)*курс_уе</f>
        <v>65.67</v>
      </c>
      <c r="M7" s="951">
        <f>(AQ7*KFC!$B$39+KFC!$C$39)*курс_уе</f>
        <v>69.12</v>
      </c>
      <c r="N7" s="951">
        <f>(AR7*KFC!$B$39+KFC!$C$39)*курс_уе</f>
        <v>72.680000000000007</v>
      </c>
      <c r="O7" s="951">
        <f>(AS7*KFC!$B$39+KFC!$C$39)*курс_уе</f>
        <v>76.25</v>
      </c>
      <c r="P7" s="951">
        <f>(AT7*KFC!$B$39+KFC!$C$39)*курс_уе</f>
        <v>79.7</v>
      </c>
      <c r="Q7" s="951">
        <f>(AU7*KFC!$B$39+KFC!$C$39)*курс_уе</f>
        <v>83.26</v>
      </c>
      <c r="R7" s="951">
        <f>(AV7*KFC!$B$39+KFC!$C$39)*курс_уе</f>
        <v>86.71</v>
      </c>
      <c r="S7" s="951">
        <f>(AW7*KFC!$B$39+KFC!$C$39)*курс_уе</f>
        <v>90.16</v>
      </c>
      <c r="T7" s="951">
        <f>(AX7*KFC!$B$39+KFC!$C$39)*курс_уе</f>
        <v>93.61</v>
      </c>
      <c r="U7" s="951">
        <f>(AY7*KFC!$B$39+KFC!$C$39)*курс_уе</f>
        <v>97.18</v>
      </c>
      <c r="V7" s="951">
        <f>(AZ7*KFC!$B$39+KFC!$C$39)*курс_уе</f>
        <v>100.63</v>
      </c>
      <c r="W7" s="951">
        <f>(BA7*KFC!$B$39+KFC!$C$39)*курс_уе</f>
        <v>104.08</v>
      </c>
      <c r="X7" s="951">
        <f>(BB7*KFC!$B$39+KFC!$C$39)*курс_уе</f>
        <v>107.76</v>
      </c>
      <c r="Y7" s="951">
        <f>(BC7*KFC!$B$39+KFC!$C$39)*курс_уе</f>
        <v>111.21</v>
      </c>
      <c r="Z7" s="951">
        <f>(BD7*KFC!$B$39+KFC!$C$39)*курс_уе</f>
        <v>114.66</v>
      </c>
      <c r="AA7" s="951">
        <f>(BE7*KFC!$B$39+KFC!$C$39)*курс_уе</f>
        <v>118.22</v>
      </c>
      <c r="AB7" s="951">
        <f>(BF7*KFC!$B$39+KFC!$C$39)*курс_уе</f>
        <v>121.67</v>
      </c>
      <c r="AC7" s="951">
        <f>(BG7*KFC!$B$39+KFC!$C$39)*курс_уе</f>
        <v>125.12</v>
      </c>
      <c r="AF7" s="950">
        <v>0.7</v>
      </c>
      <c r="AG7" s="952">
        <v>34.159999999999997</v>
      </c>
      <c r="AH7" s="952">
        <v>37.72</v>
      </c>
      <c r="AI7" s="952">
        <v>41.17</v>
      </c>
      <c r="AJ7" s="952">
        <v>44.74</v>
      </c>
      <c r="AK7" s="952">
        <v>48.3</v>
      </c>
      <c r="AL7" s="952">
        <v>51.75</v>
      </c>
      <c r="AM7" s="952">
        <v>55.2</v>
      </c>
      <c r="AN7" s="952">
        <v>58.77</v>
      </c>
      <c r="AO7" s="952">
        <v>62.22</v>
      </c>
      <c r="AP7" s="952">
        <v>65.67</v>
      </c>
      <c r="AQ7" s="952">
        <v>69.12</v>
      </c>
      <c r="AR7" s="952">
        <v>72.680000000000007</v>
      </c>
      <c r="AS7" s="952">
        <v>76.25</v>
      </c>
      <c r="AT7" s="952">
        <v>79.7</v>
      </c>
      <c r="AU7" s="952">
        <v>83.26</v>
      </c>
      <c r="AV7" s="952">
        <v>86.71</v>
      </c>
      <c r="AW7" s="952">
        <v>90.16</v>
      </c>
      <c r="AX7" s="952">
        <v>93.61</v>
      </c>
      <c r="AY7" s="952">
        <v>97.18</v>
      </c>
      <c r="AZ7" s="952">
        <v>100.63</v>
      </c>
      <c r="BA7" s="952">
        <v>104.08</v>
      </c>
      <c r="BB7" s="952">
        <v>107.76</v>
      </c>
      <c r="BC7" s="952">
        <v>111.21</v>
      </c>
      <c r="BD7" s="952">
        <v>114.66</v>
      </c>
      <c r="BE7" s="952">
        <v>118.22</v>
      </c>
      <c r="BF7" s="952">
        <v>121.67</v>
      </c>
      <c r="BG7" s="952">
        <v>125.12</v>
      </c>
    </row>
    <row r="8" spans="1:59">
      <c r="A8" s="2134"/>
      <c r="B8" s="262">
        <v>0.8</v>
      </c>
      <c r="C8" s="951">
        <f>(AG8*KFC!$B$39+KFC!$C$39)*курс_уе</f>
        <v>38.18</v>
      </c>
      <c r="D8" s="951">
        <f>(AH8*KFC!$B$39+KFC!$C$39)*курс_уе</f>
        <v>41.63</v>
      </c>
      <c r="E8" s="951">
        <f>(AI8*KFC!$B$39+KFC!$C$39)*курс_уе</f>
        <v>45.08</v>
      </c>
      <c r="F8" s="951">
        <f>(AJ8*KFC!$B$39+KFC!$C$39)*курс_уе</f>
        <v>48.53</v>
      </c>
      <c r="G8" s="951">
        <f>(AK8*KFC!$B$39+KFC!$C$39)*курс_уе</f>
        <v>52.1</v>
      </c>
      <c r="H8" s="951">
        <f>(AL8*KFC!$B$39+KFC!$C$39)*курс_уе</f>
        <v>55.55</v>
      </c>
      <c r="I8" s="951">
        <f>(AM8*KFC!$B$39+KFC!$C$39)*курс_уе</f>
        <v>59.11</v>
      </c>
      <c r="J8" s="951">
        <f>(AN8*KFC!$B$39+KFC!$C$39)*курс_уе</f>
        <v>62.68</v>
      </c>
      <c r="K8" s="951">
        <f>(AO8*KFC!$B$39+KFC!$C$39)*курс_уе</f>
        <v>66.13</v>
      </c>
      <c r="L8" s="951">
        <f>(AP8*KFC!$B$39+KFC!$C$39)*курс_уе</f>
        <v>69.58</v>
      </c>
      <c r="M8" s="951">
        <f>(AQ8*KFC!$B$39+KFC!$C$39)*курс_уе</f>
        <v>73.14</v>
      </c>
      <c r="N8" s="951">
        <f>(AR8*KFC!$B$39+KFC!$C$39)*курс_уе</f>
        <v>76.59</v>
      </c>
      <c r="O8" s="951">
        <f>(AS8*KFC!$B$39+KFC!$C$39)*курс_уе</f>
        <v>80.16</v>
      </c>
      <c r="P8" s="951">
        <f>(AT8*KFC!$B$39+KFC!$C$39)*курс_уе</f>
        <v>83.72</v>
      </c>
      <c r="Q8" s="951">
        <f>(AU8*KFC!$B$39+KFC!$C$39)*курс_уе</f>
        <v>87.17</v>
      </c>
      <c r="R8" s="951">
        <f>(AV8*KFC!$B$39+KFC!$C$39)*курс_уе</f>
        <v>90.62</v>
      </c>
      <c r="S8" s="951">
        <f>(AW8*KFC!$B$39+KFC!$C$39)*курс_уе</f>
        <v>94.07</v>
      </c>
      <c r="T8" s="951">
        <f>(AX8*KFC!$B$39+KFC!$C$39)*курс_уе</f>
        <v>97.75</v>
      </c>
      <c r="U8" s="951">
        <f>(AY8*KFC!$B$39+KFC!$C$39)*курс_уе</f>
        <v>101.2</v>
      </c>
      <c r="V8" s="951">
        <f>(AZ8*KFC!$B$39+KFC!$C$39)*курс_уе</f>
        <v>104.77</v>
      </c>
      <c r="W8" s="951">
        <f>(BA8*KFC!$B$39+KFC!$C$39)*курс_уе</f>
        <v>108.22</v>
      </c>
      <c r="X8" s="951">
        <f>(BB8*KFC!$B$39+KFC!$C$39)*курс_уе</f>
        <v>111.67</v>
      </c>
      <c r="Y8" s="951">
        <f>(BC8*KFC!$B$39+KFC!$C$39)*курс_уе</f>
        <v>115.12</v>
      </c>
      <c r="Z8" s="951">
        <f>(BD8*KFC!$B$39+KFC!$C$39)*курс_уе</f>
        <v>118.8</v>
      </c>
      <c r="AA8" s="951">
        <f>(BE8*KFC!$B$39+KFC!$C$39)*курс_уе</f>
        <v>122.25</v>
      </c>
      <c r="AB8" s="951">
        <f>(BF8*KFC!$B$39+KFC!$C$39)*курс_уе</f>
        <v>125.7</v>
      </c>
      <c r="AC8" s="951">
        <f>(BG8*KFC!$B$39+KFC!$C$39)*курс_уе</f>
        <v>129.26</v>
      </c>
      <c r="AF8" s="950">
        <v>0.8</v>
      </c>
      <c r="AG8" s="952">
        <v>38.18</v>
      </c>
      <c r="AH8" s="952">
        <v>41.63</v>
      </c>
      <c r="AI8" s="952">
        <v>45.08</v>
      </c>
      <c r="AJ8" s="952">
        <v>48.53</v>
      </c>
      <c r="AK8" s="952">
        <v>52.1</v>
      </c>
      <c r="AL8" s="952">
        <v>55.55</v>
      </c>
      <c r="AM8" s="952">
        <v>59.11</v>
      </c>
      <c r="AN8" s="952">
        <v>62.68</v>
      </c>
      <c r="AO8" s="952">
        <v>66.13</v>
      </c>
      <c r="AP8" s="952">
        <v>69.58</v>
      </c>
      <c r="AQ8" s="952">
        <v>73.14</v>
      </c>
      <c r="AR8" s="952">
        <v>76.59</v>
      </c>
      <c r="AS8" s="952">
        <v>80.16</v>
      </c>
      <c r="AT8" s="952">
        <v>83.72</v>
      </c>
      <c r="AU8" s="952">
        <v>87.17</v>
      </c>
      <c r="AV8" s="952">
        <v>90.62</v>
      </c>
      <c r="AW8" s="952">
        <v>94.07</v>
      </c>
      <c r="AX8" s="952">
        <v>97.75</v>
      </c>
      <c r="AY8" s="952">
        <v>101.2</v>
      </c>
      <c r="AZ8" s="952">
        <v>104.77</v>
      </c>
      <c r="BA8" s="952">
        <v>108.22</v>
      </c>
      <c r="BB8" s="952">
        <v>111.67</v>
      </c>
      <c r="BC8" s="952">
        <v>115.12</v>
      </c>
      <c r="BD8" s="952">
        <v>118.8</v>
      </c>
      <c r="BE8" s="952">
        <v>122.25</v>
      </c>
      <c r="BF8" s="952">
        <v>125.7</v>
      </c>
      <c r="BG8" s="952">
        <v>129.26</v>
      </c>
    </row>
    <row r="9" spans="1:59">
      <c r="A9" s="2134"/>
      <c r="B9" s="262">
        <v>0.9</v>
      </c>
      <c r="C9" s="951">
        <f>(AG9*KFC!$B$39+KFC!$C$39)*курс_уе</f>
        <v>41.86</v>
      </c>
      <c r="D9" s="951">
        <f>(AH9*KFC!$B$39+KFC!$C$39)*курс_уе</f>
        <v>45.43</v>
      </c>
      <c r="E9" s="951">
        <f>(AI9*KFC!$B$39+KFC!$C$39)*курс_уе</f>
        <v>48.88</v>
      </c>
      <c r="F9" s="951">
        <f>(AJ9*KFC!$B$39+KFC!$C$39)*курс_уе</f>
        <v>52.56</v>
      </c>
      <c r="G9" s="951">
        <f>(AK9*KFC!$B$39+KFC!$C$39)*курс_уе</f>
        <v>56.01</v>
      </c>
      <c r="H9" s="951">
        <f>(AL9*KFC!$B$39+KFC!$C$39)*курс_уе</f>
        <v>59.46</v>
      </c>
      <c r="I9" s="951">
        <f>(AM9*KFC!$B$39+KFC!$C$39)*курс_уе</f>
        <v>62.91</v>
      </c>
      <c r="J9" s="951">
        <f>(AN9*KFC!$B$39+KFC!$C$39)*курс_уе</f>
        <v>66.59</v>
      </c>
      <c r="K9" s="951">
        <f>(AO9*KFC!$B$39+KFC!$C$39)*курс_уе</f>
        <v>70.040000000000006</v>
      </c>
      <c r="L9" s="951">
        <f>(AP9*KFC!$B$39+KFC!$C$39)*курс_уе</f>
        <v>73.489999999999995</v>
      </c>
      <c r="M9" s="951">
        <f>(AQ9*KFC!$B$39+KFC!$C$39)*курс_уе</f>
        <v>77.05</v>
      </c>
      <c r="N9" s="951">
        <f>(AR9*KFC!$B$39+KFC!$C$39)*курс_уе</f>
        <v>80.62</v>
      </c>
      <c r="O9" s="951">
        <f>(AS9*KFC!$B$39+KFC!$C$39)*курс_уе</f>
        <v>84.18</v>
      </c>
      <c r="P9" s="951">
        <f>(AT9*KFC!$B$39+KFC!$C$39)*курс_уе</f>
        <v>87.63</v>
      </c>
      <c r="Q9" s="951">
        <f>(AU9*KFC!$B$39+KFC!$C$39)*курс_уе</f>
        <v>91.08</v>
      </c>
      <c r="R9" s="951">
        <f>(AV9*KFC!$B$39+KFC!$C$39)*курс_уе</f>
        <v>94.76</v>
      </c>
      <c r="S9" s="951">
        <f>(AW9*KFC!$B$39+KFC!$C$39)*курс_уе</f>
        <v>98.21</v>
      </c>
      <c r="T9" s="951">
        <f>(AX9*KFC!$B$39+KFC!$C$39)*курс_уе</f>
        <v>101.66</v>
      </c>
      <c r="U9" s="951">
        <f>(AY9*KFC!$B$39+KFC!$C$39)*курс_уе</f>
        <v>105.11</v>
      </c>
      <c r="V9" s="951">
        <f>(AZ9*KFC!$B$39+KFC!$C$39)*курс_уе</f>
        <v>108.79</v>
      </c>
      <c r="W9" s="951">
        <f>(BA9*KFC!$B$39+KFC!$C$39)*курс_уе</f>
        <v>112.24</v>
      </c>
      <c r="X9" s="951">
        <f>(BB9*KFC!$B$39+KFC!$C$39)*курс_уе</f>
        <v>115.81</v>
      </c>
      <c r="Y9" s="951">
        <f>(BC9*KFC!$B$39+KFC!$C$39)*курс_уе</f>
        <v>119.26</v>
      </c>
      <c r="Z9" s="951">
        <f>(BD9*KFC!$B$39+KFC!$C$39)*курс_уе</f>
        <v>122.82</v>
      </c>
      <c r="AA9" s="951">
        <f>(BE9*KFC!$B$39+KFC!$C$39)*курс_уе</f>
        <v>126.39</v>
      </c>
      <c r="AB9" s="951">
        <f>(BF9*KFC!$B$39+KFC!$C$39)*курс_уе</f>
        <v>129.84</v>
      </c>
      <c r="AC9" s="951">
        <f>(BG9*KFC!$B$39+KFC!$C$39)*курс_уе</f>
        <v>133.29</v>
      </c>
      <c r="AF9" s="950">
        <v>0.9</v>
      </c>
      <c r="AG9" s="952">
        <v>41.86</v>
      </c>
      <c r="AH9" s="952">
        <v>45.43</v>
      </c>
      <c r="AI9" s="952">
        <v>48.88</v>
      </c>
      <c r="AJ9" s="952">
        <v>52.56</v>
      </c>
      <c r="AK9" s="952">
        <v>56.01</v>
      </c>
      <c r="AL9" s="952">
        <v>59.46</v>
      </c>
      <c r="AM9" s="952">
        <v>62.91</v>
      </c>
      <c r="AN9" s="952">
        <v>66.59</v>
      </c>
      <c r="AO9" s="952">
        <v>70.040000000000006</v>
      </c>
      <c r="AP9" s="952">
        <v>73.489999999999995</v>
      </c>
      <c r="AQ9" s="952">
        <v>77.05</v>
      </c>
      <c r="AR9" s="952">
        <v>80.62</v>
      </c>
      <c r="AS9" s="952">
        <v>84.18</v>
      </c>
      <c r="AT9" s="952">
        <v>87.63</v>
      </c>
      <c r="AU9" s="952">
        <v>91.08</v>
      </c>
      <c r="AV9" s="952">
        <v>94.76</v>
      </c>
      <c r="AW9" s="952">
        <v>98.21</v>
      </c>
      <c r="AX9" s="952">
        <v>101.66</v>
      </c>
      <c r="AY9" s="952">
        <v>105.11</v>
      </c>
      <c r="AZ9" s="952">
        <v>108.79</v>
      </c>
      <c r="BA9" s="952">
        <v>112.24</v>
      </c>
      <c r="BB9" s="952">
        <v>115.81</v>
      </c>
      <c r="BC9" s="952">
        <v>119.26</v>
      </c>
      <c r="BD9" s="952">
        <v>122.82</v>
      </c>
      <c r="BE9" s="952">
        <v>126.39</v>
      </c>
      <c r="BF9" s="952">
        <v>129.84</v>
      </c>
      <c r="BG9" s="952">
        <v>133.29</v>
      </c>
    </row>
    <row r="10" spans="1:59">
      <c r="A10" s="2134"/>
      <c r="B10" s="262">
        <v>1</v>
      </c>
      <c r="C10" s="951">
        <f>(AG10*KFC!$B$39+KFC!$C$39)*курс_уе</f>
        <v>45.66</v>
      </c>
      <c r="D10" s="951">
        <f>(AH10*KFC!$B$39+KFC!$C$39)*курс_уе</f>
        <v>49.22</v>
      </c>
      <c r="E10" s="951">
        <f>(AI10*KFC!$B$39+KFC!$C$39)*курс_уе</f>
        <v>52.79</v>
      </c>
      <c r="F10" s="951">
        <f>(AJ10*KFC!$B$39+KFC!$C$39)*курс_уе</f>
        <v>56.24</v>
      </c>
      <c r="G10" s="951">
        <f>(AK10*KFC!$B$39+KFC!$C$39)*курс_уе</f>
        <v>59.8</v>
      </c>
      <c r="H10" s="951">
        <f>(AL10*KFC!$B$39+KFC!$C$39)*курс_уе</f>
        <v>63.37</v>
      </c>
      <c r="I10" s="951">
        <f>(AM10*KFC!$B$39+KFC!$C$39)*курс_уе</f>
        <v>66.930000000000007</v>
      </c>
      <c r="J10" s="951">
        <f>(AN10*KFC!$B$39+KFC!$C$39)*курс_уе</f>
        <v>70.38</v>
      </c>
      <c r="K10" s="951">
        <f>(AO10*KFC!$B$39+KFC!$C$39)*курс_уе</f>
        <v>73.95</v>
      </c>
      <c r="L10" s="951">
        <f>(AP10*KFC!$B$39+KFC!$C$39)*курс_уе</f>
        <v>77.510000000000005</v>
      </c>
      <c r="M10" s="951">
        <f>(AQ10*KFC!$B$39+KFC!$C$39)*курс_уе</f>
        <v>80.959999999999994</v>
      </c>
      <c r="N10" s="951">
        <f>(AR10*KFC!$B$39+KFC!$C$39)*курс_уе</f>
        <v>84.64</v>
      </c>
      <c r="O10" s="951">
        <f>(AS10*KFC!$B$39+KFC!$C$39)*курс_уе</f>
        <v>88.09</v>
      </c>
      <c r="P10" s="951">
        <f>(AT10*KFC!$B$39+KFC!$C$39)*курс_уе</f>
        <v>91.54</v>
      </c>
      <c r="Q10" s="951">
        <f>(AU10*KFC!$B$39+KFC!$C$39)*курс_уе</f>
        <v>94.99</v>
      </c>
      <c r="R10" s="951">
        <f>(AV10*KFC!$B$39+KFC!$C$39)*курс_уе</f>
        <v>98.67</v>
      </c>
      <c r="S10" s="951">
        <f>(AW10*KFC!$B$39+KFC!$C$39)*курс_уе</f>
        <v>102.12</v>
      </c>
      <c r="T10" s="951">
        <f>(AX10*KFC!$B$39+KFC!$C$39)*курс_уе</f>
        <v>105.57</v>
      </c>
      <c r="U10" s="951">
        <f>(AY10*KFC!$B$39+KFC!$C$39)*курс_уе</f>
        <v>109.25</v>
      </c>
      <c r="V10" s="951">
        <f>(AZ10*KFC!$B$39+KFC!$C$39)*курс_уе</f>
        <v>112.7</v>
      </c>
      <c r="W10" s="951">
        <f>(BA10*KFC!$B$39+KFC!$C$39)*курс_уе</f>
        <v>116.27</v>
      </c>
      <c r="X10" s="951">
        <f>(BB10*KFC!$B$39+KFC!$C$39)*курс_уе</f>
        <v>119.83</v>
      </c>
      <c r="Y10" s="951">
        <f>(BC10*KFC!$B$39+KFC!$C$39)*курс_уе</f>
        <v>123.28</v>
      </c>
      <c r="Z10" s="951">
        <f>(BD10*KFC!$B$39+KFC!$C$39)*курс_уе</f>
        <v>126.85</v>
      </c>
      <c r="AA10" s="951">
        <f>(BE10*KFC!$B$39+KFC!$C$39)*курс_уе</f>
        <v>130.41</v>
      </c>
      <c r="AB10" s="951">
        <f>(BF10*KFC!$B$39+KFC!$C$39)*курс_уе</f>
        <v>133.86000000000001</v>
      </c>
      <c r="AC10" s="951">
        <f>(BG10*KFC!$B$39+KFC!$C$39)*курс_уе</f>
        <v>137.43</v>
      </c>
      <c r="AF10" s="950">
        <v>1</v>
      </c>
      <c r="AG10" s="952">
        <v>45.66</v>
      </c>
      <c r="AH10" s="952">
        <v>49.22</v>
      </c>
      <c r="AI10" s="952">
        <v>52.79</v>
      </c>
      <c r="AJ10" s="952">
        <v>56.24</v>
      </c>
      <c r="AK10" s="952">
        <v>59.8</v>
      </c>
      <c r="AL10" s="952">
        <v>63.37</v>
      </c>
      <c r="AM10" s="952">
        <v>66.930000000000007</v>
      </c>
      <c r="AN10" s="952">
        <v>70.38</v>
      </c>
      <c r="AO10" s="952">
        <v>73.95</v>
      </c>
      <c r="AP10" s="952">
        <v>77.510000000000005</v>
      </c>
      <c r="AQ10" s="952">
        <v>80.959999999999994</v>
      </c>
      <c r="AR10" s="952">
        <v>84.64</v>
      </c>
      <c r="AS10" s="952">
        <v>88.09</v>
      </c>
      <c r="AT10" s="952">
        <v>91.54</v>
      </c>
      <c r="AU10" s="952">
        <v>94.99</v>
      </c>
      <c r="AV10" s="952">
        <v>98.67</v>
      </c>
      <c r="AW10" s="952">
        <v>102.12</v>
      </c>
      <c r="AX10" s="952">
        <v>105.57</v>
      </c>
      <c r="AY10" s="952">
        <v>109.25</v>
      </c>
      <c r="AZ10" s="952">
        <v>112.7</v>
      </c>
      <c r="BA10" s="952">
        <v>116.27</v>
      </c>
      <c r="BB10" s="952">
        <v>119.83</v>
      </c>
      <c r="BC10" s="952">
        <v>123.28</v>
      </c>
      <c r="BD10" s="952">
        <v>126.85</v>
      </c>
      <c r="BE10" s="952">
        <v>130.41</v>
      </c>
      <c r="BF10" s="952">
        <v>133.86000000000001</v>
      </c>
      <c r="BG10" s="952">
        <v>137.43</v>
      </c>
    </row>
    <row r="11" spans="1:59">
      <c r="A11" s="2134"/>
      <c r="B11" s="262">
        <v>1.1000000000000001</v>
      </c>
      <c r="C11" s="951">
        <f>(AG11*KFC!$B$39+KFC!$C$39)*курс_уе</f>
        <v>49.45</v>
      </c>
      <c r="D11" s="951">
        <f>(AH11*KFC!$B$39+KFC!$C$39)*курс_уе</f>
        <v>53.13</v>
      </c>
      <c r="E11" s="951">
        <f>(AI11*KFC!$B$39+KFC!$C$39)*курс_уе</f>
        <v>56.58</v>
      </c>
      <c r="F11" s="951">
        <f>(AJ11*KFC!$B$39+KFC!$C$39)*курс_уе</f>
        <v>60.03</v>
      </c>
      <c r="G11" s="951">
        <f>(AK11*KFC!$B$39+KFC!$C$39)*курс_уе</f>
        <v>63.71</v>
      </c>
      <c r="H11" s="951">
        <f>(AL11*KFC!$B$39+KFC!$C$39)*курс_уе</f>
        <v>67.16</v>
      </c>
      <c r="I11" s="951">
        <f>(AM11*KFC!$B$39+KFC!$C$39)*курс_уе</f>
        <v>70.84</v>
      </c>
      <c r="J11" s="951">
        <f>(AN11*KFC!$B$39+KFC!$C$39)*курс_уе</f>
        <v>74.290000000000006</v>
      </c>
      <c r="K11" s="951">
        <f>(AO11*KFC!$B$39+KFC!$C$39)*курс_уе</f>
        <v>77.739999999999995</v>
      </c>
      <c r="L11" s="951">
        <f>(AP11*KFC!$B$39+KFC!$C$39)*курс_уе</f>
        <v>81.42</v>
      </c>
      <c r="M11" s="951">
        <f>(AQ11*KFC!$B$39+KFC!$C$39)*курс_уе</f>
        <v>84.87</v>
      </c>
      <c r="N11" s="951">
        <f>(AR11*KFC!$B$39+KFC!$C$39)*курс_уе</f>
        <v>88.55</v>
      </c>
      <c r="O11" s="951">
        <f>(AS11*KFC!$B$39+KFC!$C$39)*курс_уе</f>
        <v>92</v>
      </c>
      <c r="P11" s="951">
        <f>(AT11*KFC!$B$39+KFC!$C$39)*курс_уе</f>
        <v>95.45</v>
      </c>
      <c r="Q11" s="951">
        <f>(AU11*KFC!$B$39+KFC!$C$39)*курс_уе</f>
        <v>99.13</v>
      </c>
      <c r="R11" s="951">
        <f>(AV11*KFC!$B$39+KFC!$C$39)*курс_уе</f>
        <v>102.58</v>
      </c>
      <c r="S11" s="951">
        <f>(AW11*KFC!$B$39+KFC!$C$39)*курс_уе</f>
        <v>106.26</v>
      </c>
      <c r="T11" s="951">
        <f>(AX11*KFC!$B$39+KFC!$C$39)*курс_уе</f>
        <v>109.71</v>
      </c>
      <c r="U11" s="951">
        <f>(AY11*KFC!$B$39+KFC!$C$39)*курс_уе</f>
        <v>113.16</v>
      </c>
      <c r="V11" s="951">
        <f>(AZ11*KFC!$B$39+KFC!$C$39)*курс_уе</f>
        <v>116.84</v>
      </c>
      <c r="W11" s="951">
        <f>(BA11*KFC!$B$39+KFC!$C$39)*курс_уе</f>
        <v>120.29</v>
      </c>
      <c r="X11" s="951">
        <f>(BB11*KFC!$B$39+KFC!$C$39)*курс_уе</f>
        <v>123.74</v>
      </c>
      <c r="Y11" s="951">
        <f>(BC11*KFC!$B$39+KFC!$C$39)*курс_уе</f>
        <v>127.42</v>
      </c>
      <c r="Z11" s="951">
        <f>(BD11*KFC!$B$39+KFC!$C$39)*курс_уе</f>
        <v>130.87</v>
      </c>
      <c r="AA11" s="951">
        <f>(BE11*KFC!$B$39+KFC!$C$39)*курс_уе</f>
        <v>134.55000000000001</v>
      </c>
      <c r="AB11" s="951">
        <f>(BF11*KFC!$B$39+KFC!$C$39)*курс_уе</f>
        <v>138</v>
      </c>
      <c r="AC11" s="951">
        <f>(BG11*KFC!$B$39+KFC!$C$39)*курс_уе</f>
        <v>141.44999999999999</v>
      </c>
      <c r="AF11" s="950">
        <v>1.1000000000000001</v>
      </c>
      <c r="AG11" s="952">
        <v>49.45</v>
      </c>
      <c r="AH11" s="952">
        <v>53.13</v>
      </c>
      <c r="AI11" s="952">
        <v>56.58</v>
      </c>
      <c r="AJ11" s="952">
        <v>60.03</v>
      </c>
      <c r="AK11" s="952">
        <v>63.71</v>
      </c>
      <c r="AL11" s="952">
        <v>67.16</v>
      </c>
      <c r="AM11" s="952">
        <v>70.84</v>
      </c>
      <c r="AN11" s="952">
        <v>74.290000000000006</v>
      </c>
      <c r="AO11" s="952">
        <v>77.739999999999995</v>
      </c>
      <c r="AP11" s="952">
        <v>81.42</v>
      </c>
      <c r="AQ11" s="952">
        <v>84.87</v>
      </c>
      <c r="AR11" s="952">
        <v>88.55</v>
      </c>
      <c r="AS11" s="952">
        <v>92</v>
      </c>
      <c r="AT11" s="952">
        <v>95.45</v>
      </c>
      <c r="AU11" s="952">
        <v>99.13</v>
      </c>
      <c r="AV11" s="952">
        <v>102.58</v>
      </c>
      <c r="AW11" s="952">
        <v>106.26</v>
      </c>
      <c r="AX11" s="952">
        <v>109.71</v>
      </c>
      <c r="AY11" s="952">
        <v>113.16</v>
      </c>
      <c r="AZ11" s="952">
        <v>116.84</v>
      </c>
      <c r="BA11" s="952">
        <v>120.29</v>
      </c>
      <c r="BB11" s="952">
        <v>123.74</v>
      </c>
      <c r="BC11" s="952">
        <v>127.42</v>
      </c>
      <c r="BD11" s="952">
        <v>130.87</v>
      </c>
      <c r="BE11" s="952">
        <v>134.55000000000001</v>
      </c>
      <c r="BF11" s="952">
        <v>138</v>
      </c>
      <c r="BG11" s="952">
        <v>141.44999999999999</v>
      </c>
    </row>
    <row r="12" spans="1:59">
      <c r="A12" s="2134"/>
      <c r="B12" s="262">
        <v>1.2</v>
      </c>
      <c r="C12" s="951">
        <f>(AG12*KFC!$B$39+KFC!$C$39)*курс_уе</f>
        <v>53.36</v>
      </c>
      <c r="D12" s="951">
        <f>(AH12*KFC!$B$39+KFC!$C$39)*курс_уе</f>
        <v>56.93</v>
      </c>
      <c r="E12" s="951">
        <f>(AI12*KFC!$B$39+KFC!$C$39)*курс_уе</f>
        <v>60.38</v>
      </c>
      <c r="F12" s="951">
        <f>(AJ12*KFC!$B$39+KFC!$C$39)*курс_уе</f>
        <v>64.06</v>
      </c>
      <c r="G12" s="951">
        <f>(AK12*KFC!$B$39+KFC!$C$39)*курс_уе</f>
        <v>67.510000000000005</v>
      </c>
      <c r="H12" s="951">
        <f>(AL12*KFC!$B$39+KFC!$C$39)*курс_уе</f>
        <v>71.069999999999993</v>
      </c>
      <c r="I12" s="951">
        <f>(AM12*KFC!$B$39+KFC!$C$39)*курс_уе</f>
        <v>74.64</v>
      </c>
      <c r="J12" s="951">
        <f>(AN12*KFC!$B$39+KFC!$C$39)*курс_уе</f>
        <v>78.2</v>
      </c>
      <c r="K12" s="951">
        <f>(AO12*KFC!$B$39+KFC!$C$39)*курс_уе</f>
        <v>81.77</v>
      </c>
      <c r="L12" s="951">
        <f>(AP12*KFC!$B$39+KFC!$C$39)*курс_уе</f>
        <v>85.33</v>
      </c>
      <c r="M12" s="951">
        <f>(AQ12*KFC!$B$39+KFC!$C$39)*курс_уе</f>
        <v>88.78</v>
      </c>
      <c r="N12" s="951">
        <f>(AR12*KFC!$B$39+KFC!$C$39)*курс_уе</f>
        <v>92.46</v>
      </c>
      <c r="O12" s="951">
        <f>(AS12*KFC!$B$39+KFC!$C$39)*курс_уе</f>
        <v>95.91</v>
      </c>
      <c r="P12" s="951">
        <f>(AT12*KFC!$B$39+KFC!$C$39)*курс_уе</f>
        <v>99.59</v>
      </c>
      <c r="Q12" s="951">
        <f>(AU12*KFC!$B$39+KFC!$C$39)*курс_уе</f>
        <v>103.04</v>
      </c>
      <c r="R12" s="951">
        <f>(AV12*KFC!$B$39+KFC!$C$39)*курс_уе</f>
        <v>106.49</v>
      </c>
      <c r="S12" s="951">
        <f>(AW12*KFC!$B$39+KFC!$C$39)*курс_уе</f>
        <v>110.17</v>
      </c>
      <c r="T12" s="951">
        <f>(AX12*KFC!$B$39+KFC!$C$39)*курс_уе</f>
        <v>113.62</v>
      </c>
      <c r="U12" s="951">
        <f>(AY12*KFC!$B$39+KFC!$C$39)*курс_уе</f>
        <v>117.3</v>
      </c>
      <c r="V12" s="951">
        <f>(AZ12*KFC!$B$39+KFC!$C$39)*курс_уе</f>
        <v>120.75</v>
      </c>
      <c r="W12" s="951">
        <f>(BA12*KFC!$B$39+KFC!$C$39)*курс_уе</f>
        <v>124.43</v>
      </c>
      <c r="X12" s="951">
        <f>(BB12*KFC!$B$39+KFC!$C$39)*курс_уе</f>
        <v>127.88</v>
      </c>
      <c r="Y12" s="951">
        <f>(BC12*KFC!$B$39+KFC!$C$39)*курс_уе</f>
        <v>131.44999999999999</v>
      </c>
      <c r="Z12" s="951">
        <f>(BD12*KFC!$B$39+KFC!$C$39)*курс_уе</f>
        <v>135.01</v>
      </c>
      <c r="AA12" s="951">
        <f>(BE12*KFC!$B$39+KFC!$C$39)*курс_уе</f>
        <v>138.58000000000001</v>
      </c>
      <c r="AB12" s="951">
        <f>(BF12*KFC!$B$39+KFC!$C$39)*курс_уе</f>
        <v>142.13999999999999</v>
      </c>
      <c r="AC12" s="951">
        <f>(BG12*KFC!$B$39+KFC!$C$39)*курс_уе</f>
        <v>145.71</v>
      </c>
      <c r="AF12" s="950">
        <v>1.2</v>
      </c>
      <c r="AG12" s="952">
        <v>53.36</v>
      </c>
      <c r="AH12" s="952">
        <v>56.93</v>
      </c>
      <c r="AI12" s="952">
        <v>60.38</v>
      </c>
      <c r="AJ12" s="952">
        <v>64.06</v>
      </c>
      <c r="AK12" s="952">
        <v>67.510000000000005</v>
      </c>
      <c r="AL12" s="952">
        <v>71.069999999999993</v>
      </c>
      <c r="AM12" s="952">
        <v>74.64</v>
      </c>
      <c r="AN12" s="952">
        <v>78.2</v>
      </c>
      <c r="AO12" s="952">
        <v>81.77</v>
      </c>
      <c r="AP12" s="952">
        <v>85.33</v>
      </c>
      <c r="AQ12" s="952">
        <v>88.78</v>
      </c>
      <c r="AR12" s="952">
        <v>92.46</v>
      </c>
      <c r="AS12" s="952">
        <v>95.91</v>
      </c>
      <c r="AT12" s="952">
        <v>99.59</v>
      </c>
      <c r="AU12" s="952">
        <v>103.04</v>
      </c>
      <c r="AV12" s="952">
        <v>106.49</v>
      </c>
      <c r="AW12" s="952">
        <v>110.17</v>
      </c>
      <c r="AX12" s="952">
        <v>113.62</v>
      </c>
      <c r="AY12" s="952">
        <v>117.3</v>
      </c>
      <c r="AZ12" s="952">
        <v>120.75</v>
      </c>
      <c r="BA12" s="952">
        <v>124.43</v>
      </c>
      <c r="BB12" s="952">
        <v>127.88</v>
      </c>
      <c r="BC12" s="952">
        <v>131.44999999999999</v>
      </c>
      <c r="BD12" s="952">
        <v>135.01</v>
      </c>
      <c r="BE12" s="952">
        <v>138.58000000000001</v>
      </c>
      <c r="BF12" s="952">
        <v>142.13999999999999</v>
      </c>
      <c r="BG12" s="952">
        <v>145.71</v>
      </c>
    </row>
    <row r="13" spans="1:59">
      <c r="A13" s="2134"/>
      <c r="B13" s="262">
        <v>1.3</v>
      </c>
      <c r="C13" s="951">
        <f>(AG13*KFC!$B$39+KFC!$C$39)*курс_уе</f>
        <v>57.16</v>
      </c>
      <c r="D13" s="951">
        <f>(AH13*KFC!$B$39+KFC!$C$39)*курс_уе</f>
        <v>60.72</v>
      </c>
      <c r="E13" s="951">
        <f>(AI13*KFC!$B$39+KFC!$C$39)*курс_уе</f>
        <v>64.290000000000006</v>
      </c>
      <c r="F13" s="951">
        <f>(AJ13*KFC!$B$39+KFC!$C$39)*курс_уе</f>
        <v>67.739999999999995</v>
      </c>
      <c r="G13" s="951">
        <f>(AK13*KFC!$B$39+KFC!$C$39)*курс_уе</f>
        <v>71.42</v>
      </c>
      <c r="H13" s="951">
        <f>(AL13*KFC!$B$39+KFC!$C$39)*курс_уе</f>
        <v>74.87</v>
      </c>
      <c r="I13" s="951">
        <f>(AM13*KFC!$B$39+KFC!$C$39)*курс_уе</f>
        <v>78.55</v>
      </c>
      <c r="J13" s="951">
        <f>(AN13*KFC!$B$39+KFC!$C$39)*курс_уе</f>
        <v>82</v>
      </c>
      <c r="K13" s="951">
        <f>(AO13*KFC!$B$39+KFC!$C$39)*курс_уе</f>
        <v>85.68</v>
      </c>
      <c r="L13" s="951">
        <f>(AP13*KFC!$B$39+KFC!$C$39)*курс_уе</f>
        <v>89.24</v>
      </c>
      <c r="M13" s="951">
        <f>(AQ13*KFC!$B$39+KFC!$C$39)*курс_уе</f>
        <v>92.81</v>
      </c>
      <c r="N13" s="951">
        <f>(AR13*KFC!$B$39+KFC!$C$39)*курс_уе</f>
        <v>96.37</v>
      </c>
      <c r="O13" s="951">
        <f>(AS13*KFC!$B$39+KFC!$C$39)*курс_уе</f>
        <v>99.82</v>
      </c>
      <c r="P13" s="951">
        <f>(AT13*KFC!$B$39+KFC!$C$39)*курс_уе</f>
        <v>103.5</v>
      </c>
      <c r="Q13" s="951">
        <f>(AU13*KFC!$B$39+KFC!$C$39)*курс_уе</f>
        <v>106.95</v>
      </c>
      <c r="R13" s="951">
        <f>(AV13*KFC!$B$39+KFC!$C$39)*курс_уе</f>
        <v>110.63</v>
      </c>
      <c r="S13" s="951">
        <f>(AW13*KFC!$B$39+KFC!$C$39)*курс_уе</f>
        <v>114.08</v>
      </c>
      <c r="T13" s="951">
        <f>(AX13*KFC!$B$39+KFC!$C$39)*курс_уе</f>
        <v>117.76</v>
      </c>
      <c r="U13" s="951">
        <f>(AY13*KFC!$B$39+KFC!$C$39)*курс_уе</f>
        <v>121.21</v>
      </c>
      <c r="V13" s="951">
        <f>(AZ13*KFC!$B$39+KFC!$C$39)*курс_уе</f>
        <v>124.89</v>
      </c>
      <c r="W13" s="951">
        <f>(BA13*KFC!$B$39+KFC!$C$39)*курс_уе</f>
        <v>128.34</v>
      </c>
      <c r="X13" s="951">
        <f>(BB13*KFC!$B$39+KFC!$C$39)*курс_уе</f>
        <v>131.91</v>
      </c>
      <c r="Y13" s="951">
        <f>(BC13*KFC!$B$39+KFC!$C$39)*курс_уе</f>
        <v>135.47</v>
      </c>
      <c r="Z13" s="951">
        <f>(BD13*KFC!$B$39+KFC!$C$39)*курс_уе</f>
        <v>139.04</v>
      </c>
      <c r="AA13" s="951">
        <f>(BE13*KFC!$B$39+KFC!$C$39)*курс_уе</f>
        <v>142.72</v>
      </c>
      <c r="AB13" s="951">
        <f>(BF13*KFC!$B$39+KFC!$C$39)*курс_уе</f>
        <v>146.16999999999999</v>
      </c>
      <c r="AC13" s="951">
        <f>(BG13*KFC!$B$39+KFC!$C$39)*курс_уе</f>
        <v>149.85</v>
      </c>
      <c r="AF13" s="950">
        <v>1.3</v>
      </c>
      <c r="AG13" s="952">
        <v>57.16</v>
      </c>
      <c r="AH13" s="952">
        <v>60.72</v>
      </c>
      <c r="AI13" s="952">
        <v>64.290000000000006</v>
      </c>
      <c r="AJ13" s="952">
        <v>67.739999999999995</v>
      </c>
      <c r="AK13" s="952">
        <v>71.42</v>
      </c>
      <c r="AL13" s="952">
        <v>74.87</v>
      </c>
      <c r="AM13" s="952">
        <v>78.55</v>
      </c>
      <c r="AN13" s="952">
        <v>82</v>
      </c>
      <c r="AO13" s="952">
        <v>85.68</v>
      </c>
      <c r="AP13" s="952">
        <v>89.24</v>
      </c>
      <c r="AQ13" s="952">
        <v>92.81</v>
      </c>
      <c r="AR13" s="952">
        <v>96.37</v>
      </c>
      <c r="AS13" s="952">
        <v>99.82</v>
      </c>
      <c r="AT13" s="952">
        <v>103.5</v>
      </c>
      <c r="AU13" s="952">
        <v>106.95</v>
      </c>
      <c r="AV13" s="952">
        <v>110.63</v>
      </c>
      <c r="AW13" s="952">
        <v>114.08</v>
      </c>
      <c r="AX13" s="952">
        <v>117.76</v>
      </c>
      <c r="AY13" s="952">
        <v>121.21</v>
      </c>
      <c r="AZ13" s="952">
        <v>124.89</v>
      </c>
      <c r="BA13" s="952">
        <v>128.34</v>
      </c>
      <c r="BB13" s="952">
        <v>131.91</v>
      </c>
      <c r="BC13" s="952">
        <v>135.47</v>
      </c>
      <c r="BD13" s="952">
        <v>139.04</v>
      </c>
      <c r="BE13" s="952">
        <v>142.72</v>
      </c>
      <c r="BF13" s="952">
        <v>146.16999999999999</v>
      </c>
      <c r="BG13" s="952">
        <v>149.85</v>
      </c>
    </row>
    <row r="14" spans="1:59">
      <c r="A14" s="2134"/>
      <c r="B14" s="262">
        <v>1.4</v>
      </c>
      <c r="C14" s="951">
        <f>(AG14*KFC!$B$39+KFC!$C$39)*курс_уе</f>
        <v>60.95</v>
      </c>
      <c r="D14" s="951">
        <f>(AH14*KFC!$B$39+KFC!$C$39)*курс_уе</f>
        <v>64.63</v>
      </c>
      <c r="E14" s="951">
        <f>(AI14*KFC!$B$39+KFC!$C$39)*курс_уе</f>
        <v>68.08</v>
      </c>
      <c r="F14" s="951">
        <f>(AJ14*KFC!$B$39+KFC!$C$39)*курс_уе</f>
        <v>71.760000000000005</v>
      </c>
      <c r="G14" s="951">
        <f>(AK14*KFC!$B$39+KFC!$C$39)*курс_уе</f>
        <v>75.209999999999994</v>
      </c>
      <c r="H14" s="951">
        <f>(AL14*KFC!$B$39+KFC!$C$39)*курс_уе</f>
        <v>78.89</v>
      </c>
      <c r="I14" s="951">
        <f>(AM14*KFC!$B$39+KFC!$C$39)*курс_уе</f>
        <v>82.46</v>
      </c>
      <c r="J14" s="951">
        <f>(AN14*KFC!$B$39+KFC!$C$39)*курс_уе</f>
        <v>85.91</v>
      </c>
      <c r="K14" s="951">
        <f>(AO14*KFC!$B$39+KFC!$C$39)*курс_уе</f>
        <v>89.59</v>
      </c>
      <c r="L14" s="951">
        <f>(AP14*KFC!$B$39+KFC!$C$39)*курс_уе</f>
        <v>93.04</v>
      </c>
      <c r="M14" s="951">
        <f>(AQ14*KFC!$B$39+KFC!$C$39)*курс_уе</f>
        <v>96.72</v>
      </c>
      <c r="N14" s="951">
        <f>(AR14*KFC!$B$39+KFC!$C$39)*курс_уе</f>
        <v>100.28</v>
      </c>
      <c r="O14" s="951">
        <f>(AS14*KFC!$B$39+KFC!$C$39)*курс_уе</f>
        <v>103.85</v>
      </c>
      <c r="P14" s="951">
        <f>(AT14*KFC!$B$39+KFC!$C$39)*курс_уе</f>
        <v>107.41</v>
      </c>
      <c r="Q14" s="951">
        <f>(AU14*KFC!$B$39+KFC!$C$39)*курс_уе</f>
        <v>110.86</v>
      </c>
      <c r="R14" s="951">
        <f>(AV14*KFC!$B$39+KFC!$C$39)*курс_уе</f>
        <v>114.54</v>
      </c>
      <c r="S14" s="951">
        <f>(AW14*KFC!$B$39+KFC!$C$39)*курс_уе</f>
        <v>118.22</v>
      </c>
      <c r="T14" s="951">
        <f>(AX14*KFC!$B$39+KFC!$C$39)*курс_уе</f>
        <v>121.67</v>
      </c>
      <c r="U14" s="951">
        <f>(AY14*KFC!$B$39+KFC!$C$39)*курс_уе</f>
        <v>125.24</v>
      </c>
      <c r="V14" s="951">
        <f>(AZ14*KFC!$B$39+KFC!$C$39)*курс_уе</f>
        <v>128.80000000000001</v>
      </c>
      <c r="W14" s="951">
        <f>(BA14*KFC!$B$39+KFC!$C$39)*курс_уе</f>
        <v>132.37</v>
      </c>
      <c r="X14" s="951">
        <f>(BB14*KFC!$B$39+KFC!$C$39)*курс_уе</f>
        <v>136.05000000000001</v>
      </c>
      <c r="Y14" s="951">
        <f>(BC14*KFC!$B$39+KFC!$C$39)*курс_уе</f>
        <v>139.5</v>
      </c>
      <c r="Z14" s="951">
        <f>(BD14*KFC!$B$39+KFC!$C$39)*курс_уе</f>
        <v>143.18</v>
      </c>
      <c r="AA14" s="951">
        <f>(BE14*KFC!$B$39+KFC!$C$39)*курс_уе</f>
        <v>146.74</v>
      </c>
      <c r="AB14" s="951">
        <f>(BF14*KFC!$B$39+KFC!$C$39)*курс_уе</f>
        <v>150.31</v>
      </c>
      <c r="AC14" s="951">
        <f>(BG14*KFC!$B$39+KFC!$C$39)*курс_уе</f>
        <v>153.87</v>
      </c>
      <c r="AF14" s="950">
        <v>1.4</v>
      </c>
      <c r="AG14" s="952">
        <v>60.95</v>
      </c>
      <c r="AH14" s="952">
        <v>64.63</v>
      </c>
      <c r="AI14" s="952">
        <v>68.08</v>
      </c>
      <c r="AJ14" s="952">
        <v>71.760000000000005</v>
      </c>
      <c r="AK14" s="952">
        <v>75.209999999999994</v>
      </c>
      <c r="AL14" s="952">
        <v>78.89</v>
      </c>
      <c r="AM14" s="952">
        <v>82.46</v>
      </c>
      <c r="AN14" s="952">
        <v>85.91</v>
      </c>
      <c r="AO14" s="952">
        <v>89.59</v>
      </c>
      <c r="AP14" s="952">
        <v>93.04</v>
      </c>
      <c r="AQ14" s="952">
        <v>96.72</v>
      </c>
      <c r="AR14" s="952">
        <v>100.28</v>
      </c>
      <c r="AS14" s="952">
        <v>103.85</v>
      </c>
      <c r="AT14" s="952">
        <v>107.41</v>
      </c>
      <c r="AU14" s="952">
        <v>110.86</v>
      </c>
      <c r="AV14" s="952">
        <v>114.54</v>
      </c>
      <c r="AW14" s="952">
        <v>118.22</v>
      </c>
      <c r="AX14" s="952">
        <v>121.67</v>
      </c>
      <c r="AY14" s="952">
        <v>125.24</v>
      </c>
      <c r="AZ14" s="952">
        <v>128.80000000000001</v>
      </c>
      <c r="BA14" s="952">
        <v>132.37</v>
      </c>
      <c r="BB14" s="952">
        <v>136.05000000000001</v>
      </c>
      <c r="BC14" s="952">
        <v>139.5</v>
      </c>
      <c r="BD14" s="952">
        <v>143.18</v>
      </c>
      <c r="BE14" s="952">
        <v>146.74</v>
      </c>
      <c r="BF14" s="952">
        <v>150.31</v>
      </c>
      <c r="BG14" s="952">
        <v>153.87</v>
      </c>
    </row>
    <row r="15" spans="1:59">
      <c r="A15" s="2134"/>
      <c r="B15" s="262">
        <v>1.5</v>
      </c>
      <c r="C15" s="951">
        <f>(AG15*KFC!$B$39+KFC!$C$39)*курс_уе</f>
        <v>64.75</v>
      </c>
      <c r="D15" s="951">
        <f>(AH15*KFC!$B$39+KFC!$C$39)*курс_уе</f>
        <v>68.430000000000007</v>
      </c>
      <c r="E15" s="951">
        <f>(AI15*KFC!$B$39+KFC!$C$39)*курс_уе</f>
        <v>71.989999999999995</v>
      </c>
      <c r="F15" s="951">
        <f>(AJ15*KFC!$B$39+KFC!$C$39)*курс_уе</f>
        <v>75.56</v>
      </c>
      <c r="G15" s="951">
        <f>(AK15*KFC!$B$39+KFC!$C$39)*курс_уе</f>
        <v>79.12</v>
      </c>
      <c r="H15" s="951">
        <f>(AL15*KFC!$B$39+KFC!$C$39)*курс_уе</f>
        <v>82.8</v>
      </c>
      <c r="I15" s="951">
        <f>(AM15*KFC!$B$39+KFC!$C$39)*курс_уе</f>
        <v>86.25</v>
      </c>
      <c r="J15" s="951">
        <f>(AN15*KFC!$B$39+KFC!$C$39)*курс_уе</f>
        <v>89.93</v>
      </c>
      <c r="K15" s="951">
        <f>(AO15*KFC!$B$39+KFC!$C$39)*курс_уе</f>
        <v>93.5</v>
      </c>
      <c r="L15" s="951">
        <f>(AP15*KFC!$B$39+KFC!$C$39)*курс_уе</f>
        <v>96.95</v>
      </c>
      <c r="M15" s="951">
        <f>(AQ15*KFC!$B$39+KFC!$C$39)*курс_уе</f>
        <v>100.63</v>
      </c>
      <c r="N15" s="951">
        <f>(AR15*KFC!$B$39+KFC!$C$39)*курс_уе</f>
        <v>104.31</v>
      </c>
      <c r="O15" s="951">
        <f>(AS15*KFC!$B$39+KFC!$C$39)*курс_уе</f>
        <v>107.76</v>
      </c>
      <c r="P15" s="951">
        <f>(AT15*KFC!$B$39+KFC!$C$39)*курс_уе</f>
        <v>111.32</v>
      </c>
      <c r="Q15" s="951">
        <f>(AU15*KFC!$B$39+KFC!$C$39)*курс_уе</f>
        <v>115</v>
      </c>
      <c r="R15" s="951">
        <f>(AV15*KFC!$B$39+KFC!$C$39)*курс_уе</f>
        <v>118.45</v>
      </c>
      <c r="S15" s="951">
        <f>(AW15*KFC!$B$39+KFC!$C$39)*курс_уе</f>
        <v>122.13</v>
      </c>
      <c r="T15" s="951">
        <f>(AX15*KFC!$B$39+KFC!$C$39)*курс_уе</f>
        <v>125.7</v>
      </c>
      <c r="U15" s="951">
        <f>(AY15*KFC!$B$39+KFC!$C$39)*курс_уе</f>
        <v>129.26</v>
      </c>
      <c r="V15" s="951">
        <f>(AZ15*KFC!$B$39+KFC!$C$39)*курс_уе</f>
        <v>132.83000000000001</v>
      </c>
      <c r="W15" s="951">
        <f>(BA15*KFC!$B$39+KFC!$C$39)*курс_уе</f>
        <v>136.51</v>
      </c>
      <c r="X15" s="951">
        <f>(BB15*KFC!$B$39+KFC!$C$39)*курс_уе</f>
        <v>139.96</v>
      </c>
      <c r="Y15" s="951">
        <f>(BC15*KFC!$B$39+KFC!$C$39)*курс_уе</f>
        <v>143.63999999999999</v>
      </c>
      <c r="Z15" s="951">
        <f>(BD15*KFC!$B$39+KFC!$C$39)*курс_уе</f>
        <v>147.19999999999999</v>
      </c>
      <c r="AA15" s="951">
        <f>(BE15*KFC!$B$39+KFC!$C$39)*курс_уе</f>
        <v>150.77000000000001</v>
      </c>
      <c r="AB15" s="951">
        <f>(BF15*KFC!$B$39+KFC!$C$39)*курс_уе</f>
        <v>154.33000000000001</v>
      </c>
      <c r="AC15" s="951">
        <f>(BG15*KFC!$B$39+KFC!$C$39)*курс_уе</f>
        <v>158.01</v>
      </c>
      <c r="AF15" s="950">
        <v>1.5</v>
      </c>
      <c r="AG15" s="952">
        <v>64.75</v>
      </c>
      <c r="AH15" s="952">
        <v>68.430000000000007</v>
      </c>
      <c r="AI15" s="952">
        <v>71.989999999999995</v>
      </c>
      <c r="AJ15" s="952">
        <v>75.56</v>
      </c>
      <c r="AK15" s="952">
        <v>79.12</v>
      </c>
      <c r="AL15" s="952">
        <v>82.8</v>
      </c>
      <c r="AM15" s="952">
        <v>86.25</v>
      </c>
      <c r="AN15" s="952">
        <v>89.93</v>
      </c>
      <c r="AO15" s="952">
        <v>93.5</v>
      </c>
      <c r="AP15" s="952">
        <v>96.95</v>
      </c>
      <c r="AQ15" s="952">
        <v>100.63</v>
      </c>
      <c r="AR15" s="952">
        <v>104.31</v>
      </c>
      <c r="AS15" s="952">
        <v>107.76</v>
      </c>
      <c r="AT15" s="952">
        <v>111.32</v>
      </c>
      <c r="AU15" s="952">
        <v>115</v>
      </c>
      <c r="AV15" s="952">
        <v>118.45</v>
      </c>
      <c r="AW15" s="952">
        <v>122.13</v>
      </c>
      <c r="AX15" s="952">
        <v>125.7</v>
      </c>
      <c r="AY15" s="952">
        <v>129.26</v>
      </c>
      <c r="AZ15" s="952">
        <v>132.83000000000001</v>
      </c>
      <c r="BA15" s="952">
        <v>136.51</v>
      </c>
      <c r="BB15" s="952">
        <v>139.96</v>
      </c>
      <c r="BC15" s="952">
        <v>143.63999999999999</v>
      </c>
      <c r="BD15" s="952">
        <v>147.19999999999999</v>
      </c>
      <c r="BE15" s="952">
        <v>150.77000000000001</v>
      </c>
      <c r="BF15" s="952">
        <v>154.33000000000001</v>
      </c>
      <c r="BG15" s="952">
        <v>158.01</v>
      </c>
    </row>
    <row r="16" spans="1:59">
      <c r="A16" s="2134"/>
      <c r="B16" s="262">
        <v>1.6</v>
      </c>
      <c r="C16" s="951">
        <f>(AG16*KFC!$B$39+KFC!$C$39)*курс_уе</f>
        <v>68.66</v>
      </c>
      <c r="D16" s="951">
        <f>(AH16*KFC!$B$39+KFC!$C$39)*курс_уе</f>
        <v>72.22</v>
      </c>
      <c r="E16" s="951">
        <f>(AI16*KFC!$B$39+KFC!$C$39)*курс_уе</f>
        <v>75.790000000000006</v>
      </c>
      <c r="F16" s="951">
        <f>(AJ16*KFC!$B$39+KFC!$C$39)*курс_уе</f>
        <v>79.47</v>
      </c>
      <c r="G16" s="951">
        <f>(AK16*KFC!$B$39+KFC!$C$39)*курс_уе</f>
        <v>82.92</v>
      </c>
      <c r="H16" s="951">
        <f>(AL16*KFC!$B$39+KFC!$C$39)*курс_уе</f>
        <v>86.6</v>
      </c>
      <c r="I16" s="951">
        <f>(AM16*KFC!$B$39+KFC!$C$39)*курс_уе</f>
        <v>90.16</v>
      </c>
      <c r="J16" s="951">
        <f>(AN16*KFC!$B$39+KFC!$C$39)*курс_уе</f>
        <v>93.84</v>
      </c>
      <c r="K16" s="951">
        <f>(AO16*KFC!$B$39+KFC!$C$39)*курс_уе</f>
        <v>97.29</v>
      </c>
      <c r="L16" s="951">
        <f>(AP16*KFC!$B$39+KFC!$C$39)*курс_уе</f>
        <v>100.97</v>
      </c>
      <c r="M16" s="951">
        <f>(AQ16*KFC!$B$39+KFC!$C$39)*курс_уе</f>
        <v>104.54</v>
      </c>
      <c r="N16" s="951">
        <f>(AR16*KFC!$B$39+KFC!$C$39)*курс_уе</f>
        <v>108.22</v>
      </c>
      <c r="O16" s="951">
        <f>(AS16*KFC!$B$39+KFC!$C$39)*курс_уе</f>
        <v>111.67</v>
      </c>
      <c r="P16" s="951">
        <f>(AT16*KFC!$B$39+KFC!$C$39)*курс_уе</f>
        <v>115.35</v>
      </c>
      <c r="Q16" s="951">
        <f>(AU16*KFC!$B$39+KFC!$C$39)*курс_уе</f>
        <v>118.91</v>
      </c>
      <c r="R16" s="951">
        <f>(AV16*KFC!$B$39+KFC!$C$39)*курс_уе</f>
        <v>122.59</v>
      </c>
      <c r="S16" s="951">
        <f>(AW16*KFC!$B$39+KFC!$C$39)*курс_уе</f>
        <v>126.04</v>
      </c>
      <c r="T16" s="951">
        <f>(AX16*KFC!$B$39+KFC!$C$39)*курс_уе</f>
        <v>129.72</v>
      </c>
      <c r="U16" s="951">
        <f>(AY16*KFC!$B$39+KFC!$C$39)*курс_уе</f>
        <v>133.29</v>
      </c>
      <c r="V16" s="951">
        <f>(AZ16*KFC!$B$39+KFC!$C$39)*курс_уе</f>
        <v>136.97</v>
      </c>
      <c r="W16" s="951">
        <f>(BA16*KFC!$B$39+KFC!$C$39)*курс_уе</f>
        <v>140.41999999999999</v>
      </c>
      <c r="X16" s="951">
        <f>(BB16*KFC!$B$39+KFC!$C$39)*курс_уе</f>
        <v>144.1</v>
      </c>
      <c r="Y16" s="951">
        <f>(BC16*KFC!$B$39+KFC!$C$39)*курс_уе</f>
        <v>147.66</v>
      </c>
      <c r="Z16" s="951">
        <f>(BD16*KFC!$B$39+KFC!$C$39)*курс_уе</f>
        <v>151.34</v>
      </c>
      <c r="AA16" s="951">
        <f>(BE16*KFC!$B$39+KFC!$C$39)*курс_уе</f>
        <v>154.79</v>
      </c>
      <c r="AB16" s="951">
        <f>(BF16*KFC!$B$39+KFC!$C$39)*курс_уе</f>
        <v>158.47</v>
      </c>
      <c r="AC16" s="951">
        <f>(BG16*KFC!$B$39+KFC!$C$39)*курс_уе</f>
        <v>162.04</v>
      </c>
      <c r="AF16" s="950">
        <v>1.6</v>
      </c>
      <c r="AG16" s="952">
        <v>68.66</v>
      </c>
      <c r="AH16" s="952">
        <v>72.22</v>
      </c>
      <c r="AI16" s="952">
        <v>75.790000000000006</v>
      </c>
      <c r="AJ16" s="952">
        <v>79.47</v>
      </c>
      <c r="AK16" s="952">
        <v>82.92</v>
      </c>
      <c r="AL16" s="952">
        <v>86.6</v>
      </c>
      <c r="AM16" s="952">
        <v>90.16</v>
      </c>
      <c r="AN16" s="952">
        <v>93.84</v>
      </c>
      <c r="AO16" s="952">
        <v>97.29</v>
      </c>
      <c r="AP16" s="952">
        <v>100.97</v>
      </c>
      <c r="AQ16" s="952">
        <v>104.54</v>
      </c>
      <c r="AR16" s="952">
        <v>108.22</v>
      </c>
      <c r="AS16" s="952">
        <v>111.67</v>
      </c>
      <c r="AT16" s="952">
        <v>115.35</v>
      </c>
      <c r="AU16" s="952">
        <v>118.91</v>
      </c>
      <c r="AV16" s="952">
        <v>122.59</v>
      </c>
      <c r="AW16" s="952">
        <v>126.04</v>
      </c>
      <c r="AX16" s="952">
        <v>129.72</v>
      </c>
      <c r="AY16" s="952">
        <v>133.29</v>
      </c>
      <c r="AZ16" s="952">
        <v>136.97</v>
      </c>
      <c r="BA16" s="952">
        <v>140.41999999999999</v>
      </c>
      <c r="BB16" s="952">
        <v>144.1</v>
      </c>
      <c r="BC16" s="952">
        <v>147.66</v>
      </c>
      <c r="BD16" s="952">
        <v>151.34</v>
      </c>
      <c r="BE16" s="952">
        <v>154.79</v>
      </c>
      <c r="BF16" s="952">
        <v>158.47</v>
      </c>
      <c r="BG16" s="952">
        <v>162.04</v>
      </c>
    </row>
    <row r="17" spans="1:59">
      <c r="A17" s="2134"/>
      <c r="B17" s="262">
        <v>1.7</v>
      </c>
      <c r="C17" s="951">
        <f>(AG17*KFC!$B$39+KFC!$C$39)*курс_уе</f>
        <v>72.45</v>
      </c>
      <c r="D17" s="951">
        <f>(AH17*KFC!$B$39+KFC!$C$39)*курс_уе</f>
        <v>76.13</v>
      </c>
      <c r="E17" s="951">
        <f>(AI17*KFC!$B$39+KFC!$C$39)*курс_уе</f>
        <v>79.58</v>
      </c>
      <c r="F17" s="951">
        <f>(AJ17*KFC!$B$39+KFC!$C$39)*курс_уе</f>
        <v>83.26</v>
      </c>
      <c r="G17" s="951">
        <f>(AK17*KFC!$B$39+KFC!$C$39)*курс_уе</f>
        <v>86.83</v>
      </c>
      <c r="H17" s="951">
        <f>(AL17*KFC!$B$39+KFC!$C$39)*курс_уе</f>
        <v>90.51</v>
      </c>
      <c r="I17" s="951">
        <f>(AM17*KFC!$B$39+KFC!$C$39)*курс_уе</f>
        <v>94.07</v>
      </c>
      <c r="J17" s="951">
        <f>(AN17*KFC!$B$39+KFC!$C$39)*курс_уе</f>
        <v>97.64</v>
      </c>
      <c r="K17" s="951">
        <f>(AO17*KFC!$B$39+KFC!$C$39)*курс_уе</f>
        <v>101.2</v>
      </c>
      <c r="L17" s="951">
        <f>(AP17*KFC!$B$39+KFC!$C$39)*курс_уе</f>
        <v>104.88</v>
      </c>
      <c r="M17" s="951">
        <f>(AQ17*KFC!$B$39+KFC!$C$39)*курс_уе</f>
        <v>108.45</v>
      </c>
      <c r="N17" s="951">
        <f>(AR17*KFC!$B$39+KFC!$C$39)*курс_уе</f>
        <v>112.13</v>
      </c>
      <c r="O17" s="951">
        <f>(AS17*KFC!$B$39+KFC!$C$39)*курс_уе</f>
        <v>115.81</v>
      </c>
      <c r="P17" s="951">
        <f>(AT17*KFC!$B$39+KFC!$C$39)*курс_уе</f>
        <v>119.26</v>
      </c>
      <c r="Q17" s="951">
        <f>(AU17*KFC!$B$39+KFC!$C$39)*курс_уе</f>
        <v>122.82</v>
      </c>
      <c r="R17" s="951">
        <f>(AV17*KFC!$B$39+KFC!$C$39)*курс_уе</f>
        <v>126.5</v>
      </c>
      <c r="S17" s="951">
        <f>(AW17*KFC!$B$39+KFC!$C$39)*курс_уе</f>
        <v>130.18</v>
      </c>
      <c r="T17" s="951">
        <f>(AX17*KFC!$B$39+KFC!$C$39)*курс_уе</f>
        <v>133.75</v>
      </c>
      <c r="U17" s="951">
        <f>(AY17*KFC!$B$39+KFC!$C$39)*курс_уе</f>
        <v>137.19999999999999</v>
      </c>
      <c r="V17" s="951">
        <f>(AZ17*KFC!$B$39+KFC!$C$39)*курс_уе</f>
        <v>140.88</v>
      </c>
      <c r="W17" s="951">
        <f>(BA17*KFC!$B$39+KFC!$C$39)*курс_уе</f>
        <v>144.56</v>
      </c>
      <c r="X17" s="951">
        <f>(BB17*KFC!$B$39+KFC!$C$39)*курс_уе</f>
        <v>148.12</v>
      </c>
      <c r="Y17" s="951">
        <f>(BC17*KFC!$B$39+KFC!$C$39)*курс_уе</f>
        <v>151.80000000000001</v>
      </c>
      <c r="Z17" s="951">
        <f>(BD17*KFC!$B$39+KFC!$C$39)*курс_уе</f>
        <v>155.37</v>
      </c>
      <c r="AA17" s="951">
        <f>(BE17*KFC!$B$39+KFC!$C$39)*курс_уе</f>
        <v>158.93</v>
      </c>
      <c r="AB17" s="951">
        <f>(BF17*KFC!$B$39+KFC!$C$39)*курс_уе</f>
        <v>162.5</v>
      </c>
      <c r="AC17" s="951">
        <f>(BG17*KFC!$B$39+KFC!$C$39)*курс_уе</f>
        <v>166.18</v>
      </c>
      <c r="AF17" s="950">
        <v>1.7</v>
      </c>
      <c r="AG17" s="952">
        <v>72.45</v>
      </c>
      <c r="AH17" s="952">
        <v>76.13</v>
      </c>
      <c r="AI17" s="952">
        <v>79.58</v>
      </c>
      <c r="AJ17" s="952">
        <v>83.26</v>
      </c>
      <c r="AK17" s="952">
        <v>86.83</v>
      </c>
      <c r="AL17" s="952">
        <v>90.51</v>
      </c>
      <c r="AM17" s="952">
        <v>94.07</v>
      </c>
      <c r="AN17" s="952">
        <v>97.64</v>
      </c>
      <c r="AO17" s="952">
        <v>101.2</v>
      </c>
      <c r="AP17" s="952">
        <v>104.88</v>
      </c>
      <c r="AQ17" s="952">
        <v>108.45</v>
      </c>
      <c r="AR17" s="952">
        <v>112.13</v>
      </c>
      <c r="AS17" s="952">
        <v>115.81</v>
      </c>
      <c r="AT17" s="952">
        <v>119.26</v>
      </c>
      <c r="AU17" s="952">
        <v>122.82</v>
      </c>
      <c r="AV17" s="952">
        <v>126.5</v>
      </c>
      <c r="AW17" s="952">
        <v>130.18</v>
      </c>
      <c r="AX17" s="952">
        <v>133.75</v>
      </c>
      <c r="AY17" s="952">
        <v>137.19999999999999</v>
      </c>
      <c r="AZ17" s="952">
        <v>140.88</v>
      </c>
      <c r="BA17" s="952">
        <v>144.56</v>
      </c>
      <c r="BB17" s="952">
        <v>148.12</v>
      </c>
      <c r="BC17" s="952">
        <v>151.80000000000001</v>
      </c>
      <c r="BD17" s="952">
        <v>155.37</v>
      </c>
      <c r="BE17" s="952">
        <v>158.93</v>
      </c>
      <c r="BF17" s="952">
        <v>162.5</v>
      </c>
      <c r="BG17" s="952">
        <v>166.18</v>
      </c>
    </row>
    <row r="18" spans="1:59">
      <c r="A18" s="2134"/>
      <c r="B18" s="262">
        <v>1.8</v>
      </c>
      <c r="C18" s="951">
        <f>(AG18*KFC!$B$39+KFC!$C$39)*курс_уе</f>
        <v>76.25</v>
      </c>
      <c r="D18" s="951">
        <f>(AH18*KFC!$B$39+KFC!$C$39)*курс_уе</f>
        <v>79.930000000000007</v>
      </c>
      <c r="E18" s="951">
        <f>(AI18*KFC!$B$39+KFC!$C$39)*курс_уе</f>
        <v>83.49</v>
      </c>
      <c r="F18" s="951">
        <f>(AJ18*KFC!$B$39+KFC!$C$39)*курс_уе</f>
        <v>87.17</v>
      </c>
      <c r="G18" s="951">
        <f>(AK18*KFC!$B$39+KFC!$C$39)*курс_уе</f>
        <v>90.74</v>
      </c>
      <c r="H18" s="951">
        <f>(AL18*KFC!$B$39+KFC!$C$39)*курс_уе</f>
        <v>94.3</v>
      </c>
      <c r="I18" s="951">
        <f>(AM18*KFC!$B$39+KFC!$C$39)*курс_уе</f>
        <v>97.87</v>
      </c>
      <c r="J18" s="951">
        <f>(AN18*KFC!$B$39+KFC!$C$39)*курс_уе</f>
        <v>101.55</v>
      </c>
      <c r="K18" s="951">
        <f>(AO18*KFC!$B$39+KFC!$C$39)*курс_уе</f>
        <v>105.11</v>
      </c>
      <c r="L18" s="951">
        <f>(AP18*KFC!$B$39+KFC!$C$39)*курс_уе</f>
        <v>108.79</v>
      </c>
      <c r="M18" s="951">
        <f>(AQ18*KFC!$B$39+KFC!$C$39)*курс_уе</f>
        <v>112.47</v>
      </c>
      <c r="N18" s="951">
        <f>(AR18*KFC!$B$39+KFC!$C$39)*курс_уе</f>
        <v>116.04</v>
      </c>
      <c r="O18" s="951">
        <f>(AS18*KFC!$B$39+KFC!$C$39)*курс_уе</f>
        <v>119.72</v>
      </c>
      <c r="P18" s="951">
        <f>(AT18*KFC!$B$39+KFC!$C$39)*курс_уе</f>
        <v>123.28</v>
      </c>
      <c r="Q18" s="951">
        <f>(AU18*KFC!$B$39+KFC!$C$39)*курс_уе</f>
        <v>126.85</v>
      </c>
      <c r="R18" s="951">
        <f>(AV18*KFC!$B$39+KFC!$C$39)*курс_уе</f>
        <v>130.41</v>
      </c>
      <c r="S18" s="951">
        <f>(AW18*KFC!$B$39+KFC!$C$39)*курс_уе</f>
        <v>134.09</v>
      </c>
      <c r="T18" s="951">
        <f>(AX18*KFC!$B$39+KFC!$C$39)*курс_уе</f>
        <v>137.66</v>
      </c>
      <c r="U18" s="951">
        <f>(AY18*KFC!$B$39+KFC!$C$39)*курс_уе</f>
        <v>141.34</v>
      </c>
      <c r="V18" s="951">
        <f>(AZ18*KFC!$B$39+KFC!$C$39)*курс_уе</f>
        <v>145.02000000000001</v>
      </c>
      <c r="W18" s="951">
        <f>(BA18*KFC!$B$39+KFC!$C$39)*курс_уе</f>
        <v>148.58000000000001</v>
      </c>
      <c r="X18" s="951">
        <f>(BB18*KFC!$B$39+KFC!$C$39)*курс_уе</f>
        <v>152.26</v>
      </c>
      <c r="Y18" s="951">
        <f>(BC18*KFC!$B$39+KFC!$C$39)*курс_уе</f>
        <v>155.83000000000001</v>
      </c>
      <c r="Z18" s="951">
        <f>(BD18*KFC!$B$39+KFC!$C$39)*курс_уе</f>
        <v>159.38999999999999</v>
      </c>
      <c r="AA18" s="951">
        <f>(BE18*KFC!$B$39+KFC!$C$39)*курс_уе</f>
        <v>162.96</v>
      </c>
      <c r="AB18" s="951">
        <f>(BF18*KFC!$B$39+KFC!$C$39)*курс_уе</f>
        <v>166.64</v>
      </c>
      <c r="AC18" s="951">
        <f>(BG18*KFC!$B$39+KFC!$C$39)*курс_уе</f>
        <v>170.2</v>
      </c>
      <c r="AF18" s="950">
        <v>1.8</v>
      </c>
      <c r="AG18" s="952">
        <v>76.25</v>
      </c>
      <c r="AH18" s="952">
        <v>79.930000000000007</v>
      </c>
      <c r="AI18" s="952">
        <v>83.49</v>
      </c>
      <c r="AJ18" s="952">
        <v>87.17</v>
      </c>
      <c r="AK18" s="952">
        <v>90.74</v>
      </c>
      <c r="AL18" s="952">
        <v>94.3</v>
      </c>
      <c r="AM18" s="952">
        <v>97.87</v>
      </c>
      <c r="AN18" s="952">
        <v>101.55</v>
      </c>
      <c r="AO18" s="952">
        <v>105.11</v>
      </c>
      <c r="AP18" s="952">
        <v>108.79</v>
      </c>
      <c r="AQ18" s="952">
        <v>112.47</v>
      </c>
      <c r="AR18" s="952">
        <v>116.04</v>
      </c>
      <c r="AS18" s="952">
        <v>119.72</v>
      </c>
      <c r="AT18" s="952">
        <v>123.28</v>
      </c>
      <c r="AU18" s="952">
        <v>126.85</v>
      </c>
      <c r="AV18" s="952">
        <v>130.41</v>
      </c>
      <c r="AW18" s="952">
        <v>134.09</v>
      </c>
      <c r="AX18" s="952">
        <v>137.66</v>
      </c>
      <c r="AY18" s="952">
        <v>141.34</v>
      </c>
      <c r="AZ18" s="952">
        <v>145.02000000000001</v>
      </c>
      <c r="BA18" s="952">
        <v>148.58000000000001</v>
      </c>
      <c r="BB18" s="952">
        <v>152.26</v>
      </c>
      <c r="BC18" s="952">
        <v>155.83000000000001</v>
      </c>
      <c r="BD18" s="952">
        <v>159.38999999999999</v>
      </c>
      <c r="BE18" s="952">
        <v>162.96</v>
      </c>
      <c r="BF18" s="952">
        <v>166.64</v>
      </c>
      <c r="BG18" s="952">
        <v>170.2</v>
      </c>
    </row>
    <row r="19" spans="1:59">
      <c r="A19" s="2134"/>
      <c r="B19" s="262">
        <v>1.9</v>
      </c>
      <c r="C19" s="951">
        <f>(AG19*KFC!$B$39+KFC!$C$39)*курс_уе</f>
        <v>80.040000000000006</v>
      </c>
      <c r="D19" s="951">
        <f>(AH19*KFC!$B$39+KFC!$C$39)*курс_уе</f>
        <v>83.72</v>
      </c>
      <c r="E19" s="951">
        <f>(AI19*KFC!$B$39+KFC!$C$39)*курс_уе</f>
        <v>87.29</v>
      </c>
      <c r="F19" s="951">
        <f>(AJ19*KFC!$B$39+KFC!$C$39)*курс_уе</f>
        <v>90.97</v>
      </c>
      <c r="G19" s="951">
        <f>(AK19*KFC!$B$39+KFC!$C$39)*курс_уе</f>
        <v>94.53</v>
      </c>
      <c r="H19" s="951">
        <f>(AL19*KFC!$B$39+KFC!$C$39)*курс_уе</f>
        <v>98.21</v>
      </c>
      <c r="I19" s="951">
        <f>(AM19*KFC!$B$39+KFC!$C$39)*курс_уе</f>
        <v>101.89</v>
      </c>
      <c r="J19" s="951">
        <f>(AN19*KFC!$B$39+KFC!$C$39)*курс_уе</f>
        <v>105.46</v>
      </c>
      <c r="K19" s="951">
        <f>(AO19*KFC!$B$39+KFC!$C$39)*курс_уе</f>
        <v>109.14</v>
      </c>
      <c r="L19" s="951">
        <f>(AP19*KFC!$B$39+KFC!$C$39)*курс_уе</f>
        <v>112.7</v>
      </c>
      <c r="M19" s="951">
        <f>(AQ19*KFC!$B$39+KFC!$C$39)*курс_уе</f>
        <v>116.38</v>
      </c>
      <c r="N19" s="951">
        <f>(AR19*KFC!$B$39+KFC!$C$39)*курс_уе</f>
        <v>119.95</v>
      </c>
      <c r="O19" s="951">
        <f>(AS19*KFC!$B$39+KFC!$C$39)*курс_уе</f>
        <v>123.63</v>
      </c>
      <c r="P19" s="951">
        <f>(AT19*KFC!$B$39+KFC!$C$39)*курс_уе</f>
        <v>127.31</v>
      </c>
      <c r="Q19" s="951">
        <f>(AU19*KFC!$B$39+KFC!$C$39)*курс_уе</f>
        <v>130.87</v>
      </c>
      <c r="R19" s="951">
        <f>(AV19*KFC!$B$39+KFC!$C$39)*курс_уе</f>
        <v>134.55000000000001</v>
      </c>
      <c r="S19" s="951">
        <f>(AW19*KFC!$B$39+KFC!$C$39)*курс_уе</f>
        <v>138.12</v>
      </c>
      <c r="T19" s="951">
        <f>(AX19*KFC!$B$39+KFC!$C$39)*курс_уе</f>
        <v>141.80000000000001</v>
      </c>
      <c r="U19" s="951">
        <f>(AY19*KFC!$B$39+KFC!$C$39)*курс_уе</f>
        <v>145.36000000000001</v>
      </c>
      <c r="V19" s="951">
        <f>(AZ19*KFC!$B$39+KFC!$C$39)*курс_уе</f>
        <v>148.93</v>
      </c>
      <c r="W19" s="951">
        <f>(BA19*KFC!$B$39+KFC!$C$39)*курс_уе</f>
        <v>152.49</v>
      </c>
      <c r="X19" s="951">
        <f>(BB19*KFC!$B$39+KFC!$C$39)*курс_уе</f>
        <v>156.16999999999999</v>
      </c>
      <c r="Y19" s="951">
        <f>(BC19*KFC!$B$39+KFC!$C$39)*курс_уе</f>
        <v>159.74</v>
      </c>
      <c r="Z19" s="951">
        <f>(BD19*KFC!$B$39+KFC!$C$39)*курс_уе</f>
        <v>163.41999999999999</v>
      </c>
      <c r="AA19" s="951">
        <f>(BE19*KFC!$B$39+KFC!$C$39)*курс_уе</f>
        <v>167.1</v>
      </c>
      <c r="AB19" s="951">
        <f>(BF19*KFC!$B$39+KFC!$C$39)*курс_уе</f>
        <v>170.66</v>
      </c>
      <c r="AC19" s="951">
        <f>(BG19*KFC!$B$39+KFC!$C$39)*курс_уе</f>
        <v>174.34</v>
      </c>
      <c r="AF19" s="950">
        <v>1.9</v>
      </c>
      <c r="AG19" s="952">
        <v>80.040000000000006</v>
      </c>
      <c r="AH19" s="952">
        <v>83.72</v>
      </c>
      <c r="AI19" s="952">
        <v>87.29</v>
      </c>
      <c r="AJ19" s="952">
        <v>90.97</v>
      </c>
      <c r="AK19" s="952">
        <v>94.53</v>
      </c>
      <c r="AL19" s="952">
        <v>98.21</v>
      </c>
      <c r="AM19" s="952">
        <v>101.89</v>
      </c>
      <c r="AN19" s="952">
        <v>105.46</v>
      </c>
      <c r="AO19" s="952">
        <v>109.14</v>
      </c>
      <c r="AP19" s="952">
        <v>112.7</v>
      </c>
      <c r="AQ19" s="952">
        <v>116.38</v>
      </c>
      <c r="AR19" s="952">
        <v>119.95</v>
      </c>
      <c r="AS19" s="952">
        <v>123.63</v>
      </c>
      <c r="AT19" s="952">
        <v>127.31</v>
      </c>
      <c r="AU19" s="952">
        <v>130.87</v>
      </c>
      <c r="AV19" s="952">
        <v>134.55000000000001</v>
      </c>
      <c r="AW19" s="952">
        <v>138.12</v>
      </c>
      <c r="AX19" s="952">
        <v>141.80000000000001</v>
      </c>
      <c r="AY19" s="952">
        <v>145.36000000000001</v>
      </c>
      <c r="AZ19" s="952">
        <v>148.93</v>
      </c>
      <c r="BA19" s="952">
        <v>152.49</v>
      </c>
      <c r="BB19" s="952">
        <v>156.16999999999999</v>
      </c>
      <c r="BC19" s="952">
        <v>159.74</v>
      </c>
      <c r="BD19" s="952">
        <v>163.41999999999999</v>
      </c>
      <c r="BE19" s="952">
        <v>167.1</v>
      </c>
      <c r="BF19" s="952">
        <v>170.66</v>
      </c>
      <c r="BG19" s="952">
        <v>174.34</v>
      </c>
    </row>
    <row r="20" spans="1:59">
      <c r="A20" s="2134"/>
      <c r="B20" s="262">
        <v>2</v>
      </c>
      <c r="C20" s="951">
        <f>(AG20*KFC!$B$39+KFC!$C$39)*курс_уе</f>
        <v>83.95</v>
      </c>
      <c r="D20" s="951">
        <f>(AH20*KFC!$B$39+KFC!$C$39)*курс_уе</f>
        <v>87.63</v>
      </c>
      <c r="E20" s="951">
        <f>(AI20*KFC!$B$39+KFC!$C$39)*курс_уе</f>
        <v>91.2</v>
      </c>
      <c r="F20" s="951">
        <f>(AJ20*KFC!$B$39+KFC!$C$39)*курс_уе</f>
        <v>94.88</v>
      </c>
      <c r="G20" s="951">
        <f>(AK20*KFC!$B$39+KFC!$C$39)*курс_уе</f>
        <v>98.56</v>
      </c>
      <c r="H20" s="951">
        <f>(AL20*KFC!$B$39+KFC!$C$39)*курс_уе</f>
        <v>102.12</v>
      </c>
      <c r="I20" s="951">
        <f>(AM20*KFC!$B$39+KFC!$C$39)*курс_уе</f>
        <v>105.8</v>
      </c>
      <c r="J20" s="951">
        <f>(AN20*KFC!$B$39+KFC!$C$39)*курс_уе</f>
        <v>109.37</v>
      </c>
      <c r="K20" s="951">
        <f>(AO20*KFC!$B$39+KFC!$C$39)*курс_уе</f>
        <v>113.05</v>
      </c>
      <c r="L20" s="951">
        <f>(AP20*KFC!$B$39+KFC!$C$39)*курс_уе</f>
        <v>116.61</v>
      </c>
      <c r="M20" s="951">
        <f>(AQ20*KFC!$B$39+KFC!$C$39)*курс_уе</f>
        <v>120.29</v>
      </c>
      <c r="N20" s="951">
        <f>(AR20*KFC!$B$39+KFC!$C$39)*курс_уе</f>
        <v>123.97</v>
      </c>
      <c r="O20" s="951">
        <f>(AS20*KFC!$B$39+KFC!$C$39)*курс_уе</f>
        <v>127.54</v>
      </c>
      <c r="P20" s="951">
        <f>(AT20*KFC!$B$39+KFC!$C$39)*курс_уе</f>
        <v>131.22</v>
      </c>
      <c r="Q20" s="951">
        <f>(AU20*KFC!$B$39+KFC!$C$39)*курс_уе</f>
        <v>134.78</v>
      </c>
      <c r="R20" s="951">
        <f>(AV20*KFC!$B$39+KFC!$C$39)*курс_уе</f>
        <v>138.46</v>
      </c>
      <c r="S20" s="951">
        <f>(AW20*KFC!$B$39+KFC!$C$39)*курс_уе</f>
        <v>142.13999999999999</v>
      </c>
      <c r="T20" s="951">
        <f>(AX20*KFC!$B$39+KFC!$C$39)*курс_уе</f>
        <v>145.71</v>
      </c>
      <c r="U20" s="951">
        <f>(AY20*KFC!$B$39+KFC!$C$39)*курс_уе</f>
        <v>149.38999999999999</v>
      </c>
      <c r="V20" s="951">
        <f>(AZ20*KFC!$B$39+KFC!$C$39)*курс_уе</f>
        <v>152.94999999999999</v>
      </c>
      <c r="W20" s="951">
        <f>(BA20*KFC!$B$39+KFC!$C$39)*курс_уе</f>
        <v>156.63</v>
      </c>
      <c r="X20" s="951">
        <f>(BB20*KFC!$B$39+KFC!$C$39)*курс_уе</f>
        <v>160.19999999999999</v>
      </c>
      <c r="Y20" s="951">
        <f>(BC20*KFC!$B$39+KFC!$C$39)*курс_уе</f>
        <v>163.88</v>
      </c>
      <c r="Z20" s="951">
        <f>(BD20*KFC!$B$39+KFC!$C$39)*курс_уе</f>
        <v>167.56</v>
      </c>
      <c r="AA20" s="951">
        <f>(BE20*KFC!$B$39+KFC!$C$39)*курс_уе</f>
        <v>171.12</v>
      </c>
      <c r="AB20" s="951">
        <f>(BF20*KFC!$B$39+KFC!$C$39)*курс_уе</f>
        <v>174.8</v>
      </c>
      <c r="AC20" s="951">
        <f>(BG20*KFC!$B$39+KFC!$C$39)*курс_уе</f>
        <v>178.37</v>
      </c>
      <c r="AF20" s="950">
        <v>2</v>
      </c>
      <c r="AG20" s="952">
        <v>83.95</v>
      </c>
      <c r="AH20" s="952">
        <v>87.63</v>
      </c>
      <c r="AI20" s="952">
        <v>91.2</v>
      </c>
      <c r="AJ20" s="952">
        <v>94.88</v>
      </c>
      <c r="AK20" s="952">
        <v>98.56</v>
      </c>
      <c r="AL20" s="952">
        <v>102.12</v>
      </c>
      <c r="AM20" s="952">
        <v>105.8</v>
      </c>
      <c r="AN20" s="952">
        <v>109.37</v>
      </c>
      <c r="AO20" s="952">
        <v>113.05</v>
      </c>
      <c r="AP20" s="952">
        <v>116.61</v>
      </c>
      <c r="AQ20" s="952">
        <v>120.29</v>
      </c>
      <c r="AR20" s="952">
        <v>123.97</v>
      </c>
      <c r="AS20" s="952">
        <v>127.54</v>
      </c>
      <c r="AT20" s="952">
        <v>131.22</v>
      </c>
      <c r="AU20" s="952">
        <v>134.78</v>
      </c>
      <c r="AV20" s="952">
        <v>138.46</v>
      </c>
      <c r="AW20" s="952">
        <v>142.13999999999999</v>
      </c>
      <c r="AX20" s="952">
        <v>145.71</v>
      </c>
      <c r="AY20" s="952">
        <v>149.38999999999999</v>
      </c>
      <c r="AZ20" s="952">
        <v>152.94999999999999</v>
      </c>
      <c r="BA20" s="952">
        <v>156.63</v>
      </c>
      <c r="BB20" s="952">
        <v>160.19999999999999</v>
      </c>
      <c r="BC20" s="952">
        <v>163.88</v>
      </c>
      <c r="BD20" s="952">
        <v>167.56</v>
      </c>
      <c r="BE20" s="952">
        <v>171.12</v>
      </c>
      <c r="BF20" s="952">
        <v>174.8</v>
      </c>
      <c r="BG20" s="952">
        <v>178.37</v>
      </c>
    </row>
    <row r="21" spans="1:59">
      <c r="A21" s="2134"/>
      <c r="B21" s="262">
        <v>2.1</v>
      </c>
      <c r="C21" s="951">
        <f>(AG21*KFC!$B$39+KFC!$C$39)*курс_уе</f>
        <v>87.75</v>
      </c>
      <c r="D21" s="951">
        <f>(AH21*KFC!$B$39+KFC!$C$39)*курс_уе</f>
        <v>91.43</v>
      </c>
      <c r="E21" s="951">
        <f>(AI21*KFC!$B$39+KFC!$C$39)*курс_уе</f>
        <v>94.99</v>
      </c>
      <c r="F21" s="951">
        <f>(AJ21*KFC!$B$39+KFC!$C$39)*курс_уе</f>
        <v>98.67</v>
      </c>
      <c r="G21" s="951">
        <f>(AK21*KFC!$B$39+KFC!$C$39)*курс_уе</f>
        <v>102.24</v>
      </c>
      <c r="H21" s="951">
        <f>(AL21*KFC!$B$39+KFC!$C$39)*курс_уе</f>
        <v>105.92</v>
      </c>
      <c r="I21" s="951">
        <f>(AM21*KFC!$B$39+KFC!$C$39)*курс_уе</f>
        <v>109.6</v>
      </c>
      <c r="J21" s="951">
        <f>(AN21*KFC!$B$39+KFC!$C$39)*курс_уе</f>
        <v>113.16</v>
      </c>
      <c r="K21" s="951">
        <f>(AO21*KFC!$B$39+KFC!$C$39)*курс_уе</f>
        <v>116.96</v>
      </c>
      <c r="L21" s="951">
        <f>(AP21*KFC!$B$39+KFC!$C$39)*курс_уе</f>
        <v>120.64</v>
      </c>
      <c r="M21" s="951">
        <f>(AQ21*KFC!$B$39+KFC!$C$39)*курс_уе</f>
        <v>124.2</v>
      </c>
      <c r="N21" s="951">
        <f>(AR21*KFC!$B$39+KFC!$C$39)*курс_уе</f>
        <v>127.88</v>
      </c>
      <c r="O21" s="951">
        <f>(AS21*KFC!$B$39+KFC!$C$39)*курс_уе</f>
        <v>131.44999999999999</v>
      </c>
      <c r="P21" s="951">
        <f>(AT21*KFC!$B$39+KFC!$C$39)*курс_уе</f>
        <v>135.13</v>
      </c>
      <c r="Q21" s="951">
        <f>(AU21*KFC!$B$39+KFC!$C$39)*курс_уе</f>
        <v>138.81</v>
      </c>
      <c r="R21" s="951">
        <f>(AV21*KFC!$B$39+KFC!$C$39)*курс_уе</f>
        <v>142.37</v>
      </c>
      <c r="S21" s="951">
        <f>(AW21*KFC!$B$39+KFC!$C$39)*курс_уе</f>
        <v>146.05000000000001</v>
      </c>
      <c r="T21" s="951">
        <f>(AX21*KFC!$B$39+KFC!$C$39)*курс_уе</f>
        <v>149.62</v>
      </c>
      <c r="U21" s="951">
        <f>(AY21*KFC!$B$39+KFC!$C$39)*курс_уе</f>
        <v>153.41</v>
      </c>
      <c r="V21" s="951">
        <f>(AZ21*KFC!$B$39+KFC!$C$39)*курс_уе</f>
        <v>157.09</v>
      </c>
      <c r="W21" s="951">
        <f>(BA21*KFC!$B$39+KFC!$C$39)*курс_уе</f>
        <v>160.66</v>
      </c>
      <c r="X21" s="951">
        <f>(BB21*KFC!$B$39+KFC!$C$39)*курс_уе</f>
        <v>164.34</v>
      </c>
      <c r="Y21" s="951">
        <f>(BC21*KFC!$B$39+KFC!$C$39)*курс_уе</f>
        <v>168.02</v>
      </c>
      <c r="Z21" s="951">
        <f>(BD21*KFC!$B$39+KFC!$C$39)*курс_уе</f>
        <v>171.58</v>
      </c>
      <c r="AA21" s="951">
        <f>(BE21*KFC!$B$39+KFC!$C$39)*курс_уе</f>
        <v>175.26</v>
      </c>
      <c r="AB21" s="951">
        <f>(BF21*KFC!$B$39+KFC!$C$39)*курс_уе</f>
        <v>178.83</v>
      </c>
      <c r="AC21" s="951">
        <f>(BG21*KFC!$B$39+KFC!$C$39)*курс_уе</f>
        <v>182.51</v>
      </c>
      <c r="AF21" s="950">
        <v>2.1</v>
      </c>
      <c r="AG21" s="952">
        <v>87.75</v>
      </c>
      <c r="AH21" s="952">
        <v>91.43</v>
      </c>
      <c r="AI21" s="952">
        <v>94.99</v>
      </c>
      <c r="AJ21" s="952">
        <v>98.67</v>
      </c>
      <c r="AK21" s="952">
        <v>102.24</v>
      </c>
      <c r="AL21" s="952">
        <v>105.92</v>
      </c>
      <c r="AM21" s="952">
        <v>109.6</v>
      </c>
      <c r="AN21" s="952">
        <v>113.16</v>
      </c>
      <c r="AO21" s="952">
        <v>116.96</v>
      </c>
      <c r="AP21" s="952">
        <v>120.64</v>
      </c>
      <c r="AQ21" s="952">
        <v>124.2</v>
      </c>
      <c r="AR21" s="952">
        <v>127.88</v>
      </c>
      <c r="AS21" s="952">
        <v>131.44999999999999</v>
      </c>
      <c r="AT21" s="952">
        <v>135.13</v>
      </c>
      <c r="AU21" s="952">
        <v>138.81</v>
      </c>
      <c r="AV21" s="952">
        <v>142.37</v>
      </c>
      <c r="AW21" s="952">
        <v>146.05000000000001</v>
      </c>
      <c r="AX21" s="952">
        <v>149.62</v>
      </c>
      <c r="AY21" s="952">
        <v>153.41</v>
      </c>
      <c r="AZ21" s="952">
        <v>157.09</v>
      </c>
      <c r="BA21" s="952">
        <v>160.66</v>
      </c>
      <c r="BB21" s="952">
        <v>164.34</v>
      </c>
      <c r="BC21" s="952">
        <v>168.02</v>
      </c>
      <c r="BD21" s="952">
        <v>171.58</v>
      </c>
      <c r="BE21" s="952">
        <v>175.26</v>
      </c>
      <c r="BF21" s="952">
        <v>178.83</v>
      </c>
      <c r="BG21" s="952">
        <v>182.51</v>
      </c>
    </row>
    <row r="22" spans="1:59">
      <c r="A22" s="2134"/>
      <c r="B22" s="262">
        <v>2.2000000000000002</v>
      </c>
      <c r="C22" s="951">
        <f>(AG22*KFC!$B$39+KFC!$C$39)*курс_уе</f>
        <v>91.54</v>
      </c>
      <c r="D22" s="951">
        <f>(AH22*KFC!$B$39+KFC!$C$39)*курс_уе</f>
        <v>95.22</v>
      </c>
      <c r="E22" s="951">
        <f>(AI22*KFC!$B$39+KFC!$C$39)*курс_уе</f>
        <v>98.79</v>
      </c>
      <c r="F22" s="951">
        <f>(AJ22*KFC!$B$39+KFC!$C$39)*курс_уе</f>
        <v>102.58</v>
      </c>
      <c r="G22" s="951">
        <f>(AK22*KFC!$B$39+KFC!$C$39)*курс_уе</f>
        <v>106.26</v>
      </c>
      <c r="H22" s="951">
        <f>(AL22*KFC!$B$39+KFC!$C$39)*курс_уе</f>
        <v>109.83</v>
      </c>
      <c r="I22" s="951">
        <f>(AM22*KFC!$B$39+KFC!$C$39)*курс_уе</f>
        <v>113.51</v>
      </c>
      <c r="J22" s="951">
        <f>(AN22*KFC!$B$39+KFC!$C$39)*курс_уе</f>
        <v>117.07</v>
      </c>
      <c r="K22" s="951">
        <f>(AO22*KFC!$B$39+KFC!$C$39)*курс_уе</f>
        <v>120.75</v>
      </c>
      <c r="L22" s="951">
        <f>(AP22*KFC!$B$39+KFC!$C$39)*курс_уе</f>
        <v>124.55</v>
      </c>
      <c r="M22" s="951">
        <f>(AQ22*KFC!$B$39+KFC!$C$39)*курс_уе</f>
        <v>128.11000000000001</v>
      </c>
      <c r="N22" s="951">
        <f>(AR22*KFC!$B$39+KFC!$C$39)*курс_уе</f>
        <v>131.79</v>
      </c>
      <c r="O22" s="951">
        <f>(AS22*KFC!$B$39+KFC!$C$39)*курс_уе</f>
        <v>135.47</v>
      </c>
      <c r="P22" s="951">
        <f>(AT22*KFC!$B$39+KFC!$C$39)*курс_уе</f>
        <v>139.04</v>
      </c>
      <c r="Q22" s="951">
        <f>(AU22*KFC!$B$39+KFC!$C$39)*курс_уе</f>
        <v>142.72</v>
      </c>
      <c r="R22" s="951">
        <f>(AV22*KFC!$B$39+KFC!$C$39)*курс_уе</f>
        <v>146.51</v>
      </c>
      <c r="S22" s="951">
        <f>(AW22*KFC!$B$39+KFC!$C$39)*курс_уе</f>
        <v>150.08000000000001</v>
      </c>
      <c r="T22" s="951">
        <f>(AX22*KFC!$B$39+KFC!$C$39)*курс_уе</f>
        <v>153.76</v>
      </c>
      <c r="U22" s="951">
        <f>(AY22*KFC!$B$39+KFC!$C$39)*курс_уе</f>
        <v>157.32</v>
      </c>
      <c r="V22" s="951">
        <f>(AZ22*KFC!$B$39+KFC!$C$39)*курс_уе</f>
        <v>161</v>
      </c>
      <c r="W22" s="951">
        <f>(BA22*KFC!$B$39+KFC!$C$39)*курс_уе</f>
        <v>164.68</v>
      </c>
      <c r="X22" s="951">
        <f>(BB22*KFC!$B$39+KFC!$C$39)*курс_уе</f>
        <v>168.36</v>
      </c>
      <c r="Y22" s="951">
        <f>(BC22*KFC!$B$39+KFC!$C$39)*курс_уе</f>
        <v>172.04</v>
      </c>
      <c r="Z22" s="951">
        <f>(BD22*KFC!$B$39+KFC!$C$39)*курс_уе</f>
        <v>175.72</v>
      </c>
      <c r="AA22" s="951">
        <f>(BE22*KFC!$B$39+KFC!$C$39)*курс_уе</f>
        <v>179.29</v>
      </c>
      <c r="AB22" s="951">
        <f>(BF22*KFC!$B$39+KFC!$C$39)*курс_уе</f>
        <v>182.97</v>
      </c>
      <c r="AC22" s="951">
        <f>(BG22*KFC!$B$39+KFC!$C$39)*курс_уе</f>
        <v>186.53</v>
      </c>
      <c r="AF22" s="950">
        <v>2.2000000000000002</v>
      </c>
      <c r="AG22" s="952">
        <v>91.54</v>
      </c>
      <c r="AH22" s="952">
        <v>95.22</v>
      </c>
      <c r="AI22" s="952">
        <v>98.79</v>
      </c>
      <c r="AJ22" s="952">
        <v>102.58</v>
      </c>
      <c r="AK22" s="952">
        <v>106.26</v>
      </c>
      <c r="AL22" s="952">
        <v>109.83</v>
      </c>
      <c r="AM22" s="952">
        <v>113.51</v>
      </c>
      <c r="AN22" s="952">
        <v>117.07</v>
      </c>
      <c r="AO22" s="952">
        <v>120.75</v>
      </c>
      <c r="AP22" s="952">
        <v>124.55</v>
      </c>
      <c r="AQ22" s="952">
        <v>128.11000000000001</v>
      </c>
      <c r="AR22" s="952">
        <v>131.79</v>
      </c>
      <c r="AS22" s="952">
        <v>135.47</v>
      </c>
      <c r="AT22" s="952">
        <v>139.04</v>
      </c>
      <c r="AU22" s="952">
        <v>142.72</v>
      </c>
      <c r="AV22" s="952">
        <v>146.51</v>
      </c>
      <c r="AW22" s="952">
        <v>150.08000000000001</v>
      </c>
      <c r="AX22" s="952">
        <v>153.76</v>
      </c>
      <c r="AY22" s="952">
        <v>157.32</v>
      </c>
      <c r="AZ22" s="952">
        <v>161</v>
      </c>
      <c r="BA22" s="952">
        <v>164.68</v>
      </c>
      <c r="BB22" s="952">
        <v>168.36</v>
      </c>
      <c r="BC22" s="952">
        <v>172.04</v>
      </c>
      <c r="BD22" s="952">
        <v>175.72</v>
      </c>
      <c r="BE22" s="952">
        <v>179.29</v>
      </c>
      <c r="BF22" s="952">
        <v>182.97</v>
      </c>
      <c r="BG22" s="952">
        <v>186.53</v>
      </c>
    </row>
    <row r="23" spans="1:59">
      <c r="A23" s="2134"/>
      <c r="B23" s="262">
        <v>2.2999999999999998</v>
      </c>
      <c r="C23" s="951">
        <f>(AG23*KFC!$B$39+KFC!$C$39)*курс_уе</f>
        <v>95.34</v>
      </c>
      <c r="D23" s="951">
        <f>(AH23*KFC!$B$39+KFC!$C$39)*курс_уе</f>
        <v>99.02</v>
      </c>
      <c r="E23" s="951">
        <f>(AI23*KFC!$B$39+KFC!$C$39)*курс_уе</f>
        <v>102.7</v>
      </c>
      <c r="F23" s="951">
        <f>(AJ23*KFC!$B$39+KFC!$C$39)*курс_уе</f>
        <v>106.38</v>
      </c>
      <c r="G23" s="951">
        <f>(AK23*KFC!$B$39+KFC!$C$39)*курс_уе</f>
        <v>110.06</v>
      </c>
      <c r="H23" s="951">
        <f>(AL23*KFC!$B$39+KFC!$C$39)*курс_уе</f>
        <v>113.62</v>
      </c>
      <c r="I23" s="951">
        <f>(AM23*KFC!$B$39+KFC!$C$39)*курс_уе</f>
        <v>117.42</v>
      </c>
      <c r="J23" s="951">
        <f>(AN23*KFC!$B$39+KFC!$C$39)*курс_уе</f>
        <v>121.1</v>
      </c>
      <c r="K23" s="951">
        <f>(AO23*KFC!$B$39+KFC!$C$39)*курс_уе</f>
        <v>124.66</v>
      </c>
      <c r="L23" s="951">
        <f>(AP23*KFC!$B$39+KFC!$C$39)*курс_уе</f>
        <v>128.34</v>
      </c>
      <c r="M23" s="951">
        <f>(AQ23*KFC!$B$39+KFC!$C$39)*курс_уе</f>
        <v>132.13999999999999</v>
      </c>
      <c r="N23" s="951">
        <f>(AR23*KFC!$B$39+KFC!$C$39)*курс_уе</f>
        <v>135.69999999999999</v>
      </c>
      <c r="O23" s="951">
        <f>(AS23*KFC!$B$39+KFC!$C$39)*курс_уе</f>
        <v>139.38</v>
      </c>
      <c r="P23" s="951">
        <f>(AT23*KFC!$B$39+KFC!$C$39)*курс_уе</f>
        <v>142.94999999999999</v>
      </c>
      <c r="Q23" s="951">
        <f>(AU23*KFC!$B$39+KFC!$C$39)*курс_уе</f>
        <v>146.74</v>
      </c>
      <c r="R23" s="951">
        <f>(AV23*KFC!$B$39+KFC!$C$39)*курс_уе</f>
        <v>150.41999999999999</v>
      </c>
      <c r="S23" s="951">
        <f>(AW23*KFC!$B$39+KFC!$C$39)*курс_уе</f>
        <v>153.99</v>
      </c>
      <c r="T23" s="951">
        <f>(AX23*KFC!$B$39+KFC!$C$39)*курс_уе</f>
        <v>157.66999999999999</v>
      </c>
      <c r="U23" s="951">
        <f>(AY23*KFC!$B$39+KFC!$C$39)*курс_уе</f>
        <v>161.46</v>
      </c>
      <c r="V23" s="951">
        <f>(AZ23*KFC!$B$39+KFC!$C$39)*курс_уе</f>
        <v>165.14</v>
      </c>
      <c r="W23" s="951">
        <f>(BA23*KFC!$B$39+KFC!$C$39)*курс_уе</f>
        <v>168.71</v>
      </c>
      <c r="X23" s="951">
        <f>(BB23*KFC!$B$39+KFC!$C$39)*курс_уе</f>
        <v>172.39</v>
      </c>
      <c r="Y23" s="951">
        <f>(BC23*KFC!$B$39+KFC!$C$39)*курс_уе</f>
        <v>176.18</v>
      </c>
      <c r="Z23" s="951">
        <f>(BD23*KFC!$B$39+KFC!$C$39)*курс_уе</f>
        <v>179.75</v>
      </c>
      <c r="AA23" s="951">
        <f>(BE23*KFC!$B$39+KFC!$C$39)*курс_уе</f>
        <v>183.43</v>
      </c>
      <c r="AB23" s="951">
        <f>(BF23*KFC!$B$39+KFC!$C$39)*курс_уе</f>
        <v>186.99</v>
      </c>
      <c r="AC23" s="951">
        <f>(BG23*KFC!$B$39+KFC!$C$39)*курс_уе</f>
        <v>190.79</v>
      </c>
      <c r="AF23" s="950">
        <v>2.2999999999999998</v>
      </c>
      <c r="AG23" s="952">
        <v>95.34</v>
      </c>
      <c r="AH23" s="952">
        <v>99.02</v>
      </c>
      <c r="AI23" s="952">
        <v>102.7</v>
      </c>
      <c r="AJ23" s="952">
        <v>106.38</v>
      </c>
      <c r="AK23" s="952">
        <v>110.06</v>
      </c>
      <c r="AL23" s="952">
        <v>113.62</v>
      </c>
      <c r="AM23" s="952">
        <v>117.42</v>
      </c>
      <c r="AN23" s="952">
        <v>121.1</v>
      </c>
      <c r="AO23" s="952">
        <v>124.66</v>
      </c>
      <c r="AP23" s="952">
        <v>128.34</v>
      </c>
      <c r="AQ23" s="952">
        <v>132.13999999999999</v>
      </c>
      <c r="AR23" s="952">
        <v>135.69999999999999</v>
      </c>
      <c r="AS23" s="952">
        <v>139.38</v>
      </c>
      <c r="AT23" s="952">
        <v>142.94999999999999</v>
      </c>
      <c r="AU23" s="952">
        <v>146.74</v>
      </c>
      <c r="AV23" s="952">
        <v>150.41999999999999</v>
      </c>
      <c r="AW23" s="952">
        <v>153.99</v>
      </c>
      <c r="AX23" s="952">
        <v>157.66999999999999</v>
      </c>
      <c r="AY23" s="952">
        <v>161.46</v>
      </c>
      <c r="AZ23" s="952">
        <v>165.14</v>
      </c>
      <c r="BA23" s="952">
        <v>168.71</v>
      </c>
      <c r="BB23" s="952">
        <v>172.39</v>
      </c>
      <c r="BC23" s="952">
        <v>176.18</v>
      </c>
      <c r="BD23" s="952">
        <v>179.75</v>
      </c>
      <c r="BE23" s="952">
        <v>183.43</v>
      </c>
      <c r="BF23" s="952">
        <v>186.99</v>
      </c>
      <c r="BG23" s="952">
        <v>190.79</v>
      </c>
    </row>
    <row r="24" spans="1:59">
      <c r="A24" s="2134"/>
      <c r="B24" s="262">
        <v>2.4</v>
      </c>
      <c r="C24" s="951">
        <f>(AG24*KFC!$B$39+KFC!$C$39)*курс_уе</f>
        <v>99.25</v>
      </c>
      <c r="D24" s="951">
        <f>(AH24*KFC!$B$39+KFC!$C$39)*курс_уе</f>
        <v>102.93</v>
      </c>
      <c r="E24" s="951">
        <f>(AI24*KFC!$B$39+KFC!$C$39)*курс_уе</f>
        <v>106.49</v>
      </c>
      <c r="F24" s="951">
        <f>(AJ24*KFC!$B$39+KFC!$C$39)*курс_уе</f>
        <v>110.17</v>
      </c>
      <c r="G24" s="951">
        <f>(AK24*KFC!$B$39+KFC!$C$39)*курс_уе</f>
        <v>113.97</v>
      </c>
      <c r="H24" s="951">
        <f>(AL24*KFC!$B$39+KFC!$C$39)*курс_уе</f>
        <v>117.53</v>
      </c>
      <c r="I24" s="951">
        <f>(AM24*KFC!$B$39+KFC!$C$39)*курс_уе</f>
        <v>121.21</v>
      </c>
      <c r="J24" s="951">
        <f>(AN24*KFC!$B$39+KFC!$C$39)*курс_уе</f>
        <v>125.01</v>
      </c>
      <c r="K24" s="951">
        <f>(AO24*KFC!$B$39+KFC!$C$39)*курс_уе</f>
        <v>128.57</v>
      </c>
      <c r="L24" s="951">
        <f>(AP24*KFC!$B$39+KFC!$C$39)*курс_уе</f>
        <v>132.25</v>
      </c>
      <c r="M24" s="951">
        <f>(AQ24*KFC!$B$39+KFC!$C$39)*курс_уе</f>
        <v>136.05000000000001</v>
      </c>
      <c r="N24" s="951">
        <f>(AR24*KFC!$B$39+KFC!$C$39)*курс_уе</f>
        <v>139.61000000000001</v>
      </c>
      <c r="O24" s="951">
        <f>(AS24*KFC!$B$39+KFC!$C$39)*курс_уе</f>
        <v>143.29</v>
      </c>
      <c r="P24" s="951">
        <f>(AT24*KFC!$B$39+KFC!$C$39)*курс_уе</f>
        <v>147.09</v>
      </c>
      <c r="Q24" s="951">
        <f>(AU24*KFC!$B$39+KFC!$C$39)*курс_уе</f>
        <v>150.77000000000001</v>
      </c>
      <c r="R24" s="951">
        <f>(AV24*KFC!$B$39+KFC!$C$39)*курс_уе</f>
        <v>154.33000000000001</v>
      </c>
      <c r="S24" s="951">
        <f>(AW24*KFC!$B$39+KFC!$C$39)*курс_уе</f>
        <v>158.13</v>
      </c>
      <c r="T24" s="951">
        <f>(AX24*KFC!$B$39+KFC!$C$39)*курс_уе</f>
        <v>161.81</v>
      </c>
      <c r="U24" s="951">
        <f>(AY24*KFC!$B$39+KFC!$C$39)*курс_уе</f>
        <v>165.37</v>
      </c>
      <c r="V24" s="951">
        <f>(AZ24*KFC!$B$39+KFC!$C$39)*курс_уе</f>
        <v>169.05</v>
      </c>
      <c r="W24" s="951">
        <f>(BA24*KFC!$B$39+KFC!$C$39)*курс_уе</f>
        <v>172.85</v>
      </c>
      <c r="X24" s="951">
        <f>(BB24*KFC!$B$39+KFC!$C$39)*курс_уе</f>
        <v>176.41</v>
      </c>
      <c r="Y24" s="951">
        <f>(BC24*KFC!$B$39+KFC!$C$39)*курс_уе</f>
        <v>180.09</v>
      </c>
      <c r="Z24" s="951">
        <f>(BD24*KFC!$B$39+KFC!$C$39)*курс_уе</f>
        <v>183.89</v>
      </c>
      <c r="AA24" s="951">
        <f>(BE24*KFC!$B$39+KFC!$C$39)*курс_уе</f>
        <v>187.45</v>
      </c>
      <c r="AB24" s="951">
        <f>(BF24*KFC!$B$39+KFC!$C$39)*курс_уе</f>
        <v>191.13</v>
      </c>
      <c r="AC24" s="951">
        <f>(BG24*KFC!$B$39+KFC!$C$39)*курс_уе</f>
        <v>194.93</v>
      </c>
      <c r="AF24" s="950">
        <v>2.4</v>
      </c>
      <c r="AG24" s="952">
        <v>99.25</v>
      </c>
      <c r="AH24" s="952">
        <v>102.93</v>
      </c>
      <c r="AI24" s="952">
        <v>106.49</v>
      </c>
      <c r="AJ24" s="952">
        <v>110.17</v>
      </c>
      <c r="AK24" s="952">
        <v>113.97</v>
      </c>
      <c r="AL24" s="952">
        <v>117.53</v>
      </c>
      <c r="AM24" s="952">
        <v>121.21</v>
      </c>
      <c r="AN24" s="952">
        <v>125.01</v>
      </c>
      <c r="AO24" s="952">
        <v>128.57</v>
      </c>
      <c r="AP24" s="952">
        <v>132.25</v>
      </c>
      <c r="AQ24" s="952">
        <v>136.05000000000001</v>
      </c>
      <c r="AR24" s="952">
        <v>139.61000000000001</v>
      </c>
      <c r="AS24" s="952">
        <v>143.29</v>
      </c>
      <c r="AT24" s="952">
        <v>147.09</v>
      </c>
      <c r="AU24" s="952">
        <v>150.77000000000001</v>
      </c>
      <c r="AV24" s="952">
        <v>154.33000000000001</v>
      </c>
      <c r="AW24" s="952">
        <v>158.13</v>
      </c>
      <c r="AX24" s="952">
        <v>161.81</v>
      </c>
      <c r="AY24" s="952">
        <v>165.37</v>
      </c>
      <c r="AZ24" s="952">
        <v>169.05</v>
      </c>
      <c r="BA24" s="952">
        <v>172.85</v>
      </c>
      <c r="BB24" s="952">
        <v>176.41</v>
      </c>
      <c r="BC24" s="952">
        <v>180.09</v>
      </c>
      <c r="BD24" s="952">
        <v>183.89</v>
      </c>
      <c r="BE24" s="952">
        <v>187.45</v>
      </c>
      <c r="BF24" s="952">
        <v>191.13</v>
      </c>
      <c r="BG24" s="952">
        <v>194.93</v>
      </c>
    </row>
    <row r="25" spans="1:59">
      <c r="A25" s="2134"/>
      <c r="B25" s="262">
        <v>2.5</v>
      </c>
      <c r="C25" s="951">
        <f>(AG25*KFC!$B$39+KFC!$C$39)*курс_уе</f>
        <v>103.04</v>
      </c>
      <c r="D25" s="951">
        <f>(AH25*KFC!$B$39+KFC!$C$39)*курс_уе</f>
        <v>106.72</v>
      </c>
      <c r="E25" s="951">
        <f>(AI25*KFC!$B$39+KFC!$C$39)*курс_уе</f>
        <v>110.52</v>
      </c>
      <c r="F25" s="951">
        <f>(AJ25*KFC!$B$39+KFC!$C$39)*курс_уе</f>
        <v>114.08</v>
      </c>
      <c r="G25" s="951">
        <f>(AK25*KFC!$B$39+KFC!$C$39)*курс_уе</f>
        <v>117.76</v>
      </c>
      <c r="H25" s="951">
        <f>(AL25*KFC!$B$39+KFC!$C$39)*курс_уе</f>
        <v>121.56</v>
      </c>
      <c r="I25" s="951">
        <f>(AM25*KFC!$B$39+KFC!$C$39)*курс_уе</f>
        <v>125.12</v>
      </c>
      <c r="J25" s="951">
        <f>(AN25*KFC!$B$39+KFC!$C$39)*курс_уе</f>
        <v>128.80000000000001</v>
      </c>
      <c r="K25" s="951">
        <f>(AO25*KFC!$B$39+KFC!$C$39)*курс_уе</f>
        <v>132.6</v>
      </c>
      <c r="L25" s="951">
        <f>(AP25*KFC!$B$39+KFC!$C$39)*курс_уе</f>
        <v>136.16</v>
      </c>
      <c r="M25" s="951">
        <f>(AQ25*KFC!$B$39+KFC!$C$39)*курс_уе</f>
        <v>139.96</v>
      </c>
      <c r="N25" s="951">
        <f>(AR25*KFC!$B$39+KFC!$C$39)*курс_уе</f>
        <v>143.63999999999999</v>
      </c>
      <c r="O25" s="951">
        <f>(AS25*KFC!$B$39+KFC!$C$39)*курс_уе</f>
        <v>147.19999999999999</v>
      </c>
      <c r="P25" s="951">
        <f>(AT25*KFC!$B$39+KFC!$C$39)*курс_уе</f>
        <v>151</v>
      </c>
      <c r="Q25" s="951">
        <f>(AU25*KFC!$B$39+KFC!$C$39)*курс_уе</f>
        <v>154.68</v>
      </c>
      <c r="R25" s="951">
        <f>(AV25*KFC!$B$39+KFC!$C$39)*курс_уе</f>
        <v>158.47</v>
      </c>
      <c r="S25" s="951">
        <f>(AW25*KFC!$B$39+KFC!$C$39)*курс_уе</f>
        <v>162.04</v>
      </c>
      <c r="T25" s="951">
        <f>(AX25*KFC!$B$39+KFC!$C$39)*курс_уе</f>
        <v>165.72</v>
      </c>
      <c r="U25" s="951">
        <f>(AY25*KFC!$B$39+KFC!$C$39)*курс_уе</f>
        <v>169.51</v>
      </c>
      <c r="V25" s="951">
        <f>(AZ25*KFC!$B$39+KFC!$C$39)*курс_уе</f>
        <v>173.08</v>
      </c>
      <c r="W25" s="951">
        <f>(BA25*KFC!$B$39+KFC!$C$39)*курс_уе</f>
        <v>176.76</v>
      </c>
      <c r="X25" s="951">
        <f>(BB25*KFC!$B$39+KFC!$C$39)*курс_уе</f>
        <v>180.55</v>
      </c>
      <c r="Y25" s="951">
        <f>(BC25*KFC!$B$39+KFC!$C$39)*курс_уе</f>
        <v>184.12</v>
      </c>
      <c r="Z25" s="951">
        <f>(BD25*KFC!$B$39+KFC!$C$39)*курс_уе</f>
        <v>187.91</v>
      </c>
      <c r="AA25" s="951">
        <f>(BE25*KFC!$B$39+KFC!$C$39)*курс_уе</f>
        <v>191.59</v>
      </c>
      <c r="AB25" s="951">
        <f>(BF25*KFC!$B$39+KFC!$C$39)*курс_уе</f>
        <v>195.16</v>
      </c>
      <c r="AC25" s="951">
        <f>(BG25*KFC!$B$39+KFC!$C$39)*курс_уе</f>
        <v>198.95</v>
      </c>
      <c r="AF25" s="950">
        <v>2.5</v>
      </c>
      <c r="AG25" s="952">
        <v>103.04</v>
      </c>
      <c r="AH25" s="952">
        <v>106.72</v>
      </c>
      <c r="AI25" s="952">
        <v>110.52</v>
      </c>
      <c r="AJ25" s="952">
        <v>114.08</v>
      </c>
      <c r="AK25" s="952">
        <v>117.76</v>
      </c>
      <c r="AL25" s="952">
        <v>121.56</v>
      </c>
      <c r="AM25" s="952">
        <v>125.12</v>
      </c>
      <c r="AN25" s="952">
        <v>128.80000000000001</v>
      </c>
      <c r="AO25" s="952">
        <v>132.6</v>
      </c>
      <c r="AP25" s="952">
        <v>136.16</v>
      </c>
      <c r="AQ25" s="952">
        <v>139.96</v>
      </c>
      <c r="AR25" s="952">
        <v>143.63999999999999</v>
      </c>
      <c r="AS25" s="952">
        <v>147.19999999999999</v>
      </c>
      <c r="AT25" s="952">
        <v>151</v>
      </c>
      <c r="AU25" s="952">
        <v>154.68</v>
      </c>
      <c r="AV25" s="952">
        <v>158.47</v>
      </c>
      <c r="AW25" s="952">
        <v>162.04</v>
      </c>
      <c r="AX25" s="952">
        <v>165.72</v>
      </c>
      <c r="AY25" s="952">
        <v>169.51</v>
      </c>
      <c r="AZ25" s="952">
        <v>173.08</v>
      </c>
      <c r="BA25" s="952">
        <v>176.76</v>
      </c>
      <c r="BB25" s="952">
        <v>180.55</v>
      </c>
      <c r="BC25" s="952">
        <v>184.12</v>
      </c>
      <c r="BD25" s="952">
        <v>187.91</v>
      </c>
      <c r="BE25" s="952">
        <v>191.59</v>
      </c>
      <c r="BF25" s="952">
        <v>195.16</v>
      </c>
      <c r="BG25" s="952">
        <v>198.95</v>
      </c>
    </row>
    <row r="26" spans="1:59">
      <c r="A26" s="2134"/>
      <c r="B26" s="262">
        <v>2.6</v>
      </c>
      <c r="C26" s="951">
        <f>(AG26*KFC!$B$39+KFC!$C$39)*курс_уе</f>
        <v>106.84</v>
      </c>
      <c r="D26" s="951">
        <f>(AH26*KFC!$B$39+KFC!$C$39)*курс_уе</f>
        <v>110.52</v>
      </c>
      <c r="E26" s="951">
        <f>(AI26*KFC!$B$39+KFC!$C$39)*курс_уе</f>
        <v>114.2</v>
      </c>
      <c r="F26" s="951">
        <f>(AJ26*KFC!$B$39+KFC!$C$39)*курс_уе</f>
        <v>117.88</v>
      </c>
      <c r="G26" s="951">
        <f>(AK26*KFC!$B$39+KFC!$C$39)*курс_уе</f>
        <v>121.67</v>
      </c>
      <c r="H26" s="951">
        <f>(AL26*KFC!$B$39+KFC!$C$39)*курс_уе</f>
        <v>125.24</v>
      </c>
      <c r="I26" s="951">
        <f>(AM26*KFC!$B$39+KFC!$C$39)*курс_уе</f>
        <v>129.03</v>
      </c>
      <c r="J26" s="951">
        <f>(AN26*KFC!$B$39+KFC!$C$39)*курс_уе</f>
        <v>132.71</v>
      </c>
      <c r="K26" s="951">
        <f>(AO26*KFC!$B$39+KFC!$C$39)*курс_уе</f>
        <v>136.51</v>
      </c>
      <c r="L26" s="951">
        <f>(AP26*KFC!$B$39+KFC!$C$39)*курс_уе</f>
        <v>140.07</v>
      </c>
      <c r="M26" s="951">
        <f>(AQ26*KFC!$B$39+KFC!$C$39)*курс_уе</f>
        <v>143.87</v>
      </c>
      <c r="N26" s="951">
        <f>(AR26*KFC!$B$39+KFC!$C$39)*курс_уе</f>
        <v>147.55000000000001</v>
      </c>
      <c r="O26" s="951">
        <f>(AS26*KFC!$B$39+KFC!$C$39)*курс_уе</f>
        <v>151.11000000000001</v>
      </c>
      <c r="P26" s="951">
        <f>(AT26*KFC!$B$39+KFC!$C$39)*курс_уе</f>
        <v>154.91</v>
      </c>
      <c r="Q26" s="951">
        <f>(AU26*KFC!$B$39+KFC!$C$39)*курс_уе</f>
        <v>158.59</v>
      </c>
      <c r="R26" s="951">
        <f>(AV26*KFC!$B$39+KFC!$C$39)*курс_уе</f>
        <v>162.38</v>
      </c>
      <c r="S26" s="951">
        <f>(AW26*KFC!$B$39+KFC!$C$39)*курс_уе</f>
        <v>165.95</v>
      </c>
      <c r="T26" s="951">
        <f>(AX26*KFC!$B$39+KFC!$C$39)*курс_уе</f>
        <v>169.74</v>
      </c>
      <c r="U26" s="951">
        <f>(AY26*KFC!$B$39+KFC!$C$39)*курс_уе</f>
        <v>173.42</v>
      </c>
      <c r="V26" s="951">
        <f>(AZ26*KFC!$B$39+KFC!$C$39)*курс_уе</f>
        <v>177.22</v>
      </c>
      <c r="W26" s="951">
        <f>(BA26*KFC!$B$39+KFC!$C$39)*курс_уе</f>
        <v>180.78</v>
      </c>
      <c r="X26" s="951">
        <f>(BB26*KFC!$B$39+KFC!$C$39)*курс_уе</f>
        <v>184.58</v>
      </c>
      <c r="Y26" s="951">
        <f>(BC26*KFC!$B$39+KFC!$C$39)*курс_уе</f>
        <v>188.26</v>
      </c>
      <c r="Z26" s="951">
        <f>(BD26*KFC!$B$39+KFC!$C$39)*курс_уе</f>
        <v>192.05</v>
      </c>
      <c r="AA26" s="951">
        <f>(BE26*KFC!$B$39+KFC!$C$39)*курс_уе</f>
        <v>195.62</v>
      </c>
      <c r="AB26" s="951">
        <f>(BF26*KFC!$B$39+KFC!$C$39)*курс_уе</f>
        <v>199.3</v>
      </c>
      <c r="AC26" s="951">
        <f>(BG26*KFC!$B$39+KFC!$C$39)*курс_уе</f>
        <v>203.09</v>
      </c>
      <c r="AF26" s="950">
        <v>2.6</v>
      </c>
      <c r="AG26" s="952">
        <v>106.84</v>
      </c>
      <c r="AH26" s="952">
        <v>110.52</v>
      </c>
      <c r="AI26" s="952">
        <v>114.2</v>
      </c>
      <c r="AJ26" s="952">
        <v>117.88</v>
      </c>
      <c r="AK26" s="952">
        <v>121.67</v>
      </c>
      <c r="AL26" s="952">
        <v>125.24</v>
      </c>
      <c r="AM26" s="952">
        <v>129.03</v>
      </c>
      <c r="AN26" s="952">
        <v>132.71</v>
      </c>
      <c r="AO26" s="952">
        <v>136.51</v>
      </c>
      <c r="AP26" s="952">
        <v>140.07</v>
      </c>
      <c r="AQ26" s="952">
        <v>143.87</v>
      </c>
      <c r="AR26" s="952">
        <v>147.55000000000001</v>
      </c>
      <c r="AS26" s="952">
        <v>151.11000000000001</v>
      </c>
      <c r="AT26" s="952">
        <v>154.91</v>
      </c>
      <c r="AU26" s="952">
        <v>158.59</v>
      </c>
      <c r="AV26" s="952">
        <v>162.38</v>
      </c>
      <c r="AW26" s="952">
        <v>165.95</v>
      </c>
      <c r="AX26" s="952">
        <v>169.74</v>
      </c>
      <c r="AY26" s="952">
        <v>173.42</v>
      </c>
      <c r="AZ26" s="952">
        <v>177.22</v>
      </c>
      <c r="BA26" s="952">
        <v>180.78</v>
      </c>
      <c r="BB26" s="952">
        <v>184.58</v>
      </c>
      <c r="BC26" s="952">
        <v>188.26</v>
      </c>
      <c r="BD26" s="952">
        <v>192.05</v>
      </c>
      <c r="BE26" s="952">
        <v>195.62</v>
      </c>
      <c r="BF26" s="952">
        <v>199.3</v>
      </c>
      <c r="BG26" s="952">
        <v>203.09</v>
      </c>
    </row>
    <row r="27" spans="1:59">
      <c r="A27" s="2134"/>
      <c r="B27" s="262">
        <v>2.7</v>
      </c>
      <c r="C27" s="951">
        <f>(AG27*KFC!$B$39+KFC!$C$39)*курс_уе</f>
        <v>110.63</v>
      </c>
      <c r="D27" s="951">
        <f>(AH27*KFC!$B$39+KFC!$C$39)*курс_уе</f>
        <v>114.43</v>
      </c>
      <c r="E27" s="951">
        <f>(AI27*KFC!$B$39+KFC!$C$39)*курс_уе</f>
        <v>117.99</v>
      </c>
      <c r="F27" s="951">
        <f>(AJ27*KFC!$B$39+KFC!$C$39)*курс_уе</f>
        <v>121.79</v>
      </c>
      <c r="G27" s="951">
        <f>(AK27*KFC!$B$39+KFC!$C$39)*курс_уе</f>
        <v>125.47</v>
      </c>
      <c r="H27" s="951">
        <f>(AL27*KFC!$B$39+KFC!$C$39)*курс_уе</f>
        <v>129.26</v>
      </c>
      <c r="I27" s="951">
        <f>(AM27*KFC!$B$39+KFC!$C$39)*курс_уе</f>
        <v>132.83000000000001</v>
      </c>
      <c r="J27" s="951">
        <f>(AN27*KFC!$B$39+KFC!$C$39)*курс_уе</f>
        <v>136.62</v>
      </c>
      <c r="K27" s="951">
        <f>(AO27*KFC!$B$39+KFC!$C$39)*курс_уе</f>
        <v>140.30000000000001</v>
      </c>
      <c r="L27" s="951">
        <f>(AP27*KFC!$B$39+KFC!$C$39)*курс_уе</f>
        <v>144.1</v>
      </c>
      <c r="M27" s="951">
        <f>(AQ27*KFC!$B$39+KFC!$C$39)*курс_уе</f>
        <v>147.88999999999999</v>
      </c>
      <c r="N27" s="951">
        <f>(AR27*KFC!$B$39+KFC!$C$39)*курс_уе</f>
        <v>151.46</v>
      </c>
      <c r="O27" s="951">
        <f>(AS27*KFC!$B$39+KFC!$C$39)*курс_уе</f>
        <v>155.25</v>
      </c>
      <c r="P27" s="951">
        <f>(AT27*KFC!$B$39+KFC!$C$39)*курс_уе</f>
        <v>158.93</v>
      </c>
      <c r="Q27" s="951">
        <f>(AU27*KFC!$B$39+KFC!$C$39)*курс_уе</f>
        <v>162.61000000000001</v>
      </c>
      <c r="R27" s="951">
        <f>(AV27*KFC!$B$39+KFC!$C$39)*курс_уе</f>
        <v>166.29</v>
      </c>
      <c r="S27" s="951">
        <f>(AW27*KFC!$B$39+KFC!$C$39)*курс_уе</f>
        <v>170.09</v>
      </c>
      <c r="T27" s="951">
        <f>(AX27*KFC!$B$39+KFC!$C$39)*курс_уе</f>
        <v>173.77</v>
      </c>
      <c r="U27" s="951">
        <f>(AY27*KFC!$B$39+KFC!$C$39)*курс_уе</f>
        <v>177.45</v>
      </c>
      <c r="V27" s="951">
        <f>(AZ27*KFC!$B$39+KFC!$C$39)*курс_уе</f>
        <v>181.13</v>
      </c>
      <c r="W27" s="951">
        <f>(BA27*KFC!$B$39+KFC!$C$39)*курс_уе</f>
        <v>184.92</v>
      </c>
      <c r="X27" s="951">
        <f>(BB27*KFC!$B$39+KFC!$C$39)*курс_уе</f>
        <v>188.49</v>
      </c>
      <c r="Y27" s="951">
        <f>(BC27*KFC!$B$39+KFC!$C$39)*курс_уе</f>
        <v>192.28</v>
      </c>
      <c r="Z27" s="951">
        <f>(BD27*KFC!$B$39+KFC!$C$39)*курс_уе</f>
        <v>195.96</v>
      </c>
      <c r="AA27" s="951">
        <f>(BE27*KFC!$B$39+KFC!$C$39)*курс_уе</f>
        <v>199.76</v>
      </c>
      <c r="AB27" s="951">
        <f>(BF27*KFC!$B$39+KFC!$C$39)*курс_уе</f>
        <v>203.32</v>
      </c>
      <c r="AC27" s="951">
        <f>(BG27*KFC!$B$39+KFC!$C$39)*курс_уе</f>
        <v>207.12</v>
      </c>
      <c r="AF27" s="950">
        <v>2.7</v>
      </c>
      <c r="AG27" s="952">
        <v>110.63</v>
      </c>
      <c r="AH27" s="952">
        <v>114.43</v>
      </c>
      <c r="AI27" s="952">
        <v>117.99</v>
      </c>
      <c r="AJ27" s="952">
        <v>121.79</v>
      </c>
      <c r="AK27" s="952">
        <v>125.47</v>
      </c>
      <c r="AL27" s="952">
        <v>129.26</v>
      </c>
      <c r="AM27" s="952">
        <v>132.83000000000001</v>
      </c>
      <c r="AN27" s="952">
        <v>136.62</v>
      </c>
      <c r="AO27" s="952">
        <v>140.30000000000001</v>
      </c>
      <c r="AP27" s="952">
        <v>144.1</v>
      </c>
      <c r="AQ27" s="952">
        <v>147.88999999999999</v>
      </c>
      <c r="AR27" s="952">
        <v>151.46</v>
      </c>
      <c r="AS27" s="952">
        <v>155.25</v>
      </c>
      <c r="AT27" s="952">
        <v>158.93</v>
      </c>
      <c r="AU27" s="952">
        <v>162.61000000000001</v>
      </c>
      <c r="AV27" s="952">
        <v>166.29</v>
      </c>
      <c r="AW27" s="952">
        <v>170.09</v>
      </c>
      <c r="AX27" s="952">
        <v>173.77</v>
      </c>
      <c r="AY27" s="952">
        <v>177.45</v>
      </c>
      <c r="AZ27" s="952">
        <v>181.13</v>
      </c>
      <c r="BA27" s="952">
        <v>184.92</v>
      </c>
      <c r="BB27" s="952">
        <v>188.49</v>
      </c>
      <c r="BC27" s="952">
        <v>192.28</v>
      </c>
      <c r="BD27" s="952">
        <v>195.96</v>
      </c>
      <c r="BE27" s="952">
        <v>199.76</v>
      </c>
      <c r="BF27" s="952">
        <v>203.32</v>
      </c>
      <c r="BG27" s="952">
        <v>207.12</v>
      </c>
    </row>
    <row r="28" spans="1:59">
      <c r="A28" s="2134"/>
      <c r="B28" s="262">
        <v>2.8</v>
      </c>
      <c r="C28" s="951">
        <f>(AG28*KFC!$B$39+KFC!$C$39)*курс_уе</f>
        <v>114.54</v>
      </c>
      <c r="D28" s="951">
        <f>(AH28*KFC!$B$39+KFC!$C$39)*курс_уе</f>
        <v>118.22</v>
      </c>
      <c r="E28" s="951">
        <f>(AI28*KFC!$B$39+KFC!$C$39)*курс_уе</f>
        <v>122.02</v>
      </c>
      <c r="F28" s="951">
        <f>(AJ28*KFC!$B$39+KFC!$C$39)*курс_уе</f>
        <v>125.58</v>
      </c>
      <c r="G28" s="951">
        <f>(AK28*KFC!$B$39+KFC!$C$39)*курс_уе</f>
        <v>129.38</v>
      </c>
      <c r="H28" s="951">
        <f>(AL28*KFC!$B$39+KFC!$C$39)*курс_уе</f>
        <v>133.06</v>
      </c>
      <c r="I28" s="951">
        <f>(AM28*KFC!$B$39+KFC!$C$39)*курс_уе</f>
        <v>136.74</v>
      </c>
      <c r="J28" s="951">
        <f>(AN28*KFC!$B$39+KFC!$C$39)*курс_уе</f>
        <v>140.53</v>
      </c>
      <c r="K28" s="951">
        <f>(AO28*KFC!$B$39+KFC!$C$39)*курс_уе</f>
        <v>144.21</v>
      </c>
      <c r="L28" s="951">
        <f>(AP28*KFC!$B$39+KFC!$C$39)*курс_уе</f>
        <v>148.01</v>
      </c>
      <c r="M28" s="951">
        <f>(AQ28*KFC!$B$39+KFC!$C$39)*курс_уе</f>
        <v>151.57</v>
      </c>
      <c r="N28" s="951">
        <f>(AR28*KFC!$B$39+KFC!$C$39)*курс_уе</f>
        <v>155.37</v>
      </c>
      <c r="O28" s="951">
        <f>(AS28*KFC!$B$39+KFC!$C$39)*курс_уе</f>
        <v>159.16</v>
      </c>
      <c r="P28" s="951">
        <f>(AT28*KFC!$B$39+KFC!$C$39)*курс_уе</f>
        <v>162.84</v>
      </c>
      <c r="Q28" s="951">
        <f>(AU28*KFC!$B$39+KFC!$C$39)*курс_уе</f>
        <v>166.64</v>
      </c>
      <c r="R28" s="951">
        <f>(AV28*KFC!$B$39+KFC!$C$39)*курс_уе</f>
        <v>170.2</v>
      </c>
      <c r="S28" s="951">
        <f>(AW28*KFC!$B$39+KFC!$C$39)*курс_уе</f>
        <v>174</v>
      </c>
      <c r="T28" s="951">
        <f>(AX28*KFC!$B$39+KFC!$C$39)*курс_уе</f>
        <v>177.79</v>
      </c>
      <c r="U28" s="951">
        <f>(AY28*KFC!$B$39+KFC!$C$39)*курс_уе</f>
        <v>181.47</v>
      </c>
      <c r="V28" s="951">
        <f>(AZ28*KFC!$B$39+KFC!$C$39)*курс_уе</f>
        <v>185.27</v>
      </c>
      <c r="W28" s="951">
        <f>(BA28*KFC!$B$39+KFC!$C$39)*курс_уе</f>
        <v>188.83</v>
      </c>
      <c r="X28" s="951">
        <f>(BB28*KFC!$B$39+KFC!$C$39)*курс_уе</f>
        <v>192.63</v>
      </c>
      <c r="Y28" s="951">
        <f>(BC28*KFC!$B$39+KFC!$C$39)*курс_уе</f>
        <v>196.42</v>
      </c>
      <c r="Z28" s="951">
        <f>(BD28*KFC!$B$39+KFC!$C$39)*курс_уе</f>
        <v>199.99</v>
      </c>
      <c r="AA28" s="951">
        <f>(BE28*KFC!$B$39+KFC!$C$39)*курс_уе</f>
        <v>203.78</v>
      </c>
      <c r="AB28" s="951">
        <f>(BF28*KFC!$B$39+KFC!$C$39)*курс_уе</f>
        <v>207.46</v>
      </c>
      <c r="AC28" s="951">
        <f>(BG28*KFC!$B$39+KFC!$C$39)*курс_уе</f>
        <v>211.26</v>
      </c>
      <c r="AF28" s="950">
        <v>2.8</v>
      </c>
      <c r="AG28" s="952">
        <v>114.54</v>
      </c>
      <c r="AH28" s="952">
        <v>118.22</v>
      </c>
      <c r="AI28" s="952">
        <v>122.02</v>
      </c>
      <c r="AJ28" s="952">
        <v>125.58</v>
      </c>
      <c r="AK28" s="952">
        <v>129.38</v>
      </c>
      <c r="AL28" s="952">
        <v>133.06</v>
      </c>
      <c r="AM28" s="952">
        <v>136.74</v>
      </c>
      <c r="AN28" s="952">
        <v>140.53</v>
      </c>
      <c r="AO28" s="952">
        <v>144.21</v>
      </c>
      <c r="AP28" s="952">
        <v>148.01</v>
      </c>
      <c r="AQ28" s="952">
        <v>151.57</v>
      </c>
      <c r="AR28" s="952">
        <v>155.37</v>
      </c>
      <c r="AS28" s="952">
        <v>159.16</v>
      </c>
      <c r="AT28" s="952">
        <v>162.84</v>
      </c>
      <c r="AU28" s="952">
        <v>166.64</v>
      </c>
      <c r="AV28" s="952">
        <v>170.2</v>
      </c>
      <c r="AW28" s="952">
        <v>174</v>
      </c>
      <c r="AX28" s="952">
        <v>177.79</v>
      </c>
      <c r="AY28" s="952">
        <v>181.47</v>
      </c>
      <c r="AZ28" s="952">
        <v>185.27</v>
      </c>
      <c r="BA28" s="952">
        <v>188.83</v>
      </c>
      <c r="BB28" s="952">
        <v>192.63</v>
      </c>
      <c r="BC28" s="952">
        <v>196.42</v>
      </c>
      <c r="BD28" s="952">
        <v>199.99</v>
      </c>
      <c r="BE28" s="952">
        <v>203.78</v>
      </c>
      <c r="BF28" s="952">
        <v>207.46</v>
      </c>
      <c r="BG28" s="952">
        <v>211.26</v>
      </c>
    </row>
    <row r="29" spans="1:59">
      <c r="A29" s="2134"/>
      <c r="B29" s="262">
        <v>2.9</v>
      </c>
      <c r="C29" s="951">
        <f>(AG29*KFC!$B$39+KFC!$C$39)*курс_уе</f>
        <v>118.34</v>
      </c>
      <c r="D29" s="951">
        <f>(AH29*KFC!$B$39+KFC!$C$39)*курс_уе</f>
        <v>122.02</v>
      </c>
      <c r="E29" s="951">
        <f>(AI29*KFC!$B$39+KFC!$C$39)*курс_уе</f>
        <v>125.7</v>
      </c>
      <c r="F29" s="951">
        <f>(AJ29*KFC!$B$39+KFC!$C$39)*курс_уе</f>
        <v>129.49</v>
      </c>
      <c r="G29" s="951">
        <f>(AK29*KFC!$B$39+KFC!$C$39)*курс_уе</f>
        <v>133.16999999999999</v>
      </c>
      <c r="H29" s="951">
        <f>(AL29*KFC!$B$39+KFC!$C$39)*курс_уе</f>
        <v>136.97</v>
      </c>
      <c r="I29" s="951">
        <f>(AM29*KFC!$B$39+KFC!$C$39)*курс_уе</f>
        <v>140.76</v>
      </c>
      <c r="J29" s="951">
        <f>(AN29*KFC!$B$39+KFC!$C$39)*курс_уе</f>
        <v>144.33000000000001</v>
      </c>
      <c r="K29" s="951">
        <f>(AO29*KFC!$B$39+KFC!$C$39)*курс_уе</f>
        <v>148.12</v>
      </c>
      <c r="L29" s="951">
        <f>(AP29*KFC!$B$39+KFC!$C$39)*курс_уе</f>
        <v>151.91999999999999</v>
      </c>
      <c r="M29" s="951">
        <f>(AQ29*KFC!$B$39+KFC!$C$39)*курс_уе</f>
        <v>155.6</v>
      </c>
      <c r="N29" s="951">
        <f>(AR29*KFC!$B$39+KFC!$C$39)*курс_уе</f>
        <v>159.38999999999999</v>
      </c>
      <c r="O29" s="951">
        <f>(AS29*KFC!$B$39+KFC!$C$39)*курс_уе</f>
        <v>163.07</v>
      </c>
      <c r="P29" s="951">
        <f>(AT29*KFC!$B$39+KFC!$C$39)*курс_уе</f>
        <v>166.75</v>
      </c>
      <c r="Q29" s="951">
        <f>(AU29*KFC!$B$39+KFC!$C$39)*курс_уе</f>
        <v>170.55</v>
      </c>
      <c r="R29" s="951">
        <f>(AV29*KFC!$B$39+KFC!$C$39)*курс_уе</f>
        <v>174.34</v>
      </c>
      <c r="S29" s="951">
        <f>(AW29*KFC!$B$39+KFC!$C$39)*курс_уе</f>
        <v>177.91</v>
      </c>
      <c r="T29" s="951">
        <f>(AX29*KFC!$B$39+KFC!$C$39)*курс_уе</f>
        <v>181.7</v>
      </c>
      <c r="U29" s="951">
        <f>(AY29*KFC!$B$39+KFC!$C$39)*курс_уе</f>
        <v>185.5</v>
      </c>
      <c r="V29" s="951">
        <f>(AZ29*KFC!$B$39+KFC!$C$39)*курс_уе</f>
        <v>189.18</v>
      </c>
      <c r="W29" s="951">
        <f>(BA29*KFC!$B$39+KFC!$C$39)*курс_уе</f>
        <v>192.97</v>
      </c>
      <c r="X29" s="951">
        <f>(BB29*KFC!$B$39+KFC!$C$39)*курс_уе</f>
        <v>196.77</v>
      </c>
      <c r="Y29" s="951">
        <f>(BC29*KFC!$B$39+KFC!$C$39)*курс_уе</f>
        <v>200.33</v>
      </c>
      <c r="Z29" s="951">
        <f>(BD29*KFC!$B$39+KFC!$C$39)*курс_уе</f>
        <v>204.13</v>
      </c>
      <c r="AA29" s="951">
        <f>(BE29*KFC!$B$39+KFC!$C$39)*курс_уе</f>
        <v>207.92</v>
      </c>
      <c r="AB29" s="951">
        <f>(BF29*KFC!$B$39+KFC!$C$39)*курс_уе</f>
        <v>211.49</v>
      </c>
      <c r="AC29" s="951">
        <f>(BG29*KFC!$B$39+KFC!$C$39)*курс_уе</f>
        <v>215.28</v>
      </c>
      <c r="AF29" s="950">
        <v>2.9</v>
      </c>
      <c r="AG29" s="952">
        <v>118.34</v>
      </c>
      <c r="AH29" s="952">
        <v>122.02</v>
      </c>
      <c r="AI29" s="952">
        <v>125.7</v>
      </c>
      <c r="AJ29" s="952">
        <v>129.49</v>
      </c>
      <c r="AK29" s="952">
        <v>133.16999999999999</v>
      </c>
      <c r="AL29" s="952">
        <v>136.97</v>
      </c>
      <c r="AM29" s="952">
        <v>140.76</v>
      </c>
      <c r="AN29" s="952">
        <v>144.33000000000001</v>
      </c>
      <c r="AO29" s="952">
        <v>148.12</v>
      </c>
      <c r="AP29" s="952">
        <v>151.91999999999999</v>
      </c>
      <c r="AQ29" s="952">
        <v>155.6</v>
      </c>
      <c r="AR29" s="952">
        <v>159.38999999999999</v>
      </c>
      <c r="AS29" s="952">
        <v>163.07</v>
      </c>
      <c r="AT29" s="952">
        <v>166.75</v>
      </c>
      <c r="AU29" s="952">
        <v>170.55</v>
      </c>
      <c r="AV29" s="952">
        <v>174.34</v>
      </c>
      <c r="AW29" s="952">
        <v>177.91</v>
      </c>
      <c r="AX29" s="952">
        <v>181.7</v>
      </c>
      <c r="AY29" s="952">
        <v>185.5</v>
      </c>
      <c r="AZ29" s="952">
        <v>189.18</v>
      </c>
      <c r="BA29" s="952">
        <v>192.97</v>
      </c>
      <c r="BB29" s="952">
        <v>196.77</v>
      </c>
      <c r="BC29" s="952">
        <v>200.33</v>
      </c>
      <c r="BD29" s="952">
        <v>204.13</v>
      </c>
      <c r="BE29" s="952">
        <v>207.92</v>
      </c>
      <c r="BF29" s="952">
        <v>211.49</v>
      </c>
      <c r="BG29" s="952">
        <v>215.28</v>
      </c>
    </row>
    <row r="30" spans="1:59" ht="13.8" thickBot="1">
      <c r="A30" s="2135"/>
      <c r="B30" s="263">
        <v>3</v>
      </c>
      <c r="C30" s="951">
        <f>(AG30*KFC!$B$39+KFC!$C$39)*курс_уе</f>
        <v>122.13</v>
      </c>
      <c r="D30" s="951">
        <f>(AH30*KFC!$B$39+KFC!$C$39)*курс_уе</f>
        <v>125.93</v>
      </c>
      <c r="E30" s="951">
        <f>(AI30*KFC!$B$39+KFC!$C$39)*курс_уе</f>
        <v>129.49</v>
      </c>
      <c r="F30" s="951">
        <f>(AJ30*KFC!$B$39+KFC!$C$39)*курс_уе</f>
        <v>133.29</v>
      </c>
      <c r="G30" s="951">
        <f>(AK30*KFC!$B$39+KFC!$C$39)*курс_уе</f>
        <v>137.08000000000001</v>
      </c>
      <c r="H30" s="951">
        <f>(AL30*KFC!$B$39+KFC!$C$39)*курс_уе</f>
        <v>140.88</v>
      </c>
      <c r="I30" s="951">
        <f>(AM30*KFC!$B$39+KFC!$C$39)*курс_уе</f>
        <v>144.56</v>
      </c>
      <c r="J30" s="951">
        <f>(AN30*KFC!$B$39+KFC!$C$39)*курс_уе</f>
        <v>148.24</v>
      </c>
      <c r="K30" s="951">
        <f>(AO30*KFC!$B$39+KFC!$C$39)*курс_уе</f>
        <v>152.03</v>
      </c>
      <c r="L30" s="951">
        <f>(AP30*KFC!$B$39+KFC!$C$39)*курс_уе</f>
        <v>155.83000000000001</v>
      </c>
      <c r="M30" s="951">
        <f>(AQ30*KFC!$B$39+KFC!$C$39)*курс_уе</f>
        <v>159.51</v>
      </c>
      <c r="N30" s="951">
        <f>(AR30*KFC!$B$39+KFC!$C$39)*курс_уе</f>
        <v>163.30000000000001</v>
      </c>
      <c r="O30" s="951">
        <f>(AS30*KFC!$B$39+KFC!$C$39)*курс_уе</f>
        <v>167.1</v>
      </c>
      <c r="P30" s="951">
        <f>(AT30*KFC!$B$39+KFC!$C$39)*курс_уе</f>
        <v>170.89</v>
      </c>
      <c r="Q30" s="951">
        <f>(AU30*KFC!$B$39+KFC!$C$39)*курс_уе</f>
        <v>174.46</v>
      </c>
      <c r="R30" s="951">
        <f>(AV30*KFC!$B$39+KFC!$C$39)*курс_уе</f>
        <v>178.25</v>
      </c>
      <c r="S30" s="951">
        <f>(AW30*KFC!$B$39+KFC!$C$39)*курс_уе</f>
        <v>182.05</v>
      </c>
      <c r="T30" s="951">
        <f>(AX30*KFC!$B$39+KFC!$C$39)*курс_уе</f>
        <v>185.84</v>
      </c>
      <c r="U30" s="951">
        <f>(AY30*KFC!$B$39+KFC!$C$39)*курс_уе</f>
        <v>189.41</v>
      </c>
      <c r="V30" s="951">
        <f>(AZ30*KFC!$B$39+KFC!$C$39)*курс_уе</f>
        <v>193.2</v>
      </c>
      <c r="W30" s="951">
        <f>(BA30*KFC!$B$39+KFC!$C$39)*курс_уе</f>
        <v>197</v>
      </c>
      <c r="X30" s="951">
        <f>(BB30*KFC!$B$39+KFC!$C$39)*курс_уе</f>
        <v>200.79</v>
      </c>
      <c r="Y30" s="951">
        <f>(BC30*KFC!$B$39+KFC!$C$39)*курс_уе</f>
        <v>204.47</v>
      </c>
      <c r="Z30" s="951">
        <f>(BD30*KFC!$B$39+KFC!$C$39)*курс_уе</f>
        <v>208.27</v>
      </c>
      <c r="AA30" s="951">
        <f>(BE30*KFC!$B$39+KFC!$C$39)*курс_уе</f>
        <v>211.95</v>
      </c>
      <c r="AB30" s="951">
        <f>(BF30*KFC!$B$39+KFC!$C$39)*курс_уе</f>
        <v>215.74</v>
      </c>
      <c r="AC30" s="951">
        <f>(BG30*KFC!$B$39+KFC!$C$39)*курс_уе</f>
        <v>219.42</v>
      </c>
      <c r="AF30" s="950">
        <v>3</v>
      </c>
      <c r="AG30" s="952">
        <v>122.13</v>
      </c>
      <c r="AH30" s="952">
        <v>125.93</v>
      </c>
      <c r="AI30" s="952">
        <v>129.49</v>
      </c>
      <c r="AJ30" s="952">
        <v>133.29</v>
      </c>
      <c r="AK30" s="952">
        <v>137.08000000000001</v>
      </c>
      <c r="AL30" s="952">
        <v>140.88</v>
      </c>
      <c r="AM30" s="952">
        <v>144.56</v>
      </c>
      <c r="AN30" s="952">
        <v>148.24</v>
      </c>
      <c r="AO30" s="952">
        <v>152.03</v>
      </c>
      <c r="AP30" s="952">
        <v>155.83000000000001</v>
      </c>
      <c r="AQ30" s="952">
        <v>159.51</v>
      </c>
      <c r="AR30" s="952">
        <v>163.30000000000001</v>
      </c>
      <c r="AS30" s="952">
        <v>167.1</v>
      </c>
      <c r="AT30" s="952">
        <v>170.89</v>
      </c>
      <c r="AU30" s="952">
        <v>174.46</v>
      </c>
      <c r="AV30" s="952">
        <v>178.25</v>
      </c>
      <c r="AW30" s="952">
        <v>182.05</v>
      </c>
      <c r="AX30" s="952">
        <v>185.84</v>
      </c>
      <c r="AY30" s="952">
        <v>189.41</v>
      </c>
      <c r="AZ30" s="952">
        <v>193.2</v>
      </c>
      <c r="BA30" s="952">
        <v>197</v>
      </c>
      <c r="BB30" s="952">
        <v>200.79</v>
      </c>
      <c r="BC30" s="952">
        <v>204.47</v>
      </c>
      <c r="BD30" s="952">
        <v>208.27</v>
      </c>
      <c r="BE30" s="952">
        <v>211.95</v>
      </c>
      <c r="BF30" s="952">
        <v>215.74</v>
      </c>
      <c r="BG30" s="952">
        <v>219.42</v>
      </c>
    </row>
    <row r="31" spans="1:59" ht="13.8" thickBot="1">
      <c r="A31" s="180" t="s">
        <v>944</v>
      </c>
      <c r="B31" s="181"/>
      <c r="C31" s="184"/>
      <c r="D31" s="184"/>
      <c r="E31" s="184"/>
      <c r="F31" s="184"/>
      <c r="G31" s="184"/>
      <c r="H31" s="184"/>
      <c r="I31" s="184"/>
      <c r="J31" s="184"/>
      <c r="K31" s="184"/>
      <c r="L31" s="184"/>
      <c r="M31" s="184"/>
      <c r="N31" s="184"/>
      <c r="O31" s="254"/>
      <c r="P31" s="254"/>
      <c r="Q31" s="254"/>
      <c r="R31" s="254"/>
      <c r="S31" s="254"/>
    </row>
    <row r="32" spans="1:59" ht="16.2" thickBot="1">
      <c r="A32" s="2138" t="s">
        <v>360</v>
      </c>
      <c r="B32" s="2139"/>
      <c r="C32" s="2139"/>
      <c r="D32" s="2139"/>
      <c r="E32" s="2139"/>
      <c r="F32" s="2139"/>
      <c r="G32" s="2139"/>
      <c r="H32" s="2139"/>
      <c r="I32" s="2139"/>
      <c r="J32" s="2139"/>
      <c r="K32" s="2139"/>
      <c r="L32" s="2140"/>
      <c r="M32" s="258"/>
      <c r="N32" s="2141" t="s">
        <v>684</v>
      </c>
      <c r="O32" s="2142"/>
      <c r="P32" s="2142"/>
      <c r="Q32" s="2142"/>
      <c r="R32" s="2142"/>
      <c r="S32" s="2142"/>
      <c r="T32" s="2142"/>
      <c r="U32" s="2143"/>
    </row>
    <row r="33" spans="1:59" ht="15.6">
      <c r="A33" s="257" t="s">
        <v>358</v>
      </c>
      <c r="B33" s="2147" t="s">
        <v>563</v>
      </c>
      <c r="C33" s="2147"/>
      <c r="D33" s="2147"/>
      <c r="E33" s="2147"/>
      <c r="F33" s="2147"/>
      <c r="G33" s="2147"/>
      <c r="H33" s="2147"/>
      <c r="I33" s="2147"/>
      <c r="J33" s="2147"/>
      <c r="K33" s="2147"/>
      <c r="L33" s="2148"/>
      <c r="M33" s="259"/>
      <c r="N33" s="2144"/>
      <c r="O33" s="2145"/>
      <c r="P33" s="2145"/>
      <c r="Q33" s="2145"/>
      <c r="R33" s="2145"/>
      <c r="S33" s="2145"/>
      <c r="T33" s="2145"/>
      <c r="U33" s="2146"/>
    </row>
    <row r="34" spans="1:59" ht="16.2" thickBot="1">
      <c r="A34" s="255" t="s">
        <v>358</v>
      </c>
      <c r="B34" s="2149" t="s">
        <v>361</v>
      </c>
      <c r="C34" s="2149"/>
      <c r="D34" s="2149"/>
      <c r="E34" s="2149"/>
      <c r="F34" s="2149"/>
      <c r="G34" s="2149"/>
      <c r="H34" s="2149"/>
      <c r="I34" s="2149"/>
      <c r="J34" s="2149"/>
      <c r="K34" s="2149"/>
      <c r="L34" s="2150"/>
      <c r="M34" s="259"/>
      <c r="N34" s="2144"/>
      <c r="O34" s="2145"/>
      <c r="P34" s="2145"/>
      <c r="Q34" s="2145"/>
      <c r="R34" s="2145"/>
      <c r="S34" s="2145"/>
      <c r="T34" s="2145"/>
      <c r="U34" s="2146"/>
    </row>
    <row r="35" spans="1:59" ht="15.6">
      <c r="A35" s="255" t="s">
        <v>358</v>
      </c>
      <c r="B35" s="2149" t="s">
        <v>920</v>
      </c>
      <c r="C35" s="2149"/>
      <c r="D35" s="2149"/>
      <c r="E35" s="2149"/>
      <c r="F35" s="2149"/>
      <c r="G35" s="2149"/>
      <c r="H35" s="2149"/>
      <c r="I35" s="2149"/>
      <c r="J35" s="2149"/>
      <c r="K35" s="2149"/>
      <c r="L35" s="2150"/>
      <c r="M35" s="259"/>
      <c r="N35" s="2151"/>
      <c r="O35" s="2152"/>
      <c r="P35" s="1458" t="s">
        <v>364</v>
      </c>
      <c r="Q35" s="1458"/>
      <c r="R35" s="2155" t="s">
        <v>945</v>
      </c>
      <c r="S35" s="2155"/>
      <c r="T35" s="2155" t="s">
        <v>946</v>
      </c>
      <c r="U35" s="2157"/>
    </row>
    <row r="36" spans="1:59" ht="15.6">
      <c r="A36" s="255" t="s">
        <v>358</v>
      </c>
      <c r="B36" s="2149" t="s">
        <v>573</v>
      </c>
      <c r="C36" s="2149"/>
      <c r="D36" s="2149"/>
      <c r="E36" s="2149"/>
      <c r="F36" s="2149"/>
      <c r="G36" s="2149"/>
      <c r="H36" s="2149"/>
      <c r="I36" s="2149"/>
      <c r="J36" s="2149"/>
      <c r="K36" s="2149"/>
      <c r="L36" s="2150"/>
      <c r="M36" s="259"/>
      <c r="N36" s="2153"/>
      <c r="O36" s="2154"/>
      <c r="P36" s="1464"/>
      <c r="Q36" s="1464"/>
      <c r="R36" s="2156"/>
      <c r="S36" s="2156"/>
      <c r="T36" s="2156"/>
      <c r="U36" s="2158"/>
    </row>
    <row r="37" spans="1:59" ht="15.6">
      <c r="A37" s="255" t="s">
        <v>358</v>
      </c>
      <c r="B37" s="2149" t="s">
        <v>986</v>
      </c>
      <c r="C37" s="2149"/>
      <c r="D37" s="2149"/>
      <c r="E37" s="2149"/>
      <c r="F37" s="2149"/>
      <c r="G37" s="2149"/>
      <c r="H37" s="2149"/>
      <c r="I37" s="2149"/>
      <c r="J37" s="2149"/>
      <c r="K37" s="2149"/>
      <c r="L37" s="2150"/>
      <c r="M37" s="259"/>
      <c r="N37" s="1463" t="s">
        <v>365</v>
      </c>
      <c r="O37" s="1464"/>
      <c r="P37" s="2159">
        <v>0.3</v>
      </c>
      <c r="Q37" s="2159"/>
      <c r="R37" s="2165" t="s">
        <v>1049</v>
      </c>
      <c r="S37" s="2165"/>
      <c r="T37" s="2165">
        <v>2.87</v>
      </c>
      <c r="U37" s="2166"/>
      <c r="V37" s="585"/>
      <c r="W37" s="585"/>
    </row>
    <row r="38" spans="1:59" ht="15.6">
      <c r="A38" s="255" t="s">
        <v>358</v>
      </c>
      <c r="B38" s="2149" t="s">
        <v>362</v>
      </c>
      <c r="C38" s="2149"/>
      <c r="D38" s="2149"/>
      <c r="E38" s="2149"/>
      <c r="F38" s="2149"/>
      <c r="G38" s="2149"/>
      <c r="H38" s="2149"/>
      <c r="I38" s="2149"/>
      <c r="J38" s="2149"/>
      <c r="K38" s="2149"/>
      <c r="L38" s="2150"/>
      <c r="M38" s="259"/>
      <c r="N38" s="1463"/>
      <c r="O38" s="1464"/>
      <c r="P38" s="2159"/>
      <c r="Q38" s="2159"/>
      <c r="R38" s="2165"/>
      <c r="S38" s="2165"/>
      <c r="T38" s="2165"/>
      <c r="U38" s="2166"/>
      <c r="V38" s="585"/>
      <c r="W38" s="585"/>
    </row>
    <row r="39" spans="1:59" ht="15.6">
      <c r="A39" s="255" t="s">
        <v>358</v>
      </c>
      <c r="B39" s="2149" t="s">
        <v>363</v>
      </c>
      <c r="C39" s="2149"/>
      <c r="D39" s="2149"/>
      <c r="E39" s="2149"/>
      <c r="F39" s="2149"/>
      <c r="G39" s="2149"/>
      <c r="H39" s="2149"/>
      <c r="I39" s="2149"/>
      <c r="J39" s="2149"/>
      <c r="K39" s="2149"/>
      <c r="L39" s="2150"/>
      <c r="M39" s="259"/>
      <c r="N39" s="1463" t="s">
        <v>366</v>
      </c>
      <c r="O39" s="1464"/>
      <c r="P39" s="2159">
        <v>0.6</v>
      </c>
      <c r="Q39" s="2159"/>
      <c r="R39" s="2159">
        <v>3</v>
      </c>
      <c r="S39" s="2159"/>
      <c r="T39" s="2159">
        <v>3</v>
      </c>
      <c r="U39" s="2161"/>
      <c r="V39" s="585"/>
      <c r="W39" s="585"/>
    </row>
    <row r="40" spans="1:59" ht="16.2" thickBot="1">
      <c r="A40" s="256" t="s">
        <v>358</v>
      </c>
      <c r="B40" s="2163" t="s">
        <v>947</v>
      </c>
      <c r="C40" s="2163"/>
      <c r="D40" s="2163"/>
      <c r="E40" s="2163"/>
      <c r="F40" s="2163"/>
      <c r="G40" s="2163"/>
      <c r="H40" s="2163"/>
      <c r="I40" s="2163"/>
      <c r="J40" s="2163"/>
      <c r="K40" s="2163"/>
      <c r="L40" s="2164"/>
      <c r="M40" s="259"/>
      <c r="N40" s="1481"/>
      <c r="O40" s="1482"/>
      <c r="P40" s="2160"/>
      <c r="Q40" s="2160"/>
      <c r="R40" s="2160"/>
      <c r="S40" s="2160"/>
      <c r="T40" s="2160"/>
      <c r="U40" s="2162"/>
      <c r="V40" s="585"/>
      <c r="W40" s="585"/>
    </row>
    <row r="41" spans="1:59" ht="15.6">
      <c r="A41" s="586"/>
      <c r="B41" s="586"/>
      <c r="C41" s="586"/>
      <c r="D41" s="586"/>
      <c r="E41" s="586"/>
      <c r="F41" s="587"/>
      <c r="G41" s="586"/>
      <c r="H41" s="586"/>
      <c r="I41" s="586"/>
      <c r="J41" s="586"/>
      <c r="K41" s="587"/>
      <c r="L41" s="587"/>
      <c r="M41" s="587"/>
      <c r="N41" s="2167" t="s">
        <v>1050</v>
      </c>
      <c r="O41" s="2167"/>
      <c r="P41" s="2167"/>
      <c r="Q41" s="2167"/>
      <c r="R41" s="2167"/>
      <c r="S41" s="2167"/>
      <c r="T41" s="2167"/>
      <c r="U41" s="2167"/>
      <c r="V41" s="589"/>
      <c r="W41" s="589"/>
    </row>
    <row r="42" spans="1:59" ht="15.6">
      <c r="A42" s="587"/>
      <c r="B42" s="587"/>
      <c r="C42" s="587"/>
      <c r="D42" s="587"/>
      <c r="E42" s="587"/>
      <c r="F42" s="587"/>
      <c r="G42" s="587"/>
      <c r="H42" s="587"/>
      <c r="I42" s="587"/>
      <c r="J42" s="587"/>
      <c r="K42" s="587"/>
      <c r="L42" s="587"/>
      <c r="M42" s="587"/>
      <c r="N42" s="588"/>
      <c r="O42" s="588"/>
      <c r="P42" s="588"/>
      <c r="Q42" s="588"/>
      <c r="R42" s="588"/>
      <c r="S42" s="588"/>
      <c r="T42" s="588"/>
      <c r="U42" s="588"/>
      <c r="V42" s="589"/>
      <c r="W42" s="589"/>
    </row>
    <row r="43" spans="1:59" ht="15.6">
      <c r="A43" s="979" t="s">
        <v>952</v>
      </c>
      <c r="B43" s="979"/>
      <c r="C43" s="979"/>
      <c r="D43" s="979"/>
      <c r="E43" s="979"/>
      <c r="F43" s="979"/>
      <c r="G43" s="979"/>
      <c r="H43" s="979"/>
      <c r="I43" s="979"/>
      <c r="J43" s="979"/>
      <c r="K43" s="979"/>
      <c r="L43" s="979"/>
      <c r="M43" s="979"/>
      <c r="N43" s="979"/>
      <c r="O43" s="979"/>
      <c r="P43" s="979"/>
      <c r="Q43" s="979"/>
      <c r="R43" s="979"/>
      <c r="S43" s="979"/>
      <c r="T43" s="979"/>
      <c r="U43" s="979"/>
      <c r="V43" s="979"/>
      <c r="W43" s="979"/>
      <c r="X43" s="979"/>
      <c r="Y43" s="979"/>
      <c r="Z43" s="979"/>
      <c r="AA43" s="979"/>
      <c r="AB43" s="979"/>
      <c r="AC43" s="979"/>
    </row>
    <row r="44" spans="1:59" ht="16.2" thickBot="1">
      <c r="A44" s="1089" t="s">
        <v>593</v>
      </c>
      <c r="B44" s="1089"/>
      <c r="C44" s="1089"/>
      <c r="D44" s="1089"/>
      <c r="E44" s="1089"/>
      <c r="F44" s="1406" t="s">
        <v>953</v>
      </c>
      <c r="G44" s="1406"/>
      <c r="H44" s="1406"/>
      <c r="I44" s="1406"/>
      <c r="J44" s="1406"/>
      <c r="K44" s="1406"/>
      <c r="L44" s="1406"/>
      <c r="M44" s="1406"/>
      <c r="N44" s="1406"/>
      <c r="O44" s="1406"/>
      <c r="P44" s="1406"/>
      <c r="Q44" s="421"/>
      <c r="R44" s="421"/>
      <c r="S44" s="421"/>
      <c r="T44" s="588"/>
      <c r="U44" s="588"/>
      <c r="V44" s="589"/>
      <c r="W44" s="589"/>
      <c r="X44"/>
    </row>
    <row r="45" spans="1:59" ht="16.2" thickBot="1">
      <c r="A45" s="2126"/>
      <c r="B45" s="2127"/>
      <c r="C45" s="2130" t="s">
        <v>356</v>
      </c>
      <c r="D45" s="2131"/>
      <c r="E45" s="2131"/>
      <c r="F45" s="2131"/>
      <c r="G45" s="2131"/>
      <c r="H45" s="2131"/>
      <c r="I45" s="2131"/>
      <c r="J45" s="2131"/>
      <c r="K45" s="2131"/>
      <c r="L45" s="2131"/>
      <c r="M45" s="2131"/>
      <c r="N45" s="2131"/>
      <c r="O45" s="2131"/>
      <c r="P45" s="2131"/>
      <c r="Q45" s="2131"/>
      <c r="R45" s="2131"/>
      <c r="S45" s="2131"/>
      <c r="T45" s="2131"/>
      <c r="U45" s="2131"/>
      <c r="V45" s="2131"/>
      <c r="W45" s="2131"/>
      <c r="X45" s="2131"/>
      <c r="Y45" s="2131"/>
      <c r="Z45" s="2131"/>
      <c r="AA45" s="2131"/>
      <c r="AB45" s="2131"/>
      <c r="AC45" s="2132"/>
      <c r="AE45" s="2126"/>
      <c r="AF45" s="2127"/>
      <c r="AG45" s="2130" t="s">
        <v>356</v>
      </c>
      <c r="AH45" s="2131"/>
      <c r="AI45" s="2131"/>
      <c r="AJ45" s="2131"/>
      <c r="AK45" s="2131"/>
      <c r="AL45" s="2131"/>
      <c r="AM45" s="2131"/>
      <c r="AN45" s="2131"/>
      <c r="AO45" s="2131"/>
      <c r="AP45" s="2131"/>
      <c r="AQ45" s="2131"/>
      <c r="AR45" s="2131"/>
      <c r="AS45" s="2131"/>
      <c r="AT45" s="2131"/>
      <c r="AU45" s="2131"/>
      <c r="AV45" s="2131"/>
      <c r="AW45" s="2131"/>
      <c r="AX45" s="2131"/>
      <c r="AY45" s="2131"/>
      <c r="AZ45" s="2131"/>
      <c r="BA45" s="2131"/>
      <c r="BB45" s="2131"/>
      <c r="BC45" s="2131"/>
      <c r="BD45" s="2131"/>
      <c r="BE45" s="2131"/>
      <c r="BF45" s="2131"/>
      <c r="BG45" s="2132"/>
    </row>
    <row r="46" spans="1:59" ht="13.8" thickBot="1">
      <c r="A46" s="2128"/>
      <c r="B46" s="2129"/>
      <c r="C46" s="428">
        <v>0.3</v>
      </c>
      <c r="D46" s="428">
        <v>0.4</v>
      </c>
      <c r="E46" s="428">
        <v>0.5</v>
      </c>
      <c r="F46" s="428">
        <v>0.6</v>
      </c>
      <c r="G46" s="428">
        <v>0.7</v>
      </c>
      <c r="H46" s="428">
        <v>0.8</v>
      </c>
      <c r="I46" s="428">
        <v>0.9</v>
      </c>
      <c r="J46" s="428">
        <v>1</v>
      </c>
      <c r="K46" s="428">
        <v>1.1000000000000001</v>
      </c>
      <c r="L46" s="581">
        <v>1.2</v>
      </c>
      <c r="M46" s="428">
        <v>1.3</v>
      </c>
      <c r="N46" s="428">
        <v>1.4</v>
      </c>
      <c r="O46" s="428">
        <v>1.5</v>
      </c>
      <c r="P46" s="428">
        <v>1.6</v>
      </c>
      <c r="Q46" s="428">
        <v>1.7</v>
      </c>
      <c r="R46" s="428">
        <v>1.8</v>
      </c>
      <c r="S46" s="113">
        <v>1.9</v>
      </c>
      <c r="T46" s="428">
        <v>2</v>
      </c>
      <c r="U46" s="113">
        <v>2.1</v>
      </c>
      <c r="V46" s="428">
        <v>2.2000000000000002</v>
      </c>
      <c r="W46" s="113">
        <v>2.2999999999999998</v>
      </c>
      <c r="X46" s="428">
        <v>2.4</v>
      </c>
      <c r="Y46" s="113">
        <v>2.5</v>
      </c>
      <c r="Z46" s="428">
        <v>2.6</v>
      </c>
      <c r="AA46" s="113">
        <v>2.7</v>
      </c>
      <c r="AB46" s="428">
        <v>2.8</v>
      </c>
      <c r="AC46" s="113">
        <v>2.9</v>
      </c>
      <c r="AE46" s="2128"/>
      <c r="AF46" s="2129"/>
      <c r="AG46" s="428">
        <v>0.3</v>
      </c>
      <c r="AH46" s="428">
        <v>0.4</v>
      </c>
      <c r="AI46" s="428">
        <v>0.5</v>
      </c>
      <c r="AJ46" s="428">
        <v>0.6</v>
      </c>
      <c r="AK46" s="428">
        <v>0.7</v>
      </c>
      <c r="AL46" s="428">
        <v>0.8</v>
      </c>
      <c r="AM46" s="428">
        <v>0.9</v>
      </c>
      <c r="AN46" s="428">
        <v>1</v>
      </c>
      <c r="AO46" s="428">
        <v>1.1000000000000001</v>
      </c>
      <c r="AP46" s="581">
        <v>1.2</v>
      </c>
      <c r="AQ46" s="428">
        <v>1.3</v>
      </c>
      <c r="AR46" s="428">
        <v>1.4</v>
      </c>
      <c r="AS46" s="428">
        <v>1.5</v>
      </c>
      <c r="AT46" s="428">
        <v>1.6</v>
      </c>
      <c r="AU46" s="428">
        <v>1.7</v>
      </c>
      <c r="AV46" s="428">
        <v>1.8</v>
      </c>
      <c r="AW46" s="113">
        <v>1.9</v>
      </c>
      <c r="AX46" s="428">
        <v>2</v>
      </c>
      <c r="AY46" s="113">
        <v>2.1</v>
      </c>
      <c r="AZ46" s="428">
        <v>2.2000000000000002</v>
      </c>
      <c r="BA46" s="113">
        <v>2.2999999999999998</v>
      </c>
      <c r="BB46" s="428">
        <v>2.4</v>
      </c>
      <c r="BC46" s="113">
        <v>2.5</v>
      </c>
      <c r="BD46" s="428">
        <v>2.6</v>
      </c>
      <c r="BE46" s="113">
        <v>2.7</v>
      </c>
      <c r="BF46" s="428">
        <v>2.8</v>
      </c>
      <c r="BG46" s="113">
        <v>2.9</v>
      </c>
    </row>
    <row r="47" spans="1:59" ht="13.2" customHeight="1">
      <c r="A47" s="2133" t="s">
        <v>357</v>
      </c>
      <c r="B47" s="110" t="s">
        <v>355</v>
      </c>
      <c r="C47" s="951">
        <f>(AG47*KFC!$B$39+KFC!$C$39)*курс_уе</f>
        <v>135.5</v>
      </c>
      <c r="D47" s="951">
        <f>(AH47*KFC!$B$39+KFC!$C$39)*курс_уе</f>
        <v>140.30000000000001</v>
      </c>
      <c r="E47" s="951">
        <f>(AI47*KFC!$B$39+KFC!$C$39)*курс_уе</f>
        <v>145</v>
      </c>
      <c r="F47" s="951">
        <f>(AJ47*KFC!$B$39+KFC!$C$39)*курс_уе</f>
        <v>149.6</v>
      </c>
      <c r="G47" s="951">
        <f>(AK47*KFC!$B$39+KFC!$C$39)*курс_уе</f>
        <v>154.30000000000001</v>
      </c>
      <c r="H47" s="951">
        <f>(AL47*KFC!$B$39+KFC!$C$39)*курс_уе</f>
        <v>159.1</v>
      </c>
      <c r="I47" s="951">
        <f>(AM47*KFC!$B$39+KFC!$C$39)*курс_уе</f>
        <v>163.80000000000001</v>
      </c>
      <c r="J47" s="951">
        <f>(AN47*KFC!$B$39+KFC!$C$39)*курс_уе</f>
        <v>168.4</v>
      </c>
      <c r="K47" s="951">
        <f>(AO47*KFC!$B$39+KFC!$C$39)*курс_уе</f>
        <v>173.2</v>
      </c>
      <c r="L47" s="951">
        <f>(AP47*KFC!$B$39+KFC!$C$39)*курс_уе</f>
        <v>177.9</v>
      </c>
      <c r="M47" s="951">
        <f>(AQ47*KFC!$B$39+KFC!$C$39)*курс_уе</f>
        <v>182.6</v>
      </c>
      <c r="N47" s="951">
        <f>(AR47*KFC!$B$39+KFC!$C$39)*курс_уе</f>
        <v>187.2</v>
      </c>
      <c r="O47" s="951">
        <f>(AS47*KFC!$B$39+KFC!$C$39)*курс_уе</f>
        <v>192</v>
      </c>
      <c r="P47" s="951">
        <f>(AT47*KFC!$B$39+KFC!$C$39)*курс_уе</f>
        <v>196.7</v>
      </c>
      <c r="Q47" s="951">
        <f>(AU47*KFC!$B$39+KFC!$C$39)*курс_уе</f>
        <v>201.4</v>
      </c>
      <c r="R47" s="951">
        <f>(AV47*KFC!$B$39+KFC!$C$39)*курс_уе</f>
        <v>206.2</v>
      </c>
      <c r="S47" s="951">
        <f>(AW47*KFC!$B$39+KFC!$C$39)*курс_уе</f>
        <v>210.8</v>
      </c>
      <c r="T47" s="951">
        <f>(AX47*KFC!$B$39+KFC!$C$39)*курс_уе</f>
        <v>215.5</v>
      </c>
      <c r="U47" s="951">
        <f>(AY47*KFC!$B$39+KFC!$C$39)*курс_уе</f>
        <v>220.3</v>
      </c>
      <c r="V47" s="951">
        <f>(AZ47*KFC!$B$39+KFC!$C$39)*курс_уе</f>
        <v>225</v>
      </c>
      <c r="W47" s="951">
        <f>(BA47*KFC!$B$39+KFC!$C$39)*курс_уе</f>
        <v>229.6</v>
      </c>
      <c r="X47" s="951">
        <f>(BB47*KFC!$B$39+KFC!$C$39)*курс_уе</f>
        <v>234.3</v>
      </c>
      <c r="Y47" s="951">
        <f>(BC47*KFC!$B$39+KFC!$C$39)*курс_уе</f>
        <v>239.1</v>
      </c>
      <c r="Z47" s="951">
        <f>(BD47*KFC!$B$39+KFC!$C$39)*курс_уе</f>
        <v>243.8</v>
      </c>
      <c r="AA47" s="951">
        <f>(BE47*KFC!$B$39+KFC!$C$39)*курс_уе</f>
        <v>248.4</v>
      </c>
      <c r="AB47" s="951">
        <f>(BF47*KFC!$B$39+KFC!$C$39)*курс_уе</f>
        <v>253.2</v>
      </c>
      <c r="AC47" s="951">
        <f>(BG47*KFC!$B$39+KFC!$C$39)*курс_уе</f>
        <v>257.89999999999998</v>
      </c>
      <c r="AE47" s="2133" t="s">
        <v>357</v>
      </c>
      <c r="AF47" s="110" t="s">
        <v>355</v>
      </c>
      <c r="AG47" s="264">
        <v>135.5</v>
      </c>
      <c r="AH47" s="251">
        <v>140.30000000000001</v>
      </c>
      <c r="AI47" s="251">
        <v>145</v>
      </c>
      <c r="AJ47" s="251">
        <v>149.6</v>
      </c>
      <c r="AK47" s="251">
        <v>154.30000000000001</v>
      </c>
      <c r="AL47" s="251">
        <v>159.1</v>
      </c>
      <c r="AM47" s="251">
        <v>163.80000000000001</v>
      </c>
      <c r="AN47" s="251">
        <v>168.4</v>
      </c>
      <c r="AO47" s="251">
        <v>173.2</v>
      </c>
      <c r="AP47" s="251">
        <v>177.9</v>
      </c>
      <c r="AQ47" s="251">
        <v>182.6</v>
      </c>
      <c r="AR47" s="251">
        <v>187.2</v>
      </c>
      <c r="AS47" s="251">
        <v>192</v>
      </c>
      <c r="AT47" s="251">
        <v>196.7</v>
      </c>
      <c r="AU47" s="251">
        <v>201.4</v>
      </c>
      <c r="AV47" s="251">
        <v>206.2</v>
      </c>
      <c r="AW47" s="251">
        <v>210.8</v>
      </c>
      <c r="AX47" s="251">
        <v>215.5</v>
      </c>
      <c r="AY47" s="251">
        <v>220.3</v>
      </c>
      <c r="AZ47" s="251">
        <v>225</v>
      </c>
      <c r="BA47" s="582">
        <v>229.6</v>
      </c>
      <c r="BB47" s="626">
        <v>234.3</v>
      </c>
      <c r="BC47" s="251">
        <v>239.1</v>
      </c>
      <c r="BD47" s="251">
        <v>243.8</v>
      </c>
      <c r="BE47" s="251">
        <v>248.4</v>
      </c>
      <c r="BF47" s="251">
        <v>253.2</v>
      </c>
      <c r="BG47" s="582">
        <v>257.89999999999998</v>
      </c>
    </row>
    <row r="48" spans="1:59">
      <c r="A48" s="2134"/>
      <c r="B48" s="111">
        <v>0.7</v>
      </c>
      <c r="C48" s="951">
        <f>(AG48*KFC!$B$39+KFC!$C$39)*курс_уе</f>
        <v>135.9</v>
      </c>
      <c r="D48" s="951">
        <f>(AH48*KFC!$B$39+KFC!$C$39)*курс_уе</f>
        <v>140.80000000000001</v>
      </c>
      <c r="E48" s="951">
        <f>(AI48*KFC!$B$39+KFC!$C$39)*курс_уе</f>
        <v>145.5</v>
      </c>
      <c r="F48" s="951">
        <f>(AJ48*KFC!$B$39+KFC!$C$39)*курс_уе</f>
        <v>150.4</v>
      </c>
      <c r="G48" s="951">
        <f>(AK48*KFC!$B$39+KFC!$C$39)*курс_уе</f>
        <v>155.30000000000001</v>
      </c>
      <c r="H48" s="951">
        <f>(AL48*KFC!$B$39+KFC!$C$39)*курс_уе</f>
        <v>160</v>
      </c>
      <c r="I48" s="951">
        <f>(AM48*KFC!$B$39+KFC!$C$39)*курс_уе</f>
        <v>164.9</v>
      </c>
      <c r="J48" s="951">
        <f>(AN48*KFC!$B$39+KFC!$C$39)*курс_уе</f>
        <v>169.7</v>
      </c>
      <c r="K48" s="951">
        <f>(AO48*KFC!$B$39+KFC!$C$39)*курс_уе</f>
        <v>174.5</v>
      </c>
      <c r="L48" s="951">
        <f>(AP48*KFC!$B$39+KFC!$C$39)*курс_уе</f>
        <v>179.3</v>
      </c>
      <c r="M48" s="951">
        <f>(AQ48*KFC!$B$39+KFC!$C$39)*курс_уе</f>
        <v>184.2</v>
      </c>
      <c r="N48" s="951">
        <f>(AR48*KFC!$B$39+KFC!$C$39)*курс_уе</f>
        <v>188.9</v>
      </c>
      <c r="O48" s="951">
        <f>(AS48*KFC!$B$39+KFC!$C$39)*курс_уе</f>
        <v>193.8</v>
      </c>
      <c r="P48" s="951">
        <f>(AT48*KFC!$B$39+KFC!$C$39)*курс_уе</f>
        <v>198.7</v>
      </c>
      <c r="Q48" s="951">
        <f>(AU48*KFC!$B$39+KFC!$C$39)*курс_уе</f>
        <v>203.4</v>
      </c>
      <c r="R48" s="951">
        <f>(AV48*KFC!$B$39+KFC!$C$39)*курс_уе</f>
        <v>208.3</v>
      </c>
      <c r="S48" s="951">
        <f>(AW48*KFC!$B$39+KFC!$C$39)*курс_уе</f>
        <v>213.2</v>
      </c>
      <c r="T48" s="951">
        <f>(AX48*KFC!$B$39+KFC!$C$39)*курс_уе</f>
        <v>217.9</v>
      </c>
      <c r="U48" s="951">
        <f>(AY48*KFC!$B$39+KFC!$C$39)*курс_уе</f>
        <v>222.8</v>
      </c>
      <c r="V48" s="951">
        <f>(AZ48*KFC!$B$39+KFC!$C$39)*курс_уе</f>
        <v>227.6</v>
      </c>
      <c r="W48" s="951">
        <f>(BA48*KFC!$B$39+KFC!$C$39)*курс_уе</f>
        <v>232.4</v>
      </c>
      <c r="X48" s="951">
        <f>(BB48*KFC!$B$39+KFC!$C$39)*курс_уе</f>
        <v>237.2</v>
      </c>
      <c r="Y48" s="951">
        <f>(BC48*KFC!$B$39+KFC!$C$39)*курс_уе</f>
        <v>242.1</v>
      </c>
      <c r="Z48" s="951">
        <f>(BD48*KFC!$B$39+KFC!$C$39)*курс_уе</f>
        <v>246.8</v>
      </c>
      <c r="AA48" s="951">
        <f>(BE48*KFC!$B$39+KFC!$C$39)*курс_уе</f>
        <v>251.7</v>
      </c>
      <c r="AB48" s="951">
        <f>(BF48*KFC!$B$39+KFC!$C$39)*курс_уе</f>
        <v>256.60000000000002</v>
      </c>
      <c r="AC48" s="951">
        <f>(BG48*KFC!$B$39+KFC!$C$39)*курс_уе</f>
        <v>261.3</v>
      </c>
      <c r="AE48" s="2134"/>
      <c r="AF48" s="111">
        <v>0.7</v>
      </c>
      <c r="AG48" s="265">
        <v>135.9</v>
      </c>
      <c r="AH48" s="252">
        <v>140.80000000000001</v>
      </c>
      <c r="AI48" s="252">
        <v>145.5</v>
      </c>
      <c r="AJ48" s="252">
        <v>150.4</v>
      </c>
      <c r="AK48" s="252">
        <v>155.30000000000001</v>
      </c>
      <c r="AL48" s="252">
        <v>160</v>
      </c>
      <c r="AM48" s="252">
        <v>164.9</v>
      </c>
      <c r="AN48" s="252">
        <v>169.7</v>
      </c>
      <c r="AO48" s="252">
        <v>174.5</v>
      </c>
      <c r="AP48" s="252">
        <v>179.3</v>
      </c>
      <c r="AQ48" s="252">
        <v>184.2</v>
      </c>
      <c r="AR48" s="252">
        <v>188.9</v>
      </c>
      <c r="AS48" s="252">
        <v>193.8</v>
      </c>
      <c r="AT48" s="252">
        <v>198.7</v>
      </c>
      <c r="AU48" s="252">
        <v>203.4</v>
      </c>
      <c r="AV48" s="252">
        <v>208.3</v>
      </c>
      <c r="AW48" s="252">
        <v>213.2</v>
      </c>
      <c r="AX48" s="252">
        <v>217.9</v>
      </c>
      <c r="AY48" s="252">
        <v>222.8</v>
      </c>
      <c r="AZ48" s="252">
        <v>227.6</v>
      </c>
      <c r="BA48" s="583">
        <v>232.4</v>
      </c>
      <c r="BB48" s="627">
        <v>237.2</v>
      </c>
      <c r="BC48" s="252">
        <v>242.1</v>
      </c>
      <c r="BD48" s="252">
        <v>246.8</v>
      </c>
      <c r="BE48" s="252">
        <v>251.7</v>
      </c>
      <c r="BF48" s="252">
        <v>256.60000000000002</v>
      </c>
      <c r="BG48" s="583">
        <v>261.3</v>
      </c>
    </row>
    <row r="49" spans="1:59">
      <c r="A49" s="2134"/>
      <c r="B49" s="111">
        <v>0.8</v>
      </c>
      <c r="C49" s="951">
        <f>(AG49*KFC!$B$39+KFC!$C$39)*курс_уе</f>
        <v>136.30000000000001</v>
      </c>
      <c r="D49" s="951">
        <f>(AH49*KFC!$B$39+KFC!$C$39)*курс_уе</f>
        <v>141.19999999999999</v>
      </c>
      <c r="E49" s="951">
        <f>(AI49*KFC!$B$39+KFC!$C$39)*курс_уе</f>
        <v>146.19999999999999</v>
      </c>
      <c r="F49" s="951">
        <f>(AJ49*KFC!$B$39+KFC!$C$39)*курс_уе</f>
        <v>151.19999999999999</v>
      </c>
      <c r="G49" s="951">
        <f>(AK49*KFC!$B$39+KFC!$C$39)*курс_уе</f>
        <v>156.1</v>
      </c>
      <c r="H49" s="951">
        <f>(AL49*KFC!$B$39+KFC!$C$39)*курс_уе</f>
        <v>161.1</v>
      </c>
      <c r="I49" s="951">
        <f>(AM49*KFC!$B$39+KFC!$C$39)*курс_уе</f>
        <v>165.9</v>
      </c>
      <c r="J49" s="951">
        <f>(AN49*KFC!$B$39+KFC!$C$39)*курс_уе</f>
        <v>170.9</v>
      </c>
      <c r="K49" s="951">
        <f>(AO49*KFC!$B$39+KFC!$C$39)*курс_уе</f>
        <v>175.8</v>
      </c>
      <c r="L49" s="951">
        <f>(AP49*KFC!$B$39+KFC!$C$39)*курс_уе</f>
        <v>180.8</v>
      </c>
      <c r="M49" s="951">
        <f>(AQ49*KFC!$B$39+KFC!$C$39)*курс_уе</f>
        <v>185.7</v>
      </c>
      <c r="N49" s="951">
        <f>(AR49*KFC!$B$39+KFC!$C$39)*курс_уе</f>
        <v>190.7</v>
      </c>
      <c r="O49" s="951">
        <f>(AS49*KFC!$B$39+KFC!$C$39)*курс_уе</f>
        <v>195.7</v>
      </c>
      <c r="P49" s="951">
        <f>(AT49*KFC!$B$39+KFC!$C$39)*курс_уе</f>
        <v>200.5</v>
      </c>
      <c r="Q49" s="951">
        <f>(AU49*KFC!$B$39+KFC!$C$39)*курс_уе</f>
        <v>205.5</v>
      </c>
      <c r="R49" s="951">
        <f>(AV49*KFC!$B$39+KFC!$C$39)*курс_уе</f>
        <v>210.4</v>
      </c>
      <c r="S49" s="951">
        <f>(AW49*KFC!$B$39+KFC!$C$39)*курс_уе</f>
        <v>215.4</v>
      </c>
      <c r="T49" s="951">
        <f>(AX49*KFC!$B$39+KFC!$C$39)*курс_уе</f>
        <v>220.3</v>
      </c>
      <c r="U49" s="951">
        <f>(AY49*KFC!$B$39+KFC!$C$39)*курс_уе</f>
        <v>225.3</v>
      </c>
      <c r="V49" s="951">
        <f>(AZ49*KFC!$B$39+KFC!$C$39)*курс_уе</f>
        <v>230.3</v>
      </c>
      <c r="W49" s="951">
        <f>(BA49*KFC!$B$39+KFC!$C$39)*курс_уе</f>
        <v>235.1</v>
      </c>
      <c r="X49" s="951">
        <f>(BB49*KFC!$B$39+KFC!$C$39)*курс_уе</f>
        <v>240.1</v>
      </c>
      <c r="Y49" s="951">
        <f>(BC49*KFC!$B$39+KFC!$C$39)*курс_уе</f>
        <v>245</v>
      </c>
      <c r="Z49" s="951">
        <f>(BD49*KFC!$B$39+KFC!$C$39)*курс_уе</f>
        <v>250</v>
      </c>
      <c r="AA49" s="951">
        <f>(BE49*KFC!$B$39+KFC!$C$39)*курс_уе</f>
        <v>254.9</v>
      </c>
      <c r="AB49" s="951">
        <f>(BF49*KFC!$B$39+KFC!$C$39)*курс_уе</f>
        <v>259.89999999999998</v>
      </c>
      <c r="AC49" s="951">
        <f>(BG49*KFC!$B$39+KFC!$C$39)*курс_уе</f>
        <v>264.89999999999998</v>
      </c>
      <c r="AE49" s="2134"/>
      <c r="AF49" s="111">
        <v>0.8</v>
      </c>
      <c r="AG49" s="265">
        <v>136.30000000000001</v>
      </c>
      <c r="AH49" s="252">
        <v>141.19999999999999</v>
      </c>
      <c r="AI49" s="252">
        <v>146.19999999999999</v>
      </c>
      <c r="AJ49" s="252">
        <v>151.19999999999999</v>
      </c>
      <c r="AK49" s="252">
        <v>156.1</v>
      </c>
      <c r="AL49" s="252">
        <v>161.1</v>
      </c>
      <c r="AM49" s="252">
        <v>165.9</v>
      </c>
      <c r="AN49" s="252">
        <v>170.9</v>
      </c>
      <c r="AO49" s="252">
        <v>175.8</v>
      </c>
      <c r="AP49" s="252">
        <v>180.8</v>
      </c>
      <c r="AQ49" s="252">
        <v>185.7</v>
      </c>
      <c r="AR49" s="252">
        <v>190.7</v>
      </c>
      <c r="AS49" s="252">
        <v>195.7</v>
      </c>
      <c r="AT49" s="252">
        <v>200.5</v>
      </c>
      <c r="AU49" s="252">
        <v>205.5</v>
      </c>
      <c r="AV49" s="252">
        <v>210.4</v>
      </c>
      <c r="AW49" s="252">
        <v>215.4</v>
      </c>
      <c r="AX49" s="252">
        <v>220.3</v>
      </c>
      <c r="AY49" s="252">
        <v>225.3</v>
      </c>
      <c r="AZ49" s="252">
        <v>230.3</v>
      </c>
      <c r="BA49" s="583">
        <v>235.1</v>
      </c>
      <c r="BB49" s="627">
        <v>240.1</v>
      </c>
      <c r="BC49" s="252">
        <v>245</v>
      </c>
      <c r="BD49" s="252">
        <v>250</v>
      </c>
      <c r="BE49" s="252">
        <v>254.9</v>
      </c>
      <c r="BF49" s="252">
        <v>259.89999999999998</v>
      </c>
      <c r="BG49" s="583">
        <v>264.89999999999998</v>
      </c>
    </row>
    <row r="50" spans="1:59">
      <c r="A50" s="2134"/>
      <c r="B50" s="111">
        <v>0.9</v>
      </c>
      <c r="C50" s="951">
        <f>(AG50*KFC!$B$39+KFC!$C$39)*курс_уе</f>
        <v>136.69999999999999</v>
      </c>
      <c r="D50" s="951">
        <f>(AH50*KFC!$B$39+KFC!$C$39)*курс_уе</f>
        <v>141.69999999999999</v>
      </c>
      <c r="E50" s="951">
        <f>(AI50*KFC!$B$39+KFC!$C$39)*курс_уе</f>
        <v>146.80000000000001</v>
      </c>
      <c r="F50" s="951">
        <f>(AJ50*KFC!$B$39+KFC!$C$39)*курс_уе</f>
        <v>151.80000000000001</v>
      </c>
      <c r="G50" s="951">
        <f>(AK50*KFC!$B$39+KFC!$C$39)*курс_уе</f>
        <v>157</v>
      </c>
      <c r="H50" s="951">
        <f>(AL50*KFC!$B$39+KFC!$C$39)*курс_уе</f>
        <v>162</v>
      </c>
      <c r="I50" s="951">
        <f>(AM50*KFC!$B$39+KFC!$C$39)*курс_уе</f>
        <v>167.1</v>
      </c>
      <c r="J50" s="951">
        <f>(AN50*KFC!$B$39+KFC!$C$39)*курс_уе</f>
        <v>172.1</v>
      </c>
      <c r="K50" s="951">
        <f>(AO50*KFC!$B$39+KFC!$C$39)*курс_уе</f>
        <v>177.1</v>
      </c>
      <c r="L50" s="951">
        <f>(AP50*KFC!$B$39+KFC!$C$39)*курс_уе</f>
        <v>182.2</v>
      </c>
      <c r="M50" s="951">
        <f>(AQ50*KFC!$B$39+KFC!$C$39)*курс_уе</f>
        <v>187.2</v>
      </c>
      <c r="N50" s="951">
        <f>(AR50*KFC!$B$39+KFC!$C$39)*курс_уе</f>
        <v>192.4</v>
      </c>
      <c r="O50" s="951">
        <f>(AS50*KFC!$B$39+KFC!$C$39)*курс_уе</f>
        <v>197.4</v>
      </c>
      <c r="P50" s="951">
        <f>(AT50*KFC!$B$39+KFC!$C$39)*курс_уе</f>
        <v>202.5</v>
      </c>
      <c r="Q50" s="951">
        <f>(AU50*KFC!$B$39+KFC!$C$39)*курс_уе</f>
        <v>207.5</v>
      </c>
      <c r="R50" s="951">
        <f>(AV50*KFC!$B$39+KFC!$C$39)*курс_уе</f>
        <v>212.6</v>
      </c>
      <c r="S50" s="951">
        <f>(AW50*KFC!$B$39+KFC!$C$39)*курс_уе</f>
        <v>217.6</v>
      </c>
      <c r="T50" s="951">
        <f>(AX50*KFC!$B$39+KFC!$C$39)*курс_уе</f>
        <v>222.8</v>
      </c>
      <c r="U50" s="951">
        <f>(AY50*KFC!$B$39+KFC!$C$39)*курс_уе</f>
        <v>227.8</v>
      </c>
      <c r="V50" s="951">
        <f>(AZ50*KFC!$B$39+KFC!$C$39)*курс_уе</f>
        <v>232.9</v>
      </c>
      <c r="W50" s="951">
        <f>(BA50*KFC!$B$39+KFC!$C$39)*курс_уе</f>
        <v>237.9</v>
      </c>
      <c r="X50" s="951">
        <f>(BB50*KFC!$B$39+KFC!$C$39)*курс_уе</f>
        <v>242.9</v>
      </c>
      <c r="Y50" s="951">
        <f>(BC50*KFC!$B$39+KFC!$C$39)*курс_уе</f>
        <v>248</v>
      </c>
      <c r="Z50" s="951">
        <f>(BD50*KFC!$B$39+KFC!$C$39)*курс_уе</f>
        <v>253</v>
      </c>
      <c r="AA50" s="951">
        <f>(BE50*KFC!$B$39+KFC!$C$39)*курс_уе</f>
        <v>258.2</v>
      </c>
      <c r="AB50" s="951">
        <f>(BF50*KFC!$B$39+KFC!$C$39)*курс_уе</f>
        <v>263.2</v>
      </c>
      <c r="AC50" s="951">
        <f>(BG50*KFC!$B$39+KFC!$C$39)*курс_уе</f>
        <v>268.3</v>
      </c>
      <c r="AE50" s="2134"/>
      <c r="AF50" s="111">
        <v>0.9</v>
      </c>
      <c r="AG50" s="265">
        <v>136.69999999999999</v>
      </c>
      <c r="AH50" s="252">
        <v>141.69999999999999</v>
      </c>
      <c r="AI50" s="252">
        <v>146.80000000000001</v>
      </c>
      <c r="AJ50" s="252">
        <v>151.80000000000001</v>
      </c>
      <c r="AK50" s="252">
        <v>157</v>
      </c>
      <c r="AL50" s="252">
        <v>162</v>
      </c>
      <c r="AM50" s="252">
        <v>167.1</v>
      </c>
      <c r="AN50" s="252">
        <v>172.1</v>
      </c>
      <c r="AO50" s="252">
        <v>177.1</v>
      </c>
      <c r="AP50" s="252">
        <v>182.2</v>
      </c>
      <c r="AQ50" s="252">
        <v>187.2</v>
      </c>
      <c r="AR50" s="252">
        <v>192.4</v>
      </c>
      <c r="AS50" s="252">
        <v>197.4</v>
      </c>
      <c r="AT50" s="252">
        <v>202.5</v>
      </c>
      <c r="AU50" s="252">
        <v>207.5</v>
      </c>
      <c r="AV50" s="252">
        <v>212.6</v>
      </c>
      <c r="AW50" s="252">
        <v>217.6</v>
      </c>
      <c r="AX50" s="252">
        <v>222.8</v>
      </c>
      <c r="AY50" s="252">
        <v>227.8</v>
      </c>
      <c r="AZ50" s="252">
        <v>232.9</v>
      </c>
      <c r="BA50" s="583">
        <v>237.9</v>
      </c>
      <c r="BB50" s="627">
        <v>242.9</v>
      </c>
      <c r="BC50" s="252">
        <v>248</v>
      </c>
      <c r="BD50" s="252">
        <v>253</v>
      </c>
      <c r="BE50" s="252">
        <v>258.2</v>
      </c>
      <c r="BF50" s="252">
        <v>263.2</v>
      </c>
      <c r="BG50" s="583">
        <v>268.3</v>
      </c>
    </row>
    <row r="51" spans="1:59">
      <c r="A51" s="2134"/>
      <c r="B51" s="111">
        <v>1</v>
      </c>
      <c r="C51" s="951">
        <f>(AG51*KFC!$B$39+KFC!$C$39)*курс_уе</f>
        <v>137.1</v>
      </c>
      <c r="D51" s="951">
        <f>(AH51*KFC!$B$39+KFC!$C$39)*курс_уе</f>
        <v>142.19999999999999</v>
      </c>
      <c r="E51" s="951">
        <f>(AI51*KFC!$B$39+KFC!$C$39)*курс_уе</f>
        <v>147.4</v>
      </c>
      <c r="F51" s="951">
        <f>(AJ51*KFC!$B$39+KFC!$C$39)*курс_уе</f>
        <v>152.6</v>
      </c>
      <c r="G51" s="951">
        <f>(AK51*KFC!$B$39+KFC!$C$39)*курс_уе</f>
        <v>157.80000000000001</v>
      </c>
      <c r="H51" s="951">
        <f>(AL51*KFC!$B$39+KFC!$C$39)*курс_уе</f>
        <v>162.9</v>
      </c>
      <c r="I51" s="951">
        <f>(AM51*KFC!$B$39+KFC!$C$39)*курс_уе</f>
        <v>168.2</v>
      </c>
      <c r="J51" s="951">
        <f>(AN51*KFC!$B$39+KFC!$C$39)*курс_уе</f>
        <v>173.3</v>
      </c>
      <c r="K51" s="951">
        <f>(AO51*KFC!$B$39+KFC!$C$39)*курс_уе</f>
        <v>178.6</v>
      </c>
      <c r="L51" s="951">
        <f>(AP51*KFC!$B$39+KFC!$C$39)*курс_уе</f>
        <v>183.7</v>
      </c>
      <c r="M51" s="951">
        <f>(AQ51*KFC!$B$39+KFC!$C$39)*курс_уе</f>
        <v>188.8</v>
      </c>
      <c r="N51" s="951">
        <f>(AR51*KFC!$B$39+KFC!$C$39)*курс_уе</f>
        <v>194.1</v>
      </c>
      <c r="O51" s="951">
        <f>(AS51*KFC!$B$39+KFC!$C$39)*курс_уе</f>
        <v>199.2</v>
      </c>
      <c r="P51" s="951">
        <f>(AT51*KFC!$B$39+KFC!$C$39)*курс_уе</f>
        <v>204.3</v>
      </c>
      <c r="Q51" s="951">
        <f>(AU51*KFC!$B$39+KFC!$C$39)*курс_уе</f>
        <v>209.6</v>
      </c>
      <c r="R51" s="951">
        <f>(AV51*KFC!$B$39+KFC!$C$39)*курс_уе</f>
        <v>214.7</v>
      </c>
      <c r="S51" s="951">
        <f>(AW51*KFC!$B$39+KFC!$C$39)*курс_уе</f>
        <v>219.9</v>
      </c>
      <c r="T51" s="951">
        <f>(AX51*KFC!$B$39+KFC!$C$39)*курс_уе</f>
        <v>225.1</v>
      </c>
      <c r="U51" s="951">
        <f>(AY51*KFC!$B$39+KFC!$C$39)*курс_уе</f>
        <v>230.3</v>
      </c>
      <c r="V51" s="951">
        <f>(AZ51*KFC!$B$39+KFC!$C$39)*курс_уе</f>
        <v>235.4</v>
      </c>
      <c r="W51" s="951">
        <f>(BA51*KFC!$B$39+KFC!$C$39)*курс_уе</f>
        <v>240.7</v>
      </c>
      <c r="X51" s="951">
        <f>(BB51*KFC!$B$39+KFC!$C$39)*курс_уе</f>
        <v>245.8</v>
      </c>
      <c r="Y51" s="951">
        <f>(BC51*KFC!$B$39+KFC!$C$39)*курс_уе</f>
        <v>251.1</v>
      </c>
      <c r="Z51" s="951">
        <f>(BD51*KFC!$B$39+KFC!$C$39)*курс_уе</f>
        <v>256.2</v>
      </c>
      <c r="AA51" s="951">
        <f>(BE51*KFC!$B$39+KFC!$C$39)*курс_уе</f>
        <v>261.3</v>
      </c>
      <c r="AB51" s="951">
        <f>(BF51*KFC!$B$39+KFC!$C$39)*курс_уе</f>
        <v>266.60000000000002</v>
      </c>
      <c r="AC51" s="951">
        <f>(BG51*KFC!$B$39+KFC!$C$39)*курс_уе</f>
        <v>271.7</v>
      </c>
      <c r="AE51" s="2134"/>
      <c r="AF51" s="111">
        <v>1</v>
      </c>
      <c r="AG51" s="265">
        <v>137.1</v>
      </c>
      <c r="AH51" s="252">
        <v>142.19999999999999</v>
      </c>
      <c r="AI51" s="252">
        <v>147.4</v>
      </c>
      <c r="AJ51" s="252">
        <v>152.6</v>
      </c>
      <c r="AK51" s="252">
        <v>157.80000000000001</v>
      </c>
      <c r="AL51" s="252">
        <v>162.9</v>
      </c>
      <c r="AM51" s="252">
        <v>168.2</v>
      </c>
      <c r="AN51" s="252">
        <v>173.3</v>
      </c>
      <c r="AO51" s="252">
        <v>178.6</v>
      </c>
      <c r="AP51" s="252">
        <v>183.7</v>
      </c>
      <c r="AQ51" s="252">
        <v>188.8</v>
      </c>
      <c r="AR51" s="252">
        <v>194.1</v>
      </c>
      <c r="AS51" s="252">
        <v>199.2</v>
      </c>
      <c r="AT51" s="252">
        <v>204.3</v>
      </c>
      <c r="AU51" s="252">
        <v>209.6</v>
      </c>
      <c r="AV51" s="252">
        <v>214.7</v>
      </c>
      <c r="AW51" s="252">
        <v>219.9</v>
      </c>
      <c r="AX51" s="252">
        <v>225.1</v>
      </c>
      <c r="AY51" s="252">
        <v>230.3</v>
      </c>
      <c r="AZ51" s="252">
        <v>235.4</v>
      </c>
      <c r="BA51" s="583">
        <v>240.7</v>
      </c>
      <c r="BB51" s="627">
        <v>245.8</v>
      </c>
      <c r="BC51" s="252">
        <v>251.1</v>
      </c>
      <c r="BD51" s="252">
        <v>256.2</v>
      </c>
      <c r="BE51" s="252">
        <v>261.3</v>
      </c>
      <c r="BF51" s="252">
        <v>266.60000000000002</v>
      </c>
      <c r="BG51" s="583">
        <v>271.7</v>
      </c>
    </row>
    <row r="52" spans="1:59">
      <c r="A52" s="2134"/>
      <c r="B52" s="111">
        <v>1.1000000000000001</v>
      </c>
      <c r="C52" s="951">
        <f>(AG52*KFC!$B$39+KFC!$C$39)*курс_уе</f>
        <v>137.5</v>
      </c>
      <c r="D52" s="951">
        <f>(AH52*KFC!$B$39+KFC!$C$39)*курс_уе</f>
        <v>142.80000000000001</v>
      </c>
      <c r="E52" s="951">
        <f>(AI52*KFC!$B$39+KFC!$C$39)*курс_уе</f>
        <v>148</v>
      </c>
      <c r="F52" s="951">
        <f>(AJ52*KFC!$B$39+KFC!$C$39)*курс_уе</f>
        <v>153.30000000000001</v>
      </c>
      <c r="G52" s="951">
        <f>(AK52*KFC!$B$39+KFC!$C$39)*курс_уе</f>
        <v>158.69999999999999</v>
      </c>
      <c r="H52" s="951">
        <f>(AL52*KFC!$B$39+KFC!$C$39)*курс_уе</f>
        <v>163.9</v>
      </c>
      <c r="I52" s="951">
        <f>(AM52*KFC!$B$39+KFC!$C$39)*курс_уе</f>
        <v>169.2</v>
      </c>
      <c r="J52" s="951">
        <f>(AN52*KFC!$B$39+KFC!$C$39)*курс_уе</f>
        <v>174.5</v>
      </c>
      <c r="K52" s="951">
        <f>(AO52*KFC!$B$39+KFC!$C$39)*курс_уе</f>
        <v>179.9</v>
      </c>
      <c r="L52" s="951">
        <f>(AP52*KFC!$B$39+KFC!$C$39)*курс_уе</f>
        <v>185.1</v>
      </c>
      <c r="M52" s="951">
        <f>(AQ52*KFC!$B$39+KFC!$C$39)*курс_уе</f>
        <v>190.4</v>
      </c>
      <c r="N52" s="951">
        <f>(AR52*KFC!$B$39+KFC!$C$39)*курс_уе</f>
        <v>195.7</v>
      </c>
      <c r="O52" s="951">
        <f>(AS52*KFC!$B$39+KFC!$C$39)*курс_уе</f>
        <v>201.1</v>
      </c>
      <c r="P52" s="951">
        <f>(AT52*KFC!$B$39+KFC!$C$39)*курс_уе</f>
        <v>206.3</v>
      </c>
      <c r="Q52" s="951">
        <f>(AU52*KFC!$B$39+KFC!$C$39)*курс_уе</f>
        <v>211.6</v>
      </c>
      <c r="R52" s="951">
        <f>(AV52*KFC!$B$39+KFC!$C$39)*курс_уе</f>
        <v>216.8</v>
      </c>
      <c r="S52" s="951">
        <f>(AW52*KFC!$B$39+KFC!$C$39)*курс_уе</f>
        <v>222.2</v>
      </c>
      <c r="T52" s="951">
        <f>(AX52*KFC!$B$39+KFC!$C$39)*курс_уе</f>
        <v>227.5</v>
      </c>
      <c r="U52" s="951">
        <f>(AY52*KFC!$B$39+KFC!$C$39)*курс_уе</f>
        <v>232.8</v>
      </c>
      <c r="V52" s="951">
        <f>(AZ52*KFC!$B$39+KFC!$C$39)*курс_уе</f>
        <v>238</v>
      </c>
      <c r="W52" s="951">
        <f>(BA52*KFC!$B$39+KFC!$C$39)*курс_уе</f>
        <v>243.4</v>
      </c>
      <c r="X52" s="951">
        <f>(BB52*KFC!$B$39+KFC!$C$39)*курс_уе</f>
        <v>248.7</v>
      </c>
      <c r="Y52" s="951">
        <f>(BC52*KFC!$B$39+KFC!$C$39)*курс_уе</f>
        <v>253.9</v>
      </c>
      <c r="Z52" s="951">
        <f>(BD52*KFC!$B$39+KFC!$C$39)*курс_уе</f>
        <v>259.2</v>
      </c>
      <c r="AA52" s="951">
        <f>(BE52*KFC!$B$39+KFC!$C$39)*курс_уе</f>
        <v>264.60000000000002</v>
      </c>
      <c r="AB52" s="951">
        <f>(BF52*KFC!$B$39+KFC!$C$39)*курс_уе</f>
        <v>269.89999999999998</v>
      </c>
      <c r="AC52" s="951">
        <f>(BG52*KFC!$B$39+KFC!$C$39)*курс_уе</f>
        <v>275.10000000000002</v>
      </c>
      <c r="AE52" s="2134"/>
      <c r="AF52" s="111">
        <v>1.1000000000000001</v>
      </c>
      <c r="AG52" s="265">
        <v>137.5</v>
      </c>
      <c r="AH52" s="252">
        <v>142.80000000000001</v>
      </c>
      <c r="AI52" s="252">
        <v>148</v>
      </c>
      <c r="AJ52" s="252">
        <v>153.30000000000001</v>
      </c>
      <c r="AK52" s="252">
        <v>158.69999999999999</v>
      </c>
      <c r="AL52" s="252">
        <v>163.9</v>
      </c>
      <c r="AM52" s="252">
        <v>169.2</v>
      </c>
      <c r="AN52" s="252">
        <v>174.5</v>
      </c>
      <c r="AO52" s="252">
        <v>179.9</v>
      </c>
      <c r="AP52" s="252">
        <v>185.1</v>
      </c>
      <c r="AQ52" s="252">
        <v>190.4</v>
      </c>
      <c r="AR52" s="252">
        <v>195.7</v>
      </c>
      <c r="AS52" s="252">
        <v>201.1</v>
      </c>
      <c r="AT52" s="252">
        <v>206.3</v>
      </c>
      <c r="AU52" s="252">
        <v>211.6</v>
      </c>
      <c r="AV52" s="252">
        <v>216.8</v>
      </c>
      <c r="AW52" s="252">
        <v>222.2</v>
      </c>
      <c r="AX52" s="252">
        <v>227.5</v>
      </c>
      <c r="AY52" s="252">
        <v>232.8</v>
      </c>
      <c r="AZ52" s="252">
        <v>238</v>
      </c>
      <c r="BA52" s="583">
        <v>243.4</v>
      </c>
      <c r="BB52" s="627">
        <v>248.7</v>
      </c>
      <c r="BC52" s="252">
        <v>253.9</v>
      </c>
      <c r="BD52" s="252">
        <v>259.2</v>
      </c>
      <c r="BE52" s="252">
        <v>264.60000000000002</v>
      </c>
      <c r="BF52" s="252">
        <v>269.89999999999998</v>
      </c>
      <c r="BG52" s="583">
        <v>275.10000000000002</v>
      </c>
    </row>
    <row r="53" spans="1:59">
      <c r="A53" s="2134"/>
      <c r="B53" s="111">
        <v>1.2</v>
      </c>
      <c r="C53" s="951">
        <f>(AG53*KFC!$B$39+KFC!$C$39)*курс_уе</f>
        <v>137.9</v>
      </c>
      <c r="D53" s="951">
        <f>(AH53*KFC!$B$39+KFC!$C$39)*курс_уе</f>
        <v>143.30000000000001</v>
      </c>
      <c r="E53" s="951">
        <f>(AI53*KFC!$B$39+KFC!$C$39)*курс_уе</f>
        <v>148.69999999999999</v>
      </c>
      <c r="F53" s="951">
        <f>(AJ53*KFC!$B$39+KFC!$C$39)*курс_уе</f>
        <v>154.1</v>
      </c>
      <c r="G53" s="951">
        <f>(AK53*KFC!$B$39+KFC!$C$39)*курс_уе</f>
        <v>159.5</v>
      </c>
      <c r="H53" s="951">
        <f>(AL53*KFC!$B$39+KFC!$C$39)*курс_уе</f>
        <v>164.9</v>
      </c>
      <c r="I53" s="951">
        <f>(AM53*KFC!$B$39+KFC!$C$39)*курс_уе</f>
        <v>170.3</v>
      </c>
      <c r="J53" s="951">
        <f>(AN53*KFC!$B$39+KFC!$C$39)*курс_уе</f>
        <v>175.8</v>
      </c>
      <c r="K53" s="951">
        <f>(AO53*KFC!$B$39+KFC!$C$39)*курс_уе</f>
        <v>181.2</v>
      </c>
      <c r="L53" s="951">
        <f>(AP53*KFC!$B$39+KFC!$C$39)*курс_уе</f>
        <v>186.6</v>
      </c>
      <c r="M53" s="951">
        <f>(AQ53*KFC!$B$39+KFC!$C$39)*курс_уе</f>
        <v>192</v>
      </c>
      <c r="N53" s="951">
        <f>(AR53*KFC!$B$39+KFC!$C$39)*курс_уе</f>
        <v>197.4</v>
      </c>
      <c r="O53" s="951">
        <f>(AS53*KFC!$B$39+KFC!$C$39)*курс_уе</f>
        <v>202.8</v>
      </c>
      <c r="P53" s="951">
        <f>(AT53*KFC!$B$39+KFC!$C$39)*курс_уе</f>
        <v>208.3</v>
      </c>
      <c r="Q53" s="951">
        <f>(AU53*KFC!$B$39+KFC!$C$39)*курс_уе</f>
        <v>213.7</v>
      </c>
      <c r="R53" s="951">
        <f>(AV53*KFC!$B$39+KFC!$C$39)*курс_уе</f>
        <v>219.1</v>
      </c>
      <c r="S53" s="951">
        <f>(AW53*KFC!$B$39+KFC!$C$39)*курс_уе</f>
        <v>224.5</v>
      </c>
      <c r="T53" s="951">
        <f>(AX53*KFC!$B$39+KFC!$C$39)*курс_уе</f>
        <v>229.9</v>
      </c>
      <c r="U53" s="951">
        <f>(AY53*KFC!$B$39+KFC!$C$39)*курс_уе</f>
        <v>235.3</v>
      </c>
      <c r="V53" s="951">
        <f>(AZ53*KFC!$B$39+KFC!$C$39)*курс_уе</f>
        <v>240.7</v>
      </c>
      <c r="W53" s="951">
        <f>(BA53*KFC!$B$39+KFC!$C$39)*курс_уе</f>
        <v>246.2</v>
      </c>
      <c r="X53" s="951">
        <f>(BB53*KFC!$B$39+KFC!$C$39)*курс_уе</f>
        <v>251.6</v>
      </c>
      <c r="Y53" s="951">
        <f>(BC53*KFC!$B$39+KFC!$C$39)*курс_уе</f>
        <v>257</v>
      </c>
      <c r="Z53" s="951">
        <f>(BD53*KFC!$B$39+KFC!$C$39)*курс_уе</f>
        <v>262.39999999999998</v>
      </c>
      <c r="AA53" s="951">
        <f>(BE53*KFC!$B$39+KFC!$C$39)*курс_уе</f>
        <v>267.8</v>
      </c>
      <c r="AB53" s="951">
        <f>(BF53*KFC!$B$39+KFC!$C$39)*курс_уе</f>
        <v>273.2</v>
      </c>
      <c r="AC53" s="951">
        <f>(BG53*KFC!$B$39+KFC!$C$39)*курс_уе</f>
        <v>278.7</v>
      </c>
      <c r="AE53" s="2134"/>
      <c r="AF53" s="111">
        <v>1.2</v>
      </c>
      <c r="AG53" s="265">
        <v>137.9</v>
      </c>
      <c r="AH53" s="252">
        <v>143.30000000000001</v>
      </c>
      <c r="AI53" s="252">
        <v>148.69999999999999</v>
      </c>
      <c r="AJ53" s="252">
        <v>154.1</v>
      </c>
      <c r="AK53" s="252">
        <v>159.5</v>
      </c>
      <c r="AL53" s="252">
        <v>164.9</v>
      </c>
      <c r="AM53" s="252">
        <v>170.3</v>
      </c>
      <c r="AN53" s="252">
        <v>175.8</v>
      </c>
      <c r="AO53" s="252">
        <v>181.2</v>
      </c>
      <c r="AP53" s="252">
        <v>186.6</v>
      </c>
      <c r="AQ53" s="252">
        <v>192</v>
      </c>
      <c r="AR53" s="252">
        <v>197.4</v>
      </c>
      <c r="AS53" s="252">
        <v>202.8</v>
      </c>
      <c r="AT53" s="252">
        <v>208.3</v>
      </c>
      <c r="AU53" s="252">
        <v>213.7</v>
      </c>
      <c r="AV53" s="252">
        <v>219.1</v>
      </c>
      <c r="AW53" s="252">
        <v>224.5</v>
      </c>
      <c r="AX53" s="252">
        <v>229.9</v>
      </c>
      <c r="AY53" s="252">
        <v>235.3</v>
      </c>
      <c r="AZ53" s="252">
        <v>240.7</v>
      </c>
      <c r="BA53" s="583">
        <v>246.2</v>
      </c>
      <c r="BB53" s="627">
        <v>251.6</v>
      </c>
      <c r="BC53" s="252">
        <v>257</v>
      </c>
      <c r="BD53" s="252">
        <v>262.39999999999998</v>
      </c>
      <c r="BE53" s="252">
        <v>267.8</v>
      </c>
      <c r="BF53" s="252">
        <v>273.2</v>
      </c>
      <c r="BG53" s="583">
        <v>278.7</v>
      </c>
    </row>
    <row r="54" spans="1:59">
      <c r="A54" s="2134"/>
      <c r="B54" s="111">
        <v>1.3</v>
      </c>
      <c r="C54" s="951">
        <f>(AG54*KFC!$B$39+KFC!$C$39)*курс_уе</f>
        <v>138.19999999999999</v>
      </c>
      <c r="D54" s="951">
        <f>(AH54*KFC!$B$39+KFC!$C$39)*курс_уе</f>
        <v>143.69999999999999</v>
      </c>
      <c r="E54" s="951">
        <f>(AI54*KFC!$B$39+KFC!$C$39)*курс_уе</f>
        <v>149.30000000000001</v>
      </c>
      <c r="F54" s="951">
        <f>(AJ54*KFC!$B$39+KFC!$C$39)*курс_уе</f>
        <v>154.9</v>
      </c>
      <c r="G54" s="951">
        <f>(AK54*KFC!$B$39+KFC!$C$39)*курс_уе</f>
        <v>160.4</v>
      </c>
      <c r="H54" s="951">
        <f>(AL54*KFC!$B$39+KFC!$C$39)*курс_уе</f>
        <v>165.9</v>
      </c>
      <c r="I54" s="951">
        <f>(AM54*KFC!$B$39+KFC!$C$39)*курс_уе</f>
        <v>171.4</v>
      </c>
      <c r="J54" s="951">
        <f>(AN54*KFC!$B$39+KFC!$C$39)*курс_уе</f>
        <v>177</v>
      </c>
      <c r="K54" s="951">
        <f>(AO54*KFC!$B$39+KFC!$C$39)*курс_уе</f>
        <v>182.5</v>
      </c>
      <c r="L54" s="951">
        <f>(AP54*KFC!$B$39+KFC!$C$39)*курс_уе</f>
        <v>188</v>
      </c>
      <c r="M54" s="951">
        <f>(AQ54*KFC!$B$39+KFC!$C$39)*курс_уе</f>
        <v>193.6</v>
      </c>
      <c r="N54" s="951">
        <f>(AR54*KFC!$B$39+KFC!$C$39)*курс_уе</f>
        <v>199.1</v>
      </c>
      <c r="O54" s="951">
        <f>(AS54*KFC!$B$39+KFC!$C$39)*курс_уе</f>
        <v>204.6</v>
      </c>
      <c r="P54" s="951">
        <f>(AT54*KFC!$B$39+KFC!$C$39)*курс_уе</f>
        <v>210.1</v>
      </c>
      <c r="Q54" s="951">
        <f>(AU54*KFC!$B$39+KFC!$C$39)*курс_уе</f>
        <v>215.7</v>
      </c>
      <c r="R54" s="951">
        <f>(AV54*KFC!$B$39+KFC!$C$39)*курс_уе</f>
        <v>221.2</v>
      </c>
      <c r="S54" s="951">
        <f>(AW54*KFC!$B$39+KFC!$C$39)*курс_уе</f>
        <v>226.7</v>
      </c>
      <c r="T54" s="951">
        <f>(AX54*KFC!$B$39+KFC!$C$39)*курс_уе</f>
        <v>232.2</v>
      </c>
      <c r="U54" s="951">
        <f>(AY54*KFC!$B$39+KFC!$C$39)*курс_уе</f>
        <v>237.8</v>
      </c>
      <c r="V54" s="951">
        <f>(AZ54*KFC!$B$39+KFC!$C$39)*курс_уе</f>
        <v>243.3</v>
      </c>
      <c r="W54" s="951">
        <f>(BA54*KFC!$B$39+KFC!$C$39)*курс_уе</f>
        <v>248.8</v>
      </c>
      <c r="X54" s="951">
        <f>(BB54*KFC!$B$39+KFC!$C$39)*курс_уе</f>
        <v>254.3</v>
      </c>
      <c r="Y54" s="951">
        <f>(BC54*KFC!$B$39+KFC!$C$39)*курс_уе</f>
        <v>260</v>
      </c>
      <c r="Z54" s="951">
        <f>(BD54*KFC!$B$39+KFC!$C$39)*курс_уе</f>
        <v>265.5</v>
      </c>
      <c r="AA54" s="951">
        <f>(BE54*KFC!$B$39+KFC!$C$39)*курс_уе</f>
        <v>271.10000000000002</v>
      </c>
      <c r="AB54" s="951">
        <f>(BF54*KFC!$B$39+KFC!$C$39)*курс_уе</f>
        <v>276.60000000000002</v>
      </c>
      <c r="AC54" s="951">
        <f>(BG54*KFC!$B$39+KFC!$C$39)*курс_уе</f>
        <v>282.10000000000002</v>
      </c>
      <c r="AE54" s="2134"/>
      <c r="AF54" s="111">
        <v>1.3</v>
      </c>
      <c r="AG54" s="265">
        <v>138.19999999999999</v>
      </c>
      <c r="AH54" s="252">
        <v>143.69999999999999</v>
      </c>
      <c r="AI54" s="252">
        <v>149.30000000000001</v>
      </c>
      <c r="AJ54" s="252">
        <v>154.9</v>
      </c>
      <c r="AK54" s="252">
        <v>160.4</v>
      </c>
      <c r="AL54" s="252">
        <v>165.9</v>
      </c>
      <c r="AM54" s="252">
        <v>171.4</v>
      </c>
      <c r="AN54" s="252">
        <v>177</v>
      </c>
      <c r="AO54" s="252">
        <v>182.5</v>
      </c>
      <c r="AP54" s="252">
        <v>188</v>
      </c>
      <c r="AQ54" s="252">
        <v>193.6</v>
      </c>
      <c r="AR54" s="252">
        <v>199.1</v>
      </c>
      <c r="AS54" s="252">
        <v>204.6</v>
      </c>
      <c r="AT54" s="252">
        <v>210.1</v>
      </c>
      <c r="AU54" s="252">
        <v>215.7</v>
      </c>
      <c r="AV54" s="252">
        <v>221.2</v>
      </c>
      <c r="AW54" s="252">
        <v>226.7</v>
      </c>
      <c r="AX54" s="252">
        <v>232.2</v>
      </c>
      <c r="AY54" s="252">
        <v>237.8</v>
      </c>
      <c r="AZ54" s="252">
        <v>243.3</v>
      </c>
      <c r="BA54" s="583">
        <v>248.8</v>
      </c>
      <c r="BB54" s="627">
        <v>254.3</v>
      </c>
      <c r="BC54" s="252">
        <v>260</v>
      </c>
      <c r="BD54" s="252">
        <v>265.5</v>
      </c>
      <c r="BE54" s="252">
        <v>271.10000000000002</v>
      </c>
      <c r="BF54" s="252">
        <v>276.60000000000002</v>
      </c>
      <c r="BG54" s="583">
        <v>282.10000000000002</v>
      </c>
    </row>
    <row r="55" spans="1:59">
      <c r="A55" s="2134"/>
      <c r="B55" s="111">
        <v>1.4</v>
      </c>
      <c r="C55" s="951">
        <f>(AG55*KFC!$B$39+KFC!$C$39)*курс_уе</f>
        <v>138.6</v>
      </c>
      <c r="D55" s="951">
        <f>(AH55*KFC!$B$39+KFC!$C$39)*курс_уе</f>
        <v>144.19999999999999</v>
      </c>
      <c r="E55" s="951">
        <f>(AI55*KFC!$B$39+KFC!$C$39)*курс_уе</f>
        <v>149.9</v>
      </c>
      <c r="F55" s="951">
        <f>(AJ55*KFC!$B$39+KFC!$C$39)*курс_уе</f>
        <v>155.5</v>
      </c>
      <c r="G55" s="951">
        <f>(AK55*KFC!$B$39+KFC!$C$39)*курс_уе</f>
        <v>161.19999999999999</v>
      </c>
      <c r="H55" s="951">
        <f>(AL55*KFC!$B$39+KFC!$C$39)*курс_уе</f>
        <v>166.8</v>
      </c>
      <c r="I55" s="951">
        <f>(AM55*KFC!$B$39+KFC!$C$39)*курс_уе</f>
        <v>172.5</v>
      </c>
      <c r="J55" s="951">
        <f>(AN55*KFC!$B$39+KFC!$C$39)*курс_уе</f>
        <v>178.2</v>
      </c>
      <c r="K55" s="951">
        <f>(AO55*KFC!$B$39+KFC!$C$39)*курс_уе</f>
        <v>183.8</v>
      </c>
      <c r="L55" s="951">
        <f>(AP55*KFC!$B$39+KFC!$C$39)*курс_уе</f>
        <v>189.5</v>
      </c>
      <c r="M55" s="951">
        <f>(AQ55*KFC!$B$39+KFC!$C$39)*курс_уе</f>
        <v>195.1</v>
      </c>
      <c r="N55" s="951">
        <f>(AR55*KFC!$B$39+KFC!$C$39)*курс_уе</f>
        <v>200.8</v>
      </c>
      <c r="O55" s="951">
        <f>(AS55*KFC!$B$39+KFC!$C$39)*курс_уе</f>
        <v>206.4</v>
      </c>
      <c r="P55" s="951">
        <f>(AT55*KFC!$B$39+KFC!$C$39)*курс_уе</f>
        <v>212.1</v>
      </c>
      <c r="Q55" s="951">
        <f>(AU55*KFC!$B$39+KFC!$C$39)*курс_уе</f>
        <v>217.8</v>
      </c>
      <c r="R55" s="951">
        <f>(AV55*KFC!$B$39+KFC!$C$39)*курс_уе</f>
        <v>223.4</v>
      </c>
      <c r="S55" s="951">
        <f>(AW55*KFC!$B$39+KFC!$C$39)*курс_уе</f>
        <v>229.1</v>
      </c>
      <c r="T55" s="951">
        <f>(AX55*KFC!$B$39+KFC!$C$39)*курс_уе</f>
        <v>234.6</v>
      </c>
      <c r="U55" s="951">
        <f>(AY55*KFC!$B$39+KFC!$C$39)*курс_уе</f>
        <v>240.3</v>
      </c>
      <c r="V55" s="951">
        <f>(AZ55*KFC!$B$39+KFC!$C$39)*курс_уе</f>
        <v>245.9</v>
      </c>
      <c r="W55" s="951">
        <f>(BA55*KFC!$B$39+KFC!$C$39)*курс_уе</f>
        <v>251.6</v>
      </c>
      <c r="X55" s="951">
        <f>(BB55*KFC!$B$39+KFC!$C$39)*курс_уе</f>
        <v>257.2</v>
      </c>
      <c r="Y55" s="951">
        <f>(BC55*KFC!$B$39+KFC!$C$39)*курс_уе</f>
        <v>262.89999999999998</v>
      </c>
      <c r="Z55" s="951">
        <f>(BD55*KFC!$B$39+KFC!$C$39)*курс_уе</f>
        <v>268.60000000000002</v>
      </c>
      <c r="AA55" s="951">
        <f>(BE55*KFC!$B$39+KFC!$C$39)*курс_уе</f>
        <v>274.2</v>
      </c>
      <c r="AB55" s="951">
        <f>(BF55*KFC!$B$39+KFC!$C$39)*курс_уе</f>
        <v>279.89999999999998</v>
      </c>
      <c r="AC55" s="951">
        <f>(BG55*KFC!$B$39+KFC!$C$39)*курс_уе</f>
        <v>285.5</v>
      </c>
      <c r="AE55" s="2134"/>
      <c r="AF55" s="111">
        <v>1.4</v>
      </c>
      <c r="AG55" s="265">
        <v>138.6</v>
      </c>
      <c r="AH55" s="252">
        <v>144.19999999999999</v>
      </c>
      <c r="AI55" s="252">
        <v>149.9</v>
      </c>
      <c r="AJ55" s="252">
        <v>155.5</v>
      </c>
      <c r="AK55" s="252">
        <v>161.19999999999999</v>
      </c>
      <c r="AL55" s="252">
        <v>166.8</v>
      </c>
      <c r="AM55" s="252">
        <v>172.5</v>
      </c>
      <c r="AN55" s="252">
        <v>178.2</v>
      </c>
      <c r="AO55" s="252">
        <v>183.8</v>
      </c>
      <c r="AP55" s="252">
        <v>189.5</v>
      </c>
      <c r="AQ55" s="252">
        <v>195.1</v>
      </c>
      <c r="AR55" s="252">
        <v>200.8</v>
      </c>
      <c r="AS55" s="252">
        <v>206.4</v>
      </c>
      <c r="AT55" s="252">
        <v>212.1</v>
      </c>
      <c r="AU55" s="252">
        <v>217.8</v>
      </c>
      <c r="AV55" s="252">
        <v>223.4</v>
      </c>
      <c r="AW55" s="252">
        <v>229.1</v>
      </c>
      <c r="AX55" s="252">
        <v>234.6</v>
      </c>
      <c r="AY55" s="252">
        <v>240.3</v>
      </c>
      <c r="AZ55" s="252">
        <v>245.9</v>
      </c>
      <c r="BA55" s="583">
        <v>251.6</v>
      </c>
      <c r="BB55" s="627">
        <v>257.2</v>
      </c>
      <c r="BC55" s="252">
        <v>262.89999999999998</v>
      </c>
      <c r="BD55" s="252">
        <v>268.60000000000002</v>
      </c>
      <c r="BE55" s="252">
        <v>274.2</v>
      </c>
      <c r="BF55" s="252">
        <v>279.89999999999998</v>
      </c>
      <c r="BG55" s="583">
        <v>285.5</v>
      </c>
    </row>
    <row r="56" spans="1:59">
      <c r="A56" s="2134"/>
      <c r="B56" s="111">
        <v>1.5</v>
      </c>
      <c r="C56" s="951">
        <f>(AG56*KFC!$B$39+KFC!$C$39)*курс_уе</f>
        <v>138.9</v>
      </c>
      <c r="D56" s="951">
        <f>(AH56*KFC!$B$39+KFC!$C$39)*курс_уе</f>
        <v>144.69999999999999</v>
      </c>
      <c r="E56" s="951">
        <f>(AI56*KFC!$B$39+KFC!$C$39)*курс_уе</f>
        <v>150.5</v>
      </c>
      <c r="F56" s="951">
        <f>(AJ56*KFC!$B$39+KFC!$C$39)*курс_уе</f>
        <v>156.30000000000001</v>
      </c>
      <c r="G56" s="951">
        <f>(AK56*KFC!$B$39+KFC!$C$39)*курс_уе</f>
        <v>162.1</v>
      </c>
      <c r="H56" s="951">
        <f>(AL56*KFC!$B$39+KFC!$C$39)*курс_уе</f>
        <v>167.8</v>
      </c>
      <c r="I56" s="951">
        <f>(AM56*KFC!$B$39+KFC!$C$39)*курс_уе</f>
        <v>173.6</v>
      </c>
      <c r="J56" s="951">
        <f>(AN56*KFC!$B$39+KFC!$C$39)*курс_уе</f>
        <v>179.3</v>
      </c>
      <c r="K56" s="951">
        <f>(AO56*KFC!$B$39+KFC!$C$39)*курс_уе</f>
        <v>185.1</v>
      </c>
      <c r="L56" s="951">
        <f>(AP56*KFC!$B$39+KFC!$C$39)*курс_уе</f>
        <v>190.9</v>
      </c>
      <c r="M56" s="951">
        <f>(AQ56*KFC!$B$39+KFC!$C$39)*курс_уе</f>
        <v>196.7</v>
      </c>
      <c r="N56" s="951">
        <f>(AR56*KFC!$B$39+KFC!$C$39)*курс_уе</f>
        <v>202.5</v>
      </c>
      <c r="O56" s="951">
        <f>(AS56*KFC!$B$39+KFC!$C$39)*курс_уе</f>
        <v>208.2</v>
      </c>
      <c r="P56" s="951">
        <f>(AT56*KFC!$B$39+KFC!$C$39)*курс_уе</f>
        <v>213.9</v>
      </c>
      <c r="Q56" s="951">
        <f>(AU56*KFC!$B$39+KFC!$C$39)*курс_уе</f>
        <v>219.7</v>
      </c>
      <c r="R56" s="951">
        <f>(AV56*KFC!$B$39+KFC!$C$39)*курс_уе</f>
        <v>225.5</v>
      </c>
      <c r="S56" s="951">
        <f>(AW56*KFC!$B$39+KFC!$C$39)*курс_уе</f>
        <v>231.3</v>
      </c>
      <c r="T56" s="951">
        <f>(AX56*KFC!$B$39+KFC!$C$39)*курс_уе</f>
        <v>237.1</v>
      </c>
      <c r="U56" s="951">
        <f>(AY56*KFC!$B$39+KFC!$C$39)*курс_уе</f>
        <v>242.8</v>
      </c>
      <c r="V56" s="951">
        <f>(AZ56*KFC!$B$39+KFC!$C$39)*курс_уе</f>
        <v>248.6</v>
      </c>
      <c r="W56" s="951">
        <f>(BA56*KFC!$B$39+KFC!$C$39)*курс_уе</f>
        <v>254.3</v>
      </c>
      <c r="X56" s="951">
        <f>(BB56*KFC!$B$39+KFC!$C$39)*курс_уе</f>
        <v>260.10000000000002</v>
      </c>
      <c r="Y56" s="951">
        <f>(BC56*KFC!$B$39+KFC!$C$39)*курс_уе</f>
        <v>265.89999999999998</v>
      </c>
      <c r="Z56" s="951">
        <f>(BD56*KFC!$B$39+KFC!$C$39)*курс_уе</f>
        <v>271.7</v>
      </c>
      <c r="AA56" s="951">
        <f>(BE56*KFC!$B$39+KFC!$C$39)*курс_уе</f>
        <v>277.5</v>
      </c>
      <c r="AB56" s="951">
        <f>(BF56*KFC!$B$39+KFC!$C$39)*курс_уе</f>
        <v>283.2</v>
      </c>
      <c r="AC56" s="951">
        <f>(BG56*KFC!$B$39+KFC!$C$39)*курс_уе</f>
        <v>288.89999999999998</v>
      </c>
      <c r="AE56" s="2134"/>
      <c r="AF56" s="111">
        <v>1.5</v>
      </c>
      <c r="AG56" s="265">
        <v>138.9</v>
      </c>
      <c r="AH56" s="252">
        <v>144.69999999999999</v>
      </c>
      <c r="AI56" s="252">
        <v>150.5</v>
      </c>
      <c r="AJ56" s="252">
        <v>156.30000000000001</v>
      </c>
      <c r="AK56" s="252">
        <v>162.1</v>
      </c>
      <c r="AL56" s="252">
        <v>167.8</v>
      </c>
      <c r="AM56" s="252">
        <v>173.6</v>
      </c>
      <c r="AN56" s="252">
        <v>179.3</v>
      </c>
      <c r="AO56" s="252">
        <v>185.1</v>
      </c>
      <c r="AP56" s="252">
        <v>190.9</v>
      </c>
      <c r="AQ56" s="252">
        <v>196.7</v>
      </c>
      <c r="AR56" s="252">
        <v>202.5</v>
      </c>
      <c r="AS56" s="252">
        <v>208.2</v>
      </c>
      <c r="AT56" s="252">
        <v>213.9</v>
      </c>
      <c r="AU56" s="252">
        <v>219.7</v>
      </c>
      <c r="AV56" s="252">
        <v>225.5</v>
      </c>
      <c r="AW56" s="252">
        <v>231.3</v>
      </c>
      <c r="AX56" s="252">
        <v>237.1</v>
      </c>
      <c r="AY56" s="252">
        <v>242.8</v>
      </c>
      <c r="AZ56" s="252">
        <v>248.6</v>
      </c>
      <c r="BA56" s="583">
        <v>254.3</v>
      </c>
      <c r="BB56" s="627">
        <v>260.10000000000002</v>
      </c>
      <c r="BC56" s="252">
        <v>265.89999999999998</v>
      </c>
      <c r="BD56" s="252">
        <v>271.7</v>
      </c>
      <c r="BE56" s="252">
        <v>277.5</v>
      </c>
      <c r="BF56" s="252">
        <v>283.2</v>
      </c>
      <c r="BG56" s="583">
        <v>288.89999999999998</v>
      </c>
    </row>
    <row r="57" spans="1:59">
      <c r="A57" s="2134"/>
      <c r="B57" s="111">
        <v>1.6</v>
      </c>
      <c r="C57" s="951">
        <f>(AG57*KFC!$B$39+KFC!$C$39)*курс_уе</f>
        <v>139.30000000000001</v>
      </c>
      <c r="D57" s="951">
        <f>(AH57*KFC!$B$39+KFC!$C$39)*курс_уе</f>
        <v>145.30000000000001</v>
      </c>
      <c r="E57" s="951">
        <f>(AI57*KFC!$B$39+KFC!$C$39)*курс_уе</f>
        <v>151.19999999999999</v>
      </c>
      <c r="F57" s="951">
        <f>(AJ57*KFC!$B$39+KFC!$C$39)*курс_уе</f>
        <v>157</v>
      </c>
      <c r="G57" s="951">
        <f>(AK57*KFC!$B$39+KFC!$C$39)*курс_уе</f>
        <v>162.9</v>
      </c>
      <c r="H57" s="951">
        <f>(AL57*KFC!$B$39+KFC!$C$39)*курс_уе</f>
        <v>168.8</v>
      </c>
      <c r="I57" s="951">
        <f>(AM57*KFC!$B$39+KFC!$C$39)*курс_уе</f>
        <v>174.7</v>
      </c>
      <c r="J57" s="951">
        <f>(AN57*KFC!$B$39+KFC!$C$39)*курс_уе</f>
        <v>180.5</v>
      </c>
      <c r="K57" s="951">
        <f>(AO57*KFC!$B$39+KFC!$C$39)*курс_уе</f>
        <v>186.4</v>
      </c>
      <c r="L57" s="951">
        <f>(AP57*KFC!$B$39+KFC!$C$39)*курс_уе</f>
        <v>192.4</v>
      </c>
      <c r="M57" s="951">
        <f>(AQ57*KFC!$B$39+KFC!$C$39)*курс_уе</f>
        <v>198.3</v>
      </c>
      <c r="N57" s="951">
        <f>(AR57*KFC!$B$39+KFC!$C$39)*курс_уе</f>
        <v>204.1</v>
      </c>
      <c r="O57" s="951">
        <f>(AS57*KFC!$B$39+KFC!$C$39)*курс_уе</f>
        <v>210</v>
      </c>
      <c r="P57" s="951">
        <f>(AT57*KFC!$B$39+KFC!$C$39)*курс_уе</f>
        <v>215.9</v>
      </c>
      <c r="Q57" s="951">
        <f>(AU57*KFC!$B$39+KFC!$C$39)*курс_уе</f>
        <v>221.8</v>
      </c>
      <c r="R57" s="951">
        <f>(AV57*KFC!$B$39+KFC!$C$39)*курс_уе</f>
        <v>227.6</v>
      </c>
      <c r="S57" s="951">
        <f>(AW57*KFC!$B$39+KFC!$C$39)*курс_уе</f>
        <v>233.6</v>
      </c>
      <c r="T57" s="951">
        <f>(AX57*KFC!$B$39+KFC!$C$39)*курс_уе</f>
        <v>239.5</v>
      </c>
      <c r="U57" s="951">
        <f>(AY57*KFC!$B$39+KFC!$C$39)*курс_уе</f>
        <v>245.4</v>
      </c>
      <c r="V57" s="951">
        <f>(AZ57*KFC!$B$39+KFC!$C$39)*курс_уе</f>
        <v>251.2</v>
      </c>
      <c r="W57" s="951">
        <f>(BA57*KFC!$B$39+KFC!$C$39)*курс_уе</f>
        <v>257.10000000000002</v>
      </c>
      <c r="X57" s="951">
        <f>(BB57*KFC!$B$39+KFC!$C$39)*курс_уе</f>
        <v>263</v>
      </c>
      <c r="Y57" s="951">
        <f>(BC57*KFC!$B$39+KFC!$C$39)*курс_уе</f>
        <v>268.89999999999998</v>
      </c>
      <c r="Z57" s="951">
        <f>(BD57*KFC!$B$39+KFC!$C$39)*курс_уе</f>
        <v>274.7</v>
      </c>
      <c r="AA57" s="951">
        <f>(BE57*KFC!$B$39+KFC!$C$39)*курс_уе</f>
        <v>280.7</v>
      </c>
      <c r="AB57" s="951">
        <f>(BF57*KFC!$B$39+KFC!$C$39)*курс_уе</f>
        <v>286.60000000000002</v>
      </c>
      <c r="AC57" s="951">
        <f>(BG57*KFC!$B$39+KFC!$C$39)*курс_уе</f>
        <v>292.5</v>
      </c>
      <c r="AE57" s="2134"/>
      <c r="AF57" s="111">
        <v>1.6</v>
      </c>
      <c r="AG57" s="265">
        <v>139.30000000000001</v>
      </c>
      <c r="AH57" s="252">
        <v>145.30000000000001</v>
      </c>
      <c r="AI57" s="252">
        <v>151.19999999999999</v>
      </c>
      <c r="AJ57" s="252">
        <v>157</v>
      </c>
      <c r="AK57" s="252">
        <v>162.9</v>
      </c>
      <c r="AL57" s="252">
        <v>168.8</v>
      </c>
      <c r="AM57" s="252">
        <v>174.7</v>
      </c>
      <c r="AN57" s="252">
        <v>180.5</v>
      </c>
      <c r="AO57" s="252">
        <v>186.4</v>
      </c>
      <c r="AP57" s="252">
        <v>192.4</v>
      </c>
      <c r="AQ57" s="252">
        <v>198.3</v>
      </c>
      <c r="AR57" s="252">
        <v>204.1</v>
      </c>
      <c r="AS57" s="252">
        <v>210</v>
      </c>
      <c r="AT57" s="252">
        <v>215.9</v>
      </c>
      <c r="AU57" s="252">
        <v>221.8</v>
      </c>
      <c r="AV57" s="252">
        <v>227.6</v>
      </c>
      <c r="AW57" s="252">
        <v>233.6</v>
      </c>
      <c r="AX57" s="252">
        <v>239.5</v>
      </c>
      <c r="AY57" s="252">
        <v>245.4</v>
      </c>
      <c r="AZ57" s="252">
        <v>251.2</v>
      </c>
      <c r="BA57" s="583">
        <v>257.10000000000002</v>
      </c>
      <c r="BB57" s="627">
        <v>263</v>
      </c>
      <c r="BC57" s="252">
        <v>268.89999999999998</v>
      </c>
      <c r="BD57" s="252">
        <v>274.7</v>
      </c>
      <c r="BE57" s="252">
        <v>280.7</v>
      </c>
      <c r="BF57" s="252">
        <v>286.60000000000002</v>
      </c>
      <c r="BG57" s="583">
        <v>292.5</v>
      </c>
    </row>
    <row r="58" spans="1:59">
      <c r="A58" s="2134"/>
      <c r="B58" s="111">
        <v>1.7</v>
      </c>
      <c r="C58" s="951">
        <f>(AG58*KFC!$B$39+KFC!$C$39)*курс_уе</f>
        <v>139.69999999999999</v>
      </c>
      <c r="D58" s="951">
        <f>(AH58*KFC!$B$39+KFC!$C$39)*курс_уе</f>
        <v>145.80000000000001</v>
      </c>
      <c r="E58" s="951">
        <f>(AI58*KFC!$B$39+KFC!$C$39)*курс_уе</f>
        <v>151.69999999999999</v>
      </c>
      <c r="F58" s="951">
        <f>(AJ58*KFC!$B$39+KFC!$C$39)*курс_уе</f>
        <v>157.80000000000001</v>
      </c>
      <c r="G58" s="951">
        <f>(AK58*KFC!$B$39+KFC!$C$39)*курс_уе</f>
        <v>163.80000000000001</v>
      </c>
      <c r="H58" s="951">
        <f>(AL58*KFC!$B$39+KFC!$C$39)*курс_уе</f>
        <v>169.7</v>
      </c>
      <c r="I58" s="951">
        <f>(AM58*KFC!$B$39+KFC!$C$39)*курс_уе</f>
        <v>175.8</v>
      </c>
      <c r="J58" s="951">
        <f>(AN58*KFC!$B$39+KFC!$C$39)*курс_уе</f>
        <v>181.8</v>
      </c>
      <c r="K58" s="951">
        <f>(AO58*KFC!$B$39+KFC!$C$39)*курс_уе</f>
        <v>187.8</v>
      </c>
      <c r="L58" s="951">
        <f>(AP58*KFC!$B$39+KFC!$C$39)*курс_уе</f>
        <v>193.8</v>
      </c>
      <c r="M58" s="951">
        <f>(AQ58*KFC!$B$39+KFC!$C$39)*курс_уе</f>
        <v>199.7</v>
      </c>
      <c r="N58" s="951">
        <f>(AR58*KFC!$B$39+KFC!$C$39)*курс_уе</f>
        <v>205.8</v>
      </c>
      <c r="O58" s="951">
        <f>(AS58*KFC!$B$39+KFC!$C$39)*курс_уе</f>
        <v>211.8</v>
      </c>
      <c r="P58" s="951">
        <f>(AT58*KFC!$B$39+KFC!$C$39)*курс_уе</f>
        <v>217.8</v>
      </c>
      <c r="Q58" s="951">
        <f>(AU58*KFC!$B$39+KFC!$C$39)*курс_уе</f>
        <v>223.8</v>
      </c>
      <c r="R58" s="951">
        <f>(AV58*KFC!$B$39+KFC!$C$39)*курс_уе</f>
        <v>229.9</v>
      </c>
      <c r="S58" s="951">
        <f>(AW58*KFC!$B$39+KFC!$C$39)*курс_уе</f>
        <v>235.8</v>
      </c>
      <c r="T58" s="951">
        <f>(AX58*KFC!$B$39+KFC!$C$39)*курс_уе</f>
        <v>241.8</v>
      </c>
      <c r="U58" s="951">
        <f>(AY58*KFC!$B$39+KFC!$C$39)*курс_уе</f>
        <v>247.9</v>
      </c>
      <c r="V58" s="951">
        <f>(AZ58*KFC!$B$39+KFC!$C$39)*курс_уе</f>
        <v>253.8</v>
      </c>
      <c r="W58" s="951">
        <f>(BA58*KFC!$B$39+KFC!$C$39)*курс_уе</f>
        <v>259.89999999999998</v>
      </c>
      <c r="X58" s="951">
        <f>(BB58*KFC!$B$39+KFC!$C$39)*курс_уе</f>
        <v>265.89999999999998</v>
      </c>
      <c r="Y58" s="951">
        <f>(BC58*KFC!$B$39+KFC!$C$39)*курс_уе</f>
        <v>271.8</v>
      </c>
      <c r="Z58" s="951">
        <f>(BD58*KFC!$B$39+KFC!$C$39)*курс_уе</f>
        <v>277.89999999999998</v>
      </c>
      <c r="AA58" s="951">
        <f>(BE58*KFC!$B$39+KFC!$C$39)*курс_уе</f>
        <v>283.8</v>
      </c>
      <c r="AB58" s="951">
        <f>(BF58*KFC!$B$39+KFC!$C$39)*курс_уе</f>
        <v>289.89999999999998</v>
      </c>
      <c r="AC58" s="951">
        <f>(BG58*KFC!$B$39+KFC!$C$39)*курс_уе</f>
        <v>295.89999999999998</v>
      </c>
      <c r="AE58" s="2134"/>
      <c r="AF58" s="111">
        <v>1.7</v>
      </c>
      <c r="AG58" s="265">
        <v>139.69999999999999</v>
      </c>
      <c r="AH58" s="252">
        <v>145.80000000000001</v>
      </c>
      <c r="AI58" s="252">
        <v>151.69999999999999</v>
      </c>
      <c r="AJ58" s="252">
        <v>157.80000000000001</v>
      </c>
      <c r="AK58" s="252">
        <v>163.80000000000001</v>
      </c>
      <c r="AL58" s="252">
        <v>169.7</v>
      </c>
      <c r="AM58" s="252">
        <v>175.8</v>
      </c>
      <c r="AN58" s="252">
        <v>181.8</v>
      </c>
      <c r="AO58" s="252">
        <v>187.8</v>
      </c>
      <c r="AP58" s="252">
        <v>193.8</v>
      </c>
      <c r="AQ58" s="252">
        <v>199.7</v>
      </c>
      <c r="AR58" s="252">
        <v>205.8</v>
      </c>
      <c r="AS58" s="252">
        <v>211.8</v>
      </c>
      <c r="AT58" s="252">
        <v>217.8</v>
      </c>
      <c r="AU58" s="252">
        <v>223.8</v>
      </c>
      <c r="AV58" s="252">
        <v>229.9</v>
      </c>
      <c r="AW58" s="252">
        <v>235.8</v>
      </c>
      <c r="AX58" s="252">
        <v>241.8</v>
      </c>
      <c r="AY58" s="252">
        <v>247.9</v>
      </c>
      <c r="AZ58" s="252">
        <v>253.8</v>
      </c>
      <c r="BA58" s="583">
        <v>259.89999999999998</v>
      </c>
      <c r="BB58" s="627">
        <v>265.89999999999998</v>
      </c>
      <c r="BC58" s="252">
        <v>271.8</v>
      </c>
      <c r="BD58" s="252">
        <v>277.89999999999998</v>
      </c>
      <c r="BE58" s="252">
        <v>283.8</v>
      </c>
      <c r="BF58" s="252">
        <v>289.89999999999998</v>
      </c>
      <c r="BG58" s="583">
        <v>295.89999999999998</v>
      </c>
    </row>
    <row r="59" spans="1:59">
      <c r="A59" s="2134"/>
      <c r="B59" s="111">
        <v>1.8</v>
      </c>
      <c r="C59" s="951">
        <f>(AG59*KFC!$B$39+KFC!$C$39)*курс_уе</f>
        <v>140.1</v>
      </c>
      <c r="D59" s="951">
        <f>(AH59*KFC!$B$39+KFC!$C$39)*курс_уе</f>
        <v>146.30000000000001</v>
      </c>
      <c r="E59" s="951">
        <f>(AI59*KFC!$B$39+KFC!$C$39)*курс_уе</f>
        <v>152.4</v>
      </c>
      <c r="F59" s="951">
        <f>(AJ59*KFC!$B$39+KFC!$C$39)*курс_уе</f>
        <v>158.6</v>
      </c>
      <c r="G59" s="951">
        <f>(AK59*KFC!$B$39+KFC!$C$39)*курс_уе</f>
        <v>164.6</v>
      </c>
      <c r="H59" s="951">
        <f>(AL59*KFC!$B$39+KFC!$C$39)*курс_уе</f>
        <v>170.8</v>
      </c>
      <c r="I59" s="951">
        <f>(AM59*KFC!$B$39+KFC!$C$39)*курс_уе</f>
        <v>176.8</v>
      </c>
      <c r="J59" s="951">
        <f>(AN59*KFC!$B$39+KFC!$C$39)*курс_уе</f>
        <v>183</v>
      </c>
      <c r="K59" s="951">
        <f>(AO59*KFC!$B$39+KFC!$C$39)*курс_уе</f>
        <v>189.1</v>
      </c>
      <c r="L59" s="951">
        <f>(AP59*KFC!$B$39+KFC!$C$39)*курс_уе</f>
        <v>195.3</v>
      </c>
      <c r="M59" s="951">
        <f>(AQ59*KFC!$B$39+KFC!$C$39)*курс_уе</f>
        <v>201.3</v>
      </c>
      <c r="N59" s="951">
        <f>(AR59*KFC!$B$39+KFC!$C$39)*курс_уе</f>
        <v>207.5</v>
      </c>
      <c r="O59" s="951">
        <f>(AS59*KFC!$B$39+KFC!$C$39)*курс_уе</f>
        <v>213.6</v>
      </c>
      <c r="P59" s="951">
        <f>(AT59*KFC!$B$39+KFC!$C$39)*курс_уе</f>
        <v>219.7</v>
      </c>
      <c r="Q59" s="951">
        <f>(AU59*KFC!$B$39+KFC!$C$39)*курс_уе</f>
        <v>225.9</v>
      </c>
      <c r="R59" s="951">
        <f>(AV59*KFC!$B$39+KFC!$C$39)*курс_уе</f>
        <v>232</v>
      </c>
      <c r="S59" s="951">
        <f>(AW59*KFC!$B$39+KFC!$C$39)*курс_уе</f>
        <v>238.2</v>
      </c>
      <c r="T59" s="951">
        <f>(AX59*KFC!$B$39+KFC!$C$39)*курс_уе</f>
        <v>244.2</v>
      </c>
      <c r="U59" s="951">
        <f>(AY59*KFC!$B$39+KFC!$C$39)*курс_уе</f>
        <v>250.4</v>
      </c>
      <c r="V59" s="951">
        <f>(AZ59*KFC!$B$39+KFC!$C$39)*курс_уе</f>
        <v>256.39999999999998</v>
      </c>
      <c r="W59" s="951">
        <f>(BA59*KFC!$B$39+KFC!$C$39)*курс_уе</f>
        <v>262.60000000000002</v>
      </c>
      <c r="X59" s="951">
        <f>(BB59*KFC!$B$39+KFC!$C$39)*курс_уе</f>
        <v>268.7</v>
      </c>
      <c r="Y59" s="951">
        <f>(BC59*KFC!$B$39+KFC!$C$39)*курс_уе</f>
        <v>274.89999999999998</v>
      </c>
      <c r="Z59" s="951">
        <f>(BD59*KFC!$B$39+KFC!$C$39)*курс_уе</f>
        <v>280.89999999999998</v>
      </c>
      <c r="AA59" s="951">
        <f>(BE59*KFC!$B$39+KFC!$C$39)*курс_уе</f>
        <v>287.10000000000002</v>
      </c>
      <c r="AB59" s="951">
        <f>(BF59*KFC!$B$39+KFC!$C$39)*курс_уе</f>
        <v>293.2</v>
      </c>
      <c r="AC59" s="951">
        <f>(BG59*KFC!$B$39+KFC!$C$39)*курс_уе</f>
        <v>299.3</v>
      </c>
      <c r="AE59" s="2134"/>
      <c r="AF59" s="111">
        <v>1.8</v>
      </c>
      <c r="AG59" s="265">
        <v>140.1</v>
      </c>
      <c r="AH59" s="252">
        <v>146.30000000000001</v>
      </c>
      <c r="AI59" s="252">
        <v>152.4</v>
      </c>
      <c r="AJ59" s="252">
        <v>158.6</v>
      </c>
      <c r="AK59" s="252">
        <v>164.6</v>
      </c>
      <c r="AL59" s="252">
        <v>170.8</v>
      </c>
      <c r="AM59" s="252">
        <v>176.8</v>
      </c>
      <c r="AN59" s="252">
        <v>183</v>
      </c>
      <c r="AO59" s="252">
        <v>189.1</v>
      </c>
      <c r="AP59" s="252">
        <v>195.3</v>
      </c>
      <c r="AQ59" s="252">
        <v>201.3</v>
      </c>
      <c r="AR59" s="252">
        <v>207.5</v>
      </c>
      <c r="AS59" s="252">
        <v>213.6</v>
      </c>
      <c r="AT59" s="252">
        <v>219.7</v>
      </c>
      <c r="AU59" s="252">
        <v>225.9</v>
      </c>
      <c r="AV59" s="252">
        <v>232</v>
      </c>
      <c r="AW59" s="252">
        <v>238.2</v>
      </c>
      <c r="AX59" s="252">
        <v>244.2</v>
      </c>
      <c r="AY59" s="252">
        <v>250.4</v>
      </c>
      <c r="AZ59" s="252">
        <v>256.39999999999998</v>
      </c>
      <c r="BA59" s="583">
        <v>262.60000000000002</v>
      </c>
      <c r="BB59" s="627">
        <v>268.7</v>
      </c>
      <c r="BC59" s="252">
        <v>274.89999999999998</v>
      </c>
      <c r="BD59" s="252">
        <v>280.89999999999998</v>
      </c>
      <c r="BE59" s="252">
        <v>287.10000000000002</v>
      </c>
      <c r="BF59" s="252">
        <v>293.2</v>
      </c>
      <c r="BG59" s="583">
        <v>299.3</v>
      </c>
    </row>
    <row r="60" spans="1:59">
      <c r="A60" s="2134"/>
      <c r="B60" s="111">
        <v>1.9</v>
      </c>
      <c r="C60" s="951">
        <f>(AG60*KFC!$B$39+KFC!$C$39)*курс_уе</f>
        <v>140.5</v>
      </c>
      <c r="D60" s="951">
        <f>(AH60*KFC!$B$39+KFC!$C$39)*курс_уе</f>
        <v>146.69999999999999</v>
      </c>
      <c r="E60" s="951">
        <f>(AI60*KFC!$B$39+KFC!$C$39)*курс_уе</f>
        <v>153</v>
      </c>
      <c r="F60" s="951">
        <f>(AJ60*KFC!$B$39+KFC!$C$39)*курс_уе</f>
        <v>159.19999999999999</v>
      </c>
      <c r="G60" s="951">
        <f>(AK60*KFC!$B$39+KFC!$C$39)*курс_уе</f>
        <v>165.5</v>
      </c>
      <c r="H60" s="951">
        <f>(AL60*KFC!$B$39+KFC!$C$39)*курс_уе</f>
        <v>171.7</v>
      </c>
      <c r="I60" s="951">
        <f>(AM60*KFC!$B$39+KFC!$C$39)*курс_уе</f>
        <v>178</v>
      </c>
      <c r="J60" s="951">
        <f>(AN60*KFC!$B$39+KFC!$C$39)*курс_уе</f>
        <v>184.2</v>
      </c>
      <c r="K60" s="951">
        <f>(AO60*KFC!$B$39+KFC!$C$39)*курс_уе</f>
        <v>190.4</v>
      </c>
      <c r="L60" s="951">
        <f>(AP60*KFC!$B$39+KFC!$C$39)*курс_уе</f>
        <v>196.7</v>
      </c>
      <c r="M60" s="951">
        <f>(AQ60*KFC!$B$39+KFC!$C$39)*курс_уе</f>
        <v>202.9</v>
      </c>
      <c r="N60" s="951">
        <f>(AR60*KFC!$B$39+KFC!$C$39)*курс_уе</f>
        <v>209.2</v>
      </c>
      <c r="O60" s="951">
        <f>(AS60*KFC!$B$39+KFC!$C$39)*курс_уе</f>
        <v>215.4</v>
      </c>
      <c r="P60" s="951">
        <f>(AT60*KFC!$B$39+KFC!$C$39)*курс_уе</f>
        <v>221.7</v>
      </c>
      <c r="Q60" s="951">
        <f>(AU60*KFC!$B$39+KFC!$C$39)*курс_уе</f>
        <v>227.9</v>
      </c>
      <c r="R60" s="951">
        <f>(AV60*KFC!$B$39+KFC!$C$39)*курс_уе</f>
        <v>234.1</v>
      </c>
      <c r="S60" s="951">
        <f>(AW60*KFC!$B$39+KFC!$C$39)*курс_уе</f>
        <v>240.4</v>
      </c>
      <c r="T60" s="951">
        <f>(AX60*KFC!$B$39+KFC!$C$39)*курс_уе</f>
        <v>246.6</v>
      </c>
      <c r="U60" s="951">
        <f>(AY60*KFC!$B$39+KFC!$C$39)*курс_уе</f>
        <v>252.9</v>
      </c>
      <c r="V60" s="951">
        <f>(AZ60*KFC!$B$39+KFC!$C$39)*курс_уе</f>
        <v>259.10000000000002</v>
      </c>
      <c r="W60" s="951">
        <f>(BA60*KFC!$B$39+KFC!$C$39)*курс_уе</f>
        <v>265.39999999999998</v>
      </c>
      <c r="X60" s="951">
        <f>(BB60*KFC!$B$39+KFC!$C$39)*курс_уе</f>
        <v>271.60000000000002</v>
      </c>
      <c r="Y60" s="951">
        <f>(BC60*KFC!$B$39+KFC!$C$39)*курс_уе</f>
        <v>277.89999999999998</v>
      </c>
      <c r="Z60" s="951">
        <f>(BD60*KFC!$B$39+KFC!$C$39)*курс_уе</f>
        <v>284.10000000000002</v>
      </c>
      <c r="AA60" s="951">
        <f>(BE60*KFC!$B$39+KFC!$C$39)*курс_уе</f>
        <v>290.3</v>
      </c>
      <c r="AB60" s="951">
        <f>(BF60*KFC!$B$39+KFC!$C$39)*курс_уе</f>
        <v>296.60000000000002</v>
      </c>
      <c r="AC60" s="951">
        <f>(BG60*KFC!$B$39+KFC!$C$39)*курс_уе</f>
        <v>302.8</v>
      </c>
      <c r="AE60" s="2134"/>
      <c r="AF60" s="111">
        <v>1.9</v>
      </c>
      <c r="AG60" s="265">
        <v>140.5</v>
      </c>
      <c r="AH60" s="252">
        <v>146.69999999999999</v>
      </c>
      <c r="AI60" s="252">
        <v>153</v>
      </c>
      <c r="AJ60" s="252">
        <v>159.19999999999999</v>
      </c>
      <c r="AK60" s="252">
        <v>165.5</v>
      </c>
      <c r="AL60" s="252">
        <v>171.7</v>
      </c>
      <c r="AM60" s="252">
        <v>178</v>
      </c>
      <c r="AN60" s="252">
        <v>184.2</v>
      </c>
      <c r="AO60" s="252">
        <v>190.4</v>
      </c>
      <c r="AP60" s="252">
        <v>196.7</v>
      </c>
      <c r="AQ60" s="252">
        <v>202.9</v>
      </c>
      <c r="AR60" s="252">
        <v>209.2</v>
      </c>
      <c r="AS60" s="252">
        <v>215.4</v>
      </c>
      <c r="AT60" s="252">
        <v>221.7</v>
      </c>
      <c r="AU60" s="252">
        <v>227.9</v>
      </c>
      <c r="AV60" s="252">
        <v>234.1</v>
      </c>
      <c r="AW60" s="252">
        <v>240.4</v>
      </c>
      <c r="AX60" s="252">
        <v>246.6</v>
      </c>
      <c r="AY60" s="252">
        <v>252.9</v>
      </c>
      <c r="AZ60" s="252">
        <v>259.10000000000002</v>
      </c>
      <c r="BA60" s="583">
        <v>265.39999999999998</v>
      </c>
      <c r="BB60" s="627">
        <v>271.60000000000002</v>
      </c>
      <c r="BC60" s="252">
        <v>277.89999999999998</v>
      </c>
      <c r="BD60" s="252">
        <v>284.10000000000002</v>
      </c>
      <c r="BE60" s="252">
        <v>290.3</v>
      </c>
      <c r="BF60" s="252">
        <v>296.60000000000002</v>
      </c>
      <c r="BG60" s="583">
        <v>302.8</v>
      </c>
    </row>
    <row r="61" spans="1:59">
      <c r="A61" s="2134"/>
      <c r="B61" s="111">
        <v>2</v>
      </c>
      <c r="C61" s="951">
        <f>(AG61*KFC!$B$39+KFC!$C$39)*курс_уе</f>
        <v>140.9</v>
      </c>
      <c r="D61" s="951">
        <f>(AH61*KFC!$B$39+KFC!$C$39)*курс_уе</f>
        <v>147.19999999999999</v>
      </c>
      <c r="E61" s="951">
        <f>(AI61*KFC!$B$39+KFC!$C$39)*курс_уе</f>
        <v>153.69999999999999</v>
      </c>
      <c r="F61" s="951">
        <f>(AJ61*KFC!$B$39+KFC!$C$39)*курс_уе</f>
        <v>160</v>
      </c>
      <c r="G61" s="951">
        <f>(AK61*KFC!$B$39+KFC!$C$39)*курс_уе</f>
        <v>166.3</v>
      </c>
      <c r="H61" s="951">
        <f>(AL61*KFC!$B$39+KFC!$C$39)*курс_уе</f>
        <v>172.8</v>
      </c>
      <c r="I61" s="951">
        <f>(AM61*KFC!$B$39+KFC!$C$39)*курс_уе</f>
        <v>179.1</v>
      </c>
      <c r="J61" s="951">
        <f>(AN61*KFC!$B$39+KFC!$C$39)*курс_уе</f>
        <v>185.4</v>
      </c>
      <c r="K61" s="951">
        <f>(AO61*KFC!$B$39+KFC!$C$39)*курс_уе</f>
        <v>191.8</v>
      </c>
      <c r="L61" s="951">
        <f>(AP61*KFC!$B$39+KFC!$C$39)*курс_уе</f>
        <v>198.2</v>
      </c>
      <c r="M61" s="951">
        <f>(AQ61*KFC!$B$39+KFC!$C$39)*курс_уе</f>
        <v>204.5</v>
      </c>
      <c r="N61" s="951">
        <f>(AR61*KFC!$B$39+KFC!$C$39)*курс_уе</f>
        <v>210.9</v>
      </c>
      <c r="O61" s="951">
        <f>(AS61*KFC!$B$39+KFC!$C$39)*курс_уе</f>
        <v>217.2</v>
      </c>
      <c r="P61" s="951">
        <f>(AT61*KFC!$B$39+KFC!$C$39)*курс_уе</f>
        <v>223.6</v>
      </c>
      <c r="Q61" s="951">
        <f>(AU61*KFC!$B$39+KFC!$C$39)*курс_уе</f>
        <v>230</v>
      </c>
      <c r="R61" s="951">
        <f>(AV61*KFC!$B$39+KFC!$C$39)*курс_уе</f>
        <v>236.3</v>
      </c>
      <c r="S61" s="951">
        <f>(AW61*KFC!$B$39+KFC!$C$39)*курс_уе</f>
        <v>242.6</v>
      </c>
      <c r="T61" s="951">
        <f>(AX61*KFC!$B$39+KFC!$C$39)*курс_уе</f>
        <v>249.1</v>
      </c>
      <c r="U61" s="951">
        <f>(AY61*KFC!$B$39+KFC!$C$39)*курс_уе</f>
        <v>255.4</v>
      </c>
      <c r="V61" s="951">
        <f>(AZ61*KFC!$B$39+KFC!$C$39)*курс_уе</f>
        <v>261.7</v>
      </c>
      <c r="W61" s="951">
        <f>(BA61*KFC!$B$39+KFC!$C$39)*курс_уе</f>
        <v>268.2</v>
      </c>
      <c r="X61" s="951">
        <f>(BB61*KFC!$B$39+KFC!$C$39)*курс_уе</f>
        <v>274.5</v>
      </c>
      <c r="Y61" s="951">
        <f>(BC61*KFC!$B$39+KFC!$C$39)*курс_уе</f>
        <v>280.8</v>
      </c>
      <c r="Z61" s="951">
        <f>(BD61*KFC!$B$39+KFC!$C$39)*курс_уе</f>
        <v>287.2</v>
      </c>
      <c r="AA61" s="951">
        <f>(BE61*KFC!$B$39+KFC!$C$39)*курс_уе</f>
        <v>293.60000000000002</v>
      </c>
      <c r="AB61" s="951">
        <f>(BF61*KFC!$B$39+KFC!$C$39)*курс_уе</f>
        <v>299.89999999999998</v>
      </c>
      <c r="AC61" s="951">
        <f>(BG61*KFC!$B$39+KFC!$C$39)*курс_уе</f>
        <v>306.3</v>
      </c>
      <c r="AE61" s="2134"/>
      <c r="AF61" s="111">
        <v>2</v>
      </c>
      <c r="AG61" s="265">
        <v>140.9</v>
      </c>
      <c r="AH61" s="252">
        <v>147.19999999999999</v>
      </c>
      <c r="AI61" s="252">
        <v>153.69999999999999</v>
      </c>
      <c r="AJ61" s="252">
        <v>160</v>
      </c>
      <c r="AK61" s="252">
        <v>166.3</v>
      </c>
      <c r="AL61" s="252">
        <v>172.8</v>
      </c>
      <c r="AM61" s="252">
        <v>179.1</v>
      </c>
      <c r="AN61" s="252">
        <v>185.4</v>
      </c>
      <c r="AO61" s="252">
        <v>191.8</v>
      </c>
      <c r="AP61" s="252">
        <v>198.2</v>
      </c>
      <c r="AQ61" s="252">
        <v>204.5</v>
      </c>
      <c r="AR61" s="252">
        <v>210.9</v>
      </c>
      <c r="AS61" s="252">
        <v>217.2</v>
      </c>
      <c r="AT61" s="252">
        <v>223.6</v>
      </c>
      <c r="AU61" s="252">
        <v>230</v>
      </c>
      <c r="AV61" s="252">
        <v>236.3</v>
      </c>
      <c r="AW61" s="252">
        <v>242.6</v>
      </c>
      <c r="AX61" s="252">
        <v>249.1</v>
      </c>
      <c r="AY61" s="252">
        <v>255.4</v>
      </c>
      <c r="AZ61" s="252">
        <v>261.7</v>
      </c>
      <c r="BA61" s="583">
        <v>268.2</v>
      </c>
      <c r="BB61" s="627">
        <v>274.5</v>
      </c>
      <c r="BC61" s="252">
        <v>280.8</v>
      </c>
      <c r="BD61" s="252">
        <v>287.2</v>
      </c>
      <c r="BE61" s="252">
        <v>293.60000000000002</v>
      </c>
      <c r="BF61" s="252">
        <v>299.89999999999998</v>
      </c>
      <c r="BG61" s="583">
        <v>306.3</v>
      </c>
    </row>
    <row r="62" spans="1:59">
      <c r="A62" s="2134"/>
      <c r="B62" s="111">
        <v>2.1</v>
      </c>
      <c r="C62" s="951">
        <f>(AG62*KFC!$B$39+KFC!$C$39)*курс_уе</f>
        <v>141.30000000000001</v>
      </c>
      <c r="D62" s="951">
        <f>(AH62*KFC!$B$39+KFC!$C$39)*курс_уе</f>
        <v>147.80000000000001</v>
      </c>
      <c r="E62" s="951">
        <f>(AI62*KFC!$B$39+KFC!$C$39)*курс_уе</f>
        <v>154.19999999999999</v>
      </c>
      <c r="F62" s="951">
        <f>(AJ62*KFC!$B$39+KFC!$C$39)*курс_уе</f>
        <v>160.69999999999999</v>
      </c>
      <c r="G62" s="951">
        <f>(AK62*KFC!$B$39+KFC!$C$39)*курс_уе</f>
        <v>167.2</v>
      </c>
      <c r="H62" s="951">
        <f>(AL62*KFC!$B$39+KFC!$C$39)*курс_уе</f>
        <v>173.7</v>
      </c>
      <c r="I62" s="951">
        <f>(AM62*KFC!$B$39+KFC!$C$39)*курс_уе</f>
        <v>180.1</v>
      </c>
      <c r="J62" s="951">
        <f>(AN62*KFC!$B$39+KFC!$C$39)*курс_уе</f>
        <v>186.6</v>
      </c>
      <c r="K62" s="951">
        <f>(AO62*KFC!$B$39+KFC!$C$39)*курс_уе</f>
        <v>193.2</v>
      </c>
      <c r="L62" s="951">
        <f>(AP62*KFC!$B$39+KFC!$C$39)*курс_уе</f>
        <v>199.6</v>
      </c>
      <c r="M62" s="951">
        <f>(AQ62*KFC!$B$39+KFC!$C$39)*курс_уе</f>
        <v>206.1</v>
      </c>
      <c r="N62" s="951">
        <f>(AR62*KFC!$B$39+KFC!$C$39)*курс_уе</f>
        <v>212.5</v>
      </c>
      <c r="O62" s="951">
        <f>(AS62*KFC!$B$39+KFC!$C$39)*курс_уе</f>
        <v>219.1</v>
      </c>
      <c r="P62" s="951">
        <f>(AT62*KFC!$B$39+KFC!$C$39)*курс_уе</f>
        <v>225.5</v>
      </c>
      <c r="Q62" s="951">
        <f>(AU62*KFC!$B$39+KFC!$C$39)*курс_уе</f>
        <v>232</v>
      </c>
      <c r="R62" s="951">
        <f>(AV62*KFC!$B$39+KFC!$C$39)*курс_уе</f>
        <v>238.4</v>
      </c>
      <c r="S62" s="951">
        <f>(AW62*KFC!$B$39+KFC!$C$39)*курс_уе</f>
        <v>244.9</v>
      </c>
      <c r="T62" s="951">
        <f>(AX62*KFC!$B$39+KFC!$C$39)*курс_уе</f>
        <v>251.4</v>
      </c>
      <c r="U62" s="951">
        <f>(AY62*KFC!$B$39+KFC!$C$39)*курс_уе</f>
        <v>257.89999999999998</v>
      </c>
      <c r="V62" s="951">
        <f>(AZ62*KFC!$B$39+KFC!$C$39)*курс_уе</f>
        <v>264.3</v>
      </c>
      <c r="W62" s="951">
        <f>(BA62*KFC!$B$39+KFC!$C$39)*курс_уе</f>
        <v>270.8</v>
      </c>
      <c r="X62" s="951">
        <f>(BB62*KFC!$B$39+KFC!$C$39)*курс_уе</f>
        <v>277.39999999999998</v>
      </c>
      <c r="Y62" s="951">
        <f>(BC62*KFC!$B$39+KFC!$C$39)*курс_уе</f>
        <v>283.8</v>
      </c>
      <c r="Z62" s="951">
        <f>(BD62*KFC!$B$39+KFC!$C$39)*курс_уе</f>
        <v>290.3</v>
      </c>
      <c r="AA62" s="951">
        <f>(BE62*KFC!$B$39+KFC!$C$39)*курс_уе</f>
        <v>296.7</v>
      </c>
      <c r="AB62" s="951">
        <f>(BF62*KFC!$B$39+KFC!$C$39)*курс_уе</f>
        <v>303.3</v>
      </c>
      <c r="AC62" s="951">
        <f>(BG62*KFC!$B$39+KFC!$C$39)*курс_уе</f>
        <v>309.7</v>
      </c>
      <c r="AE62" s="2134"/>
      <c r="AF62" s="111">
        <v>2.1</v>
      </c>
      <c r="AG62" s="265">
        <v>141.30000000000001</v>
      </c>
      <c r="AH62" s="252">
        <v>147.80000000000001</v>
      </c>
      <c r="AI62" s="252">
        <v>154.19999999999999</v>
      </c>
      <c r="AJ62" s="252">
        <v>160.69999999999999</v>
      </c>
      <c r="AK62" s="252">
        <v>167.2</v>
      </c>
      <c r="AL62" s="252">
        <v>173.7</v>
      </c>
      <c r="AM62" s="252">
        <v>180.1</v>
      </c>
      <c r="AN62" s="252">
        <v>186.6</v>
      </c>
      <c r="AO62" s="252">
        <v>193.2</v>
      </c>
      <c r="AP62" s="252">
        <v>199.6</v>
      </c>
      <c r="AQ62" s="252">
        <v>206.1</v>
      </c>
      <c r="AR62" s="252">
        <v>212.5</v>
      </c>
      <c r="AS62" s="252">
        <v>219.1</v>
      </c>
      <c r="AT62" s="252">
        <v>225.5</v>
      </c>
      <c r="AU62" s="252">
        <v>232</v>
      </c>
      <c r="AV62" s="252">
        <v>238.4</v>
      </c>
      <c r="AW62" s="252">
        <v>244.9</v>
      </c>
      <c r="AX62" s="252">
        <v>251.4</v>
      </c>
      <c r="AY62" s="252">
        <v>257.89999999999998</v>
      </c>
      <c r="AZ62" s="252">
        <v>264.3</v>
      </c>
      <c r="BA62" s="583">
        <v>270.8</v>
      </c>
      <c r="BB62" s="627">
        <v>277.39999999999998</v>
      </c>
      <c r="BC62" s="252">
        <v>283.8</v>
      </c>
      <c r="BD62" s="252">
        <v>290.3</v>
      </c>
      <c r="BE62" s="252">
        <v>296.7</v>
      </c>
      <c r="BF62" s="252">
        <v>303.3</v>
      </c>
      <c r="BG62" s="583">
        <v>309.7</v>
      </c>
    </row>
    <row r="63" spans="1:59">
      <c r="A63" s="2134"/>
      <c r="B63" s="111">
        <v>2.2000000000000002</v>
      </c>
      <c r="C63" s="951">
        <f>(AG63*KFC!$B$39+KFC!$C$39)*курс_уе</f>
        <v>141.69999999999999</v>
      </c>
      <c r="D63" s="951">
        <f>(AH63*KFC!$B$39+KFC!$C$39)*курс_уе</f>
        <v>148.30000000000001</v>
      </c>
      <c r="E63" s="951">
        <f>(AI63*KFC!$B$39+KFC!$C$39)*курс_уе</f>
        <v>154.9</v>
      </c>
      <c r="F63" s="951">
        <f>(AJ63*KFC!$B$39+KFC!$C$39)*курс_уе</f>
        <v>161.4</v>
      </c>
      <c r="G63" s="951">
        <f>(AK63*KFC!$B$39+KFC!$C$39)*курс_уе</f>
        <v>168</v>
      </c>
      <c r="H63" s="951">
        <f>(AL63*KFC!$B$39+KFC!$C$39)*курс_уе</f>
        <v>174.6</v>
      </c>
      <c r="I63" s="951">
        <f>(AM63*KFC!$B$39+KFC!$C$39)*курс_уе</f>
        <v>181.2</v>
      </c>
      <c r="J63" s="951">
        <f>(AN63*KFC!$B$39+KFC!$C$39)*курс_уе</f>
        <v>187.9</v>
      </c>
      <c r="K63" s="951">
        <f>(AO63*KFC!$B$39+KFC!$C$39)*курс_уе</f>
        <v>194.5</v>
      </c>
      <c r="L63" s="951">
        <f>(AP63*KFC!$B$39+KFC!$C$39)*курс_уе</f>
        <v>201.1</v>
      </c>
      <c r="M63" s="951">
        <f>(AQ63*KFC!$B$39+KFC!$C$39)*курс_уе</f>
        <v>207.6</v>
      </c>
      <c r="N63" s="951">
        <f>(AR63*KFC!$B$39+KFC!$C$39)*курс_уе</f>
        <v>214.2</v>
      </c>
      <c r="O63" s="951">
        <f>(AS63*KFC!$B$39+KFC!$C$39)*курс_уе</f>
        <v>220.8</v>
      </c>
      <c r="P63" s="951">
        <f>(AT63*KFC!$B$39+KFC!$C$39)*курс_уе</f>
        <v>227.4</v>
      </c>
      <c r="Q63" s="951">
        <f>(AU63*KFC!$B$39+KFC!$C$39)*курс_уе</f>
        <v>233.9</v>
      </c>
      <c r="R63" s="951">
        <f>(AV63*KFC!$B$39+KFC!$C$39)*курс_уе</f>
        <v>240.7</v>
      </c>
      <c r="S63" s="951">
        <f>(AW63*KFC!$B$39+KFC!$C$39)*курс_уе</f>
        <v>247.2</v>
      </c>
      <c r="T63" s="951">
        <f>(AX63*KFC!$B$39+KFC!$C$39)*курс_уе</f>
        <v>253.8</v>
      </c>
      <c r="U63" s="951">
        <f>(AY63*KFC!$B$39+KFC!$C$39)*курс_уе</f>
        <v>260.39999999999998</v>
      </c>
      <c r="V63" s="951">
        <f>(AZ63*KFC!$B$39+KFC!$C$39)*курс_уе</f>
        <v>267</v>
      </c>
      <c r="W63" s="951">
        <f>(BA63*KFC!$B$39+KFC!$C$39)*курс_уе</f>
        <v>273.60000000000002</v>
      </c>
      <c r="X63" s="951">
        <f>(BB63*KFC!$B$39+KFC!$C$39)*курс_уе</f>
        <v>280.10000000000002</v>
      </c>
      <c r="Y63" s="951">
        <f>(BC63*KFC!$B$39+KFC!$C$39)*курс_уе</f>
        <v>286.7</v>
      </c>
      <c r="Z63" s="951">
        <f>(BD63*KFC!$B$39+KFC!$C$39)*курс_уе</f>
        <v>293.39999999999998</v>
      </c>
      <c r="AA63" s="951">
        <f>(BE63*KFC!$B$39+KFC!$C$39)*курс_уе</f>
        <v>300</v>
      </c>
      <c r="AB63" s="951">
        <f>(BF63*KFC!$B$39+KFC!$C$39)*курс_уе</f>
        <v>306.60000000000002</v>
      </c>
      <c r="AC63" s="951">
        <f>(BG63*KFC!$B$39+KFC!$C$39)*курс_уе</f>
        <v>313.2</v>
      </c>
      <c r="AE63" s="2134"/>
      <c r="AF63" s="111">
        <v>2.2000000000000002</v>
      </c>
      <c r="AG63" s="265">
        <v>141.69999999999999</v>
      </c>
      <c r="AH63" s="252">
        <v>148.30000000000001</v>
      </c>
      <c r="AI63" s="252">
        <v>154.9</v>
      </c>
      <c r="AJ63" s="252">
        <v>161.4</v>
      </c>
      <c r="AK63" s="252">
        <v>168</v>
      </c>
      <c r="AL63" s="252">
        <v>174.6</v>
      </c>
      <c r="AM63" s="252">
        <v>181.2</v>
      </c>
      <c r="AN63" s="252">
        <v>187.9</v>
      </c>
      <c r="AO63" s="252">
        <v>194.5</v>
      </c>
      <c r="AP63" s="252">
        <v>201.1</v>
      </c>
      <c r="AQ63" s="252">
        <v>207.6</v>
      </c>
      <c r="AR63" s="252">
        <v>214.2</v>
      </c>
      <c r="AS63" s="252">
        <v>220.8</v>
      </c>
      <c r="AT63" s="252">
        <v>227.4</v>
      </c>
      <c r="AU63" s="252">
        <v>233.9</v>
      </c>
      <c r="AV63" s="252">
        <v>240.7</v>
      </c>
      <c r="AW63" s="252">
        <v>247.2</v>
      </c>
      <c r="AX63" s="252">
        <v>253.8</v>
      </c>
      <c r="AY63" s="252">
        <v>260.39999999999998</v>
      </c>
      <c r="AZ63" s="252">
        <v>267</v>
      </c>
      <c r="BA63" s="583">
        <v>273.60000000000002</v>
      </c>
      <c r="BB63" s="627">
        <v>280.10000000000002</v>
      </c>
      <c r="BC63" s="252">
        <v>286.7</v>
      </c>
      <c r="BD63" s="252">
        <v>293.39999999999998</v>
      </c>
      <c r="BE63" s="252">
        <v>300</v>
      </c>
      <c r="BF63" s="252">
        <v>306.60000000000002</v>
      </c>
      <c r="BG63" s="583">
        <v>313.2</v>
      </c>
    </row>
    <row r="64" spans="1:59">
      <c r="A64" s="2134"/>
      <c r="B64" s="111">
        <v>2.2999999999999998</v>
      </c>
      <c r="C64" s="951">
        <f>(AG64*KFC!$B$39+KFC!$C$39)*курс_уе</f>
        <v>142.1</v>
      </c>
      <c r="D64" s="951">
        <f>(AH64*KFC!$B$39+KFC!$C$39)*курс_уе</f>
        <v>148.80000000000001</v>
      </c>
      <c r="E64" s="951">
        <f>(AI64*KFC!$B$39+KFC!$C$39)*курс_уе</f>
        <v>155.5</v>
      </c>
      <c r="F64" s="951">
        <f>(AJ64*KFC!$B$39+KFC!$C$39)*курс_уе</f>
        <v>162.19999999999999</v>
      </c>
      <c r="G64" s="951">
        <f>(AK64*KFC!$B$39+KFC!$C$39)*курс_уе</f>
        <v>168.9</v>
      </c>
      <c r="H64" s="951">
        <f>(AL64*KFC!$B$39+KFC!$C$39)*курс_уе</f>
        <v>175.7</v>
      </c>
      <c r="I64" s="951">
        <f>(AM64*KFC!$B$39+KFC!$C$39)*курс_уе</f>
        <v>182.4</v>
      </c>
      <c r="J64" s="951">
        <f>(AN64*KFC!$B$39+KFC!$C$39)*курс_уе</f>
        <v>189.1</v>
      </c>
      <c r="K64" s="951">
        <f>(AO64*KFC!$B$39+KFC!$C$39)*курс_уе</f>
        <v>195.8</v>
      </c>
      <c r="L64" s="951">
        <f>(AP64*KFC!$B$39+KFC!$C$39)*курс_уе</f>
        <v>202.5</v>
      </c>
      <c r="M64" s="951">
        <f>(AQ64*KFC!$B$39+KFC!$C$39)*курс_уе</f>
        <v>209.2</v>
      </c>
      <c r="N64" s="951">
        <f>(AR64*KFC!$B$39+KFC!$C$39)*курс_уе</f>
        <v>215.9</v>
      </c>
      <c r="O64" s="951">
        <f>(AS64*KFC!$B$39+KFC!$C$39)*курс_уе</f>
        <v>222.6</v>
      </c>
      <c r="P64" s="951">
        <f>(AT64*KFC!$B$39+KFC!$C$39)*курс_уе</f>
        <v>229.3</v>
      </c>
      <c r="Q64" s="951">
        <f>(AU64*KFC!$B$39+KFC!$C$39)*курс_уе</f>
        <v>236.1</v>
      </c>
      <c r="R64" s="951">
        <f>(AV64*KFC!$B$39+KFC!$C$39)*курс_уе</f>
        <v>242.8</v>
      </c>
      <c r="S64" s="951">
        <f>(AW64*KFC!$B$39+KFC!$C$39)*курс_уе</f>
        <v>249.5</v>
      </c>
      <c r="T64" s="951">
        <f>(AX64*KFC!$B$39+KFC!$C$39)*курс_уе</f>
        <v>256.2</v>
      </c>
      <c r="U64" s="951">
        <f>(AY64*KFC!$B$39+KFC!$C$39)*курс_уе</f>
        <v>262.89999999999998</v>
      </c>
      <c r="V64" s="951">
        <f>(AZ64*KFC!$B$39+KFC!$C$39)*курс_уе</f>
        <v>269.60000000000002</v>
      </c>
      <c r="W64" s="951">
        <f>(BA64*KFC!$B$39+KFC!$C$39)*курс_уе</f>
        <v>276.3</v>
      </c>
      <c r="X64" s="951">
        <f>(BB64*KFC!$B$39+KFC!$C$39)*курс_уе</f>
        <v>283</v>
      </c>
      <c r="Y64" s="951">
        <f>(BC64*KFC!$B$39+KFC!$C$39)*курс_уе</f>
        <v>289.7</v>
      </c>
      <c r="Z64" s="951">
        <f>(BD64*KFC!$B$39+KFC!$C$39)*курс_уе</f>
        <v>296.39999999999998</v>
      </c>
      <c r="AA64" s="951">
        <f>(BE64*KFC!$B$39+KFC!$C$39)*курс_уе</f>
        <v>303.2</v>
      </c>
      <c r="AB64" s="951">
        <f>(BF64*KFC!$B$39+KFC!$C$39)*курс_уе</f>
        <v>309.89999999999998</v>
      </c>
      <c r="AC64" s="951">
        <f>(BG64*KFC!$B$39+KFC!$C$39)*курс_уе</f>
        <v>316.60000000000002</v>
      </c>
      <c r="AE64" s="2134"/>
      <c r="AF64" s="111">
        <v>2.2999999999999998</v>
      </c>
      <c r="AG64" s="265">
        <v>142.1</v>
      </c>
      <c r="AH64" s="252">
        <v>148.80000000000001</v>
      </c>
      <c r="AI64" s="252">
        <v>155.5</v>
      </c>
      <c r="AJ64" s="252">
        <v>162.19999999999999</v>
      </c>
      <c r="AK64" s="252">
        <v>168.9</v>
      </c>
      <c r="AL64" s="252">
        <v>175.7</v>
      </c>
      <c r="AM64" s="252">
        <v>182.4</v>
      </c>
      <c r="AN64" s="252">
        <v>189.1</v>
      </c>
      <c r="AO64" s="252">
        <v>195.8</v>
      </c>
      <c r="AP64" s="252">
        <v>202.5</v>
      </c>
      <c r="AQ64" s="252">
        <v>209.2</v>
      </c>
      <c r="AR64" s="252">
        <v>215.9</v>
      </c>
      <c r="AS64" s="252">
        <v>222.6</v>
      </c>
      <c r="AT64" s="252">
        <v>229.3</v>
      </c>
      <c r="AU64" s="252">
        <v>236.1</v>
      </c>
      <c r="AV64" s="252">
        <v>242.8</v>
      </c>
      <c r="AW64" s="252">
        <v>249.5</v>
      </c>
      <c r="AX64" s="252">
        <v>256.2</v>
      </c>
      <c r="AY64" s="252">
        <v>262.89999999999998</v>
      </c>
      <c r="AZ64" s="252">
        <v>269.60000000000002</v>
      </c>
      <c r="BA64" s="583">
        <v>276.3</v>
      </c>
      <c r="BB64" s="627">
        <v>283</v>
      </c>
      <c r="BC64" s="252">
        <v>289.7</v>
      </c>
      <c r="BD64" s="252">
        <v>296.39999999999998</v>
      </c>
      <c r="BE64" s="252">
        <v>303.2</v>
      </c>
      <c r="BF64" s="252">
        <v>309.89999999999998</v>
      </c>
      <c r="BG64" s="583">
        <v>316.60000000000002</v>
      </c>
    </row>
    <row r="65" spans="1:59">
      <c r="A65" s="2134"/>
      <c r="B65" s="111">
        <v>2.4</v>
      </c>
      <c r="C65" s="951">
        <f>(AG65*KFC!$B$39+KFC!$C$39)*курс_уе</f>
        <v>142.5</v>
      </c>
      <c r="D65" s="951">
        <f>(AH65*KFC!$B$39+KFC!$C$39)*курс_уе</f>
        <v>149.19999999999999</v>
      </c>
      <c r="E65" s="951">
        <f>(AI65*KFC!$B$39+KFC!$C$39)*курс_уе</f>
        <v>156.1</v>
      </c>
      <c r="F65" s="951">
        <f>(AJ65*KFC!$B$39+KFC!$C$39)*курс_уе</f>
        <v>162.9</v>
      </c>
      <c r="G65" s="951">
        <f>(AK65*KFC!$B$39+KFC!$C$39)*курс_уе</f>
        <v>169.7</v>
      </c>
      <c r="H65" s="951">
        <f>(AL65*KFC!$B$39+KFC!$C$39)*курс_уе</f>
        <v>176.6</v>
      </c>
      <c r="I65" s="951">
        <f>(AM65*KFC!$B$39+KFC!$C$39)*курс_уе</f>
        <v>183.4</v>
      </c>
      <c r="J65" s="951">
        <f>(AN65*KFC!$B$39+KFC!$C$39)*курс_уе</f>
        <v>190.3</v>
      </c>
      <c r="K65" s="951">
        <f>(AO65*KFC!$B$39+KFC!$C$39)*курс_уе</f>
        <v>197.1</v>
      </c>
      <c r="L65" s="951">
        <f>(AP65*KFC!$B$39+KFC!$C$39)*курс_уе</f>
        <v>203.9</v>
      </c>
      <c r="M65" s="951">
        <f>(AQ65*KFC!$B$39+KFC!$C$39)*курс_уе</f>
        <v>210.8</v>
      </c>
      <c r="N65" s="951">
        <f>(AR65*KFC!$B$39+KFC!$C$39)*курс_уе</f>
        <v>217.6</v>
      </c>
      <c r="O65" s="951">
        <f>(AS65*KFC!$B$39+KFC!$C$39)*курс_уе</f>
        <v>224.5</v>
      </c>
      <c r="P65" s="951">
        <f>(AT65*KFC!$B$39+KFC!$C$39)*курс_уе</f>
        <v>231.3</v>
      </c>
      <c r="Q65" s="951">
        <f>(AU65*KFC!$B$39+KFC!$C$39)*курс_уе</f>
        <v>238</v>
      </c>
      <c r="R65" s="951">
        <f>(AV65*KFC!$B$39+KFC!$C$39)*курс_уе</f>
        <v>244.9</v>
      </c>
      <c r="S65" s="951">
        <f>(AW65*KFC!$B$39+KFC!$C$39)*курс_уе</f>
        <v>251.7</v>
      </c>
      <c r="T65" s="951">
        <f>(AX65*KFC!$B$39+KFC!$C$39)*курс_уе</f>
        <v>258.60000000000002</v>
      </c>
      <c r="U65" s="951">
        <f>(AY65*KFC!$B$39+KFC!$C$39)*курс_уе</f>
        <v>265.39999999999998</v>
      </c>
      <c r="V65" s="951">
        <f>(AZ65*KFC!$B$39+KFC!$C$39)*курс_уе</f>
        <v>272.2</v>
      </c>
      <c r="W65" s="951">
        <f>(BA65*KFC!$B$39+KFC!$C$39)*курс_уе</f>
        <v>279.10000000000002</v>
      </c>
      <c r="X65" s="951">
        <f>(BB65*KFC!$B$39+KFC!$C$39)*курс_уе</f>
        <v>285.89999999999998</v>
      </c>
      <c r="Y65" s="951">
        <f>(BC65*KFC!$B$39+KFC!$C$39)*курс_уе</f>
        <v>292.8</v>
      </c>
      <c r="Z65" s="951">
        <f>(BD65*KFC!$B$39+KFC!$C$39)*курс_уе</f>
        <v>299.60000000000002</v>
      </c>
      <c r="AA65" s="951">
        <f>(BE65*KFC!$B$39+KFC!$C$39)*курс_уе</f>
        <v>306.39999999999998</v>
      </c>
      <c r="AB65" s="951">
        <f>(BF65*KFC!$B$39+KFC!$C$39)*курс_уе</f>
        <v>313.3</v>
      </c>
      <c r="AC65" s="951">
        <f>(BG65*KFC!$B$39+KFC!$C$39)*курс_уе</f>
        <v>320.10000000000002</v>
      </c>
      <c r="AE65" s="2134"/>
      <c r="AF65" s="111">
        <v>2.4</v>
      </c>
      <c r="AG65" s="265">
        <v>142.5</v>
      </c>
      <c r="AH65" s="252">
        <v>149.19999999999999</v>
      </c>
      <c r="AI65" s="252">
        <v>156.1</v>
      </c>
      <c r="AJ65" s="252">
        <v>162.9</v>
      </c>
      <c r="AK65" s="252">
        <v>169.7</v>
      </c>
      <c r="AL65" s="252">
        <v>176.6</v>
      </c>
      <c r="AM65" s="252">
        <v>183.4</v>
      </c>
      <c r="AN65" s="252">
        <v>190.3</v>
      </c>
      <c r="AO65" s="252">
        <v>197.1</v>
      </c>
      <c r="AP65" s="252">
        <v>203.9</v>
      </c>
      <c r="AQ65" s="252">
        <v>210.8</v>
      </c>
      <c r="AR65" s="252">
        <v>217.6</v>
      </c>
      <c r="AS65" s="252">
        <v>224.5</v>
      </c>
      <c r="AT65" s="252">
        <v>231.3</v>
      </c>
      <c r="AU65" s="252">
        <v>238</v>
      </c>
      <c r="AV65" s="252">
        <v>244.9</v>
      </c>
      <c r="AW65" s="252">
        <v>251.7</v>
      </c>
      <c r="AX65" s="252">
        <v>258.60000000000002</v>
      </c>
      <c r="AY65" s="252">
        <v>265.39999999999998</v>
      </c>
      <c r="AZ65" s="252">
        <v>272.2</v>
      </c>
      <c r="BA65" s="583">
        <v>279.10000000000002</v>
      </c>
      <c r="BB65" s="627">
        <v>285.89999999999998</v>
      </c>
      <c r="BC65" s="252">
        <v>292.8</v>
      </c>
      <c r="BD65" s="252">
        <v>299.60000000000002</v>
      </c>
      <c r="BE65" s="252">
        <v>306.39999999999998</v>
      </c>
      <c r="BF65" s="252">
        <v>313.3</v>
      </c>
      <c r="BG65" s="583">
        <v>320.10000000000002</v>
      </c>
    </row>
    <row r="66" spans="1:59">
      <c r="A66" s="2134"/>
      <c r="B66" s="111">
        <v>2.5</v>
      </c>
      <c r="C66" s="951">
        <f>(AG66*KFC!$B$39+KFC!$C$39)*курс_уе</f>
        <v>142.80000000000001</v>
      </c>
      <c r="D66" s="951">
        <f>(AH66*KFC!$B$39+KFC!$C$39)*курс_уе</f>
        <v>149.69999999999999</v>
      </c>
      <c r="E66" s="951">
        <f>(AI66*KFC!$B$39+KFC!$C$39)*курс_уе</f>
        <v>156.69999999999999</v>
      </c>
      <c r="F66" s="951">
        <f>(AJ66*KFC!$B$39+KFC!$C$39)*курс_уе</f>
        <v>163.69999999999999</v>
      </c>
      <c r="G66" s="951">
        <f>(AK66*KFC!$B$39+KFC!$C$39)*курс_уе</f>
        <v>170.7</v>
      </c>
      <c r="H66" s="951">
        <f>(AL66*KFC!$B$39+KFC!$C$39)*курс_уе</f>
        <v>177.6</v>
      </c>
      <c r="I66" s="951">
        <f>(AM66*KFC!$B$39+KFC!$C$39)*курс_уе</f>
        <v>184.5</v>
      </c>
      <c r="J66" s="951">
        <f>(AN66*KFC!$B$39+KFC!$C$39)*курс_уе</f>
        <v>191.4</v>
      </c>
      <c r="K66" s="951">
        <f>(AO66*KFC!$B$39+KFC!$C$39)*курс_уе</f>
        <v>198.4</v>
      </c>
      <c r="L66" s="951">
        <f>(AP66*KFC!$B$39+KFC!$C$39)*курс_уе</f>
        <v>205.4</v>
      </c>
      <c r="M66" s="951">
        <f>(AQ66*KFC!$B$39+KFC!$C$39)*курс_уе</f>
        <v>212.4</v>
      </c>
      <c r="N66" s="951">
        <f>(AR66*KFC!$B$39+KFC!$C$39)*курс_уе</f>
        <v>219.2</v>
      </c>
      <c r="O66" s="951">
        <f>(AS66*KFC!$B$39+KFC!$C$39)*курс_уе</f>
        <v>226.2</v>
      </c>
      <c r="P66" s="951">
        <f>(AT66*KFC!$B$39+KFC!$C$39)*курс_уе</f>
        <v>233.2</v>
      </c>
      <c r="Q66" s="951">
        <f>(AU66*KFC!$B$39+KFC!$C$39)*курс_уе</f>
        <v>240.1</v>
      </c>
      <c r="R66" s="951">
        <f>(AV66*KFC!$B$39+KFC!$C$39)*курс_уе</f>
        <v>247.1</v>
      </c>
      <c r="S66" s="951">
        <f>(AW66*KFC!$B$39+KFC!$C$39)*курс_уе</f>
        <v>254.1</v>
      </c>
      <c r="T66" s="951">
        <f>(AX66*KFC!$B$39+KFC!$C$39)*курс_уе</f>
        <v>260.89999999999998</v>
      </c>
      <c r="U66" s="951">
        <f>(AY66*KFC!$B$39+KFC!$C$39)*курс_уе</f>
        <v>267.89999999999998</v>
      </c>
      <c r="V66" s="951">
        <f>(AZ66*KFC!$B$39+KFC!$C$39)*курс_уе</f>
        <v>274.89999999999998</v>
      </c>
      <c r="W66" s="951">
        <f>(BA66*KFC!$B$39+KFC!$C$39)*курс_уе</f>
        <v>281.8</v>
      </c>
      <c r="X66" s="951">
        <f>(BB66*KFC!$B$39+KFC!$C$39)*курс_уе</f>
        <v>288.8</v>
      </c>
      <c r="Y66" s="951">
        <f>(BC66*KFC!$B$39+KFC!$C$39)*курс_уе</f>
        <v>295.7</v>
      </c>
      <c r="Z66" s="951">
        <f>(BD66*KFC!$B$39+KFC!$C$39)*курс_уе</f>
        <v>302.60000000000002</v>
      </c>
      <c r="AA66" s="951">
        <f>(BE66*KFC!$B$39+KFC!$C$39)*курс_уе</f>
        <v>309.60000000000002</v>
      </c>
      <c r="AB66" s="951">
        <f>(BF66*KFC!$B$39+KFC!$C$39)*курс_уе</f>
        <v>316.60000000000002</v>
      </c>
      <c r="AC66" s="951">
        <f>(BG66*KFC!$B$39+KFC!$C$39)*курс_уе</f>
        <v>323.60000000000002</v>
      </c>
      <c r="AE66" s="2134"/>
      <c r="AF66" s="111">
        <v>2.5</v>
      </c>
      <c r="AG66" s="265">
        <v>142.80000000000001</v>
      </c>
      <c r="AH66" s="252">
        <v>149.69999999999999</v>
      </c>
      <c r="AI66" s="252">
        <v>156.69999999999999</v>
      </c>
      <c r="AJ66" s="252">
        <v>163.69999999999999</v>
      </c>
      <c r="AK66" s="252">
        <v>170.7</v>
      </c>
      <c r="AL66" s="252">
        <v>177.6</v>
      </c>
      <c r="AM66" s="252">
        <v>184.5</v>
      </c>
      <c r="AN66" s="252">
        <v>191.4</v>
      </c>
      <c r="AO66" s="252">
        <v>198.4</v>
      </c>
      <c r="AP66" s="252">
        <v>205.4</v>
      </c>
      <c r="AQ66" s="252">
        <v>212.4</v>
      </c>
      <c r="AR66" s="252">
        <v>219.2</v>
      </c>
      <c r="AS66" s="252">
        <v>226.2</v>
      </c>
      <c r="AT66" s="252">
        <v>233.2</v>
      </c>
      <c r="AU66" s="252">
        <v>240.1</v>
      </c>
      <c r="AV66" s="252">
        <v>247.1</v>
      </c>
      <c r="AW66" s="252">
        <v>254.1</v>
      </c>
      <c r="AX66" s="252">
        <v>260.89999999999998</v>
      </c>
      <c r="AY66" s="252">
        <v>267.89999999999998</v>
      </c>
      <c r="AZ66" s="252">
        <v>274.89999999999998</v>
      </c>
      <c r="BA66" s="583">
        <v>281.8</v>
      </c>
      <c r="BB66" s="627">
        <v>288.8</v>
      </c>
      <c r="BC66" s="252">
        <v>295.7</v>
      </c>
      <c r="BD66" s="252">
        <v>302.60000000000002</v>
      </c>
      <c r="BE66" s="252">
        <v>309.60000000000002</v>
      </c>
      <c r="BF66" s="252">
        <v>316.60000000000002</v>
      </c>
      <c r="BG66" s="583">
        <v>323.60000000000002</v>
      </c>
    </row>
    <row r="67" spans="1:59">
      <c r="A67" s="2134"/>
      <c r="B67" s="111">
        <v>2.6</v>
      </c>
      <c r="C67" s="951">
        <f>(AG67*KFC!$B$39+KFC!$C$39)*курс_уе</f>
        <v>143.19999999999999</v>
      </c>
      <c r="D67" s="951">
        <f>(AH67*KFC!$B$39+KFC!$C$39)*курс_уе</f>
        <v>150.30000000000001</v>
      </c>
      <c r="E67" s="951">
        <f>(AI67*KFC!$B$39+KFC!$C$39)*курс_уе</f>
        <v>157.4</v>
      </c>
      <c r="F67" s="951">
        <f>(AJ67*KFC!$B$39+KFC!$C$39)*курс_уе</f>
        <v>164.3</v>
      </c>
      <c r="G67" s="951">
        <f>(AK67*KFC!$B$39+KFC!$C$39)*курс_уе</f>
        <v>171.4</v>
      </c>
      <c r="H67" s="951">
        <f>(AL67*KFC!$B$39+KFC!$C$39)*курс_уе</f>
        <v>178.6</v>
      </c>
      <c r="I67" s="951">
        <f>(AM67*KFC!$B$39+KFC!$C$39)*курс_уе</f>
        <v>185.7</v>
      </c>
      <c r="J67" s="951">
        <f>(AN67*KFC!$B$39+KFC!$C$39)*курс_уе</f>
        <v>192.6</v>
      </c>
      <c r="K67" s="951">
        <f>(AO67*KFC!$B$39+KFC!$C$39)*курс_уе</f>
        <v>199.7</v>
      </c>
      <c r="L67" s="951">
        <f>(AP67*KFC!$B$39+KFC!$C$39)*курс_уе</f>
        <v>206.8</v>
      </c>
      <c r="M67" s="951">
        <f>(AQ67*KFC!$B$39+KFC!$C$39)*курс_уе</f>
        <v>213.9</v>
      </c>
      <c r="N67" s="951">
        <f>(AR67*KFC!$B$39+KFC!$C$39)*курс_уе</f>
        <v>220.9</v>
      </c>
      <c r="O67" s="951">
        <f>(AS67*KFC!$B$39+KFC!$C$39)*курс_уе</f>
        <v>228</v>
      </c>
      <c r="P67" s="951">
        <f>(AT67*KFC!$B$39+KFC!$C$39)*курс_уе</f>
        <v>235.1</v>
      </c>
      <c r="Q67" s="951">
        <f>(AU67*KFC!$B$39+KFC!$C$39)*курс_уе</f>
        <v>242.1</v>
      </c>
      <c r="R67" s="951">
        <f>(AV67*KFC!$B$39+KFC!$C$39)*курс_уе</f>
        <v>249.2</v>
      </c>
      <c r="S67" s="951">
        <f>(AW67*KFC!$B$39+KFC!$C$39)*курс_уе</f>
        <v>256.3</v>
      </c>
      <c r="T67" s="951">
        <f>(AX67*KFC!$B$39+KFC!$C$39)*курс_уе</f>
        <v>263.39999999999998</v>
      </c>
      <c r="U67" s="951">
        <f>(AY67*KFC!$B$39+KFC!$C$39)*курс_уе</f>
        <v>270.39999999999998</v>
      </c>
      <c r="V67" s="951">
        <f>(AZ67*KFC!$B$39+KFC!$C$39)*курс_уе</f>
        <v>277.5</v>
      </c>
      <c r="W67" s="951">
        <f>(BA67*KFC!$B$39+KFC!$C$39)*курс_уе</f>
        <v>284.60000000000002</v>
      </c>
      <c r="X67" s="951">
        <f>(BB67*KFC!$B$39+KFC!$C$39)*курс_уе</f>
        <v>291.60000000000002</v>
      </c>
      <c r="Y67" s="951">
        <f>(BC67*KFC!$B$39+KFC!$C$39)*курс_уе</f>
        <v>298.7</v>
      </c>
      <c r="Z67" s="951">
        <f>(BD67*KFC!$B$39+KFC!$C$39)*курс_уе</f>
        <v>305.8</v>
      </c>
      <c r="AA67" s="951">
        <f>(BE67*KFC!$B$39+KFC!$C$39)*курс_уе</f>
        <v>312.89999999999998</v>
      </c>
      <c r="AB67" s="951">
        <f>(BF67*KFC!$B$39+KFC!$C$39)*курс_уе</f>
        <v>319.89999999999998</v>
      </c>
      <c r="AC67" s="951">
        <f>(BG67*KFC!$B$39+KFC!$C$39)*курс_уе</f>
        <v>327</v>
      </c>
      <c r="AE67" s="2134"/>
      <c r="AF67" s="111">
        <v>2.6</v>
      </c>
      <c r="AG67" s="265">
        <v>143.19999999999999</v>
      </c>
      <c r="AH67" s="252">
        <v>150.30000000000001</v>
      </c>
      <c r="AI67" s="252">
        <v>157.4</v>
      </c>
      <c r="AJ67" s="252">
        <v>164.3</v>
      </c>
      <c r="AK67" s="252">
        <v>171.4</v>
      </c>
      <c r="AL67" s="252">
        <v>178.6</v>
      </c>
      <c r="AM67" s="252">
        <v>185.7</v>
      </c>
      <c r="AN67" s="252">
        <v>192.6</v>
      </c>
      <c r="AO67" s="252">
        <v>199.7</v>
      </c>
      <c r="AP67" s="252">
        <v>206.8</v>
      </c>
      <c r="AQ67" s="252">
        <v>213.9</v>
      </c>
      <c r="AR67" s="252">
        <v>220.9</v>
      </c>
      <c r="AS67" s="252">
        <v>228</v>
      </c>
      <c r="AT67" s="252">
        <v>235.1</v>
      </c>
      <c r="AU67" s="252">
        <v>242.1</v>
      </c>
      <c r="AV67" s="252">
        <v>249.2</v>
      </c>
      <c r="AW67" s="252">
        <v>256.3</v>
      </c>
      <c r="AX67" s="252">
        <v>263.39999999999998</v>
      </c>
      <c r="AY67" s="252">
        <v>270.39999999999998</v>
      </c>
      <c r="AZ67" s="252">
        <v>277.5</v>
      </c>
      <c r="BA67" s="583">
        <v>284.60000000000002</v>
      </c>
      <c r="BB67" s="627">
        <v>291.60000000000002</v>
      </c>
      <c r="BC67" s="252">
        <v>298.7</v>
      </c>
      <c r="BD67" s="252">
        <v>305.8</v>
      </c>
      <c r="BE67" s="252">
        <v>312.89999999999998</v>
      </c>
      <c r="BF67" s="252">
        <v>319.89999999999998</v>
      </c>
      <c r="BG67" s="583">
        <v>327</v>
      </c>
    </row>
    <row r="68" spans="1:59">
      <c r="A68" s="2134"/>
      <c r="B68" s="111">
        <v>2.7</v>
      </c>
      <c r="C68" s="951">
        <f>(AG68*KFC!$B$39+KFC!$C$39)*курс_уе</f>
        <v>143.6</v>
      </c>
      <c r="D68" s="951">
        <f>(AH68*KFC!$B$39+KFC!$C$39)*курс_уе</f>
        <v>150.80000000000001</v>
      </c>
      <c r="E68" s="951">
        <f>(AI68*KFC!$B$39+KFC!$C$39)*курс_уе</f>
        <v>157.9</v>
      </c>
      <c r="F68" s="951">
        <f>(AJ68*KFC!$B$39+KFC!$C$39)*курс_уе</f>
        <v>165.1</v>
      </c>
      <c r="G68" s="951">
        <f>(AK68*KFC!$B$39+KFC!$C$39)*курс_уе</f>
        <v>172.4</v>
      </c>
      <c r="H68" s="951">
        <f>(AL68*KFC!$B$39+KFC!$C$39)*курс_уе</f>
        <v>179.5</v>
      </c>
      <c r="I68" s="951">
        <f>(AM68*KFC!$B$39+KFC!$C$39)*курс_уе</f>
        <v>186.7</v>
      </c>
      <c r="J68" s="951">
        <f>(AN68*KFC!$B$39+KFC!$C$39)*курс_уе</f>
        <v>193.9</v>
      </c>
      <c r="K68" s="951">
        <f>(AO68*KFC!$B$39+KFC!$C$39)*курс_уе</f>
        <v>201.1</v>
      </c>
      <c r="L68" s="951">
        <f>(AP68*KFC!$B$39+KFC!$C$39)*курс_уе</f>
        <v>208.3</v>
      </c>
      <c r="M68" s="951">
        <f>(AQ68*KFC!$B$39+KFC!$C$39)*курс_уе</f>
        <v>215.4</v>
      </c>
      <c r="N68" s="951">
        <f>(AR68*KFC!$B$39+KFC!$C$39)*курс_уе</f>
        <v>222.6</v>
      </c>
      <c r="O68" s="951">
        <f>(AS68*KFC!$B$39+KFC!$C$39)*курс_уе</f>
        <v>229.9</v>
      </c>
      <c r="P68" s="951">
        <f>(AT68*KFC!$B$39+KFC!$C$39)*курс_уе</f>
        <v>237</v>
      </c>
      <c r="Q68" s="951">
        <f>(AU68*KFC!$B$39+KFC!$C$39)*курс_уе</f>
        <v>244.2</v>
      </c>
      <c r="R68" s="951">
        <f>(AV68*KFC!$B$39+KFC!$C$39)*курс_уе</f>
        <v>251.3</v>
      </c>
      <c r="S68" s="951">
        <f>(AW68*KFC!$B$39+KFC!$C$39)*курс_уе</f>
        <v>258.60000000000002</v>
      </c>
      <c r="T68" s="951">
        <f>(AX68*KFC!$B$39+KFC!$C$39)*курс_уе</f>
        <v>265.8</v>
      </c>
      <c r="U68" s="951">
        <f>(AY68*KFC!$B$39+KFC!$C$39)*курс_уе</f>
        <v>272.89999999999998</v>
      </c>
      <c r="V68" s="951">
        <f>(AZ68*KFC!$B$39+KFC!$C$39)*курс_уе</f>
        <v>280.10000000000002</v>
      </c>
      <c r="W68" s="951">
        <f>(BA68*KFC!$B$39+KFC!$C$39)*курс_уе</f>
        <v>287.39999999999998</v>
      </c>
      <c r="X68" s="951">
        <f>(BB68*KFC!$B$39+KFC!$C$39)*курс_уе</f>
        <v>294.5</v>
      </c>
      <c r="Y68" s="951">
        <f>(BC68*KFC!$B$39+KFC!$C$39)*курс_уе</f>
        <v>301.7</v>
      </c>
      <c r="Z68" s="951">
        <f>(BD68*KFC!$B$39+KFC!$C$39)*курс_уе</f>
        <v>308.8</v>
      </c>
      <c r="AA68" s="951">
        <f>(BE68*KFC!$B$39+KFC!$C$39)*курс_уе</f>
        <v>316.10000000000002</v>
      </c>
      <c r="AB68" s="951">
        <f>(BF68*KFC!$B$39+KFC!$C$39)*курс_уе</f>
        <v>323.3</v>
      </c>
      <c r="AC68" s="951">
        <f>(BG68*KFC!$B$39+KFC!$C$39)*курс_уе</f>
        <v>330.4</v>
      </c>
      <c r="AE68" s="2134"/>
      <c r="AF68" s="111">
        <v>2.7</v>
      </c>
      <c r="AG68" s="265">
        <v>143.6</v>
      </c>
      <c r="AH68" s="252">
        <v>150.80000000000001</v>
      </c>
      <c r="AI68" s="252">
        <v>157.9</v>
      </c>
      <c r="AJ68" s="252">
        <v>165.1</v>
      </c>
      <c r="AK68" s="252">
        <v>172.4</v>
      </c>
      <c r="AL68" s="252">
        <v>179.5</v>
      </c>
      <c r="AM68" s="252">
        <v>186.7</v>
      </c>
      <c r="AN68" s="252">
        <v>193.9</v>
      </c>
      <c r="AO68" s="252">
        <v>201.1</v>
      </c>
      <c r="AP68" s="252">
        <v>208.3</v>
      </c>
      <c r="AQ68" s="252">
        <v>215.4</v>
      </c>
      <c r="AR68" s="252">
        <v>222.6</v>
      </c>
      <c r="AS68" s="252">
        <v>229.9</v>
      </c>
      <c r="AT68" s="252">
        <v>237</v>
      </c>
      <c r="AU68" s="252">
        <v>244.2</v>
      </c>
      <c r="AV68" s="252">
        <v>251.3</v>
      </c>
      <c r="AW68" s="252">
        <v>258.60000000000002</v>
      </c>
      <c r="AX68" s="252">
        <v>265.8</v>
      </c>
      <c r="AY68" s="252">
        <v>272.89999999999998</v>
      </c>
      <c r="AZ68" s="252">
        <v>280.10000000000002</v>
      </c>
      <c r="BA68" s="583">
        <v>287.39999999999998</v>
      </c>
      <c r="BB68" s="627">
        <v>294.5</v>
      </c>
      <c r="BC68" s="252">
        <v>301.7</v>
      </c>
      <c r="BD68" s="252">
        <v>308.8</v>
      </c>
      <c r="BE68" s="252">
        <v>316.10000000000002</v>
      </c>
      <c r="BF68" s="252">
        <v>323.3</v>
      </c>
      <c r="BG68" s="583">
        <v>330.4</v>
      </c>
    </row>
    <row r="69" spans="1:59">
      <c r="A69" s="2134"/>
      <c r="B69" s="111">
        <v>2.8</v>
      </c>
      <c r="C69" s="951">
        <f>(AG69*KFC!$B$39+KFC!$C$39)*курс_уе</f>
        <v>143.9</v>
      </c>
      <c r="D69" s="951">
        <f>(AH69*KFC!$B$39+KFC!$C$39)*курс_уе</f>
        <v>151.30000000000001</v>
      </c>
      <c r="E69" s="951">
        <f>(AI69*KFC!$B$39+KFC!$C$39)*курс_уе</f>
        <v>158.6</v>
      </c>
      <c r="F69" s="951">
        <f>(AJ69*KFC!$B$39+KFC!$C$39)*курс_уе</f>
        <v>165.9</v>
      </c>
      <c r="G69" s="951">
        <f>(AK69*KFC!$B$39+KFC!$C$39)*курс_уе</f>
        <v>173.2</v>
      </c>
      <c r="H69" s="951">
        <f>(AL69*KFC!$B$39+KFC!$C$39)*курс_уе</f>
        <v>180.5</v>
      </c>
      <c r="I69" s="951">
        <f>(AM69*KFC!$B$39+KFC!$C$39)*курс_уе</f>
        <v>187.8</v>
      </c>
      <c r="J69" s="951">
        <f>(AN69*KFC!$B$39+KFC!$C$39)*курс_уе</f>
        <v>195.1</v>
      </c>
      <c r="K69" s="951">
        <f>(AO69*KFC!$B$39+KFC!$C$39)*курс_уе</f>
        <v>202.4</v>
      </c>
      <c r="L69" s="951">
        <f>(AP69*KFC!$B$39+KFC!$C$39)*курс_уе</f>
        <v>209.7</v>
      </c>
      <c r="M69" s="951">
        <f>(AQ69*KFC!$B$39+KFC!$C$39)*курс_уе</f>
        <v>217</v>
      </c>
      <c r="N69" s="951">
        <f>(AR69*KFC!$B$39+KFC!$C$39)*курс_уе</f>
        <v>224.3</v>
      </c>
      <c r="O69" s="951">
        <f>(AS69*KFC!$B$39+KFC!$C$39)*курс_уе</f>
        <v>231.6</v>
      </c>
      <c r="P69" s="951">
        <f>(AT69*KFC!$B$39+KFC!$C$39)*курс_уе</f>
        <v>238.9</v>
      </c>
      <c r="Q69" s="951">
        <f>(AU69*KFC!$B$39+KFC!$C$39)*курс_уе</f>
        <v>246.2</v>
      </c>
      <c r="R69" s="951">
        <f>(AV69*KFC!$B$39+KFC!$C$39)*курс_уе</f>
        <v>253.6</v>
      </c>
      <c r="S69" s="951">
        <f>(AW69*KFC!$B$39+KFC!$C$39)*курс_уе</f>
        <v>260.8</v>
      </c>
      <c r="T69" s="951">
        <f>(AX69*KFC!$B$39+KFC!$C$39)*курс_уе</f>
        <v>268.2</v>
      </c>
      <c r="U69" s="951">
        <f>(AY69*KFC!$B$39+KFC!$C$39)*курс_уе</f>
        <v>275.39999999999998</v>
      </c>
      <c r="V69" s="951">
        <f>(AZ69*KFC!$B$39+KFC!$C$39)*курс_уе</f>
        <v>282.8</v>
      </c>
      <c r="W69" s="951">
        <f>(BA69*KFC!$B$39+KFC!$C$39)*курс_уе</f>
        <v>290</v>
      </c>
      <c r="X69" s="951">
        <f>(BB69*KFC!$B$39+KFC!$C$39)*курс_уе</f>
        <v>297.39999999999998</v>
      </c>
      <c r="Y69" s="951">
        <f>(BC69*KFC!$B$39+KFC!$C$39)*курс_уе</f>
        <v>304.60000000000002</v>
      </c>
      <c r="Z69" s="951">
        <f>(BD69*KFC!$B$39+KFC!$C$39)*курс_уе</f>
        <v>312</v>
      </c>
      <c r="AA69" s="951">
        <f>(BE69*KFC!$B$39+KFC!$C$39)*курс_уе</f>
        <v>319.2</v>
      </c>
      <c r="AB69" s="951">
        <f>(BF69*KFC!$B$39+KFC!$C$39)*курс_уе</f>
        <v>326.60000000000002</v>
      </c>
      <c r="AC69" s="951">
        <f>(BG69*KFC!$B$39+KFC!$C$39)*курс_уе</f>
        <v>333.9</v>
      </c>
      <c r="AE69" s="2134"/>
      <c r="AF69" s="111">
        <v>2.8</v>
      </c>
      <c r="AG69" s="265">
        <v>143.9</v>
      </c>
      <c r="AH69" s="252">
        <v>151.30000000000001</v>
      </c>
      <c r="AI69" s="252">
        <v>158.6</v>
      </c>
      <c r="AJ69" s="252">
        <v>165.9</v>
      </c>
      <c r="AK69" s="252">
        <v>173.2</v>
      </c>
      <c r="AL69" s="252">
        <v>180.5</v>
      </c>
      <c r="AM69" s="252">
        <v>187.8</v>
      </c>
      <c r="AN69" s="252">
        <v>195.1</v>
      </c>
      <c r="AO69" s="252">
        <v>202.4</v>
      </c>
      <c r="AP69" s="252">
        <v>209.7</v>
      </c>
      <c r="AQ69" s="252">
        <v>217</v>
      </c>
      <c r="AR69" s="252">
        <v>224.3</v>
      </c>
      <c r="AS69" s="252">
        <v>231.6</v>
      </c>
      <c r="AT69" s="252">
        <v>238.9</v>
      </c>
      <c r="AU69" s="252">
        <v>246.2</v>
      </c>
      <c r="AV69" s="252">
        <v>253.6</v>
      </c>
      <c r="AW69" s="252">
        <v>260.8</v>
      </c>
      <c r="AX69" s="252">
        <v>268.2</v>
      </c>
      <c r="AY69" s="252">
        <v>275.39999999999998</v>
      </c>
      <c r="AZ69" s="252">
        <v>282.8</v>
      </c>
      <c r="BA69" s="583">
        <v>290</v>
      </c>
      <c r="BB69" s="627">
        <v>297.39999999999998</v>
      </c>
      <c r="BC69" s="252">
        <v>304.60000000000002</v>
      </c>
      <c r="BD69" s="252">
        <v>312</v>
      </c>
      <c r="BE69" s="252">
        <v>319.2</v>
      </c>
      <c r="BF69" s="252">
        <v>326.60000000000002</v>
      </c>
      <c r="BG69" s="583">
        <v>333.9</v>
      </c>
    </row>
    <row r="70" spans="1:59">
      <c r="A70" s="2134"/>
      <c r="B70" s="111">
        <v>2.9</v>
      </c>
      <c r="C70" s="951">
        <f>(AG70*KFC!$B$39+KFC!$C$39)*курс_уе</f>
        <v>144.30000000000001</v>
      </c>
      <c r="D70" s="951">
        <f>(AH70*KFC!$B$39+KFC!$C$39)*курс_уе</f>
        <v>151.69999999999999</v>
      </c>
      <c r="E70" s="951">
        <f>(AI70*KFC!$B$39+KFC!$C$39)*курс_уе</f>
        <v>159.19999999999999</v>
      </c>
      <c r="F70" s="951">
        <f>(AJ70*KFC!$B$39+KFC!$C$39)*курс_уе</f>
        <v>166.6</v>
      </c>
      <c r="G70" s="951">
        <f>(AK70*KFC!$B$39+KFC!$C$39)*курс_уе</f>
        <v>174.1</v>
      </c>
      <c r="H70" s="951">
        <f>(AL70*KFC!$B$39+KFC!$C$39)*курс_уе</f>
        <v>181.4</v>
      </c>
      <c r="I70" s="951">
        <f>(AM70*KFC!$B$39+KFC!$C$39)*курс_уе</f>
        <v>188.9</v>
      </c>
      <c r="J70" s="951">
        <f>(AN70*KFC!$B$39+KFC!$C$39)*курс_уе</f>
        <v>196.3</v>
      </c>
      <c r="K70" s="951">
        <f>(AO70*KFC!$B$39+KFC!$C$39)*курс_уе</f>
        <v>203.7</v>
      </c>
      <c r="L70" s="951">
        <f>(AP70*KFC!$B$39+KFC!$C$39)*курс_уе</f>
        <v>211.2</v>
      </c>
      <c r="M70" s="951">
        <f>(AQ70*KFC!$B$39+KFC!$C$39)*курс_уе</f>
        <v>218.6</v>
      </c>
      <c r="N70" s="951">
        <f>(AR70*KFC!$B$39+KFC!$C$39)*курс_уе</f>
        <v>226.1</v>
      </c>
      <c r="O70" s="951">
        <f>(AS70*KFC!$B$39+KFC!$C$39)*курс_уе</f>
        <v>233.4</v>
      </c>
      <c r="P70" s="951">
        <f>(AT70*KFC!$B$39+KFC!$C$39)*курс_уе</f>
        <v>240.8</v>
      </c>
      <c r="Q70" s="951">
        <f>(AU70*KFC!$B$39+KFC!$C$39)*курс_уе</f>
        <v>248.3</v>
      </c>
      <c r="R70" s="951">
        <f>(AV70*KFC!$B$39+KFC!$C$39)*курс_уе</f>
        <v>255.7</v>
      </c>
      <c r="S70" s="951">
        <f>(AW70*KFC!$B$39+KFC!$C$39)*курс_уе</f>
        <v>263.2</v>
      </c>
      <c r="T70" s="951">
        <f>(AX70*KFC!$B$39+KFC!$C$39)*курс_уе</f>
        <v>270.5</v>
      </c>
      <c r="U70" s="951">
        <f>(AY70*KFC!$B$39+KFC!$C$39)*курс_уе</f>
        <v>277.89999999999998</v>
      </c>
      <c r="V70" s="951">
        <f>(AZ70*KFC!$B$39+KFC!$C$39)*курс_уе</f>
        <v>285.39999999999998</v>
      </c>
      <c r="W70" s="951">
        <f>(BA70*KFC!$B$39+KFC!$C$39)*курс_уе</f>
        <v>292.8</v>
      </c>
      <c r="X70" s="951">
        <f>(BB70*KFC!$B$39+KFC!$C$39)*курс_уе</f>
        <v>300.3</v>
      </c>
      <c r="Y70" s="951">
        <f>(BC70*KFC!$B$39+KFC!$C$39)*курс_уе</f>
        <v>307.60000000000002</v>
      </c>
      <c r="Z70" s="951">
        <f>(BD70*KFC!$B$39+KFC!$C$39)*курс_уе</f>
        <v>315.10000000000002</v>
      </c>
      <c r="AA70" s="951">
        <f>(BE70*KFC!$B$39+KFC!$C$39)*курс_уе</f>
        <v>322.5</v>
      </c>
      <c r="AB70" s="951">
        <f>(BF70*KFC!$B$39+KFC!$C$39)*курс_уе</f>
        <v>329.9</v>
      </c>
      <c r="AC70" s="951">
        <f>(BG70*KFC!$B$39+KFC!$C$39)*курс_уе</f>
        <v>337.4</v>
      </c>
      <c r="AE70" s="2134"/>
      <c r="AF70" s="111">
        <v>2.9</v>
      </c>
      <c r="AG70" s="265">
        <v>144.30000000000001</v>
      </c>
      <c r="AH70" s="252">
        <v>151.69999999999999</v>
      </c>
      <c r="AI70" s="252">
        <v>159.19999999999999</v>
      </c>
      <c r="AJ70" s="252">
        <v>166.6</v>
      </c>
      <c r="AK70" s="252">
        <v>174.1</v>
      </c>
      <c r="AL70" s="252">
        <v>181.4</v>
      </c>
      <c r="AM70" s="252">
        <v>188.9</v>
      </c>
      <c r="AN70" s="252">
        <v>196.3</v>
      </c>
      <c r="AO70" s="252">
        <v>203.7</v>
      </c>
      <c r="AP70" s="252">
        <v>211.2</v>
      </c>
      <c r="AQ70" s="252">
        <v>218.6</v>
      </c>
      <c r="AR70" s="252">
        <v>226.1</v>
      </c>
      <c r="AS70" s="252">
        <v>233.4</v>
      </c>
      <c r="AT70" s="252">
        <v>240.8</v>
      </c>
      <c r="AU70" s="252">
        <v>248.3</v>
      </c>
      <c r="AV70" s="252">
        <v>255.7</v>
      </c>
      <c r="AW70" s="252">
        <v>263.2</v>
      </c>
      <c r="AX70" s="252">
        <v>270.5</v>
      </c>
      <c r="AY70" s="252">
        <v>277.89999999999998</v>
      </c>
      <c r="AZ70" s="252">
        <v>285.39999999999998</v>
      </c>
      <c r="BA70" s="583">
        <v>292.8</v>
      </c>
      <c r="BB70" s="627">
        <v>300.3</v>
      </c>
      <c r="BC70" s="252">
        <v>307.60000000000002</v>
      </c>
      <c r="BD70" s="252">
        <v>315.10000000000002</v>
      </c>
      <c r="BE70" s="252">
        <v>322.5</v>
      </c>
      <c r="BF70" s="252">
        <v>329.9</v>
      </c>
      <c r="BG70" s="583">
        <v>337.4</v>
      </c>
    </row>
    <row r="71" spans="1:59">
      <c r="A71" s="2134"/>
      <c r="B71" s="630">
        <v>3</v>
      </c>
      <c r="C71" s="951">
        <f>(AG71*KFC!$B$39+KFC!$C$39)*курс_уе</f>
        <v>144.69999999999999</v>
      </c>
      <c r="D71" s="951">
        <f>(AH71*KFC!$B$39+KFC!$C$39)*курс_уе</f>
        <v>152.19999999999999</v>
      </c>
      <c r="E71" s="951">
        <f>(AI71*KFC!$B$39+KFC!$C$39)*курс_уе</f>
        <v>159.9</v>
      </c>
      <c r="F71" s="951">
        <f>(AJ71*KFC!$B$39+KFC!$C$39)*курс_уе</f>
        <v>167.4</v>
      </c>
      <c r="G71" s="951">
        <f>(AK71*KFC!$B$39+KFC!$C$39)*курс_уе</f>
        <v>174.9</v>
      </c>
      <c r="H71" s="951">
        <f>(AL71*KFC!$B$39+KFC!$C$39)*курс_уе</f>
        <v>182.5</v>
      </c>
      <c r="I71" s="951">
        <f>(AM71*KFC!$B$39+KFC!$C$39)*курс_уе</f>
        <v>190</v>
      </c>
      <c r="J71" s="951">
        <f>(AN71*KFC!$B$39+KFC!$C$39)*курс_уе</f>
        <v>197.5</v>
      </c>
      <c r="K71" s="951">
        <f>(AO71*KFC!$B$39+KFC!$C$39)*курс_уе</f>
        <v>205</v>
      </c>
      <c r="L71" s="951">
        <f>(AP71*KFC!$B$39+KFC!$C$39)*курс_уе</f>
        <v>212.6</v>
      </c>
      <c r="M71" s="951">
        <f>(AQ71*KFC!$B$39+KFC!$C$39)*курс_уе</f>
        <v>220.1</v>
      </c>
      <c r="N71" s="951">
        <f>(AR71*KFC!$B$39+KFC!$C$39)*курс_уе</f>
        <v>227.6</v>
      </c>
      <c r="O71" s="951">
        <f>(AS71*KFC!$B$39+KFC!$C$39)*курс_уе</f>
        <v>235.3</v>
      </c>
      <c r="P71" s="951">
        <f>(AT71*KFC!$B$39+KFC!$C$39)*курс_уе</f>
        <v>242.8</v>
      </c>
      <c r="Q71" s="951">
        <f>(AU71*KFC!$B$39+KFC!$C$39)*курс_уе</f>
        <v>250.3</v>
      </c>
      <c r="R71" s="951">
        <f>(AV71*KFC!$B$39+KFC!$C$39)*курс_уе</f>
        <v>257.89999999999998</v>
      </c>
      <c r="S71" s="951">
        <f>(AW71*KFC!$B$39+KFC!$C$39)*курс_уе</f>
        <v>265.39999999999998</v>
      </c>
      <c r="T71" s="951">
        <f>(AX71*KFC!$B$39+KFC!$C$39)*курс_уе</f>
        <v>272.89999999999998</v>
      </c>
      <c r="U71" s="951">
        <f>(AY71*KFC!$B$39+KFC!$C$39)*курс_уе</f>
        <v>280.5</v>
      </c>
      <c r="V71" s="951">
        <f>(AZ71*KFC!$B$39+KFC!$C$39)*курс_уе</f>
        <v>288</v>
      </c>
      <c r="W71" s="951">
        <f>(BA71*KFC!$B$39+KFC!$C$39)*курс_уе</f>
        <v>295.5</v>
      </c>
      <c r="X71" s="951">
        <f>(BB71*KFC!$B$39+KFC!$C$39)*курс_уе</f>
        <v>303</v>
      </c>
      <c r="Y71" s="951">
        <f>(BC71*KFC!$B$39+KFC!$C$39)*курс_уе</f>
        <v>310.7</v>
      </c>
      <c r="Z71" s="951">
        <f>(BD71*KFC!$B$39+KFC!$C$39)*курс_уе</f>
        <v>318.2</v>
      </c>
      <c r="AA71" s="951">
        <f>(BE71*KFC!$B$39+KFC!$C$39)*курс_уе</f>
        <v>325.7</v>
      </c>
      <c r="AB71" s="951">
        <f>(BF71*KFC!$B$39+KFC!$C$39)*курс_уе</f>
        <v>333.3</v>
      </c>
      <c r="AC71" s="951">
        <f>(BG71*KFC!$B$39+KFC!$C$39)*курс_уе</f>
        <v>340.8</v>
      </c>
      <c r="AE71" s="2134"/>
      <c r="AF71" s="630">
        <v>3</v>
      </c>
      <c r="AG71" s="623">
        <v>144.69999999999999</v>
      </c>
      <c r="AH71" s="624">
        <v>152.19999999999999</v>
      </c>
      <c r="AI71" s="624">
        <v>159.9</v>
      </c>
      <c r="AJ71" s="624">
        <v>167.4</v>
      </c>
      <c r="AK71" s="624">
        <v>174.9</v>
      </c>
      <c r="AL71" s="624">
        <v>182.5</v>
      </c>
      <c r="AM71" s="624">
        <v>190</v>
      </c>
      <c r="AN71" s="624">
        <v>197.5</v>
      </c>
      <c r="AO71" s="624">
        <v>205</v>
      </c>
      <c r="AP71" s="624">
        <v>212.6</v>
      </c>
      <c r="AQ71" s="624">
        <v>220.1</v>
      </c>
      <c r="AR71" s="624">
        <v>227.6</v>
      </c>
      <c r="AS71" s="624">
        <v>235.3</v>
      </c>
      <c r="AT71" s="624">
        <v>242.8</v>
      </c>
      <c r="AU71" s="624">
        <v>250.3</v>
      </c>
      <c r="AV71" s="624">
        <v>257.89999999999998</v>
      </c>
      <c r="AW71" s="624">
        <v>265.39999999999998</v>
      </c>
      <c r="AX71" s="624">
        <v>272.89999999999998</v>
      </c>
      <c r="AY71" s="624">
        <v>280.5</v>
      </c>
      <c r="AZ71" s="624">
        <v>288</v>
      </c>
      <c r="BA71" s="625">
        <v>295.5</v>
      </c>
      <c r="BB71" s="629">
        <v>303</v>
      </c>
      <c r="BC71" s="624">
        <v>310.7</v>
      </c>
      <c r="BD71" s="624">
        <v>318.2</v>
      </c>
      <c r="BE71" s="624">
        <v>325.7</v>
      </c>
      <c r="BF71" s="624">
        <v>333.3</v>
      </c>
      <c r="BG71" s="625">
        <v>340.8</v>
      </c>
    </row>
    <row r="72" spans="1:59">
      <c r="A72" s="2134"/>
      <c r="B72" s="111">
        <v>3.1</v>
      </c>
      <c r="C72" s="951">
        <f>(AG72*KFC!$B$39+KFC!$C$39)*курс_уе</f>
        <v>145.1</v>
      </c>
      <c r="D72" s="951">
        <f>(AH72*KFC!$B$39+KFC!$C$39)*курс_уе</f>
        <v>152.69999999999999</v>
      </c>
      <c r="E72" s="951">
        <f>(AI72*KFC!$B$39+KFC!$C$39)*курс_уе</f>
        <v>160.6</v>
      </c>
      <c r="F72" s="951">
        <f>(AJ72*KFC!$B$39+KFC!$C$39)*курс_уе</f>
        <v>168.2</v>
      </c>
      <c r="G72" s="951">
        <f>(AK72*KFC!$B$39+KFC!$C$39)*курс_уе</f>
        <v>175.7</v>
      </c>
      <c r="H72" s="951">
        <f>(AL72*KFC!$B$39+KFC!$C$39)*курс_уе</f>
        <v>183.6</v>
      </c>
      <c r="I72" s="951">
        <f>(AM72*KFC!$B$39+KFC!$C$39)*курс_уе</f>
        <v>191.1</v>
      </c>
      <c r="J72" s="951">
        <f>(AN72*KFC!$B$39+KFC!$C$39)*курс_уе</f>
        <v>198.7</v>
      </c>
      <c r="K72" s="951">
        <f>(AO72*KFC!$B$39+KFC!$C$39)*курс_уе</f>
        <v>206.3</v>
      </c>
      <c r="L72" s="951">
        <f>(AP72*KFC!$B$39+KFC!$C$39)*курс_уе</f>
        <v>214</v>
      </c>
      <c r="M72" s="951">
        <f>(AQ72*KFC!$B$39+KFC!$C$39)*курс_уе</f>
        <v>221.6</v>
      </c>
      <c r="N72" s="951">
        <f>(AR72*KFC!$B$39+KFC!$C$39)*курс_уе</f>
        <v>229.1</v>
      </c>
      <c r="O72" s="951">
        <f>(AS72*KFC!$B$39+KFC!$C$39)*курс_уе</f>
        <v>237.2</v>
      </c>
      <c r="P72" s="951">
        <f>(AT72*KFC!$B$39+KFC!$C$39)*курс_уе</f>
        <v>244.8</v>
      </c>
      <c r="Q72" s="951">
        <f>(AU72*KFC!$B$39+KFC!$C$39)*курс_уе</f>
        <v>252.3</v>
      </c>
      <c r="R72" s="951">
        <f>(AV72*KFC!$B$39+KFC!$C$39)*курс_уе</f>
        <v>260.10000000000002</v>
      </c>
      <c r="S72" s="951">
        <f>(AW72*KFC!$B$39+KFC!$C$39)*курс_уе</f>
        <v>267.60000000000002</v>
      </c>
      <c r="T72" s="951">
        <f>(AX72*KFC!$B$39+KFC!$C$39)*курс_уе</f>
        <v>275.3</v>
      </c>
      <c r="U72" s="951">
        <f>(AY72*KFC!$B$39+KFC!$C$39)*курс_уе</f>
        <v>283.10000000000002</v>
      </c>
      <c r="V72" s="951">
        <f>(AZ72*KFC!$B$39+KFC!$C$39)*курс_уе</f>
        <v>290.60000000000002</v>
      </c>
      <c r="W72" s="951">
        <f>(BA72*KFC!$B$39+KFC!$C$39)*курс_уе</f>
        <v>298.2</v>
      </c>
      <c r="X72" s="951">
        <f>(BB72*KFC!$B$39+KFC!$C$39)*курс_уе</f>
        <v>305.7</v>
      </c>
      <c r="Y72" s="951">
        <f>(BC72*KFC!$B$39+KFC!$C$39)*курс_уе</f>
        <v>313.8</v>
      </c>
      <c r="Z72" s="951">
        <f>(BD72*KFC!$B$39+KFC!$C$39)*курс_уе</f>
        <v>321.3</v>
      </c>
      <c r="AA72" s="951">
        <f>(BE72*KFC!$B$39+KFC!$C$39)*курс_уе</f>
        <v>328.9</v>
      </c>
      <c r="AB72" s="951">
        <f>(BF72*KFC!$B$39+KFC!$C$39)*курс_уе</f>
        <v>336.7</v>
      </c>
      <c r="AC72" s="951">
        <f>(BG72*KFC!$B$39+KFC!$C$39)*курс_уе</f>
        <v>344.2</v>
      </c>
      <c r="AE72" s="2134"/>
      <c r="AF72" s="111">
        <v>3.1</v>
      </c>
      <c r="AG72" s="265">
        <v>145.1</v>
      </c>
      <c r="AH72" s="252">
        <v>152.69999999999999</v>
      </c>
      <c r="AI72" s="252">
        <v>160.6</v>
      </c>
      <c r="AJ72" s="252">
        <v>168.2</v>
      </c>
      <c r="AK72" s="252">
        <v>175.7</v>
      </c>
      <c r="AL72" s="252">
        <v>183.6</v>
      </c>
      <c r="AM72" s="252">
        <v>191.1</v>
      </c>
      <c r="AN72" s="252">
        <v>198.7</v>
      </c>
      <c r="AO72" s="252">
        <v>206.3</v>
      </c>
      <c r="AP72" s="252">
        <v>214</v>
      </c>
      <c r="AQ72" s="252">
        <v>221.6</v>
      </c>
      <c r="AR72" s="252">
        <v>229.1</v>
      </c>
      <c r="AS72" s="252">
        <v>237.2</v>
      </c>
      <c r="AT72" s="252">
        <v>244.8</v>
      </c>
      <c r="AU72" s="252">
        <v>252.3</v>
      </c>
      <c r="AV72" s="252">
        <v>260.10000000000002</v>
      </c>
      <c r="AW72" s="252">
        <v>267.60000000000002</v>
      </c>
      <c r="AX72" s="252">
        <v>275.3</v>
      </c>
      <c r="AY72" s="252">
        <v>283.10000000000002</v>
      </c>
      <c r="AZ72" s="252">
        <v>290.60000000000002</v>
      </c>
      <c r="BA72" s="583">
        <v>298.2</v>
      </c>
      <c r="BB72" s="627">
        <v>305.7</v>
      </c>
      <c r="BC72" s="252">
        <v>313.8</v>
      </c>
      <c r="BD72" s="252">
        <v>321.3</v>
      </c>
      <c r="BE72" s="252">
        <v>328.9</v>
      </c>
      <c r="BF72" s="252">
        <v>336.7</v>
      </c>
      <c r="BG72" s="583">
        <v>344.2</v>
      </c>
    </row>
    <row r="73" spans="1:59">
      <c r="A73" s="2134"/>
      <c r="B73" s="111">
        <v>3.2</v>
      </c>
      <c r="C73" s="951">
        <f>(AG73*KFC!$B$39+KFC!$C$39)*курс_уе</f>
        <v>145.5</v>
      </c>
      <c r="D73" s="951">
        <f>(AH73*KFC!$B$39+KFC!$C$39)*курс_уе</f>
        <v>153.19999999999999</v>
      </c>
      <c r="E73" s="951">
        <f>(AI73*KFC!$B$39+KFC!$C$39)*курс_уе</f>
        <v>161.30000000000001</v>
      </c>
      <c r="F73" s="951">
        <f>(AJ73*KFC!$B$39+KFC!$C$39)*курс_уе</f>
        <v>169</v>
      </c>
      <c r="G73" s="951">
        <f>(AK73*KFC!$B$39+KFC!$C$39)*курс_уе</f>
        <v>176.5</v>
      </c>
      <c r="H73" s="951">
        <f>(AL73*KFC!$B$39+KFC!$C$39)*курс_уе</f>
        <v>184.7</v>
      </c>
      <c r="I73" s="951">
        <f>(AM73*KFC!$B$39+KFC!$C$39)*курс_уе</f>
        <v>192.2</v>
      </c>
      <c r="J73" s="951">
        <f>(AN73*KFC!$B$39+KFC!$C$39)*курс_уе</f>
        <v>199.9</v>
      </c>
      <c r="K73" s="951">
        <f>(AO73*KFC!$B$39+KFC!$C$39)*курс_уе</f>
        <v>207.6</v>
      </c>
      <c r="L73" s="951">
        <f>(AP73*KFC!$B$39+KFC!$C$39)*курс_уе</f>
        <v>215.4</v>
      </c>
      <c r="M73" s="951">
        <f>(AQ73*KFC!$B$39+KFC!$C$39)*курс_уе</f>
        <v>223.1</v>
      </c>
      <c r="N73" s="951">
        <f>(AR73*KFC!$B$39+KFC!$C$39)*курс_уе</f>
        <v>230.6</v>
      </c>
      <c r="O73" s="951">
        <f>(AS73*KFC!$B$39+KFC!$C$39)*курс_уе</f>
        <v>239.1</v>
      </c>
      <c r="P73" s="951">
        <f>(AT73*KFC!$B$39+KFC!$C$39)*курс_уе</f>
        <v>246.8</v>
      </c>
      <c r="Q73" s="951">
        <f>(AU73*KFC!$B$39+KFC!$C$39)*курс_уе</f>
        <v>254.3</v>
      </c>
      <c r="R73" s="951">
        <f>(AV73*KFC!$B$39+KFC!$C$39)*курс_уе</f>
        <v>262.3</v>
      </c>
      <c r="S73" s="951">
        <f>(AW73*KFC!$B$39+KFC!$C$39)*курс_уе</f>
        <v>269.8</v>
      </c>
      <c r="T73" s="951">
        <f>(AX73*KFC!$B$39+KFC!$C$39)*курс_уе</f>
        <v>277.7</v>
      </c>
      <c r="U73" s="951">
        <f>(AY73*KFC!$B$39+KFC!$C$39)*курс_уе</f>
        <v>285.7</v>
      </c>
      <c r="V73" s="951">
        <f>(AZ73*KFC!$B$39+KFC!$C$39)*курс_уе</f>
        <v>293.2</v>
      </c>
      <c r="W73" s="951">
        <f>(BA73*KFC!$B$39+KFC!$C$39)*курс_уе</f>
        <v>300.89999999999998</v>
      </c>
      <c r="X73" s="951">
        <f>(BB73*KFC!$B$39+KFC!$C$39)*курс_уе</f>
        <v>308.39999999999998</v>
      </c>
      <c r="Y73" s="951">
        <f>(BC73*KFC!$B$39+KFC!$C$39)*курс_уе</f>
        <v>316.89999999999998</v>
      </c>
      <c r="Z73" s="951">
        <f>(BD73*KFC!$B$39+KFC!$C$39)*курс_уе</f>
        <v>324.39999999999998</v>
      </c>
      <c r="AA73" s="951">
        <f>(BE73*KFC!$B$39+KFC!$C$39)*курс_уе</f>
        <v>332.1</v>
      </c>
      <c r="AB73" s="951">
        <f>(BF73*KFC!$B$39+KFC!$C$39)*курс_уе</f>
        <v>340.1</v>
      </c>
      <c r="AC73" s="951">
        <f>(BG73*KFC!$B$39+KFC!$C$39)*курс_уе</f>
        <v>347.6</v>
      </c>
      <c r="AE73" s="2134"/>
      <c r="AF73" s="111">
        <v>3.2</v>
      </c>
      <c r="AG73" s="265">
        <v>145.5</v>
      </c>
      <c r="AH73" s="252">
        <v>153.19999999999999</v>
      </c>
      <c r="AI73" s="252">
        <v>161.30000000000001</v>
      </c>
      <c r="AJ73" s="252">
        <v>169</v>
      </c>
      <c r="AK73" s="252">
        <v>176.5</v>
      </c>
      <c r="AL73" s="252">
        <v>184.7</v>
      </c>
      <c r="AM73" s="252">
        <v>192.2</v>
      </c>
      <c r="AN73" s="252">
        <v>199.9</v>
      </c>
      <c r="AO73" s="252">
        <v>207.6</v>
      </c>
      <c r="AP73" s="252">
        <v>215.4</v>
      </c>
      <c r="AQ73" s="252">
        <v>223.1</v>
      </c>
      <c r="AR73" s="252">
        <v>230.6</v>
      </c>
      <c r="AS73" s="252">
        <v>239.1</v>
      </c>
      <c r="AT73" s="252">
        <v>246.8</v>
      </c>
      <c r="AU73" s="252">
        <v>254.3</v>
      </c>
      <c r="AV73" s="252">
        <v>262.3</v>
      </c>
      <c r="AW73" s="252">
        <v>269.8</v>
      </c>
      <c r="AX73" s="252">
        <v>277.7</v>
      </c>
      <c r="AY73" s="252">
        <v>285.7</v>
      </c>
      <c r="AZ73" s="252">
        <v>293.2</v>
      </c>
      <c r="BA73" s="583">
        <v>300.89999999999998</v>
      </c>
      <c r="BB73" s="627">
        <v>308.39999999999998</v>
      </c>
      <c r="BC73" s="252">
        <v>316.89999999999998</v>
      </c>
      <c r="BD73" s="252">
        <v>324.39999999999998</v>
      </c>
      <c r="BE73" s="252">
        <v>332.1</v>
      </c>
      <c r="BF73" s="252">
        <v>340.1</v>
      </c>
      <c r="BG73" s="583">
        <v>347.6</v>
      </c>
    </row>
    <row r="74" spans="1:59">
      <c r="A74" s="2134"/>
      <c r="B74" s="111">
        <v>3.3</v>
      </c>
      <c r="C74" s="951">
        <f>(AG74*KFC!$B$39+KFC!$C$39)*курс_уе</f>
        <v>145.9</v>
      </c>
      <c r="D74" s="951">
        <f>(AH74*KFC!$B$39+KFC!$C$39)*курс_уе</f>
        <v>153.69999999999999</v>
      </c>
      <c r="E74" s="951">
        <f>(AI74*KFC!$B$39+KFC!$C$39)*курс_уе</f>
        <v>162</v>
      </c>
      <c r="F74" s="951">
        <f>(AJ74*KFC!$B$39+KFC!$C$39)*курс_уе</f>
        <v>169.8</v>
      </c>
      <c r="G74" s="951">
        <f>(AK74*KFC!$B$39+KFC!$C$39)*курс_уе</f>
        <v>177.3</v>
      </c>
      <c r="H74" s="951">
        <f>(AL74*KFC!$B$39+KFC!$C$39)*курс_уе</f>
        <v>185.8</v>
      </c>
      <c r="I74" s="951">
        <f>(AM74*KFC!$B$39+KFC!$C$39)*курс_уе</f>
        <v>193.3</v>
      </c>
      <c r="J74" s="951">
        <f>(AN74*KFC!$B$39+KFC!$C$39)*курс_уе</f>
        <v>201.1</v>
      </c>
      <c r="K74" s="951">
        <f>(AO74*KFC!$B$39+KFC!$C$39)*курс_уе</f>
        <v>208.9</v>
      </c>
      <c r="L74" s="951">
        <f>(AP74*KFC!$B$39+KFC!$C$39)*курс_уе</f>
        <v>216.8</v>
      </c>
      <c r="M74" s="951">
        <f>(AQ74*KFC!$B$39+KFC!$C$39)*курс_уе</f>
        <v>224.6</v>
      </c>
      <c r="N74" s="951">
        <f>(AR74*KFC!$B$39+KFC!$C$39)*курс_уе</f>
        <v>232.1</v>
      </c>
      <c r="O74" s="951">
        <f>(AS74*KFC!$B$39+KFC!$C$39)*курс_уе</f>
        <v>241</v>
      </c>
      <c r="P74" s="951">
        <f>(AT74*KFC!$B$39+KFC!$C$39)*курс_уе</f>
        <v>248.8</v>
      </c>
      <c r="Q74" s="951">
        <f>(AU74*KFC!$B$39+KFC!$C$39)*курс_уе</f>
        <v>256.3</v>
      </c>
      <c r="R74" s="951">
        <f>(AV74*KFC!$B$39+KFC!$C$39)*курс_уе</f>
        <v>264.5</v>
      </c>
      <c r="S74" s="951">
        <f>(AW74*KFC!$B$39+KFC!$C$39)*курс_уе</f>
        <v>272</v>
      </c>
      <c r="T74" s="951">
        <f>(AX74*KFC!$B$39+KFC!$C$39)*курс_уе</f>
        <v>280.10000000000002</v>
      </c>
      <c r="U74" s="951">
        <f>(AY74*KFC!$B$39+KFC!$C$39)*курс_уе</f>
        <v>288.3</v>
      </c>
      <c r="V74" s="951">
        <f>(AZ74*KFC!$B$39+KFC!$C$39)*курс_уе</f>
        <v>295.8</v>
      </c>
      <c r="W74" s="951">
        <f>(BA74*KFC!$B$39+KFC!$C$39)*курс_уе</f>
        <v>303.60000000000002</v>
      </c>
      <c r="X74" s="951">
        <f>(BB74*KFC!$B$39+KFC!$C$39)*курс_уе</f>
        <v>311.10000000000002</v>
      </c>
      <c r="Y74" s="951">
        <f>(BC74*KFC!$B$39+KFC!$C$39)*курс_уе</f>
        <v>320</v>
      </c>
      <c r="Z74" s="951">
        <f>(BD74*KFC!$B$39+KFC!$C$39)*курс_уе</f>
        <v>327.5</v>
      </c>
      <c r="AA74" s="951">
        <f>(BE74*KFC!$B$39+KFC!$C$39)*курс_уе</f>
        <v>335.3</v>
      </c>
      <c r="AB74" s="951">
        <f>(BF74*KFC!$B$39+KFC!$C$39)*курс_уе</f>
        <v>343.5</v>
      </c>
      <c r="AC74" s="951">
        <f>(BG74*KFC!$B$39+KFC!$C$39)*курс_уе</f>
        <v>351</v>
      </c>
      <c r="AE74" s="2134"/>
      <c r="AF74" s="111">
        <v>3.3</v>
      </c>
      <c r="AG74" s="265">
        <v>145.9</v>
      </c>
      <c r="AH74" s="252">
        <v>153.69999999999999</v>
      </c>
      <c r="AI74" s="252">
        <v>162</v>
      </c>
      <c r="AJ74" s="252">
        <v>169.8</v>
      </c>
      <c r="AK74" s="252">
        <v>177.3</v>
      </c>
      <c r="AL74" s="252">
        <v>185.8</v>
      </c>
      <c r="AM74" s="252">
        <v>193.3</v>
      </c>
      <c r="AN74" s="252">
        <v>201.1</v>
      </c>
      <c r="AO74" s="252">
        <v>208.9</v>
      </c>
      <c r="AP74" s="252">
        <v>216.8</v>
      </c>
      <c r="AQ74" s="252">
        <v>224.6</v>
      </c>
      <c r="AR74" s="252">
        <v>232.1</v>
      </c>
      <c r="AS74" s="252">
        <v>241</v>
      </c>
      <c r="AT74" s="252">
        <v>248.8</v>
      </c>
      <c r="AU74" s="252">
        <v>256.3</v>
      </c>
      <c r="AV74" s="252">
        <v>264.5</v>
      </c>
      <c r="AW74" s="252">
        <v>272</v>
      </c>
      <c r="AX74" s="252">
        <v>280.10000000000002</v>
      </c>
      <c r="AY74" s="252">
        <v>288.3</v>
      </c>
      <c r="AZ74" s="252">
        <v>295.8</v>
      </c>
      <c r="BA74" s="583">
        <v>303.60000000000002</v>
      </c>
      <c r="BB74" s="627">
        <v>311.10000000000002</v>
      </c>
      <c r="BC74" s="252">
        <v>320</v>
      </c>
      <c r="BD74" s="252">
        <v>327.5</v>
      </c>
      <c r="BE74" s="252">
        <v>335.3</v>
      </c>
      <c r="BF74" s="252">
        <v>343.5</v>
      </c>
      <c r="BG74" s="583">
        <v>351</v>
      </c>
    </row>
    <row r="75" spans="1:59">
      <c r="A75" s="2134"/>
      <c r="B75" s="111">
        <v>3.4</v>
      </c>
      <c r="C75" s="951">
        <f>(AG75*KFC!$B$39+KFC!$C$39)*курс_уе</f>
        <v>146.30000000000001</v>
      </c>
      <c r="D75" s="951">
        <f>(AH75*KFC!$B$39+KFC!$C$39)*курс_уе</f>
        <v>154.19999999999999</v>
      </c>
      <c r="E75" s="951">
        <f>(AI75*KFC!$B$39+KFC!$C$39)*курс_уе</f>
        <v>162.69999999999999</v>
      </c>
      <c r="F75" s="951">
        <f>(AJ75*KFC!$B$39+KFC!$C$39)*курс_уе</f>
        <v>170.6</v>
      </c>
      <c r="G75" s="951">
        <f>(AK75*KFC!$B$39+KFC!$C$39)*курс_уе</f>
        <v>178.1</v>
      </c>
      <c r="H75" s="951">
        <f>(AL75*KFC!$B$39+KFC!$C$39)*курс_уе</f>
        <v>186.9</v>
      </c>
      <c r="I75" s="951">
        <f>(AM75*KFC!$B$39+KFC!$C$39)*курс_уе</f>
        <v>194.4</v>
      </c>
      <c r="J75" s="951">
        <f>(AN75*KFC!$B$39+KFC!$C$39)*курс_уе</f>
        <v>202.3</v>
      </c>
      <c r="K75" s="951">
        <f>(AO75*KFC!$B$39+KFC!$C$39)*курс_уе</f>
        <v>210.2</v>
      </c>
      <c r="L75" s="951">
        <f>(AP75*KFC!$B$39+KFC!$C$39)*курс_уе</f>
        <v>218.2</v>
      </c>
      <c r="M75" s="951">
        <f>(AQ75*KFC!$B$39+KFC!$C$39)*курс_уе</f>
        <v>226.1</v>
      </c>
      <c r="N75" s="951">
        <f>(AR75*KFC!$B$39+KFC!$C$39)*курс_уе</f>
        <v>233.6</v>
      </c>
      <c r="O75" s="951">
        <f>(AS75*KFC!$B$39+KFC!$C$39)*курс_уе</f>
        <v>242.9</v>
      </c>
      <c r="P75" s="951">
        <f>(AT75*KFC!$B$39+KFC!$C$39)*курс_уе</f>
        <v>250.8</v>
      </c>
      <c r="Q75" s="951">
        <f>(AU75*KFC!$B$39+KFC!$C$39)*курс_уе</f>
        <v>258.3</v>
      </c>
      <c r="R75" s="951">
        <f>(AV75*KFC!$B$39+KFC!$C$39)*курс_уе</f>
        <v>266.7</v>
      </c>
      <c r="S75" s="951">
        <f>(AW75*KFC!$B$39+KFC!$C$39)*курс_уе</f>
        <v>274.2</v>
      </c>
      <c r="T75" s="951">
        <f>(AX75*KFC!$B$39+KFC!$C$39)*курс_уе</f>
        <v>282.5</v>
      </c>
      <c r="U75" s="951">
        <f>(AY75*KFC!$B$39+KFC!$C$39)*курс_уе</f>
        <v>290.89999999999998</v>
      </c>
      <c r="V75" s="951">
        <f>(AZ75*KFC!$B$39+KFC!$C$39)*курс_уе</f>
        <v>298.39999999999998</v>
      </c>
      <c r="W75" s="951">
        <f>(BA75*KFC!$B$39+KFC!$C$39)*курс_уе</f>
        <v>306.3</v>
      </c>
      <c r="X75" s="951">
        <f>(BB75*KFC!$B$39+KFC!$C$39)*курс_уе</f>
        <v>313.8</v>
      </c>
      <c r="Y75" s="951">
        <f>(BC75*KFC!$B$39+KFC!$C$39)*курс_уе</f>
        <v>323.10000000000002</v>
      </c>
      <c r="Z75" s="951">
        <f>(BD75*KFC!$B$39+KFC!$C$39)*курс_уе</f>
        <v>330.6</v>
      </c>
      <c r="AA75" s="951">
        <f>(BE75*KFC!$B$39+KFC!$C$39)*курс_уе</f>
        <v>338.5</v>
      </c>
      <c r="AB75" s="951">
        <f>(BF75*KFC!$B$39+KFC!$C$39)*курс_уе</f>
        <v>346.9</v>
      </c>
      <c r="AC75" s="951">
        <f>(BG75*KFC!$B$39+KFC!$C$39)*курс_уе</f>
        <v>354.4</v>
      </c>
      <c r="AE75" s="2134"/>
      <c r="AF75" s="111">
        <v>3.4</v>
      </c>
      <c r="AG75" s="265">
        <v>146.30000000000001</v>
      </c>
      <c r="AH75" s="252">
        <v>154.19999999999999</v>
      </c>
      <c r="AI75" s="252">
        <v>162.69999999999999</v>
      </c>
      <c r="AJ75" s="252">
        <v>170.6</v>
      </c>
      <c r="AK75" s="252">
        <v>178.1</v>
      </c>
      <c r="AL75" s="252">
        <v>186.9</v>
      </c>
      <c r="AM75" s="252">
        <v>194.4</v>
      </c>
      <c r="AN75" s="252">
        <v>202.3</v>
      </c>
      <c r="AO75" s="252">
        <v>210.2</v>
      </c>
      <c r="AP75" s="252">
        <v>218.2</v>
      </c>
      <c r="AQ75" s="252">
        <v>226.1</v>
      </c>
      <c r="AR75" s="252">
        <v>233.6</v>
      </c>
      <c r="AS75" s="252">
        <v>242.9</v>
      </c>
      <c r="AT75" s="252">
        <v>250.8</v>
      </c>
      <c r="AU75" s="252">
        <v>258.3</v>
      </c>
      <c r="AV75" s="252">
        <v>266.7</v>
      </c>
      <c r="AW75" s="252">
        <v>274.2</v>
      </c>
      <c r="AX75" s="252">
        <v>282.5</v>
      </c>
      <c r="AY75" s="252">
        <v>290.89999999999998</v>
      </c>
      <c r="AZ75" s="252">
        <v>298.39999999999998</v>
      </c>
      <c r="BA75" s="583">
        <v>306.3</v>
      </c>
      <c r="BB75" s="627">
        <v>313.8</v>
      </c>
      <c r="BC75" s="252">
        <v>323.10000000000002</v>
      </c>
      <c r="BD75" s="252">
        <v>330.6</v>
      </c>
      <c r="BE75" s="252">
        <v>338.5</v>
      </c>
      <c r="BF75" s="252">
        <v>346.9</v>
      </c>
      <c r="BG75" s="583">
        <v>354.4</v>
      </c>
    </row>
    <row r="76" spans="1:59">
      <c r="A76" s="2134"/>
      <c r="B76" s="111">
        <v>3.5</v>
      </c>
      <c r="C76" s="951">
        <f>(AG76*KFC!$B$39+KFC!$C$39)*курс_уе</f>
        <v>146.69999999999999</v>
      </c>
      <c r="D76" s="951">
        <f>(AH76*KFC!$B$39+KFC!$C$39)*курс_уе</f>
        <v>154.69999999999999</v>
      </c>
      <c r="E76" s="951">
        <f>(AI76*KFC!$B$39+KFC!$C$39)*курс_уе</f>
        <v>163.4</v>
      </c>
      <c r="F76" s="951">
        <f>(AJ76*KFC!$B$39+KFC!$C$39)*курс_уе</f>
        <v>171.4</v>
      </c>
      <c r="G76" s="951">
        <f>(AK76*KFC!$B$39+KFC!$C$39)*курс_уе</f>
        <v>178.9</v>
      </c>
      <c r="H76" s="951">
        <f>(AL76*KFC!$B$39+KFC!$C$39)*курс_уе</f>
        <v>188</v>
      </c>
      <c r="I76" s="951">
        <f>(AM76*KFC!$B$39+KFC!$C$39)*курс_уе</f>
        <v>195.5</v>
      </c>
      <c r="J76" s="951">
        <f>(AN76*KFC!$B$39+KFC!$C$39)*курс_уе</f>
        <v>203.5</v>
      </c>
      <c r="K76" s="951">
        <f>(AO76*KFC!$B$39+KFC!$C$39)*курс_уе</f>
        <v>211.5</v>
      </c>
      <c r="L76" s="951">
        <f>(AP76*KFC!$B$39+KFC!$C$39)*курс_уе</f>
        <v>219.6</v>
      </c>
      <c r="M76" s="951">
        <f>(AQ76*KFC!$B$39+KFC!$C$39)*курс_уе</f>
        <v>227.6</v>
      </c>
      <c r="N76" s="951">
        <f>(AR76*KFC!$B$39+KFC!$C$39)*курс_уе</f>
        <v>235.1</v>
      </c>
      <c r="O76" s="951">
        <f>(AS76*KFC!$B$39+KFC!$C$39)*курс_уе</f>
        <v>244.8</v>
      </c>
      <c r="P76" s="951">
        <f>(AT76*KFC!$B$39+KFC!$C$39)*курс_уе</f>
        <v>252.8</v>
      </c>
      <c r="Q76" s="951">
        <f>(AU76*KFC!$B$39+KFC!$C$39)*курс_уе</f>
        <v>260.3</v>
      </c>
      <c r="R76" s="951">
        <f>(AV76*KFC!$B$39+KFC!$C$39)*курс_уе</f>
        <v>268.89999999999998</v>
      </c>
      <c r="S76" s="951">
        <f>(AW76*KFC!$B$39+KFC!$C$39)*курс_уе</f>
        <v>276.39999999999998</v>
      </c>
      <c r="T76" s="951">
        <f>(AX76*KFC!$B$39+KFC!$C$39)*курс_уе</f>
        <v>284.89999999999998</v>
      </c>
      <c r="U76" s="951">
        <f>(AY76*KFC!$B$39+KFC!$C$39)*курс_уе</f>
        <v>293.5</v>
      </c>
      <c r="V76" s="951">
        <f>(AZ76*KFC!$B$39+KFC!$C$39)*курс_уе</f>
        <v>301</v>
      </c>
      <c r="W76" s="951">
        <f>(BA76*KFC!$B$39+KFC!$C$39)*курс_уе</f>
        <v>309</v>
      </c>
      <c r="X76" s="951">
        <f>(BB76*KFC!$B$39+KFC!$C$39)*курс_уе</f>
        <v>316.5</v>
      </c>
      <c r="Y76" s="951">
        <f>(BC76*KFC!$B$39+KFC!$C$39)*курс_уе</f>
        <v>326.2</v>
      </c>
      <c r="Z76" s="951">
        <f>(BD76*KFC!$B$39+KFC!$C$39)*курс_уе</f>
        <v>333.7</v>
      </c>
      <c r="AA76" s="951">
        <f>(BE76*KFC!$B$39+KFC!$C$39)*курс_уе</f>
        <v>341.7</v>
      </c>
      <c r="AB76" s="951">
        <f>(BF76*KFC!$B$39+KFC!$C$39)*курс_уе</f>
        <v>350.3</v>
      </c>
      <c r="AC76" s="951">
        <f>(BG76*KFC!$B$39+KFC!$C$39)*курс_уе</f>
        <v>357.8</v>
      </c>
      <c r="AE76" s="2134"/>
      <c r="AF76" s="111">
        <v>3.5</v>
      </c>
      <c r="AG76" s="265">
        <v>146.69999999999999</v>
      </c>
      <c r="AH76" s="252">
        <v>154.69999999999999</v>
      </c>
      <c r="AI76" s="252">
        <v>163.4</v>
      </c>
      <c r="AJ76" s="252">
        <v>171.4</v>
      </c>
      <c r="AK76" s="252">
        <v>178.9</v>
      </c>
      <c r="AL76" s="252">
        <v>188</v>
      </c>
      <c r="AM76" s="252">
        <v>195.5</v>
      </c>
      <c r="AN76" s="252">
        <v>203.5</v>
      </c>
      <c r="AO76" s="252">
        <v>211.5</v>
      </c>
      <c r="AP76" s="252">
        <v>219.6</v>
      </c>
      <c r="AQ76" s="252">
        <v>227.6</v>
      </c>
      <c r="AR76" s="252">
        <v>235.1</v>
      </c>
      <c r="AS76" s="252">
        <v>244.8</v>
      </c>
      <c r="AT76" s="252">
        <v>252.8</v>
      </c>
      <c r="AU76" s="252">
        <v>260.3</v>
      </c>
      <c r="AV76" s="252">
        <v>268.89999999999998</v>
      </c>
      <c r="AW76" s="252">
        <v>276.39999999999998</v>
      </c>
      <c r="AX76" s="252">
        <v>284.89999999999998</v>
      </c>
      <c r="AY76" s="252">
        <v>293.5</v>
      </c>
      <c r="AZ76" s="252">
        <v>301</v>
      </c>
      <c r="BA76" s="583">
        <v>309</v>
      </c>
      <c r="BB76" s="627">
        <v>316.5</v>
      </c>
      <c r="BC76" s="252">
        <v>326.2</v>
      </c>
      <c r="BD76" s="252">
        <v>333.7</v>
      </c>
      <c r="BE76" s="252">
        <v>341.7</v>
      </c>
      <c r="BF76" s="252">
        <v>350.3</v>
      </c>
      <c r="BG76" s="583">
        <v>357.8</v>
      </c>
    </row>
    <row r="77" spans="1:59">
      <c r="A77" s="2134"/>
      <c r="B77" s="111">
        <v>3.6</v>
      </c>
      <c r="C77" s="951">
        <f>(AG77*KFC!$B$39+KFC!$C$39)*курс_уе</f>
        <v>147.1</v>
      </c>
      <c r="D77" s="951">
        <f>(AH77*KFC!$B$39+KFC!$C$39)*курс_уе</f>
        <v>155.19999999999999</v>
      </c>
      <c r="E77" s="951">
        <f>(AI77*KFC!$B$39+KFC!$C$39)*курс_уе</f>
        <v>164.1</v>
      </c>
      <c r="F77" s="951">
        <f>(AJ77*KFC!$B$39+KFC!$C$39)*курс_уе</f>
        <v>172.2</v>
      </c>
      <c r="G77" s="951">
        <f>(AK77*KFC!$B$39+KFC!$C$39)*курс_уе</f>
        <v>179.7</v>
      </c>
      <c r="H77" s="951">
        <f>(AL77*KFC!$B$39+KFC!$C$39)*курс_уе</f>
        <v>189.1</v>
      </c>
      <c r="I77" s="951">
        <f>(AM77*KFC!$B$39+KFC!$C$39)*курс_уе</f>
        <v>196.6</v>
      </c>
      <c r="J77" s="951">
        <f>(AN77*KFC!$B$39+KFC!$C$39)*курс_уе</f>
        <v>204.7</v>
      </c>
      <c r="K77" s="951">
        <f>(AO77*KFC!$B$39+KFC!$C$39)*курс_уе</f>
        <v>212.8</v>
      </c>
      <c r="L77" s="951">
        <f>(AP77*KFC!$B$39+KFC!$C$39)*курс_уе</f>
        <v>221</v>
      </c>
      <c r="M77" s="951">
        <f>(AQ77*KFC!$B$39+KFC!$C$39)*курс_уе</f>
        <v>229.1</v>
      </c>
      <c r="N77" s="951">
        <f>(AR77*KFC!$B$39+KFC!$C$39)*курс_уе</f>
        <v>236.6</v>
      </c>
      <c r="O77" s="951">
        <f>(AS77*KFC!$B$39+KFC!$C$39)*курс_уе</f>
        <v>246.7</v>
      </c>
      <c r="P77" s="951">
        <f>(AT77*KFC!$B$39+KFC!$C$39)*курс_уе</f>
        <v>254.8</v>
      </c>
      <c r="Q77" s="951">
        <f>(AU77*KFC!$B$39+KFC!$C$39)*курс_уе</f>
        <v>262.3</v>
      </c>
      <c r="R77" s="951">
        <f>(AV77*KFC!$B$39+KFC!$C$39)*курс_уе</f>
        <v>271.10000000000002</v>
      </c>
      <c r="S77" s="951">
        <f>(AW77*KFC!$B$39+KFC!$C$39)*курс_уе</f>
        <v>278.60000000000002</v>
      </c>
      <c r="T77" s="951">
        <f>(AX77*KFC!$B$39+KFC!$C$39)*курс_уе</f>
        <v>287.3</v>
      </c>
      <c r="U77" s="951">
        <f>(AY77*KFC!$B$39+KFC!$C$39)*курс_уе</f>
        <v>296.10000000000002</v>
      </c>
      <c r="V77" s="951">
        <f>(AZ77*KFC!$B$39+KFC!$C$39)*курс_уе</f>
        <v>303.60000000000002</v>
      </c>
      <c r="W77" s="951">
        <f>(BA77*KFC!$B$39+KFC!$C$39)*курс_уе</f>
        <v>311.7</v>
      </c>
      <c r="X77" s="951">
        <f>(BB77*KFC!$B$39+KFC!$C$39)*курс_уе</f>
        <v>319.2</v>
      </c>
      <c r="Y77" s="951">
        <f>(BC77*KFC!$B$39+KFC!$C$39)*курс_уе</f>
        <v>329.3</v>
      </c>
      <c r="Z77" s="951">
        <f>(BD77*KFC!$B$39+KFC!$C$39)*курс_уе</f>
        <v>336.8</v>
      </c>
      <c r="AA77" s="951">
        <f>(BE77*KFC!$B$39+KFC!$C$39)*курс_уе</f>
        <v>344.9</v>
      </c>
      <c r="AB77" s="951">
        <f>(BF77*KFC!$B$39+KFC!$C$39)*курс_уе</f>
        <v>353.7</v>
      </c>
      <c r="AC77" s="951">
        <f>(BG77*KFC!$B$39+KFC!$C$39)*курс_уе</f>
        <v>361.2</v>
      </c>
      <c r="AE77" s="2134"/>
      <c r="AF77" s="111">
        <v>3.6</v>
      </c>
      <c r="AG77" s="265">
        <v>147.1</v>
      </c>
      <c r="AH77" s="252">
        <v>155.19999999999999</v>
      </c>
      <c r="AI77" s="252">
        <v>164.1</v>
      </c>
      <c r="AJ77" s="252">
        <v>172.2</v>
      </c>
      <c r="AK77" s="252">
        <v>179.7</v>
      </c>
      <c r="AL77" s="252">
        <v>189.1</v>
      </c>
      <c r="AM77" s="252">
        <v>196.6</v>
      </c>
      <c r="AN77" s="252">
        <v>204.7</v>
      </c>
      <c r="AO77" s="252">
        <v>212.8</v>
      </c>
      <c r="AP77" s="252">
        <v>221</v>
      </c>
      <c r="AQ77" s="252">
        <v>229.1</v>
      </c>
      <c r="AR77" s="252">
        <v>236.6</v>
      </c>
      <c r="AS77" s="252">
        <v>246.7</v>
      </c>
      <c r="AT77" s="252">
        <v>254.8</v>
      </c>
      <c r="AU77" s="252">
        <v>262.3</v>
      </c>
      <c r="AV77" s="252">
        <v>271.10000000000002</v>
      </c>
      <c r="AW77" s="252">
        <v>278.60000000000002</v>
      </c>
      <c r="AX77" s="252">
        <v>287.3</v>
      </c>
      <c r="AY77" s="252">
        <v>296.10000000000002</v>
      </c>
      <c r="AZ77" s="252">
        <v>303.60000000000002</v>
      </c>
      <c r="BA77" s="583">
        <v>311.7</v>
      </c>
      <c r="BB77" s="627">
        <v>319.2</v>
      </c>
      <c r="BC77" s="252">
        <v>329.3</v>
      </c>
      <c r="BD77" s="252">
        <v>336.8</v>
      </c>
      <c r="BE77" s="252">
        <v>344.9</v>
      </c>
      <c r="BF77" s="252">
        <v>353.7</v>
      </c>
      <c r="BG77" s="583">
        <v>361.2</v>
      </c>
    </row>
    <row r="78" spans="1:59">
      <c r="A78" s="2134"/>
      <c r="B78" s="111">
        <v>3.7</v>
      </c>
      <c r="C78" s="951">
        <f>(AG78*KFC!$B$39+KFC!$C$39)*курс_уе</f>
        <v>147.5</v>
      </c>
      <c r="D78" s="951">
        <f>(AH78*KFC!$B$39+KFC!$C$39)*курс_уе</f>
        <v>155.69999999999999</v>
      </c>
      <c r="E78" s="951">
        <f>(AI78*KFC!$B$39+KFC!$C$39)*курс_уе</f>
        <v>164.8</v>
      </c>
      <c r="F78" s="951">
        <f>(AJ78*KFC!$B$39+KFC!$C$39)*курс_уе</f>
        <v>173</v>
      </c>
      <c r="G78" s="951">
        <f>(AK78*KFC!$B$39+KFC!$C$39)*курс_уе</f>
        <v>180.5</v>
      </c>
      <c r="H78" s="951">
        <f>(AL78*KFC!$B$39+KFC!$C$39)*курс_уе</f>
        <v>190.2</v>
      </c>
      <c r="I78" s="951">
        <f>(AM78*KFC!$B$39+KFC!$C$39)*курс_уе</f>
        <v>197.7</v>
      </c>
      <c r="J78" s="951">
        <f>(AN78*KFC!$B$39+KFC!$C$39)*курс_уе</f>
        <v>205.9</v>
      </c>
      <c r="K78" s="951">
        <f>(AO78*KFC!$B$39+KFC!$C$39)*курс_уе</f>
        <v>214.1</v>
      </c>
      <c r="L78" s="951">
        <f>(AP78*KFC!$B$39+KFC!$C$39)*курс_уе</f>
        <v>222.4</v>
      </c>
      <c r="M78" s="951">
        <f>(AQ78*KFC!$B$39+KFC!$C$39)*курс_уе</f>
        <v>230.6</v>
      </c>
      <c r="N78" s="951">
        <f>(AR78*KFC!$B$39+KFC!$C$39)*курс_уе</f>
        <v>238.1</v>
      </c>
      <c r="O78" s="951">
        <f>(AS78*KFC!$B$39+KFC!$C$39)*курс_уе</f>
        <v>248.6</v>
      </c>
      <c r="P78" s="951">
        <f>(AT78*KFC!$B$39+KFC!$C$39)*курс_уе</f>
        <v>256.8</v>
      </c>
      <c r="Q78" s="951">
        <f>(AU78*KFC!$B$39+KFC!$C$39)*курс_уе</f>
        <v>264.3</v>
      </c>
      <c r="R78" s="951">
        <f>(AV78*KFC!$B$39+KFC!$C$39)*курс_уе</f>
        <v>273.3</v>
      </c>
      <c r="S78" s="951">
        <f>(AW78*KFC!$B$39+KFC!$C$39)*курс_уе</f>
        <v>280.8</v>
      </c>
      <c r="T78" s="951">
        <f>(AX78*KFC!$B$39+KFC!$C$39)*курс_уе</f>
        <v>289.7</v>
      </c>
      <c r="U78" s="951">
        <f>(AY78*KFC!$B$39+KFC!$C$39)*курс_уе</f>
        <v>298.7</v>
      </c>
      <c r="V78" s="951">
        <f>(AZ78*KFC!$B$39+KFC!$C$39)*курс_уе</f>
        <v>306.2</v>
      </c>
      <c r="W78" s="951">
        <f>(BA78*KFC!$B$39+KFC!$C$39)*курс_уе</f>
        <v>314.39999999999998</v>
      </c>
      <c r="X78" s="951">
        <f>(BB78*KFC!$B$39+KFC!$C$39)*курс_уе</f>
        <v>321.89999999999998</v>
      </c>
      <c r="Y78" s="951">
        <f>(BC78*KFC!$B$39+KFC!$C$39)*курс_уе</f>
        <v>332.4</v>
      </c>
      <c r="Z78" s="951">
        <f>(BD78*KFC!$B$39+KFC!$C$39)*курс_уе</f>
        <v>339.9</v>
      </c>
      <c r="AA78" s="951">
        <f>(BE78*KFC!$B$39+KFC!$C$39)*курс_уе</f>
        <v>348.1</v>
      </c>
      <c r="AB78" s="951">
        <f>(BF78*KFC!$B$39+KFC!$C$39)*курс_уе</f>
        <v>357.1</v>
      </c>
      <c r="AC78" s="951">
        <f>(BG78*KFC!$B$39+KFC!$C$39)*курс_уе</f>
        <v>364.6</v>
      </c>
      <c r="AE78" s="2134"/>
      <c r="AF78" s="111">
        <v>3.7</v>
      </c>
      <c r="AG78" s="265">
        <v>147.5</v>
      </c>
      <c r="AH78" s="252">
        <v>155.69999999999999</v>
      </c>
      <c r="AI78" s="252">
        <v>164.8</v>
      </c>
      <c r="AJ78" s="252">
        <v>173</v>
      </c>
      <c r="AK78" s="252">
        <v>180.5</v>
      </c>
      <c r="AL78" s="252">
        <v>190.2</v>
      </c>
      <c r="AM78" s="252">
        <v>197.7</v>
      </c>
      <c r="AN78" s="252">
        <v>205.9</v>
      </c>
      <c r="AO78" s="252">
        <v>214.1</v>
      </c>
      <c r="AP78" s="252">
        <v>222.4</v>
      </c>
      <c r="AQ78" s="252">
        <v>230.6</v>
      </c>
      <c r="AR78" s="252">
        <v>238.1</v>
      </c>
      <c r="AS78" s="252">
        <v>248.6</v>
      </c>
      <c r="AT78" s="252">
        <v>256.8</v>
      </c>
      <c r="AU78" s="252">
        <v>264.3</v>
      </c>
      <c r="AV78" s="252">
        <v>273.3</v>
      </c>
      <c r="AW78" s="252">
        <v>280.8</v>
      </c>
      <c r="AX78" s="252">
        <v>289.7</v>
      </c>
      <c r="AY78" s="252">
        <v>298.7</v>
      </c>
      <c r="AZ78" s="252">
        <v>306.2</v>
      </c>
      <c r="BA78" s="583">
        <v>314.39999999999998</v>
      </c>
      <c r="BB78" s="627">
        <v>321.89999999999998</v>
      </c>
      <c r="BC78" s="252">
        <v>332.4</v>
      </c>
      <c r="BD78" s="252">
        <v>339.9</v>
      </c>
      <c r="BE78" s="252">
        <v>348.1</v>
      </c>
      <c r="BF78" s="252">
        <v>357.1</v>
      </c>
      <c r="BG78" s="583">
        <v>364.6</v>
      </c>
    </row>
    <row r="79" spans="1:59">
      <c r="A79" s="2134"/>
      <c r="B79" s="111">
        <v>3.8</v>
      </c>
      <c r="C79" s="951">
        <f>(AG79*KFC!$B$39+KFC!$C$39)*курс_уе</f>
        <v>147.9</v>
      </c>
      <c r="D79" s="951">
        <f>(AH79*KFC!$B$39+KFC!$C$39)*курс_уе</f>
        <v>156.19999999999999</v>
      </c>
      <c r="E79" s="951">
        <f>(AI79*KFC!$B$39+KFC!$C$39)*курс_уе</f>
        <v>165.5</v>
      </c>
      <c r="F79" s="951">
        <f>(AJ79*KFC!$B$39+KFC!$C$39)*курс_уе</f>
        <v>173.8</v>
      </c>
      <c r="G79" s="951">
        <f>(AK79*KFC!$B$39+KFC!$C$39)*курс_уе</f>
        <v>181.3</v>
      </c>
      <c r="H79" s="951">
        <f>(AL79*KFC!$B$39+KFC!$C$39)*курс_уе</f>
        <v>191.3</v>
      </c>
      <c r="I79" s="951">
        <f>(AM79*KFC!$B$39+KFC!$C$39)*курс_уе</f>
        <v>198.8</v>
      </c>
      <c r="J79" s="951">
        <f>(AN79*KFC!$B$39+KFC!$C$39)*курс_уе</f>
        <v>207.1</v>
      </c>
      <c r="K79" s="951">
        <f>(AO79*KFC!$B$39+KFC!$C$39)*курс_уе</f>
        <v>215.4</v>
      </c>
      <c r="L79" s="951">
        <f>(AP79*KFC!$B$39+KFC!$C$39)*курс_уе</f>
        <v>223.8</v>
      </c>
      <c r="M79" s="951">
        <f>(AQ79*KFC!$B$39+KFC!$C$39)*курс_уе</f>
        <v>232.1</v>
      </c>
      <c r="N79" s="951">
        <f>(AR79*KFC!$B$39+KFC!$C$39)*курс_уе</f>
        <v>239.6</v>
      </c>
      <c r="O79" s="951">
        <f>(AS79*KFC!$B$39+KFC!$C$39)*курс_уе</f>
        <v>250.5</v>
      </c>
      <c r="P79" s="951">
        <f>(AT79*KFC!$B$39+KFC!$C$39)*курс_уе</f>
        <v>258.8</v>
      </c>
      <c r="Q79" s="951">
        <f>(AU79*KFC!$B$39+KFC!$C$39)*курс_уе</f>
        <v>266.3</v>
      </c>
      <c r="R79" s="951">
        <f>(AV79*KFC!$B$39+KFC!$C$39)*курс_уе</f>
        <v>275.5</v>
      </c>
      <c r="S79" s="951">
        <f>(AW79*KFC!$B$39+KFC!$C$39)*курс_уе</f>
        <v>283</v>
      </c>
      <c r="T79" s="951">
        <f>(AX79*KFC!$B$39+KFC!$C$39)*курс_уе</f>
        <v>292.10000000000002</v>
      </c>
      <c r="U79" s="951">
        <f>(AY79*KFC!$B$39+KFC!$C$39)*курс_уе</f>
        <v>301.3</v>
      </c>
      <c r="V79" s="951">
        <f>(AZ79*KFC!$B$39+KFC!$C$39)*курс_уе</f>
        <v>308.8</v>
      </c>
      <c r="W79" s="951">
        <f>(BA79*KFC!$B$39+KFC!$C$39)*курс_уе</f>
        <v>317.10000000000002</v>
      </c>
      <c r="X79" s="951">
        <f>(BB79*KFC!$B$39+KFC!$C$39)*курс_уе</f>
        <v>324.60000000000002</v>
      </c>
      <c r="Y79" s="951">
        <f>(BC79*KFC!$B$39+KFC!$C$39)*курс_уе</f>
        <v>335.5</v>
      </c>
      <c r="Z79" s="951">
        <f>(BD79*KFC!$B$39+KFC!$C$39)*курс_уе</f>
        <v>343</v>
      </c>
      <c r="AA79" s="951">
        <f>(BE79*KFC!$B$39+KFC!$C$39)*курс_уе</f>
        <v>351.3</v>
      </c>
      <c r="AB79" s="951">
        <f>(BF79*KFC!$B$39+KFC!$C$39)*курс_уе</f>
        <v>360.5</v>
      </c>
      <c r="AC79" s="951">
        <f>(BG79*KFC!$B$39+KFC!$C$39)*курс_уе</f>
        <v>368</v>
      </c>
      <c r="AE79" s="2134"/>
      <c r="AF79" s="111">
        <v>3.8</v>
      </c>
      <c r="AG79" s="265">
        <v>147.9</v>
      </c>
      <c r="AH79" s="252">
        <v>156.19999999999999</v>
      </c>
      <c r="AI79" s="252">
        <v>165.5</v>
      </c>
      <c r="AJ79" s="252">
        <v>173.8</v>
      </c>
      <c r="AK79" s="252">
        <v>181.3</v>
      </c>
      <c r="AL79" s="252">
        <v>191.3</v>
      </c>
      <c r="AM79" s="252">
        <v>198.8</v>
      </c>
      <c r="AN79" s="252">
        <v>207.1</v>
      </c>
      <c r="AO79" s="252">
        <v>215.4</v>
      </c>
      <c r="AP79" s="252">
        <v>223.8</v>
      </c>
      <c r="AQ79" s="252">
        <v>232.1</v>
      </c>
      <c r="AR79" s="252">
        <v>239.6</v>
      </c>
      <c r="AS79" s="252">
        <v>250.5</v>
      </c>
      <c r="AT79" s="252">
        <v>258.8</v>
      </c>
      <c r="AU79" s="252">
        <v>266.3</v>
      </c>
      <c r="AV79" s="252">
        <v>275.5</v>
      </c>
      <c r="AW79" s="252">
        <v>283</v>
      </c>
      <c r="AX79" s="252">
        <v>292.10000000000002</v>
      </c>
      <c r="AY79" s="252">
        <v>301.3</v>
      </c>
      <c r="AZ79" s="252">
        <v>308.8</v>
      </c>
      <c r="BA79" s="583">
        <v>317.10000000000002</v>
      </c>
      <c r="BB79" s="627">
        <v>324.60000000000002</v>
      </c>
      <c r="BC79" s="252">
        <v>335.5</v>
      </c>
      <c r="BD79" s="252">
        <v>343</v>
      </c>
      <c r="BE79" s="252">
        <v>351.3</v>
      </c>
      <c r="BF79" s="252">
        <v>360.5</v>
      </c>
      <c r="BG79" s="583">
        <v>368</v>
      </c>
    </row>
    <row r="80" spans="1:59">
      <c r="A80" s="2134"/>
      <c r="B80" s="111">
        <v>3.9</v>
      </c>
      <c r="C80" s="951">
        <f>(AG80*KFC!$B$39+KFC!$C$39)*курс_уе</f>
        <v>148.30000000000001</v>
      </c>
      <c r="D80" s="951">
        <f>(AH80*KFC!$B$39+KFC!$C$39)*курс_уе</f>
        <v>156.69999999999999</v>
      </c>
      <c r="E80" s="951">
        <f>(AI80*KFC!$B$39+KFC!$C$39)*курс_уе</f>
        <v>166.2</v>
      </c>
      <c r="F80" s="951">
        <f>(AJ80*KFC!$B$39+KFC!$C$39)*курс_уе</f>
        <v>174.6</v>
      </c>
      <c r="G80" s="951">
        <f>(AK80*KFC!$B$39+KFC!$C$39)*курс_уе</f>
        <v>182.1</v>
      </c>
      <c r="H80" s="951">
        <f>(AL80*KFC!$B$39+KFC!$C$39)*курс_уе</f>
        <v>192.4</v>
      </c>
      <c r="I80" s="951">
        <f>(AM80*KFC!$B$39+KFC!$C$39)*курс_уе</f>
        <v>199.9</v>
      </c>
      <c r="J80" s="951">
        <f>(AN80*KFC!$B$39+KFC!$C$39)*курс_уе</f>
        <v>208.3</v>
      </c>
      <c r="K80" s="951">
        <f>(AO80*KFC!$B$39+KFC!$C$39)*курс_уе</f>
        <v>216.7</v>
      </c>
      <c r="L80" s="951">
        <f>(AP80*KFC!$B$39+KFC!$C$39)*курс_уе</f>
        <v>225.2</v>
      </c>
      <c r="M80" s="951">
        <f>(AQ80*KFC!$B$39+KFC!$C$39)*курс_уе</f>
        <v>233.6</v>
      </c>
      <c r="N80" s="951">
        <f>(AR80*KFC!$B$39+KFC!$C$39)*курс_уе</f>
        <v>241.1</v>
      </c>
      <c r="O80" s="951">
        <f>(AS80*KFC!$B$39+KFC!$C$39)*курс_уе</f>
        <v>252.4</v>
      </c>
      <c r="P80" s="951">
        <f>(AT80*KFC!$B$39+KFC!$C$39)*курс_уе</f>
        <v>260.8</v>
      </c>
      <c r="Q80" s="951">
        <f>(AU80*KFC!$B$39+KFC!$C$39)*курс_уе</f>
        <v>268.3</v>
      </c>
      <c r="R80" s="951">
        <f>(AV80*KFC!$B$39+KFC!$C$39)*курс_уе</f>
        <v>277.7</v>
      </c>
      <c r="S80" s="951">
        <f>(AW80*KFC!$B$39+KFC!$C$39)*курс_уе</f>
        <v>285.2</v>
      </c>
      <c r="T80" s="951">
        <f>(AX80*KFC!$B$39+KFC!$C$39)*курс_уе</f>
        <v>294.5</v>
      </c>
      <c r="U80" s="951">
        <f>(AY80*KFC!$B$39+KFC!$C$39)*курс_уе</f>
        <v>303.89999999999998</v>
      </c>
      <c r="V80" s="951">
        <f>(AZ80*KFC!$B$39+KFC!$C$39)*курс_уе</f>
        <v>311.39999999999998</v>
      </c>
      <c r="W80" s="951">
        <f>(BA80*KFC!$B$39+KFC!$C$39)*курс_уе</f>
        <v>319.8</v>
      </c>
      <c r="X80" s="951">
        <f>(BB80*KFC!$B$39+KFC!$C$39)*курс_уе</f>
        <v>327.3</v>
      </c>
      <c r="Y80" s="951">
        <f>(BC80*KFC!$B$39+KFC!$C$39)*курс_уе</f>
        <v>338.6</v>
      </c>
      <c r="Z80" s="951">
        <f>(BD80*KFC!$B$39+KFC!$C$39)*курс_уе</f>
        <v>346.1</v>
      </c>
      <c r="AA80" s="951">
        <f>(BE80*KFC!$B$39+KFC!$C$39)*курс_уе</f>
        <v>354.5</v>
      </c>
      <c r="AB80" s="951">
        <f>(BF80*KFC!$B$39+KFC!$C$39)*курс_уе</f>
        <v>363.9</v>
      </c>
      <c r="AC80" s="951">
        <f>(BG80*KFC!$B$39+KFC!$C$39)*курс_уе</f>
        <v>371.4</v>
      </c>
      <c r="AE80" s="2134"/>
      <c r="AF80" s="111">
        <v>3.9</v>
      </c>
      <c r="AG80" s="265">
        <v>148.30000000000001</v>
      </c>
      <c r="AH80" s="252">
        <v>156.69999999999999</v>
      </c>
      <c r="AI80" s="252">
        <v>166.2</v>
      </c>
      <c r="AJ80" s="252">
        <v>174.6</v>
      </c>
      <c r="AK80" s="252">
        <v>182.1</v>
      </c>
      <c r="AL80" s="252">
        <v>192.4</v>
      </c>
      <c r="AM80" s="252">
        <v>199.9</v>
      </c>
      <c r="AN80" s="252">
        <v>208.3</v>
      </c>
      <c r="AO80" s="252">
        <v>216.7</v>
      </c>
      <c r="AP80" s="252">
        <v>225.2</v>
      </c>
      <c r="AQ80" s="252">
        <v>233.6</v>
      </c>
      <c r="AR80" s="252">
        <v>241.1</v>
      </c>
      <c r="AS80" s="252">
        <v>252.4</v>
      </c>
      <c r="AT80" s="252">
        <v>260.8</v>
      </c>
      <c r="AU80" s="252">
        <v>268.3</v>
      </c>
      <c r="AV80" s="252">
        <v>277.7</v>
      </c>
      <c r="AW80" s="252">
        <v>285.2</v>
      </c>
      <c r="AX80" s="252">
        <v>294.5</v>
      </c>
      <c r="AY80" s="252">
        <v>303.89999999999998</v>
      </c>
      <c r="AZ80" s="252">
        <v>311.39999999999998</v>
      </c>
      <c r="BA80" s="583">
        <v>319.8</v>
      </c>
      <c r="BB80" s="627">
        <v>327.3</v>
      </c>
      <c r="BC80" s="252">
        <v>338.6</v>
      </c>
      <c r="BD80" s="252">
        <v>346.1</v>
      </c>
      <c r="BE80" s="252">
        <v>354.5</v>
      </c>
      <c r="BF80" s="252">
        <v>363.9</v>
      </c>
      <c r="BG80" s="583">
        <v>371.4</v>
      </c>
    </row>
    <row r="81" spans="1:59">
      <c r="A81" s="2134"/>
      <c r="B81" s="111">
        <v>4</v>
      </c>
      <c r="C81" s="951">
        <f>(AG81*KFC!$B$39+KFC!$C$39)*курс_уе</f>
        <v>148.69999999999999</v>
      </c>
      <c r="D81" s="951">
        <f>(AH81*KFC!$B$39+KFC!$C$39)*курс_уе</f>
        <v>157.19999999999999</v>
      </c>
      <c r="E81" s="951">
        <f>(AI81*KFC!$B$39+KFC!$C$39)*курс_уе</f>
        <v>166.9</v>
      </c>
      <c r="F81" s="951">
        <f>(AJ81*KFC!$B$39+KFC!$C$39)*курс_уе</f>
        <v>175.4</v>
      </c>
      <c r="G81" s="951">
        <f>(AK81*KFC!$B$39+KFC!$C$39)*курс_уе</f>
        <v>182.9</v>
      </c>
      <c r="H81" s="951">
        <f>(AL81*KFC!$B$39+KFC!$C$39)*курс_уе</f>
        <v>193.5</v>
      </c>
      <c r="I81" s="951">
        <f>(AM81*KFC!$B$39+KFC!$C$39)*курс_уе</f>
        <v>201</v>
      </c>
      <c r="J81" s="951">
        <f>(AN81*KFC!$B$39+KFC!$C$39)*курс_уе</f>
        <v>209.5</v>
      </c>
      <c r="K81" s="951">
        <f>(AO81*KFC!$B$39+KFC!$C$39)*курс_уе</f>
        <v>218</v>
      </c>
      <c r="L81" s="951">
        <f>(AP81*KFC!$B$39+KFC!$C$39)*курс_уе</f>
        <v>226.6</v>
      </c>
      <c r="M81" s="951">
        <f>(AQ81*KFC!$B$39+KFC!$C$39)*курс_уе</f>
        <v>235.1</v>
      </c>
      <c r="N81" s="951">
        <f>(AR81*KFC!$B$39+KFC!$C$39)*курс_уе</f>
        <v>242.6</v>
      </c>
      <c r="O81" s="951">
        <f>(AS81*KFC!$B$39+KFC!$C$39)*курс_уе</f>
        <v>254.3</v>
      </c>
      <c r="P81" s="951">
        <f>(AT81*KFC!$B$39+KFC!$C$39)*курс_уе</f>
        <v>262.8</v>
      </c>
      <c r="Q81" s="951">
        <f>(AU81*KFC!$B$39+KFC!$C$39)*курс_уе</f>
        <v>270.3</v>
      </c>
      <c r="R81" s="951">
        <f>(AV81*KFC!$B$39+KFC!$C$39)*курс_уе</f>
        <v>279.89999999999998</v>
      </c>
      <c r="S81" s="951">
        <f>(AW81*KFC!$B$39+KFC!$C$39)*курс_уе</f>
        <v>287.39999999999998</v>
      </c>
      <c r="T81" s="951">
        <f>(AX81*KFC!$B$39+KFC!$C$39)*курс_уе</f>
        <v>296.89999999999998</v>
      </c>
      <c r="U81" s="951">
        <f>(AY81*KFC!$B$39+KFC!$C$39)*курс_уе</f>
        <v>306.5</v>
      </c>
      <c r="V81" s="951">
        <f>(AZ81*KFC!$B$39+KFC!$C$39)*курс_уе</f>
        <v>314</v>
      </c>
      <c r="W81" s="951">
        <f>(BA81*KFC!$B$39+KFC!$C$39)*курс_уе</f>
        <v>322.5</v>
      </c>
      <c r="X81" s="951">
        <f>(BB81*KFC!$B$39+KFC!$C$39)*курс_уе</f>
        <v>330</v>
      </c>
      <c r="Y81" s="951">
        <f>(BC81*KFC!$B$39+KFC!$C$39)*курс_уе</f>
        <v>341.7</v>
      </c>
      <c r="Z81" s="951">
        <f>(BD81*KFC!$B$39+KFC!$C$39)*курс_уе</f>
        <v>349.2</v>
      </c>
      <c r="AA81" s="951">
        <f>(BE81*KFC!$B$39+KFC!$C$39)*курс_уе</f>
        <v>357.7</v>
      </c>
      <c r="AB81" s="951">
        <f>(BF81*KFC!$B$39+KFC!$C$39)*курс_уе</f>
        <v>367.3</v>
      </c>
      <c r="AC81" s="951">
        <f>(BG81*KFC!$B$39+KFC!$C$39)*курс_уе</f>
        <v>374.8</v>
      </c>
      <c r="AE81" s="2134"/>
      <c r="AF81" s="111">
        <v>4</v>
      </c>
      <c r="AG81" s="265">
        <v>148.69999999999999</v>
      </c>
      <c r="AH81" s="252">
        <v>157.19999999999999</v>
      </c>
      <c r="AI81" s="252">
        <v>166.9</v>
      </c>
      <c r="AJ81" s="252">
        <v>175.4</v>
      </c>
      <c r="AK81" s="252">
        <v>182.9</v>
      </c>
      <c r="AL81" s="252">
        <v>193.5</v>
      </c>
      <c r="AM81" s="252">
        <v>201</v>
      </c>
      <c r="AN81" s="252">
        <v>209.5</v>
      </c>
      <c r="AO81" s="252">
        <v>218</v>
      </c>
      <c r="AP81" s="252">
        <v>226.6</v>
      </c>
      <c r="AQ81" s="252">
        <v>235.1</v>
      </c>
      <c r="AR81" s="252">
        <v>242.6</v>
      </c>
      <c r="AS81" s="252">
        <v>254.3</v>
      </c>
      <c r="AT81" s="252">
        <v>262.8</v>
      </c>
      <c r="AU81" s="252">
        <v>270.3</v>
      </c>
      <c r="AV81" s="252">
        <v>279.89999999999998</v>
      </c>
      <c r="AW81" s="252">
        <v>287.39999999999998</v>
      </c>
      <c r="AX81" s="252">
        <v>296.89999999999998</v>
      </c>
      <c r="AY81" s="252">
        <v>306.5</v>
      </c>
      <c r="AZ81" s="252">
        <v>314</v>
      </c>
      <c r="BA81" s="583">
        <v>322.5</v>
      </c>
      <c r="BB81" s="627">
        <v>330</v>
      </c>
      <c r="BC81" s="252">
        <v>341.7</v>
      </c>
      <c r="BD81" s="252">
        <v>349.2</v>
      </c>
      <c r="BE81" s="252">
        <v>357.7</v>
      </c>
      <c r="BF81" s="252">
        <v>367.3</v>
      </c>
      <c r="BG81" s="583">
        <v>374.8</v>
      </c>
    </row>
    <row r="82" spans="1:59">
      <c r="A82" s="2134"/>
      <c r="B82" s="111">
        <v>4.0999999999999996</v>
      </c>
      <c r="C82" s="951">
        <f>(AG82*KFC!$B$39+KFC!$C$39)*курс_уе</f>
        <v>149.1</v>
      </c>
      <c r="D82" s="951">
        <f>(AH82*KFC!$B$39+KFC!$C$39)*курс_уе</f>
        <v>157.69999999999999</v>
      </c>
      <c r="E82" s="951">
        <f>(AI82*KFC!$B$39+KFC!$C$39)*курс_уе</f>
        <v>167.6</v>
      </c>
      <c r="F82" s="951">
        <f>(AJ82*KFC!$B$39+KFC!$C$39)*курс_уе</f>
        <v>176.2</v>
      </c>
      <c r="G82" s="951">
        <f>(AK82*KFC!$B$39+KFC!$C$39)*курс_уе</f>
        <v>183.7</v>
      </c>
      <c r="H82" s="951">
        <f>(AL82*KFC!$B$39+KFC!$C$39)*курс_уе</f>
        <v>194.6</v>
      </c>
      <c r="I82" s="951">
        <f>(AM82*KFC!$B$39+KFC!$C$39)*курс_уе</f>
        <v>202.1</v>
      </c>
      <c r="J82" s="951">
        <f>(AN82*KFC!$B$39+KFC!$C$39)*курс_уе</f>
        <v>210.7</v>
      </c>
      <c r="K82" s="951">
        <f>(AO82*KFC!$B$39+KFC!$C$39)*курс_уе</f>
        <v>219.3</v>
      </c>
      <c r="L82" s="951">
        <f>(AP82*KFC!$B$39+KFC!$C$39)*курс_уе</f>
        <v>228</v>
      </c>
      <c r="M82" s="951">
        <f>(AQ82*KFC!$B$39+KFC!$C$39)*курс_уе</f>
        <v>236.6</v>
      </c>
      <c r="N82" s="951">
        <f>(AR82*KFC!$B$39+KFC!$C$39)*курс_уе</f>
        <v>244.1</v>
      </c>
      <c r="O82" s="951">
        <f>(AS82*KFC!$B$39+KFC!$C$39)*курс_уе</f>
        <v>256.2</v>
      </c>
      <c r="P82" s="951">
        <f>(AT82*KFC!$B$39+KFC!$C$39)*курс_уе</f>
        <v>264.8</v>
      </c>
      <c r="Q82" s="951">
        <f>(AU82*KFC!$B$39+KFC!$C$39)*курс_уе</f>
        <v>272.3</v>
      </c>
      <c r="R82" s="951">
        <f>(AV82*KFC!$B$39+KFC!$C$39)*курс_уе</f>
        <v>282.10000000000002</v>
      </c>
      <c r="S82" s="951">
        <f>(AW82*KFC!$B$39+KFC!$C$39)*курс_уе</f>
        <v>289.60000000000002</v>
      </c>
      <c r="T82" s="951">
        <f>(AX82*KFC!$B$39+KFC!$C$39)*курс_уе</f>
        <v>299.3</v>
      </c>
      <c r="U82" s="951">
        <f>(AY82*KFC!$B$39+KFC!$C$39)*курс_уе</f>
        <v>309.10000000000002</v>
      </c>
      <c r="V82" s="951">
        <f>(AZ82*KFC!$B$39+KFC!$C$39)*курс_уе</f>
        <v>316.60000000000002</v>
      </c>
      <c r="W82" s="951">
        <f>(BA82*KFC!$B$39+KFC!$C$39)*курс_уе</f>
        <v>325.2</v>
      </c>
      <c r="X82" s="951">
        <f>(BB82*KFC!$B$39+KFC!$C$39)*курс_уе</f>
        <v>332.7</v>
      </c>
      <c r="Y82" s="951">
        <f>(BC82*KFC!$B$39+KFC!$C$39)*курс_уе</f>
        <v>344.8</v>
      </c>
      <c r="Z82" s="951">
        <f>(BD82*KFC!$B$39+KFC!$C$39)*курс_уе</f>
        <v>352.3</v>
      </c>
      <c r="AA82" s="951">
        <f>(BE82*KFC!$B$39+KFC!$C$39)*курс_уе</f>
        <v>360.9</v>
      </c>
      <c r="AB82" s="951">
        <f>(BF82*KFC!$B$39+KFC!$C$39)*курс_уе</f>
        <v>370.7</v>
      </c>
      <c r="AC82" s="951">
        <f>(BG82*KFC!$B$39+KFC!$C$39)*курс_уе</f>
        <v>378.2</v>
      </c>
      <c r="AE82" s="2134"/>
      <c r="AF82" s="111">
        <v>4.0999999999999996</v>
      </c>
      <c r="AG82" s="265">
        <v>149.1</v>
      </c>
      <c r="AH82" s="252">
        <v>157.69999999999999</v>
      </c>
      <c r="AI82" s="252">
        <v>167.6</v>
      </c>
      <c r="AJ82" s="252">
        <v>176.2</v>
      </c>
      <c r="AK82" s="252">
        <v>183.7</v>
      </c>
      <c r="AL82" s="252">
        <v>194.6</v>
      </c>
      <c r="AM82" s="252">
        <v>202.1</v>
      </c>
      <c r="AN82" s="252">
        <v>210.7</v>
      </c>
      <c r="AO82" s="252">
        <v>219.3</v>
      </c>
      <c r="AP82" s="252">
        <v>228</v>
      </c>
      <c r="AQ82" s="252">
        <v>236.6</v>
      </c>
      <c r="AR82" s="252">
        <v>244.1</v>
      </c>
      <c r="AS82" s="252">
        <v>256.2</v>
      </c>
      <c r="AT82" s="252">
        <v>264.8</v>
      </c>
      <c r="AU82" s="252">
        <v>272.3</v>
      </c>
      <c r="AV82" s="252">
        <v>282.10000000000002</v>
      </c>
      <c r="AW82" s="252">
        <v>289.60000000000002</v>
      </c>
      <c r="AX82" s="252">
        <v>299.3</v>
      </c>
      <c r="AY82" s="252">
        <v>309.10000000000002</v>
      </c>
      <c r="AZ82" s="252">
        <v>316.60000000000002</v>
      </c>
      <c r="BA82" s="583">
        <v>325.2</v>
      </c>
      <c r="BB82" s="627">
        <v>332.7</v>
      </c>
      <c r="BC82" s="252">
        <v>344.8</v>
      </c>
      <c r="BD82" s="252">
        <v>352.3</v>
      </c>
      <c r="BE82" s="252">
        <v>360.9</v>
      </c>
      <c r="BF82" s="252">
        <v>370.7</v>
      </c>
      <c r="BG82" s="583">
        <v>378.2</v>
      </c>
    </row>
    <row r="83" spans="1:59">
      <c r="A83" s="2134"/>
      <c r="B83" s="111">
        <v>4.2</v>
      </c>
      <c r="C83" s="951">
        <f>(AG83*KFC!$B$39+KFC!$C$39)*курс_уе</f>
        <v>149.5</v>
      </c>
      <c r="D83" s="951">
        <f>(AH83*KFC!$B$39+KFC!$C$39)*курс_уе</f>
        <v>158.19999999999999</v>
      </c>
      <c r="E83" s="951">
        <f>(AI83*KFC!$B$39+KFC!$C$39)*курс_уе</f>
        <v>168.3</v>
      </c>
      <c r="F83" s="951">
        <f>(AJ83*KFC!$B$39+KFC!$C$39)*курс_уе</f>
        <v>177</v>
      </c>
      <c r="G83" s="951">
        <f>(AK83*KFC!$B$39+KFC!$C$39)*курс_уе</f>
        <v>184.5</v>
      </c>
      <c r="H83" s="951">
        <f>(AL83*KFC!$B$39+KFC!$C$39)*курс_уе</f>
        <v>195.7</v>
      </c>
      <c r="I83" s="951">
        <f>(AM83*KFC!$B$39+KFC!$C$39)*курс_уе</f>
        <v>203.2</v>
      </c>
      <c r="J83" s="951">
        <f>(AN83*KFC!$B$39+KFC!$C$39)*курс_уе</f>
        <v>211.9</v>
      </c>
      <c r="K83" s="951">
        <f>(AO83*KFC!$B$39+KFC!$C$39)*курс_уе</f>
        <v>220.6</v>
      </c>
      <c r="L83" s="951">
        <f>(AP83*KFC!$B$39+KFC!$C$39)*курс_уе</f>
        <v>229.4</v>
      </c>
      <c r="M83" s="951">
        <f>(AQ83*KFC!$B$39+KFC!$C$39)*курс_уе</f>
        <v>238.1</v>
      </c>
      <c r="N83" s="951">
        <f>(AR83*KFC!$B$39+KFC!$C$39)*курс_уе</f>
        <v>245.6</v>
      </c>
      <c r="O83" s="951">
        <f>(AS83*KFC!$B$39+KFC!$C$39)*курс_уе</f>
        <v>258.10000000000002</v>
      </c>
      <c r="P83" s="951">
        <f>(AT83*KFC!$B$39+KFC!$C$39)*курс_уе</f>
        <v>266.8</v>
      </c>
      <c r="Q83" s="951">
        <f>(AU83*KFC!$B$39+KFC!$C$39)*курс_уе</f>
        <v>274.3</v>
      </c>
      <c r="R83" s="951">
        <f>(AV83*KFC!$B$39+KFC!$C$39)*курс_уе</f>
        <v>284.3</v>
      </c>
      <c r="S83" s="951">
        <f>(AW83*KFC!$B$39+KFC!$C$39)*курс_уе</f>
        <v>291.8</v>
      </c>
      <c r="T83" s="951">
        <f>(AX83*KFC!$B$39+KFC!$C$39)*курс_уе</f>
        <v>301.7</v>
      </c>
      <c r="U83" s="951">
        <f>(AY83*KFC!$B$39+KFC!$C$39)*курс_уе</f>
        <v>311.7</v>
      </c>
      <c r="V83" s="951">
        <f>(AZ83*KFC!$B$39+KFC!$C$39)*курс_уе</f>
        <v>319.2</v>
      </c>
      <c r="W83" s="951">
        <f>(BA83*KFC!$B$39+KFC!$C$39)*курс_уе</f>
        <v>327.9</v>
      </c>
      <c r="X83" s="951">
        <f>(BB83*KFC!$B$39+KFC!$C$39)*курс_уе</f>
        <v>335.4</v>
      </c>
      <c r="Y83" s="951">
        <f>(BC83*KFC!$B$39+KFC!$C$39)*курс_уе</f>
        <v>347.9</v>
      </c>
      <c r="Z83" s="951">
        <f>(BD83*KFC!$B$39+KFC!$C$39)*курс_уе</f>
        <v>355.4</v>
      </c>
      <c r="AA83" s="951">
        <f>(BE83*KFC!$B$39+KFC!$C$39)*курс_уе</f>
        <v>364.1</v>
      </c>
      <c r="AB83" s="951">
        <f>(BF83*KFC!$B$39+KFC!$C$39)*курс_уе</f>
        <v>374.1</v>
      </c>
      <c r="AC83" s="951">
        <f>(BG83*KFC!$B$39+KFC!$C$39)*курс_уе</f>
        <v>381.6</v>
      </c>
      <c r="AE83" s="2134"/>
      <c r="AF83" s="111">
        <v>4.2</v>
      </c>
      <c r="AG83" s="265">
        <v>149.5</v>
      </c>
      <c r="AH83" s="252">
        <v>158.19999999999999</v>
      </c>
      <c r="AI83" s="252">
        <v>168.3</v>
      </c>
      <c r="AJ83" s="252">
        <v>177</v>
      </c>
      <c r="AK83" s="252">
        <v>184.5</v>
      </c>
      <c r="AL83" s="252">
        <v>195.7</v>
      </c>
      <c r="AM83" s="252">
        <v>203.2</v>
      </c>
      <c r="AN83" s="252">
        <v>211.9</v>
      </c>
      <c r="AO83" s="252">
        <v>220.6</v>
      </c>
      <c r="AP83" s="252">
        <v>229.4</v>
      </c>
      <c r="AQ83" s="252">
        <v>238.1</v>
      </c>
      <c r="AR83" s="252">
        <v>245.6</v>
      </c>
      <c r="AS83" s="252">
        <v>258.10000000000002</v>
      </c>
      <c r="AT83" s="252">
        <v>266.8</v>
      </c>
      <c r="AU83" s="252">
        <v>274.3</v>
      </c>
      <c r="AV83" s="252">
        <v>284.3</v>
      </c>
      <c r="AW83" s="252">
        <v>291.8</v>
      </c>
      <c r="AX83" s="252">
        <v>301.7</v>
      </c>
      <c r="AY83" s="252">
        <v>311.7</v>
      </c>
      <c r="AZ83" s="252">
        <v>319.2</v>
      </c>
      <c r="BA83" s="583">
        <v>327.9</v>
      </c>
      <c r="BB83" s="627">
        <v>335.4</v>
      </c>
      <c r="BC83" s="252">
        <v>347.9</v>
      </c>
      <c r="BD83" s="252">
        <v>355.4</v>
      </c>
      <c r="BE83" s="252">
        <v>364.1</v>
      </c>
      <c r="BF83" s="252">
        <v>374.1</v>
      </c>
      <c r="BG83" s="583">
        <v>381.6</v>
      </c>
    </row>
    <row r="84" spans="1:59">
      <c r="A84" s="2134"/>
      <c r="B84" s="111">
        <v>4.3</v>
      </c>
      <c r="C84" s="951">
        <f>(AG84*KFC!$B$39+KFC!$C$39)*курс_уе</f>
        <v>149.9</v>
      </c>
      <c r="D84" s="951">
        <f>(AH84*KFC!$B$39+KFC!$C$39)*курс_уе</f>
        <v>158.69999999999999</v>
      </c>
      <c r="E84" s="951">
        <f>(AI84*KFC!$B$39+KFC!$C$39)*курс_уе</f>
        <v>169</v>
      </c>
      <c r="F84" s="951">
        <f>(AJ84*KFC!$B$39+KFC!$C$39)*курс_уе</f>
        <v>177.8</v>
      </c>
      <c r="G84" s="951">
        <f>(AK84*KFC!$B$39+KFC!$C$39)*курс_уе</f>
        <v>185.3</v>
      </c>
      <c r="H84" s="951">
        <f>(AL84*KFC!$B$39+KFC!$C$39)*курс_уе</f>
        <v>196.8</v>
      </c>
      <c r="I84" s="951">
        <f>(AM84*KFC!$B$39+KFC!$C$39)*курс_уе</f>
        <v>204.3</v>
      </c>
      <c r="J84" s="951">
        <f>(AN84*KFC!$B$39+KFC!$C$39)*курс_уе</f>
        <v>213.1</v>
      </c>
      <c r="K84" s="951">
        <f>(AO84*KFC!$B$39+KFC!$C$39)*курс_уе</f>
        <v>221.9</v>
      </c>
      <c r="L84" s="951">
        <f>(AP84*KFC!$B$39+KFC!$C$39)*курс_уе</f>
        <v>230.8</v>
      </c>
      <c r="M84" s="951">
        <f>(AQ84*KFC!$B$39+KFC!$C$39)*курс_уе</f>
        <v>239.6</v>
      </c>
      <c r="N84" s="951">
        <f>(AR84*KFC!$B$39+KFC!$C$39)*курс_уе</f>
        <v>247.1</v>
      </c>
      <c r="O84" s="951">
        <f>(AS84*KFC!$B$39+KFC!$C$39)*курс_уе</f>
        <v>260</v>
      </c>
      <c r="P84" s="951">
        <f>(AT84*KFC!$B$39+KFC!$C$39)*курс_уе</f>
        <v>268.8</v>
      </c>
      <c r="Q84" s="951">
        <f>(AU84*KFC!$B$39+KFC!$C$39)*курс_уе</f>
        <v>276.3</v>
      </c>
      <c r="R84" s="951">
        <f>(AV84*KFC!$B$39+KFC!$C$39)*курс_уе</f>
        <v>286.5</v>
      </c>
      <c r="S84" s="951">
        <f>(AW84*KFC!$B$39+KFC!$C$39)*курс_уе</f>
        <v>294</v>
      </c>
      <c r="T84" s="951">
        <f>(AX84*KFC!$B$39+KFC!$C$39)*курс_уе</f>
        <v>304.10000000000002</v>
      </c>
      <c r="U84" s="951">
        <f>(AY84*KFC!$B$39+KFC!$C$39)*курс_уе</f>
        <v>314.3</v>
      </c>
      <c r="V84" s="951">
        <f>(AZ84*KFC!$B$39+KFC!$C$39)*курс_уе</f>
        <v>321.8</v>
      </c>
      <c r="W84" s="951">
        <f>(BA84*KFC!$B$39+KFC!$C$39)*курс_уе</f>
        <v>330.6</v>
      </c>
      <c r="X84" s="951">
        <f>(BB84*KFC!$B$39+KFC!$C$39)*курс_уе</f>
        <v>338.1</v>
      </c>
      <c r="Y84" s="951">
        <f>(BC84*KFC!$B$39+KFC!$C$39)*курс_уе</f>
        <v>351</v>
      </c>
      <c r="Z84" s="951">
        <f>(BD84*KFC!$B$39+KFC!$C$39)*курс_уе</f>
        <v>358.5</v>
      </c>
      <c r="AA84" s="951">
        <f>(BE84*KFC!$B$39+KFC!$C$39)*курс_уе</f>
        <v>367.3</v>
      </c>
      <c r="AB84" s="951">
        <f>(BF84*KFC!$B$39+KFC!$C$39)*курс_уе</f>
        <v>377.5</v>
      </c>
      <c r="AC84" s="951">
        <f>(BG84*KFC!$B$39+KFC!$C$39)*курс_уе</f>
        <v>385</v>
      </c>
      <c r="AE84" s="2134"/>
      <c r="AF84" s="111">
        <v>4.3</v>
      </c>
      <c r="AG84" s="265">
        <v>149.9</v>
      </c>
      <c r="AH84" s="252">
        <v>158.69999999999999</v>
      </c>
      <c r="AI84" s="252">
        <v>169</v>
      </c>
      <c r="AJ84" s="252">
        <v>177.8</v>
      </c>
      <c r="AK84" s="252">
        <v>185.3</v>
      </c>
      <c r="AL84" s="252">
        <v>196.8</v>
      </c>
      <c r="AM84" s="252">
        <v>204.3</v>
      </c>
      <c r="AN84" s="252">
        <v>213.1</v>
      </c>
      <c r="AO84" s="252">
        <v>221.9</v>
      </c>
      <c r="AP84" s="252">
        <v>230.8</v>
      </c>
      <c r="AQ84" s="252">
        <v>239.6</v>
      </c>
      <c r="AR84" s="252">
        <v>247.1</v>
      </c>
      <c r="AS84" s="252">
        <v>260</v>
      </c>
      <c r="AT84" s="252">
        <v>268.8</v>
      </c>
      <c r="AU84" s="252">
        <v>276.3</v>
      </c>
      <c r="AV84" s="252">
        <v>286.5</v>
      </c>
      <c r="AW84" s="252">
        <v>294</v>
      </c>
      <c r="AX84" s="252">
        <v>304.10000000000002</v>
      </c>
      <c r="AY84" s="252">
        <v>314.3</v>
      </c>
      <c r="AZ84" s="252">
        <v>321.8</v>
      </c>
      <c r="BA84" s="583">
        <v>330.6</v>
      </c>
      <c r="BB84" s="627">
        <v>338.1</v>
      </c>
      <c r="BC84" s="252">
        <v>351</v>
      </c>
      <c r="BD84" s="252">
        <v>358.5</v>
      </c>
      <c r="BE84" s="252">
        <v>367.3</v>
      </c>
      <c r="BF84" s="252">
        <v>377.5</v>
      </c>
      <c r="BG84" s="583">
        <v>385</v>
      </c>
    </row>
    <row r="85" spans="1:59">
      <c r="A85" s="2134"/>
      <c r="B85" s="111">
        <v>4.4000000000000004</v>
      </c>
      <c r="C85" s="951">
        <f>(AG85*KFC!$B$39+KFC!$C$39)*курс_уе</f>
        <v>150.30000000000001</v>
      </c>
      <c r="D85" s="951">
        <f>(AH85*KFC!$B$39+KFC!$C$39)*курс_уе</f>
        <v>159.19999999999999</v>
      </c>
      <c r="E85" s="951">
        <f>(AI85*KFC!$B$39+KFC!$C$39)*курс_уе</f>
        <v>169.7</v>
      </c>
      <c r="F85" s="951">
        <f>(AJ85*KFC!$B$39+KFC!$C$39)*курс_уе</f>
        <v>178.6</v>
      </c>
      <c r="G85" s="951">
        <f>(AK85*KFC!$B$39+KFC!$C$39)*курс_уе</f>
        <v>186.1</v>
      </c>
      <c r="H85" s="951">
        <f>(AL85*KFC!$B$39+KFC!$C$39)*курс_уе</f>
        <v>197.9</v>
      </c>
      <c r="I85" s="951">
        <f>(AM85*KFC!$B$39+KFC!$C$39)*курс_уе</f>
        <v>205.4</v>
      </c>
      <c r="J85" s="951">
        <f>(AN85*KFC!$B$39+KFC!$C$39)*курс_уе</f>
        <v>214.3</v>
      </c>
      <c r="K85" s="951">
        <f>(AO85*KFC!$B$39+KFC!$C$39)*курс_уе</f>
        <v>223.2</v>
      </c>
      <c r="L85" s="951">
        <f>(AP85*KFC!$B$39+KFC!$C$39)*курс_уе</f>
        <v>232.2</v>
      </c>
      <c r="M85" s="951">
        <f>(AQ85*KFC!$B$39+KFC!$C$39)*курс_уе</f>
        <v>241.1</v>
      </c>
      <c r="N85" s="951">
        <f>(AR85*KFC!$B$39+KFC!$C$39)*курс_уе</f>
        <v>248.6</v>
      </c>
      <c r="O85" s="951">
        <f>(AS85*KFC!$B$39+KFC!$C$39)*курс_уе</f>
        <v>261.89999999999998</v>
      </c>
      <c r="P85" s="951">
        <f>(AT85*KFC!$B$39+KFC!$C$39)*курс_уе</f>
        <v>270.8</v>
      </c>
      <c r="Q85" s="951">
        <f>(AU85*KFC!$B$39+KFC!$C$39)*курс_уе</f>
        <v>278.3</v>
      </c>
      <c r="R85" s="951">
        <f>(AV85*KFC!$B$39+KFC!$C$39)*курс_уе</f>
        <v>288.7</v>
      </c>
      <c r="S85" s="951">
        <f>(AW85*KFC!$B$39+KFC!$C$39)*курс_уе</f>
        <v>296.2</v>
      </c>
      <c r="T85" s="951">
        <f>(AX85*KFC!$B$39+KFC!$C$39)*курс_уе</f>
        <v>306.5</v>
      </c>
      <c r="U85" s="951">
        <f>(AY85*KFC!$B$39+KFC!$C$39)*курс_уе</f>
        <v>316.89999999999998</v>
      </c>
      <c r="V85" s="951">
        <f>(AZ85*KFC!$B$39+KFC!$C$39)*курс_уе</f>
        <v>324.39999999999998</v>
      </c>
      <c r="W85" s="951">
        <f>(BA85*KFC!$B$39+KFC!$C$39)*курс_уе</f>
        <v>333.3</v>
      </c>
      <c r="X85" s="951">
        <f>(BB85*KFC!$B$39+KFC!$C$39)*курс_уе</f>
        <v>340.8</v>
      </c>
      <c r="Y85" s="951">
        <f>(BC85*KFC!$B$39+KFC!$C$39)*курс_уе</f>
        <v>354.1</v>
      </c>
      <c r="Z85" s="951">
        <f>(BD85*KFC!$B$39+KFC!$C$39)*курс_уе</f>
        <v>361.6</v>
      </c>
      <c r="AA85" s="951">
        <f>(BE85*KFC!$B$39+KFC!$C$39)*курс_уе</f>
        <v>370.5</v>
      </c>
      <c r="AB85" s="951">
        <f>(BF85*KFC!$B$39+KFC!$C$39)*курс_уе</f>
        <v>380.9</v>
      </c>
      <c r="AC85" s="951">
        <f>(BG85*KFC!$B$39+KFC!$C$39)*курс_уе</f>
        <v>388.4</v>
      </c>
      <c r="AE85" s="2134"/>
      <c r="AF85" s="111">
        <v>4.4000000000000004</v>
      </c>
      <c r="AG85" s="265">
        <v>150.30000000000001</v>
      </c>
      <c r="AH85" s="252">
        <v>159.19999999999999</v>
      </c>
      <c r="AI85" s="252">
        <v>169.7</v>
      </c>
      <c r="AJ85" s="252">
        <v>178.6</v>
      </c>
      <c r="AK85" s="252">
        <v>186.1</v>
      </c>
      <c r="AL85" s="252">
        <v>197.9</v>
      </c>
      <c r="AM85" s="252">
        <v>205.4</v>
      </c>
      <c r="AN85" s="252">
        <v>214.3</v>
      </c>
      <c r="AO85" s="252">
        <v>223.2</v>
      </c>
      <c r="AP85" s="252">
        <v>232.2</v>
      </c>
      <c r="AQ85" s="252">
        <v>241.1</v>
      </c>
      <c r="AR85" s="252">
        <v>248.6</v>
      </c>
      <c r="AS85" s="252">
        <v>261.89999999999998</v>
      </c>
      <c r="AT85" s="252">
        <v>270.8</v>
      </c>
      <c r="AU85" s="252">
        <v>278.3</v>
      </c>
      <c r="AV85" s="252">
        <v>288.7</v>
      </c>
      <c r="AW85" s="252">
        <v>296.2</v>
      </c>
      <c r="AX85" s="252">
        <v>306.5</v>
      </c>
      <c r="AY85" s="252">
        <v>316.89999999999998</v>
      </c>
      <c r="AZ85" s="252">
        <v>324.39999999999998</v>
      </c>
      <c r="BA85" s="583">
        <v>333.3</v>
      </c>
      <c r="BB85" s="627">
        <v>340.8</v>
      </c>
      <c r="BC85" s="252">
        <v>354.1</v>
      </c>
      <c r="BD85" s="252">
        <v>361.6</v>
      </c>
      <c r="BE85" s="252">
        <v>370.5</v>
      </c>
      <c r="BF85" s="252">
        <v>380.9</v>
      </c>
      <c r="BG85" s="583">
        <v>388.4</v>
      </c>
    </row>
    <row r="86" spans="1:59">
      <c r="A86" s="2134"/>
      <c r="B86" s="111">
        <v>4.5</v>
      </c>
      <c r="C86" s="951">
        <f>(AG86*KFC!$B$39+KFC!$C$39)*курс_уе</f>
        <v>150.69999999999999</v>
      </c>
      <c r="D86" s="951">
        <f>(AH86*KFC!$B$39+KFC!$C$39)*курс_уе</f>
        <v>159.69999999999999</v>
      </c>
      <c r="E86" s="951">
        <f>(AI86*KFC!$B$39+KFC!$C$39)*курс_уе</f>
        <v>170.4</v>
      </c>
      <c r="F86" s="951">
        <f>(AJ86*KFC!$B$39+KFC!$C$39)*курс_уе</f>
        <v>179.4</v>
      </c>
      <c r="G86" s="951">
        <f>(AK86*KFC!$B$39+KFC!$C$39)*курс_уе</f>
        <v>186.9</v>
      </c>
      <c r="H86" s="951">
        <f>(AL86*KFC!$B$39+KFC!$C$39)*курс_уе</f>
        <v>199</v>
      </c>
      <c r="I86" s="951">
        <f>(AM86*KFC!$B$39+KFC!$C$39)*курс_уе</f>
        <v>206.5</v>
      </c>
      <c r="J86" s="951">
        <f>(AN86*KFC!$B$39+KFC!$C$39)*курс_уе</f>
        <v>215.5</v>
      </c>
      <c r="K86" s="951">
        <f>(AO86*KFC!$B$39+KFC!$C$39)*курс_уе</f>
        <v>224.5</v>
      </c>
      <c r="L86" s="951">
        <f>(AP86*KFC!$B$39+KFC!$C$39)*курс_уе</f>
        <v>233.6</v>
      </c>
      <c r="M86" s="951">
        <f>(AQ86*KFC!$B$39+KFC!$C$39)*курс_уе</f>
        <v>242.6</v>
      </c>
      <c r="N86" s="951">
        <f>(AR86*KFC!$B$39+KFC!$C$39)*курс_уе</f>
        <v>250.1</v>
      </c>
      <c r="O86" s="951">
        <f>(AS86*KFC!$B$39+KFC!$C$39)*курс_уе</f>
        <v>263.8</v>
      </c>
      <c r="P86" s="951">
        <f>(AT86*KFC!$B$39+KFC!$C$39)*курс_уе</f>
        <v>272.8</v>
      </c>
      <c r="Q86" s="951">
        <f>(AU86*KFC!$B$39+KFC!$C$39)*курс_уе</f>
        <v>280.3</v>
      </c>
      <c r="R86" s="951">
        <f>(AV86*KFC!$B$39+KFC!$C$39)*курс_уе</f>
        <v>290.89999999999998</v>
      </c>
      <c r="S86" s="951">
        <f>(AW86*KFC!$B$39+KFC!$C$39)*курс_уе</f>
        <v>298.39999999999998</v>
      </c>
      <c r="T86" s="951">
        <f>(AX86*KFC!$B$39+KFC!$C$39)*курс_уе</f>
        <v>308.89999999999998</v>
      </c>
      <c r="U86" s="951">
        <f>(AY86*KFC!$B$39+KFC!$C$39)*курс_уе</f>
        <v>319.5</v>
      </c>
      <c r="V86" s="951">
        <f>(AZ86*KFC!$B$39+KFC!$C$39)*курс_уе</f>
        <v>327</v>
      </c>
      <c r="W86" s="951">
        <f>(BA86*KFC!$B$39+KFC!$C$39)*курс_уе</f>
        <v>336</v>
      </c>
      <c r="X86" s="951">
        <f>(BB86*KFC!$B$39+KFC!$C$39)*курс_уе</f>
        <v>343.5</v>
      </c>
      <c r="Y86" s="951">
        <f>(BC86*KFC!$B$39+KFC!$C$39)*курс_уе</f>
        <v>357.2</v>
      </c>
      <c r="Z86" s="951">
        <f>(BD86*KFC!$B$39+KFC!$C$39)*курс_уе</f>
        <v>364.7</v>
      </c>
      <c r="AA86" s="951">
        <f>(BE86*KFC!$B$39+KFC!$C$39)*курс_уе</f>
        <v>373.7</v>
      </c>
      <c r="AB86" s="951">
        <f>(BF86*KFC!$B$39+KFC!$C$39)*курс_уе</f>
        <v>384.3</v>
      </c>
      <c r="AC86" s="951">
        <f>(BG86*KFC!$B$39+KFC!$C$39)*курс_уе</f>
        <v>391.8</v>
      </c>
      <c r="AE86" s="2134"/>
      <c r="AF86" s="111">
        <v>4.5</v>
      </c>
      <c r="AG86" s="265">
        <v>150.69999999999999</v>
      </c>
      <c r="AH86" s="252">
        <v>159.69999999999999</v>
      </c>
      <c r="AI86" s="252">
        <v>170.4</v>
      </c>
      <c r="AJ86" s="252">
        <v>179.4</v>
      </c>
      <c r="AK86" s="252">
        <v>186.9</v>
      </c>
      <c r="AL86" s="252">
        <v>199</v>
      </c>
      <c r="AM86" s="252">
        <v>206.5</v>
      </c>
      <c r="AN86" s="252">
        <v>215.5</v>
      </c>
      <c r="AO86" s="252">
        <v>224.5</v>
      </c>
      <c r="AP86" s="252">
        <v>233.6</v>
      </c>
      <c r="AQ86" s="252">
        <v>242.6</v>
      </c>
      <c r="AR86" s="252">
        <v>250.1</v>
      </c>
      <c r="AS86" s="252">
        <v>263.8</v>
      </c>
      <c r="AT86" s="252">
        <v>272.8</v>
      </c>
      <c r="AU86" s="252">
        <v>280.3</v>
      </c>
      <c r="AV86" s="252">
        <v>290.89999999999998</v>
      </c>
      <c r="AW86" s="252">
        <v>298.39999999999998</v>
      </c>
      <c r="AX86" s="252">
        <v>308.89999999999998</v>
      </c>
      <c r="AY86" s="252">
        <v>319.5</v>
      </c>
      <c r="AZ86" s="252">
        <v>327</v>
      </c>
      <c r="BA86" s="583">
        <v>336</v>
      </c>
      <c r="BB86" s="627">
        <v>343.5</v>
      </c>
      <c r="BC86" s="252">
        <v>357.2</v>
      </c>
      <c r="BD86" s="252">
        <v>364.7</v>
      </c>
      <c r="BE86" s="252">
        <v>373.7</v>
      </c>
      <c r="BF86" s="252">
        <v>384.3</v>
      </c>
      <c r="BG86" s="583">
        <v>391.8</v>
      </c>
    </row>
    <row r="87" spans="1:59">
      <c r="A87" s="2134"/>
      <c r="B87" s="111">
        <v>4.5999999999999996</v>
      </c>
      <c r="C87" s="951">
        <f>(AG87*KFC!$B$39+KFC!$C$39)*курс_уе</f>
        <v>151.1</v>
      </c>
      <c r="D87" s="951">
        <f>(AH87*KFC!$B$39+KFC!$C$39)*курс_уе</f>
        <v>160.19999999999999</v>
      </c>
      <c r="E87" s="951">
        <f>(AI87*KFC!$B$39+KFC!$C$39)*курс_уе</f>
        <v>171.1</v>
      </c>
      <c r="F87" s="951">
        <f>(AJ87*KFC!$B$39+KFC!$C$39)*курс_уе</f>
        <v>180.2</v>
      </c>
      <c r="G87" s="951">
        <f>(AK87*KFC!$B$39+KFC!$C$39)*курс_уе</f>
        <v>187.7</v>
      </c>
      <c r="H87" s="951">
        <f>(AL87*KFC!$B$39+KFC!$C$39)*курс_уе</f>
        <v>200.1</v>
      </c>
      <c r="I87" s="951">
        <f>(AM87*KFC!$B$39+KFC!$C$39)*курс_уе</f>
        <v>207.6</v>
      </c>
      <c r="J87" s="951">
        <f>(AN87*KFC!$B$39+KFC!$C$39)*курс_уе</f>
        <v>216.7</v>
      </c>
      <c r="K87" s="951">
        <f>(AO87*KFC!$B$39+KFC!$C$39)*курс_уе</f>
        <v>225.8</v>
      </c>
      <c r="L87" s="951">
        <f>(AP87*KFC!$B$39+KFC!$C$39)*курс_уе</f>
        <v>235</v>
      </c>
      <c r="M87" s="951">
        <f>(AQ87*KFC!$B$39+KFC!$C$39)*курс_уе</f>
        <v>244.1</v>
      </c>
      <c r="N87" s="951">
        <f>(AR87*KFC!$B$39+KFC!$C$39)*курс_уе</f>
        <v>251.6</v>
      </c>
      <c r="O87" s="951">
        <f>(AS87*KFC!$B$39+KFC!$C$39)*курс_уе</f>
        <v>265.7</v>
      </c>
      <c r="P87" s="951">
        <f>(AT87*KFC!$B$39+KFC!$C$39)*курс_уе</f>
        <v>274.8</v>
      </c>
      <c r="Q87" s="951">
        <f>(AU87*KFC!$B$39+KFC!$C$39)*курс_уе</f>
        <v>282.3</v>
      </c>
      <c r="R87" s="951">
        <f>(AV87*KFC!$B$39+KFC!$C$39)*курс_уе</f>
        <v>293.10000000000002</v>
      </c>
      <c r="S87" s="951">
        <f>(AW87*KFC!$B$39+KFC!$C$39)*курс_уе</f>
        <v>300.60000000000002</v>
      </c>
      <c r="T87" s="951">
        <f>(AX87*KFC!$B$39+KFC!$C$39)*курс_уе</f>
        <v>311.3</v>
      </c>
      <c r="U87" s="951">
        <f>(AY87*KFC!$B$39+KFC!$C$39)*курс_уе</f>
        <v>322.10000000000002</v>
      </c>
      <c r="V87" s="951">
        <f>(AZ87*KFC!$B$39+KFC!$C$39)*курс_уе</f>
        <v>329.6</v>
      </c>
      <c r="W87" s="951">
        <f>(BA87*KFC!$B$39+KFC!$C$39)*курс_уе</f>
        <v>338.7</v>
      </c>
      <c r="X87" s="951">
        <f>(BB87*KFC!$B$39+KFC!$C$39)*курс_уе</f>
        <v>346.2</v>
      </c>
      <c r="Y87" s="951">
        <f>(BC87*KFC!$B$39+KFC!$C$39)*курс_уе</f>
        <v>360.3</v>
      </c>
      <c r="Z87" s="951">
        <f>(BD87*KFC!$B$39+KFC!$C$39)*курс_уе</f>
        <v>367.8</v>
      </c>
      <c r="AA87" s="951">
        <f>(BE87*KFC!$B$39+KFC!$C$39)*курс_уе</f>
        <v>376.9</v>
      </c>
      <c r="AB87" s="951">
        <f>(BF87*KFC!$B$39+KFC!$C$39)*курс_уе</f>
        <v>387.7</v>
      </c>
      <c r="AC87" s="951">
        <f>(BG87*KFC!$B$39+KFC!$C$39)*курс_уе</f>
        <v>395.2</v>
      </c>
      <c r="AE87" s="2134"/>
      <c r="AF87" s="111">
        <v>4.5999999999999996</v>
      </c>
      <c r="AG87" s="265">
        <v>151.1</v>
      </c>
      <c r="AH87" s="252">
        <v>160.19999999999999</v>
      </c>
      <c r="AI87" s="252">
        <v>171.1</v>
      </c>
      <c r="AJ87" s="252">
        <v>180.2</v>
      </c>
      <c r="AK87" s="252">
        <v>187.7</v>
      </c>
      <c r="AL87" s="252">
        <v>200.1</v>
      </c>
      <c r="AM87" s="252">
        <v>207.6</v>
      </c>
      <c r="AN87" s="252">
        <v>216.7</v>
      </c>
      <c r="AO87" s="252">
        <v>225.8</v>
      </c>
      <c r="AP87" s="252">
        <v>235</v>
      </c>
      <c r="AQ87" s="252">
        <v>244.1</v>
      </c>
      <c r="AR87" s="252">
        <v>251.6</v>
      </c>
      <c r="AS87" s="252">
        <v>265.7</v>
      </c>
      <c r="AT87" s="252">
        <v>274.8</v>
      </c>
      <c r="AU87" s="252">
        <v>282.3</v>
      </c>
      <c r="AV87" s="252">
        <v>293.10000000000002</v>
      </c>
      <c r="AW87" s="252">
        <v>300.60000000000002</v>
      </c>
      <c r="AX87" s="252">
        <v>311.3</v>
      </c>
      <c r="AY87" s="252">
        <v>322.10000000000002</v>
      </c>
      <c r="AZ87" s="252">
        <v>329.6</v>
      </c>
      <c r="BA87" s="583">
        <v>338.7</v>
      </c>
      <c r="BB87" s="627">
        <v>346.2</v>
      </c>
      <c r="BC87" s="252">
        <v>360.3</v>
      </c>
      <c r="BD87" s="252">
        <v>367.8</v>
      </c>
      <c r="BE87" s="252">
        <v>376.9</v>
      </c>
      <c r="BF87" s="252">
        <v>387.7</v>
      </c>
      <c r="BG87" s="583">
        <v>395.2</v>
      </c>
    </row>
    <row r="88" spans="1:59">
      <c r="A88" s="2134"/>
      <c r="B88" s="111">
        <v>4.7</v>
      </c>
      <c r="C88" s="951">
        <f>(AG88*KFC!$B$39+KFC!$C$39)*курс_уе</f>
        <v>151.5</v>
      </c>
      <c r="D88" s="951">
        <f>(AH88*KFC!$B$39+KFC!$C$39)*курс_уе</f>
        <v>160.69999999999999</v>
      </c>
      <c r="E88" s="951">
        <f>(AI88*KFC!$B$39+KFC!$C$39)*курс_уе</f>
        <v>171.8</v>
      </c>
      <c r="F88" s="951">
        <f>(AJ88*KFC!$B$39+KFC!$C$39)*курс_уе</f>
        <v>181</v>
      </c>
      <c r="G88" s="951">
        <f>(AK88*KFC!$B$39+KFC!$C$39)*курс_уе</f>
        <v>188.5</v>
      </c>
      <c r="H88" s="951">
        <f>(AL88*KFC!$B$39+KFC!$C$39)*курс_уе</f>
        <v>201.2</v>
      </c>
      <c r="I88" s="951">
        <f>(AM88*KFC!$B$39+KFC!$C$39)*курс_уе</f>
        <v>208.7</v>
      </c>
      <c r="J88" s="951">
        <f>(AN88*KFC!$B$39+KFC!$C$39)*курс_уе</f>
        <v>217.9</v>
      </c>
      <c r="K88" s="951">
        <f>(AO88*KFC!$B$39+KFC!$C$39)*курс_уе</f>
        <v>227.1</v>
      </c>
      <c r="L88" s="951">
        <f>(AP88*KFC!$B$39+KFC!$C$39)*курс_уе</f>
        <v>236.4</v>
      </c>
      <c r="M88" s="951">
        <f>(AQ88*KFC!$B$39+KFC!$C$39)*курс_уе</f>
        <v>245.6</v>
      </c>
      <c r="N88" s="951">
        <f>(AR88*KFC!$B$39+KFC!$C$39)*курс_уе</f>
        <v>253.1</v>
      </c>
      <c r="O88" s="951">
        <f>(AS88*KFC!$B$39+KFC!$C$39)*курс_уе</f>
        <v>267.60000000000002</v>
      </c>
      <c r="P88" s="951">
        <f>(AT88*KFC!$B$39+KFC!$C$39)*курс_уе</f>
        <v>276.8</v>
      </c>
      <c r="Q88" s="951">
        <f>(AU88*KFC!$B$39+KFC!$C$39)*курс_уе</f>
        <v>284.3</v>
      </c>
      <c r="R88" s="951">
        <f>(AV88*KFC!$B$39+KFC!$C$39)*курс_уе</f>
        <v>295.3</v>
      </c>
      <c r="S88" s="951">
        <f>(AW88*KFC!$B$39+KFC!$C$39)*курс_уе</f>
        <v>302.8</v>
      </c>
      <c r="T88" s="951">
        <f>(AX88*KFC!$B$39+KFC!$C$39)*курс_уе</f>
        <v>313.7</v>
      </c>
      <c r="U88" s="951">
        <f>(AY88*KFC!$B$39+KFC!$C$39)*курс_уе</f>
        <v>324.7</v>
      </c>
      <c r="V88" s="951">
        <f>(AZ88*KFC!$B$39+KFC!$C$39)*курс_уе</f>
        <v>332.2</v>
      </c>
      <c r="W88" s="951">
        <f>(BA88*KFC!$B$39+KFC!$C$39)*курс_уе</f>
        <v>341.4</v>
      </c>
      <c r="X88" s="951">
        <f>(BB88*KFC!$B$39+KFC!$C$39)*курс_уе</f>
        <v>348.9</v>
      </c>
      <c r="Y88" s="951">
        <f>(BC88*KFC!$B$39+KFC!$C$39)*курс_уе</f>
        <v>363.4</v>
      </c>
      <c r="Z88" s="951">
        <f>(BD88*KFC!$B$39+KFC!$C$39)*курс_уе</f>
        <v>370.9</v>
      </c>
      <c r="AA88" s="951">
        <f>(BE88*KFC!$B$39+KFC!$C$39)*курс_уе</f>
        <v>380.1</v>
      </c>
      <c r="AB88" s="951">
        <f>(BF88*KFC!$B$39+KFC!$C$39)*курс_уе</f>
        <v>391.1</v>
      </c>
      <c r="AC88" s="951">
        <f>(BG88*KFC!$B$39+KFC!$C$39)*курс_уе</f>
        <v>398.6</v>
      </c>
      <c r="AE88" s="2134"/>
      <c r="AF88" s="111">
        <v>4.7</v>
      </c>
      <c r="AG88" s="265">
        <v>151.5</v>
      </c>
      <c r="AH88" s="252">
        <v>160.69999999999999</v>
      </c>
      <c r="AI88" s="252">
        <v>171.8</v>
      </c>
      <c r="AJ88" s="252">
        <v>181</v>
      </c>
      <c r="AK88" s="252">
        <v>188.5</v>
      </c>
      <c r="AL88" s="252">
        <v>201.2</v>
      </c>
      <c r="AM88" s="252">
        <v>208.7</v>
      </c>
      <c r="AN88" s="252">
        <v>217.9</v>
      </c>
      <c r="AO88" s="252">
        <v>227.1</v>
      </c>
      <c r="AP88" s="252">
        <v>236.4</v>
      </c>
      <c r="AQ88" s="252">
        <v>245.6</v>
      </c>
      <c r="AR88" s="252">
        <v>253.1</v>
      </c>
      <c r="AS88" s="252">
        <v>267.60000000000002</v>
      </c>
      <c r="AT88" s="252">
        <v>276.8</v>
      </c>
      <c r="AU88" s="252">
        <v>284.3</v>
      </c>
      <c r="AV88" s="252">
        <v>295.3</v>
      </c>
      <c r="AW88" s="252">
        <v>302.8</v>
      </c>
      <c r="AX88" s="252">
        <v>313.7</v>
      </c>
      <c r="AY88" s="252">
        <v>324.7</v>
      </c>
      <c r="AZ88" s="252">
        <v>332.2</v>
      </c>
      <c r="BA88" s="583">
        <v>341.4</v>
      </c>
      <c r="BB88" s="627">
        <v>348.9</v>
      </c>
      <c r="BC88" s="252">
        <v>363.4</v>
      </c>
      <c r="BD88" s="252">
        <v>370.9</v>
      </c>
      <c r="BE88" s="252">
        <v>380.1</v>
      </c>
      <c r="BF88" s="252">
        <v>391.1</v>
      </c>
      <c r="BG88" s="583">
        <v>398.6</v>
      </c>
    </row>
    <row r="89" spans="1:59">
      <c r="A89" s="2134"/>
      <c r="B89" s="111">
        <v>4.8</v>
      </c>
      <c r="C89" s="951">
        <f>(AG89*KFC!$B$39+KFC!$C$39)*курс_уе</f>
        <v>151.9</v>
      </c>
      <c r="D89" s="951">
        <f>(AH89*KFC!$B$39+KFC!$C$39)*курс_уе</f>
        <v>161.19999999999999</v>
      </c>
      <c r="E89" s="951">
        <f>(AI89*KFC!$B$39+KFC!$C$39)*курс_уе</f>
        <v>172.5</v>
      </c>
      <c r="F89" s="951">
        <f>(AJ89*KFC!$B$39+KFC!$C$39)*курс_уе</f>
        <v>181.8</v>
      </c>
      <c r="G89" s="951">
        <f>(AK89*KFC!$B$39+KFC!$C$39)*курс_уе</f>
        <v>189.3</v>
      </c>
      <c r="H89" s="951">
        <f>(AL89*KFC!$B$39+KFC!$C$39)*курс_уе</f>
        <v>202.3</v>
      </c>
      <c r="I89" s="951">
        <f>(AM89*KFC!$B$39+KFC!$C$39)*курс_уе</f>
        <v>209.8</v>
      </c>
      <c r="J89" s="951">
        <f>(AN89*KFC!$B$39+KFC!$C$39)*курс_уе</f>
        <v>219.1</v>
      </c>
      <c r="K89" s="951">
        <f>(AO89*KFC!$B$39+KFC!$C$39)*курс_уе</f>
        <v>228.4</v>
      </c>
      <c r="L89" s="951">
        <f>(AP89*KFC!$B$39+KFC!$C$39)*курс_уе</f>
        <v>237.8</v>
      </c>
      <c r="M89" s="951">
        <f>(AQ89*KFC!$B$39+KFC!$C$39)*курс_уе</f>
        <v>247.1</v>
      </c>
      <c r="N89" s="951">
        <f>(AR89*KFC!$B$39+KFC!$C$39)*курс_уе</f>
        <v>254.6</v>
      </c>
      <c r="O89" s="951">
        <f>(AS89*KFC!$B$39+KFC!$C$39)*курс_уе</f>
        <v>269.5</v>
      </c>
      <c r="P89" s="951">
        <f>(AT89*KFC!$B$39+KFC!$C$39)*курс_уе</f>
        <v>278.8</v>
      </c>
      <c r="Q89" s="951">
        <f>(AU89*KFC!$B$39+KFC!$C$39)*курс_уе</f>
        <v>286.3</v>
      </c>
      <c r="R89" s="951">
        <f>(AV89*KFC!$B$39+KFC!$C$39)*курс_уе</f>
        <v>297.5</v>
      </c>
      <c r="S89" s="951">
        <f>(AW89*KFC!$B$39+KFC!$C$39)*курс_уе</f>
        <v>305</v>
      </c>
      <c r="T89" s="951">
        <f>(AX89*KFC!$B$39+KFC!$C$39)*курс_уе</f>
        <v>316.10000000000002</v>
      </c>
      <c r="U89" s="951">
        <f>(AY89*KFC!$B$39+KFC!$C$39)*курс_уе</f>
        <v>327.3</v>
      </c>
      <c r="V89" s="951">
        <f>(AZ89*KFC!$B$39+KFC!$C$39)*курс_уе</f>
        <v>334.8</v>
      </c>
      <c r="W89" s="951">
        <f>(BA89*KFC!$B$39+KFC!$C$39)*курс_уе</f>
        <v>344.1</v>
      </c>
      <c r="X89" s="951">
        <f>(BB89*KFC!$B$39+KFC!$C$39)*курс_уе</f>
        <v>351.6</v>
      </c>
      <c r="Y89" s="951">
        <f>(BC89*KFC!$B$39+KFC!$C$39)*курс_уе</f>
        <v>366.5</v>
      </c>
      <c r="Z89" s="951">
        <f>(BD89*KFC!$B$39+KFC!$C$39)*курс_уе</f>
        <v>374</v>
      </c>
      <c r="AA89" s="951">
        <f>(BE89*KFC!$B$39+KFC!$C$39)*курс_уе</f>
        <v>383.3</v>
      </c>
      <c r="AB89" s="951">
        <f>(BF89*KFC!$B$39+KFC!$C$39)*курс_уе</f>
        <v>394.5</v>
      </c>
      <c r="AC89" s="951">
        <f>(BG89*KFC!$B$39+KFC!$C$39)*курс_уе</f>
        <v>402</v>
      </c>
      <c r="AE89" s="2134"/>
      <c r="AF89" s="111">
        <v>4.8</v>
      </c>
      <c r="AG89" s="265">
        <v>151.9</v>
      </c>
      <c r="AH89" s="252">
        <v>161.19999999999999</v>
      </c>
      <c r="AI89" s="252">
        <v>172.5</v>
      </c>
      <c r="AJ89" s="252">
        <v>181.8</v>
      </c>
      <c r="AK89" s="252">
        <v>189.3</v>
      </c>
      <c r="AL89" s="252">
        <v>202.3</v>
      </c>
      <c r="AM89" s="252">
        <v>209.8</v>
      </c>
      <c r="AN89" s="252">
        <v>219.1</v>
      </c>
      <c r="AO89" s="252">
        <v>228.4</v>
      </c>
      <c r="AP89" s="252">
        <v>237.8</v>
      </c>
      <c r="AQ89" s="252">
        <v>247.1</v>
      </c>
      <c r="AR89" s="252">
        <v>254.6</v>
      </c>
      <c r="AS89" s="252">
        <v>269.5</v>
      </c>
      <c r="AT89" s="252">
        <v>278.8</v>
      </c>
      <c r="AU89" s="252">
        <v>286.3</v>
      </c>
      <c r="AV89" s="252">
        <v>297.5</v>
      </c>
      <c r="AW89" s="252">
        <v>305</v>
      </c>
      <c r="AX89" s="252">
        <v>316.10000000000002</v>
      </c>
      <c r="AY89" s="252">
        <v>327.3</v>
      </c>
      <c r="AZ89" s="252">
        <v>334.8</v>
      </c>
      <c r="BA89" s="583">
        <v>344.1</v>
      </c>
      <c r="BB89" s="627">
        <v>351.6</v>
      </c>
      <c r="BC89" s="252">
        <v>366.5</v>
      </c>
      <c r="BD89" s="252">
        <v>374</v>
      </c>
      <c r="BE89" s="252">
        <v>383.3</v>
      </c>
      <c r="BF89" s="252">
        <v>394.5</v>
      </c>
      <c r="BG89" s="583">
        <v>402</v>
      </c>
    </row>
    <row r="90" spans="1:59">
      <c r="A90" s="2134"/>
      <c r="B90" s="111">
        <v>4.9000000000000004</v>
      </c>
      <c r="C90" s="951">
        <f>(AG90*KFC!$B$39+KFC!$C$39)*курс_уе</f>
        <v>152.30000000000001</v>
      </c>
      <c r="D90" s="951">
        <f>(AH90*KFC!$B$39+KFC!$C$39)*курс_уе</f>
        <v>161.69999999999999</v>
      </c>
      <c r="E90" s="951">
        <f>(AI90*KFC!$B$39+KFC!$C$39)*курс_уе</f>
        <v>173.2</v>
      </c>
      <c r="F90" s="951">
        <f>(AJ90*KFC!$B$39+KFC!$C$39)*курс_уе</f>
        <v>182.6</v>
      </c>
      <c r="G90" s="951">
        <f>(AK90*KFC!$B$39+KFC!$C$39)*курс_уе</f>
        <v>190.1</v>
      </c>
      <c r="H90" s="951">
        <f>(AL90*KFC!$B$39+KFC!$C$39)*курс_уе</f>
        <v>203.4</v>
      </c>
      <c r="I90" s="951">
        <f>(AM90*KFC!$B$39+KFC!$C$39)*курс_уе</f>
        <v>210.9</v>
      </c>
      <c r="J90" s="951">
        <f>(AN90*KFC!$B$39+KFC!$C$39)*курс_уе</f>
        <v>220.3</v>
      </c>
      <c r="K90" s="951">
        <f>(AO90*KFC!$B$39+KFC!$C$39)*курс_уе</f>
        <v>229.7</v>
      </c>
      <c r="L90" s="951">
        <f>(AP90*KFC!$B$39+KFC!$C$39)*курс_уе</f>
        <v>239.2</v>
      </c>
      <c r="M90" s="951">
        <f>(AQ90*KFC!$B$39+KFC!$C$39)*курс_уе</f>
        <v>248.6</v>
      </c>
      <c r="N90" s="951">
        <f>(AR90*KFC!$B$39+KFC!$C$39)*курс_уе</f>
        <v>256.10000000000002</v>
      </c>
      <c r="O90" s="951">
        <f>(AS90*KFC!$B$39+KFC!$C$39)*курс_уе</f>
        <v>271.39999999999998</v>
      </c>
      <c r="P90" s="951">
        <f>(AT90*KFC!$B$39+KFC!$C$39)*курс_уе</f>
        <v>280.8</v>
      </c>
      <c r="Q90" s="951">
        <f>(AU90*KFC!$B$39+KFC!$C$39)*курс_уе</f>
        <v>288.3</v>
      </c>
      <c r="R90" s="951">
        <f>(AV90*KFC!$B$39+KFC!$C$39)*курс_уе</f>
        <v>299.7</v>
      </c>
      <c r="S90" s="951">
        <f>(AW90*KFC!$B$39+KFC!$C$39)*курс_уе</f>
        <v>307.2</v>
      </c>
      <c r="T90" s="951">
        <f>(AX90*KFC!$B$39+KFC!$C$39)*курс_уе</f>
        <v>318.5</v>
      </c>
      <c r="U90" s="951">
        <f>(AY90*KFC!$B$39+KFC!$C$39)*курс_уе</f>
        <v>329.9</v>
      </c>
      <c r="V90" s="951">
        <f>(AZ90*KFC!$B$39+KFC!$C$39)*курс_уе</f>
        <v>337.4</v>
      </c>
      <c r="W90" s="951">
        <f>(BA90*KFC!$B$39+KFC!$C$39)*курс_уе</f>
        <v>346.8</v>
      </c>
      <c r="X90" s="951">
        <f>(BB90*KFC!$B$39+KFC!$C$39)*курс_уе</f>
        <v>354.3</v>
      </c>
      <c r="Y90" s="951">
        <f>(BC90*KFC!$B$39+KFC!$C$39)*курс_уе</f>
        <v>369.6</v>
      </c>
      <c r="Z90" s="951">
        <f>(BD90*KFC!$B$39+KFC!$C$39)*курс_уе</f>
        <v>377.1</v>
      </c>
      <c r="AA90" s="951">
        <f>(BE90*KFC!$B$39+KFC!$C$39)*курс_уе</f>
        <v>386.5</v>
      </c>
      <c r="AB90" s="951">
        <f>(BF90*KFC!$B$39+KFC!$C$39)*курс_уе</f>
        <v>397.9</v>
      </c>
      <c r="AC90" s="951">
        <f>(BG90*KFC!$B$39+KFC!$C$39)*курс_уе</f>
        <v>405.4</v>
      </c>
      <c r="AE90" s="2134"/>
      <c r="AF90" s="111">
        <v>4.9000000000000004</v>
      </c>
      <c r="AG90" s="265">
        <v>152.30000000000001</v>
      </c>
      <c r="AH90" s="252">
        <v>161.69999999999999</v>
      </c>
      <c r="AI90" s="252">
        <v>173.2</v>
      </c>
      <c r="AJ90" s="252">
        <v>182.6</v>
      </c>
      <c r="AK90" s="252">
        <v>190.1</v>
      </c>
      <c r="AL90" s="252">
        <v>203.4</v>
      </c>
      <c r="AM90" s="252">
        <v>210.9</v>
      </c>
      <c r="AN90" s="252">
        <v>220.3</v>
      </c>
      <c r="AO90" s="252">
        <v>229.7</v>
      </c>
      <c r="AP90" s="252">
        <v>239.2</v>
      </c>
      <c r="AQ90" s="252">
        <v>248.6</v>
      </c>
      <c r="AR90" s="252">
        <v>256.10000000000002</v>
      </c>
      <c r="AS90" s="252">
        <v>271.39999999999998</v>
      </c>
      <c r="AT90" s="252">
        <v>280.8</v>
      </c>
      <c r="AU90" s="252">
        <v>288.3</v>
      </c>
      <c r="AV90" s="252">
        <v>299.7</v>
      </c>
      <c r="AW90" s="252">
        <v>307.2</v>
      </c>
      <c r="AX90" s="252">
        <v>318.5</v>
      </c>
      <c r="AY90" s="252">
        <v>329.9</v>
      </c>
      <c r="AZ90" s="252">
        <v>337.4</v>
      </c>
      <c r="BA90" s="583">
        <v>346.8</v>
      </c>
      <c r="BB90" s="627">
        <v>354.3</v>
      </c>
      <c r="BC90" s="252">
        <v>369.6</v>
      </c>
      <c r="BD90" s="252">
        <v>377.1</v>
      </c>
      <c r="BE90" s="252">
        <v>386.5</v>
      </c>
      <c r="BF90" s="252">
        <v>397.9</v>
      </c>
      <c r="BG90" s="583">
        <v>405.4</v>
      </c>
    </row>
    <row r="91" spans="1:59">
      <c r="A91" s="2134"/>
      <c r="B91" s="111">
        <v>5</v>
      </c>
      <c r="C91" s="951">
        <f>(AG91*KFC!$B$39+KFC!$C$39)*курс_уе</f>
        <v>152.69999999999999</v>
      </c>
      <c r="D91" s="951">
        <f>(AH91*KFC!$B$39+KFC!$C$39)*курс_уе</f>
        <v>162.19999999999999</v>
      </c>
      <c r="E91" s="951">
        <f>(AI91*KFC!$B$39+KFC!$C$39)*курс_уе</f>
        <v>173.9</v>
      </c>
      <c r="F91" s="951">
        <f>(AJ91*KFC!$B$39+KFC!$C$39)*курс_уе</f>
        <v>183.4</v>
      </c>
      <c r="G91" s="951">
        <f>(AK91*KFC!$B$39+KFC!$C$39)*курс_уе</f>
        <v>190.9</v>
      </c>
      <c r="H91" s="951">
        <f>(AL91*KFC!$B$39+KFC!$C$39)*курс_уе</f>
        <v>204.5</v>
      </c>
      <c r="I91" s="951">
        <f>(AM91*KFC!$B$39+KFC!$C$39)*курс_уе</f>
        <v>212</v>
      </c>
      <c r="J91" s="951">
        <f>(AN91*KFC!$B$39+KFC!$C$39)*курс_уе</f>
        <v>221.5</v>
      </c>
      <c r="K91" s="951">
        <f>(AO91*KFC!$B$39+KFC!$C$39)*курс_уе</f>
        <v>231</v>
      </c>
      <c r="L91" s="951">
        <f>(AP91*KFC!$B$39+KFC!$C$39)*курс_уе</f>
        <v>240.6</v>
      </c>
      <c r="M91" s="951">
        <f>(AQ91*KFC!$B$39+KFC!$C$39)*курс_уе</f>
        <v>250.1</v>
      </c>
      <c r="N91" s="951">
        <f>(AR91*KFC!$B$39+KFC!$C$39)*курс_уе</f>
        <v>257.60000000000002</v>
      </c>
      <c r="O91" s="951">
        <f>(AS91*KFC!$B$39+KFC!$C$39)*курс_уе</f>
        <v>273.3</v>
      </c>
      <c r="P91" s="951">
        <f>(AT91*KFC!$B$39+KFC!$C$39)*курс_уе</f>
        <v>282.8</v>
      </c>
      <c r="Q91" s="951">
        <f>(AU91*KFC!$B$39+KFC!$C$39)*курс_уе</f>
        <v>290.3</v>
      </c>
      <c r="R91" s="951">
        <f>(AV91*KFC!$B$39+KFC!$C$39)*курс_уе</f>
        <v>301.89999999999998</v>
      </c>
      <c r="S91" s="951">
        <f>(AW91*KFC!$B$39+KFC!$C$39)*курс_уе</f>
        <v>309.39999999999998</v>
      </c>
      <c r="T91" s="951">
        <f>(AX91*KFC!$B$39+KFC!$C$39)*курс_уе</f>
        <v>320.89999999999998</v>
      </c>
      <c r="U91" s="951">
        <f>(AY91*KFC!$B$39+KFC!$C$39)*курс_уе</f>
        <v>332.5</v>
      </c>
      <c r="V91" s="951">
        <f>(AZ91*KFC!$B$39+KFC!$C$39)*курс_уе</f>
        <v>340</v>
      </c>
      <c r="W91" s="951">
        <f>(BA91*KFC!$B$39+KFC!$C$39)*курс_уе</f>
        <v>349.5</v>
      </c>
      <c r="X91" s="951">
        <f>(BB91*KFC!$B$39+KFC!$C$39)*курс_уе</f>
        <v>357</v>
      </c>
      <c r="Y91" s="951">
        <f>(BC91*KFC!$B$39+KFC!$C$39)*курс_уе</f>
        <v>372.7</v>
      </c>
      <c r="Z91" s="951">
        <f>(BD91*KFC!$B$39+KFC!$C$39)*курс_уе</f>
        <v>380.2</v>
      </c>
      <c r="AA91" s="951">
        <f>(BE91*KFC!$B$39+KFC!$C$39)*курс_уе</f>
        <v>389.7</v>
      </c>
      <c r="AB91" s="951">
        <f>(BF91*KFC!$B$39+KFC!$C$39)*курс_уе</f>
        <v>401.3</v>
      </c>
      <c r="AC91" s="951">
        <f>(BG91*KFC!$B$39+KFC!$C$39)*курс_уе</f>
        <v>408.8</v>
      </c>
      <c r="AE91" s="2134"/>
      <c r="AF91" s="111">
        <v>5</v>
      </c>
      <c r="AG91" s="265">
        <v>152.69999999999999</v>
      </c>
      <c r="AH91" s="252">
        <v>162.19999999999999</v>
      </c>
      <c r="AI91" s="252">
        <v>173.9</v>
      </c>
      <c r="AJ91" s="252">
        <v>183.4</v>
      </c>
      <c r="AK91" s="252">
        <v>190.9</v>
      </c>
      <c r="AL91" s="252">
        <v>204.5</v>
      </c>
      <c r="AM91" s="252">
        <v>212</v>
      </c>
      <c r="AN91" s="252">
        <v>221.5</v>
      </c>
      <c r="AO91" s="252">
        <v>231</v>
      </c>
      <c r="AP91" s="252">
        <v>240.6</v>
      </c>
      <c r="AQ91" s="252">
        <v>250.1</v>
      </c>
      <c r="AR91" s="252">
        <v>257.60000000000002</v>
      </c>
      <c r="AS91" s="252">
        <v>273.3</v>
      </c>
      <c r="AT91" s="252">
        <v>282.8</v>
      </c>
      <c r="AU91" s="252">
        <v>290.3</v>
      </c>
      <c r="AV91" s="252">
        <v>301.89999999999998</v>
      </c>
      <c r="AW91" s="252">
        <v>309.39999999999998</v>
      </c>
      <c r="AX91" s="252">
        <v>320.89999999999998</v>
      </c>
      <c r="AY91" s="252">
        <v>332.5</v>
      </c>
      <c r="AZ91" s="252">
        <v>340</v>
      </c>
      <c r="BA91" s="583">
        <v>349.5</v>
      </c>
      <c r="BB91" s="627">
        <v>357</v>
      </c>
      <c r="BC91" s="252">
        <v>372.7</v>
      </c>
      <c r="BD91" s="252">
        <v>380.2</v>
      </c>
      <c r="BE91" s="252">
        <v>389.7</v>
      </c>
      <c r="BF91" s="252">
        <v>401.3</v>
      </c>
      <c r="BG91" s="583">
        <v>408.8</v>
      </c>
    </row>
    <row r="92" spans="1:59">
      <c r="A92" s="2134"/>
      <c r="B92" s="111">
        <v>5.0999999999999996</v>
      </c>
      <c r="C92" s="951">
        <f>(AG92*KFC!$B$39+KFC!$C$39)*курс_уе</f>
        <v>153.1</v>
      </c>
      <c r="D92" s="951">
        <f>(AH92*KFC!$B$39+KFC!$C$39)*курс_уе</f>
        <v>162.69999999999999</v>
      </c>
      <c r="E92" s="951">
        <f>(AI92*KFC!$B$39+KFC!$C$39)*курс_уе</f>
        <v>174.6</v>
      </c>
      <c r="F92" s="951">
        <f>(AJ92*KFC!$B$39+KFC!$C$39)*курс_уе</f>
        <v>184.2</v>
      </c>
      <c r="G92" s="951">
        <f>(AK92*KFC!$B$39+KFC!$C$39)*курс_уе</f>
        <v>191.7</v>
      </c>
      <c r="H92" s="951">
        <f>(AL92*KFC!$B$39+KFC!$C$39)*курс_уе</f>
        <v>205.6</v>
      </c>
      <c r="I92" s="951">
        <f>(AM92*KFC!$B$39+KFC!$C$39)*курс_уе</f>
        <v>213.1</v>
      </c>
      <c r="J92" s="951">
        <f>(AN92*KFC!$B$39+KFC!$C$39)*курс_уе</f>
        <v>222.7</v>
      </c>
      <c r="K92" s="951">
        <f>(AO92*KFC!$B$39+KFC!$C$39)*курс_уе</f>
        <v>232.3</v>
      </c>
      <c r="L92" s="951">
        <f>(AP92*KFC!$B$39+KFC!$C$39)*курс_уе</f>
        <v>242</v>
      </c>
      <c r="M92" s="951">
        <f>(AQ92*KFC!$B$39+KFC!$C$39)*курс_уе</f>
        <v>251.6</v>
      </c>
      <c r="N92" s="951">
        <f>(AR92*KFC!$B$39+KFC!$C$39)*курс_уе</f>
        <v>259.10000000000002</v>
      </c>
      <c r="O92" s="951">
        <f>(AS92*KFC!$B$39+KFC!$C$39)*курс_уе</f>
        <v>275.2</v>
      </c>
      <c r="P92" s="951">
        <f>(AT92*KFC!$B$39+KFC!$C$39)*курс_уе</f>
        <v>284.8</v>
      </c>
      <c r="Q92" s="951">
        <f>(AU92*KFC!$B$39+KFC!$C$39)*курс_уе</f>
        <v>292.3</v>
      </c>
      <c r="R92" s="951">
        <f>(AV92*KFC!$B$39+KFC!$C$39)*курс_уе</f>
        <v>304.10000000000002</v>
      </c>
      <c r="S92" s="951">
        <f>(AW92*KFC!$B$39+KFC!$C$39)*курс_уе</f>
        <v>311.60000000000002</v>
      </c>
      <c r="T92" s="951">
        <f>(AX92*KFC!$B$39+KFC!$C$39)*курс_уе</f>
        <v>323.3</v>
      </c>
      <c r="U92" s="951">
        <f>(AY92*KFC!$B$39+KFC!$C$39)*курс_уе</f>
        <v>335.1</v>
      </c>
      <c r="V92" s="951">
        <f>(AZ92*KFC!$B$39+KFC!$C$39)*курс_уе</f>
        <v>342.6</v>
      </c>
      <c r="W92" s="951">
        <f>(BA92*KFC!$B$39+KFC!$C$39)*курс_уе</f>
        <v>352.2</v>
      </c>
      <c r="X92" s="951">
        <f>(BB92*KFC!$B$39+KFC!$C$39)*курс_уе</f>
        <v>359.7</v>
      </c>
      <c r="Y92" s="951">
        <f>(BC92*KFC!$B$39+KFC!$C$39)*курс_уе</f>
        <v>375.8</v>
      </c>
      <c r="Z92" s="951">
        <f>(BD92*KFC!$B$39+KFC!$C$39)*курс_уе</f>
        <v>383.3</v>
      </c>
      <c r="AA92" s="951">
        <f>(BE92*KFC!$B$39+KFC!$C$39)*курс_уе</f>
        <v>392.9</v>
      </c>
      <c r="AB92" s="951">
        <f>(BF92*KFC!$B$39+KFC!$C$39)*курс_уе</f>
        <v>404.7</v>
      </c>
      <c r="AC92" s="951">
        <f>(BG92*KFC!$B$39+KFC!$C$39)*курс_уе</f>
        <v>412.2</v>
      </c>
      <c r="AE92" s="2134"/>
      <c r="AF92" s="111">
        <v>5.0999999999999996</v>
      </c>
      <c r="AG92" s="265">
        <v>153.1</v>
      </c>
      <c r="AH92" s="252">
        <v>162.69999999999999</v>
      </c>
      <c r="AI92" s="252">
        <v>174.6</v>
      </c>
      <c r="AJ92" s="252">
        <v>184.2</v>
      </c>
      <c r="AK92" s="252">
        <v>191.7</v>
      </c>
      <c r="AL92" s="252">
        <v>205.6</v>
      </c>
      <c r="AM92" s="252">
        <v>213.1</v>
      </c>
      <c r="AN92" s="252">
        <v>222.7</v>
      </c>
      <c r="AO92" s="252">
        <v>232.3</v>
      </c>
      <c r="AP92" s="252">
        <v>242</v>
      </c>
      <c r="AQ92" s="252">
        <v>251.6</v>
      </c>
      <c r="AR92" s="252">
        <v>259.10000000000002</v>
      </c>
      <c r="AS92" s="252">
        <v>275.2</v>
      </c>
      <c r="AT92" s="252">
        <v>284.8</v>
      </c>
      <c r="AU92" s="252">
        <v>292.3</v>
      </c>
      <c r="AV92" s="252">
        <v>304.10000000000002</v>
      </c>
      <c r="AW92" s="252">
        <v>311.60000000000002</v>
      </c>
      <c r="AX92" s="252">
        <v>323.3</v>
      </c>
      <c r="AY92" s="252">
        <v>335.1</v>
      </c>
      <c r="AZ92" s="252">
        <v>342.6</v>
      </c>
      <c r="BA92" s="583">
        <v>352.2</v>
      </c>
      <c r="BB92" s="627">
        <v>359.7</v>
      </c>
      <c r="BC92" s="252">
        <v>375.8</v>
      </c>
      <c r="BD92" s="252">
        <v>383.3</v>
      </c>
      <c r="BE92" s="252">
        <v>392.9</v>
      </c>
      <c r="BF92" s="252">
        <v>404.7</v>
      </c>
      <c r="BG92" s="583">
        <v>412.2</v>
      </c>
    </row>
    <row r="93" spans="1:59">
      <c r="A93" s="2134"/>
      <c r="B93" s="111">
        <v>5.2</v>
      </c>
      <c r="C93" s="951">
        <f>(AG93*KFC!$B$39+KFC!$C$39)*курс_уе</f>
        <v>153.5</v>
      </c>
      <c r="D93" s="951">
        <f>(AH93*KFC!$B$39+KFC!$C$39)*курс_уе</f>
        <v>163.19999999999999</v>
      </c>
      <c r="E93" s="951">
        <f>(AI93*KFC!$B$39+KFC!$C$39)*курс_уе</f>
        <v>175.3</v>
      </c>
      <c r="F93" s="951">
        <f>(AJ93*KFC!$B$39+KFC!$C$39)*курс_уе</f>
        <v>185</v>
      </c>
      <c r="G93" s="951">
        <f>(AK93*KFC!$B$39+KFC!$C$39)*курс_уе</f>
        <v>192.5</v>
      </c>
      <c r="H93" s="951">
        <f>(AL93*KFC!$B$39+KFC!$C$39)*курс_уе</f>
        <v>206.7</v>
      </c>
      <c r="I93" s="951">
        <f>(AM93*KFC!$B$39+KFC!$C$39)*курс_уе</f>
        <v>214.2</v>
      </c>
      <c r="J93" s="951">
        <f>(AN93*KFC!$B$39+KFC!$C$39)*курс_уе</f>
        <v>223.9</v>
      </c>
      <c r="K93" s="951">
        <f>(AO93*KFC!$B$39+KFC!$C$39)*курс_уе</f>
        <v>233.6</v>
      </c>
      <c r="L93" s="951">
        <f>(AP93*KFC!$B$39+KFC!$C$39)*курс_уе</f>
        <v>243.4</v>
      </c>
      <c r="M93" s="951">
        <f>(AQ93*KFC!$B$39+KFC!$C$39)*курс_уе</f>
        <v>253.1</v>
      </c>
      <c r="N93" s="951">
        <f>(AR93*KFC!$B$39+KFC!$C$39)*курс_уе</f>
        <v>260.60000000000002</v>
      </c>
      <c r="O93" s="951">
        <f>(AS93*KFC!$B$39+KFC!$C$39)*курс_уе</f>
        <v>277.10000000000002</v>
      </c>
      <c r="P93" s="951">
        <f>(AT93*KFC!$B$39+KFC!$C$39)*курс_уе</f>
        <v>286.8</v>
      </c>
      <c r="Q93" s="951">
        <f>(AU93*KFC!$B$39+KFC!$C$39)*курс_уе</f>
        <v>294.3</v>
      </c>
      <c r="R93" s="951">
        <f>(AV93*KFC!$B$39+KFC!$C$39)*курс_уе</f>
        <v>306.3</v>
      </c>
      <c r="S93" s="951">
        <f>(AW93*KFC!$B$39+KFC!$C$39)*курс_уе</f>
        <v>313.8</v>
      </c>
      <c r="T93" s="951">
        <f>(AX93*KFC!$B$39+KFC!$C$39)*курс_уе</f>
        <v>325.7</v>
      </c>
      <c r="U93" s="951">
        <f>(AY93*KFC!$B$39+KFC!$C$39)*курс_уе</f>
        <v>337.7</v>
      </c>
      <c r="V93" s="951">
        <f>(AZ93*KFC!$B$39+KFC!$C$39)*курс_уе</f>
        <v>345.2</v>
      </c>
      <c r="W93" s="951">
        <f>(BA93*KFC!$B$39+KFC!$C$39)*курс_уе</f>
        <v>354.9</v>
      </c>
      <c r="X93" s="951">
        <f>(BB93*KFC!$B$39+KFC!$C$39)*курс_уе</f>
        <v>362.4</v>
      </c>
      <c r="Y93" s="951">
        <f>(BC93*KFC!$B$39+KFC!$C$39)*курс_уе</f>
        <v>378.9</v>
      </c>
      <c r="Z93" s="951">
        <f>(BD93*KFC!$B$39+KFC!$C$39)*курс_уе</f>
        <v>386.4</v>
      </c>
      <c r="AA93" s="951">
        <f>(BE93*KFC!$B$39+KFC!$C$39)*курс_уе</f>
        <v>396.1</v>
      </c>
      <c r="AB93" s="951">
        <f>(BF93*KFC!$B$39+KFC!$C$39)*курс_уе</f>
        <v>408.1</v>
      </c>
      <c r="AC93" s="951">
        <f>(BG93*KFC!$B$39+KFC!$C$39)*курс_уе</f>
        <v>415.6</v>
      </c>
      <c r="AE93" s="2134"/>
      <c r="AF93" s="111">
        <v>5.2</v>
      </c>
      <c r="AG93" s="265">
        <v>153.5</v>
      </c>
      <c r="AH93" s="252">
        <v>163.19999999999999</v>
      </c>
      <c r="AI93" s="252">
        <v>175.3</v>
      </c>
      <c r="AJ93" s="252">
        <v>185</v>
      </c>
      <c r="AK93" s="252">
        <v>192.5</v>
      </c>
      <c r="AL93" s="252">
        <v>206.7</v>
      </c>
      <c r="AM93" s="252">
        <v>214.2</v>
      </c>
      <c r="AN93" s="252">
        <v>223.9</v>
      </c>
      <c r="AO93" s="252">
        <v>233.6</v>
      </c>
      <c r="AP93" s="252">
        <v>243.4</v>
      </c>
      <c r="AQ93" s="252">
        <v>253.1</v>
      </c>
      <c r="AR93" s="252">
        <v>260.60000000000002</v>
      </c>
      <c r="AS93" s="252">
        <v>277.10000000000002</v>
      </c>
      <c r="AT93" s="252">
        <v>286.8</v>
      </c>
      <c r="AU93" s="252">
        <v>294.3</v>
      </c>
      <c r="AV93" s="252">
        <v>306.3</v>
      </c>
      <c r="AW93" s="252">
        <v>313.8</v>
      </c>
      <c r="AX93" s="252">
        <v>325.7</v>
      </c>
      <c r="AY93" s="252">
        <v>337.7</v>
      </c>
      <c r="AZ93" s="252">
        <v>345.2</v>
      </c>
      <c r="BA93" s="583">
        <v>354.9</v>
      </c>
      <c r="BB93" s="627">
        <v>362.4</v>
      </c>
      <c r="BC93" s="252">
        <v>378.9</v>
      </c>
      <c r="BD93" s="252">
        <v>386.4</v>
      </c>
      <c r="BE93" s="252">
        <v>396.1</v>
      </c>
      <c r="BF93" s="252">
        <v>408.1</v>
      </c>
      <c r="BG93" s="583">
        <v>415.6</v>
      </c>
    </row>
    <row r="94" spans="1:59">
      <c r="A94" s="2134"/>
      <c r="B94" s="111">
        <v>5.3</v>
      </c>
      <c r="C94" s="951">
        <f>(AG94*KFC!$B$39+KFC!$C$39)*курс_уе</f>
        <v>153.9</v>
      </c>
      <c r="D94" s="951">
        <f>(AH94*KFC!$B$39+KFC!$C$39)*курс_уе</f>
        <v>163.69999999999999</v>
      </c>
      <c r="E94" s="951">
        <f>(AI94*KFC!$B$39+KFC!$C$39)*курс_уе</f>
        <v>176</v>
      </c>
      <c r="F94" s="951">
        <f>(AJ94*KFC!$B$39+KFC!$C$39)*курс_уе</f>
        <v>185.8</v>
      </c>
      <c r="G94" s="951">
        <f>(AK94*KFC!$B$39+KFC!$C$39)*курс_уе</f>
        <v>193.3</v>
      </c>
      <c r="H94" s="951">
        <f>(AL94*KFC!$B$39+KFC!$C$39)*курс_уе</f>
        <v>207.8</v>
      </c>
      <c r="I94" s="951">
        <f>(AM94*KFC!$B$39+KFC!$C$39)*курс_уе</f>
        <v>215.3</v>
      </c>
      <c r="J94" s="951">
        <f>(AN94*KFC!$B$39+KFC!$C$39)*курс_уе</f>
        <v>225.1</v>
      </c>
      <c r="K94" s="951">
        <f>(AO94*KFC!$B$39+KFC!$C$39)*курс_уе</f>
        <v>234.9</v>
      </c>
      <c r="L94" s="951">
        <f>(AP94*KFC!$B$39+KFC!$C$39)*курс_уе</f>
        <v>244.8</v>
      </c>
      <c r="M94" s="951">
        <f>(AQ94*KFC!$B$39+KFC!$C$39)*курс_уе</f>
        <v>254.6</v>
      </c>
      <c r="N94" s="951">
        <f>(AR94*KFC!$B$39+KFC!$C$39)*курс_уе</f>
        <v>262.10000000000002</v>
      </c>
      <c r="O94" s="951">
        <f>(AS94*KFC!$B$39+KFC!$C$39)*курс_уе</f>
        <v>279</v>
      </c>
      <c r="P94" s="951">
        <f>(AT94*KFC!$B$39+KFC!$C$39)*курс_уе</f>
        <v>288.8</v>
      </c>
      <c r="Q94" s="951">
        <f>(AU94*KFC!$B$39+KFC!$C$39)*курс_уе</f>
        <v>296.3</v>
      </c>
      <c r="R94" s="951">
        <f>(AV94*KFC!$B$39+KFC!$C$39)*курс_уе</f>
        <v>308.5</v>
      </c>
      <c r="S94" s="951">
        <f>(AW94*KFC!$B$39+KFC!$C$39)*курс_уе</f>
        <v>316</v>
      </c>
      <c r="T94" s="951">
        <f>(AX94*KFC!$B$39+KFC!$C$39)*курс_уе</f>
        <v>328.1</v>
      </c>
      <c r="U94" s="951">
        <f>(AY94*KFC!$B$39+KFC!$C$39)*курс_уе</f>
        <v>340.3</v>
      </c>
      <c r="V94" s="951">
        <f>(AZ94*KFC!$B$39+KFC!$C$39)*курс_уе</f>
        <v>347.8</v>
      </c>
      <c r="W94" s="951">
        <f>(BA94*KFC!$B$39+KFC!$C$39)*курс_уе</f>
        <v>357.6</v>
      </c>
      <c r="X94" s="951">
        <f>(BB94*KFC!$B$39+KFC!$C$39)*курс_уе</f>
        <v>365.1</v>
      </c>
      <c r="Y94" s="951">
        <f>(BC94*KFC!$B$39+KFC!$C$39)*курс_уе</f>
        <v>382</v>
      </c>
      <c r="Z94" s="951">
        <f>(BD94*KFC!$B$39+KFC!$C$39)*курс_уе</f>
        <v>389.5</v>
      </c>
      <c r="AA94" s="951">
        <f>(BE94*KFC!$B$39+KFC!$C$39)*курс_уе</f>
        <v>399.3</v>
      </c>
      <c r="AB94" s="951">
        <f>(BF94*KFC!$B$39+KFC!$C$39)*курс_уе</f>
        <v>411.5</v>
      </c>
      <c r="AC94" s="951">
        <f>(BG94*KFC!$B$39+KFC!$C$39)*курс_уе</f>
        <v>419</v>
      </c>
      <c r="AE94" s="2134"/>
      <c r="AF94" s="111">
        <v>5.3</v>
      </c>
      <c r="AG94" s="265">
        <v>153.9</v>
      </c>
      <c r="AH94" s="252">
        <v>163.69999999999999</v>
      </c>
      <c r="AI94" s="252">
        <v>176</v>
      </c>
      <c r="AJ94" s="252">
        <v>185.8</v>
      </c>
      <c r="AK94" s="252">
        <v>193.3</v>
      </c>
      <c r="AL94" s="252">
        <v>207.8</v>
      </c>
      <c r="AM94" s="252">
        <v>215.3</v>
      </c>
      <c r="AN94" s="252">
        <v>225.1</v>
      </c>
      <c r="AO94" s="252">
        <v>234.9</v>
      </c>
      <c r="AP94" s="252">
        <v>244.8</v>
      </c>
      <c r="AQ94" s="252">
        <v>254.6</v>
      </c>
      <c r="AR94" s="252">
        <v>262.10000000000002</v>
      </c>
      <c r="AS94" s="252">
        <v>279</v>
      </c>
      <c r="AT94" s="252">
        <v>288.8</v>
      </c>
      <c r="AU94" s="252">
        <v>296.3</v>
      </c>
      <c r="AV94" s="252">
        <v>308.5</v>
      </c>
      <c r="AW94" s="252">
        <v>316</v>
      </c>
      <c r="AX94" s="252">
        <v>328.1</v>
      </c>
      <c r="AY94" s="252">
        <v>340.3</v>
      </c>
      <c r="AZ94" s="252">
        <v>347.8</v>
      </c>
      <c r="BA94" s="583">
        <v>357.6</v>
      </c>
      <c r="BB94" s="627">
        <v>365.1</v>
      </c>
      <c r="BC94" s="252">
        <v>382</v>
      </c>
      <c r="BD94" s="252">
        <v>389.5</v>
      </c>
      <c r="BE94" s="252">
        <v>399.3</v>
      </c>
      <c r="BF94" s="252">
        <v>411.5</v>
      </c>
      <c r="BG94" s="583">
        <v>419</v>
      </c>
    </row>
    <row r="95" spans="1:59">
      <c r="A95" s="2134"/>
      <c r="B95" s="111">
        <v>5.4</v>
      </c>
      <c r="C95" s="951">
        <f>(AG95*KFC!$B$39+KFC!$C$39)*курс_уе</f>
        <v>154.30000000000001</v>
      </c>
      <c r="D95" s="951">
        <f>(AH95*KFC!$B$39+KFC!$C$39)*курс_уе</f>
        <v>164.2</v>
      </c>
      <c r="E95" s="951">
        <f>(AI95*KFC!$B$39+KFC!$C$39)*курс_уе</f>
        <v>176.7</v>
      </c>
      <c r="F95" s="951">
        <f>(AJ95*KFC!$B$39+KFC!$C$39)*курс_уе</f>
        <v>186.6</v>
      </c>
      <c r="G95" s="951">
        <f>(AK95*KFC!$B$39+KFC!$C$39)*курс_уе</f>
        <v>194.1</v>
      </c>
      <c r="H95" s="951">
        <f>(AL95*KFC!$B$39+KFC!$C$39)*курс_уе</f>
        <v>208.9</v>
      </c>
      <c r="I95" s="951">
        <f>(AM95*KFC!$B$39+KFC!$C$39)*курс_уе</f>
        <v>216.4</v>
      </c>
      <c r="J95" s="951">
        <f>(AN95*KFC!$B$39+KFC!$C$39)*курс_уе</f>
        <v>226.3</v>
      </c>
      <c r="K95" s="951">
        <f>(AO95*KFC!$B$39+KFC!$C$39)*курс_уе</f>
        <v>236.2</v>
      </c>
      <c r="L95" s="951">
        <f>(AP95*KFC!$B$39+KFC!$C$39)*курс_уе</f>
        <v>246.2</v>
      </c>
      <c r="M95" s="951">
        <f>(AQ95*KFC!$B$39+KFC!$C$39)*курс_уе</f>
        <v>256.10000000000002</v>
      </c>
      <c r="N95" s="951">
        <f>(AR95*KFC!$B$39+KFC!$C$39)*курс_уе</f>
        <v>263.60000000000002</v>
      </c>
      <c r="O95" s="951">
        <f>(AS95*KFC!$B$39+KFC!$C$39)*курс_уе</f>
        <v>280.89999999999998</v>
      </c>
      <c r="P95" s="951">
        <f>(AT95*KFC!$B$39+KFC!$C$39)*курс_уе</f>
        <v>290.8</v>
      </c>
      <c r="Q95" s="951">
        <f>(AU95*KFC!$B$39+KFC!$C$39)*курс_уе</f>
        <v>298.3</v>
      </c>
      <c r="R95" s="951">
        <f>(AV95*KFC!$B$39+KFC!$C$39)*курс_уе</f>
        <v>310.7</v>
      </c>
      <c r="S95" s="951">
        <f>(AW95*KFC!$B$39+KFC!$C$39)*курс_уе</f>
        <v>318.2</v>
      </c>
      <c r="T95" s="951">
        <f>(AX95*KFC!$B$39+KFC!$C$39)*курс_уе</f>
        <v>330.5</v>
      </c>
      <c r="U95" s="951">
        <f>(AY95*KFC!$B$39+KFC!$C$39)*курс_уе</f>
        <v>342.9</v>
      </c>
      <c r="V95" s="951">
        <f>(AZ95*KFC!$B$39+KFC!$C$39)*курс_уе</f>
        <v>350.4</v>
      </c>
      <c r="W95" s="951">
        <f>(BA95*KFC!$B$39+KFC!$C$39)*курс_уе</f>
        <v>360.3</v>
      </c>
      <c r="X95" s="951">
        <f>(BB95*KFC!$B$39+KFC!$C$39)*курс_уе</f>
        <v>367.8</v>
      </c>
      <c r="Y95" s="951">
        <f>(BC95*KFC!$B$39+KFC!$C$39)*курс_уе</f>
        <v>385.1</v>
      </c>
      <c r="Z95" s="951">
        <f>(BD95*KFC!$B$39+KFC!$C$39)*курс_уе</f>
        <v>392.6</v>
      </c>
      <c r="AA95" s="951">
        <f>(BE95*KFC!$B$39+KFC!$C$39)*курс_уе</f>
        <v>402.5</v>
      </c>
      <c r="AB95" s="951">
        <f>(BF95*KFC!$B$39+KFC!$C$39)*курс_уе</f>
        <v>414.9</v>
      </c>
      <c r="AC95" s="951">
        <f>(BG95*KFC!$B$39+KFC!$C$39)*курс_уе</f>
        <v>422.4</v>
      </c>
      <c r="AE95" s="2134"/>
      <c r="AF95" s="111">
        <v>5.4</v>
      </c>
      <c r="AG95" s="265">
        <v>154.30000000000001</v>
      </c>
      <c r="AH95" s="252">
        <v>164.2</v>
      </c>
      <c r="AI95" s="252">
        <v>176.7</v>
      </c>
      <c r="AJ95" s="252">
        <v>186.6</v>
      </c>
      <c r="AK95" s="252">
        <v>194.1</v>
      </c>
      <c r="AL95" s="252">
        <v>208.9</v>
      </c>
      <c r="AM95" s="252">
        <v>216.4</v>
      </c>
      <c r="AN95" s="252">
        <v>226.3</v>
      </c>
      <c r="AO95" s="252">
        <v>236.2</v>
      </c>
      <c r="AP95" s="252">
        <v>246.2</v>
      </c>
      <c r="AQ95" s="252">
        <v>256.10000000000002</v>
      </c>
      <c r="AR95" s="252">
        <v>263.60000000000002</v>
      </c>
      <c r="AS95" s="252">
        <v>280.89999999999998</v>
      </c>
      <c r="AT95" s="252">
        <v>290.8</v>
      </c>
      <c r="AU95" s="252">
        <v>298.3</v>
      </c>
      <c r="AV95" s="252">
        <v>310.7</v>
      </c>
      <c r="AW95" s="252">
        <v>318.2</v>
      </c>
      <c r="AX95" s="252">
        <v>330.5</v>
      </c>
      <c r="AY95" s="252">
        <v>342.9</v>
      </c>
      <c r="AZ95" s="252">
        <v>350.4</v>
      </c>
      <c r="BA95" s="583">
        <v>360.3</v>
      </c>
      <c r="BB95" s="627">
        <v>367.8</v>
      </c>
      <c r="BC95" s="252">
        <v>385.1</v>
      </c>
      <c r="BD95" s="252">
        <v>392.6</v>
      </c>
      <c r="BE95" s="252">
        <v>402.5</v>
      </c>
      <c r="BF95" s="252">
        <v>414.9</v>
      </c>
      <c r="BG95" s="583">
        <v>422.4</v>
      </c>
    </row>
    <row r="96" spans="1:59" ht="13.8" thickBot="1">
      <c r="A96" s="2135"/>
      <c r="B96" s="112">
        <v>5.5</v>
      </c>
      <c r="C96" s="951">
        <f>(AG96*KFC!$B$39+KFC!$C$39)*курс_уе</f>
        <v>154.69999999999999</v>
      </c>
      <c r="D96" s="951">
        <f>(AH96*KFC!$B$39+KFC!$C$39)*курс_уе</f>
        <v>164.7</v>
      </c>
      <c r="E96" s="951">
        <f>(AI96*KFC!$B$39+KFC!$C$39)*курс_уе</f>
        <v>177.4</v>
      </c>
      <c r="F96" s="951">
        <f>(AJ96*KFC!$B$39+KFC!$C$39)*курс_уе</f>
        <v>187.4</v>
      </c>
      <c r="G96" s="951">
        <f>(AK96*KFC!$B$39+KFC!$C$39)*курс_уе</f>
        <v>194.9</v>
      </c>
      <c r="H96" s="951">
        <f>(AL96*KFC!$B$39+KFC!$C$39)*курс_уе</f>
        <v>210</v>
      </c>
      <c r="I96" s="951">
        <f>(AM96*KFC!$B$39+KFC!$C$39)*курс_уе</f>
        <v>217.5</v>
      </c>
      <c r="J96" s="951">
        <f>(AN96*KFC!$B$39+KFC!$C$39)*курс_уе</f>
        <v>227.5</v>
      </c>
      <c r="K96" s="951">
        <f>(AO96*KFC!$B$39+KFC!$C$39)*курс_уе</f>
        <v>237.5</v>
      </c>
      <c r="L96" s="951">
        <f>(AP96*KFC!$B$39+KFC!$C$39)*курс_уе</f>
        <v>247.6</v>
      </c>
      <c r="M96" s="951">
        <f>(AQ96*KFC!$B$39+KFC!$C$39)*курс_уе</f>
        <v>257.60000000000002</v>
      </c>
      <c r="N96" s="951">
        <f>(AR96*KFC!$B$39+KFC!$C$39)*курс_уе</f>
        <v>265.10000000000002</v>
      </c>
      <c r="O96" s="951">
        <f>(AS96*KFC!$B$39+KFC!$C$39)*курс_уе</f>
        <v>282.8</v>
      </c>
      <c r="P96" s="951">
        <f>(AT96*KFC!$B$39+KFC!$C$39)*курс_уе</f>
        <v>292.8</v>
      </c>
      <c r="Q96" s="951">
        <f>(AU96*KFC!$B$39+KFC!$C$39)*курс_уе</f>
        <v>300.3</v>
      </c>
      <c r="R96" s="951">
        <f>(AV96*KFC!$B$39+KFC!$C$39)*курс_уе</f>
        <v>312.89999999999998</v>
      </c>
      <c r="S96" s="951">
        <f>(AW96*KFC!$B$39+KFC!$C$39)*курс_уе</f>
        <v>320.39999999999998</v>
      </c>
      <c r="T96" s="951">
        <f>(AX96*KFC!$B$39+KFC!$C$39)*курс_уе</f>
        <v>332.9</v>
      </c>
      <c r="U96" s="951">
        <f>(AY96*KFC!$B$39+KFC!$C$39)*курс_уе</f>
        <v>345.5</v>
      </c>
      <c r="V96" s="951">
        <f>(AZ96*KFC!$B$39+KFC!$C$39)*курс_уе</f>
        <v>353</v>
      </c>
      <c r="W96" s="951">
        <f>(BA96*KFC!$B$39+KFC!$C$39)*курс_уе</f>
        <v>363</v>
      </c>
      <c r="X96" s="951">
        <f>(BB96*KFC!$B$39+KFC!$C$39)*курс_уе</f>
        <v>370.5</v>
      </c>
      <c r="Y96" s="951">
        <f>(BC96*KFC!$B$39+KFC!$C$39)*курс_уе</f>
        <v>388.2</v>
      </c>
      <c r="Z96" s="951">
        <f>(BD96*KFC!$B$39+KFC!$C$39)*курс_уе</f>
        <v>395.7</v>
      </c>
      <c r="AA96" s="951">
        <f>(BE96*KFC!$B$39+KFC!$C$39)*курс_уе</f>
        <v>405.7</v>
      </c>
      <c r="AB96" s="951">
        <f>(BF96*KFC!$B$39+KFC!$C$39)*курс_уе</f>
        <v>418.3</v>
      </c>
      <c r="AC96" s="951">
        <f>(BG96*KFC!$B$39+KFC!$C$39)*курс_уе</f>
        <v>425.8</v>
      </c>
      <c r="AE96" s="2135"/>
      <c r="AF96" s="112">
        <v>5.5</v>
      </c>
      <c r="AG96" s="266">
        <v>154.69999999999999</v>
      </c>
      <c r="AH96" s="253">
        <v>164.7</v>
      </c>
      <c r="AI96" s="253">
        <v>177.4</v>
      </c>
      <c r="AJ96" s="253">
        <v>187.4</v>
      </c>
      <c r="AK96" s="253">
        <v>194.9</v>
      </c>
      <c r="AL96" s="253">
        <v>210</v>
      </c>
      <c r="AM96" s="253">
        <v>217.5</v>
      </c>
      <c r="AN96" s="253">
        <v>227.5</v>
      </c>
      <c r="AO96" s="253">
        <v>237.5</v>
      </c>
      <c r="AP96" s="253">
        <v>247.6</v>
      </c>
      <c r="AQ96" s="253">
        <v>257.60000000000002</v>
      </c>
      <c r="AR96" s="253">
        <v>265.10000000000002</v>
      </c>
      <c r="AS96" s="253">
        <v>282.8</v>
      </c>
      <c r="AT96" s="253">
        <v>292.8</v>
      </c>
      <c r="AU96" s="253">
        <v>300.3</v>
      </c>
      <c r="AV96" s="253">
        <v>312.89999999999998</v>
      </c>
      <c r="AW96" s="253">
        <v>320.39999999999998</v>
      </c>
      <c r="AX96" s="253">
        <v>332.9</v>
      </c>
      <c r="AY96" s="253">
        <v>345.5</v>
      </c>
      <c r="AZ96" s="253">
        <v>353</v>
      </c>
      <c r="BA96" s="584">
        <v>363</v>
      </c>
      <c r="BB96" s="628">
        <v>370.5</v>
      </c>
      <c r="BC96" s="253">
        <v>388.2</v>
      </c>
      <c r="BD96" s="253">
        <v>395.7</v>
      </c>
      <c r="BE96" s="253">
        <v>405.7</v>
      </c>
      <c r="BF96" s="253">
        <v>418.3</v>
      </c>
      <c r="BG96" s="584">
        <v>425.8</v>
      </c>
    </row>
    <row r="97" spans="1:59">
      <c r="A97" s="185" t="s">
        <v>944</v>
      </c>
      <c r="B97" s="184"/>
      <c r="C97" s="184"/>
      <c r="D97" s="184"/>
      <c r="E97" s="184"/>
      <c r="F97" s="184"/>
      <c r="G97" s="184"/>
      <c r="H97" s="184"/>
      <c r="I97" s="184"/>
      <c r="J97" s="184"/>
      <c r="K97" s="184"/>
      <c r="L97" s="184"/>
      <c r="M97" s="184"/>
      <c r="N97" s="184"/>
      <c r="O97" s="254"/>
      <c r="P97" s="254"/>
      <c r="Q97" s="254"/>
      <c r="R97" s="254"/>
      <c r="S97" s="254"/>
      <c r="T97"/>
      <c r="U97"/>
      <c r="V97"/>
      <c r="W97"/>
      <c r="X97"/>
      <c r="Y97"/>
      <c r="Z97"/>
      <c r="AA97"/>
      <c r="AB97"/>
      <c r="AC97"/>
      <c r="AE97" s="185" t="s">
        <v>944</v>
      </c>
      <c r="AF97" s="184"/>
      <c r="AG97" s="184"/>
      <c r="AH97" s="184"/>
      <c r="AI97" s="184"/>
      <c r="AJ97" s="184"/>
      <c r="AK97" s="184"/>
      <c r="AL97" s="184"/>
      <c r="AM97" s="184"/>
      <c r="AN97" s="184"/>
      <c r="AO97" s="184"/>
      <c r="AP97" s="184"/>
      <c r="AQ97" s="184"/>
      <c r="AR97" s="184"/>
      <c r="AS97" s="254"/>
      <c r="AT97" s="254"/>
      <c r="AU97" s="254"/>
      <c r="AV97" s="254"/>
      <c r="AW97" s="254"/>
      <c r="AX97"/>
      <c r="AY97"/>
      <c r="AZ97"/>
      <c r="BA97"/>
      <c r="BB97"/>
      <c r="BC97"/>
      <c r="BD97"/>
      <c r="BE97"/>
      <c r="BF97"/>
      <c r="BG97"/>
    </row>
    <row r="98" spans="1:59">
      <c r="A98" s="2136" t="s">
        <v>921</v>
      </c>
      <c r="B98" s="2136"/>
      <c r="C98" s="2136"/>
      <c r="D98" s="2136"/>
      <c r="E98" s="2136"/>
      <c r="F98" s="498">
        <f>(AJ98*KFC!$B$39+KFC!$C$39)*курс_уе</f>
        <v>2.04</v>
      </c>
      <c r="G98" s="1569" t="s">
        <v>923</v>
      </c>
      <c r="H98" s="1283"/>
      <c r="I98" s="1283"/>
      <c r="J98" s="1283"/>
      <c r="K98" s="498">
        <f>(AO98*KFC!$B$39+KFC!$C$39)*курс_уе</f>
        <v>3.23</v>
      </c>
      <c r="L98" s="1569" t="s">
        <v>922</v>
      </c>
      <c r="M98" s="1283"/>
      <c r="N98" s="1283"/>
      <c r="O98" s="1283"/>
      <c r="P98" s="1283"/>
      <c r="Q98" s="1283"/>
      <c r="R98" s="1283"/>
      <c r="S98" s="1283"/>
      <c r="T98" s="1283"/>
      <c r="U98" s="1283"/>
      <c r="V98" s="1283"/>
      <c r="W98" s="1283"/>
      <c r="AE98" s="2136" t="s">
        <v>921</v>
      </c>
      <c r="AF98" s="2136"/>
      <c r="AG98" s="2136"/>
      <c r="AH98" s="2136"/>
      <c r="AI98" s="2136"/>
      <c r="AJ98" s="498">
        <v>2.04</v>
      </c>
      <c r="AK98" s="1569" t="s">
        <v>923</v>
      </c>
      <c r="AL98" s="1283"/>
      <c r="AM98" s="1283"/>
      <c r="AN98" s="1283"/>
      <c r="AO98" s="498">
        <v>3.23</v>
      </c>
      <c r="AP98" s="1569" t="s">
        <v>922</v>
      </c>
      <c r="AQ98" s="1283"/>
      <c r="AR98" s="1283"/>
      <c r="AS98" s="1283"/>
      <c r="AT98" s="1283"/>
      <c r="AU98" s="1283"/>
      <c r="AV98" s="1283"/>
      <c r="AW98" s="1283"/>
      <c r="AX98" s="1283"/>
      <c r="AY98" s="1283"/>
      <c r="AZ98" s="1283"/>
      <c r="BA98" s="1283"/>
    </row>
    <row r="99" spans="1:59" ht="16.2" thickBot="1">
      <c r="A99" s="979" t="s">
        <v>368</v>
      </c>
      <c r="B99" s="979"/>
      <c r="C99" s="979"/>
      <c r="D99" s="979"/>
      <c r="E99" s="979"/>
      <c r="F99" s="979"/>
      <c r="G99" s="979"/>
      <c r="H99" s="979"/>
      <c r="I99" s="979"/>
      <c r="J99" s="979"/>
      <c r="K99" s="979"/>
      <c r="L99" s="979"/>
      <c r="M99" s="979"/>
      <c r="N99" s="979"/>
      <c r="AE99" s="979" t="s">
        <v>368</v>
      </c>
      <c r="AF99" s="979"/>
      <c r="AG99" s="979"/>
      <c r="AH99" s="979"/>
      <c r="AI99" s="979"/>
      <c r="AJ99" s="979"/>
      <c r="AK99" s="979"/>
      <c r="AL99" s="979"/>
      <c r="AM99" s="979"/>
      <c r="AN99" s="979"/>
      <c r="AO99" s="979"/>
      <c r="AP99" s="979"/>
      <c r="AQ99" s="979"/>
      <c r="AR99" s="979"/>
    </row>
    <row r="100" spans="1:59" ht="16.2" thickBot="1">
      <c r="E100" s="2105" t="s">
        <v>2</v>
      </c>
      <c r="F100" s="2106"/>
      <c r="G100" s="2107" t="s">
        <v>87</v>
      </c>
      <c r="H100" s="2108"/>
      <c r="I100" s="2109"/>
      <c r="J100" s="2137" t="s">
        <v>367</v>
      </c>
      <c r="K100" s="1337"/>
      <c r="AI100" s="2105" t="s">
        <v>2</v>
      </c>
      <c r="AJ100" s="2106"/>
      <c r="AK100" s="2107" t="s">
        <v>87</v>
      </c>
      <c r="AL100" s="2108"/>
      <c r="AM100" s="2109"/>
      <c r="AN100" s="2137" t="s">
        <v>367</v>
      </c>
      <c r="AO100" s="1337"/>
    </row>
    <row r="101" spans="1:59" ht="15.6">
      <c r="E101" s="2112">
        <v>1</v>
      </c>
      <c r="F101" s="2113"/>
      <c r="G101" s="2114" t="s">
        <v>948</v>
      </c>
      <c r="H101" s="2115"/>
      <c r="I101" s="2116"/>
      <c r="J101" s="2117">
        <f>(AN101*KFC!$B$39+KFC!$C$39)*курс_уе</f>
        <v>20</v>
      </c>
      <c r="K101" s="2118">
        <f>(AO101*KFC!$B$39+KFC!$C$39)*курс_уе</f>
        <v>0</v>
      </c>
      <c r="AI101" s="2112">
        <v>1</v>
      </c>
      <c r="AJ101" s="2113"/>
      <c r="AK101" s="2114" t="s">
        <v>948</v>
      </c>
      <c r="AL101" s="2115"/>
      <c r="AM101" s="2116"/>
      <c r="AN101" s="2117">
        <v>20</v>
      </c>
      <c r="AO101" s="2118"/>
    </row>
    <row r="102" spans="1:59" ht="16.2" thickBot="1">
      <c r="E102" s="2119">
        <v>2</v>
      </c>
      <c r="F102" s="2120"/>
      <c r="G102" s="2121" t="s">
        <v>949</v>
      </c>
      <c r="H102" s="2122"/>
      <c r="I102" s="2123"/>
      <c r="J102" s="2124">
        <f>(AN102*KFC!$B$39+KFC!$C$39)*курс_уе</f>
        <v>20</v>
      </c>
      <c r="K102" s="2125">
        <f>(AO102*KFC!$B$39+KFC!$C$39)*курс_уе</f>
        <v>0</v>
      </c>
      <c r="AI102" s="2119">
        <v>2</v>
      </c>
      <c r="AJ102" s="2120"/>
      <c r="AK102" s="2121" t="s">
        <v>949</v>
      </c>
      <c r="AL102" s="2122"/>
      <c r="AM102" s="2123"/>
      <c r="AN102" s="2124">
        <v>20</v>
      </c>
      <c r="AO102" s="2125"/>
    </row>
    <row r="104" spans="1:59" ht="15.6">
      <c r="A104" s="979" t="s">
        <v>354</v>
      </c>
      <c r="B104" s="979"/>
      <c r="C104" s="979"/>
      <c r="D104" s="979"/>
      <c r="E104" s="979"/>
      <c r="F104" s="979"/>
      <c r="G104" s="979"/>
      <c r="H104" s="979"/>
      <c r="I104" s="979"/>
      <c r="J104" s="979"/>
      <c r="K104" s="979"/>
      <c r="L104" s="979"/>
      <c r="M104" s="979"/>
      <c r="N104" s="979"/>
      <c r="O104" s="979"/>
      <c r="P104" s="979"/>
      <c r="Q104" s="979"/>
      <c r="R104" s="979"/>
      <c r="S104" s="979"/>
      <c r="AE104" s="979" t="s">
        <v>354</v>
      </c>
      <c r="AF104" s="979"/>
      <c r="AG104" s="979"/>
      <c r="AH104" s="979"/>
      <c r="AI104" s="979"/>
      <c r="AJ104" s="979"/>
      <c r="AK104" s="979"/>
      <c r="AL104" s="979"/>
      <c r="AM104" s="979"/>
      <c r="AN104" s="979"/>
      <c r="AO104" s="979"/>
      <c r="AP104" s="979"/>
      <c r="AQ104" s="979"/>
      <c r="AR104" s="979"/>
      <c r="AS104" s="979"/>
      <c r="AT104" s="979"/>
      <c r="AU104" s="979"/>
      <c r="AV104" s="979"/>
      <c r="AW104" s="979"/>
    </row>
    <row r="105" spans="1:59" ht="16.2" thickBot="1">
      <c r="A105" s="2103" t="s">
        <v>567</v>
      </c>
      <c r="B105" s="2104"/>
      <c r="C105" s="2104"/>
      <c r="D105" s="2104"/>
      <c r="E105" s="2104"/>
      <c r="F105" s="2104"/>
      <c r="G105" s="2104"/>
      <c r="H105" s="2104"/>
      <c r="I105" s="2104"/>
      <c r="J105" s="2104"/>
      <c r="K105" s="2104"/>
      <c r="L105" s="2104"/>
      <c r="M105" s="2104"/>
      <c r="N105" s="2104"/>
      <c r="O105" s="2104"/>
      <c r="P105" s="2104"/>
      <c r="Q105" s="2104"/>
      <c r="R105" s="2104"/>
      <c r="S105" s="2104"/>
      <c r="AE105" s="2103" t="s">
        <v>567</v>
      </c>
      <c r="AF105" s="2104"/>
      <c r="AG105" s="2104"/>
      <c r="AH105" s="2104"/>
      <c r="AI105" s="2104"/>
      <c r="AJ105" s="2104"/>
      <c r="AK105" s="2104"/>
      <c r="AL105" s="2104"/>
      <c r="AM105" s="2104"/>
      <c r="AN105" s="2104"/>
      <c r="AO105" s="2104"/>
      <c r="AP105" s="2104"/>
      <c r="AQ105" s="2104"/>
      <c r="AR105" s="2104"/>
      <c r="AS105" s="2104"/>
      <c r="AT105" s="2104"/>
      <c r="AU105" s="2104"/>
      <c r="AV105" s="2104"/>
      <c r="AW105" s="2104"/>
    </row>
    <row r="106" spans="1:59" ht="13.8" thickBot="1">
      <c r="A106" s="2101" t="s">
        <v>565</v>
      </c>
      <c r="B106" s="2102"/>
      <c r="C106" s="423">
        <v>0.3</v>
      </c>
      <c r="D106" s="424">
        <v>0.4</v>
      </c>
      <c r="E106" s="424">
        <v>0.5</v>
      </c>
      <c r="F106" s="424">
        <v>0.6</v>
      </c>
      <c r="G106" s="424">
        <v>0.7</v>
      </c>
      <c r="H106" s="424">
        <v>0.8</v>
      </c>
      <c r="I106" s="424">
        <v>0.9</v>
      </c>
      <c r="J106" s="424">
        <v>1</v>
      </c>
      <c r="K106" s="424">
        <v>1.1000000000000001</v>
      </c>
      <c r="L106" s="424">
        <v>1.2</v>
      </c>
      <c r="M106" s="424">
        <v>1.3</v>
      </c>
      <c r="N106" s="424">
        <v>1.4</v>
      </c>
      <c r="O106" s="424">
        <v>1.5</v>
      </c>
      <c r="P106" s="424">
        <v>1.6</v>
      </c>
      <c r="Q106" s="424">
        <v>1.7</v>
      </c>
      <c r="R106" s="424">
        <v>1.8</v>
      </c>
      <c r="S106" s="425">
        <v>1.9</v>
      </c>
      <c r="AE106" s="2101" t="s">
        <v>565</v>
      </c>
      <c r="AF106" s="2102"/>
      <c r="AG106" s="423">
        <v>0.3</v>
      </c>
      <c r="AH106" s="424">
        <v>0.4</v>
      </c>
      <c r="AI106" s="424">
        <v>0.5</v>
      </c>
      <c r="AJ106" s="424">
        <v>0.6</v>
      </c>
      <c r="AK106" s="424">
        <v>0.7</v>
      </c>
      <c r="AL106" s="424">
        <v>0.8</v>
      </c>
      <c r="AM106" s="424">
        <v>0.9</v>
      </c>
      <c r="AN106" s="424">
        <v>1</v>
      </c>
      <c r="AO106" s="424">
        <v>1.1000000000000001</v>
      </c>
      <c r="AP106" s="424">
        <v>1.2</v>
      </c>
      <c r="AQ106" s="424">
        <v>1.3</v>
      </c>
      <c r="AR106" s="424">
        <v>1.4</v>
      </c>
      <c r="AS106" s="424">
        <v>1.5</v>
      </c>
      <c r="AT106" s="424">
        <v>1.6</v>
      </c>
      <c r="AU106" s="424">
        <v>1.7</v>
      </c>
      <c r="AV106" s="424">
        <v>1.8</v>
      </c>
      <c r="AW106" s="425">
        <v>1.9</v>
      </c>
    </row>
    <row r="107" spans="1:59" ht="16.2" thickBot="1">
      <c r="A107" s="2099" t="s">
        <v>566</v>
      </c>
      <c r="B107" s="2100"/>
      <c r="C107" s="592">
        <f>(AG107*KFC!$B$39+KFC!$C$39)*курс_уе</f>
        <v>23.35</v>
      </c>
      <c r="D107" s="592">
        <f>(AH107*KFC!$B$39+KFC!$C$39)*курс_уе</f>
        <v>24.04</v>
      </c>
      <c r="E107" s="592">
        <f>(AI107*KFC!$B$39+KFC!$C$39)*курс_уе</f>
        <v>24.73</v>
      </c>
      <c r="F107" s="592">
        <f>(AJ107*KFC!$B$39+KFC!$C$39)*курс_уе</f>
        <v>26.8</v>
      </c>
      <c r="G107" s="592">
        <f>(AK107*KFC!$B$39+KFC!$C$39)*курс_уе</f>
        <v>28.98</v>
      </c>
      <c r="H107" s="592">
        <f>(AL107*KFC!$B$39+KFC!$C$39)*курс_уе</f>
        <v>31.05</v>
      </c>
      <c r="I107" s="592">
        <f>(AM107*KFC!$B$39+KFC!$C$39)*курс_уе</f>
        <v>33.119999999999997</v>
      </c>
      <c r="J107" s="592">
        <f>(AN107*KFC!$B$39+KFC!$C$39)*курс_уе</f>
        <v>35.19</v>
      </c>
      <c r="K107" s="592">
        <f>(AO107*KFC!$B$39+KFC!$C$39)*курс_уе</f>
        <v>37.380000000000003</v>
      </c>
      <c r="L107" s="592">
        <f>(AP107*KFC!$B$39+KFC!$C$39)*курс_уе</f>
        <v>39.450000000000003</v>
      </c>
      <c r="M107" s="592">
        <f>(AQ107*KFC!$B$39+KFC!$C$39)*курс_уе</f>
        <v>41.52</v>
      </c>
      <c r="N107" s="592">
        <f>(AR107*KFC!$B$39+KFC!$C$39)*курс_уе</f>
        <v>43.59</v>
      </c>
      <c r="O107" s="592">
        <f>(AS107*KFC!$B$39+KFC!$C$39)*курс_уе</f>
        <v>45.66</v>
      </c>
      <c r="P107" s="592">
        <f>(AT107*KFC!$B$39+KFC!$C$39)*курс_уе</f>
        <v>47.84</v>
      </c>
      <c r="Q107" s="592">
        <f>(AU107*KFC!$B$39+KFC!$C$39)*курс_уе</f>
        <v>49.91</v>
      </c>
      <c r="R107" s="592">
        <f>(AV107*KFC!$B$39+KFC!$C$39)*курс_уе</f>
        <v>51.98</v>
      </c>
      <c r="S107" s="592">
        <f>(AW107*KFC!$B$39+KFC!$C$39)*курс_уе</f>
        <v>54.05</v>
      </c>
      <c r="AE107" s="2099" t="s">
        <v>566</v>
      </c>
      <c r="AF107" s="2100"/>
      <c r="AG107" s="592">
        <v>23.35</v>
      </c>
      <c r="AH107" s="592">
        <v>24.04</v>
      </c>
      <c r="AI107" s="592">
        <v>24.73</v>
      </c>
      <c r="AJ107" s="592">
        <v>26.8</v>
      </c>
      <c r="AK107" s="592">
        <v>28.98</v>
      </c>
      <c r="AL107" s="592">
        <v>31.05</v>
      </c>
      <c r="AM107" s="592">
        <v>33.119999999999997</v>
      </c>
      <c r="AN107" s="592">
        <v>35.19</v>
      </c>
      <c r="AO107" s="592">
        <v>37.380000000000003</v>
      </c>
      <c r="AP107" s="592">
        <v>39.450000000000003</v>
      </c>
      <c r="AQ107" s="592">
        <v>41.52</v>
      </c>
      <c r="AR107" s="592">
        <v>43.59</v>
      </c>
      <c r="AS107" s="592">
        <v>45.66</v>
      </c>
      <c r="AT107" s="592">
        <v>47.84</v>
      </c>
      <c r="AU107" s="592">
        <v>49.91</v>
      </c>
      <c r="AV107" s="592">
        <v>51.98</v>
      </c>
      <c r="AW107" s="592">
        <v>54.05</v>
      </c>
    </row>
    <row r="108" spans="1:59" ht="16.2" thickBot="1">
      <c r="B108" s="421"/>
      <c r="C108" s="421"/>
      <c r="D108" s="421"/>
      <c r="E108" s="421"/>
      <c r="F108" s="421"/>
      <c r="G108" s="421"/>
      <c r="H108" s="421"/>
      <c r="I108" s="421"/>
      <c r="J108" s="421"/>
      <c r="K108" s="421"/>
      <c r="L108" s="421"/>
      <c r="M108" s="421"/>
      <c r="N108" s="421"/>
      <c r="O108" s="421"/>
      <c r="P108" s="421"/>
      <c r="Q108" s="421"/>
      <c r="R108" s="421"/>
      <c r="S108" s="421"/>
      <c r="AF108" s="421"/>
      <c r="AG108" s="421"/>
      <c r="AH108" s="421"/>
      <c r="AI108" s="421"/>
      <c r="AJ108" s="421"/>
      <c r="AK108" s="421"/>
      <c r="AL108" s="421"/>
      <c r="AM108" s="421"/>
      <c r="AN108" s="421"/>
      <c r="AO108" s="421"/>
      <c r="AP108" s="421"/>
      <c r="AQ108" s="421"/>
      <c r="AR108" s="421"/>
      <c r="AS108" s="421"/>
      <c r="AT108" s="421"/>
      <c r="AU108" s="421"/>
      <c r="AV108" s="421"/>
      <c r="AW108" s="421"/>
    </row>
    <row r="109" spans="1:59" ht="13.8" thickBot="1">
      <c r="A109" s="2101" t="s">
        <v>565</v>
      </c>
      <c r="B109" s="2102"/>
      <c r="C109" s="423">
        <v>2</v>
      </c>
      <c r="D109" s="424">
        <v>2.1</v>
      </c>
      <c r="E109" s="424">
        <v>2.2000000000000002</v>
      </c>
      <c r="F109" s="424">
        <v>2.2999999999999998</v>
      </c>
      <c r="G109" s="424">
        <v>2.4</v>
      </c>
      <c r="H109" s="424">
        <v>2.5</v>
      </c>
      <c r="I109" s="424">
        <v>2.6</v>
      </c>
      <c r="J109" s="424">
        <v>2.7</v>
      </c>
      <c r="K109" s="424">
        <v>2.8</v>
      </c>
      <c r="L109" s="424">
        <v>2.9</v>
      </c>
      <c r="M109" s="424">
        <v>3</v>
      </c>
      <c r="AE109" s="2101" t="s">
        <v>565</v>
      </c>
      <c r="AF109" s="2102"/>
      <c r="AG109" s="423">
        <v>2</v>
      </c>
      <c r="AH109" s="424">
        <v>2.1</v>
      </c>
      <c r="AI109" s="424">
        <v>2.2000000000000002</v>
      </c>
      <c r="AJ109" s="424">
        <v>2.2999999999999998</v>
      </c>
      <c r="AK109" s="424">
        <v>2.4</v>
      </c>
      <c r="AL109" s="424">
        <v>2.5</v>
      </c>
      <c r="AM109" s="424">
        <v>2.6</v>
      </c>
      <c r="AN109" s="424">
        <v>2.7</v>
      </c>
      <c r="AO109" s="424">
        <v>2.8</v>
      </c>
      <c r="AP109" s="424">
        <v>2.9</v>
      </c>
      <c r="AQ109" s="424">
        <v>3</v>
      </c>
    </row>
    <row r="110" spans="1:59" ht="16.2" thickBot="1">
      <c r="A110" s="2099" t="s">
        <v>566</v>
      </c>
      <c r="B110" s="2100"/>
      <c r="C110" s="592">
        <f>(AG110*KFC!$B$39+KFC!$C$39)*курс_уе</f>
        <v>56.24</v>
      </c>
      <c r="D110" s="592">
        <f>(AH110*KFC!$B$39+KFC!$C$39)*курс_уе</f>
        <v>58.31</v>
      </c>
      <c r="E110" s="592">
        <f>(AI110*KFC!$B$39+KFC!$C$39)*курс_уе</f>
        <v>60.38</v>
      </c>
      <c r="F110" s="592">
        <f>(AJ110*KFC!$B$39+KFC!$C$39)*курс_уе</f>
        <v>62.45</v>
      </c>
      <c r="G110" s="592">
        <f>(AK110*KFC!$B$39+KFC!$C$39)*курс_уе</f>
        <v>64.63</v>
      </c>
      <c r="H110" s="592">
        <f>(AL110*KFC!$B$39+KFC!$C$39)*курс_уе</f>
        <v>66.7</v>
      </c>
      <c r="I110" s="592">
        <f>(AM110*KFC!$B$39+KFC!$C$39)*курс_уе</f>
        <v>68.77</v>
      </c>
      <c r="J110" s="592">
        <f>(AN110*KFC!$B$39+KFC!$C$39)*курс_уе</f>
        <v>70.84</v>
      </c>
      <c r="K110" s="592">
        <f>(AO110*KFC!$B$39+KFC!$C$39)*курс_уе</f>
        <v>72.91</v>
      </c>
      <c r="L110" s="592">
        <f>(AP110*KFC!$B$39+KFC!$C$39)*курс_уе</f>
        <v>75.099999999999994</v>
      </c>
      <c r="M110" s="592">
        <f>(AQ110*KFC!$B$39+KFC!$C$39)*курс_уе</f>
        <v>77.17</v>
      </c>
      <c r="AE110" s="2099" t="s">
        <v>566</v>
      </c>
      <c r="AF110" s="2100"/>
      <c r="AG110" s="592">
        <v>56.24</v>
      </c>
      <c r="AH110" s="592">
        <v>58.31</v>
      </c>
      <c r="AI110" s="592">
        <v>60.38</v>
      </c>
      <c r="AJ110" s="592">
        <v>62.45</v>
      </c>
      <c r="AK110" s="592">
        <v>64.63</v>
      </c>
      <c r="AL110" s="592">
        <v>66.7</v>
      </c>
      <c r="AM110" s="592">
        <v>68.77</v>
      </c>
      <c r="AN110" s="592">
        <v>70.84</v>
      </c>
      <c r="AO110" s="592">
        <v>72.91</v>
      </c>
      <c r="AP110" s="592">
        <v>75.099999999999994</v>
      </c>
      <c r="AQ110" s="592">
        <v>77.17</v>
      </c>
    </row>
    <row r="111" spans="1:59" ht="15.6">
      <c r="B111" s="421"/>
      <c r="C111" s="421"/>
      <c r="D111" s="421"/>
      <c r="E111" s="421"/>
      <c r="F111" s="421"/>
      <c r="G111" s="421"/>
      <c r="H111" s="421"/>
      <c r="I111" s="421"/>
      <c r="J111" s="421"/>
      <c r="AF111" s="421"/>
      <c r="AG111" s="421"/>
      <c r="AH111" s="421"/>
      <c r="AI111" s="421"/>
      <c r="AJ111" s="421"/>
      <c r="AK111" s="421"/>
      <c r="AL111" s="421"/>
      <c r="AM111" s="421"/>
      <c r="AN111" s="421"/>
    </row>
    <row r="112" spans="1:59" ht="16.2" thickBot="1">
      <c r="A112" s="2103" t="s">
        <v>958</v>
      </c>
      <c r="B112" s="2104"/>
      <c r="C112" s="2104"/>
      <c r="D112" s="2104"/>
      <c r="E112" s="2104"/>
      <c r="F112" s="2104"/>
      <c r="G112" s="2104"/>
      <c r="H112" s="2104"/>
      <c r="I112" s="2104"/>
      <c r="J112" s="2104"/>
      <c r="K112" s="2104"/>
      <c r="L112" s="2104"/>
      <c r="M112" s="2104"/>
      <c r="N112" s="2104"/>
      <c r="O112" s="2104"/>
      <c r="P112" s="2104"/>
      <c r="Q112" s="2104"/>
      <c r="R112" s="2104"/>
      <c r="S112" s="2104"/>
      <c r="AE112" s="2103" t="s">
        <v>958</v>
      </c>
      <c r="AF112" s="2104"/>
      <c r="AG112" s="2104"/>
      <c r="AH112" s="2104"/>
      <c r="AI112" s="2104"/>
      <c r="AJ112" s="2104"/>
      <c r="AK112" s="2104"/>
      <c r="AL112" s="2104"/>
      <c r="AM112" s="2104"/>
      <c r="AN112" s="2104"/>
      <c r="AO112" s="2104"/>
      <c r="AP112" s="2104"/>
      <c r="AQ112" s="2104"/>
      <c r="AR112" s="2104"/>
      <c r="AS112" s="2104"/>
      <c r="AT112" s="2104"/>
      <c r="AU112" s="2104"/>
      <c r="AV112" s="2104"/>
      <c r="AW112" s="2104"/>
    </row>
    <row r="113" spans="1:49" ht="13.8" thickBot="1">
      <c r="A113" s="2101" t="s">
        <v>565</v>
      </c>
      <c r="B113" s="2102"/>
      <c r="C113" s="424">
        <v>1</v>
      </c>
      <c r="D113" s="424">
        <v>1.1000000000000001</v>
      </c>
      <c r="E113" s="424">
        <v>1.2</v>
      </c>
      <c r="F113" s="424">
        <v>1.3</v>
      </c>
      <c r="G113" s="424">
        <v>1.4</v>
      </c>
      <c r="H113" s="424">
        <v>1.5</v>
      </c>
      <c r="I113" s="424">
        <v>1.6</v>
      </c>
      <c r="J113" s="424">
        <v>1.7</v>
      </c>
      <c r="K113" s="424">
        <v>1.8</v>
      </c>
      <c r="L113" s="425">
        <v>1.9</v>
      </c>
      <c r="M113" s="424">
        <v>2</v>
      </c>
      <c r="N113" s="424">
        <v>2.1</v>
      </c>
      <c r="O113" s="424">
        <v>2.2000000000000002</v>
      </c>
      <c r="P113" s="424">
        <v>2.2999999999999998</v>
      </c>
      <c r="Q113" s="424">
        <v>2.4</v>
      </c>
      <c r="R113" s="424">
        <v>2.5</v>
      </c>
      <c r="S113" s="424">
        <v>2.6</v>
      </c>
      <c r="AE113" s="2101" t="s">
        <v>565</v>
      </c>
      <c r="AF113" s="2102"/>
      <c r="AG113" s="424">
        <v>1</v>
      </c>
      <c r="AH113" s="424">
        <v>1.1000000000000001</v>
      </c>
      <c r="AI113" s="424">
        <v>1.2</v>
      </c>
      <c r="AJ113" s="424">
        <v>1.3</v>
      </c>
      <c r="AK113" s="424">
        <v>1.4</v>
      </c>
      <c r="AL113" s="424">
        <v>1.5</v>
      </c>
      <c r="AM113" s="424">
        <v>1.6</v>
      </c>
      <c r="AN113" s="424">
        <v>1.7</v>
      </c>
      <c r="AO113" s="424">
        <v>1.8</v>
      </c>
      <c r="AP113" s="425">
        <v>1.9</v>
      </c>
      <c r="AQ113" s="424">
        <v>2</v>
      </c>
      <c r="AR113" s="424">
        <v>2.1</v>
      </c>
      <c r="AS113" s="424">
        <v>2.2000000000000002</v>
      </c>
      <c r="AT113" s="424">
        <v>2.2999999999999998</v>
      </c>
      <c r="AU113" s="424">
        <v>2.4</v>
      </c>
      <c r="AV113" s="424">
        <v>2.5</v>
      </c>
      <c r="AW113" s="424">
        <v>2.6</v>
      </c>
    </row>
    <row r="114" spans="1:49" ht="16.2" thickBot="1">
      <c r="A114" s="2099" t="s">
        <v>566</v>
      </c>
      <c r="B114" s="2100"/>
      <c r="C114" s="592">
        <f>(AG114*KFC!$B$39+KFC!$C$39)*курс_уе</f>
        <v>120.3</v>
      </c>
      <c r="D114" s="592">
        <f>(AH114*KFC!$B$39+KFC!$C$39)*курс_уе</f>
        <v>126.8</v>
      </c>
      <c r="E114" s="592">
        <f>(AI114*KFC!$B$39+KFC!$C$39)*курс_уе</f>
        <v>133.30000000000001</v>
      </c>
      <c r="F114" s="592">
        <f>(AJ114*KFC!$B$39+KFC!$C$39)*курс_уе</f>
        <v>139.9</v>
      </c>
      <c r="G114" s="592">
        <f>(AK114*KFC!$B$39+KFC!$C$39)*курс_уе</f>
        <v>146.4</v>
      </c>
      <c r="H114" s="592">
        <f>(AL114*KFC!$B$39+KFC!$C$39)*курс_уе</f>
        <v>153</v>
      </c>
      <c r="I114" s="592">
        <f>(AM114*KFC!$B$39+KFC!$C$39)*курс_уе</f>
        <v>159.5</v>
      </c>
      <c r="J114" s="592">
        <f>(AN114*KFC!$B$39+KFC!$C$39)*курс_уе</f>
        <v>166</v>
      </c>
      <c r="K114" s="592">
        <f>(AO114*KFC!$B$39+KFC!$C$39)*курс_уе</f>
        <v>172.6</v>
      </c>
      <c r="L114" s="592">
        <f>(AP114*KFC!$B$39+KFC!$C$39)*курс_уе</f>
        <v>179.1</v>
      </c>
      <c r="M114" s="592">
        <f>(AQ114*KFC!$B$39+KFC!$C$39)*курс_уе</f>
        <v>185.7</v>
      </c>
      <c r="N114" s="592">
        <f>(AR114*KFC!$B$39+KFC!$C$39)*курс_уе</f>
        <v>192.2</v>
      </c>
      <c r="O114" s="592">
        <f>(AS114*KFC!$B$39+KFC!$C$39)*курс_уе</f>
        <v>198.7</v>
      </c>
      <c r="P114" s="592">
        <f>(AT114*KFC!$B$39+KFC!$C$39)*курс_уе</f>
        <v>205.3</v>
      </c>
      <c r="Q114" s="592">
        <f>(AU114*KFC!$B$39+KFC!$C$39)*курс_уе</f>
        <v>211.8</v>
      </c>
      <c r="R114" s="592">
        <f>(AV114*KFC!$B$39+KFC!$C$39)*курс_уе</f>
        <v>218.4</v>
      </c>
      <c r="S114" s="592">
        <f>(AW114*KFC!$B$39+KFC!$C$39)*курс_уе</f>
        <v>224.9</v>
      </c>
      <c r="AE114" s="2099" t="s">
        <v>566</v>
      </c>
      <c r="AF114" s="2100"/>
      <c r="AG114" s="592">
        <v>120.3</v>
      </c>
      <c r="AH114" s="592">
        <v>126.8</v>
      </c>
      <c r="AI114" s="592">
        <v>133.30000000000001</v>
      </c>
      <c r="AJ114" s="592">
        <v>139.9</v>
      </c>
      <c r="AK114" s="592">
        <v>146.4</v>
      </c>
      <c r="AL114" s="592">
        <v>153</v>
      </c>
      <c r="AM114" s="592">
        <v>159.5</v>
      </c>
      <c r="AN114" s="592">
        <v>166</v>
      </c>
      <c r="AO114" s="592">
        <v>172.6</v>
      </c>
      <c r="AP114" s="592">
        <v>179.1</v>
      </c>
      <c r="AQ114" s="592">
        <v>185.7</v>
      </c>
      <c r="AR114" s="592">
        <v>192.2</v>
      </c>
      <c r="AS114" s="592">
        <v>198.7</v>
      </c>
      <c r="AT114" s="592">
        <v>205.3</v>
      </c>
      <c r="AU114" s="592">
        <v>211.8</v>
      </c>
      <c r="AV114" s="592">
        <v>218.4</v>
      </c>
      <c r="AW114" s="592">
        <v>224.9</v>
      </c>
    </row>
    <row r="115" spans="1:49" ht="16.2" thickBot="1">
      <c r="B115" s="421"/>
      <c r="C115" s="421"/>
      <c r="D115" s="421"/>
      <c r="E115" s="421"/>
      <c r="F115" s="421"/>
      <c r="G115" s="421"/>
      <c r="H115" s="421"/>
      <c r="I115" s="421"/>
      <c r="J115" s="421"/>
      <c r="K115" s="421"/>
      <c r="L115" s="421"/>
      <c r="M115" s="421"/>
      <c r="N115" s="421"/>
      <c r="O115" s="421"/>
      <c r="P115" s="421"/>
      <c r="Q115" s="421"/>
      <c r="R115" s="421"/>
      <c r="S115" s="421"/>
      <c r="AF115" s="421"/>
      <c r="AG115" s="421"/>
      <c r="AH115" s="421"/>
      <c r="AI115" s="421"/>
      <c r="AJ115" s="421"/>
      <c r="AK115" s="421"/>
      <c r="AL115" s="421"/>
      <c r="AM115" s="421"/>
      <c r="AN115" s="421"/>
      <c r="AO115" s="421"/>
      <c r="AP115" s="421"/>
      <c r="AQ115" s="421"/>
      <c r="AR115" s="421"/>
      <c r="AS115" s="421"/>
      <c r="AT115" s="421"/>
      <c r="AU115" s="421"/>
      <c r="AV115" s="421"/>
      <c r="AW115" s="421"/>
    </row>
    <row r="116" spans="1:49" ht="13.8" thickBot="1">
      <c r="A116" s="2101" t="s">
        <v>565</v>
      </c>
      <c r="B116" s="2102"/>
      <c r="C116" s="423">
        <v>2.7</v>
      </c>
      <c r="D116" s="424">
        <v>2.8</v>
      </c>
      <c r="E116" s="423">
        <v>2.9</v>
      </c>
      <c r="F116" s="424">
        <v>3</v>
      </c>
      <c r="G116" s="423">
        <v>3.1</v>
      </c>
      <c r="H116" s="424">
        <v>3.2</v>
      </c>
      <c r="I116" s="423">
        <v>3.3</v>
      </c>
      <c r="J116" s="424">
        <v>3.4</v>
      </c>
      <c r="K116" s="423">
        <v>3.5</v>
      </c>
      <c r="L116" s="424">
        <v>3.6</v>
      </c>
      <c r="M116" s="423">
        <v>3.7</v>
      </c>
      <c r="N116" s="424">
        <v>3.8</v>
      </c>
      <c r="O116" s="423">
        <v>3.9</v>
      </c>
      <c r="P116" s="424">
        <v>4</v>
      </c>
      <c r="AE116" s="2101" t="s">
        <v>565</v>
      </c>
      <c r="AF116" s="2102"/>
      <c r="AG116" s="423">
        <v>2.7</v>
      </c>
      <c r="AH116" s="424">
        <v>2.8</v>
      </c>
      <c r="AI116" s="423">
        <v>2.9</v>
      </c>
      <c r="AJ116" s="424">
        <v>3</v>
      </c>
      <c r="AK116" s="423">
        <v>3.1</v>
      </c>
      <c r="AL116" s="424">
        <v>3.2</v>
      </c>
      <c r="AM116" s="423">
        <v>3.3</v>
      </c>
      <c r="AN116" s="424">
        <v>3.4</v>
      </c>
      <c r="AO116" s="423">
        <v>3.5</v>
      </c>
      <c r="AP116" s="424">
        <v>3.6</v>
      </c>
      <c r="AQ116" s="423">
        <v>3.7</v>
      </c>
      <c r="AR116" s="424">
        <v>3.8</v>
      </c>
      <c r="AS116" s="423">
        <v>3.9</v>
      </c>
      <c r="AT116" s="424">
        <v>4</v>
      </c>
    </row>
    <row r="117" spans="1:49" ht="16.2" thickBot="1">
      <c r="A117" s="2099" t="s">
        <v>566</v>
      </c>
      <c r="B117" s="2100"/>
      <c r="C117" s="592">
        <f>(AG117*KFC!$B$39+KFC!$C$39)*курс_уе</f>
        <v>231.4</v>
      </c>
      <c r="D117" s="592">
        <f>(AH117*KFC!$B$39+KFC!$C$39)*курс_уе</f>
        <v>238</v>
      </c>
      <c r="E117" s="592">
        <f>(AI117*KFC!$B$39+KFC!$C$39)*курс_уе</f>
        <v>244.5</v>
      </c>
      <c r="F117" s="592">
        <f>(AJ117*KFC!$B$39+KFC!$C$39)*курс_уе</f>
        <v>251.1</v>
      </c>
      <c r="G117" s="592">
        <f>(AK117*KFC!$B$39+KFC!$C$39)*курс_уе</f>
        <v>257.60000000000002</v>
      </c>
      <c r="H117" s="592">
        <f>(AL117*KFC!$B$39+KFC!$C$39)*курс_уе</f>
        <v>264.10000000000002</v>
      </c>
      <c r="I117" s="592">
        <f>(AM117*KFC!$B$39+KFC!$C$39)*курс_уе</f>
        <v>270.7</v>
      </c>
      <c r="J117" s="592">
        <f>(AN117*KFC!$B$39+KFC!$C$39)*курс_уе</f>
        <v>277.2</v>
      </c>
      <c r="K117" s="592">
        <f>(AO117*KFC!$B$39+KFC!$C$39)*курс_уе</f>
        <v>283.8</v>
      </c>
      <c r="L117" s="592">
        <f>(AP117*KFC!$B$39+KFC!$C$39)*курс_уе</f>
        <v>290.3</v>
      </c>
      <c r="M117" s="592">
        <f>(AQ117*KFC!$B$39+KFC!$C$39)*курс_уе</f>
        <v>296.8</v>
      </c>
      <c r="N117" s="592">
        <f>(AR117*KFC!$B$39+KFC!$C$39)*курс_уе</f>
        <v>303.39999999999998</v>
      </c>
      <c r="O117" s="592">
        <f>(AS117*KFC!$B$39+KFC!$C$39)*курс_уе</f>
        <v>309.89999999999998</v>
      </c>
      <c r="P117" s="592">
        <f>(AT117*KFC!$B$39+KFC!$C$39)*курс_уе</f>
        <v>316.5</v>
      </c>
      <c r="AE117" s="2099" t="s">
        <v>566</v>
      </c>
      <c r="AF117" s="2100"/>
      <c r="AG117" s="592">
        <v>231.4</v>
      </c>
      <c r="AH117" s="592">
        <v>238</v>
      </c>
      <c r="AI117" s="592">
        <v>244.5</v>
      </c>
      <c r="AJ117" s="592">
        <v>251.1</v>
      </c>
      <c r="AK117" s="592">
        <v>257.60000000000002</v>
      </c>
      <c r="AL117" s="592">
        <v>264.10000000000002</v>
      </c>
      <c r="AM117" s="592">
        <v>270.7</v>
      </c>
      <c r="AN117" s="592">
        <v>277.2</v>
      </c>
      <c r="AO117" s="592">
        <v>283.8</v>
      </c>
      <c r="AP117" s="592">
        <v>290.3</v>
      </c>
      <c r="AQ117" s="592">
        <v>296.8</v>
      </c>
      <c r="AR117" s="592">
        <v>303.39999999999998</v>
      </c>
      <c r="AS117" s="592">
        <v>309.89999999999998</v>
      </c>
      <c r="AT117" s="592">
        <v>316.5</v>
      </c>
    </row>
    <row r="118" spans="1:49" ht="16.2" thickBot="1">
      <c r="A118" s="590"/>
      <c r="B118" s="590"/>
      <c r="C118" s="590"/>
      <c r="D118" s="590"/>
      <c r="E118" s="590"/>
      <c r="F118" s="590"/>
      <c r="G118" s="590"/>
      <c r="H118" s="590"/>
      <c r="I118" s="590"/>
      <c r="J118" s="590"/>
      <c r="K118" s="590"/>
      <c r="L118" s="590"/>
      <c r="M118" s="426"/>
      <c r="N118" s="590"/>
      <c r="O118" s="590"/>
      <c r="P118" s="591"/>
      <c r="AE118" s="590"/>
      <c r="AF118" s="590"/>
      <c r="AG118" s="590"/>
      <c r="AH118" s="590"/>
      <c r="AI118" s="590"/>
      <c r="AJ118" s="590"/>
      <c r="AK118" s="590"/>
      <c r="AL118" s="590"/>
      <c r="AM118" s="590"/>
      <c r="AN118" s="590"/>
      <c r="AO118" s="590"/>
      <c r="AP118" s="590"/>
      <c r="AQ118" s="426"/>
      <c r="AR118" s="590"/>
      <c r="AS118" s="590"/>
      <c r="AT118" s="591"/>
    </row>
    <row r="119" spans="1:49" ht="16.2" thickBot="1">
      <c r="A119" s="2105" t="s">
        <v>2</v>
      </c>
      <c r="B119" s="2106"/>
      <c r="C119" s="2107" t="s">
        <v>87</v>
      </c>
      <c r="D119" s="2108"/>
      <c r="E119" s="2108"/>
      <c r="F119" s="2108"/>
      <c r="G119" s="2108"/>
      <c r="H119" s="2108"/>
      <c r="I119" s="2108"/>
      <c r="J119" s="2108"/>
      <c r="K119" s="2108"/>
      <c r="L119" s="2108"/>
      <c r="M119" s="2109"/>
      <c r="N119" s="2110" t="s">
        <v>30</v>
      </c>
      <c r="O119" s="2111"/>
      <c r="AE119" s="2105" t="s">
        <v>2</v>
      </c>
      <c r="AF119" s="2106"/>
      <c r="AG119" s="2107" t="s">
        <v>87</v>
      </c>
      <c r="AH119" s="2108"/>
      <c r="AI119" s="2108"/>
      <c r="AJ119" s="2108"/>
      <c r="AK119" s="2108"/>
      <c r="AL119" s="2108"/>
      <c r="AM119" s="2108"/>
      <c r="AN119" s="2108"/>
      <c r="AO119" s="2108"/>
      <c r="AP119" s="2108"/>
      <c r="AQ119" s="2109"/>
      <c r="AR119" s="2110" t="s">
        <v>30</v>
      </c>
      <c r="AS119" s="2111"/>
    </row>
    <row r="120" spans="1:49" ht="15.6">
      <c r="A120" s="2094">
        <v>1</v>
      </c>
      <c r="B120" s="2054"/>
      <c r="C120" s="1662" t="s">
        <v>987</v>
      </c>
      <c r="D120" s="1662"/>
      <c r="E120" s="1662"/>
      <c r="F120" s="1662"/>
      <c r="G120" s="1662"/>
      <c r="H120" s="1662"/>
      <c r="I120" s="1662"/>
      <c r="J120" s="1662"/>
      <c r="K120" s="1662"/>
      <c r="L120" s="1662"/>
      <c r="M120" s="1662"/>
      <c r="N120" s="2095">
        <f>(AR120*KFC!$B$39+KFC!$C$39)*курс_уе</f>
        <v>3.47</v>
      </c>
      <c r="O120" s="2096">
        <f>(AS120*KFC!$B$39+KFC!$C$39)*курс_уе</f>
        <v>0</v>
      </c>
      <c r="AE120" s="2094">
        <v>1</v>
      </c>
      <c r="AF120" s="2054"/>
      <c r="AG120" s="1662" t="s">
        <v>987</v>
      </c>
      <c r="AH120" s="1662"/>
      <c r="AI120" s="1662"/>
      <c r="AJ120" s="1662"/>
      <c r="AK120" s="1662"/>
      <c r="AL120" s="1662"/>
      <c r="AM120" s="1662"/>
      <c r="AN120" s="1662"/>
      <c r="AO120" s="1662"/>
      <c r="AP120" s="1662"/>
      <c r="AQ120" s="1662"/>
      <c r="AR120" s="2095">
        <v>3.47</v>
      </c>
      <c r="AS120" s="2096"/>
    </row>
    <row r="121" spans="1:49" ht="15.6">
      <c r="A121" s="2094">
        <v>2</v>
      </c>
      <c r="B121" s="2054"/>
      <c r="C121" s="1662" t="s">
        <v>369</v>
      </c>
      <c r="D121" s="1662"/>
      <c r="E121" s="1662"/>
      <c r="F121" s="1662"/>
      <c r="G121" s="1662"/>
      <c r="H121" s="1662"/>
      <c r="I121" s="1662"/>
      <c r="J121" s="1662"/>
      <c r="K121" s="1662"/>
      <c r="L121" s="1662"/>
      <c r="M121" s="1662"/>
      <c r="N121" s="2095">
        <f>(AR121*KFC!$B$39+KFC!$C$39)*курс_уе</f>
        <v>0.82</v>
      </c>
      <c r="O121" s="2096">
        <f>(AS121*KFC!$B$39+KFC!$C$39)*курс_уе</f>
        <v>0</v>
      </c>
      <c r="AE121" s="2094">
        <v>2</v>
      </c>
      <c r="AF121" s="2054"/>
      <c r="AG121" s="1662" t="s">
        <v>369</v>
      </c>
      <c r="AH121" s="1662"/>
      <c r="AI121" s="1662"/>
      <c r="AJ121" s="1662"/>
      <c r="AK121" s="1662"/>
      <c r="AL121" s="1662"/>
      <c r="AM121" s="1662"/>
      <c r="AN121" s="1662"/>
      <c r="AO121" s="1662"/>
      <c r="AP121" s="1662"/>
      <c r="AQ121" s="1662"/>
      <c r="AR121" s="2095">
        <v>0.82</v>
      </c>
      <c r="AS121" s="2096"/>
    </row>
    <row r="122" spans="1:49" ht="15.6">
      <c r="A122" s="2094">
        <v>4</v>
      </c>
      <c r="B122" s="2054"/>
      <c r="C122" s="1662" t="s">
        <v>569</v>
      </c>
      <c r="D122" s="1662"/>
      <c r="E122" s="1662"/>
      <c r="F122" s="1662"/>
      <c r="G122" s="1662"/>
      <c r="H122" s="1662"/>
      <c r="I122" s="1662"/>
      <c r="J122" s="1662"/>
      <c r="K122" s="1662"/>
      <c r="L122" s="1662"/>
      <c r="M122" s="1662"/>
      <c r="N122" s="2095">
        <f>(AR122*KFC!$B$39+KFC!$C$39)*курс_уе</f>
        <v>8.7200000000000006</v>
      </c>
      <c r="O122" s="2096">
        <f>(AS122*KFC!$B$39+KFC!$C$39)*курс_уе</f>
        <v>0</v>
      </c>
      <c r="AE122" s="2094">
        <v>4</v>
      </c>
      <c r="AF122" s="2054"/>
      <c r="AG122" s="1662" t="s">
        <v>569</v>
      </c>
      <c r="AH122" s="1662"/>
      <c r="AI122" s="1662"/>
      <c r="AJ122" s="1662"/>
      <c r="AK122" s="1662"/>
      <c r="AL122" s="1662"/>
      <c r="AM122" s="1662"/>
      <c r="AN122" s="1662"/>
      <c r="AO122" s="1662"/>
      <c r="AP122" s="1662"/>
      <c r="AQ122" s="1662"/>
      <c r="AR122" s="2095">
        <v>8.7200000000000006</v>
      </c>
      <c r="AS122" s="2096"/>
    </row>
    <row r="123" spans="1:49" ht="15.6">
      <c r="A123" s="2094">
        <v>7</v>
      </c>
      <c r="B123" s="2054"/>
      <c r="C123" s="1662" t="s">
        <v>568</v>
      </c>
      <c r="D123" s="1662"/>
      <c r="E123" s="1662"/>
      <c r="F123" s="1662"/>
      <c r="G123" s="1662"/>
      <c r="H123" s="1662"/>
      <c r="I123" s="1662"/>
      <c r="J123" s="1662"/>
      <c r="K123" s="1662"/>
      <c r="L123" s="1662"/>
      <c r="M123" s="1662"/>
      <c r="N123" s="2095">
        <f>(AR123*KFC!$B$39+KFC!$C$39)*курс_уе</f>
        <v>0.82</v>
      </c>
      <c r="O123" s="2096">
        <f>(AS123*KFC!$B$39+KFC!$C$39)*курс_уе</f>
        <v>0</v>
      </c>
      <c r="AE123" s="2094">
        <v>7</v>
      </c>
      <c r="AF123" s="2054"/>
      <c r="AG123" s="1662" t="s">
        <v>568</v>
      </c>
      <c r="AH123" s="1662"/>
      <c r="AI123" s="1662"/>
      <c r="AJ123" s="1662"/>
      <c r="AK123" s="1662"/>
      <c r="AL123" s="1662"/>
      <c r="AM123" s="1662"/>
      <c r="AN123" s="1662"/>
      <c r="AO123" s="1662"/>
      <c r="AP123" s="1662"/>
      <c r="AQ123" s="1662"/>
      <c r="AR123" s="2095">
        <v>0.82</v>
      </c>
      <c r="AS123" s="2096"/>
    </row>
    <row r="124" spans="1:49" ht="15.6">
      <c r="A124" s="2094">
        <v>8</v>
      </c>
      <c r="B124" s="2054"/>
      <c r="C124" s="1662" t="s">
        <v>570</v>
      </c>
      <c r="D124" s="1662"/>
      <c r="E124" s="1662"/>
      <c r="F124" s="1662"/>
      <c r="G124" s="1662"/>
      <c r="H124" s="1662"/>
      <c r="I124" s="1662"/>
      <c r="J124" s="1662"/>
      <c r="K124" s="1662"/>
      <c r="L124" s="1662"/>
      <c r="M124" s="1662"/>
      <c r="N124" s="2095">
        <f>(AR124*KFC!$B$39+KFC!$C$39)*курс_уе</f>
        <v>0.78</v>
      </c>
      <c r="O124" s="2096">
        <f>(AS124*KFC!$B$39+KFC!$C$39)*курс_уе</f>
        <v>0</v>
      </c>
      <c r="AE124" s="2094">
        <v>8</v>
      </c>
      <c r="AF124" s="2054"/>
      <c r="AG124" s="1662" t="s">
        <v>570</v>
      </c>
      <c r="AH124" s="1662"/>
      <c r="AI124" s="1662"/>
      <c r="AJ124" s="1662"/>
      <c r="AK124" s="1662"/>
      <c r="AL124" s="1662"/>
      <c r="AM124" s="1662"/>
      <c r="AN124" s="1662"/>
      <c r="AO124" s="1662"/>
      <c r="AP124" s="1662"/>
      <c r="AQ124" s="1662"/>
      <c r="AR124" s="2095">
        <v>0.78</v>
      </c>
      <c r="AS124" s="2096"/>
    </row>
    <row r="125" spans="1:49" ht="16.2" thickBot="1">
      <c r="A125" s="2094">
        <v>9</v>
      </c>
      <c r="B125" s="2054"/>
      <c r="C125" s="1025" t="s">
        <v>571</v>
      </c>
      <c r="D125" s="1025"/>
      <c r="E125" s="1025"/>
      <c r="F125" s="1025"/>
      <c r="G125" s="1025"/>
      <c r="H125" s="1025"/>
      <c r="I125" s="1025"/>
      <c r="J125" s="1025"/>
      <c r="K125" s="1025"/>
      <c r="L125" s="1025"/>
      <c r="M125" s="1025"/>
      <c r="N125" s="2095">
        <f>(AR125*KFC!$B$39+KFC!$C$39)*курс_уе</f>
        <v>3.1</v>
      </c>
      <c r="O125" s="2096">
        <f>(AS125*KFC!$B$39+KFC!$C$39)*курс_уе</f>
        <v>0</v>
      </c>
      <c r="AE125" s="2094">
        <v>9</v>
      </c>
      <c r="AF125" s="2054"/>
      <c r="AG125" s="1025" t="s">
        <v>571</v>
      </c>
      <c r="AH125" s="1025"/>
      <c r="AI125" s="1025"/>
      <c r="AJ125" s="1025"/>
      <c r="AK125" s="1025"/>
      <c r="AL125" s="1025"/>
      <c r="AM125" s="1025"/>
      <c r="AN125" s="1025"/>
      <c r="AO125" s="1025"/>
      <c r="AP125" s="1025"/>
      <c r="AQ125" s="1025"/>
      <c r="AR125" s="2097">
        <v>3.1</v>
      </c>
      <c r="AS125" s="2098"/>
    </row>
    <row r="126" spans="1:49">
      <c r="B126" s="5" t="s">
        <v>5</v>
      </c>
      <c r="C126" s="5"/>
      <c r="AF126" s="5" t="s">
        <v>5</v>
      </c>
      <c r="AG126" s="5"/>
    </row>
    <row r="127" spans="1:49" ht="13.8">
      <c r="B127" s="2087" t="s">
        <v>359</v>
      </c>
      <c r="C127" s="2087"/>
      <c r="D127" s="2087"/>
      <c r="E127" s="2087"/>
      <c r="F127" s="2087"/>
      <c r="G127" s="2087"/>
      <c r="H127" s="2087"/>
      <c r="I127" s="2087"/>
      <c r="J127" s="2087"/>
      <c r="AF127" s="2087" t="s">
        <v>359</v>
      </c>
      <c r="AG127" s="2087"/>
      <c r="AH127" s="2087"/>
      <c r="AI127" s="2087"/>
      <c r="AJ127" s="2087"/>
      <c r="AK127" s="2087"/>
      <c r="AL127" s="2087"/>
      <c r="AM127" s="2087"/>
      <c r="AN127" s="2087"/>
    </row>
    <row r="128" spans="1:49" ht="13.8">
      <c r="B128" s="159" t="s">
        <v>6</v>
      </c>
      <c r="C128" s="159"/>
      <c r="D128" s="160"/>
      <c r="E128" s="160"/>
      <c r="F128" s="160"/>
      <c r="G128" s="160"/>
      <c r="H128" s="160"/>
      <c r="I128" s="160"/>
      <c r="J128" s="11"/>
      <c r="AF128" s="159" t="s">
        <v>6</v>
      </c>
      <c r="AG128" s="159"/>
      <c r="AH128" s="160"/>
      <c r="AI128" s="160"/>
      <c r="AJ128" s="160"/>
      <c r="AK128" s="160"/>
      <c r="AL128" s="160"/>
      <c r="AM128" s="160"/>
      <c r="AN128" s="11"/>
    </row>
    <row r="129" spans="1:49" ht="15.6">
      <c r="B129" s="2088" t="s">
        <v>572</v>
      </c>
      <c r="C129" s="2088"/>
      <c r="D129" s="2088"/>
      <c r="E129" s="2088"/>
      <c r="F129" s="2088"/>
      <c r="G129" s="2088"/>
      <c r="H129" s="2088"/>
      <c r="I129" s="2088"/>
      <c r="J129" s="2088"/>
      <c r="AF129" s="2088" t="s">
        <v>572</v>
      </c>
      <c r="AG129" s="2088"/>
      <c r="AH129" s="2088"/>
      <c r="AI129" s="2088"/>
      <c r="AJ129" s="2088"/>
      <c r="AK129" s="2088"/>
      <c r="AL129" s="2088"/>
      <c r="AM129" s="2088"/>
      <c r="AN129" s="2088"/>
    </row>
    <row r="130" spans="1:49" ht="15.6">
      <c r="B130" s="8" t="s">
        <v>7</v>
      </c>
      <c r="C130" s="8"/>
      <c r="D130" s="8"/>
      <c r="E130" s="8"/>
      <c r="F130" s="8"/>
      <c r="G130" s="8"/>
      <c r="H130" s="8"/>
      <c r="I130" s="8"/>
      <c r="J130" s="7"/>
      <c r="AF130" s="8" t="s">
        <v>7</v>
      </c>
      <c r="AG130" s="8"/>
      <c r="AH130" s="8"/>
      <c r="AI130" s="8"/>
      <c r="AJ130" s="8"/>
      <c r="AK130" s="8"/>
      <c r="AL130" s="8"/>
      <c r="AM130" s="8"/>
      <c r="AN130" s="7"/>
    </row>
    <row r="131" spans="1:49" ht="15.6">
      <c r="B131" s="8" t="s">
        <v>8</v>
      </c>
      <c r="C131" s="8"/>
      <c r="D131" s="8"/>
      <c r="E131" s="8"/>
      <c r="F131" s="8"/>
      <c r="G131" s="8"/>
      <c r="H131" s="8"/>
      <c r="I131" s="8"/>
      <c r="J131" s="7"/>
      <c r="AF131" s="8" t="s">
        <v>8</v>
      </c>
      <c r="AG131" s="8"/>
      <c r="AH131" s="8"/>
      <c r="AI131" s="8"/>
      <c r="AJ131" s="8"/>
      <c r="AK131" s="8"/>
      <c r="AL131" s="8"/>
      <c r="AM131" s="8"/>
      <c r="AN131" s="7"/>
    </row>
    <row r="132" spans="1:49" ht="15.6">
      <c r="B132" s="8" t="s">
        <v>9</v>
      </c>
      <c r="C132" s="8"/>
      <c r="D132" s="8"/>
      <c r="E132" s="8"/>
      <c r="F132" s="8"/>
      <c r="G132" s="8"/>
      <c r="H132" s="8"/>
      <c r="I132" s="8"/>
      <c r="J132" s="7"/>
      <c r="AF132" s="8" t="s">
        <v>9</v>
      </c>
      <c r="AG132" s="8"/>
      <c r="AH132" s="8"/>
      <c r="AI132" s="8"/>
      <c r="AJ132" s="8"/>
      <c r="AK132" s="8"/>
      <c r="AL132" s="8"/>
      <c r="AM132" s="8"/>
      <c r="AN132" s="7"/>
    </row>
    <row r="133" spans="1:49" ht="15.6">
      <c r="B133" s="8" t="s">
        <v>10</v>
      </c>
      <c r="C133" s="8"/>
      <c r="D133" s="8"/>
      <c r="E133" s="8"/>
      <c r="F133" s="8"/>
      <c r="G133" s="8"/>
      <c r="H133" s="8"/>
      <c r="I133" s="8"/>
      <c r="J133" s="7"/>
      <c r="AF133" s="8" t="s">
        <v>10</v>
      </c>
      <c r="AG133" s="8"/>
      <c r="AH133" s="8"/>
      <c r="AI133" s="8"/>
      <c r="AJ133" s="8"/>
      <c r="AK133" s="8"/>
      <c r="AL133" s="8"/>
      <c r="AM133" s="8"/>
      <c r="AN133" s="7"/>
    </row>
    <row r="134" spans="1:49" ht="13.8" thickBot="1">
      <c r="B134" s="176"/>
      <c r="C134" s="176"/>
      <c r="D134" s="176"/>
      <c r="E134" s="176"/>
      <c r="F134" s="176"/>
      <c r="G134" s="176"/>
      <c r="H134" s="176"/>
      <c r="I134" s="176"/>
      <c r="J134" s="176"/>
      <c r="AF134" s="176"/>
      <c r="AG134" s="176"/>
      <c r="AH134" s="176"/>
      <c r="AI134" s="176"/>
      <c r="AJ134" s="176"/>
      <c r="AK134" s="176"/>
      <c r="AL134" s="176"/>
      <c r="AM134" s="176"/>
      <c r="AN134" s="176"/>
    </row>
    <row r="135" spans="1:49">
      <c r="S135" s="67"/>
      <c r="AW135" s="67"/>
    </row>
    <row r="136" spans="1:49">
      <c r="S136" s="67"/>
      <c r="AW136" s="67"/>
    </row>
    <row r="137" spans="1:49">
      <c r="S137" s="67"/>
      <c r="AW137" s="67"/>
    </row>
    <row r="138" spans="1:49">
      <c r="S138" s="67"/>
      <c r="AW138" s="67"/>
    </row>
    <row r="139" spans="1:49">
      <c r="S139" s="158"/>
      <c r="AW139" s="158"/>
    </row>
    <row r="140" spans="1:49" ht="16.2" thickBot="1">
      <c r="A140" s="1065" t="s">
        <v>259</v>
      </c>
      <c r="B140" s="1065"/>
      <c r="C140" s="1065"/>
      <c r="D140" s="1065"/>
      <c r="E140" s="1065"/>
      <c r="F140" s="1065"/>
      <c r="G140" s="1065"/>
      <c r="H140" s="1065"/>
      <c r="I140" s="1065"/>
      <c r="J140" s="1065"/>
      <c r="K140" s="1065"/>
      <c r="L140" s="1065"/>
      <c r="M140" s="1065"/>
      <c r="N140" s="1065"/>
      <c r="O140" s="1065"/>
      <c r="P140" s="1065"/>
      <c r="Q140" s="1065"/>
      <c r="R140" s="1065"/>
      <c r="S140" s="1065"/>
      <c r="AE140" s="1065" t="s">
        <v>259</v>
      </c>
      <c r="AF140" s="1065"/>
      <c r="AG140" s="1065"/>
      <c r="AH140" s="1065"/>
      <c r="AI140" s="1065"/>
      <c r="AJ140" s="1065"/>
      <c r="AK140" s="1065"/>
      <c r="AL140" s="1065"/>
      <c r="AM140" s="1065"/>
      <c r="AN140" s="1065"/>
      <c r="AO140" s="1065"/>
      <c r="AP140" s="1065"/>
      <c r="AQ140" s="1065"/>
      <c r="AR140" s="1065"/>
      <c r="AS140" s="1065"/>
      <c r="AT140" s="1065"/>
      <c r="AU140" s="1065"/>
      <c r="AV140" s="1065"/>
      <c r="AW140" s="1065"/>
    </row>
    <row r="141" spans="1:49" ht="14.4" thickBot="1">
      <c r="A141" s="1528" t="s">
        <v>88</v>
      </c>
      <c r="B141" s="1101"/>
      <c r="C141" s="1101"/>
      <c r="D141" s="1101"/>
      <c r="E141" s="1022" t="s">
        <v>87</v>
      </c>
      <c r="F141" s="1022"/>
      <c r="G141" s="1022"/>
      <c r="H141" s="1022"/>
      <c r="I141" s="1022"/>
      <c r="J141" s="1022"/>
      <c r="K141" s="1022"/>
      <c r="L141" s="1022"/>
      <c r="M141" s="1022"/>
      <c r="N141" s="1022"/>
      <c r="O141" s="1022"/>
      <c r="P141" s="1022"/>
      <c r="Q141" s="1022"/>
      <c r="R141" s="1297" t="s">
        <v>24</v>
      </c>
      <c r="S141" s="1298"/>
      <c r="AE141" s="1528" t="s">
        <v>88</v>
      </c>
      <c r="AF141" s="1101"/>
      <c r="AG141" s="1101"/>
      <c r="AH141" s="1101"/>
      <c r="AI141" s="1022" t="s">
        <v>87</v>
      </c>
      <c r="AJ141" s="1022"/>
      <c r="AK141" s="1022"/>
      <c r="AL141" s="1022"/>
      <c r="AM141" s="1022"/>
      <c r="AN141" s="1022"/>
      <c r="AO141" s="1022"/>
      <c r="AP141" s="1022"/>
      <c r="AQ141" s="1022"/>
      <c r="AR141" s="1022"/>
      <c r="AS141" s="1022"/>
      <c r="AT141" s="1022"/>
      <c r="AU141" s="1022"/>
      <c r="AV141" s="1297" t="s">
        <v>24</v>
      </c>
      <c r="AW141" s="1298"/>
    </row>
    <row r="142" spans="1:49" ht="15.6">
      <c r="A142" s="2089" t="s">
        <v>564</v>
      </c>
      <c r="B142" s="2090"/>
      <c r="C142" s="2090"/>
      <c r="D142" s="2090"/>
      <c r="E142" s="2090"/>
      <c r="F142" s="2090"/>
      <c r="G142" s="2090"/>
      <c r="H142" s="2090"/>
      <c r="I142" s="2090"/>
      <c r="J142" s="2090"/>
      <c r="K142" s="2090"/>
      <c r="L142" s="2090"/>
      <c r="M142" s="2090"/>
      <c r="N142" s="2090"/>
      <c r="O142" s="2090"/>
      <c r="P142" s="2090"/>
      <c r="Q142" s="2090"/>
      <c r="R142" s="2090"/>
      <c r="S142" s="2091"/>
      <c r="AE142" s="2089" t="s">
        <v>564</v>
      </c>
      <c r="AF142" s="2090"/>
      <c r="AG142" s="2090"/>
      <c r="AH142" s="2090"/>
      <c r="AI142" s="2090"/>
      <c r="AJ142" s="2090"/>
      <c r="AK142" s="2090"/>
      <c r="AL142" s="2090"/>
      <c r="AM142" s="2090"/>
      <c r="AN142" s="2090"/>
      <c r="AO142" s="2090"/>
      <c r="AP142" s="2090"/>
      <c r="AQ142" s="2090"/>
      <c r="AR142" s="2090"/>
      <c r="AS142" s="2090"/>
      <c r="AT142" s="2090"/>
      <c r="AU142" s="2090"/>
      <c r="AV142" s="2090"/>
      <c r="AW142" s="2091"/>
    </row>
    <row r="143" spans="1:49" ht="13.8">
      <c r="A143" s="1035" t="s">
        <v>90</v>
      </c>
      <c r="B143" s="1218"/>
      <c r="C143" s="1218"/>
      <c r="D143" s="1218"/>
      <c r="E143" s="2085" t="s">
        <v>576</v>
      </c>
      <c r="F143" s="2085"/>
      <c r="G143" s="2085"/>
      <c r="H143" s="2085"/>
      <c r="I143" s="2085"/>
      <c r="J143" s="2085"/>
      <c r="K143" s="2085"/>
      <c r="L143" s="2085"/>
      <c r="M143" s="2085"/>
      <c r="N143" s="2085"/>
      <c r="O143" s="2085"/>
      <c r="P143" s="2085"/>
      <c r="Q143" s="2085"/>
      <c r="R143" s="1219">
        <f>(AV143*KFC!$B$39+KFC!$C$39)*курс_уе</f>
        <v>139.03</v>
      </c>
      <c r="S143" s="1040">
        <f>(AW143*KFC!$B$39+KFC!$C$39)*курс_уе</f>
        <v>0</v>
      </c>
      <c r="AE143" s="1035" t="s">
        <v>90</v>
      </c>
      <c r="AF143" s="1218"/>
      <c r="AG143" s="1218"/>
      <c r="AH143" s="1218"/>
      <c r="AI143" s="2085" t="s">
        <v>576</v>
      </c>
      <c r="AJ143" s="2085"/>
      <c r="AK143" s="2085"/>
      <c r="AL143" s="2085"/>
      <c r="AM143" s="2085"/>
      <c r="AN143" s="2085"/>
      <c r="AO143" s="2085"/>
      <c r="AP143" s="2085"/>
      <c r="AQ143" s="2085"/>
      <c r="AR143" s="2085"/>
      <c r="AS143" s="2085"/>
      <c r="AT143" s="2085"/>
      <c r="AU143" s="2085"/>
      <c r="AV143" s="1219">
        <v>139.03</v>
      </c>
      <c r="AW143" s="1040"/>
    </row>
    <row r="144" spans="1:49" ht="13.8">
      <c r="A144" s="1035"/>
      <c r="B144" s="1218"/>
      <c r="C144" s="1218"/>
      <c r="D144" s="1218"/>
      <c r="E144" s="2092" t="s">
        <v>847</v>
      </c>
      <c r="F144" s="2093"/>
      <c r="G144" s="2093"/>
      <c r="H144" s="2093"/>
      <c r="I144" s="2093"/>
      <c r="J144" s="2093"/>
      <c r="K144" s="2093"/>
      <c r="L144" s="2093"/>
      <c r="M144" s="2093"/>
      <c r="N144" s="2093"/>
      <c r="O144" s="2093"/>
      <c r="P144" s="2093"/>
      <c r="Q144" s="2093"/>
      <c r="R144" s="1039">
        <f>(AV144*KFC!$B$39+KFC!$C$39)*курс_уе</f>
        <v>0</v>
      </c>
      <c r="S144" s="1040">
        <f>(AW144*KFC!$B$39+KFC!$C$39)*курс_уе</f>
        <v>0</v>
      </c>
      <c r="AE144" s="1035"/>
      <c r="AF144" s="1218"/>
      <c r="AG144" s="1218"/>
      <c r="AH144" s="1218"/>
      <c r="AI144" s="2092" t="s">
        <v>847</v>
      </c>
      <c r="AJ144" s="2093"/>
      <c r="AK144" s="2093"/>
      <c r="AL144" s="2093"/>
      <c r="AM144" s="2093"/>
      <c r="AN144" s="2093"/>
      <c r="AO144" s="2093"/>
      <c r="AP144" s="2093"/>
      <c r="AQ144" s="2093"/>
      <c r="AR144" s="2093"/>
      <c r="AS144" s="2093"/>
      <c r="AT144" s="2093"/>
      <c r="AU144" s="2093"/>
      <c r="AV144" s="1039"/>
      <c r="AW144" s="1040"/>
    </row>
    <row r="145" spans="1:49" ht="13.8">
      <c r="A145" s="1035" t="s">
        <v>90</v>
      </c>
      <c r="B145" s="1218"/>
      <c r="C145" s="1218"/>
      <c r="D145" s="1218"/>
      <c r="E145" s="2040" t="s">
        <v>1163</v>
      </c>
      <c r="F145" s="2040"/>
      <c r="G145" s="2040"/>
      <c r="H145" s="2040"/>
      <c r="I145" s="2040"/>
      <c r="J145" s="2040"/>
      <c r="K145" s="2040"/>
      <c r="L145" s="2040"/>
      <c r="M145" s="2040"/>
      <c r="N145" s="2040"/>
      <c r="O145" s="2040"/>
      <c r="P145" s="2040"/>
      <c r="Q145" s="2040"/>
      <c r="R145" s="1219">
        <f>(AV145*KFC!$B$39+KFC!$C$39)*курс_уе</f>
        <v>208.9</v>
      </c>
      <c r="S145" s="1040">
        <f>(AW145*KFC!$B$39+KFC!$C$39)*курс_уе</f>
        <v>0</v>
      </c>
      <c r="AE145" s="1035" t="s">
        <v>90</v>
      </c>
      <c r="AF145" s="1218"/>
      <c r="AG145" s="1218"/>
      <c r="AH145" s="1218"/>
      <c r="AI145" s="2040" t="s">
        <v>1163</v>
      </c>
      <c r="AJ145" s="2040"/>
      <c r="AK145" s="2040"/>
      <c r="AL145" s="2040"/>
      <c r="AM145" s="2040"/>
      <c r="AN145" s="2040"/>
      <c r="AO145" s="2040"/>
      <c r="AP145" s="2040"/>
      <c r="AQ145" s="2040"/>
      <c r="AR145" s="2040"/>
      <c r="AS145" s="2040"/>
      <c r="AT145" s="2040"/>
      <c r="AU145" s="2040"/>
      <c r="AV145" s="1219">
        <v>208.9</v>
      </c>
      <c r="AW145" s="1040"/>
    </row>
    <row r="146" spans="1:49" ht="13.8">
      <c r="A146" s="1790"/>
      <c r="B146" s="1791"/>
      <c r="C146" s="1791"/>
      <c r="D146" s="1791"/>
      <c r="E146" s="2084" t="s">
        <v>847</v>
      </c>
      <c r="F146" s="2040"/>
      <c r="G146" s="2040"/>
      <c r="H146" s="2040"/>
      <c r="I146" s="2040"/>
      <c r="J146" s="2040"/>
      <c r="K146" s="2040"/>
      <c r="L146" s="2040"/>
      <c r="M146" s="2040"/>
      <c r="N146" s="2040"/>
      <c r="O146" s="2040"/>
      <c r="P146" s="2040"/>
      <c r="Q146" s="2040"/>
      <c r="R146" s="1039">
        <f>(AV146*KFC!$B$39+KFC!$C$39)*курс_уе</f>
        <v>0</v>
      </c>
      <c r="S146" s="1040">
        <f>(AW146*KFC!$B$39+KFC!$C$39)*курс_уе</f>
        <v>0</v>
      </c>
      <c r="AE146" s="1790"/>
      <c r="AF146" s="1791"/>
      <c r="AG146" s="1791"/>
      <c r="AH146" s="1791"/>
      <c r="AI146" s="2084" t="s">
        <v>847</v>
      </c>
      <c r="AJ146" s="2040"/>
      <c r="AK146" s="2040"/>
      <c r="AL146" s="2040"/>
      <c r="AM146" s="2040"/>
      <c r="AN146" s="2040"/>
      <c r="AO146" s="2040"/>
      <c r="AP146" s="2040"/>
      <c r="AQ146" s="2040"/>
      <c r="AR146" s="2040"/>
      <c r="AS146" s="2040"/>
      <c r="AT146" s="2040"/>
      <c r="AU146" s="2040"/>
      <c r="AV146" s="2083"/>
      <c r="AW146" s="1142"/>
    </row>
    <row r="147" spans="1:49" ht="13.8">
      <c r="A147" s="1218" t="s">
        <v>884</v>
      </c>
      <c r="B147" s="1218"/>
      <c r="C147" s="1218"/>
      <c r="D147" s="1218"/>
      <c r="E147" s="2085" t="s">
        <v>1154</v>
      </c>
      <c r="F147" s="2085"/>
      <c r="G147" s="2085"/>
      <c r="H147" s="2085"/>
      <c r="I147" s="2085"/>
      <c r="J147" s="2085"/>
      <c r="K147" s="2085"/>
      <c r="L147" s="2085"/>
      <c r="M147" s="2085"/>
      <c r="N147" s="2085"/>
      <c r="O147" s="2085"/>
      <c r="P147" s="2085"/>
      <c r="Q147" s="2085"/>
      <c r="R147" s="1219">
        <f>(AV147*KFC!$B$39+KFC!$C$39)*курс_уе</f>
        <v>117.9</v>
      </c>
      <c r="S147" s="1040">
        <f>(AW147*KFC!$B$39+KFC!$C$39)*курс_уе</f>
        <v>0</v>
      </c>
      <c r="AE147" s="1218" t="s">
        <v>884</v>
      </c>
      <c r="AF147" s="1218"/>
      <c r="AG147" s="1218"/>
      <c r="AH147" s="1218"/>
      <c r="AI147" s="2085" t="s">
        <v>1154</v>
      </c>
      <c r="AJ147" s="2085"/>
      <c r="AK147" s="2085"/>
      <c r="AL147" s="2085"/>
      <c r="AM147" s="2085"/>
      <c r="AN147" s="2085"/>
      <c r="AO147" s="2085"/>
      <c r="AP147" s="2085"/>
      <c r="AQ147" s="2085"/>
      <c r="AR147" s="2085"/>
      <c r="AS147" s="2085"/>
      <c r="AT147" s="2085"/>
      <c r="AU147" s="2085"/>
      <c r="AV147" s="1219">
        <v>117.9</v>
      </c>
      <c r="AW147" s="1219"/>
    </row>
    <row r="148" spans="1:49">
      <c r="A148" s="1218"/>
      <c r="B148" s="1218"/>
      <c r="C148" s="1218"/>
      <c r="D148" s="1218"/>
      <c r="E148" s="2086" t="s">
        <v>1158</v>
      </c>
      <c r="F148" s="2086"/>
      <c r="G148" s="2086"/>
      <c r="H148" s="2086"/>
      <c r="I148" s="2086"/>
      <c r="J148" s="2086"/>
      <c r="K148" s="2086"/>
      <c r="L148" s="2086"/>
      <c r="M148" s="2086"/>
      <c r="N148" s="2086"/>
      <c r="O148" s="2086"/>
      <c r="P148" s="2086"/>
      <c r="Q148" s="2086"/>
      <c r="R148" s="1039">
        <f>(AV148*KFC!$B$39+KFC!$C$39)*курс_уе</f>
        <v>0</v>
      </c>
      <c r="S148" s="1040">
        <f>(AW148*KFC!$B$39+KFC!$C$39)*курс_уе</f>
        <v>0</v>
      </c>
      <c r="AE148" s="1218"/>
      <c r="AF148" s="1218"/>
      <c r="AG148" s="1218"/>
      <c r="AH148" s="1218"/>
      <c r="AI148" s="2086" t="s">
        <v>1158</v>
      </c>
      <c r="AJ148" s="2086"/>
      <c r="AK148" s="2086"/>
      <c r="AL148" s="2086"/>
      <c r="AM148" s="2086"/>
      <c r="AN148" s="2086"/>
      <c r="AO148" s="2086"/>
      <c r="AP148" s="2086"/>
      <c r="AQ148" s="2086"/>
      <c r="AR148" s="2086"/>
      <c r="AS148" s="2086"/>
      <c r="AT148" s="2086"/>
      <c r="AU148" s="2086"/>
      <c r="AV148" s="1039"/>
      <c r="AW148" s="1219"/>
    </row>
    <row r="149" spans="1:49" ht="14.4" customHeight="1" thickBot="1">
      <c r="A149" s="1997" t="s">
        <v>90</v>
      </c>
      <c r="B149" s="1998"/>
      <c r="C149" s="1998"/>
      <c r="D149" s="1999"/>
      <c r="E149" s="1962" t="s">
        <v>1164</v>
      </c>
      <c r="F149" s="1963"/>
      <c r="G149" s="1963"/>
      <c r="H149" s="1963"/>
      <c r="I149" s="1963"/>
      <c r="J149" s="1963"/>
      <c r="K149" s="1963"/>
      <c r="L149" s="1963"/>
      <c r="M149" s="1963"/>
      <c r="N149" s="1963"/>
      <c r="O149" s="1963"/>
      <c r="P149" s="1963"/>
      <c r="Q149" s="1964"/>
      <c r="R149" s="2077">
        <f>(AV149*KFC!$B$39+KFC!$C$39)*курс_уе</f>
        <v>18.5</v>
      </c>
      <c r="S149" s="2078">
        <f>(AW149*KFC!$B$39+KFC!$C$39)*курс_уе</f>
        <v>0</v>
      </c>
      <c r="AE149" s="1997" t="s">
        <v>90</v>
      </c>
      <c r="AF149" s="1998"/>
      <c r="AG149" s="1998"/>
      <c r="AH149" s="1999"/>
      <c r="AI149" s="1962" t="s">
        <v>1164</v>
      </c>
      <c r="AJ149" s="1963"/>
      <c r="AK149" s="1963"/>
      <c r="AL149" s="1963"/>
      <c r="AM149" s="1963"/>
      <c r="AN149" s="1963"/>
      <c r="AO149" s="1963"/>
      <c r="AP149" s="1963"/>
      <c r="AQ149" s="1963"/>
      <c r="AR149" s="1963"/>
      <c r="AS149" s="1963"/>
      <c r="AT149" s="1963"/>
      <c r="AU149" s="1964"/>
      <c r="AV149" s="2077">
        <v>18.5</v>
      </c>
      <c r="AW149" s="2078"/>
    </row>
    <row r="150" spans="1:49" ht="14.4" customHeight="1" thickBot="1">
      <c r="A150" s="1997" t="s">
        <v>1157</v>
      </c>
      <c r="B150" s="1998"/>
      <c r="C150" s="1998"/>
      <c r="D150" s="1999"/>
      <c r="E150" s="1962" t="s">
        <v>1155</v>
      </c>
      <c r="F150" s="1963"/>
      <c r="G150" s="1963"/>
      <c r="H150" s="1963"/>
      <c r="I150" s="1963"/>
      <c r="J150" s="1963"/>
      <c r="K150" s="1963"/>
      <c r="L150" s="1963"/>
      <c r="M150" s="1963"/>
      <c r="N150" s="1963"/>
      <c r="O150" s="1963"/>
      <c r="P150" s="1963"/>
      <c r="Q150" s="1964"/>
      <c r="R150" s="2077">
        <f>(AV150*KFC!$B$39+KFC!$C$39)*курс_уе</f>
        <v>21.6</v>
      </c>
      <c r="S150" s="2078">
        <f>(AW150*KFC!$B$39+KFC!$C$39)*курс_уе</f>
        <v>0</v>
      </c>
      <c r="AE150" s="1997" t="s">
        <v>1157</v>
      </c>
      <c r="AF150" s="1998"/>
      <c r="AG150" s="1998"/>
      <c r="AH150" s="1999"/>
      <c r="AI150" s="1962" t="s">
        <v>1155</v>
      </c>
      <c r="AJ150" s="1963"/>
      <c r="AK150" s="1963"/>
      <c r="AL150" s="1963"/>
      <c r="AM150" s="1963"/>
      <c r="AN150" s="1963"/>
      <c r="AO150" s="1963"/>
      <c r="AP150" s="1963"/>
      <c r="AQ150" s="1963"/>
      <c r="AR150" s="1963"/>
      <c r="AS150" s="1963"/>
      <c r="AT150" s="1963"/>
      <c r="AU150" s="1964"/>
      <c r="AV150" s="2077">
        <v>21.6</v>
      </c>
      <c r="AW150" s="2078"/>
    </row>
    <row r="151" spans="1:49" ht="16.2" customHeight="1" thickBot="1">
      <c r="A151" s="2079" t="s">
        <v>950</v>
      </c>
      <c r="B151" s="2080"/>
      <c r="C151" s="2080"/>
      <c r="D151" s="2080"/>
      <c r="E151" s="2080"/>
      <c r="F151" s="2080"/>
      <c r="G151" s="2080"/>
      <c r="H151" s="2080"/>
      <c r="I151" s="2080"/>
      <c r="J151" s="2080"/>
      <c r="K151" s="2080"/>
      <c r="L151" s="2080"/>
      <c r="M151" s="2080"/>
      <c r="N151" s="2080"/>
      <c r="O151" s="2080"/>
      <c r="P151" s="2080"/>
      <c r="Q151" s="2080"/>
      <c r="R151" s="2080"/>
      <c r="S151" s="2081"/>
      <c r="AE151" s="2079" t="s">
        <v>950</v>
      </c>
      <c r="AF151" s="2080"/>
      <c r="AG151" s="2080"/>
      <c r="AH151" s="2080"/>
      <c r="AI151" s="2080"/>
      <c r="AJ151" s="2080"/>
      <c r="AK151" s="2080"/>
      <c r="AL151" s="2080"/>
      <c r="AM151" s="2080"/>
      <c r="AN151" s="2080"/>
      <c r="AO151" s="2080"/>
      <c r="AP151" s="2080"/>
      <c r="AQ151" s="2080"/>
      <c r="AR151" s="2080"/>
      <c r="AS151" s="2080"/>
      <c r="AT151" s="2080"/>
      <c r="AU151" s="2080"/>
      <c r="AV151" s="2080"/>
      <c r="AW151" s="2081"/>
    </row>
    <row r="152" spans="1:49" ht="13.8">
      <c r="A152" s="1653" t="s">
        <v>89</v>
      </c>
      <c r="B152" s="1654"/>
      <c r="C152" s="1654"/>
      <c r="D152" s="1654"/>
      <c r="E152" s="1378" t="s">
        <v>668</v>
      </c>
      <c r="F152" s="1378"/>
      <c r="G152" s="1378"/>
      <c r="H152" s="1378"/>
      <c r="I152" s="1378"/>
      <c r="J152" s="1378"/>
      <c r="K152" s="1378"/>
      <c r="L152" s="1378"/>
      <c r="M152" s="1378"/>
      <c r="N152" s="1378"/>
      <c r="O152" s="1378"/>
      <c r="P152" s="1378"/>
      <c r="Q152" s="1378"/>
      <c r="R152" s="2082">
        <f>(AV152*KFC!$B$39+KFC!$C$39)*курс_уе</f>
        <v>348.1</v>
      </c>
      <c r="S152" s="1379">
        <f>(AW152*KFC!$B$39+KFC!$C$39)*курс_уе</f>
        <v>0</v>
      </c>
      <c r="AE152" s="1653" t="s">
        <v>89</v>
      </c>
      <c r="AF152" s="1654"/>
      <c r="AG152" s="1654"/>
      <c r="AH152" s="1654"/>
      <c r="AI152" s="1378" t="s">
        <v>668</v>
      </c>
      <c r="AJ152" s="1378"/>
      <c r="AK152" s="1378"/>
      <c r="AL152" s="1378"/>
      <c r="AM152" s="1378"/>
      <c r="AN152" s="1378"/>
      <c r="AO152" s="1378"/>
      <c r="AP152" s="1378"/>
      <c r="AQ152" s="1378"/>
      <c r="AR152" s="1378"/>
      <c r="AS152" s="1378"/>
      <c r="AT152" s="1378"/>
      <c r="AU152" s="1378"/>
      <c r="AV152" s="2082">
        <v>348.1</v>
      </c>
      <c r="AW152" s="1379"/>
    </row>
    <row r="153" spans="1:49" ht="13.8">
      <c r="A153" s="1035"/>
      <c r="B153" s="1218"/>
      <c r="C153" s="1218"/>
      <c r="D153" s="1218"/>
      <c r="E153" s="1047" t="s">
        <v>852</v>
      </c>
      <c r="F153" s="1380"/>
      <c r="G153" s="1380"/>
      <c r="H153" s="1380"/>
      <c r="I153" s="1380"/>
      <c r="J153" s="1380"/>
      <c r="K153" s="1380"/>
      <c r="L153" s="1380"/>
      <c r="M153" s="1380"/>
      <c r="N153" s="1380"/>
      <c r="O153" s="1380"/>
      <c r="P153" s="1380"/>
      <c r="Q153" s="1380"/>
      <c r="R153" s="1039">
        <f>(AV153*KFC!$B$39+KFC!$C$39)*курс_уе</f>
        <v>0</v>
      </c>
      <c r="S153" s="1040">
        <f>(AW153*KFC!$B$39+KFC!$C$39)*курс_уе</f>
        <v>0</v>
      </c>
      <c r="AE153" s="1035"/>
      <c r="AF153" s="1218"/>
      <c r="AG153" s="1218"/>
      <c r="AH153" s="1218"/>
      <c r="AI153" s="1047" t="s">
        <v>852</v>
      </c>
      <c r="AJ153" s="1380"/>
      <c r="AK153" s="1380"/>
      <c r="AL153" s="1380"/>
      <c r="AM153" s="1380"/>
      <c r="AN153" s="1380"/>
      <c r="AO153" s="1380"/>
      <c r="AP153" s="1380"/>
      <c r="AQ153" s="1380"/>
      <c r="AR153" s="1380"/>
      <c r="AS153" s="1380"/>
      <c r="AT153" s="1380"/>
      <c r="AU153" s="1380"/>
      <c r="AV153" s="1039"/>
      <c r="AW153" s="1040"/>
    </row>
    <row r="154" spans="1:49" ht="13.8">
      <c r="A154" s="1035" t="s">
        <v>89</v>
      </c>
      <c r="B154" s="1218"/>
      <c r="C154" s="1218"/>
      <c r="D154" s="1218"/>
      <c r="E154" s="1408" t="s">
        <v>669</v>
      </c>
      <c r="F154" s="1408"/>
      <c r="G154" s="1408"/>
      <c r="H154" s="1408"/>
      <c r="I154" s="1408"/>
      <c r="J154" s="1408"/>
      <c r="K154" s="1408"/>
      <c r="L154" s="1408"/>
      <c r="M154" s="1408"/>
      <c r="N154" s="1408"/>
      <c r="O154" s="1408"/>
      <c r="P154" s="1408"/>
      <c r="Q154" s="1408"/>
      <c r="R154" s="2168">
        <f>(AV154*KFC!$B$39+KFC!$C$39)*курс_уе</f>
        <v>493.7</v>
      </c>
      <c r="S154" s="2169">
        <f>(AW154*KFC!$B$39+KFC!$C$39)*курс_уе</f>
        <v>0</v>
      </c>
      <c r="AE154" s="1035" t="s">
        <v>89</v>
      </c>
      <c r="AF154" s="1218"/>
      <c r="AG154" s="1218"/>
      <c r="AH154" s="1218"/>
      <c r="AI154" s="1408" t="s">
        <v>669</v>
      </c>
      <c r="AJ154" s="1408"/>
      <c r="AK154" s="1408"/>
      <c r="AL154" s="1408"/>
      <c r="AM154" s="1408"/>
      <c r="AN154" s="1408"/>
      <c r="AO154" s="1408"/>
      <c r="AP154" s="1408"/>
      <c r="AQ154" s="1408"/>
      <c r="AR154" s="1408"/>
      <c r="AS154" s="1408"/>
      <c r="AT154" s="1408"/>
      <c r="AU154" s="1408"/>
      <c r="AV154" s="1039">
        <v>493.7</v>
      </c>
      <c r="AW154" s="1040"/>
    </row>
    <row r="155" spans="1:49" ht="13.8">
      <c r="A155" s="1035"/>
      <c r="B155" s="1218"/>
      <c r="C155" s="1218"/>
      <c r="D155" s="1218"/>
      <c r="E155" s="1694" t="s">
        <v>603</v>
      </c>
      <c r="F155" s="1695"/>
      <c r="G155" s="1695"/>
      <c r="H155" s="1695"/>
      <c r="I155" s="1695"/>
      <c r="J155" s="1695"/>
      <c r="K155" s="1695"/>
      <c r="L155" s="1695"/>
      <c r="M155" s="1695"/>
      <c r="N155" s="1695"/>
      <c r="O155" s="1695"/>
      <c r="P155" s="1695"/>
      <c r="Q155" s="1695"/>
      <c r="R155" s="2170">
        <f>(AV155*KFC!$B$39+KFC!$C$39)*курс_уе</f>
        <v>0</v>
      </c>
      <c r="S155" s="2171">
        <f>(AW155*KFC!$B$39+KFC!$C$39)*курс_уе</f>
        <v>0</v>
      </c>
      <c r="AE155" s="1035"/>
      <c r="AF155" s="1218"/>
      <c r="AG155" s="1218"/>
      <c r="AH155" s="1218"/>
      <c r="AI155" s="1694" t="s">
        <v>603</v>
      </c>
      <c r="AJ155" s="1695"/>
      <c r="AK155" s="1695"/>
      <c r="AL155" s="1695"/>
      <c r="AM155" s="1695"/>
      <c r="AN155" s="1695"/>
      <c r="AO155" s="1695"/>
      <c r="AP155" s="1695"/>
      <c r="AQ155" s="1695"/>
      <c r="AR155" s="1695"/>
      <c r="AS155" s="1695"/>
      <c r="AT155" s="1695"/>
      <c r="AU155" s="1695"/>
      <c r="AV155" s="1039"/>
      <c r="AW155" s="1040"/>
    </row>
    <row r="156" spans="1:49" ht="13.8">
      <c r="A156" s="1035" t="s">
        <v>640</v>
      </c>
      <c r="B156" s="1218"/>
      <c r="C156" s="1218"/>
      <c r="D156" s="2072"/>
      <c r="E156" s="1159" t="s">
        <v>663</v>
      </c>
      <c r="F156" s="1160"/>
      <c r="G156" s="1160"/>
      <c r="H156" s="1160"/>
      <c r="I156" s="1160"/>
      <c r="J156" s="1160"/>
      <c r="K156" s="1160"/>
      <c r="L156" s="1160"/>
      <c r="M156" s="1160"/>
      <c r="N156" s="1160"/>
      <c r="O156" s="1160"/>
      <c r="P156" s="1160"/>
      <c r="Q156" s="1161"/>
      <c r="R156" s="1236">
        <f>(AV156*KFC!$B$39+KFC!$C$39)*курс_уе</f>
        <v>238.67</v>
      </c>
      <c r="S156" s="1154">
        <f>(AW156*KFC!$B$39+KFC!$C$39)*курс_уе</f>
        <v>0</v>
      </c>
      <c r="AE156" s="1035" t="s">
        <v>640</v>
      </c>
      <c r="AF156" s="1218"/>
      <c r="AG156" s="1218"/>
      <c r="AH156" s="2072"/>
      <c r="AI156" s="1159" t="s">
        <v>663</v>
      </c>
      <c r="AJ156" s="1160"/>
      <c r="AK156" s="1160"/>
      <c r="AL156" s="1160"/>
      <c r="AM156" s="1160"/>
      <c r="AN156" s="1160"/>
      <c r="AO156" s="1160"/>
      <c r="AP156" s="1160"/>
      <c r="AQ156" s="1160"/>
      <c r="AR156" s="1160"/>
      <c r="AS156" s="1160"/>
      <c r="AT156" s="1160"/>
      <c r="AU156" s="1161"/>
      <c r="AV156" s="1248">
        <v>238.67</v>
      </c>
      <c r="AW156" s="1040"/>
    </row>
    <row r="157" spans="1:49" ht="13.8">
      <c r="A157" s="1035"/>
      <c r="B157" s="1218"/>
      <c r="C157" s="1218"/>
      <c r="D157" s="2072"/>
      <c r="E157" s="1017" t="s">
        <v>854</v>
      </c>
      <c r="F157" s="1374"/>
      <c r="G157" s="1374"/>
      <c r="H157" s="1374"/>
      <c r="I157" s="1374"/>
      <c r="J157" s="1374"/>
      <c r="K157" s="1374"/>
      <c r="L157" s="1374"/>
      <c r="M157" s="1374"/>
      <c r="N157" s="1374"/>
      <c r="O157" s="1374"/>
      <c r="P157" s="1374"/>
      <c r="Q157" s="1375"/>
      <c r="R157" s="1238">
        <f>(AV157*KFC!$B$39+KFC!$C$39)*курс_уе</f>
        <v>0</v>
      </c>
      <c r="S157" s="1517">
        <f>(AW157*KFC!$B$39+KFC!$C$39)*курс_уе</f>
        <v>0</v>
      </c>
      <c r="AE157" s="1035"/>
      <c r="AF157" s="1218"/>
      <c r="AG157" s="1218"/>
      <c r="AH157" s="2072"/>
      <c r="AI157" s="1017" t="s">
        <v>854</v>
      </c>
      <c r="AJ157" s="1374"/>
      <c r="AK157" s="1374"/>
      <c r="AL157" s="1374"/>
      <c r="AM157" s="1374"/>
      <c r="AN157" s="1374"/>
      <c r="AO157" s="1374"/>
      <c r="AP157" s="1374"/>
      <c r="AQ157" s="1374"/>
      <c r="AR157" s="1374"/>
      <c r="AS157" s="1374"/>
      <c r="AT157" s="1374"/>
      <c r="AU157" s="1375"/>
      <c r="AV157" s="1248"/>
      <c r="AW157" s="1040"/>
    </row>
    <row r="158" spans="1:49" ht="13.8">
      <c r="A158" s="1035" t="s">
        <v>90</v>
      </c>
      <c r="B158" s="1218"/>
      <c r="C158" s="1218"/>
      <c r="D158" s="1218"/>
      <c r="E158" s="1398" t="s">
        <v>1040</v>
      </c>
      <c r="F158" s="1061"/>
      <c r="G158" s="1061"/>
      <c r="H158" s="1061"/>
      <c r="I158" s="1061"/>
      <c r="J158" s="1061"/>
      <c r="K158" s="1061"/>
      <c r="L158" s="1061"/>
      <c r="M158" s="1061"/>
      <c r="N158" s="1061"/>
      <c r="O158" s="1061"/>
      <c r="P158" s="1061"/>
      <c r="Q158" s="1389"/>
      <c r="R158" s="2168">
        <f>(AV158*KFC!$B$39+KFC!$C$39)*курс_уе</f>
        <v>120.3</v>
      </c>
      <c r="S158" s="2169">
        <f>(AW158*KFC!$B$39+KFC!$C$39)*курс_уе</f>
        <v>0</v>
      </c>
      <c r="AE158" s="1035" t="s">
        <v>90</v>
      </c>
      <c r="AF158" s="1218"/>
      <c r="AG158" s="1218"/>
      <c r="AH158" s="1218"/>
      <c r="AI158" s="1398" t="s">
        <v>1040</v>
      </c>
      <c r="AJ158" s="1061"/>
      <c r="AK158" s="1061"/>
      <c r="AL158" s="1061"/>
      <c r="AM158" s="1061"/>
      <c r="AN158" s="1061"/>
      <c r="AO158" s="1061"/>
      <c r="AP158" s="1061"/>
      <c r="AQ158" s="1061"/>
      <c r="AR158" s="1061"/>
      <c r="AS158" s="1061"/>
      <c r="AT158" s="1061"/>
      <c r="AU158" s="1389"/>
      <c r="AV158" s="1039">
        <v>120.3</v>
      </c>
      <c r="AW158" s="1040"/>
    </row>
    <row r="159" spans="1:49" ht="13.8">
      <c r="A159" s="1035"/>
      <c r="B159" s="1218"/>
      <c r="C159" s="1218"/>
      <c r="D159" s="1218"/>
      <c r="E159" s="1047" t="s">
        <v>855</v>
      </c>
      <c r="F159" s="1380"/>
      <c r="G159" s="1380"/>
      <c r="H159" s="1380"/>
      <c r="I159" s="1380"/>
      <c r="J159" s="1380"/>
      <c r="K159" s="1380"/>
      <c r="L159" s="1380"/>
      <c r="M159" s="1380"/>
      <c r="N159" s="1380"/>
      <c r="O159" s="1380"/>
      <c r="P159" s="1380"/>
      <c r="Q159" s="1380"/>
      <c r="R159" s="2170">
        <f>(AV159*KFC!$B$39+KFC!$C$39)*курс_уе</f>
        <v>0</v>
      </c>
      <c r="S159" s="2171">
        <f>(AW159*KFC!$B$39+KFC!$C$39)*курс_уе</f>
        <v>0</v>
      </c>
      <c r="AE159" s="1035"/>
      <c r="AF159" s="1218"/>
      <c r="AG159" s="1218"/>
      <c r="AH159" s="1218"/>
      <c r="AI159" s="1047" t="s">
        <v>855</v>
      </c>
      <c r="AJ159" s="1380"/>
      <c r="AK159" s="1380"/>
      <c r="AL159" s="1380"/>
      <c r="AM159" s="1380"/>
      <c r="AN159" s="1380"/>
      <c r="AO159" s="1380"/>
      <c r="AP159" s="1380"/>
      <c r="AQ159" s="1380"/>
      <c r="AR159" s="1380"/>
      <c r="AS159" s="1380"/>
      <c r="AT159" s="1380"/>
      <c r="AU159" s="1380"/>
      <c r="AV159" s="1039"/>
      <c r="AW159" s="1040"/>
    </row>
    <row r="160" spans="1:49" ht="13.8">
      <c r="A160" s="1035" t="s">
        <v>90</v>
      </c>
      <c r="B160" s="1218"/>
      <c r="C160" s="1218"/>
      <c r="D160" s="1218"/>
      <c r="E160" s="2073" t="s">
        <v>1008</v>
      </c>
      <c r="F160" s="2074"/>
      <c r="G160" s="2074"/>
      <c r="H160" s="2074"/>
      <c r="I160" s="2074"/>
      <c r="J160" s="2074"/>
      <c r="K160" s="2074"/>
      <c r="L160" s="2074"/>
      <c r="M160" s="2074"/>
      <c r="N160" s="2074"/>
      <c r="O160" s="2074"/>
      <c r="P160" s="2074"/>
      <c r="Q160" s="2075"/>
      <c r="R160" s="2168">
        <f>(AV160*KFC!$B$39+KFC!$C$39)*курс_уе</f>
        <v>132.9</v>
      </c>
      <c r="S160" s="2169">
        <f>(AW160*KFC!$B$39+KFC!$C$39)*курс_уе</f>
        <v>0</v>
      </c>
      <c r="AE160" s="1035" t="s">
        <v>90</v>
      </c>
      <c r="AF160" s="1218"/>
      <c r="AG160" s="1218"/>
      <c r="AH160" s="1218"/>
      <c r="AI160" s="2073" t="s">
        <v>1008</v>
      </c>
      <c r="AJ160" s="2074"/>
      <c r="AK160" s="2074"/>
      <c r="AL160" s="2074"/>
      <c r="AM160" s="2074"/>
      <c r="AN160" s="2074"/>
      <c r="AO160" s="2074"/>
      <c r="AP160" s="2074"/>
      <c r="AQ160" s="2074"/>
      <c r="AR160" s="2074"/>
      <c r="AS160" s="2074"/>
      <c r="AT160" s="2074"/>
      <c r="AU160" s="2075"/>
      <c r="AV160" s="1039">
        <v>132.9</v>
      </c>
      <c r="AW160" s="1040"/>
    </row>
    <row r="161" spans="1:49" ht="13.8">
      <c r="A161" s="1035"/>
      <c r="B161" s="1218"/>
      <c r="C161" s="1218"/>
      <c r="D161" s="1218"/>
      <c r="E161" s="2076" t="s">
        <v>856</v>
      </c>
      <c r="F161" s="2074"/>
      <c r="G161" s="2074"/>
      <c r="H161" s="2074"/>
      <c r="I161" s="2074"/>
      <c r="J161" s="2074"/>
      <c r="K161" s="2074"/>
      <c r="L161" s="2074"/>
      <c r="M161" s="2074"/>
      <c r="N161" s="2074"/>
      <c r="O161" s="2074"/>
      <c r="P161" s="2074"/>
      <c r="Q161" s="2075"/>
      <c r="R161" s="2170">
        <f>(AV161*KFC!$B$39+KFC!$C$39)*курс_уе</f>
        <v>0</v>
      </c>
      <c r="S161" s="2171">
        <f>(AW161*KFC!$B$39+KFC!$C$39)*курс_уе</f>
        <v>0</v>
      </c>
      <c r="AE161" s="1035"/>
      <c r="AF161" s="1218"/>
      <c r="AG161" s="1218"/>
      <c r="AH161" s="1218"/>
      <c r="AI161" s="2076" t="s">
        <v>856</v>
      </c>
      <c r="AJ161" s="2074"/>
      <c r="AK161" s="2074"/>
      <c r="AL161" s="2074"/>
      <c r="AM161" s="2074"/>
      <c r="AN161" s="2074"/>
      <c r="AO161" s="2074"/>
      <c r="AP161" s="2074"/>
      <c r="AQ161" s="2074"/>
      <c r="AR161" s="2074"/>
      <c r="AS161" s="2074"/>
      <c r="AT161" s="2074"/>
      <c r="AU161" s="2075"/>
      <c r="AV161" s="1039"/>
      <c r="AW161" s="1040"/>
    </row>
    <row r="162" spans="1:49" ht="13.8">
      <c r="A162" s="1035" t="s">
        <v>904</v>
      </c>
      <c r="B162" s="1218"/>
      <c r="C162" s="1218"/>
      <c r="D162" s="2072"/>
      <c r="E162" s="1159" t="s">
        <v>1003</v>
      </c>
      <c r="F162" s="1160"/>
      <c r="G162" s="1160"/>
      <c r="H162" s="1160"/>
      <c r="I162" s="1160"/>
      <c r="J162" s="1160"/>
      <c r="K162" s="1160"/>
      <c r="L162" s="1160"/>
      <c r="M162" s="1160"/>
      <c r="N162" s="1160"/>
      <c r="O162" s="1160"/>
      <c r="P162" s="1160"/>
      <c r="Q162" s="1161"/>
      <c r="R162" s="1236">
        <f>(AV162*KFC!$B$39+KFC!$C$39)*курс_уе</f>
        <v>177</v>
      </c>
      <c r="S162" s="1154">
        <f>(AW162*KFC!$B$39+KFC!$C$39)*курс_уе</f>
        <v>0</v>
      </c>
      <c r="AE162" s="1035" t="s">
        <v>904</v>
      </c>
      <c r="AF162" s="1218"/>
      <c r="AG162" s="1218"/>
      <c r="AH162" s="2072"/>
      <c r="AI162" s="1159" t="s">
        <v>1003</v>
      </c>
      <c r="AJ162" s="1160"/>
      <c r="AK162" s="1160"/>
      <c r="AL162" s="1160"/>
      <c r="AM162" s="1160"/>
      <c r="AN162" s="1160"/>
      <c r="AO162" s="1160"/>
      <c r="AP162" s="1160"/>
      <c r="AQ162" s="1160"/>
      <c r="AR162" s="1160"/>
      <c r="AS162" s="1160"/>
      <c r="AT162" s="1160"/>
      <c r="AU162" s="1161"/>
      <c r="AV162" s="1248">
        <v>177</v>
      </c>
      <c r="AW162" s="1040"/>
    </row>
    <row r="163" spans="1:49" ht="14.4" thickBot="1">
      <c r="A163" s="1035"/>
      <c r="B163" s="1218"/>
      <c r="C163" s="1218"/>
      <c r="D163" s="2072"/>
      <c r="E163" s="1017" t="s">
        <v>1002</v>
      </c>
      <c r="F163" s="1374"/>
      <c r="G163" s="1374"/>
      <c r="H163" s="1374"/>
      <c r="I163" s="1374"/>
      <c r="J163" s="1374"/>
      <c r="K163" s="1374"/>
      <c r="L163" s="1374"/>
      <c r="M163" s="1374"/>
      <c r="N163" s="1374"/>
      <c r="O163" s="1374"/>
      <c r="P163" s="1374"/>
      <c r="Q163" s="1375"/>
      <c r="R163" s="2035">
        <f>(AV163*KFC!$B$39+KFC!$C$39)*курс_уе</f>
        <v>0</v>
      </c>
      <c r="S163" s="2036">
        <f>(AW163*KFC!$B$39+KFC!$C$39)*курс_уе</f>
        <v>0</v>
      </c>
      <c r="AE163" s="1035"/>
      <c r="AF163" s="1218"/>
      <c r="AG163" s="1218"/>
      <c r="AH163" s="2072"/>
      <c r="AI163" s="1017" t="s">
        <v>1002</v>
      </c>
      <c r="AJ163" s="1374"/>
      <c r="AK163" s="1374"/>
      <c r="AL163" s="1374"/>
      <c r="AM163" s="1374"/>
      <c r="AN163" s="1374"/>
      <c r="AO163" s="1374"/>
      <c r="AP163" s="1374"/>
      <c r="AQ163" s="1374"/>
      <c r="AR163" s="1374"/>
      <c r="AS163" s="1374"/>
      <c r="AT163" s="1374"/>
      <c r="AU163" s="1375"/>
      <c r="AV163" s="1248"/>
      <c r="AW163" s="1040"/>
    </row>
    <row r="164" spans="1:49" ht="33.6" customHeight="1">
      <c r="A164" s="1653" t="s">
        <v>904</v>
      </c>
      <c r="B164" s="1654"/>
      <c r="C164" s="1654"/>
      <c r="D164" s="1654"/>
      <c r="E164" s="1378" t="s">
        <v>912</v>
      </c>
      <c r="F164" s="1378"/>
      <c r="G164" s="1378"/>
      <c r="H164" s="1378"/>
      <c r="I164" s="1378"/>
      <c r="J164" s="1378"/>
      <c r="K164" s="1378"/>
      <c r="L164" s="1378"/>
      <c r="M164" s="1378"/>
      <c r="N164" s="1378"/>
      <c r="O164" s="1378"/>
      <c r="P164" s="1378"/>
      <c r="Q164" s="1378"/>
      <c r="R164" s="1655">
        <f>(AV164*KFC!$B$39+KFC!$C$39)*курс_уе</f>
        <v>120.3</v>
      </c>
      <c r="S164" s="1656">
        <f>(AW164*KFC!$B$39+KFC!$C$39)*курс_уе</f>
        <v>0</v>
      </c>
      <c r="AE164" s="1653" t="s">
        <v>904</v>
      </c>
      <c r="AF164" s="1654"/>
      <c r="AG164" s="1654"/>
      <c r="AH164" s="1654"/>
      <c r="AI164" s="1378" t="s">
        <v>912</v>
      </c>
      <c r="AJ164" s="1378"/>
      <c r="AK164" s="1378"/>
      <c r="AL164" s="1378"/>
      <c r="AM164" s="1378"/>
      <c r="AN164" s="1378"/>
      <c r="AO164" s="1378"/>
      <c r="AP164" s="1378"/>
      <c r="AQ164" s="1378"/>
      <c r="AR164" s="1378"/>
      <c r="AS164" s="1378"/>
      <c r="AT164" s="1378"/>
      <c r="AU164" s="1378"/>
      <c r="AV164" s="1655">
        <v>120.3</v>
      </c>
      <c r="AW164" s="1656"/>
    </row>
    <row r="165" spans="1:49" ht="33.6" customHeight="1">
      <c r="A165" s="1035" t="s">
        <v>904</v>
      </c>
      <c r="B165" s="1218"/>
      <c r="C165" s="1218"/>
      <c r="D165" s="1218"/>
      <c r="E165" s="1408" t="s">
        <v>913</v>
      </c>
      <c r="F165" s="1408"/>
      <c r="G165" s="1408"/>
      <c r="H165" s="1408"/>
      <c r="I165" s="1408"/>
      <c r="J165" s="1408"/>
      <c r="K165" s="1408"/>
      <c r="L165" s="1408"/>
      <c r="M165" s="1408"/>
      <c r="N165" s="1408"/>
      <c r="O165" s="1408"/>
      <c r="P165" s="1408"/>
      <c r="Q165" s="1408"/>
      <c r="R165" s="1293">
        <f>(AV165*KFC!$B$39+KFC!$C$39)*курс_уе</f>
        <v>126.6</v>
      </c>
      <c r="S165" s="1294">
        <f>(AW165*KFC!$B$39+KFC!$C$39)*курс_уе</f>
        <v>0</v>
      </c>
      <c r="AE165" s="1035" t="s">
        <v>904</v>
      </c>
      <c r="AF165" s="1218"/>
      <c r="AG165" s="1218"/>
      <c r="AH165" s="1218"/>
      <c r="AI165" s="1408" t="s">
        <v>913</v>
      </c>
      <c r="AJ165" s="1408"/>
      <c r="AK165" s="1408"/>
      <c r="AL165" s="1408"/>
      <c r="AM165" s="1408"/>
      <c r="AN165" s="1408"/>
      <c r="AO165" s="1408"/>
      <c r="AP165" s="1408"/>
      <c r="AQ165" s="1408"/>
      <c r="AR165" s="1408"/>
      <c r="AS165" s="1408"/>
      <c r="AT165" s="1408"/>
      <c r="AU165" s="1408"/>
      <c r="AV165" s="1293">
        <v>126.6</v>
      </c>
      <c r="AW165" s="1294"/>
    </row>
    <row r="166" spans="1:49" ht="33.6" customHeight="1">
      <c r="A166" s="1035" t="s">
        <v>904</v>
      </c>
      <c r="B166" s="1218"/>
      <c r="C166" s="1218"/>
      <c r="D166" s="1218"/>
      <c r="E166" s="1408" t="s">
        <v>914</v>
      </c>
      <c r="F166" s="1408"/>
      <c r="G166" s="1408"/>
      <c r="H166" s="1408"/>
      <c r="I166" s="1408"/>
      <c r="J166" s="1408"/>
      <c r="K166" s="1408"/>
      <c r="L166" s="1408"/>
      <c r="M166" s="1408"/>
      <c r="N166" s="1408"/>
      <c r="O166" s="1408"/>
      <c r="P166" s="1408"/>
      <c r="Q166" s="1408"/>
      <c r="R166" s="1293">
        <f>(AV166*KFC!$B$39+KFC!$C$39)*курс_уе</f>
        <v>126.3</v>
      </c>
      <c r="S166" s="1294">
        <f>(AW166*KFC!$B$39+KFC!$C$39)*курс_уе</f>
        <v>0</v>
      </c>
      <c r="AE166" s="1035" t="s">
        <v>904</v>
      </c>
      <c r="AF166" s="1218"/>
      <c r="AG166" s="1218"/>
      <c r="AH166" s="1218"/>
      <c r="AI166" s="1408" t="s">
        <v>914</v>
      </c>
      <c r="AJ166" s="1408"/>
      <c r="AK166" s="1408"/>
      <c r="AL166" s="1408"/>
      <c r="AM166" s="1408"/>
      <c r="AN166" s="1408"/>
      <c r="AO166" s="1408"/>
      <c r="AP166" s="1408"/>
      <c r="AQ166" s="1408"/>
      <c r="AR166" s="1408"/>
      <c r="AS166" s="1408"/>
      <c r="AT166" s="1408"/>
      <c r="AU166" s="1408"/>
      <c r="AV166" s="1293">
        <v>126.3</v>
      </c>
      <c r="AW166" s="1294"/>
    </row>
    <row r="167" spans="1:49" ht="33.6" customHeight="1" thickBot="1">
      <c r="A167" s="1036" t="s">
        <v>904</v>
      </c>
      <c r="B167" s="1564"/>
      <c r="C167" s="1564"/>
      <c r="D167" s="1564"/>
      <c r="E167" s="1556" t="s">
        <v>905</v>
      </c>
      <c r="F167" s="1556"/>
      <c r="G167" s="1556"/>
      <c r="H167" s="1556"/>
      <c r="I167" s="1556"/>
      <c r="J167" s="1556"/>
      <c r="K167" s="1556"/>
      <c r="L167" s="1556"/>
      <c r="M167" s="1556"/>
      <c r="N167" s="1556"/>
      <c r="O167" s="1556"/>
      <c r="P167" s="1556"/>
      <c r="Q167" s="1556"/>
      <c r="R167" s="1295">
        <f>(AV167*KFC!$B$39+KFC!$C$39)*курс_уе</f>
        <v>173.42</v>
      </c>
      <c r="S167" s="1296">
        <f>(AW167*KFC!$B$39+KFC!$C$39)*курс_уе</f>
        <v>0</v>
      </c>
      <c r="AE167" s="1036" t="s">
        <v>904</v>
      </c>
      <c r="AF167" s="1564"/>
      <c r="AG167" s="1564"/>
      <c r="AH167" s="1564"/>
      <c r="AI167" s="1556" t="s">
        <v>905</v>
      </c>
      <c r="AJ167" s="1556"/>
      <c r="AK167" s="1556"/>
      <c r="AL167" s="1556"/>
      <c r="AM167" s="1556"/>
      <c r="AN167" s="1556"/>
      <c r="AO167" s="1556"/>
      <c r="AP167" s="1556"/>
      <c r="AQ167" s="1556"/>
      <c r="AR167" s="1556"/>
      <c r="AS167" s="1556"/>
      <c r="AT167" s="1556"/>
      <c r="AU167" s="1556"/>
      <c r="AV167" s="1295">
        <v>173.42</v>
      </c>
      <c r="AW167" s="1296"/>
    </row>
    <row r="168" spans="1:49" ht="13.8">
      <c r="A168" s="549"/>
      <c r="B168" s="549"/>
      <c r="C168" s="549"/>
      <c r="D168" s="549"/>
      <c r="E168" s="614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528"/>
      <c r="S168" s="528"/>
      <c r="AE168" s="549"/>
      <c r="AF168" s="549"/>
      <c r="AG168" s="549"/>
      <c r="AH168" s="549"/>
      <c r="AI168" s="614"/>
      <c r="AJ168" s="60"/>
      <c r="AK168" s="60"/>
      <c r="AL168" s="60"/>
      <c r="AM168" s="60"/>
      <c r="AN168" s="60"/>
      <c r="AO168" s="60"/>
      <c r="AP168" s="60"/>
      <c r="AQ168" s="60"/>
      <c r="AR168" s="60"/>
      <c r="AS168" s="60"/>
      <c r="AT168" s="60"/>
      <c r="AU168" s="60"/>
      <c r="AV168" s="528"/>
      <c r="AW168" s="528"/>
    </row>
    <row r="169" spans="1:49" ht="15.6">
      <c r="C169" s="260"/>
      <c r="D169" s="1948" t="s">
        <v>284</v>
      </c>
      <c r="E169" s="1948"/>
      <c r="F169" s="1948"/>
      <c r="G169" s="1948"/>
      <c r="H169" s="1948"/>
      <c r="I169" s="1948"/>
      <c r="J169" s="1948"/>
      <c r="K169" s="1948"/>
      <c r="L169" s="1948"/>
      <c r="M169" s="1948"/>
      <c r="N169" s="1948"/>
      <c r="O169" s="1948"/>
      <c r="P169" s="1948"/>
      <c r="Q169" s="260"/>
      <c r="AG169" s="260"/>
      <c r="AH169" s="1948" t="s">
        <v>284</v>
      </c>
      <c r="AI169" s="1948"/>
      <c r="AJ169" s="1948"/>
      <c r="AK169" s="1948"/>
      <c r="AL169" s="1948"/>
      <c r="AM169" s="1948"/>
      <c r="AN169" s="1948"/>
      <c r="AO169" s="1948"/>
      <c r="AP169" s="1948"/>
      <c r="AQ169" s="1948"/>
      <c r="AR169" s="1948"/>
      <c r="AS169" s="1948"/>
      <c r="AT169" s="1948"/>
      <c r="AU169" s="260"/>
    </row>
    <row r="170" spans="1:49" ht="16.2" thickBot="1">
      <c r="B170" s="260"/>
      <c r="C170" s="260"/>
      <c r="D170" s="1758"/>
      <c r="E170" s="1758"/>
      <c r="F170" s="1758"/>
      <c r="G170" s="1758"/>
      <c r="H170" s="1758"/>
      <c r="I170" s="1758"/>
      <c r="J170" s="1758"/>
      <c r="K170" s="1758"/>
      <c r="L170" s="1758"/>
      <c r="M170" s="1758"/>
      <c r="N170" s="1758"/>
      <c r="O170" s="1758"/>
      <c r="P170" s="1758"/>
      <c r="Q170" s="260"/>
      <c r="AF170" s="260"/>
      <c r="AG170" s="260"/>
      <c r="AH170" s="1758"/>
      <c r="AI170" s="1758"/>
      <c r="AJ170" s="1758"/>
      <c r="AK170" s="1758"/>
      <c r="AL170" s="1758"/>
      <c r="AM170" s="1758"/>
      <c r="AN170" s="1758"/>
      <c r="AO170" s="1758"/>
      <c r="AP170" s="1758"/>
      <c r="AQ170" s="1758"/>
      <c r="AR170" s="1758"/>
      <c r="AS170" s="1758"/>
      <c r="AT170" s="1758"/>
      <c r="AU170" s="260"/>
    </row>
    <row r="171" spans="1:49" ht="39.6" customHeight="1">
      <c r="D171" s="2067" t="s">
        <v>263</v>
      </c>
      <c r="E171" s="2068"/>
      <c r="F171" s="2068"/>
      <c r="G171" s="2068" t="s">
        <v>173</v>
      </c>
      <c r="H171" s="2068"/>
      <c r="I171" s="2068"/>
      <c r="J171" s="2069"/>
      <c r="K171" s="2070" t="s">
        <v>174</v>
      </c>
      <c r="L171" s="2071"/>
      <c r="M171" s="1763" t="s">
        <v>175</v>
      </c>
      <c r="N171" s="1761"/>
      <c r="O171" s="2070" t="s">
        <v>176</v>
      </c>
      <c r="P171" s="2071"/>
      <c r="AH171" s="2067" t="s">
        <v>263</v>
      </c>
      <c r="AI171" s="2068"/>
      <c r="AJ171" s="2068"/>
      <c r="AK171" s="2068" t="s">
        <v>173</v>
      </c>
      <c r="AL171" s="2068"/>
      <c r="AM171" s="2068"/>
      <c r="AN171" s="2069"/>
      <c r="AO171" s="2070" t="s">
        <v>174</v>
      </c>
      <c r="AP171" s="2071"/>
      <c r="AQ171" s="1763" t="s">
        <v>175</v>
      </c>
      <c r="AR171" s="1761"/>
      <c r="AS171" s="2070" t="s">
        <v>176</v>
      </c>
      <c r="AT171" s="2071"/>
    </row>
    <row r="172" spans="1:49">
      <c r="D172" s="2055" t="s">
        <v>680</v>
      </c>
      <c r="E172" s="2056"/>
      <c r="F172" s="2057"/>
      <c r="G172" s="2058" t="s">
        <v>679</v>
      </c>
      <c r="H172" s="2058"/>
      <c r="I172" s="2058"/>
      <c r="J172" s="2058"/>
      <c r="K172" s="2054">
        <v>465</v>
      </c>
      <c r="L172" s="2054"/>
      <c r="M172" s="2054">
        <v>3000</v>
      </c>
      <c r="N172" s="2054"/>
      <c r="O172" s="2054">
        <v>3000</v>
      </c>
      <c r="P172" s="2059"/>
      <c r="AH172" s="2055" t="s">
        <v>680</v>
      </c>
      <c r="AI172" s="2056"/>
      <c r="AJ172" s="2057"/>
      <c r="AK172" s="2058" t="s">
        <v>679</v>
      </c>
      <c r="AL172" s="2058"/>
      <c r="AM172" s="2058"/>
      <c r="AN172" s="2058"/>
      <c r="AO172" s="2054">
        <v>465</v>
      </c>
      <c r="AP172" s="2054"/>
      <c r="AQ172" s="2054">
        <v>3000</v>
      </c>
      <c r="AR172" s="2054"/>
      <c r="AS172" s="2054">
        <v>3000</v>
      </c>
      <c r="AT172" s="2059"/>
    </row>
    <row r="173" spans="1:49" ht="13.2" customHeight="1">
      <c r="D173" s="2055"/>
      <c r="E173" s="2056"/>
      <c r="F173" s="2057"/>
      <c r="G173" s="2060" t="s">
        <v>681</v>
      </c>
      <c r="H173" s="2061"/>
      <c r="I173" s="2061"/>
      <c r="J173" s="2062"/>
      <c r="K173" s="2063">
        <v>465</v>
      </c>
      <c r="L173" s="2063"/>
      <c r="M173" s="2063">
        <v>3000</v>
      </c>
      <c r="N173" s="2063"/>
      <c r="O173" s="2063">
        <v>3000</v>
      </c>
      <c r="P173" s="2064"/>
      <c r="AH173" s="2055"/>
      <c r="AI173" s="2056"/>
      <c r="AJ173" s="2057"/>
      <c r="AK173" s="2060" t="s">
        <v>681</v>
      </c>
      <c r="AL173" s="2061"/>
      <c r="AM173" s="2061"/>
      <c r="AN173" s="2062"/>
      <c r="AO173" s="2063">
        <v>465</v>
      </c>
      <c r="AP173" s="2063"/>
      <c r="AQ173" s="2063">
        <v>3000</v>
      </c>
      <c r="AR173" s="2063"/>
      <c r="AS173" s="2063">
        <v>3000</v>
      </c>
      <c r="AT173" s="2064"/>
    </row>
    <row r="174" spans="1:49" ht="13.8" thickBot="1">
      <c r="D174" s="2055"/>
      <c r="E174" s="2056"/>
      <c r="F174" s="2057"/>
      <c r="G174" s="2060" t="s">
        <v>1156</v>
      </c>
      <c r="H174" s="2061"/>
      <c r="I174" s="2061"/>
      <c r="J174" s="2062"/>
      <c r="K174" s="2065">
        <v>465</v>
      </c>
      <c r="L174" s="2066"/>
      <c r="M174" s="2063">
        <v>3000</v>
      </c>
      <c r="N174" s="2063"/>
      <c r="O174" s="2063">
        <v>3000</v>
      </c>
      <c r="P174" s="2063"/>
      <c r="AH174" s="2055"/>
      <c r="AI174" s="2056"/>
      <c r="AJ174" s="2057"/>
      <c r="AK174" s="2060" t="s">
        <v>1156</v>
      </c>
      <c r="AL174" s="2061"/>
      <c r="AM174" s="2061"/>
      <c r="AN174" s="2062"/>
      <c r="AO174" s="2065">
        <v>465</v>
      </c>
      <c r="AP174" s="2066"/>
      <c r="AQ174" s="2063">
        <v>3000</v>
      </c>
      <c r="AR174" s="2063"/>
      <c r="AS174" s="2063">
        <v>3000</v>
      </c>
      <c r="AT174" s="2063"/>
    </row>
    <row r="175" spans="1:49" ht="13.2" customHeight="1" thickBot="1">
      <c r="D175" s="2052" t="s">
        <v>951</v>
      </c>
      <c r="E175" s="2053"/>
      <c r="F175" s="2053"/>
      <c r="G175" s="1756" t="s">
        <v>683</v>
      </c>
      <c r="H175" s="1756"/>
      <c r="I175" s="1756"/>
      <c r="J175" s="1756"/>
      <c r="K175" s="1530">
        <v>530</v>
      </c>
      <c r="L175" s="1530"/>
      <c r="M175" s="1530">
        <v>4000</v>
      </c>
      <c r="N175" s="1530"/>
      <c r="O175" s="1530">
        <v>5000</v>
      </c>
      <c r="P175" s="1757"/>
      <c r="AH175" s="2052" t="s">
        <v>951</v>
      </c>
      <c r="AI175" s="2053"/>
      <c r="AJ175" s="2053"/>
      <c r="AK175" s="1756" t="s">
        <v>683</v>
      </c>
      <c r="AL175" s="1756"/>
      <c r="AM175" s="1756"/>
      <c r="AN175" s="1756"/>
      <c r="AO175" s="1530">
        <v>530</v>
      </c>
      <c r="AP175" s="1530"/>
      <c r="AQ175" s="1530">
        <v>4000</v>
      </c>
      <c r="AR175" s="1530"/>
      <c r="AS175" s="1530">
        <v>5000</v>
      </c>
      <c r="AT175" s="1757"/>
    </row>
    <row r="176" spans="1:49" ht="13.8" thickBot="1">
      <c r="D176" s="1648"/>
      <c r="E176" s="1649"/>
      <c r="F176" s="1649"/>
      <c r="G176" s="1766" t="s">
        <v>682</v>
      </c>
      <c r="H176" s="1766"/>
      <c r="I176" s="1766"/>
      <c r="J176" s="1766"/>
      <c r="K176" s="1532">
        <v>570</v>
      </c>
      <c r="L176" s="1532"/>
      <c r="M176" s="1532">
        <v>4000</v>
      </c>
      <c r="N176" s="1532"/>
      <c r="O176" s="1530">
        <v>5000</v>
      </c>
      <c r="P176" s="1757"/>
      <c r="AH176" s="1648"/>
      <c r="AI176" s="1649"/>
      <c r="AJ176" s="1649"/>
      <c r="AK176" s="1766" t="s">
        <v>682</v>
      </c>
      <c r="AL176" s="1766"/>
      <c r="AM176" s="1766"/>
      <c r="AN176" s="1766"/>
      <c r="AO176" s="1532">
        <v>570</v>
      </c>
      <c r="AP176" s="1532"/>
      <c r="AQ176" s="1532">
        <v>4000</v>
      </c>
      <c r="AR176" s="1532"/>
      <c r="AS176" s="1530">
        <v>5000</v>
      </c>
      <c r="AT176" s="1757"/>
    </row>
    <row r="177" spans="1:49" ht="13.8" thickBot="1">
      <c r="D177" s="1648"/>
      <c r="E177" s="1649"/>
      <c r="F177" s="1649"/>
      <c r="G177" s="1766" t="s">
        <v>670</v>
      </c>
      <c r="H177" s="1766"/>
      <c r="I177" s="1766"/>
      <c r="J177" s="1766"/>
      <c r="K177" s="2054">
        <v>580</v>
      </c>
      <c r="L177" s="2054"/>
      <c r="M177" s="1532">
        <v>4000</v>
      </c>
      <c r="N177" s="1532"/>
      <c r="O177" s="1530">
        <v>5000</v>
      </c>
      <c r="P177" s="1757"/>
      <c r="AH177" s="1648"/>
      <c r="AI177" s="1649"/>
      <c r="AJ177" s="1649"/>
      <c r="AK177" s="1766" t="s">
        <v>670</v>
      </c>
      <c r="AL177" s="1766"/>
      <c r="AM177" s="1766"/>
      <c r="AN177" s="1766"/>
      <c r="AO177" s="2054">
        <v>580</v>
      </c>
      <c r="AP177" s="2054"/>
      <c r="AQ177" s="1532">
        <v>4000</v>
      </c>
      <c r="AR177" s="1532"/>
      <c r="AS177" s="1530">
        <v>5000</v>
      </c>
      <c r="AT177" s="1757"/>
    </row>
    <row r="178" spans="1:49" ht="13.8" thickBot="1">
      <c r="D178" s="1648"/>
      <c r="E178" s="1649"/>
      <c r="F178" s="1649"/>
      <c r="G178" s="1766" t="s">
        <v>985</v>
      </c>
      <c r="H178" s="1766"/>
      <c r="I178" s="1766"/>
      <c r="J178" s="1766"/>
      <c r="K178" s="2054">
        <v>685</v>
      </c>
      <c r="L178" s="2054"/>
      <c r="M178" s="1532">
        <v>4000</v>
      </c>
      <c r="N178" s="1532"/>
      <c r="O178" s="1530">
        <v>5000</v>
      </c>
      <c r="P178" s="1757"/>
      <c r="AH178" s="1648"/>
      <c r="AI178" s="1649"/>
      <c r="AJ178" s="1649"/>
      <c r="AK178" s="1766" t="s">
        <v>985</v>
      </c>
      <c r="AL178" s="1766"/>
      <c r="AM178" s="1766"/>
      <c r="AN178" s="1766"/>
      <c r="AO178" s="2054">
        <v>685</v>
      </c>
      <c r="AP178" s="2054"/>
      <c r="AQ178" s="1532">
        <v>4000</v>
      </c>
      <c r="AR178" s="1532"/>
      <c r="AS178" s="1530">
        <v>5000</v>
      </c>
      <c r="AT178" s="1757"/>
    </row>
    <row r="179" spans="1:49" ht="13.2" customHeight="1" thickBot="1">
      <c r="D179" s="1648"/>
      <c r="E179" s="1649"/>
      <c r="F179" s="1649"/>
      <c r="G179" s="1766" t="s">
        <v>1004</v>
      </c>
      <c r="H179" s="1766"/>
      <c r="I179" s="1766"/>
      <c r="J179" s="1766"/>
      <c r="K179" s="1532">
        <v>590</v>
      </c>
      <c r="L179" s="1532"/>
      <c r="M179" s="1532">
        <v>4000</v>
      </c>
      <c r="N179" s="1532"/>
      <c r="O179" s="1530">
        <v>5000</v>
      </c>
      <c r="P179" s="1757"/>
      <c r="S179" s="67"/>
      <c r="AH179" s="1648"/>
      <c r="AI179" s="1649"/>
      <c r="AJ179" s="1649"/>
      <c r="AK179" s="1766" t="s">
        <v>1004</v>
      </c>
      <c r="AL179" s="1766"/>
      <c r="AM179" s="1766"/>
      <c r="AN179" s="1766"/>
      <c r="AO179" s="1532">
        <v>590</v>
      </c>
      <c r="AP179" s="1532"/>
      <c r="AQ179" s="1532">
        <v>4000</v>
      </c>
      <c r="AR179" s="1532"/>
      <c r="AS179" s="1530">
        <v>5000</v>
      </c>
      <c r="AT179" s="1757"/>
      <c r="AW179" s="67"/>
    </row>
    <row r="180" spans="1:49" ht="13.8" thickBot="1">
      <c r="D180" s="1648"/>
      <c r="E180" s="1649"/>
      <c r="F180" s="1649"/>
      <c r="G180" s="1766" t="s">
        <v>916</v>
      </c>
      <c r="H180" s="1766"/>
      <c r="I180" s="1766"/>
      <c r="J180" s="1766"/>
      <c r="K180" s="1532">
        <v>580</v>
      </c>
      <c r="L180" s="1532"/>
      <c r="M180" s="1532">
        <v>4000</v>
      </c>
      <c r="N180" s="1532"/>
      <c r="O180" s="1530">
        <v>5000</v>
      </c>
      <c r="P180" s="1757"/>
      <c r="S180" s="67"/>
      <c r="AH180" s="1648"/>
      <c r="AI180" s="1649"/>
      <c r="AJ180" s="1649"/>
      <c r="AK180" s="1766" t="s">
        <v>916</v>
      </c>
      <c r="AL180" s="1766"/>
      <c r="AM180" s="1766"/>
      <c r="AN180" s="1766"/>
      <c r="AO180" s="1532">
        <v>580</v>
      </c>
      <c r="AP180" s="1532"/>
      <c r="AQ180" s="1532">
        <v>4000</v>
      </c>
      <c r="AR180" s="1532"/>
      <c r="AS180" s="1530">
        <v>5000</v>
      </c>
      <c r="AT180" s="1757"/>
      <c r="AW180" s="67"/>
    </row>
    <row r="181" spans="1:49" ht="13.8" thickBot="1">
      <c r="D181" s="1648"/>
      <c r="E181" s="1649"/>
      <c r="F181" s="1649"/>
      <c r="G181" s="1766" t="s">
        <v>917</v>
      </c>
      <c r="H181" s="1766"/>
      <c r="I181" s="1766"/>
      <c r="J181" s="1766"/>
      <c r="K181" s="1532">
        <v>680</v>
      </c>
      <c r="L181" s="1532"/>
      <c r="M181" s="1532">
        <v>4000</v>
      </c>
      <c r="N181" s="1532"/>
      <c r="O181" s="1530">
        <v>5000</v>
      </c>
      <c r="P181" s="1757"/>
      <c r="S181" s="67"/>
      <c r="AH181" s="1648"/>
      <c r="AI181" s="1649"/>
      <c r="AJ181" s="1649"/>
      <c r="AK181" s="1766" t="s">
        <v>917</v>
      </c>
      <c r="AL181" s="1766"/>
      <c r="AM181" s="1766"/>
      <c r="AN181" s="1766"/>
      <c r="AO181" s="1532">
        <v>680</v>
      </c>
      <c r="AP181" s="1532"/>
      <c r="AQ181" s="1532">
        <v>4000</v>
      </c>
      <c r="AR181" s="1532"/>
      <c r="AS181" s="1530">
        <v>5000</v>
      </c>
      <c r="AT181" s="1757"/>
      <c r="AW181" s="67"/>
    </row>
    <row r="182" spans="1:49" ht="13.2" customHeight="1" thickBot="1">
      <c r="D182" s="1648"/>
      <c r="E182" s="1649"/>
      <c r="F182" s="1649"/>
      <c r="G182" s="1766" t="s">
        <v>918</v>
      </c>
      <c r="H182" s="1766"/>
      <c r="I182" s="1766"/>
      <c r="J182" s="1766"/>
      <c r="K182" s="1532">
        <v>590</v>
      </c>
      <c r="L182" s="1532"/>
      <c r="M182" s="1532">
        <v>4000</v>
      </c>
      <c r="N182" s="1532"/>
      <c r="O182" s="1530">
        <v>5000</v>
      </c>
      <c r="P182" s="1757"/>
      <c r="S182" s="67"/>
      <c r="AH182" s="1648"/>
      <c r="AI182" s="1649"/>
      <c r="AJ182" s="1649"/>
      <c r="AK182" s="1766" t="s">
        <v>918</v>
      </c>
      <c r="AL182" s="1766"/>
      <c r="AM182" s="1766"/>
      <c r="AN182" s="1766"/>
      <c r="AO182" s="1532">
        <v>590</v>
      </c>
      <c r="AP182" s="1532"/>
      <c r="AQ182" s="1532">
        <v>4000</v>
      </c>
      <c r="AR182" s="1532"/>
      <c r="AS182" s="1530">
        <v>5000</v>
      </c>
      <c r="AT182" s="1757"/>
      <c r="AW182" s="67"/>
    </row>
    <row r="183" spans="1:49" ht="13.2" customHeight="1" thickBot="1">
      <c r="D183" s="1045"/>
      <c r="E183" s="1046"/>
      <c r="F183" s="1046"/>
      <c r="G183" s="1769" t="s">
        <v>919</v>
      </c>
      <c r="H183" s="1769"/>
      <c r="I183" s="1769"/>
      <c r="J183" s="1769"/>
      <c r="K183" s="1770">
        <v>880</v>
      </c>
      <c r="L183" s="1770"/>
      <c r="M183" s="1770">
        <v>4000</v>
      </c>
      <c r="N183" s="1770"/>
      <c r="O183" s="1530">
        <v>5000</v>
      </c>
      <c r="P183" s="1757"/>
      <c r="S183" s="67"/>
      <c r="AH183" s="1045"/>
      <c r="AI183" s="1046"/>
      <c r="AJ183" s="1046"/>
      <c r="AK183" s="1769" t="s">
        <v>919</v>
      </c>
      <c r="AL183" s="1769"/>
      <c r="AM183" s="1769"/>
      <c r="AN183" s="1769"/>
      <c r="AO183" s="1770">
        <v>880</v>
      </c>
      <c r="AP183" s="1770"/>
      <c r="AQ183" s="1770">
        <v>4000</v>
      </c>
      <c r="AR183" s="1770"/>
      <c r="AS183" s="1530">
        <v>5000</v>
      </c>
      <c r="AT183" s="1757"/>
      <c r="AW183" s="67"/>
    </row>
    <row r="184" spans="1:49">
      <c r="S184" s="67"/>
      <c r="AW184" s="67"/>
    </row>
    <row r="185" spans="1:49">
      <c r="S185" s="67"/>
      <c r="AW185" s="67"/>
    </row>
    <row r="186" spans="1:49">
      <c r="S186" s="67"/>
      <c r="AW186" s="67"/>
    </row>
    <row r="187" spans="1:49">
      <c r="S187" s="158"/>
      <c r="AW187" s="158"/>
    </row>
    <row r="188" spans="1:49" ht="16.2" thickBot="1">
      <c r="A188" s="1033" t="s">
        <v>671</v>
      </c>
      <c r="B188" s="1033"/>
      <c r="C188" s="1033"/>
      <c r="D188" s="1033"/>
      <c r="E188" s="1033"/>
      <c r="F188" s="1033"/>
      <c r="G188" s="1033"/>
      <c r="H188" s="1033"/>
      <c r="I188" s="1033"/>
      <c r="J188" s="1033"/>
      <c r="K188" s="1033"/>
      <c r="L188" s="1033"/>
      <c r="M188" s="1033"/>
      <c r="N188" s="1033"/>
      <c r="O188" s="1033"/>
      <c r="P188" s="1033"/>
      <c r="Q188" s="1033"/>
      <c r="R188" s="1033"/>
      <c r="S188" s="1033"/>
      <c r="AE188" s="1033" t="s">
        <v>671</v>
      </c>
      <c r="AF188" s="1033"/>
      <c r="AG188" s="1033"/>
      <c r="AH188" s="1033"/>
      <c r="AI188" s="1033"/>
      <c r="AJ188" s="1033"/>
      <c r="AK188" s="1033"/>
      <c r="AL188" s="1033"/>
      <c r="AM188" s="1033"/>
      <c r="AN188" s="1033"/>
      <c r="AO188" s="1033"/>
      <c r="AP188" s="1033"/>
      <c r="AQ188" s="1033"/>
      <c r="AR188" s="1033"/>
      <c r="AS188" s="1033"/>
      <c r="AT188" s="1033"/>
      <c r="AU188" s="1033"/>
      <c r="AV188" s="1033"/>
      <c r="AW188" s="1033"/>
    </row>
    <row r="189" spans="1:49" ht="14.4" thickBot="1">
      <c r="A189" s="1797" t="s">
        <v>88</v>
      </c>
      <c r="B189" s="1798"/>
      <c r="C189" s="1798"/>
      <c r="D189" s="1798"/>
      <c r="E189" s="1409" t="s">
        <v>87</v>
      </c>
      <c r="F189" s="1409"/>
      <c r="G189" s="1409"/>
      <c r="H189" s="1409"/>
      <c r="I189" s="1409"/>
      <c r="J189" s="1409"/>
      <c r="K189" s="1409"/>
      <c r="L189" s="1409"/>
      <c r="M189" s="1409"/>
      <c r="N189" s="1409"/>
      <c r="O189" s="1409"/>
      <c r="P189" s="1409"/>
      <c r="Q189" s="1409"/>
      <c r="R189" s="1092" t="s">
        <v>24</v>
      </c>
      <c r="S189" s="1093"/>
      <c r="AE189" s="1797" t="s">
        <v>88</v>
      </c>
      <c r="AF189" s="1798"/>
      <c r="AG189" s="1798"/>
      <c r="AH189" s="1798"/>
      <c r="AI189" s="1409" t="s">
        <v>87</v>
      </c>
      <c r="AJ189" s="1409"/>
      <c r="AK189" s="1409"/>
      <c r="AL189" s="1409"/>
      <c r="AM189" s="1409"/>
      <c r="AN189" s="1409"/>
      <c r="AO189" s="1409"/>
      <c r="AP189" s="1409"/>
      <c r="AQ189" s="1409"/>
      <c r="AR189" s="1409"/>
      <c r="AS189" s="1409"/>
      <c r="AT189" s="1409"/>
      <c r="AU189" s="1409"/>
      <c r="AV189" s="1092" t="s">
        <v>24</v>
      </c>
      <c r="AW189" s="1093"/>
    </row>
    <row r="190" spans="1:49" ht="13.8">
      <c r="A190" s="1546" t="s">
        <v>89</v>
      </c>
      <c r="B190" s="1547"/>
      <c r="C190" s="1547"/>
      <c r="D190" s="1547"/>
      <c r="E190" s="2048" t="s">
        <v>644</v>
      </c>
      <c r="F190" s="2049"/>
      <c r="G190" s="2049"/>
      <c r="H190" s="2049"/>
      <c r="I190" s="2049"/>
      <c r="J190" s="2049"/>
      <c r="K190" s="2049"/>
      <c r="L190" s="2049"/>
      <c r="M190" s="2049"/>
      <c r="N190" s="2049"/>
      <c r="O190" s="2049"/>
      <c r="P190" s="2049"/>
      <c r="Q190" s="2050"/>
      <c r="R190" s="2051">
        <f>(AV190*KFC!$B$39+KFC!$C$39)*курс_уе</f>
        <v>70.88</v>
      </c>
      <c r="S190" s="1201">
        <f>(AW190*KFC!$B$39+KFC!$C$39)*курс_уе</f>
        <v>0</v>
      </c>
      <c r="AE190" s="1546" t="s">
        <v>89</v>
      </c>
      <c r="AF190" s="1547"/>
      <c r="AG190" s="1547"/>
      <c r="AH190" s="1547"/>
      <c r="AI190" s="2048" t="s">
        <v>644</v>
      </c>
      <c r="AJ190" s="2049"/>
      <c r="AK190" s="2049"/>
      <c r="AL190" s="2049"/>
      <c r="AM190" s="2049"/>
      <c r="AN190" s="2049"/>
      <c r="AO190" s="2049"/>
      <c r="AP190" s="2049"/>
      <c r="AQ190" s="2049"/>
      <c r="AR190" s="2049"/>
      <c r="AS190" s="2049"/>
      <c r="AT190" s="2049"/>
      <c r="AU190" s="2050"/>
      <c r="AV190" s="2051">
        <v>70.88</v>
      </c>
      <c r="AW190" s="1201"/>
    </row>
    <row r="191" spans="1:49" ht="13.8">
      <c r="A191" s="1663"/>
      <c r="B191" s="1255"/>
      <c r="C191" s="1255"/>
      <c r="D191" s="1255"/>
      <c r="E191" s="2030" t="s">
        <v>858</v>
      </c>
      <c r="F191" s="2046"/>
      <c r="G191" s="2046"/>
      <c r="H191" s="2046"/>
      <c r="I191" s="2046"/>
      <c r="J191" s="2046"/>
      <c r="K191" s="2046"/>
      <c r="L191" s="2046"/>
      <c r="M191" s="2046"/>
      <c r="N191" s="2046"/>
      <c r="O191" s="2046"/>
      <c r="P191" s="2046"/>
      <c r="Q191" s="2047"/>
      <c r="R191" s="2045">
        <f>(AV191*KFC!$B$39+KFC!$C$39)*курс_уе</f>
        <v>0</v>
      </c>
      <c r="S191" s="1517">
        <f>(AW191*KFC!$B$39+KFC!$C$39)*курс_уе</f>
        <v>0</v>
      </c>
      <c r="AE191" s="1663"/>
      <c r="AF191" s="1255"/>
      <c r="AG191" s="1255"/>
      <c r="AH191" s="1255"/>
      <c r="AI191" s="2030" t="s">
        <v>858</v>
      </c>
      <c r="AJ191" s="2046"/>
      <c r="AK191" s="2046"/>
      <c r="AL191" s="2046"/>
      <c r="AM191" s="2046"/>
      <c r="AN191" s="2046"/>
      <c r="AO191" s="2046"/>
      <c r="AP191" s="2046"/>
      <c r="AQ191" s="2046"/>
      <c r="AR191" s="2046"/>
      <c r="AS191" s="2046"/>
      <c r="AT191" s="2046"/>
      <c r="AU191" s="2047"/>
      <c r="AV191" s="2045"/>
      <c r="AW191" s="1517"/>
    </row>
    <row r="192" spans="1:49" ht="13.8">
      <c r="A192" s="1526" t="s">
        <v>89</v>
      </c>
      <c r="B192" s="1252"/>
      <c r="C192" s="1252"/>
      <c r="D192" s="1252"/>
      <c r="E192" s="2027" t="s">
        <v>645</v>
      </c>
      <c r="F192" s="2028"/>
      <c r="G192" s="2028"/>
      <c r="H192" s="2028"/>
      <c r="I192" s="2028"/>
      <c r="J192" s="2028"/>
      <c r="K192" s="2028"/>
      <c r="L192" s="2028"/>
      <c r="M192" s="2028"/>
      <c r="N192" s="2028"/>
      <c r="O192" s="2028"/>
      <c r="P192" s="2028"/>
      <c r="Q192" s="2029"/>
      <c r="R192" s="2044">
        <f>(AV192*KFC!$B$39+KFC!$C$39)*курс_уе</f>
        <v>121.60000000000001</v>
      </c>
      <c r="S192" s="1154">
        <f>(AW192*KFC!$B$39+KFC!$C$39)*курс_уе</f>
        <v>0</v>
      </c>
      <c r="AE192" s="1526" t="s">
        <v>89</v>
      </c>
      <c r="AF192" s="1252"/>
      <c r="AG192" s="1252"/>
      <c r="AH192" s="1252"/>
      <c r="AI192" s="2027" t="s">
        <v>645</v>
      </c>
      <c r="AJ192" s="2028"/>
      <c r="AK192" s="2028"/>
      <c r="AL192" s="2028"/>
      <c r="AM192" s="2028"/>
      <c r="AN192" s="2028"/>
      <c r="AO192" s="2028"/>
      <c r="AP192" s="2028"/>
      <c r="AQ192" s="2028"/>
      <c r="AR192" s="2028"/>
      <c r="AS192" s="2028"/>
      <c r="AT192" s="2028"/>
      <c r="AU192" s="2029"/>
      <c r="AV192" s="2044">
        <v>121.60000000000001</v>
      </c>
      <c r="AW192" s="1154"/>
    </row>
    <row r="193" spans="1:49" ht="13.8">
      <c r="A193" s="1663"/>
      <c r="B193" s="1255"/>
      <c r="C193" s="1255"/>
      <c r="D193" s="1255"/>
      <c r="E193" s="2030" t="s">
        <v>859</v>
      </c>
      <c r="F193" s="2046"/>
      <c r="G193" s="2046"/>
      <c r="H193" s="2046"/>
      <c r="I193" s="2046"/>
      <c r="J193" s="2046"/>
      <c r="K193" s="2046"/>
      <c r="L193" s="2046"/>
      <c r="M193" s="2046"/>
      <c r="N193" s="2046"/>
      <c r="O193" s="2046"/>
      <c r="P193" s="2046"/>
      <c r="Q193" s="2047"/>
      <c r="R193" s="2045">
        <f>(AV193*KFC!$B$39+KFC!$C$39)*курс_уе</f>
        <v>0</v>
      </c>
      <c r="S193" s="1517">
        <f>(AW193*KFC!$B$39+KFC!$C$39)*курс_уе</f>
        <v>0</v>
      </c>
      <c r="AE193" s="1663"/>
      <c r="AF193" s="1255"/>
      <c r="AG193" s="1255"/>
      <c r="AH193" s="1255"/>
      <c r="AI193" s="2030" t="s">
        <v>859</v>
      </c>
      <c r="AJ193" s="2046"/>
      <c r="AK193" s="2046"/>
      <c r="AL193" s="2046"/>
      <c r="AM193" s="2046"/>
      <c r="AN193" s="2046"/>
      <c r="AO193" s="2046"/>
      <c r="AP193" s="2046"/>
      <c r="AQ193" s="2046"/>
      <c r="AR193" s="2046"/>
      <c r="AS193" s="2046"/>
      <c r="AT193" s="2046"/>
      <c r="AU193" s="2047"/>
      <c r="AV193" s="2045"/>
      <c r="AW193" s="1517"/>
    </row>
    <row r="194" spans="1:49" ht="13.8">
      <c r="A194" s="1526" t="s">
        <v>89</v>
      </c>
      <c r="B194" s="1252"/>
      <c r="C194" s="1252"/>
      <c r="D194" s="1252"/>
      <c r="E194" s="2027" t="s">
        <v>91</v>
      </c>
      <c r="F194" s="2028"/>
      <c r="G194" s="2028"/>
      <c r="H194" s="2028"/>
      <c r="I194" s="2028"/>
      <c r="J194" s="2028"/>
      <c r="K194" s="2028"/>
      <c r="L194" s="2028"/>
      <c r="M194" s="2028"/>
      <c r="N194" s="2028"/>
      <c r="O194" s="2028"/>
      <c r="P194" s="2028"/>
      <c r="Q194" s="2029"/>
      <c r="R194" s="2044">
        <f>(AV194*KFC!$B$39+KFC!$C$39)*курс_уе</f>
        <v>290.49600000000004</v>
      </c>
      <c r="S194" s="1154">
        <f>(AW194*KFC!$B$39+KFC!$C$39)*курс_уе</f>
        <v>0</v>
      </c>
      <c r="AE194" s="1526" t="s">
        <v>89</v>
      </c>
      <c r="AF194" s="1252"/>
      <c r="AG194" s="1252"/>
      <c r="AH194" s="1252"/>
      <c r="AI194" s="2027" t="s">
        <v>91</v>
      </c>
      <c r="AJ194" s="2028"/>
      <c r="AK194" s="2028"/>
      <c r="AL194" s="2028"/>
      <c r="AM194" s="2028"/>
      <c r="AN194" s="2028"/>
      <c r="AO194" s="2028"/>
      <c r="AP194" s="2028"/>
      <c r="AQ194" s="2028"/>
      <c r="AR194" s="2028"/>
      <c r="AS194" s="2028"/>
      <c r="AT194" s="2028"/>
      <c r="AU194" s="2029"/>
      <c r="AV194" s="2044">
        <v>290.49600000000004</v>
      </c>
      <c r="AW194" s="1154"/>
    </row>
    <row r="195" spans="1:49" ht="13.8">
      <c r="A195" s="1663"/>
      <c r="B195" s="1255"/>
      <c r="C195" s="1255"/>
      <c r="D195" s="1255"/>
      <c r="E195" s="2030" t="s">
        <v>860</v>
      </c>
      <c r="F195" s="2046"/>
      <c r="G195" s="2046"/>
      <c r="H195" s="2046"/>
      <c r="I195" s="2046"/>
      <c r="J195" s="2046"/>
      <c r="K195" s="2046"/>
      <c r="L195" s="2046"/>
      <c r="M195" s="2046"/>
      <c r="N195" s="2046"/>
      <c r="O195" s="2046"/>
      <c r="P195" s="2046"/>
      <c r="Q195" s="2047"/>
      <c r="R195" s="2045">
        <f>(AV195*KFC!$B$39+KFC!$C$39)*курс_уе</f>
        <v>0</v>
      </c>
      <c r="S195" s="1517">
        <f>(AW195*KFC!$B$39+KFC!$C$39)*курс_уе</f>
        <v>0</v>
      </c>
      <c r="AE195" s="1663"/>
      <c r="AF195" s="1255"/>
      <c r="AG195" s="1255"/>
      <c r="AH195" s="1255"/>
      <c r="AI195" s="2030" t="s">
        <v>860</v>
      </c>
      <c r="AJ195" s="2046"/>
      <c r="AK195" s="2046"/>
      <c r="AL195" s="2046"/>
      <c r="AM195" s="2046"/>
      <c r="AN195" s="2046"/>
      <c r="AO195" s="2046"/>
      <c r="AP195" s="2046"/>
      <c r="AQ195" s="2046"/>
      <c r="AR195" s="2046"/>
      <c r="AS195" s="2046"/>
      <c r="AT195" s="2046"/>
      <c r="AU195" s="2047"/>
      <c r="AV195" s="2045"/>
      <c r="AW195" s="1517"/>
    </row>
    <row r="196" spans="1:49" ht="13.8">
      <c r="A196" s="1526" t="s">
        <v>89</v>
      </c>
      <c r="B196" s="1252"/>
      <c r="C196" s="1252"/>
      <c r="D196" s="1252"/>
      <c r="E196" s="2027" t="s">
        <v>92</v>
      </c>
      <c r="F196" s="2028"/>
      <c r="G196" s="2028"/>
      <c r="H196" s="2028"/>
      <c r="I196" s="2028"/>
      <c r="J196" s="2028"/>
      <c r="K196" s="2028"/>
      <c r="L196" s="2028"/>
      <c r="M196" s="2028"/>
      <c r="N196" s="2028"/>
      <c r="O196" s="2028"/>
      <c r="P196" s="2028"/>
      <c r="Q196" s="2029"/>
      <c r="R196" s="2044">
        <f>(AV196*KFC!$B$39+KFC!$C$39)*курс_уе</f>
        <v>62.015999999999998</v>
      </c>
      <c r="S196" s="1154">
        <f>(AW196*KFC!$B$39+KFC!$C$39)*курс_уе</f>
        <v>0</v>
      </c>
      <c r="AE196" s="1526" t="s">
        <v>89</v>
      </c>
      <c r="AF196" s="1252"/>
      <c r="AG196" s="1252"/>
      <c r="AH196" s="1252"/>
      <c r="AI196" s="2027" t="s">
        <v>92</v>
      </c>
      <c r="AJ196" s="2028"/>
      <c r="AK196" s="2028"/>
      <c r="AL196" s="2028"/>
      <c r="AM196" s="2028"/>
      <c r="AN196" s="2028"/>
      <c r="AO196" s="2028"/>
      <c r="AP196" s="2028"/>
      <c r="AQ196" s="2028"/>
      <c r="AR196" s="2028"/>
      <c r="AS196" s="2028"/>
      <c r="AT196" s="2028"/>
      <c r="AU196" s="2029"/>
      <c r="AV196" s="2044">
        <v>62.015999999999998</v>
      </c>
      <c r="AW196" s="1154"/>
    </row>
    <row r="197" spans="1:49" ht="13.8">
      <c r="A197" s="1663"/>
      <c r="B197" s="1255"/>
      <c r="C197" s="1255"/>
      <c r="D197" s="1255"/>
      <c r="E197" s="2030" t="s">
        <v>863</v>
      </c>
      <c r="F197" s="2046"/>
      <c r="G197" s="2046"/>
      <c r="H197" s="2046"/>
      <c r="I197" s="2046"/>
      <c r="J197" s="2046"/>
      <c r="K197" s="2046"/>
      <c r="L197" s="2046"/>
      <c r="M197" s="2046"/>
      <c r="N197" s="2046"/>
      <c r="O197" s="2046"/>
      <c r="P197" s="2046"/>
      <c r="Q197" s="2047"/>
      <c r="R197" s="2045">
        <f>(AV197*KFC!$B$39+KFC!$C$39)*курс_уе</f>
        <v>0</v>
      </c>
      <c r="S197" s="1517">
        <f>(AW197*KFC!$B$39+KFC!$C$39)*курс_уе</f>
        <v>0</v>
      </c>
      <c r="AE197" s="1663"/>
      <c r="AF197" s="1255"/>
      <c r="AG197" s="1255"/>
      <c r="AH197" s="1255"/>
      <c r="AI197" s="2030" t="s">
        <v>863</v>
      </c>
      <c r="AJ197" s="2046"/>
      <c r="AK197" s="2046"/>
      <c r="AL197" s="2046"/>
      <c r="AM197" s="2046"/>
      <c r="AN197" s="2046"/>
      <c r="AO197" s="2046"/>
      <c r="AP197" s="2046"/>
      <c r="AQ197" s="2046"/>
      <c r="AR197" s="2046"/>
      <c r="AS197" s="2046"/>
      <c r="AT197" s="2046"/>
      <c r="AU197" s="2047"/>
      <c r="AV197" s="2045"/>
      <c r="AW197" s="1517"/>
    </row>
    <row r="198" spans="1:49" ht="13.8">
      <c r="A198" s="1035" t="s">
        <v>660</v>
      </c>
      <c r="B198" s="1218"/>
      <c r="C198" s="1218"/>
      <c r="D198" s="1218"/>
      <c r="E198" s="2040" t="s">
        <v>1058</v>
      </c>
      <c r="F198" s="2040"/>
      <c r="G198" s="2040"/>
      <c r="H198" s="2040"/>
      <c r="I198" s="2040"/>
      <c r="J198" s="2040"/>
      <c r="K198" s="2040"/>
      <c r="L198" s="2040"/>
      <c r="M198" s="2040"/>
      <c r="N198" s="2040"/>
      <c r="O198" s="2040"/>
      <c r="P198" s="2040"/>
      <c r="Q198" s="2040"/>
      <c r="R198" s="1219">
        <f>(AV198*KFC!$B$39+KFC!$C$39)*курс_уе</f>
        <v>17.7</v>
      </c>
      <c r="S198" s="1040">
        <f>(AW198*KFC!$B$39+KFC!$C$39)*курс_уе</f>
        <v>0</v>
      </c>
      <c r="AE198" s="1035" t="s">
        <v>660</v>
      </c>
      <c r="AF198" s="1218"/>
      <c r="AG198" s="1218"/>
      <c r="AH198" s="1218"/>
      <c r="AI198" s="2040" t="s">
        <v>1058</v>
      </c>
      <c r="AJ198" s="2040"/>
      <c r="AK198" s="2040"/>
      <c r="AL198" s="2040"/>
      <c r="AM198" s="2040"/>
      <c r="AN198" s="2040"/>
      <c r="AO198" s="2040"/>
      <c r="AP198" s="2040"/>
      <c r="AQ198" s="2040"/>
      <c r="AR198" s="2040"/>
      <c r="AS198" s="2040"/>
      <c r="AT198" s="2040"/>
      <c r="AU198" s="2040"/>
      <c r="AV198" s="1219">
        <v>17.7</v>
      </c>
      <c r="AW198" s="1040"/>
    </row>
    <row r="199" spans="1:49" ht="13.8">
      <c r="A199" s="1526" t="s">
        <v>660</v>
      </c>
      <c r="B199" s="1252"/>
      <c r="C199" s="1252"/>
      <c r="D199" s="1253"/>
      <c r="E199" s="2027" t="s">
        <v>458</v>
      </c>
      <c r="F199" s="2028"/>
      <c r="G199" s="2028"/>
      <c r="H199" s="2028"/>
      <c r="I199" s="2028"/>
      <c r="J199" s="2028"/>
      <c r="K199" s="2028"/>
      <c r="L199" s="2028"/>
      <c r="M199" s="2028"/>
      <c r="N199" s="2028"/>
      <c r="O199" s="2028"/>
      <c r="P199" s="2028"/>
      <c r="Q199" s="2029"/>
      <c r="R199" s="1236">
        <f>(AV199*KFC!$B$39+KFC!$C$39)*курс_уе</f>
        <v>31.6</v>
      </c>
      <c r="S199" s="1154">
        <f>(AW199*KFC!$B$39+KFC!$C$39)*курс_уе</f>
        <v>0</v>
      </c>
      <c r="AE199" s="1526" t="s">
        <v>660</v>
      </c>
      <c r="AF199" s="1252"/>
      <c r="AG199" s="1252"/>
      <c r="AH199" s="1253"/>
      <c r="AI199" s="2027" t="s">
        <v>458</v>
      </c>
      <c r="AJ199" s="2028"/>
      <c r="AK199" s="2028"/>
      <c r="AL199" s="2028"/>
      <c r="AM199" s="2028"/>
      <c r="AN199" s="2028"/>
      <c r="AO199" s="2028"/>
      <c r="AP199" s="2028"/>
      <c r="AQ199" s="2028"/>
      <c r="AR199" s="2028"/>
      <c r="AS199" s="2028"/>
      <c r="AT199" s="2028"/>
      <c r="AU199" s="2029"/>
      <c r="AV199" s="1236">
        <v>31.6</v>
      </c>
      <c r="AW199" s="1154"/>
    </row>
    <row r="200" spans="1:49">
      <c r="A200" s="1663"/>
      <c r="B200" s="1255"/>
      <c r="C200" s="1255"/>
      <c r="D200" s="1256"/>
      <c r="E200" s="2041" t="s">
        <v>870</v>
      </c>
      <c r="F200" s="2031"/>
      <c r="G200" s="2031"/>
      <c r="H200" s="2031"/>
      <c r="I200" s="2031"/>
      <c r="J200" s="2031"/>
      <c r="K200" s="2031"/>
      <c r="L200" s="2031"/>
      <c r="M200" s="2031"/>
      <c r="N200" s="2031"/>
      <c r="O200" s="2031"/>
      <c r="P200" s="2031"/>
      <c r="Q200" s="2032"/>
      <c r="R200" s="1238">
        <f>(AV200*KFC!$B$39+KFC!$C$39)*курс_уе</f>
        <v>0</v>
      </c>
      <c r="S200" s="1517">
        <f>(AW200*KFC!$B$39+KFC!$C$39)*курс_уе</f>
        <v>0</v>
      </c>
      <c r="AE200" s="1663"/>
      <c r="AF200" s="1255"/>
      <c r="AG200" s="1255"/>
      <c r="AH200" s="1256"/>
      <c r="AI200" s="2041" t="s">
        <v>870</v>
      </c>
      <c r="AJ200" s="2031"/>
      <c r="AK200" s="2031"/>
      <c r="AL200" s="2031"/>
      <c r="AM200" s="2031"/>
      <c r="AN200" s="2031"/>
      <c r="AO200" s="2031"/>
      <c r="AP200" s="2031"/>
      <c r="AQ200" s="2031"/>
      <c r="AR200" s="2031"/>
      <c r="AS200" s="2031"/>
      <c r="AT200" s="2031"/>
      <c r="AU200" s="2032"/>
      <c r="AV200" s="1238"/>
      <c r="AW200" s="1517"/>
    </row>
    <row r="201" spans="1:49" ht="13.8">
      <c r="A201" s="1526" t="s">
        <v>660</v>
      </c>
      <c r="B201" s="1252"/>
      <c r="C201" s="1252"/>
      <c r="D201" s="1253"/>
      <c r="E201" s="2027" t="s">
        <v>459</v>
      </c>
      <c r="F201" s="2028"/>
      <c r="G201" s="2028"/>
      <c r="H201" s="2028"/>
      <c r="I201" s="2028"/>
      <c r="J201" s="2028"/>
      <c r="K201" s="2028"/>
      <c r="L201" s="2028"/>
      <c r="M201" s="2028"/>
      <c r="N201" s="2028"/>
      <c r="O201" s="2028"/>
      <c r="P201" s="2028"/>
      <c r="Q201" s="2029"/>
      <c r="R201" s="2042">
        <f>(AV201*KFC!$B$39+KFC!$C$39)*курс_уе</f>
        <v>40.5</v>
      </c>
      <c r="S201" s="2043">
        <f>(AW201*KFC!$B$39+KFC!$C$39)*курс_уе</f>
        <v>0</v>
      </c>
      <c r="AE201" s="1526" t="s">
        <v>660</v>
      </c>
      <c r="AF201" s="1252"/>
      <c r="AG201" s="1252"/>
      <c r="AH201" s="1253"/>
      <c r="AI201" s="2027" t="s">
        <v>459</v>
      </c>
      <c r="AJ201" s="2028"/>
      <c r="AK201" s="2028"/>
      <c r="AL201" s="2028"/>
      <c r="AM201" s="2028"/>
      <c r="AN201" s="2028"/>
      <c r="AO201" s="2028"/>
      <c r="AP201" s="2028"/>
      <c r="AQ201" s="2028"/>
      <c r="AR201" s="2028"/>
      <c r="AS201" s="2028"/>
      <c r="AT201" s="2028"/>
      <c r="AU201" s="2029"/>
      <c r="AV201" s="2042">
        <v>40.5</v>
      </c>
      <c r="AW201" s="2043"/>
    </row>
    <row r="202" spans="1:49">
      <c r="A202" s="1663"/>
      <c r="B202" s="1255"/>
      <c r="C202" s="1255"/>
      <c r="D202" s="1256"/>
      <c r="E202" s="2030" t="s">
        <v>864</v>
      </c>
      <c r="F202" s="2031"/>
      <c r="G202" s="2031"/>
      <c r="H202" s="2031"/>
      <c r="I202" s="2031"/>
      <c r="J202" s="2031"/>
      <c r="K202" s="2031"/>
      <c r="L202" s="2031"/>
      <c r="M202" s="2031"/>
      <c r="N202" s="2031"/>
      <c r="O202" s="2031"/>
      <c r="P202" s="2031"/>
      <c r="Q202" s="2032"/>
      <c r="R202" s="1238">
        <f>(AV202*KFC!$B$39+KFC!$C$39)*курс_уе</f>
        <v>0</v>
      </c>
      <c r="S202" s="1517">
        <f>(AW202*KFC!$B$39+KFC!$C$39)*курс_уе</f>
        <v>0</v>
      </c>
      <c r="AE202" s="1663"/>
      <c r="AF202" s="1255"/>
      <c r="AG202" s="1255"/>
      <c r="AH202" s="1256"/>
      <c r="AI202" s="2030" t="s">
        <v>864</v>
      </c>
      <c r="AJ202" s="2031"/>
      <c r="AK202" s="2031"/>
      <c r="AL202" s="2031"/>
      <c r="AM202" s="2031"/>
      <c r="AN202" s="2031"/>
      <c r="AO202" s="2031"/>
      <c r="AP202" s="2031"/>
      <c r="AQ202" s="2031"/>
      <c r="AR202" s="2031"/>
      <c r="AS202" s="2031"/>
      <c r="AT202" s="2031"/>
      <c r="AU202" s="2032"/>
      <c r="AV202" s="1238"/>
      <c r="AW202" s="1517"/>
    </row>
    <row r="203" spans="1:49" ht="13.8">
      <c r="A203" s="1526" t="s">
        <v>660</v>
      </c>
      <c r="B203" s="1252"/>
      <c r="C203" s="1252"/>
      <c r="D203" s="1253"/>
      <c r="E203" s="2027" t="s">
        <v>460</v>
      </c>
      <c r="F203" s="2028"/>
      <c r="G203" s="2028"/>
      <c r="H203" s="2028"/>
      <c r="I203" s="2028"/>
      <c r="J203" s="2028"/>
      <c r="K203" s="2028"/>
      <c r="L203" s="2028"/>
      <c r="M203" s="2028"/>
      <c r="N203" s="2028"/>
      <c r="O203" s="2028"/>
      <c r="P203" s="2028"/>
      <c r="Q203" s="2029"/>
      <c r="R203" s="1236">
        <f>(AV203*KFC!$B$39+KFC!$C$39)*курс_уе</f>
        <v>31.6</v>
      </c>
      <c r="S203" s="1154">
        <f>(AW203*KFC!$B$39+KFC!$C$39)*курс_уе</f>
        <v>0</v>
      </c>
      <c r="AE203" s="1526" t="s">
        <v>660</v>
      </c>
      <c r="AF203" s="1252"/>
      <c r="AG203" s="1252"/>
      <c r="AH203" s="1253"/>
      <c r="AI203" s="2027" t="s">
        <v>460</v>
      </c>
      <c r="AJ203" s="2028"/>
      <c r="AK203" s="2028"/>
      <c r="AL203" s="2028"/>
      <c r="AM203" s="2028"/>
      <c r="AN203" s="2028"/>
      <c r="AO203" s="2028"/>
      <c r="AP203" s="2028"/>
      <c r="AQ203" s="2028"/>
      <c r="AR203" s="2028"/>
      <c r="AS203" s="2028"/>
      <c r="AT203" s="2028"/>
      <c r="AU203" s="2029"/>
      <c r="AV203" s="1236">
        <v>31.6</v>
      </c>
      <c r="AW203" s="1154"/>
    </row>
    <row r="204" spans="1:49">
      <c r="A204" s="1663"/>
      <c r="B204" s="1255"/>
      <c r="C204" s="1255"/>
      <c r="D204" s="1256"/>
      <c r="E204" s="2030" t="s">
        <v>867</v>
      </c>
      <c r="F204" s="2031"/>
      <c r="G204" s="2031"/>
      <c r="H204" s="2031"/>
      <c r="I204" s="2031"/>
      <c r="J204" s="2031"/>
      <c r="K204" s="2031"/>
      <c r="L204" s="2031"/>
      <c r="M204" s="2031"/>
      <c r="N204" s="2031"/>
      <c r="O204" s="2031"/>
      <c r="P204" s="2031"/>
      <c r="Q204" s="2032"/>
      <c r="R204" s="1238">
        <f>(AV204*KFC!$B$39+KFC!$C$39)*курс_уе</f>
        <v>0</v>
      </c>
      <c r="S204" s="1517">
        <f>(AW204*KFC!$B$39+KFC!$C$39)*курс_уе</f>
        <v>0</v>
      </c>
      <c r="AE204" s="1663"/>
      <c r="AF204" s="1255"/>
      <c r="AG204" s="1255"/>
      <c r="AH204" s="1256"/>
      <c r="AI204" s="2030" t="s">
        <v>867</v>
      </c>
      <c r="AJ204" s="2031"/>
      <c r="AK204" s="2031"/>
      <c r="AL204" s="2031"/>
      <c r="AM204" s="2031"/>
      <c r="AN204" s="2031"/>
      <c r="AO204" s="2031"/>
      <c r="AP204" s="2031"/>
      <c r="AQ204" s="2031"/>
      <c r="AR204" s="2031"/>
      <c r="AS204" s="2031"/>
      <c r="AT204" s="2031"/>
      <c r="AU204" s="2032"/>
      <c r="AV204" s="1238"/>
      <c r="AW204" s="1517"/>
    </row>
    <row r="205" spans="1:49" ht="13.8">
      <c r="A205" s="1526" t="s">
        <v>660</v>
      </c>
      <c r="B205" s="1252"/>
      <c r="C205" s="1252"/>
      <c r="D205" s="1253"/>
      <c r="E205" s="2027" t="s">
        <v>485</v>
      </c>
      <c r="F205" s="2028"/>
      <c r="G205" s="2028"/>
      <c r="H205" s="2028"/>
      <c r="I205" s="2028"/>
      <c r="J205" s="2028"/>
      <c r="K205" s="2028"/>
      <c r="L205" s="2028"/>
      <c r="M205" s="2028"/>
      <c r="N205" s="2028"/>
      <c r="O205" s="2028"/>
      <c r="P205" s="2028"/>
      <c r="Q205" s="2029"/>
      <c r="R205" s="1236">
        <f>(AV205*KFC!$B$39+KFC!$C$39)*курс_уе</f>
        <v>40.5</v>
      </c>
      <c r="S205" s="1154">
        <f>(AW205*KFC!$B$39+KFC!$C$39)*курс_уе</f>
        <v>0</v>
      </c>
      <c r="AE205" s="1526" t="s">
        <v>660</v>
      </c>
      <c r="AF205" s="1252"/>
      <c r="AG205" s="1252"/>
      <c r="AH205" s="1253"/>
      <c r="AI205" s="2027" t="s">
        <v>485</v>
      </c>
      <c r="AJ205" s="2028"/>
      <c r="AK205" s="2028"/>
      <c r="AL205" s="2028"/>
      <c r="AM205" s="2028"/>
      <c r="AN205" s="2028"/>
      <c r="AO205" s="2028"/>
      <c r="AP205" s="2028"/>
      <c r="AQ205" s="2028"/>
      <c r="AR205" s="2028"/>
      <c r="AS205" s="2028"/>
      <c r="AT205" s="2028"/>
      <c r="AU205" s="2029"/>
      <c r="AV205" s="1236">
        <v>40.5</v>
      </c>
      <c r="AW205" s="1154"/>
    </row>
    <row r="206" spans="1:49" ht="13.8" thickBot="1">
      <c r="A206" s="1522"/>
      <c r="B206" s="2033"/>
      <c r="C206" s="2033"/>
      <c r="D206" s="2034"/>
      <c r="E206" s="2037" t="s">
        <v>868</v>
      </c>
      <c r="F206" s="2038"/>
      <c r="G206" s="2038"/>
      <c r="H206" s="2038"/>
      <c r="I206" s="2038"/>
      <c r="J206" s="2038"/>
      <c r="K206" s="2038"/>
      <c r="L206" s="2038"/>
      <c r="M206" s="2038"/>
      <c r="N206" s="2038"/>
      <c r="O206" s="2038"/>
      <c r="P206" s="2038"/>
      <c r="Q206" s="2039"/>
      <c r="R206" s="2035">
        <f>(AV206*KFC!$B$39+KFC!$C$39)*курс_уе</f>
        <v>0</v>
      </c>
      <c r="S206" s="2036">
        <f>(AW206*KFC!$B$39+KFC!$C$39)*курс_уе</f>
        <v>0</v>
      </c>
      <c r="AE206" s="1522"/>
      <c r="AF206" s="2033"/>
      <c r="AG206" s="2033"/>
      <c r="AH206" s="2034"/>
      <c r="AI206" s="2037" t="s">
        <v>868</v>
      </c>
      <c r="AJ206" s="2038"/>
      <c r="AK206" s="2038"/>
      <c r="AL206" s="2038"/>
      <c r="AM206" s="2038"/>
      <c r="AN206" s="2038"/>
      <c r="AO206" s="2038"/>
      <c r="AP206" s="2038"/>
      <c r="AQ206" s="2038"/>
      <c r="AR206" s="2038"/>
      <c r="AS206" s="2038"/>
      <c r="AT206" s="2038"/>
      <c r="AU206" s="2039"/>
      <c r="AV206" s="2035"/>
      <c r="AW206" s="2036"/>
    </row>
    <row r="207" spans="1:49" ht="30.6" customHeight="1">
      <c r="A207" s="1035" t="s">
        <v>895</v>
      </c>
      <c r="B207" s="1218"/>
      <c r="C207" s="1218"/>
      <c r="D207" s="1218"/>
      <c r="E207" s="2021" t="s">
        <v>896</v>
      </c>
      <c r="F207" s="2021"/>
      <c r="G207" s="2021"/>
      <c r="H207" s="2021"/>
      <c r="I207" s="2021"/>
      <c r="J207" s="2021"/>
      <c r="K207" s="2021"/>
      <c r="L207" s="2021"/>
      <c r="M207" s="2021"/>
      <c r="N207" s="2021"/>
      <c r="O207" s="2021"/>
      <c r="P207" s="2021"/>
      <c r="Q207" s="2021"/>
      <c r="R207" s="1293">
        <f>(AV207*KFC!$B$39+KFC!$C$39)*курс_уе</f>
        <v>31.65</v>
      </c>
      <c r="S207" s="1294">
        <f>(AW207*KFC!$B$39+KFC!$C$39)*курс_уе</f>
        <v>0</v>
      </c>
      <c r="AE207" s="1035" t="s">
        <v>895</v>
      </c>
      <c r="AF207" s="1218"/>
      <c r="AG207" s="1218"/>
      <c r="AH207" s="1218"/>
      <c r="AI207" s="2021" t="s">
        <v>896</v>
      </c>
      <c r="AJ207" s="2021"/>
      <c r="AK207" s="2021"/>
      <c r="AL207" s="2021"/>
      <c r="AM207" s="2021"/>
      <c r="AN207" s="2021"/>
      <c r="AO207" s="2021"/>
      <c r="AP207" s="2021"/>
      <c r="AQ207" s="2021"/>
      <c r="AR207" s="2021"/>
      <c r="AS207" s="2021"/>
      <c r="AT207" s="2021"/>
      <c r="AU207" s="2021"/>
      <c r="AV207" s="1293">
        <v>31.65</v>
      </c>
      <c r="AW207" s="1294"/>
    </row>
    <row r="208" spans="1:49" ht="30.6" customHeight="1">
      <c r="A208" s="1035" t="s">
        <v>895</v>
      </c>
      <c r="B208" s="1218"/>
      <c r="C208" s="1218"/>
      <c r="D208" s="1218"/>
      <c r="E208" s="2021" t="s">
        <v>897</v>
      </c>
      <c r="F208" s="2021"/>
      <c r="G208" s="2021"/>
      <c r="H208" s="2021"/>
      <c r="I208" s="2021"/>
      <c r="J208" s="2021"/>
      <c r="K208" s="2021"/>
      <c r="L208" s="2021"/>
      <c r="M208" s="2021"/>
      <c r="N208" s="2021"/>
      <c r="O208" s="2021"/>
      <c r="P208" s="2021"/>
      <c r="Q208" s="2021"/>
      <c r="R208" s="1293">
        <f>(AV208*KFC!$B$39+KFC!$C$39)*курс_уе</f>
        <v>37.979999999999997</v>
      </c>
      <c r="S208" s="1294">
        <f>(AW208*KFC!$B$39+KFC!$C$39)*курс_уе</f>
        <v>0</v>
      </c>
      <c r="AE208" s="1035" t="s">
        <v>895</v>
      </c>
      <c r="AF208" s="1218"/>
      <c r="AG208" s="1218"/>
      <c r="AH208" s="1218"/>
      <c r="AI208" s="2021" t="s">
        <v>897</v>
      </c>
      <c r="AJ208" s="2021"/>
      <c r="AK208" s="2021"/>
      <c r="AL208" s="2021"/>
      <c r="AM208" s="2021"/>
      <c r="AN208" s="2021"/>
      <c r="AO208" s="2021"/>
      <c r="AP208" s="2021"/>
      <c r="AQ208" s="2021"/>
      <c r="AR208" s="2021"/>
      <c r="AS208" s="2021"/>
      <c r="AT208" s="2021"/>
      <c r="AU208" s="2021"/>
      <c r="AV208" s="1293">
        <v>37.979999999999997</v>
      </c>
      <c r="AW208" s="1294"/>
    </row>
    <row r="209" spans="1:54" ht="30.6" customHeight="1">
      <c r="A209" s="1035" t="s">
        <v>895</v>
      </c>
      <c r="B209" s="1218"/>
      <c r="C209" s="1218"/>
      <c r="D209" s="1218"/>
      <c r="E209" s="2021" t="s">
        <v>898</v>
      </c>
      <c r="F209" s="2021"/>
      <c r="G209" s="2021"/>
      <c r="H209" s="2021"/>
      <c r="I209" s="2021"/>
      <c r="J209" s="2021"/>
      <c r="K209" s="2021"/>
      <c r="L209" s="2021"/>
      <c r="M209" s="2021"/>
      <c r="N209" s="2021"/>
      <c r="O209" s="2021"/>
      <c r="P209" s="2021"/>
      <c r="Q209" s="2021"/>
      <c r="R209" s="1293">
        <f>(AV209*KFC!$B$39+KFC!$C$39)*курс_уе</f>
        <v>44.31</v>
      </c>
      <c r="S209" s="1294">
        <f>(AW209*KFC!$B$39+KFC!$C$39)*курс_уе</f>
        <v>0</v>
      </c>
      <c r="AE209" s="1035" t="s">
        <v>895</v>
      </c>
      <c r="AF209" s="1218"/>
      <c r="AG209" s="1218"/>
      <c r="AH209" s="1218"/>
      <c r="AI209" s="2021" t="s">
        <v>898</v>
      </c>
      <c r="AJ209" s="2021"/>
      <c r="AK209" s="2021"/>
      <c r="AL209" s="2021"/>
      <c r="AM209" s="2021"/>
      <c r="AN209" s="2021"/>
      <c r="AO209" s="2021"/>
      <c r="AP209" s="2021"/>
      <c r="AQ209" s="2021"/>
      <c r="AR209" s="2021"/>
      <c r="AS209" s="2021"/>
      <c r="AT209" s="2021"/>
      <c r="AU209" s="2021"/>
      <c r="AV209" s="1293">
        <v>44.31</v>
      </c>
      <c r="AW209" s="1294"/>
    </row>
    <row r="210" spans="1:54" ht="30.6" customHeight="1">
      <c r="A210" s="1035" t="s">
        <v>895</v>
      </c>
      <c r="B210" s="1218"/>
      <c r="C210" s="1218"/>
      <c r="D210" s="1218"/>
      <c r="E210" s="2021" t="s">
        <v>899</v>
      </c>
      <c r="F210" s="2021"/>
      <c r="G210" s="2021"/>
      <c r="H210" s="2021"/>
      <c r="I210" s="2021"/>
      <c r="J210" s="2021"/>
      <c r="K210" s="2021"/>
      <c r="L210" s="2021"/>
      <c r="M210" s="2021"/>
      <c r="N210" s="2021"/>
      <c r="O210" s="2021"/>
      <c r="P210" s="2021"/>
      <c r="Q210" s="2021"/>
      <c r="R210" s="1293">
        <f>(AV210*KFC!$B$39+KFC!$C$39)*курс_уе</f>
        <v>31.65</v>
      </c>
      <c r="S210" s="1294">
        <f>(AW210*KFC!$B$39+KFC!$C$39)*курс_уе</f>
        <v>0</v>
      </c>
      <c r="AE210" s="1035" t="s">
        <v>895</v>
      </c>
      <c r="AF210" s="1218"/>
      <c r="AG210" s="1218"/>
      <c r="AH210" s="1218"/>
      <c r="AI210" s="2021" t="s">
        <v>899</v>
      </c>
      <c r="AJ210" s="2021"/>
      <c r="AK210" s="2021"/>
      <c r="AL210" s="2021"/>
      <c r="AM210" s="2021"/>
      <c r="AN210" s="2021"/>
      <c r="AO210" s="2021"/>
      <c r="AP210" s="2021"/>
      <c r="AQ210" s="2021"/>
      <c r="AR210" s="2021"/>
      <c r="AS210" s="2021"/>
      <c r="AT210" s="2021"/>
      <c r="AU210" s="2021"/>
      <c r="AV210" s="1293">
        <v>31.65</v>
      </c>
      <c r="AW210" s="1294"/>
    </row>
    <row r="211" spans="1:54" ht="30.6" customHeight="1">
      <c r="A211" s="1035" t="s">
        <v>895</v>
      </c>
      <c r="B211" s="1218"/>
      <c r="C211" s="1218"/>
      <c r="D211" s="1218"/>
      <c r="E211" s="2021" t="s">
        <v>900</v>
      </c>
      <c r="F211" s="2021"/>
      <c r="G211" s="2021"/>
      <c r="H211" s="2021"/>
      <c r="I211" s="2021"/>
      <c r="J211" s="2021"/>
      <c r="K211" s="2021"/>
      <c r="L211" s="2021"/>
      <c r="M211" s="2021"/>
      <c r="N211" s="2021"/>
      <c r="O211" s="2021"/>
      <c r="P211" s="2021"/>
      <c r="Q211" s="2021"/>
      <c r="R211" s="1293">
        <f>(AV211*KFC!$B$39+KFC!$C$39)*курс_уе</f>
        <v>37.979999999999997</v>
      </c>
      <c r="S211" s="1294">
        <f>(AW211*KFC!$B$39+KFC!$C$39)*курс_уе</f>
        <v>0</v>
      </c>
      <c r="AE211" s="1035" t="s">
        <v>895</v>
      </c>
      <c r="AF211" s="1218"/>
      <c r="AG211" s="1218"/>
      <c r="AH211" s="1218"/>
      <c r="AI211" s="2021" t="s">
        <v>900</v>
      </c>
      <c r="AJ211" s="2021"/>
      <c r="AK211" s="2021"/>
      <c r="AL211" s="2021"/>
      <c r="AM211" s="2021"/>
      <c r="AN211" s="2021"/>
      <c r="AO211" s="2021"/>
      <c r="AP211" s="2021"/>
      <c r="AQ211" s="2021"/>
      <c r="AR211" s="2021"/>
      <c r="AS211" s="2021"/>
      <c r="AT211" s="2021"/>
      <c r="AU211" s="2021"/>
      <c r="AV211" s="1293">
        <v>37.979999999999997</v>
      </c>
      <c r="AW211" s="1294"/>
    </row>
    <row r="212" spans="1:54" ht="30.6" customHeight="1">
      <c r="A212" s="1035" t="s">
        <v>895</v>
      </c>
      <c r="B212" s="1218"/>
      <c r="C212" s="1218"/>
      <c r="D212" s="1218"/>
      <c r="E212" s="2021" t="s">
        <v>901</v>
      </c>
      <c r="F212" s="2021"/>
      <c r="G212" s="2021"/>
      <c r="H212" s="2021"/>
      <c r="I212" s="2021"/>
      <c r="J212" s="2021"/>
      <c r="K212" s="2021"/>
      <c r="L212" s="2021"/>
      <c r="M212" s="2021"/>
      <c r="N212" s="2021"/>
      <c r="O212" s="2021"/>
      <c r="P212" s="2021"/>
      <c r="Q212" s="2021"/>
      <c r="R212" s="1293">
        <f>(AV212*KFC!$B$39+KFC!$C$39)*курс_уе</f>
        <v>75.95</v>
      </c>
      <c r="S212" s="1294">
        <f>(AW212*KFC!$B$39+KFC!$C$39)*курс_уе</f>
        <v>0</v>
      </c>
      <c r="AE212" s="1035" t="s">
        <v>895</v>
      </c>
      <c r="AF212" s="1218"/>
      <c r="AG212" s="1218"/>
      <c r="AH212" s="1218"/>
      <c r="AI212" s="2021" t="s">
        <v>901</v>
      </c>
      <c r="AJ212" s="2021"/>
      <c r="AK212" s="2021"/>
      <c r="AL212" s="2021"/>
      <c r="AM212" s="2021"/>
      <c r="AN212" s="2021"/>
      <c r="AO212" s="2021"/>
      <c r="AP212" s="2021"/>
      <c r="AQ212" s="2021"/>
      <c r="AR212" s="2021"/>
      <c r="AS212" s="2021"/>
      <c r="AT212" s="2021"/>
      <c r="AU212" s="2021"/>
      <c r="AV212" s="1293">
        <v>75.95</v>
      </c>
      <c r="AW212" s="1294"/>
    </row>
    <row r="213" spans="1:54" ht="30.6" customHeight="1">
      <c r="A213" s="1035" t="s">
        <v>895</v>
      </c>
      <c r="B213" s="1218"/>
      <c r="C213" s="1218"/>
      <c r="D213" s="1218"/>
      <c r="E213" s="2021" t="s">
        <v>1054</v>
      </c>
      <c r="F213" s="2021"/>
      <c r="G213" s="2021"/>
      <c r="H213" s="2021"/>
      <c r="I213" s="2021"/>
      <c r="J213" s="2021"/>
      <c r="K213" s="2021"/>
      <c r="L213" s="2021"/>
      <c r="M213" s="2021"/>
      <c r="N213" s="2021"/>
      <c r="O213" s="2021"/>
      <c r="P213" s="2021"/>
      <c r="Q213" s="2021"/>
      <c r="R213" s="1293">
        <f>(AV213*KFC!$B$39+KFC!$C$39)*курс_уе</f>
        <v>76</v>
      </c>
      <c r="S213" s="1294">
        <f>(AW213*KFC!$B$39+KFC!$C$39)*курс_уе</f>
        <v>0</v>
      </c>
      <c r="AE213" s="1035" t="s">
        <v>895</v>
      </c>
      <c r="AF213" s="1218"/>
      <c r="AG213" s="1218"/>
      <c r="AH213" s="1218"/>
      <c r="AI213" s="2021" t="s">
        <v>1054</v>
      </c>
      <c r="AJ213" s="2021"/>
      <c r="AK213" s="2021"/>
      <c r="AL213" s="2021"/>
      <c r="AM213" s="2021"/>
      <c r="AN213" s="2021"/>
      <c r="AO213" s="2021"/>
      <c r="AP213" s="2021"/>
      <c r="AQ213" s="2021"/>
      <c r="AR213" s="2021"/>
      <c r="AS213" s="2021"/>
      <c r="AT213" s="2021"/>
      <c r="AU213" s="2021"/>
      <c r="AV213" s="1293">
        <v>76</v>
      </c>
      <c r="AW213" s="1294"/>
    </row>
    <row r="214" spans="1:54" ht="30.6" customHeight="1">
      <c r="A214" s="1035" t="s">
        <v>895</v>
      </c>
      <c r="B214" s="1218"/>
      <c r="C214" s="1218"/>
      <c r="D214" s="1218"/>
      <c r="E214" s="2021" t="s">
        <v>902</v>
      </c>
      <c r="F214" s="2021"/>
      <c r="G214" s="2021"/>
      <c r="H214" s="2021"/>
      <c r="I214" s="2021"/>
      <c r="J214" s="2021"/>
      <c r="K214" s="2021"/>
      <c r="L214" s="2021"/>
      <c r="M214" s="2021"/>
      <c r="N214" s="2021"/>
      <c r="O214" s="2021"/>
      <c r="P214" s="2021"/>
      <c r="Q214" s="2021"/>
      <c r="R214" s="1293">
        <f>(AV214*KFC!$B$39+KFC!$C$39)*курс_уе</f>
        <v>25.32</v>
      </c>
      <c r="S214" s="1294">
        <f>(AW214*KFC!$B$39+KFC!$C$39)*курс_уе</f>
        <v>0</v>
      </c>
      <c r="AE214" s="1035" t="s">
        <v>895</v>
      </c>
      <c r="AF214" s="1218"/>
      <c r="AG214" s="1218"/>
      <c r="AH214" s="1218"/>
      <c r="AI214" s="2021" t="s">
        <v>902</v>
      </c>
      <c r="AJ214" s="2021"/>
      <c r="AK214" s="2021"/>
      <c r="AL214" s="2021"/>
      <c r="AM214" s="2021"/>
      <c r="AN214" s="2021"/>
      <c r="AO214" s="2021"/>
      <c r="AP214" s="2021"/>
      <c r="AQ214" s="2021"/>
      <c r="AR214" s="2021"/>
      <c r="AS214" s="2021"/>
      <c r="AT214" s="2021"/>
      <c r="AU214" s="2021"/>
      <c r="AV214" s="1293">
        <v>25.32</v>
      </c>
      <c r="AW214" s="1294"/>
    </row>
    <row r="216" spans="1:54">
      <c r="A216" s="70"/>
      <c r="B216" s="70"/>
      <c r="C216" s="70"/>
      <c r="D216" s="70"/>
      <c r="E216" s="70"/>
      <c r="F216" s="70"/>
      <c r="G216" s="70"/>
      <c r="H216" s="70"/>
      <c r="I216" s="70"/>
      <c r="J216" s="70"/>
      <c r="K216" s="70"/>
      <c r="L216" s="69"/>
      <c r="M216" s="69"/>
      <c r="N216" s="69"/>
      <c r="O216" s="69"/>
      <c r="P216" s="69"/>
      <c r="Q216" s="69"/>
      <c r="X216" s="69"/>
      <c r="AE216" s="70"/>
      <c r="AF216" s="70"/>
      <c r="AG216" s="70"/>
      <c r="AH216" s="70"/>
      <c r="AI216" s="70"/>
      <c r="AJ216" s="70"/>
      <c r="AK216" s="70"/>
      <c r="AL216" s="70"/>
      <c r="AM216" s="70"/>
      <c r="AN216" s="70"/>
      <c r="AO216" s="70"/>
      <c r="AP216" s="69"/>
      <c r="AQ216" s="69"/>
      <c r="AR216" s="69"/>
      <c r="AS216" s="69"/>
      <c r="AT216" s="69"/>
      <c r="AU216" s="69"/>
      <c r="BB216" s="69"/>
    </row>
    <row r="217" spans="1:54">
      <c r="A217" s="70"/>
      <c r="B217" s="70"/>
      <c r="C217" s="70"/>
      <c r="D217" s="70"/>
      <c r="E217" s="70"/>
      <c r="F217" s="70"/>
      <c r="G217" s="70"/>
      <c r="H217" s="70"/>
      <c r="I217" s="70"/>
      <c r="J217" s="70"/>
      <c r="K217" s="70"/>
      <c r="L217" s="69"/>
      <c r="M217" s="69"/>
      <c r="N217" s="69"/>
      <c r="O217" s="69"/>
      <c r="P217" s="69"/>
      <c r="Q217" s="69"/>
      <c r="X217" s="69"/>
      <c r="AE217" s="70"/>
      <c r="AF217" s="70"/>
      <c r="AG217" s="70"/>
      <c r="AH217" s="70"/>
      <c r="AI217" s="70"/>
      <c r="AJ217" s="70"/>
      <c r="AK217" s="70"/>
      <c r="AL217" s="70"/>
      <c r="AM217" s="70"/>
      <c r="AN217" s="70"/>
      <c r="AO217" s="70"/>
      <c r="AP217" s="69"/>
      <c r="AQ217" s="69"/>
      <c r="AR217" s="69"/>
      <c r="AS217" s="69"/>
      <c r="AT217" s="69"/>
      <c r="AU217" s="69"/>
      <c r="BB217" s="69"/>
    </row>
    <row r="219" spans="1:54">
      <c r="A219" s="719"/>
      <c r="B219" s="719"/>
      <c r="C219" s="719"/>
      <c r="D219" s="719"/>
      <c r="E219" s="719"/>
      <c r="AE219" s="719"/>
      <c r="AF219" s="719"/>
      <c r="AG219" s="719"/>
      <c r="AH219" s="719"/>
      <c r="AI219" s="719"/>
    </row>
    <row r="220" spans="1:54">
      <c r="A220" s="719"/>
      <c r="B220" s="719"/>
      <c r="C220" s="719"/>
      <c r="D220" s="719"/>
      <c r="E220" s="719"/>
      <c r="AE220" s="719"/>
      <c r="AF220" s="719"/>
      <c r="AG220" s="719"/>
      <c r="AH220" s="719"/>
      <c r="AI220" s="719"/>
    </row>
    <row r="221" spans="1:54" ht="13.8">
      <c r="A221" s="870"/>
      <c r="B221" s="870"/>
      <c r="C221" s="870"/>
      <c r="D221" s="870"/>
      <c r="E221" s="719"/>
      <c r="AE221" s="870"/>
      <c r="AF221" s="870"/>
      <c r="AG221" s="870"/>
      <c r="AH221" s="870"/>
      <c r="AI221" s="719"/>
    </row>
    <row r="222" spans="1:54" ht="13.8">
      <c r="A222" s="870"/>
      <c r="B222" s="870"/>
      <c r="C222" s="870"/>
      <c r="D222" s="870"/>
      <c r="E222" s="719"/>
      <c r="AE222" s="870"/>
      <c r="AF222" s="870"/>
      <c r="AG222" s="870"/>
      <c r="AH222" s="870"/>
      <c r="AI222" s="719"/>
    </row>
    <row r="223" spans="1:54" ht="13.8">
      <c r="A223" s="870"/>
      <c r="B223" s="870"/>
      <c r="C223" s="870"/>
      <c r="D223" s="870"/>
      <c r="E223" s="719"/>
      <c r="AE223" s="870"/>
      <c r="AF223" s="870"/>
      <c r="AG223" s="870"/>
      <c r="AH223" s="870"/>
      <c r="AI223" s="719"/>
    </row>
    <row r="225" spans="1:49" ht="15.6">
      <c r="A225" s="1004" t="s">
        <v>1190</v>
      </c>
      <c r="B225" s="1004"/>
      <c r="C225" s="1004"/>
      <c r="D225" s="1004"/>
      <c r="E225" s="1004"/>
      <c r="F225" s="1004"/>
      <c r="G225" s="1004"/>
      <c r="H225" s="1004"/>
      <c r="I225" s="1004"/>
      <c r="J225" s="1004"/>
      <c r="K225" s="1004"/>
      <c r="L225" s="1004"/>
      <c r="M225" s="1004"/>
      <c r="N225" s="1004"/>
      <c r="O225" s="1004"/>
      <c r="P225" s="1004"/>
      <c r="Q225" s="1004"/>
      <c r="R225" s="1004"/>
      <c r="S225" s="1004"/>
      <c r="AE225" s="1004" t="s">
        <v>1190</v>
      </c>
      <c r="AF225" s="1004"/>
      <c r="AG225" s="1004"/>
      <c r="AH225" s="1004"/>
      <c r="AI225" s="1004"/>
      <c r="AJ225" s="1004"/>
      <c r="AK225" s="1004"/>
      <c r="AL225" s="1004"/>
      <c r="AM225" s="1004"/>
      <c r="AN225" s="1004"/>
      <c r="AO225" s="1004"/>
      <c r="AP225" s="1004"/>
      <c r="AQ225" s="1004"/>
      <c r="AR225" s="1004"/>
      <c r="AS225" s="1004"/>
      <c r="AT225" s="1004"/>
      <c r="AU225" s="1004"/>
      <c r="AV225" s="1004"/>
      <c r="AW225" s="1004"/>
    </row>
    <row r="226" spans="1:49" ht="13.8" thickBot="1"/>
    <row r="227" spans="1:49" ht="26.25" customHeight="1" thickBot="1">
      <c r="A227" s="1727" t="s">
        <v>87</v>
      </c>
      <c r="B227" s="1409"/>
      <c r="C227" s="1409"/>
      <c r="D227" s="1409"/>
      <c r="E227" s="1409"/>
      <c r="F227" s="1409"/>
      <c r="G227" s="1409"/>
      <c r="H227" s="1409"/>
      <c r="I227" s="1409"/>
      <c r="J227" s="1409"/>
      <c r="K227" s="1409"/>
      <c r="L227" s="1409"/>
      <c r="M227" s="1409"/>
      <c r="N227" s="1409"/>
      <c r="O227" s="1409"/>
      <c r="P227" s="1409"/>
      <c r="Q227" s="874" t="s">
        <v>1191</v>
      </c>
      <c r="R227" s="1297" t="s">
        <v>1194</v>
      </c>
      <c r="S227" s="1298"/>
      <c r="AE227" s="1727" t="s">
        <v>87</v>
      </c>
      <c r="AF227" s="1409"/>
      <c r="AG227" s="1409"/>
      <c r="AH227" s="1409"/>
      <c r="AI227" s="1409"/>
      <c r="AJ227" s="1409"/>
      <c r="AK227" s="1409"/>
      <c r="AL227" s="1409"/>
      <c r="AM227" s="1409"/>
      <c r="AN227" s="1409"/>
      <c r="AO227" s="1409"/>
      <c r="AP227" s="1409"/>
      <c r="AQ227" s="1409"/>
      <c r="AR227" s="1409"/>
      <c r="AS227" s="1409"/>
      <c r="AT227" s="1409"/>
      <c r="AU227" s="874" t="s">
        <v>1191</v>
      </c>
      <c r="AV227" s="1297" t="s">
        <v>1194</v>
      </c>
      <c r="AW227" s="1298"/>
    </row>
    <row r="228" spans="1:49" ht="15" customHeight="1" thickBot="1">
      <c r="A228" s="1702" t="s">
        <v>1180</v>
      </c>
      <c r="B228" s="1702"/>
      <c r="C228" s="1702"/>
      <c r="D228" s="1702"/>
      <c r="E228" s="1702"/>
      <c r="F228" s="1702"/>
      <c r="G228" s="1702"/>
      <c r="H228" s="1702"/>
      <c r="I228" s="1702"/>
      <c r="J228" s="1702"/>
      <c r="K228" s="1702"/>
      <c r="L228" s="1702"/>
      <c r="M228" s="1702"/>
      <c r="N228" s="1702"/>
      <c r="O228" s="1702"/>
      <c r="P228" s="1702"/>
      <c r="Q228" s="876" t="s">
        <v>526</v>
      </c>
      <c r="R228" s="1692">
        <f>(AV228*KFC!$B$39+KFC!$C$39)*курс_уе</f>
        <v>206.72</v>
      </c>
      <c r="S228" s="2022">
        <f>(AW228*KFC!$B$39+KFC!$C$39)*курс_уе</f>
        <v>0</v>
      </c>
      <c r="AE228" s="1702" t="s">
        <v>1180</v>
      </c>
      <c r="AF228" s="1702"/>
      <c r="AG228" s="1702"/>
      <c r="AH228" s="1702"/>
      <c r="AI228" s="1702"/>
      <c r="AJ228" s="1702"/>
      <c r="AK228" s="1702"/>
      <c r="AL228" s="1702"/>
      <c r="AM228" s="1702"/>
      <c r="AN228" s="1702"/>
      <c r="AO228" s="1702"/>
      <c r="AP228" s="1702"/>
      <c r="AQ228" s="1702"/>
      <c r="AR228" s="1702"/>
      <c r="AS228" s="1702"/>
      <c r="AT228" s="1702"/>
      <c r="AU228" s="876" t="s">
        <v>526</v>
      </c>
      <c r="AV228" s="1692">
        <v>206.72</v>
      </c>
      <c r="AW228" s="2022"/>
    </row>
    <row r="229" spans="1:49" ht="15" customHeight="1">
      <c r="A229" s="2023" t="s">
        <v>1181</v>
      </c>
      <c r="B229" s="2024"/>
      <c r="C229" s="2024"/>
      <c r="D229" s="2024"/>
      <c r="E229" s="2024"/>
      <c r="F229" s="2024"/>
      <c r="G229" s="2024"/>
      <c r="H229" s="2024"/>
      <c r="I229" s="2024"/>
      <c r="J229" s="2024"/>
      <c r="K229" s="2024"/>
      <c r="L229" s="2024"/>
      <c r="M229" s="2024"/>
      <c r="N229" s="2024"/>
      <c r="O229" s="2024"/>
      <c r="P229" s="2024"/>
      <c r="Q229" s="877" t="s">
        <v>526</v>
      </c>
      <c r="R229" s="2025">
        <f>(AV229*KFC!$B$39+KFC!$C$39)*курс_уе</f>
        <v>226.92</v>
      </c>
      <c r="S229" s="2026">
        <f>(AW229*KFC!$B$39+KFC!$C$39)*курс_уе</f>
        <v>0</v>
      </c>
      <c r="AE229" s="2023" t="s">
        <v>1181</v>
      </c>
      <c r="AF229" s="2024"/>
      <c r="AG229" s="2024"/>
      <c r="AH229" s="2024"/>
      <c r="AI229" s="2024"/>
      <c r="AJ229" s="2024"/>
      <c r="AK229" s="2024"/>
      <c r="AL229" s="2024"/>
      <c r="AM229" s="2024"/>
      <c r="AN229" s="2024"/>
      <c r="AO229" s="2024"/>
      <c r="AP229" s="2024"/>
      <c r="AQ229" s="2024"/>
      <c r="AR229" s="2024"/>
      <c r="AS229" s="2024"/>
      <c r="AT229" s="2024"/>
      <c r="AU229" s="877" t="s">
        <v>526</v>
      </c>
      <c r="AV229" s="2025">
        <v>226.92</v>
      </c>
      <c r="AW229" s="2026"/>
    </row>
    <row r="230" spans="1:49" ht="15" customHeight="1">
      <c r="A230" s="1686" t="s">
        <v>1182</v>
      </c>
      <c r="B230" s="1687"/>
      <c r="C230" s="1687"/>
      <c r="D230" s="1687"/>
      <c r="E230" s="1687"/>
      <c r="F230" s="1687"/>
      <c r="G230" s="1687"/>
      <c r="H230" s="1687"/>
      <c r="I230" s="1687"/>
      <c r="J230" s="1687"/>
      <c r="K230" s="1687"/>
      <c r="L230" s="1687"/>
      <c r="M230" s="1687"/>
      <c r="N230" s="1687"/>
      <c r="O230" s="1687"/>
      <c r="P230" s="1687"/>
      <c r="Q230" s="869" t="s">
        <v>526</v>
      </c>
      <c r="R230" s="1249">
        <f>(AV230*KFC!$B$39+KFC!$C$39)*курс_уе</f>
        <v>624.88</v>
      </c>
      <c r="S230" s="2018">
        <f>(AW230*KFC!$B$39+KFC!$C$39)*курс_уе</f>
        <v>0</v>
      </c>
      <c r="AE230" s="1686" t="s">
        <v>1182</v>
      </c>
      <c r="AF230" s="1687"/>
      <c r="AG230" s="1687"/>
      <c r="AH230" s="1687"/>
      <c r="AI230" s="1687"/>
      <c r="AJ230" s="1687"/>
      <c r="AK230" s="1687"/>
      <c r="AL230" s="1687"/>
      <c r="AM230" s="1687"/>
      <c r="AN230" s="1687"/>
      <c r="AO230" s="1687"/>
      <c r="AP230" s="1687"/>
      <c r="AQ230" s="1687"/>
      <c r="AR230" s="1687"/>
      <c r="AS230" s="1687"/>
      <c r="AT230" s="1687"/>
      <c r="AU230" s="869" t="s">
        <v>526</v>
      </c>
      <c r="AV230" s="1249">
        <v>624.88</v>
      </c>
      <c r="AW230" s="2018"/>
    </row>
    <row r="231" spans="1:49" ht="15" customHeight="1">
      <c r="A231" s="1686" t="s">
        <v>1183</v>
      </c>
      <c r="B231" s="1687"/>
      <c r="C231" s="1687"/>
      <c r="D231" s="1687"/>
      <c r="E231" s="1687"/>
      <c r="F231" s="1687"/>
      <c r="G231" s="1687"/>
      <c r="H231" s="1687"/>
      <c r="I231" s="1687"/>
      <c r="J231" s="1687"/>
      <c r="K231" s="1687"/>
      <c r="L231" s="1687"/>
      <c r="M231" s="1687"/>
      <c r="N231" s="1687"/>
      <c r="O231" s="1687"/>
      <c r="P231" s="1687"/>
      <c r="Q231" s="869" t="s">
        <v>526</v>
      </c>
      <c r="R231" s="1249">
        <f>(AV231*KFC!$B$39+KFC!$C$39)*курс_уе</f>
        <v>687.38</v>
      </c>
      <c r="S231" s="2018">
        <f>(AW231*KFC!$B$39+KFC!$C$39)*курс_уе</f>
        <v>0</v>
      </c>
      <c r="AE231" s="1686" t="s">
        <v>1183</v>
      </c>
      <c r="AF231" s="1687"/>
      <c r="AG231" s="1687"/>
      <c r="AH231" s="1687"/>
      <c r="AI231" s="1687"/>
      <c r="AJ231" s="1687"/>
      <c r="AK231" s="1687"/>
      <c r="AL231" s="1687"/>
      <c r="AM231" s="1687"/>
      <c r="AN231" s="1687"/>
      <c r="AO231" s="1687"/>
      <c r="AP231" s="1687"/>
      <c r="AQ231" s="1687"/>
      <c r="AR231" s="1687"/>
      <c r="AS231" s="1687"/>
      <c r="AT231" s="1687"/>
      <c r="AU231" s="869" t="s">
        <v>526</v>
      </c>
      <c r="AV231" s="1249">
        <v>687.38</v>
      </c>
      <c r="AW231" s="2018"/>
    </row>
    <row r="232" spans="1:49" ht="15" customHeight="1">
      <c r="A232" s="1686" t="s">
        <v>1184</v>
      </c>
      <c r="B232" s="1687"/>
      <c r="C232" s="1687"/>
      <c r="D232" s="1687"/>
      <c r="E232" s="1687"/>
      <c r="F232" s="1687"/>
      <c r="G232" s="1687"/>
      <c r="H232" s="1687"/>
      <c r="I232" s="1687"/>
      <c r="J232" s="1687"/>
      <c r="K232" s="1687"/>
      <c r="L232" s="1687"/>
      <c r="M232" s="1687"/>
      <c r="N232" s="1687"/>
      <c r="O232" s="1687"/>
      <c r="P232" s="1687"/>
      <c r="Q232" s="869" t="s">
        <v>1192</v>
      </c>
      <c r="R232" s="1249">
        <f>(AV232*KFC!$B$39+KFC!$C$39)*курс_уе</f>
        <v>97.05</v>
      </c>
      <c r="S232" s="2018">
        <f>(AW232*KFC!$B$39+KFC!$C$39)*курс_уе</f>
        <v>0</v>
      </c>
      <c r="AE232" s="1686" t="s">
        <v>1184</v>
      </c>
      <c r="AF232" s="1687"/>
      <c r="AG232" s="1687"/>
      <c r="AH232" s="1687"/>
      <c r="AI232" s="1687"/>
      <c r="AJ232" s="1687"/>
      <c r="AK232" s="1687"/>
      <c r="AL232" s="1687"/>
      <c r="AM232" s="1687"/>
      <c r="AN232" s="1687"/>
      <c r="AO232" s="1687"/>
      <c r="AP232" s="1687"/>
      <c r="AQ232" s="1687"/>
      <c r="AR232" s="1687"/>
      <c r="AS232" s="1687"/>
      <c r="AT232" s="1687"/>
      <c r="AU232" s="869" t="s">
        <v>1192</v>
      </c>
      <c r="AV232" s="1249">
        <v>97.05</v>
      </c>
      <c r="AW232" s="2018"/>
    </row>
    <row r="233" spans="1:49" ht="15" customHeight="1">
      <c r="A233" s="1686" t="s">
        <v>1185</v>
      </c>
      <c r="B233" s="1687"/>
      <c r="C233" s="1687"/>
      <c r="D233" s="1687"/>
      <c r="E233" s="1687"/>
      <c r="F233" s="1687"/>
      <c r="G233" s="1687"/>
      <c r="H233" s="1687"/>
      <c r="I233" s="1687"/>
      <c r="J233" s="1687"/>
      <c r="K233" s="1687"/>
      <c r="L233" s="1687"/>
      <c r="M233" s="1687"/>
      <c r="N233" s="1687"/>
      <c r="O233" s="1687"/>
      <c r="P233" s="1687"/>
      <c r="Q233" s="869" t="s">
        <v>1192</v>
      </c>
      <c r="R233" s="1249">
        <f>(AV233*KFC!$B$39+KFC!$C$39)*курс_уе</f>
        <v>125.45</v>
      </c>
      <c r="S233" s="2018">
        <f>(AW233*KFC!$B$39+KFC!$C$39)*курс_уе</f>
        <v>0</v>
      </c>
      <c r="AE233" s="1686" t="s">
        <v>1185</v>
      </c>
      <c r="AF233" s="1687"/>
      <c r="AG233" s="1687"/>
      <c r="AH233" s="1687"/>
      <c r="AI233" s="1687"/>
      <c r="AJ233" s="1687"/>
      <c r="AK233" s="1687"/>
      <c r="AL233" s="1687"/>
      <c r="AM233" s="1687"/>
      <c r="AN233" s="1687"/>
      <c r="AO233" s="1687"/>
      <c r="AP233" s="1687"/>
      <c r="AQ233" s="1687"/>
      <c r="AR233" s="1687"/>
      <c r="AS233" s="1687"/>
      <c r="AT233" s="1687"/>
      <c r="AU233" s="869" t="s">
        <v>1192</v>
      </c>
      <c r="AV233" s="1249">
        <v>125.45</v>
      </c>
      <c r="AW233" s="2018"/>
    </row>
    <row r="234" spans="1:49" ht="15" customHeight="1">
      <c r="A234" s="1686" t="s">
        <v>1186</v>
      </c>
      <c r="B234" s="1687"/>
      <c r="C234" s="1687"/>
      <c r="D234" s="1687"/>
      <c r="E234" s="1687"/>
      <c r="F234" s="1687"/>
      <c r="G234" s="1687"/>
      <c r="H234" s="1687"/>
      <c r="I234" s="1687"/>
      <c r="J234" s="1687"/>
      <c r="K234" s="1687"/>
      <c r="L234" s="1687"/>
      <c r="M234" s="1687"/>
      <c r="N234" s="1687"/>
      <c r="O234" s="1687"/>
      <c r="P234" s="1687"/>
      <c r="Q234" s="869" t="s">
        <v>1192</v>
      </c>
      <c r="R234" s="1249">
        <f>(AV234*KFC!$B$39+KFC!$C$39)*курс_уе</f>
        <v>222.81</v>
      </c>
      <c r="S234" s="2018">
        <f>(AW234*KFC!$B$39+KFC!$C$39)*курс_уе</f>
        <v>0</v>
      </c>
      <c r="AE234" s="1686" t="s">
        <v>1186</v>
      </c>
      <c r="AF234" s="1687"/>
      <c r="AG234" s="1687"/>
      <c r="AH234" s="1687"/>
      <c r="AI234" s="1687"/>
      <c r="AJ234" s="1687"/>
      <c r="AK234" s="1687"/>
      <c r="AL234" s="1687"/>
      <c r="AM234" s="1687"/>
      <c r="AN234" s="1687"/>
      <c r="AO234" s="1687"/>
      <c r="AP234" s="1687"/>
      <c r="AQ234" s="1687"/>
      <c r="AR234" s="1687"/>
      <c r="AS234" s="1687"/>
      <c r="AT234" s="1687"/>
      <c r="AU234" s="869" t="s">
        <v>1192</v>
      </c>
      <c r="AV234" s="1249">
        <v>222.81</v>
      </c>
      <c r="AW234" s="2018"/>
    </row>
    <row r="235" spans="1:49" ht="15" customHeight="1">
      <c r="A235" s="1686" t="s">
        <v>1187</v>
      </c>
      <c r="B235" s="1687"/>
      <c r="C235" s="1687"/>
      <c r="D235" s="1687"/>
      <c r="E235" s="1687"/>
      <c r="F235" s="1687"/>
      <c r="G235" s="1687"/>
      <c r="H235" s="1687"/>
      <c r="I235" s="1687"/>
      <c r="J235" s="1687"/>
      <c r="K235" s="1687"/>
      <c r="L235" s="1687"/>
      <c r="M235" s="1687"/>
      <c r="N235" s="1687"/>
      <c r="O235" s="1687"/>
      <c r="P235" s="1687"/>
      <c r="Q235" s="869" t="s">
        <v>526</v>
      </c>
      <c r="R235" s="1249">
        <f>(AV235*KFC!$B$39+KFC!$C$39)*курс_уе</f>
        <v>269.60000000000002</v>
      </c>
      <c r="S235" s="2018">
        <f>(AW235*KFC!$B$39+KFC!$C$39)*курс_уе</f>
        <v>0</v>
      </c>
      <c r="AE235" s="1686" t="s">
        <v>1187</v>
      </c>
      <c r="AF235" s="1687"/>
      <c r="AG235" s="1687"/>
      <c r="AH235" s="1687"/>
      <c r="AI235" s="1687"/>
      <c r="AJ235" s="1687"/>
      <c r="AK235" s="1687"/>
      <c r="AL235" s="1687"/>
      <c r="AM235" s="1687"/>
      <c r="AN235" s="1687"/>
      <c r="AO235" s="1687"/>
      <c r="AP235" s="1687"/>
      <c r="AQ235" s="1687"/>
      <c r="AR235" s="1687"/>
      <c r="AS235" s="1687"/>
      <c r="AT235" s="1687"/>
      <c r="AU235" s="869" t="s">
        <v>526</v>
      </c>
      <c r="AV235" s="1249">
        <v>269.60000000000002</v>
      </c>
      <c r="AW235" s="2018"/>
    </row>
    <row r="236" spans="1:49" ht="15" customHeight="1">
      <c r="A236" s="1686" t="s">
        <v>1193</v>
      </c>
      <c r="B236" s="1687"/>
      <c r="C236" s="1687"/>
      <c r="D236" s="1687"/>
      <c r="E236" s="1687"/>
      <c r="F236" s="1687"/>
      <c r="G236" s="1687"/>
      <c r="H236" s="1687"/>
      <c r="I236" s="1687"/>
      <c r="J236" s="1687"/>
      <c r="K236" s="1687"/>
      <c r="L236" s="1687"/>
      <c r="M236" s="1687"/>
      <c r="N236" s="1687"/>
      <c r="O236" s="1687"/>
      <c r="P236" s="1687"/>
      <c r="Q236" s="869" t="s">
        <v>526</v>
      </c>
      <c r="R236" s="1249">
        <f>(AV236*KFC!$B$39+KFC!$C$39)*курс_уе</f>
        <v>402.86</v>
      </c>
      <c r="S236" s="2018">
        <f>(AW236*KFC!$B$39+KFC!$C$39)*курс_уе</f>
        <v>0</v>
      </c>
      <c r="AE236" s="1686" t="s">
        <v>1193</v>
      </c>
      <c r="AF236" s="1687"/>
      <c r="AG236" s="1687"/>
      <c r="AH236" s="1687"/>
      <c r="AI236" s="1687"/>
      <c r="AJ236" s="1687"/>
      <c r="AK236" s="1687"/>
      <c r="AL236" s="1687"/>
      <c r="AM236" s="1687"/>
      <c r="AN236" s="1687"/>
      <c r="AO236" s="1687"/>
      <c r="AP236" s="1687"/>
      <c r="AQ236" s="1687"/>
      <c r="AR236" s="1687"/>
      <c r="AS236" s="1687"/>
      <c r="AT236" s="1687"/>
      <c r="AU236" s="869" t="s">
        <v>526</v>
      </c>
      <c r="AV236" s="1249">
        <v>402.86</v>
      </c>
      <c r="AW236" s="2018"/>
    </row>
    <row r="237" spans="1:49" ht="15" customHeight="1">
      <c r="A237" s="1686" t="s">
        <v>1188</v>
      </c>
      <c r="B237" s="1687"/>
      <c r="C237" s="1687"/>
      <c r="D237" s="1687"/>
      <c r="E237" s="1687"/>
      <c r="F237" s="1687"/>
      <c r="G237" s="1687"/>
      <c r="H237" s="1687"/>
      <c r="I237" s="1687"/>
      <c r="J237" s="1687"/>
      <c r="K237" s="1687"/>
      <c r="L237" s="1687"/>
      <c r="M237" s="1687"/>
      <c r="N237" s="1687"/>
      <c r="O237" s="1687"/>
      <c r="P237" s="1687"/>
      <c r="Q237" s="869" t="s">
        <v>526</v>
      </c>
      <c r="R237" s="1249">
        <f>(AV237*KFC!$B$39+KFC!$C$39)*курс_уе</f>
        <v>132.47999999999999</v>
      </c>
      <c r="S237" s="2018">
        <f>(AW237*KFC!$B$39+KFC!$C$39)*курс_уе</f>
        <v>0</v>
      </c>
      <c r="AE237" s="1686" t="s">
        <v>1188</v>
      </c>
      <c r="AF237" s="1687"/>
      <c r="AG237" s="1687"/>
      <c r="AH237" s="1687"/>
      <c r="AI237" s="1687"/>
      <c r="AJ237" s="1687"/>
      <c r="AK237" s="1687"/>
      <c r="AL237" s="1687"/>
      <c r="AM237" s="1687"/>
      <c r="AN237" s="1687"/>
      <c r="AO237" s="1687"/>
      <c r="AP237" s="1687"/>
      <c r="AQ237" s="1687"/>
      <c r="AR237" s="1687"/>
      <c r="AS237" s="1687"/>
      <c r="AT237" s="1687"/>
      <c r="AU237" s="869" t="s">
        <v>526</v>
      </c>
      <c r="AV237" s="1249">
        <v>132.47999999999999</v>
      </c>
      <c r="AW237" s="2018"/>
    </row>
    <row r="238" spans="1:49" ht="15.75" customHeight="1" thickBot="1">
      <c r="A238" s="1696" t="s">
        <v>1189</v>
      </c>
      <c r="B238" s="1697"/>
      <c r="C238" s="1697"/>
      <c r="D238" s="1697"/>
      <c r="E238" s="1697"/>
      <c r="F238" s="1697"/>
      <c r="G238" s="1697"/>
      <c r="H238" s="1697"/>
      <c r="I238" s="1697"/>
      <c r="J238" s="1697"/>
      <c r="K238" s="1697"/>
      <c r="L238" s="1697"/>
      <c r="M238" s="1697"/>
      <c r="N238" s="1697"/>
      <c r="O238" s="1697"/>
      <c r="P238" s="1697"/>
      <c r="Q238" s="872" t="s">
        <v>526</v>
      </c>
      <c r="R238" s="2019">
        <f>(AV238*KFC!$B$39+KFC!$C$39)*курс_уе</f>
        <v>121.32</v>
      </c>
      <c r="S238" s="2020">
        <f>(AW238*KFC!$B$39+KFC!$C$39)*курс_уе</f>
        <v>0</v>
      </c>
      <c r="AE238" s="1696" t="s">
        <v>1189</v>
      </c>
      <c r="AF238" s="1697"/>
      <c r="AG238" s="1697"/>
      <c r="AH238" s="1697"/>
      <c r="AI238" s="1697"/>
      <c r="AJ238" s="1697"/>
      <c r="AK238" s="1697"/>
      <c r="AL238" s="1697"/>
      <c r="AM238" s="1697"/>
      <c r="AN238" s="1697"/>
      <c r="AO238" s="1697"/>
      <c r="AP238" s="1697"/>
      <c r="AQ238" s="1697"/>
      <c r="AR238" s="1697"/>
      <c r="AS238" s="1697"/>
      <c r="AT238" s="1697"/>
      <c r="AU238" s="872" t="s">
        <v>526</v>
      </c>
      <c r="AV238" s="2019">
        <v>121.32</v>
      </c>
      <c r="AW238" s="2020"/>
    </row>
  </sheetData>
  <mergeCells count="540">
    <mergeCell ref="A236:P236"/>
    <mergeCell ref="R236:S236"/>
    <mergeCell ref="A237:P237"/>
    <mergeCell ref="R237:S237"/>
    <mergeCell ref="A238:P238"/>
    <mergeCell ref="R238:S238"/>
    <mergeCell ref="A233:P233"/>
    <mergeCell ref="R233:S233"/>
    <mergeCell ref="A234:P234"/>
    <mergeCell ref="R234:S234"/>
    <mergeCell ref="A235:P235"/>
    <mergeCell ref="R235:S235"/>
    <mergeCell ref="A230:P230"/>
    <mergeCell ref="R230:S230"/>
    <mergeCell ref="A231:P231"/>
    <mergeCell ref="R231:S231"/>
    <mergeCell ref="A232:P232"/>
    <mergeCell ref="R232:S232"/>
    <mergeCell ref="A225:S225"/>
    <mergeCell ref="A227:P227"/>
    <mergeCell ref="R227:S227"/>
    <mergeCell ref="A228:P228"/>
    <mergeCell ref="R228:S228"/>
    <mergeCell ref="A229:P229"/>
    <mergeCell ref="R229:S229"/>
    <mergeCell ref="A213:D213"/>
    <mergeCell ref="E213:Q213"/>
    <mergeCell ref="R213:S213"/>
    <mergeCell ref="A214:D214"/>
    <mergeCell ref="E214:Q214"/>
    <mergeCell ref="R214:S214"/>
    <mergeCell ref="A211:D211"/>
    <mergeCell ref="E211:Q211"/>
    <mergeCell ref="R211:S211"/>
    <mergeCell ref="A212:D212"/>
    <mergeCell ref="E212:Q212"/>
    <mergeCell ref="R212:S212"/>
    <mergeCell ref="A209:D209"/>
    <mergeCell ref="E209:Q209"/>
    <mergeCell ref="R209:S209"/>
    <mergeCell ref="A210:D210"/>
    <mergeCell ref="E210:Q210"/>
    <mergeCell ref="R210:S210"/>
    <mergeCell ref="A207:D207"/>
    <mergeCell ref="E207:Q207"/>
    <mergeCell ref="R207:S207"/>
    <mergeCell ref="A208:D208"/>
    <mergeCell ref="E208:Q208"/>
    <mergeCell ref="R208:S208"/>
    <mergeCell ref="A203:D204"/>
    <mergeCell ref="E203:Q203"/>
    <mergeCell ref="R203:S204"/>
    <mergeCell ref="E204:Q204"/>
    <mergeCell ref="A205:D206"/>
    <mergeCell ref="E205:Q205"/>
    <mergeCell ref="R205:S206"/>
    <mergeCell ref="E206:Q206"/>
    <mergeCell ref="A199:D200"/>
    <mergeCell ref="E199:Q199"/>
    <mergeCell ref="R199:S200"/>
    <mergeCell ref="E200:Q200"/>
    <mergeCell ref="A201:D202"/>
    <mergeCell ref="E201:Q201"/>
    <mergeCell ref="R201:S202"/>
    <mergeCell ref="E202:Q202"/>
    <mergeCell ref="A196:D197"/>
    <mergeCell ref="E196:Q196"/>
    <mergeCell ref="R196:S197"/>
    <mergeCell ref="E197:Q197"/>
    <mergeCell ref="A198:D198"/>
    <mergeCell ref="E198:Q198"/>
    <mergeCell ref="R198:S198"/>
    <mergeCell ref="A192:D193"/>
    <mergeCell ref="E192:Q192"/>
    <mergeCell ref="R192:S193"/>
    <mergeCell ref="E193:Q193"/>
    <mergeCell ref="A194:D195"/>
    <mergeCell ref="E194:Q194"/>
    <mergeCell ref="R194:S195"/>
    <mergeCell ref="E195:Q195"/>
    <mergeCell ref="A188:S188"/>
    <mergeCell ref="A189:D189"/>
    <mergeCell ref="E189:Q189"/>
    <mergeCell ref="R189:S189"/>
    <mergeCell ref="A190:D191"/>
    <mergeCell ref="E190:Q190"/>
    <mergeCell ref="R190:S191"/>
    <mergeCell ref="E191:Q191"/>
    <mergeCell ref="G182:J182"/>
    <mergeCell ref="K182:L182"/>
    <mergeCell ref="M182:N182"/>
    <mergeCell ref="O182:P182"/>
    <mergeCell ref="G183:J183"/>
    <mergeCell ref="K183:L183"/>
    <mergeCell ref="M183:N183"/>
    <mergeCell ref="O183:P183"/>
    <mergeCell ref="D175:F183"/>
    <mergeCell ref="G180:J180"/>
    <mergeCell ref="K180:L180"/>
    <mergeCell ref="M180:N180"/>
    <mergeCell ref="O180:P180"/>
    <mergeCell ref="G181:J181"/>
    <mergeCell ref="K181:L181"/>
    <mergeCell ref="M181:N181"/>
    <mergeCell ref="O181:P181"/>
    <mergeCell ref="G178:J178"/>
    <mergeCell ref="K178:L178"/>
    <mergeCell ref="M178:N178"/>
    <mergeCell ref="O178:P178"/>
    <mergeCell ref="G179:J179"/>
    <mergeCell ref="K179:L179"/>
    <mergeCell ref="M179:N179"/>
    <mergeCell ref="O179:P179"/>
    <mergeCell ref="M176:N176"/>
    <mergeCell ref="O176:P176"/>
    <mergeCell ref="G177:J177"/>
    <mergeCell ref="K177:L177"/>
    <mergeCell ref="M177:N177"/>
    <mergeCell ref="O177:P177"/>
    <mergeCell ref="K174:L174"/>
    <mergeCell ref="M174:N174"/>
    <mergeCell ref="O174:P174"/>
    <mergeCell ref="G175:J175"/>
    <mergeCell ref="K175:L175"/>
    <mergeCell ref="M175:N175"/>
    <mergeCell ref="O175:P175"/>
    <mergeCell ref="G176:J176"/>
    <mergeCell ref="K176:L176"/>
    <mergeCell ref="D172:F174"/>
    <mergeCell ref="G172:J172"/>
    <mergeCell ref="K172:L172"/>
    <mergeCell ref="M172:N172"/>
    <mergeCell ref="O172:P172"/>
    <mergeCell ref="G173:J173"/>
    <mergeCell ref="K173:L173"/>
    <mergeCell ref="M173:N173"/>
    <mergeCell ref="O173:P173"/>
    <mergeCell ref="G174:J174"/>
    <mergeCell ref="A167:D167"/>
    <mergeCell ref="E167:Q167"/>
    <mergeCell ref="R167:S167"/>
    <mergeCell ref="D169:P170"/>
    <mergeCell ref="D171:F171"/>
    <mergeCell ref="G171:J171"/>
    <mergeCell ref="K171:L171"/>
    <mergeCell ref="M171:N171"/>
    <mergeCell ref="O171:P171"/>
    <mergeCell ref="A165:D165"/>
    <mergeCell ref="E165:Q165"/>
    <mergeCell ref="R165:S165"/>
    <mergeCell ref="A166:D166"/>
    <mergeCell ref="E166:Q166"/>
    <mergeCell ref="R166:S166"/>
    <mergeCell ref="A162:D163"/>
    <mergeCell ref="E162:Q162"/>
    <mergeCell ref="R162:S163"/>
    <mergeCell ref="E163:Q163"/>
    <mergeCell ref="A164:D164"/>
    <mergeCell ref="E164:Q164"/>
    <mergeCell ref="R164:S164"/>
    <mergeCell ref="A158:D159"/>
    <mergeCell ref="E158:Q158"/>
    <mergeCell ref="R158:S159"/>
    <mergeCell ref="E159:Q159"/>
    <mergeCell ref="A160:D161"/>
    <mergeCell ref="E160:Q160"/>
    <mergeCell ref="R160:S161"/>
    <mergeCell ref="E161:Q161"/>
    <mergeCell ref="A154:D155"/>
    <mergeCell ref="E154:Q154"/>
    <mergeCell ref="R154:S155"/>
    <mergeCell ref="E155:Q155"/>
    <mergeCell ref="A156:D157"/>
    <mergeCell ref="E156:Q156"/>
    <mergeCell ref="R156:S157"/>
    <mergeCell ref="E157:Q157"/>
    <mergeCell ref="A150:D150"/>
    <mergeCell ref="E150:Q150"/>
    <mergeCell ref="R150:S150"/>
    <mergeCell ref="A151:S151"/>
    <mergeCell ref="A152:D153"/>
    <mergeCell ref="E152:Q152"/>
    <mergeCell ref="R152:S153"/>
    <mergeCell ref="E153:Q153"/>
    <mergeCell ref="A147:D148"/>
    <mergeCell ref="E147:Q147"/>
    <mergeCell ref="R147:S148"/>
    <mergeCell ref="E148:Q148"/>
    <mergeCell ref="A149:D149"/>
    <mergeCell ref="E149:Q149"/>
    <mergeCell ref="R149:S149"/>
    <mergeCell ref="A142:S142"/>
    <mergeCell ref="A143:D144"/>
    <mergeCell ref="E143:Q143"/>
    <mergeCell ref="R143:S144"/>
    <mergeCell ref="E144:Q144"/>
    <mergeCell ref="A145:D146"/>
    <mergeCell ref="E145:Q145"/>
    <mergeCell ref="R145:S146"/>
    <mergeCell ref="E146:Q146"/>
    <mergeCell ref="B127:J127"/>
    <mergeCell ref="B129:J129"/>
    <mergeCell ref="A140:S140"/>
    <mergeCell ref="A141:D141"/>
    <mergeCell ref="E141:Q141"/>
    <mergeCell ref="R141:S141"/>
    <mergeCell ref="A124:B124"/>
    <mergeCell ref="C124:M124"/>
    <mergeCell ref="N124:O124"/>
    <mergeCell ref="A125:B125"/>
    <mergeCell ref="C125:M125"/>
    <mergeCell ref="N125:O125"/>
    <mergeCell ref="A122:B122"/>
    <mergeCell ref="C122:M122"/>
    <mergeCell ref="N122:O122"/>
    <mergeCell ref="A123:B123"/>
    <mergeCell ref="C123:M123"/>
    <mergeCell ref="N123:O123"/>
    <mergeCell ref="A120:B120"/>
    <mergeCell ref="C120:M120"/>
    <mergeCell ref="N120:O120"/>
    <mergeCell ref="A121:B121"/>
    <mergeCell ref="C121:M121"/>
    <mergeCell ref="N121:O121"/>
    <mergeCell ref="A112:S112"/>
    <mergeCell ref="A113:B113"/>
    <mergeCell ref="A114:B114"/>
    <mergeCell ref="A116:B116"/>
    <mergeCell ref="A117:B117"/>
    <mergeCell ref="A119:B119"/>
    <mergeCell ref="C119:M119"/>
    <mergeCell ref="N119:O119"/>
    <mergeCell ref="A104:S104"/>
    <mergeCell ref="A105:S105"/>
    <mergeCell ref="A106:B106"/>
    <mergeCell ref="A107:B107"/>
    <mergeCell ref="A109:B109"/>
    <mergeCell ref="A110:B110"/>
    <mergeCell ref="E101:F101"/>
    <mergeCell ref="G101:I101"/>
    <mergeCell ref="J101:K101"/>
    <mergeCell ref="E102:F102"/>
    <mergeCell ref="G102:I102"/>
    <mergeCell ref="J102:K102"/>
    <mergeCell ref="A47:A96"/>
    <mergeCell ref="A98:E98"/>
    <mergeCell ref="G98:J98"/>
    <mergeCell ref="L98:W98"/>
    <mergeCell ref="A99:N99"/>
    <mergeCell ref="E100:F100"/>
    <mergeCell ref="G100:I100"/>
    <mergeCell ref="J100:K100"/>
    <mergeCell ref="N41:U41"/>
    <mergeCell ref="A43:AC43"/>
    <mergeCell ref="A44:E44"/>
    <mergeCell ref="F44:P44"/>
    <mergeCell ref="A45:B46"/>
    <mergeCell ref="C45:AC45"/>
    <mergeCell ref="B35:L35"/>
    <mergeCell ref="N35:O36"/>
    <mergeCell ref="P35:Q36"/>
    <mergeCell ref="R35:S36"/>
    <mergeCell ref="T35:U36"/>
    <mergeCell ref="B36:L36"/>
    <mergeCell ref="B39:L39"/>
    <mergeCell ref="N39:O40"/>
    <mergeCell ref="P39:Q40"/>
    <mergeCell ref="R39:S40"/>
    <mergeCell ref="T39:U40"/>
    <mergeCell ref="B40:L40"/>
    <mergeCell ref="B37:L37"/>
    <mergeCell ref="N37:O38"/>
    <mergeCell ref="P37:Q38"/>
    <mergeCell ref="R37:S38"/>
    <mergeCell ref="T37:U38"/>
    <mergeCell ref="B38:L38"/>
    <mergeCell ref="A2:AC2"/>
    <mergeCell ref="A3:E3"/>
    <mergeCell ref="F3:P3"/>
    <mergeCell ref="A4:B5"/>
    <mergeCell ref="C4:AC4"/>
    <mergeCell ref="A6:A30"/>
    <mergeCell ref="A32:L32"/>
    <mergeCell ref="N32:U34"/>
    <mergeCell ref="B33:L33"/>
    <mergeCell ref="B34:L34"/>
    <mergeCell ref="AE45:AF46"/>
    <mergeCell ref="AG45:BG45"/>
    <mergeCell ref="AE47:AE96"/>
    <mergeCell ref="AE98:AI98"/>
    <mergeCell ref="AK98:AN98"/>
    <mergeCell ref="AP98:BA98"/>
    <mergeCell ref="AE99:AR99"/>
    <mergeCell ref="AI100:AJ100"/>
    <mergeCell ref="AK100:AM100"/>
    <mergeCell ref="AN100:AO100"/>
    <mergeCell ref="AI101:AJ101"/>
    <mergeCell ref="AK101:AM101"/>
    <mergeCell ref="AN101:AO101"/>
    <mergeCell ref="AI102:AJ102"/>
    <mergeCell ref="AK102:AM102"/>
    <mergeCell ref="AN102:AO102"/>
    <mergeCell ref="AE104:AW104"/>
    <mergeCell ref="AE105:AW105"/>
    <mergeCell ref="AE106:AF106"/>
    <mergeCell ref="AE107:AF107"/>
    <mergeCell ref="AE109:AF109"/>
    <mergeCell ref="AE110:AF110"/>
    <mergeCell ref="AE112:AW112"/>
    <mergeCell ref="AE113:AF113"/>
    <mergeCell ref="AE114:AF114"/>
    <mergeCell ref="AE116:AF116"/>
    <mergeCell ref="AE117:AF117"/>
    <mergeCell ref="AE119:AF119"/>
    <mergeCell ref="AG119:AQ119"/>
    <mergeCell ref="AR119:AS119"/>
    <mergeCell ref="AE120:AF120"/>
    <mergeCell ref="AG120:AQ120"/>
    <mergeCell ref="AR120:AS120"/>
    <mergeCell ref="AE121:AF121"/>
    <mergeCell ref="AG121:AQ121"/>
    <mergeCell ref="AR121:AS121"/>
    <mergeCell ref="AE122:AF122"/>
    <mergeCell ref="AG122:AQ122"/>
    <mergeCell ref="AR122:AS122"/>
    <mergeCell ref="AE123:AF123"/>
    <mergeCell ref="AG123:AQ123"/>
    <mergeCell ref="AR123:AS123"/>
    <mergeCell ref="AE124:AF124"/>
    <mergeCell ref="AG124:AQ124"/>
    <mergeCell ref="AR124:AS124"/>
    <mergeCell ref="AE125:AF125"/>
    <mergeCell ref="AG125:AQ125"/>
    <mergeCell ref="AR125:AS125"/>
    <mergeCell ref="AF127:AN127"/>
    <mergeCell ref="AF129:AN129"/>
    <mergeCell ref="AE140:AW140"/>
    <mergeCell ref="AE141:AH141"/>
    <mergeCell ref="AI141:AU141"/>
    <mergeCell ref="AV141:AW141"/>
    <mergeCell ref="AE142:AW142"/>
    <mergeCell ref="AE143:AH144"/>
    <mergeCell ref="AI143:AU143"/>
    <mergeCell ref="AV143:AW144"/>
    <mergeCell ref="AI144:AU144"/>
    <mergeCell ref="AE145:AH146"/>
    <mergeCell ref="AI145:AU145"/>
    <mergeCell ref="AV145:AW146"/>
    <mergeCell ref="AI146:AU146"/>
    <mergeCell ref="AE147:AH148"/>
    <mergeCell ref="AI147:AU147"/>
    <mergeCell ref="AV147:AW148"/>
    <mergeCell ref="AI148:AU148"/>
    <mergeCell ref="AE149:AH149"/>
    <mergeCell ref="AI149:AU149"/>
    <mergeCell ref="AV149:AW149"/>
    <mergeCell ref="AE150:AH150"/>
    <mergeCell ref="AI150:AU150"/>
    <mergeCell ref="AV150:AW150"/>
    <mergeCell ref="AE151:AW151"/>
    <mergeCell ref="AE152:AH153"/>
    <mergeCell ref="AI152:AU152"/>
    <mergeCell ref="AV152:AW153"/>
    <mergeCell ref="AI153:AU153"/>
    <mergeCell ref="AE154:AH155"/>
    <mergeCell ref="AI154:AU154"/>
    <mergeCell ref="AV154:AW155"/>
    <mergeCell ref="AI155:AU155"/>
    <mergeCell ref="AE156:AH157"/>
    <mergeCell ref="AI156:AU156"/>
    <mergeCell ref="AV156:AW157"/>
    <mergeCell ref="AI157:AU157"/>
    <mergeCell ref="AE158:AH159"/>
    <mergeCell ref="AI158:AU158"/>
    <mergeCell ref="AV158:AW159"/>
    <mergeCell ref="AI159:AU159"/>
    <mergeCell ref="AE160:AH161"/>
    <mergeCell ref="AI160:AU160"/>
    <mergeCell ref="AV160:AW161"/>
    <mergeCell ref="AI161:AU161"/>
    <mergeCell ref="AE162:AH163"/>
    <mergeCell ref="AI162:AU162"/>
    <mergeCell ref="AV162:AW163"/>
    <mergeCell ref="AI163:AU163"/>
    <mergeCell ref="AE164:AH164"/>
    <mergeCell ref="AI164:AU164"/>
    <mergeCell ref="AV164:AW164"/>
    <mergeCell ref="AE165:AH165"/>
    <mergeCell ref="AI165:AU165"/>
    <mergeCell ref="AV165:AW165"/>
    <mergeCell ref="AE166:AH166"/>
    <mergeCell ref="AI166:AU166"/>
    <mergeCell ref="AV166:AW166"/>
    <mergeCell ref="AE167:AH167"/>
    <mergeCell ref="AI167:AU167"/>
    <mergeCell ref="AV167:AW167"/>
    <mergeCell ref="AH169:AT170"/>
    <mergeCell ref="AH171:AJ171"/>
    <mergeCell ref="AK171:AN171"/>
    <mergeCell ref="AO171:AP171"/>
    <mergeCell ref="AQ171:AR171"/>
    <mergeCell ref="AS171:AT171"/>
    <mergeCell ref="AH172:AJ174"/>
    <mergeCell ref="AK172:AN172"/>
    <mergeCell ref="AO172:AP172"/>
    <mergeCell ref="AQ172:AR172"/>
    <mergeCell ref="AS172:AT172"/>
    <mergeCell ref="AK173:AN173"/>
    <mergeCell ref="AO173:AP173"/>
    <mergeCell ref="AQ173:AR173"/>
    <mergeCell ref="AS173:AT173"/>
    <mergeCell ref="AK174:AN174"/>
    <mergeCell ref="AO174:AP174"/>
    <mergeCell ref="AQ174:AR174"/>
    <mergeCell ref="AS174:AT174"/>
    <mergeCell ref="AS177:AT177"/>
    <mergeCell ref="AK178:AN178"/>
    <mergeCell ref="AO178:AP178"/>
    <mergeCell ref="AQ178:AR178"/>
    <mergeCell ref="AS178:AT178"/>
    <mergeCell ref="AK179:AN179"/>
    <mergeCell ref="AO179:AP179"/>
    <mergeCell ref="AQ179:AR179"/>
    <mergeCell ref="AS179:AT179"/>
    <mergeCell ref="AS180:AT180"/>
    <mergeCell ref="AK181:AN181"/>
    <mergeCell ref="AO181:AP181"/>
    <mergeCell ref="AQ181:AR181"/>
    <mergeCell ref="AS181:AT181"/>
    <mergeCell ref="AK182:AN182"/>
    <mergeCell ref="AO182:AP182"/>
    <mergeCell ref="AQ182:AR182"/>
    <mergeCell ref="AS182:AT182"/>
    <mergeCell ref="AK180:AN180"/>
    <mergeCell ref="AO180:AP180"/>
    <mergeCell ref="AQ180:AR180"/>
    <mergeCell ref="AK183:AN183"/>
    <mergeCell ref="AO183:AP183"/>
    <mergeCell ref="AQ183:AR183"/>
    <mergeCell ref="AS183:AT183"/>
    <mergeCell ref="AE188:AW188"/>
    <mergeCell ref="AE189:AH189"/>
    <mergeCell ref="AI189:AU189"/>
    <mergeCell ref="AV189:AW189"/>
    <mergeCell ref="AE190:AH191"/>
    <mergeCell ref="AI190:AU190"/>
    <mergeCell ref="AV190:AW191"/>
    <mergeCell ref="AI191:AU191"/>
    <mergeCell ref="AH175:AJ183"/>
    <mergeCell ref="AK175:AN175"/>
    <mergeCell ref="AO175:AP175"/>
    <mergeCell ref="AQ175:AR175"/>
    <mergeCell ref="AS175:AT175"/>
    <mergeCell ref="AK176:AN176"/>
    <mergeCell ref="AO176:AP176"/>
    <mergeCell ref="AQ176:AR176"/>
    <mergeCell ref="AS176:AT176"/>
    <mergeCell ref="AK177:AN177"/>
    <mergeCell ref="AO177:AP177"/>
    <mergeCell ref="AQ177:AR177"/>
    <mergeCell ref="AE192:AH193"/>
    <mergeCell ref="AI192:AU192"/>
    <mergeCell ref="AV192:AW193"/>
    <mergeCell ref="AI193:AU193"/>
    <mergeCell ref="AE194:AH195"/>
    <mergeCell ref="AI194:AU194"/>
    <mergeCell ref="AV194:AW195"/>
    <mergeCell ref="AI195:AU195"/>
    <mergeCell ref="AE196:AH197"/>
    <mergeCell ref="AI196:AU196"/>
    <mergeCell ref="AV196:AW197"/>
    <mergeCell ref="AI197:AU197"/>
    <mergeCell ref="AE198:AH198"/>
    <mergeCell ref="AI198:AU198"/>
    <mergeCell ref="AV198:AW198"/>
    <mergeCell ref="AE199:AH200"/>
    <mergeCell ref="AI199:AU199"/>
    <mergeCell ref="AV199:AW200"/>
    <mergeCell ref="AI200:AU200"/>
    <mergeCell ref="AE201:AH202"/>
    <mergeCell ref="AI201:AU201"/>
    <mergeCell ref="AV201:AW202"/>
    <mergeCell ref="AI202:AU202"/>
    <mergeCell ref="AE203:AH204"/>
    <mergeCell ref="AI203:AU203"/>
    <mergeCell ref="AV203:AW204"/>
    <mergeCell ref="AI204:AU204"/>
    <mergeCell ref="AE205:AH206"/>
    <mergeCell ref="AI205:AU205"/>
    <mergeCell ref="AV205:AW206"/>
    <mergeCell ref="AI206:AU206"/>
    <mergeCell ref="AE207:AH207"/>
    <mergeCell ref="AI207:AU207"/>
    <mergeCell ref="AV207:AW207"/>
    <mergeCell ref="AE208:AH208"/>
    <mergeCell ref="AI208:AU208"/>
    <mergeCell ref="AV208:AW208"/>
    <mergeCell ref="AE209:AH209"/>
    <mergeCell ref="AI209:AU209"/>
    <mergeCell ref="AV209:AW209"/>
    <mergeCell ref="AE210:AH210"/>
    <mergeCell ref="AI210:AU210"/>
    <mergeCell ref="AV210:AW210"/>
    <mergeCell ref="AE211:AH211"/>
    <mergeCell ref="AI211:AU211"/>
    <mergeCell ref="AV211:AW211"/>
    <mergeCell ref="AE212:AH212"/>
    <mergeCell ref="AI212:AU212"/>
    <mergeCell ref="AV212:AW212"/>
    <mergeCell ref="AE213:AH213"/>
    <mergeCell ref="AI213:AU213"/>
    <mergeCell ref="AV213:AW213"/>
    <mergeCell ref="AE214:AH214"/>
    <mergeCell ref="AI214:AU214"/>
    <mergeCell ref="AV214:AW214"/>
    <mergeCell ref="AE225:AW225"/>
    <mergeCell ref="AE227:AT227"/>
    <mergeCell ref="AV227:AW227"/>
    <mergeCell ref="AE228:AT228"/>
    <mergeCell ref="AV228:AW228"/>
    <mergeCell ref="AE229:AT229"/>
    <mergeCell ref="AV229:AW229"/>
    <mergeCell ref="AE235:AT235"/>
    <mergeCell ref="AV235:AW235"/>
    <mergeCell ref="AE236:AT236"/>
    <mergeCell ref="AV236:AW236"/>
    <mergeCell ref="AE237:AT237"/>
    <mergeCell ref="AV237:AW237"/>
    <mergeCell ref="AE238:AT238"/>
    <mergeCell ref="AV238:AW238"/>
    <mergeCell ref="AE230:AT230"/>
    <mergeCell ref="AV230:AW230"/>
    <mergeCell ref="AE231:AT231"/>
    <mergeCell ref="AV231:AW231"/>
    <mergeCell ref="AE232:AT232"/>
    <mergeCell ref="AV232:AW232"/>
    <mergeCell ref="AE233:AT233"/>
    <mergeCell ref="AV233:AW233"/>
    <mergeCell ref="AE234:AT234"/>
    <mergeCell ref="AV234:AW234"/>
  </mergeCells>
  <hyperlinks>
    <hyperlink ref="F3" r:id="rId1" xr:uid="{885E70E0-3AF8-494C-9ABD-1D005AA94603}"/>
    <hyperlink ref="E144" r:id="rId2" xr:uid="{D9EE1BF3-5686-4153-9190-53AC52FE8204}"/>
    <hyperlink ref="E146" r:id="rId3" xr:uid="{FBEBE2CB-AAF3-463F-8336-2E0BD466CEB2}"/>
    <hyperlink ref="E159" r:id="rId4" xr:uid="{31930872-06DD-4FBF-BD8E-0FD2B4D7BD5B}"/>
    <hyperlink ref="E155" r:id="rId5" xr:uid="{CA643C54-01B6-4E92-9DAC-49660E93B24F}"/>
    <hyperlink ref="E153" r:id="rId6" xr:uid="{37DA6579-BD74-445F-A9D6-A3F2FE76F2DA}"/>
    <hyperlink ref="E157" r:id="rId7" xr:uid="{04000C66-6722-49B2-B6E4-40AB2DDC1C23}"/>
    <hyperlink ref="E206" r:id="rId8" xr:uid="{57B8F299-C8A9-4A56-9B7E-6EF34A5AF9DE}"/>
    <hyperlink ref="E204" r:id="rId9" xr:uid="{8A48459C-BF9E-4DE9-AF4F-9C8B2D7EE028}"/>
    <hyperlink ref="E202" r:id="rId10" xr:uid="{178CD26D-FF75-4B80-8C08-389A66D8932D}"/>
    <hyperlink ref="E200" r:id="rId11" xr:uid="{7A03EEDE-3DAC-43F4-BBF0-9436BB09936F}"/>
    <hyperlink ref="E191" r:id="rId12" xr:uid="{47670E83-2C86-4168-B9AA-CDDB875C3B9B}"/>
    <hyperlink ref="E193" r:id="rId13" xr:uid="{2D8E2A8D-7BDD-4A62-900F-630801A5EB81}"/>
    <hyperlink ref="E195" r:id="rId14" xr:uid="{D21B00FD-A580-4A58-A841-FFC372869B46}"/>
    <hyperlink ref="E197" r:id="rId15" xr:uid="{614CEE2D-FB48-4812-8DED-38071F2CBC00}"/>
    <hyperlink ref="F44" r:id="rId16" xr:uid="{A972007D-52F6-491D-AECA-5F419603E721}"/>
    <hyperlink ref="E161" r:id="rId17" xr:uid="{BCB4B209-5B43-4F55-817E-1660899EAF82}"/>
    <hyperlink ref="E163" r:id="rId18" xr:uid="{28ED8ACC-9CFC-47E6-9B9E-2C0493401D32}"/>
    <hyperlink ref="E148:Q148" r:id="rId19" display="https://gamma-i.ru/catalog/automation/elektroprivody/dekoratio-ii-am24el/" xr:uid="{329B9A3D-E491-498D-B2F5-C6B62572BDFA}"/>
    <hyperlink ref="AI144" r:id="rId20" xr:uid="{D7901FE0-7FAA-4EF1-A8FC-5F33DAB1AC47}"/>
    <hyperlink ref="AI146" r:id="rId21" xr:uid="{DB450116-BE8B-4E28-AF86-87EA3097DF67}"/>
    <hyperlink ref="AI159" r:id="rId22" xr:uid="{DF3EBB5B-E1AC-4C0E-9EDA-EBAEAEFCEC12}"/>
    <hyperlink ref="AI155" r:id="rId23" xr:uid="{EB829590-CDE4-4ED0-A2B7-7924B6FB5DC7}"/>
    <hyperlink ref="AI153" r:id="rId24" xr:uid="{2D4694D1-C693-47F0-B690-4D78B1E7993B}"/>
    <hyperlink ref="AI157" r:id="rId25" xr:uid="{35A275F5-AE7E-46F0-BF23-AFF8D58A2B4B}"/>
    <hyperlink ref="AI206" r:id="rId26" xr:uid="{746F8445-8900-448B-9ACF-F6B938A2E840}"/>
    <hyperlink ref="AI204" r:id="rId27" xr:uid="{3F0D4FBF-FAED-4F57-9D10-CEEBDFDC1469}"/>
    <hyperlink ref="AI202" r:id="rId28" xr:uid="{34A65A8A-1A43-4D92-9379-16DD6996CE9D}"/>
    <hyperlink ref="AI200" r:id="rId29" xr:uid="{545CAA54-FC84-4AB7-925B-0C856019BD45}"/>
    <hyperlink ref="AI191" r:id="rId30" xr:uid="{239C65C7-1F53-4F19-817D-D2081FD17322}"/>
    <hyperlink ref="AI193" r:id="rId31" xr:uid="{C0C91467-7394-449C-9D0C-E518C81A6D49}"/>
    <hyperlink ref="AI195" r:id="rId32" xr:uid="{9CBCD986-2A76-4BD8-ACC3-427A28852806}"/>
    <hyperlink ref="AI197" r:id="rId33" xr:uid="{483F3140-AE92-4157-92A9-D29B44EA36F7}"/>
    <hyperlink ref="AI161" r:id="rId34" xr:uid="{313FAA7C-14B0-46A3-935F-939FED583E1B}"/>
    <hyperlink ref="AI163" r:id="rId35" xr:uid="{38EC85A2-EDB8-413D-9B7D-CEDA52AE7212}"/>
    <hyperlink ref="AI148:AU148" r:id="rId36" display="https://gamma-i.ru/catalog/automation/elektroprivody/dekoratio-ii-am24el/" xr:uid="{12853BFB-B873-4FB1-A74D-FA537F64AD7E}"/>
  </hyperlinks>
  <pageMargins left="0.39370078740157483" right="0.19685039370078741" top="0.39370078740157483" bottom="0" header="0" footer="0"/>
  <pageSetup paperSize="9" scale="37" orientation="portrait" r:id="rId37"/>
  <headerFooter alignWithMargins="0"/>
  <rowBreaks count="1" manualBreakCount="1">
    <brk id="134" max="16383" man="1"/>
  </row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9E417B-1187-488A-B2AD-C32DCC82EDB8}">
  <sheetPr>
    <tabColor theme="4" tint="-0.249977111117893"/>
  </sheetPr>
  <dimension ref="A1:C42"/>
  <sheetViews>
    <sheetView view="pageBreakPreview" zoomScaleNormal="100" zoomScaleSheetLayoutView="100" workbookViewId="0">
      <pane ySplit="2" topLeftCell="A3" activePane="bottomLeft" state="frozen"/>
      <selection pane="bottomLeft" activeCell="H15" sqref="H15"/>
    </sheetView>
  </sheetViews>
  <sheetFormatPr defaultRowHeight="13.2"/>
  <cols>
    <col min="1" max="1" width="7" customWidth="1"/>
    <col min="2" max="2" width="58.88671875" customWidth="1"/>
    <col min="3" max="3" width="13.5546875" customWidth="1"/>
  </cols>
  <sheetData>
    <row r="1" spans="1:3" ht="40.5" customHeight="1">
      <c r="A1" s="2172" t="s">
        <v>118</v>
      </c>
      <c r="B1" s="2172"/>
      <c r="C1" s="2172"/>
    </row>
    <row r="2" spans="1:3" ht="33.6" customHeight="1" thickBot="1">
      <c r="A2" s="368" t="s">
        <v>2</v>
      </c>
      <c r="B2" s="368" t="s">
        <v>87</v>
      </c>
      <c r="C2" s="615" t="s">
        <v>967</v>
      </c>
    </row>
    <row r="3" spans="1:3" ht="20.399999999999999">
      <c r="A3" s="367">
        <v>1</v>
      </c>
      <c r="B3" s="163" t="s">
        <v>529</v>
      </c>
      <c r="C3" s="369">
        <v>200</v>
      </c>
    </row>
    <row r="4" spans="1:3" ht="20.399999999999999">
      <c r="A4" s="366">
        <v>2</v>
      </c>
      <c r="B4" s="162" t="s">
        <v>530</v>
      </c>
      <c r="C4" s="954">
        <v>600</v>
      </c>
    </row>
    <row r="5" spans="1:3" ht="20.399999999999999">
      <c r="A5" s="366">
        <v>3</v>
      </c>
      <c r="B5" s="162" t="s">
        <v>531</v>
      </c>
      <c r="C5" s="954">
        <v>600</v>
      </c>
    </row>
    <row r="6" spans="1:3" ht="20.399999999999999">
      <c r="A6" s="366">
        <v>5</v>
      </c>
      <c r="B6" s="162" t="s">
        <v>119</v>
      </c>
      <c r="C6" s="370">
        <v>600</v>
      </c>
    </row>
    <row r="7" spans="1:3" ht="20.399999999999999">
      <c r="A7" s="366">
        <v>6</v>
      </c>
      <c r="B7" s="162" t="s">
        <v>970</v>
      </c>
      <c r="C7" s="954">
        <v>600</v>
      </c>
    </row>
    <row r="8" spans="1:3" ht="20.399999999999999">
      <c r="A8" s="366">
        <v>7</v>
      </c>
      <c r="B8" s="162" t="s">
        <v>971</v>
      </c>
      <c r="C8" s="370">
        <v>600</v>
      </c>
    </row>
    <row r="9" spans="1:3" ht="20.399999999999999">
      <c r="A9" s="366">
        <v>8</v>
      </c>
      <c r="B9" s="162" t="s">
        <v>961</v>
      </c>
      <c r="C9" s="370">
        <v>600</v>
      </c>
    </row>
    <row r="10" spans="1:3" ht="20.399999999999999">
      <c r="A10" s="366">
        <v>11</v>
      </c>
      <c r="B10" s="162" t="s">
        <v>972</v>
      </c>
      <c r="C10" s="954">
        <v>3300</v>
      </c>
    </row>
    <row r="11" spans="1:3" ht="20.399999999999999">
      <c r="A11" s="366">
        <v>12</v>
      </c>
      <c r="B11" s="162" t="s">
        <v>962</v>
      </c>
      <c r="C11" s="954">
        <v>2200</v>
      </c>
    </row>
    <row r="12" spans="1:3" ht="20.399999999999999">
      <c r="A12" s="366">
        <v>13</v>
      </c>
      <c r="B12" s="162" t="s">
        <v>963</v>
      </c>
      <c r="C12" s="954">
        <v>2200</v>
      </c>
    </row>
    <row r="13" spans="1:3" ht="20.399999999999999">
      <c r="A13" s="366">
        <v>14</v>
      </c>
      <c r="B13" s="162" t="s">
        <v>1258</v>
      </c>
      <c r="C13" s="954">
        <v>4300</v>
      </c>
    </row>
    <row r="14" spans="1:3" ht="20.399999999999999">
      <c r="A14" s="366">
        <v>15</v>
      </c>
      <c r="B14" s="162" t="s">
        <v>532</v>
      </c>
      <c r="C14" s="954">
        <v>1200</v>
      </c>
    </row>
    <row r="15" spans="1:3" ht="20.399999999999999">
      <c r="A15" s="366">
        <v>16</v>
      </c>
      <c r="B15" s="162" t="s">
        <v>533</v>
      </c>
      <c r="C15" s="954">
        <v>1200</v>
      </c>
    </row>
    <row r="16" spans="1:3" ht="20.399999999999999">
      <c r="A16" s="366">
        <v>18</v>
      </c>
      <c r="B16" s="162" t="s">
        <v>534</v>
      </c>
      <c r="C16" s="954">
        <v>2200</v>
      </c>
    </row>
    <row r="17" spans="1:3" ht="20.399999999999999">
      <c r="A17" s="366">
        <v>19</v>
      </c>
      <c r="B17" s="162" t="s">
        <v>535</v>
      </c>
      <c r="C17" s="370">
        <v>600</v>
      </c>
    </row>
    <row r="18" spans="1:3" ht="20.399999999999999">
      <c r="A18" s="366"/>
      <c r="B18" s="162" t="s">
        <v>1259</v>
      </c>
      <c r="C18" s="370">
        <v>600</v>
      </c>
    </row>
    <row r="19" spans="1:3" ht="20.399999999999999">
      <c r="A19" s="366"/>
      <c r="B19" s="162" t="s">
        <v>1260</v>
      </c>
      <c r="C19" s="370">
        <v>1200</v>
      </c>
    </row>
    <row r="20" spans="1:3" ht="20.399999999999999">
      <c r="A20" s="366">
        <v>20</v>
      </c>
      <c r="B20" s="162" t="s">
        <v>536</v>
      </c>
      <c r="C20" s="954">
        <v>3200</v>
      </c>
    </row>
    <row r="21" spans="1:3" ht="20.399999999999999">
      <c r="A21" s="366">
        <v>21</v>
      </c>
      <c r="B21" s="162" t="s">
        <v>964</v>
      </c>
      <c r="C21" s="954">
        <v>1600</v>
      </c>
    </row>
    <row r="22" spans="1:3" ht="20.399999999999999">
      <c r="A22" s="366">
        <v>22</v>
      </c>
      <c r="B22" s="162" t="s">
        <v>537</v>
      </c>
      <c r="C22" s="370">
        <v>3000</v>
      </c>
    </row>
    <row r="23" spans="1:3" ht="20.399999999999999">
      <c r="A23" s="366">
        <v>23</v>
      </c>
      <c r="B23" s="162" t="s">
        <v>538</v>
      </c>
      <c r="C23" s="370">
        <v>5500</v>
      </c>
    </row>
    <row r="24" spans="1:3" ht="20.399999999999999">
      <c r="A24" s="366">
        <v>24</v>
      </c>
      <c r="B24" s="162" t="s">
        <v>416</v>
      </c>
      <c r="C24" s="370">
        <v>3500</v>
      </c>
    </row>
    <row r="25" spans="1:3" ht="21" thickBot="1">
      <c r="A25" s="371">
        <v>25</v>
      </c>
      <c r="B25" s="168" t="s">
        <v>417</v>
      </c>
      <c r="C25" s="372">
        <v>3500</v>
      </c>
    </row>
    <row r="26" spans="1:3" ht="21.6" thickBot="1">
      <c r="A26" s="2173" t="s">
        <v>539</v>
      </c>
      <c r="B26" s="2173" t="s">
        <v>539</v>
      </c>
      <c r="C26" s="2173"/>
    </row>
    <row r="27" spans="1:3" ht="20.399999999999999">
      <c r="A27" s="367">
        <v>1</v>
      </c>
      <c r="B27" s="163" t="s">
        <v>540</v>
      </c>
      <c r="C27" s="369">
        <v>125</v>
      </c>
    </row>
    <row r="28" spans="1:3" ht="20.399999999999999">
      <c r="A28" s="366">
        <v>2</v>
      </c>
      <c r="B28" s="162" t="s">
        <v>882</v>
      </c>
      <c r="C28" s="370">
        <v>125</v>
      </c>
    </row>
    <row r="29" spans="1:3" ht="20.399999999999999">
      <c r="A29" s="366">
        <v>3</v>
      </c>
      <c r="B29" s="162" t="s">
        <v>541</v>
      </c>
      <c r="C29" s="370">
        <v>125</v>
      </c>
    </row>
    <row r="30" spans="1:3" ht="20.399999999999999">
      <c r="A30" s="366">
        <v>4</v>
      </c>
      <c r="B30" s="162" t="s">
        <v>542</v>
      </c>
      <c r="C30" s="370">
        <v>125</v>
      </c>
    </row>
    <row r="31" spans="1:3" ht="21" thickBot="1">
      <c r="A31" s="371">
        <v>5</v>
      </c>
      <c r="B31" s="168" t="s">
        <v>754</v>
      </c>
      <c r="C31" s="372">
        <v>125</v>
      </c>
    </row>
    <row r="32" spans="1:3" ht="21.6" thickBot="1">
      <c r="A32" s="2174" t="s">
        <v>543</v>
      </c>
      <c r="B32" s="2173"/>
      <c r="C32" s="2175"/>
    </row>
    <row r="33" spans="1:3" ht="15.6">
      <c r="A33" s="556">
        <v>1</v>
      </c>
      <c r="B33" s="557" t="s">
        <v>544</v>
      </c>
      <c r="C33" s="558" t="s">
        <v>4</v>
      </c>
    </row>
    <row r="34" spans="1:3" ht="15.6">
      <c r="A34" s="491">
        <v>2</v>
      </c>
      <c r="B34" s="164" t="s">
        <v>545</v>
      </c>
      <c r="C34" s="64" t="s">
        <v>4</v>
      </c>
    </row>
    <row r="35" spans="1:3" ht="15.6">
      <c r="A35" s="491">
        <v>3</v>
      </c>
      <c r="B35" s="164" t="s">
        <v>965</v>
      </c>
      <c r="C35" s="64" t="s">
        <v>4</v>
      </c>
    </row>
    <row r="36" spans="1:3" ht="20.399999999999999">
      <c r="A36" s="491">
        <v>4</v>
      </c>
      <c r="B36" s="164" t="s">
        <v>966</v>
      </c>
      <c r="C36" s="370">
        <v>50</v>
      </c>
    </row>
    <row r="37" spans="1:3" ht="15.6">
      <c r="A37" s="491">
        <v>5</v>
      </c>
      <c r="B37" s="164" t="s">
        <v>546</v>
      </c>
      <c r="C37" s="64" t="s">
        <v>4</v>
      </c>
    </row>
    <row r="38" spans="1:3" ht="15.6">
      <c r="A38" s="491">
        <v>6</v>
      </c>
      <c r="B38" s="164" t="s">
        <v>547</v>
      </c>
      <c r="C38" s="64" t="s">
        <v>4</v>
      </c>
    </row>
    <row r="39" spans="1:3" ht="15.6">
      <c r="A39" s="491">
        <v>7</v>
      </c>
      <c r="B39" s="164" t="s">
        <v>548</v>
      </c>
      <c r="C39" s="64" t="s">
        <v>4</v>
      </c>
    </row>
    <row r="40" spans="1:3" ht="15.6">
      <c r="A40" s="491">
        <v>8</v>
      </c>
      <c r="B40" s="164" t="s">
        <v>968</v>
      </c>
      <c r="C40" s="64" t="s">
        <v>4</v>
      </c>
    </row>
    <row r="41" spans="1:3" ht="15.6">
      <c r="A41" s="491">
        <v>9</v>
      </c>
      <c r="B41" s="164" t="s">
        <v>549</v>
      </c>
      <c r="C41" s="64" t="s">
        <v>4</v>
      </c>
    </row>
    <row r="42" spans="1:3" ht="16.2" thickBot="1">
      <c r="A42" s="491">
        <v>10</v>
      </c>
      <c r="B42" s="168" t="s">
        <v>883</v>
      </c>
      <c r="C42" s="501" t="s">
        <v>4</v>
      </c>
    </row>
  </sheetData>
  <mergeCells count="3">
    <mergeCell ref="A1:C1"/>
    <mergeCell ref="A26:C26"/>
    <mergeCell ref="A32:C32"/>
  </mergeCells>
  <phoneticPr fontId="7" type="noConversion"/>
  <pageMargins left="0.75" right="0.75" top="1" bottom="1" header="0.5" footer="0.5"/>
  <pageSetup paperSize="9" scale="91" orientation="portrait" r:id="rId1"/>
  <headerFooter alignWithMargins="0"/>
  <rowBreaks count="1" manualBreakCount="1">
    <brk id="21" max="2" man="1"/>
  </row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DA88A3-F2A2-4166-8EA7-5540830A07EE}">
  <sheetPr>
    <tabColor rgb="FFFFC000"/>
  </sheetPr>
  <dimension ref="A1:C24"/>
  <sheetViews>
    <sheetView view="pageBreakPreview" zoomScaleNormal="100" zoomScaleSheetLayoutView="100" workbookViewId="0">
      <selection activeCell="I9" sqref="I9"/>
    </sheetView>
  </sheetViews>
  <sheetFormatPr defaultColWidth="8.6640625" defaultRowHeight="13.2"/>
  <cols>
    <col min="1" max="1" width="13.88671875" style="400" customWidth="1"/>
    <col min="2" max="3" width="25.6640625" style="400" customWidth="1"/>
    <col min="4" max="16384" width="8.6640625" style="400"/>
  </cols>
  <sheetData>
    <row r="1" spans="1:3" ht="72" customHeight="1" thickBot="1">
      <c r="A1" s="2179" t="s">
        <v>493</v>
      </c>
      <c r="B1" s="2179"/>
      <c r="C1" s="2179"/>
    </row>
    <row r="2" spans="1:3">
      <c r="A2" s="2176" t="s">
        <v>392</v>
      </c>
      <c r="B2" s="407" t="s">
        <v>495</v>
      </c>
      <c r="C2" s="407" t="s">
        <v>497</v>
      </c>
    </row>
    <row r="3" spans="1:3" ht="26.4">
      <c r="A3" s="2177"/>
      <c r="B3" s="408" t="s">
        <v>496</v>
      </c>
      <c r="C3" s="408" t="s">
        <v>498</v>
      </c>
    </row>
    <row r="4" spans="1:3" ht="13.8" thickBot="1">
      <c r="A4" s="2178"/>
      <c r="B4" s="401" t="s">
        <v>494</v>
      </c>
      <c r="C4" s="401" t="s">
        <v>494</v>
      </c>
    </row>
    <row r="5" spans="1:3">
      <c r="A5" s="402" t="s">
        <v>482</v>
      </c>
      <c r="B5" s="338">
        <v>1.2</v>
      </c>
      <c r="C5" s="338">
        <v>1.6</v>
      </c>
    </row>
    <row r="6" spans="1:3">
      <c r="A6" s="403" t="s">
        <v>341</v>
      </c>
      <c r="B6" s="337">
        <v>1.5</v>
      </c>
      <c r="C6" s="337">
        <v>1.9</v>
      </c>
    </row>
    <row r="7" spans="1:3">
      <c r="A7" s="403" t="s">
        <v>62</v>
      </c>
      <c r="B7" s="337">
        <v>1.5</v>
      </c>
      <c r="C7" s="337">
        <v>1.9</v>
      </c>
    </row>
    <row r="8" spans="1:3" ht="25.5" customHeight="1">
      <c r="A8" s="404" t="s">
        <v>491</v>
      </c>
      <c r="B8" s="338">
        <v>1.3</v>
      </c>
      <c r="C8" s="338">
        <v>1.4</v>
      </c>
    </row>
    <row r="9" spans="1:3" ht="42" customHeight="1">
      <c r="A9" s="404" t="s">
        <v>492</v>
      </c>
      <c r="B9" s="338">
        <v>1.5</v>
      </c>
      <c r="C9" s="338">
        <v>2</v>
      </c>
    </row>
    <row r="10" spans="1:3">
      <c r="A10" s="403" t="s">
        <v>343</v>
      </c>
      <c r="B10" s="338">
        <v>0.9</v>
      </c>
      <c r="C10" s="338">
        <v>0.9</v>
      </c>
    </row>
    <row r="11" spans="1:3">
      <c r="A11" s="403" t="s">
        <v>481</v>
      </c>
      <c r="B11" s="338">
        <v>1.5</v>
      </c>
      <c r="C11" s="338">
        <v>1.9</v>
      </c>
    </row>
    <row r="12" spans="1:3">
      <c r="A12" s="403" t="s">
        <v>338</v>
      </c>
      <c r="B12" s="337">
        <v>1.5</v>
      </c>
      <c r="C12" s="337">
        <v>1.9</v>
      </c>
    </row>
    <row r="13" spans="1:3">
      <c r="A13" s="403" t="s">
        <v>335</v>
      </c>
      <c r="B13" s="338">
        <v>1.6</v>
      </c>
      <c r="C13" s="338">
        <v>2</v>
      </c>
    </row>
    <row r="14" spans="1:3">
      <c r="A14" s="405" t="s">
        <v>312</v>
      </c>
      <c r="B14" s="338">
        <v>1.5</v>
      </c>
      <c r="C14" s="338">
        <v>1.9</v>
      </c>
    </row>
    <row r="15" spans="1:3">
      <c r="A15" s="405" t="s">
        <v>344</v>
      </c>
      <c r="B15" s="338">
        <v>1.1000000000000001</v>
      </c>
      <c r="C15" s="338">
        <v>1.1000000000000001</v>
      </c>
    </row>
    <row r="16" spans="1:3">
      <c r="A16" s="405" t="s">
        <v>499</v>
      </c>
      <c r="B16" s="338">
        <v>1.1000000000000001</v>
      </c>
      <c r="C16" s="338">
        <v>1.2</v>
      </c>
    </row>
    <row r="17" spans="1:3" ht="39.6">
      <c r="A17" s="405" t="s">
        <v>500</v>
      </c>
      <c r="B17" s="338">
        <v>1.2</v>
      </c>
      <c r="C17" s="338">
        <v>1.3</v>
      </c>
    </row>
    <row r="18" spans="1:3">
      <c r="A18" s="405" t="s">
        <v>337</v>
      </c>
      <c r="B18" s="338">
        <v>1.6</v>
      </c>
      <c r="C18" s="338">
        <v>1.8</v>
      </c>
    </row>
    <row r="19" spans="1:3" ht="13.95" customHeight="1">
      <c r="A19" s="405" t="s">
        <v>336</v>
      </c>
      <c r="B19" s="338">
        <v>1</v>
      </c>
      <c r="C19" s="338">
        <v>1.1000000000000001</v>
      </c>
    </row>
    <row r="20" spans="1:3">
      <c r="A20" s="405" t="s">
        <v>339</v>
      </c>
      <c r="B20" s="338">
        <v>1.6</v>
      </c>
      <c r="C20" s="338">
        <v>1.8</v>
      </c>
    </row>
    <row r="21" spans="1:3">
      <c r="A21" s="404" t="s">
        <v>483</v>
      </c>
      <c r="B21" s="338">
        <v>1.6</v>
      </c>
      <c r="C21" s="338">
        <v>2.2000000000000002</v>
      </c>
    </row>
    <row r="22" spans="1:3" ht="26.4">
      <c r="A22" s="404" t="s">
        <v>484</v>
      </c>
      <c r="B22" s="338">
        <v>2.2000000000000002</v>
      </c>
      <c r="C22" s="338">
        <v>2.2000000000000002</v>
      </c>
    </row>
    <row r="23" spans="1:3">
      <c r="A23" s="405" t="s">
        <v>340</v>
      </c>
      <c r="B23" s="338">
        <v>1.2</v>
      </c>
      <c r="C23" s="338">
        <v>1.3</v>
      </c>
    </row>
    <row r="24" spans="1:3" ht="13.8" thickBot="1">
      <c r="A24" s="406" t="s">
        <v>311</v>
      </c>
      <c r="B24" s="339">
        <v>1.3</v>
      </c>
      <c r="C24" s="339">
        <v>1.3</v>
      </c>
    </row>
  </sheetData>
  <mergeCells count="2">
    <mergeCell ref="A2:A4"/>
    <mergeCell ref="A1:C1"/>
  </mergeCells>
  <pageMargins left="0.7" right="0.7" top="0.75" bottom="0.75" header="0.3" footer="0.3"/>
  <pageSetup paperSize="9" scale="78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59296E-0D99-4A5A-B0B7-BFA7F2DC704A}">
  <sheetPr>
    <tabColor rgb="FF00B050"/>
  </sheetPr>
  <dimension ref="A1:I37"/>
  <sheetViews>
    <sheetView view="pageBreakPreview" zoomScaleNormal="100" zoomScaleSheetLayoutView="100" workbookViewId="0">
      <selection sqref="A1:IV5"/>
    </sheetView>
  </sheetViews>
  <sheetFormatPr defaultRowHeight="13.2"/>
  <sheetData>
    <row r="1" spans="1:9" ht="17.399999999999999">
      <c r="A1" s="1"/>
      <c r="B1" s="1"/>
      <c r="C1" s="1"/>
      <c r="D1" s="2"/>
      <c r="E1" s="2"/>
      <c r="F1" s="2"/>
      <c r="G1" s="1"/>
      <c r="I1" s="1"/>
    </row>
    <row r="2" spans="1:9" ht="18">
      <c r="A2" s="1084"/>
      <c r="B2" s="1084"/>
      <c r="C2" s="1084"/>
      <c r="D2" s="1084"/>
      <c r="E2" s="1084"/>
      <c r="F2" s="1084"/>
      <c r="G2" s="1084"/>
      <c r="H2" s="1084"/>
      <c r="I2" s="1"/>
    </row>
    <row r="3" spans="1:9" ht="28.95" customHeight="1" thickBot="1">
      <c r="A3" s="1065" t="s">
        <v>584</v>
      </c>
      <c r="B3" s="1065"/>
      <c r="C3" s="1065"/>
      <c r="D3" s="1065"/>
      <c r="E3" s="1065"/>
      <c r="F3" s="1065"/>
      <c r="G3" s="1065"/>
      <c r="H3" s="1065"/>
      <c r="I3" s="1065"/>
    </row>
    <row r="4" spans="1:9" ht="13.2" customHeight="1">
      <c r="A4" s="1096" t="s">
        <v>581</v>
      </c>
      <c r="B4" s="1097"/>
      <c r="C4" s="1092" t="s">
        <v>582</v>
      </c>
      <c r="D4" s="1093"/>
      <c r="E4" s="2"/>
      <c r="F4" s="1096" t="s">
        <v>581</v>
      </c>
      <c r="G4" s="1097"/>
      <c r="H4" s="1092" t="s">
        <v>582</v>
      </c>
      <c r="I4" s="1093"/>
    </row>
    <row r="5" spans="1:9" ht="13.2" customHeight="1">
      <c r="A5" s="1098"/>
      <c r="B5" s="1099"/>
      <c r="C5" s="1094" t="s">
        <v>583</v>
      </c>
      <c r="D5" s="1095"/>
      <c r="E5" s="2"/>
      <c r="F5" s="1098"/>
      <c r="G5" s="1099"/>
      <c r="H5" s="1094" t="s">
        <v>583</v>
      </c>
      <c r="I5" s="1095"/>
    </row>
    <row r="6" spans="1:9" ht="27" thickBot="1">
      <c r="A6" s="126" t="s">
        <v>577</v>
      </c>
      <c r="B6" s="429" t="s">
        <v>578</v>
      </c>
      <c r="C6" s="429" t="s">
        <v>579</v>
      </c>
      <c r="D6" s="125" t="s">
        <v>580</v>
      </c>
      <c r="E6" s="2"/>
      <c r="F6" s="126" t="s">
        <v>577</v>
      </c>
      <c r="G6" s="429" t="s">
        <v>578</v>
      </c>
      <c r="H6" s="429" t="s">
        <v>579</v>
      </c>
      <c r="I6" s="125" t="s">
        <v>580</v>
      </c>
    </row>
    <row r="7" spans="1:9" ht="17.399999999999999">
      <c r="A7" s="431">
        <v>0</v>
      </c>
      <c r="B7" s="432">
        <v>0.109</v>
      </c>
      <c r="C7" s="448">
        <v>1</v>
      </c>
      <c r="D7" s="449">
        <v>2</v>
      </c>
      <c r="E7" s="430"/>
      <c r="F7" s="433">
        <v>2.5099999999999998</v>
      </c>
      <c r="G7" s="434">
        <v>2.589</v>
      </c>
      <c r="H7" s="450">
        <v>32</v>
      </c>
      <c r="I7" s="451">
        <v>32</v>
      </c>
    </row>
    <row r="8" spans="1:9" ht="17.399999999999999">
      <c r="A8" s="433">
        <v>0.11</v>
      </c>
      <c r="B8" s="434">
        <v>0.189</v>
      </c>
      <c r="C8" s="450">
        <v>2</v>
      </c>
      <c r="D8" s="451">
        <v>2</v>
      </c>
      <c r="E8" s="430"/>
      <c r="F8" s="433">
        <v>2.59</v>
      </c>
      <c r="G8" s="434">
        <v>2.669</v>
      </c>
      <c r="H8" s="450">
        <v>33</v>
      </c>
      <c r="I8" s="451">
        <v>34</v>
      </c>
    </row>
    <row r="9" spans="1:9" ht="17.399999999999999">
      <c r="A9" s="433">
        <v>0.19</v>
      </c>
      <c r="B9" s="434">
        <v>0.26900000000000002</v>
      </c>
      <c r="C9" s="450">
        <v>3</v>
      </c>
      <c r="D9" s="451">
        <v>4</v>
      </c>
      <c r="E9" s="430"/>
      <c r="F9" s="433">
        <v>2.67</v>
      </c>
      <c r="G9" s="434">
        <v>2.7490000000000001</v>
      </c>
      <c r="H9" s="450">
        <v>34</v>
      </c>
      <c r="I9" s="451">
        <v>34</v>
      </c>
    </row>
    <row r="10" spans="1:9" ht="17.399999999999999">
      <c r="A10" s="433">
        <v>0.27</v>
      </c>
      <c r="B10" s="434">
        <v>0.34899999999999998</v>
      </c>
      <c r="C10" s="450">
        <v>4</v>
      </c>
      <c r="D10" s="451">
        <v>4</v>
      </c>
      <c r="E10" s="430"/>
      <c r="F10" s="433">
        <v>2.75</v>
      </c>
      <c r="G10" s="434">
        <v>2.8290000000000002</v>
      </c>
      <c r="H10" s="450">
        <v>35</v>
      </c>
      <c r="I10" s="451">
        <v>36</v>
      </c>
    </row>
    <row r="11" spans="1:9" ht="17.399999999999999">
      <c r="A11" s="433">
        <v>0.35</v>
      </c>
      <c r="B11" s="434">
        <v>0.42899999999999999</v>
      </c>
      <c r="C11" s="450">
        <v>5</v>
      </c>
      <c r="D11" s="451">
        <v>6</v>
      </c>
      <c r="E11" s="430"/>
      <c r="F11" s="433">
        <v>2.83</v>
      </c>
      <c r="G11" s="434">
        <v>2.9089999999999998</v>
      </c>
      <c r="H11" s="450">
        <v>36</v>
      </c>
      <c r="I11" s="451">
        <v>36</v>
      </c>
    </row>
    <row r="12" spans="1:9" ht="17.399999999999999">
      <c r="A12" s="433">
        <v>0.43</v>
      </c>
      <c r="B12" s="434">
        <v>0.50900000000000001</v>
      </c>
      <c r="C12" s="450">
        <v>6</v>
      </c>
      <c r="D12" s="451">
        <v>6</v>
      </c>
      <c r="E12" s="430"/>
      <c r="F12" s="433">
        <v>2.91</v>
      </c>
      <c r="G12" s="434">
        <v>2.9889999999999999</v>
      </c>
      <c r="H12" s="450">
        <v>37</v>
      </c>
      <c r="I12" s="451">
        <v>38</v>
      </c>
    </row>
    <row r="13" spans="1:9" ht="17.399999999999999">
      <c r="A13" s="433">
        <v>0.51</v>
      </c>
      <c r="B13" s="434">
        <v>0.58899999999999997</v>
      </c>
      <c r="C13" s="450">
        <v>7</v>
      </c>
      <c r="D13" s="451">
        <v>8</v>
      </c>
      <c r="E13" s="430"/>
      <c r="F13" s="433">
        <v>2.99</v>
      </c>
      <c r="G13" s="434">
        <v>3.069</v>
      </c>
      <c r="H13" s="450">
        <v>38</v>
      </c>
      <c r="I13" s="451">
        <v>38</v>
      </c>
    </row>
    <row r="14" spans="1:9" ht="17.399999999999999">
      <c r="A14" s="433">
        <v>0.59</v>
      </c>
      <c r="B14" s="434">
        <v>0.66900000000000004</v>
      </c>
      <c r="C14" s="450">
        <v>8</v>
      </c>
      <c r="D14" s="451">
        <v>8</v>
      </c>
      <c r="E14" s="430"/>
      <c r="F14" s="433">
        <v>3.07</v>
      </c>
      <c r="G14" s="434">
        <v>3.149</v>
      </c>
      <c r="H14" s="450">
        <v>39</v>
      </c>
      <c r="I14" s="451">
        <v>40</v>
      </c>
    </row>
    <row r="15" spans="1:9" ht="17.399999999999999">
      <c r="A15" s="433">
        <v>0.67</v>
      </c>
      <c r="B15" s="434">
        <v>0.749</v>
      </c>
      <c r="C15" s="450">
        <v>9</v>
      </c>
      <c r="D15" s="451">
        <v>10</v>
      </c>
      <c r="E15" s="430"/>
      <c r="F15" s="433">
        <v>3.15</v>
      </c>
      <c r="G15" s="434">
        <v>3.2290000000000001</v>
      </c>
      <c r="H15" s="450">
        <v>40</v>
      </c>
      <c r="I15" s="451">
        <v>40</v>
      </c>
    </row>
    <row r="16" spans="1:9" ht="17.399999999999999">
      <c r="A16" s="433">
        <v>0.75</v>
      </c>
      <c r="B16" s="434">
        <v>0.82899999999999996</v>
      </c>
      <c r="C16" s="450">
        <v>10</v>
      </c>
      <c r="D16" s="451">
        <v>10</v>
      </c>
      <c r="E16" s="430"/>
      <c r="F16" s="433">
        <v>3.23</v>
      </c>
      <c r="G16" s="434">
        <v>3.3090000000000002</v>
      </c>
      <c r="H16" s="450">
        <v>41</v>
      </c>
      <c r="I16" s="451">
        <v>42</v>
      </c>
    </row>
    <row r="17" spans="1:9" ht="17.399999999999999">
      <c r="A17" s="433">
        <v>0.83</v>
      </c>
      <c r="B17" s="434">
        <v>0.90900000000000003</v>
      </c>
      <c r="C17" s="450">
        <v>11</v>
      </c>
      <c r="D17" s="451">
        <v>12</v>
      </c>
      <c r="E17" s="430"/>
      <c r="F17" s="433">
        <v>3.31</v>
      </c>
      <c r="G17" s="434">
        <v>3.3889999999999998</v>
      </c>
      <c r="H17" s="450">
        <v>42</v>
      </c>
      <c r="I17" s="451">
        <v>42</v>
      </c>
    </row>
    <row r="18" spans="1:9" ht="17.399999999999999">
      <c r="A18" s="433">
        <v>0.91</v>
      </c>
      <c r="B18" s="434">
        <v>0.98899999999999999</v>
      </c>
      <c r="C18" s="450">
        <v>12</v>
      </c>
      <c r="D18" s="451">
        <v>12</v>
      </c>
      <c r="E18" s="430"/>
      <c r="F18" s="433">
        <v>3.39</v>
      </c>
      <c r="G18" s="434">
        <v>3.4689999999999999</v>
      </c>
      <c r="H18" s="450">
        <v>43</v>
      </c>
      <c r="I18" s="451">
        <v>44</v>
      </c>
    </row>
    <row r="19" spans="1:9" ht="17.399999999999999">
      <c r="A19" s="433">
        <v>0.99</v>
      </c>
      <c r="B19" s="434">
        <v>1.069</v>
      </c>
      <c r="C19" s="450">
        <v>13</v>
      </c>
      <c r="D19" s="451">
        <v>14</v>
      </c>
      <c r="E19" s="430"/>
      <c r="F19" s="433">
        <v>3.47</v>
      </c>
      <c r="G19" s="434">
        <v>3.5489999999999999</v>
      </c>
      <c r="H19" s="450">
        <v>44</v>
      </c>
      <c r="I19" s="451">
        <v>44</v>
      </c>
    </row>
    <row r="20" spans="1:9" ht="17.399999999999999">
      <c r="A20" s="433">
        <v>1.07</v>
      </c>
      <c r="B20" s="434">
        <v>1.149</v>
      </c>
      <c r="C20" s="450">
        <v>14</v>
      </c>
      <c r="D20" s="451">
        <v>14</v>
      </c>
      <c r="E20" s="430"/>
      <c r="F20" s="433">
        <v>3.55</v>
      </c>
      <c r="G20" s="434">
        <v>3.629</v>
      </c>
      <c r="H20" s="450">
        <v>45</v>
      </c>
      <c r="I20" s="451">
        <v>46</v>
      </c>
    </row>
    <row r="21" spans="1:9" ht="17.399999999999999">
      <c r="A21" s="433">
        <v>1.1499999999999999</v>
      </c>
      <c r="B21" s="434">
        <v>1.2290000000000001</v>
      </c>
      <c r="C21" s="450">
        <v>15</v>
      </c>
      <c r="D21" s="451">
        <v>16</v>
      </c>
      <c r="E21" s="430"/>
      <c r="F21" s="433">
        <v>3.63</v>
      </c>
      <c r="G21" s="434">
        <v>3.7090000000000001</v>
      </c>
      <c r="H21" s="450">
        <v>46</v>
      </c>
      <c r="I21" s="451">
        <v>46</v>
      </c>
    </row>
    <row r="22" spans="1:9" ht="17.399999999999999">
      <c r="A22" s="433">
        <v>1.23</v>
      </c>
      <c r="B22" s="434">
        <v>1.3089999999999999</v>
      </c>
      <c r="C22" s="450">
        <v>16</v>
      </c>
      <c r="D22" s="451">
        <v>16</v>
      </c>
      <c r="E22" s="430"/>
      <c r="F22" s="433">
        <v>3.71</v>
      </c>
      <c r="G22" s="434">
        <v>3.7890000000000001</v>
      </c>
      <c r="H22" s="450">
        <v>47</v>
      </c>
      <c r="I22" s="451">
        <v>48</v>
      </c>
    </row>
    <row r="23" spans="1:9" ht="17.399999999999999">
      <c r="A23" s="433">
        <v>1.31</v>
      </c>
      <c r="B23" s="434">
        <v>1.389</v>
      </c>
      <c r="C23" s="450">
        <v>17</v>
      </c>
      <c r="D23" s="451">
        <v>18</v>
      </c>
      <c r="E23" s="430"/>
      <c r="F23" s="433">
        <v>3.79</v>
      </c>
      <c r="G23" s="434">
        <v>3.8690000000000002</v>
      </c>
      <c r="H23" s="450">
        <v>48</v>
      </c>
      <c r="I23" s="451">
        <v>48</v>
      </c>
    </row>
    <row r="24" spans="1:9" ht="17.399999999999999">
      <c r="A24" s="433">
        <v>1.39</v>
      </c>
      <c r="B24" s="434">
        <v>1.4690000000000001</v>
      </c>
      <c r="C24" s="450">
        <v>18</v>
      </c>
      <c r="D24" s="451">
        <v>18</v>
      </c>
      <c r="E24" s="430"/>
      <c r="F24" s="433">
        <v>3.87</v>
      </c>
      <c r="G24" s="434">
        <v>3.9489999999999998</v>
      </c>
      <c r="H24" s="450">
        <v>49</v>
      </c>
      <c r="I24" s="451">
        <v>50</v>
      </c>
    </row>
    <row r="25" spans="1:9" ht="17.399999999999999">
      <c r="A25" s="433">
        <v>1.47</v>
      </c>
      <c r="B25" s="434">
        <v>1.5489999999999999</v>
      </c>
      <c r="C25" s="450">
        <v>19</v>
      </c>
      <c r="D25" s="451">
        <v>20</v>
      </c>
      <c r="E25" s="430"/>
      <c r="F25" s="433">
        <v>3.95</v>
      </c>
      <c r="G25" s="434">
        <v>4.0289999999999999</v>
      </c>
      <c r="H25" s="450">
        <v>50</v>
      </c>
      <c r="I25" s="451">
        <v>50</v>
      </c>
    </row>
    <row r="26" spans="1:9" ht="17.399999999999999">
      <c r="A26" s="433">
        <v>1.55</v>
      </c>
      <c r="B26" s="434">
        <v>1.629</v>
      </c>
      <c r="C26" s="450">
        <v>20</v>
      </c>
      <c r="D26" s="451">
        <v>20</v>
      </c>
      <c r="E26" s="430"/>
      <c r="F26" s="433">
        <v>4.03</v>
      </c>
      <c r="G26" s="434">
        <v>4.109</v>
      </c>
      <c r="H26" s="450">
        <v>51</v>
      </c>
      <c r="I26" s="451">
        <v>52</v>
      </c>
    </row>
    <row r="27" spans="1:9" ht="17.399999999999999">
      <c r="A27" s="433">
        <v>1.63</v>
      </c>
      <c r="B27" s="434">
        <v>1.7090000000000001</v>
      </c>
      <c r="C27" s="450">
        <v>21</v>
      </c>
      <c r="D27" s="451">
        <v>22</v>
      </c>
      <c r="E27" s="430"/>
      <c r="F27" s="433">
        <v>4.1100000000000003</v>
      </c>
      <c r="G27" s="434">
        <v>4.1890000000000001</v>
      </c>
      <c r="H27" s="450">
        <v>52</v>
      </c>
      <c r="I27" s="451">
        <v>52</v>
      </c>
    </row>
    <row r="28" spans="1:9" ht="17.399999999999999">
      <c r="A28" s="433">
        <v>1.71</v>
      </c>
      <c r="B28" s="434">
        <v>1.7889999999999999</v>
      </c>
      <c r="C28" s="450">
        <v>22</v>
      </c>
      <c r="D28" s="451">
        <v>22</v>
      </c>
      <c r="E28" s="430"/>
      <c r="F28" s="433">
        <v>4.1900000000000004</v>
      </c>
      <c r="G28" s="434">
        <v>4.2690000000000001</v>
      </c>
      <c r="H28" s="450">
        <v>53</v>
      </c>
      <c r="I28" s="451">
        <v>54</v>
      </c>
    </row>
    <row r="29" spans="1:9" ht="17.399999999999999">
      <c r="A29" s="433">
        <v>1.79</v>
      </c>
      <c r="B29" s="434">
        <v>1.869</v>
      </c>
      <c r="C29" s="450">
        <v>23</v>
      </c>
      <c r="D29" s="451">
        <v>24</v>
      </c>
      <c r="E29" s="430"/>
      <c r="F29" s="433">
        <v>4.2699999999999996</v>
      </c>
      <c r="G29" s="434">
        <v>4.3490000000000002</v>
      </c>
      <c r="H29" s="450">
        <v>54</v>
      </c>
      <c r="I29" s="451">
        <v>54</v>
      </c>
    </row>
    <row r="30" spans="1:9" ht="17.399999999999999">
      <c r="A30" s="433">
        <v>1.87</v>
      </c>
      <c r="B30" s="434">
        <v>1.9490000000000001</v>
      </c>
      <c r="C30" s="450">
        <v>24</v>
      </c>
      <c r="D30" s="451">
        <v>24</v>
      </c>
      <c r="E30" s="430"/>
      <c r="F30" s="433">
        <v>4.3499999999999996</v>
      </c>
      <c r="G30" s="434">
        <v>4.4290000000000003</v>
      </c>
      <c r="H30" s="450">
        <v>55</v>
      </c>
      <c r="I30" s="451">
        <v>56</v>
      </c>
    </row>
    <row r="31" spans="1:9" ht="17.399999999999999">
      <c r="A31" s="433">
        <v>1.95</v>
      </c>
      <c r="B31" s="434">
        <v>2.0289999999999999</v>
      </c>
      <c r="C31" s="450">
        <v>25</v>
      </c>
      <c r="D31" s="451">
        <v>26</v>
      </c>
      <c r="E31" s="430"/>
      <c r="F31" s="433">
        <v>4.43</v>
      </c>
      <c r="G31" s="434">
        <v>4.5090000000000003</v>
      </c>
      <c r="H31" s="450">
        <v>56</v>
      </c>
      <c r="I31" s="451">
        <v>56</v>
      </c>
    </row>
    <row r="32" spans="1:9" ht="17.399999999999999">
      <c r="A32" s="433">
        <v>2.0299999999999998</v>
      </c>
      <c r="B32" s="434">
        <v>2.109</v>
      </c>
      <c r="C32" s="450">
        <v>26</v>
      </c>
      <c r="D32" s="451">
        <v>26</v>
      </c>
      <c r="E32" s="430"/>
      <c r="F32" s="433">
        <v>4.51</v>
      </c>
      <c r="G32" s="434">
        <v>4.5890000000000004</v>
      </c>
      <c r="H32" s="450">
        <v>57</v>
      </c>
      <c r="I32" s="451">
        <v>58</v>
      </c>
    </row>
    <row r="33" spans="1:9" ht="17.399999999999999">
      <c r="A33" s="433">
        <v>2.11</v>
      </c>
      <c r="B33" s="434">
        <v>2.1890000000000001</v>
      </c>
      <c r="C33" s="450">
        <v>27</v>
      </c>
      <c r="D33" s="451">
        <v>28</v>
      </c>
      <c r="E33" s="430"/>
      <c r="F33" s="433">
        <v>4.59</v>
      </c>
      <c r="G33" s="434">
        <v>4.6689999999999996</v>
      </c>
      <c r="H33" s="450">
        <v>58</v>
      </c>
      <c r="I33" s="451">
        <v>58</v>
      </c>
    </row>
    <row r="34" spans="1:9" ht="17.399999999999999">
      <c r="A34" s="433">
        <v>2.19</v>
      </c>
      <c r="B34" s="434">
        <v>2.2690000000000001</v>
      </c>
      <c r="C34" s="450">
        <v>28</v>
      </c>
      <c r="D34" s="451">
        <v>28</v>
      </c>
      <c r="E34" s="430"/>
      <c r="F34" s="433">
        <v>4.67</v>
      </c>
      <c r="G34" s="434">
        <v>4.7489999999999997</v>
      </c>
      <c r="H34" s="450">
        <v>59</v>
      </c>
      <c r="I34" s="451">
        <v>60</v>
      </c>
    </row>
    <row r="35" spans="1:9" ht="17.399999999999999">
      <c r="A35" s="433">
        <v>2.27</v>
      </c>
      <c r="B35" s="434">
        <v>2.3490000000000002</v>
      </c>
      <c r="C35" s="450">
        <v>29</v>
      </c>
      <c r="D35" s="451">
        <v>30</v>
      </c>
      <c r="E35" s="430"/>
      <c r="F35" s="433">
        <v>4.75</v>
      </c>
      <c r="G35" s="434">
        <v>4.8289999999999997</v>
      </c>
      <c r="H35" s="450">
        <v>60</v>
      </c>
      <c r="I35" s="451">
        <v>60</v>
      </c>
    </row>
    <row r="36" spans="1:9" ht="17.399999999999999">
      <c r="A36" s="433">
        <v>2.35</v>
      </c>
      <c r="B36" s="434">
        <v>2.4289999999999998</v>
      </c>
      <c r="C36" s="450">
        <v>30</v>
      </c>
      <c r="D36" s="451">
        <v>30</v>
      </c>
      <c r="E36" s="430"/>
      <c r="F36" s="433">
        <v>4.83</v>
      </c>
      <c r="G36" s="434">
        <v>4.9089999999999998</v>
      </c>
      <c r="H36" s="450">
        <v>61</v>
      </c>
      <c r="I36" s="451">
        <v>62</v>
      </c>
    </row>
    <row r="37" spans="1:9" ht="18" thickBot="1">
      <c r="A37" s="435">
        <v>2.4300000000000002</v>
      </c>
      <c r="B37" s="436">
        <v>2.5089999999999999</v>
      </c>
      <c r="C37" s="452">
        <v>31</v>
      </c>
      <c r="D37" s="453">
        <v>32</v>
      </c>
      <c r="E37" s="430"/>
      <c r="F37" s="435">
        <v>4.91</v>
      </c>
      <c r="G37" s="436">
        <v>4.9889999999999999</v>
      </c>
      <c r="H37" s="452">
        <v>62</v>
      </c>
      <c r="I37" s="453">
        <v>62</v>
      </c>
    </row>
  </sheetData>
  <mergeCells count="8">
    <mergeCell ref="A2:H2"/>
    <mergeCell ref="C4:D4"/>
    <mergeCell ref="H4:I4"/>
    <mergeCell ref="C5:D5"/>
    <mergeCell ref="A4:B5"/>
    <mergeCell ref="F4:G5"/>
    <mergeCell ref="H5:I5"/>
    <mergeCell ref="A3:I3"/>
  </mergeCells>
  <pageMargins left="0.7" right="0.7" top="0.75" bottom="0.75" header="0.3" footer="0.3"/>
  <pageSetup paperSize="9" orientation="portrait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05C65E-8C34-4C6B-8C63-FD0002749F49}">
  <sheetPr codeName="Лист16">
    <tabColor indexed="35"/>
  </sheetPr>
  <dimension ref="A1:E141"/>
  <sheetViews>
    <sheetView view="pageBreakPreview" zoomScale="90" zoomScaleNormal="100" zoomScaleSheetLayoutView="90" workbookViewId="0">
      <pane ySplit="5" topLeftCell="A7" activePane="bottomLeft" state="frozen"/>
      <selection activeCell="B73" sqref="B73:D73"/>
      <selection pane="bottomLeft" activeCell="D11" sqref="D11:E11"/>
    </sheetView>
  </sheetViews>
  <sheetFormatPr defaultColWidth="9.109375" defaultRowHeight="13.2"/>
  <cols>
    <col min="1" max="1" width="18.6640625" style="1" customWidth="1"/>
    <col min="2" max="2" width="45.6640625" style="1" customWidth="1"/>
    <col min="3" max="3" width="13.33203125" style="1" customWidth="1"/>
    <col min="4" max="4" width="11" style="1" customWidth="1"/>
    <col min="5" max="5" width="12.5546875" style="1" customWidth="1"/>
    <col min="6" max="16384" width="9.109375" style="1"/>
  </cols>
  <sheetData>
    <row r="1" spans="1:5" ht="12" customHeight="1">
      <c r="E1" s="67"/>
    </row>
    <row r="2" spans="1:5" ht="12" customHeight="1">
      <c r="B2" s="10"/>
      <c r="C2" s="10"/>
      <c r="E2" s="4"/>
    </row>
    <row r="3" spans="1:5" ht="0.75" customHeight="1">
      <c r="B3" s="10"/>
      <c r="C3" s="10"/>
      <c r="E3" s="4"/>
    </row>
    <row r="4" spans="1:5" ht="1.5" customHeight="1">
      <c r="B4" s="10"/>
      <c r="C4" s="10"/>
      <c r="E4" s="4"/>
    </row>
    <row r="5" spans="1:5" ht="66.75" customHeight="1">
      <c r="A5" s="1100" t="s">
        <v>995</v>
      </c>
      <c r="B5" s="1100"/>
      <c r="C5" s="1100"/>
      <c r="D5" s="1100"/>
      <c r="E5" s="1100"/>
    </row>
    <row r="6" spans="1:5" ht="25.5" customHeight="1">
      <c r="A6" s="439" t="s">
        <v>600</v>
      </c>
      <c r="B6" s="1090" t="s">
        <v>596</v>
      </c>
      <c r="C6" s="1090"/>
      <c r="D6" s="1090"/>
      <c r="E6" s="1090"/>
    </row>
    <row r="7" spans="1:5" ht="25.5" customHeight="1">
      <c r="A7" s="439" t="s">
        <v>601</v>
      </c>
      <c r="B7" s="1090" t="s">
        <v>597</v>
      </c>
      <c r="C7" s="1090"/>
      <c r="D7" s="1090"/>
      <c r="E7" s="1090"/>
    </row>
    <row r="8" spans="1:5" ht="25.5" customHeight="1" thickBot="1">
      <c r="A8" s="439" t="s">
        <v>598</v>
      </c>
      <c r="B8" s="1090" t="s">
        <v>595</v>
      </c>
      <c r="C8" s="1090"/>
      <c r="D8" s="1090"/>
      <c r="E8" s="1090"/>
    </row>
    <row r="9" spans="1:5" ht="30.75" customHeight="1" thickBot="1">
      <c r="A9" s="165" t="s">
        <v>674</v>
      </c>
      <c r="B9" s="1114" t="s">
        <v>86</v>
      </c>
      <c r="C9" s="1115"/>
      <c r="D9" s="1101" t="s">
        <v>20</v>
      </c>
      <c r="E9" s="1102"/>
    </row>
    <row r="10" spans="1:5" ht="13.8">
      <c r="A10" s="1107" t="s">
        <v>51</v>
      </c>
      <c r="B10" s="1117">
        <v>100</v>
      </c>
      <c r="C10" s="1117"/>
      <c r="D10" s="1103">
        <f>(12.6*KFC!$B$11+KFC!$C$11)*KFC!$C$5</f>
        <v>12.6</v>
      </c>
      <c r="E10" s="1104"/>
    </row>
    <row r="11" spans="1:5" ht="48" customHeight="1">
      <c r="A11" s="1108"/>
      <c r="B11" s="1112" t="s">
        <v>1113</v>
      </c>
      <c r="C11" s="1113"/>
      <c r="D11" s="1105">
        <f>(14.2*KFC!$B$11+KFC!$C$11)*KFC!$C$5</f>
        <v>14.2</v>
      </c>
      <c r="E11" s="1116"/>
    </row>
    <row r="12" spans="1:5" ht="39" customHeight="1">
      <c r="A12" s="1108"/>
      <c r="B12" s="1118" t="s">
        <v>1112</v>
      </c>
      <c r="C12" s="1118"/>
      <c r="D12" s="1105">
        <f>(20.6*KFC!$B$11+KFC!$C$11)*KFC!$C$5</f>
        <v>20.6</v>
      </c>
      <c r="E12" s="1106"/>
    </row>
    <row r="13" spans="1:5" ht="33" customHeight="1">
      <c r="A13" s="1108"/>
      <c r="B13" s="1118" t="s">
        <v>977</v>
      </c>
      <c r="C13" s="1118"/>
      <c r="D13" s="1105">
        <f>(20.6*KFC!$B$11+KFC!$C$11)*KFC!$C$5</f>
        <v>20.6</v>
      </c>
      <c r="E13" s="1106"/>
    </row>
    <row r="14" spans="1:5" ht="31.5" customHeight="1" thickBot="1">
      <c r="A14" s="1109"/>
      <c r="B14" s="1119" t="s">
        <v>1110</v>
      </c>
      <c r="C14" s="1119"/>
      <c r="D14" s="1110">
        <f>(24.7*KFC!$B$11+KFC!$C$11)*KFC!$C$5</f>
        <v>24.7</v>
      </c>
      <c r="E14" s="1111"/>
    </row>
    <row r="15" spans="1:5" ht="20.100000000000001" customHeight="1">
      <c r="A15" s="1123" t="s">
        <v>221</v>
      </c>
      <c r="B15" s="1117" t="s">
        <v>1111</v>
      </c>
      <c r="C15" s="1117"/>
      <c r="D15" s="1103">
        <f>(21.3*KFC!$B$11+KFC!$C$11)*KFC!$C$5</f>
        <v>21.3</v>
      </c>
      <c r="E15" s="1104"/>
    </row>
    <row r="16" spans="1:5" ht="18" customHeight="1" thickBot="1">
      <c r="A16" s="1124"/>
      <c r="B16" s="1119" t="s">
        <v>969</v>
      </c>
      <c r="C16" s="1119"/>
      <c r="D16" s="1110">
        <f>(33.7*KFC!$B$11+KFC!$C$11)*KFC!$C$5</f>
        <v>33.700000000000003</v>
      </c>
      <c r="E16" s="1111"/>
    </row>
    <row r="17" spans="1:5">
      <c r="A17" s="1128"/>
      <c r="B17" s="1128"/>
      <c r="C17" s="1128"/>
      <c r="D17" s="1128"/>
      <c r="E17" s="1128"/>
    </row>
    <row r="18" spans="1:5" ht="49.2" customHeight="1" thickBot="1">
      <c r="A18" s="1122" t="s">
        <v>996</v>
      </c>
      <c r="B18" s="1122"/>
      <c r="C18" s="1122"/>
      <c r="D18" s="1122"/>
      <c r="E18" s="1122"/>
    </row>
    <row r="19" spans="1:5" ht="30.75" customHeight="1" thickBot="1">
      <c r="A19" s="123" t="s">
        <v>123</v>
      </c>
      <c r="B19" s="1120" t="s">
        <v>124</v>
      </c>
      <c r="C19" s="1120"/>
      <c r="D19" s="1121"/>
      <c r="E19" s="122" t="s">
        <v>125</v>
      </c>
    </row>
    <row r="20" spans="1:5" ht="13.8">
      <c r="A20" s="1126" t="s">
        <v>832</v>
      </c>
      <c r="B20" s="1129" t="s">
        <v>838</v>
      </c>
      <c r="C20" s="1129"/>
      <c r="D20" s="1129"/>
      <c r="E20" s="1127">
        <f>(6*KFC!$B$11+KFC!$C$11)*KFC!$C$5</f>
        <v>6</v>
      </c>
    </row>
    <row r="21" spans="1:5" ht="34.950000000000003" customHeight="1">
      <c r="A21" s="1125"/>
      <c r="B21" s="1133" t="s">
        <v>834</v>
      </c>
      <c r="C21" s="1133"/>
      <c r="D21" s="1133"/>
      <c r="E21" s="1073"/>
    </row>
    <row r="22" spans="1:5" ht="15.6" customHeight="1">
      <c r="A22" s="1125" t="s">
        <v>833</v>
      </c>
      <c r="B22" s="1130" t="s">
        <v>838</v>
      </c>
      <c r="C22" s="1130"/>
      <c r="D22" s="1130"/>
      <c r="E22" s="1131">
        <f>(6*KFC!$B$11+KFC!$C$11)*KFC!$C$5</f>
        <v>6</v>
      </c>
    </row>
    <row r="23" spans="1:5" ht="33.6" customHeight="1">
      <c r="A23" s="1125"/>
      <c r="B23" s="1133" t="s">
        <v>835</v>
      </c>
      <c r="C23" s="1133"/>
      <c r="D23" s="1133"/>
      <c r="E23" s="1132"/>
    </row>
    <row r="24" spans="1:5" ht="27.6" customHeight="1">
      <c r="A24" s="1125" t="s">
        <v>127</v>
      </c>
      <c r="B24" s="1130" t="s">
        <v>839</v>
      </c>
      <c r="C24" s="1130"/>
      <c r="D24" s="1130"/>
      <c r="E24" s="1073">
        <f>(19.1*KFC!$B$11+KFC!$C$11)*KFC!$C$5</f>
        <v>19.100000000000001</v>
      </c>
    </row>
    <row r="25" spans="1:5" ht="33" customHeight="1">
      <c r="A25" s="1125"/>
      <c r="B25" s="1133" t="s">
        <v>836</v>
      </c>
      <c r="C25" s="1133"/>
      <c r="D25" s="1133"/>
      <c r="E25" s="1073"/>
    </row>
    <row r="26" spans="1:5" ht="31.2" customHeight="1">
      <c r="A26" s="1125" t="s">
        <v>128</v>
      </c>
      <c r="B26" s="1130" t="s">
        <v>840</v>
      </c>
      <c r="C26" s="1130"/>
      <c r="D26" s="1130"/>
      <c r="E26" s="1073">
        <f>(8.2*KFC!$B$11+KFC!$C$11)*KFC!$C$5</f>
        <v>8.1999999999999993</v>
      </c>
    </row>
    <row r="27" spans="1:5" ht="19.2" customHeight="1">
      <c r="A27" s="1125"/>
      <c r="B27" s="1133" t="s">
        <v>837</v>
      </c>
      <c r="C27" s="1133"/>
      <c r="D27" s="1133"/>
      <c r="E27" s="1073"/>
    </row>
    <row r="28" spans="1:5" ht="13.8">
      <c r="A28" s="1125" t="s">
        <v>830</v>
      </c>
      <c r="B28" s="1130" t="s">
        <v>841</v>
      </c>
      <c r="C28" s="1130"/>
      <c r="D28" s="1130"/>
      <c r="E28" s="1073">
        <f>(6*KFC!$B$11+KFC!$C$11)*KFC!$C$5</f>
        <v>6</v>
      </c>
    </row>
    <row r="29" spans="1:5" ht="38.4" customHeight="1">
      <c r="A29" s="1125"/>
      <c r="B29" s="1133" t="s">
        <v>842</v>
      </c>
      <c r="C29" s="1133"/>
      <c r="D29" s="1133"/>
      <c r="E29" s="1073"/>
    </row>
    <row r="30" spans="1:5" ht="13.8">
      <c r="A30" s="1125" t="s">
        <v>831</v>
      </c>
      <c r="B30" s="1130" t="s">
        <v>841</v>
      </c>
      <c r="C30" s="1130"/>
      <c r="D30" s="1130"/>
      <c r="E30" s="1073">
        <f>(6*KFC!$B$11+KFC!$C$11)*KFC!$C$5</f>
        <v>6</v>
      </c>
    </row>
    <row r="31" spans="1:5" ht="33" customHeight="1" thickBot="1">
      <c r="A31" s="1191"/>
      <c r="B31" s="1152" t="s">
        <v>843</v>
      </c>
      <c r="C31" s="1152"/>
      <c r="D31" s="1152"/>
      <c r="E31" s="1080"/>
    </row>
    <row r="32" spans="1:5" ht="29.25" customHeight="1">
      <c r="A32" s="1184" t="s">
        <v>297</v>
      </c>
      <c r="B32" s="1184"/>
      <c r="C32" s="1184"/>
      <c r="D32" s="1184"/>
      <c r="E32" s="1184"/>
    </row>
    <row r="33" spans="1:5">
      <c r="A33" s="5" t="s">
        <v>227</v>
      </c>
      <c r="B33" s="309"/>
      <c r="C33" s="309"/>
      <c r="D33" s="309"/>
      <c r="E33" s="309"/>
    </row>
    <row r="34" spans="1:5">
      <c r="A34" s="5" t="s">
        <v>1057</v>
      </c>
      <c r="B34" s="309"/>
      <c r="C34" s="309"/>
      <c r="D34" s="309"/>
      <c r="E34" s="309"/>
    </row>
    <row r="35" spans="1:5" ht="13.8" thickBot="1">
      <c r="A35" s="124" t="s">
        <v>66</v>
      </c>
      <c r="B35" s="309"/>
      <c r="C35" s="309"/>
      <c r="D35" s="309"/>
      <c r="E35" s="309"/>
    </row>
    <row r="36" spans="1:5" ht="21" customHeight="1" thickBot="1">
      <c r="A36" s="1134" t="s">
        <v>379</v>
      </c>
      <c r="B36" s="1135"/>
      <c r="C36" s="1135"/>
      <c r="D36" s="1135"/>
      <c r="E36" s="310" t="s">
        <v>380</v>
      </c>
    </row>
    <row r="37" spans="1:5" ht="13.8">
      <c r="A37" s="1185" t="s">
        <v>381</v>
      </c>
      <c r="B37" s="1186"/>
      <c r="C37" s="1186"/>
      <c r="D37" s="1187"/>
      <c r="E37" s="454">
        <f>(1.83*KFC!$B$11*1.02+KFC!$C$11)*KFC!$C$5</f>
        <v>1.8666</v>
      </c>
    </row>
    <row r="38" spans="1:5" ht="15.6">
      <c r="A38" s="1195" t="s">
        <v>382</v>
      </c>
      <c r="B38" s="1196"/>
      <c r="C38" s="1196"/>
      <c r="D38" s="1197"/>
      <c r="E38" s="455">
        <f>(3.66*KFC!$B$11*1.02+KFC!$C$11)*KFC!$C$5</f>
        <v>3.7332000000000001</v>
      </c>
    </row>
    <row r="39" spans="1:5" ht="13.8">
      <c r="A39" s="1195" t="s">
        <v>528</v>
      </c>
      <c r="B39" s="1196"/>
      <c r="C39" s="1196"/>
      <c r="D39" s="1197"/>
      <c r="E39" s="455">
        <f>(10.64*KFC!$B$11+KFC!$C$11)*KFC!$C$5</f>
        <v>10.64</v>
      </c>
    </row>
    <row r="40" spans="1:5" ht="30" customHeight="1">
      <c r="A40" s="1139" t="s">
        <v>385</v>
      </c>
      <c r="B40" s="1140"/>
      <c r="C40" s="1140"/>
      <c r="D40" s="1141"/>
      <c r="E40" s="456">
        <f>(1.83*KFC!$B$11*1.02+KFC!$C$11)*KFC!$C$5</f>
        <v>1.8666</v>
      </c>
    </row>
    <row r="41" spans="1:5" ht="13.8">
      <c r="A41" s="1136" t="s">
        <v>383</v>
      </c>
      <c r="B41" s="1137"/>
      <c r="C41" s="1137"/>
      <c r="D41" s="1138"/>
      <c r="E41" s="455">
        <f>(1.66*KFC!$B$11*1.02+KFC!$C$11)*KFC!$C$5</f>
        <v>1.6932</v>
      </c>
    </row>
    <row r="42" spans="1:5" ht="13.8">
      <c r="A42" s="1136" t="s">
        <v>502</v>
      </c>
      <c r="B42" s="1137"/>
      <c r="C42" s="1137"/>
      <c r="D42" s="1138"/>
      <c r="E42" s="455">
        <f>(1.2*KFC!$B$11*1.02+KFC!$C$11)*KFC!$C$5</f>
        <v>1.224</v>
      </c>
    </row>
    <row r="43" spans="1:5" ht="13.8">
      <c r="A43" s="1136" t="s">
        <v>881</v>
      </c>
      <c r="B43" s="1137"/>
      <c r="C43" s="1137"/>
      <c r="D43" s="1138"/>
      <c r="E43" s="455">
        <f>(0.79*KFC!$B$11+KFC!$C$11)*KFC!$C$5</f>
        <v>0.79</v>
      </c>
    </row>
    <row r="44" spans="1:5" ht="14.4" thickBot="1">
      <c r="A44" s="1149" t="s">
        <v>384</v>
      </c>
      <c r="B44" s="1150"/>
      <c r="C44" s="1150"/>
      <c r="D44" s="1151"/>
      <c r="E44" s="457">
        <f>(4.53*KFC!$B$11+KFC!$C$11)*KFC!$C$5</f>
        <v>4.53</v>
      </c>
    </row>
    <row r="45" spans="1:5" ht="12.75" customHeight="1">
      <c r="A45" s="124"/>
      <c r="B45" s="12"/>
      <c r="C45" s="12"/>
      <c r="D45" s="19"/>
      <c r="E45" s="67"/>
    </row>
    <row r="46" spans="1:5" ht="12.75" customHeight="1">
      <c r="A46" s="124"/>
      <c r="B46" s="12"/>
      <c r="C46" s="12"/>
      <c r="D46" s="19"/>
      <c r="E46" s="67"/>
    </row>
    <row r="47" spans="1:5" ht="12.75" customHeight="1">
      <c r="A47" s="124"/>
      <c r="B47" s="12"/>
      <c r="C47" s="12"/>
      <c r="D47" s="19"/>
      <c r="E47" s="67"/>
    </row>
    <row r="48" spans="1:5" ht="12.75" customHeight="1">
      <c r="A48" s="124"/>
      <c r="B48" s="12"/>
      <c r="C48" s="12"/>
      <c r="D48" s="19"/>
      <c r="E48" s="67"/>
    </row>
    <row r="49" spans="1:5" ht="12.75" customHeight="1">
      <c r="A49" s="124"/>
      <c r="B49" s="12"/>
      <c r="C49" s="12"/>
      <c r="D49" s="19"/>
      <c r="E49" s="67"/>
    </row>
    <row r="50" spans="1:5" ht="12.75" customHeight="1">
      <c r="A50" s="124"/>
      <c r="B50" s="12"/>
      <c r="C50" s="12"/>
      <c r="D50" s="19"/>
    </row>
    <row r="51" spans="1:5" ht="36" customHeight="1">
      <c r="A51" s="1153" t="s">
        <v>257</v>
      </c>
      <c r="B51" s="1153"/>
      <c r="C51" s="1153"/>
      <c r="D51" s="1153"/>
      <c r="E51" s="1153"/>
    </row>
    <row r="52" spans="1:5" ht="24" customHeight="1" thickBot="1">
      <c r="A52" s="1148" t="s">
        <v>264</v>
      </c>
      <c r="B52" s="1148"/>
      <c r="C52" s="1148"/>
      <c r="D52" s="1148"/>
      <c r="E52" s="1148"/>
    </row>
    <row r="53" spans="1:5" ht="27" customHeight="1" thickBot="1">
      <c r="A53" s="165" t="s">
        <v>88</v>
      </c>
      <c r="B53" s="1114" t="s">
        <v>87</v>
      </c>
      <c r="C53" s="1006"/>
      <c r="D53" s="1115"/>
      <c r="E53" s="169" t="s">
        <v>24</v>
      </c>
    </row>
    <row r="54" spans="1:5" ht="19.5" customHeight="1" thickBot="1">
      <c r="A54" s="1198" t="s">
        <v>672</v>
      </c>
      <c r="B54" s="1199"/>
      <c r="C54" s="1199"/>
      <c r="D54" s="1199"/>
      <c r="E54" s="1200"/>
    </row>
    <row r="55" spans="1:5" ht="19.5" customHeight="1">
      <c r="A55" s="1208" t="s">
        <v>884</v>
      </c>
      <c r="B55" s="1192" t="s">
        <v>908</v>
      </c>
      <c r="C55" s="1193"/>
      <c r="D55" s="1194"/>
      <c r="E55" s="1201">
        <f>(117.8*KFC!$B$41+KFC!$C$41)*KFC!$C$5</f>
        <v>117.8</v>
      </c>
    </row>
    <row r="56" spans="1:5" ht="19.5" customHeight="1">
      <c r="A56" s="1209"/>
      <c r="B56" s="1017"/>
      <c r="C56" s="1143"/>
      <c r="D56" s="1144"/>
      <c r="E56" s="1155"/>
    </row>
    <row r="57" spans="1:5" ht="31.95" customHeight="1">
      <c r="A57" s="829" t="s">
        <v>884</v>
      </c>
      <c r="B57" s="1170" t="s">
        <v>1161</v>
      </c>
      <c r="C57" s="1171"/>
      <c r="D57" s="1172"/>
      <c r="E57" s="830">
        <f>(208.9*KFC!$B$41+KFC!$C$41)*KFC!$C$5</f>
        <v>208.9</v>
      </c>
    </row>
    <row r="58" spans="1:5" ht="21.75" customHeight="1">
      <c r="A58" s="1210" t="s">
        <v>90</v>
      </c>
      <c r="B58" s="1170" t="s">
        <v>635</v>
      </c>
      <c r="C58" s="1171"/>
      <c r="D58" s="1172"/>
      <c r="E58" s="1154">
        <f>(126.6*KFC!$B$41+KFC!$C$41)*KFC!$C$5</f>
        <v>126.6</v>
      </c>
    </row>
    <row r="59" spans="1:5" ht="21.75" customHeight="1">
      <c r="A59" s="1209"/>
      <c r="B59" s="1017" t="s">
        <v>847</v>
      </c>
      <c r="C59" s="1143"/>
      <c r="D59" s="1144"/>
      <c r="E59" s="1155"/>
    </row>
    <row r="60" spans="1:5" ht="21.75" customHeight="1">
      <c r="A60" s="663" t="s">
        <v>90</v>
      </c>
      <c r="B60" s="1170" t="s">
        <v>1041</v>
      </c>
      <c r="C60" s="1171"/>
      <c r="D60" s="1172"/>
      <c r="E60" s="643">
        <f>(113.9*KFC!$B$41+KFC!$C$41)*KFC!$C$5</f>
        <v>113.9</v>
      </c>
    </row>
    <row r="61" spans="1:5" ht="21.75" customHeight="1">
      <c r="A61" s="563"/>
      <c r="B61" s="1017" t="s">
        <v>848</v>
      </c>
      <c r="C61" s="1143"/>
      <c r="D61" s="1144"/>
      <c r="E61" s="648"/>
    </row>
    <row r="62" spans="1:5" ht="21.75" customHeight="1">
      <c r="A62" s="535" t="s">
        <v>90</v>
      </c>
      <c r="B62" s="1170" t="s">
        <v>1042</v>
      </c>
      <c r="C62" s="1171"/>
      <c r="D62" s="1172"/>
      <c r="E62" s="660">
        <f>(107.6*KFC!$B$41+KFC!$C$41)*KFC!$C$5</f>
        <v>107.6</v>
      </c>
    </row>
    <row r="63" spans="1:5" ht="21.75" customHeight="1">
      <c r="A63" s="564"/>
      <c r="B63" s="1017" t="s">
        <v>849</v>
      </c>
      <c r="C63" s="1143"/>
      <c r="D63" s="1144"/>
      <c r="E63" s="565"/>
    </row>
    <row r="64" spans="1:5" ht="21.75" customHeight="1">
      <c r="A64" s="461" t="s">
        <v>884</v>
      </c>
      <c r="B64" s="1159" t="s">
        <v>909</v>
      </c>
      <c r="C64" s="1160"/>
      <c r="D64" s="1161"/>
      <c r="E64" s="660">
        <f>(21.6*KFC!$B$41+KFC!$C$41)*KFC!$C$5</f>
        <v>21.6</v>
      </c>
    </row>
    <row r="65" spans="1:5" ht="21.75" customHeight="1">
      <c r="A65" s="664"/>
      <c r="B65" s="1017"/>
      <c r="C65" s="1143"/>
      <c r="D65" s="1144"/>
      <c r="E65" s="566"/>
    </row>
    <row r="66" spans="1:5" ht="21.75" customHeight="1">
      <c r="A66" s="461" t="s">
        <v>90</v>
      </c>
      <c r="B66" s="1159" t="s">
        <v>638</v>
      </c>
      <c r="C66" s="1160"/>
      <c r="D66" s="1161"/>
      <c r="E66" s="660">
        <f>(18.5*KFC!$B$41+KFC!$C$41)*KFC!$C$5</f>
        <v>18.5</v>
      </c>
    </row>
    <row r="67" spans="1:5" ht="21.75" customHeight="1">
      <c r="A67" s="664"/>
      <c r="B67" s="1017" t="s">
        <v>850</v>
      </c>
      <c r="C67" s="1143"/>
      <c r="D67" s="1144"/>
      <c r="E67" s="566"/>
    </row>
    <row r="68" spans="1:5" ht="21.75" customHeight="1">
      <c r="A68" s="554" t="s">
        <v>90</v>
      </c>
      <c r="B68" s="1162" t="s">
        <v>639</v>
      </c>
      <c r="C68" s="1163"/>
      <c r="D68" s="1164"/>
      <c r="E68" s="552">
        <f>(22.8*KFC!$B$41+KFC!$C$41)*KFC!$C$5</f>
        <v>22.8</v>
      </c>
    </row>
    <row r="69" spans="1:5" ht="21.75" customHeight="1">
      <c r="A69" s="661" t="s">
        <v>89</v>
      </c>
      <c r="B69" s="1156" t="s">
        <v>636</v>
      </c>
      <c r="C69" s="1157"/>
      <c r="D69" s="1158"/>
      <c r="E69" s="660">
        <f>(202.5*KFC!$B$41*1.45+KFC!$C$41)*KFC!$C$5</f>
        <v>293.625</v>
      </c>
    </row>
    <row r="70" spans="1:5" ht="21.75" customHeight="1">
      <c r="A70" s="662"/>
      <c r="B70" s="1017" t="s">
        <v>851</v>
      </c>
      <c r="C70" s="1143"/>
      <c r="D70" s="1144"/>
      <c r="E70" s="551"/>
    </row>
    <row r="71" spans="1:5" ht="21.75" customHeight="1">
      <c r="A71" s="1211" t="s">
        <v>89</v>
      </c>
      <c r="B71" s="1159" t="s">
        <v>637</v>
      </c>
      <c r="C71" s="1160"/>
      <c r="D71" s="1161"/>
      <c r="E71" s="1165">
        <f>(215.2*KFC!$B$41*1.45+KFC!$C$41)*KFC!$C$5</f>
        <v>312.03999999999996</v>
      </c>
    </row>
    <row r="72" spans="1:5" ht="21.75" customHeight="1" thickBot="1">
      <c r="A72" s="1212"/>
      <c r="B72" s="1167" t="s">
        <v>851</v>
      </c>
      <c r="C72" s="1168"/>
      <c r="D72" s="1169"/>
      <c r="E72" s="1166"/>
    </row>
    <row r="73" spans="1:5" ht="46.5" customHeight="1" thickBot="1">
      <c r="A73" s="1181" t="s">
        <v>267</v>
      </c>
      <c r="B73" s="1182"/>
      <c r="C73" s="1182"/>
      <c r="D73" s="1182"/>
      <c r="E73" s="1183"/>
    </row>
    <row r="74" spans="1:5" ht="30" customHeight="1" thickBot="1">
      <c r="A74" s="659" t="s">
        <v>263</v>
      </c>
      <c r="B74" s="659" t="s">
        <v>260</v>
      </c>
      <c r="C74" s="666" t="s">
        <v>174</v>
      </c>
      <c r="D74" s="668" t="s">
        <v>175</v>
      </c>
      <c r="E74" s="667" t="s">
        <v>176</v>
      </c>
    </row>
    <row r="75" spans="1:5" ht="21" customHeight="1">
      <c r="A75" s="1179" t="s">
        <v>642</v>
      </c>
      <c r="B75" s="92" t="s">
        <v>1162</v>
      </c>
      <c r="C75" s="91">
        <v>740</v>
      </c>
      <c r="D75" s="91">
        <v>2800</v>
      </c>
      <c r="E75" s="93">
        <v>3400</v>
      </c>
    </row>
    <row r="76" spans="1:5" ht="20.25" customHeight="1">
      <c r="A76" s="1180"/>
      <c r="B76" s="98" t="s">
        <v>910</v>
      </c>
      <c r="C76" s="96">
        <v>740</v>
      </c>
      <c r="D76" s="96">
        <v>2800</v>
      </c>
      <c r="E76" s="97">
        <v>3400</v>
      </c>
    </row>
    <row r="77" spans="1:5" ht="20.25" customHeight="1">
      <c r="A77" s="1180"/>
      <c r="B77" s="98" t="s">
        <v>457</v>
      </c>
      <c r="C77" s="96">
        <v>560</v>
      </c>
      <c r="D77" s="96">
        <v>2800</v>
      </c>
      <c r="E77" s="97">
        <v>3400</v>
      </c>
    </row>
    <row r="78" spans="1:5" ht="20.25" customHeight="1">
      <c r="A78" s="1180"/>
      <c r="B78" s="98" t="s">
        <v>911</v>
      </c>
      <c r="C78" s="96">
        <v>655</v>
      </c>
      <c r="D78" s="96">
        <v>2800</v>
      </c>
      <c r="E78" s="97">
        <v>3400</v>
      </c>
    </row>
    <row r="79" spans="1:5" ht="20.25" customHeight="1">
      <c r="A79" s="1180"/>
      <c r="B79" s="98" t="s">
        <v>1160</v>
      </c>
      <c r="C79" s="96">
        <v>500</v>
      </c>
      <c r="D79" s="96">
        <v>2800</v>
      </c>
      <c r="E79" s="97">
        <v>3400</v>
      </c>
    </row>
    <row r="80" spans="1:5" ht="20.25" customHeight="1">
      <c r="A80" s="1180"/>
      <c r="B80" s="98" t="s">
        <v>1043</v>
      </c>
      <c r="C80" s="665">
        <v>720</v>
      </c>
      <c r="D80" s="96">
        <v>2800</v>
      </c>
      <c r="E80" s="97">
        <v>3400</v>
      </c>
    </row>
    <row r="81" spans="1:5" ht="20.25" customHeight="1">
      <c r="A81" s="1180"/>
      <c r="B81" s="98" t="s">
        <v>1044</v>
      </c>
      <c r="C81" s="96">
        <v>610</v>
      </c>
      <c r="D81" s="96">
        <v>2800</v>
      </c>
      <c r="E81" s="97">
        <v>3400</v>
      </c>
    </row>
    <row r="82" spans="1:5">
      <c r="E82" s="67"/>
    </row>
    <row r="83" spans="1:5" ht="92.25" customHeight="1" thickBot="1">
      <c r="A83" s="1034" t="s">
        <v>997</v>
      </c>
      <c r="B83" s="1034"/>
      <c r="C83" s="1034"/>
      <c r="D83" s="1034"/>
      <c r="E83" s="1034"/>
    </row>
    <row r="84" spans="1:5" ht="32.4" customHeight="1" thickBot="1">
      <c r="A84" s="532" t="s">
        <v>88</v>
      </c>
      <c r="B84" s="1114" t="s">
        <v>87</v>
      </c>
      <c r="C84" s="1006"/>
      <c r="D84" s="1115"/>
      <c r="E84" s="531" t="s">
        <v>24</v>
      </c>
    </row>
    <row r="85" spans="1:5" ht="20.25" customHeight="1">
      <c r="A85" s="545" t="s">
        <v>89</v>
      </c>
      <c r="B85" s="1192" t="s">
        <v>644</v>
      </c>
      <c r="C85" s="1193"/>
      <c r="D85" s="1194"/>
      <c r="E85" s="642">
        <f>(44.3*KFC!$B$41*1.6+KFC!$C$41)*KFC!$C$5</f>
        <v>70.88</v>
      </c>
    </row>
    <row r="86" spans="1:5" ht="20.25" customHeight="1">
      <c r="A86" s="542"/>
      <c r="B86" s="1017" t="s">
        <v>858</v>
      </c>
      <c r="C86" s="1143"/>
      <c r="D86" s="1144"/>
      <c r="E86" s="648"/>
    </row>
    <row r="87" spans="1:5" ht="20.25" customHeight="1">
      <c r="A87" s="546" t="s">
        <v>89</v>
      </c>
      <c r="B87" s="1170" t="s">
        <v>645</v>
      </c>
      <c r="C87" s="1171"/>
      <c r="D87" s="1172"/>
      <c r="E87" s="643">
        <f>(76*KFC!$B$41*1.6+KFC!$C$41)*KFC!$C$5</f>
        <v>121.60000000000001</v>
      </c>
    </row>
    <row r="88" spans="1:5" ht="20.25" customHeight="1">
      <c r="A88" s="542"/>
      <c r="B88" s="1017" t="s">
        <v>859</v>
      </c>
      <c r="C88" s="1143"/>
      <c r="D88" s="1144"/>
      <c r="E88" s="648"/>
    </row>
    <row r="89" spans="1:5" ht="20.25" customHeight="1">
      <c r="A89" s="541" t="s">
        <v>89</v>
      </c>
      <c r="B89" s="1159" t="s">
        <v>91</v>
      </c>
      <c r="C89" s="1160"/>
      <c r="D89" s="1161"/>
      <c r="E89" s="643">
        <f>(178*KFC!$B$41*1.02*1.6+KFC!$C$41)*KFC!$C$5</f>
        <v>290.49600000000004</v>
      </c>
    </row>
    <row r="90" spans="1:5" ht="20.25" customHeight="1">
      <c r="A90" s="542"/>
      <c r="B90" s="1017" t="s">
        <v>860</v>
      </c>
      <c r="C90" s="1143"/>
      <c r="D90" s="1144"/>
      <c r="E90" s="648"/>
    </row>
    <row r="91" spans="1:5" ht="20.25" customHeight="1">
      <c r="A91" s="541" t="s">
        <v>89</v>
      </c>
      <c r="B91" s="1159" t="s">
        <v>817</v>
      </c>
      <c r="C91" s="1160"/>
      <c r="D91" s="1161"/>
      <c r="E91" s="643">
        <f>(95*KFC!$B$41*1.6+KFC!$C$41)*KFC!$C$5</f>
        <v>152</v>
      </c>
    </row>
    <row r="92" spans="1:5" ht="20.25" customHeight="1">
      <c r="A92" s="542"/>
      <c r="B92" s="1176" t="s">
        <v>861</v>
      </c>
      <c r="C92" s="1177"/>
      <c r="D92" s="1178"/>
      <c r="E92" s="648"/>
    </row>
    <row r="93" spans="1:5" ht="20.25" customHeight="1">
      <c r="A93" s="541" t="s">
        <v>89</v>
      </c>
      <c r="B93" s="1159" t="s">
        <v>818</v>
      </c>
      <c r="C93" s="1160"/>
      <c r="D93" s="1161"/>
      <c r="E93" s="643">
        <f>(113.9*KFC!$B$41*1.6+KFC!$C$41)*KFC!$C$5</f>
        <v>182.24</v>
      </c>
    </row>
    <row r="94" spans="1:5" ht="20.25" customHeight="1">
      <c r="A94" s="542"/>
      <c r="B94" s="1176" t="s">
        <v>862</v>
      </c>
      <c r="C94" s="1177"/>
      <c r="D94" s="1178"/>
      <c r="E94" s="648"/>
    </row>
    <row r="95" spans="1:5" ht="20.25" customHeight="1">
      <c r="A95" s="541" t="s">
        <v>89</v>
      </c>
      <c r="B95" s="1159" t="s">
        <v>92</v>
      </c>
      <c r="C95" s="1160"/>
      <c r="D95" s="1161"/>
      <c r="E95" s="643">
        <f>(38*KFC!$B$41*1.02*1.6+KFC!$C$41)*KFC!$C$5</f>
        <v>62.015999999999998</v>
      </c>
    </row>
    <row r="96" spans="1:5" ht="20.25" customHeight="1">
      <c r="A96" s="543"/>
      <c r="B96" s="1017" t="s">
        <v>863</v>
      </c>
      <c r="C96" s="1143"/>
      <c r="D96" s="1144"/>
      <c r="E96" s="644"/>
    </row>
    <row r="97" spans="1:5" ht="20.25" customHeight="1">
      <c r="A97" s="530" t="s">
        <v>89</v>
      </c>
      <c r="B97" s="1162" t="s">
        <v>93</v>
      </c>
      <c r="C97" s="1163"/>
      <c r="D97" s="1164"/>
      <c r="E97" s="551">
        <f>(140.3*KFC!$B$41*1.02*1.6+KFC!$C$41)*KFC!$C$5</f>
        <v>228.96960000000004</v>
      </c>
    </row>
    <row r="98" spans="1:5" ht="20.25" customHeight="1">
      <c r="A98" s="544" t="s">
        <v>90</v>
      </c>
      <c r="B98" s="1188" t="s">
        <v>1058</v>
      </c>
      <c r="C98" s="1189"/>
      <c r="D98" s="1190"/>
      <c r="E98" s="551">
        <f>(17.7*KFC!$B$41+KFC!$C$41)*KFC!$C$5</f>
        <v>17.7</v>
      </c>
    </row>
    <row r="99" spans="1:5" ht="20.25" customHeight="1">
      <c r="A99" s="1173" t="s">
        <v>90</v>
      </c>
      <c r="B99" s="1159" t="s">
        <v>458</v>
      </c>
      <c r="C99" s="1160"/>
      <c r="D99" s="1161"/>
      <c r="E99" s="1142">
        <f>(31.6*KFC!$B$41+KFC!$C$41)*KFC!$C$5</f>
        <v>31.6</v>
      </c>
    </row>
    <row r="100" spans="1:5" ht="20.25" customHeight="1">
      <c r="A100" s="1175"/>
      <c r="B100" s="1017" t="s">
        <v>870</v>
      </c>
      <c r="C100" s="1143"/>
      <c r="D100" s="1144"/>
      <c r="E100" s="1038"/>
    </row>
    <row r="101" spans="1:5" ht="20.25" customHeight="1">
      <c r="A101" s="1173" t="s">
        <v>90</v>
      </c>
      <c r="B101" s="1159" t="s">
        <v>459</v>
      </c>
      <c r="C101" s="1160"/>
      <c r="D101" s="1161"/>
      <c r="E101" s="1142">
        <f>(40.5*KFC!$B$41+KFC!$C$41)*KFC!$C$5</f>
        <v>40.5</v>
      </c>
    </row>
    <row r="102" spans="1:5" ht="20.25" customHeight="1">
      <c r="A102" s="1174"/>
      <c r="B102" s="1017" t="s">
        <v>864</v>
      </c>
      <c r="C102" s="1143"/>
      <c r="D102" s="1144"/>
      <c r="E102" s="1165"/>
    </row>
    <row r="103" spans="1:5" ht="20.25" customHeight="1">
      <c r="A103" s="546" t="s">
        <v>90</v>
      </c>
      <c r="B103" s="1170" t="s">
        <v>646</v>
      </c>
      <c r="C103" s="1171"/>
      <c r="D103" s="1172"/>
      <c r="E103" s="643">
        <f>(31.6*KFC!$B$41+KFC!$C$41)*KFC!$C$5</f>
        <v>31.6</v>
      </c>
    </row>
    <row r="104" spans="1:5" ht="20.25" customHeight="1">
      <c r="A104" s="542"/>
      <c r="B104" s="1017" t="s">
        <v>865</v>
      </c>
      <c r="C104" s="1143"/>
      <c r="D104" s="1144"/>
      <c r="E104" s="648"/>
    </row>
    <row r="105" spans="1:5" ht="20.25" customHeight="1">
      <c r="A105" s="546" t="s">
        <v>90</v>
      </c>
      <c r="B105" s="1170" t="s">
        <v>647</v>
      </c>
      <c r="C105" s="1171"/>
      <c r="D105" s="1172"/>
      <c r="E105" s="643">
        <f>(40.5*KFC!$B$41+KFC!$C$41)*KFC!$C$5</f>
        <v>40.5</v>
      </c>
    </row>
    <row r="106" spans="1:5" ht="20.25" customHeight="1">
      <c r="A106" s="543"/>
      <c r="B106" s="1017" t="s">
        <v>866</v>
      </c>
      <c r="C106" s="1143"/>
      <c r="D106" s="1144"/>
      <c r="E106" s="644"/>
    </row>
    <row r="107" spans="1:5" ht="20.25" customHeight="1">
      <c r="A107" s="1174" t="s">
        <v>90</v>
      </c>
      <c r="B107" s="1159" t="s">
        <v>460</v>
      </c>
      <c r="C107" s="1160"/>
      <c r="D107" s="1161"/>
      <c r="E107" s="1165">
        <f>(31.6*KFC!$B$41+KFC!$C$41)*KFC!$C$5</f>
        <v>31.6</v>
      </c>
    </row>
    <row r="108" spans="1:5" ht="20.25" customHeight="1">
      <c r="A108" s="1175"/>
      <c r="B108" s="1017" t="s">
        <v>867</v>
      </c>
      <c r="C108" s="1143"/>
      <c r="D108" s="1144"/>
      <c r="E108" s="1038"/>
    </row>
    <row r="109" spans="1:5" ht="20.25" customHeight="1">
      <c r="A109" s="1173" t="s">
        <v>90</v>
      </c>
      <c r="B109" s="1159" t="s">
        <v>485</v>
      </c>
      <c r="C109" s="1160"/>
      <c r="D109" s="1161"/>
      <c r="E109" s="1142">
        <f>(40.5*KFC!$B$41+KFC!$C$41)*KFC!$C$5</f>
        <v>40.5</v>
      </c>
    </row>
    <row r="110" spans="1:5" ht="20.25" customHeight="1">
      <c r="A110" s="1175"/>
      <c r="B110" s="1017" t="s">
        <v>868</v>
      </c>
      <c r="C110" s="1143"/>
      <c r="D110" s="1144"/>
      <c r="E110" s="1038"/>
    </row>
    <row r="111" spans="1:5" ht="20.25" customHeight="1">
      <c r="A111" s="460" t="s">
        <v>90</v>
      </c>
      <c r="B111" s="1145" t="s">
        <v>652</v>
      </c>
      <c r="C111" s="1146"/>
      <c r="D111" s="1147"/>
      <c r="E111" s="459">
        <f>(50.6*KFC!$B$41+KFC!$C$41)*KFC!$C$5</f>
        <v>50.6</v>
      </c>
    </row>
    <row r="112" spans="1:5" ht="20.25" customHeight="1">
      <c r="A112" s="1173" t="s">
        <v>90</v>
      </c>
      <c r="B112" s="1159" t="s">
        <v>653</v>
      </c>
      <c r="C112" s="1160"/>
      <c r="D112" s="1161"/>
      <c r="E112" s="1142">
        <f>(7.6*KFC!$B$41+KFC!$C$41)*KFC!$C$5</f>
        <v>7.6</v>
      </c>
    </row>
    <row r="113" spans="1:5" ht="20.25" customHeight="1">
      <c r="A113" s="1175"/>
      <c r="B113" s="1017" t="s">
        <v>869</v>
      </c>
      <c r="C113" s="1143"/>
      <c r="D113" s="1144"/>
      <c r="E113" s="1038"/>
    </row>
    <row r="114" spans="1:5" ht="20.25" customHeight="1">
      <c r="A114" s="460" t="s">
        <v>90</v>
      </c>
      <c r="B114" s="1145" t="s">
        <v>654</v>
      </c>
      <c r="C114" s="1146"/>
      <c r="D114" s="1147"/>
      <c r="E114" s="459">
        <f>(2.5*KFC!$B$41+KFC!$C$41)*KFC!$C$5</f>
        <v>2.5</v>
      </c>
    </row>
    <row r="115" spans="1:5" ht="20.25" customHeight="1" thickBot="1">
      <c r="A115" s="547" t="s">
        <v>90</v>
      </c>
      <c r="B115" s="1202" t="s">
        <v>655</v>
      </c>
      <c r="C115" s="1203"/>
      <c r="D115" s="1204"/>
      <c r="E115" s="548">
        <f>(38*KFC!$B$41+KFC!$C$41)*KFC!$C$5</f>
        <v>38</v>
      </c>
    </row>
    <row r="116" spans="1:5" ht="25.95" customHeight="1">
      <c r="A116" s="460" t="s">
        <v>884</v>
      </c>
      <c r="B116" s="1145" t="s">
        <v>1240</v>
      </c>
      <c r="C116" s="1146"/>
      <c r="D116" s="1147"/>
      <c r="E116" s="645">
        <f>(31.65*KFC!$B$41+KFC!$C$41)*KFC!$C$5</f>
        <v>31.65</v>
      </c>
    </row>
    <row r="117" spans="1:5" ht="25.95" customHeight="1">
      <c r="A117" s="460" t="s">
        <v>884</v>
      </c>
      <c r="B117" s="1145" t="s">
        <v>1241</v>
      </c>
      <c r="C117" s="1146"/>
      <c r="D117" s="1147"/>
      <c r="E117" s="646">
        <f>(37.98*KFC!$B$41+KFC!$C$41)*KFC!$C$5</f>
        <v>37.979999999999997</v>
      </c>
    </row>
    <row r="118" spans="1:5" ht="25.95" customHeight="1">
      <c r="A118" s="460" t="s">
        <v>884</v>
      </c>
      <c r="B118" s="1145" t="s">
        <v>1242</v>
      </c>
      <c r="C118" s="1146"/>
      <c r="D118" s="1147"/>
      <c r="E118" s="646">
        <f>(44.31*KFC!$B$41+KFC!$C$41)*KFC!$C$5</f>
        <v>44.31</v>
      </c>
    </row>
    <row r="119" spans="1:5" ht="25.95" customHeight="1">
      <c r="A119" s="460" t="s">
        <v>884</v>
      </c>
      <c r="B119" s="1145" t="s">
        <v>899</v>
      </c>
      <c r="C119" s="1146"/>
      <c r="D119" s="1147"/>
      <c r="E119" s="646">
        <f>(31.65*KFC!$B$41+KFC!$C$41)*KFC!$C$5</f>
        <v>31.65</v>
      </c>
    </row>
    <row r="120" spans="1:5" ht="25.95" customHeight="1">
      <c r="A120" s="460" t="s">
        <v>884</v>
      </c>
      <c r="B120" s="1145" t="s">
        <v>900</v>
      </c>
      <c r="C120" s="1146"/>
      <c r="D120" s="1147"/>
      <c r="E120" s="646">
        <f>(37.98*KFC!$B$41+KFC!$C$41)*KFC!$C$5</f>
        <v>37.979999999999997</v>
      </c>
    </row>
    <row r="121" spans="1:5" ht="25.95" customHeight="1">
      <c r="A121" s="460" t="s">
        <v>884</v>
      </c>
      <c r="B121" s="1145" t="s">
        <v>901</v>
      </c>
      <c r="C121" s="1146"/>
      <c r="D121" s="1147"/>
      <c r="E121" s="646">
        <f>(75.95*KFC!$B$41+KFC!$C$41)*KFC!$C$5</f>
        <v>75.95</v>
      </c>
    </row>
    <row r="122" spans="1:5" ht="25.95" customHeight="1">
      <c r="A122" s="460" t="s">
        <v>884</v>
      </c>
      <c r="B122" s="1145" t="s">
        <v>1054</v>
      </c>
      <c r="C122" s="1146"/>
      <c r="D122" s="1147"/>
      <c r="E122" s="646">
        <f>(76*KFC!$B$41+KFC!$C$41)*KFC!$C$5</f>
        <v>76</v>
      </c>
    </row>
    <row r="123" spans="1:5" ht="25.95" customHeight="1" thickBot="1">
      <c r="A123" s="547" t="s">
        <v>884</v>
      </c>
      <c r="B123" s="1202" t="s">
        <v>902</v>
      </c>
      <c r="C123" s="1203"/>
      <c r="D123" s="1204"/>
      <c r="E123" s="647">
        <f>(25.32*KFC!$B$41+KFC!$C$41)*KFC!$C$5</f>
        <v>25.32</v>
      </c>
    </row>
    <row r="124" spans="1:5" ht="25.95" customHeight="1">
      <c r="A124" s="870"/>
      <c r="B124" s="870"/>
      <c r="C124" s="870"/>
      <c r="D124" s="870"/>
      <c r="E124" s="719"/>
    </row>
    <row r="125" spans="1:5" ht="25.95" customHeight="1">
      <c r="A125" s="870"/>
      <c r="B125" s="870"/>
      <c r="C125" s="870"/>
      <c r="D125" s="870"/>
      <c r="E125" s="719"/>
    </row>
    <row r="126" spans="1:5" ht="25.95" customHeight="1">
      <c r="A126" s="870"/>
      <c r="B126" s="870"/>
      <c r="C126" s="870"/>
      <c r="D126" s="870"/>
      <c r="E126" s="719"/>
    </row>
    <row r="128" spans="1:5" ht="16.2" thickBot="1">
      <c r="A128" s="1148" t="s">
        <v>1190</v>
      </c>
      <c r="B128" s="1148"/>
      <c r="C128" s="1148"/>
      <c r="D128" s="1148"/>
      <c r="E128" s="1148"/>
    </row>
    <row r="129" spans="1:5" ht="13.8" thickBot="1"/>
    <row r="130" spans="1:5" ht="26.25" customHeight="1" thickBot="1">
      <c r="A130" s="1005" t="s">
        <v>87</v>
      </c>
      <c r="B130" s="1006"/>
      <c r="C130" s="1115"/>
      <c r="D130" s="867" t="s">
        <v>1191</v>
      </c>
      <c r="E130" s="867" t="s">
        <v>1194</v>
      </c>
    </row>
    <row r="131" spans="1:5" ht="21" customHeight="1">
      <c r="A131" s="1205" t="s">
        <v>1180</v>
      </c>
      <c r="B131" s="1206"/>
      <c r="C131" s="1207"/>
      <c r="D131" s="873" t="s">
        <v>526</v>
      </c>
      <c r="E131" s="865">
        <f>(206.72*KFC!$B$41+KFC!$C$41)</f>
        <v>206.72</v>
      </c>
    </row>
    <row r="132" spans="1:5" ht="20.25" customHeight="1">
      <c r="A132" s="1216" t="s">
        <v>1181</v>
      </c>
      <c r="B132" s="1189"/>
      <c r="C132" s="1190"/>
      <c r="D132" s="871" t="s">
        <v>526</v>
      </c>
      <c r="E132" s="866">
        <f>(226.92*KFC!$B$41+KFC!$C$41)</f>
        <v>226.92</v>
      </c>
    </row>
    <row r="133" spans="1:5" ht="19.5" customHeight="1">
      <c r="A133" s="1216" t="s">
        <v>1182</v>
      </c>
      <c r="B133" s="1189"/>
      <c r="C133" s="1190"/>
      <c r="D133" s="869" t="s">
        <v>526</v>
      </c>
      <c r="E133" s="866">
        <f>(624.88*KFC!$B$41+KFC!$C$41)</f>
        <v>624.88</v>
      </c>
    </row>
    <row r="134" spans="1:5" ht="20.25" customHeight="1">
      <c r="A134" s="1216" t="s">
        <v>1183</v>
      </c>
      <c r="B134" s="1189"/>
      <c r="C134" s="1190"/>
      <c r="D134" s="869" t="s">
        <v>526</v>
      </c>
      <c r="E134" s="866">
        <f>(687.38*KFC!$B$41+KFC!$C$41)</f>
        <v>687.38</v>
      </c>
    </row>
    <row r="135" spans="1:5" ht="21" customHeight="1">
      <c r="A135" s="1215" t="s">
        <v>1184</v>
      </c>
      <c r="B135" s="1003"/>
      <c r="C135" s="1003"/>
      <c r="D135" s="869" t="s">
        <v>1192</v>
      </c>
      <c r="E135" s="866">
        <f>(97.05*KFC!$B$41+KFC!$C$41)</f>
        <v>97.05</v>
      </c>
    </row>
    <row r="136" spans="1:5" ht="21" customHeight="1">
      <c r="A136" s="1215" t="s">
        <v>1185</v>
      </c>
      <c r="B136" s="1003"/>
      <c r="C136" s="1003"/>
      <c r="D136" s="869" t="s">
        <v>1192</v>
      </c>
      <c r="E136" s="866">
        <f>(125.45*KFC!$B$41+KFC!$C$41)</f>
        <v>125.45</v>
      </c>
    </row>
    <row r="137" spans="1:5" ht="21.75" customHeight="1">
      <c r="A137" s="1215" t="s">
        <v>1186</v>
      </c>
      <c r="B137" s="1003"/>
      <c r="C137" s="1003"/>
      <c r="D137" s="869" t="s">
        <v>1192</v>
      </c>
      <c r="E137" s="866">
        <f>(222.81*KFC!$B$41+KFC!$C$41)</f>
        <v>222.81</v>
      </c>
    </row>
    <row r="138" spans="1:5" ht="18.75" customHeight="1">
      <c r="A138" s="1215" t="s">
        <v>1187</v>
      </c>
      <c r="B138" s="1003"/>
      <c r="C138" s="1003"/>
      <c r="D138" s="869" t="s">
        <v>526</v>
      </c>
      <c r="E138" s="866">
        <f>(269.6*KFC!$B$41+KFC!$C$41)</f>
        <v>269.60000000000002</v>
      </c>
    </row>
    <row r="139" spans="1:5" ht="19.5" customHeight="1">
      <c r="A139" s="1215" t="s">
        <v>1193</v>
      </c>
      <c r="B139" s="1003"/>
      <c r="C139" s="1003"/>
      <c r="D139" s="869" t="s">
        <v>526</v>
      </c>
      <c r="E139" s="866">
        <f>(402.86*KFC!$B$41+KFC!$C$41)</f>
        <v>402.86</v>
      </c>
    </row>
    <row r="140" spans="1:5" ht="18" customHeight="1">
      <c r="A140" s="1215" t="s">
        <v>1188</v>
      </c>
      <c r="B140" s="1003"/>
      <c r="C140" s="1003"/>
      <c r="D140" s="869" t="s">
        <v>526</v>
      </c>
      <c r="E140" s="866">
        <f>(132.48*KFC!$B$41+KFC!$C$41)</f>
        <v>132.47999999999999</v>
      </c>
    </row>
    <row r="141" spans="1:5" ht="22.5" customHeight="1" thickBot="1">
      <c r="A141" s="1213" t="s">
        <v>1189</v>
      </c>
      <c r="B141" s="1214"/>
      <c r="C141" s="1214"/>
      <c r="D141" s="872" t="s">
        <v>526</v>
      </c>
      <c r="E141" s="866">
        <f>(121.32*KFC!$B$41+KFC!$C$41)</f>
        <v>121.32</v>
      </c>
    </row>
  </sheetData>
  <mergeCells count="153">
    <mergeCell ref="A71:A72"/>
    <mergeCell ref="B60:D60"/>
    <mergeCell ref="B56:D56"/>
    <mergeCell ref="A141:C141"/>
    <mergeCell ref="A135:C135"/>
    <mergeCell ref="A136:C136"/>
    <mergeCell ref="A137:C137"/>
    <mergeCell ref="A138:C138"/>
    <mergeCell ref="A139:C139"/>
    <mergeCell ref="A140:C140"/>
    <mergeCell ref="A133:C133"/>
    <mergeCell ref="A134:C134"/>
    <mergeCell ref="B122:D122"/>
    <mergeCell ref="B115:D115"/>
    <mergeCell ref="B107:D107"/>
    <mergeCell ref="A132:C132"/>
    <mergeCell ref="B112:D112"/>
    <mergeCell ref="B111:D111"/>
    <mergeCell ref="E55:E56"/>
    <mergeCell ref="B85:D85"/>
    <mergeCell ref="B87:D87"/>
    <mergeCell ref="B123:D123"/>
    <mergeCell ref="B119:D119"/>
    <mergeCell ref="A107:A108"/>
    <mergeCell ref="E107:E108"/>
    <mergeCell ref="A109:A110"/>
    <mergeCell ref="A131:C131"/>
    <mergeCell ref="B97:D97"/>
    <mergeCell ref="A128:E128"/>
    <mergeCell ref="B109:D109"/>
    <mergeCell ref="B114:D114"/>
    <mergeCell ref="B120:D120"/>
    <mergeCell ref="B116:D116"/>
    <mergeCell ref="B117:D117"/>
    <mergeCell ref="B118:D118"/>
    <mergeCell ref="A55:A56"/>
    <mergeCell ref="B61:D61"/>
    <mergeCell ref="B57:D57"/>
    <mergeCell ref="B58:D58"/>
    <mergeCell ref="A58:A59"/>
    <mergeCell ref="B62:D62"/>
    <mergeCell ref="B59:D59"/>
    <mergeCell ref="E24:E25"/>
    <mergeCell ref="A26:A27"/>
    <mergeCell ref="E26:E27"/>
    <mergeCell ref="A130:C130"/>
    <mergeCell ref="B27:D27"/>
    <mergeCell ref="A75:A81"/>
    <mergeCell ref="A73:E73"/>
    <mergeCell ref="E101:E102"/>
    <mergeCell ref="A112:A113"/>
    <mergeCell ref="A32:E32"/>
    <mergeCell ref="A37:D37"/>
    <mergeCell ref="B93:D93"/>
    <mergeCell ref="B95:D95"/>
    <mergeCell ref="B98:D98"/>
    <mergeCell ref="B99:D99"/>
    <mergeCell ref="B86:D86"/>
    <mergeCell ref="A30:A31"/>
    <mergeCell ref="B55:D55"/>
    <mergeCell ref="A39:D39"/>
    <mergeCell ref="A54:E54"/>
    <mergeCell ref="A38:D38"/>
    <mergeCell ref="A24:A25"/>
    <mergeCell ref="B24:D24"/>
    <mergeCell ref="B25:D25"/>
    <mergeCell ref="E109:E110"/>
    <mergeCell ref="B89:D89"/>
    <mergeCell ref="A101:A102"/>
    <mergeCell ref="A83:E83"/>
    <mergeCell ref="A99:A100"/>
    <mergeCell ref="B88:D88"/>
    <mergeCell ref="B96:D96"/>
    <mergeCell ref="B94:D94"/>
    <mergeCell ref="B90:D90"/>
    <mergeCell ref="B91:D91"/>
    <mergeCell ref="B104:D104"/>
    <mergeCell ref="B106:D106"/>
    <mergeCell ref="B101:D101"/>
    <mergeCell ref="B92:D92"/>
    <mergeCell ref="B102:D102"/>
    <mergeCell ref="B100:D100"/>
    <mergeCell ref="B105:D105"/>
    <mergeCell ref="B108:D108"/>
    <mergeCell ref="B110:D110"/>
    <mergeCell ref="B84:D84"/>
    <mergeCell ref="E112:E113"/>
    <mergeCell ref="B113:D113"/>
    <mergeCell ref="B121:D121"/>
    <mergeCell ref="A52:E52"/>
    <mergeCell ref="B53:D53"/>
    <mergeCell ref="A44:D44"/>
    <mergeCell ref="A42:D42"/>
    <mergeCell ref="A43:D43"/>
    <mergeCell ref="B31:D31"/>
    <mergeCell ref="A51:E51"/>
    <mergeCell ref="E58:E59"/>
    <mergeCell ref="B69:D69"/>
    <mergeCell ref="B63:D63"/>
    <mergeCell ref="B70:D70"/>
    <mergeCell ref="B64:D64"/>
    <mergeCell ref="B68:D68"/>
    <mergeCell ref="B65:D65"/>
    <mergeCell ref="B66:D66"/>
    <mergeCell ref="E71:E72"/>
    <mergeCell ref="B67:D67"/>
    <mergeCell ref="B72:D72"/>
    <mergeCell ref="B71:D71"/>
    <mergeCell ref="E99:E100"/>
    <mergeCell ref="B103:D103"/>
    <mergeCell ref="B26:D26"/>
    <mergeCell ref="A36:D36"/>
    <mergeCell ref="E30:E31"/>
    <mergeCell ref="B30:D30"/>
    <mergeCell ref="A41:D41"/>
    <mergeCell ref="A28:A29"/>
    <mergeCell ref="B28:D28"/>
    <mergeCell ref="E28:E29"/>
    <mergeCell ref="B29:D29"/>
    <mergeCell ref="A40:D40"/>
    <mergeCell ref="B19:D19"/>
    <mergeCell ref="D16:E16"/>
    <mergeCell ref="B15:C15"/>
    <mergeCell ref="A18:E18"/>
    <mergeCell ref="A15:A16"/>
    <mergeCell ref="B16:C16"/>
    <mergeCell ref="D15:E15"/>
    <mergeCell ref="A22:A23"/>
    <mergeCell ref="A20:A21"/>
    <mergeCell ref="E20:E21"/>
    <mergeCell ref="A17:E17"/>
    <mergeCell ref="B20:D20"/>
    <mergeCell ref="B22:D22"/>
    <mergeCell ref="E22:E23"/>
    <mergeCell ref="B21:D21"/>
    <mergeCell ref="B23:D23"/>
    <mergeCell ref="A5:E5"/>
    <mergeCell ref="D9:E9"/>
    <mergeCell ref="D10:E10"/>
    <mergeCell ref="D12:E12"/>
    <mergeCell ref="D13:E13"/>
    <mergeCell ref="A10:A14"/>
    <mergeCell ref="B6:E6"/>
    <mergeCell ref="D14:E14"/>
    <mergeCell ref="B7:E7"/>
    <mergeCell ref="B11:C11"/>
    <mergeCell ref="B9:C9"/>
    <mergeCell ref="B8:E8"/>
    <mergeCell ref="D11:E11"/>
    <mergeCell ref="B10:C10"/>
    <mergeCell ref="B12:C12"/>
    <mergeCell ref="B13:C13"/>
    <mergeCell ref="B14:C14"/>
  </mergeCells>
  <phoneticPr fontId="7" type="noConversion"/>
  <hyperlinks>
    <hyperlink ref="B8" r:id="rId1" xr:uid="{1B06859C-0180-4C27-B72D-42154510E295}"/>
    <hyperlink ref="B6" r:id="rId2" xr:uid="{15AADCC2-13DD-404A-AD26-ADBDD092BE46}"/>
    <hyperlink ref="B7" r:id="rId3" xr:uid="{D63DA51C-C051-4FCB-A245-C7D56205089C}"/>
    <hyperlink ref="B72" r:id="rId4" xr:uid="{B0F71692-4899-4ED1-A388-2DDB7405EF0E}"/>
    <hyperlink ref="B110" r:id="rId5" xr:uid="{2E3AFD6E-AE3A-40FC-B5C9-BA6444C916A5}"/>
    <hyperlink ref="B108" r:id="rId6" xr:uid="{3B02E452-EC3A-4703-955A-A816CC417FB8}"/>
    <hyperlink ref="B113" r:id="rId7" xr:uid="{F38E1C24-724D-488B-8AC1-6CB2B2D4403A}"/>
    <hyperlink ref="B59" r:id="rId8" xr:uid="{C107FD85-CAB8-4518-B55A-FE11FCBD11A9}"/>
    <hyperlink ref="B61" r:id="rId9" xr:uid="{DBCBBE05-922C-49E3-9EF3-9F9303D97E3F}"/>
    <hyperlink ref="B63" r:id="rId10" xr:uid="{C5631540-2BED-43B4-87D4-1704094B4CA9}"/>
    <hyperlink ref="B67" r:id="rId11" xr:uid="{37732381-4DEC-472B-87B6-EF4EFEB631DE}"/>
    <hyperlink ref="B86" r:id="rId12" xr:uid="{4DCA5E89-FAF0-4A8F-982C-B3B74E1EA4A5}"/>
    <hyperlink ref="B88" r:id="rId13" xr:uid="{9962750C-1C7B-44E1-8A06-572D2601367D}"/>
    <hyperlink ref="B90" r:id="rId14" xr:uid="{5454242C-4FA0-4D0C-ADC5-A14635B97D3F}"/>
    <hyperlink ref="B92" r:id="rId15" xr:uid="{58C34208-F6FC-405D-8968-C6C391DF06CE}"/>
    <hyperlink ref="B94" r:id="rId16" xr:uid="{1B3877C0-19BA-4E90-A7AF-03AE4187C317}"/>
    <hyperlink ref="B96" r:id="rId17" xr:uid="{15D89E99-855E-48CE-B16D-C36657FCE020}"/>
    <hyperlink ref="B100" r:id="rId18" xr:uid="{75C66ACA-8C6E-421A-824A-9367BAE82176}"/>
    <hyperlink ref="B104" r:id="rId19" xr:uid="{D0834E78-3CEA-417F-BD41-A8FC650A7B6B}"/>
    <hyperlink ref="B106" r:id="rId20" xr:uid="{01F050F6-B48B-4139-B5DD-60490FF6ED9F}"/>
  </hyperlinks>
  <pageMargins left="0.53" right="0" top="0.41" bottom="0" header="0" footer="0"/>
  <pageSetup paperSize="9" scale="60" orientation="portrait" r:id="rId21"/>
  <headerFooter alignWithMargins="0"/>
  <rowBreaks count="2" manualBreakCount="2">
    <brk id="44" max="16383" man="1"/>
    <brk id="81" max="4" man="1"/>
  </rowBreaks>
  <legacyDrawing r:id="rId2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D01E57-D3B8-447F-9A3C-5DD0F476A5C8}">
  <dimension ref="A1:AW210"/>
  <sheetViews>
    <sheetView topLeftCell="A5" zoomScaleNormal="100" workbookViewId="0">
      <selection activeCell="R12" sqref="R12"/>
    </sheetView>
  </sheetViews>
  <sheetFormatPr defaultColWidth="9.109375" defaultRowHeight="13.2"/>
  <cols>
    <col min="1" max="1" width="3.5546875" style="462" customWidth="1"/>
    <col min="2" max="2" width="5.6640625" style="462" customWidth="1"/>
    <col min="3" max="3" width="5.5546875" style="462" customWidth="1"/>
    <col min="4" max="7" width="5.33203125" style="462" customWidth="1"/>
    <col min="8" max="50" width="5.6640625" style="462" customWidth="1"/>
    <col min="51" max="16384" width="9.109375" style="462"/>
  </cols>
  <sheetData>
    <row r="1" spans="1:49">
      <c r="A1" s="650"/>
      <c r="B1" s="650"/>
      <c r="C1" s="650"/>
      <c r="D1" s="651"/>
      <c r="E1" s="653"/>
      <c r="F1" s="651"/>
      <c r="G1" s="651"/>
      <c r="H1" s="651"/>
      <c r="P1" s="652"/>
    </row>
    <row r="2" spans="1:49" ht="17.25" customHeight="1">
      <c r="C2" s="1222" t="s">
        <v>990</v>
      </c>
      <c r="D2" s="1222"/>
      <c r="E2" s="1222"/>
      <c r="F2" s="1222"/>
      <c r="G2" s="1222"/>
      <c r="H2" s="1222"/>
      <c r="I2" s="1222"/>
      <c r="J2" s="1222"/>
      <c r="K2" s="1222"/>
      <c r="L2" s="1222"/>
      <c r="M2" s="1222"/>
      <c r="N2" s="1222"/>
      <c r="O2" s="1222"/>
      <c r="P2" s="1222"/>
    </row>
    <row r="3" spans="1:49" ht="17.25" customHeight="1">
      <c r="F3" s="1223" t="s">
        <v>992</v>
      </c>
      <c r="G3" s="1223"/>
      <c r="H3" s="1223"/>
      <c r="I3" s="1223"/>
      <c r="J3" s="1223"/>
      <c r="K3" s="1223"/>
      <c r="L3" s="1223"/>
      <c r="M3" s="1223"/>
      <c r="N3" s="1223"/>
      <c r="O3" s="1223"/>
    </row>
    <row r="4" spans="1:49" ht="24" customHeight="1">
      <c r="A4" s="1263" t="s">
        <v>602</v>
      </c>
      <c r="B4" s="1263"/>
      <c r="C4" s="1263"/>
      <c r="D4" s="1263"/>
      <c r="E4" s="1263"/>
      <c r="F4" s="1264" t="s">
        <v>599</v>
      </c>
      <c r="G4" s="1264"/>
      <c r="H4" s="1264"/>
      <c r="I4" s="1264"/>
      <c r="J4" s="1264"/>
      <c r="K4" s="1264"/>
      <c r="L4" s="1264"/>
      <c r="M4" s="1264"/>
      <c r="N4" s="1264"/>
      <c r="O4" s="1264"/>
      <c r="P4" s="1264"/>
    </row>
    <row r="5" spans="1:49" ht="20.399999999999999" customHeight="1">
      <c r="A5" s="658" t="s">
        <v>999</v>
      </c>
    </row>
    <row r="6" spans="1:49" ht="12.75" customHeight="1">
      <c r="A6" s="1278" t="s">
        <v>988</v>
      </c>
      <c r="B6" s="1278"/>
      <c r="C6" s="1279" t="s">
        <v>356</v>
      </c>
      <c r="D6" s="1279"/>
      <c r="E6" s="1279"/>
      <c r="F6" s="1279"/>
      <c r="G6" s="1279"/>
      <c r="H6" s="1279"/>
      <c r="I6" s="1279"/>
      <c r="J6" s="1279"/>
      <c r="K6" s="1279"/>
      <c r="L6" s="1279"/>
      <c r="M6" s="1279"/>
      <c r="N6" s="1279"/>
      <c r="O6" s="1279"/>
      <c r="P6" s="1279"/>
      <c r="Q6" s="1279"/>
      <c r="R6" s="1279"/>
      <c r="S6" s="1279"/>
      <c r="T6" s="1279"/>
      <c r="U6" s="1279"/>
      <c r="V6" s="1279"/>
      <c r="W6" s="1279"/>
      <c r="X6" s="1279"/>
      <c r="Y6" s="1279"/>
      <c r="Z6" s="1279"/>
      <c r="AA6" s="1279"/>
      <c r="AB6" s="1279"/>
      <c r="AC6" s="1279"/>
      <c r="AD6" s="1279"/>
      <c r="AE6" s="1279"/>
      <c r="AF6" s="1279"/>
      <c r="AG6" s="1279"/>
      <c r="AH6" s="1279"/>
      <c r="AI6" s="1279"/>
      <c r="AJ6" s="1279"/>
      <c r="AK6" s="1279"/>
      <c r="AL6" s="1279"/>
      <c r="AM6" s="1279"/>
      <c r="AN6" s="1279"/>
      <c r="AO6" s="1279"/>
      <c r="AP6" s="1279"/>
      <c r="AQ6" s="1279"/>
      <c r="AR6" s="1279"/>
      <c r="AS6" s="1279"/>
      <c r="AT6" s="1279"/>
      <c r="AU6" s="1279"/>
      <c r="AV6" s="1279"/>
      <c r="AW6" s="1279"/>
    </row>
    <row r="7" spans="1:49" ht="12" customHeight="1">
      <c r="A7" s="1278"/>
      <c r="B7" s="1278"/>
      <c r="C7" s="649">
        <v>0.4</v>
      </c>
      <c r="D7" s="649">
        <v>0.5</v>
      </c>
      <c r="E7" s="649">
        <v>0.6</v>
      </c>
      <c r="F7" s="649">
        <v>0.7</v>
      </c>
      <c r="G7" s="649">
        <v>0.8</v>
      </c>
      <c r="H7" s="649">
        <v>0.9</v>
      </c>
      <c r="I7" s="649">
        <v>1</v>
      </c>
      <c r="J7" s="649">
        <v>1.1000000000000001</v>
      </c>
      <c r="K7" s="649">
        <v>1.2</v>
      </c>
      <c r="L7" s="649">
        <v>1.3</v>
      </c>
      <c r="M7" s="649">
        <v>1.4</v>
      </c>
      <c r="N7" s="649">
        <v>1.5</v>
      </c>
      <c r="O7" s="649">
        <v>1.6</v>
      </c>
      <c r="P7" s="649">
        <v>1.7</v>
      </c>
      <c r="Q7" s="649">
        <v>1.8</v>
      </c>
      <c r="R7" s="649">
        <v>1.9</v>
      </c>
      <c r="S7" s="649">
        <v>2</v>
      </c>
      <c r="T7" s="649">
        <v>2.1</v>
      </c>
      <c r="U7" s="649">
        <v>2.2000000000000002</v>
      </c>
      <c r="V7" s="649">
        <v>2.2999999999999998</v>
      </c>
      <c r="W7" s="649">
        <v>2.4</v>
      </c>
      <c r="X7" s="649">
        <v>2.5</v>
      </c>
      <c r="Y7" s="649">
        <v>2.6</v>
      </c>
      <c r="Z7" s="649">
        <v>2.7</v>
      </c>
      <c r="AA7" s="649">
        <v>2.8</v>
      </c>
      <c r="AB7" s="649">
        <v>2.9</v>
      </c>
      <c r="AC7" s="649">
        <v>3</v>
      </c>
      <c r="AD7" s="649">
        <v>3.1</v>
      </c>
      <c r="AE7" s="649">
        <v>3.2</v>
      </c>
      <c r="AF7" s="649">
        <v>3.3</v>
      </c>
      <c r="AG7" s="649">
        <v>3.4</v>
      </c>
      <c r="AH7" s="649">
        <v>3.5</v>
      </c>
      <c r="AI7" s="649">
        <v>3.6</v>
      </c>
      <c r="AJ7" s="649">
        <v>3.7</v>
      </c>
      <c r="AK7" s="649">
        <v>3.8</v>
      </c>
      <c r="AL7" s="649">
        <v>3.9</v>
      </c>
      <c r="AM7" s="649">
        <v>4</v>
      </c>
      <c r="AN7" s="649">
        <v>4.0999999999999996</v>
      </c>
      <c r="AO7" s="649">
        <v>4.2</v>
      </c>
      <c r="AP7" s="649">
        <v>4.3</v>
      </c>
      <c r="AQ7" s="649">
        <v>4.4000000000000004</v>
      </c>
      <c r="AR7" s="649">
        <v>4.5</v>
      </c>
      <c r="AS7" s="649">
        <v>4.5999999999999996</v>
      </c>
      <c r="AT7" s="649">
        <v>4.7</v>
      </c>
      <c r="AU7" s="649">
        <v>4.8</v>
      </c>
      <c r="AV7" s="649">
        <v>4.9000000000000004</v>
      </c>
      <c r="AW7" s="649">
        <v>5</v>
      </c>
    </row>
    <row r="8" spans="1:49" ht="14.4">
      <c r="A8" s="1277" t="s">
        <v>357</v>
      </c>
      <c r="B8" s="649">
        <v>0.5</v>
      </c>
      <c r="C8" s="654">
        <f>(72.4*KFC!$B$12+KFC!$C$12)*KFC!$C$5</f>
        <v>72.400000000000006</v>
      </c>
      <c r="D8" s="654">
        <f>(75.9*KFC!$B$12+KFC!$C$12)*KFC!$C$5</f>
        <v>75.900000000000006</v>
      </c>
      <c r="E8" s="654">
        <f>(79.4*KFC!$B$12+KFC!$C$12)*KFC!$C$5</f>
        <v>79.400000000000006</v>
      </c>
      <c r="F8" s="654">
        <f>(82.9*KFC!$B$12+KFC!$C$12)*KFC!$C$5</f>
        <v>82.9</v>
      </c>
      <c r="G8" s="654">
        <f>(86.4*KFC!$B$12+KFC!$C$12)*KFC!$C$5</f>
        <v>86.4</v>
      </c>
      <c r="H8" s="654">
        <f>(89.9*KFC!$B$12+KFC!$C$12)*KFC!$C$5</f>
        <v>89.9</v>
      </c>
      <c r="I8" s="654">
        <f>(93.4*KFC!$B$12+KFC!$C$12)*KFC!$C$5</f>
        <v>93.4</v>
      </c>
      <c r="J8" s="654">
        <f>(97*KFC!$B$12+KFC!$C$12)*KFC!$C$5</f>
        <v>97</v>
      </c>
      <c r="K8" s="654">
        <f>(100.5*KFC!$B$12+KFC!$C$12)*KFC!$C$5</f>
        <v>100.5</v>
      </c>
      <c r="L8" s="654">
        <f>(104*KFC!$B$12+KFC!$C$12)*KFC!$C$5</f>
        <v>104</v>
      </c>
      <c r="M8" s="654">
        <f>(107.5*KFC!$B$12+KFC!$C$12)*KFC!$C$5</f>
        <v>107.5</v>
      </c>
      <c r="N8" s="654">
        <f>(111*KFC!$B$12+KFC!$C$12)*KFC!$C$5</f>
        <v>111</v>
      </c>
      <c r="O8" s="654">
        <f>(114.5*KFC!$B$12+KFC!$C$12)*KFC!$C$5</f>
        <v>114.5</v>
      </c>
      <c r="P8" s="654">
        <f>(118*KFC!$B$12+KFC!$C$12)*KFC!$C$5</f>
        <v>118</v>
      </c>
      <c r="Q8" s="654">
        <f>(121.6*KFC!$B$12+KFC!$C$12)*KFC!$C$5</f>
        <v>121.6</v>
      </c>
      <c r="R8" s="654">
        <f>(125.1*KFC!$B$12+KFC!$C$12)*KFC!$C$5</f>
        <v>125.1</v>
      </c>
      <c r="S8" s="654">
        <f>(128.6*KFC!$B$12+KFC!$C$12)*KFC!$C$5</f>
        <v>128.6</v>
      </c>
      <c r="T8" s="654">
        <f>(132.1*KFC!$B$12+KFC!$C$12)*KFC!$C$5</f>
        <v>132.1</v>
      </c>
      <c r="U8" s="654">
        <f>(135.6*KFC!$B$12+KFC!$C$12)*KFC!$C$5</f>
        <v>135.6</v>
      </c>
      <c r="V8" s="654">
        <f>(139.1*KFC!$B$12+KFC!$C$12)*KFC!$C$5</f>
        <v>139.1</v>
      </c>
      <c r="W8" s="654">
        <f>(142.6*KFC!$B$12+KFC!$C$12)*KFC!$C$5</f>
        <v>142.6</v>
      </c>
      <c r="X8" s="654">
        <f>(146.2*KFC!$B$12+KFC!$C$12)*KFC!$C$5</f>
        <v>146.19999999999999</v>
      </c>
      <c r="Y8" s="654">
        <f>(149.7*KFC!$B$12+KFC!$C$12)*KFC!$C$5</f>
        <v>149.69999999999999</v>
      </c>
      <c r="Z8" s="654">
        <f>(153.2*KFC!$B$12+KFC!$C$12)*KFC!$C$5</f>
        <v>153.19999999999999</v>
      </c>
      <c r="AA8" s="654">
        <f>(156.7*KFC!$B$12+KFC!$C$12)*KFC!$C$5</f>
        <v>156.69999999999999</v>
      </c>
      <c r="AB8" s="654">
        <f>(160.2*KFC!$B$12+KFC!$C$12)*KFC!$C$5</f>
        <v>160.19999999999999</v>
      </c>
      <c r="AC8" s="654">
        <f>(163.7*KFC!$B$12+KFC!$C$12)*KFC!$C$5</f>
        <v>163.69999999999999</v>
      </c>
      <c r="AD8" s="654">
        <f>(167.2*KFC!$B$12+KFC!$C$12)*KFC!$C$5</f>
        <v>167.2</v>
      </c>
      <c r="AE8" s="654">
        <f>(170.8*KFC!$B$12+KFC!$C$12)*KFC!$C$5</f>
        <v>170.8</v>
      </c>
      <c r="AF8" s="654">
        <f>(174.3*KFC!$B$12+KFC!$C$12)*KFC!$C$5</f>
        <v>174.3</v>
      </c>
      <c r="AG8" s="654">
        <f>(177.8*KFC!$B$12+KFC!$C$12)*KFC!$C$5</f>
        <v>177.8</v>
      </c>
      <c r="AH8" s="654">
        <f>(181.3*KFC!$B$12+KFC!$C$12)*KFC!$C$5</f>
        <v>181.3</v>
      </c>
      <c r="AI8" s="654">
        <f>(184.8*KFC!$B$12+KFC!$C$12)*KFC!$C$5</f>
        <v>184.8</v>
      </c>
      <c r="AJ8" s="654">
        <f>(188.3*KFC!$B$12+KFC!$C$12)*KFC!$C$5</f>
        <v>188.3</v>
      </c>
      <c r="AK8" s="654">
        <f>(191.8*KFC!$B$12+KFC!$C$12)*KFC!$C$5</f>
        <v>191.8</v>
      </c>
      <c r="AL8" s="654">
        <f>(195.4*KFC!$B$12+KFC!$C$12)*KFC!$C$5</f>
        <v>195.4</v>
      </c>
      <c r="AM8" s="654">
        <f>(198.9*KFC!$B$12+KFC!$C$12)*KFC!$C$5</f>
        <v>198.9</v>
      </c>
      <c r="AN8" s="654">
        <f>(202.4*KFC!$B$12+KFC!$C$12)*KFC!$C$5</f>
        <v>202.4</v>
      </c>
      <c r="AO8" s="654">
        <f>(205.9*KFC!$B$12+KFC!$C$12)*KFC!$C$5</f>
        <v>205.9</v>
      </c>
      <c r="AP8" s="654">
        <f>(209.4*KFC!$B$12+KFC!$C$12)*KFC!$C$5</f>
        <v>209.4</v>
      </c>
      <c r="AQ8" s="654">
        <f>(212.9*KFC!$B$12+KFC!$C$12)*KFC!$C$5</f>
        <v>212.9</v>
      </c>
      <c r="AR8" s="654">
        <f>(216.4*KFC!$B$12+KFC!$C$12)*KFC!$C$5</f>
        <v>216.4</v>
      </c>
      <c r="AS8" s="654">
        <f>(219.9*KFC!$B$12+KFC!$C$12)*KFC!$C$5</f>
        <v>219.9</v>
      </c>
      <c r="AT8" s="654">
        <f>(223.5*KFC!$B$12+KFC!$C$12)*KFC!$C$5</f>
        <v>223.5</v>
      </c>
      <c r="AU8" s="654">
        <f>(227*KFC!$B$12+KFC!$C$12)*KFC!$C$5</f>
        <v>227</v>
      </c>
      <c r="AV8" s="654">
        <f>(230.5*KFC!$B$12+KFC!$C$12)*KFC!$C$5</f>
        <v>230.5</v>
      </c>
      <c r="AW8" s="654">
        <f>(234*KFC!$B$12+KFC!$C$12)*KFC!$C$5</f>
        <v>234</v>
      </c>
    </row>
    <row r="9" spans="1:49" ht="14.4">
      <c r="A9" s="1277"/>
      <c r="B9" s="649">
        <v>0.6</v>
      </c>
      <c r="C9" s="654">
        <f>(73*KFC!$B$12+KFC!$C$12)*KFC!$C$5</f>
        <v>73</v>
      </c>
      <c r="D9" s="654">
        <f>(76.7*KFC!$B$12+KFC!$C$12)*KFC!$C$5</f>
        <v>76.7</v>
      </c>
      <c r="E9" s="654">
        <f>(80.3*KFC!$B$12+KFC!$C$12)*KFC!$C$5</f>
        <v>80.3</v>
      </c>
      <c r="F9" s="654">
        <f>(83.9*KFC!$B$12+KFC!$C$12)*KFC!$C$5</f>
        <v>83.9</v>
      </c>
      <c r="G9" s="654">
        <f>(87.6*KFC!$B$12+KFC!$C$12)*KFC!$C$5</f>
        <v>87.6</v>
      </c>
      <c r="H9" s="654">
        <f>(91.2*KFC!$B$12+KFC!$C$12)*KFC!$C$5</f>
        <v>91.2</v>
      </c>
      <c r="I9" s="654">
        <f>(94.8*KFC!$B$12+KFC!$C$12)*KFC!$C$5</f>
        <v>94.8</v>
      </c>
      <c r="J9" s="654">
        <f>(98.5*KFC!$B$12+KFC!$C$12)*KFC!$C$5</f>
        <v>98.5</v>
      </c>
      <c r="K9" s="654">
        <f>(102.1*KFC!$B$12+KFC!$C$12)*KFC!$C$5</f>
        <v>102.1</v>
      </c>
      <c r="L9" s="654">
        <f>(105.7*KFC!$B$12+KFC!$C$12)*KFC!$C$5</f>
        <v>105.7</v>
      </c>
      <c r="M9" s="654">
        <f>(109.4*KFC!$B$12+KFC!$C$12)*KFC!$C$5</f>
        <v>109.4</v>
      </c>
      <c r="N9" s="654">
        <f>(113*KFC!$B$12+KFC!$C$12)*KFC!$C$5</f>
        <v>113</v>
      </c>
      <c r="O9" s="654">
        <f>(116.6*KFC!$B$12+KFC!$C$12)*KFC!$C$5</f>
        <v>116.6</v>
      </c>
      <c r="P9" s="654">
        <f>(120.3*KFC!$B$12+KFC!$C$12)*KFC!$C$5</f>
        <v>120.3</v>
      </c>
      <c r="Q9" s="654">
        <f>(123.9*KFC!$B$12+KFC!$C$12)*KFC!$C$5</f>
        <v>123.9</v>
      </c>
      <c r="R9" s="654">
        <f>(127.5*KFC!$B$12+KFC!$C$12)*KFC!$C$5</f>
        <v>127.5</v>
      </c>
      <c r="S9" s="654">
        <f>(131.1*KFC!$B$12+KFC!$C$12)*KFC!$C$5</f>
        <v>131.1</v>
      </c>
      <c r="T9" s="654">
        <f>(134.8*KFC!$B$12+KFC!$C$12)*KFC!$C$5</f>
        <v>134.80000000000001</v>
      </c>
      <c r="U9" s="654">
        <f>(138.4*KFC!$B$12+KFC!$C$12)*KFC!$C$5</f>
        <v>138.4</v>
      </c>
      <c r="V9" s="654">
        <f>(142*KFC!$B$12+KFC!$C$12)*KFC!$C$5</f>
        <v>142</v>
      </c>
      <c r="W9" s="654">
        <f>(145.7*KFC!$B$12+KFC!$C$12)*KFC!$C$5</f>
        <v>145.69999999999999</v>
      </c>
      <c r="X9" s="654">
        <f>(149.3*KFC!$B$12+KFC!$C$12)*KFC!$C$5</f>
        <v>149.30000000000001</v>
      </c>
      <c r="Y9" s="654">
        <f>(152.9*KFC!$B$12+KFC!$C$12)*KFC!$C$5</f>
        <v>152.9</v>
      </c>
      <c r="Z9" s="654">
        <f>(156.6*KFC!$B$12+KFC!$C$12)*KFC!$C$5</f>
        <v>156.6</v>
      </c>
      <c r="AA9" s="654">
        <f>(160.2*KFC!$B$12+KFC!$C$12)*KFC!$C$5</f>
        <v>160.19999999999999</v>
      </c>
      <c r="AB9" s="654">
        <f>(163.8*KFC!$B$12+KFC!$C$12)*KFC!$C$5</f>
        <v>163.80000000000001</v>
      </c>
      <c r="AC9" s="654">
        <f>(167.5*KFC!$B$12+KFC!$C$12)*KFC!$C$5</f>
        <v>167.5</v>
      </c>
      <c r="AD9" s="654">
        <f>(171.1*KFC!$B$12+KFC!$C$12)*KFC!$C$5</f>
        <v>171.1</v>
      </c>
      <c r="AE9" s="654">
        <f>(174.7*KFC!$B$12+KFC!$C$12)*KFC!$C$5</f>
        <v>174.7</v>
      </c>
      <c r="AF9" s="654">
        <f>(178.4*KFC!$B$12+KFC!$C$12)*KFC!$C$5</f>
        <v>178.4</v>
      </c>
      <c r="AG9" s="654">
        <f>(182*KFC!$B$12+KFC!$C$12)*KFC!$C$5</f>
        <v>182</v>
      </c>
      <c r="AH9" s="654">
        <f>(185.6*KFC!$B$12+KFC!$C$12)*KFC!$C$5</f>
        <v>185.6</v>
      </c>
      <c r="AI9" s="654">
        <f>(189.3*KFC!$B$12+KFC!$C$12)*KFC!$C$5</f>
        <v>189.3</v>
      </c>
      <c r="AJ9" s="654">
        <f>(192.9*KFC!$B$12+KFC!$C$12)*KFC!$C$5</f>
        <v>192.9</v>
      </c>
      <c r="AK9" s="654">
        <f>(196.5*KFC!$B$12+KFC!$C$12)*KFC!$C$5</f>
        <v>196.5</v>
      </c>
      <c r="AL9" s="654">
        <f>(200.2*KFC!$B$12+KFC!$C$12)*KFC!$C$5</f>
        <v>200.2</v>
      </c>
      <c r="AM9" s="654">
        <f>(203.8*KFC!$B$12+KFC!$C$12)*KFC!$C$5</f>
        <v>203.8</v>
      </c>
      <c r="AN9" s="654">
        <f>(207.4*KFC!$B$12+KFC!$C$12)*KFC!$C$5</f>
        <v>207.4</v>
      </c>
      <c r="AO9" s="654">
        <f>(211.1*KFC!$B$12+KFC!$C$12)*KFC!$C$5</f>
        <v>211.1</v>
      </c>
      <c r="AP9" s="654">
        <f>(214.7*KFC!$B$12+KFC!$C$12)*KFC!$C$5</f>
        <v>214.7</v>
      </c>
      <c r="AQ9" s="654">
        <f>(218.3*KFC!$B$12+KFC!$C$12)*KFC!$C$5</f>
        <v>218.3</v>
      </c>
      <c r="AR9" s="654">
        <f>(222*KFC!$B$12+KFC!$C$12)*KFC!$C$5</f>
        <v>222</v>
      </c>
      <c r="AS9" s="654">
        <f>(225.6*KFC!$B$12+KFC!$C$12)*KFC!$C$5</f>
        <v>225.6</v>
      </c>
      <c r="AT9" s="654">
        <f>(229.2*KFC!$B$12+KFC!$C$12)*KFC!$C$5</f>
        <v>229.2</v>
      </c>
      <c r="AU9" s="654">
        <f>(232.9*KFC!$B$12+KFC!$C$12)*KFC!$C$5</f>
        <v>232.9</v>
      </c>
      <c r="AV9" s="654">
        <f>(236.5*KFC!$B$12+KFC!$C$12)*KFC!$C$5</f>
        <v>236.5</v>
      </c>
      <c r="AW9" s="654">
        <f>(240.1*KFC!$B$12+KFC!$C$12)*KFC!$C$5</f>
        <v>240.1</v>
      </c>
    </row>
    <row r="10" spans="1:49" ht="14.4">
      <c r="A10" s="1277"/>
      <c r="B10" s="649">
        <v>0.7</v>
      </c>
      <c r="C10" s="654">
        <f>(73.7*KFC!$B$12+KFC!$C$12)*KFC!$C$5</f>
        <v>73.7</v>
      </c>
      <c r="D10" s="654">
        <f>(77.4*KFC!$B$12+KFC!$C$12)*KFC!$C$5</f>
        <v>77.400000000000006</v>
      </c>
      <c r="E10" s="654">
        <f>(81.2*KFC!$B$12+KFC!$C$12)*KFC!$C$5</f>
        <v>81.2</v>
      </c>
      <c r="F10" s="654">
        <f>(84.9*KFC!$B$12+KFC!$C$12)*KFC!$C$5</f>
        <v>84.9</v>
      </c>
      <c r="G10" s="654">
        <f>(88.7*KFC!$B$12+KFC!$C$12)*KFC!$C$5</f>
        <v>88.7</v>
      </c>
      <c r="H10" s="654">
        <f>(92.4*KFC!$B$12+KFC!$C$12)*KFC!$C$5</f>
        <v>92.4</v>
      </c>
      <c r="I10" s="654">
        <f>(96.2*KFC!$B$12+KFC!$C$12)*KFC!$C$5</f>
        <v>96.2</v>
      </c>
      <c r="J10" s="654">
        <f>(99.9*KFC!$B$12+KFC!$C$12)*KFC!$C$5</f>
        <v>99.9</v>
      </c>
      <c r="K10" s="654">
        <f>(103.7*KFC!$B$12+KFC!$C$12)*KFC!$C$5</f>
        <v>103.7</v>
      </c>
      <c r="L10" s="654">
        <f>(107.4*KFC!$B$12+KFC!$C$12)*KFC!$C$5</f>
        <v>107.4</v>
      </c>
      <c r="M10" s="654">
        <f>(111.2*KFC!$B$12+KFC!$C$12)*KFC!$C$5</f>
        <v>111.2</v>
      </c>
      <c r="N10" s="654">
        <f>(115*KFC!$B$12+KFC!$C$12)*KFC!$C$5</f>
        <v>115</v>
      </c>
      <c r="O10" s="654">
        <f>(118.7*KFC!$B$12+KFC!$C$12)*KFC!$C$5</f>
        <v>118.7</v>
      </c>
      <c r="P10" s="654">
        <f>(122.5*KFC!$B$12+KFC!$C$12)*KFC!$C$5</f>
        <v>122.5</v>
      </c>
      <c r="Q10" s="654">
        <f>(126.2*KFC!$B$12+KFC!$C$12)*KFC!$C$5</f>
        <v>126.2</v>
      </c>
      <c r="R10" s="654">
        <f>(130*KFC!$B$12+KFC!$C$12)*KFC!$C$5</f>
        <v>130</v>
      </c>
      <c r="S10" s="654">
        <f>(133.7*KFC!$B$12+KFC!$C$12)*KFC!$C$5</f>
        <v>133.69999999999999</v>
      </c>
      <c r="T10" s="654">
        <f>(137.5*KFC!$B$12+KFC!$C$12)*KFC!$C$5</f>
        <v>137.5</v>
      </c>
      <c r="U10" s="654">
        <f>(141.2*KFC!$B$12+KFC!$C$12)*KFC!$C$5</f>
        <v>141.19999999999999</v>
      </c>
      <c r="V10" s="654">
        <f>(145*KFC!$B$12+KFC!$C$12)*KFC!$C$5</f>
        <v>145</v>
      </c>
      <c r="W10" s="654">
        <f>(148.7*KFC!$B$12+KFC!$C$12)*KFC!$C$5</f>
        <v>148.69999999999999</v>
      </c>
      <c r="X10" s="654">
        <f>(152.5*KFC!$B$12+KFC!$C$12)*KFC!$C$5</f>
        <v>152.5</v>
      </c>
      <c r="Y10" s="654">
        <f>(156.2*KFC!$B$12+KFC!$C$12)*KFC!$C$5</f>
        <v>156.19999999999999</v>
      </c>
      <c r="Z10" s="654">
        <f>(160*KFC!$B$12+KFC!$C$12)*KFC!$C$5</f>
        <v>160</v>
      </c>
      <c r="AA10" s="654">
        <f>(163.7*KFC!$B$12+KFC!$C$12)*KFC!$C$5</f>
        <v>163.69999999999999</v>
      </c>
      <c r="AB10" s="654">
        <f>(167.5*KFC!$B$12+KFC!$C$12)*KFC!$C$5</f>
        <v>167.5</v>
      </c>
      <c r="AC10" s="654">
        <f>(171.2*KFC!$B$12+KFC!$C$12)*KFC!$C$5</f>
        <v>171.2</v>
      </c>
      <c r="AD10" s="654">
        <f>(175*KFC!$B$12+KFC!$C$12)*KFC!$C$5</f>
        <v>175</v>
      </c>
      <c r="AE10" s="654">
        <f>(178.7*KFC!$B$12+KFC!$C$12)*KFC!$C$5</f>
        <v>178.7</v>
      </c>
      <c r="AF10" s="654">
        <f>(182.5*KFC!$B$12+KFC!$C$12)*KFC!$C$5</f>
        <v>182.5</v>
      </c>
      <c r="AG10" s="654">
        <f>(186.2*KFC!$B$12+KFC!$C$12)*KFC!$C$5</f>
        <v>186.2</v>
      </c>
      <c r="AH10" s="654">
        <f>(190*KFC!$B$12+KFC!$C$12)*KFC!$C$5</f>
        <v>190</v>
      </c>
      <c r="AI10" s="654">
        <f>(193.7*KFC!$B$12+KFC!$C$12)*KFC!$C$5</f>
        <v>193.7</v>
      </c>
      <c r="AJ10" s="654">
        <f>(197.5*KFC!$B$12+KFC!$C$12)*KFC!$C$5</f>
        <v>197.5</v>
      </c>
      <c r="AK10" s="654">
        <f>(201.2*KFC!$B$12+KFC!$C$12)*KFC!$C$5</f>
        <v>201.2</v>
      </c>
      <c r="AL10" s="654">
        <f>(205*KFC!$B$12+KFC!$C$12)*KFC!$C$5</f>
        <v>205</v>
      </c>
      <c r="AM10" s="654">
        <f>(208.7*KFC!$B$12+KFC!$C$12)*KFC!$C$5</f>
        <v>208.7</v>
      </c>
      <c r="AN10" s="654">
        <f>(212.5*KFC!$B$12+KFC!$C$12)*KFC!$C$5</f>
        <v>212.5</v>
      </c>
      <c r="AO10" s="654">
        <f>(216.3*KFC!$B$12+KFC!$C$12)*KFC!$C$5</f>
        <v>216.3</v>
      </c>
      <c r="AP10" s="654">
        <f>(220*KFC!$B$12+KFC!$C$12)*KFC!$C$5</f>
        <v>220</v>
      </c>
      <c r="AQ10" s="654">
        <f>(223.7*KFC!$B$12+KFC!$C$12)*KFC!$C$5</f>
        <v>223.7</v>
      </c>
      <c r="AR10" s="654">
        <f>(227.5*KFC!$B$12+KFC!$C$12)*KFC!$C$5</f>
        <v>227.5</v>
      </c>
      <c r="AS10" s="654">
        <f>(231.3*KFC!$B$12+KFC!$C$12)*KFC!$C$5</f>
        <v>231.3</v>
      </c>
      <c r="AT10" s="654">
        <f>(235*KFC!$B$12+KFC!$C$12)*KFC!$C$5</f>
        <v>235</v>
      </c>
      <c r="AU10" s="654">
        <f>(238.8*KFC!$B$12+KFC!$C$12)*KFC!$C$5</f>
        <v>238.8</v>
      </c>
      <c r="AV10" s="654">
        <f>(242.5*KFC!$B$12+KFC!$C$12)*KFC!$C$5</f>
        <v>242.5</v>
      </c>
      <c r="AW10" s="654">
        <f>(246.3*KFC!$B$12+KFC!$C$12)*KFC!$C$5</f>
        <v>246.3</v>
      </c>
    </row>
    <row r="11" spans="1:49" ht="14.4">
      <c r="A11" s="1277"/>
      <c r="B11" s="649">
        <v>0.8</v>
      </c>
      <c r="C11" s="654">
        <f>(74.3*KFC!$B$12+KFC!$C$12)*KFC!$C$5</f>
        <v>74.3</v>
      </c>
      <c r="D11" s="654">
        <f>(78.2*KFC!$B$12+KFC!$C$12)*KFC!$C$5</f>
        <v>78.2</v>
      </c>
      <c r="E11" s="654">
        <f>(82.1*KFC!$B$12+KFC!$C$12)*KFC!$C$5</f>
        <v>82.1</v>
      </c>
      <c r="F11" s="654">
        <f>(85.9*KFC!$B$12+KFC!$C$12)*KFC!$C$5</f>
        <v>85.9</v>
      </c>
      <c r="G11" s="654">
        <f>(89.8*KFC!$B$12+KFC!$C$12)*KFC!$C$5</f>
        <v>89.8</v>
      </c>
      <c r="H11" s="654">
        <f>(93.7*KFC!$B$12+KFC!$C$12)*KFC!$C$5</f>
        <v>93.7</v>
      </c>
      <c r="I11" s="654">
        <f>(97.6*KFC!$B$12+KFC!$C$12)*KFC!$C$5</f>
        <v>97.6</v>
      </c>
      <c r="J11" s="654">
        <f>(101.4*KFC!$B$12+KFC!$C$12)*KFC!$C$5</f>
        <v>101.4</v>
      </c>
      <c r="K11" s="654">
        <f>(105.3*KFC!$B$12+KFC!$C$12)*KFC!$C$5</f>
        <v>105.3</v>
      </c>
      <c r="L11" s="654">
        <f>(109.2*KFC!$B$12+KFC!$C$12)*KFC!$C$5</f>
        <v>109.2</v>
      </c>
      <c r="M11" s="654">
        <f>(113.1*KFC!$B$12+KFC!$C$12)*KFC!$C$5</f>
        <v>113.1</v>
      </c>
      <c r="N11" s="654">
        <f>(116.9*KFC!$B$12+KFC!$C$12)*KFC!$C$5</f>
        <v>116.9</v>
      </c>
      <c r="O11" s="654">
        <f>(120.8*KFC!$B$12+KFC!$C$12)*KFC!$C$5</f>
        <v>120.8</v>
      </c>
      <c r="P11" s="654">
        <f>(124.7*KFC!$B$12+KFC!$C$12)*KFC!$C$5</f>
        <v>124.7</v>
      </c>
      <c r="Q11" s="654">
        <f>(128.5*KFC!$B$12+KFC!$C$12)*KFC!$C$5</f>
        <v>128.5</v>
      </c>
      <c r="R11" s="654">
        <f>(132.4*KFC!$B$12+KFC!$C$12)*KFC!$C$5</f>
        <v>132.4</v>
      </c>
      <c r="S11" s="654">
        <f>(136.3*KFC!$B$12+KFC!$C$12)*KFC!$C$5</f>
        <v>136.30000000000001</v>
      </c>
      <c r="T11" s="654">
        <f>(140.1*KFC!$B$12+KFC!$C$12)*KFC!$C$5</f>
        <v>140.1</v>
      </c>
      <c r="U11" s="654">
        <f>(144*KFC!$B$12+KFC!$C$12)*KFC!$C$5</f>
        <v>144</v>
      </c>
      <c r="V11" s="654">
        <f>(147.9*KFC!$B$12+KFC!$C$12)*KFC!$C$5</f>
        <v>147.9</v>
      </c>
      <c r="W11" s="654">
        <f>(151.8*KFC!$B$12+KFC!$C$12)*KFC!$C$5</f>
        <v>151.80000000000001</v>
      </c>
      <c r="X11" s="654">
        <f>(155.6*KFC!$B$12+KFC!$C$12)*KFC!$C$5</f>
        <v>155.6</v>
      </c>
      <c r="Y11" s="654">
        <f>(159.5*KFC!$B$12+KFC!$C$12)*KFC!$C$5</f>
        <v>159.5</v>
      </c>
      <c r="Z11" s="654">
        <f>(163.4*KFC!$B$12+KFC!$C$12)*KFC!$C$5</f>
        <v>163.4</v>
      </c>
      <c r="AA11" s="654">
        <f>(167.2*KFC!$B$12+KFC!$C$12)*KFC!$C$5</f>
        <v>167.2</v>
      </c>
      <c r="AB11" s="654">
        <f>(171.1*KFC!$B$12+KFC!$C$12)*KFC!$C$5</f>
        <v>171.1</v>
      </c>
      <c r="AC11" s="654">
        <f>(175*KFC!$B$12+KFC!$C$12)*KFC!$C$5</f>
        <v>175</v>
      </c>
      <c r="AD11" s="654">
        <f>(178.9*KFC!$B$12+KFC!$C$12)*KFC!$C$5</f>
        <v>178.9</v>
      </c>
      <c r="AE11" s="654">
        <f>(182.7*KFC!$B$12+KFC!$C$12)*KFC!$C$5</f>
        <v>182.7</v>
      </c>
      <c r="AF11" s="654">
        <f>(186.6*KFC!$B$12+KFC!$C$12)*KFC!$C$5</f>
        <v>186.6</v>
      </c>
      <c r="AG11" s="654">
        <f>(190.5*KFC!$B$12+KFC!$C$12)*KFC!$C$5</f>
        <v>190.5</v>
      </c>
      <c r="AH11" s="654">
        <f>(194.3*KFC!$B$12+KFC!$C$12)*KFC!$C$5</f>
        <v>194.3</v>
      </c>
      <c r="AI11" s="654">
        <f>(198.2*KFC!$B$12+KFC!$C$12)*KFC!$C$5</f>
        <v>198.2</v>
      </c>
      <c r="AJ11" s="654">
        <f>(202.1*KFC!$B$12+KFC!$C$12)*KFC!$C$5</f>
        <v>202.1</v>
      </c>
      <c r="AK11" s="654">
        <f>(205.9*KFC!$B$12+KFC!$C$12)*KFC!$C$5</f>
        <v>205.9</v>
      </c>
      <c r="AL11" s="654">
        <f>(209.8*KFC!$B$12+KFC!$C$12)*KFC!$C$5</f>
        <v>209.8</v>
      </c>
      <c r="AM11" s="654">
        <f>(213.7*KFC!$B$12+KFC!$C$12)*KFC!$C$5</f>
        <v>213.7</v>
      </c>
      <c r="AN11" s="654">
        <f>(217.6*KFC!$B$12+KFC!$C$12)*KFC!$C$5</f>
        <v>217.6</v>
      </c>
      <c r="AO11" s="654">
        <f>(221.4*KFC!$B$12+KFC!$C$12)*KFC!$C$5</f>
        <v>221.4</v>
      </c>
      <c r="AP11" s="654">
        <f>(225.3*KFC!$B$12+KFC!$C$12)*KFC!$C$5</f>
        <v>225.3</v>
      </c>
      <c r="AQ11" s="654">
        <f>(229.2*KFC!$B$12+KFC!$C$12)*KFC!$C$5</f>
        <v>229.2</v>
      </c>
      <c r="AR11" s="654">
        <f>(233*KFC!$B$12+KFC!$C$12)*KFC!$C$5</f>
        <v>233</v>
      </c>
      <c r="AS11" s="654">
        <f>(236.9*KFC!$B$12+KFC!$C$12)*KFC!$C$5</f>
        <v>236.9</v>
      </c>
      <c r="AT11" s="654">
        <f>(240.8*KFC!$B$12+KFC!$C$12)*KFC!$C$5</f>
        <v>240.8</v>
      </c>
      <c r="AU11" s="654">
        <f>(244.6*KFC!$B$12+KFC!$C$12)*KFC!$C$5</f>
        <v>244.6</v>
      </c>
      <c r="AV11" s="654">
        <f>(248.5*KFC!$B$12+KFC!$C$12)*KFC!$C$5</f>
        <v>248.5</v>
      </c>
      <c r="AW11" s="654">
        <f>(252.4*KFC!$B$12+KFC!$C$12)*KFC!$C$5</f>
        <v>252.4</v>
      </c>
    </row>
    <row r="12" spans="1:49" ht="14.4">
      <c r="A12" s="1277"/>
      <c r="B12" s="649">
        <v>0.9</v>
      </c>
      <c r="C12" s="654">
        <f>(75*KFC!$B$12+KFC!$C$12)*KFC!$C$5</f>
        <v>75</v>
      </c>
      <c r="D12" s="654">
        <f>(79*KFC!$B$12+KFC!$C$12)*KFC!$C$5</f>
        <v>79</v>
      </c>
      <c r="E12" s="654">
        <f>(83*KFC!$B$12+KFC!$C$12)*KFC!$C$5</f>
        <v>83</v>
      </c>
      <c r="F12" s="654">
        <f>(87*KFC!$B$12+KFC!$C$12)*KFC!$C$5</f>
        <v>87</v>
      </c>
      <c r="G12" s="654">
        <f>(91*KFC!$B$12+KFC!$C$12)*KFC!$C$5</f>
        <v>91</v>
      </c>
      <c r="H12" s="654">
        <f>(95*KFC!$B$12+KFC!$C$12)*KFC!$C$5</f>
        <v>95</v>
      </c>
      <c r="I12" s="654">
        <f>(98.9*KFC!$B$12+KFC!$C$12)*KFC!$C$5</f>
        <v>98.9</v>
      </c>
      <c r="J12" s="654">
        <f>(102.9*KFC!$B$12+KFC!$C$12)*KFC!$C$5</f>
        <v>102.9</v>
      </c>
      <c r="K12" s="654">
        <f>(106.9*KFC!$B$12+KFC!$C$12)*KFC!$C$5</f>
        <v>106.9</v>
      </c>
      <c r="L12" s="654">
        <f>(110.9*KFC!$B$12+KFC!$C$12)*KFC!$C$5</f>
        <v>110.9</v>
      </c>
      <c r="M12" s="654">
        <f>(114.9*KFC!$B$12+KFC!$C$12)*KFC!$C$5</f>
        <v>114.9</v>
      </c>
      <c r="N12" s="654">
        <f>(118.9*KFC!$B$12+KFC!$C$12)*KFC!$C$5</f>
        <v>118.9</v>
      </c>
      <c r="O12" s="654">
        <f>(122.9*KFC!$B$12+KFC!$C$12)*KFC!$C$5</f>
        <v>122.9</v>
      </c>
      <c r="P12" s="654">
        <f>(126.9*KFC!$B$12+KFC!$C$12)*KFC!$C$5</f>
        <v>126.9</v>
      </c>
      <c r="Q12" s="654">
        <f>(130.9*KFC!$B$12+KFC!$C$12)*KFC!$C$5</f>
        <v>130.9</v>
      </c>
      <c r="R12" s="654">
        <f>(134.8*KFC!$B$12+KFC!$C$12)*KFC!$C$5</f>
        <v>134.80000000000001</v>
      </c>
      <c r="S12" s="654">
        <f>(138.8*KFC!$B$12+KFC!$C$12)*KFC!$C$5</f>
        <v>138.80000000000001</v>
      </c>
      <c r="T12" s="654">
        <f>(142.8*KFC!$B$12+KFC!$C$12)*KFC!$C$5</f>
        <v>142.80000000000001</v>
      </c>
      <c r="U12" s="654">
        <f>(146.8*KFC!$B$12+KFC!$C$12)*KFC!$C$5</f>
        <v>146.80000000000001</v>
      </c>
      <c r="V12" s="654">
        <f>(150.8*KFC!$B$12+KFC!$C$12)*KFC!$C$5</f>
        <v>150.80000000000001</v>
      </c>
      <c r="W12" s="654">
        <f>(154.8*KFC!$B$12+KFC!$C$12)*KFC!$C$5</f>
        <v>154.80000000000001</v>
      </c>
      <c r="X12" s="654">
        <f>(158.8*KFC!$B$12+KFC!$C$12)*KFC!$C$5</f>
        <v>158.80000000000001</v>
      </c>
      <c r="Y12" s="654">
        <f>(162.8*KFC!$B$12+KFC!$C$12)*KFC!$C$5</f>
        <v>162.80000000000001</v>
      </c>
      <c r="Z12" s="654">
        <f>(166.8*KFC!$B$12+KFC!$C$12)*KFC!$C$5</f>
        <v>166.8</v>
      </c>
      <c r="AA12" s="654">
        <f>(170.8*KFC!$B$12+KFC!$C$12)*KFC!$C$5</f>
        <v>170.8</v>
      </c>
      <c r="AB12" s="654">
        <f>(174.7*KFC!$B$12+KFC!$C$12)*KFC!$C$5</f>
        <v>174.7</v>
      </c>
      <c r="AC12" s="654">
        <f>(178.7*KFC!$B$12+KFC!$C$12)*KFC!$C$5</f>
        <v>178.7</v>
      </c>
      <c r="AD12" s="654">
        <f>(182.7*KFC!$B$12+KFC!$C$12)*KFC!$C$5</f>
        <v>182.7</v>
      </c>
      <c r="AE12" s="654">
        <f>(186.7*KFC!$B$12+KFC!$C$12)*KFC!$C$5</f>
        <v>186.7</v>
      </c>
      <c r="AF12" s="654">
        <f>(190.7*KFC!$B$12+KFC!$C$12)*KFC!$C$5</f>
        <v>190.7</v>
      </c>
      <c r="AG12" s="654">
        <f>(194.7*KFC!$B$12+KFC!$C$12)*KFC!$C$5</f>
        <v>194.7</v>
      </c>
      <c r="AH12" s="654">
        <f>(198.7*KFC!$B$12+KFC!$C$12)*KFC!$C$5</f>
        <v>198.7</v>
      </c>
      <c r="AI12" s="654">
        <f>(202.7*KFC!$B$12+KFC!$C$12)*KFC!$C$5</f>
        <v>202.7</v>
      </c>
      <c r="AJ12" s="654">
        <f>(206.7*KFC!$B$12+KFC!$C$12)*KFC!$C$5</f>
        <v>206.7</v>
      </c>
      <c r="AK12" s="654">
        <f>(210.6*KFC!$B$12+KFC!$C$12)*KFC!$C$5</f>
        <v>210.6</v>
      </c>
      <c r="AL12" s="654">
        <f>(214.6*KFC!$B$12+KFC!$C$12)*KFC!$C$5</f>
        <v>214.6</v>
      </c>
      <c r="AM12" s="654">
        <f>(218.6*KFC!$B$12+KFC!$C$12)*KFC!$C$5</f>
        <v>218.6</v>
      </c>
      <c r="AN12" s="654">
        <f>(222.6*KFC!$B$12+KFC!$C$12)*KFC!$C$5</f>
        <v>222.6</v>
      </c>
      <c r="AO12" s="654">
        <f>(226.6*KFC!$B$12+KFC!$C$12)*KFC!$C$5</f>
        <v>226.6</v>
      </c>
      <c r="AP12" s="654">
        <f>(230.6*KFC!$B$12+KFC!$C$12)*KFC!$C$5</f>
        <v>230.6</v>
      </c>
      <c r="AQ12" s="654">
        <f>(234.6*KFC!$B$12+KFC!$C$12)*KFC!$C$5</f>
        <v>234.6</v>
      </c>
      <c r="AR12" s="654">
        <f>(238.6*KFC!$B$12+KFC!$C$12)*KFC!$C$5</f>
        <v>238.6</v>
      </c>
      <c r="AS12" s="654">
        <f>(242.6*KFC!$B$12+KFC!$C$12)*KFC!$C$5</f>
        <v>242.6</v>
      </c>
      <c r="AT12" s="654">
        <f>(246.5*KFC!$B$12+KFC!$C$12)*KFC!$C$5</f>
        <v>246.5</v>
      </c>
      <c r="AU12" s="654">
        <f>(250.5*KFC!$B$12+KFC!$C$12)*KFC!$C$5</f>
        <v>250.5</v>
      </c>
      <c r="AV12" s="654">
        <f>(254.5*KFC!$B$12+KFC!$C$12)*KFC!$C$5</f>
        <v>254.5</v>
      </c>
      <c r="AW12" s="654">
        <f>(258.5*KFC!$B$12+KFC!$C$12)*KFC!$C$5</f>
        <v>258.5</v>
      </c>
    </row>
    <row r="13" spans="1:49" ht="14.4">
      <c r="A13" s="1277"/>
      <c r="B13" s="649">
        <v>1</v>
      </c>
      <c r="C13" s="654">
        <f>(75.7*KFC!$B$12+KFC!$C$12)*KFC!$C$5</f>
        <v>75.7</v>
      </c>
      <c r="D13" s="654">
        <f>(79.8*KFC!$B$12+KFC!$C$12)*KFC!$C$5</f>
        <v>79.8</v>
      </c>
      <c r="E13" s="654">
        <f>(83.9*KFC!$B$12+KFC!$C$12)*KFC!$C$5</f>
        <v>83.9</v>
      </c>
      <c r="F13" s="654">
        <f>(88*KFC!$B$12+KFC!$C$12)*KFC!$C$5</f>
        <v>88</v>
      </c>
      <c r="G13" s="654">
        <f>(92.1*KFC!$B$12+KFC!$C$12)*KFC!$C$5</f>
        <v>92.1</v>
      </c>
      <c r="H13" s="654">
        <f>(96.2*KFC!$B$12+KFC!$C$12)*KFC!$C$5</f>
        <v>96.2</v>
      </c>
      <c r="I13" s="654">
        <f>(100.3*KFC!$B$12+KFC!$C$12)*KFC!$C$5</f>
        <v>100.3</v>
      </c>
      <c r="J13" s="654">
        <f>(104.4*KFC!$B$12+KFC!$C$12)*KFC!$C$5</f>
        <v>104.4</v>
      </c>
      <c r="K13" s="654">
        <f>(108.5*KFC!$B$12+KFC!$C$12)*KFC!$C$5</f>
        <v>108.5</v>
      </c>
      <c r="L13" s="654">
        <f>(112.6*KFC!$B$12+KFC!$C$12)*KFC!$C$5</f>
        <v>112.6</v>
      </c>
      <c r="M13" s="654">
        <f>(116.7*KFC!$B$12+KFC!$C$12)*KFC!$C$5</f>
        <v>116.7</v>
      </c>
      <c r="N13" s="654">
        <f>(120.8*KFC!$B$12+KFC!$C$12)*KFC!$C$5</f>
        <v>120.8</v>
      </c>
      <c r="O13" s="654">
        <f>(125*KFC!$B$12+KFC!$C$12)*KFC!$C$5</f>
        <v>125</v>
      </c>
      <c r="P13" s="654">
        <f>(129.1*KFC!$B$12+KFC!$C$12)*KFC!$C$5</f>
        <v>129.1</v>
      </c>
      <c r="Q13" s="654">
        <f>(133.2*KFC!$B$12+KFC!$C$12)*KFC!$C$5</f>
        <v>133.19999999999999</v>
      </c>
      <c r="R13" s="654">
        <f>(137.3*KFC!$B$12+KFC!$C$12)*KFC!$C$5</f>
        <v>137.30000000000001</v>
      </c>
      <c r="S13" s="654">
        <f>(141.4*KFC!$B$12+KFC!$C$12)*KFC!$C$5</f>
        <v>141.4</v>
      </c>
      <c r="T13" s="654">
        <f>(145.5*KFC!$B$12+KFC!$C$12)*KFC!$C$5</f>
        <v>145.5</v>
      </c>
      <c r="U13" s="654">
        <f>(149.6*KFC!$B$12+KFC!$C$12)*KFC!$C$5</f>
        <v>149.6</v>
      </c>
      <c r="V13" s="654">
        <f>(153.7*KFC!$B$12+KFC!$C$12)*KFC!$C$5</f>
        <v>153.69999999999999</v>
      </c>
      <c r="W13" s="654">
        <f>(157.8*KFC!$B$12+KFC!$C$12)*KFC!$C$5</f>
        <v>157.80000000000001</v>
      </c>
      <c r="X13" s="654">
        <f>(161.9*KFC!$B$12+KFC!$C$12)*KFC!$C$5</f>
        <v>161.9</v>
      </c>
      <c r="Y13" s="654">
        <f>(166*KFC!$B$12+KFC!$C$12)*KFC!$C$5</f>
        <v>166</v>
      </c>
      <c r="Z13" s="654">
        <f>(170.1*KFC!$B$12+KFC!$C$12)*KFC!$C$5</f>
        <v>170.1</v>
      </c>
      <c r="AA13" s="654">
        <f>(174.3*KFC!$B$12+KFC!$C$12)*KFC!$C$5</f>
        <v>174.3</v>
      </c>
      <c r="AB13" s="654">
        <f>(178.4*KFC!$B$12+KFC!$C$12)*KFC!$C$5</f>
        <v>178.4</v>
      </c>
      <c r="AC13" s="654">
        <f>(182.5*KFC!$B$12+KFC!$C$12)*KFC!$C$5</f>
        <v>182.5</v>
      </c>
      <c r="AD13" s="654">
        <f>(186.6*KFC!$B$12+KFC!$C$12)*KFC!$C$5</f>
        <v>186.6</v>
      </c>
      <c r="AE13" s="654">
        <f>(190.7*KFC!$B$12+KFC!$C$12)*KFC!$C$5</f>
        <v>190.7</v>
      </c>
      <c r="AF13" s="654">
        <f>(194.8*KFC!$B$12+KFC!$C$12)*KFC!$C$5</f>
        <v>194.8</v>
      </c>
      <c r="AG13" s="654">
        <f>(198.9*KFC!$B$12+KFC!$C$12)*KFC!$C$5</f>
        <v>198.9</v>
      </c>
      <c r="AH13" s="654">
        <f>(203*KFC!$B$12+KFC!$C$12)*KFC!$C$5</f>
        <v>203</v>
      </c>
      <c r="AI13" s="654">
        <f>(207.1*KFC!$B$12+KFC!$C$12)*KFC!$C$5</f>
        <v>207.1</v>
      </c>
      <c r="AJ13" s="654">
        <f>(211.2*KFC!$B$12+KFC!$C$12)*KFC!$C$5</f>
        <v>211.2</v>
      </c>
      <c r="AK13" s="654">
        <f>(215.3*KFC!$B$12+KFC!$C$12)*KFC!$C$5</f>
        <v>215.3</v>
      </c>
      <c r="AL13" s="654">
        <f>(219.4*KFC!$B$12+KFC!$C$12)*KFC!$C$5</f>
        <v>219.4</v>
      </c>
      <c r="AM13" s="654">
        <f>(223.6*KFC!$B$12+KFC!$C$12)*KFC!$C$5</f>
        <v>223.6</v>
      </c>
      <c r="AN13" s="654">
        <f>(227.7*KFC!$B$12+KFC!$C$12)*KFC!$C$5</f>
        <v>227.7</v>
      </c>
      <c r="AO13" s="654">
        <f>(231.8*KFC!$B$12+KFC!$C$12)*KFC!$C$5</f>
        <v>231.8</v>
      </c>
      <c r="AP13" s="654">
        <f>(235.9*KFC!$B$12+KFC!$C$12)*KFC!$C$5</f>
        <v>235.9</v>
      </c>
      <c r="AQ13" s="654">
        <f>(240*KFC!$B$12+KFC!$C$12)*KFC!$C$5</f>
        <v>240</v>
      </c>
      <c r="AR13" s="654">
        <f>(244.1*KFC!$B$12+KFC!$C$12)*KFC!$C$5</f>
        <v>244.1</v>
      </c>
      <c r="AS13" s="654">
        <f>(248.2*KFC!$B$12+KFC!$C$12)*KFC!$C$5</f>
        <v>248.2</v>
      </c>
      <c r="AT13" s="654">
        <f>(252.3*KFC!$B$12+KFC!$C$12)*KFC!$C$5</f>
        <v>252.3</v>
      </c>
      <c r="AU13" s="654">
        <f>(256.4*KFC!$B$12+KFC!$C$12)*KFC!$C$5</f>
        <v>256.39999999999998</v>
      </c>
      <c r="AV13" s="654">
        <f>(260.5*KFC!$B$12+KFC!$C$12)*KFC!$C$5</f>
        <v>260.5</v>
      </c>
      <c r="AW13" s="654">
        <f>(264.6*KFC!$B$12+KFC!$C$12)*KFC!$C$5</f>
        <v>264.60000000000002</v>
      </c>
    </row>
    <row r="14" spans="1:49" ht="14.4">
      <c r="A14" s="1277"/>
      <c r="B14" s="649">
        <v>1.1000000000000001</v>
      </c>
      <c r="C14" s="654">
        <f>(76.3*KFC!$B$12+KFC!$C$12)*KFC!$C$5</f>
        <v>76.3</v>
      </c>
      <c r="D14" s="654">
        <f>(80.5*KFC!$B$12+KFC!$C$12)*KFC!$C$5</f>
        <v>80.5</v>
      </c>
      <c r="E14" s="654">
        <f>(84.8*KFC!$B$12+KFC!$C$12)*KFC!$C$5</f>
        <v>84.8</v>
      </c>
      <c r="F14" s="654">
        <f>(89*KFC!$B$12+KFC!$C$12)*KFC!$C$5</f>
        <v>89</v>
      </c>
      <c r="G14" s="654">
        <f>(93.2*KFC!$B$12+KFC!$C$12)*KFC!$C$5</f>
        <v>93.2</v>
      </c>
      <c r="H14" s="654">
        <f>(97.5*KFC!$B$12+KFC!$C$12)*KFC!$C$5</f>
        <v>97.5</v>
      </c>
      <c r="I14" s="654">
        <f>(101.7*KFC!$B$12+KFC!$C$12)*KFC!$C$5</f>
        <v>101.7</v>
      </c>
      <c r="J14" s="654">
        <f>(105.9*KFC!$B$12+KFC!$C$12)*KFC!$C$5</f>
        <v>105.9</v>
      </c>
      <c r="K14" s="654">
        <f>(110.1*KFC!$B$12+KFC!$C$12)*KFC!$C$5</f>
        <v>110.1</v>
      </c>
      <c r="L14" s="654">
        <f>(114.4*KFC!$B$12+KFC!$C$12)*KFC!$C$5</f>
        <v>114.4</v>
      </c>
      <c r="M14" s="654">
        <f>(118.6*KFC!$B$12+KFC!$C$12)*KFC!$C$5</f>
        <v>118.6</v>
      </c>
      <c r="N14" s="654">
        <f>(122.8*KFC!$B$12+KFC!$C$12)*KFC!$C$5</f>
        <v>122.8</v>
      </c>
      <c r="O14" s="654">
        <f>(127*KFC!$B$12+KFC!$C$12)*KFC!$C$5</f>
        <v>127</v>
      </c>
      <c r="P14" s="654">
        <f>(131.3*KFC!$B$12+KFC!$C$12)*KFC!$C$5</f>
        <v>131.30000000000001</v>
      </c>
      <c r="Q14" s="654">
        <f>(135.5*KFC!$B$12+KFC!$C$12)*KFC!$C$5</f>
        <v>135.5</v>
      </c>
      <c r="R14" s="654">
        <f>(139.7*KFC!$B$12+KFC!$C$12)*KFC!$C$5</f>
        <v>139.69999999999999</v>
      </c>
      <c r="S14" s="654">
        <f>(144*KFC!$B$12+KFC!$C$12)*KFC!$C$5</f>
        <v>144</v>
      </c>
      <c r="T14" s="654">
        <f>(148.2*KFC!$B$12+KFC!$C$12)*KFC!$C$5</f>
        <v>148.19999999999999</v>
      </c>
      <c r="U14" s="654">
        <f>(152.4*KFC!$B$12+KFC!$C$12)*KFC!$C$5</f>
        <v>152.4</v>
      </c>
      <c r="V14" s="654">
        <f>(156.6*KFC!$B$12+KFC!$C$12)*KFC!$C$5</f>
        <v>156.6</v>
      </c>
      <c r="W14" s="654">
        <f>(160.9*KFC!$B$12+KFC!$C$12)*KFC!$C$5</f>
        <v>160.9</v>
      </c>
      <c r="X14" s="654">
        <f>(165.1*KFC!$B$12+KFC!$C$12)*KFC!$C$5</f>
        <v>165.1</v>
      </c>
      <c r="Y14" s="654">
        <f>(169.3*KFC!$B$12+KFC!$C$12)*KFC!$C$5</f>
        <v>169.3</v>
      </c>
      <c r="Z14" s="654">
        <f>(173.6*KFC!$B$12+KFC!$C$12)*KFC!$C$5</f>
        <v>173.6</v>
      </c>
      <c r="AA14" s="654">
        <f>(177.8*KFC!$B$12+KFC!$C$12)*KFC!$C$5</f>
        <v>177.8</v>
      </c>
      <c r="AB14" s="654">
        <f>(182*KFC!$B$12+KFC!$C$12)*KFC!$C$5</f>
        <v>182</v>
      </c>
      <c r="AC14" s="654">
        <f>(186.2*KFC!$B$12+KFC!$C$12)*KFC!$C$5</f>
        <v>186.2</v>
      </c>
      <c r="AD14" s="654">
        <f>(190.5*KFC!$B$12+KFC!$C$12)*KFC!$C$5</f>
        <v>190.5</v>
      </c>
      <c r="AE14" s="654">
        <f>(194.7*KFC!$B$12+KFC!$C$12)*KFC!$C$5</f>
        <v>194.7</v>
      </c>
      <c r="AF14" s="654">
        <f>(198.9*KFC!$B$12+KFC!$C$12)*KFC!$C$5</f>
        <v>198.9</v>
      </c>
      <c r="AG14" s="654">
        <f>(203.1*KFC!$B$12+KFC!$C$12)*KFC!$C$5</f>
        <v>203.1</v>
      </c>
      <c r="AH14" s="654">
        <f>(207.4*KFC!$B$12+KFC!$C$12)*KFC!$C$5</f>
        <v>207.4</v>
      </c>
      <c r="AI14" s="654">
        <f>(211.6*KFC!$B$12+KFC!$C$12)*KFC!$C$5</f>
        <v>211.6</v>
      </c>
      <c r="AJ14" s="654">
        <f>(215.8*KFC!$B$12+KFC!$C$12)*KFC!$C$5</f>
        <v>215.8</v>
      </c>
      <c r="AK14" s="654">
        <f>(220.1*KFC!$B$12+KFC!$C$12)*KFC!$C$5</f>
        <v>220.1</v>
      </c>
      <c r="AL14" s="654">
        <f>(224.3*KFC!$B$12+KFC!$C$12)*KFC!$C$5</f>
        <v>224.3</v>
      </c>
      <c r="AM14" s="654">
        <f>(228.5*KFC!$B$12+KFC!$C$12)*KFC!$C$5</f>
        <v>228.5</v>
      </c>
      <c r="AN14" s="654">
        <f>(232.7*KFC!$B$12+KFC!$C$12)*KFC!$C$5</f>
        <v>232.7</v>
      </c>
      <c r="AO14" s="654">
        <f>(236.9*KFC!$B$12+KFC!$C$12)*KFC!$C$5</f>
        <v>236.9</v>
      </c>
      <c r="AP14" s="654">
        <f>(241.2*KFC!$B$12+KFC!$C$12)*KFC!$C$5</f>
        <v>241.2</v>
      </c>
      <c r="AQ14" s="654">
        <f>(245.4*KFC!$B$12+KFC!$C$12)*KFC!$C$5</f>
        <v>245.4</v>
      </c>
      <c r="AR14" s="654">
        <f>(249.6*KFC!$B$12+KFC!$C$12)*KFC!$C$5</f>
        <v>249.6</v>
      </c>
      <c r="AS14" s="654">
        <f>(253.9*KFC!$B$12+KFC!$C$12)*KFC!$C$5</f>
        <v>253.9</v>
      </c>
      <c r="AT14" s="654">
        <f>(258.1*KFC!$B$12+KFC!$C$12)*KFC!$C$5</f>
        <v>258.10000000000002</v>
      </c>
      <c r="AU14" s="654">
        <f>(262.3*KFC!$B$12+KFC!$C$12)*KFC!$C$5</f>
        <v>262.3</v>
      </c>
      <c r="AV14" s="654">
        <f>(266.6*KFC!$B$12+KFC!$C$12)*KFC!$C$5</f>
        <v>266.60000000000002</v>
      </c>
      <c r="AW14" s="654">
        <f>(270.8*KFC!$B$12+KFC!$C$12)*KFC!$C$5</f>
        <v>270.8</v>
      </c>
    </row>
    <row r="15" spans="1:49" ht="14.4">
      <c r="A15" s="1277"/>
      <c r="B15" s="649">
        <v>1.2</v>
      </c>
      <c r="C15" s="654">
        <f>(77*KFC!$B$12+KFC!$C$12)*KFC!$C$5</f>
        <v>77</v>
      </c>
      <c r="D15" s="654">
        <f>(81.3*KFC!$B$12+KFC!$C$12)*KFC!$C$5</f>
        <v>81.3</v>
      </c>
      <c r="E15" s="654">
        <f>(85.7*KFC!$B$12+KFC!$C$12)*KFC!$C$5</f>
        <v>85.7</v>
      </c>
      <c r="F15" s="654">
        <f>(90*KFC!$B$12+KFC!$C$12)*KFC!$C$5</f>
        <v>90</v>
      </c>
      <c r="G15" s="654">
        <f>(94.4*KFC!$B$12+KFC!$C$12)*KFC!$C$5</f>
        <v>94.4</v>
      </c>
      <c r="H15" s="654">
        <f>(98.7*KFC!$B$12+KFC!$C$12)*KFC!$C$5</f>
        <v>98.7</v>
      </c>
      <c r="I15" s="654">
        <f>(103.1*KFC!$B$12+KFC!$C$12)*KFC!$C$5</f>
        <v>103.1</v>
      </c>
      <c r="J15" s="654">
        <f>(107.4*KFC!$B$12+KFC!$C$12)*KFC!$C$5</f>
        <v>107.4</v>
      </c>
      <c r="K15" s="654">
        <f>(111.7*KFC!$B$12+KFC!$C$12)*KFC!$C$5</f>
        <v>111.7</v>
      </c>
      <c r="L15" s="654">
        <f>(116.1*KFC!$B$12+KFC!$C$12)*KFC!$C$5</f>
        <v>116.1</v>
      </c>
      <c r="M15" s="654">
        <f>(120.4*KFC!$B$12+KFC!$C$12)*KFC!$C$5</f>
        <v>120.4</v>
      </c>
      <c r="N15" s="654">
        <f>(124.8*KFC!$B$12+KFC!$C$12)*KFC!$C$5</f>
        <v>124.8</v>
      </c>
      <c r="O15" s="654">
        <f>(129.1*KFC!$B$12+KFC!$C$12)*KFC!$C$5</f>
        <v>129.1</v>
      </c>
      <c r="P15" s="654">
        <f>(133.5*KFC!$B$12+KFC!$C$12)*KFC!$C$5</f>
        <v>133.5</v>
      </c>
      <c r="Q15" s="654">
        <f>(137.8*KFC!$B$12+KFC!$C$12)*KFC!$C$5</f>
        <v>137.80000000000001</v>
      </c>
      <c r="R15" s="654">
        <f>(142.2*KFC!$B$12+KFC!$C$12)*KFC!$C$5</f>
        <v>142.19999999999999</v>
      </c>
      <c r="S15" s="654">
        <f>(146.5*KFC!$B$12+KFC!$C$12)*KFC!$C$5</f>
        <v>146.5</v>
      </c>
      <c r="T15" s="654">
        <f>(150.9*KFC!$B$12+KFC!$C$12)*KFC!$C$5</f>
        <v>150.9</v>
      </c>
      <c r="U15" s="654">
        <f>(155.2*KFC!$B$12+KFC!$C$12)*KFC!$C$5</f>
        <v>155.19999999999999</v>
      </c>
      <c r="V15" s="654">
        <f>(159.6*KFC!$B$12+KFC!$C$12)*KFC!$C$5</f>
        <v>159.6</v>
      </c>
      <c r="W15" s="654">
        <f>(163.9*KFC!$B$12+KFC!$C$12)*KFC!$C$5</f>
        <v>163.9</v>
      </c>
      <c r="X15" s="654">
        <f>(168.3*KFC!$B$12+KFC!$C$12)*KFC!$C$5</f>
        <v>168.3</v>
      </c>
      <c r="Y15" s="654">
        <f>(172.6*KFC!$B$12+KFC!$C$12)*KFC!$C$5</f>
        <v>172.6</v>
      </c>
      <c r="Z15" s="654">
        <f>(176.9*KFC!$B$12+KFC!$C$12)*KFC!$C$5</f>
        <v>176.9</v>
      </c>
      <c r="AA15" s="654">
        <f>(181.3*KFC!$B$12+KFC!$C$12)*KFC!$C$5</f>
        <v>181.3</v>
      </c>
      <c r="AB15" s="654">
        <f>(185.6*KFC!$B$12+KFC!$C$12)*KFC!$C$5</f>
        <v>185.6</v>
      </c>
      <c r="AC15" s="654">
        <f>(190*KFC!$B$12+KFC!$C$12)*KFC!$C$5</f>
        <v>190</v>
      </c>
      <c r="AD15" s="654">
        <f>(194.3*KFC!$B$12+KFC!$C$12)*KFC!$C$5</f>
        <v>194.3</v>
      </c>
      <c r="AE15" s="654">
        <f>(198.7*KFC!$B$12+KFC!$C$12)*KFC!$C$5</f>
        <v>198.7</v>
      </c>
      <c r="AF15" s="654">
        <f>(203*KFC!$B$12+KFC!$C$12)*KFC!$C$5</f>
        <v>203</v>
      </c>
      <c r="AG15" s="654">
        <f>(207.4*KFC!$B$12+KFC!$C$12)*KFC!$C$5</f>
        <v>207.4</v>
      </c>
      <c r="AH15" s="654">
        <f>(211.7*KFC!$B$12+KFC!$C$12)*KFC!$C$5</f>
        <v>211.7</v>
      </c>
      <c r="AI15" s="654">
        <f>(216.1*KFC!$B$12+KFC!$C$12)*KFC!$C$5</f>
        <v>216.1</v>
      </c>
      <c r="AJ15" s="654">
        <f>(220.4*KFC!$B$12+KFC!$C$12)*KFC!$C$5</f>
        <v>220.4</v>
      </c>
      <c r="AK15" s="654">
        <f>(224.7*KFC!$B$12+KFC!$C$12)*KFC!$C$5</f>
        <v>224.7</v>
      </c>
      <c r="AL15" s="654">
        <f>(229.1*KFC!$B$12+KFC!$C$12)*KFC!$C$5</f>
        <v>229.1</v>
      </c>
      <c r="AM15" s="654">
        <f>(233.4*KFC!$B$12+KFC!$C$12)*KFC!$C$5</f>
        <v>233.4</v>
      </c>
      <c r="AN15" s="654">
        <f>(237.8*KFC!$B$12+KFC!$C$12)*KFC!$C$5</f>
        <v>237.8</v>
      </c>
      <c r="AO15" s="654">
        <f>(242.1*KFC!$B$12+KFC!$C$12)*KFC!$C$5</f>
        <v>242.1</v>
      </c>
      <c r="AP15" s="654">
        <f>(246.5*KFC!$B$12+KFC!$C$12)*KFC!$C$5</f>
        <v>246.5</v>
      </c>
      <c r="AQ15" s="654">
        <f>(250.8*KFC!$B$12+KFC!$C$12)*KFC!$C$5</f>
        <v>250.8</v>
      </c>
      <c r="AR15" s="654">
        <f>(255.2*KFC!$B$12+KFC!$C$12)*KFC!$C$5</f>
        <v>255.2</v>
      </c>
      <c r="AS15" s="654">
        <f>(259.5*KFC!$B$12+KFC!$C$12)*KFC!$C$5</f>
        <v>259.5</v>
      </c>
      <c r="AT15" s="654">
        <f>(263.9*KFC!$B$12+KFC!$C$12)*KFC!$C$5</f>
        <v>263.89999999999998</v>
      </c>
      <c r="AU15" s="654">
        <f>(268.2*KFC!$B$12+KFC!$C$12)*KFC!$C$5</f>
        <v>268.2</v>
      </c>
      <c r="AV15" s="654">
        <f>(272.6*KFC!$B$12+KFC!$C$12)*KFC!$C$5</f>
        <v>272.60000000000002</v>
      </c>
      <c r="AW15" s="654">
        <f>(276.9*KFC!$B$12+KFC!$C$12)*KFC!$C$5</f>
        <v>276.89999999999998</v>
      </c>
    </row>
    <row r="16" spans="1:49" ht="14.4">
      <c r="A16" s="1277"/>
      <c r="B16" s="649">
        <v>1.3</v>
      </c>
      <c r="C16" s="654">
        <f>(77.6*KFC!$B$12+KFC!$C$12)*KFC!$C$5</f>
        <v>77.599999999999994</v>
      </c>
      <c r="D16" s="654">
        <f>(82.1*KFC!$B$12+KFC!$C$12)*KFC!$C$5</f>
        <v>82.1</v>
      </c>
      <c r="E16" s="654">
        <f>(86.6*KFC!$B$12+KFC!$C$12)*KFC!$C$5</f>
        <v>86.6</v>
      </c>
      <c r="F16" s="654">
        <f>(91*KFC!$B$12+KFC!$C$12)*KFC!$C$5</f>
        <v>91</v>
      </c>
      <c r="G16" s="654">
        <f>(95.5*KFC!$B$12+KFC!$C$12)*KFC!$C$5</f>
        <v>95.5</v>
      </c>
      <c r="H16" s="654">
        <f>(100*KFC!$B$12+KFC!$C$12)*KFC!$C$5</f>
        <v>100</v>
      </c>
      <c r="I16" s="654">
        <f>(104.4*KFC!$B$12+KFC!$C$12)*KFC!$C$5</f>
        <v>104.4</v>
      </c>
      <c r="J16" s="654">
        <f>(108.9*KFC!$B$12+KFC!$C$12)*KFC!$C$5</f>
        <v>108.9</v>
      </c>
      <c r="K16" s="654">
        <f>(113.4*KFC!$B$12+KFC!$C$12)*KFC!$C$5</f>
        <v>113.4</v>
      </c>
      <c r="L16" s="654">
        <f>(117.8*KFC!$B$12+KFC!$C$12)*KFC!$C$5</f>
        <v>117.8</v>
      </c>
      <c r="M16" s="654">
        <f>(122.3*KFC!$B$12+KFC!$C$12)*KFC!$C$5</f>
        <v>122.3</v>
      </c>
      <c r="N16" s="654">
        <f>(126.8*KFC!$B$12+KFC!$C$12)*KFC!$C$5</f>
        <v>126.8</v>
      </c>
      <c r="O16" s="654">
        <f>(131.2*KFC!$B$12+KFC!$C$12)*KFC!$C$5</f>
        <v>131.19999999999999</v>
      </c>
      <c r="P16" s="654">
        <f>(135.7*KFC!$B$12+KFC!$C$12)*KFC!$C$5</f>
        <v>135.69999999999999</v>
      </c>
      <c r="Q16" s="654">
        <f>(140.2*KFC!$B$12+KFC!$C$12)*KFC!$C$5</f>
        <v>140.19999999999999</v>
      </c>
      <c r="R16" s="654">
        <f>(144.6*KFC!$B$12+KFC!$C$12)*KFC!$C$5</f>
        <v>144.6</v>
      </c>
      <c r="S16" s="654">
        <f>(149.1*KFC!$B$12+KFC!$C$12)*KFC!$C$5</f>
        <v>149.1</v>
      </c>
      <c r="T16" s="654">
        <f>(153.5*KFC!$B$12+KFC!$C$12)*KFC!$C$5</f>
        <v>153.5</v>
      </c>
      <c r="U16" s="654">
        <f>(158*KFC!$B$12+KFC!$C$12)*KFC!$C$5</f>
        <v>158</v>
      </c>
      <c r="V16" s="654">
        <f>(162.5*KFC!$B$12+KFC!$C$12)*KFC!$C$5</f>
        <v>162.5</v>
      </c>
      <c r="W16" s="654">
        <f>(166.9*KFC!$B$12+KFC!$C$12)*KFC!$C$5</f>
        <v>166.9</v>
      </c>
      <c r="X16" s="654">
        <f>(171.4*KFC!$B$12+KFC!$C$12)*KFC!$C$5</f>
        <v>171.4</v>
      </c>
      <c r="Y16" s="654">
        <f>(175.9*KFC!$B$12+KFC!$C$12)*KFC!$C$5</f>
        <v>175.9</v>
      </c>
      <c r="Z16" s="654">
        <f>(180.3*KFC!$B$12+KFC!$C$12)*KFC!$C$5</f>
        <v>180.3</v>
      </c>
      <c r="AA16" s="654">
        <f>(184.8*KFC!$B$12+KFC!$C$12)*KFC!$C$5</f>
        <v>184.8</v>
      </c>
      <c r="AB16" s="654">
        <f>(189.3*KFC!$B$12+KFC!$C$12)*KFC!$C$5</f>
        <v>189.3</v>
      </c>
      <c r="AC16" s="654">
        <f>(193.7*KFC!$B$12+KFC!$C$12)*KFC!$C$5</f>
        <v>193.7</v>
      </c>
      <c r="AD16" s="654">
        <f>(198.2*KFC!$B$12+KFC!$C$12)*KFC!$C$5</f>
        <v>198.2</v>
      </c>
      <c r="AE16" s="654">
        <f>(202.7*KFC!$B$12+KFC!$C$12)*KFC!$C$5</f>
        <v>202.7</v>
      </c>
      <c r="AF16" s="654">
        <f>(207.1*KFC!$B$12+KFC!$C$12)*KFC!$C$5</f>
        <v>207.1</v>
      </c>
      <c r="AG16" s="654">
        <f>(211.6*KFC!$B$12+KFC!$C$12)*KFC!$C$5</f>
        <v>211.6</v>
      </c>
      <c r="AH16" s="654">
        <f>(216.1*KFC!$B$12+KFC!$C$12)*KFC!$C$5</f>
        <v>216.1</v>
      </c>
      <c r="AI16" s="654">
        <f>(220.5*KFC!$B$12+KFC!$C$12)*KFC!$C$5</f>
        <v>220.5</v>
      </c>
      <c r="AJ16" s="654">
        <f>(225*KFC!$B$12+KFC!$C$12)*KFC!$C$5</f>
        <v>225</v>
      </c>
      <c r="AK16" s="654">
        <f>(229.5*KFC!$B$12+KFC!$C$12)*KFC!$C$5</f>
        <v>229.5</v>
      </c>
      <c r="AL16" s="654">
        <f>(233.9*KFC!$B$12+KFC!$C$12)*KFC!$C$5</f>
        <v>233.9</v>
      </c>
      <c r="AM16" s="654">
        <f>(238.4*KFC!$B$12+KFC!$C$12)*KFC!$C$5</f>
        <v>238.4</v>
      </c>
      <c r="AN16" s="654">
        <f>(242.8*KFC!$B$12+KFC!$C$12)*KFC!$C$5</f>
        <v>242.8</v>
      </c>
      <c r="AO16" s="654">
        <f>(247.3*KFC!$B$12+KFC!$C$12)*KFC!$C$5</f>
        <v>247.3</v>
      </c>
      <c r="AP16" s="654">
        <f>(251.8*KFC!$B$12+KFC!$C$12)*KFC!$C$5</f>
        <v>251.8</v>
      </c>
      <c r="AQ16" s="654">
        <f>(256.2*KFC!$B$12+KFC!$C$12)*KFC!$C$5</f>
        <v>256.2</v>
      </c>
      <c r="AR16" s="654">
        <f>(260.7*KFC!$B$12+KFC!$C$12)*KFC!$C$5</f>
        <v>260.7</v>
      </c>
      <c r="AS16" s="654">
        <f>(265.2*KFC!$B$12+KFC!$C$12)*KFC!$C$5</f>
        <v>265.2</v>
      </c>
      <c r="AT16" s="654">
        <f>(269.6*KFC!$B$12+KFC!$C$12)*KFC!$C$5</f>
        <v>269.60000000000002</v>
      </c>
      <c r="AU16" s="654">
        <f>(274.1*KFC!$B$12+KFC!$C$12)*KFC!$C$5</f>
        <v>274.10000000000002</v>
      </c>
      <c r="AV16" s="654">
        <f>(278.6*KFC!$B$12+KFC!$C$12)*KFC!$C$5</f>
        <v>278.60000000000002</v>
      </c>
      <c r="AW16" s="654">
        <f>(283*KFC!$B$12+KFC!$C$12)*KFC!$C$5</f>
        <v>283</v>
      </c>
    </row>
    <row r="17" spans="1:49" ht="14.4">
      <c r="A17" s="1277"/>
      <c r="B17" s="649">
        <v>1.4</v>
      </c>
      <c r="C17" s="654">
        <f>(78.3*KFC!$B$12+KFC!$C$12)*KFC!$C$5</f>
        <v>78.3</v>
      </c>
      <c r="D17" s="654">
        <f>(82.9*KFC!$B$12+KFC!$C$12)*KFC!$C$5</f>
        <v>82.9</v>
      </c>
      <c r="E17" s="654">
        <f>(87.5*KFC!$B$12+KFC!$C$12)*KFC!$C$5</f>
        <v>87.5</v>
      </c>
      <c r="F17" s="654">
        <f>(92.1*KFC!$B$12+KFC!$C$12)*KFC!$C$5</f>
        <v>92.1</v>
      </c>
      <c r="G17" s="654">
        <f>(96.6*KFC!$B$12+KFC!$C$12)*KFC!$C$5</f>
        <v>96.6</v>
      </c>
      <c r="H17" s="654">
        <f>(101.2*KFC!$B$12+KFC!$C$12)*KFC!$C$5</f>
        <v>101.2</v>
      </c>
      <c r="I17" s="654">
        <f>(105.8*KFC!$B$12+KFC!$C$12)*KFC!$C$5</f>
        <v>105.8</v>
      </c>
      <c r="J17" s="654">
        <f>(110.4*KFC!$B$12+KFC!$C$12)*KFC!$C$5</f>
        <v>110.4</v>
      </c>
      <c r="K17" s="654">
        <f>(115*KFC!$B$12+KFC!$C$12)*KFC!$C$5</f>
        <v>115</v>
      </c>
      <c r="L17" s="654">
        <f>(119.6*KFC!$B$12+KFC!$C$12)*KFC!$C$5</f>
        <v>119.6</v>
      </c>
      <c r="M17" s="654">
        <f>(124.1*KFC!$B$12+KFC!$C$12)*KFC!$C$5</f>
        <v>124.1</v>
      </c>
      <c r="N17" s="654">
        <f>(128.7*KFC!$B$12+KFC!$C$12)*KFC!$C$5</f>
        <v>128.69999999999999</v>
      </c>
      <c r="O17" s="654">
        <f>(133.3*KFC!$B$12+KFC!$C$12)*KFC!$C$5</f>
        <v>133.30000000000001</v>
      </c>
      <c r="P17" s="654">
        <f>(137.9*KFC!$B$12+KFC!$C$12)*KFC!$C$5</f>
        <v>137.9</v>
      </c>
      <c r="Q17" s="654">
        <f>(142.5*KFC!$B$12+KFC!$C$12)*KFC!$C$5</f>
        <v>142.5</v>
      </c>
      <c r="R17" s="654">
        <f>(147.1*KFC!$B$12+KFC!$C$12)*KFC!$C$5</f>
        <v>147.1</v>
      </c>
      <c r="S17" s="654">
        <f>(151.6*KFC!$B$12+KFC!$C$12)*KFC!$C$5</f>
        <v>151.6</v>
      </c>
      <c r="T17" s="654">
        <f>(156.2*KFC!$B$12+KFC!$C$12)*KFC!$C$5</f>
        <v>156.19999999999999</v>
      </c>
      <c r="U17" s="654">
        <f>(160.8*KFC!$B$12+KFC!$C$12)*KFC!$C$5</f>
        <v>160.80000000000001</v>
      </c>
      <c r="V17" s="654">
        <f>(165.4*KFC!$B$12+KFC!$C$12)*KFC!$C$5</f>
        <v>165.4</v>
      </c>
      <c r="W17" s="654">
        <f>(170*KFC!$B$12+KFC!$C$12)*KFC!$C$5</f>
        <v>170</v>
      </c>
      <c r="X17" s="654">
        <f>(174.6*KFC!$B$12+KFC!$C$12)*KFC!$C$5</f>
        <v>174.6</v>
      </c>
      <c r="Y17" s="654">
        <f>(179.1*KFC!$B$12+KFC!$C$12)*KFC!$C$5</f>
        <v>179.1</v>
      </c>
      <c r="Z17" s="654">
        <f>(183.7*KFC!$B$12+KFC!$C$12)*KFC!$C$5</f>
        <v>183.7</v>
      </c>
      <c r="AA17" s="654">
        <f>(188.3*KFC!$B$12+KFC!$C$12)*KFC!$C$5</f>
        <v>188.3</v>
      </c>
      <c r="AB17" s="654">
        <f>(192.9*KFC!$B$12+KFC!$C$12)*KFC!$C$5</f>
        <v>192.9</v>
      </c>
      <c r="AC17" s="654">
        <f>(197.5*KFC!$B$12+KFC!$C$12)*KFC!$C$5</f>
        <v>197.5</v>
      </c>
      <c r="AD17" s="654">
        <f>(202.1*KFC!$B$12+KFC!$C$12)*KFC!$C$5</f>
        <v>202.1</v>
      </c>
      <c r="AE17" s="654">
        <f>(206.7*KFC!$B$12+KFC!$C$12)*KFC!$C$5</f>
        <v>206.7</v>
      </c>
      <c r="AF17" s="654">
        <f>(211.2*KFC!$B$12+KFC!$C$12)*KFC!$C$5</f>
        <v>211.2</v>
      </c>
      <c r="AG17" s="654">
        <f>(215.8*KFC!$B$12+KFC!$C$12)*KFC!$C$5</f>
        <v>215.8</v>
      </c>
      <c r="AH17" s="654">
        <f>(220.4*KFC!$B$12+KFC!$C$12)*KFC!$C$5</f>
        <v>220.4</v>
      </c>
      <c r="AI17" s="654">
        <f>(225*KFC!$B$12+KFC!$C$12)*KFC!$C$5</f>
        <v>225</v>
      </c>
      <c r="AJ17" s="654">
        <f>(229.6*KFC!$B$12+KFC!$C$12)*KFC!$C$5</f>
        <v>229.6</v>
      </c>
      <c r="AK17" s="654">
        <f>(234.1*KFC!$B$12+KFC!$C$12)*KFC!$C$5</f>
        <v>234.1</v>
      </c>
      <c r="AL17" s="654">
        <f>(238.7*KFC!$B$12+KFC!$C$12)*KFC!$C$5</f>
        <v>238.7</v>
      </c>
      <c r="AM17" s="654">
        <f>(243.3*KFC!$B$12+KFC!$C$12)*KFC!$C$5</f>
        <v>243.3</v>
      </c>
      <c r="AN17" s="654">
        <f>(247.9*KFC!$B$12+KFC!$C$12)*KFC!$C$5</f>
        <v>247.9</v>
      </c>
      <c r="AO17" s="654">
        <f>(252.5*KFC!$B$12+KFC!$C$12)*KFC!$C$5</f>
        <v>252.5</v>
      </c>
      <c r="AP17" s="654">
        <f>(257.1*KFC!$B$12+KFC!$C$12)*KFC!$C$5</f>
        <v>257.10000000000002</v>
      </c>
      <c r="AQ17" s="654">
        <f>(261.7*KFC!$B$12+KFC!$C$12)*KFC!$C$5</f>
        <v>261.7</v>
      </c>
      <c r="AR17" s="654">
        <f>(266.2*KFC!$B$12+KFC!$C$12)*KFC!$C$5</f>
        <v>266.2</v>
      </c>
      <c r="AS17" s="654">
        <f>(270.8*KFC!$B$12+KFC!$C$12)*KFC!$C$5</f>
        <v>270.8</v>
      </c>
      <c r="AT17" s="654">
        <f>(275.4*KFC!$B$12+KFC!$C$12)*KFC!$C$5</f>
        <v>275.39999999999998</v>
      </c>
      <c r="AU17" s="654">
        <f>(280*KFC!$B$12+KFC!$C$12)*KFC!$C$5</f>
        <v>280</v>
      </c>
      <c r="AV17" s="654">
        <f>(284.6*KFC!$B$12+KFC!$C$12)*KFC!$C$5</f>
        <v>284.60000000000002</v>
      </c>
      <c r="AW17" s="654">
        <f>(289.2*KFC!$B$12+KFC!$C$12)*KFC!$C$5</f>
        <v>289.2</v>
      </c>
    </row>
    <row r="18" spans="1:49" ht="14.4">
      <c r="A18" s="1277"/>
      <c r="B18" s="649">
        <v>1.5</v>
      </c>
      <c r="C18" s="654">
        <f>(79*KFC!$B$12+KFC!$C$12)*KFC!$C$5</f>
        <v>79</v>
      </c>
      <c r="D18" s="654">
        <f>(83.7*KFC!$B$12+KFC!$C$12)*KFC!$C$5</f>
        <v>83.7</v>
      </c>
      <c r="E18" s="654">
        <f>(88.4*KFC!$B$12+KFC!$C$12)*KFC!$C$5</f>
        <v>88.4</v>
      </c>
      <c r="F18" s="654">
        <f>(93.1*KFC!$B$12+KFC!$C$12)*KFC!$C$5</f>
        <v>93.1</v>
      </c>
      <c r="G18" s="654">
        <f>(97.8*KFC!$B$12+KFC!$C$12)*KFC!$C$5</f>
        <v>97.8</v>
      </c>
      <c r="H18" s="654">
        <f>(102.5*KFC!$B$12+KFC!$C$12)*KFC!$C$5</f>
        <v>102.5</v>
      </c>
      <c r="I18" s="654">
        <f>(107.2*KFC!$B$12+KFC!$C$12)*KFC!$C$5</f>
        <v>107.2</v>
      </c>
      <c r="J18" s="654">
        <f>(111.9*KFC!$B$12+KFC!$C$12)*KFC!$C$5</f>
        <v>111.9</v>
      </c>
      <c r="K18" s="654">
        <f>(116.6*KFC!$B$12+KFC!$C$12)*KFC!$C$5</f>
        <v>116.6</v>
      </c>
      <c r="L18" s="654">
        <f>(121.3*KFC!$B$12+KFC!$C$12)*KFC!$C$5</f>
        <v>121.3</v>
      </c>
      <c r="M18" s="654">
        <f>(126*KFC!$B$12+KFC!$C$12)*KFC!$C$5</f>
        <v>126</v>
      </c>
      <c r="N18" s="654">
        <f>(130.7*KFC!$B$12+KFC!$C$12)*KFC!$C$5</f>
        <v>130.69999999999999</v>
      </c>
      <c r="O18" s="654">
        <f>(135.4*KFC!$B$12+KFC!$C$12)*KFC!$C$5</f>
        <v>135.4</v>
      </c>
      <c r="P18" s="654">
        <f>(140.1*KFC!$B$12+KFC!$C$12)*KFC!$C$5</f>
        <v>140.1</v>
      </c>
      <c r="Q18" s="654">
        <f>(144.8*KFC!$B$12+KFC!$C$12)*KFC!$C$5</f>
        <v>144.80000000000001</v>
      </c>
      <c r="R18" s="654">
        <f>(149.5*KFC!$B$12+KFC!$C$12)*KFC!$C$5</f>
        <v>149.5</v>
      </c>
      <c r="S18" s="654">
        <f>(154.2*KFC!$B$12+KFC!$C$12)*KFC!$C$5</f>
        <v>154.19999999999999</v>
      </c>
      <c r="T18" s="654">
        <f>(158.9*KFC!$B$12+KFC!$C$12)*KFC!$C$5</f>
        <v>158.9</v>
      </c>
      <c r="U18" s="654">
        <f>(163.6*KFC!$B$12+KFC!$C$12)*KFC!$C$5</f>
        <v>163.6</v>
      </c>
      <c r="V18" s="654">
        <f>(168.3*KFC!$B$12+KFC!$C$12)*KFC!$C$5</f>
        <v>168.3</v>
      </c>
      <c r="W18" s="654">
        <f>(173*KFC!$B$12+KFC!$C$12)*KFC!$C$5</f>
        <v>173</v>
      </c>
      <c r="X18" s="654">
        <f>(177.7*KFC!$B$12+KFC!$C$12)*KFC!$C$5</f>
        <v>177.7</v>
      </c>
      <c r="Y18" s="654">
        <f>(182.4*KFC!$B$12+KFC!$C$12)*KFC!$C$5</f>
        <v>182.4</v>
      </c>
      <c r="Z18" s="654">
        <f>(187.1*KFC!$B$12+KFC!$C$12)*KFC!$C$5</f>
        <v>187.1</v>
      </c>
      <c r="AA18" s="654">
        <f>(191.8*KFC!$B$12+KFC!$C$12)*KFC!$C$5</f>
        <v>191.8</v>
      </c>
      <c r="AB18" s="654">
        <f>(196.5*KFC!$B$12+KFC!$C$12)*KFC!$C$5</f>
        <v>196.5</v>
      </c>
      <c r="AC18" s="654">
        <f>(201.2*KFC!$B$12+KFC!$C$12)*KFC!$C$5</f>
        <v>201.2</v>
      </c>
      <c r="AD18" s="654">
        <f>(205.9*KFC!$B$12+KFC!$C$12)*KFC!$C$5</f>
        <v>205.9</v>
      </c>
      <c r="AE18" s="654">
        <f>(210.6*KFC!$B$12+KFC!$C$12)*KFC!$C$5</f>
        <v>210.6</v>
      </c>
      <c r="AF18" s="654">
        <f>(215.3*KFC!$B$12+KFC!$C$12)*KFC!$C$5</f>
        <v>215.3</v>
      </c>
      <c r="AG18" s="654">
        <f>(220*KFC!$B$12+KFC!$C$12)*KFC!$C$5</f>
        <v>220</v>
      </c>
      <c r="AH18" s="654">
        <f>(224.7*KFC!$B$12+KFC!$C$12)*KFC!$C$5</f>
        <v>224.7</v>
      </c>
      <c r="AI18" s="654">
        <f>(229.4*KFC!$B$12+KFC!$C$12)*KFC!$C$5</f>
        <v>229.4</v>
      </c>
      <c r="AJ18" s="654">
        <f>(234.1*KFC!$B$12+KFC!$C$12)*KFC!$C$5</f>
        <v>234.1</v>
      </c>
      <c r="AK18" s="654">
        <f>(238.9*KFC!$B$12+KFC!$C$12)*KFC!$C$5</f>
        <v>238.9</v>
      </c>
      <c r="AL18" s="654">
        <f>(243.6*KFC!$B$12+KFC!$C$12)*KFC!$C$5</f>
        <v>243.6</v>
      </c>
      <c r="AM18" s="654">
        <f>(248.3*KFC!$B$12+KFC!$C$12)*KFC!$C$5</f>
        <v>248.3</v>
      </c>
      <c r="AN18" s="654">
        <f>(253*KFC!$B$12+KFC!$C$12)*KFC!$C$5</f>
        <v>253</v>
      </c>
      <c r="AO18" s="654">
        <f>(257.7*KFC!$B$12+KFC!$C$12)*KFC!$C$5</f>
        <v>257.7</v>
      </c>
      <c r="AP18" s="654">
        <f>(262.4*KFC!$B$12+KFC!$C$12)*KFC!$C$5</f>
        <v>262.39999999999998</v>
      </c>
      <c r="AQ18" s="654">
        <f>(267.1*KFC!$B$12+KFC!$C$12)*KFC!$C$5</f>
        <v>267.10000000000002</v>
      </c>
      <c r="AR18" s="654">
        <f>(271.8*KFC!$B$12+KFC!$C$12)*KFC!$C$5</f>
        <v>271.8</v>
      </c>
      <c r="AS18" s="654">
        <f>(276.5*KFC!$B$12+KFC!$C$12)*KFC!$C$5</f>
        <v>276.5</v>
      </c>
      <c r="AT18" s="654">
        <f>(281.2*KFC!$B$12+KFC!$C$12)*KFC!$C$5</f>
        <v>281.2</v>
      </c>
      <c r="AU18" s="654">
        <f>(285.9*KFC!$B$12+KFC!$C$12)*KFC!$C$5</f>
        <v>285.89999999999998</v>
      </c>
      <c r="AV18" s="654">
        <f>(290.6*KFC!$B$12+KFC!$C$12)*KFC!$C$5</f>
        <v>290.60000000000002</v>
      </c>
      <c r="AW18" s="654">
        <f>(295.3*KFC!$B$12+KFC!$C$12)*KFC!$C$5</f>
        <v>295.3</v>
      </c>
    </row>
    <row r="19" spans="1:49" ht="14.4">
      <c r="A19" s="1277"/>
      <c r="B19" s="649">
        <v>1.6</v>
      </c>
      <c r="C19" s="654">
        <f>(79.6*KFC!$B$12+KFC!$C$12)*KFC!$C$5</f>
        <v>79.599999999999994</v>
      </c>
      <c r="D19" s="654">
        <f>(84.4*KFC!$B$12+KFC!$C$12)*KFC!$C$5</f>
        <v>84.4</v>
      </c>
      <c r="E19" s="654">
        <f>(89.3*KFC!$B$12+KFC!$C$12)*KFC!$C$5</f>
        <v>89.3</v>
      </c>
      <c r="F19" s="654">
        <f>(94.1*KFC!$B$12+KFC!$C$12)*KFC!$C$5</f>
        <v>94.1</v>
      </c>
      <c r="G19" s="654">
        <f>(98.9*KFC!$B$12+KFC!$C$12)*KFC!$C$5</f>
        <v>98.9</v>
      </c>
      <c r="H19" s="654">
        <f>(103.7*KFC!$B$12+KFC!$C$12)*KFC!$C$5</f>
        <v>103.7</v>
      </c>
      <c r="I19" s="654">
        <f>(108.6*KFC!$B$12+KFC!$C$12)*KFC!$C$5</f>
        <v>108.6</v>
      </c>
      <c r="J19" s="654">
        <f>(113.4*KFC!$B$12+KFC!$C$12)*KFC!$C$5</f>
        <v>113.4</v>
      </c>
      <c r="K19" s="654">
        <f>(118.2*KFC!$B$12+KFC!$C$12)*KFC!$C$5</f>
        <v>118.2</v>
      </c>
      <c r="L19" s="654">
        <f>(123*KFC!$B$12+KFC!$C$12)*KFC!$C$5</f>
        <v>123</v>
      </c>
      <c r="M19" s="654">
        <f>(127.8*KFC!$B$12+KFC!$C$12)*KFC!$C$5</f>
        <v>127.8</v>
      </c>
      <c r="N19" s="654">
        <f>(132.7*KFC!$B$12+KFC!$C$12)*KFC!$C$5</f>
        <v>132.69999999999999</v>
      </c>
      <c r="O19" s="654">
        <f>(137.5*KFC!$B$12+KFC!$C$12)*KFC!$C$5</f>
        <v>137.5</v>
      </c>
      <c r="P19" s="654">
        <f>(142.3*KFC!$B$12+KFC!$C$12)*KFC!$C$5</f>
        <v>142.30000000000001</v>
      </c>
      <c r="Q19" s="654">
        <f>(147.1*KFC!$B$12+KFC!$C$12)*KFC!$C$5</f>
        <v>147.1</v>
      </c>
      <c r="R19" s="654">
        <f>(151.9*KFC!$B$12+KFC!$C$12)*KFC!$C$5</f>
        <v>151.9</v>
      </c>
      <c r="S19" s="654">
        <f>(156.8*KFC!$B$12+KFC!$C$12)*KFC!$C$5</f>
        <v>156.80000000000001</v>
      </c>
      <c r="T19" s="654">
        <f>(161.6*KFC!$B$12+KFC!$C$12)*KFC!$C$5</f>
        <v>161.6</v>
      </c>
      <c r="U19" s="654">
        <f>(166.4*KFC!$B$12+KFC!$C$12)*KFC!$C$5</f>
        <v>166.4</v>
      </c>
      <c r="V19" s="654">
        <f>(171.2*KFC!$B$12+KFC!$C$12)*KFC!$C$5</f>
        <v>171.2</v>
      </c>
      <c r="W19" s="654">
        <f>(176.1*KFC!$B$12+KFC!$C$12)*KFC!$C$5</f>
        <v>176.1</v>
      </c>
      <c r="X19" s="654">
        <f>(180.9*KFC!$B$12+KFC!$C$12)*KFC!$C$5</f>
        <v>180.9</v>
      </c>
      <c r="Y19" s="654">
        <f>(185.7*KFC!$B$12+KFC!$C$12)*KFC!$C$5</f>
        <v>185.7</v>
      </c>
      <c r="Z19" s="654">
        <f>(190.5*KFC!$B$12+KFC!$C$12)*KFC!$C$5</f>
        <v>190.5</v>
      </c>
      <c r="AA19" s="654">
        <f>(195.3*KFC!$B$12+KFC!$C$12)*KFC!$C$5</f>
        <v>195.3</v>
      </c>
      <c r="AB19" s="654">
        <f>(200.2*KFC!$B$12+KFC!$C$12)*KFC!$C$5</f>
        <v>200.2</v>
      </c>
      <c r="AC19" s="654">
        <f>(205*KFC!$B$12+KFC!$C$12)*KFC!$C$5</f>
        <v>205</v>
      </c>
      <c r="AD19" s="654">
        <f>(209.8*KFC!$B$12+KFC!$C$12)*KFC!$C$5</f>
        <v>209.8</v>
      </c>
      <c r="AE19" s="654">
        <f>(214.6*KFC!$B$12+KFC!$C$12)*KFC!$C$5</f>
        <v>214.6</v>
      </c>
      <c r="AF19" s="654">
        <f>(219.4*KFC!$B$12+KFC!$C$12)*KFC!$C$5</f>
        <v>219.4</v>
      </c>
      <c r="AG19" s="654">
        <f>(224.3*KFC!$B$12+KFC!$C$12)*KFC!$C$5</f>
        <v>224.3</v>
      </c>
      <c r="AH19" s="654">
        <f>(229.1*KFC!$B$12+KFC!$C$12)*KFC!$C$5</f>
        <v>229.1</v>
      </c>
      <c r="AI19" s="654">
        <f>(233.9*KFC!$B$12+KFC!$C$12)*KFC!$C$5</f>
        <v>233.9</v>
      </c>
      <c r="AJ19" s="654">
        <f>(238.7*KFC!$B$12+KFC!$C$12)*KFC!$C$5</f>
        <v>238.7</v>
      </c>
      <c r="AK19" s="654">
        <f>(243.6*KFC!$B$12+KFC!$C$12)*KFC!$C$5</f>
        <v>243.6</v>
      </c>
      <c r="AL19" s="654">
        <f>(248.4*KFC!$B$12+KFC!$C$12)*KFC!$C$5</f>
        <v>248.4</v>
      </c>
      <c r="AM19" s="654">
        <f>(253.2*KFC!$B$12+KFC!$C$12)*KFC!$C$5</f>
        <v>253.2</v>
      </c>
      <c r="AN19" s="654">
        <f>(258*KFC!$B$12+KFC!$C$12)*KFC!$C$5</f>
        <v>258</v>
      </c>
      <c r="AO19" s="654">
        <f>(262.8*KFC!$B$12+KFC!$C$12)*KFC!$C$5</f>
        <v>262.8</v>
      </c>
      <c r="AP19" s="654">
        <f>(267.7*KFC!$B$12+KFC!$C$12)*KFC!$C$5</f>
        <v>267.7</v>
      </c>
      <c r="AQ19" s="654">
        <f>(272.5*KFC!$B$12+KFC!$C$12)*KFC!$C$5</f>
        <v>272.5</v>
      </c>
      <c r="AR19" s="654">
        <f>(277.3*KFC!$B$12+KFC!$C$12)*KFC!$C$5</f>
        <v>277.3</v>
      </c>
      <c r="AS19" s="654">
        <f>(282.1*KFC!$B$12+KFC!$C$12)*KFC!$C$5</f>
        <v>282.10000000000002</v>
      </c>
      <c r="AT19" s="654">
        <f>(286.9*KFC!$B$12+KFC!$C$12)*KFC!$C$5</f>
        <v>286.89999999999998</v>
      </c>
      <c r="AU19" s="654">
        <f>(291.8*KFC!$B$12+KFC!$C$12)*KFC!$C$5</f>
        <v>291.8</v>
      </c>
      <c r="AV19" s="654">
        <f>(296.6*KFC!$B$12+KFC!$C$12)*KFC!$C$5</f>
        <v>296.60000000000002</v>
      </c>
      <c r="AW19" s="654">
        <f>(301.4*KFC!$B$12+KFC!$C$12)*KFC!$C$5</f>
        <v>301.39999999999998</v>
      </c>
    </row>
    <row r="20" spans="1:49" ht="14.4">
      <c r="A20" s="1277"/>
      <c r="B20" s="649">
        <v>1.7</v>
      </c>
      <c r="C20" s="654">
        <f>(80.3*KFC!$B$12+KFC!$C$12)*KFC!$C$5</f>
        <v>80.3</v>
      </c>
      <c r="D20" s="654">
        <f>(85.2*KFC!$B$12+KFC!$C$12)*KFC!$C$5</f>
        <v>85.2</v>
      </c>
      <c r="E20" s="654">
        <f>(90.2*KFC!$B$12+KFC!$C$12)*KFC!$C$5</f>
        <v>90.2</v>
      </c>
      <c r="F20" s="654">
        <f>(95.1*KFC!$B$12+KFC!$C$12)*KFC!$C$5</f>
        <v>95.1</v>
      </c>
      <c r="G20" s="654">
        <f>(100*KFC!$B$12+KFC!$C$12)*KFC!$C$5</f>
        <v>100</v>
      </c>
      <c r="H20" s="654">
        <f>(105*KFC!$B$12+KFC!$C$12)*KFC!$C$5</f>
        <v>105</v>
      </c>
      <c r="I20" s="654">
        <f>(109.9*KFC!$B$12+KFC!$C$12)*KFC!$C$5</f>
        <v>109.9</v>
      </c>
      <c r="J20" s="654">
        <f>(114.9*KFC!$B$12+KFC!$C$12)*KFC!$C$5</f>
        <v>114.9</v>
      </c>
      <c r="K20" s="654">
        <f>(119.8*KFC!$B$12+KFC!$C$12)*KFC!$C$5</f>
        <v>119.8</v>
      </c>
      <c r="L20" s="654">
        <f>(124.7*KFC!$B$12+KFC!$C$12)*KFC!$C$5</f>
        <v>124.7</v>
      </c>
      <c r="M20" s="654">
        <f>(129.7*KFC!$B$12+KFC!$C$12)*KFC!$C$5</f>
        <v>129.69999999999999</v>
      </c>
      <c r="N20" s="654">
        <f>(134.6*KFC!$B$12+KFC!$C$12)*KFC!$C$5</f>
        <v>134.6</v>
      </c>
      <c r="O20" s="654">
        <f>(139.6*KFC!$B$12+KFC!$C$12)*KFC!$C$5</f>
        <v>139.6</v>
      </c>
      <c r="P20" s="654">
        <f>(144.5*KFC!$B$12+KFC!$C$12)*KFC!$C$5</f>
        <v>144.5</v>
      </c>
      <c r="Q20" s="654">
        <f>(149.4*KFC!$B$12+KFC!$C$12)*KFC!$C$5</f>
        <v>149.4</v>
      </c>
      <c r="R20" s="654">
        <f>(154.4*KFC!$B$12+KFC!$C$12)*KFC!$C$5</f>
        <v>154.4</v>
      </c>
      <c r="S20" s="654">
        <f>(159.3*KFC!$B$12+KFC!$C$12)*KFC!$C$5</f>
        <v>159.30000000000001</v>
      </c>
      <c r="T20" s="654">
        <f>(164.3*KFC!$B$12+KFC!$C$12)*KFC!$C$5</f>
        <v>164.3</v>
      </c>
      <c r="U20" s="654">
        <f>(169.2*KFC!$B$12+KFC!$C$12)*KFC!$C$5</f>
        <v>169.2</v>
      </c>
      <c r="V20" s="654">
        <f>(174.1*KFC!$B$12+KFC!$C$12)*KFC!$C$5</f>
        <v>174.1</v>
      </c>
      <c r="W20" s="654">
        <f>(179.1*KFC!$B$12+KFC!$C$12)*KFC!$C$5</f>
        <v>179.1</v>
      </c>
      <c r="X20" s="654">
        <f>(184*KFC!$B$12+KFC!$C$12)*KFC!$C$5</f>
        <v>184</v>
      </c>
      <c r="Y20" s="654">
        <f>(189*KFC!$B$12+KFC!$C$12)*KFC!$C$5</f>
        <v>189</v>
      </c>
      <c r="Z20" s="654">
        <f>(193.9*KFC!$B$12+KFC!$C$12)*KFC!$C$5</f>
        <v>193.9</v>
      </c>
      <c r="AA20" s="654">
        <f>(198.9*KFC!$B$12+KFC!$C$12)*KFC!$C$5</f>
        <v>198.9</v>
      </c>
      <c r="AB20" s="654">
        <f>(203.8*KFC!$B$12+KFC!$C$12)*KFC!$C$5</f>
        <v>203.8</v>
      </c>
      <c r="AC20" s="654">
        <f>(208.7*KFC!$B$12+KFC!$C$12)*KFC!$C$5</f>
        <v>208.7</v>
      </c>
      <c r="AD20" s="654">
        <f>(213.7*KFC!$B$12+KFC!$C$12)*KFC!$C$5</f>
        <v>213.7</v>
      </c>
      <c r="AE20" s="654">
        <f>(218.6*KFC!$B$12+KFC!$C$12)*KFC!$C$5</f>
        <v>218.6</v>
      </c>
      <c r="AF20" s="654">
        <f>(223.6*KFC!$B$12+KFC!$C$12)*KFC!$C$5</f>
        <v>223.6</v>
      </c>
      <c r="AG20" s="654">
        <f>(228.5*KFC!$B$12+KFC!$C$12)*KFC!$C$5</f>
        <v>228.5</v>
      </c>
      <c r="AH20" s="654">
        <f>(233.4*KFC!$B$12+KFC!$C$12)*KFC!$C$5</f>
        <v>233.4</v>
      </c>
      <c r="AI20" s="654">
        <f>(238.4*KFC!$B$12+KFC!$C$12)*KFC!$C$5</f>
        <v>238.4</v>
      </c>
      <c r="AJ20" s="654">
        <f>(243.3*KFC!$B$12+KFC!$C$12)*KFC!$C$5</f>
        <v>243.3</v>
      </c>
      <c r="AK20" s="654">
        <f>(248.3*KFC!$B$12+KFC!$C$12)*KFC!$C$5</f>
        <v>248.3</v>
      </c>
      <c r="AL20" s="654">
        <f>(253.2*KFC!$B$12+KFC!$C$12)*KFC!$C$5</f>
        <v>253.2</v>
      </c>
      <c r="AM20" s="654">
        <f>(258.1*KFC!$B$12+KFC!$C$12)*KFC!$C$5</f>
        <v>258.10000000000002</v>
      </c>
      <c r="AN20" s="654">
        <f>(263.1*KFC!$B$12+KFC!$C$12)*KFC!$C$5</f>
        <v>263.10000000000002</v>
      </c>
      <c r="AO20" s="654">
        <f>(268*KFC!$B$12+KFC!$C$12)*KFC!$C$5</f>
        <v>268</v>
      </c>
      <c r="AP20" s="654">
        <f>(273*KFC!$B$12+KFC!$C$12)*KFC!$C$5</f>
        <v>273</v>
      </c>
      <c r="AQ20" s="654">
        <f>(277.9*KFC!$B$12+KFC!$C$12)*KFC!$C$5</f>
        <v>277.89999999999998</v>
      </c>
      <c r="AR20" s="654">
        <f>(282.8*KFC!$B$12+KFC!$C$12)*KFC!$C$5</f>
        <v>282.8</v>
      </c>
      <c r="AS20" s="654">
        <f>(287.8*KFC!$B$12+KFC!$C$12)*KFC!$C$5</f>
        <v>287.8</v>
      </c>
      <c r="AT20" s="654">
        <f>(292.7*KFC!$B$12+KFC!$C$12)*KFC!$C$5</f>
        <v>292.7</v>
      </c>
      <c r="AU20" s="654">
        <f>(297.7*KFC!$B$12+KFC!$C$12)*KFC!$C$5</f>
        <v>297.7</v>
      </c>
      <c r="AV20" s="654">
        <f>(302.6*KFC!$B$12+KFC!$C$12)*KFC!$C$5</f>
        <v>302.60000000000002</v>
      </c>
      <c r="AW20" s="654">
        <f>(307.5*KFC!$B$12+KFC!$C$12)*KFC!$C$5</f>
        <v>307.5</v>
      </c>
    </row>
    <row r="21" spans="1:49" ht="14.4">
      <c r="A21" s="1277"/>
      <c r="B21" s="649">
        <v>1.8</v>
      </c>
      <c r="C21" s="654">
        <f>(80.9*KFC!$B$12+KFC!$C$12)*KFC!$C$5</f>
        <v>80.900000000000006</v>
      </c>
      <c r="D21" s="654">
        <f>(86*KFC!$B$12+KFC!$C$12)*KFC!$C$5</f>
        <v>86</v>
      </c>
      <c r="E21" s="654">
        <f>(91.1*KFC!$B$12+KFC!$C$12)*KFC!$C$5</f>
        <v>91.1</v>
      </c>
      <c r="F21" s="654">
        <f>(96.1*KFC!$B$12+KFC!$C$12)*KFC!$C$5</f>
        <v>96.1</v>
      </c>
      <c r="G21" s="654">
        <f>(101.2*KFC!$B$12+KFC!$C$12)*KFC!$C$5</f>
        <v>101.2</v>
      </c>
      <c r="H21" s="654">
        <f>(106.2*KFC!$B$12+KFC!$C$12)*KFC!$C$5</f>
        <v>106.2</v>
      </c>
      <c r="I21" s="654">
        <f>(111.3*KFC!$B$12+KFC!$C$12)*KFC!$C$5</f>
        <v>111.3</v>
      </c>
      <c r="J21" s="654">
        <f>(116.4*KFC!$B$12+KFC!$C$12)*KFC!$C$5</f>
        <v>116.4</v>
      </c>
      <c r="K21" s="654">
        <f>(121.4*KFC!$B$12+KFC!$C$12)*KFC!$C$5</f>
        <v>121.4</v>
      </c>
      <c r="L21" s="654">
        <f>(126.5*KFC!$B$12+KFC!$C$12)*KFC!$C$5</f>
        <v>126.5</v>
      </c>
      <c r="M21" s="654">
        <f>(131.5*KFC!$B$12+KFC!$C$12)*KFC!$C$5</f>
        <v>131.5</v>
      </c>
      <c r="N21" s="654">
        <f>(136.6*KFC!$B$12+KFC!$C$12)*KFC!$C$5</f>
        <v>136.6</v>
      </c>
      <c r="O21" s="654">
        <f>(141.7*KFC!$B$12+KFC!$C$12)*KFC!$C$5</f>
        <v>141.69999999999999</v>
      </c>
      <c r="P21" s="654">
        <f>(146.7*KFC!$B$12+KFC!$C$12)*KFC!$C$5</f>
        <v>146.69999999999999</v>
      </c>
      <c r="Q21" s="654">
        <f>(151.8*KFC!$B$12+KFC!$C$12)*KFC!$C$5</f>
        <v>151.80000000000001</v>
      </c>
      <c r="R21" s="654">
        <f>(156.8*KFC!$B$12+KFC!$C$12)*KFC!$C$5</f>
        <v>156.80000000000001</v>
      </c>
      <c r="S21" s="654">
        <f>(161.9*KFC!$B$12+KFC!$C$12)*KFC!$C$5</f>
        <v>161.9</v>
      </c>
      <c r="T21" s="654">
        <f>(167*KFC!$B$12+KFC!$C$12)*KFC!$C$5</f>
        <v>167</v>
      </c>
      <c r="U21" s="654">
        <f>(172*KFC!$B$12+KFC!$C$12)*KFC!$C$5</f>
        <v>172</v>
      </c>
      <c r="V21" s="654">
        <f>(177.1*KFC!$B$12+KFC!$C$12)*KFC!$C$5</f>
        <v>177.1</v>
      </c>
      <c r="W21" s="654">
        <f>(182.1*KFC!$B$12+KFC!$C$12)*KFC!$C$5</f>
        <v>182.1</v>
      </c>
      <c r="X21" s="654">
        <f>(187.2*KFC!$B$12+KFC!$C$12)*KFC!$C$5</f>
        <v>187.2</v>
      </c>
      <c r="Y21" s="654">
        <f>(192.2*KFC!$B$12+KFC!$C$12)*KFC!$C$5</f>
        <v>192.2</v>
      </c>
      <c r="Z21" s="654">
        <f>(197.3*KFC!$B$12+KFC!$C$12)*KFC!$C$5</f>
        <v>197.3</v>
      </c>
      <c r="AA21" s="654">
        <f>(202.4*KFC!$B$12+KFC!$C$12)*KFC!$C$5</f>
        <v>202.4</v>
      </c>
      <c r="AB21" s="654">
        <f>(207.4*KFC!$B$12+KFC!$C$12)*KFC!$C$5</f>
        <v>207.4</v>
      </c>
      <c r="AC21" s="654">
        <f>(212.5*KFC!$B$12+KFC!$C$12)*KFC!$C$5</f>
        <v>212.5</v>
      </c>
      <c r="AD21" s="654">
        <f>(217.5*KFC!$B$12+KFC!$C$12)*KFC!$C$5</f>
        <v>217.5</v>
      </c>
      <c r="AE21" s="654">
        <f>(222.6*KFC!$B$12+KFC!$C$12)*KFC!$C$5</f>
        <v>222.6</v>
      </c>
      <c r="AF21" s="654">
        <f>(227.7*KFC!$B$12+KFC!$C$12)*KFC!$C$5</f>
        <v>227.7</v>
      </c>
      <c r="AG21" s="654">
        <f>(232.7*KFC!$B$12+KFC!$C$12)*KFC!$C$5</f>
        <v>232.7</v>
      </c>
      <c r="AH21" s="654">
        <f>(237.8*KFC!$B$12+KFC!$C$12)*KFC!$C$5</f>
        <v>237.8</v>
      </c>
      <c r="AI21" s="654">
        <f>(242.8*KFC!$B$12+KFC!$C$12)*KFC!$C$5</f>
        <v>242.8</v>
      </c>
      <c r="AJ21" s="654">
        <f>(247.9*KFC!$B$12+KFC!$C$12)*KFC!$C$5</f>
        <v>247.9</v>
      </c>
      <c r="AK21" s="654">
        <f>(253*KFC!$B$12+KFC!$C$12)*KFC!$C$5</f>
        <v>253</v>
      </c>
      <c r="AL21" s="654">
        <f>(258*KFC!$B$12+KFC!$C$12)*KFC!$C$5</f>
        <v>258</v>
      </c>
      <c r="AM21" s="654">
        <f>(263.1*KFC!$B$12+KFC!$C$12)*KFC!$C$5</f>
        <v>263.10000000000002</v>
      </c>
      <c r="AN21" s="654">
        <f>(268.1*KFC!$B$12+KFC!$C$12)*KFC!$C$5</f>
        <v>268.10000000000002</v>
      </c>
      <c r="AO21" s="654">
        <f>(273.2*KFC!$B$12+KFC!$C$12)*KFC!$C$5</f>
        <v>273.2</v>
      </c>
      <c r="AP21" s="654">
        <f>(278.3*KFC!$B$12+KFC!$C$12)*KFC!$C$5</f>
        <v>278.3</v>
      </c>
      <c r="AQ21" s="654">
        <f>(283.3*KFC!$B$12+KFC!$C$12)*KFC!$C$5</f>
        <v>283.3</v>
      </c>
      <c r="AR21" s="654">
        <f>(288.4*KFC!$B$12+KFC!$C$12)*KFC!$C$5</f>
        <v>288.39999999999998</v>
      </c>
      <c r="AS21" s="654">
        <f>(293.4*KFC!$B$12+KFC!$C$12)*KFC!$C$5</f>
        <v>293.39999999999998</v>
      </c>
      <c r="AT21" s="654">
        <f>(298.5*KFC!$B$12+KFC!$C$12)*KFC!$C$5</f>
        <v>298.5</v>
      </c>
      <c r="AU21" s="654">
        <f>(303.6*KFC!$B$12+KFC!$C$12)*KFC!$C$5</f>
        <v>303.60000000000002</v>
      </c>
      <c r="AV21" s="654">
        <f>(308.6*KFC!$B$12+KFC!$C$12)*KFC!$C$5</f>
        <v>308.60000000000002</v>
      </c>
      <c r="AW21" s="654">
        <f>(313.7*KFC!$B$12+KFC!$C$12)*KFC!$C$5</f>
        <v>313.7</v>
      </c>
    </row>
    <row r="22" spans="1:49" ht="14.4">
      <c r="A22" s="1277"/>
      <c r="B22" s="649">
        <v>1.9</v>
      </c>
      <c r="C22" s="654">
        <f>(81.6*KFC!$B$12+KFC!$C$12)*KFC!$C$5</f>
        <v>81.599999999999994</v>
      </c>
      <c r="D22" s="654">
        <f>(86.8*KFC!$B$12+KFC!$C$12)*KFC!$C$5</f>
        <v>86.8</v>
      </c>
      <c r="E22" s="654">
        <f>(92*KFC!$B$12+KFC!$C$12)*KFC!$C$5</f>
        <v>92</v>
      </c>
      <c r="F22" s="654">
        <f>(97.1*KFC!$B$12+KFC!$C$12)*KFC!$C$5</f>
        <v>97.1</v>
      </c>
      <c r="G22" s="654">
        <f>(102.3*KFC!$B$12+KFC!$C$12)*KFC!$C$5</f>
        <v>102.3</v>
      </c>
      <c r="H22" s="654">
        <f>(107.5*KFC!$B$12+KFC!$C$12)*KFC!$C$5</f>
        <v>107.5</v>
      </c>
      <c r="I22" s="654">
        <f>(112.7*KFC!$B$12+KFC!$C$12)*KFC!$C$5</f>
        <v>112.7</v>
      </c>
      <c r="J22" s="654">
        <f>(117.9*KFC!$B$12+KFC!$C$12)*KFC!$C$5</f>
        <v>117.9</v>
      </c>
      <c r="K22" s="654">
        <f>(123*KFC!$B$12+KFC!$C$12)*KFC!$C$5</f>
        <v>123</v>
      </c>
      <c r="L22" s="654">
        <f>(128.2*KFC!$B$12+KFC!$C$12)*KFC!$C$5</f>
        <v>128.19999999999999</v>
      </c>
      <c r="M22" s="654">
        <f>(133.4*KFC!$B$12+KFC!$C$12)*KFC!$C$5</f>
        <v>133.4</v>
      </c>
      <c r="N22" s="654">
        <f>(138.6*KFC!$B$12+KFC!$C$12)*KFC!$C$5</f>
        <v>138.6</v>
      </c>
      <c r="O22" s="654">
        <f>(143.7*KFC!$B$12+KFC!$C$12)*KFC!$C$5</f>
        <v>143.69999999999999</v>
      </c>
      <c r="P22" s="654">
        <f>(148.9*KFC!$B$12+KFC!$C$12)*KFC!$C$5</f>
        <v>148.9</v>
      </c>
      <c r="Q22" s="654">
        <f>(154.1*KFC!$B$12+KFC!$C$12)*KFC!$C$5</f>
        <v>154.1</v>
      </c>
      <c r="R22" s="654">
        <f>(159.3*KFC!$B$12+KFC!$C$12)*KFC!$C$5</f>
        <v>159.30000000000001</v>
      </c>
      <c r="S22" s="654">
        <f>(164.5*KFC!$B$12+KFC!$C$12)*KFC!$C$5</f>
        <v>164.5</v>
      </c>
      <c r="T22" s="654">
        <f>(169.6*KFC!$B$12+KFC!$C$12)*KFC!$C$5</f>
        <v>169.6</v>
      </c>
      <c r="U22" s="654">
        <f>(174.8*KFC!$B$12+KFC!$C$12)*KFC!$C$5</f>
        <v>174.8</v>
      </c>
      <c r="V22" s="654">
        <f>(180*KFC!$B$12+KFC!$C$12)*KFC!$C$5</f>
        <v>180</v>
      </c>
      <c r="W22" s="654">
        <f>(185.2*KFC!$B$12+KFC!$C$12)*KFC!$C$5</f>
        <v>185.2</v>
      </c>
      <c r="X22" s="654">
        <f>(190.3*KFC!$B$12+KFC!$C$12)*KFC!$C$5</f>
        <v>190.3</v>
      </c>
      <c r="Y22" s="654">
        <f>(195.5*KFC!$B$12+KFC!$C$12)*KFC!$C$5</f>
        <v>195.5</v>
      </c>
      <c r="Z22" s="654">
        <f>(200.7*KFC!$B$12+KFC!$C$12)*KFC!$C$5</f>
        <v>200.7</v>
      </c>
      <c r="AA22" s="654">
        <f>(205.9*KFC!$B$12+KFC!$C$12)*KFC!$C$5</f>
        <v>205.9</v>
      </c>
      <c r="AB22" s="654">
        <f>(211.1*KFC!$B$12+KFC!$C$12)*KFC!$C$5</f>
        <v>211.1</v>
      </c>
      <c r="AC22" s="654">
        <f>(216.2*KFC!$B$12+KFC!$C$12)*KFC!$C$5</f>
        <v>216.2</v>
      </c>
      <c r="AD22" s="654">
        <f>(221.4*KFC!$B$12+KFC!$C$12)*KFC!$C$5</f>
        <v>221.4</v>
      </c>
      <c r="AE22" s="654">
        <f>(226.6*KFC!$B$12+KFC!$C$12)*KFC!$C$5</f>
        <v>226.6</v>
      </c>
      <c r="AF22" s="654">
        <f>(231.8*KFC!$B$12+KFC!$C$12)*KFC!$C$5</f>
        <v>231.8</v>
      </c>
      <c r="AG22" s="654">
        <f>(236.9*KFC!$B$12+KFC!$C$12)*KFC!$C$5</f>
        <v>236.9</v>
      </c>
      <c r="AH22" s="654">
        <f>(242.1*KFC!$B$12+KFC!$C$12)*KFC!$C$5</f>
        <v>242.1</v>
      </c>
      <c r="AI22" s="654">
        <f>(247.3*KFC!$B$12+KFC!$C$12)*KFC!$C$5</f>
        <v>247.3</v>
      </c>
      <c r="AJ22" s="654">
        <f>(252.5*KFC!$B$12+KFC!$C$12)*KFC!$C$5</f>
        <v>252.5</v>
      </c>
      <c r="AK22" s="654">
        <f>(257.7*KFC!$B$12+KFC!$C$12)*KFC!$C$5</f>
        <v>257.7</v>
      </c>
      <c r="AL22" s="654">
        <f>(262.8*KFC!$B$12+KFC!$C$12)*KFC!$C$5</f>
        <v>262.8</v>
      </c>
      <c r="AM22" s="654">
        <f>(268*KFC!$B$12+KFC!$C$12)*KFC!$C$5</f>
        <v>268</v>
      </c>
      <c r="AN22" s="654">
        <f>(273.2*KFC!$B$12+KFC!$C$12)*KFC!$C$5</f>
        <v>273.2</v>
      </c>
      <c r="AO22" s="654">
        <f>(278.4*KFC!$B$12+KFC!$C$12)*KFC!$C$5</f>
        <v>278.39999999999998</v>
      </c>
      <c r="AP22" s="654">
        <f>(283.6*KFC!$B$12+KFC!$C$12)*KFC!$C$5</f>
        <v>283.60000000000002</v>
      </c>
      <c r="AQ22" s="654">
        <f>(288.7*KFC!$B$12+KFC!$C$12)*KFC!$C$5</f>
        <v>288.7</v>
      </c>
      <c r="AR22" s="654">
        <f>(293.9*KFC!$B$12+KFC!$C$12)*KFC!$C$5</f>
        <v>293.89999999999998</v>
      </c>
      <c r="AS22" s="654">
        <f>(299.1*KFC!$B$12+KFC!$C$12)*KFC!$C$5</f>
        <v>299.10000000000002</v>
      </c>
      <c r="AT22" s="654">
        <f>(304.3*KFC!$B$12+KFC!$C$12)*KFC!$C$5</f>
        <v>304.3</v>
      </c>
      <c r="AU22" s="654">
        <f>(309.4*KFC!$B$12+KFC!$C$12)*KFC!$C$5</f>
        <v>309.39999999999998</v>
      </c>
      <c r="AV22" s="654">
        <f>(314.6*KFC!$B$12+KFC!$C$12)*KFC!$C$5</f>
        <v>314.60000000000002</v>
      </c>
      <c r="AW22" s="654">
        <f>(319.8*KFC!$B$12+KFC!$C$12)*KFC!$C$5</f>
        <v>319.8</v>
      </c>
    </row>
    <row r="23" spans="1:49" ht="14.4">
      <c r="A23" s="1277"/>
      <c r="B23" s="649">
        <v>2</v>
      </c>
      <c r="C23" s="654">
        <f>(82.3*KFC!$B$12+KFC!$C$12)*KFC!$C$5</f>
        <v>82.3</v>
      </c>
      <c r="D23" s="654">
        <f>(87.6*KFC!$B$12+KFC!$C$12)*KFC!$C$5</f>
        <v>87.6</v>
      </c>
      <c r="E23" s="654">
        <f>(92.9*KFC!$B$12+KFC!$C$12)*KFC!$C$5</f>
        <v>92.9</v>
      </c>
      <c r="F23" s="654">
        <f>(98.2*KFC!$B$12+KFC!$C$12)*KFC!$C$5</f>
        <v>98.2</v>
      </c>
      <c r="G23" s="654">
        <f>(103.5*KFC!$B$12+KFC!$C$12)*KFC!$C$5</f>
        <v>103.5</v>
      </c>
      <c r="H23" s="654">
        <f>(108.7*KFC!$B$12+KFC!$C$12)*KFC!$C$5</f>
        <v>108.7</v>
      </c>
      <c r="I23" s="654">
        <f>(114*KFC!$B$12+KFC!$C$12)*KFC!$C$5</f>
        <v>114</v>
      </c>
      <c r="J23" s="654">
        <f>(119.3*KFC!$B$12+KFC!$C$12)*KFC!$C$5</f>
        <v>119.3</v>
      </c>
      <c r="K23" s="654">
        <f>(124.6*KFC!$B$12+KFC!$C$12)*KFC!$C$5</f>
        <v>124.6</v>
      </c>
      <c r="L23" s="654">
        <f>(129.9*KFC!$B$12+KFC!$C$12)*KFC!$C$5</f>
        <v>129.9</v>
      </c>
      <c r="M23" s="654">
        <f>(135.2*KFC!$B$12+KFC!$C$12)*KFC!$C$5</f>
        <v>135.19999999999999</v>
      </c>
      <c r="N23" s="654">
        <f>(140.5*KFC!$B$12+KFC!$C$12)*KFC!$C$5</f>
        <v>140.5</v>
      </c>
      <c r="O23" s="654">
        <f>(145.8*KFC!$B$12+KFC!$C$12)*KFC!$C$5</f>
        <v>145.80000000000001</v>
      </c>
      <c r="P23" s="654">
        <f>(151.1*KFC!$B$12+KFC!$C$12)*KFC!$C$5</f>
        <v>151.1</v>
      </c>
      <c r="Q23" s="654">
        <f>(156.4*KFC!$B$12+KFC!$C$12)*KFC!$C$5</f>
        <v>156.4</v>
      </c>
      <c r="R23" s="654">
        <f>(161.7*KFC!$B$12+KFC!$C$12)*KFC!$C$5</f>
        <v>161.69999999999999</v>
      </c>
      <c r="S23" s="654">
        <f>(167*KFC!$B$12+KFC!$C$12)*KFC!$C$5</f>
        <v>167</v>
      </c>
      <c r="T23" s="654">
        <f>(172.3*KFC!$B$12+KFC!$C$12)*KFC!$C$5</f>
        <v>172.3</v>
      </c>
      <c r="U23" s="654">
        <f>(177.6*KFC!$B$12+KFC!$C$12)*KFC!$C$5</f>
        <v>177.6</v>
      </c>
      <c r="V23" s="654">
        <f>(182.9*KFC!$B$12+KFC!$C$12)*KFC!$C$5</f>
        <v>182.9</v>
      </c>
      <c r="W23" s="654">
        <f>(188.2*KFC!$B$12+KFC!$C$12)*KFC!$C$5</f>
        <v>188.2</v>
      </c>
      <c r="X23" s="654">
        <f>(193.5*KFC!$B$12+KFC!$C$12)*KFC!$C$5</f>
        <v>193.5</v>
      </c>
      <c r="Y23" s="654">
        <f>(198.8*KFC!$B$12+KFC!$C$12)*KFC!$C$5</f>
        <v>198.8</v>
      </c>
      <c r="Z23" s="654">
        <f>(204.1*KFC!$B$12+KFC!$C$12)*KFC!$C$5</f>
        <v>204.1</v>
      </c>
      <c r="AA23" s="654">
        <f>(209.4*KFC!$B$12+KFC!$C$12)*KFC!$C$5</f>
        <v>209.4</v>
      </c>
      <c r="AB23" s="654">
        <f>(214.7*KFC!$B$12+KFC!$C$12)*KFC!$C$5</f>
        <v>214.7</v>
      </c>
      <c r="AC23" s="654">
        <f>(220*KFC!$B$12+KFC!$C$12)*KFC!$C$5</f>
        <v>220</v>
      </c>
      <c r="AD23" s="654">
        <f>(225.3*KFC!$B$12+KFC!$C$12)*KFC!$C$5</f>
        <v>225.3</v>
      </c>
      <c r="AE23" s="654">
        <f>(230.6*KFC!$B$12+KFC!$C$12)*KFC!$C$5</f>
        <v>230.6</v>
      </c>
      <c r="AF23" s="654">
        <f>(235.9*KFC!$B$12+KFC!$C$12)*KFC!$C$5</f>
        <v>235.9</v>
      </c>
      <c r="AG23" s="654">
        <f>(241.2*KFC!$B$12+KFC!$C$12)*KFC!$C$5</f>
        <v>241.2</v>
      </c>
      <c r="AH23" s="654">
        <f>(246.5*KFC!$B$12+KFC!$C$12)*KFC!$C$5</f>
        <v>246.5</v>
      </c>
      <c r="AI23" s="654">
        <f>(251.8*KFC!$B$12+KFC!$C$12)*KFC!$C$5</f>
        <v>251.8</v>
      </c>
      <c r="AJ23" s="654">
        <f>(257.1*KFC!$B$12+KFC!$C$12)*KFC!$C$5</f>
        <v>257.10000000000002</v>
      </c>
      <c r="AK23" s="654">
        <f>(262.4*KFC!$B$12+KFC!$C$12)*KFC!$C$5</f>
        <v>262.39999999999998</v>
      </c>
      <c r="AL23" s="654">
        <f>(267.7*KFC!$B$12+KFC!$C$12)*KFC!$C$5</f>
        <v>267.7</v>
      </c>
      <c r="AM23" s="654">
        <f>(273*KFC!$B$12+KFC!$C$12)*KFC!$C$5</f>
        <v>273</v>
      </c>
      <c r="AN23" s="654">
        <f>(278.3*KFC!$B$12+KFC!$C$12)*KFC!$C$5</f>
        <v>278.3</v>
      </c>
      <c r="AO23" s="654">
        <f>(283.6*KFC!$B$12+KFC!$C$12)*KFC!$C$5</f>
        <v>283.60000000000002</v>
      </c>
      <c r="AP23" s="654">
        <f>(288.9*KFC!$B$12+KFC!$C$12)*KFC!$C$5</f>
        <v>288.89999999999998</v>
      </c>
      <c r="AQ23" s="654">
        <f>(294.1*KFC!$B$12+KFC!$C$12)*KFC!$C$5</f>
        <v>294.10000000000002</v>
      </c>
      <c r="AR23" s="654">
        <f>(299.4*KFC!$B$12+KFC!$C$12)*KFC!$C$5</f>
        <v>299.39999999999998</v>
      </c>
      <c r="AS23" s="654">
        <f>(304.7*KFC!$B$12+KFC!$C$12)*KFC!$C$5</f>
        <v>304.7</v>
      </c>
      <c r="AT23" s="654">
        <f>(310*KFC!$B$12+KFC!$C$12)*KFC!$C$5</f>
        <v>310</v>
      </c>
      <c r="AU23" s="654">
        <f>(315.3*KFC!$B$12+KFC!$C$12)*KFC!$C$5</f>
        <v>315.3</v>
      </c>
      <c r="AV23" s="654">
        <f>(320.6*KFC!$B$12+KFC!$C$12)*KFC!$C$5</f>
        <v>320.60000000000002</v>
      </c>
      <c r="AW23" s="654">
        <f>(325.9*KFC!$B$12+KFC!$C$12)*KFC!$C$5</f>
        <v>325.89999999999998</v>
      </c>
    </row>
    <row r="24" spans="1:49" ht="14.4">
      <c r="A24" s="1277"/>
      <c r="B24" s="649">
        <v>2.1</v>
      </c>
      <c r="C24" s="654">
        <f>(82.9*KFC!$B$12+KFC!$C$12)*KFC!$C$5</f>
        <v>82.9</v>
      </c>
      <c r="D24" s="654">
        <f>(88.3*KFC!$B$12+KFC!$C$12)*KFC!$C$5</f>
        <v>88.3</v>
      </c>
      <c r="E24" s="654">
        <f>(93.7*KFC!$B$12+KFC!$C$12)*KFC!$C$5</f>
        <v>93.7</v>
      </c>
      <c r="F24" s="654">
        <f>(99.2*KFC!$B$12+KFC!$C$12)*KFC!$C$5</f>
        <v>99.2</v>
      </c>
      <c r="G24" s="654">
        <f>(104.6*KFC!$B$12+KFC!$C$12)*KFC!$C$5</f>
        <v>104.6</v>
      </c>
      <c r="H24" s="654">
        <f>(110*KFC!$B$12+KFC!$C$12)*KFC!$C$5</f>
        <v>110</v>
      </c>
      <c r="I24" s="654">
        <f>(115.4*KFC!$B$12+KFC!$C$12)*KFC!$C$5</f>
        <v>115.4</v>
      </c>
      <c r="J24" s="654">
        <f>(120.8*KFC!$B$12+KFC!$C$12)*KFC!$C$5</f>
        <v>120.8</v>
      </c>
      <c r="K24" s="654">
        <f>(126.2*KFC!$B$12+KFC!$C$12)*KFC!$C$5</f>
        <v>126.2</v>
      </c>
      <c r="L24" s="654">
        <f>(131.7*KFC!$B$12+KFC!$C$12)*KFC!$C$5</f>
        <v>131.69999999999999</v>
      </c>
      <c r="M24" s="654">
        <f>(137.1*KFC!$B$12+KFC!$C$12)*KFC!$C$5</f>
        <v>137.1</v>
      </c>
      <c r="N24" s="654">
        <f>(142.5*KFC!$B$12+KFC!$C$12)*KFC!$C$5</f>
        <v>142.5</v>
      </c>
      <c r="O24" s="654">
        <f>(147.9*KFC!$B$12+KFC!$C$12)*KFC!$C$5</f>
        <v>147.9</v>
      </c>
      <c r="P24" s="654">
        <f>(153.3*KFC!$B$12+KFC!$C$12)*KFC!$C$5</f>
        <v>153.30000000000001</v>
      </c>
      <c r="Q24" s="654">
        <f>(158.7*KFC!$B$12+KFC!$C$12)*KFC!$C$5</f>
        <v>158.69999999999999</v>
      </c>
      <c r="R24" s="654">
        <f>(164.2*KFC!$B$12+KFC!$C$12)*KFC!$C$5</f>
        <v>164.2</v>
      </c>
      <c r="S24" s="654">
        <f>(169.6*KFC!$B$12+KFC!$C$12)*KFC!$C$5</f>
        <v>169.6</v>
      </c>
      <c r="T24" s="654">
        <f>(175*KFC!$B$12+KFC!$C$12)*KFC!$C$5</f>
        <v>175</v>
      </c>
      <c r="U24" s="654">
        <f>(180.4*KFC!$B$12+KFC!$C$12)*KFC!$C$5</f>
        <v>180.4</v>
      </c>
      <c r="V24" s="654">
        <f>(185.8*KFC!$B$12+KFC!$C$12)*KFC!$C$5</f>
        <v>185.8</v>
      </c>
      <c r="W24" s="654">
        <f>(191.2*KFC!$B$12+KFC!$C$12)*KFC!$C$5</f>
        <v>191.2</v>
      </c>
      <c r="X24" s="654">
        <f>(196.7*KFC!$B$12+KFC!$C$12)*KFC!$C$5</f>
        <v>196.7</v>
      </c>
      <c r="Y24" s="654">
        <f>(202.1*KFC!$B$12+KFC!$C$12)*KFC!$C$5</f>
        <v>202.1</v>
      </c>
      <c r="Z24" s="654">
        <f>(207.5*KFC!$B$12+KFC!$C$12)*KFC!$C$5</f>
        <v>207.5</v>
      </c>
      <c r="AA24" s="654">
        <f>(212.9*KFC!$B$12+KFC!$C$12)*KFC!$C$5</f>
        <v>212.9</v>
      </c>
      <c r="AB24" s="654">
        <f>(218.3*KFC!$B$12+KFC!$C$12)*KFC!$C$5</f>
        <v>218.3</v>
      </c>
      <c r="AC24" s="654">
        <f>(223.7*KFC!$B$12+KFC!$C$12)*KFC!$C$5</f>
        <v>223.7</v>
      </c>
      <c r="AD24" s="654">
        <f>(229.2*KFC!$B$12+KFC!$C$12)*KFC!$C$5</f>
        <v>229.2</v>
      </c>
      <c r="AE24" s="654">
        <f>(234.6*KFC!$B$12+KFC!$C$12)*KFC!$C$5</f>
        <v>234.6</v>
      </c>
      <c r="AF24" s="654">
        <f>(240*KFC!$B$12+KFC!$C$12)*KFC!$C$5</f>
        <v>240</v>
      </c>
      <c r="AG24" s="654">
        <f>(245.4*KFC!$B$12+KFC!$C$12)*KFC!$C$5</f>
        <v>245.4</v>
      </c>
      <c r="AH24" s="654">
        <f>(250.8*KFC!$B$12+KFC!$C$12)*KFC!$C$5</f>
        <v>250.8</v>
      </c>
      <c r="AI24" s="654">
        <f>(256.2*KFC!$B$12+KFC!$C$12)*KFC!$C$5</f>
        <v>256.2</v>
      </c>
      <c r="AJ24" s="654">
        <f>(261.6*KFC!$B$12+KFC!$C$12)*KFC!$C$5</f>
        <v>261.60000000000002</v>
      </c>
      <c r="AK24" s="654">
        <f>(267.1*KFC!$B$12+KFC!$C$12)*KFC!$C$5</f>
        <v>267.10000000000002</v>
      </c>
      <c r="AL24" s="654">
        <f>(272.5*KFC!$B$12+KFC!$C$12)*KFC!$C$5</f>
        <v>272.5</v>
      </c>
      <c r="AM24" s="654">
        <f>(277.9*KFC!$B$12+KFC!$C$12)*KFC!$C$5</f>
        <v>277.89999999999998</v>
      </c>
      <c r="AN24" s="654">
        <f>(283.3*KFC!$B$12+KFC!$C$12)*KFC!$C$5</f>
        <v>283.3</v>
      </c>
      <c r="AO24" s="654">
        <f>(288.7*KFC!$B$12+KFC!$C$12)*KFC!$C$5</f>
        <v>288.7</v>
      </c>
      <c r="AP24" s="654">
        <f>(294.1*KFC!$B$12+KFC!$C$12)*KFC!$C$5</f>
        <v>294.10000000000002</v>
      </c>
      <c r="AQ24" s="654">
        <f>(299.6*KFC!$B$12+KFC!$C$12)*KFC!$C$5</f>
        <v>299.60000000000002</v>
      </c>
      <c r="AR24" s="654">
        <f>(305*KFC!$B$12+KFC!$C$12)*KFC!$C$5</f>
        <v>305</v>
      </c>
      <c r="AS24" s="654">
        <f>(310.4*KFC!$B$12+KFC!$C$12)*KFC!$C$5</f>
        <v>310.39999999999998</v>
      </c>
      <c r="AT24" s="654">
        <f>(315.8*KFC!$B$12+KFC!$C$12)*KFC!$C$5</f>
        <v>315.8</v>
      </c>
      <c r="AU24" s="654">
        <f>(321.2*KFC!$B$12+KFC!$C$12)*KFC!$C$5</f>
        <v>321.2</v>
      </c>
      <c r="AV24" s="654">
        <f>(326.6*KFC!$B$12+KFC!$C$12)*KFC!$C$5</f>
        <v>326.60000000000002</v>
      </c>
      <c r="AW24" s="654">
        <f>(332.1*KFC!$B$12+KFC!$C$12)*KFC!$C$5</f>
        <v>332.1</v>
      </c>
    </row>
    <row r="25" spans="1:49" ht="14.4">
      <c r="A25" s="1277"/>
      <c r="B25" s="649">
        <v>2.2000000000000002</v>
      </c>
      <c r="C25" s="654">
        <f>(83.6*KFC!$B$12+KFC!$C$12)*KFC!$C$5</f>
        <v>83.6</v>
      </c>
      <c r="D25" s="654">
        <f>(89.1*KFC!$B$12+KFC!$C$12)*KFC!$C$5</f>
        <v>89.1</v>
      </c>
      <c r="E25" s="654">
        <f>(94.6*KFC!$B$12+KFC!$C$12)*KFC!$C$5</f>
        <v>94.6</v>
      </c>
      <c r="F25" s="654">
        <f>(100.2*KFC!$B$12+KFC!$C$12)*KFC!$C$5</f>
        <v>100.2</v>
      </c>
      <c r="G25" s="654">
        <f>(105.7*KFC!$B$12+KFC!$C$12)*KFC!$C$5</f>
        <v>105.7</v>
      </c>
      <c r="H25" s="654">
        <f>(111.2*KFC!$B$12+KFC!$C$12)*KFC!$C$5</f>
        <v>111.2</v>
      </c>
      <c r="I25" s="654">
        <f>(116.8*KFC!$B$12+KFC!$C$12)*KFC!$C$5</f>
        <v>116.8</v>
      </c>
      <c r="J25" s="654">
        <f>(122.3*KFC!$B$12+KFC!$C$12)*KFC!$C$5</f>
        <v>122.3</v>
      </c>
      <c r="K25" s="654">
        <f>(127.9*KFC!$B$12+KFC!$C$12)*KFC!$C$5</f>
        <v>127.9</v>
      </c>
      <c r="L25" s="654">
        <f>(133.4*KFC!$B$12+KFC!$C$12)*KFC!$C$5</f>
        <v>133.4</v>
      </c>
      <c r="M25" s="654">
        <f>(138.9*KFC!$B$12+KFC!$C$12)*KFC!$C$5</f>
        <v>138.9</v>
      </c>
      <c r="N25" s="654">
        <f>(144.5*KFC!$B$12+KFC!$C$12)*KFC!$C$5</f>
        <v>144.5</v>
      </c>
      <c r="O25" s="654">
        <f>(150*KFC!$B$12+KFC!$C$12)*KFC!$C$5</f>
        <v>150</v>
      </c>
      <c r="P25" s="654">
        <f>(155.5*KFC!$B$12+KFC!$C$12)*KFC!$C$5</f>
        <v>155.5</v>
      </c>
      <c r="Q25" s="654">
        <f>(161.1*KFC!$B$12+KFC!$C$12)*KFC!$C$5</f>
        <v>161.1</v>
      </c>
      <c r="R25" s="654">
        <f>(166.6*KFC!$B$12+KFC!$C$12)*KFC!$C$5</f>
        <v>166.6</v>
      </c>
      <c r="S25" s="654">
        <f>(172.1*KFC!$B$12+KFC!$C$12)*KFC!$C$5</f>
        <v>172.1</v>
      </c>
      <c r="T25" s="654">
        <f>(177.7*KFC!$B$12+KFC!$C$12)*KFC!$C$5</f>
        <v>177.7</v>
      </c>
      <c r="U25" s="654">
        <f>(183.2*KFC!$B$12+KFC!$C$12)*KFC!$C$5</f>
        <v>183.2</v>
      </c>
      <c r="V25" s="654">
        <f>(188.7*KFC!$B$12+KFC!$C$12)*KFC!$C$5</f>
        <v>188.7</v>
      </c>
      <c r="W25" s="654">
        <f>(194.3*KFC!$B$12+KFC!$C$12)*KFC!$C$5</f>
        <v>194.3</v>
      </c>
      <c r="X25" s="654">
        <f>(199.8*KFC!$B$12+KFC!$C$12)*KFC!$C$5</f>
        <v>199.8</v>
      </c>
      <c r="Y25" s="654">
        <f>(205.4*KFC!$B$12+KFC!$C$12)*KFC!$C$5</f>
        <v>205.4</v>
      </c>
      <c r="Z25" s="654">
        <f>(210.9*KFC!$B$12+KFC!$C$12)*KFC!$C$5</f>
        <v>210.9</v>
      </c>
      <c r="AA25" s="654">
        <f>(216.4*KFC!$B$12+KFC!$C$12)*KFC!$C$5</f>
        <v>216.4</v>
      </c>
      <c r="AB25" s="654">
        <f>(221.9*KFC!$B$12+KFC!$C$12)*KFC!$C$5</f>
        <v>221.9</v>
      </c>
      <c r="AC25" s="654">
        <f>(227.5*KFC!$B$12+KFC!$C$12)*KFC!$C$5</f>
        <v>227.5</v>
      </c>
      <c r="AD25" s="654">
        <f>(233*KFC!$B$12+KFC!$C$12)*KFC!$C$5</f>
        <v>233</v>
      </c>
      <c r="AE25" s="654">
        <f>(238.6*KFC!$B$12+KFC!$C$12)*KFC!$C$5</f>
        <v>238.6</v>
      </c>
      <c r="AF25" s="654">
        <f>(244.1*KFC!$B$12+KFC!$C$12)*KFC!$C$5</f>
        <v>244.1</v>
      </c>
      <c r="AG25" s="654">
        <f>(249.6*KFC!$B$12+KFC!$C$12)*KFC!$C$5</f>
        <v>249.6</v>
      </c>
      <c r="AH25" s="654">
        <f>(255.2*KFC!$B$12+KFC!$C$12)*KFC!$C$5</f>
        <v>255.2</v>
      </c>
      <c r="AI25" s="654">
        <f>(260.7*KFC!$B$12+KFC!$C$12)*KFC!$C$5</f>
        <v>260.7</v>
      </c>
      <c r="AJ25" s="654">
        <f>(266.2*KFC!$B$12+KFC!$C$12)*KFC!$C$5</f>
        <v>266.2</v>
      </c>
      <c r="AK25" s="654">
        <f>(271.8*KFC!$B$12+KFC!$C$12)*KFC!$C$5</f>
        <v>271.8</v>
      </c>
      <c r="AL25" s="654">
        <f>(277.3*KFC!$B$12+KFC!$C$12)*KFC!$C$5</f>
        <v>277.3</v>
      </c>
      <c r="AM25" s="654">
        <f>(282.8*KFC!$B$12+KFC!$C$12)*KFC!$C$5</f>
        <v>282.8</v>
      </c>
      <c r="AN25" s="654">
        <f>(288.4*KFC!$B$12+KFC!$C$12)*KFC!$C$5</f>
        <v>288.39999999999998</v>
      </c>
      <c r="AO25" s="654">
        <f>(293.9*KFC!$B$12+KFC!$C$12)*KFC!$C$5</f>
        <v>293.89999999999998</v>
      </c>
      <c r="AP25" s="654">
        <f>(299.4*KFC!$B$12+KFC!$C$12)*KFC!$C$5</f>
        <v>299.39999999999998</v>
      </c>
      <c r="AQ25" s="654">
        <f>(305*KFC!$B$12+KFC!$C$12)*KFC!$C$5</f>
        <v>305</v>
      </c>
      <c r="AR25" s="654">
        <f>(310.5*KFC!$B$12+KFC!$C$12)*KFC!$C$5</f>
        <v>310.5</v>
      </c>
      <c r="AS25" s="654">
        <f>(316*KFC!$B$12+KFC!$C$12)*KFC!$C$5</f>
        <v>316</v>
      </c>
      <c r="AT25" s="654">
        <f>(321.6*KFC!$B$12+KFC!$C$12)*KFC!$C$5</f>
        <v>321.60000000000002</v>
      </c>
      <c r="AU25" s="654">
        <f>(327.1*KFC!$B$12+KFC!$C$12)*KFC!$C$5</f>
        <v>327.10000000000002</v>
      </c>
      <c r="AV25" s="654">
        <f>(332.6*KFC!$B$12+KFC!$C$12)*KFC!$C$5</f>
        <v>332.6</v>
      </c>
      <c r="AW25" s="654">
        <f>(338.2*KFC!$B$12+KFC!$C$12)*KFC!$C$5</f>
        <v>338.2</v>
      </c>
    </row>
    <row r="26" spans="1:49" ht="14.4">
      <c r="A26" s="1277"/>
      <c r="B26" s="649">
        <v>2.2999999999999998</v>
      </c>
      <c r="C26" s="654">
        <f>(84.2*KFC!$B$12+KFC!$C$12)*KFC!$C$5</f>
        <v>84.2</v>
      </c>
      <c r="D26" s="654">
        <f>(89.9*KFC!$B$12+KFC!$C$12)*KFC!$C$5</f>
        <v>89.9</v>
      </c>
      <c r="E26" s="654">
        <f>(95.5*KFC!$B$12+KFC!$C$12)*KFC!$C$5</f>
        <v>95.5</v>
      </c>
      <c r="F26" s="654">
        <f>(101.2*KFC!$B$12+KFC!$C$12)*KFC!$C$5</f>
        <v>101.2</v>
      </c>
      <c r="G26" s="654">
        <f>(106.9*KFC!$B$12+KFC!$C$12)*KFC!$C$5</f>
        <v>106.9</v>
      </c>
      <c r="H26" s="654">
        <f>(112.5*KFC!$B$12+KFC!$C$12)*KFC!$C$5</f>
        <v>112.5</v>
      </c>
      <c r="I26" s="654">
        <f>(118.2*KFC!$B$12+KFC!$C$12)*KFC!$C$5</f>
        <v>118.2</v>
      </c>
      <c r="J26" s="654">
        <f>(123.8*KFC!$B$12+KFC!$C$12)*KFC!$C$5</f>
        <v>123.8</v>
      </c>
      <c r="K26" s="654">
        <f>(129.5*KFC!$B$12+KFC!$C$12)*KFC!$C$5</f>
        <v>129.5</v>
      </c>
      <c r="L26" s="654">
        <f>(135.1*KFC!$B$12+KFC!$C$12)*KFC!$C$5</f>
        <v>135.1</v>
      </c>
      <c r="M26" s="654">
        <f>(140.8*KFC!$B$12+KFC!$C$12)*KFC!$C$5</f>
        <v>140.80000000000001</v>
      </c>
      <c r="N26" s="654">
        <f>(146.4*KFC!$B$12+KFC!$C$12)*KFC!$C$5</f>
        <v>146.4</v>
      </c>
      <c r="O26" s="654">
        <f>(152.1*KFC!$B$12+KFC!$C$12)*KFC!$C$5</f>
        <v>152.1</v>
      </c>
      <c r="P26" s="654">
        <f>(157.7*KFC!$B$12+KFC!$C$12)*KFC!$C$5</f>
        <v>157.69999999999999</v>
      </c>
      <c r="Q26" s="654">
        <f>(163.4*KFC!$B$12+KFC!$C$12)*KFC!$C$5</f>
        <v>163.4</v>
      </c>
      <c r="R26" s="654">
        <f>(169*KFC!$B$12+KFC!$C$12)*KFC!$C$5</f>
        <v>169</v>
      </c>
      <c r="S26" s="654">
        <f>(174.7*KFC!$B$12+KFC!$C$12)*KFC!$C$5</f>
        <v>174.7</v>
      </c>
      <c r="T26" s="654">
        <f>(180.4*KFC!$B$12+KFC!$C$12)*KFC!$C$5</f>
        <v>180.4</v>
      </c>
      <c r="U26" s="654">
        <f>(186*KFC!$B$12+KFC!$C$12)*KFC!$C$5</f>
        <v>186</v>
      </c>
      <c r="V26" s="654">
        <f>(191.7*KFC!$B$12+KFC!$C$12)*KFC!$C$5</f>
        <v>191.7</v>
      </c>
      <c r="W26" s="654">
        <f>(197.3*KFC!$B$12+KFC!$C$12)*KFC!$C$5</f>
        <v>197.3</v>
      </c>
      <c r="X26" s="654">
        <f>(203*KFC!$B$12+KFC!$C$12)*KFC!$C$5</f>
        <v>203</v>
      </c>
      <c r="Y26" s="654">
        <f>(208.6*KFC!$B$12+KFC!$C$12)*KFC!$C$5</f>
        <v>208.6</v>
      </c>
      <c r="Z26" s="654">
        <f>(214.3*KFC!$B$12+KFC!$C$12)*KFC!$C$5</f>
        <v>214.3</v>
      </c>
      <c r="AA26" s="654">
        <f>(219.9*KFC!$B$12+KFC!$C$12)*KFC!$C$5</f>
        <v>219.9</v>
      </c>
      <c r="AB26" s="654">
        <f>(225.6*KFC!$B$12+KFC!$C$12)*KFC!$C$5</f>
        <v>225.6</v>
      </c>
      <c r="AC26" s="654">
        <f>(231.2*KFC!$B$12+KFC!$C$12)*KFC!$C$5</f>
        <v>231.2</v>
      </c>
      <c r="AD26" s="654">
        <f>(236.9*KFC!$B$12+KFC!$C$12)*KFC!$C$5</f>
        <v>236.9</v>
      </c>
      <c r="AE26" s="654">
        <f>(242.5*KFC!$B$12+KFC!$C$12)*KFC!$C$5</f>
        <v>242.5</v>
      </c>
      <c r="AF26" s="654">
        <f>(248.2*KFC!$B$12+KFC!$C$12)*KFC!$C$5</f>
        <v>248.2</v>
      </c>
      <c r="AG26" s="654">
        <f>(253.8*KFC!$B$12+KFC!$C$12)*KFC!$C$5</f>
        <v>253.8</v>
      </c>
      <c r="AH26" s="654">
        <f>(259.5*KFC!$B$12+KFC!$C$12)*KFC!$C$5</f>
        <v>259.5</v>
      </c>
      <c r="AI26" s="654">
        <f>(265.2*KFC!$B$12+KFC!$C$12)*KFC!$C$5</f>
        <v>265.2</v>
      </c>
      <c r="AJ26" s="654">
        <f>(270.8*KFC!$B$12+KFC!$C$12)*KFC!$C$5</f>
        <v>270.8</v>
      </c>
      <c r="AK26" s="654">
        <f>(276.5*KFC!$B$12+KFC!$C$12)*KFC!$C$5</f>
        <v>276.5</v>
      </c>
      <c r="AL26" s="654">
        <f>(282.1*KFC!$B$12+KFC!$C$12)*KFC!$C$5</f>
        <v>282.10000000000002</v>
      </c>
      <c r="AM26" s="654">
        <f>(287.8*KFC!$B$12+KFC!$C$12)*KFC!$C$5</f>
        <v>287.8</v>
      </c>
      <c r="AN26" s="654">
        <f>(293.4*KFC!$B$12+KFC!$C$12)*KFC!$C$5</f>
        <v>293.39999999999998</v>
      </c>
      <c r="AO26" s="654">
        <f>(299.1*KFC!$B$12+KFC!$C$12)*KFC!$C$5</f>
        <v>299.10000000000002</v>
      </c>
      <c r="AP26" s="654">
        <f>(304.7*KFC!$B$12+KFC!$C$12)*KFC!$C$5</f>
        <v>304.7</v>
      </c>
      <c r="AQ26" s="654">
        <f>(310.4*KFC!$B$12+KFC!$C$12)*KFC!$C$5</f>
        <v>310.39999999999998</v>
      </c>
      <c r="AR26" s="654">
        <f>(316*KFC!$B$12+KFC!$C$12)*KFC!$C$5</f>
        <v>316</v>
      </c>
      <c r="AS26" s="654">
        <f>(321.7*KFC!$B$12+KFC!$C$12)*KFC!$C$5</f>
        <v>321.7</v>
      </c>
      <c r="AT26" s="654">
        <f>(327.4*KFC!$B$12+KFC!$C$12)*KFC!$C$5</f>
        <v>327.39999999999998</v>
      </c>
      <c r="AU26" s="654">
        <f>(333*KFC!$B$12+KFC!$C$12)*KFC!$C$5</f>
        <v>333</v>
      </c>
      <c r="AV26" s="654">
        <f>(338.7*KFC!$B$12+KFC!$C$12)*KFC!$C$5</f>
        <v>338.7</v>
      </c>
      <c r="AW26" s="654">
        <f>(344.3*KFC!$B$12+KFC!$C$12)*KFC!$C$5</f>
        <v>344.3</v>
      </c>
    </row>
    <row r="27" spans="1:49" ht="14.4">
      <c r="A27" s="1277"/>
      <c r="B27" s="649">
        <v>2.4</v>
      </c>
      <c r="C27" s="654">
        <f>(84.9*KFC!$B$12+KFC!$C$12)*KFC!$C$5</f>
        <v>84.9</v>
      </c>
      <c r="D27" s="654">
        <f>(90.7*KFC!$B$12+KFC!$C$12)*KFC!$C$5</f>
        <v>90.7</v>
      </c>
      <c r="E27" s="654">
        <f>(96.4*KFC!$B$12+KFC!$C$12)*KFC!$C$5</f>
        <v>96.4</v>
      </c>
      <c r="F27" s="654">
        <f>(102.2*KFC!$B$12+KFC!$C$12)*KFC!$C$5</f>
        <v>102.2</v>
      </c>
      <c r="G27" s="654">
        <f>(108*KFC!$B$12+KFC!$C$12)*KFC!$C$5</f>
        <v>108</v>
      </c>
      <c r="H27" s="654">
        <f>(113.8*KFC!$B$12+KFC!$C$12)*KFC!$C$5</f>
        <v>113.8</v>
      </c>
      <c r="I27" s="654">
        <f>(119.5*KFC!$B$12+KFC!$C$12)*KFC!$C$5</f>
        <v>119.5</v>
      </c>
      <c r="J27" s="654">
        <f>(125.3*KFC!$B$12+KFC!$C$12)*KFC!$C$5</f>
        <v>125.3</v>
      </c>
      <c r="K27" s="654">
        <f>(131.1*KFC!$B$12+KFC!$C$12)*KFC!$C$5</f>
        <v>131.1</v>
      </c>
      <c r="L27" s="654">
        <f>(136.9*KFC!$B$12+KFC!$C$12)*KFC!$C$5</f>
        <v>136.9</v>
      </c>
      <c r="M27" s="654">
        <f>(142.6*KFC!$B$12+KFC!$C$12)*KFC!$C$5</f>
        <v>142.6</v>
      </c>
      <c r="N27" s="654">
        <f>(148.4*KFC!$B$12+KFC!$C$12)*KFC!$C$5</f>
        <v>148.4</v>
      </c>
      <c r="O27" s="654">
        <f>(154.2*KFC!$B$12+KFC!$C$12)*KFC!$C$5</f>
        <v>154.19999999999999</v>
      </c>
      <c r="P27" s="654">
        <f>(159.9*KFC!$B$12+KFC!$C$12)*KFC!$C$5</f>
        <v>159.9</v>
      </c>
      <c r="Q27" s="654">
        <f>(165.7*KFC!$B$12+KFC!$C$12)*KFC!$C$5</f>
        <v>165.7</v>
      </c>
      <c r="R27" s="654">
        <f>(171.5*KFC!$B$12+KFC!$C$12)*KFC!$C$5</f>
        <v>171.5</v>
      </c>
      <c r="S27" s="654">
        <f>(177.3*KFC!$B$12+KFC!$C$12)*KFC!$C$5</f>
        <v>177.3</v>
      </c>
      <c r="T27" s="654">
        <f>(183*KFC!$B$12+KFC!$C$12)*KFC!$C$5</f>
        <v>183</v>
      </c>
      <c r="U27" s="654">
        <f>(188.8*KFC!$B$12+KFC!$C$12)*KFC!$C$5</f>
        <v>188.8</v>
      </c>
      <c r="V27" s="654">
        <f>(194.6*KFC!$B$12+KFC!$C$12)*KFC!$C$5</f>
        <v>194.6</v>
      </c>
      <c r="W27" s="654">
        <f>(200.4*KFC!$B$12+KFC!$C$12)*KFC!$C$5</f>
        <v>200.4</v>
      </c>
      <c r="X27" s="654">
        <f>(206.1*KFC!$B$12+KFC!$C$12)*KFC!$C$5</f>
        <v>206.1</v>
      </c>
      <c r="Y27" s="654">
        <f>(211.9*KFC!$B$12+KFC!$C$12)*KFC!$C$5</f>
        <v>211.9</v>
      </c>
      <c r="Z27" s="654">
        <f>(217.7*KFC!$B$12+KFC!$C$12)*KFC!$C$5</f>
        <v>217.7</v>
      </c>
      <c r="AA27" s="654">
        <f>(223.4*KFC!$B$12+KFC!$C$12)*KFC!$C$5</f>
        <v>223.4</v>
      </c>
      <c r="AB27" s="654">
        <f>(229.2*KFC!$B$12+KFC!$C$12)*KFC!$C$5</f>
        <v>229.2</v>
      </c>
      <c r="AC27" s="654">
        <f>(235*KFC!$B$12+KFC!$C$12)*KFC!$C$5</f>
        <v>235</v>
      </c>
      <c r="AD27" s="654">
        <f>(240.8*KFC!$B$12+KFC!$C$12)*KFC!$C$5</f>
        <v>240.8</v>
      </c>
      <c r="AE27" s="654">
        <f>(246.5*KFC!$B$12+KFC!$C$12)*KFC!$C$5</f>
        <v>246.5</v>
      </c>
      <c r="AF27" s="654">
        <f>(252.3*KFC!$B$12+KFC!$C$12)*KFC!$C$5</f>
        <v>252.3</v>
      </c>
      <c r="AG27" s="654">
        <f>(258.1*KFC!$B$12+KFC!$C$12)*KFC!$C$5</f>
        <v>258.10000000000002</v>
      </c>
      <c r="AH27" s="654">
        <f>(263.9*KFC!$B$12+KFC!$C$12)*KFC!$C$5</f>
        <v>263.89999999999998</v>
      </c>
      <c r="AI27" s="654">
        <f>(269.6*KFC!$B$12+KFC!$C$12)*KFC!$C$5</f>
        <v>269.60000000000002</v>
      </c>
      <c r="AJ27" s="654">
        <f>(275.4*KFC!$B$12+KFC!$C$12)*KFC!$C$5</f>
        <v>275.39999999999998</v>
      </c>
      <c r="AK27" s="654">
        <f>(281.2*KFC!$B$12+KFC!$C$12)*KFC!$C$5</f>
        <v>281.2</v>
      </c>
      <c r="AL27" s="654">
        <f>(286.9*KFC!$B$12+KFC!$C$12)*KFC!$C$5</f>
        <v>286.89999999999998</v>
      </c>
      <c r="AM27" s="654">
        <f>(292.7*KFC!$B$12+KFC!$C$12)*KFC!$C$5</f>
        <v>292.7</v>
      </c>
      <c r="AN27" s="654">
        <f>(298.5*KFC!$B$12+KFC!$C$12)*KFC!$C$5</f>
        <v>298.5</v>
      </c>
      <c r="AO27" s="654">
        <f>(304.3*KFC!$B$12+KFC!$C$12)*KFC!$C$5</f>
        <v>304.3</v>
      </c>
      <c r="AP27" s="654">
        <f>(310*KFC!$B$12+KFC!$C$12)*KFC!$C$5</f>
        <v>310</v>
      </c>
      <c r="AQ27" s="654">
        <f>(315.8*KFC!$B$12+KFC!$C$12)*KFC!$C$5</f>
        <v>315.8</v>
      </c>
      <c r="AR27" s="654">
        <f>(321.6*KFC!$B$12+KFC!$C$12)*KFC!$C$5</f>
        <v>321.60000000000002</v>
      </c>
      <c r="AS27" s="654">
        <f>(327.3*KFC!$B$12+KFC!$C$12)*KFC!$C$5</f>
        <v>327.3</v>
      </c>
      <c r="AT27" s="654">
        <f>(333.1*KFC!$B$12+KFC!$C$12)*KFC!$C$5</f>
        <v>333.1</v>
      </c>
      <c r="AU27" s="654">
        <f>(338.9*KFC!$B$12+KFC!$C$12)*KFC!$C$5</f>
        <v>338.9</v>
      </c>
      <c r="AV27" s="654">
        <f>(344.7*KFC!$B$12+KFC!$C$12)*KFC!$C$5</f>
        <v>344.7</v>
      </c>
      <c r="AW27" s="654">
        <f>(350.4*KFC!$B$12+KFC!$C$12)*KFC!$C$5</f>
        <v>350.4</v>
      </c>
    </row>
    <row r="28" spans="1:49" ht="14.4">
      <c r="A28" s="1277"/>
      <c r="B28" s="649">
        <v>2.5</v>
      </c>
      <c r="C28" s="654">
        <f>(85.6*KFC!$B$12+KFC!$C$12)*KFC!$C$5</f>
        <v>85.6</v>
      </c>
      <c r="D28" s="654">
        <f>(91.4*KFC!$B$12+KFC!$C$12)*KFC!$C$5</f>
        <v>91.4</v>
      </c>
      <c r="E28" s="654">
        <f>(97.3*KFC!$B$12+KFC!$C$12)*KFC!$C$5</f>
        <v>97.3</v>
      </c>
      <c r="F28" s="654">
        <f>(103.2*KFC!$B$12+KFC!$C$12)*KFC!$C$5</f>
        <v>103.2</v>
      </c>
      <c r="G28" s="654">
        <f>(109.1*KFC!$B$12+KFC!$C$12)*KFC!$C$5</f>
        <v>109.1</v>
      </c>
      <c r="H28" s="654">
        <f>(115*KFC!$B$12+KFC!$C$12)*KFC!$C$5</f>
        <v>115</v>
      </c>
      <c r="I28" s="654">
        <f>(120.9*KFC!$B$12+KFC!$C$12)*KFC!$C$5</f>
        <v>120.9</v>
      </c>
      <c r="J28" s="654">
        <f>(126.8*KFC!$B$12+KFC!$C$12)*KFC!$C$5</f>
        <v>126.8</v>
      </c>
      <c r="K28" s="654">
        <f>(132.7*KFC!$B$12+KFC!$C$12)*KFC!$C$5</f>
        <v>132.69999999999999</v>
      </c>
      <c r="L28" s="654">
        <f>(138.6*KFC!$B$12+KFC!$C$12)*KFC!$C$5</f>
        <v>138.6</v>
      </c>
      <c r="M28" s="654">
        <f>(144.5*KFC!$B$12+KFC!$C$12)*KFC!$C$5</f>
        <v>144.5</v>
      </c>
      <c r="N28" s="654">
        <f>(150.4*KFC!$B$12+KFC!$C$12)*KFC!$C$5</f>
        <v>150.4</v>
      </c>
      <c r="O28" s="654">
        <f>(156.2*KFC!$B$12+KFC!$C$12)*KFC!$C$5</f>
        <v>156.19999999999999</v>
      </c>
      <c r="P28" s="654">
        <f>(162.1*KFC!$B$12+KFC!$C$12)*KFC!$C$5</f>
        <v>162.1</v>
      </c>
      <c r="Q28" s="654">
        <f>(168*KFC!$B$12+KFC!$C$12)*KFC!$C$5</f>
        <v>168</v>
      </c>
      <c r="R28" s="654">
        <f>(173.9*KFC!$B$12+KFC!$C$12)*KFC!$C$5</f>
        <v>173.9</v>
      </c>
      <c r="S28" s="654">
        <f>(179.8*KFC!$B$12+KFC!$C$12)*KFC!$C$5</f>
        <v>179.8</v>
      </c>
      <c r="T28" s="654">
        <f>(185.7*KFC!$B$12+KFC!$C$12)*KFC!$C$5</f>
        <v>185.7</v>
      </c>
      <c r="U28" s="654">
        <f>(191.6*KFC!$B$12+KFC!$C$12)*KFC!$C$5</f>
        <v>191.6</v>
      </c>
      <c r="V28" s="654">
        <f>(197.5*KFC!$B$12+KFC!$C$12)*KFC!$C$5</f>
        <v>197.5</v>
      </c>
      <c r="W28" s="654">
        <f>(203.4*KFC!$B$12+KFC!$C$12)*KFC!$C$5</f>
        <v>203.4</v>
      </c>
      <c r="X28" s="654">
        <f>(209.3*KFC!$B$12+KFC!$C$12)*KFC!$C$5</f>
        <v>209.3</v>
      </c>
      <c r="Y28" s="654">
        <f>(215.2*KFC!$B$12+KFC!$C$12)*KFC!$C$5</f>
        <v>215.2</v>
      </c>
      <c r="Z28" s="654">
        <f>(221.1*KFC!$B$12+KFC!$C$12)*KFC!$C$5</f>
        <v>221.1</v>
      </c>
      <c r="AA28" s="654">
        <f>(227*KFC!$B$12+KFC!$C$12)*KFC!$C$5</f>
        <v>227</v>
      </c>
      <c r="AB28" s="654">
        <f>(232.8*KFC!$B$12+KFC!$C$12)*KFC!$C$5</f>
        <v>232.8</v>
      </c>
      <c r="AC28" s="654">
        <f>(238.7*KFC!$B$12+KFC!$C$12)*KFC!$C$5</f>
        <v>238.7</v>
      </c>
      <c r="AD28" s="654">
        <f>(244.6*KFC!$B$12+KFC!$C$12)*KFC!$C$5</f>
        <v>244.6</v>
      </c>
      <c r="AE28" s="654">
        <f>(250.5*KFC!$B$12+KFC!$C$12)*KFC!$C$5</f>
        <v>250.5</v>
      </c>
      <c r="AF28" s="654">
        <f>(256.4*KFC!$B$12+KFC!$C$12)*KFC!$C$5</f>
        <v>256.39999999999998</v>
      </c>
      <c r="AG28" s="654">
        <f>(262.3*KFC!$B$12+KFC!$C$12)*KFC!$C$5</f>
        <v>262.3</v>
      </c>
      <c r="AH28" s="654">
        <f>(268.2*KFC!$B$12+KFC!$C$12)*KFC!$C$5</f>
        <v>268.2</v>
      </c>
      <c r="AI28" s="654">
        <f>(274.1*KFC!$B$12+KFC!$C$12)*KFC!$C$5</f>
        <v>274.10000000000002</v>
      </c>
      <c r="AJ28" s="654">
        <f>(280*KFC!$B$12+KFC!$C$12)*KFC!$C$5</f>
        <v>280</v>
      </c>
      <c r="AK28" s="654">
        <f>(285.9*KFC!$B$12+KFC!$C$12)*KFC!$C$5</f>
        <v>285.89999999999998</v>
      </c>
      <c r="AL28" s="654">
        <f>(291.8*KFC!$B$12+KFC!$C$12)*KFC!$C$5</f>
        <v>291.8</v>
      </c>
      <c r="AM28" s="654">
        <f>(297.7*KFC!$B$12+KFC!$C$12)*KFC!$C$5</f>
        <v>297.7</v>
      </c>
      <c r="AN28" s="654">
        <f>(303.5*KFC!$B$12+KFC!$C$12)*KFC!$C$5</f>
        <v>303.5</v>
      </c>
      <c r="AO28" s="654">
        <f>(309.4*KFC!$B$12+KFC!$C$12)*KFC!$C$5</f>
        <v>309.39999999999998</v>
      </c>
      <c r="AP28" s="654">
        <f>(315.3*KFC!$B$12+KFC!$C$12)*KFC!$C$5</f>
        <v>315.3</v>
      </c>
      <c r="AQ28" s="654">
        <f>(321.2*KFC!$B$12+KFC!$C$12)*KFC!$C$5</f>
        <v>321.2</v>
      </c>
      <c r="AR28" s="654">
        <f>(327.1*KFC!$B$12+KFC!$C$12)*KFC!$C$5</f>
        <v>327.10000000000002</v>
      </c>
      <c r="AS28" s="654">
        <f>(333*KFC!$B$12+KFC!$C$12)*KFC!$C$5</f>
        <v>333</v>
      </c>
      <c r="AT28" s="654">
        <f>(338.9*KFC!$B$12+KFC!$C$12)*KFC!$C$5</f>
        <v>338.9</v>
      </c>
      <c r="AU28" s="654">
        <f>(344.8*KFC!$B$12+KFC!$C$12)*KFC!$C$5</f>
        <v>344.8</v>
      </c>
      <c r="AV28" s="654">
        <f>(350.7*KFC!$B$12+KFC!$C$12)*KFC!$C$5</f>
        <v>350.7</v>
      </c>
      <c r="AW28" s="654">
        <f>(356.6*KFC!$B$12+KFC!$C$12)*KFC!$C$5</f>
        <v>356.6</v>
      </c>
    </row>
    <row r="29" spans="1:49" ht="14.4">
      <c r="A29" s="1277"/>
      <c r="B29" s="649">
        <v>2.6</v>
      </c>
      <c r="C29" s="654">
        <f>(86.2*KFC!$B$12+KFC!$C$12)*KFC!$C$5</f>
        <v>86.2</v>
      </c>
      <c r="D29" s="654">
        <f>(92.2*KFC!$B$12+KFC!$C$12)*KFC!$C$5</f>
        <v>92.2</v>
      </c>
      <c r="E29" s="654">
        <f>(98.2*KFC!$B$12+KFC!$C$12)*KFC!$C$5</f>
        <v>98.2</v>
      </c>
      <c r="F29" s="654">
        <f>(104.2*KFC!$B$12+KFC!$C$12)*KFC!$C$5</f>
        <v>104.2</v>
      </c>
      <c r="G29" s="654">
        <f>(110.3*KFC!$B$12+KFC!$C$12)*KFC!$C$5</f>
        <v>110.3</v>
      </c>
      <c r="H29" s="654">
        <f>(116.3*KFC!$B$12+KFC!$C$12)*KFC!$C$5</f>
        <v>116.3</v>
      </c>
      <c r="I29" s="654">
        <f>(122.3*KFC!$B$12+KFC!$C$12)*KFC!$C$5</f>
        <v>122.3</v>
      </c>
      <c r="J29" s="654">
        <f>(128.3*KFC!$B$12+KFC!$C$12)*KFC!$C$5</f>
        <v>128.30000000000001</v>
      </c>
      <c r="K29" s="654">
        <f>(134.3*KFC!$B$12+KFC!$C$12)*KFC!$C$5</f>
        <v>134.30000000000001</v>
      </c>
      <c r="L29" s="654">
        <f>(140.3*KFC!$B$12+KFC!$C$12)*KFC!$C$5</f>
        <v>140.30000000000001</v>
      </c>
      <c r="M29" s="654">
        <f>(146.3*KFC!$B$12+KFC!$C$12)*KFC!$C$5</f>
        <v>146.30000000000001</v>
      </c>
      <c r="N29" s="654">
        <f>(152.3*KFC!$B$12+KFC!$C$12)*KFC!$C$5</f>
        <v>152.30000000000001</v>
      </c>
      <c r="O29" s="654">
        <f>(158.3*KFC!$B$12+KFC!$C$12)*KFC!$C$5</f>
        <v>158.30000000000001</v>
      </c>
      <c r="P29" s="654">
        <f>(164.3*KFC!$B$12+KFC!$C$12)*KFC!$C$5</f>
        <v>164.3</v>
      </c>
      <c r="Q29" s="654">
        <f>(170.4*KFC!$B$12+KFC!$C$12)*KFC!$C$5</f>
        <v>170.4</v>
      </c>
      <c r="R29" s="654">
        <f>(176.4*KFC!$B$12+KFC!$C$12)*KFC!$C$5</f>
        <v>176.4</v>
      </c>
      <c r="S29" s="654">
        <f>(182.4*KFC!$B$12+KFC!$C$12)*KFC!$C$5</f>
        <v>182.4</v>
      </c>
      <c r="T29" s="654">
        <f>(188.4*KFC!$B$12+KFC!$C$12)*KFC!$C$5</f>
        <v>188.4</v>
      </c>
      <c r="U29" s="654">
        <f>(194.4*KFC!$B$12+KFC!$C$12)*KFC!$C$5</f>
        <v>194.4</v>
      </c>
      <c r="V29" s="654">
        <f>(200.4*KFC!$B$12+KFC!$C$12)*KFC!$C$5</f>
        <v>200.4</v>
      </c>
      <c r="W29" s="654">
        <f>(206.4*KFC!$B$12+KFC!$C$12)*KFC!$C$5</f>
        <v>206.4</v>
      </c>
      <c r="X29" s="654">
        <f>(212.4*KFC!$B$12+KFC!$C$12)*KFC!$C$5</f>
        <v>212.4</v>
      </c>
      <c r="Y29" s="654">
        <f>(218.4*KFC!$B$12+KFC!$C$12)*KFC!$C$5</f>
        <v>218.4</v>
      </c>
      <c r="Z29" s="654">
        <f>(224.5*KFC!$B$12+KFC!$C$12)*KFC!$C$5</f>
        <v>224.5</v>
      </c>
      <c r="AA29" s="654">
        <f>(230.5*KFC!$B$12+KFC!$C$12)*KFC!$C$5</f>
        <v>230.5</v>
      </c>
      <c r="AB29" s="654">
        <f>(236.5*KFC!$B$12+KFC!$C$12)*KFC!$C$5</f>
        <v>236.5</v>
      </c>
      <c r="AC29" s="654">
        <f>(242.5*KFC!$B$12+KFC!$C$12)*KFC!$C$5</f>
        <v>242.5</v>
      </c>
      <c r="AD29" s="654">
        <f>(248.5*KFC!$B$12+KFC!$C$12)*KFC!$C$5</f>
        <v>248.5</v>
      </c>
      <c r="AE29" s="654">
        <f>(254.5*KFC!$B$12+KFC!$C$12)*KFC!$C$5</f>
        <v>254.5</v>
      </c>
      <c r="AF29" s="654">
        <f>(260.5*KFC!$B$12+KFC!$C$12)*KFC!$C$5</f>
        <v>260.5</v>
      </c>
      <c r="AG29" s="654">
        <f>(266.5*KFC!$B$12+KFC!$C$12)*KFC!$C$5</f>
        <v>266.5</v>
      </c>
      <c r="AH29" s="654">
        <f>(272.5*KFC!$B$12+KFC!$C$12)*KFC!$C$5</f>
        <v>272.5</v>
      </c>
      <c r="AI29" s="654">
        <f>(278.5*KFC!$B$12+KFC!$C$12)*KFC!$C$5</f>
        <v>278.5</v>
      </c>
      <c r="AJ29" s="654">
        <f>(284.6*KFC!$B$12+KFC!$C$12)*KFC!$C$5</f>
        <v>284.60000000000002</v>
      </c>
      <c r="AK29" s="654">
        <f>(290.6*KFC!$B$12+KFC!$C$12)*KFC!$C$5</f>
        <v>290.60000000000002</v>
      </c>
      <c r="AL29" s="654">
        <f>(296.6*KFC!$B$12+KFC!$C$12)*KFC!$C$5</f>
        <v>296.60000000000002</v>
      </c>
      <c r="AM29" s="654">
        <f>(302.6*KFC!$B$12+KFC!$C$12)*KFC!$C$5</f>
        <v>302.60000000000002</v>
      </c>
      <c r="AN29" s="654">
        <f>(308.6*KFC!$B$12+KFC!$C$12)*KFC!$C$5</f>
        <v>308.60000000000002</v>
      </c>
      <c r="AO29" s="654">
        <f>(314.6*KFC!$B$12+KFC!$C$12)*KFC!$C$5</f>
        <v>314.60000000000002</v>
      </c>
      <c r="AP29" s="654">
        <f>(320.6*KFC!$B$12+KFC!$C$12)*KFC!$C$5</f>
        <v>320.60000000000002</v>
      </c>
      <c r="AQ29" s="654">
        <f>(326.6*KFC!$B$12+KFC!$C$12)*KFC!$C$5</f>
        <v>326.60000000000002</v>
      </c>
      <c r="AR29" s="654">
        <f>(332.6*KFC!$B$12+KFC!$C$12)*KFC!$C$5</f>
        <v>332.6</v>
      </c>
      <c r="AS29" s="654">
        <f>(338.7*KFC!$B$12+KFC!$C$12)*KFC!$C$5</f>
        <v>338.7</v>
      </c>
      <c r="AT29" s="654">
        <f>(344.7*KFC!$B$12+KFC!$C$12)*KFC!$C$5</f>
        <v>344.7</v>
      </c>
      <c r="AU29" s="654">
        <f>(350.7*KFC!$B$12+KFC!$C$12)*KFC!$C$5</f>
        <v>350.7</v>
      </c>
      <c r="AV29" s="654">
        <f>(356.7*KFC!$B$12+KFC!$C$12)*KFC!$C$5</f>
        <v>356.7</v>
      </c>
      <c r="AW29" s="654">
        <f>(362.7*KFC!$B$12+KFC!$C$12)*KFC!$C$5</f>
        <v>362.7</v>
      </c>
    </row>
    <row r="30" spans="1:49" ht="14.4">
      <c r="A30" s="1277"/>
      <c r="B30" s="649">
        <v>2.7</v>
      </c>
      <c r="C30" s="654">
        <f>(86.9*KFC!$B$12+KFC!$C$12)*KFC!$C$5</f>
        <v>86.9</v>
      </c>
      <c r="D30" s="654">
        <f>(93*KFC!$B$12+KFC!$C$12)*KFC!$C$5</f>
        <v>93</v>
      </c>
      <c r="E30" s="654">
        <f>(99.1*KFC!$B$12+KFC!$C$12)*KFC!$C$5</f>
        <v>99.1</v>
      </c>
      <c r="F30" s="654">
        <f>(105.3*KFC!$B$12+KFC!$C$12)*KFC!$C$5</f>
        <v>105.3</v>
      </c>
      <c r="G30" s="654">
        <f>(111.4*KFC!$B$12+KFC!$C$12)*KFC!$C$5</f>
        <v>111.4</v>
      </c>
      <c r="H30" s="654">
        <f>(117.5*KFC!$B$12+KFC!$C$12)*KFC!$C$5</f>
        <v>117.5</v>
      </c>
      <c r="I30" s="654">
        <f>(123.6*KFC!$B$12+KFC!$C$12)*KFC!$C$5</f>
        <v>123.6</v>
      </c>
      <c r="J30" s="654">
        <f>(129.8*KFC!$B$12+KFC!$C$12)*KFC!$C$5</f>
        <v>129.80000000000001</v>
      </c>
      <c r="K30" s="654">
        <f>(135.9*KFC!$B$12+KFC!$C$12)*KFC!$C$5</f>
        <v>135.9</v>
      </c>
      <c r="L30" s="654">
        <f>(142*KFC!$B$12+KFC!$C$12)*KFC!$C$5</f>
        <v>142</v>
      </c>
      <c r="M30" s="654">
        <f>(148.2*KFC!$B$12+KFC!$C$12)*KFC!$C$5</f>
        <v>148.19999999999999</v>
      </c>
      <c r="N30" s="654">
        <f>(154.3*KFC!$B$12+KFC!$C$12)*KFC!$C$5</f>
        <v>154.30000000000001</v>
      </c>
      <c r="O30" s="654">
        <f>(160.4*KFC!$B$12+KFC!$C$12)*KFC!$C$5</f>
        <v>160.4</v>
      </c>
      <c r="P30" s="654">
        <f>(166.6*KFC!$B$12+KFC!$C$12)*KFC!$C$5</f>
        <v>166.6</v>
      </c>
      <c r="Q30" s="654">
        <f>(172.7*KFC!$B$12+KFC!$C$12)*KFC!$C$5</f>
        <v>172.7</v>
      </c>
      <c r="R30" s="654">
        <f>(178.8*KFC!$B$12+KFC!$C$12)*KFC!$C$5</f>
        <v>178.8</v>
      </c>
      <c r="S30" s="654">
        <f>(184.9*KFC!$B$12+KFC!$C$12)*KFC!$C$5</f>
        <v>184.9</v>
      </c>
      <c r="T30" s="654">
        <f>(191.1*KFC!$B$12+KFC!$C$12)*KFC!$C$5</f>
        <v>191.1</v>
      </c>
      <c r="U30" s="654">
        <f>(197.2*KFC!$B$12+KFC!$C$12)*KFC!$C$5</f>
        <v>197.2</v>
      </c>
      <c r="V30" s="654">
        <f>(203.3*KFC!$B$12+KFC!$C$12)*KFC!$C$5</f>
        <v>203.3</v>
      </c>
      <c r="W30" s="654">
        <f>(209.5*KFC!$B$12+KFC!$C$12)*KFC!$C$5</f>
        <v>209.5</v>
      </c>
      <c r="X30" s="654">
        <f>(215.6*KFC!$B$12+KFC!$C$12)*KFC!$C$5</f>
        <v>215.6</v>
      </c>
      <c r="Y30" s="654">
        <f>(221.7*KFC!$B$12+KFC!$C$12)*KFC!$C$5</f>
        <v>221.7</v>
      </c>
      <c r="Z30" s="654">
        <f>(227.9*KFC!$B$12+KFC!$C$12)*KFC!$C$5</f>
        <v>227.9</v>
      </c>
      <c r="AA30" s="654">
        <f>(234*KFC!$B$12+KFC!$C$12)*KFC!$C$5</f>
        <v>234</v>
      </c>
      <c r="AB30" s="654">
        <f>(240.1*KFC!$B$12+KFC!$C$12)*KFC!$C$5</f>
        <v>240.1</v>
      </c>
      <c r="AC30" s="654">
        <f>(246.2*KFC!$B$12+KFC!$C$12)*KFC!$C$5</f>
        <v>246.2</v>
      </c>
      <c r="AD30" s="654">
        <f>(252.4*KFC!$B$12+KFC!$C$12)*KFC!$C$5</f>
        <v>252.4</v>
      </c>
      <c r="AE30" s="654">
        <f>(258.5*KFC!$B$12+KFC!$C$12)*KFC!$C$5</f>
        <v>258.5</v>
      </c>
      <c r="AF30" s="654">
        <f>(264.6*KFC!$B$12+KFC!$C$12)*KFC!$C$5</f>
        <v>264.60000000000002</v>
      </c>
      <c r="AG30" s="654">
        <f>(270.8*KFC!$B$12+KFC!$C$12)*KFC!$C$5</f>
        <v>270.8</v>
      </c>
      <c r="AH30" s="654">
        <f>(276.9*KFC!$B$12+KFC!$C$12)*KFC!$C$5</f>
        <v>276.89999999999998</v>
      </c>
      <c r="AI30" s="654">
        <f>(283*KFC!$B$12+KFC!$C$12)*KFC!$C$5</f>
        <v>283</v>
      </c>
      <c r="AJ30" s="654">
        <f>(289.1*KFC!$B$12+KFC!$C$12)*KFC!$C$5</f>
        <v>289.10000000000002</v>
      </c>
      <c r="AK30" s="654">
        <f>(295.3*KFC!$B$12+KFC!$C$12)*KFC!$C$5</f>
        <v>295.3</v>
      </c>
      <c r="AL30" s="654">
        <f>(301.4*KFC!$B$12+KFC!$C$12)*KFC!$C$5</f>
        <v>301.39999999999998</v>
      </c>
      <c r="AM30" s="654">
        <f>(307.5*KFC!$B$12+KFC!$C$12)*KFC!$C$5</f>
        <v>307.5</v>
      </c>
      <c r="AN30" s="654">
        <f>(313.7*KFC!$B$12+KFC!$C$12)*KFC!$C$5</f>
        <v>313.7</v>
      </c>
      <c r="AO30" s="654">
        <f>(319.8*KFC!$B$12+KFC!$C$12)*KFC!$C$5</f>
        <v>319.8</v>
      </c>
      <c r="AP30" s="654">
        <f>(325.9*KFC!$B$12+KFC!$C$12)*KFC!$C$5</f>
        <v>325.89999999999998</v>
      </c>
      <c r="AQ30" s="654">
        <f>(332.1*KFC!$B$12+KFC!$C$12)*KFC!$C$5</f>
        <v>332.1</v>
      </c>
      <c r="AR30" s="654">
        <f>(338.2*KFC!$B$12+KFC!$C$12)*KFC!$C$5</f>
        <v>338.2</v>
      </c>
      <c r="AS30" s="654">
        <f>(344.3*KFC!$B$12+KFC!$C$12)*KFC!$C$5</f>
        <v>344.3</v>
      </c>
      <c r="AT30" s="654">
        <f>(350.4*KFC!$B$12+KFC!$C$12)*KFC!$C$5</f>
        <v>350.4</v>
      </c>
      <c r="AU30" s="654">
        <f>(356.6*KFC!$B$12+KFC!$C$12)*KFC!$C$5</f>
        <v>356.6</v>
      </c>
      <c r="AV30" s="654">
        <f>(362.7*KFC!$B$12+KFC!$C$12)*KFC!$C$5</f>
        <v>362.7</v>
      </c>
      <c r="AW30" s="654">
        <f>(368.8*KFC!$B$12+KFC!$C$12)*KFC!$C$5</f>
        <v>368.8</v>
      </c>
    </row>
    <row r="31" spans="1:49" ht="14.4">
      <c r="A31" s="1277"/>
      <c r="B31" s="649">
        <v>2.8</v>
      </c>
      <c r="C31" s="654">
        <f>(87.5*KFC!$B$12+KFC!$C$12)*KFC!$C$5</f>
        <v>87.5</v>
      </c>
      <c r="D31" s="654">
        <f>(93.8*KFC!$B$12+KFC!$C$12)*KFC!$C$5</f>
        <v>93.8</v>
      </c>
      <c r="E31" s="654">
        <f>(100*KFC!$B$12+KFC!$C$12)*KFC!$C$5</f>
        <v>100</v>
      </c>
      <c r="F31" s="654">
        <f>(106.3*KFC!$B$12+KFC!$C$12)*KFC!$C$5</f>
        <v>106.3</v>
      </c>
      <c r="G31" s="654">
        <f>(112.5*KFC!$B$12+KFC!$C$12)*KFC!$C$5</f>
        <v>112.5</v>
      </c>
      <c r="H31" s="654">
        <f>(118.8*KFC!$B$12+KFC!$C$12)*KFC!$C$5</f>
        <v>118.8</v>
      </c>
      <c r="I31" s="654">
        <f>(125*KFC!$B$12+KFC!$C$12)*KFC!$C$5</f>
        <v>125</v>
      </c>
      <c r="J31" s="654">
        <f>(131.3*KFC!$B$12+KFC!$C$12)*KFC!$C$5</f>
        <v>131.30000000000001</v>
      </c>
      <c r="K31" s="654">
        <f>(137.5*KFC!$B$12+KFC!$C$12)*KFC!$C$5</f>
        <v>137.5</v>
      </c>
      <c r="L31" s="654">
        <f>(143.8*KFC!$B$12+KFC!$C$12)*KFC!$C$5</f>
        <v>143.80000000000001</v>
      </c>
      <c r="M31" s="654">
        <f>(150*KFC!$B$12+KFC!$C$12)*KFC!$C$5</f>
        <v>150</v>
      </c>
      <c r="N31" s="654">
        <f>(156.3*KFC!$B$12+KFC!$C$12)*KFC!$C$5</f>
        <v>156.30000000000001</v>
      </c>
      <c r="O31" s="654">
        <f>(162.5*KFC!$B$12+KFC!$C$12)*KFC!$C$5</f>
        <v>162.5</v>
      </c>
      <c r="P31" s="654">
        <f>(168.8*KFC!$B$12+KFC!$C$12)*KFC!$C$5</f>
        <v>168.8</v>
      </c>
      <c r="Q31" s="654">
        <f>(175*KFC!$B$12+KFC!$C$12)*KFC!$C$5</f>
        <v>175</v>
      </c>
      <c r="R31" s="654">
        <f>(181.3*KFC!$B$12+KFC!$C$12)*KFC!$C$5</f>
        <v>181.3</v>
      </c>
      <c r="S31" s="654">
        <f>(187.5*KFC!$B$12+KFC!$C$12)*KFC!$C$5</f>
        <v>187.5</v>
      </c>
      <c r="T31" s="654">
        <f>(193.8*KFC!$B$12+KFC!$C$12)*KFC!$C$5</f>
        <v>193.8</v>
      </c>
      <c r="U31" s="654">
        <f>(200*KFC!$B$12+KFC!$C$12)*KFC!$C$5</f>
        <v>200</v>
      </c>
      <c r="V31" s="654">
        <f>(206.2*KFC!$B$12+KFC!$C$12)*KFC!$C$5</f>
        <v>206.2</v>
      </c>
      <c r="W31" s="654">
        <f>(212.5*KFC!$B$12+KFC!$C$12)*KFC!$C$5</f>
        <v>212.5</v>
      </c>
      <c r="X31" s="654">
        <f>(218.8*KFC!$B$12+KFC!$C$12)*KFC!$C$5</f>
        <v>218.8</v>
      </c>
      <c r="Y31" s="654">
        <f>(225*KFC!$B$12+KFC!$C$12)*KFC!$C$5</f>
        <v>225</v>
      </c>
      <c r="Z31" s="654">
        <f>(231.2*KFC!$B$12+KFC!$C$12)*KFC!$C$5</f>
        <v>231.2</v>
      </c>
      <c r="AA31" s="654">
        <f>(237.5*KFC!$B$12+KFC!$C$12)*KFC!$C$5</f>
        <v>237.5</v>
      </c>
      <c r="AB31" s="654">
        <f>(243.7*KFC!$B$12+KFC!$C$12)*KFC!$C$5</f>
        <v>243.7</v>
      </c>
      <c r="AC31" s="654">
        <f>(250*KFC!$B$12+KFC!$C$12)*KFC!$C$5</f>
        <v>250</v>
      </c>
      <c r="AD31" s="654">
        <f>(256.2*KFC!$B$12+KFC!$C$12)*KFC!$C$5</f>
        <v>256.2</v>
      </c>
      <c r="AE31" s="654">
        <f>(262.5*KFC!$B$12+KFC!$C$12)*KFC!$C$5</f>
        <v>262.5</v>
      </c>
      <c r="AF31" s="654">
        <f>(268.7*KFC!$B$12+KFC!$C$12)*KFC!$C$5</f>
        <v>268.7</v>
      </c>
      <c r="AG31" s="654">
        <f>(275*KFC!$B$12+KFC!$C$12)*KFC!$C$5</f>
        <v>275</v>
      </c>
      <c r="AH31" s="654">
        <f>(281.2*KFC!$B$12+KFC!$C$12)*KFC!$C$5</f>
        <v>281.2</v>
      </c>
      <c r="AI31" s="654">
        <f>(287.5*KFC!$B$12+KFC!$C$12)*KFC!$C$5</f>
        <v>287.5</v>
      </c>
      <c r="AJ31" s="654">
        <f>(293.7*KFC!$B$12+KFC!$C$12)*KFC!$C$5</f>
        <v>293.7</v>
      </c>
      <c r="AK31" s="654">
        <f>(300*KFC!$B$12+KFC!$C$12)*KFC!$C$5</f>
        <v>300</v>
      </c>
      <c r="AL31" s="654">
        <f>(306.2*KFC!$B$12+KFC!$C$12)*KFC!$C$5</f>
        <v>306.2</v>
      </c>
      <c r="AM31" s="654">
        <f>(312.5*KFC!$B$12+KFC!$C$12)*KFC!$C$5</f>
        <v>312.5</v>
      </c>
      <c r="AN31" s="654">
        <f>(318.7*KFC!$B$12+KFC!$C$12)*KFC!$C$5</f>
        <v>318.7</v>
      </c>
      <c r="AO31" s="654">
        <f>(325*KFC!$B$12+KFC!$C$12)*KFC!$C$5</f>
        <v>325</v>
      </c>
      <c r="AP31" s="654">
        <f>(331.2*KFC!$B$12+KFC!$C$12)*KFC!$C$5</f>
        <v>331.2</v>
      </c>
      <c r="AQ31" s="654">
        <f>(337.5*KFC!$B$12+KFC!$C$12)*KFC!$C$5</f>
        <v>337.5</v>
      </c>
      <c r="AR31" s="654">
        <f>(343.7*KFC!$B$12+KFC!$C$12)*KFC!$C$5</f>
        <v>343.7</v>
      </c>
      <c r="AS31" s="654">
        <f>(350*KFC!$B$12+KFC!$C$12)*KFC!$C$5</f>
        <v>350</v>
      </c>
      <c r="AT31" s="654">
        <f>(356.2*KFC!$B$12+KFC!$C$12)*KFC!$C$5</f>
        <v>356.2</v>
      </c>
      <c r="AU31" s="654">
        <f>(362.5*KFC!$B$12+KFC!$C$12)*KFC!$C$5</f>
        <v>362.5</v>
      </c>
      <c r="AV31" s="654">
        <f>(368.7*KFC!$B$12+KFC!$C$12)*KFC!$C$5</f>
        <v>368.7</v>
      </c>
      <c r="AW31" s="654">
        <f>(375*KFC!$B$12+KFC!$C$12)*KFC!$C$5</f>
        <v>375</v>
      </c>
    </row>
    <row r="32" spans="1:49" ht="14.4">
      <c r="A32" s="1277"/>
      <c r="B32" s="649">
        <v>2.9</v>
      </c>
      <c r="C32" s="654">
        <f>(88.2*KFC!$B$12+KFC!$C$12)*KFC!$C$5</f>
        <v>88.2</v>
      </c>
      <c r="D32" s="654">
        <f>(94.6*KFC!$B$12+KFC!$C$12)*KFC!$C$5</f>
        <v>94.6</v>
      </c>
      <c r="E32" s="654">
        <f>(100.9*KFC!$B$12+KFC!$C$12)*KFC!$C$5</f>
        <v>100.9</v>
      </c>
      <c r="F32" s="654">
        <f>(107.3*KFC!$B$12+KFC!$C$12)*KFC!$C$5</f>
        <v>107.3</v>
      </c>
      <c r="G32" s="654">
        <f>(113.7*KFC!$B$12+KFC!$C$12)*KFC!$C$5</f>
        <v>113.7</v>
      </c>
      <c r="H32" s="654">
        <f>(120*KFC!$B$12+KFC!$C$12)*KFC!$C$5</f>
        <v>120</v>
      </c>
      <c r="I32" s="654">
        <f>(126.4*KFC!$B$12+KFC!$C$12)*KFC!$C$5</f>
        <v>126.4</v>
      </c>
      <c r="J32" s="654">
        <f>(132.8*KFC!$B$12+KFC!$C$12)*KFC!$C$5</f>
        <v>132.80000000000001</v>
      </c>
      <c r="K32" s="654">
        <f>(139.1*KFC!$B$12+KFC!$C$12)*KFC!$C$5</f>
        <v>139.1</v>
      </c>
      <c r="L32" s="654">
        <f>(145.5*KFC!$B$12+KFC!$C$12)*KFC!$C$5</f>
        <v>145.5</v>
      </c>
      <c r="M32" s="654">
        <f>(151.9*KFC!$B$12+KFC!$C$12)*KFC!$C$5</f>
        <v>151.9</v>
      </c>
      <c r="N32" s="654">
        <f>(158.2*KFC!$B$12+KFC!$C$12)*KFC!$C$5</f>
        <v>158.19999999999999</v>
      </c>
      <c r="O32" s="654">
        <f>(164.6*KFC!$B$12+KFC!$C$12)*KFC!$C$5</f>
        <v>164.6</v>
      </c>
      <c r="P32" s="654">
        <f>(171*KFC!$B$12+KFC!$C$12)*KFC!$C$5</f>
        <v>171</v>
      </c>
      <c r="Q32" s="654">
        <f>(177.3*KFC!$B$12+KFC!$C$12)*KFC!$C$5</f>
        <v>177.3</v>
      </c>
      <c r="R32" s="654">
        <f>(183.7*KFC!$B$12+KFC!$C$12)*KFC!$C$5</f>
        <v>183.7</v>
      </c>
      <c r="S32" s="654">
        <f>(190.1*KFC!$B$12+KFC!$C$12)*KFC!$C$5</f>
        <v>190.1</v>
      </c>
      <c r="T32" s="654">
        <f>(196.4*KFC!$B$12+KFC!$C$12)*KFC!$C$5</f>
        <v>196.4</v>
      </c>
      <c r="U32" s="654">
        <f>(202.8*KFC!$B$12+KFC!$C$12)*KFC!$C$5</f>
        <v>202.8</v>
      </c>
      <c r="V32" s="654">
        <f>(209.2*KFC!$B$12+KFC!$C$12)*KFC!$C$5</f>
        <v>209.2</v>
      </c>
      <c r="W32" s="654">
        <f>(215.5*KFC!$B$12+KFC!$C$12)*KFC!$C$5</f>
        <v>215.5</v>
      </c>
      <c r="X32" s="654">
        <f>(221.9*KFC!$B$12+KFC!$C$12)*KFC!$C$5</f>
        <v>221.9</v>
      </c>
      <c r="Y32" s="654">
        <f>(228.3*KFC!$B$12+KFC!$C$12)*KFC!$C$5</f>
        <v>228.3</v>
      </c>
      <c r="Z32" s="654">
        <f>(234.6*KFC!$B$12+KFC!$C$12)*KFC!$C$5</f>
        <v>234.6</v>
      </c>
      <c r="AA32" s="654">
        <f>(241*KFC!$B$12+KFC!$C$12)*KFC!$C$5</f>
        <v>241</v>
      </c>
      <c r="AB32" s="654">
        <f>(247.4*KFC!$B$12+KFC!$C$12)*KFC!$C$5</f>
        <v>247.4</v>
      </c>
      <c r="AC32" s="654">
        <f>(253.7*KFC!$B$12+KFC!$C$12)*KFC!$C$5</f>
        <v>253.7</v>
      </c>
      <c r="AD32" s="654">
        <f>(260.1*KFC!$B$12+KFC!$C$12)*KFC!$C$5</f>
        <v>260.10000000000002</v>
      </c>
      <c r="AE32" s="654">
        <f>(266.5*KFC!$B$12+KFC!$C$12)*KFC!$C$5</f>
        <v>266.5</v>
      </c>
      <c r="AF32" s="654">
        <f>(272.8*KFC!$B$12+KFC!$C$12)*KFC!$C$5</f>
        <v>272.8</v>
      </c>
      <c r="AG32" s="654">
        <f>(279.2*KFC!$B$12+KFC!$C$12)*KFC!$C$5</f>
        <v>279.2</v>
      </c>
      <c r="AH32" s="654">
        <f>(285.6*KFC!$B$12+KFC!$C$12)*KFC!$C$5</f>
        <v>285.60000000000002</v>
      </c>
      <c r="AI32" s="654">
        <f>(291.9*KFC!$B$12+KFC!$C$12)*KFC!$C$5</f>
        <v>291.89999999999998</v>
      </c>
      <c r="AJ32" s="654">
        <f>(298.3*KFC!$B$12+KFC!$C$12)*KFC!$C$5</f>
        <v>298.3</v>
      </c>
      <c r="AK32" s="654">
        <f>(304.7*KFC!$B$12+KFC!$C$12)*KFC!$C$5</f>
        <v>304.7</v>
      </c>
      <c r="AL32" s="654">
        <f>(311*KFC!$B$12+KFC!$C$12)*KFC!$C$5</f>
        <v>311</v>
      </c>
      <c r="AM32" s="654">
        <f>(317.4*KFC!$B$12+KFC!$C$12)*KFC!$C$5</f>
        <v>317.39999999999998</v>
      </c>
      <c r="AN32" s="654">
        <f>(323.8*KFC!$B$12+KFC!$C$12)*KFC!$C$5</f>
        <v>323.8</v>
      </c>
      <c r="AO32" s="654">
        <f>(330.1*KFC!$B$12+KFC!$C$12)*KFC!$C$5</f>
        <v>330.1</v>
      </c>
      <c r="AP32" s="654">
        <f>(336.5*KFC!$B$12+KFC!$C$12)*KFC!$C$5</f>
        <v>336.5</v>
      </c>
      <c r="AQ32" s="654">
        <f>(342.9*KFC!$B$12+KFC!$C$12)*KFC!$C$5</f>
        <v>342.9</v>
      </c>
      <c r="AR32" s="654">
        <f>(349.3*KFC!$B$12+KFC!$C$12)*KFC!$C$5</f>
        <v>349.3</v>
      </c>
      <c r="AS32" s="654">
        <f>(355.6*KFC!$B$12+KFC!$C$12)*KFC!$C$5</f>
        <v>355.6</v>
      </c>
      <c r="AT32" s="654">
        <f>(362*KFC!$B$12+KFC!$C$12)*KFC!$C$5</f>
        <v>362</v>
      </c>
      <c r="AU32" s="654">
        <f>(368.3*KFC!$B$12+KFC!$C$12)*KFC!$C$5</f>
        <v>368.3</v>
      </c>
      <c r="AV32" s="654">
        <f>(374.7*KFC!$B$12+KFC!$C$12)*KFC!$C$5</f>
        <v>374.7</v>
      </c>
      <c r="AW32" s="654">
        <f>(381.1*KFC!$B$12+KFC!$C$12)*KFC!$C$5</f>
        <v>381.1</v>
      </c>
    </row>
    <row r="33" spans="1:49" ht="14.4">
      <c r="A33" s="1277"/>
      <c r="B33" s="649">
        <v>3</v>
      </c>
      <c r="C33" s="654">
        <f>(88.9*KFC!$B$12+KFC!$C$12)*KFC!$C$5</f>
        <v>88.9</v>
      </c>
      <c r="D33" s="654">
        <f>(95.3*KFC!$B$12+KFC!$C$12)*KFC!$C$5</f>
        <v>95.3</v>
      </c>
      <c r="E33" s="654">
        <f>(101.8*KFC!$B$12+KFC!$C$12)*KFC!$C$5</f>
        <v>101.8</v>
      </c>
      <c r="F33" s="654">
        <f>(108.3*KFC!$B$12+KFC!$C$12)*KFC!$C$5</f>
        <v>108.3</v>
      </c>
      <c r="G33" s="654">
        <f>(114.8*KFC!$B$12+KFC!$C$12)*KFC!$C$5</f>
        <v>114.8</v>
      </c>
      <c r="H33" s="654">
        <f>(121.3*KFC!$B$12+KFC!$C$12)*KFC!$C$5</f>
        <v>121.3</v>
      </c>
      <c r="I33" s="654">
        <f>(127.8*KFC!$B$12+KFC!$C$12)*KFC!$C$5</f>
        <v>127.8</v>
      </c>
      <c r="J33" s="654">
        <f>(134.3*KFC!$B$12+KFC!$C$12)*KFC!$C$5</f>
        <v>134.30000000000001</v>
      </c>
      <c r="K33" s="654">
        <f>(140.7*KFC!$B$12+KFC!$C$12)*KFC!$C$5</f>
        <v>140.69999999999999</v>
      </c>
      <c r="L33" s="654">
        <f>(147.2*KFC!$B$12+KFC!$C$12)*KFC!$C$5</f>
        <v>147.19999999999999</v>
      </c>
      <c r="M33" s="654">
        <f>(153.7*KFC!$B$12+KFC!$C$12)*KFC!$C$5</f>
        <v>153.69999999999999</v>
      </c>
      <c r="N33" s="654">
        <f>(160.2*KFC!$B$12+KFC!$C$12)*KFC!$C$5</f>
        <v>160.19999999999999</v>
      </c>
      <c r="O33" s="654">
        <f>(166.7*KFC!$B$12+KFC!$C$12)*KFC!$C$5</f>
        <v>166.7</v>
      </c>
      <c r="P33" s="654">
        <f>(173.2*KFC!$B$12+KFC!$C$12)*KFC!$C$5</f>
        <v>173.2</v>
      </c>
      <c r="Q33" s="654">
        <f>(179.7*KFC!$B$12+KFC!$C$12)*KFC!$C$5</f>
        <v>179.7</v>
      </c>
      <c r="R33" s="654">
        <f>(186.1*KFC!$B$12+KFC!$C$12)*KFC!$C$5</f>
        <v>186.1</v>
      </c>
      <c r="S33" s="654">
        <f>(192.6*KFC!$B$12+KFC!$C$12)*KFC!$C$5</f>
        <v>192.6</v>
      </c>
      <c r="T33" s="654">
        <f>(199.1*KFC!$B$12+KFC!$C$12)*KFC!$C$5</f>
        <v>199.1</v>
      </c>
      <c r="U33" s="654">
        <f>(205.6*KFC!$B$12+KFC!$C$12)*KFC!$C$5</f>
        <v>205.6</v>
      </c>
      <c r="V33" s="654">
        <f>(212.1*KFC!$B$12+KFC!$C$12)*KFC!$C$5</f>
        <v>212.1</v>
      </c>
      <c r="W33" s="654">
        <f>(218.6*KFC!$B$12+KFC!$C$12)*KFC!$C$5</f>
        <v>218.6</v>
      </c>
      <c r="X33" s="654">
        <f>(225.1*KFC!$B$12+KFC!$C$12)*KFC!$C$5</f>
        <v>225.1</v>
      </c>
      <c r="Y33" s="654">
        <f>(231.5*KFC!$B$12+KFC!$C$12)*KFC!$C$5</f>
        <v>231.5</v>
      </c>
      <c r="Z33" s="654">
        <f>(238*KFC!$B$12+KFC!$C$12)*KFC!$C$5</f>
        <v>238</v>
      </c>
      <c r="AA33" s="654">
        <f>(244.5*KFC!$B$12+KFC!$C$12)*KFC!$C$5</f>
        <v>244.5</v>
      </c>
      <c r="AB33" s="654">
        <f>(251*KFC!$B$12+KFC!$C$12)*KFC!$C$5</f>
        <v>251</v>
      </c>
      <c r="AC33" s="654">
        <f>(257.5*KFC!$B$12+KFC!$C$12)*KFC!$C$5</f>
        <v>257.5</v>
      </c>
      <c r="AD33" s="654">
        <f>(264*KFC!$B$12+KFC!$C$12)*KFC!$C$5</f>
        <v>264</v>
      </c>
      <c r="AE33" s="654">
        <f>(270.5*KFC!$B$12+KFC!$C$12)*KFC!$C$5</f>
        <v>270.5</v>
      </c>
      <c r="AF33" s="654">
        <f>(277*KFC!$B$12+KFC!$C$12)*KFC!$C$5</f>
        <v>277</v>
      </c>
      <c r="AG33" s="654">
        <f>(283.4*KFC!$B$12+KFC!$C$12)*KFC!$C$5</f>
        <v>283.39999999999998</v>
      </c>
      <c r="AH33" s="654">
        <f>(289.9*KFC!$B$12+KFC!$C$12)*KFC!$C$5</f>
        <v>289.89999999999998</v>
      </c>
      <c r="AI33" s="654">
        <f>(296.4*KFC!$B$12+KFC!$C$12)*KFC!$C$5</f>
        <v>296.39999999999998</v>
      </c>
      <c r="AJ33" s="654">
        <f>(302.9*KFC!$B$12+KFC!$C$12)*KFC!$C$5</f>
        <v>302.89999999999998</v>
      </c>
      <c r="AK33" s="654">
        <f>(309.4*KFC!$B$12+KFC!$C$12)*KFC!$C$5</f>
        <v>309.39999999999998</v>
      </c>
      <c r="AL33" s="654">
        <f>(315.9*KFC!$B$12+KFC!$C$12)*KFC!$C$5</f>
        <v>315.89999999999998</v>
      </c>
      <c r="AM33" s="654">
        <f>(322.3*KFC!$B$12+KFC!$C$12)*KFC!$C$5</f>
        <v>322.3</v>
      </c>
      <c r="AN33" s="654">
        <f>(328.8*KFC!$B$12+KFC!$C$12)*KFC!$C$5</f>
        <v>328.8</v>
      </c>
      <c r="AO33" s="654">
        <f>(335.3*KFC!$B$12+KFC!$C$12)*KFC!$C$5</f>
        <v>335.3</v>
      </c>
      <c r="AP33" s="654">
        <f>(341.8*KFC!$B$12+KFC!$C$12)*KFC!$C$5</f>
        <v>341.8</v>
      </c>
      <c r="AQ33" s="654">
        <f>(348.3*KFC!$B$12+KFC!$C$12)*KFC!$C$5</f>
        <v>348.3</v>
      </c>
      <c r="AR33" s="654">
        <f>(354.8*KFC!$B$12+KFC!$C$12)*KFC!$C$5</f>
        <v>354.8</v>
      </c>
      <c r="AS33" s="654">
        <f>(361.3*KFC!$B$12+KFC!$C$12)*KFC!$C$5</f>
        <v>361.3</v>
      </c>
      <c r="AT33" s="654">
        <f>(367.8*KFC!$B$12+KFC!$C$12)*KFC!$C$5</f>
        <v>367.8</v>
      </c>
      <c r="AU33" s="654">
        <f>(374.2*KFC!$B$12+KFC!$C$12)*KFC!$C$5</f>
        <v>374.2</v>
      </c>
      <c r="AV33" s="654">
        <f>(380.7*KFC!$B$12+KFC!$C$12)*KFC!$C$5</f>
        <v>380.7</v>
      </c>
      <c r="AW33" s="654">
        <f>(387.2*KFC!$B$12+KFC!$C$12)*KFC!$C$5</f>
        <v>387.2</v>
      </c>
    </row>
    <row r="34" spans="1:49" ht="14.4">
      <c r="A34" s="1277"/>
      <c r="B34" s="649">
        <v>3.1</v>
      </c>
      <c r="C34" s="654">
        <f>(89.5*KFC!$B$12+KFC!$C$12)*KFC!$C$5</f>
        <v>89.5</v>
      </c>
      <c r="D34" s="654">
        <f>(96.1*KFC!$B$12+KFC!$C$12)*KFC!$C$5</f>
        <v>96.1</v>
      </c>
      <c r="E34" s="654">
        <f>(102.7*KFC!$B$12+KFC!$C$12)*KFC!$C$5</f>
        <v>102.7</v>
      </c>
      <c r="F34" s="654">
        <f>(109.3*KFC!$B$12+KFC!$C$12)*KFC!$C$5</f>
        <v>109.3</v>
      </c>
      <c r="G34" s="654">
        <f>(115.9*KFC!$B$12+KFC!$C$12)*KFC!$C$5</f>
        <v>115.9</v>
      </c>
      <c r="H34" s="654">
        <f>(122.5*KFC!$B$12+KFC!$C$12)*KFC!$C$5</f>
        <v>122.5</v>
      </c>
      <c r="I34" s="654">
        <f>(129.1*KFC!$B$12+KFC!$C$12)*KFC!$C$5</f>
        <v>129.1</v>
      </c>
      <c r="J34" s="654">
        <f>(135.7*KFC!$B$12+KFC!$C$12)*KFC!$C$5</f>
        <v>135.69999999999999</v>
      </c>
      <c r="K34" s="654">
        <f>(142.3*KFC!$B$12+KFC!$C$12)*KFC!$C$5</f>
        <v>142.30000000000001</v>
      </c>
      <c r="L34" s="654">
        <f>(149*KFC!$B$12+KFC!$C$12)*KFC!$C$5</f>
        <v>149</v>
      </c>
      <c r="M34" s="654">
        <f>(155.6*KFC!$B$12+KFC!$C$12)*KFC!$C$5</f>
        <v>155.6</v>
      </c>
      <c r="N34" s="654">
        <f>(162.2*KFC!$B$12+KFC!$C$12)*KFC!$C$5</f>
        <v>162.19999999999999</v>
      </c>
      <c r="O34" s="654">
        <f>(168.8*KFC!$B$12+KFC!$C$12)*KFC!$C$5</f>
        <v>168.8</v>
      </c>
      <c r="P34" s="654">
        <f>(175.4*KFC!$B$12+KFC!$C$12)*KFC!$C$5</f>
        <v>175.4</v>
      </c>
      <c r="Q34" s="654">
        <f>(182*KFC!$B$12+KFC!$C$12)*KFC!$C$5</f>
        <v>182</v>
      </c>
      <c r="R34" s="654">
        <f>(188.6*KFC!$B$12+KFC!$C$12)*KFC!$C$5</f>
        <v>188.6</v>
      </c>
      <c r="S34" s="654">
        <f>(195.2*KFC!$B$12+KFC!$C$12)*KFC!$C$5</f>
        <v>195.2</v>
      </c>
      <c r="T34" s="654">
        <f>(201.8*KFC!$B$12+KFC!$C$12)*KFC!$C$5</f>
        <v>201.8</v>
      </c>
      <c r="U34" s="654">
        <f>(208.4*KFC!$B$12+KFC!$C$12)*KFC!$C$5</f>
        <v>208.4</v>
      </c>
      <c r="V34" s="654">
        <f>(215*KFC!$B$12+KFC!$C$12)*KFC!$C$5</f>
        <v>215</v>
      </c>
      <c r="W34" s="654">
        <f>(221.6*KFC!$B$12+KFC!$C$12)*KFC!$C$5</f>
        <v>221.6</v>
      </c>
      <c r="X34" s="654">
        <f>(228.2*KFC!$B$12+KFC!$C$12)*KFC!$C$5</f>
        <v>228.2</v>
      </c>
      <c r="Y34" s="654">
        <f>(234.8*KFC!$B$12+KFC!$C$12)*KFC!$C$5</f>
        <v>234.8</v>
      </c>
      <c r="Z34" s="654">
        <f>(241.4*KFC!$B$12+KFC!$C$12)*KFC!$C$5</f>
        <v>241.4</v>
      </c>
      <c r="AA34" s="654">
        <f>(248*KFC!$B$12+KFC!$C$12)*KFC!$C$5</f>
        <v>248</v>
      </c>
      <c r="AB34" s="654">
        <f>(254.6*KFC!$B$12+KFC!$C$12)*KFC!$C$5</f>
        <v>254.6</v>
      </c>
      <c r="AC34" s="654">
        <f>(261.2*KFC!$B$12+KFC!$C$12)*KFC!$C$5</f>
        <v>261.2</v>
      </c>
      <c r="AD34" s="654">
        <f>(267.8*KFC!$B$12+KFC!$C$12)*KFC!$C$5</f>
        <v>267.8</v>
      </c>
      <c r="AE34" s="654">
        <f>(274.5*KFC!$B$12+KFC!$C$12)*KFC!$C$5</f>
        <v>274.5</v>
      </c>
      <c r="AF34" s="654">
        <f>(281.1*KFC!$B$12+KFC!$C$12)*KFC!$C$5</f>
        <v>281.10000000000002</v>
      </c>
      <c r="AG34" s="654">
        <f>(287.7*KFC!$B$12+KFC!$C$12)*KFC!$C$5</f>
        <v>287.7</v>
      </c>
      <c r="AH34" s="654">
        <f>(294.3*KFC!$B$12+KFC!$C$12)*KFC!$C$5</f>
        <v>294.3</v>
      </c>
      <c r="AI34" s="654">
        <f>(300.9*KFC!$B$12+KFC!$C$12)*KFC!$C$5</f>
        <v>300.89999999999998</v>
      </c>
      <c r="AJ34" s="654">
        <f>(307.5*KFC!$B$12+KFC!$C$12)*KFC!$C$5</f>
        <v>307.5</v>
      </c>
      <c r="AK34" s="654">
        <f>(314.1*KFC!$B$12+KFC!$C$12)*KFC!$C$5</f>
        <v>314.10000000000002</v>
      </c>
      <c r="AL34" s="654">
        <f>(320.7*KFC!$B$12+KFC!$C$12)*KFC!$C$5</f>
        <v>320.7</v>
      </c>
      <c r="AM34" s="654">
        <f>(327.3*KFC!$B$12+KFC!$C$12)*KFC!$C$5</f>
        <v>327.3</v>
      </c>
      <c r="AN34" s="654">
        <f>(333.9*KFC!$B$12+KFC!$C$12)*KFC!$C$5</f>
        <v>333.9</v>
      </c>
      <c r="AO34" s="654">
        <f>(340.5*KFC!$B$12+KFC!$C$12)*KFC!$C$5</f>
        <v>340.5</v>
      </c>
      <c r="AP34" s="654">
        <f>(347.1*KFC!$B$12+KFC!$C$12)*KFC!$C$5</f>
        <v>347.1</v>
      </c>
      <c r="AQ34" s="654">
        <f>(353.7*KFC!$B$12+KFC!$C$12)*KFC!$C$5</f>
        <v>353.7</v>
      </c>
      <c r="AR34" s="654">
        <f>(360.3*KFC!$B$12+KFC!$C$12)*KFC!$C$5</f>
        <v>360.3</v>
      </c>
      <c r="AS34" s="654">
        <f>(366.9*KFC!$B$12+KFC!$C$12)*KFC!$C$5</f>
        <v>366.9</v>
      </c>
      <c r="AT34" s="654">
        <f>(373.5*KFC!$B$12+KFC!$C$12)*KFC!$C$5</f>
        <v>373.5</v>
      </c>
      <c r="AU34" s="654">
        <f>(380.1*KFC!$B$12+KFC!$C$12)*KFC!$C$5</f>
        <v>380.1</v>
      </c>
      <c r="AV34" s="654">
        <f>(386.7*KFC!$B$12+KFC!$C$12)*KFC!$C$5</f>
        <v>386.7</v>
      </c>
      <c r="AW34" s="654">
        <f>(393.3*KFC!$B$12+KFC!$C$12)*KFC!$C$5</f>
        <v>393.3</v>
      </c>
    </row>
    <row r="35" spans="1:49" ht="14.4">
      <c r="A35" s="1277"/>
      <c r="B35" s="649">
        <v>3.2</v>
      </c>
      <c r="C35" s="654">
        <f>(90.2*KFC!$B$12+KFC!$C$12)*KFC!$C$5</f>
        <v>90.2</v>
      </c>
      <c r="D35" s="654">
        <f>(96.9*KFC!$B$12+KFC!$C$12)*KFC!$C$5</f>
        <v>96.9</v>
      </c>
      <c r="E35" s="654">
        <f>(103.6*KFC!$B$12+KFC!$C$12)*KFC!$C$5</f>
        <v>103.6</v>
      </c>
      <c r="F35" s="654">
        <f>(110.3*KFC!$B$12+KFC!$C$12)*KFC!$C$5</f>
        <v>110.3</v>
      </c>
      <c r="G35" s="654">
        <f>(117.1*KFC!$B$12+KFC!$C$12)*KFC!$C$5</f>
        <v>117.1</v>
      </c>
      <c r="H35" s="654">
        <f>(123.8*KFC!$B$12+KFC!$C$12)*KFC!$C$5</f>
        <v>123.8</v>
      </c>
      <c r="I35" s="654">
        <f>(130.5*KFC!$B$12+KFC!$C$12)*KFC!$C$5</f>
        <v>130.5</v>
      </c>
      <c r="J35" s="654">
        <f>(137.2*KFC!$B$12+KFC!$C$12)*KFC!$C$5</f>
        <v>137.19999999999999</v>
      </c>
      <c r="K35" s="654">
        <f>(144*KFC!$B$12+KFC!$C$12)*KFC!$C$5</f>
        <v>144</v>
      </c>
      <c r="L35" s="654">
        <f>(150.7*KFC!$B$12+KFC!$C$12)*KFC!$C$5</f>
        <v>150.69999999999999</v>
      </c>
      <c r="M35" s="654">
        <f>(157.4*KFC!$B$12+KFC!$C$12)*KFC!$C$5</f>
        <v>157.4</v>
      </c>
      <c r="N35" s="654">
        <f>(164.1*KFC!$B$12+KFC!$C$12)*KFC!$C$5</f>
        <v>164.1</v>
      </c>
      <c r="O35" s="654">
        <f>(170.9*KFC!$B$12+KFC!$C$12)*KFC!$C$5</f>
        <v>170.9</v>
      </c>
      <c r="P35" s="654">
        <f>(177.6*KFC!$B$12+KFC!$C$12)*KFC!$C$5</f>
        <v>177.6</v>
      </c>
      <c r="Q35" s="654">
        <f>(184.3*KFC!$B$12+KFC!$C$12)*KFC!$C$5</f>
        <v>184.3</v>
      </c>
      <c r="R35" s="654">
        <f>(191*KFC!$B$12+KFC!$C$12)*KFC!$C$5</f>
        <v>191</v>
      </c>
      <c r="S35" s="654">
        <f>(197.7*KFC!$B$12+KFC!$C$12)*KFC!$C$5</f>
        <v>197.7</v>
      </c>
      <c r="T35" s="654">
        <f>(204.5*KFC!$B$12+KFC!$C$12)*KFC!$C$5</f>
        <v>204.5</v>
      </c>
      <c r="U35" s="654">
        <f>(211.2*KFC!$B$12+KFC!$C$12)*KFC!$C$5</f>
        <v>211.2</v>
      </c>
      <c r="V35" s="654">
        <f>(217.9*KFC!$B$12+KFC!$C$12)*KFC!$C$5</f>
        <v>217.9</v>
      </c>
      <c r="W35" s="654">
        <f>(224.6*KFC!$B$12+KFC!$C$12)*KFC!$C$5</f>
        <v>224.6</v>
      </c>
      <c r="X35" s="654">
        <f>(231.4*KFC!$B$12+KFC!$C$12)*KFC!$C$5</f>
        <v>231.4</v>
      </c>
      <c r="Y35" s="654">
        <f>(238.1*KFC!$B$12+KFC!$C$12)*KFC!$C$5</f>
        <v>238.1</v>
      </c>
      <c r="Z35" s="654">
        <f>(244.8*KFC!$B$12+KFC!$C$12)*KFC!$C$5</f>
        <v>244.8</v>
      </c>
      <c r="AA35" s="654">
        <f>(251.5*KFC!$B$12+KFC!$C$12)*KFC!$C$5</f>
        <v>251.5</v>
      </c>
      <c r="AB35" s="654">
        <f>(258.3*KFC!$B$12+KFC!$C$12)*KFC!$C$5</f>
        <v>258.3</v>
      </c>
      <c r="AC35" s="654">
        <f>(265*KFC!$B$12+KFC!$C$12)*KFC!$C$5</f>
        <v>265</v>
      </c>
      <c r="AD35" s="654">
        <f>(271.7*KFC!$B$12+KFC!$C$12)*KFC!$C$5</f>
        <v>271.7</v>
      </c>
      <c r="AE35" s="654">
        <f>(278.4*KFC!$B$12+KFC!$C$12)*KFC!$C$5</f>
        <v>278.39999999999998</v>
      </c>
      <c r="AF35" s="654">
        <f>(285.2*KFC!$B$12+KFC!$C$12)*KFC!$C$5</f>
        <v>285.2</v>
      </c>
      <c r="AG35" s="654">
        <f>(291.9*KFC!$B$12+KFC!$C$12)*KFC!$C$5</f>
        <v>291.89999999999998</v>
      </c>
      <c r="AH35" s="654">
        <f>(298.6*KFC!$B$12+KFC!$C$12)*KFC!$C$5</f>
        <v>298.60000000000002</v>
      </c>
      <c r="AI35" s="654">
        <f>(305.3*KFC!$B$12+KFC!$C$12)*KFC!$C$5</f>
        <v>305.3</v>
      </c>
      <c r="AJ35" s="654">
        <f>(312.1*KFC!$B$12+KFC!$C$12)*KFC!$C$5</f>
        <v>312.10000000000002</v>
      </c>
      <c r="AK35" s="654">
        <f>(318.8*KFC!$B$12+KFC!$C$12)*KFC!$C$5</f>
        <v>318.8</v>
      </c>
      <c r="AL35" s="654">
        <f>(325.5*KFC!$B$12+KFC!$C$12)*KFC!$C$5</f>
        <v>325.5</v>
      </c>
      <c r="AM35" s="654">
        <f>(332.2*KFC!$B$12+KFC!$C$12)*KFC!$C$5</f>
        <v>332.2</v>
      </c>
      <c r="AN35" s="654">
        <f>(339*KFC!$B$12+KFC!$C$12)*KFC!$C$5</f>
        <v>339</v>
      </c>
      <c r="AO35" s="654">
        <f>(345.7*KFC!$B$12+KFC!$C$12)*KFC!$C$5</f>
        <v>345.7</v>
      </c>
      <c r="AP35" s="654">
        <f>(352.4*KFC!$B$12+KFC!$C$12)*KFC!$C$5</f>
        <v>352.4</v>
      </c>
      <c r="AQ35" s="654">
        <f>(359.1*KFC!$B$12+KFC!$C$12)*KFC!$C$5</f>
        <v>359.1</v>
      </c>
      <c r="AR35" s="654">
        <f>(365.8*KFC!$B$12+KFC!$C$12)*KFC!$C$5</f>
        <v>365.8</v>
      </c>
      <c r="AS35" s="654">
        <f>(372.6*KFC!$B$12+KFC!$C$12)*KFC!$C$5</f>
        <v>372.6</v>
      </c>
      <c r="AT35" s="654">
        <f>(379.3*KFC!$B$12+KFC!$C$12)*KFC!$C$5</f>
        <v>379.3</v>
      </c>
      <c r="AU35" s="654">
        <f>(386*KFC!$B$12+KFC!$C$12)*KFC!$C$5</f>
        <v>386</v>
      </c>
      <c r="AV35" s="654">
        <f>(392.7*KFC!$B$12+KFC!$C$12)*KFC!$C$5</f>
        <v>392.7</v>
      </c>
      <c r="AW35" s="654">
        <f>(399.5*KFC!$B$12+KFC!$C$12)*KFC!$C$5</f>
        <v>399.5</v>
      </c>
    </row>
    <row r="36" spans="1:49" ht="14.4">
      <c r="A36" s="1277"/>
      <c r="B36" s="649">
        <v>3.3</v>
      </c>
      <c r="C36" s="654">
        <f>(90.8*KFC!$B$12+KFC!$C$12)*KFC!$C$5</f>
        <v>90.8</v>
      </c>
      <c r="D36" s="654">
        <f>(97.7*KFC!$B$12+KFC!$C$12)*KFC!$C$5</f>
        <v>97.7</v>
      </c>
      <c r="E36" s="654">
        <f>(104.5*KFC!$B$12+KFC!$C$12)*KFC!$C$5</f>
        <v>104.5</v>
      </c>
      <c r="F36" s="654">
        <f>(111.4*KFC!$B$12+KFC!$C$12)*KFC!$C$5</f>
        <v>111.4</v>
      </c>
      <c r="G36" s="654">
        <f>(118.2*KFC!$B$12+KFC!$C$12)*KFC!$C$5</f>
        <v>118.2</v>
      </c>
      <c r="H36" s="654">
        <f>(125*KFC!$B$12+KFC!$C$12)*KFC!$C$5</f>
        <v>125</v>
      </c>
      <c r="I36" s="654">
        <f>(131.9*KFC!$B$12+KFC!$C$12)*KFC!$C$5</f>
        <v>131.9</v>
      </c>
      <c r="J36" s="654">
        <f>(138.7*KFC!$B$12+KFC!$C$12)*KFC!$C$5</f>
        <v>138.69999999999999</v>
      </c>
      <c r="K36" s="654">
        <f>(145.6*KFC!$B$12+KFC!$C$12)*KFC!$C$5</f>
        <v>145.6</v>
      </c>
      <c r="L36" s="654">
        <f>(152.4*KFC!$B$12+KFC!$C$12)*KFC!$C$5</f>
        <v>152.4</v>
      </c>
      <c r="M36" s="654">
        <f>(159.3*KFC!$B$12+KFC!$C$12)*KFC!$C$5</f>
        <v>159.30000000000001</v>
      </c>
      <c r="N36" s="654">
        <f>(166.1*KFC!$B$12+KFC!$C$12)*KFC!$C$5</f>
        <v>166.1</v>
      </c>
      <c r="O36" s="654">
        <f>(172.9*KFC!$B$12+KFC!$C$12)*KFC!$C$5</f>
        <v>172.9</v>
      </c>
      <c r="P36" s="654">
        <f>(179.8*KFC!$B$12+KFC!$C$12)*KFC!$C$5</f>
        <v>179.8</v>
      </c>
      <c r="Q36" s="654">
        <f>(186.6*KFC!$B$12+KFC!$C$12)*KFC!$C$5</f>
        <v>186.6</v>
      </c>
      <c r="R36" s="654">
        <f>(193.5*KFC!$B$12+KFC!$C$12)*KFC!$C$5</f>
        <v>193.5</v>
      </c>
      <c r="S36" s="654">
        <f>(200.3*KFC!$B$12+KFC!$C$12)*KFC!$C$5</f>
        <v>200.3</v>
      </c>
      <c r="T36" s="654">
        <f>(207.2*KFC!$B$12+KFC!$C$12)*KFC!$C$5</f>
        <v>207.2</v>
      </c>
      <c r="U36" s="654">
        <f>(214*KFC!$B$12+KFC!$C$12)*KFC!$C$5</f>
        <v>214</v>
      </c>
      <c r="V36" s="654">
        <f>(220.8*KFC!$B$12+KFC!$C$12)*KFC!$C$5</f>
        <v>220.8</v>
      </c>
      <c r="W36" s="654">
        <f>(227.7*KFC!$B$12+KFC!$C$12)*KFC!$C$5</f>
        <v>227.7</v>
      </c>
      <c r="X36" s="654">
        <f>(234.5*KFC!$B$12+KFC!$C$12)*KFC!$C$5</f>
        <v>234.5</v>
      </c>
      <c r="Y36" s="654">
        <f>(241.4*KFC!$B$12+KFC!$C$12)*KFC!$C$5</f>
        <v>241.4</v>
      </c>
      <c r="Z36" s="654">
        <f>(248.2*KFC!$B$12+KFC!$C$12)*KFC!$C$5</f>
        <v>248.2</v>
      </c>
      <c r="AA36" s="654">
        <f>(255.1*KFC!$B$12+KFC!$C$12)*KFC!$C$5</f>
        <v>255.1</v>
      </c>
      <c r="AB36" s="654">
        <f>(261.9*KFC!$B$12+KFC!$C$12)*KFC!$C$5</f>
        <v>261.89999999999998</v>
      </c>
      <c r="AC36" s="654">
        <f>(268.7*KFC!$B$12+KFC!$C$12)*KFC!$C$5</f>
        <v>268.7</v>
      </c>
      <c r="AD36" s="654">
        <f>(275.6*KFC!$B$12+KFC!$C$12)*KFC!$C$5</f>
        <v>275.60000000000002</v>
      </c>
      <c r="AE36" s="654">
        <f>(282.4*KFC!$B$12+KFC!$C$12)*KFC!$C$5</f>
        <v>282.39999999999998</v>
      </c>
      <c r="AF36" s="654">
        <f>(289.3*KFC!$B$12+KFC!$C$12)*KFC!$C$5</f>
        <v>289.3</v>
      </c>
      <c r="AG36" s="654">
        <f>(296.1*KFC!$B$12+KFC!$C$12)*KFC!$C$5</f>
        <v>296.10000000000002</v>
      </c>
      <c r="AH36" s="654">
        <f>(302.9*KFC!$B$12+KFC!$C$12)*KFC!$C$5</f>
        <v>302.89999999999998</v>
      </c>
      <c r="AI36" s="654">
        <f>(309.8*KFC!$B$12+KFC!$C$12)*KFC!$C$5</f>
        <v>309.8</v>
      </c>
      <c r="AJ36" s="654">
        <f>(316.6*KFC!$B$12+KFC!$C$12)*KFC!$C$5</f>
        <v>316.60000000000002</v>
      </c>
      <c r="AK36" s="654">
        <f>(323.5*KFC!$B$12+KFC!$C$12)*KFC!$C$5</f>
        <v>323.5</v>
      </c>
      <c r="AL36" s="654">
        <f>(330.3*KFC!$B$12+KFC!$C$12)*KFC!$C$5</f>
        <v>330.3</v>
      </c>
      <c r="AM36" s="654">
        <f>(337.2*KFC!$B$12+KFC!$C$12)*KFC!$C$5</f>
        <v>337.2</v>
      </c>
      <c r="AN36" s="654">
        <f>(344*KFC!$B$12+KFC!$C$12)*KFC!$C$5</f>
        <v>344</v>
      </c>
      <c r="AO36" s="654">
        <f>(350.9*KFC!$B$12+KFC!$C$12)*KFC!$C$5</f>
        <v>350.9</v>
      </c>
      <c r="AP36" s="654">
        <f>(357.7*KFC!$B$12+KFC!$C$12)*KFC!$C$5</f>
        <v>357.7</v>
      </c>
      <c r="AQ36" s="654">
        <f>(364.5*KFC!$B$12+KFC!$C$12)*KFC!$C$5</f>
        <v>364.5</v>
      </c>
      <c r="AR36" s="654">
        <f>(371.4*KFC!$B$12+KFC!$C$12)*KFC!$C$5</f>
        <v>371.4</v>
      </c>
      <c r="AS36" s="654">
        <f>(378.2*KFC!$B$12+KFC!$C$12)*KFC!$C$5</f>
        <v>378.2</v>
      </c>
      <c r="AT36" s="654">
        <f>(385.1*KFC!$B$12+KFC!$C$12)*KFC!$C$5</f>
        <v>385.1</v>
      </c>
      <c r="AU36" s="654">
        <f>(391.9*KFC!$B$12+KFC!$C$12)*KFC!$C$5</f>
        <v>391.9</v>
      </c>
      <c r="AV36" s="654">
        <f>(398.7*KFC!$B$12+KFC!$C$12)*KFC!$C$5</f>
        <v>398.7</v>
      </c>
      <c r="AW36" s="654">
        <f>(405.6*KFC!$B$12+KFC!$C$12)*KFC!$C$5</f>
        <v>405.6</v>
      </c>
    </row>
    <row r="37" spans="1:49" ht="14.4">
      <c r="A37" s="1277"/>
      <c r="B37" s="649">
        <v>3.4</v>
      </c>
      <c r="C37" s="654">
        <f>(91.5*KFC!$B$12+KFC!$C$12)*KFC!$C$5</f>
        <v>91.5</v>
      </c>
      <c r="D37" s="654">
        <f>(98.5*KFC!$B$12+KFC!$C$12)*KFC!$C$5</f>
        <v>98.5</v>
      </c>
      <c r="E37" s="654">
        <f>(105.4*KFC!$B$12+KFC!$C$12)*KFC!$C$5</f>
        <v>105.4</v>
      </c>
      <c r="F37" s="654">
        <f>(112.4*KFC!$B$12+KFC!$C$12)*KFC!$C$5</f>
        <v>112.4</v>
      </c>
      <c r="G37" s="654">
        <f>(119.3*KFC!$B$12+KFC!$C$12)*KFC!$C$5</f>
        <v>119.3</v>
      </c>
      <c r="H37" s="654">
        <f>(126.3*KFC!$B$12+KFC!$C$12)*KFC!$C$5</f>
        <v>126.3</v>
      </c>
      <c r="I37" s="654">
        <f>(133.3*KFC!$B$12+KFC!$C$12)*KFC!$C$5</f>
        <v>133.30000000000001</v>
      </c>
      <c r="J37" s="654">
        <f>(140.2*KFC!$B$12+KFC!$C$12)*KFC!$C$5</f>
        <v>140.19999999999999</v>
      </c>
      <c r="K37" s="654">
        <f>(147.2*KFC!$B$12+KFC!$C$12)*KFC!$C$5</f>
        <v>147.19999999999999</v>
      </c>
      <c r="L37" s="654">
        <f>(154.1*KFC!$B$12+KFC!$C$12)*KFC!$C$5</f>
        <v>154.1</v>
      </c>
      <c r="M37" s="654">
        <f>(161.1*KFC!$B$12+KFC!$C$12)*KFC!$C$5</f>
        <v>161.1</v>
      </c>
      <c r="N37" s="654">
        <f>(168.1*KFC!$B$12+KFC!$C$12)*KFC!$C$5</f>
        <v>168.1</v>
      </c>
      <c r="O37" s="654">
        <f>(175*KFC!$B$12+KFC!$C$12)*KFC!$C$5</f>
        <v>175</v>
      </c>
      <c r="P37" s="654">
        <f>(182*KFC!$B$12+KFC!$C$12)*KFC!$C$5</f>
        <v>182</v>
      </c>
      <c r="Q37" s="654">
        <f>(189*KFC!$B$12+KFC!$C$12)*KFC!$C$5</f>
        <v>189</v>
      </c>
      <c r="R37" s="654">
        <f>(195.9*KFC!$B$12+KFC!$C$12)*KFC!$C$5</f>
        <v>195.9</v>
      </c>
      <c r="S37" s="654">
        <f>(202.9*KFC!$B$12+KFC!$C$12)*KFC!$C$5</f>
        <v>202.9</v>
      </c>
      <c r="T37" s="654">
        <f>(209.8*KFC!$B$12+KFC!$C$12)*KFC!$C$5</f>
        <v>209.8</v>
      </c>
      <c r="U37" s="654">
        <f>(216.8*KFC!$B$12+KFC!$C$12)*KFC!$C$5</f>
        <v>216.8</v>
      </c>
      <c r="V37" s="654">
        <f>(223.8*KFC!$B$12+KFC!$C$12)*KFC!$C$5</f>
        <v>223.8</v>
      </c>
      <c r="W37" s="654">
        <f>(230.7*KFC!$B$12+KFC!$C$12)*KFC!$C$5</f>
        <v>230.7</v>
      </c>
      <c r="X37" s="654">
        <f>(237.7*KFC!$B$12+KFC!$C$12)*KFC!$C$5</f>
        <v>237.7</v>
      </c>
      <c r="Y37" s="654">
        <f>(244.6*KFC!$B$12+KFC!$C$12)*KFC!$C$5</f>
        <v>244.6</v>
      </c>
      <c r="Z37" s="654">
        <f>(251.6*KFC!$B$12+KFC!$C$12)*KFC!$C$5</f>
        <v>251.6</v>
      </c>
      <c r="AA37" s="654">
        <f>(258.6*KFC!$B$12+KFC!$C$12)*KFC!$C$5</f>
        <v>258.60000000000002</v>
      </c>
      <c r="AB37" s="654">
        <f>(265.5*KFC!$B$12+KFC!$C$12)*KFC!$C$5</f>
        <v>265.5</v>
      </c>
      <c r="AC37" s="654">
        <f>(272.5*KFC!$B$12+KFC!$C$12)*KFC!$C$5</f>
        <v>272.5</v>
      </c>
      <c r="AD37" s="654">
        <f>(279.5*KFC!$B$12+KFC!$C$12)*KFC!$C$5</f>
        <v>279.5</v>
      </c>
      <c r="AE37" s="654">
        <f>(286.4*KFC!$B$12+KFC!$C$12)*KFC!$C$5</f>
        <v>286.39999999999998</v>
      </c>
      <c r="AF37" s="654">
        <f>(293.4*KFC!$B$12+KFC!$C$12)*KFC!$C$5</f>
        <v>293.39999999999998</v>
      </c>
      <c r="AG37" s="654">
        <f>(300.3*KFC!$B$12+KFC!$C$12)*KFC!$C$5</f>
        <v>300.3</v>
      </c>
      <c r="AH37" s="654">
        <f>(307.3*KFC!$B$12+KFC!$C$12)*KFC!$C$5</f>
        <v>307.3</v>
      </c>
      <c r="AI37" s="654">
        <f>(314.3*KFC!$B$12+KFC!$C$12)*KFC!$C$5</f>
        <v>314.3</v>
      </c>
      <c r="AJ37" s="654">
        <f>(321.2*KFC!$B$12+KFC!$C$12)*KFC!$C$5</f>
        <v>321.2</v>
      </c>
      <c r="AK37" s="654">
        <f>(328.2*KFC!$B$12+KFC!$C$12)*KFC!$C$5</f>
        <v>328.2</v>
      </c>
      <c r="AL37" s="654">
        <f>(335.1*KFC!$B$12+KFC!$C$12)*KFC!$C$5</f>
        <v>335.1</v>
      </c>
      <c r="AM37" s="654">
        <f>(342.1*KFC!$B$12+KFC!$C$12)*KFC!$C$5</f>
        <v>342.1</v>
      </c>
      <c r="AN37" s="654">
        <f>(349.1*KFC!$B$12+KFC!$C$12)*KFC!$C$5</f>
        <v>349.1</v>
      </c>
      <c r="AO37" s="654">
        <f>(356*KFC!$B$12+KFC!$C$12)*KFC!$C$5</f>
        <v>356</v>
      </c>
      <c r="AP37" s="654">
        <f>(363*KFC!$B$12+KFC!$C$12)*KFC!$C$5</f>
        <v>363</v>
      </c>
      <c r="AQ37" s="654">
        <f>(369.9*KFC!$B$12+KFC!$C$12)*KFC!$C$5</f>
        <v>369.9</v>
      </c>
      <c r="AR37" s="654">
        <f>(376.9*KFC!$B$12+KFC!$C$12)*KFC!$C$5</f>
        <v>376.9</v>
      </c>
      <c r="AS37" s="654">
        <f>(383.9*KFC!$B$12+KFC!$C$12)*KFC!$C$5</f>
        <v>383.9</v>
      </c>
      <c r="AT37" s="654">
        <f>(390.8*KFC!$B$12+KFC!$C$12)*KFC!$C$5</f>
        <v>390.8</v>
      </c>
      <c r="AU37" s="654">
        <f>(397.8*KFC!$B$12+KFC!$C$12)*KFC!$C$5</f>
        <v>397.8</v>
      </c>
      <c r="AV37" s="654">
        <f>(404.8*KFC!$B$12+KFC!$C$12)*KFC!$C$5</f>
        <v>404.8</v>
      </c>
      <c r="AW37" s="654">
        <f>(411.7*KFC!$B$12+KFC!$C$12)*KFC!$C$5</f>
        <v>411.7</v>
      </c>
    </row>
    <row r="38" spans="1:49" ht="14.4">
      <c r="A38" s="1277"/>
      <c r="B38" s="649">
        <v>3.5</v>
      </c>
      <c r="C38" s="654">
        <f>(92.2*KFC!$B$12+KFC!$C$12)*KFC!$C$5</f>
        <v>92.2</v>
      </c>
      <c r="D38" s="654">
        <f>(99.2*KFC!$B$12+KFC!$C$12)*KFC!$C$5</f>
        <v>99.2</v>
      </c>
      <c r="E38" s="654">
        <f>(106.3*KFC!$B$12+KFC!$C$12)*KFC!$C$5</f>
        <v>106.3</v>
      </c>
      <c r="F38" s="654">
        <f>(113.4*KFC!$B$12+KFC!$C$12)*KFC!$C$5</f>
        <v>113.4</v>
      </c>
      <c r="G38" s="654">
        <f>(120.5*KFC!$B$12+KFC!$C$12)*KFC!$C$5</f>
        <v>120.5</v>
      </c>
      <c r="H38" s="654">
        <f>(127.6*KFC!$B$12+KFC!$C$12)*KFC!$C$5</f>
        <v>127.6</v>
      </c>
      <c r="I38" s="654">
        <f>(134.6*KFC!$B$12+KFC!$C$12)*KFC!$C$5</f>
        <v>134.6</v>
      </c>
      <c r="J38" s="654">
        <f>(141.7*KFC!$B$12+KFC!$C$12)*KFC!$C$5</f>
        <v>141.69999999999999</v>
      </c>
      <c r="K38" s="654">
        <f>(148.8*KFC!$B$12+KFC!$C$12)*KFC!$C$5</f>
        <v>148.80000000000001</v>
      </c>
      <c r="L38" s="654">
        <f>(155.9*KFC!$B$12+KFC!$C$12)*KFC!$C$5</f>
        <v>155.9</v>
      </c>
      <c r="M38" s="654">
        <f>(163*KFC!$B$12+KFC!$C$12)*KFC!$C$5</f>
        <v>163</v>
      </c>
      <c r="N38" s="654">
        <f>(170*KFC!$B$12+KFC!$C$12)*KFC!$C$5</f>
        <v>170</v>
      </c>
      <c r="O38" s="654">
        <f>(177.1*KFC!$B$12+KFC!$C$12)*KFC!$C$5</f>
        <v>177.1</v>
      </c>
      <c r="P38" s="654">
        <f>(184.2*KFC!$B$12+KFC!$C$12)*KFC!$C$5</f>
        <v>184.2</v>
      </c>
      <c r="Q38" s="654">
        <f>(191.3*KFC!$B$12+KFC!$C$12)*KFC!$C$5</f>
        <v>191.3</v>
      </c>
      <c r="R38" s="654">
        <f>(198.4*KFC!$B$12+KFC!$C$12)*KFC!$C$5</f>
        <v>198.4</v>
      </c>
      <c r="S38" s="654">
        <f>(205.4*KFC!$B$12+KFC!$C$12)*KFC!$C$5</f>
        <v>205.4</v>
      </c>
      <c r="T38" s="654">
        <f>(212.5*KFC!$B$12+KFC!$C$12)*KFC!$C$5</f>
        <v>212.5</v>
      </c>
      <c r="U38" s="654">
        <f>(219.6*KFC!$B$12+KFC!$C$12)*KFC!$C$5</f>
        <v>219.6</v>
      </c>
      <c r="V38" s="654">
        <f>(226.7*KFC!$B$12+KFC!$C$12)*KFC!$C$5</f>
        <v>226.7</v>
      </c>
      <c r="W38" s="654">
        <f>(233.8*KFC!$B$12+KFC!$C$12)*KFC!$C$5</f>
        <v>233.8</v>
      </c>
      <c r="X38" s="654">
        <f>(240.8*KFC!$B$12+KFC!$C$12)*KFC!$C$5</f>
        <v>240.8</v>
      </c>
      <c r="Y38" s="654">
        <f>(247.9*KFC!$B$12+KFC!$C$12)*KFC!$C$5</f>
        <v>247.9</v>
      </c>
      <c r="Z38" s="654">
        <f>(255*KFC!$B$12+KFC!$C$12)*KFC!$C$5</f>
        <v>255</v>
      </c>
      <c r="AA38" s="654">
        <f>(262.1*KFC!$B$12+KFC!$C$12)*KFC!$C$5</f>
        <v>262.10000000000002</v>
      </c>
      <c r="AB38" s="654">
        <f>(269.2*KFC!$B$12+KFC!$C$12)*KFC!$C$5</f>
        <v>269.2</v>
      </c>
      <c r="AC38" s="654">
        <f>(276.2*KFC!$B$12+KFC!$C$12)*KFC!$C$5</f>
        <v>276.2</v>
      </c>
      <c r="AD38" s="654">
        <f>(283.3*KFC!$B$12+KFC!$C$12)*KFC!$C$5</f>
        <v>283.3</v>
      </c>
      <c r="AE38" s="654">
        <f>(290.4*KFC!$B$12+KFC!$C$12)*KFC!$C$5</f>
        <v>290.39999999999998</v>
      </c>
      <c r="AF38" s="654">
        <f>(297.5*KFC!$B$12+KFC!$C$12)*KFC!$C$5</f>
        <v>297.5</v>
      </c>
      <c r="AG38" s="654">
        <f>(304.6*KFC!$B$12+KFC!$C$12)*KFC!$C$5</f>
        <v>304.60000000000002</v>
      </c>
      <c r="AH38" s="654">
        <f>(311.6*KFC!$B$12+KFC!$C$12)*KFC!$C$5</f>
        <v>311.60000000000002</v>
      </c>
      <c r="AI38" s="654">
        <f>(318.7*KFC!$B$12+KFC!$C$12)*KFC!$C$5</f>
        <v>318.7</v>
      </c>
      <c r="AJ38" s="654">
        <f>(325.8*KFC!$B$12+KFC!$C$12)*KFC!$C$5</f>
        <v>325.8</v>
      </c>
      <c r="AK38" s="654">
        <f>(332.9*KFC!$B$12+KFC!$C$12)*KFC!$C$5</f>
        <v>332.9</v>
      </c>
      <c r="AL38" s="654">
        <f>(340*KFC!$B$12+KFC!$C$12)*KFC!$C$5</f>
        <v>340</v>
      </c>
      <c r="AM38" s="654">
        <f>(347*KFC!$B$12+KFC!$C$12)*KFC!$C$5</f>
        <v>347</v>
      </c>
      <c r="AN38" s="654">
        <f>(354.1*KFC!$B$12+KFC!$C$12)*KFC!$C$5</f>
        <v>354.1</v>
      </c>
      <c r="AO38" s="654">
        <f>(361.2*KFC!$B$12+KFC!$C$12)*KFC!$C$5</f>
        <v>361.2</v>
      </c>
      <c r="AP38" s="654">
        <f>(368.3*KFC!$B$12+KFC!$C$12)*KFC!$C$5</f>
        <v>368.3</v>
      </c>
      <c r="AQ38" s="654">
        <f>(375.4*KFC!$B$12+KFC!$C$12)*KFC!$C$5</f>
        <v>375.4</v>
      </c>
      <c r="AR38" s="654">
        <f>(382.4*KFC!$B$12+KFC!$C$12)*KFC!$C$5</f>
        <v>382.4</v>
      </c>
      <c r="AS38" s="654">
        <f>(389.5*KFC!$B$12+KFC!$C$12)*KFC!$C$5</f>
        <v>389.5</v>
      </c>
      <c r="AT38" s="654">
        <f>(396.6*KFC!$B$12+KFC!$C$12)*KFC!$C$5</f>
        <v>396.6</v>
      </c>
      <c r="AU38" s="654">
        <f>(403.7*KFC!$B$12+KFC!$C$12)*KFC!$C$5</f>
        <v>403.7</v>
      </c>
      <c r="AV38" s="654">
        <f>(410.8*KFC!$B$12+KFC!$C$12)*KFC!$C$5</f>
        <v>410.8</v>
      </c>
      <c r="AW38" s="654">
        <f>(417.9*KFC!$B$12+KFC!$C$12)*KFC!$C$5</f>
        <v>417.9</v>
      </c>
    </row>
    <row r="39" spans="1:49" ht="14.4">
      <c r="A39" s="1277"/>
      <c r="B39" s="649">
        <v>3.6</v>
      </c>
      <c r="C39" s="654">
        <f>(92.8*KFC!$B$12+KFC!$C$12)*KFC!$C$5</f>
        <v>92.8</v>
      </c>
      <c r="D39" s="654">
        <f>(100*KFC!$B$12+KFC!$C$12)*KFC!$C$5</f>
        <v>100</v>
      </c>
      <c r="E39" s="654">
        <f>(107.2*KFC!$B$12+KFC!$C$12)*KFC!$C$5</f>
        <v>107.2</v>
      </c>
      <c r="F39" s="654">
        <f>(114.4*KFC!$B$12+KFC!$C$12)*KFC!$C$5</f>
        <v>114.4</v>
      </c>
      <c r="G39" s="654">
        <f>(121.6*KFC!$B$12+KFC!$C$12)*KFC!$C$5</f>
        <v>121.6</v>
      </c>
      <c r="H39" s="654">
        <f>(128.8*KFC!$B$12+KFC!$C$12)*KFC!$C$5</f>
        <v>128.80000000000001</v>
      </c>
      <c r="I39" s="654">
        <f>(136*KFC!$B$12+KFC!$C$12)*KFC!$C$5</f>
        <v>136</v>
      </c>
      <c r="J39" s="654">
        <f>(143.2*KFC!$B$12+KFC!$C$12)*KFC!$C$5</f>
        <v>143.19999999999999</v>
      </c>
      <c r="K39" s="654">
        <f>(150.4*KFC!$B$12+KFC!$C$12)*KFC!$C$5</f>
        <v>150.4</v>
      </c>
      <c r="L39" s="654">
        <f>(157.6*KFC!$B$12+KFC!$C$12)*KFC!$C$5</f>
        <v>157.6</v>
      </c>
      <c r="M39" s="654">
        <f>(164.8*KFC!$B$12+KFC!$C$12)*KFC!$C$5</f>
        <v>164.8</v>
      </c>
      <c r="N39" s="654">
        <f>(172*KFC!$B$12+KFC!$C$12)*KFC!$C$5</f>
        <v>172</v>
      </c>
      <c r="O39" s="654">
        <f>(179.2*KFC!$B$12+KFC!$C$12)*KFC!$C$5</f>
        <v>179.2</v>
      </c>
      <c r="P39" s="654">
        <f>(186.4*KFC!$B$12+KFC!$C$12)*KFC!$C$5</f>
        <v>186.4</v>
      </c>
      <c r="Q39" s="654">
        <f>(193.6*KFC!$B$12+KFC!$C$12)*KFC!$C$5</f>
        <v>193.6</v>
      </c>
      <c r="R39" s="654">
        <f>(200.8*KFC!$B$12+KFC!$C$12)*KFC!$C$5</f>
        <v>200.8</v>
      </c>
      <c r="S39" s="654">
        <f>(208*KFC!$B$12+KFC!$C$12)*KFC!$C$5</f>
        <v>208</v>
      </c>
      <c r="T39" s="654">
        <f>(215.2*KFC!$B$12+KFC!$C$12)*KFC!$C$5</f>
        <v>215.2</v>
      </c>
      <c r="U39" s="654">
        <f>(222.4*KFC!$B$12+KFC!$C$12)*KFC!$C$5</f>
        <v>222.4</v>
      </c>
      <c r="V39" s="654">
        <f>(229.6*KFC!$B$12+KFC!$C$12)*KFC!$C$5</f>
        <v>229.6</v>
      </c>
      <c r="W39" s="654">
        <f>(236.8*KFC!$B$12+KFC!$C$12)*KFC!$C$5</f>
        <v>236.8</v>
      </c>
      <c r="X39" s="654">
        <f>(244*KFC!$B$12+KFC!$C$12)*KFC!$C$5</f>
        <v>244</v>
      </c>
      <c r="Y39" s="654">
        <f>(251.2*KFC!$B$12+KFC!$C$12)*KFC!$C$5</f>
        <v>251.2</v>
      </c>
      <c r="Z39" s="654">
        <f>(258.4*KFC!$B$12+KFC!$C$12)*KFC!$C$5</f>
        <v>258.39999999999998</v>
      </c>
      <c r="AA39" s="654">
        <f>(265.6*KFC!$B$12+KFC!$C$12)*KFC!$C$5</f>
        <v>265.60000000000002</v>
      </c>
      <c r="AB39" s="654">
        <f>(272.8*KFC!$B$12+KFC!$C$12)*KFC!$C$5</f>
        <v>272.8</v>
      </c>
      <c r="AC39" s="654">
        <f>(280*KFC!$B$12+KFC!$C$12)*KFC!$C$5</f>
        <v>280</v>
      </c>
      <c r="AD39" s="654">
        <f>(287.2*KFC!$B$12+KFC!$C$12)*KFC!$C$5</f>
        <v>287.2</v>
      </c>
      <c r="AE39" s="654">
        <f>(294.4*KFC!$B$12+KFC!$C$12)*KFC!$C$5</f>
        <v>294.39999999999998</v>
      </c>
      <c r="AF39" s="654">
        <f>(301.6*KFC!$B$12+KFC!$C$12)*KFC!$C$5</f>
        <v>301.60000000000002</v>
      </c>
      <c r="AG39" s="654">
        <f>(308.8*KFC!$B$12+KFC!$C$12)*KFC!$C$5</f>
        <v>308.8</v>
      </c>
      <c r="AH39" s="654">
        <f>(316*KFC!$B$12+KFC!$C$12)*KFC!$C$5</f>
        <v>316</v>
      </c>
      <c r="AI39" s="654">
        <f>(323.2*KFC!$B$12+KFC!$C$12)*KFC!$C$5</f>
        <v>323.2</v>
      </c>
      <c r="AJ39" s="654">
        <f>(330.4*KFC!$B$12+KFC!$C$12)*KFC!$C$5</f>
        <v>330.4</v>
      </c>
      <c r="AK39" s="654">
        <f>(337.6*KFC!$B$12+KFC!$C$12)*KFC!$C$5</f>
        <v>337.6</v>
      </c>
      <c r="AL39" s="654">
        <f>(344.8*KFC!$B$12+KFC!$C$12)*KFC!$C$5</f>
        <v>344.8</v>
      </c>
      <c r="AM39" s="654">
        <f>(352*KFC!$B$12+KFC!$C$12)*KFC!$C$5</f>
        <v>352</v>
      </c>
      <c r="AN39" s="654">
        <f>(359.2*KFC!$B$12+KFC!$C$12)*KFC!$C$5</f>
        <v>359.2</v>
      </c>
      <c r="AO39" s="654">
        <f>(366.4*KFC!$B$12+KFC!$C$12)*KFC!$C$5</f>
        <v>366.4</v>
      </c>
      <c r="AP39" s="654">
        <f>(373.6*KFC!$B$12+KFC!$C$12)*KFC!$C$5</f>
        <v>373.6</v>
      </c>
      <c r="AQ39" s="654">
        <f>(380.8*KFC!$B$12+KFC!$C$12)*KFC!$C$5</f>
        <v>380.8</v>
      </c>
      <c r="AR39" s="654">
        <f>(388*KFC!$B$12+KFC!$C$12)*KFC!$C$5</f>
        <v>388</v>
      </c>
      <c r="AS39" s="654">
        <f>(395.2*KFC!$B$12+KFC!$C$12)*KFC!$C$5</f>
        <v>395.2</v>
      </c>
      <c r="AT39" s="654">
        <f>(402.4*KFC!$B$12+KFC!$C$12)*KFC!$C$5</f>
        <v>402.4</v>
      </c>
      <c r="AU39" s="654">
        <f>(409.6*KFC!$B$12+KFC!$C$12)*KFC!$C$5</f>
        <v>409.6</v>
      </c>
      <c r="AV39" s="654">
        <f>(416.8*KFC!$B$12+KFC!$C$12)*KFC!$C$5</f>
        <v>416.8</v>
      </c>
      <c r="AW39" s="654">
        <f>(424*KFC!$B$12+KFC!$C$12)*KFC!$C$5</f>
        <v>424</v>
      </c>
    </row>
    <row r="40" spans="1:49" ht="14.4">
      <c r="A40" s="1277"/>
      <c r="B40" s="649">
        <v>3.7</v>
      </c>
      <c r="C40" s="654">
        <f>(93.5*KFC!$B$12+KFC!$C$12)*KFC!$C$5</f>
        <v>93.5</v>
      </c>
      <c r="D40" s="654">
        <f>(100.8*KFC!$B$12+KFC!$C$12)*KFC!$C$5</f>
        <v>100.8</v>
      </c>
      <c r="E40" s="654">
        <f>(108.1*KFC!$B$12+KFC!$C$12)*KFC!$C$5</f>
        <v>108.1</v>
      </c>
      <c r="F40" s="654">
        <f>(115.4*KFC!$B$12+KFC!$C$12)*KFC!$C$5</f>
        <v>115.4</v>
      </c>
      <c r="G40" s="654">
        <f>(122.7*KFC!$B$12+KFC!$C$12)*KFC!$C$5</f>
        <v>122.7</v>
      </c>
      <c r="H40" s="654">
        <f>(130.1*KFC!$B$12+KFC!$C$12)*KFC!$C$5</f>
        <v>130.1</v>
      </c>
      <c r="I40" s="654">
        <f>(137.4*KFC!$B$12+KFC!$C$12)*KFC!$C$5</f>
        <v>137.4</v>
      </c>
      <c r="J40" s="654">
        <f>(144.7*KFC!$B$12+KFC!$C$12)*KFC!$C$5</f>
        <v>144.69999999999999</v>
      </c>
      <c r="K40" s="654">
        <f>(152*KFC!$B$12+KFC!$C$12)*KFC!$C$5</f>
        <v>152</v>
      </c>
      <c r="L40" s="654">
        <f>(159.3*KFC!$B$12+KFC!$C$12)*KFC!$C$5</f>
        <v>159.30000000000001</v>
      </c>
      <c r="M40" s="654">
        <f>(166.6*KFC!$B$12+KFC!$C$12)*KFC!$C$5</f>
        <v>166.6</v>
      </c>
      <c r="N40" s="654">
        <f>(174*KFC!$B$12+KFC!$C$12)*KFC!$C$5</f>
        <v>174</v>
      </c>
      <c r="O40" s="654">
        <f>(181.3*KFC!$B$12+KFC!$C$12)*KFC!$C$5</f>
        <v>181.3</v>
      </c>
      <c r="P40" s="654">
        <f>(188.6*KFC!$B$12+KFC!$C$12)*KFC!$C$5</f>
        <v>188.6</v>
      </c>
      <c r="Q40" s="654">
        <f>(195.9*KFC!$B$12+KFC!$C$12)*KFC!$C$5</f>
        <v>195.9</v>
      </c>
      <c r="R40" s="654">
        <f>(203.2*KFC!$B$12+KFC!$C$12)*KFC!$C$5</f>
        <v>203.2</v>
      </c>
      <c r="S40" s="654">
        <f>(210.6*KFC!$B$12+KFC!$C$12)*KFC!$C$5</f>
        <v>210.6</v>
      </c>
      <c r="T40" s="654">
        <f>(217.9*KFC!$B$12+KFC!$C$12)*KFC!$C$5</f>
        <v>217.9</v>
      </c>
      <c r="U40" s="654">
        <f>(225.2*KFC!$B$12+KFC!$C$12)*KFC!$C$5</f>
        <v>225.2</v>
      </c>
      <c r="V40" s="654">
        <f>(232.5*KFC!$B$12+KFC!$C$12)*KFC!$C$5</f>
        <v>232.5</v>
      </c>
      <c r="W40" s="654">
        <f>(239.8*KFC!$B$12+KFC!$C$12)*KFC!$C$5</f>
        <v>239.8</v>
      </c>
      <c r="X40" s="654">
        <f>(247.2*KFC!$B$12+KFC!$C$12)*KFC!$C$5</f>
        <v>247.2</v>
      </c>
      <c r="Y40" s="654">
        <f>(254.5*KFC!$B$12+KFC!$C$12)*KFC!$C$5</f>
        <v>254.5</v>
      </c>
      <c r="Z40" s="654">
        <f>(261.8*KFC!$B$12+KFC!$C$12)*KFC!$C$5</f>
        <v>261.8</v>
      </c>
      <c r="AA40" s="654">
        <f>(269.1*KFC!$B$12+KFC!$C$12)*KFC!$C$5</f>
        <v>269.10000000000002</v>
      </c>
      <c r="AB40" s="654">
        <f>(276.4*KFC!$B$12+KFC!$C$12)*KFC!$C$5</f>
        <v>276.39999999999998</v>
      </c>
      <c r="AC40" s="654">
        <f>(283.7*KFC!$B$12+KFC!$C$12)*KFC!$C$5</f>
        <v>283.7</v>
      </c>
      <c r="AD40" s="654">
        <f>(291.1*KFC!$B$12+KFC!$C$12)*KFC!$C$5</f>
        <v>291.10000000000002</v>
      </c>
      <c r="AE40" s="654">
        <f>(298.4*KFC!$B$12+KFC!$C$12)*KFC!$C$5</f>
        <v>298.39999999999998</v>
      </c>
      <c r="AF40" s="654">
        <f>(305.7*KFC!$B$12+KFC!$C$12)*KFC!$C$5</f>
        <v>305.7</v>
      </c>
      <c r="AG40" s="654">
        <f>(313*KFC!$B$12+KFC!$C$12)*KFC!$C$5</f>
        <v>313</v>
      </c>
      <c r="AH40" s="654">
        <f>(320.3*KFC!$B$12+KFC!$C$12)*KFC!$C$5</f>
        <v>320.3</v>
      </c>
      <c r="AI40" s="654">
        <f>(327.6*KFC!$B$12+KFC!$C$12)*KFC!$C$5</f>
        <v>327.60000000000002</v>
      </c>
      <c r="AJ40" s="654">
        <f>(335*KFC!$B$12+KFC!$C$12)*KFC!$C$5</f>
        <v>335</v>
      </c>
      <c r="AK40" s="654">
        <f>(342.3*KFC!$B$12+KFC!$C$12)*KFC!$C$5</f>
        <v>342.3</v>
      </c>
      <c r="AL40" s="654">
        <f>(349.6*KFC!$B$12+KFC!$C$12)*KFC!$C$5</f>
        <v>349.6</v>
      </c>
      <c r="AM40" s="654">
        <f>(356.9*KFC!$B$12+KFC!$C$12)*KFC!$C$5</f>
        <v>356.9</v>
      </c>
      <c r="AN40" s="654">
        <f>(364.2*KFC!$B$12+KFC!$C$12)*KFC!$C$5</f>
        <v>364.2</v>
      </c>
      <c r="AO40" s="654">
        <f>(371.6*KFC!$B$12+KFC!$C$12)*KFC!$C$5</f>
        <v>371.6</v>
      </c>
      <c r="AP40" s="654">
        <f>(378.9*KFC!$B$12+KFC!$C$12)*KFC!$C$5</f>
        <v>378.9</v>
      </c>
      <c r="AQ40" s="654">
        <f>(386.2*KFC!$B$12+KFC!$C$12)*KFC!$C$5</f>
        <v>386.2</v>
      </c>
      <c r="AR40" s="654">
        <f>(393.5*KFC!$B$12+KFC!$C$12)*KFC!$C$5</f>
        <v>393.5</v>
      </c>
      <c r="AS40" s="654">
        <f>(400.8*KFC!$B$12+KFC!$C$12)*KFC!$C$5</f>
        <v>400.8</v>
      </c>
      <c r="AT40" s="654">
        <f>(408.1*KFC!$B$12+KFC!$C$12)*KFC!$C$5</f>
        <v>408.1</v>
      </c>
      <c r="AU40" s="654">
        <f>(415.5*KFC!$B$12+KFC!$C$12)*KFC!$C$5</f>
        <v>415.5</v>
      </c>
      <c r="AV40" s="654">
        <f>(422.8*KFC!$B$12+KFC!$C$12)*KFC!$C$5</f>
        <v>422.8</v>
      </c>
      <c r="AW40" s="654">
        <f>(430.1*KFC!$B$12+KFC!$C$12)*KFC!$C$5</f>
        <v>430.1</v>
      </c>
    </row>
    <row r="41" spans="1:49" ht="14.4">
      <c r="A41" s="1277"/>
      <c r="B41" s="649">
        <v>3.8</v>
      </c>
      <c r="C41" s="654">
        <f>(94.1*KFC!$B$12+KFC!$C$12)*KFC!$C$5</f>
        <v>94.1</v>
      </c>
      <c r="D41" s="654">
        <f>(101.6*KFC!$B$12+KFC!$C$12)*KFC!$C$5</f>
        <v>101.6</v>
      </c>
      <c r="E41" s="654">
        <f>(109*KFC!$B$12+KFC!$C$12)*KFC!$C$5</f>
        <v>109</v>
      </c>
      <c r="F41" s="654">
        <f>(116.4*KFC!$B$12+KFC!$C$12)*KFC!$C$5</f>
        <v>116.4</v>
      </c>
      <c r="G41" s="654">
        <f>(123.9*KFC!$B$12+KFC!$C$12)*KFC!$C$5</f>
        <v>123.9</v>
      </c>
      <c r="H41" s="654">
        <f>(131.3*KFC!$B$12+KFC!$C$12)*KFC!$C$5</f>
        <v>131.30000000000001</v>
      </c>
      <c r="I41" s="654">
        <f>(138.7*KFC!$B$12+KFC!$C$12)*KFC!$C$5</f>
        <v>138.69999999999999</v>
      </c>
      <c r="J41" s="654">
        <f>(146.2*KFC!$B$12+KFC!$C$12)*KFC!$C$5</f>
        <v>146.19999999999999</v>
      </c>
      <c r="K41" s="654">
        <f>(153.6*KFC!$B$12+KFC!$C$12)*KFC!$C$5</f>
        <v>153.6</v>
      </c>
      <c r="L41" s="654">
        <f>(161.1*KFC!$B$12+KFC!$C$12)*KFC!$C$5</f>
        <v>161.1</v>
      </c>
      <c r="M41" s="654">
        <f>(168.5*KFC!$B$12+KFC!$C$12)*KFC!$C$5</f>
        <v>168.5</v>
      </c>
      <c r="N41" s="654">
        <f>(175.9*KFC!$B$12+KFC!$C$12)*KFC!$C$5</f>
        <v>175.9</v>
      </c>
      <c r="O41" s="654">
        <f>(183.4*KFC!$B$12+KFC!$C$12)*KFC!$C$5</f>
        <v>183.4</v>
      </c>
      <c r="P41" s="654">
        <f>(190.8*KFC!$B$12+KFC!$C$12)*KFC!$C$5</f>
        <v>190.8</v>
      </c>
      <c r="Q41" s="654">
        <f>(198.2*KFC!$B$12+KFC!$C$12)*KFC!$C$5</f>
        <v>198.2</v>
      </c>
      <c r="R41" s="654">
        <f>(205.7*KFC!$B$12+KFC!$C$12)*KFC!$C$5</f>
        <v>205.7</v>
      </c>
      <c r="S41" s="654">
        <f>(213.1*KFC!$B$12+KFC!$C$12)*KFC!$C$5</f>
        <v>213.1</v>
      </c>
      <c r="T41" s="654">
        <f>(220.6*KFC!$B$12+KFC!$C$12)*KFC!$C$5</f>
        <v>220.6</v>
      </c>
      <c r="U41" s="654">
        <f>(228*KFC!$B$12+KFC!$C$12)*KFC!$C$5</f>
        <v>228</v>
      </c>
      <c r="V41" s="654">
        <f>(235.4*KFC!$B$12+KFC!$C$12)*KFC!$C$5</f>
        <v>235.4</v>
      </c>
      <c r="W41" s="654">
        <f>(242.9*KFC!$B$12+KFC!$C$12)*KFC!$C$5</f>
        <v>242.9</v>
      </c>
      <c r="X41" s="654">
        <f>(250.3*KFC!$B$12+KFC!$C$12)*KFC!$C$5</f>
        <v>250.3</v>
      </c>
      <c r="Y41" s="654">
        <f>(257.7*KFC!$B$12+KFC!$C$12)*KFC!$C$5</f>
        <v>257.7</v>
      </c>
      <c r="Z41" s="654">
        <f>(265.2*KFC!$B$12+KFC!$C$12)*KFC!$C$5</f>
        <v>265.2</v>
      </c>
      <c r="AA41" s="654">
        <f>(272.6*KFC!$B$12+KFC!$C$12)*KFC!$C$5</f>
        <v>272.60000000000002</v>
      </c>
      <c r="AB41" s="654">
        <f>(280.1*KFC!$B$12+KFC!$C$12)*KFC!$C$5</f>
        <v>280.10000000000002</v>
      </c>
      <c r="AC41" s="654">
        <f>(287.5*KFC!$B$12+KFC!$C$12)*KFC!$C$5</f>
        <v>287.5</v>
      </c>
      <c r="AD41" s="654">
        <f>(294.9*KFC!$B$12+KFC!$C$12)*KFC!$C$5</f>
        <v>294.89999999999998</v>
      </c>
      <c r="AE41" s="654">
        <f>(302.4*KFC!$B$12+KFC!$C$12)*KFC!$C$5</f>
        <v>302.39999999999998</v>
      </c>
      <c r="AF41" s="654">
        <f>(309.8*KFC!$B$12+KFC!$C$12)*KFC!$C$5</f>
        <v>309.8</v>
      </c>
      <c r="AG41" s="654">
        <f>(317.2*KFC!$B$12+KFC!$C$12)*KFC!$C$5</f>
        <v>317.2</v>
      </c>
      <c r="AH41" s="654">
        <f>(324.7*KFC!$B$12+KFC!$C$12)*KFC!$C$5</f>
        <v>324.7</v>
      </c>
      <c r="AI41" s="654">
        <f>(332.1*KFC!$B$12+KFC!$C$12)*KFC!$C$5</f>
        <v>332.1</v>
      </c>
      <c r="AJ41" s="654">
        <f>(339.5*KFC!$B$12+KFC!$C$12)*KFC!$C$5</f>
        <v>339.5</v>
      </c>
      <c r="AK41" s="654">
        <f>(347*KFC!$B$12+KFC!$C$12)*KFC!$C$5</f>
        <v>347</v>
      </c>
      <c r="AL41" s="654">
        <f>(354.4*KFC!$B$12+KFC!$C$12)*KFC!$C$5</f>
        <v>354.4</v>
      </c>
      <c r="AM41" s="654">
        <f>(361.9*KFC!$B$12+KFC!$C$12)*KFC!$C$5</f>
        <v>361.9</v>
      </c>
      <c r="AN41" s="654">
        <f>(369.3*KFC!$B$12+KFC!$C$12)*KFC!$C$5</f>
        <v>369.3</v>
      </c>
      <c r="AO41" s="654">
        <f>(376.7*KFC!$B$12+KFC!$C$12)*KFC!$C$5</f>
        <v>376.7</v>
      </c>
      <c r="AP41" s="654">
        <f>(384.2*KFC!$B$12+KFC!$C$12)*KFC!$C$5</f>
        <v>384.2</v>
      </c>
      <c r="AQ41" s="654">
        <f>(391.6*KFC!$B$12+KFC!$C$12)*KFC!$C$5</f>
        <v>391.6</v>
      </c>
      <c r="AR41" s="654">
        <f>(399*KFC!$B$12+KFC!$C$12)*KFC!$C$5</f>
        <v>399</v>
      </c>
      <c r="AS41" s="654">
        <f>(406.5*KFC!$B$12+KFC!$C$12)*KFC!$C$5</f>
        <v>406.5</v>
      </c>
      <c r="AT41" s="654">
        <f>(413.9*KFC!$B$12+KFC!$C$12)*KFC!$C$5</f>
        <v>413.9</v>
      </c>
      <c r="AU41" s="654">
        <f>(421.4*KFC!$B$12+KFC!$C$12)*KFC!$C$5</f>
        <v>421.4</v>
      </c>
      <c r="AV41" s="654">
        <f>(428.8*KFC!$B$12+KFC!$C$12)*KFC!$C$5</f>
        <v>428.8</v>
      </c>
      <c r="AW41" s="654">
        <f>(436.2*KFC!$B$12+KFC!$C$12)*KFC!$C$5</f>
        <v>436.2</v>
      </c>
    </row>
    <row r="42" spans="1:49" ht="14.4">
      <c r="A42" s="1277"/>
      <c r="B42" s="649">
        <v>3.9</v>
      </c>
      <c r="C42" s="654">
        <f>(94.8*KFC!$B$12+KFC!$C$12)*KFC!$C$5</f>
        <v>94.8</v>
      </c>
      <c r="D42" s="654">
        <f>(102.3*KFC!$B$12+KFC!$C$12)*KFC!$C$5</f>
        <v>102.3</v>
      </c>
      <c r="E42" s="654">
        <f>(109.9*KFC!$B$12+KFC!$C$12)*KFC!$C$5</f>
        <v>109.9</v>
      </c>
      <c r="F42" s="654">
        <f>(117.5*KFC!$B$12+KFC!$C$12)*KFC!$C$5</f>
        <v>117.5</v>
      </c>
      <c r="G42" s="654">
        <f>(125*KFC!$B$12+KFC!$C$12)*KFC!$C$5</f>
        <v>125</v>
      </c>
      <c r="H42" s="654">
        <f>(132.6*KFC!$B$12+KFC!$C$12)*KFC!$C$5</f>
        <v>132.6</v>
      </c>
      <c r="I42" s="654">
        <f>(140.1*KFC!$B$12+KFC!$C$12)*KFC!$C$5</f>
        <v>140.1</v>
      </c>
      <c r="J42" s="654">
        <f>(147.7*KFC!$B$12+KFC!$C$12)*KFC!$C$5</f>
        <v>147.69999999999999</v>
      </c>
      <c r="K42" s="654">
        <f>(155.2*KFC!$B$12+KFC!$C$12)*KFC!$C$5</f>
        <v>155.19999999999999</v>
      </c>
      <c r="L42" s="654">
        <f>(162.8*KFC!$B$12+KFC!$C$12)*KFC!$C$5</f>
        <v>162.80000000000001</v>
      </c>
      <c r="M42" s="654">
        <f>(170.3*KFC!$B$12+KFC!$C$12)*KFC!$C$5</f>
        <v>170.3</v>
      </c>
      <c r="N42" s="654">
        <f>(177.9*KFC!$B$12+KFC!$C$12)*KFC!$C$5</f>
        <v>177.9</v>
      </c>
      <c r="O42" s="654">
        <f>(185.5*KFC!$B$12+KFC!$C$12)*KFC!$C$5</f>
        <v>185.5</v>
      </c>
      <c r="P42" s="654">
        <f>(193*KFC!$B$12+KFC!$C$12)*KFC!$C$5</f>
        <v>193</v>
      </c>
      <c r="Q42" s="654">
        <f>(200.6*KFC!$B$12+KFC!$C$12)*KFC!$C$5</f>
        <v>200.6</v>
      </c>
      <c r="R42" s="654">
        <f>(208.1*KFC!$B$12+KFC!$C$12)*KFC!$C$5</f>
        <v>208.1</v>
      </c>
      <c r="S42" s="654">
        <f>(215.7*KFC!$B$12+KFC!$C$12)*KFC!$C$5</f>
        <v>215.7</v>
      </c>
      <c r="T42" s="654">
        <f>(223.2*KFC!$B$12+KFC!$C$12)*KFC!$C$5</f>
        <v>223.2</v>
      </c>
      <c r="U42" s="654">
        <f>(230.8*KFC!$B$12+KFC!$C$12)*KFC!$C$5</f>
        <v>230.8</v>
      </c>
      <c r="V42" s="654">
        <f>(238.4*KFC!$B$12+KFC!$C$12)*KFC!$C$5</f>
        <v>238.4</v>
      </c>
      <c r="W42" s="654">
        <f>(245.9*KFC!$B$12+KFC!$C$12)*KFC!$C$5</f>
        <v>245.9</v>
      </c>
      <c r="X42" s="654">
        <f>(253.5*KFC!$B$12+KFC!$C$12)*KFC!$C$5</f>
        <v>253.5</v>
      </c>
      <c r="Y42" s="654">
        <f>(261*KFC!$B$12+KFC!$C$12)*KFC!$C$5</f>
        <v>261</v>
      </c>
      <c r="Z42" s="654">
        <f>(268.6*KFC!$B$12+KFC!$C$12)*KFC!$C$5</f>
        <v>268.60000000000002</v>
      </c>
      <c r="AA42" s="654">
        <f>(276.1*KFC!$B$12+KFC!$C$12)*KFC!$C$5</f>
        <v>276.10000000000002</v>
      </c>
      <c r="AB42" s="654">
        <f>(283.7*KFC!$B$12+KFC!$C$12)*KFC!$C$5</f>
        <v>283.7</v>
      </c>
      <c r="AC42" s="654">
        <f>(291.2*KFC!$B$12+KFC!$C$12)*KFC!$C$5</f>
        <v>291.2</v>
      </c>
      <c r="AD42" s="654">
        <f>(298.8*KFC!$B$12+KFC!$C$12)*KFC!$C$5</f>
        <v>298.8</v>
      </c>
      <c r="AE42" s="654">
        <f>(306.4*KFC!$B$12+KFC!$C$12)*KFC!$C$5</f>
        <v>306.39999999999998</v>
      </c>
      <c r="AF42" s="654">
        <f>(313.9*KFC!$B$12+KFC!$C$12)*KFC!$C$5</f>
        <v>313.89999999999998</v>
      </c>
      <c r="AG42" s="654">
        <f>(321.5*KFC!$B$12+KFC!$C$12)*KFC!$C$5</f>
        <v>321.5</v>
      </c>
      <c r="AH42" s="654">
        <f>(329*KFC!$B$12+KFC!$C$12)*KFC!$C$5</f>
        <v>329</v>
      </c>
      <c r="AI42" s="654">
        <f>(336.6*KFC!$B$12+KFC!$C$12)*KFC!$C$5</f>
        <v>336.6</v>
      </c>
      <c r="AJ42" s="654">
        <f>(344.1*KFC!$B$12+KFC!$C$12)*KFC!$C$5</f>
        <v>344.1</v>
      </c>
      <c r="AK42" s="654">
        <f>(351.7*KFC!$B$12+KFC!$C$12)*KFC!$C$5</f>
        <v>351.7</v>
      </c>
      <c r="AL42" s="654">
        <f>(359.2*KFC!$B$12+KFC!$C$12)*KFC!$C$5</f>
        <v>359.2</v>
      </c>
      <c r="AM42" s="654">
        <f>(366.8*KFC!$B$12+KFC!$C$12)*KFC!$C$5</f>
        <v>366.8</v>
      </c>
      <c r="AN42" s="654">
        <f>(374.4*KFC!$B$12+KFC!$C$12)*KFC!$C$5</f>
        <v>374.4</v>
      </c>
      <c r="AO42" s="654">
        <f>(381.9*KFC!$B$12+KFC!$C$12)*KFC!$C$5</f>
        <v>381.9</v>
      </c>
      <c r="AP42" s="654">
        <f>(389.5*KFC!$B$12+KFC!$C$12)*KFC!$C$5</f>
        <v>389.5</v>
      </c>
      <c r="AQ42" s="654">
        <f>(397*KFC!$B$12+KFC!$C$12)*KFC!$C$5</f>
        <v>397</v>
      </c>
      <c r="AR42" s="654">
        <f>(404.6*KFC!$B$12+KFC!$C$12)*KFC!$C$5</f>
        <v>404.6</v>
      </c>
      <c r="AS42" s="654">
        <f>(412.1*KFC!$B$12+KFC!$C$12)*KFC!$C$5</f>
        <v>412.1</v>
      </c>
      <c r="AT42" s="654">
        <f>(419.7*KFC!$B$12+KFC!$C$12)*KFC!$C$5</f>
        <v>419.7</v>
      </c>
      <c r="AU42" s="654">
        <f>(427.3*KFC!$B$12+KFC!$C$12)*KFC!$C$5</f>
        <v>427.3</v>
      </c>
      <c r="AV42" s="654">
        <f>(434.8*KFC!$B$12+KFC!$C$12)*KFC!$C$5</f>
        <v>434.8</v>
      </c>
      <c r="AW42" s="654">
        <f>(442.4*KFC!$B$12+KFC!$C$12)*KFC!$C$5</f>
        <v>442.4</v>
      </c>
    </row>
    <row r="43" spans="1:49" ht="14.4">
      <c r="A43" s="1277"/>
      <c r="B43" s="649">
        <v>4</v>
      </c>
      <c r="C43" s="654">
        <f>(95.4*KFC!$B$12+KFC!$C$12)*KFC!$C$5</f>
        <v>95.4</v>
      </c>
      <c r="D43" s="654">
        <f>(103.1*KFC!$B$12+KFC!$C$12)*KFC!$C$5</f>
        <v>103.1</v>
      </c>
      <c r="E43" s="654">
        <f>(110.8*KFC!$B$12+KFC!$C$12)*KFC!$C$5</f>
        <v>110.8</v>
      </c>
      <c r="F43" s="654">
        <f>(118.5*KFC!$B$12+KFC!$C$12)*KFC!$C$5</f>
        <v>118.5</v>
      </c>
      <c r="G43" s="654">
        <f>(126.1*KFC!$B$12+KFC!$C$12)*KFC!$C$5</f>
        <v>126.1</v>
      </c>
      <c r="H43" s="654">
        <f>(133.8*KFC!$B$12+KFC!$C$12)*KFC!$C$5</f>
        <v>133.80000000000001</v>
      </c>
      <c r="I43" s="654">
        <f>(141.5*KFC!$B$12+KFC!$C$12)*KFC!$C$5</f>
        <v>141.5</v>
      </c>
      <c r="J43" s="654">
        <f>(149.2*KFC!$B$12+KFC!$C$12)*KFC!$C$5</f>
        <v>149.19999999999999</v>
      </c>
      <c r="K43" s="654">
        <f>(156.9*KFC!$B$12+KFC!$C$12)*KFC!$C$5</f>
        <v>156.9</v>
      </c>
      <c r="L43" s="654">
        <f>(164.5*KFC!$B$12+KFC!$C$12)*KFC!$C$5</f>
        <v>164.5</v>
      </c>
      <c r="M43" s="654">
        <f>(172.2*KFC!$B$12+KFC!$C$12)*KFC!$C$5</f>
        <v>172.2</v>
      </c>
      <c r="N43" s="654">
        <f>(179.9*KFC!$B$12+KFC!$C$12)*KFC!$C$5</f>
        <v>179.9</v>
      </c>
      <c r="O43" s="654">
        <f>(187.5*KFC!$B$12+KFC!$C$12)*KFC!$C$5</f>
        <v>187.5</v>
      </c>
      <c r="P43" s="654">
        <f>(195.2*KFC!$B$12+KFC!$C$12)*KFC!$C$5</f>
        <v>195.2</v>
      </c>
      <c r="Q43" s="654">
        <f>(202.9*KFC!$B$12+KFC!$C$12)*KFC!$C$5</f>
        <v>202.9</v>
      </c>
      <c r="R43" s="654">
        <f>(210.6*KFC!$B$12+KFC!$C$12)*KFC!$C$5</f>
        <v>210.6</v>
      </c>
      <c r="S43" s="654">
        <f>(218.3*KFC!$B$12+KFC!$C$12)*KFC!$C$5</f>
        <v>218.3</v>
      </c>
      <c r="T43" s="654">
        <f>(225.9*KFC!$B$12+KFC!$C$12)*KFC!$C$5</f>
        <v>225.9</v>
      </c>
      <c r="U43" s="654">
        <f>(233.6*KFC!$B$12+KFC!$C$12)*KFC!$C$5</f>
        <v>233.6</v>
      </c>
      <c r="V43" s="654">
        <f>(241.3*KFC!$B$12+KFC!$C$12)*KFC!$C$5</f>
        <v>241.3</v>
      </c>
      <c r="W43" s="654">
        <f>(248.9*KFC!$B$12+KFC!$C$12)*KFC!$C$5</f>
        <v>248.9</v>
      </c>
      <c r="X43" s="654">
        <f>(256.6*KFC!$B$12+KFC!$C$12)*KFC!$C$5</f>
        <v>256.60000000000002</v>
      </c>
      <c r="Y43" s="654">
        <f>(264.3*KFC!$B$12+KFC!$C$12)*KFC!$C$5</f>
        <v>264.3</v>
      </c>
      <c r="Z43" s="654">
        <f>(272*KFC!$B$12+KFC!$C$12)*KFC!$C$5</f>
        <v>272</v>
      </c>
      <c r="AA43" s="654">
        <f>(279.6*KFC!$B$12+KFC!$C$12)*KFC!$C$5</f>
        <v>279.60000000000002</v>
      </c>
      <c r="AB43" s="654">
        <f>(287.3*KFC!$B$12+KFC!$C$12)*KFC!$C$5</f>
        <v>287.3</v>
      </c>
      <c r="AC43" s="654">
        <f>(295*KFC!$B$12+KFC!$C$12)*KFC!$C$5</f>
        <v>295</v>
      </c>
      <c r="AD43" s="654">
        <f>(302.7*KFC!$B$12+KFC!$C$12)*KFC!$C$5</f>
        <v>302.7</v>
      </c>
      <c r="AE43" s="654">
        <f>(310.3*KFC!$B$12+KFC!$C$12)*KFC!$C$5</f>
        <v>310.3</v>
      </c>
      <c r="AF43" s="654">
        <f>(318*KFC!$B$12+KFC!$C$12)*KFC!$C$5</f>
        <v>318</v>
      </c>
      <c r="AG43" s="654">
        <f>(325.7*KFC!$B$12+KFC!$C$12)*KFC!$C$5</f>
        <v>325.7</v>
      </c>
      <c r="AH43" s="654">
        <f>(333.4*KFC!$B$12+KFC!$C$12)*KFC!$C$5</f>
        <v>333.4</v>
      </c>
      <c r="AI43" s="654">
        <f>(341*KFC!$B$12+KFC!$C$12)*KFC!$C$5</f>
        <v>341</v>
      </c>
      <c r="AJ43" s="654">
        <f>(348.7*KFC!$B$12+KFC!$C$12)*KFC!$C$5</f>
        <v>348.7</v>
      </c>
      <c r="AK43" s="654">
        <f>(356.4*KFC!$B$12+KFC!$C$12)*KFC!$C$5</f>
        <v>356.4</v>
      </c>
      <c r="AL43" s="654">
        <f>(364.1*KFC!$B$12+KFC!$C$12)*KFC!$C$5</f>
        <v>364.1</v>
      </c>
      <c r="AM43" s="654">
        <f>(371.7*KFC!$B$12+KFC!$C$12)*KFC!$C$5</f>
        <v>371.7</v>
      </c>
      <c r="AN43" s="654">
        <f>(379.4*KFC!$B$12+KFC!$C$12)*KFC!$C$5</f>
        <v>379.4</v>
      </c>
      <c r="AO43" s="654">
        <f>(387.1*KFC!$B$12+KFC!$C$12)*KFC!$C$5</f>
        <v>387.1</v>
      </c>
      <c r="AP43" s="654">
        <f>(394.8*KFC!$B$12+KFC!$C$12)*KFC!$C$5</f>
        <v>394.8</v>
      </c>
      <c r="AQ43" s="654">
        <f>(402.4*KFC!$B$12+KFC!$C$12)*KFC!$C$5</f>
        <v>402.4</v>
      </c>
      <c r="AR43" s="654">
        <f>(410.1*KFC!$B$12+KFC!$C$12)*KFC!$C$5</f>
        <v>410.1</v>
      </c>
      <c r="AS43" s="654">
        <f>(417.8*KFC!$B$12+KFC!$C$12)*KFC!$C$5</f>
        <v>417.8</v>
      </c>
      <c r="AT43" s="654">
        <f>(425.5*KFC!$B$12+KFC!$C$12)*KFC!$C$5</f>
        <v>425.5</v>
      </c>
      <c r="AU43" s="654">
        <f>(433.1*KFC!$B$12+KFC!$C$12)*KFC!$C$5</f>
        <v>433.1</v>
      </c>
      <c r="AV43" s="654">
        <f>(440.8*KFC!$B$12+KFC!$C$12)*KFC!$C$5</f>
        <v>440.8</v>
      </c>
      <c r="AW43" s="654">
        <f>(448.5*KFC!$B$12+KFC!$C$12)*KFC!$C$5</f>
        <v>448.5</v>
      </c>
    </row>
    <row r="44" spans="1:49" ht="14.4">
      <c r="A44" s="1277"/>
      <c r="B44" s="649">
        <v>4.0999999999999996</v>
      </c>
      <c r="C44" s="654">
        <f>(96.1*KFC!$B$12+KFC!$C$12)*KFC!$C$5</f>
        <v>96.1</v>
      </c>
      <c r="D44" s="654">
        <f>(103.9*KFC!$B$12+KFC!$C$12)*KFC!$C$5</f>
        <v>103.9</v>
      </c>
      <c r="E44" s="654">
        <f>(111.7*KFC!$B$12+KFC!$C$12)*KFC!$C$5</f>
        <v>111.7</v>
      </c>
      <c r="F44" s="654">
        <f>(119.5*KFC!$B$12+KFC!$C$12)*KFC!$C$5</f>
        <v>119.5</v>
      </c>
      <c r="G44" s="654">
        <f>(127.3*KFC!$B$12+KFC!$C$12)*KFC!$C$5</f>
        <v>127.3</v>
      </c>
      <c r="H44" s="654">
        <f>(135.1*KFC!$B$12+KFC!$C$12)*KFC!$C$5</f>
        <v>135.1</v>
      </c>
      <c r="I44" s="654">
        <f>(142.9*KFC!$B$12+KFC!$C$12)*KFC!$C$5</f>
        <v>142.9</v>
      </c>
      <c r="J44" s="654">
        <f>(150.7*KFC!$B$12+KFC!$C$12)*KFC!$C$5</f>
        <v>150.69999999999999</v>
      </c>
      <c r="K44" s="654">
        <f>(158.5*KFC!$B$12+KFC!$C$12)*KFC!$C$5</f>
        <v>158.5</v>
      </c>
      <c r="L44" s="654">
        <f>(166.3*KFC!$B$12+KFC!$C$12)*KFC!$C$5</f>
        <v>166.3</v>
      </c>
      <c r="M44" s="654">
        <f>(174*KFC!$B$12+KFC!$C$12)*KFC!$C$5</f>
        <v>174</v>
      </c>
      <c r="N44" s="654">
        <f>(181.8*KFC!$B$12+KFC!$C$12)*KFC!$C$5</f>
        <v>181.8</v>
      </c>
      <c r="O44" s="654">
        <f>(189.6*KFC!$B$12+KFC!$C$12)*KFC!$C$5</f>
        <v>189.6</v>
      </c>
      <c r="P44" s="654">
        <f>(197.4*KFC!$B$12+KFC!$C$12)*KFC!$C$5</f>
        <v>197.4</v>
      </c>
      <c r="Q44" s="654">
        <f>(205.2*KFC!$B$12+KFC!$C$12)*KFC!$C$5</f>
        <v>205.2</v>
      </c>
      <c r="R44" s="654">
        <f>(213*KFC!$B$12+KFC!$C$12)*KFC!$C$5</f>
        <v>213</v>
      </c>
      <c r="S44" s="654">
        <f>(220.8*KFC!$B$12+KFC!$C$12)*KFC!$C$5</f>
        <v>220.8</v>
      </c>
      <c r="T44" s="654">
        <f>(228.6*KFC!$B$12+KFC!$C$12)*KFC!$C$5</f>
        <v>228.6</v>
      </c>
      <c r="U44" s="654">
        <f>(236.4*KFC!$B$12+KFC!$C$12)*KFC!$C$5</f>
        <v>236.4</v>
      </c>
      <c r="V44" s="654">
        <f>(244.2*KFC!$B$12+KFC!$C$12)*KFC!$C$5</f>
        <v>244.2</v>
      </c>
      <c r="W44" s="654">
        <f>(252*KFC!$B$12+KFC!$C$12)*KFC!$C$5</f>
        <v>252</v>
      </c>
      <c r="X44" s="654">
        <f>(259.8*KFC!$B$12+KFC!$C$12)*KFC!$C$5</f>
        <v>259.8</v>
      </c>
      <c r="Y44" s="654">
        <f>(267.6*KFC!$B$12+KFC!$C$12)*KFC!$C$5</f>
        <v>267.60000000000002</v>
      </c>
      <c r="Z44" s="654">
        <f>(275.4*KFC!$B$12+KFC!$C$12)*KFC!$C$5</f>
        <v>275.39999999999998</v>
      </c>
      <c r="AA44" s="654">
        <f>(283.2*KFC!$B$12+KFC!$C$12)*KFC!$C$5</f>
        <v>283.2</v>
      </c>
      <c r="AB44" s="654">
        <f>(291*KFC!$B$12+KFC!$C$12)*KFC!$C$5</f>
        <v>291</v>
      </c>
      <c r="AC44" s="654">
        <f>(298.7*KFC!$B$12+KFC!$C$12)*KFC!$C$5</f>
        <v>298.7</v>
      </c>
      <c r="AD44" s="654">
        <f>(306.5*KFC!$B$12+KFC!$C$12)*KFC!$C$5</f>
        <v>306.5</v>
      </c>
      <c r="AE44" s="654">
        <f>(314.3*KFC!$B$12+KFC!$C$12)*KFC!$C$5</f>
        <v>314.3</v>
      </c>
      <c r="AF44" s="654">
        <f>(322.1*KFC!$B$12+KFC!$C$12)*KFC!$C$5</f>
        <v>322.10000000000002</v>
      </c>
      <c r="AG44" s="654">
        <f>(329.9*KFC!$B$12+KFC!$C$12)*KFC!$C$5</f>
        <v>329.9</v>
      </c>
      <c r="AH44" s="654">
        <f>(337.7*KFC!$B$12+KFC!$C$12)*KFC!$C$5</f>
        <v>337.7</v>
      </c>
      <c r="AI44" s="654">
        <f>(345.5*KFC!$B$12+KFC!$C$12)*KFC!$C$5</f>
        <v>345.5</v>
      </c>
      <c r="AJ44" s="654">
        <f>(353.3*KFC!$B$12+KFC!$C$12)*KFC!$C$5</f>
        <v>353.3</v>
      </c>
      <c r="AK44" s="654">
        <f>(361.1*KFC!$B$12+KFC!$C$12)*KFC!$C$5</f>
        <v>361.1</v>
      </c>
      <c r="AL44" s="654">
        <f>(368.9*KFC!$B$12+KFC!$C$12)*KFC!$C$5</f>
        <v>368.9</v>
      </c>
      <c r="AM44" s="654">
        <f>(376.7*KFC!$B$12+KFC!$C$12)*KFC!$C$5</f>
        <v>376.7</v>
      </c>
      <c r="AN44" s="654">
        <f>(384.5*KFC!$B$12+KFC!$C$12)*KFC!$C$5</f>
        <v>384.5</v>
      </c>
      <c r="AO44" s="654">
        <f>(392.3*KFC!$B$12+KFC!$C$12)*KFC!$C$5</f>
        <v>392.3</v>
      </c>
      <c r="AP44" s="654">
        <f>(400.1*KFC!$B$12+KFC!$C$12)*KFC!$C$5</f>
        <v>400.1</v>
      </c>
      <c r="AQ44" s="654">
        <f>(407.9*KFC!$B$12+KFC!$C$12)*KFC!$C$5</f>
        <v>407.9</v>
      </c>
      <c r="AR44" s="654">
        <f>(415.6*KFC!$B$12+KFC!$C$12)*KFC!$C$5</f>
        <v>415.6</v>
      </c>
      <c r="AS44" s="654">
        <f>(423.4*KFC!$B$12+KFC!$C$12)*KFC!$C$5</f>
        <v>423.4</v>
      </c>
      <c r="AT44" s="654">
        <f>(431.2*KFC!$B$12+KFC!$C$12)*KFC!$C$5</f>
        <v>431.2</v>
      </c>
      <c r="AU44" s="654">
        <f>(439*KFC!$B$12+KFC!$C$12)*KFC!$C$5</f>
        <v>439</v>
      </c>
      <c r="AV44" s="654">
        <f>(446.8*KFC!$B$12+KFC!$C$12)*KFC!$C$5</f>
        <v>446.8</v>
      </c>
      <c r="AW44" s="654">
        <f>(454.6*KFC!$B$12+KFC!$C$12)*KFC!$C$5</f>
        <v>454.6</v>
      </c>
    </row>
    <row r="45" spans="1:49" ht="14.4">
      <c r="A45" s="1277"/>
      <c r="B45" s="649">
        <v>4.2</v>
      </c>
      <c r="C45" s="654">
        <f>(96.8*KFC!$B$12+KFC!$C$12)*KFC!$C$5</f>
        <v>96.8</v>
      </c>
      <c r="D45" s="654">
        <f>(104.7*KFC!$B$12+KFC!$C$12)*KFC!$C$5</f>
        <v>104.7</v>
      </c>
      <c r="E45" s="654">
        <f>(112.6*KFC!$B$12+KFC!$C$12)*KFC!$C$5</f>
        <v>112.6</v>
      </c>
      <c r="F45" s="654">
        <f>(120.5*KFC!$B$12+KFC!$C$12)*KFC!$C$5</f>
        <v>120.5</v>
      </c>
      <c r="G45" s="654">
        <f>(128.4*KFC!$B$12+KFC!$C$12)*KFC!$C$5</f>
        <v>128.4</v>
      </c>
      <c r="H45" s="654">
        <f>(136.3*KFC!$B$12+KFC!$C$12)*KFC!$C$5</f>
        <v>136.30000000000001</v>
      </c>
      <c r="I45" s="654">
        <f>(144.2*KFC!$B$12+KFC!$C$12)*KFC!$C$5</f>
        <v>144.19999999999999</v>
      </c>
      <c r="J45" s="654">
        <f>(152.2*KFC!$B$12+KFC!$C$12)*KFC!$C$5</f>
        <v>152.19999999999999</v>
      </c>
      <c r="K45" s="654">
        <f>(160.1*KFC!$B$12+KFC!$C$12)*KFC!$C$5</f>
        <v>160.1</v>
      </c>
      <c r="L45" s="654">
        <f>(168*KFC!$B$12+KFC!$C$12)*KFC!$C$5</f>
        <v>168</v>
      </c>
      <c r="M45" s="654">
        <f>(175.9*KFC!$B$12+KFC!$C$12)*KFC!$C$5</f>
        <v>175.9</v>
      </c>
      <c r="N45" s="654">
        <f>(183.8*KFC!$B$12+KFC!$C$12)*KFC!$C$5</f>
        <v>183.8</v>
      </c>
      <c r="O45" s="654">
        <f>(191.7*KFC!$B$12+KFC!$C$12)*KFC!$C$5</f>
        <v>191.7</v>
      </c>
      <c r="P45" s="654">
        <f>(199.6*KFC!$B$12+KFC!$C$12)*KFC!$C$5</f>
        <v>199.6</v>
      </c>
      <c r="Q45" s="654">
        <f>(207.5*KFC!$B$12+KFC!$C$12)*KFC!$C$5</f>
        <v>207.5</v>
      </c>
      <c r="R45" s="654">
        <f>(215.5*KFC!$B$12+KFC!$C$12)*KFC!$C$5</f>
        <v>215.5</v>
      </c>
      <c r="S45" s="654">
        <f>(223.4*KFC!$B$12+KFC!$C$12)*KFC!$C$5</f>
        <v>223.4</v>
      </c>
      <c r="T45" s="654">
        <f>(231.3*KFC!$B$12+KFC!$C$12)*KFC!$C$5</f>
        <v>231.3</v>
      </c>
      <c r="U45" s="654">
        <f>(239.2*KFC!$B$12+KFC!$C$12)*KFC!$C$5</f>
        <v>239.2</v>
      </c>
      <c r="V45" s="654">
        <f>(247.1*KFC!$B$12+KFC!$C$12)*KFC!$C$5</f>
        <v>247.1</v>
      </c>
      <c r="W45" s="654">
        <f>(255*KFC!$B$12+KFC!$C$12)*KFC!$C$5</f>
        <v>255</v>
      </c>
      <c r="X45" s="654">
        <f>(262.9*KFC!$B$12+KFC!$C$12)*KFC!$C$5</f>
        <v>262.89999999999998</v>
      </c>
      <c r="Y45" s="654">
        <f>(270.9*KFC!$B$12+KFC!$C$12)*KFC!$C$5</f>
        <v>270.89999999999998</v>
      </c>
      <c r="Z45" s="654">
        <f>(278.8*KFC!$B$12+KFC!$C$12)*KFC!$C$5</f>
        <v>278.8</v>
      </c>
      <c r="AA45" s="654">
        <f>(286.7*KFC!$B$12+KFC!$C$12)*KFC!$C$5</f>
        <v>286.7</v>
      </c>
      <c r="AB45" s="654">
        <f>(294.6*KFC!$B$12+KFC!$C$12)*KFC!$C$5</f>
        <v>294.60000000000002</v>
      </c>
      <c r="AC45" s="654">
        <f>(302.5*KFC!$B$12+KFC!$C$12)*KFC!$C$5</f>
        <v>302.5</v>
      </c>
      <c r="AD45" s="654">
        <f>(310.4*KFC!$B$12+KFC!$C$12)*KFC!$C$5</f>
        <v>310.39999999999998</v>
      </c>
      <c r="AE45" s="654">
        <f>(318.3*KFC!$B$12+KFC!$C$12)*KFC!$C$5</f>
        <v>318.3</v>
      </c>
      <c r="AF45" s="654">
        <f>(326.2*KFC!$B$12+KFC!$C$12)*KFC!$C$5</f>
        <v>326.2</v>
      </c>
      <c r="AG45" s="654">
        <f>(334.1*KFC!$B$12+KFC!$C$12)*KFC!$C$5</f>
        <v>334.1</v>
      </c>
      <c r="AH45" s="654">
        <f>(342.1*KFC!$B$12+KFC!$C$12)*KFC!$C$5</f>
        <v>342.1</v>
      </c>
      <c r="AI45" s="654">
        <f>(350*KFC!$B$12+KFC!$C$12)*KFC!$C$5</f>
        <v>350</v>
      </c>
      <c r="AJ45" s="654">
        <f>(357.9*KFC!$B$12+KFC!$C$12)*KFC!$C$5</f>
        <v>357.9</v>
      </c>
      <c r="AK45" s="654">
        <f>(365.8*KFC!$B$12+KFC!$C$12)*KFC!$C$5</f>
        <v>365.8</v>
      </c>
      <c r="AL45" s="654">
        <f>(373.7*KFC!$B$12+KFC!$C$12)*KFC!$C$5</f>
        <v>373.7</v>
      </c>
      <c r="AM45" s="654">
        <f>(381.6*KFC!$B$12+KFC!$C$12)*KFC!$C$5</f>
        <v>381.6</v>
      </c>
      <c r="AN45" s="654">
        <f>(389.5*KFC!$B$12+KFC!$C$12)*KFC!$C$5</f>
        <v>389.5</v>
      </c>
      <c r="AO45" s="654">
        <f>(397.4*KFC!$B$12+KFC!$C$12)*KFC!$C$5</f>
        <v>397.4</v>
      </c>
      <c r="AP45" s="654">
        <f>(405.4*KFC!$B$12+KFC!$C$12)*KFC!$C$5</f>
        <v>405.4</v>
      </c>
      <c r="AQ45" s="654">
        <f>(413.3*KFC!$B$12+KFC!$C$12)*KFC!$C$5</f>
        <v>413.3</v>
      </c>
      <c r="AR45" s="654">
        <f>(421.2*KFC!$B$12+KFC!$C$12)*KFC!$C$5</f>
        <v>421.2</v>
      </c>
      <c r="AS45" s="654">
        <f>(429.1*KFC!$B$12+KFC!$C$12)*KFC!$C$5</f>
        <v>429.1</v>
      </c>
      <c r="AT45" s="654">
        <f>(437*KFC!$B$12+KFC!$C$12)*KFC!$C$5</f>
        <v>437</v>
      </c>
      <c r="AU45" s="654">
        <f>(444.9*KFC!$B$12+KFC!$C$12)*KFC!$C$5</f>
        <v>444.9</v>
      </c>
      <c r="AV45" s="654">
        <f>(452.8*KFC!$B$12+KFC!$C$12)*KFC!$C$5</f>
        <v>452.8</v>
      </c>
      <c r="AW45" s="654">
        <f>(460.7*KFC!$B$12+KFC!$C$12)*KFC!$C$5</f>
        <v>460.7</v>
      </c>
    </row>
    <row r="46" spans="1:49" ht="14.4">
      <c r="A46" s="1277"/>
      <c r="B46" s="649">
        <v>4.3</v>
      </c>
      <c r="C46" s="654">
        <f>(97.4*KFC!$B$12+KFC!$C$12)*KFC!$C$5</f>
        <v>97.4</v>
      </c>
      <c r="D46" s="654">
        <f>(105.5*KFC!$B$12+KFC!$C$12)*KFC!$C$5</f>
        <v>105.5</v>
      </c>
      <c r="E46" s="654">
        <f>(113.5*KFC!$B$12+KFC!$C$12)*KFC!$C$5</f>
        <v>113.5</v>
      </c>
      <c r="F46" s="654">
        <f>(121.5*KFC!$B$12+KFC!$C$12)*KFC!$C$5</f>
        <v>121.5</v>
      </c>
      <c r="G46" s="654">
        <f>(129.6*KFC!$B$12+KFC!$C$12)*KFC!$C$5</f>
        <v>129.6</v>
      </c>
      <c r="H46" s="654">
        <f>(137.6*KFC!$B$12+KFC!$C$12)*KFC!$C$5</f>
        <v>137.6</v>
      </c>
      <c r="I46" s="654">
        <f>(145.6*KFC!$B$12+KFC!$C$12)*KFC!$C$5</f>
        <v>145.6</v>
      </c>
      <c r="J46" s="654">
        <f>(153.6*KFC!$B$12+KFC!$C$12)*KFC!$C$5</f>
        <v>153.6</v>
      </c>
      <c r="K46" s="654">
        <f>(161.7*KFC!$B$12+KFC!$C$12)*KFC!$C$5</f>
        <v>161.69999999999999</v>
      </c>
      <c r="L46" s="654">
        <f>(169.7*KFC!$B$12+KFC!$C$12)*KFC!$C$5</f>
        <v>169.7</v>
      </c>
      <c r="M46" s="654">
        <f>(177.7*KFC!$B$12+KFC!$C$12)*KFC!$C$5</f>
        <v>177.7</v>
      </c>
      <c r="N46" s="654">
        <f>(185.8*KFC!$B$12+KFC!$C$12)*KFC!$C$5</f>
        <v>185.8</v>
      </c>
      <c r="O46" s="654">
        <f>(193.8*KFC!$B$12+KFC!$C$12)*KFC!$C$5</f>
        <v>193.8</v>
      </c>
      <c r="P46" s="654">
        <f>(201.8*KFC!$B$12+KFC!$C$12)*KFC!$C$5</f>
        <v>201.8</v>
      </c>
      <c r="Q46" s="654">
        <f>(209.9*KFC!$B$12+KFC!$C$12)*KFC!$C$5</f>
        <v>209.9</v>
      </c>
      <c r="R46" s="654">
        <f>(217.9*KFC!$B$12+KFC!$C$12)*KFC!$C$5</f>
        <v>217.9</v>
      </c>
      <c r="S46" s="654">
        <f>(225.9*KFC!$B$12+KFC!$C$12)*KFC!$C$5</f>
        <v>225.9</v>
      </c>
      <c r="T46" s="654">
        <f>(234*KFC!$B$12+KFC!$C$12)*KFC!$C$5</f>
        <v>234</v>
      </c>
      <c r="U46" s="654">
        <f>(242*KFC!$B$12+KFC!$C$12)*KFC!$C$5</f>
        <v>242</v>
      </c>
      <c r="V46" s="654">
        <f>(250*KFC!$B$12+KFC!$C$12)*KFC!$C$5</f>
        <v>250</v>
      </c>
      <c r="W46" s="654">
        <f>(258.1*KFC!$B$12+KFC!$C$12)*KFC!$C$5</f>
        <v>258.10000000000002</v>
      </c>
      <c r="X46" s="654">
        <f>(266.1*KFC!$B$12+KFC!$C$12)*KFC!$C$5</f>
        <v>266.10000000000002</v>
      </c>
      <c r="Y46" s="654">
        <f>(274.1*KFC!$B$12+KFC!$C$12)*KFC!$C$5</f>
        <v>274.10000000000002</v>
      </c>
      <c r="Z46" s="654">
        <f>(282.1*KFC!$B$12+KFC!$C$12)*KFC!$C$5</f>
        <v>282.10000000000002</v>
      </c>
      <c r="AA46" s="654">
        <f>(290.2*KFC!$B$12+KFC!$C$12)*KFC!$C$5</f>
        <v>290.2</v>
      </c>
      <c r="AB46" s="654">
        <f>(298.2*KFC!$B$12+KFC!$C$12)*KFC!$C$5</f>
        <v>298.2</v>
      </c>
      <c r="AC46" s="654">
        <f>(306.3*KFC!$B$12+KFC!$C$12)*KFC!$C$5</f>
        <v>306.3</v>
      </c>
      <c r="AD46" s="654">
        <f>(314.3*KFC!$B$12+KFC!$C$12)*KFC!$C$5</f>
        <v>314.3</v>
      </c>
      <c r="AE46" s="654">
        <f>(322.3*KFC!$B$12+KFC!$C$12)*KFC!$C$5</f>
        <v>322.3</v>
      </c>
      <c r="AF46" s="654">
        <f>(330.3*KFC!$B$12+KFC!$C$12)*KFC!$C$5</f>
        <v>330.3</v>
      </c>
      <c r="AG46" s="654">
        <f>(338.4*KFC!$B$12+KFC!$C$12)*KFC!$C$5</f>
        <v>338.4</v>
      </c>
      <c r="AH46" s="654">
        <f>(346.4*KFC!$B$12+KFC!$C$12)*KFC!$C$5</f>
        <v>346.4</v>
      </c>
      <c r="AI46" s="654">
        <f>(354.4*KFC!$B$12+KFC!$C$12)*KFC!$C$5</f>
        <v>354.4</v>
      </c>
      <c r="AJ46" s="654">
        <f>(362.5*KFC!$B$12+KFC!$C$12)*KFC!$C$5</f>
        <v>362.5</v>
      </c>
      <c r="AK46" s="654">
        <f>(370.5*KFC!$B$12+KFC!$C$12)*KFC!$C$5</f>
        <v>370.5</v>
      </c>
      <c r="AL46" s="654">
        <f>(378.5*KFC!$B$12+KFC!$C$12)*KFC!$C$5</f>
        <v>378.5</v>
      </c>
      <c r="AM46" s="654">
        <f>(386.6*KFC!$B$12+KFC!$C$12)*KFC!$C$5</f>
        <v>386.6</v>
      </c>
      <c r="AN46" s="654">
        <f>(394.6*KFC!$B$12+KFC!$C$12)*KFC!$C$5</f>
        <v>394.6</v>
      </c>
      <c r="AO46" s="654">
        <f>(402.6*KFC!$B$12+KFC!$C$12)*KFC!$C$5</f>
        <v>402.6</v>
      </c>
      <c r="AP46" s="654">
        <f>(410.7*KFC!$B$12+KFC!$C$12)*KFC!$C$5</f>
        <v>410.7</v>
      </c>
      <c r="AQ46" s="654">
        <f>(418.7*KFC!$B$12+KFC!$C$12)*KFC!$C$5</f>
        <v>418.7</v>
      </c>
      <c r="AR46" s="654">
        <f>(426.7*KFC!$B$12+KFC!$C$12)*KFC!$C$5</f>
        <v>426.7</v>
      </c>
      <c r="AS46" s="654">
        <f>(434.8*KFC!$B$12+KFC!$C$12)*KFC!$C$5</f>
        <v>434.8</v>
      </c>
      <c r="AT46" s="654">
        <f>(442.8*KFC!$B$12+KFC!$C$12)*KFC!$C$5</f>
        <v>442.8</v>
      </c>
      <c r="AU46" s="654">
        <f>(450.8*KFC!$B$12+KFC!$C$12)*KFC!$C$5</f>
        <v>450.8</v>
      </c>
      <c r="AV46" s="654">
        <f>(458.8*KFC!$B$12+KFC!$C$12)*KFC!$C$5</f>
        <v>458.8</v>
      </c>
      <c r="AW46" s="654">
        <f>(466.9*KFC!$B$12+KFC!$C$12)*KFC!$C$5</f>
        <v>466.9</v>
      </c>
    </row>
    <row r="47" spans="1:49" ht="14.4">
      <c r="A47" s="1277"/>
      <c r="B47" s="649">
        <v>4.4000000000000004</v>
      </c>
      <c r="C47" s="654">
        <f>(98.1*KFC!$B$12+KFC!$C$12)*KFC!$C$5</f>
        <v>98.1</v>
      </c>
      <c r="D47" s="654">
        <f>(106.2*KFC!$B$12+KFC!$C$12)*KFC!$C$5</f>
        <v>106.2</v>
      </c>
      <c r="E47" s="654">
        <f>(114.4*KFC!$B$12+KFC!$C$12)*KFC!$C$5</f>
        <v>114.4</v>
      </c>
      <c r="F47" s="654">
        <f>(122.5*KFC!$B$12+KFC!$C$12)*KFC!$C$5</f>
        <v>122.5</v>
      </c>
      <c r="G47" s="654">
        <f>(130.7*KFC!$B$12+KFC!$C$12)*KFC!$C$5</f>
        <v>130.69999999999999</v>
      </c>
      <c r="H47" s="654">
        <f>(138.8*KFC!$B$12+KFC!$C$12)*KFC!$C$5</f>
        <v>138.80000000000001</v>
      </c>
      <c r="I47" s="654">
        <f>(147*KFC!$B$12+KFC!$C$12)*KFC!$C$5</f>
        <v>147</v>
      </c>
      <c r="J47" s="654">
        <f>(155.1*KFC!$B$12+KFC!$C$12)*KFC!$C$5</f>
        <v>155.1</v>
      </c>
      <c r="K47" s="654">
        <f>(163.3*KFC!$B$12+KFC!$C$12)*KFC!$C$5</f>
        <v>163.30000000000001</v>
      </c>
      <c r="L47" s="654">
        <f>(171.4*KFC!$B$12+KFC!$C$12)*KFC!$C$5</f>
        <v>171.4</v>
      </c>
      <c r="M47" s="654">
        <f>(179.6*KFC!$B$12+KFC!$C$12)*KFC!$C$5</f>
        <v>179.6</v>
      </c>
      <c r="N47" s="654">
        <f>(187.7*KFC!$B$12+KFC!$C$12)*KFC!$C$5</f>
        <v>187.7</v>
      </c>
      <c r="O47" s="654">
        <f>(195.9*KFC!$B$12+KFC!$C$12)*KFC!$C$5</f>
        <v>195.9</v>
      </c>
      <c r="P47" s="654">
        <f>(204*KFC!$B$12+KFC!$C$12)*KFC!$C$5</f>
        <v>204</v>
      </c>
      <c r="Q47" s="654">
        <f>(212.2*KFC!$B$12+KFC!$C$12)*KFC!$C$5</f>
        <v>212.2</v>
      </c>
      <c r="R47" s="654">
        <f>(220.3*KFC!$B$12+KFC!$C$12)*KFC!$C$5</f>
        <v>220.3</v>
      </c>
      <c r="S47" s="654">
        <f>(228.5*KFC!$B$12+KFC!$C$12)*KFC!$C$5</f>
        <v>228.5</v>
      </c>
      <c r="T47" s="654">
        <f>(236.6*KFC!$B$12+KFC!$C$12)*KFC!$C$5</f>
        <v>236.6</v>
      </c>
      <c r="U47" s="654">
        <f>(244.8*KFC!$B$12+KFC!$C$12)*KFC!$C$5</f>
        <v>244.8</v>
      </c>
      <c r="V47" s="654">
        <f>(252.9*KFC!$B$12+KFC!$C$12)*KFC!$C$5</f>
        <v>252.9</v>
      </c>
      <c r="W47" s="654">
        <f>(261.1*KFC!$B$12+KFC!$C$12)*KFC!$C$5</f>
        <v>261.10000000000002</v>
      </c>
      <c r="X47" s="654">
        <f>(269.2*KFC!$B$12+KFC!$C$12)*KFC!$C$5</f>
        <v>269.2</v>
      </c>
      <c r="Y47" s="654">
        <f>(277.4*KFC!$B$12+KFC!$C$12)*KFC!$C$5</f>
        <v>277.39999999999998</v>
      </c>
      <c r="Z47" s="654">
        <f>(285.5*KFC!$B$12+KFC!$C$12)*KFC!$C$5</f>
        <v>285.5</v>
      </c>
      <c r="AA47" s="654">
        <f>(293.7*KFC!$B$12+KFC!$C$12)*KFC!$C$5</f>
        <v>293.7</v>
      </c>
      <c r="AB47" s="654">
        <f>(301.8*KFC!$B$12+KFC!$C$12)*KFC!$C$5</f>
        <v>301.8</v>
      </c>
      <c r="AC47" s="654">
        <f>(310*KFC!$B$12+KFC!$C$12)*KFC!$C$5</f>
        <v>310</v>
      </c>
      <c r="AD47" s="654">
        <f>(318.2*KFC!$B$12+KFC!$C$12)*KFC!$C$5</f>
        <v>318.2</v>
      </c>
      <c r="AE47" s="654">
        <f>(326.3*KFC!$B$12+KFC!$C$12)*KFC!$C$5</f>
        <v>326.3</v>
      </c>
      <c r="AF47" s="654">
        <f>(334.4*KFC!$B$12+KFC!$C$12)*KFC!$C$5</f>
        <v>334.4</v>
      </c>
      <c r="AG47" s="654">
        <f>(342.6*KFC!$B$12+KFC!$C$12)*KFC!$C$5</f>
        <v>342.6</v>
      </c>
      <c r="AH47" s="654">
        <f>(350.7*KFC!$B$12+KFC!$C$12)*KFC!$C$5</f>
        <v>350.7</v>
      </c>
      <c r="AI47" s="654">
        <f>(358.9*KFC!$B$12+KFC!$C$12)*KFC!$C$5</f>
        <v>358.9</v>
      </c>
      <c r="AJ47" s="654">
        <f>(367*KFC!$B$12+KFC!$C$12)*KFC!$C$5</f>
        <v>367</v>
      </c>
      <c r="AK47" s="654">
        <f>(375.2*KFC!$B$12+KFC!$C$12)*KFC!$C$5</f>
        <v>375.2</v>
      </c>
      <c r="AL47" s="654">
        <f>(383.3*KFC!$B$12+KFC!$C$12)*KFC!$C$5</f>
        <v>383.3</v>
      </c>
      <c r="AM47" s="654">
        <f>(391.5*KFC!$B$12+KFC!$C$12)*KFC!$C$5</f>
        <v>391.5</v>
      </c>
      <c r="AN47" s="654">
        <f>(399.7*KFC!$B$12+KFC!$C$12)*KFC!$C$5</f>
        <v>399.7</v>
      </c>
      <c r="AO47" s="654">
        <f>(407.8*KFC!$B$12+KFC!$C$12)*KFC!$C$5</f>
        <v>407.8</v>
      </c>
      <c r="AP47" s="654">
        <f>(415.9*KFC!$B$12+KFC!$C$12)*KFC!$C$5</f>
        <v>415.9</v>
      </c>
      <c r="AQ47" s="654">
        <f>(424.1*KFC!$B$12+KFC!$C$12)*KFC!$C$5</f>
        <v>424.1</v>
      </c>
      <c r="AR47" s="654">
        <f>(432.3*KFC!$B$12+KFC!$C$12)*KFC!$C$5</f>
        <v>432.3</v>
      </c>
      <c r="AS47" s="654">
        <f>(440.4*KFC!$B$12+KFC!$C$12)*KFC!$C$5</f>
        <v>440.4</v>
      </c>
      <c r="AT47" s="654">
        <f>(448.5*KFC!$B$12+KFC!$C$12)*KFC!$C$5</f>
        <v>448.5</v>
      </c>
      <c r="AU47" s="654">
        <f>(456.7*KFC!$B$12+KFC!$C$12)*KFC!$C$5</f>
        <v>456.7</v>
      </c>
      <c r="AV47" s="654">
        <f>(464.9*KFC!$B$12+KFC!$C$12)*KFC!$C$5</f>
        <v>464.9</v>
      </c>
      <c r="AW47" s="654">
        <f>(473*KFC!$B$12+KFC!$C$12)*KFC!$C$5</f>
        <v>473</v>
      </c>
    </row>
    <row r="48" spans="1:49" ht="14.4">
      <c r="A48" s="1277"/>
      <c r="B48" s="649">
        <v>4.5</v>
      </c>
      <c r="C48" s="654">
        <f>(98.7*KFC!$B$12+KFC!$C$12)*KFC!$C$5</f>
        <v>98.7</v>
      </c>
      <c r="D48" s="654">
        <f>(107*KFC!$B$12+KFC!$C$12)*KFC!$C$5</f>
        <v>107</v>
      </c>
      <c r="E48" s="654">
        <f>(115.3*KFC!$B$12+KFC!$C$12)*KFC!$C$5</f>
        <v>115.3</v>
      </c>
      <c r="F48" s="654">
        <f>(123.6*KFC!$B$12+KFC!$C$12)*KFC!$C$5</f>
        <v>123.6</v>
      </c>
      <c r="G48" s="654">
        <f>(131.8*KFC!$B$12+KFC!$C$12)*KFC!$C$5</f>
        <v>131.80000000000001</v>
      </c>
      <c r="H48" s="654">
        <f>(140.1*KFC!$B$12+KFC!$C$12)*KFC!$C$5</f>
        <v>140.1</v>
      </c>
      <c r="I48" s="654">
        <f>(148.4*KFC!$B$12+KFC!$C$12)*KFC!$C$5</f>
        <v>148.4</v>
      </c>
      <c r="J48" s="654">
        <f>(156.6*KFC!$B$12+KFC!$C$12)*KFC!$C$5</f>
        <v>156.6</v>
      </c>
      <c r="K48" s="654">
        <f>(164.9*KFC!$B$12+KFC!$C$12)*KFC!$C$5</f>
        <v>164.9</v>
      </c>
      <c r="L48" s="654">
        <f>(173.2*KFC!$B$12+KFC!$C$12)*KFC!$C$5</f>
        <v>173.2</v>
      </c>
      <c r="M48" s="654">
        <f>(181.4*KFC!$B$12+KFC!$C$12)*KFC!$C$5</f>
        <v>181.4</v>
      </c>
      <c r="N48" s="654">
        <f>(189.7*KFC!$B$12+KFC!$C$12)*KFC!$C$5</f>
        <v>189.7</v>
      </c>
      <c r="O48" s="654">
        <f>(198*KFC!$B$12+KFC!$C$12)*KFC!$C$5</f>
        <v>198</v>
      </c>
      <c r="P48" s="654">
        <f>(206.2*KFC!$B$12+KFC!$C$12)*KFC!$C$5</f>
        <v>206.2</v>
      </c>
      <c r="Q48" s="654">
        <f>(214.5*KFC!$B$12+KFC!$C$12)*KFC!$C$5</f>
        <v>214.5</v>
      </c>
      <c r="R48" s="654">
        <f>(222.8*KFC!$B$12+KFC!$C$12)*KFC!$C$5</f>
        <v>222.8</v>
      </c>
      <c r="S48" s="654">
        <f>(231.1*KFC!$B$12+KFC!$C$12)*KFC!$C$5</f>
        <v>231.1</v>
      </c>
      <c r="T48" s="654">
        <f>(239.3*KFC!$B$12+KFC!$C$12)*KFC!$C$5</f>
        <v>239.3</v>
      </c>
      <c r="U48" s="654">
        <f>(247.6*KFC!$B$12+KFC!$C$12)*KFC!$C$5</f>
        <v>247.6</v>
      </c>
      <c r="V48" s="654">
        <f>(255.9*KFC!$B$12+KFC!$C$12)*KFC!$C$5</f>
        <v>255.9</v>
      </c>
      <c r="W48" s="654">
        <f>(264.1*KFC!$B$12+KFC!$C$12)*KFC!$C$5</f>
        <v>264.10000000000002</v>
      </c>
      <c r="X48" s="654">
        <f>(272.4*KFC!$B$12+KFC!$C$12)*KFC!$C$5</f>
        <v>272.39999999999998</v>
      </c>
      <c r="Y48" s="654">
        <f>(280.7*KFC!$B$12+KFC!$C$12)*KFC!$C$5</f>
        <v>280.7</v>
      </c>
      <c r="Z48" s="654">
        <f>(288.9*KFC!$B$12+KFC!$C$12)*KFC!$C$5</f>
        <v>288.89999999999998</v>
      </c>
      <c r="AA48" s="654">
        <f>(297.2*KFC!$B$12+KFC!$C$12)*KFC!$C$5</f>
        <v>297.2</v>
      </c>
      <c r="AB48" s="654">
        <f>(305.5*KFC!$B$12+KFC!$C$12)*KFC!$C$5</f>
        <v>305.5</v>
      </c>
      <c r="AC48" s="654">
        <f>(313.7*KFC!$B$12+KFC!$C$12)*KFC!$C$5</f>
        <v>313.7</v>
      </c>
      <c r="AD48" s="654">
        <f>(322*KFC!$B$12+KFC!$C$12)*KFC!$C$5</f>
        <v>322</v>
      </c>
      <c r="AE48" s="654">
        <f>(330.3*KFC!$B$12+KFC!$C$12)*KFC!$C$5</f>
        <v>330.3</v>
      </c>
      <c r="AF48" s="654">
        <f>(338.6*KFC!$B$12+KFC!$C$12)*KFC!$C$5</f>
        <v>338.6</v>
      </c>
      <c r="AG48" s="654">
        <f>(346.8*KFC!$B$12+KFC!$C$12)*KFC!$C$5</f>
        <v>346.8</v>
      </c>
      <c r="AH48" s="654">
        <f>(355.1*KFC!$B$12+KFC!$C$12)*KFC!$C$5</f>
        <v>355.1</v>
      </c>
      <c r="AI48" s="654">
        <f>(363.4*KFC!$B$12+KFC!$C$12)*KFC!$C$5</f>
        <v>363.4</v>
      </c>
      <c r="AJ48" s="654">
        <f>(371.6*KFC!$B$12+KFC!$C$12)*KFC!$C$5</f>
        <v>371.6</v>
      </c>
      <c r="AK48" s="654">
        <f>(379.9*KFC!$B$12+KFC!$C$12)*KFC!$C$5</f>
        <v>379.9</v>
      </c>
      <c r="AL48" s="654">
        <f>(388.2*KFC!$B$12+KFC!$C$12)*KFC!$C$5</f>
        <v>388.2</v>
      </c>
      <c r="AM48" s="654">
        <f>(396.4*KFC!$B$12+KFC!$C$12)*KFC!$C$5</f>
        <v>396.4</v>
      </c>
      <c r="AN48" s="654">
        <f>(404.7*KFC!$B$12+KFC!$C$12)*KFC!$C$5</f>
        <v>404.7</v>
      </c>
      <c r="AO48" s="654">
        <f>(413*KFC!$B$12+KFC!$C$12)*KFC!$C$5</f>
        <v>413</v>
      </c>
      <c r="AP48" s="654">
        <f>(421.2*KFC!$B$12+KFC!$C$12)*KFC!$C$5</f>
        <v>421.2</v>
      </c>
      <c r="AQ48" s="654">
        <f>(429.5*KFC!$B$12+KFC!$C$12)*KFC!$C$5</f>
        <v>429.5</v>
      </c>
      <c r="AR48" s="654">
        <f>(437.8*KFC!$B$12+KFC!$C$12)*KFC!$C$5</f>
        <v>437.8</v>
      </c>
      <c r="AS48" s="654">
        <f>(446.1*KFC!$B$12+KFC!$C$12)*KFC!$C$5</f>
        <v>446.1</v>
      </c>
      <c r="AT48" s="654">
        <f>(454.3*KFC!$B$12+KFC!$C$12)*KFC!$C$5</f>
        <v>454.3</v>
      </c>
      <c r="AU48" s="654">
        <f>(462.6*KFC!$B$12+KFC!$C$12)*KFC!$C$5</f>
        <v>462.6</v>
      </c>
      <c r="AV48" s="654">
        <f>(470.9*KFC!$B$12+KFC!$C$12)*KFC!$C$5</f>
        <v>470.9</v>
      </c>
      <c r="AW48" s="654">
        <f>(479.1*KFC!$B$12+KFC!$C$12)*KFC!$C$5</f>
        <v>479.1</v>
      </c>
    </row>
    <row r="49" spans="1:49" ht="14.4">
      <c r="A49" s="1277"/>
      <c r="B49" s="649">
        <v>4.5999999999999996</v>
      </c>
      <c r="C49" s="654">
        <f>(99.4*KFC!$B$12+KFC!$C$12)*KFC!$C$5</f>
        <v>99.4</v>
      </c>
      <c r="D49" s="654">
        <f>(107.8*KFC!$B$12+KFC!$C$12)*KFC!$C$5</f>
        <v>107.8</v>
      </c>
      <c r="E49" s="654">
        <f>(116.2*KFC!$B$12+KFC!$C$12)*KFC!$C$5</f>
        <v>116.2</v>
      </c>
      <c r="F49" s="654">
        <f>(124.6*KFC!$B$12+KFC!$C$12)*KFC!$C$5</f>
        <v>124.6</v>
      </c>
      <c r="G49" s="654">
        <f>(133*KFC!$B$12+KFC!$C$12)*KFC!$C$5</f>
        <v>133</v>
      </c>
      <c r="H49" s="654">
        <f>(141.3*KFC!$B$12+KFC!$C$12)*KFC!$C$5</f>
        <v>141.30000000000001</v>
      </c>
      <c r="I49" s="654">
        <f>(149.7*KFC!$B$12+KFC!$C$12)*KFC!$C$5</f>
        <v>149.69999999999999</v>
      </c>
      <c r="J49" s="654">
        <f>(158.1*KFC!$B$12+KFC!$C$12)*KFC!$C$5</f>
        <v>158.1</v>
      </c>
      <c r="K49" s="654">
        <f>(166.5*KFC!$B$12+KFC!$C$12)*KFC!$C$5</f>
        <v>166.5</v>
      </c>
      <c r="L49" s="654">
        <f>(174.9*KFC!$B$12+KFC!$C$12)*KFC!$C$5</f>
        <v>174.9</v>
      </c>
      <c r="M49" s="654">
        <f>(183.3*KFC!$B$12+KFC!$C$12)*KFC!$C$5</f>
        <v>183.3</v>
      </c>
      <c r="N49" s="654">
        <f>(191.7*KFC!$B$12+KFC!$C$12)*KFC!$C$5</f>
        <v>191.7</v>
      </c>
      <c r="O49" s="654">
        <f>(200.1*KFC!$B$12+KFC!$C$12)*KFC!$C$5</f>
        <v>200.1</v>
      </c>
      <c r="P49" s="654">
        <f>(208.5*KFC!$B$12+KFC!$C$12)*KFC!$C$5</f>
        <v>208.5</v>
      </c>
      <c r="Q49" s="654">
        <f>(216.8*KFC!$B$12+KFC!$C$12)*KFC!$C$5</f>
        <v>216.8</v>
      </c>
      <c r="R49" s="654">
        <f>(225.2*KFC!$B$12+KFC!$C$12)*KFC!$C$5</f>
        <v>225.2</v>
      </c>
      <c r="S49" s="654">
        <f>(233.6*KFC!$B$12+KFC!$C$12)*KFC!$C$5</f>
        <v>233.6</v>
      </c>
      <c r="T49" s="654">
        <f>(242*KFC!$B$12+KFC!$C$12)*KFC!$C$5</f>
        <v>242</v>
      </c>
      <c r="U49" s="654">
        <f>(250.4*KFC!$B$12+KFC!$C$12)*KFC!$C$5</f>
        <v>250.4</v>
      </c>
      <c r="V49" s="654">
        <f>(258.8*KFC!$B$12+KFC!$C$12)*KFC!$C$5</f>
        <v>258.8</v>
      </c>
      <c r="W49" s="654">
        <f>(267.2*KFC!$B$12+KFC!$C$12)*KFC!$C$5</f>
        <v>267.2</v>
      </c>
      <c r="X49" s="654">
        <f>(275.6*KFC!$B$12+KFC!$C$12)*KFC!$C$5</f>
        <v>275.60000000000002</v>
      </c>
      <c r="Y49" s="654">
        <f>(283.9*KFC!$B$12+KFC!$C$12)*KFC!$C$5</f>
        <v>283.89999999999998</v>
      </c>
      <c r="Z49" s="654">
        <f>(292.3*KFC!$B$12+KFC!$C$12)*KFC!$C$5</f>
        <v>292.3</v>
      </c>
      <c r="AA49" s="654">
        <f>(300.7*KFC!$B$12+KFC!$C$12)*KFC!$C$5</f>
        <v>300.7</v>
      </c>
      <c r="AB49" s="654">
        <f>(309.1*KFC!$B$12+KFC!$C$12)*KFC!$C$5</f>
        <v>309.10000000000002</v>
      </c>
      <c r="AC49" s="654">
        <f>(317.5*KFC!$B$12+KFC!$C$12)*KFC!$C$5</f>
        <v>317.5</v>
      </c>
      <c r="AD49" s="654">
        <f>(325.9*KFC!$B$12+KFC!$C$12)*KFC!$C$5</f>
        <v>325.89999999999998</v>
      </c>
      <c r="AE49" s="654">
        <f>(334.3*KFC!$B$12+KFC!$C$12)*KFC!$C$5</f>
        <v>334.3</v>
      </c>
      <c r="AF49" s="654">
        <f>(342.7*KFC!$B$12+KFC!$C$12)*KFC!$C$5</f>
        <v>342.7</v>
      </c>
      <c r="AG49" s="654">
        <f>(351.1*KFC!$B$12+KFC!$C$12)*KFC!$C$5</f>
        <v>351.1</v>
      </c>
      <c r="AH49" s="654">
        <f>(359.4*KFC!$B$12+KFC!$C$12)*KFC!$C$5</f>
        <v>359.4</v>
      </c>
      <c r="AI49" s="654">
        <f>(367.8*KFC!$B$12+KFC!$C$12)*KFC!$C$5</f>
        <v>367.8</v>
      </c>
      <c r="AJ49" s="654">
        <f>(376.2*KFC!$B$12+KFC!$C$12)*KFC!$C$5</f>
        <v>376.2</v>
      </c>
      <c r="AK49" s="654">
        <f>(384.6*KFC!$B$12+KFC!$C$12)*KFC!$C$5</f>
        <v>384.6</v>
      </c>
      <c r="AL49" s="654">
        <f>(393*KFC!$B$12+KFC!$C$12)*KFC!$C$5</f>
        <v>393</v>
      </c>
      <c r="AM49" s="654">
        <f>(401.4*KFC!$B$12+KFC!$C$12)*KFC!$C$5</f>
        <v>401.4</v>
      </c>
      <c r="AN49" s="654">
        <f>(409.8*KFC!$B$12+KFC!$C$12)*KFC!$C$5</f>
        <v>409.8</v>
      </c>
      <c r="AO49" s="654">
        <f>(418.2*KFC!$B$12+KFC!$C$12)*KFC!$C$5</f>
        <v>418.2</v>
      </c>
      <c r="AP49" s="654">
        <f>(426.5*KFC!$B$12+KFC!$C$12)*KFC!$C$5</f>
        <v>426.5</v>
      </c>
      <c r="AQ49" s="654">
        <f>(434.9*KFC!$B$12+KFC!$C$12)*KFC!$C$5</f>
        <v>434.9</v>
      </c>
      <c r="AR49" s="654">
        <f>(443.3*KFC!$B$12+KFC!$C$12)*KFC!$C$5</f>
        <v>443.3</v>
      </c>
      <c r="AS49" s="654">
        <f>(451.7*KFC!$B$12+KFC!$C$12)*KFC!$C$5</f>
        <v>451.7</v>
      </c>
      <c r="AT49" s="654">
        <f>(460.1*KFC!$B$12+KFC!$C$12)*KFC!$C$5</f>
        <v>460.1</v>
      </c>
      <c r="AU49" s="654">
        <f>(468.5*KFC!$B$12+KFC!$C$12)*KFC!$C$5</f>
        <v>468.5</v>
      </c>
      <c r="AV49" s="654">
        <f>(476.9*KFC!$B$12+KFC!$C$12)*KFC!$C$5</f>
        <v>476.9</v>
      </c>
      <c r="AW49" s="654">
        <f>(485.3*KFC!$B$12+KFC!$C$12)*KFC!$C$5</f>
        <v>485.3</v>
      </c>
    </row>
    <row r="50" spans="1:49" ht="14.4">
      <c r="A50" s="1277"/>
      <c r="B50" s="649">
        <v>4.7</v>
      </c>
      <c r="C50" s="654">
        <f>(100.1*KFC!$B$12+KFC!$C$12)*KFC!$C$5</f>
        <v>100.1</v>
      </c>
      <c r="D50" s="654">
        <f>(108.6*KFC!$B$12+KFC!$C$12)*KFC!$C$5</f>
        <v>108.6</v>
      </c>
      <c r="E50" s="654">
        <f>(117.1*KFC!$B$12+KFC!$C$12)*KFC!$C$5</f>
        <v>117.1</v>
      </c>
      <c r="F50" s="654">
        <f>(125.6*KFC!$B$12+KFC!$C$12)*KFC!$C$5</f>
        <v>125.6</v>
      </c>
      <c r="G50" s="654">
        <f>(134.1*KFC!$B$12+KFC!$C$12)*KFC!$C$5</f>
        <v>134.1</v>
      </c>
      <c r="H50" s="654">
        <f>(142.6*KFC!$B$12+KFC!$C$12)*KFC!$C$5</f>
        <v>142.6</v>
      </c>
      <c r="I50" s="654">
        <f>(151.1*KFC!$B$12+KFC!$C$12)*KFC!$C$5</f>
        <v>151.1</v>
      </c>
      <c r="J50" s="654">
        <f>(159.6*KFC!$B$12+KFC!$C$12)*KFC!$C$5</f>
        <v>159.6</v>
      </c>
      <c r="K50" s="654">
        <f>(168.1*KFC!$B$12+KFC!$C$12)*KFC!$C$5</f>
        <v>168.1</v>
      </c>
      <c r="L50" s="654">
        <f>(176.6*KFC!$B$12+KFC!$C$12)*KFC!$C$5</f>
        <v>176.6</v>
      </c>
      <c r="M50" s="654">
        <f>(185.1*KFC!$B$12+KFC!$C$12)*KFC!$C$5</f>
        <v>185.1</v>
      </c>
      <c r="N50" s="654">
        <f>(193.6*KFC!$B$12+KFC!$C$12)*KFC!$C$5</f>
        <v>193.6</v>
      </c>
      <c r="O50" s="654">
        <f>(202.2*KFC!$B$12+KFC!$C$12)*KFC!$C$5</f>
        <v>202.2</v>
      </c>
      <c r="P50" s="654">
        <f>(210.7*KFC!$B$12+KFC!$C$12)*KFC!$C$5</f>
        <v>210.7</v>
      </c>
      <c r="Q50" s="654">
        <f>(219.2*KFC!$B$12+KFC!$C$12)*KFC!$C$5</f>
        <v>219.2</v>
      </c>
      <c r="R50" s="654">
        <f>(227.7*KFC!$B$12+KFC!$C$12)*KFC!$C$5</f>
        <v>227.7</v>
      </c>
      <c r="S50" s="654">
        <f>(236.2*KFC!$B$12+KFC!$C$12)*KFC!$C$5</f>
        <v>236.2</v>
      </c>
      <c r="T50" s="654">
        <f>(244.7*KFC!$B$12+KFC!$C$12)*KFC!$C$5</f>
        <v>244.7</v>
      </c>
      <c r="U50" s="654">
        <f>(253.2*KFC!$B$12+KFC!$C$12)*KFC!$C$5</f>
        <v>253.2</v>
      </c>
      <c r="V50" s="654">
        <f>(261.7*KFC!$B$12+KFC!$C$12)*KFC!$C$5</f>
        <v>261.7</v>
      </c>
      <c r="W50" s="654">
        <f>(270.2*KFC!$B$12+KFC!$C$12)*KFC!$C$5</f>
        <v>270.2</v>
      </c>
      <c r="X50" s="654">
        <f>(278.7*KFC!$B$12+KFC!$C$12)*KFC!$C$5</f>
        <v>278.7</v>
      </c>
      <c r="Y50" s="654">
        <f>(287.2*KFC!$B$12+KFC!$C$12)*KFC!$C$5</f>
        <v>287.2</v>
      </c>
      <c r="Z50" s="654">
        <f>(295.7*KFC!$B$12+KFC!$C$12)*KFC!$C$5</f>
        <v>295.7</v>
      </c>
      <c r="AA50" s="654">
        <f>(304.2*KFC!$B$12+KFC!$C$12)*KFC!$C$5</f>
        <v>304.2</v>
      </c>
      <c r="AB50" s="654">
        <f>(312.7*KFC!$B$12+KFC!$C$12)*KFC!$C$5</f>
        <v>312.7</v>
      </c>
      <c r="AC50" s="654">
        <f>(321.2*KFC!$B$12+KFC!$C$12)*KFC!$C$5</f>
        <v>321.2</v>
      </c>
      <c r="AD50" s="654">
        <f>(329.7*KFC!$B$12+KFC!$C$12)*KFC!$C$5</f>
        <v>329.7</v>
      </c>
      <c r="AE50" s="654">
        <f>(338.3*KFC!$B$12+KFC!$C$12)*KFC!$C$5</f>
        <v>338.3</v>
      </c>
      <c r="AF50" s="654">
        <f>(346.8*KFC!$B$12+KFC!$C$12)*KFC!$C$5</f>
        <v>346.8</v>
      </c>
      <c r="AG50" s="654">
        <f>(355.3*KFC!$B$12+KFC!$C$12)*KFC!$C$5</f>
        <v>355.3</v>
      </c>
      <c r="AH50" s="654">
        <f>(363.8*KFC!$B$12+KFC!$C$12)*KFC!$C$5</f>
        <v>363.8</v>
      </c>
      <c r="AI50" s="654">
        <f>(372.3*KFC!$B$12+KFC!$C$12)*KFC!$C$5</f>
        <v>372.3</v>
      </c>
      <c r="AJ50" s="654">
        <f>(380.8*KFC!$B$12+KFC!$C$12)*KFC!$C$5</f>
        <v>380.8</v>
      </c>
      <c r="AK50" s="654">
        <f>(389.3*KFC!$B$12+KFC!$C$12)*KFC!$C$5</f>
        <v>389.3</v>
      </c>
      <c r="AL50" s="654">
        <f>(397.8*KFC!$B$12+KFC!$C$12)*KFC!$C$5</f>
        <v>397.8</v>
      </c>
      <c r="AM50" s="654">
        <f>(406.3*KFC!$B$12+KFC!$C$12)*KFC!$C$5</f>
        <v>406.3</v>
      </c>
      <c r="AN50" s="654">
        <f>(414.8*KFC!$B$12+KFC!$C$12)*KFC!$C$5</f>
        <v>414.8</v>
      </c>
      <c r="AO50" s="654">
        <f>(423.3*KFC!$B$12+KFC!$C$12)*KFC!$C$5</f>
        <v>423.3</v>
      </c>
      <c r="AP50" s="654">
        <f>(431.8*KFC!$B$12+KFC!$C$12)*KFC!$C$5</f>
        <v>431.8</v>
      </c>
      <c r="AQ50" s="654">
        <f>(440.3*KFC!$B$12+KFC!$C$12)*KFC!$C$5</f>
        <v>440.3</v>
      </c>
      <c r="AR50" s="654">
        <f>(448.8*KFC!$B$12+KFC!$C$12)*KFC!$C$5</f>
        <v>448.8</v>
      </c>
      <c r="AS50" s="654">
        <f>(457.4*KFC!$B$12+KFC!$C$12)*KFC!$C$5</f>
        <v>457.4</v>
      </c>
      <c r="AT50" s="654">
        <f>(465.9*KFC!$B$12+KFC!$C$12)*KFC!$C$5</f>
        <v>465.9</v>
      </c>
      <c r="AU50" s="654">
        <f>(474.4*KFC!$B$12+KFC!$C$12)*KFC!$C$5</f>
        <v>474.4</v>
      </c>
      <c r="AV50" s="654">
        <f>(482.9*KFC!$B$12+KFC!$C$12)*KFC!$C$5</f>
        <v>482.9</v>
      </c>
      <c r="AW50" s="654">
        <f>(491.4*KFC!$B$12+KFC!$C$12)*KFC!$C$5</f>
        <v>491.4</v>
      </c>
    </row>
    <row r="51" spans="1:49" ht="14.4">
      <c r="A51" s="1277"/>
      <c r="B51" s="649">
        <v>4.8</v>
      </c>
      <c r="C51" s="654">
        <f>(100.7*KFC!$B$12+KFC!$C$12)*KFC!$C$5</f>
        <v>100.7</v>
      </c>
      <c r="D51" s="654">
        <f>(109.4*KFC!$B$12+KFC!$C$12)*KFC!$C$5</f>
        <v>109.4</v>
      </c>
      <c r="E51" s="654">
        <f>(118*KFC!$B$12+KFC!$C$12)*KFC!$C$5</f>
        <v>118</v>
      </c>
      <c r="F51" s="654">
        <f>(126.6*KFC!$B$12+KFC!$C$12)*KFC!$C$5</f>
        <v>126.6</v>
      </c>
      <c r="G51" s="654">
        <f>(135.2*KFC!$B$12+KFC!$C$12)*KFC!$C$5</f>
        <v>135.19999999999999</v>
      </c>
      <c r="H51" s="654">
        <f>(143.9*KFC!$B$12+KFC!$C$12)*KFC!$C$5</f>
        <v>143.9</v>
      </c>
      <c r="I51" s="654">
        <f>(152.5*KFC!$B$12+KFC!$C$12)*KFC!$C$5</f>
        <v>152.5</v>
      </c>
      <c r="J51" s="654">
        <f>(161.1*KFC!$B$12+KFC!$C$12)*KFC!$C$5</f>
        <v>161.1</v>
      </c>
      <c r="K51" s="654">
        <f>(169.7*KFC!$B$12+KFC!$C$12)*KFC!$C$5</f>
        <v>169.7</v>
      </c>
      <c r="L51" s="654">
        <f>(178.4*KFC!$B$12+KFC!$C$12)*KFC!$C$5</f>
        <v>178.4</v>
      </c>
      <c r="M51" s="654">
        <f>(187*KFC!$B$12+KFC!$C$12)*KFC!$C$5</f>
        <v>187</v>
      </c>
      <c r="N51" s="654">
        <f>(195.6*KFC!$B$12+KFC!$C$12)*KFC!$C$5</f>
        <v>195.6</v>
      </c>
      <c r="O51" s="654">
        <f>(204.2*KFC!$B$12+KFC!$C$12)*KFC!$C$5</f>
        <v>204.2</v>
      </c>
      <c r="P51" s="654">
        <f>(212.9*KFC!$B$12+KFC!$C$12)*KFC!$C$5</f>
        <v>212.9</v>
      </c>
      <c r="Q51" s="654">
        <f>(221.5*KFC!$B$12+KFC!$C$12)*KFC!$C$5</f>
        <v>221.5</v>
      </c>
      <c r="R51" s="654">
        <f>(230.1*KFC!$B$12+KFC!$C$12)*KFC!$C$5</f>
        <v>230.1</v>
      </c>
      <c r="S51" s="654">
        <f>(238.7*KFC!$B$12+KFC!$C$12)*KFC!$C$5</f>
        <v>238.7</v>
      </c>
      <c r="T51" s="654">
        <f>(247.4*KFC!$B$12+KFC!$C$12)*KFC!$C$5</f>
        <v>247.4</v>
      </c>
      <c r="U51" s="654">
        <f>(256*KFC!$B$12+KFC!$C$12)*KFC!$C$5</f>
        <v>256</v>
      </c>
      <c r="V51" s="654">
        <f>(264.6*KFC!$B$12+KFC!$C$12)*KFC!$C$5</f>
        <v>264.60000000000002</v>
      </c>
      <c r="W51" s="654">
        <f>(273.2*KFC!$B$12+KFC!$C$12)*KFC!$C$5</f>
        <v>273.2</v>
      </c>
      <c r="X51" s="654">
        <f>(281.9*KFC!$B$12+KFC!$C$12)*KFC!$C$5</f>
        <v>281.89999999999998</v>
      </c>
      <c r="Y51" s="654">
        <f>(290.5*KFC!$B$12+KFC!$C$12)*KFC!$C$5</f>
        <v>290.5</v>
      </c>
      <c r="Z51" s="654">
        <f>(299.1*KFC!$B$12+KFC!$C$12)*KFC!$C$5</f>
        <v>299.10000000000002</v>
      </c>
      <c r="AA51" s="654">
        <f>(307.7*KFC!$B$12+KFC!$C$12)*KFC!$C$5</f>
        <v>307.7</v>
      </c>
      <c r="AB51" s="654">
        <f>(316.4*KFC!$B$12+KFC!$C$12)*KFC!$C$5</f>
        <v>316.39999999999998</v>
      </c>
      <c r="AC51" s="654">
        <f>(325*KFC!$B$12+KFC!$C$12)*KFC!$C$5</f>
        <v>325</v>
      </c>
      <c r="AD51" s="654">
        <f>(333.6*KFC!$B$12+KFC!$C$12)*KFC!$C$5</f>
        <v>333.6</v>
      </c>
      <c r="AE51" s="654">
        <f>(342.3*KFC!$B$12+KFC!$C$12)*KFC!$C$5</f>
        <v>342.3</v>
      </c>
      <c r="AF51" s="654">
        <f>(350.9*KFC!$B$12+KFC!$C$12)*KFC!$C$5</f>
        <v>350.9</v>
      </c>
      <c r="AG51" s="654">
        <f>(359.5*KFC!$B$12+KFC!$C$12)*KFC!$C$5</f>
        <v>359.5</v>
      </c>
      <c r="AH51" s="654">
        <f>(368.1*KFC!$B$12+KFC!$C$12)*KFC!$C$5</f>
        <v>368.1</v>
      </c>
      <c r="AI51" s="654">
        <f>(376.7*KFC!$B$12+KFC!$C$12)*KFC!$C$5</f>
        <v>376.7</v>
      </c>
      <c r="AJ51" s="654">
        <f>(385.4*KFC!$B$12+KFC!$C$12)*KFC!$C$5</f>
        <v>385.4</v>
      </c>
      <c r="AK51" s="654">
        <f>(394*KFC!$B$12+KFC!$C$12)*KFC!$C$5</f>
        <v>394</v>
      </c>
      <c r="AL51" s="654">
        <f>(402.6*KFC!$B$12+KFC!$C$12)*KFC!$C$5</f>
        <v>402.6</v>
      </c>
      <c r="AM51" s="654">
        <f>(411.3*KFC!$B$12+KFC!$C$12)*KFC!$C$5</f>
        <v>411.3</v>
      </c>
      <c r="AN51" s="654">
        <f>(419.9*KFC!$B$12+KFC!$C$12)*KFC!$C$5</f>
        <v>419.9</v>
      </c>
      <c r="AO51" s="654">
        <f>(428.5*KFC!$B$12+KFC!$C$12)*KFC!$C$5</f>
        <v>428.5</v>
      </c>
      <c r="AP51" s="654">
        <f>(437.1*KFC!$B$12+KFC!$C$12)*KFC!$C$5</f>
        <v>437.1</v>
      </c>
      <c r="AQ51" s="654">
        <f>(445.8*KFC!$B$12+KFC!$C$12)*KFC!$C$5</f>
        <v>445.8</v>
      </c>
      <c r="AR51" s="654">
        <f>(454.4*KFC!$B$12+KFC!$C$12)*KFC!$C$5</f>
        <v>454.4</v>
      </c>
      <c r="AS51" s="654">
        <f>(463*KFC!$B$12+KFC!$C$12)*KFC!$C$5</f>
        <v>463</v>
      </c>
      <c r="AT51" s="654">
        <f>(471.6*KFC!$B$12+KFC!$C$12)*KFC!$C$5</f>
        <v>471.6</v>
      </c>
      <c r="AU51" s="654">
        <f>(480.3*KFC!$B$12+KFC!$C$12)*KFC!$C$5</f>
        <v>480.3</v>
      </c>
      <c r="AV51" s="654">
        <f>(488.9*KFC!$B$12+KFC!$C$12)*KFC!$C$5</f>
        <v>488.9</v>
      </c>
      <c r="AW51" s="654">
        <f>(497.5*KFC!$B$12+KFC!$C$12)*KFC!$C$5</f>
        <v>497.5</v>
      </c>
    </row>
    <row r="52" spans="1:49" ht="14.4">
      <c r="A52" s="1277"/>
      <c r="B52" s="649">
        <v>4.9000000000000004</v>
      </c>
      <c r="C52" s="654">
        <f>(101.4*KFC!$B$12+KFC!$C$12)*KFC!$C$5</f>
        <v>101.4</v>
      </c>
      <c r="D52" s="654">
        <f>(110.1*KFC!$B$12+KFC!$C$12)*KFC!$C$5</f>
        <v>110.1</v>
      </c>
      <c r="E52" s="654">
        <f>(118.9*KFC!$B$12+KFC!$C$12)*KFC!$C$5</f>
        <v>118.9</v>
      </c>
      <c r="F52" s="654">
        <f>(127.6*KFC!$B$12+KFC!$C$12)*KFC!$C$5</f>
        <v>127.6</v>
      </c>
      <c r="G52" s="654">
        <f>(136.4*KFC!$B$12+KFC!$C$12)*KFC!$C$5</f>
        <v>136.4</v>
      </c>
      <c r="H52" s="654">
        <f>(145.1*KFC!$B$12+KFC!$C$12)*KFC!$C$5</f>
        <v>145.1</v>
      </c>
      <c r="I52" s="654">
        <f>(153.9*KFC!$B$12+KFC!$C$12)*KFC!$C$5</f>
        <v>153.9</v>
      </c>
      <c r="J52" s="654">
        <f>(162.6*KFC!$B$12+KFC!$C$12)*KFC!$C$5</f>
        <v>162.6</v>
      </c>
      <c r="K52" s="654">
        <f>(171.3*KFC!$B$12+KFC!$C$12)*KFC!$C$5</f>
        <v>171.3</v>
      </c>
      <c r="L52" s="654">
        <f>(180.1*KFC!$B$12+KFC!$C$12)*KFC!$C$5</f>
        <v>180.1</v>
      </c>
      <c r="M52" s="654">
        <f>(188.8*KFC!$B$12+KFC!$C$12)*KFC!$C$5</f>
        <v>188.8</v>
      </c>
      <c r="N52" s="654">
        <f>(197.6*KFC!$B$12+KFC!$C$12)*KFC!$C$5</f>
        <v>197.6</v>
      </c>
      <c r="O52" s="654">
        <f>(206.3*KFC!$B$12+KFC!$C$12)*KFC!$C$5</f>
        <v>206.3</v>
      </c>
      <c r="P52" s="654">
        <f>(215.1*KFC!$B$12+KFC!$C$12)*KFC!$C$5</f>
        <v>215.1</v>
      </c>
      <c r="Q52" s="654">
        <f>(223.8*KFC!$B$12+KFC!$C$12)*KFC!$C$5</f>
        <v>223.8</v>
      </c>
      <c r="R52" s="654">
        <f>(232.6*KFC!$B$12+KFC!$C$12)*KFC!$C$5</f>
        <v>232.6</v>
      </c>
      <c r="S52" s="654">
        <f>(241.3*KFC!$B$12+KFC!$C$12)*KFC!$C$5</f>
        <v>241.3</v>
      </c>
      <c r="T52" s="654">
        <f>(250*KFC!$B$12+KFC!$C$12)*KFC!$C$5</f>
        <v>250</v>
      </c>
      <c r="U52" s="654">
        <f>(258.8*KFC!$B$12+KFC!$C$12)*KFC!$C$5</f>
        <v>258.8</v>
      </c>
      <c r="V52" s="654">
        <f>(267.5*KFC!$B$12+KFC!$C$12)*KFC!$C$5</f>
        <v>267.5</v>
      </c>
      <c r="W52" s="654">
        <f>(276.3*KFC!$B$12+KFC!$C$12)*KFC!$C$5</f>
        <v>276.3</v>
      </c>
      <c r="X52" s="654">
        <f>(285*KFC!$B$12+KFC!$C$12)*KFC!$C$5</f>
        <v>285</v>
      </c>
      <c r="Y52" s="654">
        <f>(293.8*KFC!$B$12+KFC!$C$12)*KFC!$C$5</f>
        <v>293.8</v>
      </c>
      <c r="Z52" s="654">
        <f>(302.5*KFC!$B$12+KFC!$C$12)*KFC!$C$5</f>
        <v>302.5</v>
      </c>
      <c r="AA52" s="654">
        <f>(311.3*KFC!$B$12+KFC!$C$12)*KFC!$C$5</f>
        <v>311.3</v>
      </c>
      <c r="AB52" s="654">
        <f>(320*KFC!$B$12+KFC!$C$12)*KFC!$C$5</f>
        <v>320</v>
      </c>
      <c r="AC52" s="654">
        <f>(328.8*KFC!$B$12+KFC!$C$12)*KFC!$C$5</f>
        <v>328.8</v>
      </c>
      <c r="AD52" s="654">
        <f>(337.5*KFC!$B$12+KFC!$C$12)*KFC!$C$5</f>
        <v>337.5</v>
      </c>
      <c r="AE52" s="654">
        <f>(346.2*KFC!$B$12+KFC!$C$12)*KFC!$C$5</f>
        <v>346.2</v>
      </c>
      <c r="AF52" s="654">
        <f>(355*KFC!$B$12+KFC!$C$12)*KFC!$C$5</f>
        <v>355</v>
      </c>
      <c r="AG52" s="654">
        <f>(363.7*KFC!$B$12+KFC!$C$12)*KFC!$C$5</f>
        <v>363.7</v>
      </c>
      <c r="AH52" s="654">
        <f>(372.5*KFC!$B$12+KFC!$C$12)*KFC!$C$5</f>
        <v>372.5</v>
      </c>
      <c r="AI52" s="654">
        <f>(381.2*KFC!$B$12+KFC!$C$12)*KFC!$C$5</f>
        <v>381.2</v>
      </c>
      <c r="AJ52" s="654">
        <f>(390*KFC!$B$12+KFC!$C$12)*KFC!$C$5</f>
        <v>390</v>
      </c>
      <c r="AK52" s="654">
        <f>(398.7*KFC!$B$12+KFC!$C$12)*KFC!$C$5</f>
        <v>398.7</v>
      </c>
      <c r="AL52" s="654">
        <f>(407.5*KFC!$B$12+KFC!$C$12)*KFC!$C$5</f>
        <v>407.5</v>
      </c>
      <c r="AM52" s="654">
        <f>(416.2*KFC!$B$12+KFC!$C$12)*KFC!$C$5</f>
        <v>416.2</v>
      </c>
      <c r="AN52" s="654">
        <f>(424.9*KFC!$B$12+KFC!$C$12)*KFC!$C$5</f>
        <v>424.9</v>
      </c>
      <c r="AO52" s="654">
        <f>(433.7*KFC!$B$12+KFC!$C$12)*KFC!$C$5</f>
        <v>433.7</v>
      </c>
      <c r="AP52" s="654">
        <f>(442.4*KFC!$B$12+KFC!$C$12)*KFC!$C$5</f>
        <v>442.4</v>
      </c>
      <c r="AQ52" s="654">
        <f>(451.2*KFC!$B$12+KFC!$C$12)*KFC!$C$5</f>
        <v>451.2</v>
      </c>
      <c r="AR52" s="654">
        <f>(459.9*KFC!$B$12+KFC!$C$12)*KFC!$C$5</f>
        <v>459.9</v>
      </c>
      <c r="AS52" s="654">
        <f>(468.7*KFC!$B$12+KFC!$C$12)*KFC!$C$5</f>
        <v>468.7</v>
      </c>
      <c r="AT52" s="654">
        <f>(477.4*KFC!$B$12+KFC!$C$12)*KFC!$C$5</f>
        <v>477.4</v>
      </c>
      <c r="AU52" s="654">
        <f>(486.2*KFC!$B$12+KFC!$C$12)*KFC!$C$5</f>
        <v>486.2</v>
      </c>
      <c r="AV52" s="654">
        <f>(494.9*KFC!$B$12+KFC!$C$12)*KFC!$C$5</f>
        <v>494.9</v>
      </c>
      <c r="AW52" s="654">
        <f>(503.6*KFC!$B$12+KFC!$C$12)*KFC!$C$5</f>
        <v>503.6</v>
      </c>
    </row>
    <row r="53" spans="1:49" ht="14.4">
      <c r="A53" s="1277"/>
      <c r="B53" s="649">
        <v>5</v>
      </c>
      <c r="C53" s="654">
        <f>(102*KFC!$B$12+KFC!$C$12)*KFC!$C$5</f>
        <v>102</v>
      </c>
      <c r="D53" s="654">
        <f>(110.9*KFC!$B$12+KFC!$C$12)*KFC!$C$5</f>
        <v>110.9</v>
      </c>
      <c r="E53" s="654">
        <f>(119.8*KFC!$B$12+KFC!$C$12)*KFC!$C$5</f>
        <v>119.8</v>
      </c>
      <c r="F53" s="654">
        <f>(128.6*KFC!$B$12+KFC!$C$12)*KFC!$C$5</f>
        <v>128.6</v>
      </c>
      <c r="G53" s="654">
        <f>(137.5*KFC!$B$12+KFC!$C$12)*KFC!$C$5</f>
        <v>137.5</v>
      </c>
      <c r="H53" s="654">
        <f>(146.4*KFC!$B$12+KFC!$C$12)*KFC!$C$5</f>
        <v>146.4</v>
      </c>
      <c r="I53" s="654">
        <f>(155.2*KFC!$B$12+KFC!$C$12)*KFC!$C$5</f>
        <v>155.19999999999999</v>
      </c>
      <c r="J53" s="654">
        <f>(164.1*KFC!$B$12+KFC!$C$12)*KFC!$C$5</f>
        <v>164.1</v>
      </c>
      <c r="K53" s="654">
        <f>(172.9*KFC!$B$12+KFC!$C$12)*KFC!$C$5</f>
        <v>172.9</v>
      </c>
      <c r="L53" s="654">
        <f>(181.8*KFC!$B$12+KFC!$C$12)*KFC!$C$5</f>
        <v>181.8</v>
      </c>
      <c r="M53" s="654">
        <f>(190.7*KFC!$B$12+KFC!$C$12)*KFC!$C$5</f>
        <v>190.7</v>
      </c>
      <c r="N53" s="654">
        <f>(199.5*KFC!$B$12+KFC!$C$12)*KFC!$C$5</f>
        <v>199.5</v>
      </c>
      <c r="O53" s="654">
        <f>(208.4*KFC!$B$12+KFC!$C$12)*KFC!$C$5</f>
        <v>208.4</v>
      </c>
      <c r="P53" s="654">
        <f>(217.3*KFC!$B$12+KFC!$C$12)*KFC!$C$5</f>
        <v>217.3</v>
      </c>
      <c r="Q53" s="654">
        <f>(226.1*KFC!$B$12+KFC!$C$12)*KFC!$C$5</f>
        <v>226.1</v>
      </c>
      <c r="R53" s="654">
        <f>(235*KFC!$B$12+KFC!$C$12)*KFC!$C$5</f>
        <v>235</v>
      </c>
      <c r="S53" s="654">
        <f>(243.9*KFC!$B$12+KFC!$C$12)*KFC!$C$5</f>
        <v>243.9</v>
      </c>
      <c r="T53" s="654">
        <f>(252.7*KFC!$B$12+KFC!$C$12)*KFC!$C$5</f>
        <v>252.7</v>
      </c>
      <c r="U53" s="654">
        <f>(261.6*KFC!$B$12+KFC!$C$12)*KFC!$C$5</f>
        <v>261.60000000000002</v>
      </c>
      <c r="V53" s="654">
        <f>(270.5*KFC!$B$12+KFC!$C$12)*KFC!$C$5</f>
        <v>270.5</v>
      </c>
      <c r="W53" s="654">
        <f>(279.3*KFC!$B$12+KFC!$C$12)*KFC!$C$5</f>
        <v>279.3</v>
      </c>
      <c r="X53" s="654">
        <f>(288.2*KFC!$B$12+KFC!$C$12)*KFC!$C$5</f>
        <v>288.2</v>
      </c>
      <c r="Y53" s="654">
        <f>(297*KFC!$B$12+KFC!$C$12)*KFC!$C$5</f>
        <v>297</v>
      </c>
      <c r="Z53" s="654">
        <f>(305.9*KFC!$B$12+KFC!$C$12)*KFC!$C$5</f>
        <v>305.89999999999998</v>
      </c>
      <c r="AA53" s="654">
        <f>(314.8*KFC!$B$12+KFC!$C$12)*KFC!$C$5</f>
        <v>314.8</v>
      </c>
      <c r="AB53" s="654">
        <f>(323.6*KFC!$B$12+KFC!$C$12)*KFC!$C$5</f>
        <v>323.60000000000002</v>
      </c>
      <c r="AC53" s="654">
        <f>(332.5*KFC!$B$12+KFC!$C$12)*KFC!$C$5</f>
        <v>332.5</v>
      </c>
      <c r="AD53" s="654">
        <f>(341.4*KFC!$B$12+KFC!$C$12)*KFC!$C$5</f>
        <v>341.4</v>
      </c>
      <c r="AE53" s="654">
        <f>(350.2*KFC!$B$12+KFC!$C$12)*KFC!$C$5</f>
        <v>350.2</v>
      </c>
      <c r="AF53" s="654">
        <f>(359.1*KFC!$B$12+KFC!$C$12)*KFC!$C$5</f>
        <v>359.1</v>
      </c>
      <c r="AG53" s="654">
        <f>(368*KFC!$B$12+KFC!$C$12)*KFC!$C$5</f>
        <v>368</v>
      </c>
      <c r="AH53" s="654">
        <f>(376.8*KFC!$B$12+KFC!$C$12)*KFC!$C$5</f>
        <v>376.8</v>
      </c>
      <c r="AI53" s="654">
        <f>(385.7*KFC!$B$12+KFC!$C$12)*KFC!$C$5</f>
        <v>385.7</v>
      </c>
      <c r="AJ53" s="654">
        <f>(394.5*KFC!$B$12+KFC!$C$12)*KFC!$C$5</f>
        <v>394.5</v>
      </c>
      <c r="AK53" s="654">
        <f>(403.4*KFC!$B$12+KFC!$C$12)*KFC!$C$5</f>
        <v>403.4</v>
      </c>
      <c r="AL53" s="654">
        <f>(412.3*KFC!$B$12+KFC!$C$12)*KFC!$C$5</f>
        <v>412.3</v>
      </c>
      <c r="AM53" s="654">
        <f>(421.1*KFC!$B$12+KFC!$C$12)*KFC!$C$5</f>
        <v>421.1</v>
      </c>
      <c r="AN53" s="654">
        <f>(430*KFC!$B$12+KFC!$C$12)*KFC!$C$5</f>
        <v>430</v>
      </c>
      <c r="AO53" s="654">
        <f>(438.9*KFC!$B$12+KFC!$C$12)*KFC!$C$5</f>
        <v>438.9</v>
      </c>
      <c r="AP53" s="654">
        <f>(447.7*KFC!$B$12+KFC!$C$12)*KFC!$C$5</f>
        <v>447.7</v>
      </c>
      <c r="AQ53" s="654">
        <f>(456.6*KFC!$B$12+KFC!$C$12)*KFC!$C$5</f>
        <v>456.6</v>
      </c>
      <c r="AR53" s="654">
        <f>(465.5*KFC!$B$12+KFC!$C$12)*KFC!$C$5</f>
        <v>465.5</v>
      </c>
      <c r="AS53" s="654">
        <f>(474.3*KFC!$B$12+KFC!$C$12)*KFC!$C$5</f>
        <v>474.3</v>
      </c>
      <c r="AT53" s="654">
        <f>(483.2*KFC!$B$12+KFC!$C$12)*KFC!$C$5</f>
        <v>483.2</v>
      </c>
      <c r="AU53" s="654">
        <f>(492*KFC!$B$12+KFC!$C$12)*KFC!$C$5</f>
        <v>492</v>
      </c>
      <c r="AV53" s="654">
        <f>(500.9*KFC!$B$12+KFC!$C$12)*KFC!$C$5</f>
        <v>500.9</v>
      </c>
      <c r="AW53" s="654">
        <f>(509.8*KFC!$B$12+KFC!$C$12)*KFC!$C$5</f>
        <v>509.8</v>
      </c>
    </row>
    <row r="54" spans="1:49" ht="32.25" customHeight="1">
      <c r="T54" s="655"/>
    </row>
    <row r="55" spans="1:49" ht="15" customHeight="1">
      <c r="A55" s="1278" t="s">
        <v>989</v>
      </c>
      <c r="B55" s="1278"/>
      <c r="C55" s="1279" t="s">
        <v>356</v>
      </c>
      <c r="D55" s="1279"/>
      <c r="E55" s="1279"/>
      <c r="F55" s="1279"/>
      <c r="G55" s="1279"/>
      <c r="H55" s="1279"/>
      <c r="I55" s="1279"/>
      <c r="J55" s="1279"/>
      <c r="K55" s="1279"/>
      <c r="L55" s="1279"/>
      <c r="M55" s="1279"/>
      <c r="N55" s="1279"/>
      <c r="O55" s="1279"/>
      <c r="P55" s="1279"/>
      <c r="Q55" s="1279"/>
      <c r="R55" s="1279"/>
      <c r="S55" s="1279"/>
      <c r="T55" s="1279"/>
      <c r="U55" s="1279"/>
      <c r="V55" s="1279"/>
      <c r="W55" s="1279"/>
      <c r="X55" s="1279"/>
      <c r="Y55" s="1279"/>
      <c r="Z55" s="1279"/>
      <c r="AA55" s="1279"/>
      <c r="AB55" s="1279"/>
      <c r="AC55" s="1279"/>
      <c r="AD55" s="1279"/>
      <c r="AE55" s="1279"/>
      <c r="AF55" s="1279"/>
      <c r="AG55" s="1279"/>
      <c r="AH55" s="1279"/>
      <c r="AI55" s="1279"/>
      <c r="AJ55" s="1279"/>
      <c r="AK55" s="1279"/>
      <c r="AL55" s="1279"/>
      <c r="AM55" s="1279"/>
      <c r="AN55" s="1279"/>
      <c r="AO55" s="1279"/>
      <c r="AP55" s="1279"/>
      <c r="AQ55" s="1279"/>
      <c r="AR55" s="1279"/>
      <c r="AS55" s="1279"/>
      <c r="AT55" s="1279"/>
      <c r="AU55" s="1279"/>
      <c r="AV55" s="1279"/>
      <c r="AW55" s="1279"/>
    </row>
    <row r="56" spans="1:49" ht="14.4">
      <c r="A56" s="1278"/>
      <c r="B56" s="1278"/>
      <c r="C56" s="649">
        <v>0.4</v>
      </c>
      <c r="D56" s="649">
        <v>0.5</v>
      </c>
      <c r="E56" s="649">
        <v>0.6</v>
      </c>
      <c r="F56" s="649">
        <v>0.7</v>
      </c>
      <c r="G56" s="649">
        <v>0.8</v>
      </c>
      <c r="H56" s="649">
        <v>0.9</v>
      </c>
      <c r="I56" s="649">
        <v>1</v>
      </c>
      <c r="J56" s="649">
        <v>1.1000000000000001</v>
      </c>
      <c r="K56" s="649">
        <v>1.2</v>
      </c>
      <c r="L56" s="649">
        <v>1.3</v>
      </c>
      <c r="M56" s="649">
        <v>1.4</v>
      </c>
      <c r="N56" s="649">
        <v>1.5</v>
      </c>
      <c r="O56" s="649">
        <v>1.6</v>
      </c>
      <c r="P56" s="649">
        <v>1.7</v>
      </c>
      <c r="Q56" s="649">
        <v>1.8</v>
      </c>
      <c r="R56" s="649">
        <v>1.9</v>
      </c>
      <c r="S56" s="649">
        <v>2</v>
      </c>
      <c r="T56" s="649">
        <v>2.1</v>
      </c>
      <c r="U56" s="649">
        <v>2.2000000000000002</v>
      </c>
      <c r="V56" s="649">
        <v>2.2999999999999998</v>
      </c>
      <c r="W56" s="649">
        <v>2.4</v>
      </c>
      <c r="X56" s="649">
        <v>2.5</v>
      </c>
      <c r="Y56" s="649">
        <v>2.6</v>
      </c>
      <c r="Z56" s="649">
        <v>2.7</v>
      </c>
      <c r="AA56" s="649">
        <v>2.8</v>
      </c>
      <c r="AB56" s="649">
        <v>2.9</v>
      </c>
      <c r="AC56" s="649">
        <v>3</v>
      </c>
      <c r="AD56" s="649">
        <v>3.1</v>
      </c>
      <c r="AE56" s="649">
        <v>3.2</v>
      </c>
      <c r="AF56" s="649">
        <v>3.3</v>
      </c>
      <c r="AG56" s="649">
        <v>3.4</v>
      </c>
      <c r="AH56" s="649">
        <v>3.5</v>
      </c>
      <c r="AI56" s="649">
        <v>3.6</v>
      </c>
      <c r="AJ56" s="649">
        <v>3.7</v>
      </c>
      <c r="AK56" s="649">
        <v>3.8</v>
      </c>
      <c r="AL56" s="649">
        <v>3.9</v>
      </c>
      <c r="AM56" s="649">
        <v>4</v>
      </c>
      <c r="AN56" s="649">
        <v>4.0999999999999996</v>
      </c>
      <c r="AO56" s="649">
        <v>4.2</v>
      </c>
      <c r="AP56" s="649">
        <v>4.3</v>
      </c>
      <c r="AQ56" s="649">
        <v>4.4000000000000004</v>
      </c>
      <c r="AR56" s="649">
        <v>4.5</v>
      </c>
      <c r="AS56" s="649">
        <v>4.5999999999999996</v>
      </c>
      <c r="AT56" s="649">
        <v>4.7</v>
      </c>
      <c r="AU56" s="649">
        <v>4.8</v>
      </c>
      <c r="AV56" s="649">
        <v>4.9000000000000004</v>
      </c>
      <c r="AW56" s="649">
        <v>5</v>
      </c>
    </row>
    <row r="57" spans="1:49" ht="14.4">
      <c r="A57" s="1277" t="s">
        <v>357</v>
      </c>
      <c r="B57" s="649">
        <v>0.5</v>
      </c>
      <c r="C57" s="654">
        <f>(72.9*KFC!$B$12+KFC!$C$12)*KFC!$C$5</f>
        <v>72.900000000000006</v>
      </c>
      <c r="D57" s="654">
        <f>(76.5*KFC!$B$12+KFC!$C$12)*KFC!$C$5</f>
        <v>76.5</v>
      </c>
      <c r="E57" s="654">
        <f>(80.1*KFC!$B$12+KFC!$C$12)*KFC!$C$5</f>
        <v>80.099999999999994</v>
      </c>
      <c r="F57" s="654">
        <f>(83.8*KFC!$B$12+KFC!$C$12)*KFC!$C$5</f>
        <v>83.8</v>
      </c>
      <c r="G57" s="654">
        <f>(87.4*KFC!$B$12+KFC!$C$12)*KFC!$C$5</f>
        <v>87.4</v>
      </c>
      <c r="H57" s="654">
        <f>(91*KFC!$B$12+KFC!$C$12)*KFC!$C$5</f>
        <v>91</v>
      </c>
      <c r="I57" s="654">
        <f>(94.7*KFC!$B$12+KFC!$C$12)*KFC!$C$5</f>
        <v>94.7</v>
      </c>
      <c r="J57" s="654">
        <f>(98.3*KFC!$B$12+KFC!$C$12)*KFC!$C$5</f>
        <v>98.3</v>
      </c>
      <c r="K57" s="654">
        <f>(101.9*KFC!$B$12+KFC!$C$12)*KFC!$C$5</f>
        <v>101.9</v>
      </c>
      <c r="L57" s="654">
        <f>(105.6*KFC!$B$12+KFC!$C$12)*KFC!$C$5</f>
        <v>105.6</v>
      </c>
      <c r="M57" s="654">
        <f>(109.2*KFC!$B$12+KFC!$C$12)*KFC!$C$5</f>
        <v>109.2</v>
      </c>
      <c r="N57" s="654">
        <f>(112.8*KFC!$B$12+KFC!$C$12)*KFC!$C$5</f>
        <v>112.8</v>
      </c>
      <c r="O57" s="654">
        <f>(116.5*KFC!$B$12+KFC!$C$12)*KFC!$C$5</f>
        <v>116.5</v>
      </c>
      <c r="P57" s="654">
        <f>(120.1*KFC!$B$12+KFC!$C$12)*KFC!$C$5</f>
        <v>120.1</v>
      </c>
      <c r="Q57" s="654">
        <f>(123.7*KFC!$B$12+KFC!$C$12)*KFC!$C$5</f>
        <v>123.7</v>
      </c>
      <c r="R57" s="654">
        <f>(127.4*KFC!$B$12+KFC!$C$12)*KFC!$C$5</f>
        <v>127.4</v>
      </c>
      <c r="S57" s="654">
        <f>(131*KFC!$B$12+KFC!$C$12)*KFC!$C$5</f>
        <v>131</v>
      </c>
      <c r="T57" s="654">
        <f>(134.6*KFC!$B$12+KFC!$C$12)*KFC!$C$5</f>
        <v>134.6</v>
      </c>
      <c r="U57" s="654">
        <f>(138.3*KFC!$B$12+KFC!$C$12)*KFC!$C$5</f>
        <v>138.30000000000001</v>
      </c>
      <c r="V57" s="654">
        <f>(141.9*KFC!$B$12+KFC!$C$12)*KFC!$C$5</f>
        <v>141.9</v>
      </c>
      <c r="W57" s="654">
        <f>(145.6*KFC!$B$12+KFC!$C$12)*KFC!$C$5</f>
        <v>145.6</v>
      </c>
      <c r="X57" s="654">
        <f>(149.2*KFC!$B$12+KFC!$C$12)*KFC!$C$5</f>
        <v>149.19999999999999</v>
      </c>
      <c r="Y57" s="654">
        <f>(152.8*KFC!$B$12+KFC!$C$12)*KFC!$C$5</f>
        <v>152.80000000000001</v>
      </c>
      <c r="Z57" s="654">
        <f>(156.5*KFC!$B$12+KFC!$C$12)*KFC!$C$5</f>
        <v>156.5</v>
      </c>
      <c r="AA57" s="654">
        <f>(160.1*KFC!$B$12+KFC!$C$12)*KFC!$C$5</f>
        <v>160.1</v>
      </c>
      <c r="AB57" s="654">
        <f>(163.7*KFC!$B$12+KFC!$C$12)*KFC!$C$5</f>
        <v>163.69999999999999</v>
      </c>
      <c r="AC57" s="654">
        <f>(167.4*KFC!$B$12+KFC!$C$12)*KFC!$C$5</f>
        <v>167.4</v>
      </c>
      <c r="AD57" s="654">
        <f>(171*KFC!$B$12+KFC!$C$12)*KFC!$C$5</f>
        <v>171</v>
      </c>
      <c r="AE57" s="654">
        <f>(174.6*KFC!$B$12+KFC!$C$12)*KFC!$C$5</f>
        <v>174.6</v>
      </c>
      <c r="AF57" s="654">
        <f>(178.3*KFC!$B$12+KFC!$C$12)*KFC!$C$5</f>
        <v>178.3</v>
      </c>
      <c r="AG57" s="654">
        <f>(181.9*KFC!$B$12+KFC!$C$12)*KFC!$C$5</f>
        <v>181.9</v>
      </c>
      <c r="AH57" s="654">
        <f>(185.5*KFC!$B$12+KFC!$C$12)*KFC!$C$5</f>
        <v>185.5</v>
      </c>
      <c r="AI57" s="654">
        <f>(189.2*KFC!$B$12+KFC!$C$12)*KFC!$C$5</f>
        <v>189.2</v>
      </c>
      <c r="AJ57" s="654">
        <f>(192.8*KFC!$B$12+KFC!$C$12)*KFC!$C$5</f>
        <v>192.8</v>
      </c>
      <c r="AK57" s="654">
        <f>(196.4*KFC!$B$12+KFC!$C$12)*KFC!$C$5</f>
        <v>196.4</v>
      </c>
      <c r="AL57" s="654">
        <f>(200.1*KFC!$B$12+KFC!$C$12)*KFC!$C$5</f>
        <v>200.1</v>
      </c>
      <c r="AM57" s="654">
        <f>(203.7*KFC!$B$12+KFC!$C$12)*KFC!$C$5</f>
        <v>203.7</v>
      </c>
      <c r="AN57" s="654">
        <f>(207.3*KFC!$B$12+KFC!$C$12)*KFC!$C$5</f>
        <v>207.3</v>
      </c>
      <c r="AO57" s="654">
        <f>(211*KFC!$B$12+KFC!$C$12)*KFC!$C$5</f>
        <v>211</v>
      </c>
      <c r="AP57" s="654">
        <f>(214.6*KFC!$B$12+KFC!$C$12)*KFC!$C$5</f>
        <v>214.6</v>
      </c>
      <c r="AQ57" s="654">
        <f>(218.3*KFC!$B$12+KFC!$C$12)*KFC!$C$5</f>
        <v>218.3</v>
      </c>
      <c r="AR57" s="654">
        <f>(221.9*KFC!$B$12+KFC!$C$12)*KFC!$C$5</f>
        <v>221.9</v>
      </c>
      <c r="AS57" s="654">
        <f>(225.5*KFC!$B$12+KFC!$C$12)*KFC!$C$5</f>
        <v>225.5</v>
      </c>
      <c r="AT57" s="654">
        <f>(229.2*KFC!$B$12+KFC!$C$12)*KFC!$C$5</f>
        <v>229.2</v>
      </c>
      <c r="AU57" s="654">
        <f>(232.8*KFC!$B$12+KFC!$C$12)*KFC!$C$5</f>
        <v>232.8</v>
      </c>
      <c r="AV57" s="654">
        <f>(236.4*KFC!$B$12+KFC!$C$12)*KFC!$C$5</f>
        <v>236.4</v>
      </c>
      <c r="AW57" s="654">
        <f>(240.1*KFC!$B$12+KFC!$C$12)*KFC!$C$5</f>
        <v>240.1</v>
      </c>
    </row>
    <row r="58" spans="1:49" ht="14.4">
      <c r="A58" s="1277"/>
      <c r="B58" s="649">
        <v>0.6</v>
      </c>
      <c r="C58" s="654">
        <f>(73.6*KFC!$B$12+KFC!$C$12)*KFC!$C$5</f>
        <v>73.599999999999994</v>
      </c>
      <c r="D58" s="654">
        <f>(77.4*KFC!$B$12+KFC!$C$12)*KFC!$C$5</f>
        <v>77.400000000000006</v>
      </c>
      <c r="E58" s="654">
        <f>(81.2*KFC!$B$12+KFC!$C$12)*KFC!$C$5</f>
        <v>81.2</v>
      </c>
      <c r="F58" s="654">
        <f>(84.9*KFC!$B$12+KFC!$C$12)*KFC!$C$5</f>
        <v>84.9</v>
      </c>
      <c r="G58" s="654">
        <f>(88.7*KFC!$B$12+KFC!$C$12)*KFC!$C$5</f>
        <v>88.7</v>
      </c>
      <c r="H58" s="654">
        <f>(92.5*KFC!$B$12+KFC!$C$12)*KFC!$C$5</f>
        <v>92.5</v>
      </c>
      <c r="I58" s="654">
        <f>(96.3*KFC!$B$12+KFC!$C$12)*KFC!$C$5</f>
        <v>96.3</v>
      </c>
      <c r="J58" s="654">
        <f>(100.1*KFC!$B$12+KFC!$C$12)*KFC!$C$5</f>
        <v>100.1</v>
      </c>
      <c r="K58" s="654">
        <f>(103.8*KFC!$B$12+KFC!$C$12)*KFC!$C$5</f>
        <v>103.8</v>
      </c>
      <c r="L58" s="654">
        <f>(107.6*KFC!$B$12+KFC!$C$12)*KFC!$C$5</f>
        <v>107.6</v>
      </c>
      <c r="M58" s="654">
        <f>(111.4*KFC!$B$12+KFC!$C$12)*KFC!$C$5</f>
        <v>111.4</v>
      </c>
      <c r="N58" s="654">
        <f>(115.2*KFC!$B$12+KFC!$C$12)*KFC!$C$5</f>
        <v>115.2</v>
      </c>
      <c r="O58" s="654">
        <f>(118.9*KFC!$B$12+KFC!$C$12)*KFC!$C$5</f>
        <v>118.9</v>
      </c>
      <c r="P58" s="654">
        <f>(122.7*KFC!$B$12+KFC!$C$12)*KFC!$C$5</f>
        <v>122.7</v>
      </c>
      <c r="Q58" s="654">
        <f>(126.5*KFC!$B$12+KFC!$C$12)*KFC!$C$5</f>
        <v>126.5</v>
      </c>
      <c r="R58" s="654">
        <f>(130.3*KFC!$B$12+KFC!$C$12)*KFC!$C$5</f>
        <v>130.30000000000001</v>
      </c>
      <c r="S58" s="654">
        <f>(134.1*KFC!$B$12+KFC!$C$12)*KFC!$C$5</f>
        <v>134.1</v>
      </c>
      <c r="T58" s="654">
        <f>(137.8*KFC!$B$12+KFC!$C$12)*KFC!$C$5</f>
        <v>137.80000000000001</v>
      </c>
      <c r="U58" s="654">
        <f>(141.6*KFC!$B$12+KFC!$C$12)*KFC!$C$5</f>
        <v>141.6</v>
      </c>
      <c r="V58" s="654">
        <f>(145.4*KFC!$B$12+KFC!$C$12)*KFC!$C$5</f>
        <v>145.4</v>
      </c>
      <c r="W58" s="654">
        <f>(149.2*KFC!$B$12+KFC!$C$12)*KFC!$C$5</f>
        <v>149.19999999999999</v>
      </c>
      <c r="X58" s="654">
        <f>(152.9*KFC!$B$12+KFC!$C$12)*KFC!$C$5</f>
        <v>152.9</v>
      </c>
      <c r="Y58" s="654">
        <f>(156.7*KFC!$B$12+KFC!$C$12)*KFC!$C$5</f>
        <v>156.69999999999999</v>
      </c>
      <c r="Z58" s="654">
        <f>(160.5*KFC!$B$12+KFC!$C$12)*KFC!$C$5</f>
        <v>160.5</v>
      </c>
      <c r="AA58" s="654">
        <f>(164.3*KFC!$B$12+KFC!$C$12)*KFC!$C$5</f>
        <v>164.3</v>
      </c>
      <c r="AB58" s="654">
        <f>(168.1*KFC!$B$12+KFC!$C$12)*KFC!$C$5</f>
        <v>168.1</v>
      </c>
      <c r="AC58" s="654">
        <f>(171.8*KFC!$B$12+KFC!$C$12)*KFC!$C$5</f>
        <v>171.8</v>
      </c>
      <c r="AD58" s="654">
        <f>(175.6*KFC!$B$12+KFC!$C$12)*KFC!$C$5</f>
        <v>175.6</v>
      </c>
      <c r="AE58" s="654">
        <f>(179.4*KFC!$B$12+KFC!$C$12)*KFC!$C$5</f>
        <v>179.4</v>
      </c>
      <c r="AF58" s="654">
        <f>(183.2*KFC!$B$12+KFC!$C$12)*KFC!$C$5</f>
        <v>183.2</v>
      </c>
      <c r="AG58" s="654">
        <f>(186.9*KFC!$B$12+KFC!$C$12)*KFC!$C$5</f>
        <v>186.9</v>
      </c>
      <c r="AH58" s="654">
        <f>(190.7*KFC!$B$12+KFC!$C$12)*KFC!$C$5</f>
        <v>190.7</v>
      </c>
      <c r="AI58" s="654">
        <f>(194.5*KFC!$B$12+KFC!$C$12)*KFC!$C$5</f>
        <v>194.5</v>
      </c>
      <c r="AJ58" s="654">
        <f>(198.3*KFC!$B$12+KFC!$C$12)*KFC!$C$5</f>
        <v>198.3</v>
      </c>
      <c r="AK58" s="654">
        <f>(202.1*KFC!$B$12+KFC!$C$12)*KFC!$C$5</f>
        <v>202.1</v>
      </c>
      <c r="AL58" s="654">
        <f>(205.8*KFC!$B$12+KFC!$C$12)*KFC!$C$5</f>
        <v>205.8</v>
      </c>
      <c r="AM58" s="654">
        <f>(209.6*KFC!$B$12+KFC!$C$12)*KFC!$C$5</f>
        <v>209.6</v>
      </c>
      <c r="AN58" s="654">
        <f>(213.4*KFC!$B$12+KFC!$C$12)*KFC!$C$5</f>
        <v>213.4</v>
      </c>
      <c r="AO58" s="654">
        <f>(217.2*KFC!$B$12+KFC!$C$12)*KFC!$C$5</f>
        <v>217.2</v>
      </c>
      <c r="AP58" s="654">
        <f>(220.9*KFC!$B$12+KFC!$C$12)*KFC!$C$5</f>
        <v>220.9</v>
      </c>
      <c r="AQ58" s="654">
        <f>(224.7*KFC!$B$12+KFC!$C$12)*KFC!$C$5</f>
        <v>224.7</v>
      </c>
      <c r="AR58" s="654">
        <f>(228.5*KFC!$B$12+KFC!$C$12)*KFC!$C$5</f>
        <v>228.5</v>
      </c>
      <c r="AS58" s="654">
        <f>(232.3*KFC!$B$12+KFC!$C$12)*KFC!$C$5</f>
        <v>232.3</v>
      </c>
      <c r="AT58" s="654">
        <f>(236.1*KFC!$B$12+KFC!$C$12)*KFC!$C$5</f>
        <v>236.1</v>
      </c>
      <c r="AU58" s="654">
        <f>(239.8*KFC!$B$12+KFC!$C$12)*KFC!$C$5</f>
        <v>239.8</v>
      </c>
      <c r="AV58" s="654">
        <f>(243.6*KFC!$B$12+KFC!$C$12)*KFC!$C$5</f>
        <v>243.6</v>
      </c>
      <c r="AW58" s="654">
        <f>(247.4*KFC!$B$12+KFC!$C$12)*KFC!$C$5</f>
        <v>247.4</v>
      </c>
    </row>
    <row r="59" spans="1:49" ht="14.4">
      <c r="A59" s="1277"/>
      <c r="B59" s="649">
        <v>0.7</v>
      </c>
      <c r="C59" s="654">
        <f>(74.4*KFC!$B$12+KFC!$C$12)*KFC!$C$5</f>
        <v>74.400000000000006</v>
      </c>
      <c r="D59" s="654">
        <f>(78.3*KFC!$B$12+KFC!$C$12)*KFC!$C$5</f>
        <v>78.3</v>
      </c>
      <c r="E59" s="654">
        <f>(82.2*KFC!$B$12+KFC!$C$12)*KFC!$C$5</f>
        <v>82.2</v>
      </c>
      <c r="F59" s="654">
        <f>(86.1*KFC!$B$12+KFC!$C$12)*KFC!$C$5</f>
        <v>86.1</v>
      </c>
      <c r="G59" s="654">
        <f>(90.1*KFC!$B$12+KFC!$C$12)*KFC!$C$5</f>
        <v>90.1</v>
      </c>
      <c r="H59" s="654">
        <f>(94*KFC!$B$12+KFC!$C$12)*KFC!$C$5</f>
        <v>94</v>
      </c>
      <c r="I59" s="654">
        <f>(97.9*KFC!$B$12+KFC!$C$12)*KFC!$C$5</f>
        <v>97.9</v>
      </c>
      <c r="J59" s="654">
        <f>(101.8*KFC!$B$12+KFC!$C$12)*KFC!$C$5</f>
        <v>101.8</v>
      </c>
      <c r="K59" s="654">
        <f>(105.7*KFC!$B$12+KFC!$C$12)*KFC!$C$5</f>
        <v>105.7</v>
      </c>
      <c r="L59" s="654">
        <f>(109.6*KFC!$B$12+KFC!$C$12)*KFC!$C$5</f>
        <v>109.6</v>
      </c>
      <c r="M59" s="654">
        <f>(113.6*KFC!$B$12+KFC!$C$12)*KFC!$C$5</f>
        <v>113.6</v>
      </c>
      <c r="N59" s="654">
        <f>(117.5*KFC!$B$12+KFC!$C$12)*KFC!$C$5</f>
        <v>117.5</v>
      </c>
      <c r="O59" s="654">
        <f>(121.4*KFC!$B$12+KFC!$C$12)*KFC!$C$5</f>
        <v>121.4</v>
      </c>
      <c r="P59" s="654">
        <f>(125.3*KFC!$B$12+KFC!$C$12)*KFC!$C$5</f>
        <v>125.3</v>
      </c>
      <c r="Q59" s="654">
        <f>(129.3*KFC!$B$12+KFC!$C$12)*KFC!$C$5</f>
        <v>129.30000000000001</v>
      </c>
      <c r="R59" s="654">
        <f>(133.2*KFC!$B$12+KFC!$C$12)*KFC!$C$5</f>
        <v>133.19999999999999</v>
      </c>
      <c r="S59" s="654">
        <f>(137.1*KFC!$B$12+KFC!$C$12)*KFC!$C$5</f>
        <v>137.1</v>
      </c>
      <c r="T59" s="654">
        <f>(141*KFC!$B$12+KFC!$C$12)*KFC!$C$5</f>
        <v>141</v>
      </c>
      <c r="U59" s="654">
        <f>(144.9*KFC!$B$12+KFC!$C$12)*KFC!$C$5</f>
        <v>144.9</v>
      </c>
      <c r="V59" s="654">
        <f>(148.9*KFC!$B$12+KFC!$C$12)*KFC!$C$5</f>
        <v>148.9</v>
      </c>
      <c r="W59" s="654">
        <f>(152.8*KFC!$B$12+KFC!$C$12)*KFC!$C$5</f>
        <v>152.80000000000001</v>
      </c>
      <c r="X59" s="654">
        <f>(156.7*KFC!$B$12+KFC!$C$12)*KFC!$C$5</f>
        <v>156.69999999999999</v>
      </c>
      <c r="Y59" s="654">
        <f>(160.6*KFC!$B$12+KFC!$C$12)*KFC!$C$5</f>
        <v>160.6</v>
      </c>
      <c r="Z59" s="654">
        <f>(164.5*KFC!$B$12+KFC!$C$12)*KFC!$C$5</f>
        <v>164.5</v>
      </c>
      <c r="AA59" s="654">
        <f>(168.5*KFC!$B$12+KFC!$C$12)*KFC!$C$5</f>
        <v>168.5</v>
      </c>
      <c r="AB59" s="654">
        <f>(172.4*KFC!$B$12+KFC!$C$12)*KFC!$C$5</f>
        <v>172.4</v>
      </c>
      <c r="AC59" s="654">
        <f>(176.3*KFC!$B$12+KFC!$C$12)*KFC!$C$5</f>
        <v>176.3</v>
      </c>
      <c r="AD59" s="654">
        <f>(180.2*KFC!$B$12+KFC!$C$12)*KFC!$C$5</f>
        <v>180.2</v>
      </c>
      <c r="AE59" s="654">
        <f>(184.2*KFC!$B$12+KFC!$C$12)*KFC!$C$5</f>
        <v>184.2</v>
      </c>
      <c r="AF59" s="654">
        <f>(188.1*KFC!$B$12+KFC!$C$12)*KFC!$C$5</f>
        <v>188.1</v>
      </c>
      <c r="AG59" s="654">
        <f>(192*KFC!$B$12+KFC!$C$12)*KFC!$C$5</f>
        <v>192</v>
      </c>
      <c r="AH59" s="654">
        <f>(195.9*KFC!$B$12+KFC!$C$12)*KFC!$C$5</f>
        <v>195.9</v>
      </c>
      <c r="AI59" s="654">
        <f>(199.8*KFC!$B$12+KFC!$C$12)*KFC!$C$5</f>
        <v>199.8</v>
      </c>
      <c r="AJ59" s="654">
        <f>(203.7*KFC!$B$12+KFC!$C$12)*KFC!$C$5</f>
        <v>203.7</v>
      </c>
      <c r="AK59" s="654">
        <f>(207.7*KFC!$B$12+KFC!$C$12)*KFC!$C$5</f>
        <v>207.7</v>
      </c>
      <c r="AL59" s="654">
        <f>(211.6*KFC!$B$12+KFC!$C$12)*KFC!$C$5</f>
        <v>211.6</v>
      </c>
      <c r="AM59" s="654">
        <f>(215.5*KFC!$B$12+KFC!$C$12)*KFC!$C$5</f>
        <v>215.5</v>
      </c>
      <c r="AN59" s="654">
        <f>(219.4*KFC!$B$12+KFC!$C$12)*KFC!$C$5</f>
        <v>219.4</v>
      </c>
      <c r="AO59" s="654">
        <f>(223.4*KFC!$B$12+KFC!$C$12)*KFC!$C$5</f>
        <v>223.4</v>
      </c>
      <c r="AP59" s="654">
        <f>(227.3*KFC!$B$12+KFC!$C$12)*KFC!$C$5</f>
        <v>227.3</v>
      </c>
      <c r="AQ59" s="654">
        <f>(231.2*KFC!$B$12+KFC!$C$12)*KFC!$C$5</f>
        <v>231.2</v>
      </c>
      <c r="AR59" s="654">
        <f>(235.1*KFC!$B$12+KFC!$C$12)*KFC!$C$5</f>
        <v>235.1</v>
      </c>
      <c r="AS59" s="654">
        <f>(239*KFC!$B$12+KFC!$C$12)*KFC!$C$5</f>
        <v>239</v>
      </c>
      <c r="AT59" s="654">
        <f>(243*KFC!$B$12+KFC!$C$12)*KFC!$C$5</f>
        <v>243</v>
      </c>
      <c r="AU59" s="654">
        <f>(246.9*KFC!$B$12+KFC!$C$12)*KFC!$C$5</f>
        <v>246.9</v>
      </c>
      <c r="AV59" s="654">
        <f>(250.8*KFC!$B$12+KFC!$C$12)*KFC!$C$5</f>
        <v>250.8</v>
      </c>
      <c r="AW59" s="654">
        <f>(254.7*KFC!$B$12+KFC!$C$12)*KFC!$C$5</f>
        <v>254.7</v>
      </c>
    </row>
    <row r="60" spans="1:49" ht="14.4">
      <c r="A60" s="1277"/>
      <c r="B60" s="649">
        <v>0.8</v>
      </c>
      <c r="C60" s="654">
        <f>(75.1*KFC!$B$12+KFC!$C$12)*KFC!$C$5</f>
        <v>75.099999999999994</v>
      </c>
      <c r="D60" s="654">
        <f>(79.2*KFC!$B$12+KFC!$C$12)*KFC!$C$5</f>
        <v>79.2</v>
      </c>
      <c r="E60" s="654">
        <f>(83.2*KFC!$B$12+KFC!$C$12)*KFC!$C$5</f>
        <v>83.2</v>
      </c>
      <c r="F60" s="654">
        <f>(87.3*KFC!$B$12+KFC!$C$12)*KFC!$C$5</f>
        <v>87.3</v>
      </c>
      <c r="G60" s="654">
        <f>(91.4*KFC!$B$12+KFC!$C$12)*KFC!$C$5</f>
        <v>91.4</v>
      </c>
      <c r="H60" s="654">
        <f>(95.4*KFC!$B$12+KFC!$C$12)*KFC!$C$5</f>
        <v>95.4</v>
      </c>
      <c r="I60" s="654">
        <f>(99.5*KFC!$B$12+KFC!$C$12)*KFC!$C$5</f>
        <v>99.5</v>
      </c>
      <c r="J60" s="654">
        <f>(103.6*KFC!$B$12+KFC!$C$12)*KFC!$C$5</f>
        <v>103.6</v>
      </c>
      <c r="K60" s="654">
        <f>(107.6*KFC!$B$12+KFC!$C$12)*KFC!$C$5</f>
        <v>107.6</v>
      </c>
      <c r="L60" s="654">
        <f>(111.7*KFC!$B$12+KFC!$C$12)*KFC!$C$5</f>
        <v>111.7</v>
      </c>
      <c r="M60" s="654">
        <f>(115.8*KFC!$B$12+KFC!$C$12)*KFC!$C$5</f>
        <v>115.8</v>
      </c>
      <c r="N60" s="654">
        <f>(119.8*KFC!$B$12+KFC!$C$12)*KFC!$C$5</f>
        <v>119.8</v>
      </c>
      <c r="O60" s="654">
        <f>(123.9*KFC!$B$12+KFC!$C$12)*KFC!$C$5</f>
        <v>123.9</v>
      </c>
      <c r="P60" s="654">
        <f>(127.9*KFC!$B$12+KFC!$C$12)*KFC!$C$5</f>
        <v>127.9</v>
      </c>
      <c r="Q60" s="654">
        <f>(132*KFC!$B$12+KFC!$C$12)*KFC!$C$5</f>
        <v>132</v>
      </c>
      <c r="R60" s="654">
        <f>(136.1*KFC!$B$12+KFC!$C$12)*KFC!$C$5</f>
        <v>136.1</v>
      </c>
      <c r="S60" s="654">
        <f>(140.1*KFC!$B$12+KFC!$C$12)*KFC!$C$5</f>
        <v>140.1</v>
      </c>
      <c r="T60" s="654">
        <f>(144.2*KFC!$B$12+KFC!$C$12)*KFC!$C$5</f>
        <v>144.19999999999999</v>
      </c>
      <c r="U60" s="654">
        <f>(148.3*KFC!$B$12+KFC!$C$12)*KFC!$C$5</f>
        <v>148.30000000000001</v>
      </c>
      <c r="V60" s="654">
        <f>(152.3*KFC!$B$12+KFC!$C$12)*KFC!$C$5</f>
        <v>152.30000000000001</v>
      </c>
      <c r="W60" s="654">
        <f>(156.4*KFC!$B$12+KFC!$C$12)*KFC!$C$5</f>
        <v>156.4</v>
      </c>
      <c r="X60" s="654">
        <f>(160.5*KFC!$B$12+KFC!$C$12)*KFC!$C$5</f>
        <v>160.5</v>
      </c>
      <c r="Y60" s="654">
        <f>(164.5*KFC!$B$12+KFC!$C$12)*KFC!$C$5</f>
        <v>164.5</v>
      </c>
      <c r="Z60" s="654">
        <f>(168.6*KFC!$B$12+KFC!$C$12)*KFC!$C$5</f>
        <v>168.6</v>
      </c>
      <c r="AA60" s="654">
        <f>(172.6*KFC!$B$12+KFC!$C$12)*KFC!$C$5</f>
        <v>172.6</v>
      </c>
      <c r="AB60" s="654">
        <f>(176.7*KFC!$B$12+KFC!$C$12)*KFC!$C$5</f>
        <v>176.7</v>
      </c>
      <c r="AC60" s="654">
        <f>(180.8*KFC!$B$12+KFC!$C$12)*KFC!$C$5</f>
        <v>180.8</v>
      </c>
      <c r="AD60" s="654">
        <f>(184.8*KFC!$B$12+KFC!$C$12)*KFC!$C$5</f>
        <v>184.8</v>
      </c>
      <c r="AE60" s="654">
        <f>(188.9*KFC!$B$12+KFC!$C$12)*KFC!$C$5</f>
        <v>188.9</v>
      </c>
      <c r="AF60" s="654">
        <f>(193*KFC!$B$12+KFC!$C$12)*KFC!$C$5</f>
        <v>193</v>
      </c>
      <c r="AG60" s="654">
        <f>(197*KFC!$B$12+KFC!$C$12)*KFC!$C$5</f>
        <v>197</v>
      </c>
      <c r="AH60" s="654">
        <f>(201.1*KFC!$B$12+KFC!$C$12)*KFC!$C$5</f>
        <v>201.1</v>
      </c>
      <c r="AI60" s="654">
        <f>(205.2*KFC!$B$12+KFC!$C$12)*KFC!$C$5</f>
        <v>205.2</v>
      </c>
      <c r="AJ60" s="654">
        <f>(209.2*KFC!$B$12+KFC!$C$12)*KFC!$C$5</f>
        <v>209.2</v>
      </c>
      <c r="AK60" s="654">
        <f>(213.3*KFC!$B$12+KFC!$C$12)*KFC!$C$5</f>
        <v>213.3</v>
      </c>
      <c r="AL60" s="654">
        <f>(217.3*KFC!$B$12+KFC!$C$12)*KFC!$C$5</f>
        <v>217.3</v>
      </c>
      <c r="AM60" s="654">
        <f>(221.4*KFC!$B$12+KFC!$C$12)*KFC!$C$5</f>
        <v>221.4</v>
      </c>
      <c r="AN60" s="654">
        <f>(225.5*KFC!$B$12+KFC!$C$12)*KFC!$C$5</f>
        <v>225.5</v>
      </c>
      <c r="AO60" s="654">
        <f>(229.5*KFC!$B$12+KFC!$C$12)*KFC!$C$5</f>
        <v>229.5</v>
      </c>
      <c r="AP60" s="654">
        <f>(233.6*KFC!$B$12+KFC!$C$12)*KFC!$C$5</f>
        <v>233.6</v>
      </c>
      <c r="AQ60" s="654">
        <f>(237.7*KFC!$B$12+KFC!$C$12)*KFC!$C$5</f>
        <v>237.7</v>
      </c>
      <c r="AR60" s="654">
        <f>(241.7*KFC!$B$12+KFC!$C$12)*KFC!$C$5</f>
        <v>241.7</v>
      </c>
      <c r="AS60" s="654">
        <f>(245.8*KFC!$B$12+KFC!$C$12)*KFC!$C$5</f>
        <v>245.8</v>
      </c>
      <c r="AT60" s="654">
        <f>(249.9*KFC!$B$12+KFC!$C$12)*KFC!$C$5</f>
        <v>249.9</v>
      </c>
      <c r="AU60" s="654">
        <f>(253.9*KFC!$B$12+KFC!$C$12)*KFC!$C$5</f>
        <v>253.9</v>
      </c>
      <c r="AV60" s="654">
        <f>(258*KFC!$B$12+KFC!$C$12)*KFC!$C$5</f>
        <v>258</v>
      </c>
      <c r="AW60" s="654">
        <f>(262.1*KFC!$B$12+KFC!$C$12)*KFC!$C$5</f>
        <v>262.10000000000002</v>
      </c>
    </row>
    <row r="61" spans="1:49" ht="14.4">
      <c r="A61" s="1277"/>
      <c r="B61" s="649">
        <v>0.9</v>
      </c>
      <c r="C61" s="654">
        <f>(75.9*KFC!$B$12+KFC!$C$12)*KFC!$C$5</f>
        <v>75.900000000000006</v>
      </c>
      <c r="D61" s="654">
        <f>(80.1*KFC!$B$12+KFC!$C$12)*KFC!$C$5</f>
        <v>80.099999999999994</v>
      </c>
      <c r="E61" s="654">
        <f>(84.3*KFC!$B$12+KFC!$C$12)*KFC!$C$5</f>
        <v>84.3</v>
      </c>
      <c r="F61" s="654">
        <f>(88.5*KFC!$B$12+KFC!$C$12)*KFC!$C$5</f>
        <v>88.5</v>
      </c>
      <c r="G61" s="654">
        <f>(92.7*KFC!$B$12+KFC!$C$12)*KFC!$C$5</f>
        <v>92.7</v>
      </c>
      <c r="H61" s="654">
        <f>(96.9*KFC!$B$12+KFC!$C$12)*KFC!$C$5</f>
        <v>96.9</v>
      </c>
      <c r="I61" s="654">
        <f>(101.1*KFC!$B$12+KFC!$C$12)*KFC!$C$5</f>
        <v>101.1</v>
      </c>
      <c r="J61" s="654">
        <f>(105.3*KFC!$B$12+KFC!$C$12)*KFC!$C$5</f>
        <v>105.3</v>
      </c>
      <c r="K61" s="654">
        <f>(109.5*KFC!$B$12+KFC!$C$12)*KFC!$C$5</f>
        <v>109.5</v>
      </c>
      <c r="L61" s="654">
        <f>(113.7*KFC!$B$12+KFC!$C$12)*KFC!$C$5</f>
        <v>113.7</v>
      </c>
      <c r="M61" s="654">
        <f>(117.9*KFC!$B$12+KFC!$C$12)*KFC!$C$5</f>
        <v>117.9</v>
      </c>
      <c r="N61" s="654">
        <f>(122.2*KFC!$B$12+KFC!$C$12)*KFC!$C$5</f>
        <v>122.2</v>
      </c>
      <c r="O61" s="654">
        <f>(126.4*KFC!$B$12+KFC!$C$12)*KFC!$C$5</f>
        <v>126.4</v>
      </c>
      <c r="P61" s="654">
        <f>(130.6*KFC!$B$12+KFC!$C$12)*KFC!$C$5</f>
        <v>130.6</v>
      </c>
      <c r="Q61" s="654">
        <f>(134.8*KFC!$B$12+KFC!$C$12)*KFC!$C$5</f>
        <v>134.80000000000001</v>
      </c>
      <c r="R61" s="654">
        <f>(139*KFC!$B$12+KFC!$C$12)*KFC!$C$5</f>
        <v>139</v>
      </c>
      <c r="S61" s="654">
        <f>(143.2*KFC!$B$12+KFC!$C$12)*KFC!$C$5</f>
        <v>143.19999999999999</v>
      </c>
      <c r="T61" s="654">
        <f>(147.4*KFC!$B$12+KFC!$C$12)*KFC!$C$5</f>
        <v>147.4</v>
      </c>
      <c r="U61" s="654">
        <f>(151.6*KFC!$B$12+KFC!$C$12)*KFC!$C$5</f>
        <v>151.6</v>
      </c>
      <c r="V61" s="654">
        <f>(155.8*KFC!$B$12+KFC!$C$12)*KFC!$C$5</f>
        <v>155.80000000000001</v>
      </c>
      <c r="W61" s="654">
        <f>(160*KFC!$B$12+KFC!$C$12)*KFC!$C$5</f>
        <v>160</v>
      </c>
      <c r="X61" s="654">
        <f>(164.2*KFC!$B$12+KFC!$C$12)*KFC!$C$5</f>
        <v>164.2</v>
      </c>
      <c r="Y61" s="654">
        <f>(168.4*KFC!$B$12+KFC!$C$12)*KFC!$C$5</f>
        <v>168.4</v>
      </c>
      <c r="Z61" s="654">
        <f>(172.6*KFC!$B$12+KFC!$C$12)*KFC!$C$5</f>
        <v>172.6</v>
      </c>
      <c r="AA61" s="654">
        <f>(176.8*KFC!$B$12+KFC!$C$12)*KFC!$C$5</f>
        <v>176.8</v>
      </c>
      <c r="AB61" s="654">
        <f>(181*KFC!$B$12+KFC!$C$12)*KFC!$C$5</f>
        <v>181</v>
      </c>
      <c r="AC61" s="654">
        <f>(185.2*KFC!$B$12+KFC!$C$12)*KFC!$C$5</f>
        <v>185.2</v>
      </c>
      <c r="AD61" s="654">
        <f>(189.5*KFC!$B$12+KFC!$C$12)*KFC!$C$5</f>
        <v>189.5</v>
      </c>
      <c r="AE61" s="654">
        <f>(193.7*KFC!$B$12+KFC!$C$12)*KFC!$C$5</f>
        <v>193.7</v>
      </c>
      <c r="AF61" s="654">
        <f>(197.9*KFC!$B$12+KFC!$C$12)*KFC!$C$5</f>
        <v>197.9</v>
      </c>
      <c r="AG61" s="654">
        <f>(202.1*KFC!$B$12+KFC!$C$12)*KFC!$C$5</f>
        <v>202.1</v>
      </c>
      <c r="AH61" s="654">
        <f>(206.3*KFC!$B$12+KFC!$C$12)*KFC!$C$5</f>
        <v>206.3</v>
      </c>
      <c r="AI61" s="654">
        <f>(210.5*KFC!$B$12+KFC!$C$12)*KFC!$C$5</f>
        <v>210.5</v>
      </c>
      <c r="AJ61" s="654">
        <f>(214.7*KFC!$B$12+KFC!$C$12)*KFC!$C$5</f>
        <v>214.7</v>
      </c>
      <c r="AK61" s="654">
        <f>(218.9*KFC!$B$12+KFC!$C$12)*KFC!$C$5</f>
        <v>218.9</v>
      </c>
      <c r="AL61" s="654">
        <f>(223.1*KFC!$B$12+KFC!$C$12)*KFC!$C$5</f>
        <v>223.1</v>
      </c>
      <c r="AM61" s="654">
        <f>(227.3*KFC!$B$12+KFC!$C$12)*KFC!$C$5</f>
        <v>227.3</v>
      </c>
      <c r="AN61" s="654">
        <f>(231.5*KFC!$B$12+KFC!$C$12)*KFC!$C$5</f>
        <v>231.5</v>
      </c>
      <c r="AO61" s="654">
        <f>(235.7*KFC!$B$12+KFC!$C$12)*KFC!$C$5</f>
        <v>235.7</v>
      </c>
      <c r="AP61" s="654">
        <f>(239.9*KFC!$B$12+KFC!$C$12)*KFC!$C$5</f>
        <v>239.9</v>
      </c>
      <c r="AQ61" s="654">
        <f>(244.1*KFC!$B$12+KFC!$C$12)*KFC!$C$5</f>
        <v>244.1</v>
      </c>
      <c r="AR61" s="654">
        <f>(248.4*KFC!$B$12+KFC!$C$12)*KFC!$C$5</f>
        <v>248.4</v>
      </c>
      <c r="AS61" s="654">
        <f>(252.5*KFC!$B$12+KFC!$C$12)*KFC!$C$5</f>
        <v>252.5</v>
      </c>
      <c r="AT61" s="654">
        <f>(256.8*KFC!$B$12+KFC!$C$12)*KFC!$C$5</f>
        <v>256.8</v>
      </c>
      <c r="AU61" s="654">
        <f>(261*KFC!$B$12+KFC!$C$12)*KFC!$C$5</f>
        <v>261</v>
      </c>
      <c r="AV61" s="654">
        <f>(265.2*KFC!$B$12+KFC!$C$12)*KFC!$C$5</f>
        <v>265.2</v>
      </c>
      <c r="AW61" s="654">
        <f>(269.4*KFC!$B$12+KFC!$C$12)*KFC!$C$5</f>
        <v>269.39999999999998</v>
      </c>
    </row>
    <row r="62" spans="1:49" ht="14.4">
      <c r="A62" s="1277"/>
      <c r="B62" s="649">
        <v>1</v>
      </c>
      <c r="C62" s="654">
        <f>(76.6*KFC!$B$12+KFC!$C$12)*KFC!$C$5</f>
        <v>76.599999999999994</v>
      </c>
      <c r="D62" s="654">
        <f>(81*KFC!$B$12+KFC!$C$12)*KFC!$C$5</f>
        <v>81</v>
      </c>
      <c r="E62" s="654">
        <f>(85.3*KFC!$B$12+KFC!$C$12)*KFC!$C$5</f>
        <v>85.3</v>
      </c>
      <c r="F62" s="654">
        <f>(89.7*KFC!$B$12+KFC!$C$12)*KFC!$C$5</f>
        <v>89.7</v>
      </c>
      <c r="G62" s="654">
        <f>(94*KFC!$B$12+KFC!$C$12)*KFC!$C$5</f>
        <v>94</v>
      </c>
      <c r="H62" s="654">
        <f>(98.4*KFC!$B$12+KFC!$C$12)*KFC!$C$5</f>
        <v>98.4</v>
      </c>
      <c r="I62" s="654">
        <f>(102.7*KFC!$B$12+KFC!$C$12)*KFC!$C$5</f>
        <v>102.7</v>
      </c>
      <c r="J62" s="654">
        <f>(107.1*KFC!$B$12+KFC!$C$12)*KFC!$C$5</f>
        <v>107.1</v>
      </c>
      <c r="K62" s="654">
        <f>(111.4*KFC!$B$12+KFC!$C$12)*KFC!$C$5</f>
        <v>111.4</v>
      </c>
      <c r="L62" s="654">
        <f>(115.8*KFC!$B$12+KFC!$C$12)*KFC!$C$5</f>
        <v>115.8</v>
      </c>
      <c r="M62" s="654">
        <f>(120.1*KFC!$B$12+KFC!$C$12)*KFC!$C$5</f>
        <v>120.1</v>
      </c>
      <c r="N62" s="654">
        <f>(124.5*KFC!$B$12+KFC!$C$12)*KFC!$C$5</f>
        <v>124.5</v>
      </c>
      <c r="O62" s="654">
        <f>(128.8*KFC!$B$12+KFC!$C$12)*KFC!$C$5</f>
        <v>128.80000000000001</v>
      </c>
      <c r="P62" s="654">
        <f>(133.2*KFC!$B$12+KFC!$C$12)*KFC!$C$5</f>
        <v>133.19999999999999</v>
      </c>
      <c r="Q62" s="654">
        <f>(137.5*KFC!$B$12+KFC!$C$12)*KFC!$C$5</f>
        <v>137.5</v>
      </c>
      <c r="R62" s="654">
        <f>(141.9*KFC!$B$12+KFC!$C$12)*KFC!$C$5</f>
        <v>141.9</v>
      </c>
      <c r="S62" s="654">
        <f>(146.2*KFC!$B$12+KFC!$C$12)*KFC!$C$5</f>
        <v>146.19999999999999</v>
      </c>
      <c r="T62" s="654">
        <f>(150.6*KFC!$B$12+KFC!$C$12)*KFC!$C$5</f>
        <v>150.6</v>
      </c>
      <c r="U62" s="654">
        <f>(154.9*KFC!$B$12+KFC!$C$12)*KFC!$C$5</f>
        <v>154.9</v>
      </c>
      <c r="V62" s="654">
        <f>(159.3*KFC!$B$12+KFC!$C$12)*KFC!$C$5</f>
        <v>159.30000000000001</v>
      </c>
      <c r="W62" s="654">
        <f>(163.6*KFC!$B$12+KFC!$C$12)*KFC!$C$5</f>
        <v>163.6</v>
      </c>
      <c r="X62" s="654">
        <f>(168*KFC!$B$12+KFC!$C$12)*KFC!$C$5</f>
        <v>168</v>
      </c>
      <c r="Y62" s="654">
        <f>(172.3*KFC!$B$12+KFC!$C$12)*KFC!$C$5</f>
        <v>172.3</v>
      </c>
      <c r="Z62" s="654">
        <f>(176.7*KFC!$B$12+KFC!$C$12)*KFC!$C$5</f>
        <v>176.7</v>
      </c>
      <c r="AA62" s="654">
        <f>(181*KFC!$B$12+KFC!$C$12)*KFC!$C$5</f>
        <v>181</v>
      </c>
      <c r="AB62" s="654">
        <f>(185.4*KFC!$B$12+KFC!$C$12)*KFC!$C$5</f>
        <v>185.4</v>
      </c>
      <c r="AC62" s="654">
        <f>(189.7*KFC!$B$12+KFC!$C$12)*KFC!$C$5</f>
        <v>189.7</v>
      </c>
      <c r="AD62" s="654">
        <f>(194.1*KFC!$B$12+KFC!$C$12)*KFC!$C$5</f>
        <v>194.1</v>
      </c>
      <c r="AE62" s="654">
        <f>(198.4*KFC!$B$12+KFC!$C$12)*KFC!$C$5</f>
        <v>198.4</v>
      </c>
      <c r="AF62" s="654">
        <f>(202.8*KFC!$B$12+KFC!$C$12)*KFC!$C$5</f>
        <v>202.8</v>
      </c>
      <c r="AG62" s="654">
        <f>(207.1*KFC!$B$12+KFC!$C$12)*KFC!$C$5</f>
        <v>207.1</v>
      </c>
      <c r="AH62" s="654">
        <f>(211.5*KFC!$B$12+KFC!$C$12)*KFC!$C$5</f>
        <v>211.5</v>
      </c>
      <c r="AI62" s="654">
        <f>(215.8*KFC!$B$12+KFC!$C$12)*KFC!$C$5</f>
        <v>215.8</v>
      </c>
      <c r="AJ62" s="654">
        <f>(220.2*KFC!$B$12+KFC!$C$12)*KFC!$C$5</f>
        <v>220.2</v>
      </c>
      <c r="AK62" s="654">
        <f>(224.5*KFC!$B$12+KFC!$C$12)*KFC!$C$5</f>
        <v>224.5</v>
      </c>
      <c r="AL62" s="654">
        <f>(228.9*KFC!$B$12+KFC!$C$12)*KFC!$C$5</f>
        <v>228.9</v>
      </c>
      <c r="AM62" s="654">
        <f>(233.2*KFC!$B$12+KFC!$C$12)*KFC!$C$5</f>
        <v>233.2</v>
      </c>
      <c r="AN62" s="654">
        <f>(237.6*KFC!$B$12+KFC!$C$12)*KFC!$C$5</f>
        <v>237.6</v>
      </c>
      <c r="AO62" s="654">
        <f>(241.9*KFC!$B$12+KFC!$C$12)*KFC!$C$5</f>
        <v>241.9</v>
      </c>
      <c r="AP62" s="654">
        <f>(246.3*KFC!$B$12+KFC!$C$12)*KFC!$C$5</f>
        <v>246.3</v>
      </c>
      <c r="AQ62" s="654">
        <f>(250.6*KFC!$B$12+KFC!$C$12)*KFC!$C$5</f>
        <v>250.6</v>
      </c>
      <c r="AR62" s="654">
        <f>(255*KFC!$B$12+KFC!$C$12)*KFC!$C$5</f>
        <v>255</v>
      </c>
      <c r="AS62" s="654">
        <f>(259.3*KFC!$B$12+KFC!$C$12)*KFC!$C$5</f>
        <v>259.3</v>
      </c>
      <c r="AT62" s="654">
        <f>(263.7*KFC!$B$12+KFC!$C$12)*KFC!$C$5</f>
        <v>263.7</v>
      </c>
      <c r="AU62" s="654">
        <f>(268*KFC!$B$12+KFC!$C$12)*KFC!$C$5</f>
        <v>268</v>
      </c>
      <c r="AV62" s="654">
        <f>(272.4*KFC!$B$12+KFC!$C$12)*KFC!$C$5</f>
        <v>272.39999999999998</v>
      </c>
      <c r="AW62" s="654">
        <f>(276.7*KFC!$B$12+KFC!$C$12)*KFC!$C$5</f>
        <v>276.7</v>
      </c>
    </row>
    <row r="63" spans="1:49" ht="14.4">
      <c r="A63" s="1277"/>
      <c r="B63" s="649">
        <v>1.1000000000000001</v>
      </c>
      <c r="C63" s="654">
        <f>(77.4*KFC!$B$12+KFC!$C$12)*KFC!$C$5</f>
        <v>77.400000000000006</v>
      </c>
      <c r="D63" s="654">
        <f>(81.9*KFC!$B$12+KFC!$C$12)*KFC!$C$5</f>
        <v>81.900000000000006</v>
      </c>
      <c r="E63" s="654">
        <f>(86.4*KFC!$B$12+KFC!$C$12)*KFC!$C$5</f>
        <v>86.4</v>
      </c>
      <c r="F63" s="654">
        <f>(90.9*KFC!$B$12+KFC!$C$12)*KFC!$C$5</f>
        <v>90.9</v>
      </c>
      <c r="G63" s="654">
        <f>(95.4*KFC!$B$12+KFC!$C$12)*KFC!$C$5</f>
        <v>95.4</v>
      </c>
      <c r="H63" s="654">
        <f>(99.8*KFC!$B$12+KFC!$C$12)*KFC!$C$5</f>
        <v>99.8</v>
      </c>
      <c r="I63" s="654">
        <f>(104.3*KFC!$B$12+KFC!$C$12)*KFC!$C$5</f>
        <v>104.3</v>
      </c>
      <c r="J63" s="654">
        <f>(108.8*KFC!$B$12+KFC!$C$12)*KFC!$C$5</f>
        <v>108.8</v>
      </c>
      <c r="K63" s="654">
        <f>(113.3*KFC!$B$12+KFC!$C$12)*KFC!$C$5</f>
        <v>113.3</v>
      </c>
      <c r="L63" s="654">
        <f>(117.8*KFC!$B$12+KFC!$C$12)*KFC!$C$5</f>
        <v>117.8</v>
      </c>
      <c r="M63" s="654">
        <f>(122.3*KFC!$B$12+KFC!$C$12)*KFC!$C$5</f>
        <v>122.3</v>
      </c>
      <c r="N63" s="654">
        <f>(126.8*KFC!$B$12+KFC!$C$12)*KFC!$C$5</f>
        <v>126.8</v>
      </c>
      <c r="O63" s="654">
        <f>(131.3*KFC!$B$12+KFC!$C$12)*KFC!$C$5</f>
        <v>131.30000000000001</v>
      </c>
      <c r="P63" s="654">
        <f>(135.8*KFC!$B$12+KFC!$C$12)*KFC!$C$5</f>
        <v>135.80000000000001</v>
      </c>
      <c r="Q63" s="654">
        <f>(140.3*KFC!$B$12+KFC!$C$12)*KFC!$C$5</f>
        <v>140.30000000000001</v>
      </c>
      <c r="R63" s="654">
        <f>(144.8*KFC!$B$12+KFC!$C$12)*KFC!$C$5</f>
        <v>144.80000000000001</v>
      </c>
      <c r="S63" s="654">
        <f>(149.3*KFC!$B$12+KFC!$C$12)*KFC!$C$5</f>
        <v>149.30000000000001</v>
      </c>
      <c r="T63" s="654">
        <f>(153.7*KFC!$B$12+KFC!$C$12)*KFC!$C$5</f>
        <v>153.69999999999999</v>
      </c>
      <c r="U63" s="654">
        <f>(158.2*KFC!$B$12+KFC!$C$12)*KFC!$C$5</f>
        <v>158.19999999999999</v>
      </c>
      <c r="V63" s="654">
        <f>(162.7*KFC!$B$12+KFC!$C$12)*KFC!$C$5</f>
        <v>162.69999999999999</v>
      </c>
      <c r="W63" s="654">
        <f>(167.2*KFC!$B$12+KFC!$C$12)*KFC!$C$5</f>
        <v>167.2</v>
      </c>
      <c r="X63" s="654">
        <f>(171.7*KFC!$B$12+KFC!$C$12)*KFC!$C$5</f>
        <v>171.7</v>
      </c>
      <c r="Y63" s="654">
        <f>(176.2*KFC!$B$12+KFC!$C$12)*KFC!$C$5</f>
        <v>176.2</v>
      </c>
      <c r="Z63" s="654">
        <f>(180.7*KFC!$B$12+KFC!$C$12)*KFC!$C$5</f>
        <v>180.7</v>
      </c>
      <c r="AA63" s="654">
        <f>(185.2*KFC!$B$12+KFC!$C$12)*KFC!$C$5</f>
        <v>185.2</v>
      </c>
      <c r="AB63" s="654">
        <f>(189.7*KFC!$B$12+KFC!$C$12)*KFC!$C$5</f>
        <v>189.7</v>
      </c>
      <c r="AC63" s="654">
        <f>(194.2*KFC!$B$12+KFC!$C$12)*KFC!$C$5</f>
        <v>194.2</v>
      </c>
      <c r="AD63" s="654">
        <f>(198.7*KFC!$B$12+KFC!$C$12)*KFC!$C$5</f>
        <v>198.7</v>
      </c>
      <c r="AE63" s="654">
        <f>(203.2*KFC!$B$12+KFC!$C$12)*KFC!$C$5</f>
        <v>203.2</v>
      </c>
      <c r="AF63" s="654">
        <f>(207.7*KFC!$B$12+KFC!$C$12)*KFC!$C$5</f>
        <v>207.7</v>
      </c>
      <c r="AG63" s="654">
        <f>(212.2*KFC!$B$12+KFC!$C$12)*KFC!$C$5</f>
        <v>212.2</v>
      </c>
      <c r="AH63" s="654">
        <f>(216.6*KFC!$B$12+KFC!$C$12)*KFC!$C$5</f>
        <v>216.6</v>
      </c>
      <c r="AI63" s="654">
        <f>(221.1*KFC!$B$12+KFC!$C$12)*KFC!$C$5</f>
        <v>221.1</v>
      </c>
      <c r="AJ63" s="654">
        <f>(225.6*KFC!$B$12+KFC!$C$12)*KFC!$C$5</f>
        <v>225.6</v>
      </c>
      <c r="AK63" s="654">
        <f>(230.1*KFC!$B$12+KFC!$C$12)*KFC!$C$5</f>
        <v>230.1</v>
      </c>
      <c r="AL63" s="654">
        <f>(234.6*KFC!$B$12+KFC!$C$12)*KFC!$C$5</f>
        <v>234.6</v>
      </c>
      <c r="AM63" s="654">
        <f>(239.1*KFC!$B$12+KFC!$C$12)*KFC!$C$5</f>
        <v>239.1</v>
      </c>
      <c r="AN63" s="654">
        <f>(243.6*KFC!$B$12+KFC!$C$12)*KFC!$C$5</f>
        <v>243.6</v>
      </c>
      <c r="AO63" s="654">
        <f>(248.1*KFC!$B$12+KFC!$C$12)*KFC!$C$5</f>
        <v>248.1</v>
      </c>
      <c r="AP63" s="654">
        <f>(252.6*KFC!$B$12+KFC!$C$12)*KFC!$C$5</f>
        <v>252.6</v>
      </c>
      <c r="AQ63" s="654">
        <f>(257.1*KFC!$B$12+KFC!$C$12)*KFC!$C$5</f>
        <v>257.10000000000002</v>
      </c>
      <c r="AR63" s="654">
        <f>(261.6*KFC!$B$12+KFC!$C$12)*KFC!$C$5</f>
        <v>261.60000000000002</v>
      </c>
      <c r="AS63" s="654">
        <f>(266.1*KFC!$B$12+KFC!$C$12)*KFC!$C$5</f>
        <v>266.10000000000002</v>
      </c>
      <c r="AT63" s="654">
        <f>(270.6*KFC!$B$12+KFC!$C$12)*KFC!$C$5</f>
        <v>270.60000000000002</v>
      </c>
      <c r="AU63" s="654">
        <f>(275*KFC!$B$12+KFC!$C$12)*KFC!$C$5</f>
        <v>275</v>
      </c>
      <c r="AV63" s="654">
        <f>(279.5*KFC!$B$12+KFC!$C$12)*KFC!$C$5</f>
        <v>279.5</v>
      </c>
      <c r="AW63" s="654">
        <f>(284*KFC!$B$12+KFC!$C$12)*KFC!$C$5</f>
        <v>284</v>
      </c>
    </row>
    <row r="64" spans="1:49" ht="14.4">
      <c r="A64" s="1277"/>
      <c r="B64" s="649">
        <v>1.2</v>
      </c>
      <c r="C64" s="654">
        <f>(78.1*KFC!$B$12+KFC!$C$12)*KFC!$C$5</f>
        <v>78.099999999999994</v>
      </c>
      <c r="D64" s="654">
        <f>(82.8*KFC!$B$12+KFC!$C$12)*KFC!$C$5</f>
        <v>82.8</v>
      </c>
      <c r="E64" s="654">
        <f>(87.4*KFC!$B$12+KFC!$C$12)*KFC!$C$5</f>
        <v>87.4</v>
      </c>
      <c r="F64" s="654">
        <f>(92.1*KFC!$B$12+KFC!$C$12)*KFC!$C$5</f>
        <v>92.1</v>
      </c>
      <c r="G64" s="654">
        <f>(96.7*KFC!$B$12+KFC!$C$12)*KFC!$C$5</f>
        <v>96.7</v>
      </c>
      <c r="H64" s="654">
        <f>(101.3*KFC!$B$12+KFC!$C$12)*KFC!$C$5</f>
        <v>101.3</v>
      </c>
      <c r="I64" s="654">
        <f>(105.9*KFC!$B$12+KFC!$C$12)*KFC!$C$5</f>
        <v>105.9</v>
      </c>
      <c r="J64" s="654">
        <f>(110.6*KFC!$B$12+KFC!$C$12)*KFC!$C$5</f>
        <v>110.6</v>
      </c>
      <c r="K64" s="654">
        <f>(115.2*KFC!$B$12+KFC!$C$12)*KFC!$C$5</f>
        <v>115.2</v>
      </c>
      <c r="L64" s="654">
        <f>(119.9*KFC!$B$12+KFC!$C$12)*KFC!$C$5</f>
        <v>119.9</v>
      </c>
      <c r="M64" s="654">
        <f>(124.5*KFC!$B$12+KFC!$C$12)*KFC!$C$5</f>
        <v>124.5</v>
      </c>
      <c r="N64" s="654">
        <f>(129.1*KFC!$B$12+KFC!$C$12)*KFC!$C$5</f>
        <v>129.1</v>
      </c>
      <c r="O64" s="654">
        <f>(133.8*KFC!$B$12+KFC!$C$12)*KFC!$C$5</f>
        <v>133.80000000000001</v>
      </c>
      <c r="P64" s="654">
        <f>(138.4*KFC!$B$12+KFC!$C$12)*KFC!$C$5</f>
        <v>138.4</v>
      </c>
      <c r="Q64" s="654">
        <f>(143*KFC!$B$12+KFC!$C$12)*KFC!$C$5</f>
        <v>143</v>
      </c>
      <c r="R64" s="654">
        <f>(147.7*KFC!$B$12+KFC!$C$12)*KFC!$C$5</f>
        <v>147.69999999999999</v>
      </c>
      <c r="S64" s="654">
        <f>(152.3*KFC!$B$12+KFC!$C$12)*KFC!$C$5</f>
        <v>152.30000000000001</v>
      </c>
      <c r="T64" s="654">
        <f>(156.9*KFC!$B$12+KFC!$C$12)*KFC!$C$5</f>
        <v>156.9</v>
      </c>
      <c r="U64" s="654">
        <f>(161.6*KFC!$B$12+KFC!$C$12)*KFC!$C$5</f>
        <v>161.6</v>
      </c>
      <c r="V64" s="654">
        <f>(166.2*KFC!$B$12+KFC!$C$12)*KFC!$C$5</f>
        <v>166.2</v>
      </c>
      <c r="W64" s="654">
        <f>(170.8*KFC!$B$12+KFC!$C$12)*KFC!$C$5</f>
        <v>170.8</v>
      </c>
      <c r="X64" s="654">
        <f>(175.5*KFC!$B$12+KFC!$C$12)*KFC!$C$5</f>
        <v>175.5</v>
      </c>
      <c r="Y64" s="654">
        <f>(180.1*KFC!$B$12+KFC!$C$12)*KFC!$C$5</f>
        <v>180.1</v>
      </c>
      <c r="Z64" s="654">
        <f>(184.7*KFC!$B$12+KFC!$C$12)*KFC!$C$5</f>
        <v>184.7</v>
      </c>
      <c r="AA64" s="654">
        <f>(189.4*KFC!$B$12+KFC!$C$12)*KFC!$C$5</f>
        <v>189.4</v>
      </c>
      <c r="AB64" s="654">
        <f>(194*KFC!$B$12+KFC!$C$12)*KFC!$C$5</f>
        <v>194</v>
      </c>
      <c r="AC64" s="654">
        <f>(198.7*KFC!$B$12+KFC!$C$12)*KFC!$C$5</f>
        <v>198.7</v>
      </c>
      <c r="AD64" s="654">
        <f>(203.3*KFC!$B$12+KFC!$C$12)*KFC!$C$5</f>
        <v>203.3</v>
      </c>
      <c r="AE64" s="654">
        <f>(207.9*KFC!$B$12+KFC!$C$12)*KFC!$C$5</f>
        <v>207.9</v>
      </c>
      <c r="AF64" s="654">
        <f>(212.6*KFC!$B$12+KFC!$C$12)*KFC!$C$5</f>
        <v>212.6</v>
      </c>
      <c r="AG64" s="654">
        <f>(217.2*KFC!$B$12+KFC!$C$12)*KFC!$C$5</f>
        <v>217.2</v>
      </c>
      <c r="AH64" s="654">
        <f>(221.8*KFC!$B$12+KFC!$C$12)*KFC!$C$5</f>
        <v>221.8</v>
      </c>
      <c r="AI64" s="654">
        <f>(226.5*KFC!$B$12+KFC!$C$12)*KFC!$C$5</f>
        <v>226.5</v>
      </c>
      <c r="AJ64" s="654">
        <f>(231.1*KFC!$B$12+KFC!$C$12)*KFC!$C$5</f>
        <v>231.1</v>
      </c>
      <c r="AK64" s="654">
        <f>(235.7*KFC!$B$12+KFC!$C$12)*KFC!$C$5</f>
        <v>235.7</v>
      </c>
      <c r="AL64" s="654">
        <f>(240.4*KFC!$B$12+KFC!$C$12)*KFC!$C$5</f>
        <v>240.4</v>
      </c>
      <c r="AM64" s="654">
        <f>(245*KFC!$B$12+KFC!$C$12)*KFC!$C$5</f>
        <v>245</v>
      </c>
      <c r="AN64" s="654">
        <f>(249.6*KFC!$B$12+KFC!$C$12)*KFC!$C$5</f>
        <v>249.6</v>
      </c>
      <c r="AO64" s="654">
        <f>(254.3*KFC!$B$12+KFC!$C$12)*KFC!$C$5</f>
        <v>254.3</v>
      </c>
      <c r="AP64" s="654">
        <f>(258.9*KFC!$B$12+KFC!$C$12)*KFC!$C$5</f>
        <v>258.89999999999998</v>
      </c>
      <c r="AQ64" s="654">
        <f>(263.6*KFC!$B$12+KFC!$C$12)*KFC!$C$5</f>
        <v>263.60000000000002</v>
      </c>
      <c r="AR64" s="654">
        <f>(268.2*KFC!$B$12+KFC!$C$12)*KFC!$C$5</f>
        <v>268.2</v>
      </c>
      <c r="AS64" s="654">
        <f>(272.8*KFC!$B$12+KFC!$C$12)*KFC!$C$5</f>
        <v>272.8</v>
      </c>
      <c r="AT64" s="654">
        <f>(277.5*KFC!$B$12+KFC!$C$12)*KFC!$C$5</f>
        <v>277.5</v>
      </c>
      <c r="AU64" s="654">
        <f>(282.1*KFC!$B$12+KFC!$C$12)*KFC!$C$5</f>
        <v>282.10000000000002</v>
      </c>
      <c r="AV64" s="654">
        <f>(286.7*KFC!$B$12+KFC!$C$12)*KFC!$C$5</f>
        <v>286.7</v>
      </c>
      <c r="AW64" s="654">
        <f>(291.4*KFC!$B$12+KFC!$C$12)*KFC!$C$5</f>
        <v>291.39999999999998</v>
      </c>
    </row>
    <row r="65" spans="1:49" ht="14.4">
      <c r="A65" s="1277"/>
      <c r="B65" s="649">
        <v>1.3</v>
      </c>
      <c r="C65" s="654">
        <f>(78.9*KFC!$B$12+KFC!$C$12)*KFC!$C$5</f>
        <v>78.900000000000006</v>
      </c>
      <c r="D65" s="654">
        <f>(83.7*KFC!$B$12+KFC!$C$12)*KFC!$C$5</f>
        <v>83.7</v>
      </c>
      <c r="E65" s="654">
        <f>(88.4*KFC!$B$12+KFC!$C$12)*KFC!$C$5</f>
        <v>88.4</v>
      </c>
      <c r="F65" s="654">
        <f>(93.2*KFC!$B$12+KFC!$C$12)*KFC!$C$5</f>
        <v>93.2</v>
      </c>
      <c r="G65" s="654">
        <f>(98*KFC!$B$12+KFC!$C$12)*KFC!$C$5</f>
        <v>98</v>
      </c>
      <c r="H65" s="654">
        <f>(102.8*KFC!$B$12+KFC!$C$12)*KFC!$C$5</f>
        <v>102.8</v>
      </c>
      <c r="I65" s="654">
        <f>(107.6*KFC!$B$12+KFC!$C$12)*KFC!$C$5</f>
        <v>107.6</v>
      </c>
      <c r="J65" s="654">
        <f>(112.3*KFC!$B$12+KFC!$C$12)*KFC!$C$5</f>
        <v>112.3</v>
      </c>
      <c r="K65" s="654">
        <f>(117.1*KFC!$B$12+KFC!$C$12)*KFC!$C$5</f>
        <v>117.1</v>
      </c>
      <c r="L65" s="654">
        <f>(121.9*KFC!$B$12+KFC!$C$12)*KFC!$C$5</f>
        <v>121.9</v>
      </c>
      <c r="M65" s="654">
        <f>(126.7*KFC!$B$12+KFC!$C$12)*KFC!$C$5</f>
        <v>126.7</v>
      </c>
      <c r="N65" s="654">
        <f>(131.5*KFC!$B$12+KFC!$C$12)*KFC!$C$5</f>
        <v>131.5</v>
      </c>
      <c r="O65" s="654">
        <f>(136.2*KFC!$B$12+KFC!$C$12)*KFC!$C$5</f>
        <v>136.19999999999999</v>
      </c>
      <c r="P65" s="654">
        <f>(141*KFC!$B$12+KFC!$C$12)*KFC!$C$5</f>
        <v>141</v>
      </c>
      <c r="Q65" s="654">
        <f>(145.8*KFC!$B$12+KFC!$C$12)*KFC!$C$5</f>
        <v>145.80000000000001</v>
      </c>
      <c r="R65" s="654">
        <f>(150.6*KFC!$B$12+KFC!$C$12)*KFC!$C$5</f>
        <v>150.6</v>
      </c>
      <c r="S65" s="654">
        <f>(155.3*KFC!$B$12+KFC!$C$12)*KFC!$C$5</f>
        <v>155.30000000000001</v>
      </c>
      <c r="T65" s="654">
        <f>(160.1*KFC!$B$12+KFC!$C$12)*KFC!$C$5</f>
        <v>160.1</v>
      </c>
      <c r="U65" s="654">
        <f>(164.9*KFC!$B$12+KFC!$C$12)*KFC!$C$5</f>
        <v>164.9</v>
      </c>
      <c r="V65" s="654">
        <f>(169.7*KFC!$B$12+KFC!$C$12)*KFC!$C$5</f>
        <v>169.7</v>
      </c>
      <c r="W65" s="654">
        <f>(174.5*KFC!$B$12+KFC!$C$12)*KFC!$C$5</f>
        <v>174.5</v>
      </c>
      <c r="X65" s="654">
        <f>(179.2*KFC!$B$12+KFC!$C$12)*KFC!$C$5</f>
        <v>179.2</v>
      </c>
      <c r="Y65" s="654">
        <f>(184*KFC!$B$12+KFC!$C$12)*KFC!$C$5</f>
        <v>184</v>
      </c>
      <c r="Z65" s="654">
        <f>(188.8*KFC!$B$12+KFC!$C$12)*KFC!$C$5</f>
        <v>188.8</v>
      </c>
      <c r="AA65" s="654">
        <f>(193.6*KFC!$B$12+KFC!$C$12)*KFC!$C$5</f>
        <v>193.6</v>
      </c>
      <c r="AB65" s="654">
        <f>(198.4*KFC!$B$12+KFC!$C$12)*KFC!$C$5</f>
        <v>198.4</v>
      </c>
      <c r="AC65" s="654">
        <f>(203.1*KFC!$B$12+KFC!$C$12)*KFC!$C$5</f>
        <v>203.1</v>
      </c>
      <c r="AD65" s="654">
        <f>(207.9*KFC!$B$12+KFC!$C$12)*KFC!$C$5</f>
        <v>207.9</v>
      </c>
      <c r="AE65" s="654">
        <f>(212.7*KFC!$B$12+KFC!$C$12)*KFC!$C$5</f>
        <v>212.7</v>
      </c>
      <c r="AF65" s="654">
        <f>(217.5*KFC!$B$12+KFC!$C$12)*KFC!$C$5</f>
        <v>217.5</v>
      </c>
      <c r="AG65" s="654">
        <f>(222.2*KFC!$B$12+KFC!$C$12)*KFC!$C$5</f>
        <v>222.2</v>
      </c>
      <c r="AH65" s="654">
        <f>(227*KFC!$B$12+KFC!$C$12)*KFC!$C$5</f>
        <v>227</v>
      </c>
      <c r="AI65" s="654">
        <f>(231.8*KFC!$B$12+KFC!$C$12)*KFC!$C$5</f>
        <v>231.8</v>
      </c>
      <c r="AJ65" s="654">
        <f>(236.6*KFC!$B$12+KFC!$C$12)*KFC!$C$5</f>
        <v>236.6</v>
      </c>
      <c r="AK65" s="654">
        <f>(241.4*KFC!$B$12+KFC!$C$12)*KFC!$C$5</f>
        <v>241.4</v>
      </c>
      <c r="AL65" s="654">
        <f>(246.1*KFC!$B$12+KFC!$C$12)*KFC!$C$5</f>
        <v>246.1</v>
      </c>
      <c r="AM65" s="654">
        <f>(250.9*KFC!$B$12+KFC!$C$12)*KFC!$C$5</f>
        <v>250.9</v>
      </c>
      <c r="AN65" s="654">
        <f>(255.7*KFC!$B$12+KFC!$C$12)*KFC!$C$5</f>
        <v>255.7</v>
      </c>
      <c r="AO65" s="654">
        <f>(260.5*KFC!$B$12+KFC!$C$12)*KFC!$C$5</f>
        <v>260.5</v>
      </c>
      <c r="AP65" s="654">
        <f>(265.2*KFC!$B$12+KFC!$C$12)*KFC!$C$5</f>
        <v>265.2</v>
      </c>
      <c r="AQ65" s="654">
        <f>(270*KFC!$B$12+KFC!$C$12)*KFC!$C$5</f>
        <v>270</v>
      </c>
      <c r="AR65" s="654">
        <f>(274.8*KFC!$B$12+KFC!$C$12)*KFC!$C$5</f>
        <v>274.8</v>
      </c>
      <c r="AS65" s="654">
        <f>(279.6*KFC!$B$12+KFC!$C$12)*KFC!$C$5</f>
        <v>279.60000000000002</v>
      </c>
      <c r="AT65" s="654">
        <f>(284.4*KFC!$B$12+KFC!$C$12)*KFC!$C$5</f>
        <v>284.39999999999998</v>
      </c>
      <c r="AU65" s="654">
        <f>(289.1*KFC!$B$12+KFC!$C$12)*KFC!$C$5</f>
        <v>289.10000000000002</v>
      </c>
      <c r="AV65" s="654">
        <f>(293.9*KFC!$B$12+KFC!$C$12)*KFC!$C$5</f>
        <v>293.89999999999998</v>
      </c>
      <c r="AW65" s="654">
        <f>(298.7*KFC!$B$12+KFC!$C$12)*KFC!$C$5</f>
        <v>298.7</v>
      </c>
    </row>
    <row r="66" spans="1:49" ht="14.4">
      <c r="A66" s="1277"/>
      <c r="B66" s="649">
        <v>1.4</v>
      </c>
      <c r="C66" s="654">
        <f>(79.6*KFC!$B$12+KFC!$C$12)*KFC!$C$5</f>
        <v>79.599999999999994</v>
      </c>
      <c r="D66" s="654">
        <f>(84.6*KFC!$B$12+KFC!$C$12)*KFC!$C$5</f>
        <v>84.6</v>
      </c>
      <c r="E66" s="654">
        <f>(89.5*KFC!$B$12+KFC!$C$12)*KFC!$C$5</f>
        <v>89.5</v>
      </c>
      <c r="F66" s="654">
        <f>(94.4*KFC!$B$12+KFC!$C$12)*KFC!$C$5</f>
        <v>94.4</v>
      </c>
      <c r="G66" s="654">
        <f>(99.3*KFC!$B$12+KFC!$C$12)*KFC!$C$5</f>
        <v>99.3</v>
      </c>
      <c r="H66" s="654">
        <f>(104.3*KFC!$B$12+KFC!$C$12)*KFC!$C$5</f>
        <v>104.3</v>
      </c>
      <c r="I66" s="654">
        <f>(109.2*KFC!$B$12+KFC!$C$12)*KFC!$C$5</f>
        <v>109.2</v>
      </c>
      <c r="J66" s="654">
        <f>(114.1*KFC!$B$12+KFC!$C$12)*KFC!$C$5</f>
        <v>114.1</v>
      </c>
      <c r="K66" s="654">
        <f>(119*KFC!$B$12+KFC!$C$12)*KFC!$C$5</f>
        <v>119</v>
      </c>
      <c r="L66" s="654">
        <f>(123.9*KFC!$B$12+KFC!$C$12)*KFC!$C$5</f>
        <v>123.9</v>
      </c>
      <c r="M66" s="654">
        <f>(128.9*KFC!$B$12+KFC!$C$12)*KFC!$C$5</f>
        <v>128.9</v>
      </c>
      <c r="N66" s="654">
        <f>(133.8*KFC!$B$12+KFC!$C$12)*KFC!$C$5</f>
        <v>133.80000000000001</v>
      </c>
      <c r="O66" s="654">
        <f>(138.7*KFC!$B$12+KFC!$C$12)*KFC!$C$5</f>
        <v>138.69999999999999</v>
      </c>
      <c r="P66" s="654">
        <f>(143.6*KFC!$B$12+KFC!$C$12)*KFC!$C$5</f>
        <v>143.6</v>
      </c>
      <c r="Q66" s="654">
        <f>(148.5*KFC!$B$12+KFC!$C$12)*KFC!$C$5</f>
        <v>148.5</v>
      </c>
      <c r="R66" s="654">
        <f>(153.5*KFC!$B$12+KFC!$C$12)*KFC!$C$5</f>
        <v>153.5</v>
      </c>
      <c r="S66" s="654">
        <f>(158.4*KFC!$B$12+KFC!$C$12)*KFC!$C$5</f>
        <v>158.4</v>
      </c>
      <c r="T66" s="654">
        <f>(163.3*KFC!$B$12+KFC!$C$12)*KFC!$C$5</f>
        <v>163.30000000000001</v>
      </c>
      <c r="U66" s="654">
        <f>(168.2*KFC!$B$12+KFC!$C$12)*KFC!$C$5</f>
        <v>168.2</v>
      </c>
      <c r="V66" s="654">
        <f>(173.1*KFC!$B$12+KFC!$C$12)*KFC!$C$5</f>
        <v>173.1</v>
      </c>
      <c r="W66" s="654">
        <f>(178.1*KFC!$B$12+KFC!$C$12)*KFC!$C$5</f>
        <v>178.1</v>
      </c>
      <c r="X66" s="654">
        <f>(183*KFC!$B$12+KFC!$C$12)*KFC!$C$5</f>
        <v>183</v>
      </c>
      <c r="Y66" s="654">
        <f>(187.9*KFC!$B$12+KFC!$C$12)*KFC!$C$5</f>
        <v>187.9</v>
      </c>
      <c r="Z66" s="654">
        <f>(192.8*KFC!$B$12+KFC!$C$12)*KFC!$C$5</f>
        <v>192.8</v>
      </c>
      <c r="AA66" s="654">
        <f>(197.7*KFC!$B$12+KFC!$C$12)*KFC!$C$5</f>
        <v>197.7</v>
      </c>
      <c r="AB66" s="654">
        <f>(202.7*KFC!$B$12+KFC!$C$12)*KFC!$C$5</f>
        <v>202.7</v>
      </c>
      <c r="AC66" s="654">
        <f>(207.6*KFC!$B$12+KFC!$C$12)*KFC!$C$5</f>
        <v>207.6</v>
      </c>
      <c r="AD66" s="654">
        <f>(212.5*KFC!$B$12+KFC!$C$12)*KFC!$C$5</f>
        <v>212.5</v>
      </c>
      <c r="AE66" s="654">
        <f>(217.4*KFC!$B$12+KFC!$C$12)*KFC!$C$5</f>
        <v>217.4</v>
      </c>
      <c r="AF66" s="654">
        <f>(222.4*KFC!$B$12+KFC!$C$12)*KFC!$C$5</f>
        <v>222.4</v>
      </c>
      <c r="AG66" s="654">
        <f>(227.3*KFC!$B$12+KFC!$C$12)*KFC!$C$5</f>
        <v>227.3</v>
      </c>
      <c r="AH66" s="654">
        <f>(232.2*KFC!$B$12+KFC!$C$12)*KFC!$C$5</f>
        <v>232.2</v>
      </c>
      <c r="AI66" s="654">
        <f>(237.1*KFC!$B$12+KFC!$C$12)*KFC!$C$5</f>
        <v>237.1</v>
      </c>
      <c r="AJ66" s="654">
        <f>(242*KFC!$B$12+KFC!$C$12)*KFC!$C$5</f>
        <v>242</v>
      </c>
      <c r="AK66" s="654">
        <f>(247*KFC!$B$12+KFC!$C$12)*KFC!$C$5</f>
        <v>247</v>
      </c>
      <c r="AL66" s="654">
        <f>(251.9*KFC!$B$12+KFC!$C$12)*KFC!$C$5</f>
        <v>251.9</v>
      </c>
      <c r="AM66" s="654">
        <f>(256.8*KFC!$B$12+KFC!$C$12)*KFC!$C$5</f>
        <v>256.8</v>
      </c>
      <c r="AN66" s="654">
        <f>(261.7*KFC!$B$12+KFC!$C$12)*KFC!$C$5</f>
        <v>261.7</v>
      </c>
      <c r="AO66" s="654">
        <f>(266.7*KFC!$B$12+KFC!$C$12)*KFC!$C$5</f>
        <v>266.7</v>
      </c>
      <c r="AP66" s="654">
        <f>(271.6*KFC!$B$12+KFC!$C$12)*KFC!$C$5</f>
        <v>271.60000000000002</v>
      </c>
      <c r="AQ66" s="654">
        <f>(276.5*KFC!$B$12+KFC!$C$12)*KFC!$C$5</f>
        <v>276.5</v>
      </c>
      <c r="AR66" s="654">
        <f>(281.4*KFC!$B$12+KFC!$C$12)*KFC!$C$5</f>
        <v>281.39999999999998</v>
      </c>
      <c r="AS66" s="654">
        <f>(286.3*KFC!$B$12+KFC!$C$12)*KFC!$C$5</f>
        <v>286.3</v>
      </c>
      <c r="AT66" s="654">
        <f>(291.3*KFC!$B$12+KFC!$C$12)*KFC!$C$5</f>
        <v>291.3</v>
      </c>
      <c r="AU66" s="654">
        <f>(296.2*KFC!$B$12+KFC!$C$12)*KFC!$C$5</f>
        <v>296.2</v>
      </c>
      <c r="AV66" s="654">
        <f>(301.1*KFC!$B$12+KFC!$C$12)*KFC!$C$5</f>
        <v>301.10000000000002</v>
      </c>
      <c r="AW66" s="654">
        <f>(306*KFC!$B$12+KFC!$C$12)*KFC!$C$5</f>
        <v>306</v>
      </c>
    </row>
    <row r="67" spans="1:49" ht="14.4">
      <c r="A67" s="1277"/>
      <c r="B67" s="649">
        <v>1.5</v>
      </c>
      <c r="C67" s="654">
        <f>(80.4*KFC!$B$12+KFC!$C$12)*KFC!$C$5</f>
        <v>80.400000000000006</v>
      </c>
      <c r="D67" s="654">
        <f>(85.5*KFC!$B$12+KFC!$C$12)*KFC!$C$5</f>
        <v>85.5</v>
      </c>
      <c r="E67" s="654">
        <f>(90.5*KFC!$B$12+KFC!$C$12)*KFC!$C$5</f>
        <v>90.5</v>
      </c>
      <c r="F67" s="654">
        <f>(95.6*KFC!$B$12+KFC!$C$12)*KFC!$C$5</f>
        <v>95.6</v>
      </c>
      <c r="G67" s="654">
        <f>(100.7*KFC!$B$12+KFC!$C$12)*KFC!$C$5</f>
        <v>100.7</v>
      </c>
      <c r="H67" s="654">
        <f>(105.7*KFC!$B$12+KFC!$C$12)*KFC!$C$5</f>
        <v>105.7</v>
      </c>
      <c r="I67" s="654">
        <f>(110.8*KFC!$B$12+KFC!$C$12)*KFC!$C$5</f>
        <v>110.8</v>
      </c>
      <c r="J67" s="654">
        <f>(115.9*KFC!$B$12+KFC!$C$12)*KFC!$C$5</f>
        <v>115.9</v>
      </c>
      <c r="K67" s="654">
        <f>(120.9*KFC!$B$12+KFC!$C$12)*KFC!$C$5</f>
        <v>120.9</v>
      </c>
      <c r="L67" s="654">
        <f>(126*KFC!$B$12+KFC!$C$12)*KFC!$C$5</f>
        <v>126</v>
      </c>
      <c r="M67" s="654">
        <f>(131*KFC!$B$12+KFC!$C$12)*KFC!$C$5</f>
        <v>131</v>
      </c>
      <c r="N67" s="654">
        <f>(136.1*KFC!$B$12+KFC!$C$12)*KFC!$C$5</f>
        <v>136.1</v>
      </c>
      <c r="O67" s="654">
        <f>(141.2*KFC!$B$12+KFC!$C$12)*KFC!$C$5</f>
        <v>141.19999999999999</v>
      </c>
      <c r="P67" s="654">
        <f>(146.2*KFC!$B$12+KFC!$C$12)*KFC!$C$5</f>
        <v>146.19999999999999</v>
      </c>
      <c r="Q67" s="654">
        <f>(151.3*KFC!$B$12+KFC!$C$12)*KFC!$C$5</f>
        <v>151.30000000000001</v>
      </c>
      <c r="R67" s="654">
        <f>(156.4*KFC!$B$12+KFC!$C$12)*KFC!$C$5</f>
        <v>156.4</v>
      </c>
      <c r="S67" s="654">
        <f>(161.4*KFC!$B$12+KFC!$C$12)*KFC!$C$5</f>
        <v>161.4</v>
      </c>
      <c r="T67" s="654">
        <f>(166.5*KFC!$B$12+KFC!$C$12)*KFC!$C$5</f>
        <v>166.5</v>
      </c>
      <c r="U67" s="654">
        <f>(171.6*KFC!$B$12+KFC!$C$12)*KFC!$C$5</f>
        <v>171.6</v>
      </c>
      <c r="V67" s="654">
        <f>(176.6*KFC!$B$12+KFC!$C$12)*KFC!$C$5</f>
        <v>176.6</v>
      </c>
      <c r="W67" s="654">
        <f>(181.7*KFC!$B$12+KFC!$C$12)*KFC!$C$5</f>
        <v>181.7</v>
      </c>
      <c r="X67" s="654">
        <f>(186.7*KFC!$B$12+KFC!$C$12)*KFC!$C$5</f>
        <v>186.7</v>
      </c>
      <c r="Y67" s="654">
        <f>(191.8*KFC!$B$12+KFC!$C$12)*KFC!$C$5</f>
        <v>191.8</v>
      </c>
      <c r="Z67" s="654">
        <f>(196.9*KFC!$B$12+KFC!$C$12)*KFC!$C$5</f>
        <v>196.9</v>
      </c>
      <c r="AA67" s="654">
        <f>(201.9*KFC!$B$12+KFC!$C$12)*KFC!$C$5</f>
        <v>201.9</v>
      </c>
      <c r="AB67" s="654">
        <f>(207*KFC!$B$12+KFC!$C$12)*KFC!$C$5</f>
        <v>207</v>
      </c>
      <c r="AC67" s="654">
        <f>(212.1*KFC!$B$12+KFC!$C$12)*KFC!$C$5</f>
        <v>212.1</v>
      </c>
      <c r="AD67" s="654">
        <f>(217.1*KFC!$B$12+KFC!$C$12)*KFC!$C$5</f>
        <v>217.1</v>
      </c>
      <c r="AE67" s="654">
        <f>(222.2*KFC!$B$12+KFC!$C$12)*KFC!$C$5</f>
        <v>222.2</v>
      </c>
      <c r="AF67" s="654">
        <f>(227.3*KFC!$B$12+KFC!$C$12)*KFC!$C$5</f>
        <v>227.3</v>
      </c>
      <c r="AG67" s="654">
        <f>(232.3*KFC!$B$12+KFC!$C$12)*KFC!$C$5</f>
        <v>232.3</v>
      </c>
      <c r="AH67" s="654">
        <f>(237.4*KFC!$B$12+KFC!$C$12)*KFC!$C$5</f>
        <v>237.4</v>
      </c>
      <c r="AI67" s="654">
        <f>(242.4*KFC!$B$12+KFC!$C$12)*KFC!$C$5</f>
        <v>242.4</v>
      </c>
      <c r="AJ67" s="654">
        <f>(247.5*KFC!$B$12+KFC!$C$12)*KFC!$C$5</f>
        <v>247.5</v>
      </c>
      <c r="AK67" s="654">
        <f>(252.6*KFC!$B$12+KFC!$C$12)*KFC!$C$5</f>
        <v>252.6</v>
      </c>
      <c r="AL67" s="654">
        <f>(257.6*KFC!$B$12+KFC!$C$12)*KFC!$C$5</f>
        <v>257.60000000000002</v>
      </c>
      <c r="AM67" s="654">
        <f>(262.7*KFC!$B$12+KFC!$C$12)*KFC!$C$5</f>
        <v>262.7</v>
      </c>
      <c r="AN67" s="654">
        <f>(267.8*KFC!$B$12+KFC!$C$12)*KFC!$C$5</f>
        <v>267.8</v>
      </c>
      <c r="AO67" s="654">
        <f>(272.8*KFC!$B$12+KFC!$C$12)*KFC!$C$5</f>
        <v>272.8</v>
      </c>
      <c r="AP67" s="654">
        <f>(277.9*KFC!$B$12+KFC!$C$12)*KFC!$C$5</f>
        <v>277.89999999999998</v>
      </c>
      <c r="AQ67" s="654">
        <f>(283*KFC!$B$12+KFC!$C$12)*KFC!$C$5</f>
        <v>283</v>
      </c>
      <c r="AR67" s="654">
        <f>(288*KFC!$B$12+KFC!$C$12)*KFC!$C$5</f>
        <v>288</v>
      </c>
      <c r="AS67" s="654">
        <f>(293.1*KFC!$B$12+KFC!$C$12)*KFC!$C$5</f>
        <v>293.10000000000002</v>
      </c>
      <c r="AT67" s="654">
        <f>(298.1*KFC!$B$12+KFC!$C$12)*KFC!$C$5</f>
        <v>298.10000000000002</v>
      </c>
      <c r="AU67" s="654">
        <f>(303.2*KFC!$B$12+KFC!$C$12)*KFC!$C$5</f>
        <v>303.2</v>
      </c>
      <c r="AV67" s="654">
        <f>(308.3*KFC!$B$12+KFC!$C$12)*KFC!$C$5</f>
        <v>308.3</v>
      </c>
      <c r="AW67" s="654">
        <f>(313.4*KFC!$B$12+KFC!$C$12)*KFC!$C$5</f>
        <v>313.39999999999998</v>
      </c>
    </row>
    <row r="68" spans="1:49" ht="14.4">
      <c r="A68" s="1277"/>
      <c r="B68" s="649">
        <v>1.6</v>
      </c>
      <c r="C68" s="654">
        <f>(81.2*KFC!$B$12+KFC!$C$12)*KFC!$C$5</f>
        <v>81.2</v>
      </c>
      <c r="D68" s="654">
        <f>(86.4*KFC!$B$12+KFC!$C$12)*KFC!$C$5</f>
        <v>86.4</v>
      </c>
      <c r="E68" s="654">
        <f>(91.6*KFC!$B$12+KFC!$C$12)*KFC!$C$5</f>
        <v>91.6</v>
      </c>
      <c r="F68" s="654">
        <f>(96.8*KFC!$B$12+KFC!$C$12)*KFC!$C$5</f>
        <v>96.8</v>
      </c>
      <c r="G68" s="654">
        <f>(102*KFC!$B$12+KFC!$C$12)*KFC!$C$5</f>
        <v>102</v>
      </c>
      <c r="H68" s="654">
        <f>(107.2*KFC!$B$12+KFC!$C$12)*KFC!$C$5</f>
        <v>107.2</v>
      </c>
      <c r="I68" s="654">
        <f>(112.4*KFC!$B$12+KFC!$C$12)*KFC!$C$5</f>
        <v>112.4</v>
      </c>
      <c r="J68" s="654">
        <f>(117.6*KFC!$B$12+KFC!$C$12)*KFC!$C$5</f>
        <v>117.6</v>
      </c>
      <c r="K68" s="654">
        <f>(122.8*KFC!$B$12+KFC!$C$12)*KFC!$C$5</f>
        <v>122.8</v>
      </c>
      <c r="L68" s="654">
        <f>(128*KFC!$B$12+KFC!$C$12)*KFC!$C$5</f>
        <v>128</v>
      </c>
      <c r="M68" s="654">
        <f>(133.2*KFC!$B$12+KFC!$C$12)*KFC!$C$5</f>
        <v>133.19999999999999</v>
      </c>
      <c r="N68" s="654">
        <f>(138.4*KFC!$B$12+KFC!$C$12)*KFC!$C$5</f>
        <v>138.4</v>
      </c>
      <c r="O68" s="654">
        <f>(143.6*KFC!$B$12+KFC!$C$12)*KFC!$C$5</f>
        <v>143.6</v>
      </c>
      <c r="P68" s="654">
        <f>(148.8*KFC!$B$12+KFC!$C$12)*KFC!$C$5</f>
        <v>148.80000000000001</v>
      </c>
      <c r="Q68" s="654">
        <f>(154.1*KFC!$B$12+KFC!$C$12)*KFC!$C$5</f>
        <v>154.1</v>
      </c>
      <c r="R68" s="654">
        <f>(159.3*KFC!$B$12+KFC!$C$12)*KFC!$C$5</f>
        <v>159.30000000000001</v>
      </c>
      <c r="S68" s="654">
        <f>(164.5*KFC!$B$12+KFC!$C$12)*KFC!$C$5</f>
        <v>164.5</v>
      </c>
      <c r="T68" s="654">
        <f>(169.7*KFC!$B$12+KFC!$C$12)*KFC!$C$5</f>
        <v>169.7</v>
      </c>
      <c r="U68" s="654">
        <f>(174.9*KFC!$B$12+KFC!$C$12)*KFC!$C$5</f>
        <v>174.9</v>
      </c>
      <c r="V68" s="654">
        <f>(180.1*KFC!$B$12+KFC!$C$12)*KFC!$C$5</f>
        <v>180.1</v>
      </c>
      <c r="W68" s="654">
        <f>(185.3*KFC!$B$12+KFC!$C$12)*KFC!$C$5</f>
        <v>185.3</v>
      </c>
      <c r="X68" s="654">
        <f>(190.5*KFC!$B$12+KFC!$C$12)*KFC!$C$5</f>
        <v>190.5</v>
      </c>
      <c r="Y68" s="654">
        <f>(195.7*KFC!$B$12+KFC!$C$12)*KFC!$C$5</f>
        <v>195.7</v>
      </c>
      <c r="Z68" s="654">
        <f>(200.9*KFC!$B$12+KFC!$C$12)*KFC!$C$5</f>
        <v>200.9</v>
      </c>
      <c r="AA68" s="654">
        <f>(206.1*KFC!$B$12+KFC!$C$12)*KFC!$C$5</f>
        <v>206.1</v>
      </c>
      <c r="AB68" s="654">
        <f>(211.3*KFC!$B$12+KFC!$C$12)*KFC!$C$5</f>
        <v>211.3</v>
      </c>
      <c r="AC68" s="654">
        <f>(216.5*KFC!$B$12+KFC!$C$12)*KFC!$C$5</f>
        <v>216.5</v>
      </c>
      <c r="AD68" s="654">
        <f>(221.7*KFC!$B$12+KFC!$C$12)*KFC!$C$5</f>
        <v>221.7</v>
      </c>
      <c r="AE68" s="654">
        <f>(227*KFC!$B$12+KFC!$C$12)*KFC!$C$5</f>
        <v>227</v>
      </c>
      <c r="AF68" s="654">
        <f>(232.2*KFC!$B$12+KFC!$C$12)*KFC!$C$5</f>
        <v>232.2</v>
      </c>
      <c r="AG68" s="654">
        <f>(237.4*KFC!$B$12+KFC!$C$12)*KFC!$C$5</f>
        <v>237.4</v>
      </c>
      <c r="AH68" s="654">
        <f>(242.6*KFC!$B$12+KFC!$C$12)*KFC!$C$5</f>
        <v>242.6</v>
      </c>
      <c r="AI68" s="654">
        <f>(247.8*KFC!$B$12+KFC!$C$12)*KFC!$C$5</f>
        <v>247.8</v>
      </c>
      <c r="AJ68" s="654">
        <f>(253*KFC!$B$12+KFC!$C$12)*KFC!$C$5</f>
        <v>253</v>
      </c>
      <c r="AK68" s="654">
        <f>(258.2*KFC!$B$12+KFC!$C$12)*KFC!$C$5</f>
        <v>258.2</v>
      </c>
      <c r="AL68" s="654">
        <f>(263.4*KFC!$B$12+KFC!$C$12)*KFC!$C$5</f>
        <v>263.39999999999998</v>
      </c>
      <c r="AM68" s="654">
        <f>(268.6*KFC!$B$12+KFC!$C$12)*KFC!$C$5</f>
        <v>268.60000000000002</v>
      </c>
      <c r="AN68" s="654">
        <f>(273.8*KFC!$B$12+KFC!$C$12)*KFC!$C$5</f>
        <v>273.8</v>
      </c>
      <c r="AO68" s="654">
        <f>(279*KFC!$B$12+KFC!$C$12)*KFC!$C$5</f>
        <v>279</v>
      </c>
      <c r="AP68" s="654">
        <f>(284.2*KFC!$B$12+KFC!$C$12)*KFC!$C$5</f>
        <v>284.2</v>
      </c>
      <c r="AQ68" s="654">
        <f>(289.4*KFC!$B$12+KFC!$C$12)*KFC!$C$5</f>
        <v>289.39999999999998</v>
      </c>
      <c r="AR68" s="654">
        <f>(294.6*KFC!$B$12+KFC!$C$12)*KFC!$C$5</f>
        <v>294.60000000000002</v>
      </c>
      <c r="AS68" s="654">
        <f>(299.8*KFC!$B$12+KFC!$C$12)*KFC!$C$5</f>
        <v>299.8</v>
      </c>
      <c r="AT68" s="654">
        <f>(305.1*KFC!$B$12+KFC!$C$12)*KFC!$C$5</f>
        <v>305.10000000000002</v>
      </c>
      <c r="AU68" s="654">
        <f>(310.3*KFC!$B$12+KFC!$C$12)*KFC!$C$5</f>
        <v>310.3</v>
      </c>
      <c r="AV68" s="654">
        <f>(315.5*KFC!$B$12+KFC!$C$12)*KFC!$C$5</f>
        <v>315.5</v>
      </c>
      <c r="AW68" s="654">
        <f>(320.7*KFC!$B$12+KFC!$C$12)*KFC!$C$5</f>
        <v>320.7</v>
      </c>
    </row>
    <row r="69" spans="1:49" ht="14.4">
      <c r="A69" s="1277"/>
      <c r="B69" s="649">
        <v>1.7</v>
      </c>
      <c r="C69" s="654">
        <f>(81.9*KFC!$B$12+KFC!$C$12)*KFC!$C$5</f>
        <v>81.900000000000006</v>
      </c>
      <c r="D69" s="654">
        <f>(87.3*KFC!$B$12+KFC!$C$12)*KFC!$C$5</f>
        <v>87.3</v>
      </c>
      <c r="E69" s="654">
        <f>(92.6*KFC!$B$12+KFC!$C$12)*KFC!$C$5</f>
        <v>92.6</v>
      </c>
      <c r="F69" s="654">
        <f>(98*KFC!$B$12+KFC!$C$12)*KFC!$C$5</f>
        <v>98</v>
      </c>
      <c r="G69" s="654">
        <f>(103.3*KFC!$B$12+KFC!$C$12)*KFC!$C$5</f>
        <v>103.3</v>
      </c>
      <c r="H69" s="654">
        <f>(108.7*KFC!$B$12+KFC!$C$12)*KFC!$C$5</f>
        <v>108.7</v>
      </c>
      <c r="I69" s="654">
        <f>(114*KFC!$B$12+KFC!$C$12)*KFC!$C$5</f>
        <v>114</v>
      </c>
      <c r="J69" s="654">
        <f>(119.4*KFC!$B$12+KFC!$C$12)*KFC!$C$5</f>
        <v>119.4</v>
      </c>
      <c r="K69" s="654">
        <f>(124.7*KFC!$B$12+KFC!$C$12)*KFC!$C$5</f>
        <v>124.7</v>
      </c>
      <c r="L69" s="654">
        <f>(130.1*KFC!$B$12+KFC!$C$12)*KFC!$C$5</f>
        <v>130.1</v>
      </c>
      <c r="M69" s="654">
        <f>(135.4*KFC!$B$12+KFC!$C$12)*KFC!$C$5</f>
        <v>135.4</v>
      </c>
      <c r="N69" s="654">
        <f>(140.8*KFC!$B$12+KFC!$C$12)*KFC!$C$5</f>
        <v>140.80000000000001</v>
      </c>
      <c r="O69" s="654">
        <f>(146.1*KFC!$B$12+KFC!$C$12)*KFC!$C$5</f>
        <v>146.1</v>
      </c>
      <c r="P69" s="654">
        <f>(151.5*KFC!$B$12+KFC!$C$12)*KFC!$C$5</f>
        <v>151.5</v>
      </c>
      <c r="Q69" s="654">
        <f>(156.8*KFC!$B$12+KFC!$C$12)*KFC!$C$5</f>
        <v>156.80000000000001</v>
      </c>
      <c r="R69" s="654">
        <f>(162.2*KFC!$B$12+KFC!$C$12)*KFC!$C$5</f>
        <v>162.19999999999999</v>
      </c>
      <c r="S69" s="654">
        <f>(167.5*KFC!$B$12+KFC!$C$12)*KFC!$C$5</f>
        <v>167.5</v>
      </c>
      <c r="T69" s="654">
        <f>(172.9*KFC!$B$12+KFC!$C$12)*KFC!$C$5</f>
        <v>172.9</v>
      </c>
      <c r="U69" s="654">
        <f>(178.2*KFC!$B$12+KFC!$C$12)*KFC!$C$5</f>
        <v>178.2</v>
      </c>
      <c r="V69" s="654">
        <f>(183.6*KFC!$B$12+KFC!$C$12)*KFC!$C$5</f>
        <v>183.6</v>
      </c>
      <c r="W69" s="654">
        <f>(188.9*KFC!$B$12+KFC!$C$12)*KFC!$C$5</f>
        <v>188.9</v>
      </c>
      <c r="X69" s="654">
        <f>(194.3*KFC!$B$12+KFC!$C$12)*KFC!$C$5</f>
        <v>194.3</v>
      </c>
      <c r="Y69" s="654">
        <f>(199.6*KFC!$B$12+KFC!$C$12)*KFC!$C$5</f>
        <v>199.6</v>
      </c>
      <c r="Z69" s="654">
        <f>(205*KFC!$B$12+KFC!$C$12)*KFC!$C$5</f>
        <v>205</v>
      </c>
      <c r="AA69" s="654">
        <f>(210.3*KFC!$B$12+KFC!$C$12)*KFC!$C$5</f>
        <v>210.3</v>
      </c>
      <c r="AB69" s="654">
        <f>(215.7*KFC!$B$12+KFC!$C$12)*KFC!$C$5</f>
        <v>215.7</v>
      </c>
      <c r="AC69" s="654">
        <f>(221*KFC!$B$12+KFC!$C$12)*KFC!$C$5</f>
        <v>221</v>
      </c>
      <c r="AD69" s="654">
        <f>(226.4*KFC!$B$12+KFC!$C$12)*KFC!$C$5</f>
        <v>226.4</v>
      </c>
      <c r="AE69" s="654">
        <f>(231.7*KFC!$B$12+KFC!$C$12)*KFC!$C$5</f>
        <v>231.7</v>
      </c>
      <c r="AF69" s="654">
        <f>(237.1*KFC!$B$12+KFC!$C$12)*KFC!$C$5</f>
        <v>237.1</v>
      </c>
      <c r="AG69" s="654">
        <f>(242.4*KFC!$B$12+KFC!$C$12)*KFC!$C$5</f>
        <v>242.4</v>
      </c>
      <c r="AH69" s="654">
        <f>(247.8*KFC!$B$12+KFC!$C$12)*KFC!$C$5</f>
        <v>247.8</v>
      </c>
      <c r="AI69" s="654">
        <f>(253.1*KFC!$B$12+KFC!$C$12)*KFC!$C$5</f>
        <v>253.1</v>
      </c>
      <c r="AJ69" s="654">
        <f>(258.5*KFC!$B$12+KFC!$C$12)*KFC!$C$5</f>
        <v>258.5</v>
      </c>
      <c r="AK69" s="654">
        <f>(263.8*KFC!$B$12+KFC!$C$12)*KFC!$C$5</f>
        <v>263.8</v>
      </c>
      <c r="AL69" s="654">
        <f>(269.2*KFC!$B$12+KFC!$C$12)*KFC!$C$5</f>
        <v>269.2</v>
      </c>
      <c r="AM69" s="654">
        <f>(274.5*KFC!$B$12+KFC!$C$12)*KFC!$C$5</f>
        <v>274.5</v>
      </c>
      <c r="AN69" s="654">
        <f>(279.9*KFC!$B$12+KFC!$C$12)*KFC!$C$5</f>
        <v>279.89999999999998</v>
      </c>
      <c r="AO69" s="654">
        <f>(285.2*KFC!$B$12+KFC!$C$12)*KFC!$C$5</f>
        <v>285.2</v>
      </c>
      <c r="AP69" s="654">
        <f>(290.5*KFC!$B$12+KFC!$C$12)*KFC!$C$5</f>
        <v>290.5</v>
      </c>
      <c r="AQ69" s="654">
        <f>(295.9*KFC!$B$12+KFC!$C$12)*KFC!$C$5</f>
        <v>295.89999999999998</v>
      </c>
      <c r="AR69" s="654">
        <f>(301.3*KFC!$B$12+KFC!$C$12)*KFC!$C$5</f>
        <v>301.3</v>
      </c>
      <c r="AS69" s="654">
        <f>(306.6*KFC!$B$12+KFC!$C$12)*KFC!$C$5</f>
        <v>306.60000000000002</v>
      </c>
      <c r="AT69" s="654">
        <f>(312*KFC!$B$12+KFC!$C$12)*KFC!$C$5</f>
        <v>312</v>
      </c>
      <c r="AU69" s="654">
        <f>(317.3*KFC!$B$12+KFC!$C$12)*KFC!$C$5</f>
        <v>317.3</v>
      </c>
      <c r="AV69" s="654">
        <f>(322.6*KFC!$B$12+KFC!$C$12)*KFC!$C$5</f>
        <v>322.60000000000002</v>
      </c>
      <c r="AW69" s="654">
        <f>(328*KFC!$B$12+KFC!$C$12)*KFC!$C$5</f>
        <v>328</v>
      </c>
    </row>
    <row r="70" spans="1:49" ht="14.4">
      <c r="A70" s="1277"/>
      <c r="B70" s="649">
        <v>1.8</v>
      </c>
      <c r="C70" s="654">
        <f>(82.7*KFC!$B$12+KFC!$C$12)*KFC!$C$5</f>
        <v>82.7</v>
      </c>
      <c r="D70" s="654">
        <f>(88.2*KFC!$B$12+KFC!$C$12)*KFC!$C$5</f>
        <v>88.2</v>
      </c>
      <c r="E70" s="654">
        <f>(93.7*KFC!$B$12+KFC!$C$12)*KFC!$C$5</f>
        <v>93.7</v>
      </c>
      <c r="F70" s="654">
        <f>(99.2*KFC!$B$12+KFC!$C$12)*KFC!$C$5</f>
        <v>99.2</v>
      </c>
      <c r="G70" s="654">
        <f>(104.6*KFC!$B$12+KFC!$C$12)*KFC!$C$5</f>
        <v>104.6</v>
      </c>
      <c r="H70" s="654">
        <f>(110.1*KFC!$B$12+KFC!$C$12)*KFC!$C$5</f>
        <v>110.1</v>
      </c>
      <c r="I70" s="654">
        <f>(115.6*KFC!$B$12+KFC!$C$12)*KFC!$C$5</f>
        <v>115.6</v>
      </c>
      <c r="J70" s="654">
        <f>(121.1*KFC!$B$12+KFC!$C$12)*KFC!$C$5</f>
        <v>121.1</v>
      </c>
      <c r="K70" s="654">
        <f>(126.6*KFC!$B$12+KFC!$C$12)*KFC!$C$5</f>
        <v>126.6</v>
      </c>
      <c r="L70" s="654">
        <f>(132.1*KFC!$B$12+KFC!$C$12)*KFC!$C$5</f>
        <v>132.1</v>
      </c>
      <c r="M70" s="654">
        <f>(137.6*KFC!$B$12+KFC!$C$12)*KFC!$C$5</f>
        <v>137.6</v>
      </c>
      <c r="N70" s="654">
        <f>(143.1*KFC!$B$12+KFC!$C$12)*KFC!$C$5</f>
        <v>143.1</v>
      </c>
      <c r="O70" s="654">
        <f>(148.6*KFC!$B$12+KFC!$C$12)*KFC!$C$5</f>
        <v>148.6</v>
      </c>
      <c r="P70" s="654">
        <f>(154.1*KFC!$B$12+KFC!$C$12)*KFC!$C$5</f>
        <v>154.1</v>
      </c>
      <c r="Q70" s="654">
        <f>(159.6*KFC!$B$12+KFC!$C$12)*KFC!$C$5</f>
        <v>159.6</v>
      </c>
      <c r="R70" s="654">
        <f>(165.1*KFC!$B$12+KFC!$C$12)*KFC!$C$5</f>
        <v>165.1</v>
      </c>
      <c r="S70" s="654">
        <f>(170.6*KFC!$B$12+KFC!$C$12)*KFC!$C$5</f>
        <v>170.6</v>
      </c>
      <c r="T70" s="654">
        <f>(176*KFC!$B$12+KFC!$C$12)*KFC!$C$5</f>
        <v>176</v>
      </c>
      <c r="U70" s="654">
        <f>(181.5*KFC!$B$12+KFC!$C$12)*KFC!$C$5</f>
        <v>181.5</v>
      </c>
      <c r="V70" s="654">
        <f>(187*KFC!$B$12+KFC!$C$12)*KFC!$C$5</f>
        <v>187</v>
      </c>
      <c r="W70" s="654">
        <f>(192.5*KFC!$B$12+KFC!$C$12)*KFC!$C$5</f>
        <v>192.5</v>
      </c>
      <c r="X70" s="654">
        <f>(198*KFC!$B$12+KFC!$C$12)*KFC!$C$5</f>
        <v>198</v>
      </c>
      <c r="Y70" s="654">
        <f>(203.5*KFC!$B$12+KFC!$C$12)*KFC!$C$5</f>
        <v>203.5</v>
      </c>
      <c r="Z70" s="654">
        <f>(209*KFC!$B$12+KFC!$C$12)*KFC!$C$5</f>
        <v>209</v>
      </c>
      <c r="AA70" s="654">
        <f>(214.5*KFC!$B$12+KFC!$C$12)*KFC!$C$5</f>
        <v>214.5</v>
      </c>
      <c r="AB70" s="654">
        <f>(220*KFC!$B$12+KFC!$C$12)*KFC!$C$5</f>
        <v>220</v>
      </c>
      <c r="AC70" s="654">
        <f>(225.5*KFC!$B$12+KFC!$C$12)*KFC!$C$5</f>
        <v>225.5</v>
      </c>
      <c r="AD70" s="654">
        <f>(231*KFC!$B$12+KFC!$C$12)*KFC!$C$5</f>
        <v>231</v>
      </c>
      <c r="AE70" s="654">
        <f>(236.5*KFC!$B$12+KFC!$C$12)*KFC!$C$5</f>
        <v>236.5</v>
      </c>
      <c r="AF70" s="654">
        <f>(242*KFC!$B$12+KFC!$C$12)*KFC!$C$5</f>
        <v>242</v>
      </c>
      <c r="AG70" s="654">
        <f>(247.4*KFC!$B$12+KFC!$C$12)*KFC!$C$5</f>
        <v>247.4</v>
      </c>
      <c r="AH70" s="654">
        <f>(252.9*KFC!$B$12+KFC!$C$12)*KFC!$C$5</f>
        <v>252.9</v>
      </c>
      <c r="AI70" s="654">
        <f>(258.4*KFC!$B$12+KFC!$C$12)*KFC!$C$5</f>
        <v>258.39999999999998</v>
      </c>
      <c r="AJ70" s="654">
        <f>(263.9*KFC!$B$12+KFC!$C$12)*KFC!$C$5</f>
        <v>263.89999999999998</v>
      </c>
      <c r="AK70" s="654">
        <f>(269.4*KFC!$B$12+KFC!$C$12)*KFC!$C$5</f>
        <v>269.39999999999998</v>
      </c>
      <c r="AL70" s="654">
        <f>(274.9*KFC!$B$12+KFC!$C$12)*KFC!$C$5</f>
        <v>274.89999999999998</v>
      </c>
      <c r="AM70" s="654">
        <f>(280.4*KFC!$B$12+KFC!$C$12)*KFC!$C$5</f>
        <v>280.39999999999998</v>
      </c>
      <c r="AN70" s="654">
        <f>(285.9*KFC!$B$12+KFC!$C$12)*KFC!$C$5</f>
        <v>285.89999999999998</v>
      </c>
      <c r="AO70" s="654">
        <f>(291.4*KFC!$B$12+KFC!$C$12)*KFC!$C$5</f>
        <v>291.39999999999998</v>
      </c>
      <c r="AP70" s="654">
        <f>(296.9*KFC!$B$12+KFC!$C$12)*KFC!$C$5</f>
        <v>296.89999999999998</v>
      </c>
      <c r="AQ70" s="654">
        <f>(302.4*KFC!$B$12+KFC!$C$12)*KFC!$C$5</f>
        <v>302.39999999999998</v>
      </c>
      <c r="AR70" s="654">
        <f>(307.9*KFC!$B$12+KFC!$C$12)*KFC!$C$5</f>
        <v>307.89999999999998</v>
      </c>
      <c r="AS70" s="654">
        <f>(313.4*KFC!$B$12+KFC!$C$12)*KFC!$C$5</f>
        <v>313.39999999999998</v>
      </c>
      <c r="AT70" s="654">
        <f>(318.8*KFC!$B$12+KFC!$C$12)*KFC!$C$5</f>
        <v>318.8</v>
      </c>
      <c r="AU70" s="654">
        <f>(324.3*KFC!$B$12+KFC!$C$12)*KFC!$C$5</f>
        <v>324.3</v>
      </c>
      <c r="AV70" s="654">
        <f>(329.8*KFC!$B$12+KFC!$C$12)*KFC!$C$5</f>
        <v>329.8</v>
      </c>
      <c r="AW70" s="654">
        <f>(335.3*KFC!$B$12+KFC!$C$12)*KFC!$C$5</f>
        <v>335.3</v>
      </c>
    </row>
    <row r="71" spans="1:49" ht="14.4">
      <c r="A71" s="1277"/>
      <c r="B71" s="649">
        <v>1.9</v>
      </c>
      <c r="C71" s="654">
        <f>(83.4*KFC!$B$12+KFC!$C$12)*KFC!$C$5</f>
        <v>83.4</v>
      </c>
      <c r="D71" s="654">
        <f>(89.1*KFC!$B$12+KFC!$C$12)*KFC!$C$5</f>
        <v>89.1</v>
      </c>
      <c r="E71" s="654">
        <f>(94.7*KFC!$B$12+KFC!$C$12)*KFC!$C$5</f>
        <v>94.7</v>
      </c>
      <c r="F71" s="654">
        <f>(100.3*KFC!$B$12+KFC!$C$12)*KFC!$C$5</f>
        <v>100.3</v>
      </c>
      <c r="G71" s="654">
        <f>(106*KFC!$B$12+KFC!$C$12)*KFC!$C$5</f>
        <v>106</v>
      </c>
      <c r="H71" s="654">
        <f>(111.6*KFC!$B$12+KFC!$C$12)*KFC!$C$5</f>
        <v>111.6</v>
      </c>
      <c r="I71" s="654">
        <f>(117.2*KFC!$B$12+KFC!$C$12)*KFC!$C$5</f>
        <v>117.2</v>
      </c>
      <c r="J71" s="654">
        <f>(122.9*KFC!$B$12+KFC!$C$12)*KFC!$C$5</f>
        <v>122.9</v>
      </c>
      <c r="K71" s="654">
        <f>(128.5*KFC!$B$12+KFC!$C$12)*KFC!$C$5</f>
        <v>128.5</v>
      </c>
      <c r="L71" s="654">
        <f>(134.1*KFC!$B$12+KFC!$C$12)*KFC!$C$5</f>
        <v>134.1</v>
      </c>
      <c r="M71" s="654">
        <f>(139.8*KFC!$B$12+KFC!$C$12)*KFC!$C$5</f>
        <v>139.80000000000001</v>
      </c>
      <c r="N71" s="654">
        <f>(145.4*KFC!$B$12+KFC!$C$12)*KFC!$C$5</f>
        <v>145.4</v>
      </c>
      <c r="O71" s="654">
        <f>(151.1*KFC!$B$12+KFC!$C$12)*KFC!$C$5</f>
        <v>151.1</v>
      </c>
      <c r="P71" s="654">
        <f>(156.7*KFC!$B$12+KFC!$C$12)*KFC!$C$5</f>
        <v>156.69999999999999</v>
      </c>
      <c r="Q71" s="654">
        <f>(162.3*KFC!$B$12+KFC!$C$12)*KFC!$C$5</f>
        <v>162.30000000000001</v>
      </c>
      <c r="R71" s="654">
        <f>(168*KFC!$B$12+KFC!$C$12)*KFC!$C$5</f>
        <v>168</v>
      </c>
      <c r="S71" s="654">
        <f>(173.6*KFC!$B$12+KFC!$C$12)*KFC!$C$5</f>
        <v>173.6</v>
      </c>
      <c r="T71" s="654">
        <f>(179.2*KFC!$B$12+KFC!$C$12)*KFC!$C$5</f>
        <v>179.2</v>
      </c>
      <c r="U71" s="654">
        <f>(184.9*KFC!$B$12+KFC!$C$12)*KFC!$C$5</f>
        <v>184.9</v>
      </c>
      <c r="V71" s="654">
        <f>(190.5*KFC!$B$12+KFC!$C$12)*KFC!$C$5</f>
        <v>190.5</v>
      </c>
      <c r="W71" s="654">
        <f>(196.1*KFC!$B$12+KFC!$C$12)*KFC!$C$5</f>
        <v>196.1</v>
      </c>
      <c r="X71" s="654">
        <f>(201.8*KFC!$B$12+KFC!$C$12)*KFC!$C$5</f>
        <v>201.8</v>
      </c>
      <c r="Y71" s="654">
        <f>(207.4*KFC!$B$12+KFC!$C$12)*KFC!$C$5</f>
        <v>207.4</v>
      </c>
      <c r="Z71" s="654">
        <f>(213*KFC!$B$12+KFC!$C$12)*KFC!$C$5</f>
        <v>213</v>
      </c>
      <c r="AA71" s="654">
        <f>(218.7*KFC!$B$12+KFC!$C$12)*KFC!$C$5</f>
        <v>218.7</v>
      </c>
      <c r="AB71" s="654">
        <f>(224.3*KFC!$B$12+KFC!$C$12)*KFC!$C$5</f>
        <v>224.3</v>
      </c>
      <c r="AC71" s="654">
        <f>(230*KFC!$B$12+KFC!$C$12)*KFC!$C$5</f>
        <v>230</v>
      </c>
      <c r="AD71" s="654">
        <f>(235.6*KFC!$B$12+KFC!$C$12)*KFC!$C$5</f>
        <v>235.6</v>
      </c>
      <c r="AE71" s="654">
        <f>(241.2*KFC!$B$12+KFC!$C$12)*KFC!$C$5</f>
        <v>241.2</v>
      </c>
      <c r="AF71" s="654">
        <f>(246.9*KFC!$B$12+KFC!$C$12)*KFC!$C$5</f>
        <v>246.9</v>
      </c>
      <c r="AG71" s="654">
        <f>(252.5*KFC!$B$12+KFC!$C$12)*KFC!$C$5</f>
        <v>252.5</v>
      </c>
      <c r="AH71" s="654">
        <f>(258.1*KFC!$B$12+KFC!$C$12)*KFC!$C$5</f>
        <v>258.10000000000002</v>
      </c>
      <c r="AI71" s="654">
        <f>(263.8*KFC!$B$12+KFC!$C$12)*KFC!$C$5</f>
        <v>263.8</v>
      </c>
      <c r="AJ71" s="654">
        <f>(269.4*KFC!$B$12+KFC!$C$12)*KFC!$C$5</f>
        <v>269.39999999999998</v>
      </c>
      <c r="AK71" s="654">
        <f>(275*KFC!$B$12+KFC!$C$12)*KFC!$C$5</f>
        <v>275</v>
      </c>
      <c r="AL71" s="654">
        <f>(280.7*KFC!$B$12+KFC!$C$12)*KFC!$C$5</f>
        <v>280.7</v>
      </c>
      <c r="AM71" s="654">
        <f>(286.3*KFC!$B$12+KFC!$C$12)*KFC!$C$5</f>
        <v>286.3</v>
      </c>
      <c r="AN71" s="654">
        <f>(291.9*KFC!$B$12+KFC!$C$12)*KFC!$C$5</f>
        <v>291.89999999999998</v>
      </c>
      <c r="AO71" s="654">
        <f>(297.6*KFC!$B$12+KFC!$C$12)*KFC!$C$5</f>
        <v>297.60000000000002</v>
      </c>
      <c r="AP71" s="654">
        <f>(303.2*KFC!$B$12+KFC!$C$12)*KFC!$C$5</f>
        <v>303.2</v>
      </c>
      <c r="AQ71" s="654">
        <f>(308.8*KFC!$B$12+KFC!$C$12)*KFC!$C$5</f>
        <v>308.8</v>
      </c>
      <c r="AR71" s="654">
        <f>(314.5*KFC!$B$12+KFC!$C$12)*KFC!$C$5</f>
        <v>314.5</v>
      </c>
      <c r="AS71" s="654">
        <f>(320.1*KFC!$B$12+KFC!$C$12)*KFC!$C$5</f>
        <v>320.10000000000002</v>
      </c>
      <c r="AT71" s="654">
        <f>(325.8*KFC!$B$12+KFC!$C$12)*KFC!$C$5</f>
        <v>325.8</v>
      </c>
      <c r="AU71" s="654">
        <f>(331.4*KFC!$B$12+KFC!$C$12)*KFC!$C$5</f>
        <v>331.4</v>
      </c>
      <c r="AV71" s="654">
        <f>(337*KFC!$B$12+KFC!$C$12)*KFC!$C$5</f>
        <v>337</v>
      </c>
      <c r="AW71" s="654">
        <f>(342.7*KFC!$B$12+KFC!$C$12)*KFC!$C$5</f>
        <v>342.7</v>
      </c>
    </row>
    <row r="72" spans="1:49" ht="14.4">
      <c r="A72" s="1277"/>
      <c r="B72" s="649">
        <v>2</v>
      </c>
      <c r="C72" s="654">
        <f>(84.2*KFC!$B$12+KFC!$C$12)*KFC!$C$5</f>
        <v>84.2</v>
      </c>
      <c r="D72" s="654">
        <f>(90*KFC!$B$12+KFC!$C$12)*KFC!$C$5</f>
        <v>90</v>
      </c>
      <c r="E72" s="654">
        <f>(95.7*KFC!$B$12+KFC!$C$12)*KFC!$C$5</f>
        <v>95.7</v>
      </c>
      <c r="F72" s="654">
        <f>(101.5*KFC!$B$12+KFC!$C$12)*KFC!$C$5</f>
        <v>101.5</v>
      </c>
      <c r="G72" s="654">
        <f>(107.3*KFC!$B$12+KFC!$C$12)*KFC!$C$5</f>
        <v>107.3</v>
      </c>
      <c r="H72" s="654">
        <f>(113.1*KFC!$B$12+KFC!$C$12)*KFC!$C$5</f>
        <v>113.1</v>
      </c>
      <c r="I72" s="654">
        <f>(118.8*KFC!$B$12+KFC!$C$12)*KFC!$C$5</f>
        <v>118.8</v>
      </c>
      <c r="J72" s="654">
        <f>(124.6*KFC!$B$12+KFC!$C$12)*KFC!$C$5</f>
        <v>124.6</v>
      </c>
      <c r="K72" s="654">
        <f>(130.4*KFC!$B$12+KFC!$C$12)*KFC!$C$5</f>
        <v>130.4</v>
      </c>
      <c r="L72" s="654">
        <f>(136.2*KFC!$B$12+KFC!$C$12)*KFC!$C$5</f>
        <v>136.19999999999999</v>
      </c>
      <c r="M72" s="654">
        <f>(142*KFC!$B$12+KFC!$C$12)*KFC!$C$5</f>
        <v>142</v>
      </c>
      <c r="N72" s="654">
        <f>(147.7*KFC!$B$12+KFC!$C$12)*KFC!$C$5</f>
        <v>147.69999999999999</v>
      </c>
      <c r="O72" s="654">
        <f>(153.5*KFC!$B$12+KFC!$C$12)*KFC!$C$5</f>
        <v>153.5</v>
      </c>
      <c r="P72" s="654">
        <f>(159.3*KFC!$B$12+KFC!$C$12)*KFC!$C$5</f>
        <v>159.30000000000001</v>
      </c>
      <c r="Q72" s="654">
        <f>(165.1*KFC!$B$12+KFC!$C$12)*KFC!$C$5</f>
        <v>165.1</v>
      </c>
      <c r="R72" s="654">
        <f>(170.9*KFC!$B$12+KFC!$C$12)*KFC!$C$5</f>
        <v>170.9</v>
      </c>
      <c r="S72" s="654">
        <f>(176.6*KFC!$B$12+KFC!$C$12)*KFC!$C$5</f>
        <v>176.6</v>
      </c>
      <c r="T72" s="654">
        <f>(182.4*KFC!$B$12+KFC!$C$12)*KFC!$C$5</f>
        <v>182.4</v>
      </c>
      <c r="U72" s="654">
        <f>(188.2*KFC!$B$12+KFC!$C$12)*KFC!$C$5</f>
        <v>188.2</v>
      </c>
      <c r="V72" s="654">
        <f>(194*KFC!$B$12+KFC!$C$12)*KFC!$C$5</f>
        <v>194</v>
      </c>
      <c r="W72" s="654">
        <f>(199.7*KFC!$B$12+KFC!$C$12)*KFC!$C$5</f>
        <v>199.7</v>
      </c>
      <c r="X72" s="654">
        <f>(205.5*KFC!$B$12+KFC!$C$12)*KFC!$C$5</f>
        <v>205.5</v>
      </c>
      <c r="Y72" s="654">
        <f>(211.3*KFC!$B$12+KFC!$C$12)*KFC!$C$5</f>
        <v>211.3</v>
      </c>
      <c r="Z72" s="654">
        <f>(217.1*KFC!$B$12+KFC!$C$12)*KFC!$C$5</f>
        <v>217.1</v>
      </c>
      <c r="AA72" s="654">
        <f>(222.9*KFC!$B$12+KFC!$C$12)*KFC!$C$5</f>
        <v>222.9</v>
      </c>
      <c r="AB72" s="654">
        <f>(228.6*KFC!$B$12+KFC!$C$12)*KFC!$C$5</f>
        <v>228.6</v>
      </c>
      <c r="AC72" s="654">
        <f>(234.4*KFC!$B$12+KFC!$C$12)*KFC!$C$5</f>
        <v>234.4</v>
      </c>
      <c r="AD72" s="654">
        <f>(240.2*KFC!$B$12+KFC!$C$12)*KFC!$C$5</f>
        <v>240.2</v>
      </c>
      <c r="AE72" s="654">
        <f>(246*KFC!$B$12+KFC!$C$12)*KFC!$C$5</f>
        <v>246</v>
      </c>
      <c r="AF72" s="654">
        <f>(251.8*KFC!$B$12+KFC!$C$12)*KFC!$C$5</f>
        <v>251.8</v>
      </c>
      <c r="AG72" s="654">
        <f>(257.5*KFC!$B$12+KFC!$C$12)*KFC!$C$5</f>
        <v>257.5</v>
      </c>
      <c r="AH72" s="654">
        <f>(263.3*KFC!$B$12+KFC!$C$12)*KFC!$C$5</f>
        <v>263.3</v>
      </c>
      <c r="AI72" s="654">
        <f>(269.1*KFC!$B$12+KFC!$C$12)*KFC!$C$5</f>
        <v>269.10000000000002</v>
      </c>
      <c r="AJ72" s="654">
        <f>(274.9*KFC!$B$12+KFC!$C$12)*KFC!$C$5</f>
        <v>274.89999999999998</v>
      </c>
      <c r="AK72" s="654">
        <f>(280.6*KFC!$B$12+KFC!$C$12)*KFC!$C$5</f>
        <v>280.60000000000002</v>
      </c>
      <c r="AL72" s="654">
        <f>(286.4*KFC!$B$12+KFC!$C$12)*KFC!$C$5</f>
        <v>286.39999999999998</v>
      </c>
      <c r="AM72" s="654">
        <f>(292.2*KFC!$B$12+KFC!$C$12)*KFC!$C$5</f>
        <v>292.2</v>
      </c>
      <c r="AN72" s="654">
        <f>(298*KFC!$B$12+KFC!$C$12)*KFC!$C$5</f>
        <v>298</v>
      </c>
      <c r="AO72" s="654">
        <f>(303.8*KFC!$B$12+KFC!$C$12)*KFC!$C$5</f>
        <v>303.8</v>
      </c>
      <c r="AP72" s="654">
        <f>(309.5*KFC!$B$12+KFC!$C$12)*KFC!$C$5</f>
        <v>309.5</v>
      </c>
      <c r="AQ72" s="654">
        <f>(315.3*KFC!$B$12+KFC!$C$12)*KFC!$C$5</f>
        <v>315.3</v>
      </c>
      <c r="AR72" s="654">
        <f>(321.1*KFC!$B$12+KFC!$C$12)*KFC!$C$5</f>
        <v>321.10000000000002</v>
      </c>
      <c r="AS72" s="654">
        <f>(326.9*KFC!$B$12+KFC!$C$12)*KFC!$C$5</f>
        <v>326.89999999999998</v>
      </c>
      <c r="AT72" s="654">
        <f>(332.7*KFC!$B$12+KFC!$C$12)*KFC!$C$5</f>
        <v>332.7</v>
      </c>
      <c r="AU72" s="654">
        <f>(338.4*KFC!$B$12+KFC!$C$12)*KFC!$C$5</f>
        <v>338.4</v>
      </c>
      <c r="AV72" s="654">
        <f>(344.2*KFC!$B$12+KFC!$C$12)*KFC!$C$5</f>
        <v>344.2</v>
      </c>
      <c r="AW72" s="654">
        <f>(350*KFC!$B$12+KFC!$C$12)*KFC!$C$5</f>
        <v>350</v>
      </c>
    </row>
    <row r="73" spans="1:49" ht="14.4">
      <c r="A73" s="1277"/>
      <c r="B73" s="649">
        <v>2.1</v>
      </c>
      <c r="C73" s="654">
        <f>(84.9*KFC!$B$12+KFC!$C$12)*KFC!$C$5</f>
        <v>84.9</v>
      </c>
      <c r="D73" s="654">
        <f>(90.9*KFC!$B$12+KFC!$C$12)*KFC!$C$5</f>
        <v>90.9</v>
      </c>
      <c r="E73" s="654">
        <f>(96.8*KFC!$B$12+KFC!$C$12)*KFC!$C$5</f>
        <v>96.8</v>
      </c>
      <c r="F73" s="654">
        <f>(102.7*KFC!$B$12+KFC!$C$12)*KFC!$C$5</f>
        <v>102.7</v>
      </c>
      <c r="G73" s="654">
        <f>(108.6*KFC!$B$12+KFC!$C$12)*KFC!$C$5</f>
        <v>108.6</v>
      </c>
      <c r="H73" s="654">
        <f>(114.5*KFC!$B$12+KFC!$C$12)*KFC!$C$5</f>
        <v>114.5</v>
      </c>
      <c r="I73" s="654">
        <f>(120.5*KFC!$B$12+KFC!$C$12)*KFC!$C$5</f>
        <v>120.5</v>
      </c>
      <c r="J73" s="654">
        <f>(126.4*KFC!$B$12+KFC!$C$12)*KFC!$C$5</f>
        <v>126.4</v>
      </c>
      <c r="K73" s="654">
        <f>(132.3*KFC!$B$12+KFC!$C$12)*KFC!$C$5</f>
        <v>132.30000000000001</v>
      </c>
      <c r="L73" s="654">
        <f>(138.2*KFC!$B$12+KFC!$C$12)*KFC!$C$5</f>
        <v>138.19999999999999</v>
      </c>
      <c r="M73" s="654">
        <f>(144.2*KFC!$B$12+KFC!$C$12)*KFC!$C$5</f>
        <v>144.19999999999999</v>
      </c>
      <c r="N73" s="654">
        <f>(150.1*KFC!$B$12+KFC!$C$12)*KFC!$C$5</f>
        <v>150.1</v>
      </c>
      <c r="O73" s="654">
        <f>(156*KFC!$B$12+KFC!$C$12)*KFC!$C$5</f>
        <v>156</v>
      </c>
      <c r="P73" s="654">
        <f>(161.9*KFC!$B$12+KFC!$C$12)*KFC!$C$5</f>
        <v>161.9</v>
      </c>
      <c r="Q73" s="654">
        <f>(167.8*KFC!$B$12+KFC!$C$12)*KFC!$C$5</f>
        <v>167.8</v>
      </c>
      <c r="R73" s="654">
        <f>(173.8*KFC!$B$12+KFC!$C$12)*KFC!$C$5</f>
        <v>173.8</v>
      </c>
      <c r="S73" s="654">
        <f>(179.7*KFC!$B$12+KFC!$C$12)*KFC!$C$5</f>
        <v>179.7</v>
      </c>
      <c r="T73" s="654">
        <f>(185.6*KFC!$B$12+KFC!$C$12)*KFC!$C$5</f>
        <v>185.6</v>
      </c>
      <c r="U73" s="654">
        <f>(191.5*KFC!$B$12+KFC!$C$12)*KFC!$C$5</f>
        <v>191.5</v>
      </c>
      <c r="V73" s="654">
        <f>(197.4*KFC!$B$12+KFC!$C$12)*KFC!$C$5</f>
        <v>197.4</v>
      </c>
      <c r="W73" s="654">
        <f>(203.4*KFC!$B$12+KFC!$C$12)*KFC!$C$5</f>
        <v>203.4</v>
      </c>
      <c r="X73" s="654">
        <f>(209.3*KFC!$B$12+KFC!$C$12)*KFC!$C$5</f>
        <v>209.3</v>
      </c>
      <c r="Y73" s="654">
        <f>(215.2*KFC!$B$12+KFC!$C$12)*KFC!$C$5</f>
        <v>215.2</v>
      </c>
      <c r="Z73" s="654">
        <f>(221.1*KFC!$B$12+KFC!$C$12)*KFC!$C$5</f>
        <v>221.1</v>
      </c>
      <c r="AA73" s="654">
        <f>(227*KFC!$B$12+KFC!$C$12)*KFC!$C$5</f>
        <v>227</v>
      </c>
      <c r="AB73" s="654">
        <f>(233*KFC!$B$12+KFC!$C$12)*KFC!$C$5</f>
        <v>233</v>
      </c>
      <c r="AC73" s="654">
        <f>(238.9*KFC!$B$12+KFC!$C$12)*KFC!$C$5</f>
        <v>238.9</v>
      </c>
      <c r="AD73" s="654">
        <f>(244.8*KFC!$B$12+KFC!$C$12)*KFC!$C$5</f>
        <v>244.8</v>
      </c>
      <c r="AE73" s="654">
        <f>(250.7*KFC!$B$12+KFC!$C$12)*KFC!$C$5</f>
        <v>250.7</v>
      </c>
      <c r="AF73" s="654">
        <f>(256.6*KFC!$B$12+KFC!$C$12)*KFC!$C$5</f>
        <v>256.60000000000002</v>
      </c>
      <c r="AG73" s="654">
        <f>(262.6*KFC!$B$12+KFC!$C$12)*KFC!$C$5</f>
        <v>262.60000000000002</v>
      </c>
      <c r="AH73" s="654">
        <f>(268.5*KFC!$B$12+KFC!$C$12)*KFC!$C$5</f>
        <v>268.5</v>
      </c>
      <c r="AI73" s="654">
        <f>(274.4*KFC!$B$12+KFC!$C$12)*KFC!$C$5</f>
        <v>274.39999999999998</v>
      </c>
      <c r="AJ73" s="654">
        <f>(280.3*KFC!$B$12+KFC!$C$12)*KFC!$C$5</f>
        <v>280.3</v>
      </c>
      <c r="AK73" s="654">
        <f>(286.3*KFC!$B$12+KFC!$C$12)*KFC!$C$5</f>
        <v>286.3</v>
      </c>
      <c r="AL73" s="654">
        <f>(292.2*KFC!$B$12+KFC!$C$12)*KFC!$C$5</f>
        <v>292.2</v>
      </c>
      <c r="AM73" s="654">
        <f>(298.1*KFC!$B$12+KFC!$C$12)*KFC!$C$5</f>
        <v>298.10000000000002</v>
      </c>
      <c r="AN73" s="654">
        <f>(304*KFC!$B$12+KFC!$C$12)*KFC!$C$5</f>
        <v>304</v>
      </c>
      <c r="AO73" s="654">
        <f>(309.9*KFC!$B$12+KFC!$C$12)*KFC!$C$5</f>
        <v>309.89999999999998</v>
      </c>
      <c r="AP73" s="654">
        <f>(315.9*KFC!$B$12+KFC!$C$12)*KFC!$C$5</f>
        <v>315.89999999999998</v>
      </c>
      <c r="AQ73" s="654">
        <f>(321.8*KFC!$B$12+KFC!$C$12)*KFC!$C$5</f>
        <v>321.8</v>
      </c>
      <c r="AR73" s="654">
        <f>(327.7*KFC!$B$12+KFC!$C$12)*KFC!$C$5</f>
        <v>327.7</v>
      </c>
      <c r="AS73" s="654">
        <f>(333.6*KFC!$B$12+KFC!$C$12)*KFC!$C$5</f>
        <v>333.6</v>
      </c>
      <c r="AT73" s="654">
        <f>(339.5*KFC!$B$12+KFC!$C$12)*KFC!$C$5</f>
        <v>339.5</v>
      </c>
      <c r="AU73" s="654">
        <f>(345.5*KFC!$B$12+KFC!$C$12)*KFC!$C$5</f>
        <v>345.5</v>
      </c>
      <c r="AV73" s="654">
        <f>(351.4*KFC!$B$12+KFC!$C$12)*KFC!$C$5</f>
        <v>351.4</v>
      </c>
      <c r="AW73" s="654">
        <f>(357.3*KFC!$B$12+KFC!$C$12)*KFC!$C$5</f>
        <v>357.3</v>
      </c>
    </row>
    <row r="74" spans="1:49" ht="14.4">
      <c r="A74" s="1277"/>
      <c r="B74" s="649">
        <v>2.2000000000000002</v>
      </c>
      <c r="C74" s="654">
        <f>(85.7*KFC!$B$12+KFC!$C$12)*KFC!$C$5</f>
        <v>85.7</v>
      </c>
      <c r="D74" s="654">
        <f>(91.8*KFC!$B$12+KFC!$C$12)*KFC!$C$5</f>
        <v>91.8</v>
      </c>
      <c r="E74" s="654">
        <f>(97.8*KFC!$B$12+KFC!$C$12)*KFC!$C$5</f>
        <v>97.8</v>
      </c>
      <c r="F74" s="654">
        <f>(103.9*KFC!$B$12+KFC!$C$12)*KFC!$C$5</f>
        <v>103.9</v>
      </c>
      <c r="G74" s="654">
        <f>(109.9*KFC!$B$12+KFC!$C$12)*KFC!$C$5</f>
        <v>109.9</v>
      </c>
      <c r="H74" s="654">
        <f>(116*KFC!$B$12+KFC!$C$12)*KFC!$C$5</f>
        <v>116</v>
      </c>
      <c r="I74" s="654">
        <f>(122.1*KFC!$B$12+KFC!$C$12)*KFC!$C$5</f>
        <v>122.1</v>
      </c>
      <c r="J74" s="654">
        <f>(128.1*KFC!$B$12+KFC!$C$12)*KFC!$C$5</f>
        <v>128.1</v>
      </c>
      <c r="K74" s="654">
        <f>(134.2*KFC!$B$12+KFC!$C$12)*KFC!$C$5</f>
        <v>134.19999999999999</v>
      </c>
      <c r="L74" s="654">
        <f>(140.3*KFC!$B$12+KFC!$C$12)*KFC!$C$5</f>
        <v>140.30000000000001</v>
      </c>
      <c r="M74" s="654">
        <f>(146.3*KFC!$B$12+KFC!$C$12)*KFC!$C$5</f>
        <v>146.30000000000001</v>
      </c>
      <c r="N74" s="654">
        <f>(152.4*KFC!$B$12+KFC!$C$12)*KFC!$C$5</f>
        <v>152.4</v>
      </c>
      <c r="O74" s="654">
        <f>(158.5*KFC!$B$12+KFC!$C$12)*KFC!$C$5</f>
        <v>158.5</v>
      </c>
      <c r="P74" s="654">
        <f>(164.5*KFC!$B$12+KFC!$C$12)*KFC!$C$5</f>
        <v>164.5</v>
      </c>
      <c r="Q74" s="654">
        <f>(170.6*KFC!$B$12+KFC!$C$12)*KFC!$C$5</f>
        <v>170.6</v>
      </c>
      <c r="R74" s="654">
        <f>(176.7*KFC!$B$12+KFC!$C$12)*KFC!$C$5</f>
        <v>176.7</v>
      </c>
      <c r="S74" s="654">
        <f>(182.7*KFC!$B$12+KFC!$C$12)*KFC!$C$5</f>
        <v>182.7</v>
      </c>
      <c r="T74" s="654">
        <f>(188.8*KFC!$B$12+KFC!$C$12)*KFC!$C$5</f>
        <v>188.8</v>
      </c>
      <c r="U74" s="654">
        <f>(194.8*KFC!$B$12+KFC!$C$12)*KFC!$C$5</f>
        <v>194.8</v>
      </c>
      <c r="V74" s="654">
        <f>(200.9*KFC!$B$12+KFC!$C$12)*KFC!$C$5</f>
        <v>200.9</v>
      </c>
      <c r="W74" s="654">
        <f>(207*KFC!$B$12+KFC!$C$12)*KFC!$C$5</f>
        <v>207</v>
      </c>
      <c r="X74" s="654">
        <f>(213*KFC!$B$12+KFC!$C$12)*KFC!$C$5</f>
        <v>213</v>
      </c>
      <c r="Y74" s="654">
        <f>(219.1*KFC!$B$12+KFC!$C$12)*KFC!$C$5</f>
        <v>219.1</v>
      </c>
      <c r="Z74" s="654">
        <f>(225.2*KFC!$B$12+KFC!$C$12)*KFC!$C$5</f>
        <v>225.2</v>
      </c>
      <c r="AA74" s="654">
        <f>(231.2*KFC!$B$12+KFC!$C$12)*KFC!$C$5</f>
        <v>231.2</v>
      </c>
      <c r="AB74" s="654">
        <f>(237.3*KFC!$B$12+KFC!$C$12)*KFC!$C$5</f>
        <v>237.3</v>
      </c>
      <c r="AC74" s="654">
        <f>(243.4*KFC!$B$12+KFC!$C$12)*KFC!$C$5</f>
        <v>243.4</v>
      </c>
      <c r="AD74" s="654">
        <f>(249.4*KFC!$B$12+KFC!$C$12)*KFC!$C$5</f>
        <v>249.4</v>
      </c>
      <c r="AE74" s="654">
        <f>(255.5*KFC!$B$12+KFC!$C$12)*KFC!$C$5</f>
        <v>255.5</v>
      </c>
      <c r="AF74" s="654">
        <f>(261.6*KFC!$B$12+KFC!$C$12)*KFC!$C$5</f>
        <v>261.60000000000002</v>
      </c>
      <c r="AG74" s="654">
        <f>(267.6*KFC!$B$12+KFC!$C$12)*KFC!$C$5</f>
        <v>267.60000000000002</v>
      </c>
      <c r="AH74" s="654">
        <f>(273.7*KFC!$B$12+KFC!$C$12)*KFC!$C$5</f>
        <v>273.7</v>
      </c>
      <c r="AI74" s="654">
        <f>(279.7*KFC!$B$12+KFC!$C$12)*KFC!$C$5</f>
        <v>279.7</v>
      </c>
      <c r="AJ74" s="654">
        <f>(285.8*KFC!$B$12+KFC!$C$12)*KFC!$C$5</f>
        <v>285.8</v>
      </c>
      <c r="AK74" s="654">
        <f>(291.9*KFC!$B$12+KFC!$C$12)*KFC!$C$5</f>
        <v>291.89999999999998</v>
      </c>
      <c r="AL74" s="654">
        <f>(297.9*KFC!$B$12+KFC!$C$12)*KFC!$C$5</f>
        <v>297.89999999999998</v>
      </c>
      <c r="AM74" s="654">
        <f>(304*KFC!$B$12+KFC!$C$12)*KFC!$C$5</f>
        <v>304</v>
      </c>
      <c r="AN74" s="654">
        <f>(310.1*KFC!$B$12+KFC!$C$12)*KFC!$C$5</f>
        <v>310.10000000000002</v>
      </c>
      <c r="AO74" s="654">
        <f>(316.1*KFC!$B$12+KFC!$C$12)*KFC!$C$5</f>
        <v>316.10000000000002</v>
      </c>
      <c r="AP74" s="654">
        <f>(322.2*KFC!$B$12+KFC!$C$12)*KFC!$C$5</f>
        <v>322.2</v>
      </c>
      <c r="AQ74" s="654">
        <f>(328.3*KFC!$B$12+KFC!$C$12)*KFC!$C$5</f>
        <v>328.3</v>
      </c>
      <c r="AR74" s="654">
        <f>(334.3*KFC!$B$12+KFC!$C$12)*KFC!$C$5</f>
        <v>334.3</v>
      </c>
      <c r="AS74" s="654">
        <f>(340.4*KFC!$B$12+KFC!$C$12)*KFC!$C$5</f>
        <v>340.4</v>
      </c>
      <c r="AT74" s="654">
        <f>(346.4*KFC!$B$12+KFC!$C$12)*KFC!$C$5</f>
        <v>346.4</v>
      </c>
      <c r="AU74" s="654">
        <f>(352.5*KFC!$B$12+KFC!$C$12)*KFC!$C$5</f>
        <v>352.5</v>
      </c>
      <c r="AV74" s="654">
        <f>(358.6*KFC!$B$12+KFC!$C$12)*KFC!$C$5</f>
        <v>358.6</v>
      </c>
      <c r="AW74" s="654">
        <f>(364.6*KFC!$B$12+KFC!$C$12)*KFC!$C$5</f>
        <v>364.6</v>
      </c>
    </row>
    <row r="75" spans="1:49" ht="14.4">
      <c r="A75" s="1277"/>
      <c r="B75" s="649">
        <v>2.2999999999999998</v>
      </c>
      <c r="C75" s="654">
        <f>(86.4*KFC!$B$12+KFC!$C$12)*KFC!$C$5</f>
        <v>86.4</v>
      </c>
      <c r="D75" s="654">
        <f>(92.7*KFC!$B$12+KFC!$C$12)*KFC!$C$5</f>
        <v>92.7</v>
      </c>
      <c r="E75" s="654">
        <f>(98.9*KFC!$B$12+KFC!$C$12)*KFC!$C$5</f>
        <v>98.9</v>
      </c>
      <c r="F75" s="654">
        <f>(105.1*KFC!$B$12+KFC!$C$12)*KFC!$C$5</f>
        <v>105.1</v>
      </c>
      <c r="G75" s="654">
        <f>(111.3*KFC!$B$12+KFC!$C$12)*KFC!$C$5</f>
        <v>111.3</v>
      </c>
      <c r="H75" s="654">
        <f>(117.5*KFC!$B$12+KFC!$C$12)*KFC!$C$5</f>
        <v>117.5</v>
      </c>
      <c r="I75" s="654">
        <f>(123.7*KFC!$B$12+KFC!$C$12)*KFC!$C$5</f>
        <v>123.7</v>
      </c>
      <c r="J75" s="654">
        <f>(129.9*KFC!$B$12+KFC!$C$12)*KFC!$C$5</f>
        <v>129.9</v>
      </c>
      <c r="K75" s="654">
        <f>(136.1*KFC!$B$12+KFC!$C$12)*KFC!$C$5</f>
        <v>136.1</v>
      </c>
      <c r="L75" s="654">
        <f>(142.3*KFC!$B$12+KFC!$C$12)*KFC!$C$5</f>
        <v>142.30000000000001</v>
      </c>
      <c r="M75" s="654">
        <f>(148.5*KFC!$B$12+KFC!$C$12)*KFC!$C$5</f>
        <v>148.5</v>
      </c>
      <c r="N75" s="654">
        <f>(154.7*KFC!$B$12+KFC!$C$12)*KFC!$C$5</f>
        <v>154.69999999999999</v>
      </c>
      <c r="O75" s="654">
        <f>(160.9*KFC!$B$12+KFC!$C$12)*KFC!$C$5</f>
        <v>160.9</v>
      </c>
      <c r="P75" s="654">
        <f>(167.1*KFC!$B$12+KFC!$C$12)*KFC!$C$5</f>
        <v>167.1</v>
      </c>
      <c r="Q75" s="654">
        <f>(173.3*KFC!$B$12+KFC!$C$12)*KFC!$C$5</f>
        <v>173.3</v>
      </c>
      <c r="R75" s="654">
        <f>(179.6*KFC!$B$12+KFC!$C$12)*KFC!$C$5</f>
        <v>179.6</v>
      </c>
      <c r="S75" s="654">
        <f>(185.8*KFC!$B$12+KFC!$C$12)*KFC!$C$5</f>
        <v>185.8</v>
      </c>
      <c r="T75" s="654">
        <f>(192*KFC!$B$12+KFC!$C$12)*KFC!$C$5</f>
        <v>192</v>
      </c>
      <c r="U75" s="654">
        <f>(198.2*KFC!$B$12+KFC!$C$12)*KFC!$C$5</f>
        <v>198.2</v>
      </c>
      <c r="V75" s="654">
        <f>(204.4*KFC!$B$12+KFC!$C$12)*KFC!$C$5</f>
        <v>204.4</v>
      </c>
      <c r="W75" s="654">
        <f>(210.6*KFC!$B$12+KFC!$C$12)*KFC!$C$5</f>
        <v>210.6</v>
      </c>
      <c r="X75" s="654">
        <f>(216.8*KFC!$B$12+KFC!$C$12)*KFC!$C$5</f>
        <v>216.8</v>
      </c>
      <c r="Y75" s="654">
        <f>(223*KFC!$B$12+KFC!$C$12)*KFC!$C$5</f>
        <v>223</v>
      </c>
      <c r="Z75" s="654">
        <f>(229.2*KFC!$B$12+KFC!$C$12)*KFC!$C$5</f>
        <v>229.2</v>
      </c>
      <c r="AA75" s="654">
        <f>(235.4*KFC!$B$12+KFC!$C$12)*KFC!$C$5</f>
        <v>235.4</v>
      </c>
      <c r="AB75" s="654">
        <f>(241.6*KFC!$B$12+KFC!$C$12)*KFC!$C$5</f>
        <v>241.6</v>
      </c>
      <c r="AC75" s="654">
        <f>(247.8*KFC!$B$12+KFC!$C$12)*KFC!$C$5</f>
        <v>247.8</v>
      </c>
      <c r="AD75" s="654">
        <f>(254*KFC!$B$12+KFC!$C$12)*KFC!$C$5</f>
        <v>254</v>
      </c>
      <c r="AE75" s="654">
        <f>(260.2*KFC!$B$12+KFC!$C$12)*KFC!$C$5</f>
        <v>260.2</v>
      </c>
      <c r="AF75" s="654">
        <f>(266.5*KFC!$B$12+KFC!$C$12)*KFC!$C$5</f>
        <v>266.5</v>
      </c>
      <c r="AG75" s="654">
        <f>(272.7*KFC!$B$12+KFC!$C$12)*KFC!$C$5</f>
        <v>272.7</v>
      </c>
      <c r="AH75" s="654">
        <f>(278.9*KFC!$B$12+KFC!$C$12)*KFC!$C$5</f>
        <v>278.89999999999998</v>
      </c>
      <c r="AI75" s="654">
        <f>(285.1*KFC!$B$12+KFC!$C$12)*KFC!$C$5</f>
        <v>285.10000000000002</v>
      </c>
      <c r="AJ75" s="654">
        <f>(291.3*KFC!$B$12+KFC!$C$12)*KFC!$C$5</f>
        <v>291.3</v>
      </c>
      <c r="AK75" s="654">
        <f>(297.5*KFC!$B$12+KFC!$C$12)*KFC!$C$5</f>
        <v>297.5</v>
      </c>
      <c r="AL75" s="654">
        <f>(303.7*KFC!$B$12+KFC!$C$12)*KFC!$C$5</f>
        <v>303.7</v>
      </c>
      <c r="AM75" s="654">
        <f>(309.9*KFC!$B$12+KFC!$C$12)*KFC!$C$5</f>
        <v>309.89999999999998</v>
      </c>
      <c r="AN75" s="654">
        <f>(316.1*KFC!$B$12+KFC!$C$12)*KFC!$C$5</f>
        <v>316.10000000000002</v>
      </c>
      <c r="AO75" s="654">
        <f>(322.3*KFC!$B$12+KFC!$C$12)*KFC!$C$5</f>
        <v>322.3</v>
      </c>
      <c r="AP75" s="654">
        <f>(328.5*KFC!$B$12+KFC!$C$12)*KFC!$C$5</f>
        <v>328.5</v>
      </c>
      <c r="AQ75" s="654">
        <f>(334.7*KFC!$B$12+KFC!$C$12)*KFC!$C$5</f>
        <v>334.7</v>
      </c>
      <c r="AR75" s="654">
        <f>(340.9*KFC!$B$12+KFC!$C$12)*KFC!$C$5</f>
        <v>340.9</v>
      </c>
      <c r="AS75" s="654">
        <f>(347.1*KFC!$B$12+KFC!$C$12)*KFC!$C$5</f>
        <v>347.1</v>
      </c>
      <c r="AT75" s="654">
        <f>(353.4*KFC!$B$12+KFC!$C$12)*KFC!$C$5</f>
        <v>353.4</v>
      </c>
      <c r="AU75" s="654">
        <f>(359.6*KFC!$B$12+KFC!$C$12)*KFC!$C$5</f>
        <v>359.6</v>
      </c>
      <c r="AV75" s="654">
        <f>(365.8*KFC!$B$12+KFC!$C$12)*KFC!$C$5</f>
        <v>365.8</v>
      </c>
      <c r="AW75" s="654">
        <f>(372*KFC!$B$12+KFC!$C$12)*KFC!$C$5</f>
        <v>372</v>
      </c>
    </row>
    <row r="76" spans="1:49" ht="14.4">
      <c r="A76" s="1277"/>
      <c r="B76" s="649">
        <v>2.4</v>
      </c>
      <c r="C76" s="654">
        <f>(87.2*KFC!$B$12+KFC!$C$12)*KFC!$C$5</f>
        <v>87.2</v>
      </c>
      <c r="D76" s="654">
        <f>(93.5*KFC!$B$12+KFC!$C$12)*KFC!$C$5</f>
        <v>93.5</v>
      </c>
      <c r="E76" s="654">
        <f>(99.9*KFC!$B$12+KFC!$C$12)*KFC!$C$5</f>
        <v>99.9</v>
      </c>
      <c r="F76" s="654">
        <f>(106.3*KFC!$B$12+KFC!$C$12)*KFC!$C$5</f>
        <v>106.3</v>
      </c>
      <c r="G76" s="654">
        <f>(112.6*KFC!$B$12+KFC!$C$12)*KFC!$C$5</f>
        <v>112.6</v>
      </c>
      <c r="H76" s="654">
        <f>(119*KFC!$B$12+KFC!$C$12)*KFC!$C$5</f>
        <v>119</v>
      </c>
      <c r="I76" s="654">
        <f>(125.3*KFC!$B$12+KFC!$C$12)*KFC!$C$5</f>
        <v>125.3</v>
      </c>
      <c r="J76" s="654">
        <f>(131.7*KFC!$B$12+KFC!$C$12)*KFC!$C$5</f>
        <v>131.69999999999999</v>
      </c>
      <c r="K76" s="654">
        <f>(138*KFC!$B$12+KFC!$C$12)*KFC!$C$5</f>
        <v>138</v>
      </c>
      <c r="L76" s="654">
        <f>(144.3*KFC!$B$12+KFC!$C$12)*KFC!$C$5</f>
        <v>144.30000000000001</v>
      </c>
      <c r="M76" s="654">
        <f>(150.7*KFC!$B$12+KFC!$C$12)*KFC!$C$5</f>
        <v>150.69999999999999</v>
      </c>
      <c r="N76" s="654">
        <f>(157.1*KFC!$B$12+KFC!$C$12)*KFC!$C$5</f>
        <v>157.1</v>
      </c>
      <c r="O76" s="654">
        <f>(163.4*KFC!$B$12+KFC!$C$12)*KFC!$C$5</f>
        <v>163.4</v>
      </c>
      <c r="P76" s="654">
        <f>(169.8*KFC!$B$12+KFC!$C$12)*KFC!$C$5</f>
        <v>169.8</v>
      </c>
      <c r="Q76" s="654">
        <f>(176.1*KFC!$B$12+KFC!$C$12)*KFC!$C$5</f>
        <v>176.1</v>
      </c>
      <c r="R76" s="654">
        <f>(182.5*KFC!$B$12+KFC!$C$12)*KFC!$C$5</f>
        <v>182.5</v>
      </c>
      <c r="S76" s="654">
        <f>(188.8*KFC!$B$12+KFC!$C$12)*KFC!$C$5</f>
        <v>188.8</v>
      </c>
      <c r="T76" s="654">
        <f>(195.1*KFC!$B$12+KFC!$C$12)*KFC!$C$5</f>
        <v>195.1</v>
      </c>
      <c r="U76" s="654">
        <f>(201.5*KFC!$B$12+KFC!$C$12)*KFC!$C$5</f>
        <v>201.5</v>
      </c>
      <c r="V76" s="654">
        <f>(207.8*KFC!$B$12+KFC!$C$12)*KFC!$C$5</f>
        <v>207.8</v>
      </c>
      <c r="W76" s="654">
        <f>(214.2*KFC!$B$12+KFC!$C$12)*KFC!$C$5</f>
        <v>214.2</v>
      </c>
      <c r="X76" s="654">
        <f>(220.6*KFC!$B$12+KFC!$C$12)*KFC!$C$5</f>
        <v>220.6</v>
      </c>
      <c r="Y76" s="654">
        <f>(226.9*KFC!$B$12+KFC!$C$12)*KFC!$C$5</f>
        <v>226.9</v>
      </c>
      <c r="Z76" s="654">
        <f>(233.3*KFC!$B$12+KFC!$C$12)*KFC!$C$5</f>
        <v>233.3</v>
      </c>
      <c r="AA76" s="654">
        <f>(239.6*KFC!$B$12+KFC!$C$12)*KFC!$C$5</f>
        <v>239.6</v>
      </c>
      <c r="AB76" s="654">
        <f>(246*KFC!$B$12+KFC!$C$12)*KFC!$C$5</f>
        <v>246</v>
      </c>
      <c r="AC76" s="654">
        <f>(252.3*KFC!$B$12+KFC!$C$12)*KFC!$C$5</f>
        <v>252.3</v>
      </c>
      <c r="AD76" s="654">
        <f>(258.6*KFC!$B$12+KFC!$C$12)*KFC!$C$5</f>
        <v>258.60000000000002</v>
      </c>
      <c r="AE76" s="654">
        <f>(265*KFC!$B$12+KFC!$C$12)*KFC!$C$5</f>
        <v>265</v>
      </c>
      <c r="AF76" s="654">
        <f>(271.4*KFC!$B$12+KFC!$C$12)*KFC!$C$5</f>
        <v>271.39999999999998</v>
      </c>
      <c r="AG76" s="654">
        <f>(277.7*KFC!$B$12+KFC!$C$12)*KFC!$C$5</f>
        <v>277.7</v>
      </c>
      <c r="AH76" s="654">
        <f>(284.1*KFC!$B$12+KFC!$C$12)*KFC!$C$5</f>
        <v>284.10000000000002</v>
      </c>
      <c r="AI76" s="654">
        <f>(290.4*KFC!$B$12+KFC!$C$12)*KFC!$C$5</f>
        <v>290.39999999999998</v>
      </c>
      <c r="AJ76" s="654">
        <f>(296.8*KFC!$B$12+KFC!$C$12)*KFC!$C$5</f>
        <v>296.8</v>
      </c>
      <c r="AK76" s="654">
        <f>(303.1*KFC!$B$12+KFC!$C$12)*KFC!$C$5</f>
        <v>303.10000000000002</v>
      </c>
      <c r="AL76" s="654">
        <f>(309.4*KFC!$B$12+KFC!$C$12)*KFC!$C$5</f>
        <v>309.39999999999998</v>
      </c>
      <c r="AM76" s="654">
        <f>(315.8*KFC!$B$12+KFC!$C$12)*KFC!$C$5</f>
        <v>315.8</v>
      </c>
      <c r="AN76" s="654">
        <f>(322.1*KFC!$B$12+KFC!$C$12)*KFC!$C$5</f>
        <v>322.10000000000002</v>
      </c>
      <c r="AO76" s="654">
        <f>(328.5*KFC!$B$12+KFC!$C$12)*KFC!$C$5</f>
        <v>328.5</v>
      </c>
      <c r="AP76" s="654">
        <f>(334.9*KFC!$B$12+KFC!$C$12)*KFC!$C$5</f>
        <v>334.9</v>
      </c>
      <c r="AQ76" s="654">
        <f>(341.2*KFC!$B$12+KFC!$C$12)*KFC!$C$5</f>
        <v>341.2</v>
      </c>
      <c r="AR76" s="654">
        <f>(347.6*KFC!$B$12+KFC!$C$12)*KFC!$C$5</f>
        <v>347.6</v>
      </c>
      <c r="AS76" s="654">
        <f>(353.9*KFC!$B$12+KFC!$C$12)*KFC!$C$5</f>
        <v>353.9</v>
      </c>
      <c r="AT76" s="654">
        <f>(360.2*KFC!$B$12+KFC!$C$12)*KFC!$C$5</f>
        <v>360.2</v>
      </c>
      <c r="AU76" s="654">
        <f>(366.6*KFC!$B$12+KFC!$C$12)*KFC!$C$5</f>
        <v>366.6</v>
      </c>
      <c r="AV76" s="654">
        <f>(372.9*KFC!$B$12+KFC!$C$12)*KFC!$C$5</f>
        <v>372.9</v>
      </c>
      <c r="AW76" s="654">
        <f>(379.3*KFC!$B$12+KFC!$C$12)*KFC!$C$5</f>
        <v>379.3</v>
      </c>
    </row>
    <row r="77" spans="1:49" ht="14.4">
      <c r="A77" s="1277"/>
      <c r="B77" s="649">
        <v>2.5</v>
      </c>
      <c r="C77" s="654">
        <f>(88*KFC!$B$12+KFC!$C$12)*KFC!$C$5</f>
        <v>88</v>
      </c>
      <c r="D77" s="654">
        <f>(94.5*KFC!$B$12+KFC!$C$12)*KFC!$C$5</f>
        <v>94.5</v>
      </c>
      <c r="E77" s="654">
        <f>(100.9*KFC!$B$12+KFC!$C$12)*KFC!$C$5</f>
        <v>100.9</v>
      </c>
      <c r="F77" s="654">
        <f>(107.4*KFC!$B$12+KFC!$C$12)*KFC!$C$5</f>
        <v>107.4</v>
      </c>
      <c r="G77" s="654">
        <f>(113.9*KFC!$B$12+KFC!$C$12)*KFC!$C$5</f>
        <v>113.9</v>
      </c>
      <c r="H77" s="654">
        <f>(120.4*KFC!$B$12+KFC!$C$12)*KFC!$C$5</f>
        <v>120.4</v>
      </c>
      <c r="I77" s="654">
        <f>(126.9*KFC!$B$12+KFC!$C$12)*KFC!$C$5</f>
        <v>126.9</v>
      </c>
      <c r="J77" s="654">
        <f>(133.4*KFC!$B$12+KFC!$C$12)*KFC!$C$5</f>
        <v>133.4</v>
      </c>
      <c r="K77" s="654">
        <f>(139.9*KFC!$B$12+KFC!$C$12)*KFC!$C$5</f>
        <v>139.9</v>
      </c>
      <c r="L77" s="654">
        <f>(146.4*KFC!$B$12+KFC!$C$12)*KFC!$C$5</f>
        <v>146.4</v>
      </c>
      <c r="M77" s="654">
        <f>(152.9*KFC!$B$12+KFC!$C$12)*KFC!$C$5</f>
        <v>152.9</v>
      </c>
      <c r="N77" s="654">
        <f>(159.4*KFC!$B$12+KFC!$C$12)*KFC!$C$5</f>
        <v>159.4</v>
      </c>
      <c r="O77" s="654">
        <f>(165.9*KFC!$B$12+KFC!$C$12)*KFC!$C$5</f>
        <v>165.9</v>
      </c>
      <c r="P77" s="654">
        <f>(172.4*KFC!$B$12+KFC!$C$12)*KFC!$C$5</f>
        <v>172.4</v>
      </c>
      <c r="Q77" s="654">
        <f>(178.9*KFC!$B$12+KFC!$C$12)*KFC!$C$5</f>
        <v>178.9</v>
      </c>
      <c r="R77" s="654">
        <f>(185.3*KFC!$B$12+KFC!$C$12)*KFC!$C$5</f>
        <v>185.3</v>
      </c>
      <c r="S77" s="654">
        <f>(191.8*KFC!$B$12+KFC!$C$12)*KFC!$C$5</f>
        <v>191.8</v>
      </c>
      <c r="T77" s="654">
        <f>(198.3*KFC!$B$12+KFC!$C$12)*KFC!$C$5</f>
        <v>198.3</v>
      </c>
      <c r="U77" s="654">
        <f>(204.8*KFC!$B$12+KFC!$C$12)*KFC!$C$5</f>
        <v>204.8</v>
      </c>
      <c r="V77" s="654">
        <f>(211.3*KFC!$B$12+KFC!$C$12)*KFC!$C$5</f>
        <v>211.3</v>
      </c>
      <c r="W77" s="654">
        <f>(217.8*KFC!$B$12+KFC!$C$12)*KFC!$C$5</f>
        <v>217.8</v>
      </c>
      <c r="X77" s="654">
        <f>(224.3*KFC!$B$12+KFC!$C$12)*KFC!$C$5</f>
        <v>224.3</v>
      </c>
      <c r="Y77" s="654">
        <f>(230.8*KFC!$B$12+KFC!$C$12)*KFC!$C$5</f>
        <v>230.8</v>
      </c>
      <c r="Z77" s="654">
        <f>(237.3*KFC!$B$12+KFC!$C$12)*KFC!$C$5</f>
        <v>237.3</v>
      </c>
      <c r="AA77" s="654">
        <f>(243.8*KFC!$B$12+KFC!$C$12)*KFC!$C$5</f>
        <v>243.8</v>
      </c>
      <c r="AB77" s="654">
        <f>(250.3*KFC!$B$12+KFC!$C$12)*KFC!$C$5</f>
        <v>250.3</v>
      </c>
      <c r="AC77" s="654">
        <f>(256.8*KFC!$B$12+KFC!$C$12)*KFC!$C$5</f>
        <v>256.8</v>
      </c>
      <c r="AD77" s="654">
        <f>(263.3*KFC!$B$12+KFC!$C$12)*KFC!$C$5</f>
        <v>263.3</v>
      </c>
      <c r="AE77" s="654">
        <f>(269.8*KFC!$B$12+KFC!$C$12)*KFC!$C$5</f>
        <v>269.8</v>
      </c>
      <c r="AF77" s="654">
        <f>(276.3*KFC!$B$12+KFC!$C$12)*KFC!$C$5</f>
        <v>276.3</v>
      </c>
      <c r="AG77" s="654">
        <f>(282.7*KFC!$B$12+KFC!$C$12)*KFC!$C$5</f>
        <v>282.7</v>
      </c>
      <c r="AH77" s="654">
        <f>(289.2*KFC!$B$12+KFC!$C$12)*KFC!$C$5</f>
        <v>289.2</v>
      </c>
      <c r="AI77" s="654">
        <f>(295.7*KFC!$B$12+KFC!$C$12)*KFC!$C$5</f>
        <v>295.7</v>
      </c>
      <c r="AJ77" s="654">
        <f>(302.2*KFC!$B$12+KFC!$C$12)*KFC!$C$5</f>
        <v>302.2</v>
      </c>
      <c r="AK77" s="654">
        <f>(308.7*KFC!$B$12+KFC!$C$12)*KFC!$C$5</f>
        <v>308.7</v>
      </c>
      <c r="AL77" s="654">
        <f>(315.2*KFC!$B$12+KFC!$C$12)*KFC!$C$5</f>
        <v>315.2</v>
      </c>
      <c r="AM77" s="654">
        <f>(321.7*KFC!$B$12+KFC!$C$12)*KFC!$C$5</f>
        <v>321.7</v>
      </c>
      <c r="AN77" s="654">
        <f>(328.2*KFC!$B$12+KFC!$C$12)*KFC!$C$5</f>
        <v>328.2</v>
      </c>
      <c r="AO77" s="654">
        <f>(334.7*KFC!$B$12+KFC!$C$12)*KFC!$C$5</f>
        <v>334.7</v>
      </c>
      <c r="AP77" s="654">
        <f>(341.2*KFC!$B$12+KFC!$C$12)*KFC!$C$5</f>
        <v>341.2</v>
      </c>
      <c r="AQ77" s="654">
        <f>(347.7*KFC!$B$12+KFC!$C$12)*KFC!$C$5</f>
        <v>347.7</v>
      </c>
      <c r="AR77" s="654">
        <f>(354.2*KFC!$B$12+KFC!$C$12)*KFC!$C$5</f>
        <v>354.2</v>
      </c>
      <c r="AS77" s="654">
        <f>(360.7*KFC!$B$12+KFC!$C$12)*KFC!$C$5</f>
        <v>360.7</v>
      </c>
      <c r="AT77" s="654">
        <f>(367.1*KFC!$B$12+KFC!$C$12)*KFC!$C$5</f>
        <v>367.1</v>
      </c>
      <c r="AU77" s="654">
        <f>(373.6*KFC!$B$12+KFC!$C$12)*KFC!$C$5</f>
        <v>373.6</v>
      </c>
      <c r="AV77" s="654">
        <f>(380.1*KFC!$B$12+KFC!$C$12)*KFC!$C$5</f>
        <v>380.1</v>
      </c>
      <c r="AW77" s="654">
        <f>(386.6*KFC!$B$12+KFC!$C$12)*KFC!$C$5</f>
        <v>386.6</v>
      </c>
    </row>
    <row r="78" spans="1:49" ht="14.4">
      <c r="A78" s="1277"/>
      <c r="B78" s="649">
        <v>2.6</v>
      </c>
      <c r="C78" s="654">
        <f>(88.7*KFC!$B$12+KFC!$C$12)*KFC!$C$5</f>
        <v>88.7</v>
      </c>
      <c r="D78" s="654">
        <f>(95.4*KFC!$B$12+KFC!$C$12)*KFC!$C$5</f>
        <v>95.4</v>
      </c>
      <c r="E78" s="654">
        <f>(102*KFC!$B$12+KFC!$C$12)*KFC!$C$5</f>
        <v>102</v>
      </c>
      <c r="F78" s="654">
        <f>(108.6*KFC!$B$12+KFC!$C$12)*KFC!$C$5</f>
        <v>108.6</v>
      </c>
      <c r="G78" s="654">
        <f>(115.3*KFC!$B$12+KFC!$C$12)*KFC!$C$5</f>
        <v>115.3</v>
      </c>
      <c r="H78" s="654">
        <f>(121.9*KFC!$B$12+KFC!$C$12)*KFC!$C$5</f>
        <v>121.9</v>
      </c>
      <c r="I78" s="654">
        <f>(128.5*KFC!$B$12+KFC!$C$12)*KFC!$C$5</f>
        <v>128.5</v>
      </c>
      <c r="J78" s="654">
        <f>(135.2*KFC!$B$12+KFC!$C$12)*KFC!$C$5</f>
        <v>135.19999999999999</v>
      </c>
      <c r="K78" s="654">
        <f>(141.8*KFC!$B$12+KFC!$C$12)*KFC!$C$5</f>
        <v>141.80000000000001</v>
      </c>
      <c r="L78" s="654">
        <f>(148.4*KFC!$B$12+KFC!$C$12)*KFC!$C$5</f>
        <v>148.4</v>
      </c>
      <c r="M78" s="654">
        <f>(155.1*KFC!$B$12+KFC!$C$12)*KFC!$C$5</f>
        <v>155.1</v>
      </c>
      <c r="N78" s="654">
        <f>(161.7*KFC!$B$12+KFC!$C$12)*KFC!$C$5</f>
        <v>161.69999999999999</v>
      </c>
      <c r="O78" s="654">
        <f>(168.3*KFC!$B$12+KFC!$C$12)*KFC!$C$5</f>
        <v>168.3</v>
      </c>
      <c r="P78" s="654">
        <f>(175*KFC!$B$12+KFC!$C$12)*KFC!$C$5</f>
        <v>175</v>
      </c>
      <c r="Q78" s="654">
        <f>(181.6*KFC!$B$12+KFC!$C$12)*KFC!$C$5</f>
        <v>181.6</v>
      </c>
      <c r="R78" s="654">
        <f>(188.3*KFC!$B$12+KFC!$C$12)*KFC!$C$5</f>
        <v>188.3</v>
      </c>
      <c r="S78" s="654">
        <f>(194.9*KFC!$B$12+KFC!$C$12)*KFC!$C$5</f>
        <v>194.9</v>
      </c>
      <c r="T78" s="654">
        <f>(201.5*KFC!$B$12+KFC!$C$12)*KFC!$C$5</f>
        <v>201.5</v>
      </c>
      <c r="U78" s="654">
        <f>(208.2*KFC!$B$12+KFC!$C$12)*KFC!$C$5</f>
        <v>208.2</v>
      </c>
      <c r="V78" s="654">
        <f>(214.8*KFC!$B$12+KFC!$C$12)*KFC!$C$5</f>
        <v>214.8</v>
      </c>
      <c r="W78" s="654">
        <f>(221.4*KFC!$B$12+KFC!$C$12)*KFC!$C$5</f>
        <v>221.4</v>
      </c>
      <c r="X78" s="654">
        <f>(228.1*KFC!$B$12+KFC!$C$12)*KFC!$C$5</f>
        <v>228.1</v>
      </c>
      <c r="Y78" s="654">
        <f>(234.7*KFC!$B$12+KFC!$C$12)*KFC!$C$5</f>
        <v>234.7</v>
      </c>
      <c r="Z78" s="654">
        <f>(241.3*KFC!$B$12+KFC!$C$12)*KFC!$C$5</f>
        <v>241.3</v>
      </c>
      <c r="AA78" s="654">
        <f>(248*KFC!$B$12+KFC!$C$12)*KFC!$C$5</f>
        <v>248</v>
      </c>
      <c r="AB78" s="654">
        <f>(254.6*KFC!$B$12+KFC!$C$12)*KFC!$C$5</f>
        <v>254.6</v>
      </c>
      <c r="AC78" s="654">
        <f>(261.2*KFC!$B$12+KFC!$C$12)*KFC!$C$5</f>
        <v>261.2</v>
      </c>
      <c r="AD78" s="654">
        <f>(267.9*KFC!$B$12+KFC!$C$12)*KFC!$C$5</f>
        <v>267.89999999999998</v>
      </c>
      <c r="AE78" s="654">
        <f>(274.5*KFC!$B$12+KFC!$C$12)*KFC!$C$5</f>
        <v>274.5</v>
      </c>
      <c r="AF78" s="654">
        <f>(281.1*KFC!$B$12+KFC!$C$12)*KFC!$C$5</f>
        <v>281.10000000000002</v>
      </c>
      <c r="AG78" s="654">
        <f>(287.8*KFC!$B$12+KFC!$C$12)*KFC!$C$5</f>
        <v>287.8</v>
      </c>
      <c r="AH78" s="654">
        <f>(294.4*KFC!$B$12+KFC!$C$12)*KFC!$C$5</f>
        <v>294.39999999999998</v>
      </c>
      <c r="AI78" s="654">
        <f>(301.1*KFC!$B$12+KFC!$C$12)*KFC!$C$5</f>
        <v>301.10000000000002</v>
      </c>
      <c r="AJ78" s="654">
        <f>(307.7*KFC!$B$12+KFC!$C$12)*KFC!$C$5</f>
        <v>307.7</v>
      </c>
      <c r="AK78" s="654">
        <f>(314.3*KFC!$B$12+KFC!$C$12)*KFC!$C$5</f>
        <v>314.3</v>
      </c>
      <c r="AL78" s="654">
        <f>(321*KFC!$B$12+KFC!$C$12)*KFC!$C$5</f>
        <v>321</v>
      </c>
      <c r="AM78" s="654">
        <f>(327.6*KFC!$B$12+KFC!$C$12)*KFC!$C$5</f>
        <v>327.60000000000002</v>
      </c>
      <c r="AN78" s="654">
        <f>(334.2*KFC!$B$12+KFC!$C$12)*KFC!$C$5</f>
        <v>334.2</v>
      </c>
      <c r="AO78" s="654">
        <f>(340.9*KFC!$B$12+KFC!$C$12)*KFC!$C$5</f>
        <v>340.9</v>
      </c>
      <c r="AP78" s="654">
        <f>(347.5*KFC!$B$12+KFC!$C$12)*KFC!$C$5</f>
        <v>347.5</v>
      </c>
      <c r="AQ78" s="654">
        <f>(354.1*KFC!$B$12+KFC!$C$12)*KFC!$C$5</f>
        <v>354.1</v>
      </c>
      <c r="AR78" s="654">
        <f>(360.8*KFC!$B$12+KFC!$C$12)*KFC!$C$5</f>
        <v>360.8</v>
      </c>
      <c r="AS78" s="654">
        <f>(367.4*KFC!$B$12+KFC!$C$12)*KFC!$C$5</f>
        <v>367.4</v>
      </c>
      <c r="AT78" s="654">
        <f>(374.1*KFC!$B$12+KFC!$C$12)*KFC!$C$5</f>
        <v>374.1</v>
      </c>
      <c r="AU78" s="654">
        <f>(380.7*KFC!$B$12+KFC!$C$12)*KFC!$C$5</f>
        <v>380.7</v>
      </c>
      <c r="AV78" s="654">
        <f>(387.3*KFC!$B$12+KFC!$C$12)*KFC!$C$5</f>
        <v>387.3</v>
      </c>
      <c r="AW78" s="654">
        <f>(394*KFC!$B$12+KFC!$C$12)*KFC!$C$5</f>
        <v>394</v>
      </c>
    </row>
    <row r="79" spans="1:49" ht="14.4">
      <c r="A79" s="1277"/>
      <c r="B79" s="649">
        <v>2.7</v>
      </c>
      <c r="C79" s="654">
        <f>(89.5*KFC!$B$12+KFC!$C$12)*KFC!$C$5</f>
        <v>89.5</v>
      </c>
      <c r="D79" s="654">
        <f>(96.2*KFC!$B$12+KFC!$C$12)*KFC!$C$5</f>
        <v>96.2</v>
      </c>
      <c r="E79" s="654">
        <f>(103*KFC!$B$12+KFC!$C$12)*KFC!$C$5</f>
        <v>103</v>
      </c>
      <c r="F79" s="654">
        <f>(109.8*KFC!$B$12+KFC!$C$12)*KFC!$C$5</f>
        <v>109.8</v>
      </c>
      <c r="G79" s="654">
        <f>(116.6*KFC!$B$12+KFC!$C$12)*KFC!$C$5</f>
        <v>116.6</v>
      </c>
      <c r="H79" s="654">
        <f>(123.4*KFC!$B$12+KFC!$C$12)*KFC!$C$5</f>
        <v>123.4</v>
      </c>
      <c r="I79" s="654">
        <f>(130.1*KFC!$B$12+KFC!$C$12)*KFC!$C$5</f>
        <v>130.1</v>
      </c>
      <c r="J79" s="654">
        <f>(136.9*KFC!$B$12+KFC!$C$12)*KFC!$C$5</f>
        <v>136.9</v>
      </c>
      <c r="K79" s="654">
        <f>(143.7*KFC!$B$12+KFC!$C$12)*KFC!$C$5</f>
        <v>143.69999999999999</v>
      </c>
      <c r="L79" s="654">
        <f>(150.5*KFC!$B$12+KFC!$C$12)*KFC!$C$5</f>
        <v>150.5</v>
      </c>
      <c r="M79" s="654">
        <f>(157.3*KFC!$B$12+KFC!$C$12)*KFC!$C$5</f>
        <v>157.30000000000001</v>
      </c>
      <c r="N79" s="654">
        <f>(164*KFC!$B$12+KFC!$C$12)*KFC!$C$5</f>
        <v>164</v>
      </c>
      <c r="O79" s="654">
        <f>(170.8*KFC!$B$12+KFC!$C$12)*KFC!$C$5</f>
        <v>170.8</v>
      </c>
      <c r="P79" s="654">
        <f>(177.6*KFC!$B$12+KFC!$C$12)*KFC!$C$5</f>
        <v>177.6</v>
      </c>
      <c r="Q79" s="654">
        <f>(184.4*KFC!$B$12+KFC!$C$12)*KFC!$C$5</f>
        <v>184.4</v>
      </c>
      <c r="R79" s="654">
        <f>(191.1*KFC!$B$12+KFC!$C$12)*KFC!$C$5</f>
        <v>191.1</v>
      </c>
      <c r="S79" s="654">
        <f>(197.9*KFC!$B$12+KFC!$C$12)*KFC!$C$5</f>
        <v>197.9</v>
      </c>
      <c r="T79" s="654">
        <f>(204.7*KFC!$B$12+KFC!$C$12)*KFC!$C$5</f>
        <v>204.7</v>
      </c>
      <c r="U79" s="654">
        <f>(211.5*KFC!$B$12+KFC!$C$12)*KFC!$C$5</f>
        <v>211.5</v>
      </c>
      <c r="V79" s="654">
        <f>(218.3*KFC!$B$12+KFC!$C$12)*KFC!$C$5</f>
        <v>218.3</v>
      </c>
      <c r="W79" s="654">
        <f>(225*KFC!$B$12+KFC!$C$12)*KFC!$C$5</f>
        <v>225</v>
      </c>
      <c r="X79" s="654">
        <f>(231.8*KFC!$B$12+KFC!$C$12)*KFC!$C$5</f>
        <v>231.8</v>
      </c>
      <c r="Y79" s="654">
        <f>(238.6*KFC!$B$12+KFC!$C$12)*KFC!$C$5</f>
        <v>238.6</v>
      </c>
      <c r="Z79" s="654">
        <f>(245.4*KFC!$B$12+KFC!$C$12)*KFC!$C$5</f>
        <v>245.4</v>
      </c>
      <c r="AA79" s="654">
        <f>(252.2*KFC!$B$12+KFC!$C$12)*KFC!$C$5</f>
        <v>252.2</v>
      </c>
      <c r="AB79" s="654">
        <f>(258.9*KFC!$B$12+KFC!$C$12)*KFC!$C$5</f>
        <v>258.89999999999998</v>
      </c>
      <c r="AC79" s="654">
        <f>(265.7*KFC!$B$12+KFC!$C$12)*KFC!$C$5</f>
        <v>265.7</v>
      </c>
      <c r="AD79" s="654">
        <f>(272.5*KFC!$B$12+KFC!$C$12)*KFC!$C$5</f>
        <v>272.5</v>
      </c>
      <c r="AE79" s="654">
        <f>(279.3*KFC!$B$12+KFC!$C$12)*KFC!$C$5</f>
        <v>279.3</v>
      </c>
      <c r="AF79" s="654">
        <f>(286.1*KFC!$B$12+KFC!$C$12)*KFC!$C$5</f>
        <v>286.10000000000002</v>
      </c>
      <c r="AG79" s="654">
        <f>(292.8*KFC!$B$12+KFC!$C$12)*KFC!$C$5</f>
        <v>292.8</v>
      </c>
      <c r="AH79" s="654">
        <f>(299.6*KFC!$B$12+KFC!$C$12)*KFC!$C$5</f>
        <v>299.60000000000002</v>
      </c>
      <c r="AI79" s="654">
        <f>(306.4*KFC!$B$12+KFC!$C$12)*KFC!$C$5</f>
        <v>306.39999999999998</v>
      </c>
      <c r="AJ79" s="654">
        <f>(313.2*KFC!$B$12+KFC!$C$12)*KFC!$C$5</f>
        <v>313.2</v>
      </c>
      <c r="AK79" s="654">
        <f>(319.9*KFC!$B$12+KFC!$C$12)*KFC!$C$5</f>
        <v>319.89999999999998</v>
      </c>
      <c r="AL79" s="654">
        <f>(326.7*KFC!$B$12+KFC!$C$12)*KFC!$C$5</f>
        <v>326.7</v>
      </c>
      <c r="AM79" s="654">
        <f>(333.5*KFC!$B$12+KFC!$C$12)*KFC!$C$5</f>
        <v>333.5</v>
      </c>
      <c r="AN79" s="654">
        <f>(340.3*KFC!$B$12+KFC!$C$12)*KFC!$C$5</f>
        <v>340.3</v>
      </c>
      <c r="AO79" s="654">
        <f>(347.1*KFC!$B$12+KFC!$C$12)*KFC!$C$5</f>
        <v>347.1</v>
      </c>
      <c r="AP79" s="654">
        <f>(353.8*KFC!$B$12+KFC!$C$12)*KFC!$C$5</f>
        <v>353.8</v>
      </c>
      <c r="AQ79" s="654">
        <f>(360.6*KFC!$B$12+KFC!$C$12)*KFC!$C$5</f>
        <v>360.6</v>
      </c>
      <c r="AR79" s="654">
        <f>(367.4*KFC!$B$12+KFC!$C$12)*KFC!$C$5</f>
        <v>367.4</v>
      </c>
      <c r="AS79" s="654">
        <f>(374.2*KFC!$B$12+KFC!$C$12)*KFC!$C$5</f>
        <v>374.2</v>
      </c>
      <c r="AT79" s="654">
        <f>(380.9*KFC!$B$12+KFC!$C$12)*KFC!$C$5</f>
        <v>380.9</v>
      </c>
      <c r="AU79" s="654">
        <f>(387.7*KFC!$B$12+KFC!$C$12)*KFC!$C$5</f>
        <v>387.7</v>
      </c>
      <c r="AV79" s="654">
        <f>(394.5*KFC!$B$12+KFC!$C$12)*KFC!$C$5</f>
        <v>394.5</v>
      </c>
      <c r="AW79" s="654">
        <f>(401.3*KFC!$B$12+KFC!$C$12)*KFC!$C$5</f>
        <v>401.3</v>
      </c>
    </row>
    <row r="80" spans="1:49" ht="14.4">
      <c r="A80" s="1277"/>
      <c r="B80" s="649">
        <v>2.8</v>
      </c>
      <c r="C80" s="654">
        <f>(90.2*KFC!$B$12+KFC!$C$12)*KFC!$C$5</f>
        <v>90.2</v>
      </c>
      <c r="D80" s="654">
        <f>(97.2*KFC!$B$12+KFC!$C$12)*KFC!$C$5</f>
        <v>97.2</v>
      </c>
      <c r="E80" s="654">
        <f>(104.1*KFC!$B$12+KFC!$C$12)*KFC!$C$5</f>
        <v>104.1</v>
      </c>
      <c r="F80" s="654">
        <f>(111*KFC!$B$12+KFC!$C$12)*KFC!$C$5</f>
        <v>111</v>
      </c>
      <c r="G80" s="654">
        <f>(117.9*KFC!$B$12+KFC!$C$12)*KFC!$C$5</f>
        <v>117.9</v>
      </c>
      <c r="H80" s="654">
        <f>(124.8*KFC!$B$12+KFC!$C$12)*KFC!$C$5</f>
        <v>124.8</v>
      </c>
      <c r="I80" s="654">
        <f>(131.7*KFC!$B$12+KFC!$C$12)*KFC!$C$5</f>
        <v>131.69999999999999</v>
      </c>
      <c r="J80" s="654">
        <f>(138.7*KFC!$B$12+KFC!$C$12)*KFC!$C$5</f>
        <v>138.69999999999999</v>
      </c>
      <c r="K80" s="654">
        <f>(145.6*KFC!$B$12+KFC!$C$12)*KFC!$C$5</f>
        <v>145.6</v>
      </c>
      <c r="L80" s="654">
        <f>(152.5*KFC!$B$12+KFC!$C$12)*KFC!$C$5</f>
        <v>152.5</v>
      </c>
      <c r="M80" s="654">
        <f>(159.4*KFC!$B$12+KFC!$C$12)*KFC!$C$5</f>
        <v>159.4</v>
      </c>
      <c r="N80" s="654">
        <f>(166.4*KFC!$B$12+KFC!$C$12)*KFC!$C$5</f>
        <v>166.4</v>
      </c>
      <c r="O80" s="654">
        <f>(173.3*KFC!$B$12+KFC!$C$12)*KFC!$C$5</f>
        <v>173.3</v>
      </c>
      <c r="P80" s="654">
        <f>(180.2*KFC!$B$12+KFC!$C$12)*KFC!$C$5</f>
        <v>180.2</v>
      </c>
      <c r="Q80" s="654">
        <f>(187.1*KFC!$B$12+KFC!$C$12)*KFC!$C$5</f>
        <v>187.1</v>
      </c>
      <c r="R80" s="654">
        <f>(194*KFC!$B$12+KFC!$C$12)*KFC!$C$5</f>
        <v>194</v>
      </c>
      <c r="S80" s="654">
        <f>(201*KFC!$B$12+KFC!$C$12)*KFC!$C$5</f>
        <v>201</v>
      </c>
      <c r="T80" s="654">
        <f>(207.9*KFC!$B$12+KFC!$C$12)*KFC!$C$5</f>
        <v>207.9</v>
      </c>
      <c r="U80" s="654">
        <f>(214.8*KFC!$B$12+KFC!$C$12)*KFC!$C$5</f>
        <v>214.8</v>
      </c>
      <c r="V80" s="654">
        <f>(221.7*KFC!$B$12+KFC!$C$12)*KFC!$C$5</f>
        <v>221.7</v>
      </c>
      <c r="W80" s="654">
        <f>(228.7*KFC!$B$12+KFC!$C$12)*KFC!$C$5</f>
        <v>228.7</v>
      </c>
      <c r="X80" s="654">
        <f>(235.6*KFC!$B$12+KFC!$C$12)*KFC!$C$5</f>
        <v>235.6</v>
      </c>
      <c r="Y80" s="654">
        <f>(242.5*KFC!$B$12+KFC!$C$12)*KFC!$C$5</f>
        <v>242.5</v>
      </c>
      <c r="Z80" s="654">
        <f>(249.4*KFC!$B$12+KFC!$C$12)*KFC!$C$5</f>
        <v>249.4</v>
      </c>
      <c r="AA80" s="654">
        <f>(256.3*KFC!$B$12+KFC!$C$12)*KFC!$C$5</f>
        <v>256.3</v>
      </c>
      <c r="AB80" s="654">
        <f>(263.3*KFC!$B$12+KFC!$C$12)*KFC!$C$5</f>
        <v>263.3</v>
      </c>
      <c r="AC80" s="654">
        <f>(270.2*KFC!$B$12+KFC!$C$12)*KFC!$C$5</f>
        <v>270.2</v>
      </c>
      <c r="AD80" s="654">
        <f>(277.1*KFC!$B$12+KFC!$C$12)*KFC!$C$5</f>
        <v>277.10000000000002</v>
      </c>
      <c r="AE80" s="654">
        <f>(284*KFC!$B$12+KFC!$C$12)*KFC!$C$5</f>
        <v>284</v>
      </c>
      <c r="AF80" s="654">
        <f>(290.9*KFC!$B$12+KFC!$C$12)*KFC!$C$5</f>
        <v>290.89999999999998</v>
      </c>
      <c r="AG80" s="654">
        <f>(297.9*KFC!$B$12+KFC!$C$12)*KFC!$C$5</f>
        <v>297.89999999999998</v>
      </c>
      <c r="AH80" s="654">
        <f>(304.8*KFC!$B$12+KFC!$C$12)*KFC!$C$5</f>
        <v>304.8</v>
      </c>
      <c r="AI80" s="654">
        <f>(311.7*KFC!$B$12+KFC!$C$12)*KFC!$C$5</f>
        <v>311.7</v>
      </c>
      <c r="AJ80" s="654">
        <f>(318.6*KFC!$B$12+KFC!$C$12)*KFC!$C$5</f>
        <v>318.60000000000002</v>
      </c>
      <c r="AK80" s="654">
        <f>(325.6*KFC!$B$12+KFC!$C$12)*KFC!$C$5</f>
        <v>325.60000000000002</v>
      </c>
      <c r="AL80" s="654">
        <f>(332.5*KFC!$B$12+KFC!$C$12)*KFC!$C$5</f>
        <v>332.5</v>
      </c>
      <c r="AM80" s="654">
        <f>(339.4*KFC!$B$12+KFC!$C$12)*KFC!$C$5</f>
        <v>339.4</v>
      </c>
      <c r="AN80" s="654">
        <f>(346.3*KFC!$B$12+KFC!$C$12)*KFC!$C$5</f>
        <v>346.3</v>
      </c>
      <c r="AO80" s="654">
        <f>(353.2*KFC!$B$12+KFC!$C$12)*KFC!$C$5</f>
        <v>353.2</v>
      </c>
      <c r="AP80" s="654">
        <f>(360.2*KFC!$B$12+KFC!$C$12)*KFC!$C$5</f>
        <v>360.2</v>
      </c>
      <c r="AQ80" s="654">
        <f>(367.1*KFC!$B$12+KFC!$C$12)*KFC!$C$5</f>
        <v>367.1</v>
      </c>
      <c r="AR80" s="654">
        <f>(374*KFC!$B$12+KFC!$C$12)*KFC!$C$5</f>
        <v>374</v>
      </c>
      <c r="AS80" s="654">
        <f>(380.9*KFC!$B$12+KFC!$C$12)*KFC!$C$5</f>
        <v>380.9</v>
      </c>
      <c r="AT80" s="654">
        <f>(387.8*KFC!$B$12+KFC!$C$12)*KFC!$C$5</f>
        <v>387.8</v>
      </c>
      <c r="AU80" s="654">
        <f>(394.8*KFC!$B$12+KFC!$C$12)*KFC!$C$5</f>
        <v>394.8</v>
      </c>
      <c r="AV80" s="654">
        <f>(401.7*KFC!$B$12+KFC!$C$12)*KFC!$C$5</f>
        <v>401.7</v>
      </c>
      <c r="AW80" s="654">
        <f>(408.6*KFC!$B$12+KFC!$C$12)*KFC!$C$5</f>
        <v>408.6</v>
      </c>
    </row>
    <row r="81" spans="1:49" ht="14.4">
      <c r="A81" s="1277"/>
      <c r="B81" s="649">
        <v>2.9</v>
      </c>
      <c r="C81" s="654">
        <f>(91*KFC!$B$12+KFC!$C$12)*KFC!$C$5</f>
        <v>91</v>
      </c>
      <c r="D81" s="654">
        <f>(98*KFC!$B$12+KFC!$C$12)*KFC!$C$5</f>
        <v>98</v>
      </c>
      <c r="E81" s="654">
        <f>(105.1*KFC!$B$12+KFC!$C$12)*KFC!$C$5</f>
        <v>105.1</v>
      </c>
      <c r="F81" s="654">
        <f>(112.2*KFC!$B$12+KFC!$C$12)*KFC!$C$5</f>
        <v>112.2</v>
      </c>
      <c r="G81" s="654">
        <f>(119.2*KFC!$B$12+KFC!$C$12)*KFC!$C$5</f>
        <v>119.2</v>
      </c>
      <c r="H81" s="654">
        <f>(126.3*KFC!$B$12+KFC!$C$12)*KFC!$C$5</f>
        <v>126.3</v>
      </c>
      <c r="I81" s="654">
        <f>(133.4*KFC!$B$12+KFC!$C$12)*KFC!$C$5</f>
        <v>133.4</v>
      </c>
      <c r="J81" s="654">
        <f>(140.4*KFC!$B$12+KFC!$C$12)*KFC!$C$5</f>
        <v>140.4</v>
      </c>
      <c r="K81" s="654">
        <f>(147.5*KFC!$B$12+KFC!$C$12)*KFC!$C$5</f>
        <v>147.5</v>
      </c>
      <c r="L81" s="654">
        <f>(154.6*KFC!$B$12+KFC!$C$12)*KFC!$C$5</f>
        <v>154.6</v>
      </c>
      <c r="M81" s="654">
        <f>(161.6*KFC!$B$12+KFC!$C$12)*KFC!$C$5</f>
        <v>161.6</v>
      </c>
      <c r="N81" s="654">
        <f>(168.7*KFC!$B$12+KFC!$C$12)*KFC!$C$5</f>
        <v>168.7</v>
      </c>
      <c r="O81" s="654">
        <f>(175.7*KFC!$B$12+KFC!$C$12)*KFC!$C$5</f>
        <v>175.7</v>
      </c>
      <c r="P81" s="654">
        <f>(182.8*KFC!$B$12+KFC!$C$12)*KFC!$C$5</f>
        <v>182.8</v>
      </c>
      <c r="Q81" s="654">
        <f>(189.9*KFC!$B$12+KFC!$C$12)*KFC!$C$5</f>
        <v>189.9</v>
      </c>
      <c r="R81" s="654">
        <f>(196.9*KFC!$B$12+KFC!$C$12)*KFC!$C$5</f>
        <v>196.9</v>
      </c>
      <c r="S81" s="654">
        <f>(204*KFC!$B$12+KFC!$C$12)*KFC!$C$5</f>
        <v>204</v>
      </c>
      <c r="T81" s="654">
        <f>(211.1*KFC!$B$12+KFC!$C$12)*KFC!$C$5</f>
        <v>211.1</v>
      </c>
      <c r="U81" s="654">
        <f>(218.1*KFC!$B$12+KFC!$C$12)*KFC!$C$5</f>
        <v>218.1</v>
      </c>
      <c r="V81" s="654">
        <f>(225.2*KFC!$B$12+KFC!$C$12)*KFC!$C$5</f>
        <v>225.2</v>
      </c>
      <c r="W81" s="654">
        <f>(232.3*KFC!$B$12+KFC!$C$12)*KFC!$C$5</f>
        <v>232.3</v>
      </c>
      <c r="X81" s="654">
        <f>(239.3*KFC!$B$12+KFC!$C$12)*KFC!$C$5</f>
        <v>239.3</v>
      </c>
      <c r="Y81" s="654">
        <f>(246.4*KFC!$B$12+KFC!$C$12)*KFC!$C$5</f>
        <v>246.4</v>
      </c>
      <c r="Z81" s="654">
        <f>(253.5*KFC!$B$12+KFC!$C$12)*KFC!$C$5</f>
        <v>253.5</v>
      </c>
      <c r="AA81" s="654">
        <f>(260.5*KFC!$B$12+KFC!$C$12)*KFC!$C$5</f>
        <v>260.5</v>
      </c>
      <c r="AB81" s="654">
        <f>(267.6*KFC!$B$12+KFC!$C$12)*KFC!$C$5</f>
        <v>267.60000000000002</v>
      </c>
      <c r="AC81" s="654">
        <f>(274.7*KFC!$B$12+KFC!$C$12)*KFC!$C$5</f>
        <v>274.7</v>
      </c>
      <c r="AD81" s="654">
        <f>(281.7*KFC!$B$12+KFC!$C$12)*KFC!$C$5</f>
        <v>281.7</v>
      </c>
      <c r="AE81" s="654">
        <f>(288.8*KFC!$B$12+KFC!$C$12)*KFC!$C$5</f>
        <v>288.8</v>
      </c>
      <c r="AF81" s="654">
        <f>(295.8*KFC!$B$12+KFC!$C$12)*KFC!$C$5</f>
        <v>295.8</v>
      </c>
      <c r="AG81" s="654">
        <f>(302.9*KFC!$B$12+KFC!$C$12)*KFC!$C$5</f>
        <v>302.89999999999998</v>
      </c>
      <c r="AH81" s="654">
        <f>(310*KFC!$B$12+KFC!$C$12)*KFC!$C$5</f>
        <v>310</v>
      </c>
      <c r="AI81" s="654">
        <f>(317*KFC!$B$12+KFC!$C$12)*KFC!$C$5</f>
        <v>317</v>
      </c>
      <c r="AJ81" s="654">
        <f>(324.1*KFC!$B$12+KFC!$C$12)*KFC!$C$5</f>
        <v>324.10000000000002</v>
      </c>
      <c r="AK81" s="654">
        <f>(331.2*KFC!$B$12+KFC!$C$12)*KFC!$C$5</f>
        <v>331.2</v>
      </c>
      <c r="AL81" s="654">
        <f>(338.2*KFC!$B$12+KFC!$C$12)*KFC!$C$5</f>
        <v>338.2</v>
      </c>
      <c r="AM81" s="654">
        <f>(345.3*KFC!$B$12+KFC!$C$12)*KFC!$C$5</f>
        <v>345.3</v>
      </c>
      <c r="AN81" s="654">
        <f>(352.4*KFC!$B$12+KFC!$C$12)*KFC!$C$5</f>
        <v>352.4</v>
      </c>
      <c r="AO81" s="654">
        <f>(359.4*KFC!$B$12+KFC!$C$12)*KFC!$C$5</f>
        <v>359.4</v>
      </c>
      <c r="AP81" s="654">
        <f>(366.5*KFC!$B$12+KFC!$C$12)*KFC!$C$5</f>
        <v>366.5</v>
      </c>
      <c r="AQ81" s="654">
        <f>(373.6*KFC!$B$12+KFC!$C$12)*KFC!$C$5</f>
        <v>373.6</v>
      </c>
      <c r="AR81" s="654">
        <f>(380.6*KFC!$B$12+KFC!$C$12)*KFC!$C$5</f>
        <v>380.6</v>
      </c>
      <c r="AS81" s="654">
        <f>(387.7*KFC!$B$12+KFC!$C$12)*KFC!$C$5</f>
        <v>387.7</v>
      </c>
      <c r="AT81" s="654">
        <f>(394.7*KFC!$B$12+KFC!$C$12)*KFC!$C$5</f>
        <v>394.7</v>
      </c>
      <c r="AU81" s="654">
        <f>(401.8*KFC!$B$12+KFC!$C$12)*KFC!$C$5</f>
        <v>401.8</v>
      </c>
      <c r="AV81" s="654">
        <f>(408.9*KFC!$B$12+KFC!$C$12)*KFC!$C$5</f>
        <v>408.9</v>
      </c>
      <c r="AW81" s="654">
        <f>(415.9*KFC!$B$12+KFC!$C$12)*KFC!$C$5</f>
        <v>415.9</v>
      </c>
    </row>
    <row r="82" spans="1:49" ht="14.4">
      <c r="A82" s="1277"/>
      <c r="B82" s="649">
        <v>3</v>
      </c>
      <c r="C82" s="654">
        <f>(91.7*KFC!$B$12+KFC!$C$12)*KFC!$C$5</f>
        <v>91.7</v>
      </c>
      <c r="D82" s="654">
        <f>(98.9*KFC!$B$12+KFC!$C$12)*KFC!$C$5</f>
        <v>98.9</v>
      </c>
      <c r="E82" s="654">
        <f>(106.1*KFC!$B$12+KFC!$C$12)*KFC!$C$5</f>
        <v>106.1</v>
      </c>
      <c r="F82" s="654">
        <f>(113.4*KFC!$B$12+KFC!$C$12)*KFC!$C$5</f>
        <v>113.4</v>
      </c>
      <c r="G82" s="654">
        <f>(120.6*KFC!$B$12+KFC!$C$12)*KFC!$C$5</f>
        <v>120.6</v>
      </c>
      <c r="H82" s="654">
        <f>(127.8*KFC!$B$12+KFC!$C$12)*KFC!$C$5</f>
        <v>127.8</v>
      </c>
      <c r="I82" s="654">
        <f>(135*KFC!$B$12+KFC!$C$12)*KFC!$C$5</f>
        <v>135</v>
      </c>
      <c r="J82" s="654">
        <f>(142.2*KFC!$B$12+KFC!$C$12)*KFC!$C$5</f>
        <v>142.19999999999999</v>
      </c>
      <c r="K82" s="654">
        <f>(149.4*KFC!$B$12+KFC!$C$12)*KFC!$C$5</f>
        <v>149.4</v>
      </c>
      <c r="L82" s="654">
        <f>(156.6*KFC!$B$12+KFC!$C$12)*KFC!$C$5</f>
        <v>156.6</v>
      </c>
      <c r="M82" s="654">
        <f>(163.8*KFC!$B$12+KFC!$C$12)*KFC!$C$5</f>
        <v>163.80000000000001</v>
      </c>
      <c r="N82" s="654">
        <f>(171*KFC!$B$12+KFC!$C$12)*KFC!$C$5</f>
        <v>171</v>
      </c>
      <c r="O82" s="654">
        <f>(178.2*KFC!$B$12+KFC!$C$12)*KFC!$C$5</f>
        <v>178.2</v>
      </c>
      <c r="P82" s="654">
        <f>(185.4*KFC!$B$12+KFC!$C$12)*KFC!$C$5</f>
        <v>185.4</v>
      </c>
      <c r="Q82" s="654">
        <f>(192.6*KFC!$B$12+KFC!$C$12)*KFC!$C$5</f>
        <v>192.6</v>
      </c>
      <c r="R82" s="654">
        <f>(199.8*KFC!$B$12+KFC!$C$12)*KFC!$C$5</f>
        <v>199.8</v>
      </c>
      <c r="S82" s="654">
        <f>(207*KFC!$B$12+KFC!$C$12)*KFC!$C$5</f>
        <v>207</v>
      </c>
      <c r="T82" s="654">
        <f>(214.3*KFC!$B$12+KFC!$C$12)*KFC!$C$5</f>
        <v>214.3</v>
      </c>
      <c r="U82" s="654">
        <f>(221.5*KFC!$B$12+KFC!$C$12)*KFC!$C$5</f>
        <v>221.5</v>
      </c>
      <c r="V82" s="654">
        <f>(228.7*KFC!$B$12+KFC!$C$12)*KFC!$C$5</f>
        <v>228.7</v>
      </c>
      <c r="W82" s="654">
        <f>(235.9*KFC!$B$12+KFC!$C$12)*KFC!$C$5</f>
        <v>235.9</v>
      </c>
      <c r="X82" s="654">
        <f>(243.1*KFC!$B$12+KFC!$C$12)*KFC!$C$5</f>
        <v>243.1</v>
      </c>
      <c r="Y82" s="654">
        <f>(250.3*KFC!$B$12+KFC!$C$12)*KFC!$C$5</f>
        <v>250.3</v>
      </c>
      <c r="Z82" s="654">
        <f>(257.5*KFC!$B$12+KFC!$C$12)*KFC!$C$5</f>
        <v>257.5</v>
      </c>
      <c r="AA82" s="654">
        <f>(264.7*KFC!$B$12+KFC!$C$12)*KFC!$C$5</f>
        <v>264.7</v>
      </c>
      <c r="AB82" s="654">
        <f>(271.9*KFC!$B$12+KFC!$C$12)*KFC!$C$5</f>
        <v>271.89999999999998</v>
      </c>
      <c r="AC82" s="654">
        <f>(279.1*KFC!$B$12+KFC!$C$12)*KFC!$C$5</f>
        <v>279.10000000000002</v>
      </c>
      <c r="AD82" s="654">
        <f>(286.3*KFC!$B$12+KFC!$C$12)*KFC!$C$5</f>
        <v>286.3</v>
      </c>
      <c r="AE82" s="654">
        <f>(293.5*KFC!$B$12+KFC!$C$12)*KFC!$C$5</f>
        <v>293.5</v>
      </c>
      <c r="AF82" s="654">
        <f>(300.7*KFC!$B$12+KFC!$C$12)*KFC!$C$5</f>
        <v>300.7</v>
      </c>
      <c r="AG82" s="654">
        <f>(307.9*KFC!$B$12+KFC!$C$12)*KFC!$C$5</f>
        <v>307.89999999999998</v>
      </c>
      <c r="AH82" s="654">
        <f>(315.2*KFC!$B$12+KFC!$C$12)*KFC!$C$5</f>
        <v>315.2</v>
      </c>
      <c r="AI82" s="654">
        <f>(322.4*KFC!$B$12+KFC!$C$12)*KFC!$C$5</f>
        <v>322.39999999999998</v>
      </c>
      <c r="AJ82" s="654">
        <f>(329.6*KFC!$B$12+KFC!$C$12)*KFC!$C$5</f>
        <v>329.6</v>
      </c>
      <c r="AK82" s="654">
        <f>(336.8*KFC!$B$12+KFC!$C$12)*KFC!$C$5</f>
        <v>336.8</v>
      </c>
      <c r="AL82" s="654">
        <f>(344*KFC!$B$12+KFC!$C$12)*KFC!$C$5</f>
        <v>344</v>
      </c>
      <c r="AM82" s="654">
        <f>(351.2*KFC!$B$12+KFC!$C$12)*KFC!$C$5</f>
        <v>351.2</v>
      </c>
      <c r="AN82" s="654">
        <f>(358.4*KFC!$B$12+KFC!$C$12)*KFC!$C$5</f>
        <v>358.4</v>
      </c>
      <c r="AO82" s="654">
        <f>(365.6*KFC!$B$12+KFC!$C$12)*KFC!$C$5</f>
        <v>365.6</v>
      </c>
      <c r="AP82" s="654">
        <f>(372.8*KFC!$B$12+KFC!$C$12)*KFC!$C$5</f>
        <v>372.8</v>
      </c>
      <c r="AQ82" s="654">
        <f>(380*KFC!$B$12+KFC!$C$12)*KFC!$C$5</f>
        <v>380</v>
      </c>
      <c r="AR82" s="654">
        <f>(387.2*KFC!$B$12+KFC!$C$12)*KFC!$C$5</f>
        <v>387.2</v>
      </c>
      <c r="AS82" s="654">
        <f>(394.4*KFC!$B$12+KFC!$C$12)*KFC!$C$5</f>
        <v>394.4</v>
      </c>
      <c r="AT82" s="654">
        <f>(401.6*KFC!$B$12+KFC!$C$12)*KFC!$C$5</f>
        <v>401.6</v>
      </c>
      <c r="AU82" s="654">
        <f>(408.9*KFC!$B$12+KFC!$C$12)*KFC!$C$5</f>
        <v>408.9</v>
      </c>
      <c r="AV82" s="654">
        <f>(416.1*KFC!$B$12+KFC!$C$12)*KFC!$C$5</f>
        <v>416.1</v>
      </c>
      <c r="AW82" s="654">
        <f>(423.3*KFC!$B$12+KFC!$C$12)*KFC!$C$5</f>
        <v>423.3</v>
      </c>
    </row>
    <row r="83" spans="1:49" ht="14.4">
      <c r="A83" s="1277"/>
      <c r="B83" s="649">
        <v>3.1</v>
      </c>
      <c r="C83" s="654">
        <f>(92.5*KFC!$B$12+KFC!$C$12)*KFC!$C$5</f>
        <v>92.5</v>
      </c>
      <c r="D83" s="654">
        <f>(99.8*KFC!$B$12+KFC!$C$12)*KFC!$C$5</f>
        <v>99.8</v>
      </c>
      <c r="E83" s="654">
        <f>(107.2*KFC!$B$12+KFC!$C$12)*KFC!$C$5</f>
        <v>107.2</v>
      </c>
      <c r="F83" s="654">
        <f>(114.5*KFC!$B$12+KFC!$C$12)*KFC!$C$5</f>
        <v>114.5</v>
      </c>
      <c r="G83" s="654">
        <f>(121.9*KFC!$B$12+KFC!$C$12)*KFC!$C$5</f>
        <v>121.9</v>
      </c>
      <c r="H83" s="654">
        <f>(129.2*KFC!$B$12+KFC!$C$12)*KFC!$C$5</f>
        <v>129.19999999999999</v>
      </c>
      <c r="I83" s="654">
        <f>(136.6*KFC!$B$12+KFC!$C$12)*KFC!$C$5</f>
        <v>136.6</v>
      </c>
      <c r="J83" s="654">
        <f>(143.9*KFC!$B$12+KFC!$C$12)*KFC!$C$5</f>
        <v>143.9</v>
      </c>
      <c r="K83" s="654">
        <f>(151.3*KFC!$B$12+KFC!$C$12)*KFC!$C$5</f>
        <v>151.30000000000001</v>
      </c>
      <c r="L83" s="654">
        <f>(158.6*KFC!$B$12+KFC!$C$12)*KFC!$C$5</f>
        <v>158.6</v>
      </c>
      <c r="M83" s="654">
        <f>(166*KFC!$B$12+KFC!$C$12)*KFC!$C$5</f>
        <v>166</v>
      </c>
      <c r="N83" s="654">
        <f>(173.3*KFC!$B$12+KFC!$C$12)*KFC!$C$5</f>
        <v>173.3</v>
      </c>
      <c r="O83" s="654">
        <f>(180.7*KFC!$B$12+KFC!$C$12)*KFC!$C$5</f>
        <v>180.7</v>
      </c>
      <c r="P83" s="654">
        <f>(188*KFC!$B$12+KFC!$C$12)*KFC!$C$5</f>
        <v>188</v>
      </c>
      <c r="Q83" s="654">
        <f>(195.4*KFC!$B$12+KFC!$C$12)*KFC!$C$5</f>
        <v>195.4</v>
      </c>
      <c r="R83" s="654">
        <f>(202.7*KFC!$B$12+KFC!$C$12)*KFC!$C$5</f>
        <v>202.7</v>
      </c>
      <c r="S83" s="654">
        <f>(210.1*KFC!$B$12+KFC!$C$12)*KFC!$C$5</f>
        <v>210.1</v>
      </c>
      <c r="T83" s="654">
        <f>(217.4*KFC!$B$12+KFC!$C$12)*KFC!$C$5</f>
        <v>217.4</v>
      </c>
      <c r="U83" s="654">
        <f>(224.8*KFC!$B$12+KFC!$C$12)*KFC!$C$5</f>
        <v>224.8</v>
      </c>
      <c r="V83" s="654">
        <f>(232.1*KFC!$B$12+KFC!$C$12)*KFC!$C$5</f>
        <v>232.1</v>
      </c>
      <c r="W83" s="654">
        <f>(239.5*KFC!$B$12+KFC!$C$12)*KFC!$C$5</f>
        <v>239.5</v>
      </c>
      <c r="X83" s="654">
        <f>(246.8*KFC!$B$12+KFC!$C$12)*KFC!$C$5</f>
        <v>246.8</v>
      </c>
      <c r="Y83" s="654">
        <f>(254.2*KFC!$B$12+KFC!$C$12)*KFC!$C$5</f>
        <v>254.2</v>
      </c>
      <c r="Z83" s="654">
        <f>(261.5*KFC!$B$12+KFC!$C$12)*KFC!$C$5</f>
        <v>261.5</v>
      </c>
      <c r="AA83" s="654">
        <f>(268.9*KFC!$B$12+KFC!$C$12)*KFC!$C$5</f>
        <v>268.89999999999998</v>
      </c>
      <c r="AB83" s="654">
        <f>(276.2*KFC!$B$12+KFC!$C$12)*KFC!$C$5</f>
        <v>276.2</v>
      </c>
      <c r="AC83" s="654">
        <f>(283.6*KFC!$B$12+KFC!$C$12)*KFC!$C$5</f>
        <v>283.60000000000002</v>
      </c>
      <c r="AD83" s="654">
        <f>(290.9*KFC!$B$12+KFC!$C$12)*KFC!$C$5</f>
        <v>290.89999999999998</v>
      </c>
      <c r="AE83" s="654">
        <f>(298.3*KFC!$B$12+KFC!$C$12)*KFC!$C$5</f>
        <v>298.3</v>
      </c>
      <c r="AF83" s="654">
        <f>(305.6*KFC!$B$12+KFC!$C$12)*KFC!$C$5</f>
        <v>305.60000000000002</v>
      </c>
      <c r="AG83" s="654">
        <f>(313*KFC!$B$12+KFC!$C$12)*KFC!$C$5</f>
        <v>313</v>
      </c>
      <c r="AH83" s="654">
        <f>(320.3*KFC!$B$12+KFC!$C$12)*KFC!$C$5</f>
        <v>320.3</v>
      </c>
      <c r="AI83" s="654">
        <f>(327.7*KFC!$B$12+KFC!$C$12)*KFC!$C$5</f>
        <v>327.7</v>
      </c>
      <c r="AJ83" s="654">
        <f>(335*KFC!$B$12+KFC!$C$12)*KFC!$C$5</f>
        <v>335</v>
      </c>
      <c r="AK83" s="654">
        <f>(342.4*KFC!$B$12+KFC!$C$12)*KFC!$C$5</f>
        <v>342.4</v>
      </c>
      <c r="AL83" s="654">
        <f>(349.8*KFC!$B$12+KFC!$C$12)*KFC!$C$5</f>
        <v>349.8</v>
      </c>
      <c r="AM83" s="654">
        <f>(357.1*KFC!$B$12+KFC!$C$12)*KFC!$C$5</f>
        <v>357.1</v>
      </c>
      <c r="AN83" s="654">
        <f>(364.4*KFC!$B$12+KFC!$C$12)*KFC!$C$5</f>
        <v>364.4</v>
      </c>
      <c r="AO83" s="654">
        <f>(371.8*KFC!$B$12+KFC!$C$12)*KFC!$C$5</f>
        <v>371.8</v>
      </c>
      <c r="AP83" s="654">
        <f>(379.1*KFC!$B$12+KFC!$C$12)*KFC!$C$5</f>
        <v>379.1</v>
      </c>
      <c r="AQ83" s="654">
        <f>(386.5*KFC!$B$12+KFC!$C$12)*KFC!$C$5</f>
        <v>386.5</v>
      </c>
      <c r="AR83" s="654">
        <f>(393.8*KFC!$B$12+KFC!$C$12)*KFC!$C$5</f>
        <v>393.8</v>
      </c>
      <c r="AS83" s="654">
        <f>(401.2*KFC!$B$12+KFC!$C$12)*KFC!$C$5</f>
        <v>401.2</v>
      </c>
      <c r="AT83" s="654">
        <f>(408.5*KFC!$B$12+KFC!$C$12)*KFC!$C$5</f>
        <v>408.5</v>
      </c>
      <c r="AU83" s="654">
        <f>(415.9*KFC!$B$12+KFC!$C$12)*KFC!$C$5</f>
        <v>415.9</v>
      </c>
      <c r="AV83" s="654">
        <f>(423.2*KFC!$B$12+KFC!$C$12)*KFC!$C$5</f>
        <v>423.2</v>
      </c>
      <c r="AW83" s="654">
        <f>(430.6*KFC!$B$12+KFC!$C$12)*KFC!$C$5</f>
        <v>430.6</v>
      </c>
    </row>
    <row r="84" spans="1:49" ht="14.4">
      <c r="A84" s="1277"/>
      <c r="B84" s="649">
        <v>3.2</v>
      </c>
      <c r="C84" s="654">
        <f>(93.2*KFC!$B$12+KFC!$C$12)*KFC!$C$5</f>
        <v>93.2</v>
      </c>
      <c r="D84" s="654">
        <f>(100.7*KFC!$B$12+KFC!$C$12)*KFC!$C$5</f>
        <v>100.7</v>
      </c>
      <c r="E84" s="654">
        <f>(108.2*KFC!$B$12+KFC!$C$12)*KFC!$C$5</f>
        <v>108.2</v>
      </c>
      <c r="F84" s="654">
        <f>(115.7*KFC!$B$12+KFC!$C$12)*KFC!$C$5</f>
        <v>115.7</v>
      </c>
      <c r="G84" s="654">
        <f>(123.2*KFC!$B$12+KFC!$C$12)*KFC!$C$5</f>
        <v>123.2</v>
      </c>
      <c r="H84" s="654">
        <f>(130.7*KFC!$B$12+KFC!$C$12)*KFC!$C$5</f>
        <v>130.69999999999999</v>
      </c>
      <c r="I84" s="654">
        <f>(138.2*KFC!$B$12+KFC!$C$12)*KFC!$C$5</f>
        <v>138.19999999999999</v>
      </c>
      <c r="J84" s="654">
        <f>(145.7*KFC!$B$12+KFC!$C$12)*KFC!$C$5</f>
        <v>145.69999999999999</v>
      </c>
      <c r="K84" s="654">
        <f>(153.2*KFC!$B$12+KFC!$C$12)*KFC!$C$5</f>
        <v>153.19999999999999</v>
      </c>
      <c r="L84" s="654">
        <f>(160.7*KFC!$B$12+KFC!$C$12)*KFC!$C$5</f>
        <v>160.69999999999999</v>
      </c>
      <c r="M84" s="654">
        <f>(168.2*KFC!$B$12+KFC!$C$12)*KFC!$C$5</f>
        <v>168.2</v>
      </c>
      <c r="N84" s="654">
        <f>(175.7*KFC!$B$12+KFC!$C$12)*KFC!$C$5</f>
        <v>175.7</v>
      </c>
      <c r="O84" s="654">
        <f>(183.2*KFC!$B$12+KFC!$C$12)*KFC!$C$5</f>
        <v>183.2</v>
      </c>
      <c r="P84" s="654">
        <f>(190.7*KFC!$B$12+KFC!$C$12)*KFC!$C$5</f>
        <v>190.7</v>
      </c>
      <c r="Q84" s="654">
        <f>(198.1*KFC!$B$12+KFC!$C$12)*KFC!$C$5</f>
        <v>198.1</v>
      </c>
      <c r="R84" s="654">
        <f>(205.6*KFC!$B$12+KFC!$C$12)*KFC!$C$5</f>
        <v>205.6</v>
      </c>
      <c r="S84" s="654">
        <f>(213.1*KFC!$B$12+KFC!$C$12)*KFC!$C$5</f>
        <v>213.1</v>
      </c>
      <c r="T84" s="654">
        <f>(220.6*KFC!$B$12+KFC!$C$12)*KFC!$C$5</f>
        <v>220.6</v>
      </c>
      <c r="U84" s="654">
        <f>(228.1*KFC!$B$12+KFC!$C$12)*KFC!$C$5</f>
        <v>228.1</v>
      </c>
      <c r="V84" s="654">
        <f>(235.6*KFC!$B$12+KFC!$C$12)*KFC!$C$5</f>
        <v>235.6</v>
      </c>
      <c r="W84" s="654">
        <f>(243.1*KFC!$B$12+KFC!$C$12)*KFC!$C$5</f>
        <v>243.1</v>
      </c>
      <c r="X84" s="654">
        <f>(250.6*KFC!$B$12+KFC!$C$12)*KFC!$C$5</f>
        <v>250.6</v>
      </c>
      <c r="Y84" s="654">
        <f>(258.1*KFC!$B$12+KFC!$C$12)*KFC!$C$5</f>
        <v>258.10000000000002</v>
      </c>
      <c r="Z84" s="654">
        <f>(265.6*KFC!$B$12+KFC!$C$12)*KFC!$C$5</f>
        <v>265.60000000000002</v>
      </c>
      <c r="AA84" s="654">
        <f>(273.1*KFC!$B$12+KFC!$C$12)*KFC!$C$5</f>
        <v>273.10000000000002</v>
      </c>
      <c r="AB84" s="654">
        <f>(280.6*KFC!$B$12+KFC!$C$12)*KFC!$C$5</f>
        <v>280.60000000000002</v>
      </c>
      <c r="AC84" s="654">
        <f>(288.1*KFC!$B$12+KFC!$C$12)*KFC!$C$5</f>
        <v>288.10000000000002</v>
      </c>
      <c r="AD84" s="654">
        <f>(295.6*KFC!$B$12+KFC!$C$12)*KFC!$C$5</f>
        <v>295.60000000000002</v>
      </c>
      <c r="AE84" s="654">
        <f>(303.1*KFC!$B$12+KFC!$C$12)*KFC!$C$5</f>
        <v>303.10000000000002</v>
      </c>
      <c r="AF84" s="654">
        <f>(310.5*KFC!$B$12+KFC!$C$12)*KFC!$C$5</f>
        <v>310.5</v>
      </c>
      <c r="AG84" s="654">
        <f>(318*KFC!$B$12+KFC!$C$12)*KFC!$C$5</f>
        <v>318</v>
      </c>
      <c r="AH84" s="654">
        <f>(325.5*KFC!$B$12+KFC!$C$12)*KFC!$C$5</f>
        <v>325.5</v>
      </c>
      <c r="AI84" s="654">
        <f>(333*KFC!$B$12+KFC!$C$12)*KFC!$C$5</f>
        <v>333</v>
      </c>
      <c r="AJ84" s="654">
        <f>(340.5*KFC!$B$12+KFC!$C$12)*KFC!$C$5</f>
        <v>340.5</v>
      </c>
      <c r="AK84" s="654">
        <f>(348*KFC!$B$12+KFC!$C$12)*KFC!$C$5</f>
        <v>348</v>
      </c>
      <c r="AL84" s="654">
        <f>(355.5*KFC!$B$12+KFC!$C$12)*KFC!$C$5</f>
        <v>355.5</v>
      </c>
      <c r="AM84" s="654">
        <f>(363*KFC!$B$12+KFC!$C$12)*KFC!$C$5</f>
        <v>363</v>
      </c>
      <c r="AN84" s="654">
        <f>(370.5*KFC!$B$12+KFC!$C$12)*KFC!$C$5</f>
        <v>370.5</v>
      </c>
      <c r="AO84" s="654">
        <f>(378*KFC!$B$12+KFC!$C$12)*KFC!$C$5</f>
        <v>378</v>
      </c>
      <c r="AP84" s="654">
        <f>(385.5*KFC!$B$12+KFC!$C$12)*KFC!$C$5</f>
        <v>385.5</v>
      </c>
      <c r="AQ84" s="654">
        <f>(393*KFC!$B$12+KFC!$C$12)*KFC!$C$5</f>
        <v>393</v>
      </c>
      <c r="AR84" s="654">
        <f>(400.5*KFC!$B$12+KFC!$C$12)*KFC!$C$5</f>
        <v>400.5</v>
      </c>
      <c r="AS84" s="654">
        <f>(408*KFC!$B$12+KFC!$C$12)*KFC!$C$5</f>
        <v>408</v>
      </c>
      <c r="AT84" s="654">
        <f>(415.4*KFC!$B$12+KFC!$C$12)*KFC!$C$5</f>
        <v>415.4</v>
      </c>
      <c r="AU84" s="654">
        <f>(422.9*KFC!$B$12+KFC!$C$12)*KFC!$C$5</f>
        <v>422.9</v>
      </c>
      <c r="AV84" s="654">
        <f>(430.4*KFC!$B$12+KFC!$C$12)*KFC!$C$5</f>
        <v>430.4</v>
      </c>
      <c r="AW84" s="654">
        <f>(437.9*KFC!$B$12+KFC!$C$12)*KFC!$C$5</f>
        <v>437.9</v>
      </c>
    </row>
    <row r="85" spans="1:49" ht="14.4">
      <c r="A85" s="1277"/>
      <c r="B85" s="649">
        <v>3.3</v>
      </c>
      <c r="C85" s="654">
        <f>(94*KFC!$B$12+KFC!$C$12)*KFC!$C$5</f>
        <v>94</v>
      </c>
      <c r="D85" s="654">
        <f>(101.6*KFC!$B$12+KFC!$C$12)*KFC!$C$5</f>
        <v>101.6</v>
      </c>
      <c r="E85" s="654">
        <f>(109.3*KFC!$B$12+KFC!$C$12)*KFC!$C$5</f>
        <v>109.3</v>
      </c>
      <c r="F85" s="654">
        <f>(116.9*KFC!$B$12+KFC!$C$12)*KFC!$C$5</f>
        <v>116.9</v>
      </c>
      <c r="G85" s="654">
        <f>(124.5*KFC!$B$12+KFC!$C$12)*KFC!$C$5</f>
        <v>124.5</v>
      </c>
      <c r="H85" s="654">
        <f>(132.2*KFC!$B$12+KFC!$C$12)*KFC!$C$5</f>
        <v>132.19999999999999</v>
      </c>
      <c r="I85" s="654">
        <f>(139.8*KFC!$B$12+KFC!$C$12)*KFC!$C$5</f>
        <v>139.80000000000001</v>
      </c>
      <c r="J85" s="654">
        <f>(147.5*KFC!$B$12+KFC!$C$12)*KFC!$C$5</f>
        <v>147.5</v>
      </c>
      <c r="K85" s="654">
        <f>(155.1*KFC!$B$12+KFC!$C$12)*KFC!$C$5</f>
        <v>155.1</v>
      </c>
      <c r="L85" s="654">
        <f>(162.7*KFC!$B$12+KFC!$C$12)*KFC!$C$5</f>
        <v>162.69999999999999</v>
      </c>
      <c r="M85" s="654">
        <f>(170.4*KFC!$B$12+KFC!$C$12)*KFC!$C$5</f>
        <v>170.4</v>
      </c>
      <c r="N85" s="654">
        <f>(178*KFC!$B$12+KFC!$C$12)*KFC!$C$5</f>
        <v>178</v>
      </c>
      <c r="O85" s="654">
        <f>(185.6*KFC!$B$12+KFC!$C$12)*KFC!$C$5</f>
        <v>185.6</v>
      </c>
      <c r="P85" s="654">
        <f>(193.3*KFC!$B$12+KFC!$C$12)*KFC!$C$5</f>
        <v>193.3</v>
      </c>
      <c r="Q85" s="654">
        <f>(200.9*KFC!$B$12+KFC!$C$12)*KFC!$C$5</f>
        <v>200.9</v>
      </c>
      <c r="R85" s="654">
        <f>(208.5*KFC!$B$12+KFC!$C$12)*KFC!$C$5</f>
        <v>208.5</v>
      </c>
      <c r="S85" s="654">
        <f>(216.2*KFC!$B$12+KFC!$C$12)*KFC!$C$5</f>
        <v>216.2</v>
      </c>
      <c r="T85" s="654">
        <f>(223.8*KFC!$B$12+KFC!$C$12)*KFC!$C$5</f>
        <v>223.8</v>
      </c>
      <c r="U85" s="654">
        <f>(231.5*KFC!$B$12+KFC!$C$12)*KFC!$C$5</f>
        <v>231.5</v>
      </c>
      <c r="V85" s="654">
        <f>(239.1*KFC!$B$12+KFC!$C$12)*KFC!$C$5</f>
        <v>239.1</v>
      </c>
      <c r="W85" s="654">
        <f>(246.7*KFC!$B$12+KFC!$C$12)*KFC!$C$5</f>
        <v>246.7</v>
      </c>
      <c r="X85" s="654">
        <f>(254.4*KFC!$B$12+KFC!$C$12)*KFC!$C$5</f>
        <v>254.4</v>
      </c>
      <c r="Y85" s="654">
        <f>(262*KFC!$B$12+KFC!$C$12)*KFC!$C$5</f>
        <v>262</v>
      </c>
      <c r="Z85" s="654">
        <f>(269.6*KFC!$B$12+KFC!$C$12)*KFC!$C$5</f>
        <v>269.60000000000002</v>
      </c>
      <c r="AA85" s="654">
        <f>(277.3*KFC!$B$12+KFC!$C$12)*KFC!$C$5</f>
        <v>277.3</v>
      </c>
      <c r="AB85" s="654">
        <f>(284.9*KFC!$B$12+KFC!$C$12)*KFC!$C$5</f>
        <v>284.89999999999998</v>
      </c>
      <c r="AC85" s="654">
        <f>(292.5*KFC!$B$12+KFC!$C$12)*KFC!$C$5</f>
        <v>292.5</v>
      </c>
      <c r="AD85" s="654">
        <f>(300.2*KFC!$B$12+KFC!$C$12)*KFC!$C$5</f>
        <v>300.2</v>
      </c>
      <c r="AE85" s="654">
        <f>(307.8*KFC!$B$12+KFC!$C$12)*KFC!$C$5</f>
        <v>307.8</v>
      </c>
      <c r="AF85" s="654">
        <f>(315.4*KFC!$B$12+KFC!$C$12)*KFC!$C$5</f>
        <v>315.39999999999998</v>
      </c>
      <c r="AG85" s="654">
        <f>(323.1*KFC!$B$12+KFC!$C$12)*KFC!$C$5</f>
        <v>323.10000000000002</v>
      </c>
      <c r="AH85" s="654">
        <f>(330.7*KFC!$B$12+KFC!$C$12)*KFC!$C$5</f>
        <v>330.7</v>
      </c>
      <c r="AI85" s="654">
        <f>(338.3*KFC!$B$12+KFC!$C$12)*KFC!$C$5</f>
        <v>338.3</v>
      </c>
      <c r="AJ85" s="654">
        <f>(346*KFC!$B$12+KFC!$C$12)*KFC!$C$5</f>
        <v>346</v>
      </c>
      <c r="AK85" s="654">
        <f>(353.6*KFC!$B$12+KFC!$C$12)*KFC!$C$5</f>
        <v>353.6</v>
      </c>
      <c r="AL85" s="654">
        <f>(361.3*KFC!$B$12+KFC!$C$12)*KFC!$C$5</f>
        <v>361.3</v>
      </c>
      <c r="AM85" s="654">
        <f>(368.9*KFC!$B$12+KFC!$C$12)*KFC!$C$5</f>
        <v>368.9</v>
      </c>
      <c r="AN85" s="654">
        <f>(376.5*KFC!$B$12+KFC!$C$12)*KFC!$C$5</f>
        <v>376.5</v>
      </c>
      <c r="AO85" s="654">
        <f>(384.2*KFC!$B$12+KFC!$C$12)*KFC!$C$5</f>
        <v>384.2</v>
      </c>
      <c r="AP85" s="654">
        <f>(391.8*KFC!$B$12+KFC!$C$12)*KFC!$C$5</f>
        <v>391.8</v>
      </c>
      <c r="AQ85" s="654">
        <f>(399.4*KFC!$B$12+KFC!$C$12)*KFC!$C$5</f>
        <v>399.4</v>
      </c>
      <c r="AR85" s="654">
        <f>(407.1*KFC!$B$12+KFC!$C$12)*KFC!$C$5</f>
        <v>407.1</v>
      </c>
      <c r="AS85" s="654">
        <f>(414.7*KFC!$B$12+KFC!$C$12)*KFC!$C$5</f>
        <v>414.7</v>
      </c>
      <c r="AT85" s="654">
        <f>(422.3*KFC!$B$12+KFC!$C$12)*KFC!$C$5</f>
        <v>422.3</v>
      </c>
      <c r="AU85" s="654">
        <f>(430*KFC!$B$12+KFC!$C$12)*KFC!$C$5</f>
        <v>430</v>
      </c>
      <c r="AV85" s="654">
        <f>(437.6*KFC!$B$12+KFC!$C$12)*KFC!$C$5</f>
        <v>437.6</v>
      </c>
      <c r="AW85" s="654">
        <f>(445.2*KFC!$B$12+KFC!$C$12)*KFC!$C$5</f>
        <v>445.2</v>
      </c>
    </row>
    <row r="86" spans="1:49" ht="14.4">
      <c r="A86" s="1277"/>
      <c r="B86" s="649">
        <v>3.4</v>
      </c>
      <c r="C86" s="654">
        <f>(94.8*KFC!$B$12+KFC!$C$12)*KFC!$C$5</f>
        <v>94.8</v>
      </c>
      <c r="D86" s="654">
        <f>(102.5*KFC!$B$12+KFC!$C$12)*KFC!$C$5</f>
        <v>102.5</v>
      </c>
      <c r="E86" s="654">
        <f>(110.3*KFC!$B$12+KFC!$C$12)*KFC!$C$5</f>
        <v>110.3</v>
      </c>
      <c r="F86" s="654">
        <f>(118.1*KFC!$B$12+KFC!$C$12)*KFC!$C$5</f>
        <v>118.1</v>
      </c>
      <c r="G86" s="654">
        <f>(125.9*KFC!$B$12+KFC!$C$12)*KFC!$C$5</f>
        <v>125.9</v>
      </c>
      <c r="H86" s="654">
        <f>(133.7*KFC!$B$12+KFC!$C$12)*KFC!$C$5</f>
        <v>133.69999999999999</v>
      </c>
      <c r="I86" s="654">
        <f>(141.4*KFC!$B$12+KFC!$C$12)*KFC!$C$5</f>
        <v>141.4</v>
      </c>
      <c r="J86" s="654">
        <f>(149.2*KFC!$B$12+KFC!$C$12)*KFC!$C$5</f>
        <v>149.19999999999999</v>
      </c>
      <c r="K86" s="654">
        <f>(157*KFC!$B$12+KFC!$C$12)*KFC!$C$5</f>
        <v>157</v>
      </c>
      <c r="L86" s="654">
        <f>(164.8*KFC!$B$12+KFC!$C$12)*KFC!$C$5</f>
        <v>164.8</v>
      </c>
      <c r="M86" s="654">
        <f>(172.5*KFC!$B$12+KFC!$C$12)*KFC!$C$5</f>
        <v>172.5</v>
      </c>
      <c r="N86" s="654">
        <f>(180.3*KFC!$B$12+KFC!$C$12)*KFC!$C$5</f>
        <v>180.3</v>
      </c>
      <c r="O86" s="654">
        <f>(188.1*KFC!$B$12+KFC!$C$12)*KFC!$C$5</f>
        <v>188.1</v>
      </c>
      <c r="P86" s="654">
        <f>(195.9*KFC!$B$12+KFC!$C$12)*KFC!$C$5</f>
        <v>195.9</v>
      </c>
      <c r="Q86" s="654">
        <f>(203.7*KFC!$B$12+KFC!$C$12)*KFC!$C$5</f>
        <v>203.7</v>
      </c>
      <c r="R86" s="654">
        <f>(211.4*KFC!$B$12+KFC!$C$12)*KFC!$C$5</f>
        <v>211.4</v>
      </c>
      <c r="S86" s="654">
        <f>(219.2*KFC!$B$12+KFC!$C$12)*KFC!$C$5</f>
        <v>219.2</v>
      </c>
      <c r="T86" s="654">
        <f>(227*KFC!$B$12+KFC!$C$12)*KFC!$C$5</f>
        <v>227</v>
      </c>
      <c r="U86" s="654">
        <f>(234.8*KFC!$B$12+KFC!$C$12)*KFC!$C$5</f>
        <v>234.8</v>
      </c>
      <c r="V86" s="654">
        <f>(242.6*KFC!$B$12+KFC!$C$12)*KFC!$C$5</f>
        <v>242.6</v>
      </c>
      <c r="W86" s="654">
        <f>(250.3*KFC!$B$12+KFC!$C$12)*KFC!$C$5</f>
        <v>250.3</v>
      </c>
      <c r="X86" s="654">
        <f>(258.1*KFC!$B$12+KFC!$C$12)*KFC!$C$5</f>
        <v>258.10000000000002</v>
      </c>
      <c r="Y86" s="654">
        <f>(265.9*KFC!$B$12+KFC!$C$12)*KFC!$C$5</f>
        <v>265.89999999999998</v>
      </c>
      <c r="Z86" s="654">
        <f>(273.7*KFC!$B$12+KFC!$C$12)*KFC!$C$5</f>
        <v>273.7</v>
      </c>
      <c r="AA86" s="654">
        <f>(281.4*KFC!$B$12+KFC!$C$12)*KFC!$C$5</f>
        <v>281.39999999999998</v>
      </c>
      <c r="AB86" s="654">
        <f>(289.2*KFC!$B$12+KFC!$C$12)*KFC!$C$5</f>
        <v>289.2</v>
      </c>
      <c r="AC86" s="654">
        <f>(297*KFC!$B$12+KFC!$C$12)*KFC!$C$5</f>
        <v>297</v>
      </c>
      <c r="AD86" s="654">
        <f>(304.8*KFC!$B$12+KFC!$C$12)*KFC!$C$5</f>
        <v>304.8</v>
      </c>
      <c r="AE86" s="654">
        <f>(312.6*KFC!$B$12+KFC!$C$12)*KFC!$C$5</f>
        <v>312.60000000000002</v>
      </c>
      <c r="AF86" s="654">
        <f>(320.3*KFC!$B$12+KFC!$C$12)*KFC!$C$5</f>
        <v>320.3</v>
      </c>
      <c r="AG86" s="654">
        <f>(328.1*KFC!$B$12+KFC!$C$12)*KFC!$C$5</f>
        <v>328.1</v>
      </c>
      <c r="AH86" s="654">
        <f>(335.9*KFC!$B$12+KFC!$C$12)*KFC!$C$5</f>
        <v>335.9</v>
      </c>
      <c r="AI86" s="654">
        <f>(343.7*KFC!$B$12+KFC!$C$12)*KFC!$C$5</f>
        <v>343.7</v>
      </c>
      <c r="AJ86" s="654">
        <f>(351.5*KFC!$B$12+KFC!$C$12)*KFC!$C$5</f>
        <v>351.5</v>
      </c>
      <c r="AK86" s="654">
        <f>(359.2*KFC!$B$12+KFC!$C$12)*KFC!$C$5</f>
        <v>359.2</v>
      </c>
      <c r="AL86" s="654">
        <f>(367*KFC!$B$12+KFC!$C$12)*KFC!$C$5</f>
        <v>367</v>
      </c>
      <c r="AM86" s="654">
        <f>(374.8*KFC!$B$12+KFC!$C$12)*KFC!$C$5</f>
        <v>374.8</v>
      </c>
      <c r="AN86" s="654">
        <f>(382.6*KFC!$B$12+KFC!$C$12)*KFC!$C$5</f>
        <v>382.6</v>
      </c>
      <c r="AO86" s="654">
        <f>(390.3*KFC!$B$12+KFC!$C$12)*KFC!$C$5</f>
        <v>390.3</v>
      </c>
      <c r="AP86" s="654">
        <f>(398.1*KFC!$B$12+KFC!$C$12)*KFC!$C$5</f>
        <v>398.1</v>
      </c>
      <c r="AQ86" s="654">
        <f>(405.9*KFC!$B$12+KFC!$C$12)*KFC!$C$5</f>
        <v>405.9</v>
      </c>
      <c r="AR86" s="654">
        <f>(413.7*KFC!$B$12+KFC!$C$12)*KFC!$C$5</f>
        <v>413.7</v>
      </c>
      <c r="AS86" s="654">
        <f>(421.5*KFC!$B$12+KFC!$C$12)*KFC!$C$5</f>
        <v>421.5</v>
      </c>
      <c r="AT86" s="654">
        <f>(429.2*KFC!$B$12+KFC!$C$12)*KFC!$C$5</f>
        <v>429.2</v>
      </c>
      <c r="AU86" s="654">
        <f>(437*KFC!$B$12+KFC!$C$12)*KFC!$C$5</f>
        <v>437</v>
      </c>
      <c r="AV86" s="654">
        <f>(444.8*KFC!$B$12+KFC!$C$12)*KFC!$C$5</f>
        <v>444.8</v>
      </c>
      <c r="AW86" s="654">
        <f>(452.6*KFC!$B$12+KFC!$C$12)*KFC!$C$5</f>
        <v>452.6</v>
      </c>
    </row>
    <row r="87" spans="1:49" ht="14.4">
      <c r="A87" s="1277"/>
      <c r="B87" s="649">
        <v>3.5</v>
      </c>
      <c r="C87" s="654">
        <f>(95.5*KFC!$B$12+KFC!$C$12)*KFC!$C$5</f>
        <v>95.5</v>
      </c>
      <c r="D87" s="654">
        <f>(103.4*KFC!$B$12+KFC!$C$12)*KFC!$C$5</f>
        <v>103.4</v>
      </c>
      <c r="E87" s="654">
        <f>(111.4*KFC!$B$12+KFC!$C$12)*KFC!$C$5</f>
        <v>111.4</v>
      </c>
      <c r="F87" s="654">
        <f>(119.3*KFC!$B$12+KFC!$C$12)*KFC!$C$5</f>
        <v>119.3</v>
      </c>
      <c r="G87" s="654">
        <f>(127.2*KFC!$B$12+KFC!$C$12)*KFC!$C$5</f>
        <v>127.2</v>
      </c>
      <c r="H87" s="654">
        <f>(135.1*KFC!$B$12+KFC!$C$12)*KFC!$C$5</f>
        <v>135.1</v>
      </c>
      <c r="I87" s="654">
        <f>(143*KFC!$B$12+KFC!$C$12)*KFC!$C$5</f>
        <v>143</v>
      </c>
      <c r="J87" s="654">
        <f>(151*KFC!$B$12+KFC!$C$12)*KFC!$C$5</f>
        <v>151</v>
      </c>
      <c r="K87" s="654">
        <f>(158.9*KFC!$B$12+KFC!$C$12)*KFC!$C$5</f>
        <v>158.9</v>
      </c>
      <c r="L87" s="654">
        <f>(166.8*KFC!$B$12+KFC!$C$12)*KFC!$C$5</f>
        <v>166.8</v>
      </c>
      <c r="M87" s="654">
        <f>(174.7*KFC!$B$12+KFC!$C$12)*KFC!$C$5</f>
        <v>174.7</v>
      </c>
      <c r="N87" s="654">
        <f>(182.7*KFC!$B$12+KFC!$C$12)*KFC!$C$5</f>
        <v>182.7</v>
      </c>
      <c r="O87" s="654">
        <f>(190.6*KFC!$B$12+KFC!$C$12)*KFC!$C$5</f>
        <v>190.6</v>
      </c>
      <c r="P87" s="654">
        <f>(198.5*KFC!$B$12+KFC!$C$12)*KFC!$C$5</f>
        <v>198.5</v>
      </c>
      <c r="Q87" s="654">
        <f>(206.4*KFC!$B$12+KFC!$C$12)*KFC!$C$5</f>
        <v>206.4</v>
      </c>
      <c r="R87" s="654">
        <f>(214.3*KFC!$B$12+KFC!$C$12)*KFC!$C$5</f>
        <v>214.3</v>
      </c>
      <c r="S87" s="654">
        <f>(222.3*KFC!$B$12+KFC!$C$12)*KFC!$C$5</f>
        <v>222.3</v>
      </c>
      <c r="T87" s="654">
        <f>(230.2*KFC!$B$12+KFC!$C$12)*KFC!$C$5</f>
        <v>230.2</v>
      </c>
      <c r="U87" s="654">
        <f>(238.1*KFC!$B$12+KFC!$C$12)*KFC!$C$5</f>
        <v>238.1</v>
      </c>
      <c r="V87" s="654">
        <f>(246*KFC!$B$12+KFC!$C$12)*KFC!$C$5</f>
        <v>246</v>
      </c>
      <c r="W87" s="654">
        <f>(253.9*KFC!$B$12+KFC!$C$12)*KFC!$C$5</f>
        <v>253.9</v>
      </c>
      <c r="X87" s="654">
        <f>(261.9*KFC!$B$12+KFC!$C$12)*KFC!$C$5</f>
        <v>261.89999999999998</v>
      </c>
      <c r="Y87" s="654">
        <f>(269.8*KFC!$B$12+KFC!$C$12)*KFC!$C$5</f>
        <v>269.8</v>
      </c>
      <c r="Z87" s="654">
        <f>(277.7*KFC!$B$12+KFC!$C$12)*KFC!$C$5</f>
        <v>277.7</v>
      </c>
      <c r="AA87" s="654">
        <f>(285.6*KFC!$B$12+KFC!$C$12)*KFC!$C$5</f>
        <v>285.60000000000002</v>
      </c>
      <c r="AB87" s="654">
        <f>(293.5*KFC!$B$12+KFC!$C$12)*KFC!$C$5</f>
        <v>293.5</v>
      </c>
      <c r="AC87" s="654">
        <f>(301.5*KFC!$B$12+KFC!$C$12)*KFC!$C$5</f>
        <v>301.5</v>
      </c>
      <c r="AD87" s="654">
        <f>(309.4*KFC!$B$12+KFC!$C$12)*KFC!$C$5</f>
        <v>309.39999999999998</v>
      </c>
      <c r="AE87" s="654">
        <f>(317.3*KFC!$B$12+KFC!$C$12)*KFC!$C$5</f>
        <v>317.3</v>
      </c>
      <c r="AF87" s="654">
        <f>(325.2*KFC!$B$12+KFC!$C$12)*KFC!$C$5</f>
        <v>325.2</v>
      </c>
      <c r="AG87" s="654">
        <f>(333.2*KFC!$B$12+KFC!$C$12)*KFC!$C$5</f>
        <v>333.2</v>
      </c>
      <c r="AH87" s="654">
        <f>(341.1*KFC!$B$12+KFC!$C$12)*KFC!$C$5</f>
        <v>341.1</v>
      </c>
      <c r="AI87" s="654">
        <f>(349*KFC!$B$12+KFC!$C$12)*KFC!$C$5</f>
        <v>349</v>
      </c>
      <c r="AJ87" s="654">
        <f>(356.9*KFC!$B$12+KFC!$C$12)*KFC!$C$5</f>
        <v>356.9</v>
      </c>
      <c r="AK87" s="654">
        <f>(364.8*KFC!$B$12+KFC!$C$12)*KFC!$C$5</f>
        <v>364.8</v>
      </c>
      <c r="AL87" s="654">
        <f>(372.8*KFC!$B$12+KFC!$C$12)*KFC!$C$5</f>
        <v>372.8</v>
      </c>
      <c r="AM87" s="654">
        <f>(380.7*KFC!$B$12+KFC!$C$12)*KFC!$C$5</f>
        <v>380.7</v>
      </c>
      <c r="AN87" s="654">
        <f>(388.6*KFC!$B$12+KFC!$C$12)*KFC!$C$5</f>
        <v>388.6</v>
      </c>
      <c r="AO87" s="654">
        <f>(396.5*KFC!$B$12+KFC!$C$12)*KFC!$C$5</f>
        <v>396.5</v>
      </c>
      <c r="AP87" s="654">
        <f>(404.5*KFC!$B$12+KFC!$C$12)*KFC!$C$5</f>
        <v>404.5</v>
      </c>
      <c r="AQ87" s="654">
        <f>(412.4*KFC!$B$12+KFC!$C$12)*KFC!$C$5</f>
        <v>412.4</v>
      </c>
      <c r="AR87" s="654">
        <f>(420.3*KFC!$B$12+KFC!$C$12)*KFC!$C$5</f>
        <v>420.3</v>
      </c>
      <c r="AS87" s="654">
        <f>(428.2*KFC!$B$12+KFC!$C$12)*KFC!$C$5</f>
        <v>428.2</v>
      </c>
      <c r="AT87" s="654">
        <f>(436.1*KFC!$B$12+KFC!$C$12)*KFC!$C$5</f>
        <v>436.1</v>
      </c>
      <c r="AU87" s="654">
        <f>(444.1*KFC!$B$12+KFC!$C$12)*KFC!$C$5</f>
        <v>444.1</v>
      </c>
      <c r="AV87" s="654">
        <f>(452*KFC!$B$12+KFC!$C$12)*KFC!$C$5</f>
        <v>452</v>
      </c>
      <c r="AW87" s="654">
        <f>(459.9*KFC!$B$12+KFC!$C$12)*KFC!$C$5</f>
        <v>459.9</v>
      </c>
    </row>
    <row r="88" spans="1:49" ht="14.4">
      <c r="A88" s="1277"/>
      <c r="B88" s="649">
        <v>3.6</v>
      </c>
      <c r="C88" s="654">
        <f>(96.3*KFC!$B$12+KFC!$C$12)*KFC!$C$5</f>
        <v>96.3</v>
      </c>
      <c r="D88" s="654">
        <f>(104.3*KFC!$B$12+KFC!$C$12)*KFC!$C$5</f>
        <v>104.3</v>
      </c>
      <c r="E88" s="654">
        <f>(112.4*KFC!$B$12+KFC!$C$12)*KFC!$C$5</f>
        <v>112.4</v>
      </c>
      <c r="F88" s="654">
        <f>(120.5*KFC!$B$12+KFC!$C$12)*KFC!$C$5</f>
        <v>120.5</v>
      </c>
      <c r="G88" s="654">
        <f>(128.5*KFC!$B$12+KFC!$C$12)*KFC!$C$5</f>
        <v>128.5</v>
      </c>
      <c r="H88" s="654">
        <f>(136.6*KFC!$B$12+KFC!$C$12)*KFC!$C$5</f>
        <v>136.6</v>
      </c>
      <c r="I88" s="654">
        <f>(144.7*KFC!$B$12+KFC!$C$12)*KFC!$C$5</f>
        <v>144.69999999999999</v>
      </c>
      <c r="J88" s="654">
        <f>(152.7*KFC!$B$12+KFC!$C$12)*KFC!$C$5</f>
        <v>152.69999999999999</v>
      </c>
      <c r="K88" s="654">
        <f>(160.8*KFC!$B$12+KFC!$C$12)*KFC!$C$5</f>
        <v>160.80000000000001</v>
      </c>
      <c r="L88" s="654">
        <f>(168.8*KFC!$B$12+KFC!$C$12)*KFC!$C$5</f>
        <v>168.8</v>
      </c>
      <c r="M88" s="654">
        <f>(176.9*KFC!$B$12+KFC!$C$12)*KFC!$C$5</f>
        <v>176.9</v>
      </c>
      <c r="N88" s="654">
        <f>(185*KFC!$B$12+KFC!$C$12)*KFC!$C$5</f>
        <v>185</v>
      </c>
      <c r="O88" s="654">
        <f>(193*KFC!$B$12+KFC!$C$12)*KFC!$C$5</f>
        <v>193</v>
      </c>
      <c r="P88" s="654">
        <f>(201.1*KFC!$B$12+KFC!$C$12)*KFC!$C$5</f>
        <v>201.1</v>
      </c>
      <c r="Q88" s="654">
        <f>(209.2*KFC!$B$12+KFC!$C$12)*KFC!$C$5</f>
        <v>209.2</v>
      </c>
      <c r="R88" s="654">
        <f>(217.2*KFC!$B$12+KFC!$C$12)*KFC!$C$5</f>
        <v>217.2</v>
      </c>
      <c r="S88" s="654">
        <f>(225.3*KFC!$B$12+KFC!$C$12)*KFC!$C$5</f>
        <v>225.3</v>
      </c>
      <c r="T88" s="654">
        <f>(233.4*KFC!$B$12+KFC!$C$12)*KFC!$C$5</f>
        <v>233.4</v>
      </c>
      <c r="U88" s="654">
        <f>(241.4*KFC!$B$12+KFC!$C$12)*KFC!$C$5</f>
        <v>241.4</v>
      </c>
      <c r="V88" s="654">
        <f>(249.5*KFC!$B$12+KFC!$C$12)*KFC!$C$5</f>
        <v>249.5</v>
      </c>
      <c r="W88" s="654">
        <f>(257.6*KFC!$B$12+KFC!$C$12)*KFC!$C$5</f>
        <v>257.60000000000002</v>
      </c>
      <c r="X88" s="654">
        <f>(265.6*KFC!$B$12+KFC!$C$12)*KFC!$C$5</f>
        <v>265.60000000000002</v>
      </c>
      <c r="Y88" s="654">
        <f>(273.7*KFC!$B$12+KFC!$C$12)*KFC!$C$5</f>
        <v>273.7</v>
      </c>
      <c r="Z88" s="654">
        <f>(281.8*KFC!$B$12+KFC!$C$12)*KFC!$C$5</f>
        <v>281.8</v>
      </c>
      <c r="AA88" s="654">
        <f>(289.8*KFC!$B$12+KFC!$C$12)*KFC!$C$5</f>
        <v>289.8</v>
      </c>
      <c r="AB88" s="654">
        <f>(297.9*KFC!$B$12+KFC!$C$12)*KFC!$C$5</f>
        <v>297.89999999999998</v>
      </c>
      <c r="AC88" s="654">
        <f>(305.9*KFC!$B$12+KFC!$C$12)*KFC!$C$5</f>
        <v>305.89999999999998</v>
      </c>
      <c r="AD88" s="654">
        <f>(314*KFC!$B$12+KFC!$C$12)*KFC!$C$5</f>
        <v>314</v>
      </c>
      <c r="AE88" s="654">
        <f>(322.1*KFC!$B$12+KFC!$C$12)*KFC!$C$5</f>
        <v>322.10000000000002</v>
      </c>
      <c r="AF88" s="654">
        <f>(330.1*KFC!$B$12+KFC!$C$12)*KFC!$C$5</f>
        <v>330.1</v>
      </c>
      <c r="AG88" s="654">
        <f>(338.2*KFC!$B$12+KFC!$C$12)*KFC!$C$5</f>
        <v>338.2</v>
      </c>
      <c r="AH88" s="654">
        <f>(346.3*KFC!$B$12+KFC!$C$12)*KFC!$C$5</f>
        <v>346.3</v>
      </c>
      <c r="AI88" s="654">
        <f>(354.3*KFC!$B$12+KFC!$C$12)*KFC!$C$5</f>
        <v>354.3</v>
      </c>
      <c r="AJ88" s="654">
        <f>(362.4*KFC!$B$12+KFC!$C$12)*KFC!$C$5</f>
        <v>362.4</v>
      </c>
      <c r="AK88" s="654">
        <f>(370.5*KFC!$B$12+KFC!$C$12)*KFC!$C$5</f>
        <v>370.5</v>
      </c>
      <c r="AL88" s="654">
        <f>(378.5*KFC!$B$12+KFC!$C$12)*KFC!$C$5</f>
        <v>378.5</v>
      </c>
      <c r="AM88" s="654">
        <f>(386.6*KFC!$B$12+KFC!$C$12)*KFC!$C$5</f>
        <v>386.6</v>
      </c>
      <c r="AN88" s="654">
        <f>(394.7*KFC!$B$12+KFC!$C$12)*KFC!$C$5</f>
        <v>394.7</v>
      </c>
      <c r="AO88" s="654">
        <f>(402.7*KFC!$B$12+KFC!$C$12)*KFC!$C$5</f>
        <v>402.7</v>
      </c>
      <c r="AP88" s="654">
        <f>(410.8*KFC!$B$12+KFC!$C$12)*KFC!$C$5</f>
        <v>410.8</v>
      </c>
      <c r="AQ88" s="654">
        <f>(418.9*KFC!$B$12+KFC!$C$12)*KFC!$C$5</f>
        <v>418.9</v>
      </c>
      <c r="AR88" s="654">
        <f>(426.9*KFC!$B$12+KFC!$C$12)*KFC!$C$5</f>
        <v>426.9</v>
      </c>
      <c r="AS88" s="654">
        <f>(435*KFC!$B$12+KFC!$C$12)*KFC!$C$5</f>
        <v>435</v>
      </c>
      <c r="AT88" s="654">
        <f>(443*KFC!$B$12+KFC!$C$12)*KFC!$C$5</f>
        <v>443</v>
      </c>
      <c r="AU88" s="654">
        <f>(451.1*KFC!$B$12+KFC!$C$12)*KFC!$C$5</f>
        <v>451.1</v>
      </c>
      <c r="AV88" s="654">
        <f>(459.2*KFC!$B$12+KFC!$C$12)*KFC!$C$5</f>
        <v>459.2</v>
      </c>
      <c r="AW88" s="654">
        <f>(467.2*KFC!$B$12+KFC!$C$12)*KFC!$C$5</f>
        <v>467.2</v>
      </c>
    </row>
    <row r="89" spans="1:49" ht="14.4">
      <c r="A89" s="1277"/>
      <c r="B89" s="649">
        <v>3.7</v>
      </c>
      <c r="C89" s="654">
        <f>(97*KFC!$B$12+KFC!$C$12)*KFC!$C$5</f>
        <v>97</v>
      </c>
      <c r="D89" s="654">
        <f>(105.2*KFC!$B$12+KFC!$C$12)*KFC!$C$5</f>
        <v>105.2</v>
      </c>
      <c r="E89" s="654">
        <f>(113.4*KFC!$B$12+KFC!$C$12)*KFC!$C$5</f>
        <v>113.4</v>
      </c>
      <c r="F89" s="654">
        <f>(121.7*KFC!$B$12+KFC!$C$12)*KFC!$C$5</f>
        <v>121.7</v>
      </c>
      <c r="G89" s="654">
        <f>(129.9*KFC!$B$12+KFC!$C$12)*KFC!$C$5</f>
        <v>129.9</v>
      </c>
      <c r="H89" s="654">
        <f>(138.1*KFC!$B$12+KFC!$C$12)*KFC!$C$5</f>
        <v>138.1</v>
      </c>
      <c r="I89" s="654">
        <f>(146.3*KFC!$B$12+KFC!$C$12)*KFC!$C$5</f>
        <v>146.30000000000001</v>
      </c>
      <c r="J89" s="654">
        <f>(154.5*KFC!$B$12+KFC!$C$12)*KFC!$C$5</f>
        <v>154.5</v>
      </c>
      <c r="K89" s="654">
        <f>(162.7*KFC!$B$12+KFC!$C$12)*KFC!$C$5</f>
        <v>162.69999999999999</v>
      </c>
      <c r="L89" s="654">
        <f>(170.9*KFC!$B$12+KFC!$C$12)*KFC!$C$5</f>
        <v>170.9</v>
      </c>
      <c r="M89" s="654">
        <f>(179.1*KFC!$B$12+KFC!$C$12)*KFC!$C$5</f>
        <v>179.1</v>
      </c>
      <c r="N89" s="654">
        <f>(187.3*KFC!$B$12+KFC!$C$12)*KFC!$C$5</f>
        <v>187.3</v>
      </c>
      <c r="O89" s="654">
        <f>(195.5*KFC!$B$12+KFC!$C$12)*KFC!$C$5</f>
        <v>195.5</v>
      </c>
      <c r="P89" s="654">
        <f>(203.7*KFC!$B$12+KFC!$C$12)*KFC!$C$5</f>
        <v>203.7</v>
      </c>
      <c r="Q89" s="654">
        <f>(211.9*KFC!$B$12+KFC!$C$12)*KFC!$C$5</f>
        <v>211.9</v>
      </c>
      <c r="R89" s="654">
        <f>(220.1*KFC!$B$12+KFC!$C$12)*KFC!$C$5</f>
        <v>220.1</v>
      </c>
      <c r="S89" s="654">
        <f>(228.3*KFC!$B$12+KFC!$C$12)*KFC!$C$5</f>
        <v>228.3</v>
      </c>
      <c r="T89" s="654">
        <f>(236.6*KFC!$B$12+KFC!$C$12)*KFC!$C$5</f>
        <v>236.6</v>
      </c>
      <c r="U89" s="654">
        <f>(244.8*KFC!$B$12+KFC!$C$12)*KFC!$C$5</f>
        <v>244.8</v>
      </c>
      <c r="V89" s="654">
        <f>(253*KFC!$B$12+KFC!$C$12)*KFC!$C$5</f>
        <v>253</v>
      </c>
      <c r="W89" s="654">
        <f>(261.2*KFC!$B$12+KFC!$C$12)*KFC!$C$5</f>
        <v>261.2</v>
      </c>
      <c r="X89" s="654">
        <f>(269.4*KFC!$B$12+KFC!$C$12)*KFC!$C$5</f>
        <v>269.39999999999998</v>
      </c>
      <c r="Y89" s="654">
        <f>(277.6*KFC!$B$12+KFC!$C$12)*KFC!$C$5</f>
        <v>277.60000000000002</v>
      </c>
      <c r="Z89" s="654">
        <f>(285.8*KFC!$B$12+KFC!$C$12)*KFC!$C$5</f>
        <v>285.8</v>
      </c>
      <c r="AA89" s="654">
        <f>(294*KFC!$B$12+KFC!$C$12)*KFC!$C$5</f>
        <v>294</v>
      </c>
      <c r="AB89" s="654">
        <f>(302.2*KFC!$B$12+KFC!$C$12)*KFC!$C$5</f>
        <v>302.2</v>
      </c>
      <c r="AC89" s="654">
        <f>(310.4*KFC!$B$12+KFC!$C$12)*KFC!$C$5</f>
        <v>310.39999999999998</v>
      </c>
      <c r="AD89" s="654">
        <f>(318.6*KFC!$B$12+KFC!$C$12)*KFC!$C$5</f>
        <v>318.60000000000002</v>
      </c>
      <c r="AE89" s="654">
        <f>(326.8*KFC!$B$12+KFC!$C$12)*KFC!$C$5</f>
        <v>326.8</v>
      </c>
      <c r="AF89" s="654">
        <f>(335*KFC!$B$12+KFC!$C$12)*KFC!$C$5</f>
        <v>335</v>
      </c>
      <c r="AG89" s="654">
        <f>(343.2*KFC!$B$12+KFC!$C$12)*KFC!$C$5</f>
        <v>343.2</v>
      </c>
      <c r="AH89" s="654">
        <f>(351.4*KFC!$B$12+KFC!$C$12)*KFC!$C$5</f>
        <v>351.4</v>
      </c>
      <c r="AI89" s="654">
        <f>(359.7*KFC!$B$12+KFC!$C$12)*KFC!$C$5</f>
        <v>359.7</v>
      </c>
      <c r="AJ89" s="654">
        <f>(367.9*KFC!$B$12+KFC!$C$12)*KFC!$C$5</f>
        <v>367.9</v>
      </c>
      <c r="AK89" s="654">
        <f>(376.1*KFC!$B$12+KFC!$C$12)*KFC!$C$5</f>
        <v>376.1</v>
      </c>
      <c r="AL89" s="654">
        <f>(384.3*KFC!$B$12+KFC!$C$12)*KFC!$C$5</f>
        <v>384.3</v>
      </c>
      <c r="AM89" s="654">
        <f>(392.5*KFC!$B$12+KFC!$C$12)*KFC!$C$5</f>
        <v>392.5</v>
      </c>
      <c r="AN89" s="654">
        <f>(400.7*KFC!$B$12+KFC!$C$12)*KFC!$C$5</f>
        <v>400.7</v>
      </c>
      <c r="AO89" s="654">
        <f>(408.9*KFC!$B$12+KFC!$C$12)*KFC!$C$5</f>
        <v>408.9</v>
      </c>
      <c r="AP89" s="654">
        <f>(417.1*KFC!$B$12+KFC!$C$12)*KFC!$C$5</f>
        <v>417.1</v>
      </c>
      <c r="AQ89" s="654">
        <f>(425.3*KFC!$B$12+KFC!$C$12)*KFC!$C$5</f>
        <v>425.3</v>
      </c>
      <c r="AR89" s="654">
        <f>(433.5*KFC!$B$12+KFC!$C$12)*KFC!$C$5</f>
        <v>433.5</v>
      </c>
      <c r="AS89" s="654">
        <f>(441.7*KFC!$B$12+KFC!$C$12)*KFC!$C$5</f>
        <v>441.7</v>
      </c>
      <c r="AT89" s="654">
        <f>(449.9*KFC!$B$12+KFC!$C$12)*KFC!$C$5</f>
        <v>449.9</v>
      </c>
      <c r="AU89" s="654">
        <f>(458.1*KFC!$B$12+KFC!$C$12)*KFC!$C$5</f>
        <v>458.1</v>
      </c>
      <c r="AV89" s="654">
        <f>(466.4*KFC!$B$12+KFC!$C$12)*KFC!$C$5</f>
        <v>466.4</v>
      </c>
      <c r="AW89" s="654">
        <f>(474.6*KFC!$B$12+KFC!$C$12)*KFC!$C$5</f>
        <v>474.6</v>
      </c>
    </row>
    <row r="90" spans="1:49" ht="14.4">
      <c r="A90" s="1277"/>
      <c r="B90" s="649">
        <v>3.8</v>
      </c>
      <c r="C90" s="654">
        <f>(97.8*KFC!$B$12+KFC!$C$12)*KFC!$C$5</f>
        <v>97.8</v>
      </c>
      <c r="D90" s="654">
        <f>(106.1*KFC!$B$12+KFC!$C$12)*KFC!$C$5</f>
        <v>106.1</v>
      </c>
      <c r="E90" s="654">
        <f>(114.5*KFC!$B$12+KFC!$C$12)*KFC!$C$5</f>
        <v>114.5</v>
      </c>
      <c r="F90" s="654">
        <f>(122.8*KFC!$B$12+KFC!$C$12)*KFC!$C$5</f>
        <v>122.8</v>
      </c>
      <c r="G90" s="654">
        <f>(131.2*KFC!$B$12+KFC!$C$12)*KFC!$C$5</f>
        <v>131.19999999999999</v>
      </c>
      <c r="H90" s="654">
        <f>(139.5*KFC!$B$12+KFC!$C$12)*KFC!$C$5</f>
        <v>139.5</v>
      </c>
      <c r="I90" s="654">
        <f>(147.9*KFC!$B$12+KFC!$C$12)*KFC!$C$5</f>
        <v>147.9</v>
      </c>
      <c r="J90" s="654">
        <f>(156.2*KFC!$B$12+KFC!$C$12)*KFC!$C$5</f>
        <v>156.19999999999999</v>
      </c>
      <c r="K90" s="654">
        <f>(164.6*KFC!$B$12+KFC!$C$12)*KFC!$C$5</f>
        <v>164.6</v>
      </c>
      <c r="L90" s="654">
        <f>(172.9*KFC!$B$12+KFC!$C$12)*KFC!$C$5</f>
        <v>172.9</v>
      </c>
      <c r="M90" s="654">
        <f>(181.3*KFC!$B$12+KFC!$C$12)*KFC!$C$5</f>
        <v>181.3</v>
      </c>
      <c r="N90" s="654">
        <f>(189.6*KFC!$B$12+KFC!$C$12)*KFC!$C$5</f>
        <v>189.6</v>
      </c>
      <c r="O90" s="654">
        <f>(198*KFC!$B$12+KFC!$C$12)*KFC!$C$5</f>
        <v>198</v>
      </c>
      <c r="P90" s="654">
        <f>(206.3*KFC!$B$12+KFC!$C$12)*KFC!$C$5</f>
        <v>206.3</v>
      </c>
      <c r="Q90" s="654">
        <f>(214.7*KFC!$B$12+KFC!$C$12)*KFC!$C$5</f>
        <v>214.7</v>
      </c>
      <c r="R90" s="654">
        <f>(223*KFC!$B$12+KFC!$C$12)*KFC!$C$5</f>
        <v>223</v>
      </c>
      <c r="S90" s="654">
        <f>(231.4*KFC!$B$12+KFC!$C$12)*KFC!$C$5</f>
        <v>231.4</v>
      </c>
      <c r="T90" s="654">
        <f>(239.7*KFC!$B$12+KFC!$C$12)*KFC!$C$5</f>
        <v>239.7</v>
      </c>
      <c r="U90" s="654">
        <f>(248.1*KFC!$B$12+KFC!$C$12)*KFC!$C$5</f>
        <v>248.1</v>
      </c>
      <c r="V90" s="654">
        <f>(256.4*KFC!$B$12+KFC!$C$12)*KFC!$C$5</f>
        <v>256.39999999999998</v>
      </c>
      <c r="W90" s="654">
        <f>(264.8*KFC!$B$12+KFC!$C$12)*KFC!$C$5</f>
        <v>264.8</v>
      </c>
      <c r="X90" s="654">
        <f>(273.1*KFC!$B$12+KFC!$C$12)*KFC!$C$5</f>
        <v>273.10000000000002</v>
      </c>
      <c r="Y90" s="654">
        <f>(281.5*KFC!$B$12+KFC!$C$12)*KFC!$C$5</f>
        <v>281.5</v>
      </c>
      <c r="Z90" s="654">
        <f>(289.8*KFC!$B$12+KFC!$C$12)*KFC!$C$5</f>
        <v>289.8</v>
      </c>
      <c r="AA90" s="654">
        <f>(298.2*KFC!$B$12+KFC!$C$12)*KFC!$C$5</f>
        <v>298.2</v>
      </c>
      <c r="AB90" s="654">
        <f>(306.5*KFC!$B$12+KFC!$C$12)*KFC!$C$5</f>
        <v>306.5</v>
      </c>
      <c r="AC90" s="654">
        <f>(314.9*KFC!$B$12+KFC!$C$12)*KFC!$C$5</f>
        <v>314.89999999999998</v>
      </c>
      <c r="AD90" s="654">
        <f>(323.2*KFC!$B$12+KFC!$C$12)*KFC!$C$5</f>
        <v>323.2</v>
      </c>
      <c r="AE90" s="654">
        <f>(331.6*KFC!$B$12+KFC!$C$12)*KFC!$C$5</f>
        <v>331.6</v>
      </c>
      <c r="AF90" s="654">
        <f>(339.9*KFC!$B$12+KFC!$C$12)*KFC!$C$5</f>
        <v>339.9</v>
      </c>
      <c r="AG90" s="654">
        <f>(348.3*KFC!$B$12+KFC!$C$12)*KFC!$C$5</f>
        <v>348.3</v>
      </c>
      <c r="AH90" s="654">
        <f>(356.6*KFC!$B$12+KFC!$C$12)*KFC!$C$5</f>
        <v>356.6</v>
      </c>
      <c r="AI90" s="654">
        <f>(365*KFC!$B$12+KFC!$C$12)*KFC!$C$5</f>
        <v>365</v>
      </c>
      <c r="AJ90" s="654">
        <f>(373.3*KFC!$B$12+KFC!$C$12)*KFC!$C$5</f>
        <v>373.3</v>
      </c>
      <c r="AK90" s="654">
        <f>(381.7*KFC!$B$12+KFC!$C$12)*KFC!$C$5</f>
        <v>381.7</v>
      </c>
      <c r="AL90" s="654">
        <f>(390*KFC!$B$12+KFC!$C$12)*KFC!$C$5</f>
        <v>390</v>
      </c>
      <c r="AM90" s="654">
        <f>(398.4*KFC!$B$12+KFC!$C$12)*KFC!$C$5</f>
        <v>398.4</v>
      </c>
      <c r="AN90" s="654">
        <f>(406.7*KFC!$B$12+KFC!$C$12)*KFC!$C$5</f>
        <v>406.7</v>
      </c>
      <c r="AO90" s="654">
        <f>(415.1*KFC!$B$12+KFC!$C$12)*KFC!$C$5</f>
        <v>415.1</v>
      </c>
      <c r="AP90" s="654">
        <f>(423.4*KFC!$B$12+KFC!$C$12)*KFC!$C$5</f>
        <v>423.4</v>
      </c>
      <c r="AQ90" s="654">
        <f>(431.8*KFC!$B$12+KFC!$C$12)*KFC!$C$5</f>
        <v>431.8</v>
      </c>
      <c r="AR90" s="654">
        <f>(440.1*KFC!$B$12+KFC!$C$12)*KFC!$C$5</f>
        <v>440.1</v>
      </c>
      <c r="AS90" s="654">
        <f>(448.5*KFC!$B$12+KFC!$C$12)*KFC!$C$5</f>
        <v>448.5</v>
      </c>
      <c r="AT90" s="654">
        <f>(456.8*KFC!$B$12+KFC!$C$12)*KFC!$C$5</f>
        <v>456.8</v>
      </c>
      <c r="AU90" s="654">
        <f>(465.2*KFC!$B$12+KFC!$C$12)*KFC!$C$5</f>
        <v>465.2</v>
      </c>
      <c r="AV90" s="654">
        <f>(473.5*KFC!$B$12+KFC!$C$12)*KFC!$C$5</f>
        <v>473.5</v>
      </c>
      <c r="AW90" s="654">
        <f>(481.9*KFC!$B$12+KFC!$C$12)*KFC!$C$5</f>
        <v>481.9</v>
      </c>
    </row>
    <row r="91" spans="1:49" ht="14.4">
      <c r="A91" s="1277"/>
      <c r="B91" s="649">
        <v>3.9</v>
      </c>
      <c r="C91" s="654">
        <f>(98.5*KFC!$B$12+KFC!$C$12)*KFC!$C$5</f>
        <v>98.5</v>
      </c>
      <c r="D91" s="654">
        <f>(107*KFC!$B$12+KFC!$C$12)*KFC!$C$5</f>
        <v>107</v>
      </c>
      <c r="E91" s="654">
        <f>(115.5*KFC!$B$12+KFC!$C$12)*KFC!$C$5</f>
        <v>115.5</v>
      </c>
      <c r="F91" s="654">
        <f>(124*KFC!$B$12+KFC!$C$12)*KFC!$C$5</f>
        <v>124</v>
      </c>
      <c r="G91" s="654">
        <f>(132.5*KFC!$B$12+KFC!$C$12)*KFC!$C$5</f>
        <v>132.5</v>
      </c>
      <c r="H91" s="654">
        <f>(141*KFC!$B$12+KFC!$C$12)*KFC!$C$5</f>
        <v>141</v>
      </c>
      <c r="I91" s="654">
        <f>(149.5*KFC!$B$12+KFC!$C$12)*KFC!$C$5</f>
        <v>149.5</v>
      </c>
      <c r="J91" s="654">
        <f>(158*KFC!$B$12+KFC!$C$12)*KFC!$C$5</f>
        <v>158</v>
      </c>
      <c r="K91" s="654">
        <f>(166.5*KFC!$B$12+KFC!$C$12)*KFC!$C$5</f>
        <v>166.5</v>
      </c>
      <c r="L91" s="654">
        <f>(175*KFC!$B$12+KFC!$C$12)*KFC!$C$5</f>
        <v>175</v>
      </c>
      <c r="M91" s="654">
        <f>(183.5*KFC!$B$12+KFC!$C$12)*KFC!$C$5</f>
        <v>183.5</v>
      </c>
      <c r="N91" s="654">
        <f>(192*KFC!$B$12+KFC!$C$12)*KFC!$C$5</f>
        <v>192</v>
      </c>
      <c r="O91" s="654">
        <f>(200.5*KFC!$B$12+KFC!$C$12)*KFC!$C$5</f>
        <v>200.5</v>
      </c>
      <c r="P91" s="654">
        <f>(208.9*KFC!$B$12+KFC!$C$12)*KFC!$C$5</f>
        <v>208.9</v>
      </c>
      <c r="Q91" s="654">
        <f>(217.4*KFC!$B$12+KFC!$C$12)*KFC!$C$5</f>
        <v>217.4</v>
      </c>
      <c r="R91" s="654">
        <f>(225.9*KFC!$B$12+KFC!$C$12)*KFC!$C$5</f>
        <v>225.9</v>
      </c>
      <c r="S91" s="654">
        <f>(234.4*KFC!$B$12+KFC!$C$12)*KFC!$C$5</f>
        <v>234.4</v>
      </c>
      <c r="T91" s="654">
        <f>(242.9*KFC!$B$12+KFC!$C$12)*KFC!$C$5</f>
        <v>242.9</v>
      </c>
      <c r="U91" s="654">
        <f>(251.4*KFC!$B$12+KFC!$C$12)*KFC!$C$5</f>
        <v>251.4</v>
      </c>
      <c r="V91" s="654">
        <f>(259.9*KFC!$B$12+KFC!$C$12)*KFC!$C$5</f>
        <v>259.89999999999998</v>
      </c>
      <c r="W91" s="654">
        <f>(268.4*KFC!$B$12+KFC!$C$12)*KFC!$C$5</f>
        <v>268.39999999999998</v>
      </c>
      <c r="X91" s="654">
        <f>(276.9*KFC!$B$12+KFC!$C$12)*KFC!$C$5</f>
        <v>276.89999999999998</v>
      </c>
      <c r="Y91" s="654">
        <f>(285.4*KFC!$B$12+KFC!$C$12)*KFC!$C$5</f>
        <v>285.39999999999998</v>
      </c>
      <c r="Z91" s="654">
        <f>(293.9*KFC!$B$12+KFC!$C$12)*KFC!$C$5</f>
        <v>293.89999999999998</v>
      </c>
      <c r="AA91" s="654">
        <f>(302.4*KFC!$B$12+KFC!$C$12)*KFC!$C$5</f>
        <v>302.39999999999998</v>
      </c>
      <c r="AB91" s="654">
        <f>(310.9*KFC!$B$12+KFC!$C$12)*KFC!$C$5</f>
        <v>310.89999999999998</v>
      </c>
      <c r="AC91" s="654">
        <f>(319.4*KFC!$B$12+KFC!$C$12)*KFC!$C$5</f>
        <v>319.39999999999998</v>
      </c>
      <c r="AD91" s="654">
        <f>(327.9*KFC!$B$12+KFC!$C$12)*KFC!$C$5</f>
        <v>327.9</v>
      </c>
      <c r="AE91" s="654">
        <f>(336.3*KFC!$B$12+KFC!$C$12)*KFC!$C$5</f>
        <v>336.3</v>
      </c>
      <c r="AF91" s="654">
        <f>(344.8*KFC!$B$12+KFC!$C$12)*KFC!$C$5</f>
        <v>344.8</v>
      </c>
      <c r="AG91" s="654">
        <f>(353.3*KFC!$B$12+KFC!$C$12)*KFC!$C$5</f>
        <v>353.3</v>
      </c>
      <c r="AH91" s="654">
        <f>(361.8*KFC!$B$12+KFC!$C$12)*KFC!$C$5</f>
        <v>361.8</v>
      </c>
      <c r="AI91" s="654">
        <f>(370.3*KFC!$B$12+KFC!$C$12)*KFC!$C$5</f>
        <v>370.3</v>
      </c>
      <c r="AJ91" s="654">
        <f>(378.8*KFC!$B$12+KFC!$C$12)*KFC!$C$5</f>
        <v>378.8</v>
      </c>
      <c r="AK91" s="654">
        <f>(387.3*KFC!$B$12+KFC!$C$12)*KFC!$C$5</f>
        <v>387.3</v>
      </c>
      <c r="AL91" s="654">
        <f>(395.8*KFC!$B$12+KFC!$C$12)*KFC!$C$5</f>
        <v>395.8</v>
      </c>
      <c r="AM91" s="654">
        <f>(404.3*KFC!$B$12+KFC!$C$12)*KFC!$C$5</f>
        <v>404.3</v>
      </c>
      <c r="AN91" s="654">
        <f>(412.8*KFC!$B$12+KFC!$C$12)*KFC!$C$5</f>
        <v>412.8</v>
      </c>
      <c r="AO91" s="654">
        <f>(421.3*KFC!$B$12+KFC!$C$12)*KFC!$C$5</f>
        <v>421.3</v>
      </c>
      <c r="AP91" s="654">
        <f>(429.8*KFC!$B$12+KFC!$C$12)*KFC!$C$5</f>
        <v>429.8</v>
      </c>
      <c r="AQ91" s="654">
        <f>(438.3*KFC!$B$12+KFC!$C$12)*KFC!$C$5</f>
        <v>438.3</v>
      </c>
      <c r="AR91" s="654">
        <f>(446.8*KFC!$B$12+KFC!$C$12)*KFC!$C$5</f>
        <v>446.8</v>
      </c>
      <c r="AS91" s="654">
        <f>(455.3*KFC!$B$12+KFC!$C$12)*KFC!$C$5</f>
        <v>455.3</v>
      </c>
      <c r="AT91" s="654">
        <f>(463.7*KFC!$B$12+KFC!$C$12)*KFC!$C$5</f>
        <v>463.7</v>
      </c>
      <c r="AU91" s="654">
        <f>(472.2*KFC!$B$12+KFC!$C$12)*KFC!$C$5</f>
        <v>472.2</v>
      </c>
      <c r="AV91" s="654">
        <f>(480.7*KFC!$B$12+KFC!$C$12)*KFC!$C$5</f>
        <v>480.7</v>
      </c>
      <c r="AW91" s="654">
        <f>(489.2*KFC!$B$12+KFC!$C$12)*KFC!$C$5</f>
        <v>489.2</v>
      </c>
    </row>
    <row r="92" spans="1:49" ht="14.4">
      <c r="A92" s="1277"/>
      <c r="B92" s="649">
        <v>4</v>
      </c>
      <c r="C92" s="654">
        <f>(99.3*KFC!$B$12+KFC!$C$12)*KFC!$C$5</f>
        <v>99.3</v>
      </c>
      <c r="D92" s="654">
        <f>(107.9*KFC!$B$12+KFC!$C$12)*KFC!$C$5</f>
        <v>107.9</v>
      </c>
      <c r="E92" s="654">
        <f>(116.6*KFC!$B$12+KFC!$C$12)*KFC!$C$5</f>
        <v>116.6</v>
      </c>
      <c r="F92" s="654">
        <f>(125.2*KFC!$B$12+KFC!$C$12)*KFC!$C$5</f>
        <v>125.2</v>
      </c>
      <c r="G92" s="654">
        <f>(133.8*KFC!$B$12+KFC!$C$12)*KFC!$C$5</f>
        <v>133.80000000000001</v>
      </c>
      <c r="H92" s="654">
        <f>(142.5*KFC!$B$12+KFC!$C$12)*KFC!$C$5</f>
        <v>142.5</v>
      </c>
      <c r="I92" s="654">
        <f>(151.1*KFC!$B$12+KFC!$C$12)*KFC!$C$5</f>
        <v>151.1</v>
      </c>
      <c r="J92" s="654">
        <f>(159.7*KFC!$B$12+KFC!$C$12)*KFC!$C$5</f>
        <v>159.69999999999999</v>
      </c>
      <c r="K92" s="654">
        <f>(168.4*KFC!$B$12+KFC!$C$12)*KFC!$C$5</f>
        <v>168.4</v>
      </c>
      <c r="L92" s="654">
        <f>(177*KFC!$B$12+KFC!$C$12)*KFC!$C$5</f>
        <v>177</v>
      </c>
      <c r="M92" s="654">
        <f>(185.7*KFC!$B$12+KFC!$C$12)*KFC!$C$5</f>
        <v>185.7</v>
      </c>
      <c r="N92" s="654">
        <f>(194.3*KFC!$B$12+KFC!$C$12)*KFC!$C$5</f>
        <v>194.3</v>
      </c>
      <c r="O92" s="654">
        <f>(202.9*KFC!$B$12+KFC!$C$12)*KFC!$C$5</f>
        <v>202.9</v>
      </c>
      <c r="P92" s="654">
        <f>(211.6*KFC!$B$12+KFC!$C$12)*KFC!$C$5</f>
        <v>211.6</v>
      </c>
      <c r="Q92" s="654">
        <f>(220.2*KFC!$B$12+KFC!$C$12)*KFC!$C$5</f>
        <v>220.2</v>
      </c>
      <c r="R92" s="654">
        <f>(228.8*KFC!$B$12+KFC!$C$12)*KFC!$C$5</f>
        <v>228.8</v>
      </c>
      <c r="S92" s="654">
        <f>(237.5*KFC!$B$12+KFC!$C$12)*KFC!$C$5</f>
        <v>237.5</v>
      </c>
      <c r="T92" s="654">
        <f>(246.1*KFC!$B$12+KFC!$C$12)*KFC!$C$5</f>
        <v>246.1</v>
      </c>
      <c r="U92" s="654">
        <f>(254.7*KFC!$B$12+KFC!$C$12)*KFC!$C$5</f>
        <v>254.7</v>
      </c>
      <c r="V92" s="654">
        <f>(263.4*KFC!$B$12+KFC!$C$12)*KFC!$C$5</f>
        <v>263.39999999999998</v>
      </c>
      <c r="W92" s="654">
        <f>(272*KFC!$B$12+KFC!$C$12)*KFC!$C$5</f>
        <v>272</v>
      </c>
      <c r="X92" s="654">
        <f>(280.6*KFC!$B$12+KFC!$C$12)*KFC!$C$5</f>
        <v>280.60000000000002</v>
      </c>
      <c r="Y92" s="654">
        <f>(289.3*KFC!$B$12+KFC!$C$12)*KFC!$C$5</f>
        <v>289.3</v>
      </c>
      <c r="Z92" s="654">
        <f>(297.9*KFC!$B$12+KFC!$C$12)*KFC!$C$5</f>
        <v>297.89999999999998</v>
      </c>
      <c r="AA92" s="654">
        <f>(306.6*KFC!$B$12+KFC!$C$12)*KFC!$C$5</f>
        <v>306.60000000000002</v>
      </c>
      <c r="AB92" s="654">
        <f>(315.2*KFC!$B$12+KFC!$C$12)*KFC!$C$5</f>
        <v>315.2</v>
      </c>
      <c r="AC92" s="654">
        <f>(323.8*KFC!$B$12+KFC!$C$12)*KFC!$C$5</f>
        <v>323.8</v>
      </c>
      <c r="AD92" s="654">
        <f>(332.5*KFC!$B$12+KFC!$C$12)*KFC!$C$5</f>
        <v>332.5</v>
      </c>
      <c r="AE92" s="654">
        <f>(341.1*KFC!$B$12+KFC!$C$12)*KFC!$C$5</f>
        <v>341.1</v>
      </c>
      <c r="AF92" s="654">
        <f>(349.7*KFC!$B$12+KFC!$C$12)*KFC!$C$5</f>
        <v>349.7</v>
      </c>
      <c r="AG92" s="654">
        <f>(358.4*KFC!$B$12+KFC!$C$12)*KFC!$C$5</f>
        <v>358.4</v>
      </c>
      <c r="AH92" s="654">
        <f>(367*KFC!$B$12+KFC!$C$12)*KFC!$C$5</f>
        <v>367</v>
      </c>
      <c r="AI92" s="654">
        <f>(375.6*KFC!$B$12+KFC!$C$12)*KFC!$C$5</f>
        <v>375.6</v>
      </c>
      <c r="AJ92" s="654">
        <f>(384.3*KFC!$B$12+KFC!$C$12)*KFC!$C$5</f>
        <v>384.3</v>
      </c>
      <c r="AK92" s="654">
        <f>(392.9*KFC!$B$12+KFC!$C$12)*KFC!$C$5</f>
        <v>392.9</v>
      </c>
      <c r="AL92" s="654">
        <f>(401.5*KFC!$B$12+KFC!$C$12)*KFC!$C$5</f>
        <v>401.5</v>
      </c>
      <c r="AM92" s="654">
        <f>(410.2*KFC!$B$12+KFC!$C$12)*KFC!$C$5</f>
        <v>410.2</v>
      </c>
      <c r="AN92" s="654">
        <f>(418.8*KFC!$B$12+KFC!$C$12)*KFC!$C$5</f>
        <v>418.8</v>
      </c>
      <c r="AO92" s="654">
        <f>(427.5*KFC!$B$12+KFC!$C$12)*KFC!$C$5</f>
        <v>427.5</v>
      </c>
      <c r="AP92" s="654">
        <f>(436.1*KFC!$B$12+KFC!$C$12)*KFC!$C$5</f>
        <v>436.1</v>
      </c>
      <c r="AQ92" s="654">
        <f>(444.7*KFC!$B$12+KFC!$C$12)*KFC!$C$5</f>
        <v>444.7</v>
      </c>
      <c r="AR92" s="654">
        <f>(453.4*KFC!$B$12+KFC!$C$12)*KFC!$C$5</f>
        <v>453.4</v>
      </c>
      <c r="AS92" s="654">
        <f>(462*KFC!$B$12+KFC!$C$12)*KFC!$C$5</f>
        <v>462</v>
      </c>
      <c r="AT92" s="654">
        <f>(470.6*KFC!$B$12+KFC!$C$12)*KFC!$C$5</f>
        <v>470.6</v>
      </c>
      <c r="AU92" s="654">
        <f>(479.3*KFC!$B$12+KFC!$C$12)*KFC!$C$5</f>
        <v>479.3</v>
      </c>
      <c r="AV92" s="654">
        <f>(487.9*KFC!$B$12+KFC!$C$12)*KFC!$C$5</f>
        <v>487.9</v>
      </c>
      <c r="AW92" s="654">
        <f>(496.5*KFC!$B$12+KFC!$C$12)*KFC!$C$5</f>
        <v>496.5</v>
      </c>
    </row>
    <row r="93" spans="1:49" ht="14.4">
      <c r="A93" s="1277"/>
      <c r="B93" s="649">
        <v>4.0999999999999996</v>
      </c>
      <c r="C93" s="654">
        <f>(100*KFC!$B$12+KFC!$C$12)*KFC!$C$5</f>
        <v>100</v>
      </c>
      <c r="D93" s="654">
        <f>(108.8*KFC!$B$12+KFC!$C$12)*KFC!$C$5</f>
        <v>108.8</v>
      </c>
      <c r="E93" s="654">
        <f>(117.6*KFC!$B$12+KFC!$C$12)*KFC!$C$5</f>
        <v>117.6</v>
      </c>
      <c r="F93" s="654">
        <f>(126.4*KFC!$B$12+KFC!$C$12)*KFC!$C$5</f>
        <v>126.4</v>
      </c>
      <c r="G93" s="654">
        <f>(135.2*KFC!$B$12+KFC!$C$12)*KFC!$C$5</f>
        <v>135.19999999999999</v>
      </c>
      <c r="H93" s="654">
        <f>(143.9*KFC!$B$12+KFC!$C$12)*KFC!$C$5</f>
        <v>143.9</v>
      </c>
      <c r="I93" s="654">
        <f>(152.7*KFC!$B$12+KFC!$C$12)*KFC!$C$5</f>
        <v>152.69999999999999</v>
      </c>
      <c r="J93" s="654">
        <f>(161.5*KFC!$B$12+KFC!$C$12)*KFC!$C$5</f>
        <v>161.5</v>
      </c>
      <c r="K93" s="654">
        <f>(170.3*KFC!$B$12+KFC!$C$12)*KFC!$C$5</f>
        <v>170.3</v>
      </c>
      <c r="L93" s="654">
        <f>(179.1*KFC!$B$12+KFC!$C$12)*KFC!$C$5</f>
        <v>179.1</v>
      </c>
      <c r="M93" s="654">
        <f>(187.8*KFC!$B$12+KFC!$C$12)*KFC!$C$5</f>
        <v>187.8</v>
      </c>
      <c r="N93" s="654">
        <f>(196.6*KFC!$B$12+KFC!$C$12)*KFC!$C$5</f>
        <v>196.6</v>
      </c>
      <c r="O93" s="654">
        <f>(205.4*KFC!$B$12+KFC!$C$12)*KFC!$C$5</f>
        <v>205.4</v>
      </c>
      <c r="P93" s="654">
        <f>(214.2*KFC!$B$12+KFC!$C$12)*KFC!$C$5</f>
        <v>214.2</v>
      </c>
      <c r="Q93" s="654">
        <f>(222.9*KFC!$B$12+KFC!$C$12)*KFC!$C$5</f>
        <v>222.9</v>
      </c>
      <c r="R93" s="654">
        <f>(231.7*KFC!$B$12+KFC!$C$12)*KFC!$C$5</f>
        <v>231.7</v>
      </c>
      <c r="S93" s="654">
        <f>(240.5*KFC!$B$12+KFC!$C$12)*KFC!$C$5</f>
        <v>240.5</v>
      </c>
      <c r="T93" s="654">
        <f>(249.3*KFC!$B$12+KFC!$C$12)*KFC!$C$5</f>
        <v>249.3</v>
      </c>
      <c r="U93" s="654">
        <f>(258.1*KFC!$B$12+KFC!$C$12)*KFC!$C$5</f>
        <v>258.10000000000002</v>
      </c>
      <c r="V93" s="654">
        <f>(266.8*KFC!$B$12+KFC!$C$12)*KFC!$C$5</f>
        <v>266.8</v>
      </c>
      <c r="W93" s="654">
        <f>(275.6*KFC!$B$12+KFC!$C$12)*KFC!$C$5</f>
        <v>275.60000000000002</v>
      </c>
      <c r="X93" s="654">
        <f>(284.4*KFC!$B$12+KFC!$C$12)*KFC!$C$5</f>
        <v>284.39999999999998</v>
      </c>
      <c r="Y93" s="654">
        <f>(293.2*KFC!$B$12+KFC!$C$12)*KFC!$C$5</f>
        <v>293.2</v>
      </c>
      <c r="Z93" s="654">
        <f>(302*KFC!$B$12+KFC!$C$12)*KFC!$C$5</f>
        <v>302</v>
      </c>
      <c r="AA93" s="654">
        <f>(310.7*KFC!$B$12+KFC!$C$12)*KFC!$C$5</f>
        <v>310.7</v>
      </c>
      <c r="AB93" s="654">
        <f>(319.5*KFC!$B$12+KFC!$C$12)*KFC!$C$5</f>
        <v>319.5</v>
      </c>
      <c r="AC93" s="654">
        <f>(328.3*KFC!$B$12+KFC!$C$12)*KFC!$C$5</f>
        <v>328.3</v>
      </c>
      <c r="AD93" s="654">
        <f>(337.1*KFC!$B$12+KFC!$C$12)*KFC!$C$5</f>
        <v>337.1</v>
      </c>
      <c r="AE93" s="654">
        <f>(345.9*KFC!$B$12+KFC!$C$12)*KFC!$C$5</f>
        <v>345.9</v>
      </c>
      <c r="AF93" s="654">
        <f>(354.6*KFC!$B$12+KFC!$C$12)*KFC!$C$5</f>
        <v>354.6</v>
      </c>
      <c r="AG93" s="654">
        <f>(363.4*KFC!$B$12+KFC!$C$12)*KFC!$C$5</f>
        <v>363.4</v>
      </c>
      <c r="AH93" s="654">
        <f>(372.2*KFC!$B$12+KFC!$C$12)*KFC!$C$5</f>
        <v>372.2</v>
      </c>
      <c r="AI93" s="654">
        <f>(381*KFC!$B$12+KFC!$C$12)*KFC!$C$5</f>
        <v>381</v>
      </c>
      <c r="AJ93" s="654">
        <f>(389.8*KFC!$B$12+KFC!$C$12)*KFC!$C$5</f>
        <v>389.8</v>
      </c>
      <c r="AK93" s="654">
        <f>(398.5*KFC!$B$12+KFC!$C$12)*KFC!$C$5</f>
        <v>398.5</v>
      </c>
      <c r="AL93" s="654">
        <f>(407.3*KFC!$B$12+KFC!$C$12)*KFC!$C$5</f>
        <v>407.3</v>
      </c>
      <c r="AM93" s="654">
        <f>(416.1*KFC!$B$12+KFC!$C$12)*KFC!$C$5</f>
        <v>416.1</v>
      </c>
      <c r="AN93" s="654">
        <f>(424.9*KFC!$B$12+KFC!$C$12)*KFC!$C$5</f>
        <v>424.9</v>
      </c>
      <c r="AO93" s="654">
        <f>(433.6*KFC!$B$12+KFC!$C$12)*KFC!$C$5</f>
        <v>433.6</v>
      </c>
      <c r="AP93" s="654">
        <f>(442.4*KFC!$B$12+KFC!$C$12)*KFC!$C$5</f>
        <v>442.4</v>
      </c>
      <c r="AQ93" s="654">
        <f>(451.2*KFC!$B$12+KFC!$C$12)*KFC!$C$5</f>
        <v>451.2</v>
      </c>
      <c r="AR93" s="654">
        <f>(460*KFC!$B$12+KFC!$C$12)*KFC!$C$5</f>
        <v>460</v>
      </c>
      <c r="AS93" s="654">
        <f>(468.8*KFC!$B$12+KFC!$C$12)*KFC!$C$5</f>
        <v>468.8</v>
      </c>
      <c r="AT93" s="654">
        <f>(477.5*KFC!$B$12+KFC!$C$12)*KFC!$C$5</f>
        <v>477.5</v>
      </c>
      <c r="AU93" s="654">
        <f>(486.3*KFC!$B$12+KFC!$C$12)*KFC!$C$5</f>
        <v>486.3</v>
      </c>
      <c r="AV93" s="654">
        <f>(495.1*KFC!$B$12+KFC!$C$12)*KFC!$C$5</f>
        <v>495.1</v>
      </c>
      <c r="AW93" s="654">
        <f>(503.9*KFC!$B$12+KFC!$C$12)*KFC!$C$5</f>
        <v>503.9</v>
      </c>
    </row>
    <row r="94" spans="1:49" ht="14.4">
      <c r="A94" s="1277"/>
      <c r="B94" s="649">
        <v>4.2</v>
      </c>
      <c r="C94" s="654">
        <f>(100.8*KFC!$B$12+KFC!$C$12)*KFC!$C$5</f>
        <v>100.8</v>
      </c>
      <c r="D94" s="654">
        <f>(109.7*KFC!$B$12+KFC!$C$12)*KFC!$C$5</f>
        <v>109.7</v>
      </c>
      <c r="E94" s="654">
        <f>(118.6*KFC!$B$12+KFC!$C$12)*KFC!$C$5</f>
        <v>118.6</v>
      </c>
      <c r="F94" s="654">
        <f>(127.6*KFC!$B$12+KFC!$C$12)*KFC!$C$5</f>
        <v>127.6</v>
      </c>
      <c r="G94" s="654">
        <f>(136.5*KFC!$B$12+KFC!$C$12)*KFC!$C$5</f>
        <v>136.5</v>
      </c>
      <c r="H94" s="654">
        <f>(145.4*KFC!$B$12+KFC!$C$12)*KFC!$C$5</f>
        <v>145.4</v>
      </c>
      <c r="I94" s="654">
        <f>(154.3*KFC!$B$12+KFC!$C$12)*KFC!$C$5</f>
        <v>154.30000000000001</v>
      </c>
      <c r="J94" s="654">
        <f>(163.3*KFC!$B$12+KFC!$C$12)*KFC!$C$5</f>
        <v>163.30000000000001</v>
      </c>
      <c r="K94" s="654">
        <f>(172.2*KFC!$B$12+KFC!$C$12)*KFC!$C$5</f>
        <v>172.2</v>
      </c>
      <c r="L94" s="654">
        <f>(181.1*KFC!$B$12+KFC!$C$12)*KFC!$C$5</f>
        <v>181.1</v>
      </c>
      <c r="M94" s="654">
        <f>(190*KFC!$B$12+KFC!$C$12)*KFC!$C$5</f>
        <v>190</v>
      </c>
      <c r="N94" s="654">
        <f>(198.9*KFC!$B$12+KFC!$C$12)*KFC!$C$5</f>
        <v>198.9</v>
      </c>
      <c r="O94" s="654">
        <f>(207.9*KFC!$B$12+KFC!$C$12)*KFC!$C$5</f>
        <v>207.9</v>
      </c>
      <c r="P94" s="654">
        <f>(216.8*KFC!$B$12+KFC!$C$12)*KFC!$C$5</f>
        <v>216.8</v>
      </c>
      <c r="Q94" s="654">
        <f>(225.7*KFC!$B$12+KFC!$C$12)*KFC!$C$5</f>
        <v>225.7</v>
      </c>
      <c r="R94" s="654">
        <f>(234.6*KFC!$B$12+KFC!$C$12)*KFC!$C$5</f>
        <v>234.6</v>
      </c>
      <c r="S94" s="654">
        <f>(243.6*KFC!$B$12+KFC!$C$12)*KFC!$C$5</f>
        <v>243.6</v>
      </c>
      <c r="T94" s="654">
        <f>(252.5*KFC!$B$12+KFC!$C$12)*KFC!$C$5</f>
        <v>252.5</v>
      </c>
      <c r="U94" s="654">
        <f>(261.4*KFC!$B$12+KFC!$C$12)*KFC!$C$5</f>
        <v>261.39999999999998</v>
      </c>
      <c r="V94" s="654">
        <f>(270.3*KFC!$B$12+KFC!$C$12)*KFC!$C$5</f>
        <v>270.3</v>
      </c>
      <c r="W94" s="654">
        <f>(279.2*KFC!$B$12+KFC!$C$12)*KFC!$C$5</f>
        <v>279.2</v>
      </c>
      <c r="X94" s="654">
        <f>(288.2*KFC!$B$12+KFC!$C$12)*KFC!$C$5</f>
        <v>288.2</v>
      </c>
      <c r="Y94" s="654">
        <f>(297.1*KFC!$B$12+KFC!$C$12)*KFC!$C$5</f>
        <v>297.10000000000002</v>
      </c>
      <c r="Z94" s="654">
        <f>(306*KFC!$B$12+KFC!$C$12)*KFC!$C$5</f>
        <v>306</v>
      </c>
      <c r="AA94" s="654">
        <f>(314.9*KFC!$B$12+KFC!$C$12)*KFC!$C$5</f>
        <v>314.89999999999998</v>
      </c>
      <c r="AB94" s="654">
        <f>(323.8*KFC!$B$12+KFC!$C$12)*KFC!$C$5</f>
        <v>323.8</v>
      </c>
      <c r="AC94" s="654">
        <f>(332.8*KFC!$B$12+KFC!$C$12)*KFC!$C$5</f>
        <v>332.8</v>
      </c>
      <c r="AD94" s="654">
        <f>(341.7*KFC!$B$12+KFC!$C$12)*KFC!$C$5</f>
        <v>341.7</v>
      </c>
      <c r="AE94" s="654">
        <f>(350.6*KFC!$B$12+KFC!$C$12)*KFC!$C$5</f>
        <v>350.6</v>
      </c>
      <c r="AF94" s="654">
        <f>(359.5*KFC!$B$12+KFC!$C$12)*KFC!$C$5</f>
        <v>359.5</v>
      </c>
      <c r="AG94" s="654">
        <f>(368.4*KFC!$B$12+KFC!$C$12)*KFC!$C$5</f>
        <v>368.4</v>
      </c>
      <c r="AH94" s="654">
        <f>(377.4*KFC!$B$12+KFC!$C$12)*KFC!$C$5</f>
        <v>377.4</v>
      </c>
      <c r="AI94" s="654">
        <f>(386.3*KFC!$B$12+KFC!$C$12)*KFC!$C$5</f>
        <v>386.3</v>
      </c>
      <c r="AJ94" s="654">
        <f>(395.2*KFC!$B$12+KFC!$C$12)*KFC!$C$5</f>
        <v>395.2</v>
      </c>
      <c r="AK94" s="654">
        <f>(404.1*KFC!$B$12+KFC!$C$12)*KFC!$C$5</f>
        <v>404.1</v>
      </c>
      <c r="AL94" s="654">
        <f>(413.1*KFC!$B$12+KFC!$C$12)*KFC!$C$5</f>
        <v>413.1</v>
      </c>
      <c r="AM94" s="654">
        <f>(422*KFC!$B$12+KFC!$C$12)*KFC!$C$5</f>
        <v>422</v>
      </c>
      <c r="AN94" s="654">
        <f>(430.9*KFC!$B$12+KFC!$C$12)*KFC!$C$5</f>
        <v>430.9</v>
      </c>
      <c r="AO94" s="654">
        <f>(439.8*KFC!$B$12+KFC!$C$12)*KFC!$C$5</f>
        <v>439.8</v>
      </c>
      <c r="AP94" s="654">
        <f>(448.8*KFC!$B$12+KFC!$C$12)*KFC!$C$5</f>
        <v>448.8</v>
      </c>
      <c r="AQ94" s="654">
        <f>(457.7*KFC!$B$12+KFC!$C$12)*KFC!$C$5</f>
        <v>457.7</v>
      </c>
      <c r="AR94" s="654">
        <f>(466.6*KFC!$B$12+KFC!$C$12)*KFC!$C$5</f>
        <v>466.6</v>
      </c>
      <c r="AS94" s="654">
        <f>(475.5*KFC!$B$12+KFC!$C$12)*KFC!$C$5</f>
        <v>475.5</v>
      </c>
      <c r="AT94" s="654">
        <f>(484.4*KFC!$B$12+KFC!$C$12)*KFC!$C$5</f>
        <v>484.4</v>
      </c>
      <c r="AU94" s="654">
        <f>(493.4*KFC!$B$12+KFC!$C$12)*KFC!$C$5</f>
        <v>493.4</v>
      </c>
      <c r="AV94" s="654">
        <f>(502.3*KFC!$B$12+KFC!$C$12)*KFC!$C$5</f>
        <v>502.3</v>
      </c>
      <c r="AW94" s="654">
        <f>(511.2*KFC!$B$12+KFC!$C$12)*KFC!$C$5</f>
        <v>511.2</v>
      </c>
    </row>
    <row r="95" spans="1:49" ht="14.4">
      <c r="A95" s="1277"/>
      <c r="B95" s="649">
        <v>4.3</v>
      </c>
      <c r="C95" s="654">
        <f>(101.6*KFC!$B$12+KFC!$C$12)*KFC!$C$5</f>
        <v>101.6</v>
      </c>
      <c r="D95" s="654">
        <f>(110.6*KFC!$B$12+KFC!$C$12)*KFC!$C$5</f>
        <v>110.6</v>
      </c>
      <c r="E95" s="654">
        <f>(119.7*KFC!$B$12+KFC!$C$12)*KFC!$C$5</f>
        <v>119.7</v>
      </c>
      <c r="F95" s="654">
        <f>(128.8*KFC!$B$12+KFC!$C$12)*KFC!$C$5</f>
        <v>128.80000000000001</v>
      </c>
      <c r="G95" s="654">
        <f>(137.8*KFC!$B$12+KFC!$C$12)*KFC!$C$5</f>
        <v>137.80000000000001</v>
      </c>
      <c r="H95" s="654">
        <f>(146.9*KFC!$B$12+KFC!$C$12)*KFC!$C$5</f>
        <v>146.9</v>
      </c>
      <c r="I95" s="654">
        <f>(155.9*KFC!$B$12+KFC!$C$12)*KFC!$C$5</f>
        <v>155.9</v>
      </c>
      <c r="J95" s="654">
        <f>(165*KFC!$B$12+KFC!$C$12)*KFC!$C$5</f>
        <v>165</v>
      </c>
      <c r="K95" s="654">
        <f>(174.1*KFC!$B$12+KFC!$C$12)*KFC!$C$5</f>
        <v>174.1</v>
      </c>
      <c r="L95" s="654">
        <f>(183.1*KFC!$B$12+KFC!$C$12)*KFC!$C$5</f>
        <v>183.1</v>
      </c>
      <c r="M95" s="654">
        <f>(192.2*KFC!$B$12+KFC!$C$12)*KFC!$C$5</f>
        <v>192.2</v>
      </c>
      <c r="N95" s="654">
        <f>(201.3*KFC!$B$12+KFC!$C$12)*KFC!$C$5</f>
        <v>201.3</v>
      </c>
      <c r="O95" s="654">
        <f>(210.3*KFC!$B$12+KFC!$C$12)*KFC!$C$5</f>
        <v>210.3</v>
      </c>
      <c r="P95" s="654">
        <f>(219.4*KFC!$B$12+KFC!$C$12)*KFC!$C$5</f>
        <v>219.4</v>
      </c>
      <c r="Q95" s="654">
        <f>(228.5*KFC!$B$12+KFC!$C$12)*KFC!$C$5</f>
        <v>228.5</v>
      </c>
      <c r="R95" s="654">
        <f>(237.5*KFC!$B$12+KFC!$C$12)*KFC!$C$5</f>
        <v>237.5</v>
      </c>
      <c r="S95" s="654">
        <f>(246.6*KFC!$B$12+KFC!$C$12)*KFC!$C$5</f>
        <v>246.6</v>
      </c>
      <c r="T95" s="654">
        <f>(255.7*KFC!$B$12+KFC!$C$12)*KFC!$C$5</f>
        <v>255.7</v>
      </c>
      <c r="U95" s="654">
        <f>(264.7*KFC!$B$12+KFC!$C$12)*KFC!$C$5</f>
        <v>264.7</v>
      </c>
      <c r="V95" s="654">
        <f>(273.8*KFC!$B$12+KFC!$C$12)*KFC!$C$5</f>
        <v>273.8</v>
      </c>
      <c r="W95" s="654">
        <f>(282.9*KFC!$B$12+KFC!$C$12)*KFC!$C$5</f>
        <v>282.89999999999998</v>
      </c>
      <c r="X95" s="654">
        <f>(291.9*KFC!$B$12+KFC!$C$12)*KFC!$C$5</f>
        <v>291.89999999999998</v>
      </c>
      <c r="Y95" s="654">
        <f>(301*KFC!$B$12+KFC!$C$12)*KFC!$C$5</f>
        <v>301</v>
      </c>
      <c r="Z95" s="654">
        <f>(310.1*KFC!$B$12+KFC!$C$12)*KFC!$C$5</f>
        <v>310.10000000000002</v>
      </c>
      <c r="AA95" s="654">
        <f>(319.1*KFC!$B$12+KFC!$C$12)*KFC!$C$5</f>
        <v>319.10000000000002</v>
      </c>
      <c r="AB95" s="654">
        <f>(328.2*KFC!$B$12+KFC!$C$12)*KFC!$C$5</f>
        <v>328.2</v>
      </c>
      <c r="AC95" s="654">
        <f>(337.2*KFC!$B$12+KFC!$C$12)*KFC!$C$5</f>
        <v>337.2</v>
      </c>
      <c r="AD95" s="654">
        <f>(346.3*KFC!$B$12+KFC!$C$12)*KFC!$C$5</f>
        <v>346.3</v>
      </c>
      <c r="AE95" s="654">
        <f>(355.4*KFC!$B$12+KFC!$C$12)*KFC!$C$5</f>
        <v>355.4</v>
      </c>
      <c r="AF95" s="654">
        <f>(364.4*KFC!$B$12+KFC!$C$12)*KFC!$C$5</f>
        <v>364.4</v>
      </c>
      <c r="AG95" s="654">
        <f>(373.5*KFC!$B$12+KFC!$C$12)*KFC!$C$5</f>
        <v>373.5</v>
      </c>
      <c r="AH95" s="654">
        <f>(382.6*KFC!$B$12+KFC!$C$12)*KFC!$C$5</f>
        <v>382.6</v>
      </c>
      <c r="AI95" s="654">
        <f>(391.6*KFC!$B$12+KFC!$C$12)*KFC!$C$5</f>
        <v>391.6</v>
      </c>
      <c r="AJ95" s="654">
        <f>(400.7*KFC!$B$12+KFC!$C$12)*KFC!$C$5</f>
        <v>400.7</v>
      </c>
      <c r="AK95" s="654">
        <f>(409.8*KFC!$B$12+KFC!$C$12)*KFC!$C$5</f>
        <v>409.8</v>
      </c>
      <c r="AL95" s="654">
        <f>(418.8*KFC!$B$12+KFC!$C$12)*KFC!$C$5</f>
        <v>418.8</v>
      </c>
      <c r="AM95" s="654">
        <f>(427.9*KFC!$B$12+KFC!$C$12)*KFC!$C$5</f>
        <v>427.9</v>
      </c>
      <c r="AN95" s="654">
        <f>(436.9*KFC!$B$12+KFC!$C$12)*KFC!$C$5</f>
        <v>436.9</v>
      </c>
      <c r="AO95" s="654">
        <f>(446*KFC!$B$12+KFC!$C$12)*KFC!$C$5</f>
        <v>446</v>
      </c>
      <c r="AP95" s="654">
        <f>(455.1*KFC!$B$12+KFC!$C$12)*KFC!$C$5</f>
        <v>455.1</v>
      </c>
      <c r="AQ95" s="654">
        <f>(464.1*KFC!$B$12+KFC!$C$12)*KFC!$C$5</f>
        <v>464.1</v>
      </c>
      <c r="AR95" s="654">
        <f>(473.2*KFC!$B$12+KFC!$C$12)*KFC!$C$5</f>
        <v>473.2</v>
      </c>
      <c r="AS95" s="654">
        <f>(482.3*KFC!$B$12+KFC!$C$12)*KFC!$C$5</f>
        <v>482.3</v>
      </c>
      <c r="AT95" s="654">
        <f>(491.3*KFC!$B$12+KFC!$C$12)*KFC!$C$5</f>
        <v>491.3</v>
      </c>
      <c r="AU95" s="654">
        <f>(500.4*KFC!$B$12+KFC!$C$12)*KFC!$C$5</f>
        <v>500.4</v>
      </c>
      <c r="AV95" s="654">
        <f>(509.5*KFC!$B$12+KFC!$C$12)*KFC!$C$5</f>
        <v>509.5</v>
      </c>
      <c r="AW95" s="654">
        <f>(518.5*KFC!$B$12+KFC!$C$12)*KFC!$C$5</f>
        <v>518.5</v>
      </c>
    </row>
    <row r="96" spans="1:49" ht="14.4">
      <c r="A96" s="1277"/>
      <c r="B96" s="649">
        <v>4.4000000000000004</v>
      </c>
      <c r="C96" s="654">
        <f>(102.3*KFC!$B$12+KFC!$C$12)*KFC!$C$5</f>
        <v>102.3</v>
      </c>
      <c r="D96" s="654">
        <f>(111.5*KFC!$B$12+KFC!$C$12)*KFC!$C$5</f>
        <v>111.5</v>
      </c>
      <c r="E96" s="654">
        <f>(120.7*KFC!$B$12+KFC!$C$12)*KFC!$C$5</f>
        <v>120.7</v>
      </c>
      <c r="F96" s="654">
        <f>(129.9*KFC!$B$12+KFC!$C$12)*KFC!$C$5</f>
        <v>129.9</v>
      </c>
      <c r="G96" s="654">
        <f>(139.1*KFC!$B$12+KFC!$C$12)*KFC!$C$5</f>
        <v>139.1</v>
      </c>
      <c r="H96" s="654">
        <f>(148.3*KFC!$B$12+KFC!$C$12)*KFC!$C$5</f>
        <v>148.30000000000001</v>
      </c>
      <c r="I96" s="654">
        <f>(157.6*KFC!$B$12+KFC!$C$12)*KFC!$C$5</f>
        <v>157.6</v>
      </c>
      <c r="J96" s="654">
        <f>(166.8*KFC!$B$12+KFC!$C$12)*KFC!$C$5</f>
        <v>166.8</v>
      </c>
      <c r="K96" s="654">
        <f>(176*KFC!$B$12+KFC!$C$12)*KFC!$C$5</f>
        <v>176</v>
      </c>
      <c r="L96" s="654">
        <f>(185.2*KFC!$B$12+KFC!$C$12)*KFC!$C$5</f>
        <v>185.2</v>
      </c>
      <c r="M96" s="654">
        <f>(194.4*KFC!$B$12+KFC!$C$12)*KFC!$C$5</f>
        <v>194.4</v>
      </c>
      <c r="N96" s="654">
        <f>(203.6*KFC!$B$12+KFC!$C$12)*KFC!$C$5</f>
        <v>203.6</v>
      </c>
      <c r="O96" s="654">
        <f>(212.8*KFC!$B$12+KFC!$C$12)*KFC!$C$5</f>
        <v>212.8</v>
      </c>
      <c r="P96" s="654">
        <f>(222*KFC!$B$12+KFC!$C$12)*KFC!$C$5</f>
        <v>222</v>
      </c>
      <c r="Q96" s="654">
        <f>(231.2*KFC!$B$12+KFC!$C$12)*KFC!$C$5</f>
        <v>231.2</v>
      </c>
      <c r="R96" s="654">
        <f>(240.4*KFC!$B$12+KFC!$C$12)*KFC!$C$5</f>
        <v>240.4</v>
      </c>
      <c r="S96" s="654">
        <f>(249.6*KFC!$B$12+KFC!$C$12)*KFC!$C$5</f>
        <v>249.6</v>
      </c>
      <c r="T96" s="654">
        <f>(258.8*KFC!$B$12+KFC!$C$12)*KFC!$C$5</f>
        <v>258.8</v>
      </c>
      <c r="U96" s="654">
        <f>(268*KFC!$B$12+KFC!$C$12)*KFC!$C$5</f>
        <v>268</v>
      </c>
      <c r="V96" s="654">
        <f>(277.3*KFC!$B$12+KFC!$C$12)*KFC!$C$5</f>
        <v>277.3</v>
      </c>
      <c r="W96" s="654">
        <f>(286.5*KFC!$B$12+KFC!$C$12)*KFC!$C$5</f>
        <v>286.5</v>
      </c>
      <c r="X96" s="654">
        <f>(295.7*KFC!$B$12+KFC!$C$12)*KFC!$C$5</f>
        <v>295.7</v>
      </c>
      <c r="Y96" s="654">
        <f>(304.9*KFC!$B$12+KFC!$C$12)*KFC!$C$5</f>
        <v>304.89999999999998</v>
      </c>
      <c r="Z96" s="654">
        <f>(314.1*KFC!$B$12+KFC!$C$12)*KFC!$C$5</f>
        <v>314.10000000000002</v>
      </c>
      <c r="AA96" s="654">
        <f>(323.3*KFC!$B$12+KFC!$C$12)*KFC!$C$5</f>
        <v>323.3</v>
      </c>
      <c r="AB96" s="654">
        <f>(332.5*KFC!$B$12+KFC!$C$12)*KFC!$C$5</f>
        <v>332.5</v>
      </c>
      <c r="AC96" s="654">
        <f>(341.7*KFC!$B$12+KFC!$C$12)*KFC!$C$5</f>
        <v>341.7</v>
      </c>
      <c r="AD96" s="654">
        <f>(350.9*KFC!$B$12+KFC!$C$12)*KFC!$C$5</f>
        <v>350.9</v>
      </c>
      <c r="AE96" s="654">
        <f>(360.1*KFC!$B$12+KFC!$C$12)*KFC!$C$5</f>
        <v>360.1</v>
      </c>
      <c r="AF96" s="654">
        <f>(369.3*KFC!$B$12+KFC!$C$12)*KFC!$C$5</f>
        <v>369.3</v>
      </c>
      <c r="AG96" s="654">
        <f>(378.5*KFC!$B$12+KFC!$C$12)*KFC!$C$5</f>
        <v>378.5</v>
      </c>
      <c r="AH96" s="654">
        <f>(387.7*KFC!$B$12+KFC!$C$12)*KFC!$C$5</f>
        <v>387.7</v>
      </c>
      <c r="AI96" s="654">
        <f>(397*KFC!$B$12+KFC!$C$12)*KFC!$C$5</f>
        <v>397</v>
      </c>
      <c r="AJ96" s="654">
        <f>(406.2*KFC!$B$12+KFC!$C$12)*KFC!$C$5</f>
        <v>406.2</v>
      </c>
      <c r="AK96" s="654">
        <f>(415.4*KFC!$B$12+KFC!$C$12)*KFC!$C$5</f>
        <v>415.4</v>
      </c>
      <c r="AL96" s="654">
        <f>(424.6*KFC!$B$12+KFC!$C$12)*KFC!$C$5</f>
        <v>424.6</v>
      </c>
      <c r="AM96" s="654">
        <f>(433.8*KFC!$B$12+KFC!$C$12)*KFC!$C$5</f>
        <v>433.8</v>
      </c>
      <c r="AN96" s="654">
        <f>(443*KFC!$B$12+KFC!$C$12)*KFC!$C$5</f>
        <v>443</v>
      </c>
      <c r="AO96" s="654">
        <f>(452.2*KFC!$B$12+KFC!$C$12)*KFC!$C$5</f>
        <v>452.2</v>
      </c>
      <c r="AP96" s="654">
        <f>(461.4*KFC!$B$12+KFC!$C$12)*KFC!$C$5</f>
        <v>461.4</v>
      </c>
      <c r="AQ96" s="654">
        <f>(470.6*KFC!$B$12+KFC!$C$12)*KFC!$C$5</f>
        <v>470.6</v>
      </c>
      <c r="AR96" s="654">
        <f>(479.8*KFC!$B$12+KFC!$C$12)*KFC!$C$5</f>
        <v>479.8</v>
      </c>
      <c r="AS96" s="654">
        <f>(489*KFC!$B$12+KFC!$C$12)*KFC!$C$5</f>
        <v>489</v>
      </c>
      <c r="AT96" s="654">
        <f>(498.2*KFC!$B$12+KFC!$C$12)*KFC!$C$5</f>
        <v>498.2</v>
      </c>
      <c r="AU96" s="654">
        <f>(507.4*KFC!$B$12+KFC!$C$12)*KFC!$C$5</f>
        <v>507.4</v>
      </c>
      <c r="AV96" s="654">
        <f>(516.7*KFC!$B$12+KFC!$C$12)*KFC!$C$5</f>
        <v>516.70000000000005</v>
      </c>
      <c r="AW96" s="654">
        <f>(525.9*KFC!$B$12+KFC!$C$12)*KFC!$C$5</f>
        <v>525.9</v>
      </c>
    </row>
    <row r="97" spans="1:49" ht="14.4">
      <c r="A97" s="1277"/>
      <c r="B97" s="649">
        <v>4.5</v>
      </c>
      <c r="C97" s="654">
        <f>(103.1*KFC!$B$12+KFC!$C$12)*KFC!$C$5</f>
        <v>103.1</v>
      </c>
      <c r="D97" s="654">
        <f>(112.4*KFC!$B$12+KFC!$C$12)*KFC!$C$5</f>
        <v>112.4</v>
      </c>
      <c r="E97" s="654">
        <f>(121.8*KFC!$B$12+KFC!$C$12)*KFC!$C$5</f>
        <v>121.8</v>
      </c>
      <c r="F97" s="654">
        <f>(131.1*KFC!$B$12+KFC!$C$12)*KFC!$C$5</f>
        <v>131.1</v>
      </c>
      <c r="G97" s="654">
        <f>(140.5*KFC!$B$12+KFC!$C$12)*KFC!$C$5</f>
        <v>140.5</v>
      </c>
      <c r="H97" s="654">
        <f>(149.8*KFC!$B$12+KFC!$C$12)*KFC!$C$5</f>
        <v>149.80000000000001</v>
      </c>
      <c r="I97" s="654">
        <f>(159.2*KFC!$B$12+KFC!$C$12)*KFC!$C$5</f>
        <v>159.19999999999999</v>
      </c>
      <c r="J97" s="654">
        <f>(168.5*KFC!$B$12+KFC!$C$12)*KFC!$C$5</f>
        <v>168.5</v>
      </c>
      <c r="K97" s="654">
        <f>(177.9*KFC!$B$12+KFC!$C$12)*KFC!$C$5</f>
        <v>177.9</v>
      </c>
      <c r="L97" s="654">
        <f>(187.2*KFC!$B$12+KFC!$C$12)*KFC!$C$5</f>
        <v>187.2</v>
      </c>
      <c r="M97" s="654">
        <f>(196.6*KFC!$B$12+KFC!$C$12)*KFC!$C$5</f>
        <v>196.6</v>
      </c>
      <c r="N97" s="654">
        <f>(205.9*KFC!$B$12+KFC!$C$12)*KFC!$C$5</f>
        <v>205.9</v>
      </c>
      <c r="O97" s="654">
        <f>(215.3*KFC!$B$12+KFC!$C$12)*KFC!$C$5</f>
        <v>215.3</v>
      </c>
      <c r="P97" s="654">
        <f>(224.6*KFC!$B$12+KFC!$C$12)*KFC!$C$5</f>
        <v>224.6</v>
      </c>
      <c r="Q97" s="654">
        <f>(234*KFC!$B$12+KFC!$C$12)*KFC!$C$5</f>
        <v>234</v>
      </c>
      <c r="R97" s="654">
        <f>(243.3*KFC!$B$12+KFC!$C$12)*KFC!$C$5</f>
        <v>243.3</v>
      </c>
      <c r="S97" s="654">
        <f>(252.7*KFC!$B$12+KFC!$C$12)*KFC!$C$5</f>
        <v>252.7</v>
      </c>
      <c r="T97" s="654">
        <f>(262*KFC!$B$12+KFC!$C$12)*KFC!$C$5</f>
        <v>262</v>
      </c>
      <c r="U97" s="654">
        <f>(271.4*KFC!$B$12+KFC!$C$12)*KFC!$C$5</f>
        <v>271.39999999999998</v>
      </c>
      <c r="V97" s="654">
        <f>(280.7*KFC!$B$12+KFC!$C$12)*KFC!$C$5</f>
        <v>280.7</v>
      </c>
      <c r="W97" s="654">
        <f>(290.1*KFC!$B$12+KFC!$C$12)*KFC!$C$5</f>
        <v>290.10000000000002</v>
      </c>
      <c r="X97" s="654">
        <f>(299.4*KFC!$B$12+KFC!$C$12)*KFC!$C$5</f>
        <v>299.39999999999998</v>
      </c>
      <c r="Y97" s="654">
        <f>(308.8*KFC!$B$12+KFC!$C$12)*KFC!$C$5</f>
        <v>308.8</v>
      </c>
      <c r="Z97" s="654">
        <f>(318.1*KFC!$B$12+KFC!$C$12)*KFC!$C$5</f>
        <v>318.10000000000002</v>
      </c>
      <c r="AA97" s="654">
        <f>(327.5*KFC!$B$12+KFC!$C$12)*KFC!$C$5</f>
        <v>327.5</v>
      </c>
      <c r="AB97" s="654">
        <f>(336.8*KFC!$B$12+KFC!$C$12)*KFC!$C$5</f>
        <v>336.8</v>
      </c>
      <c r="AC97" s="654">
        <f>(346.2*KFC!$B$12+KFC!$C$12)*KFC!$C$5</f>
        <v>346.2</v>
      </c>
      <c r="AD97" s="654">
        <f>(355.5*KFC!$B$12+KFC!$C$12)*KFC!$C$5</f>
        <v>355.5</v>
      </c>
      <c r="AE97" s="654">
        <f>(364.9*KFC!$B$12+KFC!$C$12)*KFC!$C$5</f>
        <v>364.9</v>
      </c>
      <c r="AF97" s="654">
        <f>(374.2*KFC!$B$12+KFC!$C$12)*KFC!$C$5</f>
        <v>374.2</v>
      </c>
      <c r="AG97" s="654">
        <f>(383.6*KFC!$B$12+KFC!$C$12)*KFC!$C$5</f>
        <v>383.6</v>
      </c>
      <c r="AH97" s="654">
        <f>(392.9*KFC!$B$12+KFC!$C$12)*KFC!$C$5</f>
        <v>392.9</v>
      </c>
      <c r="AI97" s="654">
        <f>(402.3*KFC!$B$12+KFC!$C$12)*KFC!$C$5</f>
        <v>402.3</v>
      </c>
      <c r="AJ97" s="654">
        <f>(411.6*KFC!$B$12+KFC!$C$12)*KFC!$C$5</f>
        <v>411.6</v>
      </c>
      <c r="AK97" s="654">
        <f>(421*KFC!$B$12+KFC!$C$12)*KFC!$C$5</f>
        <v>421</v>
      </c>
      <c r="AL97" s="654">
        <f>(430.3*KFC!$B$12+KFC!$C$12)*KFC!$C$5</f>
        <v>430.3</v>
      </c>
      <c r="AM97" s="654">
        <f>(439.7*KFC!$B$12+KFC!$C$12)*KFC!$C$5</f>
        <v>439.7</v>
      </c>
      <c r="AN97" s="654">
        <f>(449*KFC!$B$12+KFC!$C$12)*KFC!$C$5</f>
        <v>449</v>
      </c>
      <c r="AO97" s="654">
        <f>(458.4*KFC!$B$12+KFC!$C$12)*KFC!$C$5</f>
        <v>458.4</v>
      </c>
      <c r="AP97" s="654">
        <f>(467.7*KFC!$B$12+KFC!$C$12)*KFC!$C$5</f>
        <v>467.7</v>
      </c>
      <c r="AQ97" s="654">
        <f>(477.1*KFC!$B$12+KFC!$C$12)*KFC!$C$5</f>
        <v>477.1</v>
      </c>
      <c r="AR97" s="654">
        <f>(486.4*KFC!$B$12+KFC!$C$12)*KFC!$C$5</f>
        <v>486.4</v>
      </c>
      <c r="AS97" s="654">
        <f>(495.8*KFC!$B$12+KFC!$C$12)*KFC!$C$5</f>
        <v>495.8</v>
      </c>
      <c r="AT97" s="654">
        <f>(505.1*KFC!$B$12+KFC!$C$12)*KFC!$C$5</f>
        <v>505.1</v>
      </c>
      <c r="AU97" s="654">
        <f>(514.5*KFC!$B$12+KFC!$C$12)*KFC!$C$5</f>
        <v>514.5</v>
      </c>
      <c r="AV97" s="654">
        <f>(523.8*KFC!$B$12+KFC!$C$12)*KFC!$C$5</f>
        <v>523.79999999999995</v>
      </c>
      <c r="AW97" s="654">
        <f>(533.2*KFC!$B$12+KFC!$C$12)*KFC!$C$5</f>
        <v>533.20000000000005</v>
      </c>
    </row>
    <row r="98" spans="1:49" ht="14.4">
      <c r="A98" s="1277"/>
      <c r="B98" s="649">
        <v>4.5999999999999996</v>
      </c>
      <c r="C98" s="654">
        <f>(103.8*KFC!$B$12+KFC!$C$12)*KFC!$C$5</f>
        <v>103.8</v>
      </c>
      <c r="D98" s="654">
        <f>(113.3*KFC!$B$12+KFC!$C$12)*KFC!$C$5</f>
        <v>113.3</v>
      </c>
      <c r="E98" s="654">
        <f>(122.8*KFC!$B$12+KFC!$C$12)*KFC!$C$5</f>
        <v>122.8</v>
      </c>
      <c r="F98" s="654">
        <f>(132.3*KFC!$B$12+KFC!$C$12)*KFC!$C$5</f>
        <v>132.30000000000001</v>
      </c>
      <c r="G98" s="654">
        <f>(141.8*KFC!$B$12+KFC!$C$12)*KFC!$C$5</f>
        <v>141.80000000000001</v>
      </c>
      <c r="H98" s="654">
        <f>(151.3*KFC!$B$12+KFC!$C$12)*KFC!$C$5</f>
        <v>151.30000000000001</v>
      </c>
      <c r="I98" s="654">
        <f>(160.8*KFC!$B$12+KFC!$C$12)*KFC!$C$5</f>
        <v>160.80000000000001</v>
      </c>
      <c r="J98" s="654">
        <f>(170.3*KFC!$B$12+KFC!$C$12)*KFC!$C$5</f>
        <v>170.3</v>
      </c>
      <c r="K98" s="654">
        <f>(179.8*KFC!$B$12+KFC!$C$12)*KFC!$C$5</f>
        <v>179.8</v>
      </c>
      <c r="L98" s="654">
        <f>(189.3*KFC!$B$12+KFC!$C$12)*KFC!$C$5</f>
        <v>189.3</v>
      </c>
      <c r="M98" s="654">
        <f>(198.8*KFC!$B$12+KFC!$C$12)*KFC!$C$5</f>
        <v>198.8</v>
      </c>
      <c r="N98" s="654">
        <f>(208.2*KFC!$B$12+KFC!$C$12)*KFC!$C$5</f>
        <v>208.2</v>
      </c>
      <c r="O98" s="654">
        <f>(217.7*KFC!$B$12+KFC!$C$12)*KFC!$C$5</f>
        <v>217.7</v>
      </c>
      <c r="P98" s="654">
        <f>(227.2*KFC!$B$12+KFC!$C$12)*KFC!$C$5</f>
        <v>227.2</v>
      </c>
      <c r="Q98" s="654">
        <f>(236.7*KFC!$B$12+KFC!$C$12)*KFC!$C$5</f>
        <v>236.7</v>
      </c>
      <c r="R98" s="654">
        <f>(246.2*KFC!$B$12+KFC!$C$12)*KFC!$C$5</f>
        <v>246.2</v>
      </c>
      <c r="S98" s="654">
        <f>(255.7*KFC!$B$12+KFC!$C$12)*KFC!$C$5</f>
        <v>255.7</v>
      </c>
      <c r="T98" s="654">
        <f>(265.2*KFC!$B$12+KFC!$C$12)*KFC!$C$5</f>
        <v>265.2</v>
      </c>
      <c r="U98" s="654">
        <f>(274.7*KFC!$B$12+KFC!$C$12)*KFC!$C$5</f>
        <v>274.7</v>
      </c>
      <c r="V98" s="654">
        <f>(284.2*KFC!$B$12+KFC!$C$12)*KFC!$C$5</f>
        <v>284.2</v>
      </c>
      <c r="W98" s="654">
        <f>(293.7*KFC!$B$12+KFC!$C$12)*KFC!$C$5</f>
        <v>293.7</v>
      </c>
      <c r="X98" s="654">
        <f>(303.2*KFC!$B$12+KFC!$C$12)*KFC!$C$5</f>
        <v>303.2</v>
      </c>
      <c r="Y98" s="654">
        <f>(312.7*KFC!$B$12+KFC!$C$12)*KFC!$C$5</f>
        <v>312.7</v>
      </c>
      <c r="Z98" s="654">
        <f>(322.2*KFC!$B$12+KFC!$C$12)*KFC!$C$5</f>
        <v>322.2</v>
      </c>
      <c r="AA98" s="654">
        <f>(331.7*KFC!$B$12+KFC!$C$12)*KFC!$C$5</f>
        <v>331.7</v>
      </c>
      <c r="AB98" s="654">
        <f>(341.2*KFC!$B$12+KFC!$C$12)*KFC!$C$5</f>
        <v>341.2</v>
      </c>
      <c r="AC98" s="654">
        <f>(350.6*KFC!$B$12+KFC!$C$12)*KFC!$C$5</f>
        <v>350.6</v>
      </c>
      <c r="AD98" s="654">
        <f>(360.1*KFC!$B$12+KFC!$C$12)*KFC!$C$5</f>
        <v>360.1</v>
      </c>
      <c r="AE98" s="654">
        <f>(369.6*KFC!$B$12+KFC!$C$12)*KFC!$C$5</f>
        <v>369.6</v>
      </c>
      <c r="AF98" s="654">
        <f>(379.1*KFC!$B$12+KFC!$C$12)*KFC!$C$5</f>
        <v>379.1</v>
      </c>
      <c r="AG98" s="654">
        <f>(388.6*KFC!$B$12+KFC!$C$12)*KFC!$C$5</f>
        <v>388.6</v>
      </c>
      <c r="AH98" s="654">
        <f>(398.1*KFC!$B$12+KFC!$C$12)*KFC!$C$5</f>
        <v>398.1</v>
      </c>
      <c r="AI98" s="654">
        <f>(407.6*KFC!$B$12+KFC!$C$12)*KFC!$C$5</f>
        <v>407.6</v>
      </c>
      <c r="AJ98" s="654">
        <f>(417.1*KFC!$B$12+KFC!$C$12)*KFC!$C$5</f>
        <v>417.1</v>
      </c>
      <c r="AK98" s="654">
        <f>(426.6*KFC!$B$12+KFC!$C$12)*KFC!$C$5</f>
        <v>426.6</v>
      </c>
      <c r="AL98" s="654">
        <f>(436.1*KFC!$B$12+KFC!$C$12)*KFC!$C$5</f>
        <v>436.1</v>
      </c>
      <c r="AM98" s="654">
        <f>(445.6*KFC!$B$12+KFC!$C$12)*KFC!$C$5</f>
        <v>445.6</v>
      </c>
      <c r="AN98" s="654">
        <f>(455.1*KFC!$B$12+KFC!$C$12)*KFC!$C$5</f>
        <v>455.1</v>
      </c>
      <c r="AO98" s="654">
        <f>(464.6*KFC!$B$12+KFC!$C$12)*KFC!$C$5</f>
        <v>464.6</v>
      </c>
      <c r="AP98" s="654">
        <f>(474.1*KFC!$B$12+KFC!$C$12)*KFC!$C$5</f>
        <v>474.1</v>
      </c>
      <c r="AQ98" s="654">
        <f>(483.6*KFC!$B$12+KFC!$C$12)*KFC!$C$5</f>
        <v>483.6</v>
      </c>
      <c r="AR98" s="654">
        <f>(493*KFC!$B$12+KFC!$C$12)*KFC!$C$5</f>
        <v>493</v>
      </c>
      <c r="AS98" s="654">
        <f>(502.5*KFC!$B$12+KFC!$C$12)*KFC!$C$5</f>
        <v>502.5</v>
      </c>
      <c r="AT98" s="654">
        <f>(512*KFC!$B$12+KFC!$C$12)*KFC!$C$5</f>
        <v>512</v>
      </c>
      <c r="AU98" s="654">
        <f>(521.5*KFC!$B$12+KFC!$C$12)*KFC!$C$5</f>
        <v>521.5</v>
      </c>
      <c r="AV98" s="654">
        <f>(531*KFC!$B$12+KFC!$C$12)*KFC!$C$5</f>
        <v>531</v>
      </c>
      <c r="AW98" s="654">
        <f>(540.5*KFC!$B$12+KFC!$C$12)*KFC!$C$5</f>
        <v>540.5</v>
      </c>
    </row>
    <row r="99" spans="1:49" ht="14.4">
      <c r="A99" s="1277"/>
      <c r="B99" s="649">
        <v>4.7</v>
      </c>
      <c r="C99" s="654">
        <f>(104.6*KFC!$B$12+KFC!$C$12)*KFC!$C$5</f>
        <v>104.6</v>
      </c>
      <c r="D99" s="654">
        <f>(114.2*KFC!$B$12+KFC!$C$12)*KFC!$C$5</f>
        <v>114.2</v>
      </c>
      <c r="E99" s="654">
        <f>(123.8*KFC!$B$12+KFC!$C$12)*KFC!$C$5</f>
        <v>123.8</v>
      </c>
      <c r="F99" s="654">
        <f>(133.5*KFC!$B$12+KFC!$C$12)*KFC!$C$5</f>
        <v>133.5</v>
      </c>
      <c r="G99" s="654">
        <f>(143.1*KFC!$B$12+KFC!$C$12)*KFC!$C$5</f>
        <v>143.1</v>
      </c>
      <c r="H99" s="654">
        <f>(152.8*KFC!$B$12+KFC!$C$12)*KFC!$C$5</f>
        <v>152.80000000000001</v>
      </c>
      <c r="I99" s="654">
        <f>(162.4*KFC!$B$12+KFC!$C$12)*KFC!$C$5</f>
        <v>162.4</v>
      </c>
      <c r="J99" s="654">
        <f>(172*KFC!$B$12+KFC!$C$12)*KFC!$C$5</f>
        <v>172</v>
      </c>
      <c r="K99" s="654">
        <f>(181.7*KFC!$B$12+KFC!$C$12)*KFC!$C$5</f>
        <v>181.7</v>
      </c>
      <c r="L99" s="654">
        <f>(191.3*KFC!$B$12+KFC!$C$12)*KFC!$C$5</f>
        <v>191.3</v>
      </c>
      <c r="M99" s="654">
        <f>(200.9*KFC!$B$12+KFC!$C$12)*KFC!$C$5</f>
        <v>200.9</v>
      </c>
      <c r="N99" s="654">
        <f>(210.6*KFC!$B$12+KFC!$C$12)*KFC!$C$5</f>
        <v>210.6</v>
      </c>
      <c r="O99" s="654">
        <f>(220.2*KFC!$B$12+KFC!$C$12)*KFC!$C$5</f>
        <v>220.2</v>
      </c>
      <c r="P99" s="654">
        <f>(229.8*KFC!$B$12+KFC!$C$12)*KFC!$C$5</f>
        <v>229.8</v>
      </c>
      <c r="Q99" s="654">
        <f>(239.5*KFC!$B$12+KFC!$C$12)*KFC!$C$5</f>
        <v>239.5</v>
      </c>
      <c r="R99" s="654">
        <f>(249.1*KFC!$B$12+KFC!$C$12)*KFC!$C$5</f>
        <v>249.1</v>
      </c>
      <c r="S99" s="654">
        <f>(258.8*KFC!$B$12+KFC!$C$12)*KFC!$C$5</f>
        <v>258.8</v>
      </c>
      <c r="T99" s="654">
        <f>(268.4*KFC!$B$12+KFC!$C$12)*KFC!$C$5</f>
        <v>268.39999999999998</v>
      </c>
      <c r="U99" s="654">
        <f>(278*KFC!$B$12+KFC!$C$12)*KFC!$C$5</f>
        <v>278</v>
      </c>
      <c r="V99" s="654">
        <f>(287.7*KFC!$B$12+KFC!$C$12)*KFC!$C$5</f>
        <v>287.7</v>
      </c>
      <c r="W99" s="654">
        <f>(297.3*KFC!$B$12+KFC!$C$12)*KFC!$C$5</f>
        <v>297.3</v>
      </c>
      <c r="X99" s="654">
        <f>(306.9*KFC!$B$12+KFC!$C$12)*KFC!$C$5</f>
        <v>306.89999999999998</v>
      </c>
      <c r="Y99" s="654">
        <f>(316.6*KFC!$B$12+KFC!$C$12)*KFC!$C$5</f>
        <v>316.60000000000002</v>
      </c>
      <c r="Z99" s="654">
        <f>(326.2*KFC!$B$12+KFC!$C$12)*KFC!$C$5</f>
        <v>326.2</v>
      </c>
      <c r="AA99" s="654">
        <f>(335.9*KFC!$B$12+KFC!$C$12)*KFC!$C$5</f>
        <v>335.9</v>
      </c>
      <c r="AB99" s="654">
        <f>(345.5*KFC!$B$12+KFC!$C$12)*KFC!$C$5</f>
        <v>345.5</v>
      </c>
      <c r="AC99" s="654">
        <f>(355.1*KFC!$B$12+KFC!$C$12)*KFC!$C$5</f>
        <v>355.1</v>
      </c>
      <c r="AD99" s="654">
        <f>(364.8*KFC!$B$12+KFC!$C$12)*KFC!$C$5</f>
        <v>364.8</v>
      </c>
      <c r="AE99" s="654">
        <f>(374.4*KFC!$B$12+KFC!$C$12)*KFC!$C$5</f>
        <v>374.4</v>
      </c>
      <c r="AF99" s="654">
        <f>(384*KFC!$B$12+KFC!$C$12)*KFC!$C$5</f>
        <v>384</v>
      </c>
      <c r="AG99" s="654">
        <f>(393.7*KFC!$B$12+KFC!$C$12)*KFC!$C$5</f>
        <v>393.7</v>
      </c>
      <c r="AH99" s="654">
        <f>(403.3*KFC!$B$12+KFC!$C$12)*KFC!$C$5</f>
        <v>403.3</v>
      </c>
      <c r="AI99" s="654">
        <f>(412.9*KFC!$B$12+KFC!$C$12)*KFC!$C$5</f>
        <v>412.9</v>
      </c>
      <c r="AJ99" s="654">
        <f>(422.6*KFC!$B$12+KFC!$C$12)*KFC!$C$5</f>
        <v>422.6</v>
      </c>
      <c r="AK99" s="654">
        <f>(432.2*KFC!$B$12+KFC!$C$12)*KFC!$C$5</f>
        <v>432.2</v>
      </c>
      <c r="AL99" s="654">
        <f>(441.8*KFC!$B$12+KFC!$C$12)*KFC!$C$5</f>
        <v>441.8</v>
      </c>
      <c r="AM99" s="654">
        <f>(451.5*KFC!$B$12+KFC!$C$12)*KFC!$C$5</f>
        <v>451.5</v>
      </c>
      <c r="AN99" s="654">
        <f>(461.1*KFC!$B$12+KFC!$C$12)*KFC!$C$5</f>
        <v>461.1</v>
      </c>
      <c r="AO99" s="654">
        <f>(470.8*KFC!$B$12+KFC!$C$12)*KFC!$C$5</f>
        <v>470.8</v>
      </c>
      <c r="AP99" s="654">
        <f>(480.4*KFC!$B$12+KFC!$C$12)*KFC!$C$5</f>
        <v>480.4</v>
      </c>
      <c r="AQ99" s="654">
        <f>(490*KFC!$B$12+KFC!$C$12)*KFC!$C$5</f>
        <v>490</v>
      </c>
      <c r="AR99" s="654">
        <f>(499.7*KFC!$B$12+KFC!$C$12)*KFC!$C$5</f>
        <v>499.7</v>
      </c>
      <c r="AS99" s="654">
        <f>(509.3*KFC!$B$12+KFC!$C$12)*KFC!$C$5</f>
        <v>509.3</v>
      </c>
      <c r="AT99" s="654">
        <f>(518.9*KFC!$B$12+KFC!$C$12)*KFC!$C$5</f>
        <v>518.9</v>
      </c>
      <c r="AU99" s="654">
        <f>(528.6*KFC!$B$12+KFC!$C$12)*KFC!$C$5</f>
        <v>528.6</v>
      </c>
      <c r="AV99" s="654">
        <f>(538.2*KFC!$B$12+KFC!$C$12)*KFC!$C$5</f>
        <v>538.20000000000005</v>
      </c>
      <c r="AW99" s="654">
        <f>(547.8*KFC!$B$12+KFC!$C$12)*KFC!$C$5</f>
        <v>547.79999999999995</v>
      </c>
    </row>
    <row r="100" spans="1:49" ht="14.4">
      <c r="A100" s="1277"/>
      <c r="B100" s="649">
        <v>4.8</v>
      </c>
      <c r="C100" s="654">
        <f>(105.3*KFC!$B$12+KFC!$C$12)*KFC!$C$5</f>
        <v>105.3</v>
      </c>
      <c r="D100" s="654">
        <f>(115.1*KFC!$B$12+KFC!$C$12)*KFC!$C$5</f>
        <v>115.1</v>
      </c>
      <c r="E100" s="654">
        <f>(124.9*KFC!$B$12+KFC!$C$12)*KFC!$C$5</f>
        <v>124.9</v>
      </c>
      <c r="F100" s="654">
        <f>(134.7*KFC!$B$12+KFC!$C$12)*KFC!$C$5</f>
        <v>134.69999999999999</v>
      </c>
      <c r="G100" s="654">
        <f>(144.5*KFC!$B$12+KFC!$C$12)*KFC!$C$5</f>
        <v>144.5</v>
      </c>
      <c r="H100" s="654">
        <f>(154.2*KFC!$B$12+KFC!$C$12)*KFC!$C$5</f>
        <v>154.19999999999999</v>
      </c>
      <c r="I100" s="654">
        <f>(164*KFC!$B$12+KFC!$C$12)*KFC!$C$5</f>
        <v>164</v>
      </c>
      <c r="J100" s="654">
        <f>(173.8*KFC!$B$12+KFC!$C$12)*KFC!$C$5</f>
        <v>173.8</v>
      </c>
      <c r="K100" s="654">
        <f>(183.6*KFC!$B$12+KFC!$C$12)*KFC!$C$5</f>
        <v>183.6</v>
      </c>
      <c r="L100" s="654">
        <f>(193.3*KFC!$B$12+KFC!$C$12)*KFC!$C$5</f>
        <v>193.3</v>
      </c>
      <c r="M100" s="654">
        <f>(203.1*KFC!$B$12+KFC!$C$12)*KFC!$C$5</f>
        <v>203.1</v>
      </c>
      <c r="N100" s="654">
        <f>(212.9*KFC!$B$12+KFC!$C$12)*KFC!$C$5</f>
        <v>212.9</v>
      </c>
      <c r="O100" s="654">
        <f>(222.7*KFC!$B$12+KFC!$C$12)*KFC!$C$5</f>
        <v>222.7</v>
      </c>
      <c r="P100" s="654">
        <f>(232.5*KFC!$B$12+KFC!$C$12)*KFC!$C$5</f>
        <v>232.5</v>
      </c>
      <c r="Q100" s="654">
        <f>(242.2*KFC!$B$12+KFC!$C$12)*KFC!$C$5</f>
        <v>242.2</v>
      </c>
      <c r="R100" s="654">
        <f>(252*KFC!$B$12+KFC!$C$12)*KFC!$C$5</f>
        <v>252</v>
      </c>
      <c r="S100" s="654">
        <f>(261.8*KFC!$B$12+KFC!$C$12)*KFC!$C$5</f>
        <v>261.8</v>
      </c>
      <c r="T100" s="654">
        <f>(271.6*KFC!$B$12+KFC!$C$12)*KFC!$C$5</f>
        <v>271.60000000000002</v>
      </c>
      <c r="U100" s="654">
        <f>(281.4*KFC!$B$12+KFC!$C$12)*KFC!$C$5</f>
        <v>281.39999999999998</v>
      </c>
      <c r="V100" s="654">
        <f>(291.1*KFC!$B$12+KFC!$C$12)*KFC!$C$5</f>
        <v>291.10000000000002</v>
      </c>
      <c r="W100" s="654">
        <f>(300.9*KFC!$B$12+KFC!$C$12)*KFC!$C$5</f>
        <v>300.89999999999998</v>
      </c>
      <c r="X100" s="654">
        <f>(310.7*KFC!$B$12+KFC!$C$12)*KFC!$C$5</f>
        <v>310.7</v>
      </c>
      <c r="Y100" s="654">
        <f>(320.5*KFC!$B$12+KFC!$C$12)*KFC!$C$5</f>
        <v>320.5</v>
      </c>
      <c r="Z100" s="654">
        <f>(330.2*KFC!$B$12+KFC!$C$12)*KFC!$C$5</f>
        <v>330.2</v>
      </c>
      <c r="AA100" s="654">
        <f>(340*KFC!$B$12+KFC!$C$12)*KFC!$C$5</f>
        <v>340</v>
      </c>
      <c r="AB100" s="654">
        <f>(349.8*KFC!$B$12+KFC!$C$12)*KFC!$C$5</f>
        <v>349.8</v>
      </c>
      <c r="AC100" s="654">
        <f>(359.6*KFC!$B$12+KFC!$C$12)*KFC!$C$5</f>
        <v>359.6</v>
      </c>
      <c r="AD100" s="654">
        <f>(369.4*KFC!$B$12+KFC!$C$12)*KFC!$C$5</f>
        <v>369.4</v>
      </c>
      <c r="AE100" s="654">
        <f>(379.2*KFC!$B$12+KFC!$C$12)*KFC!$C$5</f>
        <v>379.2</v>
      </c>
      <c r="AF100" s="654">
        <f>(388.9*KFC!$B$12+KFC!$C$12)*KFC!$C$5</f>
        <v>388.9</v>
      </c>
      <c r="AG100" s="654">
        <f>(398.7*KFC!$B$12+KFC!$C$12)*KFC!$C$5</f>
        <v>398.7</v>
      </c>
      <c r="AH100" s="654">
        <f>(408.5*KFC!$B$12+KFC!$C$12)*KFC!$C$5</f>
        <v>408.5</v>
      </c>
      <c r="AI100" s="654">
        <f>(418.3*KFC!$B$12+KFC!$C$12)*KFC!$C$5</f>
        <v>418.3</v>
      </c>
      <c r="AJ100" s="654">
        <f>(428*KFC!$B$12+KFC!$C$12)*KFC!$C$5</f>
        <v>428</v>
      </c>
      <c r="AK100" s="654">
        <f>(437.8*KFC!$B$12+KFC!$C$12)*KFC!$C$5</f>
        <v>437.8</v>
      </c>
      <c r="AL100" s="654">
        <f>(447.6*KFC!$B$12+KFC!$C$12)*KFC!$C$5</f>
        <v>447.6</v>
      </c>
      <c r="AM100" s="654">
        <f>(457.4*KFC!$B$12+KFC!$C$12)*KFC!$C$5</f>
        <v>457.4</v>
      </c>
      <c r="AN100" s="654">
        <f>(467.2*KFC!$B$12+KFC!$C$12)*KFC!$C$5</f>
        <v>467.2</v>
      </c>
      <c r="AO100" s="654">
        <f>(476.9*KFC!$B$12+KFC!$C$12)*KFC!$C$5</f>
        <v>476.9</v>
      </c>
      <c r="AP100" s="654">
        <f>(486.7*KFC!$B$12+KFC!$C$12)*KFC!$C$5</f>
        <v>486.7</v>
      </c>
      <c r="AQ100" s="654">
        <f>(496.5*KFC!$B$12+KFC!$C$12)*KFC!$C$5</f>
        <v>496.5</v>
      </c>
      <c r="AR100" s="654">
        <f>(506.3*KFC!$B$12+KFC!$C$12)*KFC!$C$5</f>
        <v>506.3</v>
      </c>
      <c r="AS100" s="654">
        <f>(516.1*KFC!$B$12+KFC!$C$12)*KFC!$C$5</f>
        <v>516.1</v>
      </c>
      <c r="AT100" s="654">
        <f>(525.8*KFC!$B$12+KFC!$C$12)*KFC!$C$5</f>
        <v>525.79999999999995</v>
      </c>
      <c r="AU100" s="654">
        <f>(535.6*KFC!$B$12+KFC!$C$12)*KFC!$C$5</f>
        <v>535.6</v>
      </c>
      <c r="AV100" s="654">
        <f>(545.4*KFC!$B$12+KFC!$C$12)*KFC!$C$5</f>
        <v>545.4</v>
      </c>
      <c r="AW100" s="654">
        <f>(555.2*KFC!$B$12+KFC!$C$12)*KFC!$C$5</f>
        <v>555.20000000000005</v>
      </c>
    </row>
    <row r="101" spans="1:49" ht="14.4">
      <c r="A101" s="1277"/>
      <c r="B101" s="649">
        <v>4.9000000000000004</v>
      </c>
      <c r="C101" s="654">
        <f>(106.1*KFC!$B$12+KFC!$C$12)*KFC!$C$5</f>
        <v>106.1</v>
      </c>
      <c r="D101" s="654">
        <f>(116*KFC!$B$12+KFC!$C$12)*KFC!$C$5</f>
        <v>116</v>
      </c>
      <c r="E101" s="654">
        <f>(125.9*KFC!$B$12+KFC!$C$12)*KFC!$C$5</f>
        <v>125.9</v>
      </c>
      <c r="F101" s="654">
        <f>(135.9*KFC!$B$12+KFC!$C$12)*KFC!$C$5</f>
        <v>135.9</v>
      </c>
      <c r="G101" s="654">
        <f>(145.8*KFC!$B$12+KFC!$C$12)*KFC!$C$5</f>
        <v>145.80000000000001</v>
      </c>
      <c r="H101" s="654">
        <f>(155.7*KFC!$B$12+KFC!$C$12)*KFC!$C$5</f>
        <v>155.69999999999999</v>
      </c>
      <c r="I101" s="654">
        <f>(165.6*KFC!$B$12+KFC!$C$12)*KFC!$C$5</f>
        <v>165.6</v>
      </c>
      <c r="J101" s="654">
        <f>(175.5*KFC!$B$12+KFC!$C$12)*KFC!$C$5</f>
        <v>175.5</v>
      </c>
      <c r="K101" s="654">
        <f>(185.5*KFC!$B$12+KFC!$C$12)*KFC!$C$5</f>
        <v>185.5</v>
      </c>
      <c r="L101" s="654">
        <f>(195.4*KFC!$B$12+KFC!$C$12)*KFC!$C$5</f>
        <v>195.4</v>
      </c>
      <c r="M101" s="654">
        <f>(205.3*KFC!$B$12+KFC!$C$12)*KFC!$C$5</f>
        <v>205.3</v>
      </c>
      <c r="N101" s="654">
        <f>(215.2*KFC!$B$12+KFC!$C$12)*KFC!$C$5</f>
        <v>215.2</v>
      </c>
      <c r="O101" s="654">
        <f>(225.2*KFC!$B$12+KFC!$C$12)*KFC!$C$5</f>
        <v>225.2</v>
      </c>
      <c r="P101" s="654">
        <f>(235.1*KFC!$B$12+KFC!$C$12)*KFC!$C$5</f>
        <v>235.1</v>
      </c>
      <c r="Q101" s="654">
        <f>(245*KFC!$B$12+KFC!$C$12)*KFC!$C$5</f>
        <v>245</v>
      </c>
      <c r="R101" s="654">
        <f>(254.9*KFC!$B$12+KFC!$C$12)*KFC!$C$5</f>
        <v>254.9</v>
      </c>
      <c r="S101" s="654">
        <f>(264.8*KFC!$B$12+KFC!$C$12)*KFC!$C$5</f>
        <v>264.8</v>
      </c>
      <c r="T101" s="654">
        <f>(274.8*KFC!$B$12+KFC!$C$12)*KFC!$C$5</f>
        <v>274.8</v>
      </c>
      <c r="U101" s="654">
        <f>(284.7*KFC!$B$12+KFC!$C$12)*KFC!$C$5</f>
        <v>284.7</v>
      </c>
      <c r="V101" s="654">
        <f>(294.6*KFC!$B$12+KFC!$C$12)*KFC!$C$5</f>
        <v>294.60000000000002</v>
      </c>
      <c r="W101" s="654">
        <f>(304.5*KFC!$B$12+KFC!$C$12)*KFC!$C$5</f>
        <v>304.5</v>
      </c>
      <c r="X101" s="654">
        <f>(314.5*KFC!$B$12+KFC!$C$12)*KFC!$C$5</f>
        <v>314.5</v>
      </c>
      <c r="Y101" s="654">
        <f>(324.4*KFC!$B$12+KFC!$C$12)*KFC!$C$5</f>
        <v>324.39999999999998</v>
      </c>
      <c r="Z101" s="654">
        <f>(334.3*KFC!$B$12+KFC!$C$12)*KFC!$C$5</f>
        <v>334.3</v>
      </c>
      <c r="AA101" s="654">
        <f>(344.2*KFC!$B$12+KFC!$C$12)*KFC!$C$5</f>
        <v>344.2</v>
      </c>
      <c r="AB101" s="654">
        <f>(354.1*KFC!$B$12+KFC!$C$12)*KFC!$C$5</f>
        <v>354.1</v>
      </c>
      <c r="AC101" s="654">
        <f>(364.1*KFC!$B$12+KFC!$C$12)*KFC!$C$5</f>
        <v>364.1</v>
      </c>
      <c r="AD101" s="654">
        <f>(374*KFC!$B$12+KFC!$C$12)*KFC!$C$5</f>
        <v>374</v>
      </c>
      <c r="AE101" s="654">
        <f>(383.9*KFC!$B$12+KFC!$C$12)*KFC!$C$5</f>
        <v>383.9</v>
      </c>
      <c r="AF101" s="654">
        <f>(393.8*KFC!$B$12+KFC!$C$12)*KFC!$C$5</f>
        <v>393.8</v>
      </c>
      <c r="AG101" s="654">
        <f>(403.7*KFC!$B$12+KFC!$C$12)*KFC!$C$5</f>
        <v>403.7</v>
      </c>
      <c r="AH101" s="654">
        <f>(413.7*KFC!$B$12+KFC!$C$12)*KFC!$C$5</f>
        <v>413.7</v>
      </c>
      <c r="AI101" s="654">
        <f>(423.6*KFC!$B$12+KFC!$C$12)*KFC!$C$5</f>
        <v>423.6</v>
      </c>
      <c r="AJ101" s="654">
        <f>(433.5*KFC!$B$12+KFC!$C$12)*KFC!$C$5</f>
        <v>433.5</v>
      </c>
      <c r="AK101" s="654">
        <f>(443.4*KFC!$B$12+KFC!$C$12)*KFC!$C$5</f>
        <v>443.4</v>
      </c>
      <c r="AL101" s="654">
        <f>(453.4*KFC!$B$12+KFC!$C$12)*KFC!$C$5</f>
        <v>453.4</v>
      </c>
      <c r="AM101" s="654">
        <f>(463.3*KFC!$B$12+KFC!$C$12)*KFC!$C$5</f>
        <v>463.3</v>
      </c>
      <c r="AN101" s="654">
        <f>(473.2*KFC!$B$12+KFC!$C$12)*KFC!$C$5</f>
        <v>473.2</v>
      </c>
      <c r="AO101" s="654">
        <f>(483.1*KFC!$B$12+KFC!$C$12)*KFC!$C$5</f>
        <v>483.1</v>
      </c>
      <c r="AP101" s="654">
        <f>(493*KFC!$B$12+KFC!$C$12)*KFC!$C$5</f>
        <v>493</v>
      </c>
      <c r="AQ101" s="654">
        <f>(503*KFC!$B$12+KFC!$C$12)*KFC!$C$5</f>
        <v>503</v>
      </c>
      <c r="AR101" s="654">
        <f>(512.9*KFC!$B$12+KFC!$C$12)*KFC!$C$5</f>
        <v>512.9</v>
      </c>
      <c r="AS101" s="654">
        <f>(522.8*KFC!$B$12+KFC!$C$12)*KFC!$C$5</f>
        <v>522.79999999999995</v>
      </c>
      <c r="AT101" s="654">
        <f>(532.7*KFC!$B$12+KFC!$C$12)*KFC!$C$5</f>
        <v>532.70000000000005</v>
      </c>
      <c r="AU101" s="654">
        <f>(542.7*KFC!$B$12+KFC!$C$12)*KFC!$C$5</f>
        <v>542.70000000000005</v>
      </c>
      <c r="AV101" s="654">
        <f>(552.6*KFC!$B$12+KFC!$C$12)*KFC!$C$5</f>
        <v>552.6</v>
      </c>
      <c r="AW101" s="654">
        <f>(562.5*KFC!$B$12+KFC!$C$12)*KFC!$C$5</f>
        <v>562.5</v>
      </c>
    </row>
    <row r="102" spans="1:49" ht="14.4">
      <c r="A102" s="1277"/>
      <c r="B102" s="649">
        <v>5</v>
      </c>
      <c r="C102" s="654">
        <f>(106.8*KFC!$B$12+KFC!$C$12)*KFC!$C$5</f>
        <v>106.8</v>
      </c>
      <c r="D102" s="654">
        <f>(116.9*KFC!$B$12+KFC!$C$12)*KFC!$C$5</f>
        <v>116.9</v>
      </c>
      <c r="E102" s="654">
        <f>(127*KFC!$B$12+KFC!$C$12)*KFC!$C$5</f>
        <v>127</v>
      </c>
      <c r="F102" s="654">
        <f>(137*KFC!$B$12+KFC!$C$12)*KFC!$C$5</f>
        <v>137</v>
      </c>
      <c r="G102" s="654">
        <f>(147.1*KFC!$B$12+KFC!$C$12)*KFC!$C$5</f>
        <v>147.1</v>
      </c>
      <c r="H102" s="654">
        <f>(157.2*KFC!$B$12+KFC!$C$12)*KFC!$C$5</f>
        <v>157.19999999999999</v>
      </c>
      <c r="I102" s="654">
        <f>(167.2*KFC!$B$12+KFC!$C$12)*KFC!$C$5</f>
        <v>167.2</v>
      </c>
      <c r="J102" s="654">
        <f>(177.3*KFC!$B$12+KFC!$C$12)*KFC!$C$5</f>
        <v>177.3</v>
      </c>
      <c r="K102" s="654">
        <f>(187.4*KFC!$B$12+KFC!$C$12)*KFC!$C$5</f>
        <v>187.4</v>
      </c>
      <c r="L102" s="654">
        <f>(197.4*KFC!$B$12+KFC!$C$12)*KFC!$C$5</f>
        <v>197.4</v>
      </c>
      <c r="M102" s="654">
        <f>(207.5*KFC!$B$12+KFC!$C$12)*KFC!$C$5</f>
        <v>207.5</v>
      </c>
      <c r="N102" s="654">
        <f>(217.6*KFC!$B$12+KFC!$C$12)*KFC!$C$5</f>
        <v>217.6</v>
      </c>
      <c r="O102" s="654">
        <f>(227.6*KFC!$B$12+KFC!$C$12)*KFC!$C$5</f>
        <v>227.6</v>
      </c>
      <c r="P102" s="654">
        <f>(237.7*KFC!$B$12+KFC!$C$12)*KFC!$C$5</f>
        <v>237.7</v>
      </c>
      <c r="Q102" s="654">
        <f>(247.7*KFC!$B$12+KFC!$C$12)*KFC!$C$5</f>
        <v>247.7</v>
      </c>
      <c r="R102" s="654">
        <f>(257.8*KFC!$B$12+KFC!$C$12)*KFC!$C$5</f>
        <v>257.8</v>
      </c>
      <c r="S102" s="654">
        <f>(267.9*KFC!$B$12+KFC!$C$12)*KFC!$C$5</f>
        <v>267.89999999999998</v>
      </c>
      <c r="T102" s="654">
        <f>(278*KFC!$B$12+KFC!$C$12)*KFC!$C$5</f>
        <v>278</v>
      </c>
      <c r="U102" s="654">
        <f>(288*KFC!$B$12+KFC!$C$12)*KFC!$C$5</f>
        <v>288</v>
      </c>
      <c r="V102" s="654">
        <f>(298.1*KFC!$B$12+KFC!$C$12)*KFC!$C$5</f>
        <v>298.10000000000002</v>
      </c>
      <c r="W102" s="654">
        <f>(308.1*KFC!$B$12+KFC!$C$12)*KFC!$C$5</f>
        <v>308.10000000000002</v>
      </c>
      <c r="X102" s="654">
        <f>(318.2*KFC!$B$12+KFC!$C$12)*KFC!$C$5</f>
        <v>318.2</v>
      </c>
      <c r="Y102" s="654">
        <f>(328.3*KFC!$B$12+KFC!$C$12)*KFC!$C$5</f>
        <v>328.3</v>
      </c>
      <c r="Z102" s="654">
        <f>(338.3*KFC!$B$12+KFC!$C$12)*KFC!$C$5</f>
        <v>338.3</v>
      </c>
      <c r="AA102" s="654">
        <f>(348.4*KFC!$B$12+KFC!$C$12)*KFC!$C$5</f>
        <v>348.4</v>
      </c>
      <c r="AB102" s="654">
        <f>(358.5*KFC!$B$12+KFC!$C$12)*KFC!$C$5</f>
        <v>358.5</v>
      </c>
      <c r="AC102" s="654">
        <f>(368.5*KFC!$B$12+KFC!$C$12)*KFC!$C$5</f>
        <v>368.5</v>
      </c>
      <c r="AD102" s="654">
        <f>(378.6*KFC!$B$12+KFC!$C$12)*KFC!$C$5</f>
        <v>378.6</v>
      </c>
      <c r="AE102" s="654">
        <f>(388.7*KFC!$B$12+KFC!$C$12)*KFC!$C$5</f>
        <v>388.7</v>
      </c>
      <c r="AF102" s="654">
        <f>(398.7*KFC!$B$12+KFC!$C$12)*KFC!$C$5</f>
        <v>398.7</v>
      </c>
      <c r="AG102" s="654">
        <f>(408.8*KFC!$B$12+KFC!$C$12)*KFC!$C$5</f>
        <v>408.8</v>
      </c>
      <c r="AH102" s="654">
        <f>(418.9*KFC!$B$12+KFC!$C$12)*KFC!$C$5</f>
        <v>418.9</v>
      </c>
      <c r="AI102" s="654">
        <f>(428.9*KFC!$B$12+KFC!$C$12)*KFC!$C$5</f>
        <v>428.9</v>
      </c>
      <c r="AJ102" s="654">
        <f>(439*KFC!$B$12+KFC!$C$12)*KFC!$C$5</f>
        <v>439</v>
      </c>
      <c r="AK102" s="654">
        <f>(449*KFC!$B$12+KFC!$C$12)*KFC!$C$5</f>
        <v>449</v>
      </c>
      <c r="AL102" s="654">
        <f>(459.1*KFC!$B$12+KFC!$C$12)*KFC!$C$5</f>
        <v>459.1</v>
      </c>
      <c r="AM102" s="654">
        <f>(469.2*KFC!$B$12+KFC!$C$12)*KFC!$C$5</f>
        <v>469.2</v>
      </c>
      <c r="AN102" s="654">
        <f>(479.2*KFC!$B$12+KFC!$C$12)*KFC!$C$5</f>
        <v>479.2</v>
      </c>
      <c r="AO102" s="654">
        <f>(489.3*KFC!$B$12+KFC!$C$12)*KFC!$C$5</f>
        <v>489.3</v>
      </c>
      <c r="AP102" s="654">
        <f>(499.4*KFC!$B$12+KFC!$C$12)*KFC!$C$5</f>
        <v>499.4</v>
      </c>
      <c r="AQ102" s="654">
        <f>(509.4*KFC!$B$12+KFC!$C$12)*KFC!$C$5</f>
        <v>509.4</v>
      </c>
      <c r="AR102" s="654">
        <f>(519.5*KFC!$B$12+KFC!$C$12)*KFC!$C$5</f>
        <v>519.5</v>
      </c>
      <c r="AS102" s="654">
        <f>(529.6*KFC!$B$12+KFC!$C$12)*KFC!$C$5</f>
        <v>529.6</v>
      </c>
      <c r="AT102" s="654">
        <f>(539.6*KFC!$B$12+KFC!$C$12)*KFC!$C$5</f>
        <v>539.6</v>
      </c>
      <c r="AU102" s="654">
        <f>(549.7*KFC!$B$12+KFC!$C$12)*KFC!$C$5</f>
        <v>549.70000000000005</v>
      </c>
      <c r="AV102" s="654">
        <f>(559.8*KFC!$B$12+KFC!$C$12)*KFC!$C$5</f>
        <v>559.79999999999995</v>
      </c>
      <c r="AW102" s="654">
        <f>(569.8*KFC!$B$12+KFC!$C$12)*KFC!$C$5</f>
        <v>569.79999999999995</v>
      </c>
    </row>
    <row r="103" spans="1:49" ht="33.75" customHeight="1"/>
    <row r="104" spans="1:49" ht="107.25" customHeight="1">
      <c r="B104" s="1265" t="s">
        <v>993</v>
      </c>
      <c r="C104" s="1265"/>
      <c r="D104" s="1265"/>
      <c r="E104" s="1265"/>
      <c r="F104" s="1265"/>
      <c r="G104" s="1265"/>
      <c r="H104" s="1265"/>
      <c r="I104" s="1265"/>
      <c r="J104" s="1265"/>
      <c r="K104" s="1265"/>
      <c r="L104" s="1265"/>
      <c r="M104" s="1265"/>
      <c r="N104" s="1265"/>
      <c r="O104" s="1265"/>
      <c r="P104" s="1265"/>
      <c r="Q104" s="1265"/>
      <c r="R104" s="656"/>
    </row>
    <row r="105" spans="1:49" ht="30.75" customHeight="1">
      <c r="B105" s="1229" t="s">
        <v>123</v>
      </c>
      <c r="C105" s="1229"/>
      <c r="D105" s="1229"/>
      <c r="E105" s="1229"/>
      <c r="F105" s="1229" t="s">
        <v>124</v>
      </c>
      <c r="G105" s="1229"/>
      <c r="H105" s="1229"/>
      <c r="I105" s="1229"/>
      <c r="J105" s="1229"/>
      <c r="K105" s="1229"/>
      <c r="L105" s="1229"/>
      <c r="M105" s="1229"/>
      <c r="N105" s="1229"/>
      <c r="O105" s="1276" t="s">
        <v>125</v>
      </c>
      <c r="P105" s="1276"/>
    </row>
    <row r="106" spans="1:49" ht="21" customHeight="1">
      <c r="B106" s="1226" t="s">
        <v>832</v>
      </c>
      <c r="C106" s="1226"/>
      <c r="D106" s="1226"/>
      <c r="E106" s="1226"/>
      <c r="F106" s="1228" t="s">
        <v>838</v>
      </c>
      <c r="G106" s="1228"/>
      <c r="H106" s="1228"/>
      <c r="I106" s="1228"/>
      <c r="J106" s="1228"/>
      <c r="K106" s="1228"/>
      <c r="L106" s="1228"/>
      <c r="M106" s="1228"/>
      <c r="N106" s="1228"/>
      <c r="O106" s="1274">
        <f>(6*KFC!$B$12+KFC!$C$12)*KFC!$C$5</f>
        <v>6</v>
      </c>
      <c r="P106" s="1274"/>
    </row>
    <row r="107" spans="1:49" ht="27.9" customHeight="1">
      <c r="B107" s="1226"/>
      <c r="C107" s="1226"/>
      <c r="D107" s="1226"/>
      <c r="E107" s="1226"/>
      <c r="F107" s="1220" t="s">
        <v>834</v>
      </c>
      <c r="G107" s="1220"/>
      <c r="H107" s="1220"/>
      <c r="I107" s="1220"/>
      <c r="J107" s="1220"/>
      <c r="K107" s="1220"/>
      <c r="L107" s="1220"/>
      <c r="M107" s="1220"/>
      <c r="N107" s="1220"/>
      <c r="O107" s="1274"/>
      <c r="P107" s="1274"/>
    </row>
    <row r="108" spans="1:49" ht="21" customHeight="1">
      <c r="B108" s="1226" t="s">
        <v>833</v>
      </c>
      <c r="C108" s="1226"/>
      <c r="D108" s="1226"/>
      <c r="E108" s="1226"/>
      <c r="F108" s="1228" t="s">
        <v>838</v>
      </c>
      <c r="G108" s="1228"/>
      <c r="H108" s="1228"/>
      <c r="I108" s="1228"/>
      <c r="J108" s="1228"/>
      <c r="K108" s="1228"/>
      <c r="L108" s="1228"/>
      <c r="M108" s="1228"/>
      <c r="N108" s="1228"/>
      <c r="O108" s="1274">
        <f>(6*KFC!$B$12+KFC!$C$12)*KFC!$C$5</f>
        <v>6</v>
      </c>
      <c r="P108" s="1274"/>
    </row>
    <row r="109" spans="1:49" ht="27.9" customHeight="1">
      <c r="B109" s="1226"/>
      <c r="C109" s="1226"/>
      <c r="D109" s="1226"/>
      <c r="E109" s="1226"/>
      <c r="F109" s="1220" t="s">
        <v>835</v>
      </c>
      <c r="G109" s="1220"/>
      <c r="H109" s="1220"/>
      <c r="I109" s="1220"/>
      <c r="J109" s="1220"/>
      <c r="K109" s="1220"/>
      <c r="L109" s="1220"/>
      <c r="M109" s="1220"/>
      <c r="N109" s="1220"/>
      <c r="O109" s="1274"/>
      <c r="P109" s="1274"/>
    </row>
    <row r="110" spans="1:49" ht="21" customHeight="1">
      <c r="B110" s="1226" t="s">
        <v>830</v>
      </c>
      <c r="C110" s="1226"/>
      <c r="D110" s="1226"/>
      <c r="E110" s="1226"/>
      <c r="F110" s="1228" t="s">
        <v>841</v>
      </c>
      <c r="G110" s="1228"/>
      <c r="H110" s="1228"/>
      <c r="I110" s="1228"/>
      <c r="J110" s="1228"/>
      <c r="K110" s="1228"/>
      <c r="L110" s="1228"/>
      <c r="M110" s="1228"/>
      <c r="N110" s="1228"/>
      <c r="O110" s="1274">
        <f>(6*KFC!$B$12+KFC!$C$12)*KFC!$C$5</f>
        <v>6</v>
      </c>
      <c r="P110" s="1274"/>
    </row>
    <row r="111" spans="1:49" ht="27.9" customHeight="1">
      <c r="B111" s="1226"/>
      <c r="C111" s="1226"/>
      <c r="D111" s="1226"/>
      <c r="E111" s="1226"/>
      <c r="F111" s="1220" t="s">
        <v>842</v>
      </c>
      <c r="G111" s="1220"/>
      <c r="H111" s="1220"/>
      <c r="I111" s="1220"/>
      <c r="J111" s="1220"/>
      <c r="K111" s="1220"/>
      <c r="L111" s="1220"/>
      <c r="M111" s="1220"/>
      <c r="N111" s="1220"/>
      <c r="O111" s="1274"/>
      <c r="P111" s="1274"/>
    </row>
    <row r="112" spans="1:49" ht="21" customHeight="1">
      <c r="B112" s="1226" t="s">
        <v>831</v>
      </c>
      <c r="C112" s="1226"/>
      <c r="D112" s="1226"/>
      <c r="E112" s="1226"/>
      <c r="F112" s="1228" t="s">
        <v>841</v>
      </c>
      <c r="G112" s="1228"/>
      <c r="H112" s="1228"/>
      <c r="I112" s="1228"/>
      <c r="J112" s="1228"/>
      <c r="K112" s="1228"/>
      <c r="L112" s="1228"/>
      <c r="M112" s="1228"/>
      <c r="N112" s="1228"/>
      <c r="O112" s="1274">
        <f>(6*KFC!$B$12+KFC!$C$12)*KFC!$C$5</f>
        <v>6</v>
      </c>
      <c r="P112" s="1274"/>
    </row>
    <row r="113" spans="1:16" ht="27.9" customHeight="1">
      <c r="B113" s="1226"/>
      <c r="C113" s="1226"/>
      <c r="D113" s="1226"/>
      <c r="E113" s="1226"/>
      <c r="F113" s="1220" t="s">
        <v>843</v>
      </c>
      <c r="G113" s="1220"/>
      <c r="H113" s="1220"/>
      <c r="I113" s="1220"/>
      <c r="J113" s="1220"/>
      <c r="K113" s="1220"/>
      <c r="L113" s="1220"/>
      <c r="M113" s="1220"/>
      <c r="N113" s="1220"/>
      <c r="O113" s="1274"/>
      <c r="P113" s="1274"/>
    </row>
    <row r="114" spans="1:16" ht="15.75" customHeight="1">
      <c r="B114" s="1275" t="s">
        <v>506</v>
      </c>
      <c r="C114" s="1275"/>
      <c r="D114" s="1275"/>
      <c r="E114" s="1275"/>
      <c r="F114" s="1275"/>
      <c r="G114" s="1275"/>
      <c r="H114" s="1275"/>
      <c r="I114" s="1275"/>
      <c r="J114" s="1275"/>
      <c r="K114" s="1275"/>
      <c r="L114" s="1275"/>
      <c r="M114" s="1275"/>
      <c r="N114" s="1275"/>
      <c r="O114" s="1275"/>
      <c r="P114" s="1275"/>
    </row>
    <row r="115" spans="1:16" ht="83.25" customHeight="1">
      <c r="B115" s="1283" t="s">
        <v>907</v>
      </c>
      <c r="C115" s="1283"/>
      <c r="D115" s="1283"/>
      <c r="E115" s="1283"/>
      <c r="F115" s="1283"/>
      <c r="G115" s="1283"/>
      <c r="H115" s="1283"/>
      <c r="I115" s="1283"/>
      <c r="J115" s="1283"/>
      <c r="K115" s="1283"/>
      <c r="L115" s="1283"/>
      <c r="M115" s="1283"/>
      <c r="N115" s="1283"/>
      <c r="O115" s="1283"/>
      <c r="P115" s="1283"/>
    </row>
    <row r="116" spans="1:16">
      <c r="B116" s="185" t="s">
        <v>227</v>
      </c>
      <c r="C116" s="657"/>
      <c r="D116" s="657"/>
      <c r="E116" s="657"/>
      <c r="F116" s="657"/>
    </row>
    <row r="117" spans="1:16" ht="12.75" customHeight="1">
      <c r="B117" s="185" t="s">
        <v>991</v>
      </c>
      <c r="C117" s="657"/>
      <c r="D117" s="657"/>
      <c r="E117" s="657"/>
      <c r="F117" s="657"/>
    </row>
    <row r="118" spans="1:16" ht="32.25" customHeight="1">
      <c r="B118" s="1227" t="s">
        <v>379</v>
      </c>
      <c r="C118" s="1227"/>
      <c r="D118" s="1227"/>
      <c r="E118" s="1227"/>
      <c r="F118" s="1227"/>
      <c r="G118" s="1227"/>
      <c r="H118" s="1227"/>
      <c r="I118" s="1227"/>
      <c r="J118" s="1227"/>
      <c r="K118" s="1227"/>
      <c r="L118" s="1227"/>
      <c r="M118" s="1227"/>
      <c r="N118" s="1227"/>
      <c r="O118" s="1227" t="s">
        <v>380</v>
      </c>
      <c r="P118" s="1227"/>
    </row>
    <row r="119" spans="1:16" ht="18.75" customHeight="1">
      <c r="B119" s="1224" t="s">
        <v>994</v>
      </c>
      <c r="C119" s="1224"/>
      <c r="D119" s="1224"/>
      <c r="E119" s="1224"/>
      <c r="F119" s="1224"/>
      <c r="G119" s="1224"/>
      <c r="H119" s="1224"/>
      <c r="I119" s="1224"/>
      <c r="J119" s="1224"/>
      <c r="K119" s="1224"/>
      <c r="L119" s="1224"/>
      <c r="M119" s="1224"/>
      <c r="N119" s="1224"/>
      <c r="O119" s="1225">
        <f>(6.4*KFC!$B$12+KFC!$C$12)*KFC!$C$5</f>
        <v>6.4</v>
      </c>
      <c r="P119" s="1225"/>
    </row>
    <row r="120" spans="1:16" ht="13.8">
      <c r="B120" s="1224" t="s">
        <v>383</v>
      </c>
      <c r="C120" s="1224"/>
      <c r="D120" s="1224"/>
      <c r="E120" s="1224"/>
      <c r="F120" s="1224"/>
      <c r="G120" s="1224"/>
      <c r="H120" s="1224"/>
      <c r="I120" s="1224"/>
      <c r="J120" s="1224"/>
      <c r="K120" s="1224"/>
      <c r="L120" s="1224"/>
      <c r="M120" s="1224"/>
      <c r="N120" s="1224"/>
      <c r="O120" s="1225">
        <f>(1.66*KFC!$B$12*1.02+KFC!$C$12)*KFC!$C$5</f>
        <v>1.6932</v>
      </c>
      <c r="P120" s="1225"/>
    </row>
    <row r="121" spans="1:16" customFormat="1" ht="31.5" customHeight="1">
      <c r="A121" s="462"/>
      <c r="B121" s="1290" t="s">
        <v>1001</v>
      </c>
      <c r="C121" s="1290"/>
      <c r="D121" s="1290"/>
      <c r="E121" s="1290"/>
      <c r="F121" s="1290"/>
      <c r="G121" s="1290"/>
      <c r="H121" s="1290"/>
      <c r="I121" s="1290"/>
      <c r="J121" s="1290"/>
      <c r="K121" s="1290"/>
      <c r="L121" s="1290"/>
      <c r="M121" s="1290"/>
      <c r="N121" s="1290"/>
      <c r="O121" s="1288">
        <f>(10.2*KFC!$B$12+KFC!$C$12)*KFC!$C$5</f>
        <v>10.199999999999999</v>
      </c>
      <c r="P121" s="1288"/>
    </row>
    <row r="122" spans="1:16" customFormat="1" ht="32.25" customHeight="1">
      <c r="A122" s="462"/>
      <c r="B122" s="1290" t="s">
        <v>1000</v>
      </c>
      <c r="C122" s="1290"/>
      <c r="D122" s="1290"/>
      <c r="E122" s="1290"/>
      <c r="F122" s="1290"/>
      <c r="G122" s="1290"/>
      <c r="H122" s="1290"/>
      <c r="I122" s="1290"/>
      <c r="J122" s="1290"/>
      <c r="K122" s="1290"/>
      <c r="L122" s="1290"/>
      <c r="M122" s="1290"/>
      <c r="N122" s="1290"/>
      <c r="O122" s="1289">
        <f>(2.04*KFC!$B$12+KFC!$C$12)*KFC!$C$5</f>
        <v>2.04</v>
      </c>
      <c r="P122" s="1289"/>
    </row>
    <row r="123" spans="1:16" customFormat="1" ht="27" customHeight="1">
      <c r="A123" s="462"/>
      <c r="B123" s="1280" t="s">
        <v>973</v>
      </c>
      <c r="C123" s="1280"/>
      <c r="D123" s="1280"/>
      <c r="E123" s="1280"/>
      <c r="F123" s="1280"/>
      <c r="G123" s="1280"/>
      <c r="H123" s="1280"/>
      <c r="I123" s="1280"/>
      <c r="J123" s="1280"/>
      <c r="K123" s="1280"/>
      <c r="L123" s="1280"/>
      <c r="M123" s="1280"/>
      <c r="N123" s="1280"/>
      <c r="O123" s="1280"/>
      <c r="P123" s="1280"/>
    </row>
    <row r="124" spans="1:16" customFormat="1" ht="12.75" customHeight="1">
      <c r="A124" s="462"/>
      <c r="B124" s="1283" t="s">
        <v>811</v>
      </c>
      <c r="C124" s="1283"/>
      <c r="D124" s="1283"/>
      <c r="E124" s="1283"/>
      <c r="F124" s="1283"/>
      <c r="G124" s="1283"/>
      <c r="H124" s="1283"/>
      <c r="I124" s="1283"/>
      <c r="J124" s="1283"/>
      <c r="K124" s="1283"/>
      <c r="L124" s="1283"/>
      <c r="M124" s="1283"/>
      <c r="N124" s="1283"/>
      <c r="O124" s="1283"/>
      <c r="P124" s="1283"/>
    </row>
    <row r="125" spans="1:16" ht="18.75" customHeight="1">
      <c r="B125" s="1281" t="s">
        <v>257</v>
      </c>
      <c r="C125" s="1281"/>
      <c r="D125" s="1281"/>
      <c r="E125" s="1281"/>
      <c r="F125" s="1281"/>
      <c r="G125" s="1281"/>
      <c r="H125" s="1281"/>
      <c r="I125" s="1281"/>
      <c r="J125" s="1281"/>
      <c r="K125" s="1281"/>
      <c r="L125" s="1281"/>
      <c r="M125" s="1281"/>
      <c r="N125" s="1281"/>
      <c r="O125" s="1281"/>
      <c r="P125" s="1281"/>
    </row>
    <row r="126" spans="1:16" ht="15.6">
      <c r="B126" s="1282" t="s">
        <v>264</v>
      </c>
      <c r="C126" s="1282"/>
      <c r="D126" s="1282"/>
      <c r="E126" s="1282"/>
      <c r="F126" s="1282"/>
      <c r="G126" s="1282"/>
      <c r="H126" s="1282"/>
      <c r="I126" s="1282"/>
      <c r="J126" s="1282"/>
      <c r="K126" s="1282"/>
      <c r="L126" s="1282"/>
      <c r="M126" s="1282"/>
      <c r="N126" s="1282"/>
      <c r="O126" s="1282"/>
      <c r="P126" s="1282"/>
    </row>
    <row r="127" spans="1:16" ht="57.75" customHeight="1">
      <c r="B127" s="1246" t="s">
        <v>88</v>
      </c>
      <c r="C127" s="1246"/>
      <c r="D127" s="1246"/>
      <c r="E127" s="1241" t="s">
        <v>87</v>
      </c>
      <c r="F127" s="1241"/>
      <c r="G127" s="1241"/>
      <c r="H127" s="1241"/>
      <c r="I127" s="1241"/>
      <c r="J127" s="1241"/>
      <c r="K127" s="1241"/>
      <c r="L127" s="1241"/>
      <c r="M127" s="1241"/>
      <c r="N127" s="1241"/>
      <c r="O127" s="1099" t="s">
        <v>24</v>
      </c>
      <c r="P127" s="1099"/>
    </row>
    <row r="128" spans="1:16" ht="16.5" customHeight="1">
      <c r="B128" s="1267" t="s">
        <v>258</v>
      </c>
      <c r="C128" s="1267"/>
      <c r="D128" s="1267"/>
      <c r="E128" s="1267"/>
      <c r="F128" s="1267"/>
      <c r="G128" s="1267"/>
      <c r="H128" s="1267"/>
      <c r="I128" s="1267"/>
      <c r="J128" s="1267"/>
      <c r="K128" s="1267"/>
      <c r="L128" s="1267"/>
      <c r="M128" s="1267"/>
      <c r="N128" s="1267"/>
      <c r="O128" s="1267"/>
      <c r="P128" s="1267"/>
    </row>
    <row r="129" spans="2:16" ht="16.5" customHeight="1">
      <c r="B129" s="1218" t="s">
        <v>884</v>
      </c>
      <c r="C129" s="1218"/>
      <c r="D129" s="1218"/>
      <c r="E129" s="1220" t="s">
        <v>1003</v>
      </c>
      <c r="F129" s="1220"/>
      <c r="G129" s="1220"/>
      <c r="H129" s="1220"/>
      <c r="I129" s="1220"/>
      <c r="J129" s="1220"/>
      <c r="K129" s="1220"/>
      <c r="L129" s="1220"/>
      <c r="M129" s="1220"/>
      <c r="N129" s="1220"/>
      <c r="O129" s="1219">
        <f>(204*KFC!$B$41+KFC!$C$41)*KFC!$C$5</f>
        <v>204</v>
      </c>
      <c r="P129" s="1219"/>
    </row>
    <row r="130" spans="2:16" ht="30" customHeight="1">
      <c r="B130" s="1218"/>
      <c r="C130" s="1218"/>
      <c r="D130" s="1218"/>
      <c r="E130" s="1221" t="s">
        <v>1002</v>
      </c>
      <c r="F130" s="1221"/>
      <c r="G130" s="1221"/>
      <c r="H130" s="1221"/>
      <c r="I130" s="1221"/>
      <c r="J130" s="1221"/>
      <c r="K130" s="1221"/>
      <c r="L130" s="1221"/>
      <c r="M130" s="1221"/>
      <c r="N130" s="1221"/>
      <c r="O130" s="1219"/>
      <c r="P130" s="1219"/>
    </row>
    <row r="131" spans="2:16" ht="15" customHeight="1">
      <c r="B131" s="1266" t="s">
        <v>884</v>
      </c>
      <c r="C131" s="1266"/>
      <c r="D131" s="1266"/>
      <c r="E131" s="1268" t="s">
        <v>912</v>
      </c>
      <c r="F131" s="1269"/>
      <c r="G131" s="1269"/>
      <c r="H131" s="1269"/>
      <c r="I131" s="1269"/>
      <c r="J131" s="1269"/>
      <c r="K131" s="1269"/>
      <c r="L131" s="1269"/>
      <c r="M131" s="1269"/>
      <c r="N131" s="1270"/>
      <c r="O131" s="1284">
        <f>(132.3*KFC!$B$41+KFC!$C$41)*KFC!$C$5</f>
        <v>132.30000000000001</v>
      </c>
      <c r="P131" s="1284"/>
    </row>
    <row r="132" spans="2:16" ht="12.75" customHeight="1">
      <c r="B132" s="1218"/>
      <c r="C132" s="1218"/>
      <c r="D132" s="1218"/>
      <c r="E132" s="1271"/>
      <c r="F132" s="1272"/>
      <c r="G132" s="1272"/>
      <c r="H132" s="1272"/>
      <c r="I132" s="1272"/>
      <c r="J132" s="1272"/>
      <c r="K132" s="1272"/>
      <c r="L132" s="1272"/>
      <c r="M132" s="1272"/>
      <c r="N132" s="1273"/>
      <c r="O132" s="1219"/>
      <c r="P132" s="1219"/>
    </row>
    <row r="133" spans="2:16" ht="15" customHeight="1">
      <c r="B133" s="1218" t="s">
        <v>884</v>
      </c>
      <c r="C133" s="1218"/>
      <c r="D133" s="1218"/>
      <c r="E133" s="1285" t="s">
        <v>913</v>
      </c>
      <c r="F133" s="1286"/>
      <c r="G133" s="1286"/>
      <c r="H133" s="1286"/>
      <c r="I133" s="1286"/>
      <c r="J133" s="1286"/>
      <c r="K133" s="1286"/>
      <c r="L133" s="1286"/>
      <c r="M133" s="1286"/>
      <c r="N133" s="1287"/>
      <c r="O133" s="1219">
        <f>(141.8*KFC!$B$41+KFC!$C$41)*KFC!$C$5</f>
        <v>141.80000000000001</v>
      </c>
      <c r="P133" s="1219"/>
    </row>
    <row r="134" spans="2:16" ht="12.75" customHeight="1">
      <c r="B134" s="1218"/>
      <c r="C134" s="1218"/>
      <c r="D134" s="1218"/>
      <c r="E134" s="1271"/>
      <c r="F134" s="1272"/>
      <c r="G134" s="1272"/>
      <c r="H134" s="1272"/>
      <c r="I134" s="1272"/>
      <c r="J134" s="1272"/>
      <c r="K134" s="1272"/>
      <c r="L134" s="1272"/>
      <c r="M134" s="1272"/>
      <c r="N134" s="1273"/>
      <c r="O134" s="1219"/>
      <c r="P134" s="1219"/>
    </row>
    <row r="135" spans="2:16" ht="15" customHeight="1">
      <c r="B135" s="1218" t="s">
        <v>884</v>
      </c>
      <c r="C135" s="1218"/>
      <c r="D135" s="1218"/>
      <c r="E135" s="1285" t="s">
        <v>914</v>
      </c>
      <c r="F135" s="1286"/>
      <c r="G135" s="1286"/>
      <c r="H135" s="1286"/>
      <c r="I135" s="1286"/>
      <c r="J135" s="1286"/>
      <c r="K135" s="1286"/>
      <c r="L135" s="1286"/>
      <c r="M135" s="1286"/>
      <c r="N135" s="1287"/>
      <c r="O135" s="1219">
        <f>(160.3*KFC!$B$41+KFC!$C$41)*KFC!$C$5</f>
        <v>160.30000000000001</v>
      </c>
      <c r="P135" s="1219"/>
    </row>
    <row r="136" spans="2:16" ht="12.75" customHeight="1">
      <c r="B136" s="1218"/>
      <c r="C136" s="1218"/>
      <c r="D136" s="1218"/>
      <c r="E136" s="1271"/>
      <c r="F136" s="1272"/>
      <c r="G136" s="1272"/>
      <c r="H136" s="1272"/>
      <c r="I136" s="1272"/>
      <c r="J136" s="1272"/>
      <c r="K136" s="1272"/>
      <c r="L136" s="1272"/>
      <c r="M136" s="1272"/>
      <c r="N136" s="1273"/>
      <c r="O136" s="1219"/>
      <c r="P136" s="1219"/>
    </row>
    <row r="137" spans="2:16" ht="15" customHeight="1">
      <c r="B137" s="1218" t="s">
        <v>884</v>
      </c>
      <c r="C137" s="1218"/>
      <c r="D137" s="1218"/>
      <c r="E137" s="1285" t="s">
        <v>915</v>
      </c>
      <c r="F137" s="1286"/>
      <c r="G137" s="1286"/>
      <c r="H137" s="1286"/>
      <c r="I137" s="1286"/>
      <c r="J137" s="1286"/>
      <c r="K137" s="1286"/>
      <c r="L137" s="1286"/>
      <c r="M137" s="1286"/>
      <c r="N137" s="1287"/>
      <c r="O137" s="1219">
        <f>(202.6*KFC!$B$41+KFC!$C$41)*KFC!$C$5</f>
        <v>202.6</v>
      </c>
      <c r="P137" s="1219"/>
    </row>
    <row r="138" spans="2:16" ht="13.5" customHeight="1">
      <c r="B138" s="1218"/>
      <c r="C138" s="1218"/>
      <c r="D138" s="1218"/>
      <c r="E138" s="1271"/>
      <c r="F138" s="1272"/>
      <c r="G138" s="1272"/>
      <c r="H138" s="1272"/>
      <c r="I138" s="1272"/>
      <c r="J138" s="1272"/>
      <c r="K138" s="1272"/>
      <c r="L138" s="1272"/>
      <c r="M138" s="1272"/>
      <c r="N138" s="1273"/>
      <c r="O138" s="1219"/>
      <c r="P138" s="1219"/>
    </row>
    <row r="139" spans="2:16" ht="15" customHeight="1">
      <c r="B139" s="1218" t="s">
        <v>89</v>
      </c>
      <c r="C139" s="1218"/>
      <c r="D139" s="1218"/>
      <c r="E139" s="1220" t="s">
        <v>700</v>
      </c>
      <c r="F139" s="1220"/>
      <c r="G139" s="1220"/>
      <c r="H139" s="1220"/>
      <c r="I139" s="1220"/>
      <c r="J139" s="1220"/>
      <c r="K139" s="1220"/>
      <c r="L139" s="1220"/>
      <c r="M139" s="1220"/>
      <c r="N139" s="1220"/>
      <c r="O139" s="1219">
        <f>(398.7*KFC!$B$41+KFC!$C$41)*KFC!$C$5</f>
        <v>398.7</v>
      </c>
      <c r="P139" s="1219"/>
    </row>
    <row r="140" spans="2:16" ht="27.75" customHeight="1">
      <c r="B140" s="1218"/>
      <c r="C140" s="1218"/>
      <c r="D140" s="1218"/>
      <c r="E140" s="1221" t="s">
        <v>852</v>
      </c>
      <c r="F140" s="1221"/>
      <c r="G140" s="1221"/>
      <c r="H140" s="1221"/>
      <c r="I140" s="1221"/>
      <c r="J140" s="1221"/>
      <c r="K140" s="1221"/>
      <c r="L140" s="1221"/>
      <c r="M140" s="1221"/>
      <c r="N140" s="1221"/>
      <c r="O140" s="1219"/>
      <c r="P140" s="1219"/>
    </row>
    <row r="141" spans="2:16" ht="30" customHeight="1">
      <c r="B141" s="1218" t="s">
        <v>89</v>
      </c>
      <c r="C141" s="1218"/>
      <c r="D141" s="1218"/>
      <c r="E141" s="1220" t="s">
        <v>701</v>
      </c>
      <c r="F141" s="1220"/>
      <c r="G141" s="1220"/>
      <c r="H141" s="1220"/>
      <c r="I141" s="1220"/>
      <c r="J141" s="1220"/>
      <c r="K141" s="1220"/>
      <c r="L141" s="1220"/>
      <c r="M141" s="1220"/>
      <c r="N141" s="1220"/>
      <c r="O141" s="1219">
        <f>(544.3*KFC!$B$41+KFC!$C$41)*KFC!$C$5</f>
        <v>544.29999999999995</v>
      </c>
      <c r="P141" s="1219"/>
    </row>
    <row r="142" spans="2:16" ht="12.75" customHeight="1">
      <c r="B142" s="1218"/>
      <c r="C142" s="1218"/>
      <c r="D142" s="1218"/>
      <c r="E142" s="1221" t="s">
        <v>853</v>
      </c>
      <c r="F142" s="1221"/>
      <c r="G142" s="1221"/>
      <c r="H142" s="1221"/>
      <c r="I142" s="1221"/>
      <c r="J142" s="1221"/>
      <c r="K142" s="1221"/>
      <c r="L142" s="1221"/>
      <c r="M142" s="1221"/>
      <c r="N142" s="1221"/>
      <c r="O142" s="1219"/>
      <c r="P142" s="1219"/>
    </row>
    <row r="143" spans="2:16" ht="18.75" customHeight="1">
      <c r="B143" s="1218" t="s">
        <v>640</v>
      </c>
      <c r="C143" s="1218"/>
      <c r="D143" s="1218"/>
      <c r="E143" s="1220" t="s">
        <v>641</v>
      </c>
      <c r="F143" s="1220"/>
      <c r="G143" s="1220"/>
      <c r="H143" s="1220"/>
      <c r="I143" s="1220"/>
      <c r="J143" s="1220"/>
      <c r="K143" s="1220"/>
      <c r="L143" s="1220"/>
      <c r="M143" s="1220"/>
      <c r="N143" s="1220"/>
      <c r="O143" s="1236">
        <f>(221.5*KFC!$B$41*1.45+KFC!$C$41)*KFC!$C$5</f>
        <v>321.17500000000001</v>
      </c>
      <c r="P143" s="1237"/>
    </row>
    <row r="144" spans="2:16" ht="29.25" customHeight="1">
      <c r="B144" s="1218"/>
      <c r="C144" s="1218"/>
      <c r="D144" s="1218"/>
      <c r="E144" s="1221" t="s">
        <v>854</v>
      </c>
      <c r="F144" s="1221"/>
      <c r="G144" s="1221"/>
      <c r="H144" s="1221"/>
      <c r="I144" s="1221"/>
      <c r="J144" s="1221"/>
      <c r="K144" s="1221"/>
      <c r="L144" s="1221"/>
      <c r="M144" s="1221"/>
      <c r="N144" s="1221"/>
      <c r="O144" s="1238"/>
      <c r="P144" s="1239"/>
    </row>
    <row r="145" spans="2:16" ht="15" customHeight="1">
      <c r="B145" s="1218" t="s">
        <v>90</v>
      </c>
      <c r="C145" s="1218"/>
      <c r="D145" s="1218"/>
      <c r="E145" s="1220" t="s">
        <v>1038</v>
      </c>
      <c r="F145" s="1220"/>
      <c r="G145" s="1220"/>
      <c r="H145" s="1220"/>
      <c r="I145" s="1220"/>
      <c r="J145" s="1220"/>
      <c r="K145" s="1220"/>
      <c r="L145" s="1220"/>
      <c r="M145" s="1220"/>
      <c r="N145" s="1220"/>
      <c r="O145" s="1219">
        <f>(132.3*KFC!$B$41+KFC!$C$41)*KFC!$C$5</f>
        <v>132.30000000000001</v>
      </c>
      <c r="P145" s="1219"/>
    </row>
    <row r="146" spans="2:16" ht="26.25" customHeight="1">
      <c r="B146" s="1218"/>
      <c r="C146" s="1218"/>
      <c r="D146" s="1218"/>
      <c r="E146" s="1221" t="s">
        <v>855</v>
      </c>
      <c r="F146" s="1221"/>
      <c r="G146" s="1221"/>
      <c r="H146" s="1221"/>
      <c r="I146" s="1221"/>
      <c r="J146" s="1221"/>
      <c r="K146" s="1221"/>
      <c r="L146" s="1221"/>
      <c r="M146" s="1221"/>
      <c r="N146" s="1221"/>
      <c r="O146" s="1219"/>
      <c r="P146" s="1219"/>
    </row>
    <row r="147" spans="2:16" ht="31.5" customHeight="1">
      <c r="B147" s="1218" t="s">
        <v>90</v>
      </c>
      <c r="C147" s="1218"/>
      <c r="D147" s="1218"/>
      <c r="E147" s="1220" t="s">
        <v>1007</v>
      </c>
      <c r="F147" s="1220"/>
      <c r="G147" s="1220"/>
      <c r="H147" s="1220"/>
      <c r="I147" s="1220"/>
      <c r="J147" s="1220"/>
      <c r="K147" s="1220"/>
      <c r="L147" s="1220"/>
      <c r="M147" s="1220"/>
      <c r="N147" s="1220"/>
      <c r="O147" s="1219">
        <f>(168.7*KFC!$B$41+KFC!$C$41)*KFC!$C$5</f>
        <v>168.7</v>
      </c>
      <c r="P147" s="1219"/>
    </row>
    <row r="148" spans="2:16" ht="28.5" customHeight="1">
      <c r="B148" s="1218"/>
      <c r="C148" s="1218"/>
      <c r="D148" s="1218"/>
      <c r="E148" s="1221" t="s">
        <v>856</v>
      </c>
      <c r="F148" s="1221"/>
      <c r="G148" s="1221"/>
      <c r="H148" s="1221"/>
      <c r="I148" s="1221"/>
      <c r="J148" s="1221"/>
      <c r="K148" s="1221"/>
      <c r="L148" s="1221"/>
      <c r="M148" s="1221"/>
      <c r="N148" s="1221"/>
      <c r="O148" s="1219"/>
      <c r="P148" s="1219"/>
    </row>
    <row r="149" spans="2:16">
      <c r="F149" s="652"/>
    </row>
    <row r="150" spans="2:16" ht="32.25" customHeight="1">
      <c r="B150" s="1245" t="s">
        <v>266</v>
      </c>
      <c r="C150" s="1245"/>
      <c r="D150" s="1245"/>
      <c r="E150" s="1245"/>
      <c r="F150" s="1245"/>
      <c r="G150" s="1245"/>
      <c r="H150" s="1245"/>
      <c r="I150" s="1245"/>
      <c r="J150" s="1245"/>
      <c r="K150" s="1245"/>
      <c r="L150" s="1245"/>
      <c r="M150" s="1245"/>
      <c r="N150" s="1245"/>
      <c r="O150" s="1245"/>
      <c r="P150" s="1245"/>
    </row>
    <row r="151" spans="2:16" ht="35.25" customHeight="1">
      <c r="B151" s="1246" t="s">
        <v>88</v>
      </c>
      <c r="C151" s="1246"/>
      <c r="D151" s="1246"/>
      <c r="E151" s="1241" t="s">
        <v>87</v>
      </c>
      <c r="F151" s="1241"/>
      <c r="G151" s="1241"/>
      <c r="H151" s="1241"/>
      <c r="I151" s="1241"/>
      <c r="J151" s="1241"/>
      <c r="K151" s="1241"/>
      <c r="L151" s="1241"/>
      <c r="M151" s="1241"/>
      <c r="N151" s="1241"/>
      <c r="O151" s="1099" t="s">
        <v>24</v>
      </c>
      <c r="P151" s="1099"/>
    </row>
    <row r="152" spans="2:16" ht="27.9" customHeight="1">
      <c r="B152" s="1217" t="s">
        <v>89</v>
      </c>
      <c r="C152" s="1217"/>
      <c r="D152" s="1217"/>
      <c r="E152" s="1217" t="s">
        <v>644</v>
      </c>
      <c r="F152" s="1217"/>
      <c r="G152" s="1217"/>
      <c r="H152" s="1217"/>
      <c r="I152" s="1217"/>
      <c r="J152" s="1217"/>
      <c r="K152" s="1217"/>
      <c r="L152" s="1217"/>
      <c r="M152" s="1217"/>
      <c r="N152" s="1217"/>
      <c r="O152" s="1219">
        <f>(44.3*KFC!$B$41*1.6+KFC!$C$41)*KFC!$C$5</f>
        <v>70.88</v>
      </c>
      <c r="P152" s="1219"/>
    </row>
    <row r="153" spans="2:16" ht="27.9" customHeight="1">
      <c r="B153" s="1217"/>
      <c r="C153" s="1217"/>
      <c r="D153" s="1217"/>
      <c r="E153" s="1221" t="s">
        <v>858</v>
      </c>
      <c r="F153" s="1221"/>
      <c r="G153" s="1221"/>
      <c r="H153" s="1221"/>
      <c r="I153" s="1221"/>
      <c r="J153" s="1221"/>
      <c r="K153" s="1221"/>
      <c r="L153" s="1221"/>
      <c r="M153" s="1221"/>
      <c r="N153" s="1221"/>
      <c r="O153" s="1219"/>
      <c r="P153" s="1219"/>
    </row>
    <row r="154" spans="2:16" ht="27.9" customHeight="1">
      <c r="B154" s="1217" t="s">
        <v>89</v>
      </c>
      <c r="C154" s="1217"/>
      <c r="D154" s="1217"/>
      <c r="E154" s="1217" t="s">
        <v>645</v>
      </c>
      <c r="F154" s="1217"/>
      <c r="G154" s="1217"/>
      <c r="H154" s="1217"/>
      <c r="I154" s="1217"/>
      <c r="J154" s="1217"/>
      <c r="K154" s="1217"/>
      <c r="L154" s="1217"/>
      <c r="M154" s="1217"/>
      <c r="N154" s="1217"/>
      <c r="O154" s="1236">
        <f>(76*KFC!$B$41*1.6+KFC!$C$41)*KFC!$C$5</f>
        <v>121.60000000000001</v>
      </c>
      <c r="P154" s="1237"/>
    </row>
    <row r="155" spans="2:16" ht="27.9" customHeight="1">
      <c r="B155" s="1217"/>
      <c r="C155" s="1217"/>
      <c r="D155" s="1217"/>
      <c r="E155" s="1221" t="s">
        <v>859</v>
      </c>
      <c r="F155" s="1221"/>
      <c r="G155" s="1221"/>
      <c r="H155" s="1221"/>
      <c r="I155" s="1221"/>
      <c r="J155" s="1221"/>
      <c r="K155" s="1221"/>
      <c r="L155" s="1221"/>
      <c r="M155" s="1221"/>
      <c r="N155" s="1221"/>
      <c r="O155" s="1238"/>
      <c r="P155" s="1239"/>
    </row>
    <row r="156" spans="2:16" ht="27.9" customHeight="1">
      <c r="B156" s="1218" t="s">
        <v>89</v>
      </c>
      <c r="C156" s="1218"/>
      <c r="D156" s="1218"/>
      <c r="E156" s="1240" t="s">
        <v>91</v>
      </c>
      <c r="F156" s="989"/>
      <c r="G156" s="989"/>
      <c r="H156" s="989"/>
      <c r="I156" s="989"/>
      <c r="J156" s="989"/>
      <c r="K156" s="989"/>
      <c r="L156" s="989"/>
      <c r="M156" s="989"/>
      <c r="N156" s="990"/>
      <c r="O156" s="1236">
        <f>(178*KFC!$B$41*1.02*1.6+KFC!$C$41)*KFC!$C$5</f>
        <v>290.49600000000004</v>
      </c>
      <c r="P156" s="1237"/>
    </row>
    <row r="157" spans="2:16" ht="27.9" customHeight="1">
      <c r="B157" s="1218"/>
      <c r="C157" s="1218"/>
      <c r="D157" s="1218"/>
      <c r="E157" s="1233" t="s">
        <v>860</v>
      </c>
      <c r="F157" s="1234"/>
      <c r="G157" s="1234"/>
      <c r="H157" s="1234"/>
      <c r="I157" s="1234"/>
      <c r="J157" s="1234"/>
      <c r="K157" s="1234"/>
      <c r="L157" s="1234"/>
      <c r="M157" s="1234"/>
      <c r="N157" s="1235"/>
      <c r="O157" s="1238"/>
      <c r="P157" s="1239"/>
    </row>
    <row r="158" spans="2:16" ht="27.9" customHeight="1">
      <c r="B158" s="1218" t="s">
        <v>89</v>
      </c>
      <c r="C158" s="1218"/>
      <c r="D158" s="1218"/>
      <c r="E158" s="1240" t="s">
        <v>817</v>
      </c>
      <c r="F158" s="989"/>
      <c r="G158" s="989"/>
      <c r="H158" s="989"/>
      <c r="I158" s="989"/>
      <c r="J158" s="989"/>
      <c r="K158" s="989"/>
      <c r="L158" s="989"/>
      <c r="M158" s="989"/>
      <c r="N158" s="990"/>
      <c r="O158" s="1236">
        <f>(95*KFC!$B$41*1.6+KFC!$C$41)*KFC!$C$5</f>
        <v>152</v>
      </c>
      <c r="P158" s="1237"/>
    </row>
    <row r="159" spans="2:16" ht="27.9" customHeight="1">
      <c r="B159" s="1218"/>
      <c r="C159" s="1218"/>
      <c r="D159" s="1218"/>
      <c r="E159" s="1242" t="s">
        <v>861</v>
      </c>
      <c r="F159" s="1243"/>
      <c r="G159" s="1243"/>
      <c r="H159" s="1243"/>
      <c r="I159" s="1243"/>
      <c r="J159" s="1243"/>
      <c r="K159" s="1243"/>
      <c r="L159" s="1243"/>
      <c r="M159" s="1243"/>
      <c r="N159" s="1244"/>
      <c r="O159" s="1238"/>
      <c r="P159" s="1239"/>
    </row>
    <row r="160" spans="2:16" ht="27.9" customHeight="1">
      <c r="B160" s="1218" t="s">
        <v>89</v>
      </c>
      <c r="C160" s="1218"/>
      <c r="D160" s="1218"/>
      <c r="E160" s="1240" t="s">
        <v>818</v>
      </c>
      <c r="F160" s="989"/>
      <c r="G160" s="989"/>
      <c r="H160" s="989"/>
      <c r="I160" s="989"/>
      <c r="J160" s="989"/>
      <c r="K160" s="989"/>
      <c r="L160" s="989"/>
      <c r="M160" s="989"/>
      <c r="N160" s="990"/>
      <c r="O160" s="1236">
        <f>(113.9*KFC!$B$41*1.6+KFC!$C$41)*KFC!$C$5</f>
        <v>182.24</v>
      </c>
      <c r="P160" s="1237"/>
    </row>
    <row r="161" spans="2:16" ht="27.9" customHeight="1">
      <c r="B161" s="1218"/>
      <c r="C161" s="1218"/>
      <c r="D161" s="1218"/>
      <c r="E161" s="1242" t="s">
        <v>862</v>
      </c>
      <c r="F161" s="1243"/>
      <c r="G161" s="1243"/>
      <c r="H161" s="1243"/>
      <c r="I161" s="1243"/>
      <c r="J161" s="1243"/>
      <c r="K161" s="1243"/>
      <c r="L161" s="1243"/>
      <c r="M161" s="1243"/>
      <c r="N161" s="1244"/>
      <c r="O161" s="1238"/>
      <c r="P161" s="1239"/>
    </row>
    <row r="162" spans="2:16" ht="27.9" customHeight="1">
      <c r="B162" s="1218" t="s">
        <v>89</v>
      </c>
      <c r="C162" s="1218"/>
      <c r="D162" s="1218"/>
      <c r="E162" s="1240" t="s">
        <v>92</v>
      </c>
      <c r="F162" s="989"/>
      <c r="G162" s="989"/>
      <c r="H162" s="989"/>
      <c r="I162" s="989"/>
      <c r="J162" s="989"/>
      <c r="K162" s="989"/>
      <c r="L162" s="989"/>
      <c r="M162" s="989"/>
      <c r="N162" s="990"/>
      <c r="O162" s="1236">
        <f>(38*KFC!$B$41*1.02*1.6+KFC!$C$41)*KFC!$C$5</f>
        <v>62.015999999999998</v>
      </c>
      <c r="P162" s="1237"/>
    </row>
    <row r="163" spans="2:16" ht="27.9" customHeight="1">
      <c r="B163" s="1218"/>
      <c r="C163" s="1218"/>
      <c r="D163" s="1218"/>
      <c r="E163" s="1233" t="s">
        <v>863</v>
      </c>
      <c r="F163" s="1234"/>
      <c r="G163" s="1234"/>
      <c r="H163" s="1234"/>
      <c r="I163" s="1234"/>
      <c r="J163" s="1234"/>
      <c r="K163" s="1234"/>
      <c r="L163" s="1234"/>
      <c r="M163" s="1234"/>
      <c r="N163" s="1235"/>
      <c r="O163" s="1238"/>
      <c r="P163" s="1239"/>
    </row>
    <row r="164" spans="2:16" ht="27.9" customHeight="1">
      <c r="B164" s="1218" t="s">
        <v>89</v>
      </c>
      <c r="C164" s="1218"/>
      <c r="D164" s="1218"/>
      <c r="E164" s="1240" t="s">
        <v>93</v>
      </c>
      <c r="F164" s="989"/>
      <c r="G164" s="989"/>
      <c r="H164" s="989"/>
      <c r="I164" s="989"/>
      <c r="J164" s="989"/>
      <c r="K164" s="989"/>
      <c r="L164" s="989"/>
      <c r="M164" s="989"/>
      <c r="N164" s="990"/>
      <c r="O164" s="1247">
        <f>(140.3*KFC!$B$41*1.02*1.6+KFC!$C$41)*KFC!$C$5</f>
        <v>228.96960000000004</v>
      </c>
      <c r="P164" s="1248"/>
    </row>
    <row r="165" spans="2:16" ht="27.9" customHeight="1">
      <c r="B165" s="1217" t="s">
        <v>90</v>
      </c>
      <c r="C165" s="1217"/>
      <c r="D165" s="1217"/>
      <c r="E165" s="1230" t="s">
        <v>643</v>
      </c>
      <c r="F165" s="1231"/>
      <c r="G165" s="1231"/>
      <c r="H165" s="1231"/>
      <c r="I165" s="1231"/>
      <c r="J165" s="1231"/>
      <c r="K165" s="1231"/>
      <c r="L165" s="1231"/>
      <c r="M165" s="1231"/>
      <c r="N165" s="1232"/>
      <c r="O165" s="1247">
        <f>(17.7*KFC!$B$41+KFC!$C$41)*KFC!$C$5</f>
        <v>17.7</v>
      </c>
      <c r="P165" s="1248"/>
    </row>
    <row r="166" spans="2:16" ht="27.9" customHeight="1">
      <c r="B166" s="1218" t="s">
        <v>90</v>
      </c>
      <c r="C166" s="1218"/>
      <c r="D166" s="1218"/>
      <c r="E166" s="1240" t="s">
        <v>458</v>
      </c>
      <c r="F166" s="989"/>
      <c r="G166" s="989"/>
      <c r="H166" s="989"/>
      <c r="I166" s="989"/>
      <c r="J166" s="989"/>
      <c r="K166" s="989"/>
      <c r="L166" s="989"/>
      <c r="M166" s="989"/>
      <c r="N166" s="990"/>
      <c r="O166" s="1236">
        <f>(31.6*KFC!$B$41+KFC!$C$41)*KFC!$C$5</f>
        <v>31.6</v>
      </c>
      <c r="P166" s="1237"/>
    </row>
    <row r="167" spans="2:16" ht="27.9" customHeight="1">
      <c r="B167" s="1218"/>
      <c r="C167" s="1218"/>
      <c r="D167" s="1218"/>
      <c r="E167" s="1233" t="s">
        <v>870</v>
      </c>
      <c r="F167" s="1234"/>
      <c r="G167" s="1234"/>
      <c r="H167" s="1234"/>
      <c r="I167" s="1234"/>
      <c r="J167" s="1234"/>
      <c r="K167" s="1234"/>
      <c r="L167" s="1234"/>
      <c r="M167" s="1234"/>
      <c r="N167" s="1235"/>
      <c r="O167" s="1238"/>
      <c r="P167" s="1239"/>
    </row>
    <row r="168" spans="2:16" ht="27.9" customHeight="1">
      <c r="B168" s="1218" t="s">
        <v>90</v>
      </c>
      <c r="C168" s="1218"/>
      <c r="D168" s="1218"/>
      <c r="E168" s="1240" t="s">
        <v>459</v>
      </c>
      <c r="F168" s="989"/>
      <c r="G168" s="989"/>
      <c r="H168" s="989"/>
      <c r="I168" s="989"/>
      <c r="J168" s="989"/>
      <c r="K168" s="989"/>
      <c r="L168" s="989"/>
      <c r="M168" s="989"/>
      <c r="N168" s="990"/>
      <c r="O168" s="1236">
        <f>(40.5*KFC!$B$41+KFC!$C$41)*KFC!$C$5</f>
        <v>40.5</v>
      </c>
      <c r="P168" s="1237"/>
    </row>
    <row r="169" spans="2:16" ht="27.9" customHeight="1">
      <c r="B169" s="1218"/>
      <c r="C169" s="1218"/>
      <c r="D169" s="1218"/>
      <c r="E169" s="1233" t="s">
        <v>864</v>
      </c>
      <c r="F169" s="1234"/>
      <c r="G169" s="1234"/>
      <c r="H169" s="1234"/>
      <c r="I169" s="1234"/>
      <c r="J169" s="1234"/>
      <c r="K169" s="1234"/>
      <c r="L169" s="1234"/>
      <c r="M169" s="1234"/>
      <c r="N169" s="1235"/>
      <c r="O169" s="1238"/>
      <c r="P169" s="1239"/>
    </row>
    <row r="170" spans="2:16" ht="27.9" customHeight="1">
      <c r="B170" s="1217" t="s">
        <v>90</v>
      </c>
      <c r="C170" s="1217"/>
      <c r="D170" s="1217"/>
      <c r="E170" s="1230" t="s">
        <v>646</v>
      </c>
      <c r="F170" s="1231"/>
      <c r="G170" s="1231"/>
      <c r="H170" s="1231"/>
      <c r="I170" s="1231"/>
      <c r="J170" s="1231"/>
      <c r="K170" s="1231"/>
      <c r="L170" s="1231"/>
      <c r="M170" s="1231"/>
      <c r="N170" s="1232"/>
      <c r="O170" s="1236">
        <f>(31.6*KFC!$B$41+KFC!$C$41)*KFC!$C$5</f>
        <v>31.6</v>
      </c>
      <c r="P170" s="1237"/>
    </row>
    <row r="171" spans="2:16" ht="27.9" customHeight="1">
      <c r="B171" s="1217"/>
      <c r="C171" s="1217"/>
      <c r="D171" s="1217"/>
      <c r="E171" s="1233" t="s">
        <v>865</v>
      </c>
      <c r="F171" s="1234"/>
      <c r="G171" s="1234"/>
      <c r="H171" s="1234"/>
      <c r="I171" s="1234"/>
      <c r="J171" s="1234"/>
      <c r="K171" s="1234"/>
      <c r="L171" s="1234"/>
      <c r="M171" s="1234"/>
      <c r="N171" s="1235"/>
      <c r="O171" s="1238"/>
      <c r="P171" s="1239"/>
    </row>
    <row r="172" spans="2:16" ht="27.9" customHeight="1">
      <c r="B172" s="1257" t="s">
        <v>90</v>
      </c>
      <c r="C172" s="1258"/>
      <c r="D172" s="1259"/>
      <c r="E172" s="1230" t="s">
        <v>647</v>
      </c>
      <c r="F172" s="1231"/>
      <c r="G172" s="1231"/>
      <c r="H172" s="1231"/>
      <c r="I172" s="1231"/>
      <c r="J172" s="1231"/>
      <c r="K172" s="1231"/>
      <c r="L172" s="1231"/>
      <c r="M172" s="1231"/>
      <c r="N172" s="1232"/>
      <c r="O172" s="1236">
        <f>(40.5*KFC!$B$41+KFC!$C$41)*KFC!$C$5</f>
        <v>40.5</v>
      </c>
      <c r="P172" s="1237"/>
    </row>
    <row r="173" spans="2:16" ht="27.9" customHeight="1">
      <c r="B173" s="1260"/>
      <c r="C173" s="1261"/>
      <c r="D173" s="1262"/>
      <c r="E173" s="1233" t="s">
        <v>866</v>
      </c>
      <c r="F173" s="1234"/>
      <c r="G173" s="1234"/>
      <c r="H173" s="1234"/>
      <c r="I173" s="1234"/>
      <c r="J173" s="1234"/>
      <c r="K173" s="1234"/>
      <c r="L173" s="1234"/>
      <c r="M173" s="1234"/>
      <c r="N173" s="1235"/>
      <c r="O173" s="1238"/>
      <c r="P173" s="1239"/>
    </row>
    <row r="174" spans="2:16" ht="27.9" customHeight="1">
      <c r="B174" s="1251" t="s">
        <v>90</v>
      </c>
      <c r="C174" s="1252"/>
      <c r="D174" s="1253"/>
      <c r="E174" s="1240" t="s">
        <v>460</v>
      </c>
      <c r="F174" s="989"/>
      <c r="G174" s="989"/>
      <c r="H174" s="989"/>
      <c r="I174" s="989"/>
      <c r="J174" s="989"/>
      <c r="K174" s="989"/>
      <c r="L174" s="989"/>
      <c r="M174" s="989"/>
      <c r="N174" s="990"/>
      <c r="O174" s="1236">
        <f>(31.6*KFC!$B$41+KFC!$C$41)*KFC!$C$5</f>
        <v>31.6</v>
      </c>
      <c r="P174" s="1237"/>
    </row>
    <row r="175" spans="2:16" ht="27.9" customHeight="1">
      <c r="B175" s="1254"/>
      <c r="C175" s="1255"/>
      <c r="D175" s="1256"/>
      <c r="E175" s="1233" t="s">
        <v>867</v>
      </c>
      <c r="F175" s="1234"/>
      <c r="G175" s="1234"/>
      <c r="H175" s="1234"/>
      <c r="I175" s="1234"/>
      <c r="J175" s="1234"/>
      <c r="K175" s="1234"/>
      <c r="L175" s="1234"/>
      <c r="M175" s="1234"/>
      <c r="N175" s="1235"/>
      <c r="O175" s="1238"/>
      <c r="P175" s="1239"/>
    </row>
    <row r="176" spans="2:16" ht="27.9" customHeight="1">
      <c r="B176" s="1251" t="s">
        <v>90</v>
      </c>
      <c r="C176" s="1252"/>
      <c r="D176" s="1253"/>
      <c r="E176" s="1240" t="s">
        <v>485</v>
      </c>
      <c r="F176" s="989"/>
      <c r="G176" s="989"/>
      <c r="H176" s="989"/>
      <c r="I176" s="989"/>
      <c r="J176" s="989"/>
      <c r="K176" s="989"/>
      <c r="L176" s="989"/>
      <c r="M176" s="989"/>
      <c r="N176" s="990"/>
      <c r="O176" s="1236">
        <f>(40.5*KFC!$B$41+KFC!$C$41)*KFC!$C$5</f>
        <v>40.5</v>
      </c>
      <c r="P176" s="1237"/>
    </row>
    <row r="177" spans="2:16" ht="27.9" customHeight="1">
      <c r="B177" s="1254"/>
      <c r="C177" s="1255"/>
      <c r="D177" s="1256"/>
      <c r="E177" s="1233" t="s">
        <v>868</v>
      </c>
      <c r="F177" s="1234"/>
      <c r="G177" s="1234"/>
      <c r="H177" s="1234"/>
      <c r="I177" s="1234"/>
      <c r="J177" s="1234"/>
      <c r="K177" s="1234"/>
      <c r="L177" s="1234"/>
      <c r="M177" s="1234"/>
      <c r="N177" s="1235"/>
      <c r="O177" s="1238"/>
      <c r="P177" s="1239"/>
    </row>
    <row r="178" spans="2:16" ht="27.9" customHeight="1">
      <c r="B178" s="1251" t="s">
        <v>90</v>
      </c>
      <c r="C178" s="1252"/>
      <c r="D178" s="1253"/>
      <c r="E178" s="1240" t="s">
        <v>653</v>
      </c>
      <c r="F178" s="989"/>
      <c r="G178" s="989"/>
      <c r="H178" s="989"/>
      <c r="I178" s="989"/>
      <c r="J178" s="989"/>
      <c r="K178" s="989"/>
      <c r="L178" s="989"/>
      <c r="M178" s="989"/>
      <c r="N178" s="990"/>
      <c r="O178" s="1236">
        <f>(7.6*KFC!$B$41+KFC!$C$41)*KFC!$C$5</f>
        <v>7.6</v>
      </c>
      <c r="P178" s="1237"/>
    </row>
    <row r="179" spans="2:16" ht="27.9" customHeight="1">
      <c r="B179" s="1254"/>
      <c r="C179" s="1255"/>
      <c r="D179" s="1256"/>
      <c r="E179" s="1233" t="s">
        <v>869</v>
      </c>
      <c r="F179" s="1234"/>
      <c r="G179" s="1234"/>
      <c r="H179" s="1234"/>
      <c r="I179" s="1234"/>
      <c r="J179" s="1234"/>
      <c r="K179" s="1234"/>
      <c r="L179" s="1234"/>
      <c r="M179" s="1234"/>
      <c r="N179" s="1235"/>
      <c r="O179" s="1238"/>
      <c r="P179" s="1239"/>
    </row>
    <row r="180" spans="2:16" ht="27.9" customHeight="1">
      <c r="B180" s="1230" t="s">
        <v>90</v>
      </c>
      <c r="C180" s="1231"/>
      <c r="D180" s="1232"/>
      <c r="E180" s="1230" t="s">
        <v>654</v>
      </c>
      <c r="F180" s="1231"/>
      <c r="G180" s="1231"/>
      <c r="H180" s="1231"/>
      <c r="I180" s="1231"/>
      <c r="J180" s="1231"/>
      <c r="K180" s="1231"/>
      <c r="L180" s="1231"/>
      <c r="M180" s="1231"/>
      <c r="N180" s="1232"/>
      <c r="O180" s="1291">
        <f>(2.5*KFC!$B$41+KFC!$C$41)*KFC!$C$5</f>
        <v>2.5</v>
      </c>
      <c r="P180" s="1292"/>
    </row>
    <row r="181" spans="2:16" ht="27.9" customHeight="1">
      <c r="B181" s="1230" t="s">
        <v>90</v>
      </c>
      <c r="C181" s="1231"/>
      <c r="D181" s="1232"/>
      <c r="E181" s="1230" t="s">
        <v>655</v>
      </c>
      <c r="F181" s="1231"/>
      <c r="G181" s="1231"/>
      <c r="H181" s="1231"/>
      <c r="I181" s="1231"/>
      <c r="J181" s="1231"/>
      <c r="K181" s="1231"/>
      <c r="L181" s="1231"/>
      <c r="M181" s="1231"/>
      <c r="N181" s="1232"/>
      <c r="O181" s="1291">
        <f>(38*KFC!$B$41+KFC!$C$41)*KFC!$C$5</f>
        <v>38</v>
      </c>
      <c r="P181" s="1292"/>
    </row>
    <row r="182" spans="2:16" ht="27.9" customHeight="1">
      <c r="B182" s="1230" t="s">
        <v>884</v>
      </c>
      <c r="C182" s="1231"/>
      <c r="D182" s="1232"/>
      <c r="E182" s="1230" t="s">
        <v>1240</v>
      </c>
      <c r="F182" s="1231"/>
      <c r="G182" s="1231"/>
      <c r="H182" s="1231"/>
      <c r="I182" s="1231"/>
      <c r="J182" s="1231"/>
      <c r="K182" s="1231"/>
      <c r="L182" s="1231"/>
      <c r="M182" s="1231"/>
      <c r="N182" s="1232"/>
      <c r="O182" s="1249">
        <f>(31.65*KFC!$B$41+KFC!$C$41)*KFC!$C$5</f>
        <v>31.65</v>
      </c>
      <c r="P182" s="1250"/>
    </row>
    <row r="183" spans="2:16" ht="27.9" customHeight="1">
      <c r="B183" s="1230" t="s">
        <v>884</v>
      </c>
      <c r="C183" s="1231"/>
      <c r="D183" s="1232"/>
      <c r="E183" s="1230" t="s">
        <v>1241</v>
      </c>
      <c r="F183" s="1231"/>
      <c r="G183" s="1231"/>
      <c r="H183" s="1231"/>
      <c r="I183" s="1231"/>
      <c r="J183" s="1231"/>
      <c r="K183" s="1231"/>
      <c r="L183" s="1231"/>
      <c r="M183" s="1231"/>
      <c r="N183" s="1232"/>
      <c r="O183" s="1249">
        <f>(37.98*KFC!$B$41+KFC!$C$41)*KFC!$C$5</f>
        <v>37.979999999999997</v>
      </c>
      <c r="P183" s="1250"/>
    </row>
    <row r="184" spans="2:16" ht="27.9" customHeight="1">
      <c r="B184" s="1230" t="s">
        <v>884</v>
      </c>
      <c r="C184" s="1231"/>
      <c r="D184" s="1232"/>
      <c r="E184" s="1230" t="s">
        <v>1242</v>
      </c>
      <c r="F184" s="1231"/>
      <c r="G184" s="1231"/>
      <c r="H184" s="1231"/>
      <c r="I184" s="1231"/>
      <c r="J184" s="1231"/>
      <c r="K184" s="1231"/>
      <c r="L184" s="1231"/>
      <c r="M184" s="1231"/>
      <c r="N184" s="1232"/>
      <c r="O184" s="1249">
        <f>(44.31*KFC!$B$41+KFC!$C$41)*KFC!$C$5</f>
        <v>44.31</v>
      </c>
      <c r="P184" s="1250"/>
    </row>
    <row r="185" spans="2:16" ht="27.9" customHeight="1">
      <c r="B185" s="1230" t="s">
        <v>884</v>
      </c>
      <c r="C185" s="1231"/>
      <c r="D185" s="1232"/>
      <c r="E185" s="1230" t="s">
        <v>1239</v>
      </c>
      <c r="F185" s="1231"/>
      <c r="G185" s="1231"/>
      <c r="H185" s="1231"/>
      <c r="I185" s="1231"/>
      <c r="J185" s="1231"/>
      <c r="K185" s="1231"/>
      <c r="L185" s="1231"/>
      <c r="M185" s="1231"/>
      <c r="N185" s="1232"/>
      <c r="O185" s="1249">
        <f>(41.78*KFC!$B$41+KFC!$C$41)*KFC!$C$5</f>
        <v>41.78</v>
      </c>
      <c r="P185" s="1250"/>
    </row>
    <row r="186" spans="2:16" ht="27.9" customHeight="1">
      <c r="B186" s="1230" t="s">
        <v>884</v>
      </c>
      <c r="C186" s="1231"/>
      <c r="D186" s="1232"/>
      <c r="E186" s="1230" t="s">
        <v>899</v>
      </c>
      <c r="F186" s="1231"/>
      <c r="G186" s="1231"/>
      <c r="H186" s="1231"/>
      <c r="I186" s="1231"/>
      <c r="J186" s="1231"/>
      <c r="K186" s="1231"/>
      <c r="L186" s="1231"/>
      <c r="M186" s="1231"/>
      <c r="N186" s="1232"/>
      <c r="O186" s="1249">
        <f>(31.65*KFC!$B$41+KFC!$C$41)*KFC!$C$5</f>
        <v>31.65</v>
      </c>
      <c r="P186" s="1250"/>
    </row>
    <row r="187" spans="2:16" ht="27.9" customHeight="1">
      <c r="B187" s="1230" t="s">
        <v>884</v>
      </c>
      <c r="C187" s="1231"/>
      <c r="D187" s="1232"/>
      <c r="E187" s="1230" t="s">
        <v>900</v>
      </c>
      <c r="F187" s="1231"/>
      <c r="G187" s="1231"/>
      <c r="H187" s="1231"/>
      <c r="I187" s="1231"/>
      <c r="J187" s="1231"/>
      <c r="K187" s="1231"/>
      <c r="L187" s="1231"/>
      <c r="M187" s="1231"/>
      <c r="N187" s="1232"/>
      <c r="O187" s="1249">
        <f>(37.98*KFC!$B$41+KFC!$C$41)*KFC!$C$5</f>
        <v>37.979999999999997</v>
      </c>
      <c r="P187" s="1250"/>
    </row>
    <row r="188" spans="2:16" ht="27.9" customHeight="1">
      <c r="B188" s="1230" t="s">
        <v>884</v>
      </c>
      <c r="C188" s="1231"/>
      <c r="D188" s="1232"/>
      <c r="E188" s="1230" t="s">
        <v>901</v>
      </c>
      <c r="F188" s="1231"/>
      <c r="G188" s="1231"/>
      <c r="H188" s="1231"/>
      <c r="I188" s="1231"/>
      <c r="J188" s="1231"/>
      <c r="K188" s="1231"/>
      <c r="L188" s="1231"/>
      <c r="M188" s="1231"/>
      <c r="N188" s="1232"/>
      <c r="O188" s="1249">
        <f>(75.95*KFC!$B$41+KFC!$C$41)*KFC!$C$5</f>
        <v>75.95</v>
      </c>
      <c r="P188" s="1250"/>
    </row>
    <row r="189" spans="2:16" ht="27.9" customHeight="1">
      <c r="B189" s="1230" t="s">
        <v>884</v>
      </c>
      <c r="C189" s="1231"/>
      <c r="D189" s="1232"/>
      <c r="E189" s="1230" t="s">
        <v>1054</v>
      </c>
      <c r="F189" s="1231"/>
      <c r="G189" s="1231"/>
      <c r="H189" s="1231"/>
      <c r="I189" s="1231"/>
      <c r="J189" s="1231"/>
      <c r="K189" s="1231"/>
      <c r="L189" s="1231"/>
      <c r="M189" s="1231"/>
      <c r="N189" s="1232"/>
      <c r="O189" s="1249">
        <f>(76*KFC!$B$41+KFC!$C$41)*KFC!$C$5</f>
        <v>76</v>
      </c>
      <c r="P189" s="1250"/>
    </row>
    <row r="190" spans="2:16" ht="27.9" customHeight="1">
      <c r="B190" s="1230" t="s">
        <v>884</v>
      </c>
      <c r="C190" s="1231"/>
      <c r="D190" s="1232"/>
      <c r="E190" s="1230" t="s">
        <v>902</v>
      </c>
      <c r="F190" s="1231"/>
      <c r="G190" s="1231"/>
      <c r="H190" s="1231"/>
      <c r="I190" s="1231"/>
      <c r="J190" s="1231"/>
      <c r="K190" s="1231"/>
      <c r="L190" s="1231"/>
      <c r="M190" s="1231"/>
      <c r="N190" s="1232"/>
      <c r="O190" s="1249">
        <f>(25.32*KFC!$B$41+KFC!$C$41)*KFC!$C$5</f>
        <v>25.32</v>
      </c>
      <c r="P190" s="1250"/>
    </row>
    <row r="193" spans="2:16" ht="13.8">
      <c r="B193" s="870"/>
      <c r="C193" s="870"/>
      <c r="D193" s="870"/>
      <c r="E193" s="870"/>
      <c r="F193" s="719"/>
    </row>
    <row r="194" spans="2:16" ht="13.8">
      <c r="B194" s="870"/>
      <c r="C194" s="870"/>
      <c r="D194" s="870"/>
      <c r="E194" s="870"/>
      <c r="F194" s="719"/>
    </row>
    <row r="195" spans="2:16" ht="13.8">
      <c r="B195" s="870"/>
      <c r="C195" s="870"/>
      <c r="D195" s="870"/>
      <c r="E195" s="870"/>
      <c r="F195" s="719"/>
    </row>
    <row r="196" spans="2:16">
      <c r="B196" s="1"/>
      <c r="C196" s="1"/>
      <c r="D196" s="1"/>
      <c r="E196" s="1"/>
      <c r="F196" s="1"/>
    </row>
    <row r="197" spans="2:16" ht="15.6">
      <c r="B197" s="1004" t="s">
        <v>1190</v>
      </c>
      <c r="C197" s="1004"/>
      <c r="D197" s="1004"/>
      <c r="E197" s="1004"/>
      <c r="F197" s="1004"/>
      <c r="G197" s="1004"/>
      <c r="H197" s="1004"/>
      <c r="I197" s="1004"/>
      <c r="J197" s="1004"/>
      <c r="K197" s="1004"/>
      <c r="L197" s="1004"/>
      <c r="M197" s="1004"/>
      <c r="N197" s="1004"/>
      <c r="O197" s="1004"/>
      <c r="P197" s="1004"/>
    </row>
    <row r="198" spans="2:16" ht="13.8" thickBot="1">
      <c r="B198" s="1"/>
      <c r="C198" s="1"/>
      <c r="D198" s="1"/>
      <c r="E198" s="1"/>
      <c r="F198" s="1"/>
    </row>
    <row r="199" spans="2:16" ht="39" customHeight="1" thickBot="1">
      <c r="B199" s="1301" t="s">
        <v>87</v>
      </c>
      <c r="C199" s="1022"/>
      <c r="D199" s="1022"/>
      <c r="E199" s="1022"/>
      <c r="F199" s="1022"/>
      <c r="G199" s="1022"/>
      <c r="H199" s="1022"/>
      <c r="I199" s="1022"/>
      <c r="J199" s="1022"/>
      <c r="K199" s="1022"/>
      <c r="L199" s="1022"/>
      <c r="M199" s="1022"/>
      <c r="N199" s="874" t="s">
        <v>1191</v>
      </c>
      <c r="O199" s="1297" t="s">
        <v>1194</v>
      </c>
      <c r="P199" s="1298"/>
    </row>
    <row r="200" spans="2:16" ht="15" customHeight="1">
      <c r="B200" s="1302" t="s">
        <v>1180</v>
      </c>
      <c r="C200" s="1008"/>
      <c r="D200" s="1008"/>
      <c r="E200" s="1008"/>
      <c r="F200" s="1008"/>
      <c r="G200" s="1008"/>
      <c r="H200" s="1008"/>
      <c r="I200" s="1008"/>
      <c r="J200" s="1008"/>
      <c r="K200" s="1008"/>
      <c r="L200" s="1008"/>
      <c r="M200" s="1008"/>
      <c r="N200" s="875" t="s">
        <v>526</v>
      </c>
      <c r="O200" s="1299">
        <f>(206.72*KFC!$B$41+KFC!$C$41)</f>
        <v>206.72</v>
      </c>
      <c r="P200" s="1300"/>
    </row>
    <row r="201" spans="2:16" ht="15" customHeight="1">
      <c r="B201" s="1215" t="s">
        <v>1181</v>
      </c>
      <c r="C201" s="1003"/>
      <c r="D201" s="1003"/>
      <c r="E201" s="1003"/>
      <c r="F201" s="1003"/>
      <c r="G201" s="1003"/>
      <c r="H201" s="1003"/>
      <c r="I201" s="1003"/>
      <c r="J201" s="1003"/>
      <c r="K201" s="1003"/>
      <c r="L201" s="1003"/>
      <c r="M201" s="1003"/>
      <c r="N201" s="869" t="s">
        <v>526</v>
      </c>
      <c r="O201" s="1293">
        <f>(226.92*KFC!$B$41+KFC!$C$41)</f>
        <v>226.92</v>
      </c>
      <c r="P201" s="1294"/>
    </row>
    <row r="202" spans="2:16" ht="15" customHeight="1">
      <c r="B202" s="1215" t="s">
        <v>1182</v>
      </c>
      <c r="C202" s="1003"/>
      <c r="D202" s="1003"/>
      <c r="E202" s="1003"/>
      <c r="F202" s="1003"/>
      <c r="G202" s="1003"/>
      <c r="H202" s="1003"/>
      <c r="I202" s="1003"/>
      <c r="J202" s="1003"/>
      <c r="K202" s="1003"/>
      <c r="L202" s="1003"/>
      <c r="M202" s="1003"/>
      <c r="N202" s="869" t="s">
        <v>526</v>
      </c>
      <c r="O202" s="1293">
        <f>(624.88*KFC!$B$41+KFC!$C$41)</f>
        <v>624.88</v>
      </c>
      <c r="P202" s="1294"/>
    </row>
    <row r="203" spans="2:16" ht="15" customHeight="1">
      <c r="B203" s="1215" t="s">
        <v>1183</v>
      </c>
      <c r="C203" s="1003"/>
      <c r="D203" s="1003"/>
      <c r="E203" s="1003"/>
      <c r="F203" s="1003"/>
      <c r="G203" s="1003"/>
      <c r="H203" s="1003"/>
      <c r="I203" s="1003"/>
      <c r="J203" s="1003"/>
      <c r="K203" s="1003"/>
      <c r="L203" s="1003"/>
      <c r="M203" s="1003"/>
      <c r="N203" s="869" t="s">
        <v>526</v>
      </c>
      <c r="O203" s="1293">
        <f>(687.38*KFC!$B$41+KFC!$C$41)</f>
        <v>687.38</v>
      </c>
      <c r="P203" s="1294"/>
    </row>
    <row r="204" spans="2:16" ht="15" customHeight="1">
      <c r="B204" s="1215" t="s">
        <v>1184</v>
      </c>
      <c r="C204" s="1003"/>
      <c r="D204" s="1003"/>
      <c r="E204" s="1003"/>
      <c r="F204" s="1003"/>
      <c r="G204" s="1003"/>
      <c r="H204" s="1003"/>
      <c r="I204" s="1003"/>
      <c r="J204" s="1003"/>
      <c r="K204" s="1003"/>
      <c r="L204" s="1003"/>
      <c r="M204" s="1003"/>
      <c r="N204" s="869" t="s">
        <v>1192</v>
      </c>
      <c r="O204" s="1293">
        <f>(97.05*KFC!$B$41+KFC!$C$41)</f>
        <v>97.05</v>
      </c>
      <c r="P204" s="1294"/>
    </row>
    <row r="205" spans="2:16" ht="15" customHeight="1">
      <c r="B205" s="1215" t="s">
        <v>1185</v>
      </c>
      <c r="C205" s="1003"/>
      <c r="D205" s="1003"/>
      <c r="E205" s="1003"/>
      <c r="F205" s="1003"/>
      <c r="G205" s="1003"/>
      <c r="H205" s="1003"/>
      <c r="I205" s="1003"/>
      <c r="J205" s="1003"/>
      <c r="K205" s="1003"/>
      <c r="L205" s="1003"/>
      <c r="M205" s="1003"/>
      <c r="N205" s="869" t="s">
        <v>1192</v>
      </c>
      <c r="O205" s="1293">
        <f>(125.45*KFC!$B$41+KFC!$C$41)</f>
        <v>125.45</v>
      </c>
      <c r="P205" s="1294"/>
    </row>
    <row r="206" spans="2:16" ht="15" customHeight="1">
      <c r="B206" s="1215" t="s">
        <v>1186</v>
      </c>
      <c r="C206" s="1003"/>
      <c r="D206" s="1003"/>
      <c r="E206" s="1003"/>
      <c r="F206" s="1003"/>
      <c r="G206" s="1003"/>
      <c r="H206" s="1003"/>
      <c r="I206" s="1003"/>
      <c r="J206" s="1003"/>
      <c r="K206" s="1003"/>
      <c r="L206" s="1003"/>
      <c r="M206" s="1003"/>
      <c r="N206" s="869" t="s">
        <v>1192</v>
      </c>
      <c r="O206" s="1293">
        <f>(222.81*KFC!$B$41+KFC!$C$41)</f>
        <v>222.81</v>
      </c>
      <c r="P206" s="1294"/>
    </row>
    <row r="207" spans="2:16" ht="15" customHeight="1">
      <c r="B207" s="1215" t="s">
        <v>1187</v>
      </c>
      <c r="C207" s="1003"/>
      <c r="D207" s="1003"/>
      <c r="E207" s="1003"/>
      <c r="F207" s="1003"/>
      <c r="G207" s="1003"/>
      <c r="H207" s="1003"/>
      <c r="I207" s="1003"/>
      <c r="J207" s="1003"/>
      <c r="K207" s="1003"/>
      <c r="L207" s="1003"/>
      <c r="M207" s="1003"/>
      <c r="N207" s="869" t="s">
        <v>526</v>
      </c>
      <c r="O207" s="1293">
        <f>(269.6*KFC!$B$41+KFC!$C$41)</f>
        <v>269.60000000000002</v>
      </c>
      <c r="P207" s="1294"/>
    </row>
    <row r="208" spans="2:16" ht="15" customHeight="1">
      <c r="B208" s="1215" t="s">
        <v>1193</v>
      </c>
      <c r="C208" s="1003"/>
      <c r="D208" s="1003"/>
      <c r="E208" s="1003"/>
      <c r="F208" s="1003"/>
      <c r="G208" s="1003"/>
      <c r="H208" s="1003"/>
      <c r="I208" s="1003"/>
      <c r="J208" s="1003"/>
      <c r="K208" s="1003"/>
      <c r="L208" s="1003"/>
      <c r="M208" s="1003"/>
      <c r="N208" s="869" t="s">
        <v>526</v>
      </c>
      <c r="O208" s="1293">
        <f>(402.86*KFC!$B$41+KFC!$C$41)</f>
        <v>402.86</v>
      </c>
      <c r="P208" s="1294"/>
    </row>
    <row r="209" spans="2:16" ht="15" customHeight="1">
      <c r="B209" s="1215" t="s">
        <v>1188</v>
      </c>
      <c r="C209" s="1003"/>
      <c r="D209" s="1003"/>
      <c r="E209" s="1003"/>
      <c r="F209" s="1003"/>
      <c r="G209" s="1003"/>
      <c r="H209" s="1003"/>
      <c r="I209" s="1003"/>
      <c r="J209" s="1003"/>
      <c r="K209" s="1003"/>
      <c r="L209" s="1003"/>
      <c r="M209" s="1003"/>
      <c r="N209" s="869" t="s">
        <v>526</v>
      </c>
      <c r="O209" s="1293">
        <f>(132.48*KFC!$B$41+KFC!$C$41)</f>
        <v>132.47999999999999</v>
      </c>
      <c r="P209" s="1294"/>
    </row>
    <row r="210" spans="2:16" ht="15.75" customHeight="1" thickBot="1">
      <c r="B210" s="1213" t="s">
        <v>1189</v>
      </c>
      <c r="C210" s="1214"/>
      <c r="D210" s="1214"/>
      <c r="E210" s="1214"/>
      <c r="F210" s="1214"/>
      <c r="G210" s="1214"/>
      <c r="H210" s="1214"/>
      <c r="I210" s="1214"/>
      <c r="J210" s="1214"/>
      <c r="K210" s="1214"/>
      <c r="L210" s="1214"/>
      <c r="M210" s="1214"/>
      <c r="N210" s="872" t="s">
        <v>526</v>
      </c>
      <c r="O210" s="1295">
        <f>(121.32*KFC!$B$41+KFC!$C$41)</f>
        <v>121.32</v>
      </c>
      <c r="P210" s="1296"/>
    </row>
  </sheetData>
  <mergeCells count="206">
    <mergeCell ref="B197:P197"/>
    <mergeCell ref="B199:M199"/>
    <mergeCell ref="B200:M200"/>
    <mergeCell ref="B201:M201"/>
    <mergeCell ref="B202:M202"/>
    <mergeCell ref="B203:M203"/>
    <mergeCell ref="B204:M204"/>
    <mergeCell ref="B205:M205"/>
    <mergeCell ref="B206:M206"/>
    <mergeCell ref="O208:P208"/>
    <mergeCell ref="O209:P209"/>
    <mergeCell ref="O210:P210"/>
    <mergeCell ref="B210:M210"/>
    <mergeCell ref="O199:P199"/>
    <mergeCell ref="O200:P200"/>
    <mergeCell ref="O201:P201"/>
    <mergeCell ref="O202:P202"/>
    <mergeCell ref="O203:P203"/>
    <mergeCell ref="O204:P204"/>
    <mergeCell ref="O205:P205"/>
    <mergeCell ref="O206:P206"/>
    <mergeCell ref="O207:P207"/>
    <mergeCell ref="B207:M207"/>
    <mergeCell ref="B208:M208"/>
    <mergeCell ref="B209:M209"/>
    <mergeCell ref="O176:P177"/>
    <mergeCell ref="E176:N176"/>
    <mergeCell ref="B178:D179"/>
    <mergeCell ref="O183:P183"/>
    <mergeCell ref="O189:P189"/>
    <mergeCell ref="O174:P175"/>
    <mergeCell ref="B185:D185"/>
    <mergeCell ref="E178:N178"/>
    <mergeCell ref="O182:P182"/>
    <mergeCell ref="O181:P181"/>
    <mergeCell ref="E177:N177"/>
    <mergeCell ref="O178:P179"/>
    <mergeCell ref="O190:P190"/>
    <mergeCell ref="O188:P188"/>
    <mergeCell ref="O187:P187"/>
    <mergeCell ref="O186:P186"/>
    <mergeCell ref="O184:P184"/>
    <mergeCell ref="O180:P180"/>
    <mergeCell ref="B181:D181"/>
    <mergeCell ref="B180:D180"/>
    <mergeCell ref="B182:D182"/>
    <mergeCell ref="E182:N182"/>
    <mergeCell ref="E181:N181"/>
    <mergeCell ref="E186:N186"/>
    <mergeCell ref="E180:N180"/>
    <mergeCell ref="B190:D190"/>
    <mergeCell ref="B188:D188"/>
    <mergeCell ref="B187:D187"/>
    <mergeCell ref="B186:D186"/>
    <mergeCell ref="B184:D184"/>
    <mergeCell ref="B183:D183"/>
    <mergeCell ref="B189:D189"/>
    <mergeCell ref="B133:D134"/>
    <mergeCell ref="O131:P132"/>
    <mergeCell ref="E129:N129"/>
    <mergeCell ref="B141:D142"/>
    <mergeCell ref="O133:P134"/>
    <mergeCell ref="E130:N130"/>
    <mergeCell ref="E133:N134"/>
    <mergeCell ref="E139:N139"/>
    <mergeCell ref="F111:N111"/>
    <mergeCell ref="B135:D136"/>
    <mergeCell ref="B139:D140"/>
    <mergeCell ref="O135:P136"/>
    <mergeCell ref="O139:P140"/>
    <mergeCell ref="B137:D138"/>
    <mergeCell ref="O137:P138"/>
    <mergeCell ref="E135:N136"/>
    <mergeCell ref="E137:N138"/>
    <mergeCell ref="O127:P127"/>
    <mergeCell ref="O121:P121"/>
    <mergeCell ref="O122:P122"/>
    <mergeCell ref="B121:N121"/>
    <mergeCell ref="B127:D127"/>
    <mergeCell ref="B122:N122"/>
    <mergeCell ref="O112:P113"/>
    <mergeCell ref="B123:P123"/>
    <mergeCell ref="B125:P125"/>
    <mergeCell ref="B126:P126"/>
    <mergeCell ref="F113:N113"/>
    <mergeCell ref="O106:P107"/>
    <mergeCell ref="B115:P115"/>
    <mergeCell ref="O120:P120"/>
    <mergeCell ref="B120:N120"/>
    <mergeCell ref="B124:P124"/>
    <mergeCell ref="A57:A102"/>
    <mergeCell ref="A55:B56"/>
    <mergeCell ref="C6:AW6"/>
    <mergeCell ref="C55:AW55"/>
    <mergeCell ref="A8:A53"/>
    <mergeCell ref="A6:B7"/>
    <mergeCell ref="F107:N107"/>
    <mergeCell ref="F106:N106"/>
    <mergeCell ref="O108:P109"/>
    <mergeCell ref="B165:D165"/>
    <mergeCell ref="B176:D177"/>
    <mergeCell ref="B174:D175"/>
    <mergeCell ref="B172:D173"/>
    <mergeCell ref="E172:N172"/>
    <mergeCell ref="E163:N163"/>
    <mergeCell ref="A4:E4"/>
    <mergeCell ref="F4:P4"/>
    <mergeCell ref="B106:E107"/>
    <mergeCell ref="F105:N105"/>
    <mergeCell ref="B104:Q104"/>
    <mergeCell ref="B110:E111"/>
    <mergeCell ref="F109:N109"/>
    <mergeCell ref="F110:N110"/>
    <mergeCell ref="B131:D132"/>
    <mergeCell ref="B128:P128"/>
    <mergeCell ref="B108:E109"/>
    <mergeCell ref="B129:D130"/>
    <mergeCell ref="O129:P130"/>
    <mergeCell ref="E127:N127"/>
    <mergeCell ref="E131:N132"/>
    <mergeCell ref="O110:P111"/>
    <mergeCell ref="B114:P114"/>
    <mergeCell ref="O105:P105"/>
    <mergeCell ref="E164:N164"/>
    <mergeCell ref="O164:P164"/>
    <mergeCell ref="E190:N190"/>
    <mergeCell ref="E188:N188"/>
    <mergeCell ref="E184:N184"/>
    <mergeCell ref="E183:N183"/>
    <mergeCell ref="E189:N189"/>
    <mergeCell ref="E179:N179"/>
    <mergeCell ref="E185:N185"/>
    <mergeCell ref="E171:N171"/>
    <mergeCell ref="E187:N187"/>
    <mergeCell ref="E168:N168"/>
    <mergeCell ref="O172:P173"/>
    <mergeCell ref="O165:P165"/>
    <mergeCell ref="E169:N169"/>
    <mergeCell ref="E175:N175"/>
    <mergeCell ref="E170:N170"/>
    <mergeCell ref="O170:P171"/>
    <mergeCell ref="E166:N166"/>
    <mergeCell ref="E174:N174"/>
    <mergeCell ref="E173:N173"/>
    <mergeCell ref="O168:P169"/>
    <mergeCell ref="O166:P167"/>
    <mergeCell ref="O185:P185"/>
    <mergeCell ref="O141:P142"/>
    <mergeCell ref="E143:N143"/>
    <mergeCell ref="O145:P146"/>
    <mergeCell ref="E141:N141"/>
    <mergeCell ref="O143:P144"/>
    <mergeCell ref="E146:N146"/>
    <mergeCell ref="O162:P163"/>
    <mergeCell ref="B158:D159"/>
    <mergeCell ref="B150:P150"/>
    <mergeCell ref="B147:D148"/>
    <mergeCell ref="E148:N148"/>
    <mergeCell ref="O156:P157"/>
    <mergeCell ref="B156:D157"/>
    <mergeCell ref="B154:D155"/>
    <mergeCell ref="B152:D153"/>
    <mergeCell ref="E152:N152"/>
    <mergeCell ref="B151:D151"/>
    <mergeCell ref="E162:N162"/>
    <mergeCell ref="E142:N142"/>
    <mergeCell ref="E145:N145"/>
    <mergeCell ref="E144:N144"/>
    <mergeCell ref="E153:N153"/>
    <mergeCell ref="E155:N155"/>
    <mergeCell ref="E154:N154"/>
    <mergeCell ref="O160:P161"/>
    <mergeCell ref="O158:P159"/>
    <mergeCell ref="E157:N157"/>
    <mergeCell ref="E156:N156"/>
    <mergeCell ref="E151:N151"/>
    <mergeCell ref="E158:N158"/>
    <mergeCell ref="E161:N161"/>
    <mergeCell ref="E160:N160"/>
    <mergeCell ref="E159:N159"/>
    <mergeCell ref="O154:P155"/>
    <mergeCell ref="O152:P153"/>
    <mergeCell ref="B170:D171"/>
    <mergeCell ref="B168:D169"/>
    <mergeCell ref="O147:P148"/>
    <mergeCell ref="E147:N147"/>
    <mergeCell ref="B145:D146"/>
    <mergeCell ref="B143:D144"/>
    <mergeCell ref="E140:N140"/>
    <mergeCell ref="C2:P2"/>
    <mergeCell ref="F3:O3"/>
    <mergeCell ref="B119:N119"/>
    <mergeCell ref="O119:P119"/>
    <mergeCell ref="B112:E113"/>
    <mergeCell ref="O118:P118"/>
    <mergeCell ref="F112:N112"/>
    <mergeCell ref="B118:N118"/>
    <mergeCell ref="F108:N108"/>
    <mergeCell ref="B105:E105"/>
    <mergeCell ref="B162:D163"/>
    <mergeCell ref="E165:N165"/>
    <mergeCell ref="B164:D164"/>
    <mergeCell ref="B160:D161"/>
    <mergeCell ref="B166:D167"/>
    <mergeCell ref="E167:N167"/>
    <mergeCell ref="O151:P151"/>
  </mergeCells>
  <hyperlinks>
    <hyperlink ref="F4" r:id="rId1" xr:uid="{FDFBF1C9-FD1F-4F58-9D9E-3BB9173CCBF4}"/>
    <hyperlink ref="E146" r:id="rId2" xr:uid="{B5EBF396-D5D7-4726-AC0A-1305D755D635}"/>
    <hyperlink ref="E148" r:id="rId3" xr:uid="{592CF3C1-F0B5-4238-B1C6-215EDE86692F}"/>
    <hyperlink ref="E142" r:id="rId4" xr:uid="{375C3875-9308-41FC-9615-E4CF42BC1CB0}"/>
    <hyperlink ref="E140" r:id="rId5" xr:uid="{901FF3C2-7E73-4F09-8DF7-1AE7C40E7D68}"/>
    <hyperlink ref="E177" r:id="rId6" xr:uid="{228675FA-3914-45AE-9DE7-A4D46177DB93}"/>
    <hyperlink ref="E175" r:id="rId7" xr:uid="{89B789BE-05EA-4EF6-85A7-EA4AF7F92586}"/>
    <hyperlink ref="E179" r:id="rId8" xr:uid="{7982C170-96B8-46F6-BD4A-A8105B178C43}"/>
    <hyperlink ref="E169" r:id="rId9" xr:uid="{3D4AE0F1-B152-4103-B72B-33C5C281F0D4}"/>
    <hyperlink ref="E144" r:id="rId10" xr:uid="{06866924-852E-42BD-A509-9AF2C7C7F679}"/>
    <hyperlink ref="E153" r:id="rId11" xr:uid="{27C2858B-2C00-4F9D-8B42-6383CF27B7B7}"/>
    <hyperlink ref="E155" r:id="rId12" xr:uid="{737AD954-5721-497A-8F9C-1556370D0574}"/>
    <hyperlink ref="E157" r:id="rId13" xr:uid="{F072F5C0-0A71-4883-BA12-DC4F84B4C1D6}"/>
    <hyperlink ref="E159" r:id="rId14" xr:uid="{E07F4DBE-E00C-430B-85A7-12A40EF7437C}"/>
    <hyperlink ref="E161" r:id="rId15" xr:uid="{DA982AB9-188E-4AC0-AD8B-49A3BB29FC92}"/>
    <hyperlink ref="E163" r:id="rId16" xr:uid="{7265E46D-4544-4559-9E5C-6E9975F40617}"/>
    <hyperlink ref="E167" r:id="rId17" xr:uid="{C7B5DC08-41D3-49C1-A530-607397C8414D}"/>
    <hyperlink ref="E171" r:id="rId18" xr:uid="{8191F821-5EB2-4E10-BF2D-76E9F6C5F0B8}"/>
    <hyperlink ref="E173" r:id="rId19" xr:uid="{1FB4B11E-E2EC-4441-96B8-0FD66C0E8329}"/>
    <hyperlink ref="E130" r:id="rId20" xr:uid="{74E37EFC-0A8C-4F7F-894E-E36FDA62A4A6}"/>
  </hyperlinks>
  <pageMargins left="0.70866141732283472" right="0.70866141732283472" top="0.19685039370078741" bottom="0.19685039370078741" header="0.31496062992125984" footer="0.31496062992125984"/>
  <pageSetup paperSize="9" orientation="portrait" r:id="rId2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395890-9CF5-4478-B5BF-8808E9A4D84D}">
  <sheetPr>
    <tabColor indexed="42"/>
  </sheetPr>
  <dimension ref="A1:D23"/>
  <sheetViews>
    <sheetView view="pageBreakPreview" zoomScale="90" zoomScaleNormal="100" zoomScaleSheetLayoutView="90" workbookViewId="0">
      <pane ySplit="8" topLeftCell="A9" activePane="bottomLeft" state="frozen"/>
      <selection pane="bottomLeft" activeCell="D10" sqref="D10"/>
    </sheetView>
  </sheetViews>
  <sheetFormatPr defaultColWidth="9.109375" defaultRowHeight="13.2"/>
  <cols>
    <col min="1" max="1" width="18.109375" style="1" customWidth="1"/>
    <col min="2" max="2" width="18.44140625" style="1" customWidth="1"/>
    <col min="3" max="3" width="17.5546875" style="1" customWidth="1"/>
    <col min="4" max="4" width="17" style="1" customWidth="1"/>
    <col min="5" max="16384" width="9.109375" style="1"/>
  </cols>
  <sheetData>
    <row r="1" spans="1:4">
      <c r="B1" s="16"/>
      <c r="C1" s="16"/>
      <c r="D1" s="67"/>
    </row>
    <row r="2" spans="1:4">
      <c r="B2" s="16"/>
      <c r="C2" s="16"/>
      <c r="D2" s="4"/>
    </row>
    <row r="3" spans="1:4">
      <c r="B3" s="16"/>
      <c r="C3" s="16"/>
      <c r="D3" s="4"/>
    </row>
    <row r="4" spans="1:4" ht="24.75" customHeight="1">
      <c r="A4" s="1309" t="s">
        <v>222</v>
      </c>
      <c r="B4" s="1309"/>
      <c r="C4" s="1309"/>
      <c r="D4" s="1309"/>
    </row>
    <row r="5" spans="1:4">
      <c r="A5" s="1310" t="s">
        <v>223</v>
      </c>
      <c r="B5" s="1310"/>
      <c r="C5" s="1310"/>
      <c r="D5" s="1310"/>
    </row>
    <row r="6" spans="1:4">
      <c r="A6" s="1310" t="s">
        <v>206</v>
      </c>
      <c r="B6" s="1310"/>
      <c r="C6" s="1310"/>
      <c r="D6" s="1310"/>
    </row>
    <row r="7" spans="1:4" ht="13.8" thickBot="1">
      <c r="A7" s="1310" t="s">
        <v>224</v>
      </c>
      <c r="B7" s="1310"/>
      <c r="C7" s="1310"/>
      <c r="D7" s="1310"/>
    </row>
    <row r="8" spans="1:4" ht="37.5" customHeight="1" thickBot="1">
      <c r="A8" s="189" t="s">
        <v>226</v>
      </c>
      <c r="B8" s="190" t="s">
        <v>43</v>
      </c>
      <c r="C8" s="190" t="s">
        <v>1</v>
      </c>
      <c r="D8" s="189" t="s">
        <v>50</v>
      </c>
    </row>
    <row r="9" spans="1:4" ht="21.9" customHeight="1">
      <c r="A9" s="1303" t="s">
        <v>51</v>
      </c>
      <c r="B9" s="1306" t="s">
        <v>225</v>
      </c>
      <c r="C9" s="127">
        <v>40</v>
      </c>
      <c r="D9" s="359">
        <f>(10.5*KFC!$B$15*1.02+KFC!$C$15)*KFC!$C$5</f>
        <v>10.71</v>
      </c>
    </row>
    <row r="10" spans="1:4" ht="21.9" customHeight="1">
      <c r="A10" s="1304"/>
      <c r="B10" s="1307"/>
      <c r="C10" s="128">
        <v>50</v>
      </c>
      <c r="D10" s="360">
        <f>(11.9*KFC!$B$15*1.02+KFC!$C$15)*KFC!$C$5</f>
        <v>12.138</v>
      </c>
    </row>
    <row r="11" spans="1:4" ht="21.9" customHeight="1">
      <c r="A11" s="1304"/>
      <c r="B11" s="1307"/>
      <c r="C11" s="128">
        <v>60</v>
      </c>
      <c r="D11" s="360">
        <f>(13.2*KFC!$B$15*1.02+KFC!$C$15)*KFC!$C$5</f>
        <v>13.463999999999999</v>
      </c>
    </row>
    <row r="12" spans="1:4" ht="21.9" customHeight="1">
      <c r="A12" s="1304"/>
      <c r="B12" s="1307"/>
      <c r="C12" s="128">
        <v>70</v>
      </c>
      <c r="D12" s="360">
        <f>(14.4*KFC!$B$15*1.02+KFC!$C$15)*KFC!$C$5</f>
        <v>14.688000000000001</v>
      </c>
    </row>
    <row r="13" spans="1:4" ht="21.9" customHeight="1">
      <c r="A13" s="1304"/>
      <c r="B13" s="1307"/>
      <c r="C13" s="128">
        <v>80</v>
      </c>
      <c r="D13" s="360">
        <f>(15.9*KFC!$B$15*1.02+KFC!$C$15)*KFC!$C$5</f>
        <v>16.218</v>
      </c>
    </row>
    <row r="14" spans="1:4" ht="21.9" customHeight="1">
      <c r="A14" s="1304"/>
      <c r="B14" s="1307"/>
      <c r="C14" s="128">
        <v>90</v>
      </c>
      <c r="D14" s="360">
        <f>(17.6*KFC!$B$15*1.02+KFC!$C$15)*KFC!$C$5</f>
        <v>17.952000000000002</v>
      </c>
    </row>
    <row r="15" spans="1:4" ht="21.9" customHeight="1">
      <c r="A15" s="1304"/>
      <c r="B15" s="1307"/>
      <c r="C15" s="128">
        <v>100</v>
      </c>
      <c r="D15" s="360">
        <f>(19*KFC!$B$15*1.02+KFC!$C$15)*KFC!$C$5</f>
        <v>19.38</v>
      </c>
    </row>
    <row r="16" spans="1:4" ht="21.9" customHeight="1">
      <c r="A16" s="1304"/>
      <c r="B16" s="1307"/>
      <c r="C16" s="128">
        <v>110</v>
      </c>
      <c r="D16" s="360">
        <f>(20.3*KFC!$B$15*1.02+KFC!$C$15)*KFC!$C$5</f>
        <v>20.706</v>
      </c>
    </row>
    <row r="17" spans="1:4" ht="21.9" customHeight="1">
      <c r="A17" s="1304"/>
      <c r="B17" s="1307"/>
      <c r="C17" s="128">
        <v>120</v>
      </c>
      <c r="D17" s="360">
        <f>(21.6*KFC!$B$15*1.02+KFC!$C$15)*KFC!$C$5</f>
        <v>22.032000000000004</v>
      </c>
    </row>
    <row r="18" spans="1:4" ht="21.9" customHeight="1">
      <c r="A18" s="1304"/>
      <c r="B18" s="1307"/>
      <c r="C18" s="128">
        <v>130</v>
      </c>
      <c r="D18" s="360">
        <f>(23*KFC!$B$15*1.02+KFC!$C$15)*KFC!$C$5</f>
        <v>23.46</v>
      </c>
    </row>
    <row r="19" spans="1:4" ht="21.9" customHeight="1">
      <c r="A19" s="1304"/>
      <c r="B19" s="1307"/>
      <c r="C19" s="128">
        <v>140</v>
      </c>
      <c r="D19" s="360">
        <f>(24.3*KFC!$B$15*1.02+KFC!$C$15)*KFC!$C$5</f>
        <v>24.786000000000001</v>
      </c>
    </row>
    <row r="20" spans="1:4" ht="21.9" customHeight="1">
      <c r="A20" s="1304"/>
      <c r="B20" s="1307"/>
      <c r="C20" s="128">
        <v>150</v>
      </c>
      <c r="D20" s="360">
        <f>(26.2*KFC!$B$15*1.02+KFC!$C$15)*KFC!$C$5</f>
        <v>26.724</v>
      </c>
    </row>
    <row r="21" spans="1:4" ht="21.9" customHeight="1">
      <c r="A21" s="1304"/>
      <c r="B21" s="1307"/>
      <c r="C21" s="128">
        <v>160</v>
      </c>
      <c r="D21" s="360">
        <f>(27.6*KFC!$B$15*1.02+KFC!$C$15)*KFC!$C$5</f>
        <v>28.152000000000001</v>
      </c>
    </row>
    <row r="22" spans="1:4" ht="21.9" customHeight="1">
      <c r="A22" s="1304"/>
      <c r="B22" s="1307"/>
      <c r="C22" s="128">
        <v>170</v>
      </c>
      <c r="D22" s="360">
        <f>(28.9*KFC!$B$15*1.02+KFC!$C$15)*KFC!$C$5</f>
        <v>29.477999999999998</v>
      </c>
    </row>
    <row r="23" spans="1:4" ht="21.9" customHeight="1" thickBot="1">
      <c r="A23" s="1305"/>
      <c r="B23" s="1308"/>
      <c r="C23" s="129">
        <v>180</v>
      </c>
      <c r="D23" s="361">
        <f>(30.1*KFC!$B$15*1.02+KFC!$C$15)*KFC!$C$5</f>
        <v>30.702000000000002</v>
      </c>
    </row>
  </sheetData>
  <mergeCells count="6">
    <mergeCell ref="A9:A23"/>
    <mergeCell ref="B9:B23"/>
    <mergeCell ref="A4:D4"/>
    <mergeCell ref="A5:D5"/>
    <mergeCell ref="A6:D6"/>
    <mergeCell ref="A7:D7"/>
  </mergeCells>
  <phoneticPr fontId="7" type="noConversion"/>
  <pageMargins left="0.55118110236220474" right="0.27559055118110237" top="0.43307086614173229" bottom="0.98425196850393704" header="0.19685039370078741" footer="0.51181102362204722"/>
  <pageSetup paperSize="9" scale="110" orientation="portrait" verticalDpi="2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53</vt:i4>
      </vt:variant>
      <vt:variant>
        <vt:lpstr>Именованные диапазоны</vt:lpstr>
      </vt:variant>
      <vt:variant>
        <vt:i4>46</vt:i4>
      </vt:variant>
    </vt:vector>
  </HeadingPairs>
  <TitlesOfParts>
    <vt:vector size="99" baseType="lpstr">
      <vt:lpstr>Титульный лист</vt:lpstr>
      <vt:lpstr>СОДЕРЖАНИЕ</vt:lpstr>
      <vt:lpstr>KFC</vt:lpstr>
      <vt:lpstr>Вертикальные</vt:lpstr>
      <vt:lpstr>Замена ткани вертикальной</vt:lpstr>
      <vt:lpstr>Расчёт кол-ва ламелей</vt:lpstr>
      <vt:lpstr>Горизонтальные алюминиевые </vt:lpstr>
      <vt:lpstr>Алюминиевые АБСОЛЮТ 50 мм</vt:lpstr>
      <vt:lpstr>Готовые горизонтальные жалюзи</vt:lpstr>
      <vt:lpstr>Дерево, бамбук 25 мм</vt:lpstr>
      <vt:lpstr>Дерево, бамбук 50 мм АБСОЛЮТ</vt:lpstr>
      <vt:lpstr>Изолайт 25мм белая фурнитура </vt:lpstr>
      <vt:lpstr>Изолайт 25мм цветная фурнитура</vt:lpstr>
      <vt:lpstr>Изолайт 16мм белая фурнитура</vt:lpstr>
      <vt:lpstr>Изолайт 16мм цветная фурнитура</vt:lpstr>
      <vt:lpstr>Исотра Хит 2 25мм</vt:lpstr>
      <vt:lpstr>Исотра Хит 2 25мм ламинация</vt:lpstr>
      <vt:lpstr>Исотра Хит 2 16мм </vt:lpstr>
      <vt:lpstr>Исотра Хит 2 16мм ламинация</vt:lpstr>
      <vt:lpstr>Исотра 25мм</vt:lpstr>
      <vt:lpstr>Исотра 16мм</vt:lpstr>
      <vt:lpstr>V-LITE</vt:lpstr>
      <vt:lpstr>Ткани по категориям </vt:lpstr>
      <vt:lpstr>Рулонные СТАНДАРТ</vt:lpstr>
      <vt:lpstr>Рулонные КОМФОРТ</vt:lpstr>
      <vt:lpstr>Рулонные Классик(Премиум,Дабл)</vt:lpstr>
      <vt:lpstr>Рулонные Люкс(Премиум,Дабл)</vt:lpstr>
      <vt:lpstr>Рулонные КВАТРО Классик</vt:lpstr>
      <vt:lpstr>Рулонные КВАТРО Люкс</vt:lpstr>
      <vt:lpstr>Руло ГРАНД</vt:lpstr>
      <vt:lpstr>Рулонные СПРИНГ</vt:lpstr>
      <vt:lpstr>Мини Нью</vt:lpstr>
      <vt:lpstr>Мини</vt:lpstr>
      <vt:lpstr>Уни - 1</vt:lpstr>
      <vt:lpstr>Уни - 1 ламинация</vt:lpstr>
      <vt:lpstr>Уни - 2</vt:lpstr>
      <vt:lpstr>Уни - 2 ламинация</vt:lpstr>
      <vt:lpstr>Р-ЛАЙТ</vt:lpstr>
      <vt:lpstr>Замена ткани рулонной</vt:lpstr>
      <vt:lpstr>Ткани КОМБО по категориям</vt:lpstr>
      <vt:lpstr>КОМБО Мини Нью</vt:lpstr>
      <vt:lpstr>КОМБО В-52 Стандарт</vt:lpstr>
      <vt:lpstr>КОМБО Классик</vt:lpstr>
      <vt:lpstr>КОМБО В-52 Люкс</vt:lpstr>
      <vt:lpstr>Комбо Кватро Классик</vt:lpstr>
      <vt:lpstr>Комбо Кватро Люкс</vt:lpstr>
      <vt:lpstr>Замена ткани КОМБО</vt:lpstr>
      <vt:lpstr>Комбо Уни-1 (белый)</vt:lpstr>
      <vt:lpstr>Комбо УНИ-2 (белый)</vt:lpstr>
      <vt:lpstr>Комбо УНИ-2 (лам)</vt:lpstr>
      <vt:lpstr>Римские шторы Компакт и XL </vt:lpstr>
      <vt:lpstr>Образцы</vt:lpstr>
      <vt:lpstr>Огран. для электр. КОМБО</vt:lpstr>
      <vt:lpstr>курс_уе</vt:lpstr>
      <vt:lpstr>KFC!Область_печати</vt:lpstr>
      <vt:lpstr>'V-LITE'!Область_печати</vt:lpstr>
      <vt:lpstr>Вертикальные!Область_печати</vt:lpstr>
      <vt:lpstr>'Горизонтальные алюминиевые '!Область_печати</vt:lpstr>
      <vt:lpstr>'Готовые горизонтальные жалюзи'!Область_печати</vt:lpstr>
      <vt:lpstr>'Дерево, бамбук 25 мм'!Область_печати</vt:lpstr>
      <vt:lpstr>'Замена ткани вертикальной'!Область_печати</vt:lpstr>
      <vt:lpstr>'Замена ткани КОМБО'!Область_печати</vt:lpstr>
      <vt:lpstr>'Замена ткани рулонной'!Область_печати</vt:lpstr>
      <vt:lpstr>'Изолайт 16мм белая фурнитура'!Область_печати</vt:lpstr>
      <vt:lpstr>'Изолайт 16мм цветная фурнитура'!Область_печати</vt:lpstr>
      <vt:lpstr>'Изолайт 25мм белая фурнитура '!Область_печати</vt:lpstr>
      <vt:lpstr>'Изолайт 25мм цветная фурнитура'!Область_печати</vt:lpstr>
      <vt:lpstr>'Исотра 16мм'!Область_печати</vt:lpstr>
      <vt:lpstr>'Исотра 25мм'!Область_печати</vt:lpstr>
      <vt:lpstr>'Исотра Хит 2 16мм '!Область_печати</vt:lpstr>
      <vt:lpstr>'Исотра Хит 2 16мм ламинация'!Область_печати</vt:lpstr>
      <vt:lpstr>'Исотра Хит 2 25мм'!Область_печати</vt:lpstr>
      <vt:lpstr>'Исотра Хит 2 25мм ламинация'!Область_печати</vt:lpstr>
      <vt:lpstr>'КОМБО В-52 Люкс'!Область_печати</vt:lpstr>
      <vt:lpstr>'КОМБО В-52 Стандарт'!Область_печати</vt:lpstr>
      <vt:lpstr>'Комбо Кватро Классик'!Область_печати</vt:lpstr>
      <vt:lpstr>'Комбо Уни-1 (белый)'!Область_печати</vt:lpstr>
      <vt:lpstr>'Комбо УНИ-2 (белый)'!Область_печати</vt:lpstr>
      <vt:lpstr>'Комбо УНИ-2 (лам)'!Область_печати</vt:lpstr>
      <vt:lpstr>Мини!Область_печати</vt:lpstr>
      <vt:lpstr>'Мини Нью'!Область_печати</vt:lpstr>
      <vt:lpstr>Образцы!Область_печати</vt:lpstr>
      <vt:lpstr>'Римские шторы Компакт и XL '!Область_печати</vt:lpstr>
      <vt:lpstr>'Р-ЛАЙТ'!Область_печати</vt:lpstr>
      <vt:lpstr>'Рулонные КВАТРО Классик'!Область_печати</vt:lpstr>
      <vt:lpstr>'Рулонные КВАТРО Люкс'!Область_печати</vt:lpstr>
      <vt:lpstr>'Рулонные Классик(Премиум,Дабл)'!Область_печати</vt:lpstr>
      <vt:lpstr>'Рулонные Люкс(Премиум,Дабл)'!Область_печати</vt:lpstr>
      <vt:lpstr>'Рулонные СПРИНГ'!Область_печати</vt:lpstr>
      <vt:lpstr>'Рулонные СТАНДАРТ'!Область_печати</vt:lpstr>
      <vt:lpstr>СОДЕРЖАНИЕ!Область_печати</vt:lpstr>
      <vt:lpstr>'Титульный лист'!Область_печати</vt:lpstr>
      <vt:lpstr>'Ткани КОМБО по категориям'!Область_печати</vt:lpstr>
      <vt:lpstr>'Ткани по категориям '!Область_печати</vt:lpstr>
      <vt:lpstr>'Уни - 1'!Область_печати</vt:lpstr>
      <vt:lpstr>'Уни - 1 ламинация'!Область_печати</vt:lpstr>
      <vt:lpstr>'Уни - 2'!Область_печати</vt:lpstr>
      <vt:lpstr>'Уни - 2 ламинация'!Область_печати</vt:lpstr>
      <vt:lpstr>скидка</vt:lpstr>
    </vt:vector>
  </TitlesOfParts>
  <Company>1285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comp1285</dc:creator>
  <cp:lastModifiedBy>Владимир Нилов</cp:lastModifiedBy>
  <cp:lastPrinted>2024-03-21T17:03:23Z</cp:lastPrinted>
  <dcterms:created xsi:type="dcterms:W3CDTF">2009-03-04T09:02:22Z</dcterms:created>
  <dcterms:modified xsi:type="dcterms:W3CDTF">2025-03-13T16:01:08Z</dcterms:modified>
</cp:coreProperties>
</file>